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EstaPasta_de_trabalho" defaultThemeVersion="124226"/>
  <mc:AlternateContent xmlns:mc="http://schemas.openxmlformats.org/markup-compatibility/2006">
    <mc:Choice Requires="x15">
      <x15ac:absPath xmlns:x15ac="http://schemas.microsoft.com/office/spreadsheetml/2010/11/ac" url="C:\Users\checagem\Desktop\"/>
    </mc:Choice>
  </mc:AlternateContent>
  <xr:revisionPtr revIDLastSave="0" documentId="8_{63918F93-B9B0-4901-A9D5-BE58011394DA}" xr6:coauthVersionLast="47" xr6:coauthVersionMax="47" xr10:uidLastSave="{00000000-0000-0000-0000-000000000000}"/>
  <bookViews>
    <workbookView xWindow="-120" yWindow="-120" windowWidth="20730" windowHeight="11160" xr2:uid="{00000000-000D-0000-FFFF-FFFF0000000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1º PA" sheetId="33" r:id="rId11"/>
    <sheet name="Diário 2º PA" sheetId="53" r:id="rId12"/>
    <sheet name="Diário 3º PA" sheetId="55" r:id="rId13"/>
    <sheet name="Diário 4º PA" sheetId="56" r:id="rId14"/>
    <sheet name="Reserva" sheetId="47" r:id="rId15"/>
    <sheet name="Lista de Pessoal" sheetId="60" state="hidden" r:id="rId16"/>
    <sheet name="Dec Dir." sheetId="49" r:id="rId17"/>
    <sheet name="Plano" sheetId="41" state="hidden" r:id="rId18"/>
  </sheets>
  <definedNames>
    <definedName name="_xlnm._FilterDatabase" localSheetId="9" hidden="1">'Comp.'!$A$4:$L$349</definedName>
    <definedName name="_xlnm._FilterDatabase" localSheetId="10" hidden="1">'Diário 1º PA'!$A$3:$W$2635</definedName>
    <definedName name="_xlnm._FilterDatabase" localSheetId="11" hidden="1">'Diário 2º PA'!$A$3:$T$3040</definedName>
    <definedName name="_xlnm._FilterDatabase" localSheetId="12" hidden="1">'Diário 3º PA'!$A$3:$T$2732</definedName>
    <definedName name="_xlnm._FilterDatabase" localSheetId="13" hidden="1">'Diário 4º PA'!$A$3:$T$2564</definedName>
    <definedName name="_xlnm._FilterDatabase" localSheetId="15" hidden="1">'Lista de Pessoal'!$A$1:$K$999</definedName>
    <definedName name="_xlnm._FilterDatabase" localSheetId="14" hidden="1">Reserva!$A$3:$K$1004</definedName>
    <definedName name="Aquisição_de_Bens_Permanentes">Plano!$E$2:$E$14</definedName>
    <definedName name="_xlnm.Print_Area" localSheetId="1">Análises!$A$1:$A$7</definedName>
    <definedName name="_xlnm.Print_Area" localSheetId="6">'Analítico Cp.'!$A$1:$P$164</definedName>
    <definedName name="_xlnm.Print_Area" localSheetId="5">'Analítico Cx.'!$A$1:$P$169</definedName>
    <definedName name="_xlnm.Print_Area" localSheetId="8">Bens!$A$1:$I$8</definedName>
    <definedName name="_xlnm.Print_Area" localSheetId="0">Capa!$A$1:$A$11</definedName>
    <definedName name="_xlnm.Print_Area" localSheetId="9">'Comp.'!$A$1:$L$349</definedName>
    <definedName name="_xlnm.Print_Area" localSheetId="3">Comparativo!$A$1:$R$52</definedName>
    <definedName name="_xlnm.Print_Area" localSheetId="16">'Dec Dir.'!$A$1:$A$10</definedName>
    <definedName name="_xlnm.Print_Area" localSheetId="10">'Diário 1º PA'!$A$1:$O$1738</definedName>
    <definedName name="_xlnm.Print_Area" localSheetId="11">'Diário 2º PA'!$A$1:$O$2366</definedName>
    <definedName name="_xlnm.Print_Area" localSheetId="12">'Diário 3º PA'!$A$1:$O$1932</definedName>
    <definedName name="_xlnm.Print_Area" localSheetId="13">'Diário 4º PA'!$A$1:$O$2140</definedName>
    <definedName name="_xlnm.Print_Area" localSheetId="4">'Gasto das Atividades'!$A$1:$E$47</definedName>
    <definedName name="_xlnm.Print_Area" localSheetId="15">'Lista de Pessoal'!$A$1:$K$72</definedName>
    <definedName name="_xlnm.Print_Area" localSheetId="7">'Prov. Pessoal'!$A$1:$O$39</definedName>
    <definedName name="_xlnm.Print_Area" localSheetId="14">Reserva!$A$1:$K$50</definedName>
    <definedName name="_xlnm.Print_Area" localSheetId="2">Resumo!$A$1:$O$54</definedName>
    <definedName name="área_destinada">Plano!$J$2:$J$3</definedName>
    <definedName name="Categorias">Plano!$A$1:$G$1</definedName>
    <definedName name="Conta">Resumo!$B$42:$B$52</definedName>
    <definedName name="Gastos_com_Pessoal">Plano!$C$2:$C$28</definedName>
    <definedName name="Gastos_custeados_por_captação">Plano!$G$2</definedName>
    <definedName name="Gastos_Gerais">Plano!$D$2:$D$91</definedName>
    <definedName name="Ocorrência">Plano!$I$2:$I$3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1º PA'!$A:$A,'Diário 1º PA'!$2:$3</definedName>
    <definedName name="_xlnm.Print_Titles" localSheetId="11">'Diário 2º PA'!$A:$A,'Diário 2º PA'!$2:$3</definedName>
    <definedName name="_xlnm.Print_Titles" localSheetId="12">'Diário 3º PA'!$A:$A,'Diário 3º PA'!$2:$3</definedName>
    <definedName name="_xlnm.Print_Titles" localSheetId="13">'Diário 4º PA'!$A:$A,'Diário 4º PA'!$2:$3</definedName>
    <definedName name="_xlnm.Print_Titles" localSheetId="14">Reserva!$A:$A,Reserva!$2:$3</definedName>
    <definedName name="_xlnm.Print_Titles" localSheetId="2">Resumo!$3:$3</definedName>
    <definedName name="Transferência_para_Reserva_de_Recursos">Plano!$F$1</definedName>
    <definedName name="VinculoPT">OFFSET('Gasto das Atividades'!$B$4,1,0,COUNTA('Gasto das Atividades'!$B$5:$B$36),1)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36" l="1"/>
  <c r="M45" i="20" l="1"/>
  <c r="R1957" i="56"/>
  <c r="Q1957" i="56"/>
  <c r="P1957" i="56"/>
  <c r="R1949" i="56"/>
  <c r="R1662" i="56"/>
  <c r="R1351" i="56"/>
  <c r="R1350" i="56"/>
  <c r="R1338" i="56"/>
  <c r="R1184" i="56"/>
  <c r="R1131" i="56"/>
  <c r="D58" i="20"/>
  <c r="D59" i="20"/>
  <c r="D60" i="20"/>
  <c r="D61" i="20"/>
  <c r="D62" i="20"/>
  <c r="D63" i="20"/>
  <c r="D64" i="20"/>
  <c r="D65" i="20"/>
  <c r="D66" i="20"/>
  <c r="D67" i="20"/>
  <c r="C58" i="20"/>
  <c r="C59" i="20"/>
  <c r="C60" i="20"/>
  <c r="C61" i="20"/>
  <c r="C62" i="20"/>
  <c r="C63" i="20"/>
  <c r="C64" i="20"/>
  <c r="C65" i="20"/>
  <c r="C66" i="20"/>
  <c r="C67" i="20"/>
  <c r="R2046" i="56" l="1"/>
  <c r="R2045" i="56"/>
  <c r="R2043" i="56"/>
  <c r="R2041" i="56"/>
  <c r="R1992" i="56"/>
  <c r="R1987" i="56"/>
  <c r="R1986" i="56"/>
  <c r="R2047" i="56"/>
  <c r="M50" i="20"/>
  <c r="R2044" i="56"/>
  <c r="R2042" i="56"/>
  <c r="R2040" i="56"/>
  <c r="J25" i="44"/>
  <c r="J7" i="44" l="1"/>
  <c r="J8" i="44"/>
  <c r="J9" i="44"/>
  <c r="J10" i="44"/>
  <c r="J11" i="44"/>
  <c r="J12" i="44"/>
  <c r="J13" i="44"/>
  <c r="J14" i="44"/>
  <c r="J15" i="44"/>
  <c r="J16" i="44"/>
  <c r="J17" i="44"/>
  <c r="J18" i="44"/>
  <c r="J19" i="44"/>
  <c r="J20" i="44"/>
  <c r="J21" i="44"/>
  <c r="J22" i="44"/>
  <c r="J23" i="44"/>
  <c r="J24"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247" i="44"/>
  <c r="J248" i="44"/>
  <c r="J249" i="44"/>
  <c r="J250" i="44"/>
  <c r="J251" i="44"/>
  <c r="J252" i="44"/>
  <c r="J253" i="44"/>
  <c r="J254" i="44"/>
  <c r="J255" i="44"/>
  <c r="J256" i="44"/>
  <c r="J257" i="44"/>
  <c r="J258" i="44"/>
  <c r="J259" i="44"/>
  <c r="J260" i="44"/>
  <c r="J261" i="44"/>
  <c r="J262" i="44"/>
  <c r="J263" i="44"/>
  <c r="J264" i="44"/>
  <c r="J265" i="44"/>
  <c r="J266" i="44"/>
  <c r="J267" i="44"/>
  <c r="J268" i="44"/>
  <c r="J269" i="44"/>
  <c r="J270" i="44"/>
  <c r="J271" i="44"/>
  <c r="J272" i="44"/>
  <c r="J273" i="44"/>
  <c r="J274" i="44"/>
  <c r="J275" i="44"/>
  <c r="J276" i="44"/>
  <c r="J277" i="44"/>
  <c r="J278" i="44"/>
  <c r="J279" i="44"/>
  <c r="J280" i="44"/>
  <c r="J281" i="44"/>
  <c r="J282" i="44"/>
  <c r="J283" i="44"/>
  <c r="J284" i="44"/>
  <c r="J285" i="44"/>
  <c r="J286" i="44"/>
  <c r="J287" i="44"/>
  <c r="J288" i="44"/>
  <c r="J289" i="44"/>
  <c r="J290" i="44"/>
  <c r="J291" i="44"/>
  <c r="J292" i="44"/>
  <c r="J293" i="44"/>
  <c r="J294" i="44"/>
  <c r="J295" i="44"/>
  <c r="J296" i="44"/>
  <c r="J297" i="44"/>
  <c r="J298" i="44"/>
  <c r="J299" i="44"/>
  <c r="J300" i="44"/>
  <c r="J301" i="44"/>
  <c r="J302" i="44"/>
  <c r="J303" i="44"/>
  <c r="J304" i="44"/>
  <c r="J305" i="44"/>
  <c r="J306" i="44"/>
  <c r="J307" i="44"/>
  <c r="J308" i="44"/>
  <c r="J309" i="44"/>
  <c r="J310" i="44"/>
  <c r="J311" i="44"/>
  <c r="J312" i="44"/>
  <c r="J313" i="44"/>
  <c r="J314" i="44"/>
  <c r="J315" i="44"/>
  <c r="J316" i="44"/>
  <c r="J317" i="44"/>
  <c r="J318" i="44"/>
  <c r="J319" i="44"/>
  <c r="J320" i="44"/>
  <c r="J321" i="44"/>
  <c r="J322" i="44"/>
  <c r="J323" i="44"/>
  <c r="J324" i="44"/>
  <c r="J325" i="44"/>
  <c r="J326" i="44"/>
  <c r="J327" i="44"/>
  <c r="J328" i="44"/>
  <c r="J329" i="44"/>
  <c r="J330" i="44"/>
  <c r="J331" i="44"/>
  <c r="J332" i="44"/>
  <c r="J333" i="44"/>
  <c r="J334" i="44"/>
  <c r="J335" i="44"/>
  <c r="J336" i="44"/>
  <c r="J337" i="44"/>
  <c r="J338" i="44"/>
  <c r="J339" i="44"/>
  <c r="J340" i="44"/>
  <c r="J341" i="44"/>
  <c r="J342" i="44"/>
  <c r="J343" i="44"/>
  <c r="J344" i="44"/>
  <c r="J345" i="44"/>
  <c r="J346" i="44"/>
  <c r="J347" i="44"/>
  <c r="J348" i="44"/>
  <c r="J349" i="44"/>
  <c r="M52" i="20"/>
  <c r="R1721" i="56"/>
  <c r="R1720" i="56"/>
  <c r="R1719" i="56"/>
  <c r="M48" i="20"/>
  <c r="R2140" i="56"/>
  <c r="R2139" i="56"/>
  <c r="R1718" i="56"/>
  <c r="R1717" i="56"/>
  <c r="R1716" i="56"/>
  <c r="R1715" i="56"/>
  <c r="R1714" i="56"/>
  <c r="N42" i="20"/>
  <c r="M42" i="20"/>
  <c r="C57" i="20" s="1"/>
  <c r="R2138" i="56"/>
  <c r="R2137" i="56"/>
  <c r="R2136" i="56"/>
  <c r="R2135" i="56"/>
  <c r="R2134" i="56"/>
  <c r="R2133" i="56"/>
  <c r="R2132" i="56"/>
  <c r="R2131" i="56"/>
  <c r="R2130" i="56"/>
  <c r="R2129" i="56"/>
  <c r="R2128" i="56"/>
  <c r="R2127" i="56"/>
  <c r="R2126" i="56"/>
  <c r="R2125" i="56"/>
  <c r="R2124" i="56"/>
  <c r="R2123" i="56"/>
  <c r="R2122" i="56"/>
  <c r="R2121" i="56"/>
  <c r="R2120" i="56"/>
  <c r="R2119" i="56"/>
  <c r="R2118" i="56"/>
  <c r="R2117" i="56"/>
  <c r="R2116" i="56"/>
  <c r="R2115" i="56"/>
  <c r="R2114" i="56"/>
  <c r="R2113" i="56"/>
  <c r="R2112" i="56"/>
  <c r="R2111" i="56"/>
  <c r="R2110" i="56"/>
  <c r="R2109" i="56"/>
  <c r="R2108" i="56"/>
  <c r="R2107" i="56"/>
  <c r="R2106" i="56"/>
  <c r="R2105" i="56"/>
  <c r="R2104" i="56"/>
  <c r="R2103" i="56"/>
  <c r="R2102" i="56"/>
  <c r="R2101" i="56"/>
  <c r="R2100" i="56"/>
  <c r="R2099" i="56"/>
  <c r="R2098" i="56"/>
  <c r="R2097" i="56"/>
  <c r="R2096" i="56"/>
  <c r="R2095" i="56"/>
  <c r="R2094" i="56"/>
  <c r="R2093" i="56"/>
  <c r="R2092" i="56"/>
  <c r="R2091" i="56"/>
  <c r="R2090" i="56"/>
  <c r="R2089" i="56"/>
  <c r="R2088" i="56"/>
  <c r="R2087" i="56"/>
  <c r="R2086" i="56"/>
  <c r="R2085" i="56"/>
  <c r="R2084" i="56"/>
  <c r="R2083" i="56"/>
  <c r="R2082" i="56"/>
  <c r="R2081" i="56"/>
  <c r="R2080" i="56"/>
  <c r="R2079" i="56"/>
  <c r="R2078" i="56"/>
  <c r="R2077" i="56"/>
  <c r="R2076" i="56"/>
  <c r="R2075" i="56"/>
  <c r="R2074" i="56"/>
  <c r="R2073" i="56"/>
  <c r="R2072" i="56"/>
  <c r="R2071" i="56"/>
  <c r="R2070" i="56"/>
  <c r="R2069" i="56"/>
  <c r="R2068" i="56"/>
  <c r="R2067" i="56"/>
  <c r="R2066" i="56"/>
  <c r="R2065" i="56"/>
  <c r="R2064" i="56"/>
  <c r="R2063" i="56"/>
  <c r="R2062" i="56"/>
  <c r="R2061" i="56"/>
  <c r="R2060" i="56"/>
  <c r="R2059" i="56"/>
  <c r="R2058" i="56"/>
  <c r="R2057" i="56"/>
  <c r="R2056" i="56"/>
  <c r="R2055" i="56"/>
  <c r="R2054" i="56"/>
  <c r="R2053" i="56"/>
  <c r="R2052" i="56"/>
  <c r="R2051" i="56"/>
  <c r="R2039" i="56"/>
  <c r="R2038" i="56"/>
  <c r="R2036" i="56"/>
  <c r="R2035" i="56"/>
  <c r="R2034" i="56"/>
  <c r="R2033" i="56"/>
  <c r="R2032" i="56"/>
  <c r="R2031" i="56"/>
  <c r="R2027" i="56"/>
  <c r="R2022" i="56"/>
  <c r="M46" i="20"/>
  <c r="M47" i="20"/>
  <c r="R1991" i="56"/>
  <c r="R1988" i="56"/>
  <c r="R1985" i="56"/>
  <c r="R1990" i="56"/>
  <c r="R1989" i="56"/>
  <c r="R1983" i="56" l="1"/>
  <c r="R1984" i="56"/>
  <c r="E75" i="44"/>
  <c r="C17" i="20" s="1"/>
  <c r="R1973" i="56"/>
  <c r="R1936" i="56"/>
  <c r="R1935" i="56"/>
  <c r="R1934" i="56"/>
  <c r="R1933" i="56"/>
  <c r="R1932" i="56"/>
  <c r="R1931" i="56"/>
  <c r="R1930" i="56"/>
  <c r="R1929" i="56"/>
  <c r="R1927" i="56"/>
  <c r="R1926" i="56"/>
  <c r="R1925" i="56"/>
  <c r="R1924" i="56"/>
  <c r="R1962" i="56"/>
  <c r="R1955" i="56"/>
  <c r="R1952" i="56"/>
  <c r="R1954" i="56"/>
  <c r="R1953" i="56"/>
  <c r="R1950" i="56"/>
  <c r="R1951" i="56"/>
  <c r="R1919" i="56"/>
  <c r="R1918" i="56"/>
  <c r="R1917" i="56"/>
  <c r="R1916" i="56"/>
  <c r="R1915" i="56"/>
  <c r="R1914" i="56"/>
  <c r="R1913" i="56"/>
  <c r="R1912" i="56"/>
  <c r="R1911" i="56"/>
  <c r="R1910" i="56"/>
  <c r="R1908" i="56"/>
  <c r="R1907" i="56"/>
  <c r="R1906" i="56"/>
  <c r="R1905" i="56"/>
  <c r="R1904" i="56"/>
  <c r="R1903" i="56"/>
  <c r="R1902" i="56"/>
  <c r="R1928" i="56" l="1"/>
  <c r="R1923" i="56"/>
  <c r="R1922" i="56"/>
  <c r="R1921" i="56"/>
  <c r="R1920" i="56"/>
  <c r="R1909" i="56"/>
  <c r="R1901" i="56"/>
  <c r="R1900" i="56"/>
  <c r="R1899" i="56"/>
  <c r="R1898" i="56"/>
  <c r="R1897" i="56"/>
  <c r="R1896" i="56"/>
  <c r="R1895" i="56"/>
  <c r="R1944" i="56"/>
  <c r="R1943" i="56"/>
  <c r="R1942" i="56"/>
  <c r="R1826" i="56" l="1"/>
  <c r="R1825" i="56"/>
  <c r="R1824" i="56"/>
  <c r="R1823" i="56"/>
  <c r="R1822" i="56"/>
  <c r="R1821" i="56"/>
  <c r="R1820" i="56"/>
  <c r="R1819" i="56"/>
  <c r="R1818" i="56"/>
  <c r="R1726" i="56"/>
  <c r="R1725" i="56"/>
  <c r="R1740" i="56"/>
  <c r="R1739" i="56"/>
  <c r="R1738" i="56"/>
  <c r="R1737" i="56"/>
  <c r="R1736" i="56"/>
  <c r="R1735" i="56"/>
  <c r="R1734" i="56"/>
  <c r="R1733" i="56"/>
  <c r="R1732" i="56"/>
  <c r="R1731" i="56"/>
  <c r="R1730" i="56"/>
  <c r="R1729" i="56"/>
  <c r="R1728" i="56"/>
  <c r="R1727" i="56"/>
  <c r="R1723" i="56"/>
  <c r="R1722" i="56"/>
  <c r="R1894" i="56"/>
  <c r="R1893" i="56"/>
  <c r="R1892" i="56"/>
  <c r="R1891" i="56"/>
  <c r="R1890" i="56"/>
  <c r="R1889" i="56"/>
  <c r="R1888" i="56"/>
  <c r="R1887" i="56"/>
  <c r="R1886" i="56"/>
  <c r="R1885" i="56"/>
  <c r="R1884" i="56"/>
  <c r="R1883" i="56"/>
  <c r="R1882" i="56"/>
  <c r="R1881" i="56"/>
  <c r="R1880" i="56"/>
  <c r="R1879" i="56"/>
  <c r="R1878" i="56"/>
  <c r="R1877" i="56"/>
  <c r="R1876" i="56"/>
  <c r="R1875" i="56"/>
  <c r="R1874" i="56"/>
  <c r="R1873" i="56"/>
  <c r="R1872" i="56"/>
  <c r="R1871" i="56"/>
  <c r="R1870" i="56"/>
  <c r="R1869" i="56"/>
  <c r="R1868" i="56"/>
  <c r="R1867" i="56"/>
  <c r="R1866" i="56"/>
  <c r="R1865" i="56"/>
  <c r="R1864" i="56"/>
  <c r="R1863" i="56"/>
  <c r="R1862" i="56"/>
  <c r="R1861" i="56"/>
  <c r="R1860" i="56"/>
  <c r="R1859" i="56"/>
  <c r="R1858" i="56"/>
  <c r="R1857" i="56"/>
  <c r="R1856" i="56"/>
  <c r="R1855" i="56"/>
  <c r="R1854" i="56"/>
  <c r="R1853" i="56"/>
  <c r="R1852" i="56"/>
  <c r="R1851" i="56"/>
  <c r="R1850" i="56"/>
  <c r="R1849" i="56"/>
  <c r="R1848" i="56"/>
  <c r="R1847" i="56"/>
  <c r="R1846" i="56"/>
  <c r="R1845" i="56"/>
  <c r="R1844" i="56"/>
  <c r="R1843" i="56"/>
  <c r="R1842" i="56"/>
  <c r="R1841" i="56"/>
  <c r="R1840" i="56"/>
  <c r="R1839" i="56"/>
  <c r="R1838" i="56"/>
  <c r="R1837" i="56"/>
  <c r="R1836" i="56"/>
  <c r="R1835" i="56"/>
  <c r="R1834" i="56"/>
  <c r="R1833" i="56"/>
  <c r="R1832" i="56"/>
  <c r="R1831" i="56"/>
  <c r="R1830" i="56"/>
  <c r="R1829" i="56"/>
  <c r="R1828" i="56"/>
  <c r="R1817" i="56" l="1"/>
  <c r="R1816" i="56"/>
  <c r="R1815" i="56"/>
  <c r="R1814" i="56"/>
  <c r="R1813" i="56"/>
  <c r="R1812" i="56"/>
  <c r="R1811" i="56"/>
  <c r="R1809" i="56"/>
  <c r="R1808" i="56"/>
  <c r="R1806" i="56"/>
  <c r="R1805" i="56"/>
  <c r="R1804" i="56"/>
  <c r="R1803" i="56"/>
  <c r="R1802" i="56"/>
  <c r="R1801" i="56"/>
  <c r="R1800" i="56"/>
  <c r="R1799" i="56"/>
  <c r="R1798" i="56"/>
  <c r="R1797" i="56"/>
  <c r="R1796" i="56"/>
  <c r="R1795" i="56"/>
  <c r="R1794" i="56"/>
  <c r="R1793" i="56"/>
  <c r="R1792" i="56"/>
  <c r="R1791" i="56"/>
  <c r="R1790" i="56"/>
  <c r="R1789" i="56"/>
  <c r="R1788" i="56"/>
  <c r="R1787" i="56"/>
  <c r="R1786" i="56"/>
  <c r="R1785" i="56"/>
  <c r="R1784" i="56"/>
  <c r="R1783" i="56"/>
  <c r="R1782" i="56"/>
  <c r="R1781" i="56"/>
  <c r="R1779" i="56"/>
  <c r="R1778" i="56"/>
  <c r="R1777" i="56"/>
  <c r="R1776" i="56"/>
  <c r="R1775" i="56"/>
  <c r="R1773" i="56"/>
  <c r="R1772" i="56"/>
  <c r="R1771" i="56"/>
  <c r="R1770" i="56"/>
  <c r="R1769" i="56"/>
  <c r="R1768" i="56"/>
  <c r="R1767" i="56"/>
  <c r="R1766" i="56"/>
  <c r="R1763" i="56"/>
  <c r="R1762" i="56"/>
  <c r="R1761" i="56"/>
  <c r="R1760" i="56"/>
  <c r="R1758" i="56"/>
  <c r="R1757" i="56"/>
  <c r="R1756" i="56"/>
  <c r="R1755" i="56"/>
  <c r="R1754" i="56"/>
  <c r="R1753" i="56"/>
  <c r="R1752" i="56"/>
  <c r="R1751" i="56"/>
  <c r="R1750" i="56"/>
  <c r="R1749" i="56"/>
  <c r="R1747" i="56"/>
  <c r="R1746" i="56"/>
  <c r="R1745" i="56"/>
  <c r="R1744" i="56"/>
  <c r="R1743" i="56"/>
  <c r="R1742" i="56"/>
  <c r="R1741" i="56"/>
  <c r="R1708" i="56"/>
  <c r="R1706" i="56"/>
  <c r="R1713" i="56" l="1"/>
  <c r="R1696" i="56" l="1"/>
  <c r="R1695" i="56"/>
  <c r="R1694" i="56"/>
  <c r="R1693" i="56"/>
  <c r="R1692" i="56"/>
  <c r="R1691" i="56"/>
  <c r="R1690" i="56"/>
  <c r="R1689" i="56"/>
  <c r="R1661" i="56"/>
  <c r="R1660" i="56"/>
  <c r="R1688" i="56"/>
  <c r="R1687" i="56"/>
  <c r="R1686" i="56"/>
  <c r="R363" i="56"/>
  <c r="R1669" i="56"/>
  <c r="R1668" i="56"/>
  <c r="R1665" i="56"/>
  <c r="R1198" i="56"/>
  <c r="R1197" i="56"/>
  <c r="R1601" i="56"/>
  <c r="R1652" i="56" l="1"/>
  <c r="R1653" i="56"/>
  <c r="R1654" i="56"/>
  <c r="R1655" i="56"/>
  <c r="R1656" i="56"/>
  <c r="R1657" i="56"/>
  <c r="R1658" i="56"/>
  <c r="R1659" i="56"/>
  <c r="R1651" i="56" l="1"/>
  <c r="R1649" i="56"/>
  <c r="R1648" i="56"/>
  <c r="R1647" i="56"/>
  <c r="R1642" i="56"/>
  <c r="R1625" i="56"/>
  <c r="R1624" i="56"/>
  <c r="R1623" i="56"/>
  <c r="R1622" i="56"/>
  <c r="R1621" i="56"/>
  <c r="R1620" i="56"/>
  <c r="R1619" i="56"/>
  <c r="R1618" i="56"/>
  <c r="R1617" i="56"/>
  <c r="R1616" i="56"/>
  <c r="R1540" i="56"/>
  <c r="R1539" i="56"/>
  <c r="R1538" i="56"/>
  <c r="R1537" i="56"/>
  <c r="R1536" i="56"/>
  <c r="R1535" i="56"/>
  <c r="R1534" i="56"/>
  <c r="R1533" i="56"/>
  <c r="R1532" i="56"/>
  <c r="R1531" i="56"/>
  <c r="R1615" i="56"/>
  <c r="R1614" i="56"/>
  <c r="R1613" i="56"/>
  <c r="R1612" i="56"/>
  <c r="R1611" i="56"/>
  <c r="R1610" i="56"/>
  <c r="R1609" i="56"/>
  <c r="R1530" i="56"/>
  <c r="R1529" i="56"/>
  <c r="R1608" i="56"/>
  <c r="R1607" i="56"/>
  <c r="R1606" i="56"/>
  <c r="R1605" i="56"/>
  <c r="R1604" i="56"/>
  <c r="R1603" i="56"/>
  <c r="R1602" i="56"/>
  <c r="R1600" i="56"/>
  <c r="R1599" i="56"/>
  <c r="R1598" i="56"/>
  <c r="R1597" i="56"/>
  <c r="R1596" i="56"/>
  <c r="R1595" i="56"/>
  <c r="R1528" i="56"/>
  <c r="R1527" i="56"/>
  <c r="R1526" i="56"/>
  <c r="R1525" i="56"/>
  <c r="R1524" i="56"/>
  <c r="R1523" i="56"/>
  <c r="R1522" i="56"/>
  <c r="R1521" i="56"/>
  <c r="R1520" i="56"/>
  <c r="R1519" i="56"/>
  <c r="R1518" i="56"/>
  <c r="R1594" i="56"/>
  <c r="R1593" i="56"/>
  <c r="R1592" i="56"/>
  <c r="R1591" i="56"/>
  <c r="R1590" i="56"/>
  <c r="R1589" i="56"/>
  <c r="R1588" i="56"/>
  <c r="R1587" i="56"/>
  <c r="R1586" i="56"/>
  <c r="R1585" i="56"/>
  <c r="R1584" i="56"/>
  <c r="R1583" i="56"/>
  <c r="R1582" i="56"/>
  <c r="R1581" i="56"/>
  <c r="R1580" i="56"/>
  <c r="R1579" i="56"/>
  <c r="R1578" i="56"/>
  <c r="R1577" i="56"/>
  <c r="R1576" i="56"/>
  <c r="R1575" i="56"/>
  <c r="R1517" i="56"/>
  <c r="R1516" i="56"/>
  <c r="J6" i="44"/>
  <c r="R1639" i="56"/>
  <c r="R1635" i="56"/>
  <c r="R1634" i="56"/>
  <c r="R1439" i="56"/>
  <c r="R1544" i="56" l="1"/>
  <c r="R1542" i="56"/>
  <c r="R1541" i="56"/>
  <c r="R1515" i="56" l="1"/>
  <c r="R1514" i="56"/>
  <c r="R1513" i="56"/>
  <c r="R1512" i="56"/>
  <c r="R1511" i="56"/>
  <c r="R1509" i="56"/>
  <c r="R1508" i="56" l="1"/>
  <c r="R1507" i="56"/>
  <c r="R1501" i="56"/>
  <c r="R1500" i="56"/>
  <c r="R1499" i="56"/>
  <c r="R1498" i="56" l="1"/>
  <c r="R1497" i="56"/>
  <c r="R1496" i="56"/>
  <c r="R1371" i="56"/>
  <c r="R1372" i="56"/>
  <c r="R1373" i="56"/>
  <c r="R1374" i="56"/>
  <c r="R1375" i="56"/>
  <c r="R1376" i="56"/>
  <c r="R1377" i="56"/>
  <c r="R1378" i="56"/>
  <c r="R1379" i="56"/>
  <c r="R1380" i="56"/>
  <c r="R1381" i="56"/>
  <c r="R1382" i="56"/>
  <c r="R1383" i="56"/>
  <c r="R1384" i="56"/>
  <c r="R1385" i="56"/>
  <c r="R1386" i="56"/>
  <c r="R1387" i="56"/>
  <c r="R1388" i="56"/>
  <c r="R1389" i="56"/>
  <c r="R1390" i="56"/>
  <c r="R1391" i="56"/>
  <c r="R1392" i="56"/>
  <c r="R1393" i="56"/>
  <c r="R1394" i="56"/>
  <c r="R1395" i="56"/>
  <c r="R1396" i="56"/>
  <c r="R1397" i="56"/>
  <c r="R1398" i="56"/>
  <c r="R1399" i="56"/>
  <c r="R1400" i="56"/>
  <c r="R1401" i="56"/>
  <c r="R1402" i="56"/>
  <c r="R1403" i="56"/>
  <c r="R1404" i="56"/>
  <c r="R1405" i="56"/>
  <c r="R1406" i="56"/>
  <c r="R1407" i="56"/>
  <c r="R1408" i="56"/>
  <c r="R1409" i="56"/>
  <c r="R1410" i="56"/>
  <c r="R1411" i="56"/>
  <c r="R1412" i="56"/>
  <c r="R1413" i="56"/>
  <c r="R1414" i="56"/>
  <c r="R1415" i="56"/>
  <c r="R1416" i="56"/>
  <c r="R1417" i="56"/>
  <c r="R1418" i="56"/>
  <c r="R1419" i="56"/>
  <c r="R1420" i="56"/>
  <c r="R1421" i="56"/>
  <c r="R1422" i="56"/>
  <c r="R1423" i="56"/>
  <c r="R1424" i="56"/>
  <c r="R1425" i="56"/>
  <c r="R1426" i="56"/>
  <c r="R1427" i="56"/>
  <c r="R1428" i="56"/>
  <c r="R1429" i="56"/>
  <c r="R1430" i="56"/>
  <c r="R1431" i="56"/>
  <c r="R1432" i="56"/>
  <c r="R1433" i="56"/>
  <c r="R1434" i="56"/>
  <c r="R1435" i="56"/>
  <c r="R1436" i="56"/>
  <c r="R1437" i="56"/>
  <c r="R1438" i="56"/>
  <c r="R1440" i="56"/>
  <c r="R1441" i="56"/>
  <c r="R1442" i="56"/>
  <c r="R1443" i="56"/>
  <c r="R1444" i="56"/>
  <c r="R1445" i="56"/>
  <c r="R1446" i="56"/>
  <c r="R1447" i="56"/>
  <c r="R1448" i="56"/>
  <c r="R1449" i="56"/>
  <c r="R1450" i="56"/>
  <c r="R1451" i="56"/>
  <c r="R1452" i="56"/>
  <c r="R1453" i="56"/>
  <c r="R1454" i="56"/>
  <c r="R1455" i="56"/>
  <c r="R1456" i="56"/>
  <c r="R1457" i="56"/>
  <c r="R1458" i="56"/>
  <c r="R1459" i="56"/>
  <c r="R1460" i="56"/>
  <c r="R1461" i="56"/>
  <c r="R1462" i="56"/>
  <c r="R1463" i="56"/>
  <c r="R1464" i="56"/>
  <c r="R1465" i="56"/>
  <c r="R1466" i="56"/>
  <c r="R1467" i="56"/>
  <c r="R1468" i="56"/>
  <c r="R1469" i="56"/>
  <c r="R1470" i="56"/>
  <c r="R1471" i="56"/>
  <c r="R1472" i="56"/>
  <c r="R1473" i="56"/>
  <c r="R1474" i="56"/>
  <c r="R1475" i="56"/>
  <c r="R1476" i="56"/>
  <c r="R1477" i="56"/>
  <c r="R1478" i="56"/>
  <c r="R1479" i="56"/>
  <c r="R1480" i="56"/>
  <c r="R1481" i="56"/>
  <c r="R1482" i="56"/>
  <c r="R1483" i="56"/>
  <c r="R1484" i="56"/>
  <c r="R1485" i="56"/>
  <c r="R1486" i="56"/>
  <c r="R1487" i="56"/>
  <c r="R1488" i="56"/>
  <c r="R1489" i="56"/>
  <c r="R1490" i="56"/>
  <c r="R1491" i="56"/>
  <c r="R1492" i="56"/>
  <c r="R1493" i="56"/>
  <c r="R1494" i="56"/>
  <c r="R1495" i="56"/>
  <c r="R1502" i="56"/>
  <c r="R1503" i="56"/>
  <c r="R1504" i="56"/>
  <c r="R1505" i="56"/>
  <c r="R1506" i="56"/>
  <c r="R1510" i="56"/>
  <c r="R1545" i="56"/>
  <c r="R1546" i="56"/>
  <c r="R1547" i="56"/>
  <c r="R1548" i="56"/>
  <c r="R1549" i="56"/>
  <c r="R1550" i="56"/>
  <c r="R1551" i="56"/>
  <c r="R1552" i="56"/>
  <c r="R1553" i="56"/>
  <c r="R1554" i="56"/>
  <c r="R1555" i="56"/>
  <c r="R1556" i="56"/>
  <c r="R1557" i="56"/>
  <c r="R1558" i="56"/>
  <c r="R1559" i="56"/>
  <c r="R1560" i="56"/>
  <c r="R1561" i="56"/>
  <c r="R1562" i="56"/>
  <c r="R1563" i="56"/>
  <c r="R1564" i="56"/>
  <c r="R1565" i="56"/>
  <c r="R1566" i="56"/>
  <c r="R1567" i="56"/>
  <c r="R1568" i="56"/>
  <c r="R1569" i="56"/>
  <c r="R1570" i="56"/>
  <c r="R1571" i="56"/>
  <c r="R1572" i="56"/>
  <c r="R1573" i="56"/>
  <c r="R1574" i="56"/>
  <c r="R1626" i="56"/>
  <c r="R1627" i="56"/>
  <c r="R1628" i="56"/>
  <c r="R1629" i="56"/>
  <c r="R1630" i="56"/>
  <c r="R1631" i="56"/>
  <c r="R1632" i="56"/>
  <c r="R1633" i="56"/>
  <c r="R1357" i="56"/>
  <c r="R1356" i="56"/>
  <c r="R1355" i="56"/>
  <c r="R1349" i="56"/>
  <c r="R1348" i="56"/>
  <c r="R1347" i="56"/>
  <c r="R1346" i="56"/>
  <c r="R1370" i="56"/>
  <c r="R1345" i="56"/>
  <c r="R1367" i="56" l="1"/>
  <c r="R1366" i="56"/>
  <c r="R1365" i="56"/>
  <c r="R1364" i="56"/>
  <c r="R1363" i="56"/>
  <c r="R1362" i="56"/>
  <c r="R1361" i="56"/>
  <c r="R1359" i="56"/>
  <c r="R1358" i="56"/>
  <c r="R1353" i="56"/>
  <c r="R1352" i="56"/>
  <c r="R1344" i="56"/>
  <c r="R1343" i="56"/>
  <c r="R1196" i="56"/>
  <c r="R1195" i="56"/>
  <c r="M49" i="20"/>
  <c r="R1337" i="56"/>
  <c r="R1332" i="56"/>
  <c r="R1317" i="56"/>
  <c r="R1318" i="56"/>
  <c r="R1316" i="56"/>
  <c r="R1315" i="56"/>
  <c r="R1194" i="56"/>
  <c r="R1192" i="56"/>
  <c r="R1191" i="56"/>
  <c r="R1183" i="56"/>
  <c r="R1182" i="56"/>
  <c r="R1181" i="56"/>
  <c r="R1180" i="56"/>
  <c r="R1190" i="56"/>
  <c r="R1189" i="56"/>
  <c r="R1188" i="56"/>
  <c r="R1186" i="56"/>
  <c r="R1185" i="56"/>
  <c r="R1179" i="56"/>
  <c r="R1178" i="56"/>
  <c r="R1175" i="56"/>
  <c r="R1173" i="56"/>
  <c r="R1172" i="56"/>
  <c r="R1171" i="56"/>
  <c r="R1170" i="56"/>
  <c r="R1169" i="56"/>
  <c r="R1168" i="56"/>
  <c r="R1159" i="56"/>
  <c r="R1158" i="56"/>
  <c r="R1157" i="56"/>
  <c r="R1156" i="56"/>
  <c r="R1164" i="56"/>
  <c r="R1163" i="56"/>
  <c r="R1161" i="56"/>
  <c r="R1160" i="56"/>
  <c r="R1155" i="56"/>
  <c r="R1078" i="56"/>
  <c r="R1077" i="56"/>
  <c r="R1076" i="56"/>
  <c r="R1075" i="56"/>
  <c r="R1069" i="56"/>
  <c r="R1068" i="56"/>
  <c r="R1067" i="56"/>
  <c r="R1070" i="56"/>
  <c r="R1073" i="56"/>
  <c r="R1072" i="56"/>
  <c r="R1071" i="56"/>
  <c r="R954" i="56"/>
  <c r="R1150" i="56" l="1"/>
  <c r="R1149" i="56"/>
  <c r="R1147" i="56"/>
  <c r="R1140" i="56"/>
  <c r="R1139" i="56"/>
  <c r="R1138" i="56"/>
  <c r="R1064" i="56"/>
  <c r="R1062" i="56"/>
  <c r="R1059" i="56"/>
  <c r="R1055" i="56"/>
  <c r="R1054" i="56"/>
  <c r="R1053" i="56"/>
  <c r="R1052" i="56"/>
  <c r="R1051" i="56"/>
  <c r="R1050" i="56"/>
  <c r="R1049" i="56"/>
  <c r="R1048" i="56"/>
  <c r="R1047" i="56"/>
  <c r="R1046" i="56"/>
  <c r="R1041" i="56"/>
  <c r="R1040" i="56"/>
  <c r="R1036" i="56"/>
  <c r="R1035" i="56"/>
  <c r="R1034" i="56"/>
  <c r="R1033" i="56"/>
  <c r="R1032" i="56"/>
  <c r="R1031" i="56"/>
  <c r="R1134" i="56" l="1"/>
  <c r="R1135" i="56"/>
  <c r="R1136" i="56"/>
  <c r="R1133" i="56"/>
  <c r="R1132" i="56"/>
  <c r="R421" i="56" l="1"/>
  <c r="R1130" i="56"/>
  <c r="R1126" i="56"/>
  <c r="R1125" i="56"/>
  <c r="R1124" i="56"/>
  <c r="R1123" i="56"/>
  <c r="R1121" i="56"/>
  <c r="R1120" i="56"/>
  <c r="R1119" i="56"/>
  <c r="R1118" i="56"/>
  <c r="R1106" i="56"/>
  <c r="R1103" i="56" l="1"/>
  <c r="R1100" i="56"/>
  <c r="R1088" i="56"/>
  <c r="R1087" i="56"/>
  <c r="R1086" i="56"/>
  <c r="R1029" i="56"/>
  <c r="R1028" i="56"/>
  <c r="R356" i="56"/>
  <c r="R999" i="56" l="1"/>
  <c r="R998" i="56"/>
  <c r="R994" i="56"/>
  <c r="R993" i="56"/>
  <c r="R992" i="56"/>
  <c r="R991" i="56"/>
  <c r="R990" i="56"/>
  <c r="R989" i="56"/>
  <c r="R988" i="56"/>
  <c r="R987" i="56"/>
  <c r="R986" i="56"/>
  <c r="R1003" i="56" l="1"/>
  <c r="R985" i="56"/>
  <c r="R984" i="56"/>
  <c r="R983" i="56"/>
  <c r="R982" i="56"/>
  <c r="R981" i="56"/>
  <c r="R953" i="56"/>
  <c r="R952" i="56"/>
  <c r="R932" i="56"/>
  <c r="R931" i="56"/>
  <c r="R930" i="56"/>
  <c r="R929" i="56"/>
  <c r="R928" i="56"/>
  <c r="R927" i="56"/>
  <c r="R926" i="56"/>
  <c r="R925" i="56"/>
  <c r="R924" i="56"/>
  <c r="R923" i="56"/>
  <c r="R922" i="56"/>
  <c r="R921" i="56"/>
  <c r="R920" i="56"/>
  <c r="R919" i="56"/>
  <c r="R918" i="56"/>
  <c r="R917" i="56"/>
  <c r="R916" i="56"/>
  <c r="R915" i="56"/>
  <c r="R914" i="56"/>
  <c r="R913" i="56"/>
  <c r="R912" i="56"/>
  <c r="R911" i="56"/>
  <c r="R951" i="56" l="1"/>
  <c r="R950" i="56"/>
  <c r="R910" i="56"/>
  <c r="R909" i="56"/>
  <c r="R908" i="56"/>
  <c r="R907" i="56"/>
  <c r="R906" i="56"/>
  <c r="R905" i="56"/>
  <c r="R904" i="56"/>
  <c r="R903" i="56"/>
  <c r="R902" i="56"/>
  <c r="R949" i="56"/>
  <c r="R901" i="56"/>
  <c r="R900" i="56"/>
  <c r="R899" i="56"/>
  <c r="R933" i="56" l="1"/>
  <c r="R898" i="56"/>
  <c r="R897" i="56"/>
  <c r="R896" i="56"/>
  <c r="R895" i="56"/>
  <c r="R894" i="56"/>
  <c r="R893" i="56"/>
  <c r="R892" i="56"/>
  <c r="R891" i="56"/>
  <c r="R890" i="56"/>
  <c r="R889" i="56"/>
  <c r="R888" i="56"/>
  <c r="R887" i="56"/>
  <c r="R948" i="56"/>
  <c r="R947" i="56"/>
  <c r="R946" i="56"/>
  <c r="R886" i="56"/>
  <c r="R885" i="56"/>
  <c r="R884" i="56"/>
  <c r="R883" i="56"/>
  <c r="R882" i="56"/>
  <c r="R881" i="56"/>
  <c r="R880" i="56"/>
  <c r="R879" i="56"/>
  <c r="R878" i="56"/>
  <c r="R877" i="56"/>
  <c r="R876" i="56"/>
  <c r="R875" i="56"/>
  <c r="R874" i="56"/>
  <c r="R873" i="56"/>
  <c r="R872" i="56"/>
  <c r="R871" i="56"/>
  <c r="R870" i="56"/>
  <c r="R869" i="56"/>
  <c r="R868" i="56"/>
  <c r="R867" i="56"/>
  <c r="R866" i="56"/>
  <c r="R865" i="56"/>
  <c r="R864" i="56"/>
  <c r="R863" i="56"/>
  <c r="R862" i="56"/>
  <c r="R861" i="56"/>
  <c r="R860" i="56"/>
  <c r="R859" i="56"/>
  <c r="R858" i="56"/>
  <c r="R857" i="56"/>
  <c r="R856" i="56"/>
  <c r="R855" i="56"/>
  <c r="R854" i="56"/>
  <c r="R853" i="56"/>
  <c r="R852" i="56"/>
  <c r="R966" i="56"/>
  <c r="R965" i="56"/>
  <c r="R964" i="56"/>
  <c r="R963" i="56"/>
  <c r="R962" i="56"/>
  <c r="R961" i="56"/>
  <c r="R960" i="56"/>
  <c r="R959" i="56"/>
  <c r="R958" i="56"/>
  <c r="R957" i="56"/>
  <c r="R956" i="56"/>
  <c r="R955" i="56"/>
  <c r="L20" i="36" l="1"/>
  <c r="N21" i="36"/>
  <c r="N20" i="36"/>
  <c r="N18" i="36"/>
  <c r="M21" i="36"/>
  <c r="M20" i="36"/>
  <c r="M18" i="36"/>
  <c r="L21" i="36"/>
  <c r="L18" i="36"/>
  <c r="K21" i="36"/>
  <c r="K20" i="36"/>
  <c r="K18" i="36"/>
  <c r="J21" i="36"/>
  <c r="J20" i="36"/>
  <c r="J18" i="36"/>
  <c r="I21" i="36"/>
  <c r="I20" i="36"/>
  <c r="I18" i="36"/>
  <c r="H21" i="36"/>
  <c r="H20" i="36"/>
  <c r="H18" i="36"/>
  <c r="G21" i="36"/>
  <c r="G20" i="36"/>
  <c r="G18" i="36"/>
  <c r="F21" i="36"/>
  <c r="F20" i="36"/>
  <c r="F18" i="36"/>
  <c r="E21" i="36"/>
  <c r="E20" i="36"/>
  <c r="E18" i="36"/>
  <c r="D21" i="36"/>
  <c r="D20" i="36"/>
  <c r="D18" i="36"/>
  <c r="C21" i="36"/>
  <c r="C20" i="36"/>
  <c r="C18" i="36"/>
  <c r="R945" i="56" l="1"/>
  <c r="R944" i="56"/>
  <c r="R943" i="56"/>
  <c r="R942" i="56"/>
  <c r="R941" i="56"/>
  <c r="R940" i="56"/>
  <c r="R335" i="56"/>
  <c r="R851" i="56" l="1"/>
  <c r="R849" i="56"/>
  <c r="R848" i="56"/>
  <c r="R847" i="56"/>
  <c r="R846" i="56"/>
  <c r="R845" i="56"/>
  <c r="R820" i="56"/>
  <c r="R819" i="56"/>
  <c r="R813" i="56"/>
  <c r="R812" i="56"/>
  <c r="R811" i="56"/>
  <c r="R810" i="56"/>
  <c r="R809" i="56"/>
  <c r="R808" i="56"/>
  <c r="R807" i="56"/>
  <c r="R806" i="56"/>
  <c r="R805" i="56"/>
  <c r="R804" i="56"/>
  <c r="R803" i="56"/>
  <c r="R802" i="56"/>
  <c r="R801" i="56"/>
  <c r="R800" i="56"/>
  <c r="R799" i="56"/>
  <c r="R798" i="56"/>
  <c r="R797" i="56"/>
  <c r="R796" i="56"/>
  <c r="R795" i="56"/>
  <c r="R794" i="56"/>
  <c r="R793" i="56"/>
  <c r="R792" i="56"/>
  <c r="R791" i="56"/>
  <c r="R790" i="56"/>
  <c r="R789" i="56"/>
  <c r="R788" i="56"/>
  <c r="R787" i="56"/>
  <c r="R786" i="56"/>
  <c r="R785" i="56"/>
  <c r="R784" i="56"/>
  <c r="R783" i="56"/>
  <c r="R782" i="56"/>
  <c r="R781" i="56"/>
  <c r="R780" i="56"/>
  <c r="R779" i="56"/>
  <c r="R778" i="56"/>
  <c r="R777" i="56"/>
  <c r="R776" i="56"/>
  <c r="R775" i="56"/>
  <c r="R774" i="56"/>
  <c r="R773" i="56"/>
  <c r="R772" i="56"/>
  <c r="R771" i="56"/>
  <c r="R770" i="56"/>
  <c r="R769" i="56"/>
  <c r="R768" i="56"/>
  <c r="R767" i="56"/>
  <c r="R766" i="56"/>
  <c r="R765" i="56"/>
  <c r="R764" i="56"/>
  <c r="R763" i="56"/>
  <c r="R762" i="56"/>
  <c r="R761" i="56"/>
  <c r="R760" i="56"/>
  <c r="R758" i="56"/>
  <c r="R756" i="56"/>
  <c r="R755" i="56"/>
  <c r="R754" i="56"/>
  <c r="R753" i="56"/>
  <c r="R752" i="56"/>
  <c r="R751" i="56"/>
  <c r="R750" i="56"/>
  <c r="R749" i="56"/>
  <c r="R748" i="56"/>
  <c r="R747" i="56"/>
  <c r="R746" i="56"/>
  <c r="R745" i="56"/>
  <c r="R744" i="56"/>
  <c r="R743" i="56"/>
  <c r="R742" i="56"/>
  <c r="R741" i="56"/>
  <c r="R740" i="56"/>
  <c r="R739" i="56"/>
  <c r="R738" i="56"/>
  <c r="R737" i="56"/>
  <c r="R736" i="56"/>
  <c r="R735" i="56"/>
  <c r="R734" i="56"/>
  <c r="R733" i="56"/>
  <c r="R732" i="56"/>
  <c r="R731" i="56"/>
  <c r="R730" i="56"/>
  <c r="R729" i="56"/>
  <c r="R728" i="56"/>
  <c r="R727" i="56"/>
  <c r="R726" i="56"/>
  <c r="R725" i="56"/>
  <c r="R724" i="56"/>
  <c r="R723" i="56"/>
  <c r="R722" i="56"/>
  <c r="R721" i="56"/>
  <c r="R719" i="56"/>
  <c r="R718" i="56"/>
  <c r="R717" i="56"/>
  <c r="R716" i="56"/>
  <c r="R715" i="56"/>
  <c r="R714" i="56"/>
  <c r="R713" i="56"/>
  <c r="R712" i="56"/>
  <c r="R711" i="56"/>
  <c r="R710" i="56"/>
  <c r="R709" i="56"/>
  <c r="R708" i="56"/>
  <c r="R707" i="56"/>
  <c r="R706" i="56"/>
  <c r="R705" i="56"/>
  <c r="R704" i="56"/>
  <c r="R703" i="56"/>
  <c r="R702" i="56"/>
  <c r="R701" i="56"/>
  <c r="R700" i="56"/>
  <c r="R699" i="56"/>
  <c r="R697" i="56"/>
  <c r="R696" i="56"/>
  <c r="R695" i="56"/>
  <c r="R694" i="56"/>
  <c r="R693" i="56"/>
  <c r="R692" i="56"/>
  <c r="R637" i="56"/>
  <c r="R636" i="56"/>
  <c r="R635" i="56"/>
  <c r="R634" i="56"/>
  <c r="R633" i="56"/>
  <c r="R632" i="56"/>
  <c r="R631" i="56"/>
  <c r="R630" i="56"/>
  <c r="R629" i="56"/>
  <c r="R628" i="56"/>
  <c r="R682" i="56"/>
  <c r="R681" i="56"/>
  <c r="R680" i="56"/>
  <c r="R679" i="56"/>
  <c r="R662" i="56"/>
  <c r="R678" i="56"/>
  <c r="R661" i="56"/>
  <c r="R660" i="56"/>
  <c r="R659" i="56"/>
  <c r="R627" i="56"/>
  <c r="R626" i="56"/>
  <c r="R625" i="56"/>
  <c r="R624" i="56"/>
  <c r="R658" i="56"/>
  <c r="R657" i="56"/>
  <c r="R623" i="56"/>
  <c r="R669" i="56" l="1"/>
  <c r="R668" i="56"/>
  <c r="R663" i="56"/>
  <c r="R656" i="56"/>
  <c r="R655" i="56"/>
  <c r="R654" i="56"/>
  <c r="R653" i="56"/>
  <c r="R652" i="56"/>
  <c r="R651" i="56"/>
  <c r="R650" i="56"/>
  <c r="R649" i="56"/>
  <c r="R648" i="56"/>
  <c r="R641" i="56"/>
  <c r="R639" i="56" l="1"/>
  <c r="R622" i="56"/>
  <c r="R619" i="56"/>
  <c r="R201" i="56"/>
  <c r="R596" i="56"/>
  <c r="R594" i="56"/>
  <c r="R593" i="56"/>
  <c r="R592" i="56"/>
  <c r="R595" i="56"/>
  <c r="R591" i="56"/>
  <c r="R590" i="56"/>
  <c r="R589" i="56"/>
  <c r="R588" i="56"/>
  <c r="R587" i="56"/>
  <c r="R586" i="56"/>
  <c r="R585" i="56"/>
  <c r="R584" i="56"/>
  <c r="R583" i="56"/>
  <c r="R582" i="56"/>
  <c r="R581" i="56"/>
  <c r="R580" i="56"/>
  <c r="R579" i="56"/>
  <c r="R573" i="56"/>
  <c r="R571" i="56"/>
  <c r="R570" i="56"/>
  <c r="R569" i="56"/>
  <c r="R578" i="56"/>
  <c r="R575" i="56"/>
  <c r="R568" i="56"/>
  <c r="R567" i="56"/>
  <c r="R566" i="56"/>
  <c r="R565" i="56"/>
  <c r="R560" i="56"/>
  <c r="R559" i="56"/>
  <c r="R558" i="56"/>
  <c r="R557" i="56"/>
  <c r="R556" i="56"/>
  <c r="R555" i="56"/>
  <c r="R554" i="56"/>
  <c r="R553" i="56"/>
  <c r="R562" i="56"/>
  <c r="R552" i="56"/>
  <c r="R550" i="56"/>
  <c r="R526" i="56"/>
  <c r="R525" i="56"/>
  <c r="R524" i="56"/>
  <c r="R523" i="56"/>
  <c r="R522" i="56"/>
  <c r="R535" i="56"/>
  <c r="R534" i="56"/>
  <c r="R533" i="56"/>
  <c r="R532" i="56"/>
  <c r="R531" i="56"/>
  <c r="R521" i="56"/>
  <c r="R520" i="56"/>
  <c r="R519" i="56"/>
  <c r="R507" i="56"/>
  <c r="R482" i="56"/>
  <c r="R481" i="56"/>
  <c r="R480" i="56"/>
  <c r="R479" i="56"/>
  <c r="R478" i="56"/>
  <c r="R477" i="56"/>
  <c r="R476" i="56"/>
  <c r="R475" i="56"/>
  <c r="R474" i="56"/>
  <c r="R473" i="56"/>
  <c r="R472" i="56"/>
  <c r="R468" i="56"/>
  <c r="R467" i="56"/>
  <c r="R466" i="56"/>
  <c r="R465" i="56"/>
  <c r="R464" i="56"/>
  <c r="R463" i="56"/>
  <c r="R462" i="56"/>
  <c r="R461" i="56"/>
  <c r="R460" i="56"/>
  <c r="R459" i="56"/>
  <c r="R458" i="56"/>
  <c r="R469" i="56"/>
  <c r="R530" i="56"/>
  <c r="R529" i="56"/>
  <c r="R488" i="56"/>
  <c r="R486" i="56"/>
  <c r="R485" i="56"/>
  <c r="R450" i="56"/>
  <c r="R452" i="56"/>
  <c r="R451" i="56"/>
  <c r="R518" i="56"/>
  <c r="R517" i="56"/>
  <c r="R516" i="56"/>
  <c r="R511" i="56"/>
  <c r="R508" i="56"/>
  <c r="R506" i="56"/>
  <c r="R505" i="56"/>
  <c r="R504" i="56"/>
  <c r="R503" i="56"/>
  <c r="R489" i="56"/>
  <c r="R487" i="56"/>
  <c r="R484" i="56"/>
  <c r="R483" i="56"/>
  <c r="R471" i="56"/>
  <c r="R470" i="56"/>
  <c r="R457" i="56"/>
  <c r="R498" i="56"/>
  <c r="R497" i="56"/>
  <c r="R456" i="56"/>
  <c r="R455" i="56"/>
  <c r="R454" i="56"/>
  <c r="R453" i="56"/>
  <c r="R495" i="56"/>
  <c r="R494" i="56"/>
  <c r="R490" i="56"/>
  <c r="D57" i="20" l="1"/>
  <c r="R408" i="56"/>
  <c r="R407" i="56"/>
  <c r="R449" i="56" l="1"/>
  <c r="R437" i="56"/>
  <c r="R432" i="56"/>
  <c r="R410" i="56"/>
  <c r="R389" i="56"/>
  <c r="R387" i="56"/>
  <c r="R386" i="56"/>
  <c r="R381" i="56"/>
  <c r="R380" i="56"/>
  <c r="R379" i="56"/>
  <c r="R317" i="56" l="1"/>
  <c r="R350" i="56"/>
  <c r="R349" i="56"/>
  <c r="R329" i="56"/>
  <c r="R312" i="56"/>
  <c r="R311" i="56"/>
  <c r="R310" i="56"/>
  <c r="R309" i="56"/>
  <c r="R308" i="56"/>
  <c r="R307" i="56"/>
  <c r="R306" i="56"/>
  <c r="R305" i="56"/>
  <c r="R304" i="56"/>
  <c r="R303" i="56"/>
  <c r="R302" i="56"/>
  <c r="R301" i="56"/>
  <c r="R300" i="56"/>
  <c r="R299" i="56"/>
  <c r="R298" i="56"/>
  <c r="R297" i="56"/>
  <c r="R296" i="56"/>
  <c r="R295" i="56"/>
  <c r="R220" i="56"/>
  <c r="R219" i="56"/>
  <c r="R218" i="56"/>
  <c r="R217" i="56"/>
  <c r="R216" i="56"/>
  <c r="R215" i="56"/>
  <c r="R214" i="56"/>
  <c r="R213" i="56"/>
  <c r="R185" i="56"/>
  <c r="R184" i="56"/>
  <c r="R63" i="56"/>
  <c r="R62" i="56"/>
  <c r="R61" i="56"/>
  <c r="R36" i="56"/>
  <c r="R35" i="56"/>
  <c r="R34" i="56"/>
  <c r="R33" i="56"/>
  <c r="R348" i="56"/>
  <c r="R328" i="56"/>
  <c r="R327" i="56"/>
  <c r="R326" i="56"/>
  <c r="R325" i="56"/>
  <c r="R294" i="56"/>
  <c r="R293" i="56"/>
  <c r="R292" i="56"/>
  <c r="R291" i="56"/>
  <c r="R290" i="56"/>
  <c r="R289" i="56"/>
  <c r="R288" i="56"/>
  <c r="R287" i="56"/>
  <c r="R286" i="56"/>
  <c r="R285" i="56"/>
  <c r="R284" i="56"/>
  <c r="R212" i="56"/>
  <c r="R211" i="56"/>
  <c r="R210" i="56"/>
  <c r="R209" i="56"/>
  <c r="R208" i="56"/>
  <c r="R207" i="56"/>
  <c r="R183" i="56"/>
  <c r="R182" i="56"/>
  <c r="R181" i="56"/>
  <c r="R180" i="56"/>
  <c r="R60" i="56"/>
  <c r="R59" i="56"/>
  <c r="R58" i="56"/>
  <c r="R32" i="56"/>
  <c r="R19" i="56"/>
  <c r="R347" i="56"/>
  <c r="R346" i="56"/>
  <c r="R345" i="56"/>
  <c r="R344" i="56"/>
  <c r="R343" i="56"/>
  <c r="R342" i="56"/>
  <c r="R324" i="56"/>
  <c r="R323" i="56"/>
  <c r="R316" i="56"/>
  <c r="R315" i="56"/>
  <c r="R283" i="56"/>
  <c r="R282" i="56"/>
  <c r="R281" i="56"/>
  <c r="R280" i="56"/>
  <c r="R279" i="56"/>
  <c r="R278" i="56"/>
  <c r="R277" i="56"/>
  <c r="R276" i="56"/>
  <c r="R275" i="56"/>
  <c r="R274" i="56"/>
  <c r="R273" i="56"/>
  <c r="R272" i="56"/>
  <c r="R206" i="56"/>
  <c r="R179" i="56"/>
  <c r="R57" i="56"/>
  <c r="R56" i="56"/>
  <c r="R31" i="56"/>
  <c r="R366" i="56"/>
  <c r="R361" i="56"/>
  <c r="R360" i="56"/>
  <c r="R359" i="56"/>
  <c r="R358" i="56"/>
  <c r="R357" i="56"/>
  <c r="R355" i="56"/>
  <c r="R354" i="56"/>
  <c r="R352" i="56"/>
  <c r="R351" i="56"/>
  <c r="R371" i="56"/>
  <c r="R370" i="56"/>
  <c r="R369" i="56"/>
  <c r="R368" i="56"/>
  <c r="R367" i="56"/>
  <c r="R365" i="56"/>
  <c r="R364" i="56"/>
  <c r="R362" i="56"/>
  <c r="R341" i="56"/>
  <c r="R340" i="56"/>
  <c r="R339" i="56"/>
  <c r="R322" i="56"/>
  <c r="R271" i="56"/>
  <c r="R270" i="56"/>
  <c r="R269" i="56"/>
  <c r="R268" i="56"/>
  <c r="R267" i="56"/>
  <c r="R205" i="56"/>
  <c r="R204" i="56"/>
  <c r="R55" i="56"/>
  <c r="R54" i="56"/>
  <c r="R53" i="56"/>
  <c r="R52" i="56"/>
  <c r="R30" i="56"/>
  <c r="R29" i="56"/>
  <c r="R28" i="56"/>
  <c r="R27" i="56"/>
  <c r="R26" i="56"/>
  <c r="R25" i="56"/>
  <c r="R24" i="56"/>
  <c r="R18" i="56"/>
  <c r="R17" i="56"/>
  <c r="R16" i="56"/>
  <c r="R15" i="56"/>
  <c r="R14" i="56"/>
  <c r="R13" i="56"/>
  <c r="R12" i="56"/>
  <c r="R338" i="56"/>
  <c r="R337" i="56"/>
  <c r="R333" i="56"/>
  <c r="R332" i="56"/>
  <c r="R321" i="56"/>
  <c r="R318" i="56"/>
  <c r="J5" i="44"/>
  <c r="K5" i="44"/>
  <c r="R314" i="56"/>
  <c r="M44" i="20"/>
  <c r="M43" i="20"/>
  <c r="J47" i="20"/>
  <c r="J46" i="20"/>
  <c r="J48" i="20"/>
  <c r="R15" i="55"/>
  <c r="M53" i="20" l="1"/>
  <c r="R1930" i="55"/>
  <c r="J52" i="20" l="1"/>
  <c r="R1929" i="55"/>
  <c r="J44" i="20"/>
  <c r="J49" i="20"/>
  <c r="J43" i="20"/>
  <c r="R14" i="55"/>
  <c r="R1928" i="55"/>
  <c r="R1927" i="55"/>
  <c r="J45" i="20"/>
  <c r="R666" i="55"/>
  <c r="A1933" i="55"/>
  <c r="A1934" i="55"/>
  <c r="A1935" i="55"/>
  <c r="A1936" i="55"/>
  <c r="A1937" i="55"/>
  <c r="A1938" i="55"/>
  <c r="A1939" i="55"/>
  <c r="A1940" i="55"/>
  <c r="A1941" i="55"/>
  <c r="A1942" i="55"/>
  <c r="A1943" i="55"/>
  <c r="A1944" i="55"/>
  <c r="A1945" i="55"/>
  <c r="A1946" i="55"/>
  <c r="A1947" i="55"/>
  <c r="A1948" i="55"/>
  <c r="A1949" i="55"/>
  <c r="A1950" i="55"/>
  <c r="A1951" i="55"/>
  <c r="A1952" i="55"/>
  <c r="A1953" i="55"/>
  <c r="A1954" i="55"/>
  <c r="A1955" i="55"/>
  <c r="A1956" i="55"/>
  <c r="A1957" i="55"/>
  <c r="A1958" i="55"/>
  <c r="A1959" i="55"/>
  <c r="A1960" i="55"/>
  <c r="A1961" i="55"/>
  <c r="A1962" i="55"/>
  <c r="K42" i="20"/>
  <c r="J42" i="20"/>
  <c r="R1932" i="55"/>
  <c r="R1931" i="55"/>
  <c r="R1926" i="55"/>
  <c r="A1963" i="55"/>
  <c r="A1964" i="55"/>
  <c r="A1965" i="55"/>
  <c r="A1966" i="55"/>
  <c r="A1967" i="55"/>
  <c r="A1968" i="55"/>
  <c r="A1969" i="55"/>
  <c r="A1970" i="55"/>
  <c r="A1971" i="55"/>
  <c r="R1924" i="55"/>
  <c r="R1923" i="55"/>
  <c r="R1922" i="55"/>
  <c r="R1915" i="55"/>
  <c r="R1914" i="55"/>
  <c r="R1913" i="55"/>
  <c r="R1912" i="55"/>
  <c r="R1911" i="55"/>
  <c r="R1910" i="55"/>
  <c r="R1909" i="55"/>
  <c r="R1908" i="55"/>
  <c r="R1907" i="55"/>
  <c r="R1903" i="55"/>
  <c r="R1898" i="55"/>
  <c r="R1899" i="55"/>
  <c r="R1893" i="55"/>
  <c r="R1892" i="55"/>
  <c r="R1891" i="55"/>
  <c r="R1890" i="55"/>
  <c r="R1897" i="55"/>
  <c r="R1896" i="55"/>
  <c r="R1894" i="55"/>
  <c r="R1889" i="55" l="1"/>
  <c r="R1883" i="55"/>
  <c r="R1882" i="55"/>
  <c r="R1863" i="55"/>
  <c r="R1862" i="55"/>
  <c r="R1861" i="55" l="1"/>
  <c r="R1860" i="55"/>
  <c r="R1858" i="55"/>
  <c r="R1881" i="55"/>
  <c r="R1880" i="55"/>
  <c r="R1879" i="55"/>
  <c r="R1878" i="55"/>
  <c r="R1877" i="55"/>
  <c r="R1874" i="55"/>
  <c r="R1873" i="55"/>
  <c r="R1872" i="55"/>
  <c r="R1868" i="55"/>
  <c r="R1849" i="55"/>
  <c r="R1848" i="55"/>
  <c r="R1846" i="55"/>
  <c r="R1842" i="55"/>
  <c r="R1841" i="55"/>
  <c r="R1840" i="55"/>
  <c r="R1839" i="55"/>
  <c r="R1823" i="55"/>
  <c r="R1824" i="55"/>
  <c r="R1822" i="55"/>
  <c r="R1821" i="55"/>
  <c r="R1820" i="55"/>
  <c r="R1819" i="55"/>
  <c r="R1818" i="55"/>
  <c r="R1817" i="55"/>
  <c r="R1816" i="55"/>
  <c r="R1815" i="55"/>
  <c r="R1814" i="55"/>
  <c r="R1813" i="55"/>
  <c r="R1812" i="55"/>
  <c r="R1809" i="55"/>
  <c r="R1808" i="55"/>
  <c r="R1807" i="55"/>
  <c r="R1806" i="55"/>
  <c r="R1805" i="55"/>
  <c r="R1804" i="55"/>
  <c r="R1803" i="55"/>
  <c r="R1802" i="55"/>
  <c r="R1801" i="55"/>
  <c r="R1800" i="55"/>
  <c r="R1799" i="55"/>
  <c r="R1798" i="55"/>
  <c r="R1797" i="55"/>
  <c r="R1835" i="55"/>
  <c r="R1833" i="55"/>
  <c r="R1832" i="55"/>
  <c r="R1831" i="55"/>
  <c r="R1830" i="55"/>
  <c r="R1829" i="55"/>
  <c r="R1828" i="55"/>
  <c r="R1827" i="55"/>
  <c r="R1826" i="55"/>
  <c r="G52" i="20" l="1"/>
  <c r="D52" i="20"/>
  <c r="R587" i="33"/>
  <c r="A587" i="33"/>
  <c r="R1855" i="55" l="1"/>
  <c r="R1854" i="55"/>
  <c r="R1853" i="55"/>
  <c r="R1852" i="55"/>
  <c r="R1851" i="55"/>
  <c r="R1850" i="55"/>
  <c r="R1847" i="55"/>
  <c r="R1845" i="55"/>
  <c r="R1844" i="55"/>
  <c r="R1843" i="55"/>
  <c r="R1838" i="55"/>
  <c r="R1837" i="55"/>
  <c r="R1728" i="55"/>
  <c r="R1727" i="55"/>
  <c r="R1836" i="55"/>
  <c r="R1834" i="55"/>
  <c r="R1825" i="55"/>
  <c r="R1811" i="55"/>
  <c r="R1810" i="55"/>
  <c r="R1796" i="55"/>
  <c r="R1726" i="55"/>
  <c r="R912" i="55" l="1"/>
  <c r="R911" i="55"/>
  <c r="R910" i="55"/>
  <c r="R1795" i="55"/>
  <c r="R909" i="55"/>
  <c r="R1649" i="55" l="1"/>
  <c r="R1793" i="55"/>
  <c r="R1781" i="55"/>
  <c r="R1780" i="55"/>
  <c r="R1779" i="55"/>
  <c r="R1778" i="55"/>
  <c r="R1777" i="55"/>
  <c r="R1776" i="55"/>
  <c r="R1775" i="55"/>
  <c r="R1774" i="55"/>
  <c r="R1773" i="55"/>
  <c r="R1772" i="55"/>
  <c r="R1771" i="55"/>
  <c r="R1770" i="55"/>
  <c r="R1769" i="55"/>
  <c r="R1768" i="55"/>
  <c r="R1767" i="55"/>
  <c r="R1766" i="55"/>
  <c r="R1745" i="55"/>
  <c r="R1744" i="55"/>
  <c r="R1743" i="55"/>
  <c r="R1742" i="55"/>
  <c r="R1741" i="55"/>
  <c r="R1740" i="55"/>
  <c r="R1739" i="55"/>
  <c r="R1738" i="55"/>
  <c r="R1737" i="55"/>
  <c r="R1736" i="55"/>
  <c r="R1735" i="55"/>
  <c r="R1734" i="55"/>
  <c r="R1733" i="55"/>
  <c r="R1732" i="55"/>
  <c r="R1731" i="55"/>
  <c r="R1730" i="55"/>
  <c r="R1729" i="55" l="1"/>
  <c r="R1723" i="55" l="1"/>
  <c r="R1722" i="55"/>
  <c r="R1721" i="55"/>
  <c r="R1720" i="55" l="1"/>
  <c r="R1719" i="55"/>
  <c r="R1718" i="55"/>
  <c r="R1717" i="55"/>
  <c r="R1716" i="55"/>
  <c r="R1715" i="55"/>
  <c r="R1714" i="55"/>
  <c r="R1713" i="55"/>
  <c r="R1712" i="55"/>
  <c r="R1711" i="55"/>
  <c r="R1710" i="55"/>
  <c r="R1709" i="55"/>
  <c r="R1708" i="55"/>
  <c r="R1707" i="55"/>
  <c r="R1706" i="55"/>
  <c r="R1705" i="55"/>
  <c r="R1704" i="55"/>
  <c r="R1702" i="55"/>
  <c r="R1701" i="55"/>
  <c r="R1700" i="55"/>
  <c r="R1699" i="55"/>
  <c r="R1698" i="55"/>
  <c r="R1697" i="55"/>
  <c r="R1696" i="55"/>
  <c r="R1695" i="55"/>
  <c r="R1694" i="55"/>
  <c r="R1693" i="55"/>
  <c r="R1692" i="55"/>
  <c r="R1691" i="55"/>
  <c r="R1690" i="55"/>
  <c r="R1689" i="55"/>
  <c r="R1688" i="55"/>
  <c r="R1687" i="55"/>
  <c r="R1686" i="55"/>
  <c r="R1685" i="55"/>
  <c r="R1684" i="55"/>
  <c r="R1678" i="55"/>
  <c r="R1680" i="55"/>
  <c r="R1676" i="55"/>
  <c r="R1675" i="55"/>
  <c r="R1674" i="55"/>
  <c r="R1673" i="55"/>
  <c r="R1672" i="55"/>
  <c r="R1671" i="55"/>
  <c r="R1670" i="55"/>
  <c r="R1659" i="55" l="1"/>
  <c r="R1658" i="55"/>
  <c r="R1586" i="55"/>
  <c r="R1585" i="55"/>
  <c r="G42" i="20" l="1"/>
  <c r="R1664" i="55"/>
  <c r="R1661" i="55"/>
  <c r="R1660" i="55"/>
  <c r="R1650" i="55" l="1"/>
  <c r="R1657" i="55"/>
  <c r="R1656" i="55"/>
  <c r="R1655" i="55"/>
  <c r="R1624" i="55"/>
  <c r="R1623" i="55"/>
  <c r="R1584" i="55"/>
  <c r="R1583" i="55"/>
  <c r="R1582" i="55"/>
  <c r="R1581" i="55"/>
  <c r="R1580" i="55"/>
  <c r="R1622" i="55"/>
  <c r="R1621" i="55"/>
  <c r="R1579" i="55"/>
  <c r="R1578" i="55"/>
  <c r="R1577" i="55"/>
  <c r="R1576" i="55"/>
  <c r="R1575" i="55"/>
  <c r="R1574" i="55"/>
  <c r="R1573" i="55"/>
  <c r="R1572" i="55"/>
  <c r="R1571" i="55"/>
  <c r="R1570" i="55"/>
  <c r="R1569" i="55"/>
  <c r="R1568" i="55"/>
  <c r="R1620" i="55"/>
  <c r="R1567" i="55"/>
  <c r="R1566" i="55"/>
  <c r="R1565" i="55"/>
  <c r="R1564" i="55"/>
  <c r="R1563" i="55"/>
  <c r="R1562" i="55"/>
  <c r="R1561" i="55"/>
  <c r="R1560" i="55"/>
  <c r="R1559" i="55"/>
  <c r="R1558" i="55"/>
  <c r="R1557" i="55"/>
  <c r="R1556" i="55"/>
  <c r="R1555" i="55"/>
  <c r="R1554" i="55"/>
  <c r="R1553" i="55"/>
  <c r="R1552" i="55"/>
  <c r="R1551" i="55"/>
  <c r="R1550" i="55"/>
  <c r="R1549" i="55"/>
  <c r="R1548" i="55"/>
  <c r="R1464" i="55"/>
  <c r="R1619" i="55"/>
  <c r="R1618" i="55"/>
  <c r="R1617" i="55"/>
  <c r="R1616" i="55"/>
  <c r="R1615" i="55"/>
  <c r="R1614" i="55"/>
  <c r="R1613" i="55"/>
  <c r="R1612" i="55"/>
  <c r="R1611" i="55"/>
  <c r="R1610" i="55"/>
  <c r="R1609" i="55"/>
  <c r="R1608" i="55"/>
  <c r="R1547" i="55"/>
  <c r="R1546" i="55"/>
  <c r="R1545" i="55"/>
  <c r="R1544" i="55"/>
  <c r="R1543" i="55"/>
  <c r="R1542" i="55"/>
  <c r="R1541" i="55"/>
  <c r="R1540" i="55"/>
  <c r="R1539" i="55"/>
  <c r="R1538" i="55"/>
  <c r="R1537" i="55"/>
  <c r="R1536" i="55"/>
  <c r="R1535" i="55"/>
  <c r="R1534" i="55"/>
  <c r="R1533" i="55"/>
  <c r="R1532" i="55"/>
  <c r="R1531" i="55"/>
  <c r="R1530" i="55"/>
  <c r="R1529" i="55"/>
  <c r="R1528" i="55"/>
  <c r="R1527" i="55"/>
  <c r="R1526" i="55"/>
  <c r="R1525" i="55"/>
  <c r="R1647" i="55"/>
  <c r="R1646" i="55"/>
  <c r="R1645" i="55"/>
  <c r="R1644" i="55"/>
  <c r="R1643" i="55"/>
  <c r="R1641" i="55"/>
  <c r="R1636" i="55" l="1"/>
  <c r="R1634" i="55"/>
  <c r="R1633" i="55"/>
  <c r="R1630" i="55"/>
  <c r="R1629" i="55"/>
  <c r="R1628" i="55"/>
  <c r="R1627" i="55"/>
  <c r="R1626" i="55"/>
  <c r="R1625" i="55"/>
  <c r="R1607" i="55"/>
  <c r="R1606" i="55"/>
  <c r="R1605" i="55"/>
  <c r="R1604" i="55"/>
  <c r="R1603" i="55"/>
  <c r="R1602" i="55"/>
  <c r="R1601" i="55"/>
  <c r="R1590" i="55"/>
  <c r="R1589" i="55"/>
  <c r="R1588" i="55"/>
  <c r="R1587" i="55"/>
  <c r="R1505" i="55"/>
  <c r="R1510" i="55"/>
  <c r="R1524" i="55"/>
  <c r="R1523" i="55"/>
  <c r="R1522" i="55"/>
  <c r="R1521" i="55"/>
  <c r="R1507" i="55"/>
  <c r="R1506" i="55"/>
  <c r="R1502" i="55"/>
  <c r="R1497" i="55"/>
  <c r="R1481" i="55"/>
  <c r="R1480" i="55"/>
  <c r="R1479" i="55"/>
  <c r="R1476" i="55"/>
  <c r="R1473" i="55"/>
  <c r="R1472" i="55"/>
  <c r="R1469" i="55"/>
  <c r="R1466" i="55"/>
  <c r="R1465" i="55"/>
  <c r="R1463" i="55"/>
  <c r="R1462" i="55"/>
  <c r="R1461" i="55"/>
  <c r="R1460" i="55"/>
  <c r="R1459" i="55"/>
  <c r="R1458" i="55"/>
  <c r="R1457" i="55"/>
  <c r="R1456" i="55"/>
  <c r="R1455" i="55"/>
  <c r="R1454" i="55"/>
  <c r="R1453" i="55"/>
  <c r="R1452" i="55"/>
  <c r="R1451" i="55"/>
  <c r="R1450" i="55"/>
  <c r="R1449" i="55"/>
  <c r="R1448" i="55"/>
  <c r="R1447" i="55"/>
  <c r="R1446" i="55"/>
  <c r="R1445" i="55"/>
  <c r="R1444" i="55"/>
  <c r="R1443" i="55"/>
  <c r="R1442" i="55"/>
  <c r="R1441" i="55"/>
  <c r="R1440" i="55"/>
  <c r="R1439" i="55"/>
  <c r="R1438" i="55"/>
  <c r="R1437" i="55"/>
  <c r="R1436" i="55"/>
  <c r="R1435" i="55"/>
  <c r="R1434" i="55"/>
  <c r="R1433" i="55"/>
  <c r="R1432" i="55"/>
  <c r="R1431" i="55"/>
  <c r="R1430" i="55"/>
  <c r="R1429" i="55"/>
  <c r="R1428" i="55"/>
  <c r="R1427" i="55"/>
  <c r="R1426" i="55"/>
  <c r="R1425" i="55"/>
  <c r="R1424" i="55"/>
  <c r="R1423" i="55"/>
  <c r="R1422" i="55"/>
  <c r="R1421" i="55"/>
  <c r="R1420" i="55"/>
  <c r="R1419" i="55"/>
  <c r="R1418" i="55"/>
  <c r="R1417" i="55"/>
  <c r="R1416" i="55"/>
  <c r="R1415" i="55"/>
  <c r="R1414" i="55"/>
  <c r="R1413" i="55"/>
  <c r="R1412" i="55"/>
  <c r="R1411" i="55"/>
  <c r="R1410" i="55"/>
  <c r="R1409" i="55"/>
  <c r="R1407" i="55"/>
  <c r="R1406" i="55"/>
  <c r="R1405" i="55"/>
  <c r="R1404" i="55"/>
  <c r="R1403" i="55"/>
  <c r="R1402" i="55"/>
  <c r="R1401" i="55"/>
  <c r="R1400" i="55"/>
  <c r="R1399" i="55"/>
  <c r="R1398" i="55"/>
  <c r="R1397" i="55"/>
  <c r="R1396" i="55"/>
  <c r="R1395" i="55"/>
  <c r="R1394" i="55"/>
  <c r="R1393" i="55"/>
  <c r="R1392" i="55"/>
  <c r="R1391" i="55"/>
  <c r="R1390" i="55"/>
  <c r="R1389" i="55"/>
  <c r="R1388" i="55"/>
  <c r="R1387" i="55"/>
  <c r="R1386" i="55"/>
  <c r="R1385" i="55"/>
  <c r="R1384" i="55"/>
  <c r="R1383" i="55"/>
  <c r="R1382" i="55"/>
  <c r="R1381" i="55"/>
  <c r="R1380" i="55"/>
  <c r="R1379" i="55"/>
  <c r="R1378" i="55"/>
  <c r="R1377" i="55"/>
  <c r="R1376" i="55"/>
  <c r="R1375" i="55"/>
  <c r="R1374" i="55"/>
  <c r="R1373" i="55"/>
  <c r="R1372" i="55"/>
  <c r="R1371" i="55"/>
  <c r="R1370" i="55"/>
  <c r="R1369" i="55"/>
  <c r="R1368" i="55"/>
  <c r="R1367" i="55"/>
  <c r="R1366" i="55"/>
  <c r="R1365" i="55"/>
  <c r="R1364" i="55"/>
  <c r="R1363" i="55"/>
  <c r="R1362" i="55"/>
  <c r="R1361" i="55"/>
  <c r="R1360" i="55"/>
  <c r="R1359" i="55"/>
  <c r="R1358" i="55"/>
  <c r="R1357" i="55"/>
  <c r="R1356" i="55"/>
  <c r="R1355" i="55"/>
  <c r="R1354" i="55"/>
  <c r="R1353" i="55" l="1"/>
  <c r="R1352" i="55"/>
  <c r="R1351" i="55"/>
  <c r="R1350" i="55"/>
  <c r="R1349" i="55"/>
  <c r="R1348" i="55"/>
  <c r="R1347" i="55"/>
  <c r="R1346" i="55"/>
  <c r="R1345" i="55"/>
  <c r="R1344" i="55"/>
  <c r="R1322" i="55"/>
  <c r="R1321" i="55"/>
  <c r="R1342" i="55"/>
  <c r="R1320" i="55"/>
  <c r="R1341" i="55"/>
  <c r="R1340" i="55"/>
  <c r="R1339" i="55"/>
  <c r="R1338" i="55"/>
  <c r="R1319" i="55"/>
  <c r="R1318" i="55"/>
  <c r="R1317" i="55"/>
  <c r="R1316" i="55"/>
  <c r="R1315" i="55"/>
  <c r="R1314" i="55"/>
  <c r="R1313" i="55"/>
  <c r="R1312" i="55"/>
  <c r="R1311" i="55"/>
  <c r="R1310" i="55"/>
  <c r="R1337" i="55"/>
  <c r="R1336" i="55"/>
  <c r="R1335" i="55"/>
  <c r="R1334" i="55"/>
  <c r="R1333" i="55"/>
  <c r="R1332" i="55"/>
  <c r="R1330" i="55"/>
  <c r="R1326" i="55"/>
  <c r="R1325" i="55"/>
  <c r="R1324" i="55"/>
  <c r="R1323" i="55"/>
  <c r="R1309" i="55"/>
  <c r="R1308" i="55"/>
  <c r="R1307" i="55"/>
  <c r="R1306" i="55"/>
  <c r="R1295" i="55"/>
  <c r="R1292" i="55"/>
  <c r="R1291" i="55"/>
  <c r="R1279" i="55"/>
  <c r="R1278" i="55"/>
  <c r="R1277" i="55"/>
  <c r="R1276" i="55"/>
  <c r="R1275" i="55"/>
  <c r="R1274" i="55"/>
  <c r="R1273" i="55"/>
  <c r="R1272" i="55"/>
  <c r="R1271" i="55"/>
  <c r="R1270" i="55"/>
  <c r="R1269" i="55"/>
  <c r="R1268" i="55"/>
  <c r="R1267" i="55"/>
  <c r="R1266" i="55"/>
  <c r="R1265" i="55"/>
  <c r="R1264" i="55"/>
  <c r="R1263" i="55"/>
  <c r="R1262" i="55"/>
  <c r="R1261" i="55"/>
  <c r="R1260" i="55"/>
  <c r="R1259" i="55"/>
  <c r="R1258" i="55"/>
  <c r="R1257" i="55"/>
  <c r="R1289" i="55"/>
  <c r="R1282" i="55"/>
  <c r="R1283" i="55"/>
  <c r="R1281" i="55"/>
  <c r="R1256" i="55"/>
  <c r="R1255" i="55"/>
  <c r="R1254" i="55"/>
  <c r="A2" i="55"/>
  <c r="R1253" i="55"/>
  <c r="R1252" i="55"/>
  <c r="R1081" i="55"/>
  <c r="R1080" i="55"/>
  <c r="R1079" i="55"/>
  <c r="R1078" i="55"/>
  <c r="R1077" i="55"/>
  <c r="R1073" i="55"/>
  <c r="R1072" i="55"/>
  <c r="R1071" i="55"/>
  <c r="R1070" i="55"/>
  <c r="R1069" i="55"/>
  <c r="R1068" i="55"/>
  <c r="R1067" i="55"/>
  <c r="R1066" i="55"/>
  <c r="R1120" i="55"/>
  <c r="R1119" i="55"/>
  <c r="R1118" i="55"/>
  <c r="R1111" i="55"/>
  <c r="R1109" i="55"/>
  <c r="R1108" i="55"/>
  <c r="R1107" i="55"/>
  <c r="R1106" i="55"/>
  <c r="R1105" i="55"/>
  <c r="R571" i="55"/>
  <c r="R570" i="55"/>
  <c r="R569" i="55"/>
  <c r="R568" i="55"/>
  <c r="R567" i="55"/>
  <c r="R566" i="55"/>
  <c r="R1241" i="55"/>
  <c r="R1222" i="55"/>
  <c r="R616" i="55"/>
  <c r="R565" i="55"/>
  <c r="R336" i="55"/>
  <c r="R335" i="55"/>
  <c r="R334" i="55"/>
  <c r="R333" i="55"/>
  <c r="R332" i="55"/>
  <c r="R331" i="55"/>
  <c r="R330" i="55"/>
  <c r="R329" i="55"/>
  <c r="R328" i="55"/>
  <c r="R327" i="55"/>
  <c r="R326" i="55"/>
  <c r="R325" i="55"/>
  <c r="R324" i="55"/>
  <c r="R62" i="55"/>
  <c r="R61" i="55"/>
  <c r="R32" i="55"/>
  <c r="R1221" i="55"/>
  <c r="R1182" i="55"/>
  <c r="R1181" i="55"/>
  <c r="R1180" i="55"/>
  <c r="R1179" i="55"/>
  <c r="R1121" i="55"/>
  <c r="R1117" i="55"/>
  <c r="R1116" i="55"/>
  <c r="R1115" i="55"/>
  <c r="R1114" i="55"/>
  <c r="R1113" i="55"/>
  <c r="R1112" i="55"/>
  <c r="R1110" i="55"/>
  <c r="R1104" i="55"/>
  <c r="R1090" i="55"/>
  <c r="R1089" i="55"/>
  <c r="R1088" i="55"/>
  <c r="R1087" i="55"/>
  <c r="R1102" i="55"/>
  <c r="R1101" i="55"/>
  <c r="R1100" i="55"/>
  <c r="R1095" i="55"/>
  <c r="R1094" i="55"/>
  <c r="R1093" i="55"/>
  <c r="R1240" i="55"/>
  <c r="R1239" i="55"/>
  <c r="R1238" i="55"/>
  <c r="R1237" i="55"/>
  <c r="R1220" i="55"/>
  <c r="R1219" i="55"/>
  <c r="R1218" i="55"/>
  <c r="R1217" i="55"/>
  <c r="R1216" i="55"/>
  <c r="R1215" i="55"/>
  <c r="R1214" i="55"/>
  <c r="R1178" i="55"/>
  <c r="R1177" i="55"/>
  <c r="R1162" i="55"/>
  <c r="R1161" i="55"/>
  <c r="R1103" i="55"/>
  <c r="R1099" i="55"/>
  <c r="R1098" i="55"/>
  <c r="R1097" i="55"/>
  <c r="R1096" i="55"/>
  <c r="R1092" i="55"/>
  <c r="R1246" i="55"/>
  <c r="R1242" i="55"/>
  <c r="R1243" i="55"/>
  <c r="R1236" i="55"/>
  <c r="R1235" i="55"/>
  <c r="R1234" i="55"/>
  <c r="R1233" i="55"/>
  <c r="R1232" i="55"/>
  <c r="R1231" i="55"/>
  <c r="R1230" i="55"/>
  <c r="R1176" i="55"/>
  <c r="R1175" i="55"/>
  <c r="R1160" i="55"/>
  <c r="R1159" i="55"/>
  <c r="R1158" i="55"/>
  <c r="R1135" i="55"/>
  <c r="R1091" i="55"/>
  <c r="R1086" i="55"/>
  <c r="R1085" i="55"/>
  <c r="R1084" i="55"/>
  <c r="R1005" i="55"/>
  <c r="R997" i="55"/>
  <c r="R1157" i="55"/>
  <c r="R1156" i="55"/>
  <c r="R1134" i="55"/>
  <c r="R1083" i="55"/>
  <c r="R1082" i="55"/>
  <c r="R1076" i="55"/>
  <c r="R1075" i="55"/>
  <c r="R1074" i="55"/>
  <c r="R1065" i="55"/>
  <c r="R1207" i="55"/>
  <c r="R1206" i="55"/>
  <c r="R1205" i="55"/>
  <c r="R1204" i="55"/>
  <c r="R1203" i="55"/>
  <c r="R1202" i="55"/>
  <c r="R1201" i="55"/>
  <c r="R1200" i="55"/>
  <c r="R1194" i="55"/>
  <c r="R1192" i="55"/>
  <c r="R1191" i="55"/>
  <c r="R1188" i="55"/>
  <c r="R1184" i="55"/>
  <c r="R1183" i="55"/>
  <c r="R1174" i="55"/>
  <c r="R1173" i="55"/>
  <c r="R1172" i="55"/>
  <c r="R1171" i="55"/>
  <c r="R1170" i="55"/>
  <c r="R1155" i="55" l="1"/>
  <c r="R1154" i="55"/>
  <c r="R1153" i="55"/>
  <c r="R1152" i="55"/>
  <c r="R1151" i="55"/>
  <c r="R1150" i="55"/>
  <c r="R1149" i="55"/>
  <c r="R1148" i="55"/>
  <c r="R1147" i="55"/>
  <c r="R1145" i="55"/>
  <c r="R1136" i="55"/>
  <c r="R1133" i="55"/>
  <c r="R1132" i="55"/>
  <c r="R1131" i="55"/>
  <c r="R1128" i="55"/>
  <c r="R1123" i="55"/>
  <c r="R1122" i="55"/>
  <c r="R2262" i="53" l="1"/>
  <c r="R2261" i="53"/>
  <c r="R2260" i="53"/>
  <c r="R2259" i="53"/>
  <c r="R962" i="33" l="1"/>
  <c r="A962" i="33"/>
  <c r="D42" i="20" l="1"/>
  <c r="R1302" i="55"/>
  <c r="R1301" i="55"/>
  <c r="R1300" i="55"/>
  <c r="R1299" i="55"/>
  <c r="R1298" i="55"/>
  <c r="R1297" i="55"/>
  <c r="R1296" i="55"/>
  <c r="R1294" i="55"/>
  <c r="R1293" i="55"/>
  <c r="R1290" i="55"/>
  <c r="R1288" i="55"/>
  <c r="R1287" i="55"/>
  <c r="R1286" i="55"/>
  <c r="R1285" i="55"/>
  <c r="R1251" i="55"/>
  <c r="R1250" i="55"/>
  <c r="R1249" i="55"/>
  <c r="R1248" i="55"/>
  <c r="R1247" i="55"/>
  <c r="R1245" i="55"/>
  <c r="R1244" i="55"/>
  <c r="R1229" i="55"/>
  <c r="R1228" i="55"/>
  <c r="R1227" i="55"/>
  <c r="R1226" i="55"/>
  <c r="R1225" i="55"/>
  <c r="R1224" i="55"/>
  <c r="R1223" i="55"/>
  <c r="R1213" i="55"/>
  <c r="R1212" i="55"/>
  <c r="R1211" i="55"/>
  <c r="R1210" i="55"/>
  <c r="R1209" i="55"/>
  <c r="R1208" i="55"/>
  <c r="R1199" i="55"/>
  <c r="R1198" i="55"/>
  <c r="R1197" i="55"/>
  <c r="R1196" i="55"/>
  <c r="R1195" i="55"/>
  <c r="R1193" i="55"/>
  <c r="R1190" i="55"/>
  <c r="R1189" i="55"/>
  <c r="R1187" i="55"/>
  <c r="R1186" i="55"/>
  <c r="R1185" i="55"/>
  <c r="R1169" i="55"/>
  <c r="R1168" i="55"/>
  <c r="R1167" i="55"/>
  <c r="R1166" i="55"/>
  <c r="R1165" i="55"/>
  <c r="R1164" i="55"/>
  <c r="R1163" i="55"/>
  <c r="R1146" i="55"/>
  <c r="R1144" i="55"/>
  <c r="R1143" i="55"/>
  <c r="R1142" i="55"/>
  <c r="R1141" i="55"/>
  <c r="R1140" i="55"/>
  <c r="R1139" i="55"/>
  <c r="R1138" i="55"/>
  <c r="R1137" i="55"/>
  <c r="R1130" i="55"/>
  <c r="R1129" i="55"/>
  <c r="R1127" i="55"/>
  <c r="R1126" i="55"/>
  <c r="R1125" i="55"/>
  <c r="R1124" i="55"/>
  <c r="R1064" i="55"/>
  <c r="R1063" i="55"/>
  <c r="R1062" i="55"/>
  <c r="R1061" i="55"/>
  <c r="R1060" i="55"/>
  <c r="R1059" i="55"/>
  <c r="R1058" i="55"/>
  <c r="R1057" i="55"/>
  <c r="R1056" i="55"/>
  <c r="R1055" i="55"/>
  <c r="R1054" i="55"/>
  <c r="R1053" i="55"/>
  <c r="R1052" i="55"/>
  <c r="R1051" i="55"/>
  <c r="R1050" i="55"/>
  <c r="R1049" i="55"/>
  <c r="R1048" i="55"/>
  <c r="R1047" i="55"/>
  <c r="R1046" i="55"/>
  <c r="R1045" i="55"/>
  <c r="R1044" i="55"/>
  <c r="R1043" i="55"/>
  <c r="R1042" i="55"/>
  <c r="R1041" i="55"/>
  <c r="R1040" i="55"/>
  <c r="R1039" i="55"/>
  <c r="R1038" i="55"/>
  <c r="R1037" i="55"/>
  <c r="R1036" i="55"/>
  <c r="R1035" i="55"/>
  <c r="R1034" i="55"/>
  <c r="R1033" i="55"/>
  <c r="R1032" i="55"/>
  <c r="R1031" i="55"/>
  <c r="R1030" i="55"/>
  <c r="R1029" i="55"/>
  <c r="R1028" i="55"/>
  <c r="R1027" i="55"/>
  <c r="R1026" i="55"/>
  <c r="R1025" i="55"/>
  <c r="R1024" i="55"/>
  <c r="R1023" i="55"/>
  <c r="R1022" i="55"/>
  <c r="R1021" i="55"/>
  <c r="R1020" i="55"/>
  <c r="R1019" i="55"/>
  <c r="R1018" i="55"/>
  <c r="R1017" i="55"/>
  <c r="R1016" i="55"/>
  <c r="R1015" i="55"/>
  <c r="R1014" i="55"/>
  <c r="R1013" i="55"/>
  <c r="R1012" i="55"/>
  <c r="R1011" i="55"/>
  <c r="R1010" i="55"/>
  <c r="R1009" i="55"/>
  <c r="R1008" i="55"/>
  <c r="R1007" i="55"/>
  <c r="R1006" i="55"/>
  <c r="R1004" i="55"/>
  <c r="R1003" i="55"/>
  <c r="R1002" i="55"/>
  <c r="R1001" i="55"/>
  <c r="R1000" i="55"/>
  <c r="R999" i="55"/>
  <c r="R998" i="55"/>
  <c r="R996" i="55"/>
  <c r="R995" i="55"/>
  <c r="R994" i="55"/>
  <c r="R993" i="55"/>
  <c r="R992" i="55"/>
  <c r="R991" i="55"/>
  <c r="R990" i="55"/>
  <c r="R989" i="55"/>
  <c r="R988" i="55"/>
  <c r="R987" i="55"/>
  <c r="R986" i="55"/>
  <c r="R985" i="55"/>
  <c r="R984" i="55"/>
  <c r="R983" i="55"/>
  <c r="R982" i="55"/>
  <c r="R981" i="55"/>
  <c r="R980" i="55"/>
  <c r="R979" i="55"/>
  <c r="R978" i="55"/>
  <c r="R977" i="55"/>
  <c r="R976" i="55"/>
  <c r="R975" i="55"/>
  <c r="R974" i="55"/>
  <c r="R973" i="55"/>
  <c r="R972" i="55"/>
  <c r="R971" i="55"/>
  <c r="R970" i="55"/>
  <c r="R969" i="55"/>
  <c r="R968" i="55"/>
  <c r="R967" i="55"/>
  <c r="R966" i="55"/>
  <c r="R965" i="55"/>
  <c r="R964" i="55"/>
  <c r="R963" i="55"/>
  <c r="R962" i="55"/>
  <c r="R961" i="55"/>
  <c r="R960" i="55"/>
  <c r="R959" i="55"/>
  <c r="R958" i="55"/>
  <c r="R957" i="55"/>
  <c r="R956" i="55"/>
  <c r="R955" i="55"/>
  <c r="R954" i="55"/>
  <c r="R953" i="55"/>
  <c r="R952" i="55"/>
  <c r="R951" i="55"/>
  <c r="R950" i="55"/>
  <c r="R949" i="55"/>
  <c r="R948" i="55"/>
  <c r="R947" i="55"/>
  <c r="R946" i="55"/>
  <c r="R945" i="55"/>
  <c r="R944" i="55"/>
  <c r="R943" i="55"/>
  <c r="R942" i="55"/>
  <c r="R941" i="55"/>
  <c r="R940" i="55"/>
  <c r="R939" i="55"/>
  <c r="R938" i="55"/>
  <c r="R937" i="55"/>
  <c r="R936" i="55"/>
  <c r="R935" i="55"/>
  <c r="R934" i="55"/>
  <c r="R933" i="55"/>
  <c r="R932" i="55"/>
  <c r="R931" i="55"/>
  <c r="R930" i="55"/>
  <c r="R929" i="55"/>
  <c r="R928" i="55"/>
  <c r="R927" i="55"/>
  <c r="R926" i="55"/>
  <c r="R925" i="55"/>
  <c r="R924" i="55"/>
  <c r="R923" i="55"/>
  <c r="R922" i="55"/>
  <c r="R921" i="55"/>
  <c r="R920" i="55"/>
  <c r="R919" i="55"/>
  <c r="R918" i="55"/>
  <c r="R917" i="55"/>
  <c r="R916" i="55"/>
  <c r="R915" i="55"/>
  <c r="R914" i="55"/>
  <c r="R913" i="55"/>
  <c r="R908" i="55"/>
  <c r="R907" i="55"/>
  <c r="R906" i="55"/>
  <c r="R905" i="55"/>
  <c r="R904" i="55"/>
  <c r="R903" i="55"/>
  <c r="R902" i="55"/>
  <c r="R901" i="55"/>
  <c r="R900" i="55"/>
  <c r="R899" i="55"/>
  <c r="R898" i="55"/>
  <c r="R897" i="55"/>
  <c r="R896" i="55"/>
  <c r="R895" i="55"/>
  <c r="R894" i="55"/>
  <c r="R893" i="55"/>
  <c r="R892" i="55"/>
  <c r="R891" i="55"/>
  <c r="R890" i="55"/>
  <c r="R889" i="55"/>
  <c r="R888" i="55"/>
  <c r="R887" i="55"/>
  <c r="R886" i="55"/>
  <c r="R885" i="55"/>
  <c r="R884" i="55"/>
  <c r="R883" i="55"/>
  <c r="R882" i="55"/>
  <c r="R881" i="55"/>
  <c r="R880" i="55"/>
  <c r="R879" i="55"/>
  <c r="R878" i="55"/>
  <c r="R877" i="55"/>
  <c r="R876" i="55"/>
  <c r="R875" i="55"/>
  <c r="R874" i="55"/>
  <c r="R873" i="55"/>
  <c r="R872" i="55"/>
  <c r="R871" i="55"/>
  <c r="R870" i="55"/>
  <c r="R869" i="55"/>
  <c r="R868" i="55"/>
  <c r="R867" i="55"/>
  <c r="R866" i="55"/>
  <c r="R865" i="55"/>
  <c r="R864" i="55"/>
  <c r="R863" i="55"/>
  <c r="R862" i="55"/>
  <c r="R861" i="55"/>
  <c r="R860" i="55"/>
  <c r="R859" i="55"/>
  <c r="R858" i="55"/>
  <c r="R857" i="55"/>
  <c r="R856" i="55"/>
  <c r="R855" i="55"/>
  <c r="R854" i="55"/>
  <c r="R853" i="55"/>
  <c r="R852" i="55"/>
  <c r="R851" i="55"/>
  <c r="R850" i="55"/>
  <c r="R849" i="55"/>
  <c r="R848" i="55"/>
  <c r="R847" i="55"/>
  <c r="R846" i="55"/>
  <c r="R845" i="55"/>
  <c r="R844" i="55"/>
  <c r="R843" i="55"/>
  <c r="R842" i="55"/>
  <c r="R841" i="55"/>
  <c r="R840" i="55"/>
  <c r="R839" i="55"/>
  <c r="R838" i="55"/>
  <c r="R837" i="55"/>
  <c r="R836" i="55"/>
  <c r="R835" i="55"/>
  <c r="R834" i="55"/>
  <c r="R833" i="55"/>
  <c r="R832" i="55"/>
  <c r="R831" i="55"/>
  <c r="R830" i="55"/>
  <c r="R829" i="55"/>
  <c r="R828" i="55"/>
  <c r="R827" i="55"/>
  <c r="R826" i="55"/>
  <c r="R825" i="55"/>
  <c r="R824" i="55"/>
  <c r="R823" i="55"/>
  <c r="R822" i="55"/>
  <c r="R821" i="55"/>
  <c r="R820" i="55"/>
  <c r="R819" i="55"/>
  <c r="R818" i="55"/>
  <c r="R817" i="55"/>
  <c r="R816" i="55"/>
  <c r="R815" i="55"/>
  <c r="R814" i="55"/>
  <c r="R813" i="55"/>
  <c r="R812" i="55"/>
  <c r="R811" i="55"/>
  <c r="R810" i="55"/>
  <c r="R809" i="55"/>
  <c r="R808" i="55"/>
  <c r="R807" i="55"/>
  <c r="R806" i="55"/>
  <c r="R805" i="55"/>
  <c r="R804" i="55"/>
  <c r="R803" i="55"/>
  <c r="R802" i="55"/>
  <c r="R801" i="55"/>
  <c r="R800" i="55"/>
  <c r="R799" i="55"/>
  <c r="R798" i="55"/>
  <c r="R797" i="55"/>
  <c r="R796" i="55"/>
  <c r="R795" i="55"/>
  <c r="R794" i="55"/>
  <c r="R793" i="55"/>
  <c r="R792" i="55"/>
  <c r="R791" i="55"/>
  <c r="R790" i="55"/>
  <c r="R789" i="55"/>
  <c r="R788" i="55"/>
  <c r="R787" i="55"/>
  <c r="R786" i="55"/>
  <c r="R785" i="55"/>
  <c r="R784" i="55"/>
  <c r="R783" i="55"/>
  <c r="R782" i="55"/>
  <c r="R781" i="55"/>
  <c r="R780" i="55"/>
  <c r="R779" i="55"/>
  <c r="R778" i="55"/>
  <c r="R777" i="55"/>
  <c r="R776" i="55"/>
  <c r="R775" i="55"/>
  <c r="R774" i="55"/>
  <c r="R773" i="55"/>
  <c r="R772" i="55"/>
  <c r="R771" i="55"/>
  <c r="R770" i="55"/>
  <c r="R769" i="55"/>
  <c r="R768" i="55"/>
  <c r="R767" i="55"/>
  <c r="R766" i="55"/>
  <c r="R765" i="55"/>
  <c r="R764" i="55"/>
  <c r="R763" i="55"/>
  <c r="R762" i="55"/>
  <c r="R761" i="55"/>
  <c r="R760" i="55"/>
  <c r="R759" i="55"/>
  <c r="R758" i="55"/>
  <c r="R757" i="55"/>
  <c r="R756" i="55"/>
  <c r="R755" i="55"/>
  <c r="R754" i="55"/>
  <c r="R753" i="55"/>
  <c r="R752" i="55"/>
  <c r="R751" i="55"/>
  <c r="R750" i="55"/>
  <c r="R749" i="55"/>
  <c r="R748" i="55"/>
  <c r="R747" i="55"/>
  <c r="R746" i="55"/>
  <c r="R745" i="55"/>
  <c r="R744" i="55"/>
  <c r="R743" i="55"/>
  <c r="R742" i="55"/>
  <c r="R741" i="55"/>
  <c r="R740" i="55"/>
  <c r="R739" i="55"/>
  <c r="R738" i="55"/>
  <c r="R737" i="55"/>
  <c r="R736" i="55"/>
  <c r="R735" i="55"/>
  <c r="R734" i="55"/>
  <c r="R733" i="55"/>
  <c r="R732" i="55"/>
  <c r="R731" i="55"/>
  <c r="R730" i="55"/>
  <c r="R729" i="55"/>
  <c r="R728" i="55"/>
  <c r="R727" i="55"/>
  <c r="R726" i="55"/>
  <c r="R725" i="55"/>
  <c r="R724" i="55"/>
  <c r="R723" i="55"/>
  <c r="R722" i="55"/>
  <c r="R721" i="55"/>
  <c r="R720" i="55"/>
  <c r="R719" i="55"/>
  <c r="R718" i="55"/>
  <c r="R717" i="55"/>
  <c r="R716" i="55"/>
  <c r="R715" i="55"/>
  <c r="R714" i="55"/>
  <c r="R713" i="55"/>
  <c r="R712" i="55"/>
  <c r="R711" i="55"/>
  <c r="R710" i="55"/>
  <c r="R709" i="55"/>
  <c r="R708" i="55"/>
  <c r="R707" i="55"/>
  <c r="R706" i="55"/>
  <c r="R705" i="55"/>
  <c r="R704" i="55"/>
  <c r="R703" i="55"/>
  <c r="R702" i="55"/>
  <c r="R701" i="55"/>
  <c r="R700" i="55"/>
  <c r="R699" i="55"/>
  <c r="R698" i="55"/>
  <c r="R697" i="55"/>
  <c r="R696" i="55"/>
  <c r="R695" i="55"/>
  <c r="R694" i="55"/>
  <c r="R693" i="55"/>
  <c r="R692" i="55"/>
  <c r="R691" i="55"/>
  <c r="R690" i="55"/>
  <c r="R689" i="55"/>
  <c r="R688" i="55"/>
  <c r="R687" i="55"/>
  <c r="R686" i="55"/>
  <c r="R685" i="55"/>
  <c r="R684" i="55"/>
  <c r="R683" i="55"/>
  <c r="R682" i="55"/>
  <c r="R681" i="55"/>
  <c r="R680" i="55"/>
  <c r="R679" i="55"/>
  <c r="R678" i="55"/>
  <c r="R677" i="55"/>
  <c r="R676" i="55"/>
  <c r="R675" i="55"/>
  <c r="R674" i="55"/>
  <c r="R673" i="55"/>
  <c r="R672" i="55"/>
  <c r="R671" i="55"/>
  <c r="R670" i="55"/>
  <c r="R669" i="55"/>
  <c r="R668" i="55"/>
  <c r="R667" i="55"/>
  <c r="R665" i="55"/>
  <c r="R664" i="55"/>
  <c r="R663" i="55"/>
  <c r="R662" i="55"/>
  <c r="R661" i="55"/>
  <c r="R660" i="55"/>
  <c r="R659" i="55"/>
  <c r="R658" i="55"/>
  <c r="R657" i="55"/>
  <c r="R656" i="55"/>
  <c r="R655" i="55"/>
  <c r="R654" i="55"/>
  <c r="R653" i="55"/>
  <c r="R652" i="55"/>
  <c r="R651" i="55"/>
  <c r="R650" i="55"/>
  <c r="R649" i="55"/>
  <c r="R648" i="55"/>
  <c r="R647" i="55"/>
  <c r="R646" i="55"/>
  <c r="R645" i="55"/>
  <c r="R644" i="55"/>
  <c r="R643" i="55"/>
  <c r="R642" i="55"/>
  <c r="R641" i="55"/>
  <c r="R640" i="55"/>
  <c r="R639" i="55"/>
  <c r="R638" i="55"/>
  <c r="R637" i="55"/>
  <c r="R636" i="55"/>
  <c r="R635" i="55"/>
  <c r="R634" i="55"/>
  <c r="R633" i="55"/>
  <c r="R632" i="55"/>
  <c r="R631" i="55"/>
  <c r="R630" i="55"/>
  <c r="R629" i="55"/>
  <c r="R628" i="55"/>
  <c r="R627" i="55"/>
  <c r="R626" i="55"/>
  <c r="R625" i="55"/>
  <c r="R624" i="55"/>
  <c r="R623" i="55"/>
  <c r="R622" i="55"/>
  <c r="R621" i="55"/>
  <c r="R620" i="55"/>
  <c r="R619" i="55"/>
  <c r="R618" i="55"/>
  <c r="R617" i="55"/>
  <c r="R615" i="55"/>
  <c r="R614" i="55"/>
  <c r="R613" i="55"/>
  <c r="R612" i="55"/>
  <c r="R611" i="55"/>
  <c r="R610" i="55"/>
  <c r="R609" i="55"/>
  <c r="R608" i="55"/>
  <c r="R607" i="55"/>
  <c r="R606" i="55"/>
  <c r="R605" i="55"/>
  <c r="R604" i="55"/>
  <c r="R603" i="55"/>
  <c r="R602" i="55"/>
  <c r="R601" i="55"/>
  <c r="R600" i="55"/>
  <c r="R599" i="55"/>
  <c r="R598" i="55"/>
  <c r="R597" i="55"/>
  <c r="R596" i="55"/>
  <c r="R595" i="55"/>
  <c r="R594" i="55"/>
  <c r="R593" i="55"/>
  <c r="R592" i="55"/>
  <c r="R591" i="55"/>
  <c r="R590" i="55"/>
  <c r="R589" i="55"/>
  <c r="R588" i="55"/>
  <c r="R587" i="55"/>
  <c r="R586" i="55"/>
  <c r="R585" i="55"/>
  <c r="R584" i="55"/>
  <c r="R583" i="55"/>
  <c r="R582" i="55"/>
  <c r="R581" i="55"/>
  <c r="R580" i="55"/>
  <c r="R579" i="55"/>
  <c r="R578" i="55"/>
  <c r="R577" i="55"/>
  <c r="R576" i="55"/>
  <c r="R575" i="55"/>
  <c r="R574" i="55"/>
  <c r="R573" i="55"/>
  <c r="R572" i="55"/>
  <c r="R564" i="55"/>
  <c r="R563" i="55"/>
  <c r="R562" i="55"/>
  <c r="R561" i="55"/>
  <c r="R560" i="55"/>
  <c r="R559" i="55"/>
  <c r="R558" i="55"/>
  <c r="R557" i="55"/>
  <c r="R556" i="55"/>
  <c r="R555" i="55"/>
  <c r="R554" i="55"/>
  <c r="R553" i="55"/>
  <c r="R552" i="55"/>
  <c r="R551" i="55"/>
  <c r="R550" i="55"/>
  <c r="R549" i="55"/>
  <c r="R548" i="55"/>
  <c r="R547" i="55"/>
  <c r="R546" i="55"/>
  <c r="R545" i="55"/>
  <c r="R544" i="55"/>
  <c r="R543" i="55"/>
  <c r="R542" i="55"/>
  <c r="R541" i="55"/>
  <c r="R540" i="55"/>
  <c r="R539" i="55"/>
  <c r="R538" i="55"/>
  <c r="R537" i="55"/>
  <c r="R536" i="55"/>
  <c r="R535" i="55"/>
  <c r="R534" i="55"/>
  <c r="R533" i="55"/>
  <c r="R532" i="55"/>
  <c r="R531" i="55"/>
  <c r="R530" i="55"/>
  <c r="R529" i="55"/>
  <c r="R528" i="55"/>
  <c r="R527" i="55"/>
  <c r="R526" i="55"/>
  <c r="R525" i="55"/>
  <c r="R524" i="55"/>
  <c r="R523" i="55"/>
  <c r="R522" i="55"/>
  <c r="R521" i="55"/>
  <c r="R520" i="55"/>
  <c r="R519" i="55"/>
  <c r="R518" i="55"/>
  <c r="R517" i="55"/>
  <c r="R516" i="55"/>
  <c r="R515" i="55"/>
  <c r="R514" i="55"/>
  <c r="R513" i="55"/>
  <c r="R512" i="55"/>
  <c r="R511" i="55"/>
  <c r="R510" i="55"/>
  <c r="R509" i="55"/>
  <c r="R508" i="55"/>
  <c r="R507" i="55"/>
  <c r="R506" i="55"/>
  <c r="R505" i="55"/>
  <c r="R504" i="55"/>
  <c r="R503" i="55"/>
  <c r="R502" i="55"/>
  <c r="R501" i="55"/>
  <c r="R500" i="55"/>
  <c r="R499" i="55"/>
  <c r="R498" i="55"/>
  <c r="R497" i="55"/>
  <c r="R496" i="55"/>
  <c r="R495" i="55"/>
  <c r="R494" i="55"/>
  <c r="R493" i="55"/>
  <c r="R492" i="55"/>
  <c r="R491" i="55"/>
  <c r="R490" i="55"/>
  <c r="R489" i="55"/>
  <c r="R488" i="55"/>
  <c r="R487" i="55"/>
  <c r="R486" i="55"/>
  <c r="R485" i="55"/>
  <c r="R484" i="55"/>
  <c r="R483" i="55"/>
  <c r="R482" i="55"/>
  <c r="R481" i="55"/>
  <c r="R480" i="55"/>
  <c r="R479" i="55"/>
  <c r="R478" i="55"/>
  <c r="R477" i="55"/>
  <c r="R476" i="55"/>
  <c r="R475" i="55"/>
  <c r="R474" i="55"/>
  <c r="R473" i="55"/>
  <c r="R472" i="55"/>
  <c r="R471" i="55"/>
  <c r="R470" i="55"/>
  <c r="R469" i="55"/>
  <c r="R468" i="55"/>
  <c r="R467" i="55"/>
  <c r="R466" i="55"/>
  <c r="R465" i="55"/>
  <c r="R464" i="55"/>
  <c r="R463" i="55"/>
  <c r="R462" i="55"/>
  <c r="R461" i="55"/>
  <c r="R460" i="55"/>
  <c r="R459" i="55"/>
  <c r="R458" i="55"/>
  <c r="R457" i="55"/>
  <c r="R456" i="55"/>
  <c r="R455" i="55"/>
  <c r="R454" i="55"/>
  <c r="R453" i="55"/>
  <c r="R452" i="55"/>
  <c r="R451" i="55"/>
  <c r="R450" i="55"/>
  <c r="R449" i="55"/>
  <c r="R448" i="55"/>
  <c r="R447" i="55"/>
  <c r="R446" i="55"/>
  <c r="R445" i="55"/>
  <c r="R444" i="55"/>
  <c r="R443" i="55"/>
  <c r="R442" i="55"/>
  <c r="R441" i="55"/>
  <c r="R440" i="55"/>
  <c r="R439" i="55"/>
  <c r="R438" i="55"/>
  <c r="R437" i="55"/>
  <c r="R436" i="55"/>
  <c r="R435" i="55"/>
  <c r="R434" i="55"/>
  <c r="R433" i="55"/>
  <c r="R432" i="55"/>
  <c r="R431" i="55"/>
  <c r="R430" i="55"/>
  <c r="R429" i="55"/>
  <c r="R428" i="55"/>
  <c r="R427" i="55"/>
  <c r="R426" i="55"/>
  <c r="R425" i="55"/>
  <c r="R424" i="55"/>
  <c r="R423" i="55"/>
  <c r="R422" i="55"/>
  <c r="R421" i="55"/>
  <c r="R420" i="55"/>
  <c r="R419" i="55"/>
  <c r="R418" i="55"/>
  <c r="R417" i="55"/>
  <c r="R416" i="55"/>
  <c r="R415" i="55"/>
  <c r="R414" i="55"/>
  <c r="R413" i="55"/>
  <c r="R412" i="55"/>
  <c r="R411" i="55"/>
  <c r="R410" i="55"/>
  <c r="R409" i="55"/>
  <c r="R408" i="55"/>
  <c r="R407" i="55"/>
  <c r="R406" i="55"/>
  <c r="R405" i="55"/>
  <c r="R404" i="55"/>
  <c r="R403" i="55"/>
  <c r="R402" i="55"/>
  <c r="R401" i="55"/>
  <c r="R400" i="55"/>
  <c r="R399" i="55"/>
  <c r="R398" i="55"/>
  <c r="R397" i="55"/>
  <c r="R396" i="55"/>
  <c r="R395" i="55"/>
  <c r="R394" i="55"/>
  <c r="R393" i="55"/>
  <c r="R392" i="55"/>
  <c r="R391" i="55"/>
  <c r="R390" i="55"/>
  <c r="R389" i="55"/>
  <c r="R388" i="55"/>
  <c r="R387" i="55"/>
  <c r="R386" i="55"/>
  <c r="R385" i="55"/>
  <c r="R384" i="55"/>
  <c r="R383" i="55"/>
  <c r="R382" i="55"/>
  <c r="R381" i="55"/>
  <c r="R380" i="55"/>
  <c r="R379" i="55"/>
  <c r="R378" i="55"/>
  <c r="R377" i="55"/>
  <c r="R376" i="55"/>
  <c r="R375" i="55"/>
  <c r="R374" i="55"/>
  <c r="R373" i="55"/>
  <c r="R372" i="55"/>
  <c r="R371" i="55"/>
  <c r="R370" i="55"/>
  <c r="R369" i="55"/>
  <c r="R368" i="55"/>
  <c r="R367" i="55"/>
  <c r="R366" i="55"/>
  <c r="R365" i="55"/>
  <c r="R364" i="55"/>
  <c r="R363" i="55"/>
  <c r="R362" i="55"/>
  <c r="R361" i="55"/>
  <c r="R360" i="55"/>
  <c r="R359" i="55"/>
  <c r="R358" i="55"/>
  <c r="R357" i="55"/>
  <c r="R356" i="55"/>
  <c r="R355" i="55"/>
  <c r="R354" i="55"/>
  <c r="R353" i="55"/>
  <c r="R352" i="55"/>
  <c r="R351" i="55"/>
  <c r="R350" i="55"/>
  <c r="R349" i="55"/>
  <c r="R348" i="55"/>
  <c r="R347" i="55"/>
  <c r="R346" i="55"/>
  <c r="R345" i="55"/>
  <c r="R344" i="55"/>
  <c r="R343" i="55"/>
  <c r="R342" i="55"/>
  <c r="R341" i="55"/>
  <c r="R340" i="55"/>
  <c r="R339" i="55"/>
  <c r="R338" i="55"/>
  <c r="R337" i="55"/>
  <c r="R323" i="55"/>
  <c r="R322" i="55"/>
  <c r="R321" i="55"/>
  <c r="R320" i="55"/>
  <c r="R319" i="55"/>
  <c r="R318" i="55"/>
  <c r="R317" i="55"/>
  <c r="R316" i="55"/>
  <c r="R315" i="55"/>
  <c r="R314" i="55"/>
  <c r="R313" i="55"/>
  <c r="R312" i="55"/>
  <c r="R311" i="55"/>
  <c r="R310" i="55"/>
  <c r="R309" i="55"/>
  <c r="R308" i="55"/>
  <c r="R307" i="55"/>
  <c r="R306" i="55"/>
  <c r="R305" i="55"/>
  <c r="R304" i="55"/>
  <c r="R303" i="55"/>
  <c r="R302" i="55"/>
  <c r="R301" i="55"/>
  <c r="R300" i="55"/>
  <c r="R299" i="55"/>
  <c r="R298" i="55"/>
  <c r="R297" i="55"/>
  <c r="R296" i="55"/>
  <c r="R295" i="55"/>
  <c r="R294" i="55"/>
  <c r="R293" i="55"/>
  <c r="R292" i="55"/>
  <c r="R291" i="55"/>
  <c r="R290" i="55"/>
  <c r="R289" i="55"/>
  <c r="R288" i="55"/>
  <c r="R287" i="55"/>
  <c r="R286" i="55"/>
  <c r="R285" i="55"/>
  <c r="R284" i="55"/>
  <c r="R283" i="55"/>
  <c r="R282" i="55"/>
  <c r="R281" i="55"/>
  <c r="R280" i="55"/>
  <c r="R279" i="55"/>
  <c r="R278" i="55"/>
  <c r="R277" i="55"/>
  <c r="R276" i="55"/>
  <c r="R275" i="55"/>
  <c r="R274" i="55"/>
  <c r="R273" i="55"/>
  <c r="R272" i="55"/>
  <c r="R271" i="55"/>
  <c r="R270" i="55"/>
  <c r="R269" i="55"/>
  <c r="R268" i="55"/>
  <c r="R267" i="55"/>
  <c r="R266" i="55"/>
  <c r="R265" i="55"/>
  <c r="R264" i="55"/>
  <c r="R263" i="55"/>
  <c r="R262" i="55"/>
  <c r="R261" i="55"/>
  <c r="R260" i="55"/>
  <c r="R259" i="55"/>
  <c r="R258" i="55"/>
  <c r="R257" i="55"/>
  <c r="R256" i="55"/>
  <c r="R255" i="55"/>
  <c r="R254" i="55"/>
  <c r="R253" i="55"/>
  <c r="R252" i="55"/>
  <c r="R251" i="55"/>
  <c r="R250" i="55"/>
  <c r="R249" i="55"/>
  <c r="R248" i="55"/>
  <c r="R247" i="55"/>
  <c r="R246" i="55"/>
  <c r="R245" i="55"/>
  <c r="R244" i="55"/>
  <c r="R243" i="55"/>
  <c r="R242" i="55"/>
  <c r="R241" i="55"/>
  <c r="R240" i="55"/>
  <c r="R239" i="55"/>
  <c r="R238" i="55"/>
  <c r="R237" i="55"/>
  <c r="R236" i="55"/>
  <c r="R235" i="55"/>
  <c r="R234" i="55"/>
  <c r="R233" i="55"/>
  <c r="R232" i="55"/>
  <c r="R231" i="55"/>
  <c r="R230" i="55"/>
  <c r="R229" i="55"/>
  <c r="R228" i="55"/>
  <c r="R227" i="55"/>
  <c r="R226" i="55"/>
  <c r="R225" i="55"/>
  <c r="R224" i="55"/>
  <c r="R223" i="55"/>
  <c r="R222" i="55"/>
  <c r="R221" i="55"/>
  <c r="R220" i="55"/>
  <c r="R219" i="55"/>
  <c r="R218" i="55"/>
  <c r="R217" i="55"/>
  <c r="R216" i="55"/>
  <c r="R215" i="55"/>
  <c r="R214" i="55"/>
  <c r="R213" i="55"/>
  <c r="R212" i="55"/>
  <c r="R211" i="55"/>
  <c r="R210" i="55"/>
  <c r="R209" i="55"/>
  <c r="R208" i="55"/>
  <c r="R207" i="55"/>
  <c r="R206" i="55"/>
  <c r="R205" i="55"/>
  <c r="R204" i="55"/>
  <c r="R203" i="55"/>
  <c r="R202" i="55"/>
  <c r="R201" i="55"/>
  <c r="R200" i="55"/>
  <c r="R199" i="55"/>
  <c r="R198" i="55"/>
  <c r="R197" i="55"/>
  <c r="R196" i="55"/>
  <c r="R195" i="55"/>
  <c r="R194" i="55"/>
  <c r="R193" i="55"/>
  <c r="R192" i="55"/>
  <c r="R191" i="55"/>
  <c r="R190" i="55"/>
  <c r="R189" i="55"/>
  <c r="R188" i="55"/>
  <c r="R187" i="55"/>
  <c r="R186" i="55"/>
  <c r="R185" i="55"/>
  <c r="R184" i="55"/>
  <c r="R183" i="55"/>
  <c r="R182" i="55"/>
  <c r="R181" i="55"/>
  <c r="R180" i="55"/>
  <c r="R179" i="55"/>
  <c r="R178" i="55"/>
  <c r="R177" i="55"/>
  <c r="R176" i="55"/>
  <c r="R175" i="55"/>
  <c r="R174" i="55"/>
  <c r="R173" i="55"/>
  <c r="R172" i="55"/>
  <c r="R171" i="55"/>
  <c r="R170" i="55"/>
  <c r="R169" i="55"/>
  <c r="R168" i="55"/>
  <c r="R167" i="55"/>
  <c r="R166" i="55"/>
  <c r="R165" i="55"/>
  <c r="R164" i="55"/>
  <c r="R163" i="55"/>
  <c r="R162" i="55"/>
  <c r="R161" i="55"/>
  <c r="R160" i="55"/>
  <c r="R159" i="55"/>
  <c r="R158" i="55"/>
  <c r="R157" i="55"/>
  <c r="R156" i="55"/>
  <c r="R155" i="55"/>
  <c r="R154" i="55"/>
  <c r="R153" i="55"/>
  <c r="R152" i="55"/>
  <c r="R151" i="55"/>
  <c r="R150" i="55"/>
  <c r="R149" i="55"/>
  <c r="R148" i="55"/>
  <c r="R147" i="55"/>
  <c r="R146" i="55"/>
  <c r="R145" i="55"/>
  <c r="R144" i="55"/>
  <c r="R143" i="55"/>
  <c r="R142" i="55"/>
  <c r="R141" i="55"/>
  <c r="R140" i="55"/>
  <c r="R139" i="55"/>
  <c r="R138" i="55"/>
  <c r="R137" i="55"/>
  <c r="R136" i="55"/>
  <c r="R135" i="55"/>
  <c r="R134" i="55"/>
  <c r="R133" i="55"/>
  <c r="R132" i="55"/>
  <c r="R131" i="55"/>
  <c r="R130" i="55"/>
  <c r="R129" i="55"/>
  <c r="R128" i="55"/>
  <c r="R127" i="55"/>
  <c r="R126" i="55"/>
  <c r="R125" i="55"/>
  <c r="R124" i="55"/>
  <c r="R123" i="55"/>
  <c r="R122" i="55"/>
  <c r="R121" i="55"/>
  <c r="R120" i="55"/>
  <c r="R119" i="55"/>
  <c r="R118" i="55"/>
  <c r="R117" i="55"/>
  <c r="R116" i="55"/>
  <c r="R115" i="55"/>
  <c r="R114" i="55"/>
  <c r="R113" i="55"/>
  <c r="R112" i="55"/>
  <c r="R111" i="55"/>
  <c r="R110" i="55"/>
  <c r="R109" i="55"/>
  <c r="R108" i="55"/>
  <c r="R107" i="55"/>
  <c r="R106" i="55"/>
  <c r="R105" i="55"/>
  <c r="R104" i="55"/>
  <c r="R103" i="55"/>
  <c r="R102" i="55"/>
  <c r="R101" i="55"/>
  <c r="R100" i="55"/>
  <c r="R99" i="55"/>
  <c r="R98" i="55"/>
  <c r="R97" i="55"/>
  <c r="R96" i="55"/>
  <c r="R95" i="55"/>
  <c r="R94" i="55"/>
  <c r="R93" i="55"/>
  <c r="R92" i="55"/>
  <c r="R91" i="55"/>
  <c r="R90" i="55"/>
  <c r="R89" i="55"/>
  <c r="R88" i="55"/>
  <c r="R87" i="55"/>
  <c r="R86" i="55"/>
  <c r="R85" i="55"/>
  <c r="R84" i="55"/>
  <c r="R83" i="55"/>
  <c r="R82" i="55"/>
  <c r="R81" i="55"/>
  <c r="R80" i="55"/>
  <c r="R79" i="55"/>
  <c r="R78" i="55"/>
  <c r="R77" i="55"/>
  <c r="R76" i="55"/>
  <c r="R75" i="55"/>
  <c r="R74" i="55"/>
  <c r="R73" i="55"/>
  <c r="R72" i="55"/>
  <c r="R71" i="55"/>
  <c r="R70" i="55"/>
  <c r="R69" i="55"/>
  <c r="R68" i="55"/>
  <c r="R67" i="55"/>
  <c r="R66" i="55"/>
  <c r="R65" i="55"/>
  <c r="R64" i="55"/>
  <c r="R63" i="55"/>
  <c r="R60" i="55"/>
  <c r="R59" i="55"/>
  <c r="R58" i="55"/>
  <c r="R57" i="55"/>
  <c r="R56" i="55"/>
  <c r="R55" i="55"/>
  <c r="R54" i="55"/>
  <c r="R53" i="55"/>
  <c r="R52" i="55"/>
  <c r="R51" i="55"/>
  <c r="R50" i="55"/>
  <c r="R49" i="55"/>
  <c r="R48" i="55"/>
  <c r="R47" i="55"/>
  <c r="R46" i="55"/>
  <c r="R45" i="55"/>
  <c r="R44" i="55"/>
  <c r="R43" i="55"/>
  <c r="R42" i="55"/>
  <c r="R41" i="55"/>
  <c r="R40" i="55"/>
  <c r="R39" i="55"/>
  <c r="R38" i="55"/>
  <c r="R37" i="55"/>
  <c r="R36" i="55"/>
  <c r="R35" i="55"/>
  <c r="R34" i="55"/>
  <c r="R33" i="55"/>
  <c r="R31" i="55"/>
  <c r="R30" i="55"/>
  <c r="R29" i="55"/>
  <c r="R28" i="55"/>
  <c r="R27" i="55"/>
  <c r="R26" i="55"/>
  <c r="R25" i="55"/>
  <c r="R24" i="55"/>
  <c r="R23" i="55"/>
  <c r="R22" i="55"/>
  <c r="R21" i="55"/>
  <c r="R20" i="55"/>
  <c r="R19" i="55"/>
  <c r="R18" i="55"/>
  <c r="R17" i="55"/>
  <c r="R16" i="55"/>
  <c r="R13" i="55"/>
  <c r="R12" i="55"/>
  <c r="R11" i="55"/>
  <c r="R10" i="55"/>
  <c r="R9" i="55"/>
  <c r="R8" i="55"/>
  <c r="R7" i="55"/>
  <c r="R6" i="55"/>
  <c r="R5" i="55"/>
  <c r="R202" i="53"/>
  <c r="A2732" i="55" l="1"/>
  <c r="H42" i="20" l="1"/>
  <c r="A1" i="44" l="1"/>
  <c r="A1972" i="55" l="1"/>
  <c r="A1973" i="55"/>
  <c r="A1974" i="55"/>
  <c r="A1975" i="55"/>
  <c r="A1976" i="55"/>
  <c r="A1977" i="55"/>
  <c r="A1978" i="55"/>
  <c r="A1979" i="55"/>
  <c r="A1980" i="55"/>
  <c r="A1981" i="55"/>
  <c r="A1982" i="55"/>
  <c r="A1983" i="55"/>
  <c r="A1984" i="55"/>
  <c r="A1985" i="55"/>
  <c r="A1986" i="55"/>
  <c r="A1987" i="55"/>
  <c r="A1988" i="55"/>
  <c r="A1989" i="55"/>
  <c r="A1990" i="55"/>
  <c r="A1991" i="55"/>
  <c r="A1992" i="55"/>
  <c r="A1993" i="55"/>
  <c r="A1994" i="55"/>
  <c r="A1995" i="55"/>
  <c r="A1996" i="55"/>
  <c r="A1997" i="55"/>
  <c r="A1998" i="55"/>
  <c r="A1999" i="55"/>
  <c r="A2000" i="55"/>
  <c r="A2001" i="55"/>
  <c r="A2002" i="55"/>
  <c r="A2003" i="55"/>
  <c r="A2004" i="55"/>
  <c r="A2005" i="55"/>
  <c r="A2006" i="55"/>
  <c r="A2007" i="55"/>
  <c r="A2008" i="55"/>
  <c r="A2009" i="55"/>
  <c r="A2010" i="55"/>
  <c r="A2011" i="55"/>
  <c r="A2012" i="55"/>
  <c r="A2013" i="55"/>
  <c r="A2014" i="55"/>
  <c r="A2015" i="55"/>
  <c r="A2016" i="55"/>
  <c r="A2017" i="55"/>
  <c r="A2018" i="55"/>
  <c r="A2019" i="55"/>
  <c r="A2020" i="55"/>
  <c r="A2021" i="55"/>
  <c r="A2022" i="55"/>
  <c r="A2023" i="55"/>
  <c r="A2024" i="55"/>
  <c r="A2025" i="55"/>
  <c r="A2026" i="55"/>
  <c r="A2027" i="55"/>
  <c r="A2028" i="55"/>
  <c r="A2029" i="55"/>
  <c r="A2030" i="55"/>
  <c r="A2031" i="55"/>
  <c r="A2032" i="55"/>
  <c r="A2033" i="55"/>
  <c r="A2034" i="55"/>
  <c r="A2035" i="55"/>
  <c r="A2036" i="55"/>
  <c r="A2037" i="55"/>
  <c r="A2038" i="55"/>
  <c r="A2039" i="55"/>
  <c r="A2040" i="55"/>
  <c r="A2041" i="55"/>
  <c r="A2042" i="55"/>
  <c r="A2043" i="55"/>
  <c r="A2044" i="55"/>
  <c r="A2045" i="55"/>
  <c r="A2046" i="55"/>
  <c r="A2047" i="55"/>
  <c r="A2048" i="55"/>
  <c r="A2049" i="55"/>
  <c r="A2050" i="55"/>
  <c r="A2051" i="55"/>
  <c r="A2052" i="55"/>
  <c r="A2053" i="55"/>
  <c r="A2054" i="55"/>
  <c r="A2055" i="55"/>
  <c r="A2056" i="55"/>
  <c r="A2057" i="55"/>
  <c r="A2058" i="55"/>
  <c r="A2059" i="55"/>
  <c r="A2060" i="55"/>
  <c r="A2061" i="55"/>
  <c r="A2062" i="55"/>
  <c r="A2063" i="55"/>
  <c r="A2064" i="55"/>
  <c r="A2065" i="55"/>
  <c r="A2066" i="55"/>
  <c r="A2067" i="55"/>
  <c r="A2068" i="55"/>
  <c r="A2069" i="55"/>
  <c r="A2070" i="55"/>
  <c r="A2071" i="55"/>
  <c r="A2072" i="55"/>
  <c r="A2073" i="55"/>
  <c r="A2074" i="55"/>
  <c r="A2075" i="55"/>
  <c r="A2076" i="55"/>
  <c r="A2077" i="55"/>
  <c r="A2078" i="55"/>
  <c r="A2079" i="55"/>
  <c r="A2080" i="55"/>
  <c r="A2081" i="55"/>
  <c r="A2082" i="55"/>
  <c r="A2083" i="55"/>
  <c r="A2084" i="55"/>
  <c r="A2085" i="55"/>
  <c r="A2086" i="55"/>
  <c r="A2087" i="55"/>
  <c r="A2088" i="55"/>
  <c r="A2089" i="55"/>
  <c r="A2090" i="55"/>
  <c r="A2091" i="55"/>
  <c r="A2092" i="55"/>
  <c r="A2093" i="55"/>
  <c r="A2094" i="55"/>
  <c r="A2095" i="55"/>
  <c r="A2096" i="55"/>
  <c r="A2097" i="55"/>
  <c r="A2098" i="55"/>
  <c r="A2099" i="55"/>
  <c r="A2100" i="55"/>
  <c r="A2101" i="55"/>
  <c r="A2102" i="55"/>
  <c r="A2103" i="55"/>
  <c r="A2104" i="55"/>
  <c r="A2105" i="55"/>
  <c r="A2106" i="55"/>
  <c r="A2107" i="55"/>
  <c r="A2108" i="55"/>
  <c r="A2109" i="55"/>
  <c r="A2110" i="55"/>
  <c r="A2111" i="55"/>
  <c r="A2112" i="55"/>
  <c r="A2113" i="55"/>
  <c r="A2114" i="55"/>
  <c r="A2115" i="55"/>
  <c r="A2116" i="55"/>
  <c r="A2117" i="55"/>
  <c r="A2118" i="55"/>
  <c r="A2119" i="55"/>
  <c r="A2120" i="55"/>
  <c r="A2121" i="55"/>
  <c r="A2122" i="55"/>
  <c r="A2123" i="55"/>
  <c r="A2124" i="55"/>
  <c r="A2125" i="55"/>
  <c r="A2126" i="55"/>
  <c r="A2127" i="55"/>
  <c r="A2128" i="55"/>
  <c r="A2129" i="55"/>
  <c r="A2130" i="55"/>
  <c r="A2131" i="55"/>
  <c r="A2132" i="55"/>
  <c r="A2133" i="55"/>
  <c r="A2134" i="55"/>
  <c r="A2135" i="55"/>
  <c r="A2136" i="55"/>
  <c r="A2137" i="55"/>
  <c r="A2138" i="55"/>
  <c r="A2139" i="55"/>
  <c r="A2140" i="55"/>
  <c r="A2141" i="55"/>
  <c r="A2142" i="55"/>
  <c r="A2143" i="55"/>
  <c r="A2144" i="55"/>
  <c r="A2145" i="55"/>
  <c r="A2146" i="55"/>
  <c r="A2147" i="55"/>
  <c r="A2148" i="55"/>
  <c r="A2149" i="55"/>
  <c r="A2150" i="55"/>
  <c r="A2151" i="55"/>
  <c r="A2152" i="55"/>
  <c r="A2153" i="55"/>
  <c r="A2154" i="55"/>
  <c r="A2155" i="55"/>
  <c r="A2156" i="55"/>
  <c r="A2157" i="55"/>
  <c r="A2158" i="55"/>
  <c r="A2159" i="55"/>
  <c r="A2160" i="55"/>
  <c r="A2161" i="55"/>
  <c r="A2162" i="55"/>
  <c r="A2163" i="55"/>
  <c r="A2164" i="55"/>
  <c r="A2165" i="55"/>
  <c r="A2166" i="55"/>
  <c r="A2167" i="55"/>
  <c r="A2168" i="55"/>
  <c r="A2169" i="55"/>
  <c r="A2170" i="55"/>
  <c r="A2171" i="55"/>
  <c r="A2172" i="55"/>
  <c r="A2173" i="55"/>
  <c r="A2174" i="55"/>
  <c r="A2175" i="55"/>
  <c r="A2176" i="55"/>
  <c r="A2177" i="55"/>
  <c r="A2178" i="55"/>
  <c r="A2179" i="55"/>
  <c r="A2180" i="55"/>
  <c r="A2181" i="55"/>
  <c r="A2182" i="55"/>
  <c r="A2183" i="55"/>
  <c r="A2184" i="55"/>
  <c r="A2185" i="55"/>
  <c r="A2186" i="55"/>
  <c r="A2187" i="55"/>
  <c r="A2188" i="55"/>
  <c r="A2189" i="55"/>
  <c r="A2190" i="55"/>
  <c r="A2191" i="55"/>
  <c r="A2192" i="55"/>
  <c r="A2193" i="55"/>
  <c r="A2194" i="55"/>
  <c r="A2195" i="55"/>
  <c r="A2196" i="55"/>
  <c r="A2197" i="55"/>
  <c r="A2198" i="55"/>
  <c r="A2199" i="55"/>
  <c r="A2200" i="55"/>
  <c r="A2201" i="55"/>
  <c r="A2202" i="55"/>
  <c r="A2203" i="55"/>
  <c r="A2204" i="55"/>
  <c r="A2205" i="55"/>
  <c r="A2206" i="55"/>
  <c r="A2207" i="55"/>
  <c r="A2208" i="55"/>
  <c r="A2209" i="55"/>
  <c r="A2210" i="55"/>
  <c r="A2211" i="55"/>
  <c r="A2212" i="55"/>
  <c r="A2213" i="55"/>
  <c r="A2214" i="55"/>
  <c r="A2215" i="55"/>
  <c r="A2216" i="55"/>
  <c r="A2217" i="55"/>
  <c r="A2218" i="55"/>
  <c r="A2219" i="55"/>
  <c r="A2220" i="55"/>
  <c r="A2221" i="55"/>
  <c r="A2222" i="55"/>
  <c r="A2223" i="55"/>
  <c r="A2224" i="55"/>
  <c r="A2225" i="55"/>
  <c r="A2226" i="55"/>
  <c r="A2227" i="55"/>
  <c r="A2228" i="55"/>
  <c r="A2229" i="55"/>
  <c r="A2230" i="55"/>
  <c r="A2231" i="55"/>
  <c r="A2232" i="55"/>
  <c r="A2233" i="55"/>
  <c r="A2234" i="55"/>
  <c r="A2235" i="55"/>
  <c r="A2236" i="55"/>
  <c r="A2237" i="55"/>
  <c r="A2238" i="55"/>
  <c r="A2239" i="55"/>
  <c r="A2240" i="55"/>
  <c r="A2241" i="55"/>
  <c r="A2242" i="55"/>
  <c r="A2243" i="55"/>
  <c r="A2244" i="55"/>
  <c r="A2245" i="55"/>
  <c r="A2246" i="55"/>
  <c r="A2247" i="55"/>
  <c r="A2248" i="55"/>
  <c r="A2249" i="55"/>
  <c r="A2250" i="55"/>
  <c r="A2251" i="55"/>
  <c r="A2252" i="55"/>
  <c r="A2253" i="55"/>
  <c r="A2254" i="55"/>
  <c r="A2255" i="55"/>
  <c r="A2256" i="55"/>
  <c r="A2257" i="55"/>
  <c r="A2258" i="55"/>
  <c r="A2259" i="55"/>
  <c r="A2260" i="55"/>
  <c r="A2261" i="55"/>
  <c r="A2262" i="55"/>
  <c r="A2263" i="55"/>
  <c r="A2264" i="55"/>
  <c r="A2265" i="55"/>
  <c r="J53" i="20" l="1"/>
  <c r="E24" i="20" s="1"/>
  <c r="K53" i="20"/>
  <c r="E25" i="20" s="1"/>
  <c r="R1598" i="53" l="1"/>
  <c r="G49" i="20"/>
  <c r="R691" i="53" l="1"/>
  <c r="G45" i="20"/>
  <c r="G44" i="20" l="1"/>
  <c r="R2069" i="53"/>
  <c r="H23" i="36" l="1"/>
  <c r="G23" i="36"/>
  <c r="E23" i="36"/>
  <c r="D23" i="36"/>
  <c r="C23" i="36"/>
  <c r="C11" i="46"/>
  <c r="C16" i="46"/>
  <c r="R2068" i="53" l="1"/>
  <c r="R2102" i="53"/>
  <c r="R1894" i="53"/>
  <c r="R1895" i="53"/>
  <c r="R1896" i="53"/>
  <c r="R1897" i="53"/>
  <c r="R1898" i="53"/>
  <c r="R1899" i="53"/>
  <c r="R1900" i="53"/>
  <c r="R1901" i="53"/>
  <c r="R1902" i="53"/>
  <c r="R1903" i="53"/>
  <c r="R1904" i="53"/>
  <c r="R1905" i="53"/>
  <c r="R1906" i="53"/>
  <c r="R1907" i="53"/>
  <c r="R2243" i="53"/>
  <c r="G48" i="20" l="1"/>
  <c r="R2348" i="53"/>
  <c r="R2340" i="53"/>
  <c r="R2322" i="53"/>
  <c r="R2321" i="53"/>
  <c r="R2320" i="53"/>
  <c r="G47" i="20"/>
  <c r="R2347" i="53"/>
  <c r="R2346" i="53"/>
  <c r="R2339" i="53"/>
  <c r="R2338" i="53"/>
  <c r="R2314" i="53"/>
  <c r="R2313" i="53"/>
  <c r="R2312" i="53"/>
  <c r="R2311" i="53"/>
  <c r="R2310" i="53"/>
  <c r="R2309" i="53"/>
  <c r="R2308" i="53"/>
  <c r="R2307" i="53"/>
  <c r="G46" i="20"/>
  <c r="R2337" i="53"/>
  <c r="R2365" i="53"/>
  <c r="R2364" i="53"/>
  <c r="R2336" i="53"/>
  <c r="R2319" i="53" l="1"/>
  <c r="R2318" i="53"/>
  <c r="R2317" i="53"/>
  <c r="R2316" i="53"/>
  <c r="R2315" i="53"/>
  <c r="R2306" i="53"/>
  <c r="R2305" i="53"/>
  <c r="R2304" i="53"/>
  <c r="R2279" i="53"/>
  <c r="R2278" i="53"/>
  <c r="R2363" i="53"/>
  <c r="R2362" i="53"/>
  <c r="R2361" i="53"/>
  <c r="R2360" i="53"/>
  <c r="R2359" i="53"/>
  <c r="R2358" i="53"/>
  <c r="R2335" i="53"/>
  <c r="R2334" i="53"/>
  <c r="R2303" i="53"/>
  <c r="R2302" i="53"/>
  <c r="R2301" i="53"/>
  <c r="R2300" i="53"/>
  <c r="R2299" i="53"/>
  <c r="R2298" i="53"/>
  <c r="R2297" i="53"/>
  <c r="R2296" i="53"/>
  <c r="R2295" i="53"/>
  <c r="R2294" i="53"/>
  <c r="R2293" i="53"/>
  <c r="R2277" i="53"/>
  <c r="R2276" i="53"/>
  <c r="R2239" i="53"/>
  <c r="R2238" i="53"/>
  <c r="R2237" i="53"/>
  <c r="R2236" i="53"/>
  <c r="R2235" i="53"/>
  <c r="R2109" i="53"/>
  <c r="R2108" i="53"/>
  <c r="R2085" i="53"/>
  <c r="R2084" i="53"/>
  <c r="R2083" i="53"/>
  <c r="R2082" i="53"/>
  <c r="R2081" i="53"/>
  <c r="R2080" i="53"/>
  <c r="R2041" i="53" l="1"/>
  <c r="R2040" i="53"/>
  <c r="R2039" i="53"/>
  <c r="R2038" i="53"/>
  <c r="R2037" i="53"/>
  <c r="R2036" i="53"/>
  <c r="R2035" i="53"/>
  <c r="R2034" i="53"/>
  <c r="R2033" i="53"/>
  <c r="R1839" i="53" l="1"/>
  <c r="R1818" i="53"/>
  <c r="R1817" i="53"/>
  <c r="R1816" i="53"/>
  <c r="R1815" i="53"/>
  <c r="R1689" i="53"/>
  <c r="R1514" i="53"/>
  <c r="R1515" i="53"/>
  <c r="R2258" i="53" l="1"/>
  <c r="R2257" i="53"/>
  <c r="R2230" i="53"/>
  <c r="R2229" i="53"/>
  <c r="R2228" i="53"/>
  <c r="R2227" i="53"/>
  <c r="R2234" i="53"/>
  <c r="R2233" i="53"/>
  <c r="R2232" i="53"/>
  <c r="R2231" i="53"/>
  <c r="R2107" i="53"/>
  <c r="R2106" i="53"/>
  <c r="R2105" i="53"/>
  <c r="R2104" i="53"/>
  <c r="R2103" i="53"/>
  <c r="R2079" i="53"/>
  <c r="R2078" i="53"/>
  <c r="R2057" i="53"/>
  <c r="R2056" i="53"/>
  <c r="R2018" i="53"/>
  <c r="R2017" i="53"/>
  <c r="R2016" i="53"/>
  <c r="R2015" i="53"/>
  <c r="R2014" i="53"/>
  <c r="R2013" i="53"/>
  <c r="R2012" i="53"/>
  <c r="R2011" i="53"/>
  <c r="R2010" i="53"/>
  <c r="R2009" i="53"/>
  <c r="R2008" i="53"/>
  <c r="R2007" i="53"/>
  <c r="R2006" i="53"/>
  <c r="R2005" i="53"/>
  <c r="R2004" i="53"/>
  <c r="R2003" i="53"/>
  <c r="R1836" i="53"/>
  <c r="R1838" i="53"/>
  <c r="R1837" i="53"/>
  <c r="R1688" i="53"/>
  <c r="R1687" i="53"/>
  <c r="R1686" i="53"/>
  <c r="R1685" i="53"/>
  <c r="R1665" i="53"/>
  <c r="R1664" i="53"/>
  <c r="R1663" i="53"/>
  <c r="R1560" i="53" l="1"/>
  <c r="R1520" i="53"/>
  <c r="R1519" i="53"/>
  <c r="R1518" i="53"/>
  <c r="R1522" i="53"/>
  <c r="R1521" i="53"/>
  <c r="R1494" i="53"/>
  <c r="R1493" i="53"/>
  <c r="R1492" i="53"/>
  <c r="R1491" i="53"/>
  <c r="R1490" i="53"/>
  <c r="R1489" i="53"/>
  <c r="R1330" i="53"/>
  <c r="R1329" i="53"/>
  <c r="R1268" i="53"/>
  <c r="R1267" i="53"/>
  <c r="R1266" i="53"/>
  <c r="R1265" i="53"/>
  <c r="R1206" i="53" l="1"/>
  <c r="R1205" i="53"/>
  <c r="R1176" i="53"/>
  <c r="R1175" i="53"/>
  <c r="R1150" i="53" l="1"/>
  <c r="R1149" i="53"/>
  <c r="R1148" i="53"/>
  <c r="R1147" i="53"/>
  <c r="R1114" i="53" l="1"/>
  <c r="R1113" i="53"/>
  <c r="R1112" i="53"/>
  <c r="R1111" i="53"/>
  <c r="R1110" i="53"/>
  <c r="R1109" i="53"/>
  <c r="R1108" i="53"/>
  <c r="R1107" i="53"/>
  <c r="R965" i="53"/>
  <c r="R964" i="53"/>
  <c r="R963" i="53"/>
  <c r="R811" i="53" l="1"/>
  <c r="R810" i="53"/>
  <c r="R809" i="53"/>
  <c r="R808" i="53"/>
  <c r="R807" i="53"/>
  <c r="R806" i="53"/>
  <c r="R805" i="53"/>
  <c r="R838" i="53"/>
  <c r="R837" i="53"/>
  <c r="R836" i="53"/>
  <c r="R2226" i="53"/>
  <c r="R1374" i="53"/>
  <c r="R2225" i="53"/>
  <c r="R2076" i="53"/>
  <c r="R2077" i="53"/>
  <c r="R2067" i="53"/>
  <c r="R2055" i="53"/>
  <c r="R2032" i="53"/>
  <c r="R2031" i="53"/>
  <c r="R2002" i="53" l="1"/>
  <c r="R2001" i="53"/>
  <c r="R2000" i="53"/>
  <c r="R1999" i="53"/>
  <c r="R1998" i="53"/>
  <c r="R1997" i="53"/>
  <c r="R1996" i="53"/>
  <c r="R1835" i="53"/>
  <c r="R1814" i="53"/>
  <c r="R1251" i="53" l="1"/>
  <c r="R1252" i="53"/>
  <c r="R1559" i="53"/>
  <c r="R1517" i="53"/>
  <c r="R1488" i="53"/>
  <c r="R1487" i="53"/>
  <c r="R1486" i="53"/>
  <c r="R1485" i="53"/>
  <c r="R1484" i="53"/>
  <c r="R1375" i="53"/>
  <c r="R1373" i="53"/>
  <c r="R1355" i="53"/>
  <c r="R1146" i="53"/>
  <c r="R1145" i="53"/>
  <c r="R1144" i="53"/>
  <c r="R1106" i="53"/>
  <c r="R1105" i="53"/>
  <c r="R2224" i="53"/>
  <c r="R2223" i="53"/>
  <c r="R2111" i="53"/>
  <c r="R2054" i="53"/>
  <c r="R1995" i="53"/>
  <c r="R1834" i="53"/>
  <c r="R1833" i="53"/>
  <c r="R1662" i="53"/>
  <c r="R1558" i="53"/>
  <c r="R1516" i="53"/>
  <c r="R1483" i="53"/>
  <c r="R1482" i="53"/>
  <c r="R1481" i="53"/>
  <c r="R1104" i="53"/>
  <c r="R1103" i="53"/>
  <c r="R1102" i="53"/>
  <c r="R1101" i="53"/>
  <c r="R1100" i="53"/>
  <c r="R1099" i="53"/>
  <c r="R835" i="53"/>
  <c r="R791" i="53"/>
  <c r="R2357" i="53" l="1"/>
  <c r="R2356" i="53"/>
  <c r="R2355" i="53"/>
  <c r="R2222" i="53"/>
  <c r="R2066" i="53"/>
  <c r="R2053" i="53"/>
  <c r="R2052" i="53"/>
  <c r="R2051" i="53"/>
  <c r="R2030" i="53"/>
  <c r="R1994" i="53"/>
  <c r="R1993" i="53"/>
  <c r="R1992" i="53"/>
  <c r="R1991" i="53"/>
  <c r="R1990" i="53"/>
  <c r="R1989" i="53"/>
  <c r="R1988" i="53"/>
  <c r="R1987" i="53"/>
  <c r="R1986" i="53"/>
  <c r="R1832" i="53"/>
  <c r="R1831" i="53"/>
  <c r="R1830" i="53"/>
  <c r="R1619" i="53"/>
  <c r="R1618" i="53"/>
  <c r="R1617" i="53"/>
  <c r="R1597" i="53"/>
  <c r="R1596" i="53"/>
  <c r="R1595" i="53"/>
  <c r="R1594" i="53"/>
  <c r="R1593" i="53"/>
  <c r="R1580" i="53"/>
  <c r="R1557" i="53"/>
  <c r="R1480" i="53"/>
  <c r="R1479" i="53"/>
  <c r="R1478" i="53"/>
  <c r="R2354" i="53"/>
  <c r="R2353" i="53"/>
  <c r="R2352" i="53"/>
  <c r="R2351" i="53"/>
  <c r="R1354" i="53"/>
  <c r="R1328" i="53"/>
  <c r="R1240" i="53"/>
  <c r="R1239" i="53"/>
  <c r="R2350" i="53"/>
  <c r="R2349" i="53"/>
  <c r="R1204" i="53"/>
  <c r="R1203" i="53"/>
  <c r="R834" i="53"/>
  <c r="R1661" i="53"/>
  <c r="R1660" i="53"/>
  <c r="R1659" i="53"/>
  <c r="R1658" i="53"/>
  <c r="R1657" i="53"/>
  <c r="R1656" i="53"/>
  <c r="R1655" i="53"/>
  <c r="R1616" i="53"/>
  <c r="R1615" i="53"/>
  <c r="R1614" i="53"/>
  <c r="R1613" i="53"/>
  <c r="R1612" i="53"/>
  <c r="R1611" i="53"/>
  <c r="R1513" i="53"/>
  <c r="R1512" i="53"/>
  <c r="R1511" i="53"/>
  <c r="R1477" i="53"/>
  <c r="R1476" i="53"/>
  <c r="R1475" i="53"/>
  <c r="R1474" i="53"/>
  <c r="R1473" i="53"/>
  <c r="R1472" i="53"/>
  <c r="R1353" i="53"/>
  <c r="R1352" i="53"/>
  <c r="R1327" i="53"/>
  <c r="R1326" i="53"/>
  <c r="R1238" i="53"/>
  <c r="R1237" i="53"/>
  <c r="R1236" i="53"/>
  <c r="R1235" i="53"/>
  <c r="R1234" i="53"/>
  <c r="R1202" i="53"/>
  <c r="R1201" i="53"/>
  <c r="R1173" i="53"/>
  <c r="R1174" i="53"/>
  <c r="R1098" i="53"/>
  <c r="R1097" i="53"/>
  <c r="R1096" i="53"/>
  <c r="R1095" i="53"/>
  <c r="R1094" i="53"/>
  <c r="R1093" i="53"/>
  <c r="R1092" i="53"/>
  <c r="R1091" i="53"/>
  <c r="R1090" i="53"/>
  <c r="R959" i="53"/>
  <c r="R958" i="53"/>
  <c r="R957" i="53"/>
  <c r="R956" i="53"/>
  <c r="R962" i="53"/>
  <c r="R961" i="53"/>
  <c r="R960" i="53"/>
  <c r="R2218" i="53" l="1"/>
  <c r="R2219" i="53"/>
  <c r="R2221" i="53"/>
  <c r="R2220" i="53"/>
  <c r="R2217" i="53"/>
  <c r="R2216" i="53"/>
  <c r="R2215" i="53"/>
  <c r="R2214" i="53"/>
  <c r="R2213" i="53"/>
  <c r="R2212" i="53"/>
  <c r="R2211" i="53"/>
  <c r="R2210" i="53"/>
  <c r="R2209" i="53"/>
  <c r="R2208" i="53"/>
  <c r="R2205" i="53"/>
  <c r="R2207" i="53"/>
  <c r="R2206" i="53"/>
  <c r="R2204" i="53"/>
  <c r="R2203" i="53"/>
  <c r="R2202" i="53"/>
  <c r="R2201" i="53"/>
  <c r="R2200" i="53"/>
  <c r="R2199" i="53"/>
  <c r="R2198" i="53"/>
  <c r="R2197" i="53"/>
  <c r="R2196" i="53"/>
  <c r="R2195" i="53"/>
  <c r="R2194" i="53"/>
  <c r="R2193" i="53"/>
  <c r="R2192" i="53"/>
  <c r="R1973" i="53"/>
  <c r="R1985" i="53"/>
  <c r="R1984" i="53"/>
  <c r="R1983" i="53"/>
  <c r="R1982" i="53"/>
  <c r="R1981" i="53"/>
  <c r="R1980" i="53"/>
  <c r="R1979" i="53"/>
  <c r="R1978" i="53"/>
  <c r="R1977" i="53"/>
  <c r="R1976" i="53"/>
  <c r="R1975" i="53"/>
  <c r="R1974" i="53"/>
  <c r="R1972" i="53"/>
  <c r="R1971" i="53"/>
  <c r="R1970" i="53"/>
  <c r="R1969" i="53"/>
  <c r="R1968" i="53"/>
  <c r="R1967" i="53"/>
  <c r="R1966" i="53"/>
  <c r="R1965" i="53"/>
  <c r="R1964" i="53"/>
  <c r="R1963" i="53"/>
  <c r="R1962" i="53"/>
  <c r="R1961" i="53"/>
  <c r="R1960" i="53"/>
  <c r="R1959" i="53"/>
  <c r="R1958" i="53"/>
  <c r="R1957" i="53"/>
  <c r="R1956" i="53"/>
  <c r="R1955" i="53"/>
  <c r="R1954" i="53"/>
  <c r="R1953" i="53"/>
  <c r="R1952" i="53"/>
  <c r="R1951" i="53"/>
  <c r="R1950" i="53"/>
  <c r="R1949" i="53"/>
  <c r="R1948" i="53"/>
  <c r="R1947" i="53"/>
  <c r="R1946" i="53"/>
  <c r="R1945" i="53"/>
  <c r="R1944" i="53"/>
  <c r="R1943" i="53"/>
  <c r="R1942" i="53"/>
  <c r="R1941" i="53"/>
  <c r="R1940" i="53"/>
  <c r="R1939" i="53"/>
  <c r="R1938" i="53"/>
  <c r="R1937" i="53"/>
  <c r="R1936" i="53"/>
  <c r="R1935" i="53"/>
  <c r="R1934" i="53"/>
  <c r="R1933" i="53"/>
  <c r="R1932" i="53"/>
  <c r="R1931" i="53"/>
  <c r="R1930" i="53"/>
  <c r="R1929" i="53"/>
  <c r="R1928" i="53"/>
  <c r="R1927" i="53"/>
  <c r="R1926" i="53"/>
  <c r="R1925" i="53"/>
  <c r="R1924" i="53"/>
  <c r="R1923" i="53"/>
  <c r="R1922" i="53"/>
  <c r="R1921" i="53"/>
  <c r="R1920" i="53"/>
  <c r="R1919" i="53"/>
  <c r="R1918" i="53"/>
  <c r="R1917" i="53"/>
  <c r="R1916" i="53"/>
  <c r="R1915" i="53"/>
  <c r="R1914" i="53"/>
  <c r="R1913" i="53"/>
  <c r="R1912" i="53"/>
  <c r="R1911" i="53"/>
  <c r="R1910" i="53"/>
  <c r="R1909" i="53"/>
  <c r="R1908" i="53"/>
  <c r="R1840" i="53"/>
  <c r="R1829" i="53"/>
  <c r="R1828" i="53"/>
  <c r="R1827" i="53"/>
  <c r="R1826" i="53"/>
  <c r="R1825" i="53"/>
  <c r="R1813" i="53"/>
  <c r="R1812" i="53"/>
  <c r="R1811" i="53"/>
  <c r="R1810" i="53"/>
  <c r="R1809" i="53"/>
  <c r="R1682" i="53"/>
  <c r="R1680" i="53"/>
  <c r="R1684" i="53" l="1"/>
  <c r="R1683" i="53"/>
  <c r="R1681" i="53"/>
  <c r="R1679" i="53"/>
  <c r="R1678" i="53"/>
  <c r="R1677" i="53"/>
  <c r="R1676" i="53"/>
  <c r="R1675" i="53"/>
  <c r="R1674" i="53"/>
  <c r="R1652" i="53"/>
  <c r="R1645" i="53"/>
  <c r="R1654" i="53"/>
  <c r="R1653" i="53"/>
  <c r="R1651" i="53"/>
  <c r="R1650" i="53"/>
  <c r="R1649" i="53"/>
  <c r="R1648" i="53"/>
  <c r="R1647" i="53"/>
  <c r="R1646" i="53"/>
  <c r="R1644" i="53"/>
  <c r="R1639" i="53"/>
  <c r="R1629" i="53"/>
  <c r="R1628" i="53"/>
  <c r="R1627" i="53"/>
  <c r="R1626" i="53"/>
  <c r="R1625" i="53"/>
  <c r="R1624" i="53"/>
  <c r="R1623" i="53"/>
  <c r="R1610" i="53"/>
  <c r="R1609" i="53"/>
  <c r="R1608" i="53"/>
  <c r="R1607" i="53"/>
  <c r="R1606" i="53"/>
  <c r="R1592" i="53"/>
  <c r="R1591" i="53"/>
  <c r="R1590" i="53"/>
  <c r="R1589" i="53"/>
  <c r="R1588" i="53"/>
  <c r="R1587" i="53"/>
  <c r="R1586" i="53"/>
  <c r="R1571" i="53"/>
  <c r="R1579" i="53"/>
  <c r="R1578" i="53"/>
  <c r="R1577" i="53"/>
  <c r="R1576" i="53"/>
  <c r="R1575" i="53"/>
  <c r="R1574" i="53"/>
  <c r="R1573" i="53"/>
  <c r="R1572" i="53"/>
  <c r="R1570" i="53"/>
  <c r="R1569" i="53"/>
  <c r="R1551" i="53"/>
  <c r="R1549" i="53"/>
  <c r="R1545" i="53"/>
  <c r="R1556" i="53"/>
  <c r="R1555" i="53"/>
  <c r="R1554" i="53"/>
  <c r="R1553" i="53"/>
  <c r="R1552" i="53"/>
  <c r="R1550" i="53"/>
  <c r="R1548" i="53"/>
  <c r="R1547" i="53"/>
  <c r="R1546" i="53"/>
  <c r="R1544" i="53"/>
  <c r="R1543" i="53"/>
  <c r="R1542" i="53"/>
  <c r="R1541" i="53"/>
  <c r="R1540" i="53"/>
  <c r="R1539" i="53"/>
  <c r="R1538" i="53"/>
  <c r="R1537" i="53"/>
  <c r="R1510" i="53"/>
  <c r="R1509" i="53"/>
  <c r="R1508" i="53"/>
  <c r="R1507" i="53"/>
  <c r="R1506" i="53"/>
  <c r="R1505" i="53"/>
  <c r="R1504" i="53"/>
  <c r="R1497" i="53"/>
  <c r="R1498" i="53"/>
  <c r="R1496" i="53"/>
  <c r="R2341" i="53"/>
  <c r="R2345" i="53"/>
  <c r="R2344" i="53"/>
  <c r="R2343" i="53"/>
  <c r="R1471" i="53" l="1"/>
  <c r="R1470" i="53"/>
  <c r="R1469" i="53"/>
  <c r="R1468" i="53"/>
  <c r="R1467" i="53"/>
  <c r="R1466" i="53"/>
  <c r="R1465" i="53"/>
  <c r="R1464" i="53"/>
  <c r="R1463" i="53"/>
  <c r="R1462" i="53"/>
  <c r="R1461" i="53"/>
  <c r="R1460" i="53"/>
  <c r="R1459" i="53"/>
  <c r="R1458" i="53"/>
  <c r="R1457" i="53"/>
  <c r="R1456" i="53"/>
  <c r="R1455" i="53"/>
  <c r="R1454" i="53"/>
  <c r="R1453" i="53"/>
  <c r="R1452" i="53"/>
  <c r="R1451" i="53"/>
  <c r="R1450" i="53"/>
  <c r="R1372" i="53"/>
  <c r="R1371" i="53"/>
  <c r="R1370" i="53"/>
  <c r="R1369" i="53"/>
  <c r="R1368" i="53"/>
  <c r="R1367" i="53"/>
  <c r="R1351" i="53"/>
  <c r="R1350" i="53"/>
  <c r="R1349" i="53"/>
  <c r="R1348" i="53"/>
  <c r="R1347" i="53"/>
  <c r="R1346" i="53"/>
  <c r="R1325" i="53"/>
  <c r="R1324" i="53"/>
  <c r="R1323" i="53"/>
  <c r="R1322" i="53"/>
  <c r="R1321" i="53"/>
  <c r="R1320" i="53"/>
  <c r="R1319" i="53"/>
  <c r="R1318" i="53"/>
  <c r="R1317" i="53"/>
  <c r="R1316" i="53"/>
  <c r="R1262" i="53"/>
  <c r="R1261" i="53"/>
  <c r="R1264" i="53"/>
  <c r="R1263" i="53"/>
  <c r="R1260" i="53"/>
  <c r="R1259" i="53"/>
  <c r="R1258" i="53"/>
  <c r="R1257" i="53"/>
  <c r="R1228" i="53"/>
  <c r="R1233" i="53"/>
  <c r="R1232" i="53"/>
  <c r="R1231" i="53"/>
  <c r="R1230" i="53"/>
  <c r="R1229" i="53"/>
  <c r="R1227" i="53"/>
  <c r="R1226" i="53"/>
  <c r="R1225" i="53"/>
  <c r="R1200" i="53"/>
  <c r="R1199" i="53"/>
  <c r="R1198" i="53"/>
  <c r="R1197" i="53"/>
  <c r="R1196" i="53"/>
  <c r="R1195" i="53"/>
  <c r="R1172" i="53"/>
  <c r="R1171" i="53"/>
  <c r="R1170" i="53"/>
  <c r="R1169" i="53"/>
  <c r="R1143" i="53"/>
  <c r="R1141" i="53"/>
  <c r="R1142" i="53"/>
  <c r="R1140" i="53"/>
  <c r="R1139" i="53"/>
  <c r="R1138" i="53"/>
  <c r="R1137" i="53"/>
  <c r="R2333" i="53"/>
  <c r="R2332" i="53"/>
  <c r="R2331" i="53"/>
  <c r="R2330" i="53"/>
  <c r="R2327" i="53"/>
  <c r="R2326" i="53"/>
  <c r="R2325" i="53"/>
  <c r="R2324" i="53"/>
  <c r="R2323" i="53"/>
  <c r="R291" i="53"/>
  <c r="R1089" i="53"/>
  <c r="R1088" i="53"/>
  <c r="R1087" i="53"/>
  <c r="R1086" i="53"/>
  <c r="R1085" i="53"/>
  <c r="R1084" i="53"/>
  <c r="R1083" i="53"/>
  <c r="R1082" i="53"/>
  <c r="R1081" i="53"/>
  <c r="R1080" i="53"/>
  <c r="R1079" i="53"/>
  <c r="R1078" i="53"/>
  <c r="R1077" i="53"/>
  <c r="R1076" i="53"/>
  <c r="R1075" i="53"/>
  <c r="R1074" i="53"/>
  <c r="R1073" i="53"/>
  <c r="R1072" i="53"/>
  <c r="R1071" i="53"/>
  <c r="R1070" i="53"/>
  <c r="R1069" i="53"/>
  <c r="R1068" i="53"/>
  <c r="R1067" i="53"/>
  <c r="R1066" i="53"/>
  <c r="R1065" i="53"/>
  <c r="R1064" i="53"/>
  <c r="R1063" i="53"/>
  <c r="R1062" i="53"/>
  <c r="R1061" i="53"/>
  <c r="R1060" i="53"/>
  <c r="R1059" i="53"/>
  <c r="R1058" i="53"/>
  <c r="R1057" i="53"/>
  <c r="R1056" i="53"/>
  <c r="R1055" i="53"/>
  <c r="R1054" i="53"/>
  <c r="R1053" i="53"/>
  <c r="R1052" i="53"/>
  <c r="R1051" i="53"/>
  <c r="R1050" i="53"/>
  <c r="R1049" i="53"/>
  <c r="R1048" i="53"/>
  <c r="R1047" i="53"/>
  <c r="R1046" i="53"/>
  <c r="R1045" i="53"/>
  <c r="R1044" i="53"/>
  <c r="R1043" i="53"/>
  <c r="R1042" i="53"/>
  <c r="R1041" i="53"/>
  <c r="R1040" i="53"/>
  <c r="R1039" i="53"/>
  <c r="R1038" i="53"/>
  <c r="R1037" i="53"/>
  <c r="R1036" i="53"/>
  <c r="R1035" i="53"/>
  <c r="R1034" i="53"/>
  <c r="R1033" i="53"/>
  <c r="R1032" i="53"/>
  <c r="R1031" i="53"/>
  <c r="R955" i="53"/>
  <c r="R954" i="53"/>
  <c r="R953" i="53"/>
  <c r="R952" i="53"/>
  <c r="R174" i="53"/>
  <c r="R59" i="53"/>
  <c r="R42" i="53"/>
  <c r="R833" i="53"/>
  <c r="R832" i="53"/>
  <c r="R831" i="53"/>
  <c r="R830" i="53"/>
  <c r="R829" i="53"/>
  <c r="R828" i="53"/>
  <c r="R827" i="53"/>
  <c r="R804" i="53"/>
  <c r="R803" i="53"/>
  <c r="R790" i="53"/>
  <c r="R789" i="53"/>
  <c r="R788" i="53"/>
  <c r="R787" i="53"/>
  <c r="R786" i="53"/>
  <c r="R771" i="53"/>
  <c r="R772" i="53"/>
  <c r="R770" i="53"/>
  <c r="R769" i="53"/>
  <c r="R768" i="53"/>
  <c r="R767" i="53"/>
  <c r="R766" i="53"/>
  <c r="R765" i="53"/>
  <c r="R764" i="53"/>
  <c r="R763" i="53"/>
  <c r="R762" i="53"/>
  <c r="R777" i="53" l="1"/>
  <c r="R778" i="53"/>
  <c r="R779" i="53"/>
  <c r="R780" i="53"/>
  <c r="R781" i="53"/>
  <c r="R782" i="53"/>
  <c r="R783" i="53"/>
  <c r="R784" i="53"/>
  <c r="R785" i="53"/>
  <c r="R2292" i="53"/>
  <c r="R2291" i="53"/>
  <c r="R2290" i="53"/>
  <c r="R2289" i="53"/>
  <c r="R2288" i="53"/>
  <c r="R2285" i="53"/>
  <c r="R2284" i="53"/>
  <c r="R2282" i="53"/>
  <c r="R2281" i="53"/>
  <c r="R2280" i="53"/>
  <c r="R2275" i="53"/>
  <c r="R2274" i="53"/>
  <c r="R2273" i="53"/>
  <c r="R2272" i="53"/>
  <c r="R2271" i="53"/>
  <c r="R2266" i="53"/>
  <c r="R2252" i="53"/>
  <c r="R2256" i="53"/>
  <c r="R2255" i="53"/>
  <c r="R2254" i="53"/>
  <c r="R2253" i="53"/>
  <c r="R2251" i="53"/>
  <c r="R2250" i="53"/>
  <c r="R2249" i="53"/>
  <c r="R2244" i="53"/>
  <c r="R747" i="53"/>
  <c r="R746" i="53"/>
  <c r="R745" i="53"/>
  <c r="R744" i="53"/>
  <c r="R743" i="53"/>
  <c r="R742" i="53"/>
  <c r="R741" i="53"/>
  <c r="R740" i="53"/>
  <c r="R725" i="53"/>
  <c r="R723" i="53"/>
  <c r="R728" i="53"/>
  <c r="R727" i="53"/>
  <c r="R726" i="53"/>
  <c r="R724" i="53"/>
  <c r="R722" i="53"/>
  <c r="R721" i="53"/>
  <c r="R707" i="53"/>
  <c r="R706" i="53"/>
  <c r="R705" i="53"/>
  <c r="R704" i="53"/>
  <c r="R690" i="53"/>
  <c r="R689" i="53"/>
  <c r="R688" i="53"/>
  <c r="R687" i="53"/>
  <c r="R686" i="53"/>
  <c r="R685" i="53"/>
  <c r="R684" i="53"/>
  <c r="R683" i="53"/>
  <c r="R739" i="53"/>
  <c r="R738" i="53"/>
  <c r="R720" i="53"/>
  <c r="R672" i="53"/>
  <c r="R719" i="53"/>
  <c r="R671" i="53"/>
  <c r="R670" i="53"/>
  <c r="R669" i="53"/>
  <c r="R668" i="53"/>
  <c r="R667" i="53"/>
  <c r="R666" i="53"/>
  <c r="R665" i="53"/>
  <c r="R737" i="53"/>
  <c r="R736" i="53"/>
  <c r="R735" i="53"/>
  <c r="R703" i="53"/>
  <c r="R702" i="53"/>
  <c r="R682" i="53"/>
  <c r="R681" i="53"/>
  <c r="R560" i="53"/>
  <c r="R559" i="53"/>
  <c r="R558" i="53"/>
  <c r="R557" i="53"/>
  <c r="R554" i="53"/>
  <c r="R552" i="53"/>
  <c r="R551" i="53"/>
  <c r="R550" i="53"/>
  <c r="R549" i="53"/>
  <c r="R548" i="53"/>
  <c r="R547" i="53"/>
  <c r="R546" i="53"/>
  <c r="R545" i="53"/>
  <c r="R544" i="53"/>
  <c r="R543" i="53"/>
  <c r="R541" i="53"/>
  <c r="R540" i="53"/>
  <c r="R538" i="53"/>
  <c r="R537" i="53"/>
  <c r="R2075" i="53" l="1"/>
  <c r="R2074" i="53"/>
  <c r="R2073" i="53"/>
  <c r="R2065" i="53"/>
  <c r="R2064" i="53"/>
  <c r="R2063" i="53"/>
  <c r="R2062" i="53"/>
  <c r="R2050" i="53"/>
  <c r="R2047" i="53"/>
  <c r="R2046" i="53"/>
  <c r="R2045" i="53"/>
  <c r="R2043" i="53"/>
  <c r="R2042" i="53"/>
  <c r="R2029" i="53"/>
  <c r="R2028" i="53"/>
  <c r="R2027" i="53"/>
  <c r="R2026" i="53"/>
  <c r="R2019" i="53"/>
  <c r="R1893" i="53"/>
  <c r="R1892" i="53"/>
  <c r="R1891" i="53"/>
  <c r="R1890" i="53"/>
  <c r="R1889" i="53"/>
  <c r="R1888" i="53"/>
  <c r="R1887" i="53"/>
  <c r="R1886" i="53"/>
  <c r="R1885" i="53"/>
  <c r="R1884" i="53"/>
  <c r="R1883" i="53"/>
  <c r="R1882" i="53"/>
  <c r="R1881" i="53"/>
  <c r="R1880" i="53"/>
  <c r="R1879" i="53"/>
  <c r="R1878" i="53"/>
  <c r="R1877" i="53"/>
  <c r="R1876" i="53"/>
  <c r="R1875" i="53"/>
  <c r="R1874" i="53"/>
  <c r="R1873" i="53"/>
  <c r="R1872" i="53"/>
  <c r="R1871" i="53"/>
  <c r="R1870" i="53"/>
  <c r="R1854" i="53"/>
  <c r="R1855" i="53"/>
  <c r="R1842" i="53"/>
  <c r="R1841" i="53"/>
  <c r="R1824" i="53"/>
  <c r="R1822" i="53"/>
  <c r="R1820" i="53"/>
  <c r="R1819" i="53"/>
  <c r="R1756" i="53"/>
  <c r="R1808" i="53" l="1"/>
  <c r="R1807" i="53"/>
  <c r="R1806" i="53"/>
  <c r="R1805" i="53"/>
  <c r="R1804" i="53"/>
  <c r="R1803" i="53"/>
  <c r="R1802" i="53"/>
  <c r="R1801" i="53"/>
  <c r="R1800" i="53"/>
  <c r="R1799" i="53"/>
  <c r="R1798" i="53"/>
  <c r="R1797" i="53"/>
  <c r="R1796" i="53"/>
  <c r="R1795" i="53"/>
  <c r="R1794" i="53"/>
  <c r="R1793" i="53"/>
  <c r="R1792" i="53"/>
  <c r="R1791" i="53"/>
  <c r="R1790" i="53"/>
  <c r="R1789" i="53"/>
  <c r="R1788" i="53"/>
  <c r="R1787" i="53"/>
  <c r="R1786" i="53"/>
  <c r="R1785" i="53"/>
  <c r="R1784" i="53"/>
  <c r="R1783" i="53"/>
  <c r="R1782" i="53"/>
  <c r="R1781" i="53"/>
  <c r="R1780" i="53"/>
  <c r="R1779" i="53"/>
  <c r="R1778" i="53"/>
  <c r="R1777" i="53"/>
  <c r="R1776" i="53"/>
  <c r="R1775" i="53"/>
  <c r="R1774" i="53"/>
  <c r="R1773" i="53"/>
  <c r="R1772" i="53"/>
  <c r="R1771" i="53"/>
  <c r="R1770" i="53"/>
  <c r="R1769" i="53"/>
  <c r="R1768" i="53"/>
  <c r="R1767" i="53"/>
  <c r="R1766" i="53"/>
  <c r="R1765" i="53"/>
  <c r="R1764" i="53"/>
  <c r="R1763" i="53"/>
  <c r="R1762" i="53"/>
  <c r="R1761" i="53"/>
  <c r="R1760" i="53"/>
  <c r="R1759" i="53"/>
  <c r="R1758" i="53"/>
  <c r="R1757" i="53"/>
  <c r="R1755" i="53" l="1"/>
  <c r="R1754" i="53"/>
  <c r="R1753" i="53"/>
  <c r="R1752" i="53"/>
  <c r="R1751" i="53"/>
  <c r="R1749" i="53"/>
  <c r="R1750" i="53"/>
  <c r="R1748" i="53"/>
  <c r="R1747" i="53"/>
  <c r="R1746" i="53"/>
  <c r="R1743" i="53" l="1"/>
  <c r="R1740" i="53"/>
  <c r="R1738" i="53"/>
  <c r="R1737" i="53"/>
  <c r="R1729" i="53"/>
  <c r="R1736" i="53"/>
  <c r="R1735" i="53"/>
  <c r="R1734" i="53"/>
  <c r="R1733" i="53"/>
  <c r="R1732" i="53"/>
  <c r="R1731" i="53"/>
  <c r="R1730" i="53"/>
  <c r="R1728" i="53"/>
  <c r="R1727" i="53"/>
  <c r="R1726" i="53"/>
  <c r="R1725" i="53"/>
  <c r="R1724" i="53"/>
  <c r="R1723" i="53"/>
  <c r="R1722" i="53"/>
  <c r="R1721" i="53"/>
  <c r="R1720" i="53"/>
  <c r="R1719" i="53"/>
  <c r="R1718" i="53"/>
  <c r="R1717" i="53"/>
  <c r="R1716" i="53"/>
  <c r="R1715" i="53"/>
  <c r="R1714" i="53"/>
  <c r="R1713" i="53"/>
  <c r="R1712" i="53"/>
  <c r="R1711" i="53"/>
  <c r="R1710" i="53"/>
  <c r="R1709" i="53"/>
  <c r="R1708" i="53"/>
  <c r="R1707" i="53"/>
  <c r="R1706" i="53"/>
  <c r="R1705" i="53"/>
  <c r="R1704" i="53"/>
  <c r="R1703" i="53"/>
  <c r="R1702" i="53"/>
  <c r="R1701" i="53"/>
  <c r="R1700" i="53"/>
  <c r="R1699" i="53"/>
  <c r="R1698" i="53"/>
  <c r="R1697" i="53"/>
  <c r="R1696" i="53"/>
  <c r="R1695" i="53"/>
  <c r="R1694" i="53"/>
  <c r="R1693" i="53"/>
  <c r="R1692" i="53"/>
  <c r="R1690" i="53"/>
  <c r="R1671" i="53"/>
  <c r="R1670" i="53"/>
  <c r="R1669" i="53"/>
  <c r="R1666" i="53"/>
  <c r="R1638" i="53"/>
  <c r="R1637" i="53"/>
  <c r="R1636" i="53"/>
  <c r="R1634" i="53"/>
  <c r="R1633" i="53"/>
  <c r="R1632" i="53"/>
  <c r="R1631" i="53"/>
  <c r="R1630" i="53"/>
  <c r="R1622" i="53" l="1"/>
  <c r="R1621" i="53"/>
  <c r="R1605" i="53"/>
  <c r="R1604" i="53"/>
  <c r="R1603" i="53"/>
  <c r="R1602" i="53"/>
  <c r="R1599" i="53"/>
  <c r="R1585" i="53" l="1"/>
  <c r="R1583" i="53"/>
  <c r="R1582" i="53"/>
  <c r="R1581" i="53"/>
  <c r="R1568" i="53"/>
  <c r="R1567" i="53"/>
  <c r="R1566" i="53"/>
  <c r="R1565" i="53"/>
  <c r="R1563" i="53"/>
  <c r="R1561" i="53"/>
  <c r="R1495" i="53"/>
  <c r="R1536" i="53"/>
  <c r="R1535" i="53"/>
  <c r="R1534" i="53"/>
  <c r="R1532" i="53"/>
  <c r="R1531" i="53"/>
  <c r="R1530" i="53"/>
  <c r="R1529" i="53"/>
  <c r="R1528" i="53"/>
  <c r="R1527" i="53"/>
  <c r="R1525" i="53"/>
  <c r="R1524" i="53"/>
  <c r="R1523" i="53"/>
  <c r="R1503" i="53"/>
  <c r="R1501" i="53"/>
  <c r="R1499" i="53"/>
  <c r="R1448" i="53" l="1"/>
  <c r="R1428" i="53" l="1"/>
  <c r="R1427" i="53"/>
  <c r="R1426" i="53"/>
  <c r="R1425" i="53"/>
  <c r="R1424" i="53"/>
  <c r="R1423" i="53"/>
  <c r="R1422" i="53"/>
  <c r="R1421" i="53"/>
  <c r="R1420" i="53"/>
  <c r="R1419" i="53"/>
  <c r="R1418" i="53"/>
  <c r="R1417" i="53"/>
  <c r="R1449" i="53"/>
  <c r="R1447" i="53"/>
  <c r="R1446" i="53"/>
  <c r="R1445" i="53"/>
  <c r="R1444" i="53"/>
  <c r="R1443" i="53"/>
  <c r="R1442" i="53"/>
  <c r="R1441" i="53"/>
  <c r="R1440" i="53"/>
  <c r="R1439" i="53"/>
  <c r="R1438" i="53"/>
  <c r="R1437" i="53"/>
  <c r="R1436" i="53"/>
  <c r="R1435" i="53"/>
  <c r="R1434" i="53"/>
  <c r="R1433" i="53"/>
  <c r="R1432" i="53"/>
  <c r="R1431" i="53"/>
  <c r="R1430" i="53"/>
  <c r="R1416" i="53"/>
  <c r="R1415" i="53"/>
  <c r="R1414" i="53"/>
  <c r="R1413" i="53"/>
  <c r="R1411" i="53"/>
  <c r="R1412" i="53"/>
  <c r="R1410" i="53"/>
  <c r="R1409" i="53"/>
  <c r="R1408" i="53"/>
  <c r="R1406" i="53"/>
  <c r="R1405" i="53"/>
  <c r="R1404" i="53"/>
  <c r="R1403" i="53"/>
  <c r="R1402" i="53"/>
  <c r="R1401" i="53"/>
  <c r="R1400" i="53"/>
  <c r="R1399" i="53"/>
  <c r="R1398" i="53"/>
  <c r="R1397" i="53"/>
  <c r="R1396" i="53"/>
  <c r="R1395" i="53"/>
  <c r="R1393" i="53"/>
  <c r="R1392" i="53"/>
  <c r="R1390" i="53"/>
  <c r="R1389" i="53"/>
  <c r="R1388" i="53"/>
  <c r="R1387" i="53"/>
  <c r="R1386" i="53"/>
  <c r="R1385" i="53"/>
  <c r="R1384" i="53"/>
  <c r="R1383" i="53"/>
  <c r="R1382" i="53"/>
  <c r="R1381" i="53"/>
  <c r="R1380" i="53"/>
  <c r="R1379" i="53"/>
  <c r="R1378" i="53"/>
  <c r="R1377" i="53"/>
  <c r="R1376" i="53"/>
  <c r="R41" i="53" l="1"/>
  <c r="R40" i="53"/>
  <c r="R39" i="53"/>
  <c r="R57" i="53"/>
  <c r="R535" i="53"/>
  <c r="R1363" i="53"/>
  <c r="R1366" i="53" l="1"/>
  <c r="R1365" i="53"/>
  <c r="R1364" i="53"/>
  <c r="R1362" i="53"/>
  <c r="R1361" i="53"/>
  <c r="R530" i="53"/>
  <c r="R1345" i="53" l="1"/>
  <c r="R1344" i="53"/>
  <c r="R1343" i="53"/>
  <c r="R1342" i="53"/>
  <c r="R1341" i="53"/>
  <c r="R1340" i="53"/>
  <c r="R1335" i="53"/>
  <c r="R1333" i="53" l="1"/>
  <c r="R1332" i="53"/>
  <c r="R1331" i="53"/>
  <c r="R1312" i="53" l="1"/>
  <c r="R1292" i="53"/>
  <c r="R1315" i="53"/>
  <c r="R1314" i="53"/>
  <c r="R1313" i="53"/>
  <c r="R1311" i="53"/>
  <c r="R1310" i="53"/>
  <c r="R1309" i="53"/>
  <c r="R1308" i="53"/>
  <c r="R1307" i="53"/>
  <c r="R1306" i="53"/>
  <c r="R1305" i="53"/>
  <c r="R1304" i="53"/>
  <c r="R1303" i="53"/>
  <c r="R1302" i="53"/>
  <c r="R1301" i="53"/>
  <c r="R1300" i="53"/>
  <c r="R1299" i="53"/>
  <c r="R1298" i="53"/>
  <c r="R1297" i="53"/>
  <c r="R1187" i="53"/>
  <c r="R1296" i="53"/>
  <c r="R1294" i="53"/>
  <c r="R1291" i="53"/>
  <c r="R1290" i="53"/>
  <c r="R1289" i="53"/>
  <c r="R1288" i="53"/>
  <c r="R1287" i="53"/>
  <c r="R1286" i="53"/>
  <c r="R1285" i="53"/>
  <c r="R1284" i="53"/>
  <c r="R1283" i="53"/>
  <c r="R1282" i="53"/>
  <c r="R1281" i="53"/>
  <c r="R1280" i="53"/>
  <c r="R1279" i="53"/>
  <c r="R1278" i="53"/>
  <c r="R1277" i="53"/>
  <c r="R1276" i="53"/>
  <c r="R1275" i="53"/>
  <c r="R1274" i="53"/>
  <c r="R1272" i="53"/>
  <c r="R1271" i="53"/>
  <c r="R1270" i="53"/>
  <c r="R1269" i="53"/>
  <c r="R1254" i="53" l="1"/>
  <c r="R1256" i="53"/>
  <c r="R1255" i="53"/>
  <c r="R1250" i="53"/>
  <c r="R1249" i="53"/>
  <c r="R1248" i="53"/>
  <c r="R1247" i="53"/>
  <c r="R1246" i="53"/>
  <c r="R1245" i="53"/>
  <c r="R1244" i="53"/>
  <c r="R1243" i="53"/>
  <c r="R1242" i="53"/>
  <c r="R1241" i="53"/>
  <c r="R1224" i="53" l="1"/>
  <c r="R1223" i="53"/>
  <c r="R1222" i="53"/>
  <c r="R1221" i="53"/>
  <c r="R1220" i="53"/>
  <c r="R1219" i="53"/>
  <c r="R1218" i="53"/>
  <c r="R1217" i="53"/>
  <c r="R1215" i="53"/>
  <c r="R1194" i="53" l="1"/>
  <c r="R1193" i="53"/>
  <c r="R1182" i="53"/>
  <c r="R1181" i="53"/>
  <c r="R1180" i="53"/>
  <c r="R1177" i="53"/>
  <c r="R1155" i="53"/>
  <c r="R1136" i="53"/>
  <c r="R1135" i="53"/>
  <c r="R1134" i="53"/>
  <c r="R1133" i="53"/>
  <c r="R1132" i="53"/>
  <c r="R1131" i="53"/>
  <c r="R1130" i="53"/>
  <c r="R1123" i="53"/>
  <c r="R1122" i="53"/>
  <c r="R1120" i="53"/>
  <c r="R1119" i="53"/>
  <c r="R1118" i="53"/>
  <c r="R1117" i="53"/>
  <c r="R1116" i="53"/>
  <c r="R1115" i="53"/>
  <c r="R1025" i="53"/>
  <c r="R1030" i="53"/>
  <c r="R1029" i="53"/>
  <c r="R1028" i="53"/>
  <c r="R1027" i="53"/>
  <c r="R1026" i="53"/>
  <c r="R979" i="53"/>
  <c r="R978" i="53"/>
  <c r="R977" i="53"/>
  <c r="R972" i="53"/>
  <c r="R970" i="53"/>
  <c r="R969" i="53"/>
  <c r="R968" i="53"/>
  <c r="R967" i="53"/>
  <c r="R966" i="53"/>
  <c r="R874" i="53"/>
  <c r="R951" i="53"/>
  <c r="R950" i="53"/>
  <c r="R949" i="53"/>
  <c r="R948" i="53"/>
  <c r="R947" i="53"/>
  <c r="R946" i="53"/>
  <c r="R985" i="53"/>
  <c r="R984" i="53"/>
  <c r="R983" i="53"/>
  <c r="R982" i="53"/>
  <c r="R981" i="53"/>
  <c r="R980" i="53"/>
  <c r="R976" i="53"/>
  <c r="R975" i="53"/>
  <c r="R974" i="53"/>
  <c r="R973" i="53"/>
  <c r="R971" i="53"/>
  <c r="R945" i="53"/>
  <c r="R944" i="53"/>
  <c r="R943" i="53"/>
  <c r="R942" i="53"/>
  <c r="R941" i="53"/>
  <c r="R940" i="53"/>
  <c r="R939" i="53"/>
  <c r="R938" i="53"/>
  <c r="R937" i="53"/>
  <c r="R936" i="53"/>
  <c r="R935" i="53"/>
  <c r="R934" i="53"/>
  <c r="R933" i="53"/>
  <c r="R932" i="53"/>
  <c r="R931" i="53"/>
  <c r="R930" i="53"/>
  <c r="R929" i="53"/>
  <c r="R928" i="53"/>
  <c r="R927" i="53"/>
  <c r="R926" i="53"/>
  <c r="R925" i="53"/>
  <c r="R924" i="53"/>
  <c r="R923" i="53"/>
  <c r="R922" i="53"/>
  <c r="R921" i="53"/>
  <c r="R920" i="53"/>
  <c r="R919" i="53"/>
  <c r="R918" i="53"/>
  <c r="R917" i="53"/>
  <c r="R916" i="53"/>
  <c r="R915" i="53"/>
  <c r="R914" i="53"/>
  <c r="R913" i="53"/>
  <c r="R912" i="53"/>
  <c r="R911" i="53"/>
  <c r="R910" i="53"/>
  <c r="R909" i="53"/>
  <c r="R908" i="53"/>
  <c r="R907" i="53"/>
  <c r="R906" i="53"/>
  <c r="R905" i="53"/>
  <c r="R904" i="53"/>
  <c r="R903" i="53"/>
  <c r="R902" i="53"/>
  <c r="R901" i="53"/>
  <c r="R900" i="53"/>
  <c r="R899" i="53"/>
  <c r="R898" i="53"/>
  <c r="R897" i="53"/>
  <c r="R896" i="53"/>
  <c r="R895" i="53"/>
  <c r="R894" i="53"/>
  <c r="R893" i="53"/>
  <c r="R892" i="53"/>
  <c r="R891" i="53"/>
  <c r="R890" i="53"/>
  <c r="R889" i="53"/>
  <c r="R888" i="53"/>
  <c r="R887" i="53"/>
  <c r="R886" i="53"/>
  <c r="R885" i="53"/>
  <c r="R884" i="53"/>
  <c r="R883" i="53"/>
  <c r="R882" i="53"/>
  <c r="R881" i="53"/>
  <c r="R880" i="53"/>
  <c r="R879" i="53"/>
  <c r="R878" i="53"/>
  <c r="R877" i="53"/>
  <c r="R876" i="53"/>
  <c r="R875" i="53"/>
  <c r="R873" i="53"/>
  <c r="R872" i="53"/>
  <c r="R871" i="53"/>
  <c r="R870" i="53"/>
  <c r="R869" i="53"/>
  <c r="R868" i="53"/>
  <c r="R867" i="53"/>
  <c r="R866" i="53"/>
  <c r="R865" i="53"/>
  <c r="R864" i="53"/>
  <c r="R863" i="53"/>
  <c r="R862" i="53"/>
  <c r="R861" i="53"/>
  <c r="R860" i="53"/>
  <c r="R859" i="53"/>
  <c r="R858" i="53"/>
  <c r="R857" i="53"/>
  <c r="R856" i="53"/>
  <c r="R855" i="53"/>
  <c r="R854" i="53"/>
  <c r="R853" i="53"/>
  <c r="R852" i="53"/>
  <c r="R851" i="53"/>
  <c r="R850" i="53"/>
  <c r="R849" i="53"/>
  <c r="R848" i="53"/>
  <c r="R847" i="53"/>
  <c r="R846" i="53"/>
  <c r="R845" i="53"/>
  <c r="R844" i="53"/>
  <c r="R843" i="53"/>
  <c r="R842" i="53"/>
  <c r="R841" i="53"/>
  <c r="R840" i="53" l="1"/>
  <c r="R839" i="53"/>
  <c r="R812" i="53"/>
  <c r="R818" i="53"/>
  <c r="R819" i="53"/>
  <c r="R813" i="53"/>
  <c r="R826" i="53"/>
  <c r="R825" i="53"/>
  <c r="R824" i="53"/>
  <c r="R823" i="53"/>
  <c r="R822" i="53"/>
  <c r="R821" i="53"/>
  <c r="R814" i="53"/>
  <c r="R795" i="53" l="1"/>
  <c r="R797" i="53"/>
  <c r="R799" i="53"/>
  <c r="R793" i="53"/>
  <c r="R792" i="53"/>
  <c r="R701" i="53" l="1"/>
  <c r="R700" i="53"/>
  <c r="R774" i="53" l="1"/>
  <c r="R773" i="53"/>
  <c r="R718" i="53" l="1"/>
  <c r="R717" i="53"/>
  <c r="R716" i="53"/>
  <c r="R711" i="53" l="1"/>
  <c r="R710" i="53"/>
  <c r="R709" i="53"/>
  <c r="R708" i="53"/>
  <c r="R699" i="53" l="1"/>
  <c r="R698" i="53"/>
  <c r="R697" i="53"/>
  <c r="R694" i="53"/>
  <c r="R693" i="53"/>
  <c r="R680" i="53"/>
  <c r="R679" i="53"/>
  <c r="R678" i="53"/>
  <c r="R674" i="53"/>
  <c r="R673" i="53"/>
  <c r="R664" i="53"/>
  <c r="R663" i="53"/>
  <c r="R662" i="53"/>
  <c r="R661" i="53"/>
  <c r="R660" i="53"/>
  <c r="R659" i="53"/>
  <c r="R658" i="53"/>
  <c r="R657" i="53"/>
  <c r="R656" i="53"/>
  <c r="R655" i="53"/>
  <c r="R654" i="53"/>
  <c r="R653" i="53"/>
  <c r="R652" i="53"/>
  <c r="R651" i="53"/>
  <c r="R650" i="53"/>
  <c r="R649" i="53"/>
  <c r="R648" i="53"/>
  <c r="R647" i="53"/>
  <c r="R646" i="53"/>
  <c r="R645" i="53"/>
  <c r="R644" i="53"/>
  <c r="R643" i="53"/>
  <c r="R642" i="53"/>
  <c r="R641" i="53"/>
  <c r="R640" i="53"/>
  <c r="R639" i="53"/>
  <c r="R638" i="53"/>
  <c r="R637" i="53"/>
  <c r="R636" i="53"/>
  <c r="R635" i="53"/>
  <c r="R634" i="53"/>
  <c r="R633" i="53"/>
  <c r="R632" i="53"/>
  <c r="R631" i="53"/>
  <c r="R630" i="53"/>
  <c r="R629" i="53"/>
  <c r="R627" i="53"/>
  <c r="R615" i="53"/>
  <c r="R605" i="53"/>
  <c r="R604" i="53"/>
  <c r="R601" i="53"/>
  <c r="R600" i="53"/>
  <c r="R593" i="53" l="1"/>
  <c r="R628" i="53"/>
  <c r="R626" i="53"/>
  <c r="R625" i="53"/>
  <c r="R624" i="53"/>
  <c r="R623" i="53"/>
  <c r="R622" i="53"/>
  <c r="R621" i="53"/>
  <c r="R620" i="53"/>
  <c r="R619" i="53"/>
  <c r="R618" i="53"/>
  <c r="R617" i="53"/>
  <c r="R616" i="53"/>
  <c r="R614" i="53"/>
  <c r="R613" i="53"/>
  <c r="R612" i="53"/>
  <c r="R611" i="53"/>
  <c r="R610" i="53"/>
  <c r="R609" i="53"/>
  <c r="R608" i="53"/>
  <c r="R607" i="53"/>
  <c r="R606" i="53"/>
  <c r="R603" i="53"/>
  <c r="R602" i="53"/>
  <c r="R599" i="53"/>
  <c r="R598" i="53"/>
  <c r="R597" i="53"/>
  <c r="R596" i="53"/>
  <c r="R595" i="53"/>
  <c r="R594" i="53"/>
  <c r="R592" i="53"/>
  <c r="R591" i="53"/>
  <c r="R590" i="53"/>
  <c r="R589" i="53"/>
  <c r="R588" i="53"/>
  <c r="R587" i="53"/>
  <c r="R586" i="53"/>
  <c r="R585" i="53"/>
  <c r="R584" i="53"/>
  <c r="R583" i="53"/>
  <c r="R582" i="53"/>
  <c r="R581" i="53"/>
  <c r="R580" i="53"/>
  <c r="R579" i="53"/>
  <c r="R578" i="53"/>
  <c r="R577" i="53"/>
  <c r="R567" i="53"/>
  <c r="R576" i="53"/>
  <c r="R575"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3" i="53"/>
  <c r="R471" i="53"/>
  <c r="R470" i="53"/>
  <c r="R469" i="53"/>
  <c r="R468" i="53"/>
  <c r="R467" i="53"/>
  <c r="R466" i="53"/>
  <c r="R465" i="53"/>
  <c r="R464" i="53"/>
  <c r="R461" i="53"/>
  <c r="R463" i="53"/>
  <c r="R462" i="53"/>
  <c r="R460" i="53"/>
  <c r="R459" i="53"/>
  <c r="R458" i="53"/>
  <c r="R457" i="53"/>
  <c r="R566" i="53"/>
  <c r="R565" i="53"/>
  <c r="R564" i="53"/>
  <c r="R563" i="53"/>
  <c r="R562" i="53"/>
  <c r="R561" i="53"/>
  <c r="R556" i="53"/>
  <c r="R555" i="53"/>
  <c r="R553" i="53"/>
  <c r="R542" i="53"/>
  <c r="R539" i="53"/>
  <c r="R536" i="53"/>
  <c r="R534" i="53"/>
  <c r="R533" i="53"/>
  <c r="R532" i="53"/>
  <c r="R531" i="53"/>
  <c r="R529" i="53"/>
  <c r="R476" i="53"/>
  <c r="R475" i="53"/>
  <c r="R474" i="53"/>
  <c r="R472" i="53"/>
  <c r="R412" i="53" l="1"/>
  <c r="R430" i="53"/>
  <c r="R429" i="53"/>
  <c r="R428" i="53"/>
  <c r="R427" i="53"/>
  <c r="R426" i="53"/>
  <c r="R425" i="53"/>
  <c r="R424" i="53"/>
  <c r="R423" i="53"/>
  <c r="R422" i="53"/>
  <c r="R421" i="53"/>
  <c r="R420" i="53"/>
  <c r="R419" i="53"/>
  <c r="R418" i="53"/>
  <c r="R417" i="53"/>
  <c r="R416" i="53"/>
  <c r="R415" i="53"/>
  <c r="R414" i="53"/>
  <c r="R413" i="53"/>
  <c r="R402" i="53"/>
  <c r="R401" i="53"/>
  <c r="R400" i="53"/>
  <c r="R399" i="53"/>
  <c r="R398" i="53"/>
  <c r="R396" i="53"/>
  <c r="R395" i="53"/>
  <c r="R394" i="53"/>
  <c r="R392" i="53"/>
  <c r="R391" i="53"/>
  <c r="R390" i="53"/>
  <c r="R389" i="53"/>
  <c r="R388" i="53"/>
  <c r="R387" i="53"/>
  <c r="R386" i="53"/>
  <c r="R385" i="53"/>
  <c r="R397" i="53"/>
  <c r="R393" i="53"/>
  <c r="R377" i="53"/>
  <c r="R376" i="53"/>
  <c r="R375" i="53"/>
  <c r="R374" i="53"/>
  <c r="R372" i="53"/>
  <c r="R371" i="53"/>
  <c r="R373" i="53"/>
  <c r="R370" i="53"/>
  <c r="R4" i="53"/>
  <c r="R5" i="53"/>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43" i="53"/>
  <c r="R44" i="53"/>
  <c r="R45" i="53"/>
  <c r="R46" i="53"/>
  <c r="R47" i="53"/>
  <c r="R48" i="53"/>
  <c r="R49" i="53"/>
  <c r="R50" i="53"/>
  <c r="R51" i="53"/>
  <c r="R52" i="53"/>
  <c r="R53" i="53"/>
  <c r="R54" i="53"/>
  <c r="R55" i="53"/>
  <c r="R56" i="53"/>
  <c r="R58" i="53"/>
  <c r="R60" i="53"/>
  <c r="R61" i="53"/>
  <c r="R62" i="53"/>
  <c r="R63" i="53"/>
  <c r="R64" i="53"/>
  <c r="R65" i="53"/>
  <c r="R66" i="53"/>
  <c r="R67" i="53"/>
  <c r="R68" i="53"/>
  <c r="R69" i="53"/>
  <c r="R70" i="53"/>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R133" i="53"/>
  <c r="R134" i="53"/>
  <c r="R135" i="53"/>
  <c r="R136" i="53"/>
  <c r="R137" i="53"/>
  <c r="R138" i="53"/>
  <c r="R139" i="53"/>
  <c r="R140" i="53"/>
  <c r="R141" i="53"/>
  <c r="R142" i="53"/>
  <c r="R143" i="53"/>
  <c r="R144" i="53"/>
  <c r="R145" i="53"/>
  <c r="R146" i="53"/>
  <c r="R147" i="53"/>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5" i="53"/>
  <c r="R176" i="53"/>
  <c r="R177" i="53"/>
  <c r="R178" i="53"/>
  <c r="R179" i="53"/>
  <c r="R180" i="53"/>
  <c r="R181" i="53"/>
  <c r="R182" i="53"/>
  <c r="R183" i="53"/>
  <c r="R184" i="53"/>
  <c r="R185" i="53"/>
  <c r="R186" i="53"/>
  <c r="R187" i="53"/>
  <c r="R188" i="53"/>
  <c r="R189" i="53"/>
  <c r="R190" i="53"/>
  <c r="R191" i="53"/>
  <c r="R192" i="53"/>
  <c r="R193" i="53"/>
  <c r="R194" i="53"/>
  <c r="R195" i="53"/>
  <c r="R196" i="53"/>
  <c r="R197" i="53"/>
  <c r="R198" i="53"/>
  <c r="R199" i="53"/>
  <c r="R200" i="53"/>
  <c r="R201" i="53"/>
  <c r="R203" i="53"/>
  <c r="R204" i="53"/>
  <c r="R205" i="53"/>
  <c r="R206" i="53"/>
  <c r="R207" i="53"/>
  <c r="R208" i="53"/>
  <c r="R209" i="53"/>
  <c r="R210" i="53"/>
  <c r="R211" i="53"/>
  <c r="R212" i="53"/>
  <c r="R213" i="53"/>
  <c r="R214" i="53"/>
  <c r="R215" i="53"/>
  <c r="R216" i="53"/>
  <c r="R217" i="53"/>
  <c r="R218" i="53"/>
  <c r="R219" i="53"/>
  <c r="R220" i="53"/>
  <c r="R221" i="53"/>
  <c r="R222" i="53"/>
  <c r="R223" i="53"/>
  <c r="R224" i="53"/>
  <c r="R225" i="53"/>
  <c r="R226" i="53"/>
  <c r="R227" i="53"/>
  <c r="R228" i="53"/>
  <c r="R229" i="53"/>
  <c r="R230" i="53"/>
  <c r="R231" i="53"/>
  <c r="R232" i="53"/>
  <c r="R233" i="53"/>
  <c r="R234" i="53"/>
  <c r="R235" i="53"/>
  <c r="R236" i="53"/>
  <c r="R237" i="53"/>
  <c r="R238" i="53"/>
  <c r="R239" i="53"/>
  <c r="R240" i="53"/>
  <c r="R241" i="53"/>
  <c r="R242" i="53"/>
  <c r="R243" i="53"/>
  <c r="R244" i="53"/>
  <c r="R245" i="53"/>
  <c r="R246" i="53"/>
  <c r="R247" i="53"/>
  <c r="R248" i="53"/>
  <c r="R249" i="53"/>
  <c r="R250" i="53"/>
  <c r="R251" i="53"/>
  <c r="R252" i="53"/>
  <c r="R253" i="53"/>
  <c r="R254" i="53"/>
  <c r="R255" i="53"/>
  <c r="R256" i="53"/>
  <c r="R257" i="53"/>
  <c r="R258" i="53"/>
  <c r="R259" i="53"/>
  <c r="R260" i="53"/>
  <c r="R261" i="53"/>
  <c r="R262" i="53"/>
  <c r="R263" i="53"/>
  <c r="R264" i="53"/>
  <c r="R265" i="53"/>
  <c r="R266" i="53"/>
  <c r="R267" i="53"/>
  <c r="R268" i="53"/>
  <c r="R269" i="53"/>
  <c r="R270" i="53"/>
  <c r="R271" i="53"/>
  <c r="R272" i="53"/>
  <c r="R273" i="53"/>
  <c r="R274" i="53"/>
  <c r="R275" i="53"/>
  <c r="R276" i="53"/>
  <c r="R277" i="53"/>
  <c r="R278" i="53"/>
  <c r="R279" i="53"/>
  <c r="R280" i="53"/>
  <c r="R281" i="53"/>
  <c r="R282" i="53"/>
  <c r="R283" i="53"/>
  <c r="R284" i="53"/>
  <c r="R285" i="53"/>
  <c r="R286" i="53"/>
  <c r="R287" i="53"/>
  <c r="R288" i="53"/>
  <c r="R289" i="53"/>
  <c r="R290" i="53"/>
  <c r="R292" i="53"/>
  <c r="R293" i="53"/>
  <c r="R294" i="53"/>
  <c r="R295" i="53"/>
  <c r="R296" i="53"/>
  <c r="R297" i="53"/>
  <c r="R298" i="53"/>
  <c r="R299" i="53"/>
  <c r="R300" i="53"/>
  <c r="R301" i="53"/>
  <c r="R302" i="53"/>
  <c r="R303" i="53"/>
  <c r="R304" i="53"/>
  <c r="R305" i="53"/>
  <c r="R306" i="53"/>
  <c r="R307" i="53"/>
  <c r="R308" i="53"/>
  <c r="R309" i="53"/>
  <c r="R310" i="53"/>
  <c r="R311" i="53"/>
  <c r="R312" i="53"/>
  <c r="R313" i="53"/>
  <c r="R314" i="53"/>
  <c r="R315" i="53"/>
  <c r="R316" i="53"/>
  <c r="R317" i="53"/>
  <c r="R318" i="53"/>
  <c r="R319" i="53"/>
  <c r="R320" i="53"/>
  <c r="R321" i="53"/>
  <c r="R322" i="53"/>
  <c r="R323" i="53"/>
  <c r="R324" i="53"/>
  <c r="R325" i="53"/>
  <c r="R326" i="53"/>
  <c r="R327" i="53"/>
  <c r="R328" i="53"/>
  <c r="R329" i="53"/>
  <c r="R330" i="53"/>
  <c r="R331" i="53"/>
  <c r="R332" i="53"/>
  <c r="R333" i="53"/>
  <c r="R334" i="53"/>
  <c r="R335" i="53"/>
  <c r="R336" i="53"/>
  <c r="R337" i="53"/>
  <c r="R338" i="53"/>
  <c r="R339" i="53"/>
  <c r="R340" i="53"/>
  <c r="R341" i="53"/>
  <c r="R342" i="53"/>
  <c r="R343" i="53"/>
  <c r="R344" i="53"/>
  <c r="R345" i="53"/>
  <c r="R346" i="53"/>
  <c r="R347" i="53"/>
  <c r="R348" i="53"/>
  <c r="R349" i="53"/>
  <c r="R350" i="53"/>
  <c r="R351" i="53"/>
  <c r="R352" i="53"/>
  <c r="R353" i="53"/>
  <c r="R354" i="53"/>
  <c r="R355" i="53"/>
  <c r="R356" i="53"/>
  <c r="R357" i="53"/>
  <c r="R358" i="53"/>
  <c r="R359" i="53"/>
  <c r="R360" i="53"/>
  <c r="R361" i="53"/>
  <c r="R362" i="53"/>
  <c r="R363" i="53"/>
  <c r="R364" i="53"/>
  <c r="R365" i="53"/>
  <c r="R366" i="53"/>
  <c r="R367" i="53"/>
  <c r="R368" i="53"/>
  <c r="R369" i="53"/>
  <c r="R378" i="53"/>
  <c r="R379" i="53"/>
  <c r="R380" i="53"/>
  <c r="R381" i="53"/>
  <c r="R382" i="53"/>
  <c r="R383" i="53"/>
  <c r="R384" i="53"/>
  <c r="R403" i="53"/>
  <c r="R404" i="53"/>
  <c r="R405" i="53"/>
  <c r="R406" i="53"/>
  <c r="R407" i="53"/>
  <c r="R408" i="53"/>
  <c r="R409" i="53"/>
  <c r="R410" i="53"/>
  <c r="R411" i="53"/>
  <c r="R431" i="53"/>
  <c r="R432" i="53"/>
  <c r="R433" i="53"/>
  <c r="R434" i="53"/>
  <c r="R435" i="53"/>
  <c r="R436" i="53"/>
  <c r="R437" i="53"/>
  <c r="R438" i="53"/>
  <c r="R439" i="53"/>
  <c r="R440" i="53"/>
  <c r="R441" i="53"/>
  <c r="R442" i="53"/>
  <c r="R443" i="53"/>
  <c r="R444" i="53"/>
  <c r="R445" i="53"/>
  <c r="R446" i="53"/>
  <c r="R447" i="53"/>
  <c r="R448" i="53"/>
  <c r="R449" i="53"/>
  <c r="R450" i="53"/>
  <c r="R451" i="53"/>
  <c r="R452" i="53"/>
  <c r="R453" i="53"/>
  <c r="R454" i="53"/>
  <c r="R455" i="53"/>
  <c r="R456" i="53"/>
  <c r="R568" i="53"/>
  <c r="R569" i="53"/>
  <c r="R570" i="53"/>
  <c r="R571" i="53"/>
  <c r="R572" i="53"/>
  <c r="R573" i="53"/>
  <c r="R574" i="53"/>
  <c r="G43" i="20" l="1"/>
  <c r="D44" i="20" l="1"/>
  <c r="D43" i="20"/>
  <c r="A1631" i="33"/>
  <c r="A1632" i="33"/>
  <c r="A1633" i="33"/>
  <c r="A1634" i="33"/>
  <c r="A1635" i="33"/>
  <c r="A1636" i="33"/>
  <c r="A1637" i="33"/>
  <c r="R1639" i="33"/>
  <c r="R1638" i="33"/>
  <c r="R1637" i="33"/>
  <c r="R1636" i="33"/>
  <c r="R1635" i="33"/>
  <c r="R1634" i="33"/>
  <c r="R1633" i="33"/>
  <c r="R1632" i="33"/>
  <c r="R1631" i="33"/>
  <c r="R1630" i="33"/>
  <c r="R1629" i="33"/>
  <c r="R1628" i="33"/>
  <c r="R1627" i="33"/>
  <c r="A1627" i="33"/>
  <c r="A1628" i="33"/>
  <c r="A1629" i="33"/>
  <c r="A1630" i="33"/>
  <c r="A1638" i="33"/>
  <c r="A1639" i="33"/>
  <c r="D49" i="20"/>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48" i="33"/>
  <c r="A549" i="33"/>
  <c r="A550" i="33"/>
  <c r="A551" i="33"/>
  <c r="A552" i="33"/>
  <c r="A553" i="33"/>
  <c r="A554" i="33"/>
  <c r="A555" i="33"/>
  <c r="A556" i="33"/>
  <c r="A557" i="33"/>
  <c r="A558"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1227" i="33"/>
  <c r="A1228" i="33"/>
  <c r="A1229" i="33"/>
  <c r="A1230" i="33"/>
  <c r="A1231" i="33"/>
  <c r="A1232" i="33"/>
  <c r="A1233" i="33"/>
  <c r="A1234" i="33"/>
  <c r="A1235" i="33"/>
  <c r="A1236" i="33"/>
  <c r="A1237" i="33"/>
  <c r="A1238" i="33"/>
  <c r="A1239" i="33"/>
  <c r="A1240" i="33"/>
  <c r="A1241" i="33"/>
  <c r="A1242" i="33"/>
  <c r="A1243" i="33"/>
  <c r="A1244" i="33"/>
  <c r="A1245" i="33"/>
  <c r="A1246" i="33"/>
  <c r="A1247" i="33"/>
  <c r="A1248" i="33"/>
  <c r="A1249" i="33"/>
  <c r="A1250" i="33"/>
  <c r="A1251" i="33"/>
  <c r="A1252" i="33"/>
  <c r="A1253" i="33"/>
  <c r="A1254"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3"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R1539" i="33" l="1"/>
  <c r="R1538" i="33"/>
  <c r="R1537" i="33"/>
  <c r="R1648" i="33"/>
  <c r="R1651" i="33"/>
  <c r="R1650" i="33"/>
  <c r="R1649" i="33"/>
  <c r="R1647" i="33"/>
  <c r="R1646" i="33"/>
  <c r="R1645" i="33"/>
  <c r="R1644" i="33"/>
  <c r="R1693" i="33" l="1"/>
  <c r="R1692" i="33"/>
  <c r="R1668" i="33"/>
  <c r="R1642" i="33"/>
  <c r="R1641" i="33"/>
  <c r="R1520" i="33"/>
  <c r="R1519" i="33"/>
  <c r="R1518" i="33"/>
  <c r="R1517" i="33"/>
  <c r="R1481" i="33"/>
  <c r="R1480" i="33"/>
  <c r="R1461" i="33"/>
  <c r="R1460" i="33"/>
  <c r="R1459" i="33"/>
  <c r="R1458" i="33"/>
  <c r="R1457" i="33"/>
  <c r="R1456" i="33"/>
  <c r="R1455" i="33"/>
  <c r="R1454" i="33"/>
  <c r="R1453" i="33"/>
  <c r="R1452" i="33"/>
  <c r="R1451" i="33"/>
  <c r="R1447" i="33"/>
  <c r="R1448" i="33"/>
  <c r="R1412" i="33"/>
  <c r="R1415" i="33"/>
  <c r="R1414" i="33"/>
  <c r="R1413" i="33"/>
  <c r="R1488" i="33"/>
  <c r="R1487" i="33"/>
  <c r="R1482" i="33"/>
  <c r="R1287" i="33" l="1"/>
  <c r="R1286" i="33"/>
  <c r="R1285" i="33"/>
  <c r="R1727" i="33" l="1"/>
  <c r="R1729" i="33"/>
  <c r="R1726" i="33"/>
  <c r="R1725" i="33"/>
  <c r="R1724" i="33"/>
  <c r="R1658" i="33"/>
  <c r="R1619" i="33"/>
  <c r="R1618" i="33"/>
  <c r="R1617" i="33"/>
  <c r="R1616" i="33"/>
  <c r="R1491" i="33"/>
  <c r="R1472" i="33"/>
  <c r="R1471" i="33"/>
  <c r="R1263" i="33" l="1"/>
  <c r="R1262" i="33"/>
  <c r="R1261" i="33"/>
  <c r="R1260" i="33"/>
  <c r="R1259" i="33"/>
  <c r="R1258" i="33"/>
  <c r="R1257" i="33"/>
  <c r="R1256" i="33"/>
  <c r="D47" i="20" l="1"/>
  <c r="R737" i="33"/>
  <c r="R1717" i="33"/>
  <c r="R1686" i="33"/>
  <c r="R1685" i="33"/>
  <c r="R1615" i="33"/>
  <c r="R1533" i="33"/>
  <c r="R1531" i="33"/>
  <c r="R1509" i="33"/>
  <c r="R1475" i="33"/>
  <c r="R1394" i="33"/>
  <c r="R1383" i="33"/>
  <c r="R1400" i="33"/>
  <c r="R1410" i="33"/>
  <c r="R1409" i="33"/>
  <c r="R1408" i="33"/>
  <c r="R1292" i="33" l="1"/>
  <c r="R1355" i="33"/>
  <c r="R1354" i="33"/>
  <c r="R1353" i="33"/>
  <c r="R1255" i="33"/>
  <c r="R1254" i="33"/>
  <c r="R5" i="33" l="1"/>
  <c r="R6" i="33"/>
  <c r="R7" i="33"/>
  <c r="R8" i="33"/>
  <c r="R11" i="33"/>
  <c r="R19" i="33"/>
  <c r="R17" i="33"/>
  <c r="R14" i="33"/>
  <c r="R15" i="33"/>
  <c r="R13" i="33"/>
  <c r="R9" i="33"/>
  <c r="R10" i="33"/>
  <c r="R18" i="33"/>
  <c r="R16" i="33"/>
  <c r="R12" i="33"/>
  <c r="R20" i="33"/>
  <c r="R22" i="33"/>
  <c r="R21" i="33"/>
  <c r="R23" i="33"/>
  <c r="R24" i="33"/>
  <c r="R25" i="33"/>
  <c r="R26" i="33"/>
  <c r="R41" i="33"/>
  <c r="R42" i="33"/>
  <c r="R59" i="33"/>
  <c r="R43" i="33"/>
  <c r="R44" i="33"/>
  <c r="R45" i="33"/>
  <c r="R46" i="33"/>
  <c r="R57" i="33"/>
  <c r="R31" i="33"/>
  <c r="R32" i="33"/>
  <c r="R33" i="33"/>
  <c r="R34" i="33"/>
  <c r="R35" i="33"/>
  <c r="R36" i="33"/>
  <c r="R27" i="33"/>
  <c r="R28" i="33"/>
  <c r="R29" i="33"/>
  <c r="R30" i="33"/>
  <c r="R47" i="33"/>
  <c r="R48" i="33"/>
  <c r="R49" i="33"/>
  <c r="R50" i="33"/>
  <c r="R37" i="33"/>
  <c r="R51" i="33"/>
  <c r="R38" i="33"/>
  <c r="R52" i="33"/>
  <c r="R39" i="33"/>
  <c r="R53" i="33"/>
  <c r="R54" i="33"/>
  <c r="R58" i="33"/>
  <c r="R40" i="33"/>
  <c r="R55" i="33"/>
  <c r="R56" i="33"/>
  <c r="R60" i="33"/>
  <c r="R61" i="33"/>
  <c r="R62" i="33"/>
  <c r="R70" i="33"/>
  <c r="R71" i="33"/>
  <c r="R73" i="33"/>
  <c r="R67" i="33"/>
  <c r="R63" i="33"/>
  <c r="R64" i="33"/>
  <c r="R65" i="33"/>
  <c r="R68" i="33"/>
  <c r="R72" i="33"/>
  <c r="R66" i="33"/>
  <c r="R69"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204" i="33"/>
  <c r="R197" i="33"/>
  <c r="R194" i="33"/>
  <c r="R203" i="33"/>
  <c r="R198"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5" i="33"/>
  <c r="R196" i="33"/>
  <c r="R205" i="33"/>
  <c r="R199" i="33"/>
  <c r="R200" i="33"/>
  <c r="R201" i="33"/>
  <c r="R202" i="33"/>
  <c r="R206" i="33"/>
  <c r="R207" i="33"/>
  <c r="R208" i="33"/>
  <c r="R209" i="33"/>
  <c r="R293" i="33"/>
  <c r="R306" i="33"/>
  <c r="R307" i="33"/>
  <c r="R309" i="33"/>
  <c r="R310" i="33"/>
  <c r="R305" i="33"/>
  <c r="R304" i="33"/>
  <c r="R294" i="33"/>
  <c r="R210" i="33"/>
  <c r="R211" i="33"/>
  <c r="R212" i="33"/>
  <c r="R213" i="33"/>
  <c r="R214" i="33"/>
  <c r="R215" i="33"/>
  <c r="R216" i="33"/>
  <c r="R217" i="33"/>
  <c r="R218" i="33"/>
  <c r="R219" i="33"/>
  <c r="R220" i="33"/>
  <c r="R221" i="33"/>
  <c r="R222" i="33"/>
  <c r="R223" i="33"/>
  <c r="R224" i="33"/>
  <c r="R225" i="33"/>
  <c r="R226" i="33"/>
  <c r="R227" i="33"/>
  <c r="R228" i="33"/>
  <c r="R229" i="33"/>
  <c r="R230" i="33"/>
  <c r="R231" i="33"/>
  <c r="R232" i="33"/>
  <c r="R233" i="33"/>
  <c r="R234" i="33"/>
  <c r="R235" i="33"/>
  <c r="R236" i="33"/>
  <c r="R237" i="33"/>
  <c r="R238" i="33"/>
  <c r="R239" i="33"/>
  <c r="R240" i="33"/>
  <c r="R241" i="33"/>
  <c r="R242" i="33"/>
  <c r="R243" i="33"/>
  <c r="R244" i="33"/>
  <c r="R245" i="33"/>
  <c r="R246" i="33"/>
  <c r="R247" i="33"/>
  <c r="R248" i="33"/>
  <c r="R249" i="33"/>
  <c r="R250" i="33"/>
  <c r="R251" i="33"/>
  <c r="R252" i="33"/>
  <c r="R253" i="33"/>
  <c r="R295" i="33"/>
  <c r="R254" i="33"/>
  <c r="R255" i="33"/>
  <c r="R256" i="33"/>
  <c r="R257" i="33"/>
  <c r="R258" i="33"/>
  <c r="R259" i="33"/>
  <c r="R260" i="33"/>
  <c r="R261" i="33"/>
  <c r="R262" i="33"/>
  <c r="R296" i="33"/>
  <c r="R297" i="33"/>
  <c r="R263" i="33"/>
  <c r="R264" i="33"/>
  <c r="R265" i="33"/>
  <c r="R266" i="33"/>
  <c r="R267" i="33"/>
  <c r="R268" i="33"/>
  <c r="R269" i="33"/>
  <c r="R270" i="33"/>
  <c r="R271" i="33"/>
  <c r="R272" i="33"/>
  <c r="R273" i="33"/>
  <c r="R274" i="33"/>
  <c r="R275" i="33"/>
  <c r="R276" i="33"/>
  <c r="R277" i="33"/>
  <c r="R278" i="33"/>
  <c r="R298" i="33"/>
  <c r="R279" i="33"/>
  <c r="R280" i="33"/>
  <c r="R308" i="33"/>
  <c r="R311" i="33"/>
  <c r="R299" i="33"/>
  <c r="R300" i="33"/>
  <c r="R301" i="33"/>
  <c r="R302" i="33"/>
  <c r="R281" i="33"/>
  <c r="R282" i="33"/>
  <c r="R303" i="33"/>
  <c r="R283" i="33"/>
  <c r="R284" i="33"/>
  <c r="R285" i="33"/>
  <c r="R286" i="33"/>
  <c r="R287" i="33"/>
  <c r="R288" i="33"/>
  <c r="R289" i="33"/>
  <c r="R290" i="33"/>
  <c r="R291" i="33"/>
  <c r="R292" i="33"/>
  <c r="R317" i="33"/>
  <c r="R318" i="33"/>
  <c r="R330" i="33"/>
  <c r="R328" i="33"/>
  <c r="R319" i="33"/>
  <c r="R320" i="33"/>
  <c r="R321" i="33"/>
  <c r="R322" i="33"/>
  <c r="R312" i="33"/>
  <c r="R313" i="33"/>
  <c r="R314" i="33"/>
  <c r="R315" i="33"/>
  <c r="R316" i="33"/>
  <c r="R323" i="33"/>
  <c r="R324" i="33"/>
  <c r="R325" i="33"/>
  <c r="R326" i="33"/>
  <c r="R327" i="33"/>
  <c r="R329" i="33"/>
  <c r="R331" i="33"/>
  <c r="R332" i="33"/>
  <c r="R353" i="33"/>
  <c r="R352" i="33"/>
  <c r="R349" i="33"/>
  <c r="R343" i="33"/>
  <c r="R333" i="33"/>
  <c r="R344" i="33"/>
  <c r="R345" i="33"/>
  <c r="R334" i="33"/>
  <c r="R335" i="33"/>
  <c r="R351" i="33"/>
  <c r="R336" i="33"/>
  <c r="R337" i="33"/>
  <c r="R338" i="33"/>
  <c r="R339" i="33"/>
  <c r="R340" i="33"/>
  <c r="R341" i="33"/>
  <c r="R342" i="33"/>
  <c r="R354" i="33"/>
  <c r="R350" i="33"/>
  <c r="R346" i="33"/>
  <c r="R347" i="33"/>
  <c r="R348" i="33"/>
  <c r="R361" i="33"/>
  <c r="R355" i="33"/>
  <c r="R362" i="33"/>
  <c r="R363" i="33"/>
  <c r="R356" i="33"/>
  <c r="R357" i="33"/>
  <c r="R358" i="33"/>
  <c r="R359" i="33"/>
  <c r="R360" i="33"/>
  <c r="R364" i="33"/>
  <c r="R365" i="33"/>
  <c r="R366" i="33"/>
  <c r="R367" i="33"/>
  <c r="R375" i="33"/>
  <c r="R374" i="33"/>
  <c r="R368" i="33"/>
  <c r="R376" i="33"/>
  <c r="R369" i="33"/>
  <c r="R370" i="33"/>
  <c r="R371" i="33"/>
  <c r="R372" i="33"/>
  <c r="R373" i="33"/>
  <c r="R378" i="33"/>
  <c r="R379" i="33"/>
  <c r="R380" i="33"/>
  <c r="R381" i="33"/>
  <c r="R382" i="33"/>
  <c r="R383" i="33"/>
  <c r="R384" i="33"/>
  <c r="R385" i="33"/>
  <c r="R386" i="33"/>
  <c r="R387" i="33"/>
  <c r="R393" i="33"/>
  <c r="R397" i="33"/>
  <c r="R406" i="33"/>
  <c r="R398" i="33"/>
  <c r="R408" i="33"/>
  <c r="R407" i="33"/>
  <c r="R405" i="33"/>
  <c r="R404" i="33"/>
  <c r="R399" i="33"/>
  <c r="R388" i="33"/>
  <c r="R392" i="33"/>
  <c r="R394" i="33"/>
  <c r="R395" i="33"/>
  <c r="R396" i="33"/>
  <c r="R389" i="33"/>
  <c r="R400" i="33"/>
  <c r="R401" i="33"/>
  <c r="R402" i="33"/>
  <c r="R403" i="33"/>
  <c r="R377" i="33"/>
  <c r="R390" i="33"/>
  <c r="R391" i="33"/>
  <c r="R409" i="33"/>
  <c r="R412" i="33"/>
  <c r="R416" i="33"/>
  <c r="R413" i="33"/>
  <c r="R410" i="33"/>
  <c r="R411" i="33"/>
  <c r="R415" i="33"/>
  <c r="R414" i="33"/>
  <c r="R417" i="33"/>
  <c r="R418" i="33"/>
  <c r="R419" i="33"/>
  <c r="R420" i="33"/>
  <c r="R421" i="33"/>
  <c r="R422" i="33"/>
  <c r="R423" i="33"/>
  <c r="R424" i="33"/>
  <c r="R425" i="33"/>
  <c r="R426" i="33"/>
  <c r="R427" i="33"/>
  <c r="R428" i="33"/>
  <c r="R429" i="33"/>
  <c r="R430" i="33"/>
  <c r="R431" i="33"/>
  <c r="R432" i="33"/>
  <c r="R433" i="33"/>
  <c r="R507" i="33"/>
  <c r="R508" i="33"/>
  <c r="R434" i="33"/>
  <c r="R435" i="33"/>
  <c r="R436" i="33"/>
  <c r="R437" i="33"/>
  <c r="R438" i="33"/>
  <c r="R439" i="33"/>
  <c r="R440" i="33"/>
  <c r="R441" i="33"/>
  <c r="R442" i="33"/>
  <c r="R443" i="33"/>
  <c r="R444" i="33"/>
  <c r="R445" i="33"/>
  <c r="R446" i="33"/>
  <c r="R447" i="33"/>
  <c r="R448" i="33"/>
  <c r="R449" i="33"/>
  <c r="R450" i="33"/>
  <c r="R451" i="33"/>
  <c r="R452" i="33"/>
  <c r="R453" i="33"/>
  <c r="R454" i="33"/>
  <c r="R455" i="33"/>
  <c r="R456" i="33"/>
  <c r="R457" i="33"/>
  <c r="R458" i="33"/>
  <c r="R459" i="33"/>
  <c r="R460" i="33"/>
  <c r="R461" i="33"/>
  <c r="R462" i="33"/>
  <c r="R463" i="33"/>
  <c r="R464" i="33"/>
  <c r="R465" i="33"/>
  <c r="R466" i="33"/>
  <c r="R467" i="33"/>
  <c r="R468" i="33"/>
  <c r="R469" i="33"/>
  <c r="R470" i="33"/>
  <c r="R471" i="33"/>
  <c r="R472" i="33"/>
  <c r="R473" i="33"/>
  <c r="R474" i="33"/>
  <c r="R475" i="33"/>
  <c r="R476" i="33"/>
  <c r="R477" i="33"/>
  <c r="R478" i="33"/>
  <c r="R479" i="33"/>
  <c r="R480" i="33"/>
  <c r="R481" i="33"/>
  <c r="R482" i="33"/>
  <c r="R483" i="33"/>
  <c r="R484" i="33"/>
  <c r="R485" i="33"/>
  <c r="R486" i="33"/>
  <c r="R487" i="33"/>
  <c r="R488" i="33"/>
  <c r="R489" i="33"/>
  <c r="R490" i="33"/>
  <c r="R491" i="33"/>
  <c r="R492" i="33"/>
  <c r="R493" i="33"/>
  <c r="R494" i="33"/>
  <c r="R495" i="33"/>
  <c r="R496" i="33"/>
  <c r="R497" i="33"/>
  <c r="R498" i="33"/>
  <c r="R499" i="33"/>
  <c r="R500" i="33"/>
  <c r="R501" i="33"/>
  <c r="R502" i="33"/>
  <c r="R503" i="33"/>
  <c r="R504" i="33"/>
  <c r="R505" i="33"/>
  <c r="R506" i="33"/>
  <c r="R509" i="33"/>
  <c r="R510" i="33"/>
  <c r="R512" i="33"/>
  <c r="R511" i="33"/>
  <c r="R516" i="33"/>
  <c r="R517" i="33"/>
  <c r="R513" i="33"/>
  <c r="R514" i="33"/>
  <c r="R515" i="33"/>
  <c r="R520" i="33"/>
  <c r="R521" i="33"/>
  <c r="R522" i="33"/>
  <c r="R523" i="33"/>
  <c r="R534" i="33"/>
  <c r="R524" i="33"/>
  <c r="R525" i="33"/>
  <c r="R538" i="33"/>
  <c r="R536" i="33"/>
  <c r="R526" i="33"/>
  <c r="R539" i="33"/>
  <c r="R518" i="33"/>
  <c r="R519" i="33"/>
  <c r="R537" i="33"/>
  <c r="R527" i="33"/>
  <c r="R528" i="33"/>
  <c r="R529" i="33"/>
  <c r="R530" i="33"/>
  <c r="R531" i="33"/>
  <c r="R532" i="33"/>
  <c r="R535" i="33"/>
  <c r="R533" i="33"/>
  <c r="R542" i="33"/>
  <c r="R540" i="33"/>
  <c r="R541" i="33"/>
  <c r="R547" i="33"/>
  <c r="R544" i="33"/>
  <c r="R543" i="33"/>
  <c r="R545" i="33"/>
  <c r="R546" i="33"/>
  <c r="R551" i="33"/>
  <c r="R552" i="33"/>
  <c r="R553" i="33"/>
  <c r="R548" i="33"/>
  <c r="R549" i="33"/>
  <c r="R550" i="33"/>
  <c r="R554" i="33"/>
  <c r="R555" i="33"/>
  <c r="R569" i="33"/>
  <c r="R556" i="33"/>
  <c r="R557" i="33"/>
  <c r="R558" i="33"/>
  <c r="R559" i="33"/>
  <c r="R560" i="33"/>
  <c r="R561" i="33"/>
  <c r="R562" i="33"/>
  <c r="R563" i="33"/>
  <c r="R564" i="33"/>
  <c r="R565" i="33"/>
  <c r="R566" i="33"/>
  <c r="R567" i="33"/>
  <c r="R568" i="33"/>
  <c r="R570" i="33"/>
  <c r="R571" i="33"/>
  <c r="R572" i="33"/>
  <c r="R573" i="33"/>
  <c r="R574" i="33"/>
  <c r="R578" i="33"/>
  <c r="R579" i="33"/>
  <c r="R580" i="33"/>
  <c r="R577" i="33"/>
  <c r="R575" i="33"/>
  <c r="R581" i="33"/>
  <c r="R576" i="33"/>
  <c r="R582" i="33"/>
  <c r="R583" i="33"/>
  <c r="R584" i="33"/>
  <c r="R589" i="33"/>
  <c r="R585" i="33"/>
  <c r="R586" i="33"/>
  <c r="R592" i="33"/>
  <c r="R590" i="33"/>
  <c r="R591" i="33"/>
  <c r="R593" i="33"/>
  <c r="R594" i="33"/>
  <c r="R595" i="33"/>
  <c r="R596" i="33"/>
  <c r="R597" i="33"/>
  <c r="R598" i="33"/>
  <c r="R599" i="33"/>
  <c r="R601" i="33"/>
  <c r="R602" i="33"/>
  <c r="R603" i="33"/>
  <c r="R604" i="33"/>
  <c r="R605" i="33"/>
  <c r="R606" i="33"/>
  <c r="R607" i="33"/>
  <c r="R608" i="33"/>
  <c r="R609" i="33"/>
  <c r="R610" i="33"/>
  <c r="R611" i="33"/>
  <c r="R612" i="33"/>
  <c r="R613" i="33"/>
  <c r="R614" i="33"/>
  <c r="R615" i="33"/>
  <c r="R616" i="33"/>
  <c r="R617" i="33"/>
  <c r="R618" i="33"/>
  <c r="R619" i="33"/>
  <c r="R620" i="33"/>
  <c r="R621" i="33"/>
  <c r="R622" i="33"/>
  <c r="R623" i="33"/>
  <c r="R624" i="33"/>
  <c r="R625" i="33"/>
  <c r="R626" i="33"/>
  <c r="R627" i="33"/>
  <c r="R628" i="33"/>
  <c r="R629" i="33"/>
  <c r="R630" i="33"/>
  <c r="R631" i="33"/>
  <c r="R632" i="33"/>
  <c r="R633" i="33"/>
  <c r="R634" i="33"/>
  <c r="R635" i="33"/>
  <c r="R636" i="33"/>
  <c r="R637" i="33"/>
  <c r="R638" i="33"/>
  <c r="R639" i="33"/>
  <c r="R640" i="33"/>
  <c r="R641" i="33"/>
  <c r="R642" i="33"/>
  <c r="R643" i="33"/>
  <c r="R644" i="33"/>
  <c r="R645" i="33"/>
  <c r="R646" i="33"/>
  <c r="R647" i="33"/>
  <c r="R648" i="33"/>
  <c r="R649" i="33"/>
  <c r="R650" i="33"/>
  <c r="R651" i="33"/>
  <c r="R652" i="33"/>
  <c r="R653" i="33"/>
  <c r="R654" i="33"/>
  <c r="R655" i="33"/>
  <c r="R656" i="33"/>
  <c r="R657" i="33"/>
  <c r="R658" i="33"/>
  <c r="R708" i="33"/>
  <c r="R659" i="33"/>
  <c r="R660" i="33"/>
  <c r="R661" i="33"/>
  <c r="R662" i="33"/>
  <c r="R663" i="33"/>
  <c r="R664" i="33"/>
  <c r="R665" i="33"/>
  <c r="R666" i="33"/>
  <c r="R667" i="33"/>
  <c r="R668" i="33"/>
  <c r="R669" i="33"/>
  <c r="R670" i="33"/>
  <c r="R671" i="33"/>
  <c r="R672" i="33"/>
  <c r="R673" i="33"/>
  <c r="R674" i="33"/>
  <c r="R675" i="33"/>
  <c r="R676" i="33"/>
  <c r="R677" i="33"/>
  <c r="R678" i="33"/>
  <c r="R679" i="33"/>
  <c r="R680" i="33"/>
  <c r="R681" i="33"/>
  <c r="R682" i="33"/>
  <c r="R683" i="33"/>
  <c r="R684" i="33"/>
  <c r="R685" i="33"/>
  <c r="R686" i="33"/>
  <c r="R687" i="33"/>
  <c r="R688" i="33"/>
  <c r="R689" i="33"/>
  <c r="R690" i="33"/>
  <c r="R691" i="33"/>
  <c r="R692" i="33"/>
  <c r="R699" i="33"/>
  <c r="R705" i="33"/>
  <c r="R706" i="33"/>
  <c r="R700" i="33"/>
  <c r="R707" i="33"/>
  <c r="R693" i="33"/>
  <c r="R694" i="33"/>
  <c r="R695" i="33"/>
  <c r="R696" i="33"/>
  <c r="R697" i="33"/>
  <c r="R701" i="33"/>
  <c r="R702" i="33"/>
  <c r="R588" i="33"/>
  <c r="R703" i="33"/>
  <c r="R600" i="33"/>
  <c r="R709" i="33"/>
  <c r="R698" i="33"/>
  <c r="R704" i="33"/>
  <c r="R710" i="33"/>
  <c r="R711" i="33"/>
  <c r="R712" i="33"/>
  <c r="R713" i="33"/>
  <c r="R714" i="33"/>
  <c r="R715" i="33"/>
  <c r="R716" i="33"/>
  <c r="R717" i="33"/>
  <c r="R718" i="33"/>
  <c r="R719" i="33"/>
  <c r="R731" i="33"/>
  <c r="R720" i="33"/>
  <c r="R735" i="33"/>
  <c r="R721" i="33"/>
  <c r="R734" i="33"/>
  <c r="R722" i="33"/>
  <c r="R732" i="33"/>
  <c r="R728" i="33"/>
  <c r="R736" i="33"/>
  <c r="R733" i="33"/>
  <c r="R723" i="33"/>
  <c r="R724" i="33"/>
  <c r="R725" i="33"/>
  <c r="R726" i="33"/>
  <c r="R727" i="33"/>
  <c r="R729" i="33"/>
  <c r="R730" i="33"/>
  <c r="R740" i="33"/>
  <c r="R741" i="33"/>
  <c r="R742" i="33"/>
  <c r="R743" i="33"/>
  <c r="R744" i="33"/>
  <c r="R745" i="33"/>
  <c r="R746" i="33"/>
  <c r="R747" i="33"/>
  <c r="R748" i="33"/>
  <c r="R749" i="33"/>
  <c r="R750" i="33"/>
  <c r="R751" i="33"/>
  <c r="R752" i="33"/>
  <c r="R753" i="33"/>
  <c r="R754" i="33"/>
  <c r="R755" i="33"/>
  <c r="R756" i="33"/>
  <c r="R757" i="33"/>
  <c r="R758" i="33"/>
  <c r="R759" i="33"/>
  <c r="R760" i="33"/>
  <c r="R761" i="33"/>
  <c r="R762" i="33"/>
  <c r="R763" i="33"/>
  <c r="R764" i="33"/>
  <c r="R765" i="33"/>
  <c r="R766" i="33"/>
  <c r="R767" i="33"/>
  <c r="R768" i="33"/>
  <c r="R769" i="33"/>
  <c r="R770" i="33"/>
  <c r="R771" i="33"/>
  <c r="R772" i="33"/>
  <c r="R773" i="33"/>
  <c r="R774" i="33"/>
  <c r="R775" i="33"/>
  <c r="R834" i="33"/>
  <c r="R776" i="33"/>
  <c r="R777" i="33"/>
  <c r="R778" i="33"/>
  <c r="R835" i="33"/>
  <c r="R738" i="33"/>
  <c r="R739" i="33"/>
  <c r="R779" i="33"/>
  <c r="R780" i="33"/>
  <c r="R781" i="33"/>
  <c r="R782" i="33"/>
  <c r="R783" i="33"/>
  <c r="R784" i="33"/>
  <c r="R785" i="33"/>
  <c r="R786" i="33"/>
  <c r="R787" i="33"/>
  <c r="R788" i="33"/>
  <c r="R789" i="33"/>
  <c r="R790" i="33"/>
  <c r="R791" i="33"/>
  <c r="R792" i="33"/>
  <c r="R836" i="33"/>
  <c r="R838" i="33"/>
  <c r="R837" i="33"/>
  <c r="R793" i="33"/>
  <c r="R794" i="33"/>
  <c r="R795" i="33"/>
  <c r="R796" i="33"/>
  <c r="R797" i="33"/>
  <c r="R798" i="33"/>
  <c r="R799" i="33"/>
  <c r="R800" i="33"/>
  <c r="R801" i="33"/>
  <c r="R802" i="33"/>
  <c r="R803" i="33"/>
  <c r="R804" i="33"/>
  <c r="R805" i="33"/>
  <c r="R806" i="33"/>
  <c r="R807" i="33"/>
  <c r="R808" i="33"/>
  <c r="R809" i="33"/>
  <c r="R810" i="33"/>
  <c r="R811" i="33"/>
  <c r="R812" i="33"/>
  <c r="R813" i="33"/>
  <c r="R814" i="33"/>
  <c r="R815" i="33"/>
  <c r="R816" i="33"/>
  <c r="R817" i="33"/>
  <c r="R818" i="33"/>
  <c r="R819" i="33"/>
  <c r="R820" i="33"/>
  <c r="R821" i="33"/>
  <c r="R822" i="33"/>
  <c r="R823" i="33"/>
  <c r="R824" i="33"/>
  <c r="R825" i="33"/>
  <c r="R826" i="33"/>
  <c r="R827" i="33"/>
  <c r="R828" i="33"/>
  <c r="R829" i="33"/>
  <c r="R830" i="33"/>
  <c r="R831" i="33"/>
  <c r="R832" i="33"/>
  <c r="R833" i="33"/>
  <c r="R839" i="33"/>
  <c r="R840" i="33"/>
  <c r="R844" i="33"/>
  <c r="R845" i="33"/>
  <c r="R846" i="33"/>
  <c r="R847" i="33"/>
  <c r="R851" i="33"/>
  <c r="R852" i="33"/>
  <c r="R848" i="33"/>
  <c r="R849" i="33"/>
  <c r="R850" i="33"/>
  <c r="R841" i="33"/>
  <c r="R842" i="33"/>
  <c r="R843" i="33"/>
  <c r="R854" i="33"/>
  <c r="R855" i="33"/>
  <c r="R861" i="33"/>
  <c r="R871" i="33"/>
  <c r="R867" i="33"/>
  <c r="R869" i="33"/>
  <c r="R870" i="33"/>
  <c r="R862" i="33"/>
  <c r="R866" i="33"/>
  <c r="R863" i="33"/>
  <c r="R868" i="33"/>
  <c r="R864" i="33"/>
  <c r="R856" i="33"/>
  <c r="R857" i="33"/>
  <c r="R858" i="33"/>
  <c r="R859" i="33"/>
  <c r="R860" i="33"/>
  <c r="R865" i="33"/>
  <c r="R853" i="33"/>
  <c r="R872" i="33"/>
  <c r="R881" i="33"/>
  <c r="R885" i="33"/>
  <c r="R886" i="33"/>
  <c r="R882" i="33"/>
  <c r="R887" i="33"/>
  <c r="R873" i="33"/>
  <c r="R874" i="33"/>
  <c r="R875" i="33"/>
  <c r="R876" i="33"/>
  <c r="R877" i="33"/>
  <c r="R883" i="33"/>
  <c r="R878" i="33"/>
  <c r="R879" i="33"/>
  <c r="R888" i="33"/>
  <c r="R884" i="33"/>
  <c r="R880" i="33"/>
  <c r="R897" i="33"/>
  <c r="R900" i="33"/>
  <c r="R895" i="33"/>
  <c r="R898" i="33"/>
  <c r="R889" i="33"/>
  <c r="R901" i="33"/>
  <c r="R899" i="33"/>
  <c r="R890" i="33"/>
  <c r="R891" i="33"/>
  <c r="R892" i="33"/>
  <c r="R893" i="33"/>
  <c r="R894" i="33"/>
  <c r="R896" i="33"/>
  <c r="R903" i="33"/>
  <c r="R904" i="33"/>
  <c r="R902" i="33"/>
  <c r="R908" i="33"/>
  <c r="R918" i="33"/>
  <c r="R916" i="33"/>
  <c r="R915" i="33"/>
  <c r="R917" i="33"/>
  <c r="R909" i="33"/>
  <c r="R910" i="33"/>
  <c r="R911" i="33"/>
  <c r="R905" i="33"/>
  <c r="R906" i="33"/>
  <c r="R907" i="33"/>
  <c r="R912" i="33"/>
  <c r="R914" i="33"/>
  <c r="R913" i="33"/>
  <c r="R919" i="33"/>
  <c r="R920" i="33"/>
  <c r="R927" i="33"/>
  <c r="R934" i="33"/>
  <c r="R928" i="33"/>
  <c r="R921" i="33"/>
  <c r="R929" i="33"/>
  <c r="R930" i="33"/>
  <c r="R922" i="33"/>
  <c r="R923" i="33"/>
  <c r="R924" i="33"/>
  <c r="R925" i="33"/>
  <c r="R926" i="33"/>
  <c r="R931" i="33"/>
  <c r="R933" i="33"/>
  <c r="R932" i="33"/>
  <c r="R952" i="33"/>
  <c r="R950" i="33"/>
  <c r="R937" i="33"/>
  <c r="R953" i="33"/>
  <c r="R951" i="33"/>
  <c r="R936" i="33"/>
  <c r="R948" i="33"/>
  <c r="R949" i="33"/>
  <c r="R945" i="33"/>
  <c r="R946" i="33"/>
  <c r="R938" i="33"/>
  <c r="R939" i="33"/>
  <c r="R940" i="33"/>
  <c r="R941" i="33"/>
  <c r="R942" i="33"/>
  <c r="R943" i="33"/>
  <c r="R944" i="33"/>
  <c r="R947" i="33"/>
  <c r="R935" i="33"/>
  <c r="R954" i="33"/>
  <c r="R955" i="33"/>
  <c r="R956" i="33"/>
  <c r="R957" i="33"/>
  <c r="R958" i="33"/>
  <c r="R959" i="33"/>
  <c r="R960" i="33"/>
  <c r="R961" i="33"/>
  <c r="R963" i="33"/>
  <c r="R1031" i="33"/>
  <c r="R964" i="33"/>
  <c r="R965" i="33"/>
  <c r="R966" i="33"/>
  <c r="R967" i="33"/>
  <c r="R968" i="33"/>
  <c r="R969" i="33"/>
  <c r="R970" i="33"/>
  <c r="R971" i="33"/>
  <c r="R972" i="33"/>
  <c r="R973" i="33"/>
  <c r="R974" i="33"/>
  <c r="R975" i="33"/>
  <c r="R976" i="33"/>
  <c r="R977" i="33"/>
  <c r="R978" i="33"/>
  <c r="R979" i="33"/>
  <c r="R980" i="33"/>
  <c r="R981" i="33"/>
  <c r="R982" i="33"/>
  <c r="R983" i="33"/>
  <c r="R984" i="33"/>
  <c r="R985" i="33"/>
  <c r="R986" i="33"/>
  <c r="R987" i="33"/>
  <c r="R988" i="33"/>
  <c r="R989" i="33"/>
  <c r="R990" i="33"/>
  <c r="R991" i="33"/>
  <c r="R992" i="33"/>
  <c r="R993" i="33"/>
  <c r="R994" i="33"/>
  <c r="R995" i="33"/>
  <c r="R996" i="33"/>
  <c r="R997" i="33"/>
  <c r="R998" i="33"/>
  <c r="R999" i="33"/>
  <c r="R1000" i="33"/>
  <c r="R1001" i="33"/>
  <c r="R1002" i="33"/>
  <c r="R1003" i="33"/>
  <c r="R1004" i="33"/>
  <c r="R1005" i="33"/>
  <c r="R1006" i="33"/>
  <c r="R1007" i="33"/>
  <c r="R1008" i="33"/>
  <c r="R1009" i="33"/>
  <c r="R1010" i="33"/>
  <c r="R1011" i="33"/>
  <c r="R1012" i="33"/>
  <c r="R1013" i="33"/>
  <c r="R1014" i="33"/>
  <c r="R1015" i="33"/>
  <c r="R1016" i="33"/>
  <c r="R1017" i="33"/>
  <c r="R1018" i="33"/>
  <c r="R1019" i="33"/>
  <c r="R1020" i="33"/>
  <c r="R1021" i="33"/>
  <c r="R1022" i="33"/>
  <c r="R1023" i="33"/>
  <c r="R1024" i="33"/>
  <c r="R1025" i="33"/>
  <c r="R1026" i="33"/>
  <c r="R1027" i="33"/>
  <c r="R1028" i="33"/>
  <c r="R1029" i="33"/>
  <c r="R1030" i="33"/>
  <c r="R1032" i="33"/>
  <c r="R1036" i="33"/>
  <c r="R1035" i="33"/>
  <c r="R1034" i="33"/>
  <c r="R1033" i="33"/>
  <c r="R1037" i="33"/>
  <c r="R1038" i="33"/>
  <c r="R1051" i="33"/>
  <c r="R1056" i="33"/>
  <c r="R1039" i="33"/>
  <c r="R1052" i="33"/>
  <c r="R1040" i="33"/>
  <c r="R1043" i="33"/>
  <c r="R1041" i="33"/>
  <c r="R1057" i="33"/>
  <c r="R1044" i="33"/>
  <c r="R1045" i="33"/>
  <c r="R1053" i="33"/>
  <c r="R1054" i="33"/>
  <c r="R1055" i="33"/>
  <c r="R1046" i="33"/>
  <c r="R1047" i="33"/>
  <c r="R1048" i="33"/>
  <c r="R1049" i="33"/>
  <c r="R1050" i="33"/>
  <c r="R1042" i="33"/>
  <c r="R1072" i="33"/>
  <c r="R1058" i="33"/>
  <c r="R1059" i="33"/>
  <c r="R1069" i="33"/>
  <c r="R1073" i="33"/>
  <c r="R1060" i="33"/>
  <c r="R1061" i="33"/>
  <c r="R1062" i="33"/>
  <c r="R1063" i="33"/>
  <c r="R1064" i="33"/>
  <c r="R1065" i="33"/>
  <c r="R1066" i="33"/>
  <c r="R1067" i="33"/>
  <c r="R1068" i="33"/>
  <c r="R1070" i="33"/>
  <c r="R1071" i="33"/>
  <c r="R1089" i="33"/>
  <c r="R1082" i="33"/>
  <c r="R1083" i="33"/>
  <c r="R1074" i="33"/>
  <c r="R1075" i="33"/>
  <c r="R1076" i="33"/>
  <c r="R1088" i="33"/>
  <c r="R1084" i="33"/>
  <c r="R1077" i="33"/>
  <c r="R1078" i="33"/>
  <c r="R1079" i="33"/>
  <c r="R1087" i="33"/>
  <c r="R1080" i="33"/>
  <c r="R1086" i="33"/>
  <c r="R1085" i="33"/>
  <c r="R1081" i="33"/>
  <c r="R1107" i="33"/>
  <c r="R1091" i="33"/>
  <c r="R1092" i="33"/>
  <c r="R1090" i="33"/>
  <c r="R1102" i="33"/>
  <c r="R1093" i="33"/>
  <c r="R1094" i="33"/>
  <c r="R1095" i="33"/>
  <c r="R1096" i="33"/>
  <c r="R1097" i="33"/>
  <c r="R1098" i="33"/>
  <c r="R1099" i="33"/>
  <c r="R1100" i="33"/>
  <c r="R1103" i="33"/>
  <c r="R1104" i="33"/>
  <c r="R1108" i="33"/>
  <c r="R1101" i="33"/>
  <c r="R1106" i="33"/>
  <c r="R1105" i="33"/>
  <c r="R1109" i="33"/>
  <c r="R1110" i="33"/>
  <c r="R1111" i="33"/>
  <c r="R1114" i="33"/>
  <c r="R1115" i="33"/>
  <c r="R1116" i="33"/>
  <c r="R1117" i="33"/>
  <c r="R1118" i="33"/>
  <c r="R1123" i="33"/>
  <c r="R1113" i="33"/>
  <c r="R1112" i="33"/>
  <c r="R1121" i="33"/>
  <c r="R1124" i="33"/>
  <c r="R1122" i="33"/>
  <c r="R1119" i="33"/>
  <c r="R1120" i="33"/>
  <c r="R1128" i="33"/>
  <c r="R1129" i="33"/>
  <c r="R1134" i="33"/>
  <c r="R1133" i="33"/>
  <c r="R1130" i="33"/>
  <c r="R1131" i="33"/>
  <c r="R1132" i="33"/>
  <c r="R1135" i="33"/>
  <c r="R1136" i="33"/>
  <c r="R1137" i="33"/>
  <c r="R1138" i="33"/>
  <c r="R1139" i="33"/>
  <c r="R1140" i="33"/>
  <c r="R1141" i="33"/>
  <c r="R1142" i="33"/>
  <c r="R1143" i="33"/>
  <c r="R1144" i="33"/>
  <c r="R1145" i="33"/>
  <c r="R1146" i="33"/>
  <c r="R1147" i="33"/>
  <c r="R1148" i="33"/>
  <c r="R1149" i="33"/>
  <c r="R1150" i="33"/>
  <c r="R1151" i="33"/>
  <c r="R1152" i="33"/>
  <c r="R1153" i="33"/>
  <c r="R1154" i="33"/>
  <c r="R1155" i="33"/>
  <c r="R1156" i="33"/>
  <c r="R1157" i="33"/>
  <c r="R1158" i="33"/>
  <c r="R1159" i="33"/>
  <c r="R1160" i="33"/>
  <c r="R1161" i="33"/>
  <c r="R1162" i="33"/>
  <c r="R1163" i="33"/>
  <c r="R1164" i="33"/>
  <c r="R1165" i="33"/>
  <c r="R1166" i="33"/>
  <c r="R1167" i="33"/>
  <c r="R1168" i="33"/>
  <c r="R1169" i="33"/>
  <c r="R1170" i="33"/>
  <c r="R1171" i="33"/>
  <c r="R1172" i="33"/>
  <c r="R1173" i="33"/>
  <c r="R1174" i="33"/>
  <c r="R1175" i="33"/>
  <c r="R1176" i="33"/>
  <c r="R1177" i="33"/>
  <c r="R1178" i="33"/>
  <c r="R1179" i="33"/>
  <c r="R1180" i="33"/>
  <c r="R1181" i="33"/>
  <c r="R1182" i="33"/>
  <c r="R1183" i="33"/>
  <c r="R1184" i="33"/>
  <c r="R1185" i="33"/>
  <c r="R1186" i="33"/>
  <c r="R1187" i="33"/>
  <c r="R1188" i="33"/>
  <c r="R1189" i="33"/>
  <c r="R1190" i="33"/>
  <c r="R1191" i="33"/>
  <c r="R1192" i="33"/>
  <c r="R1193" i="33"/>
  <c r="R1194" i="33"/>
  <c r="R1195" i="33"/>
  <c r="R1196" i="33"/>
  <c r="R1197" i="33"/>
  <c r="R1198" i="33"/>
  <c r="R1199" i="33"/>
  <c r="R1200" i="33"/>
  <c r="R1201" i="33"/>
  <c r="R1202" i="33"/>
  <c r="R1203" i="33"/>
  <c r="R1204" i="33"/>
  <c r="R1205" i="33"/>
  <c r="R1206" i="33"/>
  <c r="R1207" i="33"/>
  <c r="R1208" i="33"/>
  <c r="R1209" i="33"/>
  <c r="R1210" i="33"/>
  <c r="R1211" i="33"/>
  <c r="R1212" i="33"/>
  <c r="R1213" i="33"/>
  <c r="R1214" i="33"/>
  <c r="R1215" i="33"/>
  <c r="R1216" i="33"/>
  <c r="R1217" i="33"/>
  <c r="R1218" i="33"/>
  <c r="R1219" i="33"/>
  <c r="R1220" i="33"/>
  <c r="R1221" i="33"/>
  <c r="R1222" i="33"/>
  <c r="R1223" i="33"/>
  <c r="R1224" i="33"/>
  <c r="R1225" i="33"/>
  <c r="R1226" i="33"/>
  <c r="R1227" i="33"/>
  <c r="R1228" i="33"/>
  <c r="R1229" i="33"/>
  <c r="R1230" i="33"/>
  <c r="R1231" i="33"/>
  <c r="R1232" i="33"/>
  <c r="R1233" i="33"/>
  <c r="R1234" i="33"/>
  <c r="R1235" i="33"/>
  <c r="R1236" i="33"/>
  <c r="R1237" i="33"/>
  <c r="R1238" i="33"/>
  <c r="R1264" i="33"/>
  <c r="R1239" i="33"/>
  <c r="R1283" i="33"/>
  <c r="R1240" i="33"/>
  <c r="R1265" i="33"/>
  <c r="R1280" i="33"/>
  <c r="R1266" i="33"/>
  <c r="R1267" i="33"/>
  <c r="R1241" i="33"/>
  <c r="R1278" i="33"/>
  <c r="R1281" i="33"/>
  <c r="R1268" i="33"/>
  <c r="R1282" i="33"/>
  <c r="R1242" i="33"/>
  <c r="R1243" i="33"/>
  <c r="R1244" i="33"/>
  <c r="R1245" i="33"/>
  <c r="R1246" i="33"/>
  <c r="R1247" i="33"/>
  <c r="R1248" i="33"/>
  <c r="R1249" i="33"/>
  <c r="R1250" i="33"/>
  <c r="R1251" i="33"/>
  <c r="R1252" i="33"/>
  <c r="R1253" i="33"/>
  <c r="R1279" i="33"/>
  <c r="R1269" i="33"/>
  <c r="R1270" i="33"/>
  <c r="R1271" i="33"/>
  <c r="R1272" i="33"/>
  <c r="R1273" i="33"/>
  <c r="R1274" i="33"/>
  <c r="R1275" i="33"/>
  <c r="R1276" i="33"/>
  <c r="R1284" i="33"/>
  <c r="R1277" i="33"/>
  <c r="R1293" i="33"/>
  <c r="R1294" i="33"/>
  <c r="R1295" i="33"/>
  <c r="R1296" i="33"/>
  <c r="R1297" i="33"/>
  <c r="R1298" i="33"/>
  <c r="R1299" i="33"/>
  <c r="R1300" i="33"/>
  <c r="R1301" i="33"/>
  <c r="R1302" i="33"/>
  <c r="R1303" i="33"/>
  <c r="R1304" i="33"/>
  <c r="R1305" i="33"/>
  <c r="R1306" i="33"/>
  <c r="R1307" i="33"/>
  <c r="R1308" i="33"/>
  <c r="R1309" i="33"/>
  <c r="R1310" i="33"/>
  <c r="R1311" i="33"/>
  <c r="R1312" i="33"/>
  <c r="R1313" i="33"/>
  <c r="R1314" i="33"/>
  <c r="R1315" i="33"/>
  <c r="R1316" i="33"/>
  <c r="R1317" i="33"/>
  <c r="R1318" i="33"/>
  <c r="R1319" i="33"/>
  <c r="R1320" i="33"/>
  <c r="R1321" i="33"/>
  <c r="R1322" i="33"/>
  <c r="R1323" i="33"/>
  <c r="R1324" i="33"/>
  <c r="R1325" i="33"/>
  <c r="R1326" i="33"/>
  <c r="R1327" i="33"/>
  <c r="R1328" i="33"/>
  <c r="R1329" i="33"/>
  <c r="R1330" i="33"/>
  <c r="R1331" i="33"/>
  <c r="R1332" i="33"/>
  <c r="R1333" i="33"/>
  <c r="R1334" i="33"/>
  <c r="R1335" i="33"/>
  <c r="R1359" i="33"/>
  <c r="R1336" i="33"/>
  <c r="R1337" i="33"/>
  <c r="R1338" i="33"/>
  <c r="R1339" i="33"/>
  <c r="R1340" i="33"/>
  <c r="R1341" i="33"/>
  <c r="R1342" i="33"/>
  <c r="R1343" i="33"/>
  <c r="R1356" i="33"/>
  <c r="R1360" i="33"/>
  <c r="R1344" i="33"/>
  <c r="R1345" i="33"/>
  <c r="R1346" i="33"/>
  <c r="R1347" i="33"/>
  <c r="R1348" i="33"/>
  <c r="R1349" i="33"/>
  <c r="R1350" i="33"/>
  <c r="R1351" i="33"/>
  <c r="R1358" i="33"/>
  <c r="R1357" i="33"/>
  <c r="R1361" i="33"/>
  <c r="R1352" i="33"/>
  <c r="R1384" i="33"/>
  <c r="R1385" i="33"/>
  <c r="R1395" i="33"/>
  <c r="R1396" i="33"/>
  <c r="R1405" i="33"/>
  <c r="R1406" i="33"/>
  <c r="R1403" i="33"/>
  <c r="R1397" i="33"/>
  <c r="R1398" i="33"/>
  <c r="R1399" i="33"/>
  <c r="R1411" i="33"/>
  <c r="R1401" i="33"/>
  <c r="R1402" i="33"/>
  <c r="R1404" i="33"/>
  <c r="R1386" i="33"/>
  <c r="R1387" i="33"/>
  <c r="R1388" i="33"/>
  <c r="R1389" i="33"/>
  <c r="R1390" i="33"/>
  <c r="R1391" i="33"/>
  <c r="R1392" i="33"/>
  <c r="R1393" i="33"/>
  <c r="R1407" i="33"/>
  <c r="R1419" i="33"/>
  <c r="R1420" i="33"/>
  <c r="R1433" i="33"/>
  <c r="R1434" i="33"/>
  <c r="R1430" i="33"/>
  <c r="R1435" i="33"/>
  <c r="R1436" i="33"/>
  <c r="R1443" i="33"/>
  <c r="R1445" i="33"/>
  <c r="R1440" i="33"/>
  <c r="R1446" i="33"/>
  <c r="R1441" i="33"/>
  <c r="R1437" i="33"/>
  <c r="R1444" i="33"/>
  <c r="R1431" i="33"/>
  <c r="R1438" i="33"/>
  <c r="R1432" i="33"/>
  <c r="R1421" i="33"/>
  <c r="R1422" i="33"/>
  <c r="R1423" i="33"/>
  <c r="R1424" i="33"/>
  <c r="R1425" i="33"/>
  <c r="R1426" i="33"/>
  <c r="R1427" i="33"/>
  <c r="R1428" i="33"/>
  <c r="R1429" i="33"/>
  <c r="R1439" i="33"/>
  <c r="R1442" i="33"/>
  <c r="R1463" i="33"/>
  <c r="R1473" i="33"/>
  <c r="R1476" i="33"/>
  <c r="R1462" i="33"/>
  <c r="R1478" i="33"/>
  <c r="R1477" i="33"/>
  <c r="R1474" i="33"/>
  <c r="R1479" i="33"/>
  <c r="R1464" i="33"/>
  <c r="R1465" i="33"/>
  <c r="R1466" i="33"/>
  <c r="R1467" i="33"/>
  <c r="R1468" i="33"/>
  <c r="R1469" i="33"/>
  <c r="R1470" i="33"/>
  <c r="R1496" i="33"/>
  <c r="R1494" i="33"/>
  <c r="R1495" i="33"/>
  <c r="R1493" i="33"/>
  <c r="R1492" i="33"/>
  <c r="R1489" i="33"/>
  <c r="R1490" i="33"/>
  <c r="R1504" i="33"/>
  <c r="R1505" i="33"/>
  <c r="R1506" i="33"/>
  <c r="R1514" i="33"/>
  <c r="R1516" i="33"/>
  <c r="R1515" i="33"/>
  <c r="R1511" i="33"/>
  <c r="R1513" i="33"/>
  <c r="R1512" i="33"/>
  <c r="R1510" i="33"/>
  <c r="R1507" i="33"/>
  <c r="R1508" i="33"/>
  <c r="R1524" i="33"/>
  <c r="R1525" i="33"/>
  <c r="R1532" i="33"/>
  <c r="R1523" i="33"/>
  <c r="R1526" i="33"/>
  <c r="R1527" i="33"/>
  <c r="R1528" i="33"/>
  <c r="R1529" i="33"/>
  <c r="R1530" i="33"/>
  <c r="R1534" i="33"/>
  <c r="R1540" i="33"/>
  <c r="R1541" i="33"/>
  <c r="R1542" i="33"/>
  <c r="R1547" i="33"/>
  <c r="R1546" i="33"/>
  <c r="R1544" i="33"/>
  <c r="R1543" i="33"/>
  <c r="R1545" i="33"/>
  <c r="R1548" i="33"/>
  <c r="R1549" i="33"/>
  <c r="R1550" i="33"/>
  <c r="R1551" i="33"/>
  <c r="R1552" i="33"/>
  <c r="R1553" i="33"/>
  <c r="R1554" i="33"/>
  <c r="R1555" i="33"/>
  <c r="R1556" i="33"/>
  <c r="R1557" i="33"/>
  <c r="R1558" i="33"/>
  <c r="R1559" i="33"/>
  <c r="R1560" i="33"/>
  <c r="R1561" i="33"/>
  <c r="R1562" i="33"/>
  <c r="R1563" i="33"/>
  <c r="R1564" i="33"/>
  <c r="R1565" i="33"/>
  <c r="R1566" i="33"/>
  <c r="R1567" i="33"/>
  <c r="R1568" i="33"/>
  <c r="R1569" i="33"/>
  <c r="R1570" i="33"/>
  <c r="R1571" i="33"/>
  <c r="R1572" i="33"/>
  <c r="R1573" i="33"/>
  <c r="R1574" i="33"/>
  <c r="R1575" i="33"/>
  <c r="R1576" i="33"/>
  <c r="R1577" i="33"/>
  <c r="R1578" i="33"/>
  <c r="R1579" i="33"/>
  <c r="R1580" i="33"/>
  <c r="R1581" i="33"/>
  <c r="R1582" i="33"/>
  <c r="R1583" i="33"/>
  <c r="R1584" i="33"/>
  <c r="R1585" i="33"/>
  <c r="R1586" i="33"/>
  <c r="R1587" i="33"/>
  <c r="R1588" i="33"/>
  <c r="R1589" i="33"/>
  <c r="R1590" i="33"/>
  <c r="R1591" i="33"/>
  <c r="R1592" i="33"/>
  <c r="R1593" i="33"/>
  <c r="R1594" i="33"/>
  <c r="R1595" i="33"/>
  <c r="R1620" i="33"/>
  <c r="R1596" i="33"/>
  <c r="R1597" i="33"/>
  <c r="R1598" i="33"/>
  <c r="R1599" i="33"/>
  <c r="R1600" i="33"/>
  <c r="R1601" i="33"/>
  <c r="R1602" i="33"/>
  <c r="R1603" i="33"/>
  <c r="R1604" i="33"/>
  <c r="R1605" i="33"/>
  <c r="R1606" i="33"/>
  <c r="R1607" i="33"/>
  <c r="R1608" i="33"/>
  <c r="R1609" i="33"/>
  <c r="R1610" i="33"/>
  <c r="R1611" i="33"/>
  <c r="R1624" i="33"/>
  <c r="R1625" i="33"/>
  <c r="R1612" i="33"/>
  <c r="R1613" i="33"/>
  <c r="R1614" i="33"/>
  <c r="R1626" i="33"/>
  <c r="R1621" i="33"/>
  <c r="R1623" i="33"/>
  <c r="R1622" i="33"/>
  <c r="R1640" i="33"/>
  <c r="R1657" i="33"/>
  <c r="R1656" i="33"/>
  <c r="R1655" i="33"/>
  <c r="R1662" i="33"/>
  <c r="R1660" i="33"/>
  <c r="R1661" i="33"/>
  <c r="R1664" i="33"/>
  <c r="R1666" i="33"/>
  <c r="R1667" i="33"/>
  <c r="R1663" i="33"/>
  <c r="R1665" i="33"/>
  <c r="R1673" i="33"/>
  <c r="R1672" i="33"/>
  <c r="R1674" i="33"/>
  <c r="R1675" i="33"/>
  <c r="R1671" i="33"/>
  <c r="R1678" i="33"/>
  <c r="R1679" i="33"/>
  <c r="R1680" i="33"/>
  <c r="R1681" i="33"/>
  <c r="R1682" i="33"/>
  <c r="R1687" i="33"/>
  <c r="R1688" i="33"/>
  <c r="R1689" i="33"/>
  <c r="R1683" i="33"/>
  <c r="R1684" i="33"/>
  <c r="R1690" i="33"/>
  <c r="R1691" i="33"/>
  <c r="R1701" i="33"/>
  <c r="R1700" i="33"/>
  <c r="R1697" i="33"/>
  <c r="R1698" i="33"/>
  <c r="R1699" i="33"/>
  <c r="R1712" i="33"/>
  <c r="R1707" i="33"/>
  <c r="R1710" i="33"/>
  <c r="R1711" i="33"/>
  <c r="R1718" i="33"/>
  <c r="R1708" i="33"/>
  <c r="R1709" i="33"/>
  <c r="R1716" i="33"/>
  <c r="R1713" i="33"/>
  <c r="R1714" i="33"/>
  <c r="R1715" i="33"/>
  <c r="R1722" i="33"/>
  <c r="R1723" i="33"/>
  <c r="R1728" i="33"/>
  <c r="R1738" i="33"/>
  <c r="R1739" i="33"/>
  <c r="R1735" i="33"/>
  <c r="R1736" i="33"/>
  <c r="R1737" i="33"/>
  <c r="R1125" i="33"/>
  <c r="R1126" i="33"/>
  <c r="R1127" i="33"/>
  <c r="R1288" i="33"/>
  <c r="R1289" i="33"/>
  <c r="R1290" i="33"/>
  <c r="R1291" i="33"/>
  <c r="R1362" i="33"/>
  <c r="R1363" i="33"/>
  <c r="R1364" i="33"/>
  <c r="R1365" i="33"/>
  <c r="R1366" i="33"/>
  <c r="R1367" i="33"/>
  <c r="R1368" i="33"/>
  <c r="R1369" i="33"/>
  <c r="R1370" i="33"/>
  <c r="R1371" i="33"/>
  <c r="R1372" i="33"/>
  <c r="R1373" i="33"/>
  <c r="R1374" i="33"/>
  <c r="R1375" i="33"/>
  <c r="R1376" i="33"/>
  <c r="R1377" i="33"/>
  <c r="R1378" i="33"/>
  <c r="R1379" i="33"/>
  <c r="R1380" i="33"/>
  <c r="R1381" i="33"/>
  <c r="R1382" i="33"/>
  <c r="R1416" i="33"/>
  <c r="R1417" i="33"/>
  <c r="R1418" i="33"/>
  <c r="R1449" i="33"/>
  <c r="R1450" i="33"/>
  <c r="R1483" i="33"/>
  <c r="R1484" i="33"/>
  <c r="R1485" i="33"/>
  <c r="R1486" i="33"/>
  <c r="R1497" i="33"/>
  <c r="R1498" i="33"/>
  <c r="R1499" i="33"/>
  <c r="R1500" i="33"/>
  <c r="R1501" i="33"/>
  <c r="R1502" i="33"/>
  <c r="R1503" i="33"/>
  <c r="R1521" i="33"/>
  <c r="R1522" i="33"/>
  <c r="R1535" i="33"/>
  <c r="R1643" i="33"/>
  <c r="R1652" i="33"/>
  <c r="R1536" i="33"/>
  <c r="R1653" i="33"/>
  <c r="R1654" i="33"/>
  <c r="R1659" i="33"/>
  <c r="R1669" i="33"/>
  <c r="R1670" i="33"/>
  <c r="R1676" i="33"/>
  <c r="R1694" i="33"/>
  <c r="R1677" i="33"/>
  <c r="R1695" i="33"/>
  <c r="R1696" i="33"/>
  <c r="R1702" i="33"/>
  <c r="R1703" i="33"/>
  <c r="R1704" i="33"/>
  <c r="R1705" i="33"/>
  <c r="R1719" i="33"/>
  <c r="R1706" i="33"/>
  <c r="R1720" i="33"/>
  <c r="R1721" i="33"/>
  <c r="R1730" i="33"/>
  <c r="R1731" i="33"/>
  <c r="R1732" i="33"/>
  <c r="R1733" i="33"/>
  <c r="R1734" i="33"/>
  <c r="R1740" i="33"/>
  <c r="R1741" i="33"/>
  <c r="R1742" i="33"/>
  <c r="R1743" i="33"/>
  <c r="R1744" i="33"/>
  <c r="R1745" i="33"/>
  <c r="R1746" i="33"/>
  <c r="R1747" i="33"/>
  <c r="R1748" i="33"/>
  <c r="R1749" i="33"/>
  <c r="R1750" i="33"/>
  <c r="R1751" i="33"/>
  <c r="R1752" i="33"/>
  <c r="R1753" i="33"/>
  <c r="R1754" i="33"/>
  <c r="R1755" i="33"/>
  <c r="R1756" i="33"/>
  <c r="R1757" i="33"/>
  <c r="R1758" i="33"/>
  <c r="R1759" i="33"/>
  <c r="R1760" i="33"/>
  <c r="R1761" i="33"/>
  <c r="R1762" i="33"/>
  <c r="R1763" i="33"/>
  <c r="R1764" i="33"/>
  <c r="R1765" i="33"/>
  <c r="R1766" i="33"/>
  <c r="R1767" i="33"/>
  <c r="R1768" i="33"/>
  <c r="R1769" i="33"/>
  <c r="R1770" i="33"/>
  <c r="R1771" i="33"/>
  <c r="R1772" i="33"/>
  <c r="R1773" i="33"/>
  <c r="R1774" i="33"/>
  <c r="R1775" i="33"/>
  <c r="R1776" i="33"/>
  <c r="R1777" i="33"/>
  <c r="R1778" i="33"/>
  <c r="R1779" i="33"/>
  <c r="R1780" i="33"/>
  <c r="R1781" i="33"/>
  <c r="R1782" i="33"/>
  <c r="R1783" i="33"/>
  <c r="R1784" i="33"/>
  <c r="R1785" i="33"/>
  <c r="R1786" i="33"/>
  <c r="R1787" i="33"/>
  <c r="R1788" i="33"/>
  <c r="R1789" i="33"/>
  <c r="R1790" i="33"/>
  <c r="R1791" i="33"/>
  <c r="R1792" i="33"/>
  <c r="R1793" i="33"/>
  <c r="R1794" i="33"/>
  <c r="Q1038" i="33"/>
  <c r="P1740" i="33"/>
  <c r="Q1740" i="33"/>
  <c r="P1741" i="33"/>
  <c r="Q1741" i="33"/>
  <c r="P1742" i="33"/>
  <c r="Q1742" i="33"/>
  <c r="P1743" i="33"/>
  <c r="Q1743" i="33"/>
  <c r="P1744" i="33"/>
  <c r="Q1744" i="33"/>
  <c r="P1745" i="33"/>
  <c r="Q1745" i="33"/>
  <c r="P1746" i="33"/>
  <c r="Q1746" i="33"/>
  <c r="P1747" i="33"/>
  <c r="Q1747" i="33"/>
  <c r="P1748" i="33"/>
  <c r="Q1748" i="33"/>
  <c r="P1749" i="33"/>
  <c r="Q1749" i="33"/>
  <c r="P1750" i="33"/>
  <c r="Q1750" i="33"/>
  <c r="P1751" i="33"/>
  <c r="Q1751" i="33"/>
  <c r="P1752" i="33"/>
  <c r="Q1752" i="33"/>
  <c r="P1753" i="33"/>
  <c r="Q1753" i="33"/>
  <c r="P1754" i="33"/>
  <c r="Q1754" i="33"/>
  <c r="P1755" i="33"/>
  <c r="Q1755" i="33"/>
  <c r="P1756" i="33"/>
  <c r="Q1756" i="33"/>
  <c r="P1757" i="33"/>
  <c r="Q1757" i="33"/>
  <c r="P1758" i="33"/>
  <c r="Q1758" i="33"/>
  <c r="P1759" i="33"/>
  <c r="Q1759" i="33"/>
  <c r="P1760" i="33"/>
  <c r="Q1760" i="33"/>
  <c r="P1761" i="33"/>
  <c r="Q1761" i="33"/>
  <c r="P1762" i="33"/>
  <c r="Q1762" i="33"/>
  <c r="P1763" i="33"/>
  <c r="Q1763" i="33"/>
  <c r="P1764" i="33"/>
  <c r="Q1764" i="33"/>
  <c r="P1765" i="33"/>
  <c r="Q1765" i="33"/>
  <c r="P1766" i="33"/>
  <c r="Q1766" i="33"/>
  <c r="P1767" i="33"/>
  <c r="Q1767" i="33"/>
  <c r="P1768" i="33"/>
  <c r="Q1768" i="33"/>
  <c r="P1769" i="33"/>
  <c r="Q1769" i="33"/>
  <c r="P1770" i="33"/>
  <c r="Q1770" i="33"/>
  <c r="P1771" i="33"/>
  <c r="Q1771" i="33"/>
  <c r="P1772" i="33"/>
  <c r="Q1772" i="33"/>
  <c r="P1773" i="33"/>
  <c r="Q1773" i="33"/>
  <c r="P1774" i="33"/>
  <c r="Q1774" i="33"/>
  <c r="P1775" i="33"/>
  <c r="Q1775" i="33"/>
  <c r="P1776" i="33"/>
  <c r="Q1776" i="33"/>
  <c r="P1777" i="33"/>
  <c r="Q1777" i="33"/>
  <c r="P1778" i="33"/>
  <c r="Q1778" i="33"/>
  <c r="P1779" i="33"/>
  <c r="Q1779" i="33"/>
  <c r="P1780" i="33"/>
  <c r="Q1780" i="33"/>
  <c r="P1781" i="33"/>
  <c r="Q1781" i="33"/>
  <c r="P1782" i="33"/>
  <c r="Q1782" i="33"/>
  <c r="P1783" i="33"/>
  <c r="Q1783" i="33"/>
  <c r="P1784" i="33"/>
  <c r="Q1784" i="33"/>
  <c r="P1785" i="33"/>
  <c r="Q1785" i="33"/>
  <c r="P1786" i="33"/>
  <c r="Q1786" i="33"/>
  <c r="P1787" i="33"/>
  <c r="Q1787" i="33"/>
  <c r="P1788" i="33"/>
  <c r="Q1788" i="33"/>
  <c r="P1789" i="33"/>
  <c r="Q1789" i="33"/>
  <c r="P1790" i="33"/>
  <c r="Q1790" i="33"/>
  <c r="P1791" i="33"/>
  <c r="Q1791" i="33"/>
  <c r="P1792" i="33"/>
  <c r="Q1792" i="33"/>
  <c r="P1793" i="33"/>
  <c r="Q1793" i="33"/>
  <c r="P1794" i="33"/>
  <c r="Q1794" i="33"/>
  <c r="P1795" i="33"/>
  <c r="Q1795" i="33"/>
  <c r="P1796" i="33"/>
  <c r="Q1796" i="33"/>
  <c r="P1797" i="33"/>
  <c r="Q1797" i="33"/>
  <c r="P1798" i="33"/>
  <c r="Q1798" i="33"/>
  <c r="P1799" i="33"/>
  <c r="Q1799" i="33"/>
  <c r="P1800" i="33"/>
  <c r="Q1800" i="33"/>
  <c r="P1801" i="33"/>
  <c r="Q1801" i="33"/>
  <c r="P1802" i="33"/>
  <c r="Q1802" i="33"/>
  <c r="P1803" i="33"/>
  <c r="Q1803" i="33"/>
  <c r="P1804" i="33"/>
  <c r="Q1804" i="33"/>
  <c r="P1805" i="33"/>
  <c r="Q1805" i="33"/>
  <c r="P1806" i="33"/>
  <c r="Q1806" i="33"/>
  <c r="P1807" i="33"/>
  <c r="Q1807" i="33"/>
  <c r="P1808" i="33"/>
  <c r="Q1808" i="33"/>
  <c r="P1809" i="33"/>
  <c r="Q1809" i="33"/>
  <c r="P1810" i="33"/>
  <c r="Q1810" i="33"/>
  <c r="P1811" i="33"/>
  <c r="Q1811" i="33"/>
  <c r="P1812" i="33"/>
  <c r="Q1812" i="33"/>
  <c r="P1813" i="33"/>
  <c r="Q1813" i="33"/>
  <c r="P1814" i="33"/>
  <c r="Q1814" i="33"/>
  <c r="P1815" i="33"/>
  <c r="Q1815" i="33"/>
  <c r="P1816" i="33"/>
  <c r="Q1816" i="33"/>
  <c r="P1817" i="33"/>
  <c r="Q1817" i="33"/>
  <c r="P1818" i="33"/>
  <c r="Q1818" i="33"/>
  <c r="P1819" i="33"/>
  <c r="Q1819" i="33"/>
  <c r="P1820" i="33"/>
  <c r="Q1820" i="33"/>
  <c r="P1821" i="33"/>
  <c r="Q1821" i="33"/>
  <c r="P1822" i="33"/>
  <c r="Q1822" i="33"/>
  <c r="P1823" i="33"/>
  <c r="Q1823" i="33"/>
  <c r="P1824" i="33"/>
  <c r="Q1824" i="33"/>
  <c r="P1825" i="33"/>
  <c r="Q1825" i="33"/>
  <c r="P1826" i="33"/>
  <c r="Q1826" i="33"/>
  <c r="P1827" i="33"/>
  <c r="Q1827" i="33"/>
  <c r="P1828" i="33"/>
  <c r="Q1828" i="33"/>
  <c r="P1829" i="33"/>
  <c r="Q1829" i="33"/>
  <c r="P1830" i="33"/>
  <c r="Q1830" i="33"/>
  <c r="D46" i="20" l="1"/>
  <c r="P1831" i="33" l="1"/>
  <c r="Q1831" i="33"/>
  <c r="P1832" i="33"/>
  <c r="Q1832" i="33"/>
  <c r="P1833" i="33"/>
  <c r="Q1833" i="33"/>
  <c r="P1834" i="33"/>
  <c r="Q1834" i="33"/>
  <c r="P1835" i="33"/>
  <c r="Q1835" i="33"/>
  <c r="P1836" i="33"/>
  <c r="Q1836" i="33"/>
  <c r="P1837" i="33"/>
  <c r="Q1837" i="33"/>
  <c r="P1838" i="33"/>
  <c r="Q1838" i="33"/>
  <c r="P1839" i="33"/>
  <c r="Q1839" i="33"/>
  <c r="P1840" i="33"/>
  <c r="Q1840" i="33"/>
  <c r="P1841" i="33"/>
  <c r="Q1841" i="33"/>
  <c r="P1842" i="33"/>
  <c r="Q1842" i="33"/>
  <c r="P1843" i="33"/>
  <c r="Q1843" i="33"/>
  <c r="P1844" i="33"/>
  <c r="Q1844" i="33"/>
  <c r="P1845" i="33"/>
  <c r="Q1845" i="33"/>
  <c r="P1846" i="33"/>
  <c r="Q1846" i="33"/>
  <c r="P1847" i="33"/>
  <c r="Q1847" i="33"/>
  <c r="P1848" i="33"/>
  <c r="Q1848" i="33"/>
  <c r="P1849" i="33"/>
  <c r="Q1849" i="33"/>
  <c r="P1850" i="33"/>
  <c r="Q1850" i="33"/>
  <c r="P1851" i="33"/>
  <c r="Q1851" i="33"/>
  <c r="P1852" i="33"/>
  <c r="Q1852" i="33"/>
  <c r="P1853" i="33"/>
  <c r="Q1853" i="33"/>
  <c r="P1854" i="33"/>
  <c r="Q1854" i="33"/>
  <c r="P1855" i="33"/>
  <c r="Q1855" i="33"/>
  <c r="P1856" i="33"/>
  <c r="Q1856" i="33"/>
  <c r="P1857" i="33"/>
  <c r="Q1857" i="33"/>
  <c r="P1858" i="33"/>
  <c r="Q1858" i="33"/>
  <c r="P1859" i="33"/>
  <c r="Q1859" i="33"/>
  <c r="P1860" i="33"/>
  <c r="Q1860" i="33"/>
  <c r="P1861" i="33"/>
  <c r="Q1861" i="33"/>
  <c r="P1862" i="33"/>
  <c r="Q1862" i="33"/>
  <c r="P1863" i="33"/>
  <c r="Q1863" i="33"/>
  <c r="P1864" i="33"/>
  <c r="Q1864" i="33"/>
  <c r="P1865" i="33"/>
  <c r="Q1865" i="33"/>
  <c r="P1866" i="33"/>
  <c r="Q1866" i="33"/>
  <c r="P1867" i="33"/>
  <c r="Q1867" i="33"/>
  <c r="A21" i="33"/>
  <c r="A20" i="33"/>
  <c r="A12" i="33"/>
  <c r="A16" i="33"/>
  <c r="A18" i="33"/>
  <c r="A22" i="33" l="1"/>
  <c r="E42" i="20" l="1"/>
  <c r="E53" i="20" s="1"/>
  <c r="D45" i="20" l="1"/>
  <c r="D53" i="20" s="1"/>
  <c r="O25" i="36" l="1"/>
  <c r="Q50" i="36" s="1"/>
  <c r="R1795" i="33"/>
  <c r="R1796" i="33"/>
  <c r="R1797" i="33"/>
  <c r="R1798" i="33"/>
  <c r="R1799" i="33"/>
  <c r="R1800" i="33"/>
  <c r="R1801" i="33"/>
  <c r="R1802" i="33"/>
  <c r="R1803" i="33"/>
  <c r="R1804" i="33"/>
  <c r="R1805" i="33"/>
  <c r="R1806" i="33"/>
  <c r="R1807" i="33"/>
  <c r="R1808" i="33"/>
  <c r="R1809" i="33"/>
  <c r="R1810" i="33"/>
  <c r="R1811" i="33"/>
  <c r="R1812" i="33"/>
  <c r="R1813" i="33"/>
  <c r="R1814" i="33"/>
  <c r="R1815" i="33"/>
  <c r="R1816" i="33"/>
  <c r="R1817" i="33"/>
  <c r="R1818" i="33"/>
  <c r="R1819" i="33"/>
  <c r="R1820" i="33"/>
  <c r="R1821" i="33"/>
  <c r="R1822" i="33"/>
  <c r="R1823" i="33"/>
  <c r="R1824" i="33"/>
  <c r="R1825" i="33"/>
  <c r="R1826" i="33"/>
  <c r="R1827" i="33"/>
  <c r="R1828" i="33"/>
  <c r="R1829" i="33"/>
  <c r="R1830" i="33"/>
  <c r="R1831" i="33"/>
  <c r="R1832" i="33"/>
  <c r="R1833" i="33"/>
  <c r="R1834" i="33"/>
  <c r="R1835" i="33"/>
  <c r="R1836" i="33"/>
  <c r="R1837" i="33"/>
  <c r="R1838" i="33"/>
  <c r="R1839" i="33"/>
  <c r="R1840" i="33"/>
  <c r="R1841" i="33"/>
  <c r="R1842" i="33"/>
  <c r="R1843" i="33"/>
  <c r="R1844" i="33"/>
  <c r="R1845" i="33"/>
  <c r="R1846" i="33"/>
  <c r="R1847" i="33"/>
  <c r="R1848" i="33"/>
  <c r="R1849" i="33"/>
  <c r="R1850" i="33"/>
  <c r="R1851" i="33"/>
  <c r="R1852" i="33"/>
  <c r="R1853" i="33"/>
  <c r="R1854" i="33"/>
  <c r="R1855" i="33"/>
  <c r="R1856" i="33"/>
  <c r="R1857" i="33"/>
  <c r="R1858" i="33"/>
  <c r="R1859" i="33"/>
  <c r="R1860" i="33"/>
  <c r="R1861" i="33"/>
  <c r="R1862" i="33"/>
  <c r="R1863" i="33"/>
  <c r="R1864" i="33"/>
  <c r="R1865" i="33"/>
  <c r="R1866" i="33"/>
  <c r="R1867" i="33"/>
  <c r="R1868" i="33"/>
  <c r="R1869" i="33"/>
  <c r="R1870" i="33"/>
  <c r="R1871" i="33"/>
  <c r="R1872" i="33"/>
  <c r="R1873" i="33"/>
  <c r="R1874" i="33"/>
  <c r="R1875" i="33"/>
  <c r="R1876" i="33"/>
  <c r="R1877" i="33"/>
  <c r="R1878" i="33"/>
  <c r="R1879" i="33"/>
  <c r="R1880" i="33"/>
  <c r="R1881" i="33"/>
  <c r="R1882" i="33"/>
  <c r="R1883" i="33"/>
  <c r="R1884" i="33"/>
  <c r="R1885" i="33"/>
  <c r="R1886" i="33"/>
  <c r="R1887" i="33"/>
  <c r="R1888" i="33"/>
  <c r="R1889" i="33"/>
  <c r="R1890" i="33"/>
  <c r="R1891" i="33"/>
  <c r="R1892" i="33"/>
  <c r="R1893" i="33"/>
  <c r="R1894" i="33"/>
  <c r="R1895" i="33"/>
  <c r="R1896" i="33"/>
  <c r="R1897" i="33"/>
  <c r="R1898" i="33"/>
  <c r="R1899" i="33"/>
  <c r="R1900" i="33"/>
  <c r="R1901" i="33"/>
  <c r="R1902" i="33"/>
  <c r="R1903" i="33"/>
  <c r="R1904" i="33"/>
  <c r="R1905" i="33"/>
  <c r="R1906" i="33"/>
  <c r="R1907" i="33"/>
  <c r="R1908" i="33"/>
  <c r="R1909" i="33"/>
  <c r="R1910" i="33"/>
  <c r="R1911" i="33"/>
  <c r="R1912" i="33"/>
  <c r="R1913" i="33"/>
  <c r="R1914" i="33"/>
  <c r="R1915" i="33"/>
  <c r="R1916" i="33"/>
  <c r="R1917" i="33"/>
  <c r="R1918" i="33"/>
  <c r="R1919" i="33"/>
  <c r="R1920" i="33"/>
  <c r="R1921" i="33"/>
  <c r="R1922" i="33"/>
  <c r="R1923" i="33"/>
  <c r="R1924" i="33"/>
  <c r="R1925" i="33"/>
  <c r="R1926" i="33"/>
  <c r="R1927" i="33"/>
  <c r="R1928" i="33"/>
  <c r="R1929" i="33"/>
  <c r="R1930" i="33"/>
  <c r="R1931" i="33"/>
  <c r="R1932" i="33"/>
  <c r="R1933" i="33"/>
  <c r="R1934" i="33"/>
  <c r="R1935" i="33"/>
  <c r="R1936" i="33"/>
  <c r="R1937" i="33"/>
  <c r="R1938" i="33"/>
  <c r="R1939" i="33"/>
  <c r="R1940" i="33"/>
  <c r="R1941" i="33"/>
  <c r="R1942" i="33"/>
  <c r="R1943" i="33"/>
  <c r="R1944" i="33"/>
  <c r="R1945" i="33"/>
  <c r="R1946" i="33"/>
  <c r="R1947" i="33"/>
  <c r="R1948" i="33"/>
  <c r="R1949" i="33"/>
  <c r="R1950" i="33"/>
  <c r="R1951" i="33"/>
  <c r="R1952" i="33"/>
  <c r="R1953" i="33"/>
  <c r="R1954" i="33"/>
  <c r="R1955" i="33"/>
  <c r="R1956" i="33"/>
  <c r="R1957" i="33"/>
  <c r="R1958" i="33"/>
  <c r="R1959" i="33"/>
  <c r="R1960" i="33"/>
  <c r="R1961" i="33"/>
  <c r="R1962" i="33"/>
  <c r="R1963" i="33"/>
  <c r="R1964" i="33"/>
  <c r="R1965" i="33"/>
  <c r="R1966" i="33"/>
  <c r="R1967" i="33"/>
  <c r="R1968" i="33"/>
  <c r="R1969" i="33"/>
  <c r="R1970" i="33"/>
  <c r="R1971" i="33"/>
  <c r="R1972" i="33"/>
  <c r="R1973" i="33"/>
  <c r="R1974" i="33"/>
  <c r="R1975" i="33"/>
  <c r="R1976" i="33"/>
  <c r="R1977" i="33"/>
  <c r="R1978" i="33"/>
  <c r="R1979" i="33"/>
  <c r="R1980" i="33"/>
  <c r="R1981" i="33"/>
  <c r="R1982" i="33"/>
  <c r="R1983" i="33"/>
  <c r="R1984" i="33"/>
  <c r="R1985" i="33"/>
  <c r="R1986" i="33"/>
  <c r="R1987" i="33"/>
  <c r="R1988" i="33"/>
  <c r="R1989" i="33"/>
  <c r="R1990" i="33"/>
  <c r="R1991" i="33"/>
  <c r="R1992" i="33"/>
  <c r="R1993" i="33"/>
  <c r="R1994" i="33"/>
  <c r="R1995" i="33"/>
  <c r="R1996" i="33"/>
  <c r="R1997" i="33"/>
  <c r="R1998" i="33"/>
  <c r="R1999" i="33"/>
  <c r="R2000" i="33"/>
  <c r="R2001" i="33"/>
  <c r="R2002" i="33"/>
  <c r="R2003" i="33"/>
  <c r="R2004" i="33"/>
  <c r="R2005" i="33"/>
  <c r="R2006" i="33"/>
  <c r="R2007" i="33"/>
  <c r="R2008" i="33"/>
  <c r="R2009" i="33"/>
  <c r="R2010" i="33"/>
  <c r="R2011" i="33"/>
  <c r="R2012" i="33"/>
  <c r="R2013" i="33"/>
  <c r="R2014" i="33"/>
  <c r="R2015" i="33"/>
  <c r="R2016" i="33"/>
  <c r="R2017" i="33"/>
  <c r="R2018" i="33"/>
  <c r="R2019" i="33"/>
  <c r="R2020" i="33"/>
  <c r="R2021" i="33"/>
  <c r="R2022" i="33"/>
  <c r="R2023" i="33"/>
  <c r="R2024" i="33"/>
  <c r="R2025" i="33"/>
  <c r="R2026" i="33"/>
  <c r="R2027" i="33"/>
  <c r="R2028" i="33"/>
  <c r="R2029" i="33"/>
  <c r="R2030" i="33"/>
  <c r="R2031" i="33"/>
  <c r="R2032" i="33"/>
  <c r="R2033" i="33"/>
  <c r="R2034" i="33"/>
  <c r="R2035" i="33"/>
  <c r="R2036" i="33"/>
  <c r="R2037" i="33"/>
  <c r="R2038" i="33"/>
  <c r="R2039" i="33"/>
  <c r="R2040" i="33"/>
  <c r="R2041" i="33"/>
  <c r="R2042" i="33"/>
  <c r="R2043" i="33"/>
  <c r="R2044" i="33"/>
  <c r="R2045" i="33"/>
  <c r="R2046" i="33"/>
  <c r="R2047" i="33"/>
  <c r="R2048" i="33"/>
  <c r="R2049" i="33"/>
  <c r="R2050" i="33"/>
  <c r="R2051" i="33"/>
  <c r="R2052" i="33"/>
  <c r="R2053" i="33"/>
  <c r="R2054" i="33"/>
  <c r="R2055" i="33"/>
  <c r="R2056" i="33"/>
  <c r="R2057" i="33"/>
  <c r="R2058" i="33"/>
  <c r="R2059" i="33"/>
  <c r="R2060" i="33"/>
  <c r="R2061" i="33"/>
  <c r="R2062" i="33"/>
  <c r="R2063" i="33"/>
  <c r="R2064" i="33"/>
  <c r="R2065" i="33"/>
  <c r="R2066" i="33"/>
  <c r="R2067" i="33"/>
  <c r="R2068" i="33"/>
  <c r="R2069" i="33"/>
  <c r="R2070" i="33"/>
  <c r="R2071" i="33"/>
  <c r="R2072" i="33"/>
  <c r="R2073" i="33"/>
  <c r="R2074" i="33"/>
  <c r="R2075" i="33"/>
  <c r="R2076" i="33"/>
  <c r="R2077" i="33"/>
  <c r="R2078" i="33"/>
  <c r="R2079" i="33"/>
  <c r="R2080" i="33"/>
  <c r="R2081" i="33"/>
  <c r="R2082" i="33"/>
  <c r="R2083" i="33"/>
  <c r="R2084" i="33"/>
  <c r="R2085" i="33"/>
  <c r="R2086" i="33"/>
  <c r="R2087" i="33"/>
  <c r="R2088" i="33"/>
  <c r="R2089" i="33"/>
  <c r="R2090" i="33"/>
  <c r="R2091" i="33"/>
  <c r="R2092" i="33"/>
  <c r="R2093" i="33"/>
  <c r="R2094" i="33"/>
  <c r="R2095" i="33"/>
  <c r="R2096" i="33"/>
  <c r="R2097" i="33"/>
  <c r="R2098" i="33"/>
  <c r="R2099" i="33"/>
  <c r="R2100" i="33"/>
  <c r="R2101" i="33"/>
  <c r="R2102" i="33"/>
  <c r="R2103" i="33"/>
  <c r="R2104" i="33"/>
  <c r="R2105" i="33"/>
  <c r="R2106" i="33"/>
  <c r="R2107" i="33"/>
  <c r="R2108" i="33"/>
  <c r="R2109" i="33"/>
  <c r="R2110" i="33"/>
  <c r="R2111" i="33"/>
  <c r="R2112" i="33"/>
  <c r="R2113" i="33"/>
  <c r="R2114" i="33"/>
  <c r="R2115" i="33"/>
  <c r="R2116" i="33"/>
  <c r="R2117" i="33"/>
  <c r="R2118" i="33"/>
  <c r="R2119" i="33"/>
  <c r="R2120" i="33"/>
  <c r="R2121" i="33"/>
  <c r="R2122" i="33"/>
  <c r="R2123" i="33"/>
  <c r="R2124" i="33"/>
  <c r="R2125" i="33"/>
  <c r="R2126" i="33"/>
  <c r="R2127" i="33"/>
  <c r="R2128" i="33"/>
  <c r="R2129" i="33"/>
  <c r="R2130" i="33"/>
  <c r="R2131" i="33"/>
  <c r="R2132" i="33"/>
  <c r="R2133" i="33"/>
  <c r="R2134" i="33"/>
  <c r="R2135" i="33"/>
  <c r="R2136" i="33"/>
  <c r="R2137" i="33"/>
  <c r="R2138" i="33"/>
  <c r="R2139" i="33"/>
  <c r="R2140" i="33"/>
  <c r="R2141" i="33"/>
  <c r="R2142" i="33"/>
  <c r="R2143" i="33"/>
  <c r="R2144" i="33"/>
  <c r="R2145" i="33"/>
  <c r="R2146" i="33"/>
  <c r="R2147" i="33"/>
  <c r="R2148" i="33"/>
  <c r="R2149" i="33"/>
  <c r="R2150" i="33"/>
  <c r="R2151" i="33"/>
  <c r="R2152" i="33"/>
  <c r="R2153" i="33"/>
  <c r="R2154" i="33"/>
  <c r="R2155" i="33"/>
  <c r="R2156" i="33"/>
  <c r="R2157" i="33"/>
  <c r="R2158" i="33"/>
  <c r="R2159" i="33"/>
  <c r="R2160" i="33"/>
  <c r="R2161" i="33"/>
  <c r="R2162" i="33"/>
  <c r="R2163" i="33"/>
  <c r="R2164" i="33"/>
  <c r="R2165" i="33"/>
  <c r="R2166" i="33"/>
  <c r="R2167" i="33"/>
  <c r="R2168" i="33"/>
  <c r="R2169" i="33"/>
  <c r="R2170" i="33"/>
  <c r="R2171" i="33"/>
  <c r="R2172" i="33"/>
  <c r="R2173" i="33"/>
  <c r="R2174" i="33"/>
  <c r="R2175" i="33"/>
  <c r="R2176" i="33"/>
  <c r="R2177" i="33"/>
  <c r="R2178" i="33"/>
  <c r="R2179" i="33"/>
  <c r="R2180" i="33"/>
  <c r="R2181" i="33"/>
  <c r="R2182" i="33"/>
  <c r="R2183" i="33"/>
  <c r="R2184" i="33"/>
  <c r="R2185" i="33"/>
  <c r="R2186" i="33"/>
  <c r="R2187" i="33"/>
  <c r="R2188" i="33"/>
  <c r="R2189" i="33"/>
  <c r="R2190" i="33"/>
  <c r="R2191" i="33"/>
  <c r="R2192" i="33"/>
  <c r="R2193" i="33"/>
  <c r="R2194" i="33"/>
  <c r="R2195" i="33"/>
  <c r="R2196" i="33"/>
  <c r="R2197" i="33"/>
  <c r="R2198" i="33"/>
  <c r="R2199" i="33"/>
  <c r="R2200" i="33"/>
  <c r="R2201" i="33"/>
  <c r="R2202" i="33"/>
  <c r="R2203" i="33"/>
  <c r="R2204" i="33"/>
  <c r="R2205" i="33"/>
  <c r="R2206" i="33"/>
  <c r="R2207" i="33"/>
  <c r="R2208" i="33"/>
  <c r="R2209" i="33"/>
  <c r="R2210" i="33"/>
  <c r="R2211" i="33"/>
  <c r="R2212" i="33"/>
  <c r="R2213" i="33"/>
  <c r="R2214" i="33"/>
  <c r="R2215" i="33"/>
  <c r="R2216" i="33"/>
  <c r="R2217" i="33"/>
  <c r="R2218" i="33"/>
  <c r="R2219" i="33"/>
  <c r="R2220" i="33"/>
  <c r="R2221" i="33"/>
  <c r="R2222" i="33"/>
  <c r="R2223" i="33"/>
  <c r="R2224" i="33"/>
  <c r="R2225" i="33"/>
  <c r="R2226" i="33"/>
  <c r="R2227" i="33"/>
  <c r="R2228" i="33"/>
  <c r="R2229" i="33"/>
  <c r="R2230" i="33"/>
  <c r="R2231" i="33"/>
  <c r="R2232" i="33"/>
  <c r="R2233" i="33"/>
  <c r="R2234" i="33"/>
  <c r="R2235" i="33"/>
  <c r="R2236" i="33"/>
  <c r="R2237" i="33"/>
  <c r="R2238" i="33"/>
  <c r="R2239" i="33"/>
  <c r="R2240" i="33"/>
  <c r="R2241" i="33"/>
  <c r="R2242" i="33"/>
  <c r="R2243" i="33"/>
  <c r="R2244" i="33"/>
  <c r="R2245" i="33"/>
  <c r="R2246" i="33"/>
  <c r="R2247" i="33"/>
  <c r="R2248" i="33"/>
  <c r="R2249" i="33"/>
  <c r="R2250" i="33"/>
  <c r="R2251" i="33"/>
  <c r="R2252" i="33"/>
  <c r="R2253" i="33"/>
  <c r="R2254" i="33"/>
  <c r="R2255" i="33"/>
  <c r="R2256" i="33"/>
  <c r="R2257" i="33"/>
  <c r="R2258" i="33"/>
  <c r="R2259" i="33"/>
  <c r="R2260" i="33"/>
  <c r="R2261" i="33"/>
  <c r="R2262" i="33"/>
  <c r="R2263" i="33"/>
  <c r="R2264" i="33"/>
  <c r="R2265" i="33"/>
  <c r="R2266" i="33"/>
  <c r="R2267" i="33"/>
  <c r="R2268" i="33"/>
  <c r="R2269" i="33"/>
  <c r="R2270" i="33"/>
  <c r="R2271" i="33"/>
  <c r="R2272" i="33"/>
  <c r="R2273" i="33"/>
  <c r="R2274" i="33"/>
  <c r="R2275" i="33"/>
  <c r="R2276" i="33"/>
  <c r="R2277" i="33"/>
  <c r="R2278" i="33"/>
  <c r="R2279" i="33"/>
  <c r="R2280" i="33"/>
  <c r="R2281" i="33"/>
  <c r="R2282" i="33"/>
  <c r="R2283" i="33"/>
  <c r="R2284" i="33"/>
  <c r="R2285" i="33"/>
  <c r="R2286" i="33"/>
  <c r="R2287" i="33"/>
  <c r="R2288" i="33"/>
  <c r="R2289" i="33"/>
  <c r="R2290" i="33"/>
  <c r="R2291" i="33"/>
  <c r="R2292" i="33"/>
  <c r="R2293" i="33"/>
  <c r="R2294" i="33"/>
  <c r="R2295" i="33"/>
  <c r="R2296" i="33"/>
  <c r="R2297" i="33"/>
  <c r="R2298" i="33"/>
  <c r="R2299" i="33"/>
  <c r="R2300" i="33"/>
  <c r="R2301" i="33"/>
  <c r="R2302" i="33"/>
  <c r="R2303" i="33"/>
  <c r="R2304" i="33"/>
  <c r="R2305" i="33"/>
  <c r="R2306" i="33"/>
  <c r="R2307" i="33"/>
  <c r="R2308" i="33"/>
  <c r="R2309" i="33"/>
  <c r="R2310" i="33"/>
  <c r="R2311" i="33"/>
  <c r="R2312" i="33"/>
  <c r="R2313" i="33"/>
  <c r="R2314" i="33"/>
  <c r="R2315" i="33"/>
  <c r="R2316" i="33"/>
  <c r="R2317" i="33"/>
  <c r="R2318" i="33"/>
  <c r="R2319" i="33"/>
  <c r="R2320" i="33"/>
  <c r="R2321" i="33"/>
  <c r="R2322" i="33"/>
  <c r="R2323" i="33"/>
  <c r="R2324" i="33"/>
  <c r="R2325" i="33"/>
  <c r="R2326" i="33"/>
  <c r="R2327" i="33"/>
  <c r="R2328" i="33"/>
  <c r="R2329" i="33"/>
  <c r="R2330" i="33"/>
  <c r="R2331" i="33"/>
  <c r="R2332" i="33"/>
  <c r="R2333" i="33"/>
  <c r="R2334" i="33"/>
  <c r="R2335" i="33"/>
  <c r="R2336" i="33"/>
  <c r="R2337" i="33"/>
  <c r="R2338" i="33"/>
  <c r="R2339" i="33"/>
  <c r="R2340" i="33"/>
  <c r="R2341" i="33"/>
  <c r="R2342" i="33"/>
  <c r="R2343" i="33"/>
  <c r="R2344" i="33"/>
  <c r="R2345" i="33"/>
  <c r="R2346" i="33"/>
  <c r="R2347" i="33"/>
  <c r="R2348" i="33"/>
  <c r="R2349" i="33"/>
  <c r="R2350" i="33"/>
  <c r="R2351" i="33"/>
  <c r="R2352" i="33"/>
  <c r="R2353" i="33"/>
  <c r="R2354" i="33"/>
  <c r="R2355" i="33"/>
  <c r="R2356" i="33"/>
  <c r="R2357" i="33"/>
  <c r="R2358" i="33"/>
  <c r="R2359" i="33"/>
  <c r="R2360" i="33"/>
  <c r="R2361" i="33"/>
  <c r="R2362" i="33"/>
  <c r="R2363" i="33"/>
  <c r="R2364" i="33"/>
  <c r="R2365" i="33"/>
  <c r="R2366" i="33"/>
  <c r="R2367" i="33"/>
  <c r="R2368" i="33"/>
  <c r="R2369" i="33"/>
  <c r="R2370" i="33"/>
  <c r="R2371" i="33"/>
  <c r="R2372" i="33"/>
  <c r="R2373" i="33"/>
  <c r="R2374" i="33"/>
  <c r="R2375" i="33"/>
  <c r="R2376" i="33"/>
  <c r="R2377" i="33"/>
  <c r="R2378" i="33"/>
  <c r="R2379" i="33"/>
  <c r="R2380" i="33"/>
  <c r="R2381" i="33"/>
  <c r="R2382" i="33"/>
  <c r="R2383" i="33"/>
  <c r="R2384" i="33"/>
  <c r="R2385" i="33"/>
  <c r="R2386" i="33"/>
  <c r="R2387" i="33"/>
  <c r="R2388" i="33"/>
  <c r="R2389" i="33"/>
  <c r="R2390" i="33"/>
  <c r="R2391" i="33"/>
  <c r="R2392" i="33"/>
  <c r="R2393" i="33"/>
  <c r="R2394" i="33"/>
  <c r="R2395" i="33"/>
  <c r="R2396" i="33"/>
  <c r="R2397" i="33"/>
  <c r="R2398" i="33"/>
  <c r="R2399" i="33"/>
  <c r="R2400" i="33"/>
  <c r="R2401" i="33"/>
  <c r="R2402" i="33"/>
  <c r="R2403" i="33"/>
  <c r="R2404" i="33"/>
  <c r="R2405" i="33"/>
  <c r="R2406" i="33"/>
  <c r="R2407" i="33"/>
  <c r="R2408" i="33"/>
  <c r="R2409" i="33"/>
  <c r="R2410" i="33"/>
  <c r="R2411" i="33"/>
  <c r="R2412" i="33"/>
  <c r="R2413" i="33"/>
  <c r="R2414" i="33"/>
  <c r="R2415" i="33"/>
  <c r="R2416" i="33"/>
  <c r="R2417" i="33"/>
  <c r="R2418" i="33"/>
  <c r="R2419" i="33"/>
  <c r="R2420" i="33"/>
  <c r="R2421" i="33"/>
  <c r="R2422" i="33"/>
  <c r="R2423" i="33"/>
  <c r="R2424" i="33"/>
  <c r="R2425" i="33"/>
  <c r="R2426" i="33"/>
  <c r="R2427" i="33"/>
  <c r="R2428" i="33"/>
  <c r="R2429" i="33"/>
  <c r="R2430" i="33"/>
  <c r="R2431" i="33"/>
  <c r="R2432" i="33"/>
  <c r="R2433" i="33"/>
  <c r="R2434" i="33"/>
  <c r="R2435" i="33"/>
  <c r="R2436" i="33"/>
  <c r="R2437" i="33"/>
  <c r="R2438" i="33"/>
  <c r="R2439" i="33"/>
  <c r="R2440" i="33"/>
  <c r="R2441" i="33"/>
  <c r="R2442" i="33"/>
  <c r="R2443" i="33"/>
  <c r="R2444" i="33"/>
  <c r="R2445" i="33"/>
  <c r="R2446" i="33"/>
  <c r="R2447" i="33"/>
  <c r="R2448" i="33"/>
  <c r="R2449" i="33"/>
  <c r="R2450" i="33"/>
  <c r="R2451" i="33"/>
  <c r="R2452" i="33"/>
  <c r="R2453" i="33"/>
  <c r="R2454" i="33"/>
  <c r="R2455" i="33"/>
  <c r="R2456" i="33"/>
  <c r="R2457" i="33"/>
  <c r="R2458" i="33"/>
  <c r="R2459" i="33"/>
  <c r="R2460" i="33"/>
  <c r="R2461" i="33"/>
  <c r="R2462" i="33"/>
  <c r="R2463" i="33"/>
  <c r="R2464" i="33"/>
  <c r="R2465" i="33"/>
  <c r="R2466" i="33"/>
  <c r="R2467" i="33"/>
  <c r="R2468" i="33"/>
  <c r="R2469" i="33"/>
  <c r="R2470" i="33"/>
  <c r="R2471" i="33"/>
  <c r="R2472" i="33"/>
  <c r="R2473" i="33"/>
  <c r="R2474" i="33"/>
  <c r="R2475" i="33"/>
  <c r="R2476" i="33"/>
  <c r="R2477" i="33"/>
  <c r="R2478" i="33"/>
  <c r="R2479" i="33"/>
  <c r="R2480" i="33"/>
  <c r="R2481" i="33"/>
  <c r="R2482" i="33"/>
  <c r="R2483" i="33"/>
  <c r="R2484" i="33"/>
  <c r="R2485" i="33"/>
  <c r="R2486" i="33"/>
  <c r="R2487" i="33"/>
  <c r="R2488" i="33"/>
  <c r="R2489" i="33"/>
  <c r="R2490" i="33"/>
  <c r="R2491" i="33"/>
  <c r="R2492" i="33"/>
  <c r="R2493" i="33"/>
  <c r="R2494" i="33"/>
  <c r="R2495" i="33"/>
  <c r="R2496" i="33"/>
  <c r="R2497" i="33"/>
  <c r="R2498" i="33"/>
  <c r="R2499" i="33"/>
  <c r="R2500" i="33"/>
  <c r="R2501" i="33"/>
  <c r="R2502" i="33"/>
  <c r="R2503" i="33"/>
  <c r="R2504" i="33"/>
  <c r="R2505" i="33"/>
  <c r="R2506" i="33"/>
  <c r="R2507" i="33"/>
  <c r="R2508" i="33"/>
  <c r="R2509" i="33"/>
  <c r="R2510" i="33"/>
  <c r="R2511" i="33"/>
  <c r="R2512" i="33"/>
  <c r="R2513" i="33"/>
  <c r="R2514" i="33"/>
  <c r="R2515" i="33"/>
  <c r="R2516" i="33"/>
  <c r="R2517" i="33"/>
  <c r="R2518" i="33"/>
  <c r="R2519" i="33"/>
  <c r="R2520" i="33"/>
  <c r="R2521" i="33"/>
  <c r="R2522" i="33"/>
  <c r="R2523" i="33"/>
  <c r="R2524" i="33"/>
  <c r="R2525" i="33"/>
  <c r="R2526" i="33"/>
  <c r="R2527" i="33"/>
  <c r="R2528" i="33"/>
  <c r="R2529" i="33"/>
  <c r="R2530" i="33"/>
  <c r="R2531" i="33"/>
  <c r="R2532" i="33"/>
  <c r="R2533" i="33"/>
  <c r="R2534" i="33"/>
  <c r="R2535" i="33"/>
  <c r="R2536" i="33"/>
  <c r="R2537" i="33"/>
  <c r="R2538" i="33"/>
  <c r="R2539" i="33"/>
  <c r="R2540" i="33"/>
  <c r="R2541" i="33"/>
  <c r="R2542" i="33"/>
  <c r="R2543" i="33"/>
  <c r="R2544" i="33"/>
  <c r="R2545" i="33"/>
  <c r="R2546" i="33"/>
  <c r="R2547" i="33"/>
  <c r="R2548" i="33"/>
  <c r="R2549" i="33"/>
  <c r="R2550" i="33"/>
  <c r="R2551" i="33"/>
  <c r="R2552" i="33"/>
  <c r="R2553" i="33"/>
  <c r="R2554" i="33"/>
  <c r="R2555" i="33"/>
  <c r="R2556" i="33"/>
  <c r="R2557" i="33"/>
  <c r="R2558" i="33"/>
  <c r="R2559" i="33"/>
  <c r="R2560" i="33"/>
  <c r="R2561" i="33"/>
  <c r="R2562" i="33"/>
  <c r="R2563" i="33"/>
  <c r="R2564" i="33"/>
  <c r="R2565" i="33"/>
  <c r="R2566" i="33"/>
  <c r="R2567" i="33"/>
  <c r="R2568" i="33"/>
  <c r="R2569" i="33"/>
  <c r="R2570" i="33"/>
  <c r="R2571" i="33"/>
  <c r="R2572" i="33"/>
  <c r="R2573" i="33"/>
  <c r="R2574" i="33"/>
  <c r="R2575" i="33"/>
  <c r="R2576" i="33"/>
  <c r="R2577" i="33"/>
  <c r="R2578" i="33"/>
  <c r="R2579" i="33"/>
  <c r="R2580" i="33"/>
  <c r="R2581" i="33"/>
  <c r="R2582" i="33"/>
  <c r="R2583" i="33"/>
  <c r="R2584" i="33"/>
  <c r="R2585" i="33"/>
  <c r="R2586" i="33"/>
  <c r="R2587" i="33"/>
  <c r="R2588" i="33"/>
  <c r="R2589" i="33"/>
  <c r="R2590" i="33"/>
  <c r="R2591" i="33"/>
  <c r="R2592" i="33"/>
  <c r="R2593" i="33"/>
  <c r="R2594" i="33"/>
  <c r="R2595" i="33"/>
  <c r="R2596" i="33"/>
  <c r="R2597" i="33"/>
  <c r="R2598" i="33"/>
  <c r="R2599" i="33"/>
  <c r="R2600" i="33"/>
  <c r="R2601" i="33"/>
  <c r="R2602" i="33"/>
  <c r="R2603" i="33"/>
  <c r="R2604" i="33"/>
  <c r="R2605" i="33"/>
  <c r="R2606" i="33"/>
  <c r="R2607" i="33"/>
  <c r="R2608" i="33"/>
  <c r="R2609" i="33"/>
  <c r="R2610" i="33"/>
  <c r="R2611" i="33"/>
  <c r="R2612" i="33"/>
  <c r="R2613" i="33"/>
  <c r="R2614" i="33"/>
  <c r="R2615" i="33"/>
  <c r="R2616" i="33"/>
  <c r="R2617" i="33"/>
  <c r="R2618" i="33"/>
  <c r="R2619" i="33"/>
  <c r="R2620" i="33"/>
  <c r="R2621" i="33"/>
  <c r="R2622" i="33"/>
  <c r="R2623" i="33"/>
  <c r="R2624" i="33"/>
  <c r="R2625" i="33"/>
  <c r="R2626" i="33"/>
  <c r="R2627" i="33"/>
  <c r="R2628" i="33"/>
  <c r="R2629" i="33"/>
  <c r="R2630" i="33"/>
  <c r="R2631" i="33"/>
  <c r="R2632" i="33"/>
  <c r="R2633" i="33"/>
  <c r="R2634" i="33"/>
  <c r="R2635" i="33"/>
  <c r="A7" i="33" l="1"/>
  <c r="A8" i="33"/>
  <c r="A11" i="33"/>
  <c r="A19" i="33"/>
  <c r="A17" i="33"/>
  <c r="A14" i="33"/>
  <c r="A15" i="33"/>
  <c r="A13" i="33"/>
  <c r="A9" i="33"/>
  <c r="A10" i="33"/>
  <c r="A2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967" i="33"/>
  <c r="A1968" i="33"/>
  <c r="A1969" i="33"/>
  <c r="A1970" i="33"/>
  <c r="A1971" i="33"/>
  <c r="A1972" i="33"/>
  <c r="A1973" i="33"/>
  <c r="A1974" i="33"/>
  <c r="A1975" i="33"/>
  <c r="A1976" i="33"/>
  <c r="A1977" i="33"/>
  <c r="A1978" i="33"/>
  <c r="A1979" i="33"/>
  <c r="A1980" i="33"/>
  <c r="A1981" i="33"/>
  <c r="A1982" i="33"/>
  <c r="A1983" i="33"/>
  <c r="A1984" i="33"/>
  <c r="A1985" i="33"/>
  <c r="A1986" i="33"/>
  <c r="A1987" i="33"/>
  <c r="A1988" i="33"/>
  <c r="A1989" i="33"/>
  <c r="A1990" i="33"/>
  <c r="A1991" i="33"/>
  <c r="A1992" i="33"/>
  <c r="A1993" i="33"/>
  <c r="A1994" i="33"/>
  <c r="A1995" i="33"/>
  <c r="A1996" i="33"/>
  <c r="A1997" i="33"/>
  <c r="A1998" i="33"/>
  <c r="A1999" i="33"/>
  <c r="A2000" i="33"/>
  <c r="A2001" i="33"/>
  <c r="A2002" i="33"/>
  <c r="A2003" i="33"/>
  <c r="A2004" i="33"/>
  <c r="A2005" i="33"/>
  <c r="A2006" i="33"/>
  <c r="A2007" i="33"/>
  <c r="A2008" i="33"/>
  <c r="A2009" i="33"/>
  <c r="A2010" i="33"/>
  <c r="A2011" i="33"/>
  <c r="A2012" i="33"/>
  <c r="A2013" i="33"/>
  <c r="A2014" i="33"/>
  <c r="A2015" i="33"/>
  <c r="A2016" i="33"/>
  <c r="A2017" i="33"/>
  <c r="A2018" i="33"/>
  <c r="A2019" i="33"/>
  <c r="A2020" i="33"/>
  <c r="A2021" i="33"/>
  <c r="A2022" i="33"/>
  <c r="A2023" i="33"/>
  <c r="A2024" i="33"/>
  <c r="A2025" i="33"/>
  <c r="A2026" i="33"/>
  <c r="A2027" i="33"/>
  <c r="A2028" i="33"/>
  <c r="A2029" i="33"/>
  <c r="A2030" i="33"/>
  <c r="A2031" i="33"/>
  <c r="A2032" i="33"/>
  <c r="A2033" i="33"/>
  <c r="A2034" i="33"/>
  <c r="A2035" i="33"/>
  <c r="A2036" i="33"/>
  <c r="A2037" i="33"/>
  <c r="A2038" i="33"/>
  <c r="A2039" i="33"/>
  <c r="A2040" i="33"/>
  <c r="A2041" i="33"/>
  <c r="A2042" i="33"/>
  <c r="A2043" i="33"/>
  <c r="A2044" i="33"/>
  <c r="A2045" i="33"/>
  <c r="A2046" i="33"/>
  <c r="A2047" i="33"/>
  <c r="A2048" i="33"/>
  <c r="A2049" i="33"/>
  <c r="A2050" i="33"/>
  <c r="A2051" i="33"/>
  <c r="A2052" i="33"/>
  <c r="A2053" i="33"/>
  <c r="A2054" i="33"/>
  <c r="A2055" i="33"/>
  <c r="A2056" i="33"/>
  <c r="A2057" i="33"/>
  <c r="A2058" i="33"/>
  <c r="A2059" i="33"/>
  <c r="A2060" i="33"/>
  <c r="A2061" i="33"/>
  <c r="A2062" i="33"/>
  <c r="A2063" i="33"/>
  <c r="A2064" i="33"/>
  <c r="A2065" i="33"/>
  <c r="A2066" i="33"/>
  <c r="A2067" i="33"/>
  <c r="A2068" i="33"/>
  <c r="A2069" i="33"/>
  <c r="A2070" i="33"/>
  <c r="A2071" i="33"/>
  <c r="A2072" i="33"/>
  <c r="A2073" i="33"/>
  <c r="A2074" i="33"/>
  <c r="A2075" i="33"/>
  <c r="A2076" i="33"/>
  <c r="A2077" i="33"/>
  <c r="A2078" i="33"/>
  <c r="A2079" i="33"/>
  <c r="A2080" i="33"/>
  <c r="A2081" i="33"/>
  <c r="A2082" i="33"/>
  <c r="A2083" i="33"/>
  <c r="A2084" i="33"/>
  <c r="A2085" i="33"/>
  <c r="A2086" i="33"/>
  <c r="A2087" i="33"/>
  <c r="A2088" i="33"/>
  <c r="A2089" i="33"/>
  <c r="A2090" i="33"/>
  <c r="A2091" i="33"/>
  <c r="A2092" i="33"/>
  <c r="A2093" i="33"/>
  <c r="A2094" i="33"/>
  <c r="A2095" i="33"/>
  <c r="A2096" i="33"/>
  <c r="A2097" i="33"/>
  <c r="A2098" i="33"/>
  <c r="A2099" i="33"/>
  <c r="A2100" i="33"/>
  <c r="A2101" i="33"/>
  <c r="A2102" i="33"/>
  <c r="A2103" i="33"/>
  <c r="A2104" i="33"/>
  <c r="A2105" i="33"/>
  <c r="A2106" i="33"/>
  <c r="A2107" i="33"/>
  <c r="A2108" i="33"/>
  <c r="A2109" i="33"/>
  <c r="A2110" i="33"/>
  <c r="A2111" i="33"/>
  <c r="A2112" i="33"/>
  <c r="A2113" i="33"/>
  <c r="A2114" i="33"/>
  <c r="A2115" i="33"/>
  <c r="A2116" i="33"/>
  <c r="A2117" i="33"/>
  <c r="A2118" i="33"/>
  <c r="A2119" i="33"/>
  <c r="A2120" i="33"/>
  <c r="A2121" i="33"/>
  <c r="A2122" i="33"/>
  <c r="A2123" i="33"/>
  <c r="A2124" i="33"/>
  <c r="A2125" i="33"/>
  <c r="A2126" i="33"/>
  <c r="A2127" i="33"/>
  <c r="A2128" i="33"/>
  <c r="A2129" i="33"/>
  <c r="A2130" i="33"/>
  <c r="A2131" i="33"/>
  <c r="A2132" i="33"/>
  <c r="A2133" i="33"/>
  <c r="A2134" i="33"/>
  <c r="A2135" i="33"/>
  <c r="A2136" i="33"/>
  <c r="A2137" i="33"/>
  <c r="A2138" i="33"/>
  <c r="A2139" i="33"/>
  <c r="A2140" i="33"/>
  <c r="A2141" i="33"/>
  <c r="A2142" i="33"/>
  <c r="A2143" i="33"/>
  <c r="A2144" i="33"/>
  <c r="A2145" i="33"/>
  <c r="A2146" i="33"/>
  <c r="A2147" i="33"/>
  <c r="A2148" i="33"/>
  <c r="A2149" i="33"/>
  <c r="A2150" i="33"/>
  <c r="A2151" i="33"/>
  <c r="A2152" i="33"/>
  <c r="A2153" i="33"/>
  <c r="A2154" i="33"/>
  <c r="A2155" i="33"/>
  <c r="A2156" i="33"/>
  <c r="A2157" i="33"/>
  <c r="A2158" i="33"/>
  <c r="A2159" i="33"/>
  <c r="A2160" i="33"/>
  <c r="A2161" i="33"/>
  <c r="A2162" i="33"/>
  <c r="A2163" i="33"/>
  <c r="A2164" i="33"/>
  <c r="A2165" i="33"/>
  <c r="A2166" i="33"/>
  <c r="A2167" i="33"/>
  <c r="A2168" i="33"/>
  <c r="A2169" i="33"/>
  <c r="A2170" i="33"/>
  <c r="A2171" i="33"/>
  <c r="A2172" i="33"/>
  <c r="A2173" i="33"/>
  <c r="A2174" i="33"/>
  <c r="A2175" i="33"/>
  <c r="A2176" i="33"/>
  <c r="A2177" i="33"/>
  <c r="A2178" i="33"/>
  <c r="A2179" i="33"/>
  <c r="A2180" i="33"/>
  <c r="A2181" i="33"/>
  <c r="A2182" i="33"/>
  <c r="A2183" i="33"/>
  <c r="A2184" i="33"/>
  <c r="A2185" i="33"/>
  <c r="A2186" i="33"/>
  <c r="A2187" i="33"/>
  <c r="A2188" i="33"/>
  <c r="A2189" i="33"/>
  <c r="A2190" i="33"/>
  <c r="A2191" i="33"/>
  <c r="A2192" i="33"/>
  <c r="A2193" i="33"/>
  <c r="A2194" i="33"/>
  <c r="A2195" i="33"/>
  <c r="A2196" i="33"/>
  <c r="A2197" i="33"/>
  <c r="A2198" i="33"/>
  <c r="A2199" i="33"/>
  <c r="A2200" i="33"/>
  <c r="A2201" i="33"/>
  <c r="A2202" i="33"/>
  <c r="A2203" i="33"/>
  <c r="A2204" i="33"/>
  <c r="A2205" i="33"/>
  <c r="A2206" i="33"/>
  <c r="A2207" i="33"/>
  <c r="A2208" i="33"/>
  <c r="A2209" i="33"/>
  <c r="A2210" i="33"/>
  <c r="A2211" i="33"/>
  <c r="A2212" i="33"/>
  <c r="A2213" i="33"/>
  <c r="A2214" i="33"/>
  <c r="A2215" i="33"/>
  <c r="A2216" i="33"/>
  <c r="A2217" i="33"/>
  <c r="A2218" i="33"/>
  <c r="A2219" i="33"/>
  <c r="A2220" i="33"/>
  <c r="A2221" i="33"/>
  <c r="A2222" i="33"/>
  <c r="A2223" i="33"/>
  <c r="A2224" i="33"/>
  <c r="A2225" i="33"/>
  <c r="A2226" i="33"/>
  <c r="A2227" i="33"/>
  <c r="A2228" i="33"/>
  <c r="A2229" i="33"/>
  <c r="A2230" i="33"/>
  <c r="A2231" i="33"/>
  <c r="A2232" i="33"/>
  <c r="A2233" i="33"/>
  <c r="A2234" i="33"/>
  <c r="A2235" i="33"/>
  <c r="A2236" i="33"/>
  <c r="A2237" i="33"/>
  <c r="A2238" i="33"/>
  <c r="A2239" i="33"/>
  <c r="A2240" i="33"/>
  <c r="E58" i="20" l="1"/>
  <c r="C68" i="20"/>
  <c r="E67" i="20"/>
  <c r="L53" i="20"/>
  <c r="I53" i="20"/>
  <c r="F53" i="20"/>
  <c r="C25" i="20"/>
  <c r="C53" i="20"/>
  <c r="G53" i="20"/>
  <c r="D24" i="20" s="1"/>
  <c r="N53" i="20"/>
  <c r="F25" i="20" s="1"/>
  <c r="H53" i="20"/>
  <c r="D25" i="20" s="1"/>
  <c r="C24" i="20"/>
  <c r="E62" i="20" l="1"/>
  <c r="E63" i="20"/>
  <c r="E61" i="20"/>
  <c r="E64" i="20"/>
  <c r="E60" i="20"/>
  <c r="E59" i="20"/>
  <c r="E57" i="20"/>
  <c r="D68" i="20"/>
  <c r="F24" i="20"/>
  <c r="E68" i="20" l="1"/>
  <c r="A2564" i="56" l="1"/>
  <c r="A2563" i="56"/>
  <c r="A2562" i="56"/>
  <c r="A2561" i="56"/>
  <c r="A2560" i="56"/>
  <c r="A2559" i="56"/>
  <c r="A2558" i="56"/>
  <c r="A2557" i="56"/>
  <c r="A2556" i="56"/>
  <c r="A2555" i="56"/>
  <c r="A2554" i="56"/>
  <c r="A2553" i="56"/>
  <c r="A2552" i="56"/>
  <c r="A2551" i="56"/>
  <c r="A2550" i="56"/>
  <c r="A2549" i="56"/>
  <c r="A2548" i="56"/>
  <c r="A2547" i="56"/>
  <c r="A2546" i="56"/>
  <c r="A2545" i="56"/>
  <c r="A2544" i="56"/>
  <c r="A2543" i="56"/>
  <c r="A2542" i="56"/>
  <c r="A2541" i="56"/>
  <c r="A2540" i="56"/>
  <c r="A2539" i="56"/>
  <c r="A2538" i="56"/>
  <c r="A2537" i="56"/>
  <c r="A2536" i="56"/>
  <c r="A2535" i="56"/>
  <c r="A2534" i="56"/>
  <c r="A2533" i="56"/>
  <c r="A2532" i="56"/>
  <c r="A2531" i="56"/>
  <c r="A2530" i="56"/>
  <c r="A2529" i="56"/>
  <c r="A2528" i="56"/>
  <c r="A2527" i="56"/>
  <c r="A2526" i="56"/>
  <c r="A2525" i="56"/>
  <c r="A2524" i="56"/>
  <c r="A2523" i="56"/>
  <c r="A2522" i="56"/>
  <c r="A2521" i="56"/>
  <c r="A2520" i="56"/>
  <c r="A2519" i="56"/>
  <c r="A2518" i="56"/>
  <c r="A2517" i="56"/>
  <c r="A2516" i="56"/>
  <c r="A2515" i="56"/>
  <c r="A2514" i="56"/>
  <c r="A2513" i="56"/>
  <c r="A2512" i="56"/>
  <c r="A2511" i="56"/>
  <c r="A2510" i="56"/>
  <c r="A2509" i="56"/>
  <c r="A2508" i="56"/>
  <c r="A2507" i="56"/>
  <c r="A2506" i="56"/>
  <c r="A2505" i="56"/>
  <c r="A2504" i="56"/>
  <c r="A2503" i="56"/>
  <c r="A2502" i="56"/>
  <c r="A2501" i="56"/>
  <c r="A2500" i="56"/>
  <c r="A2499" i="56"/>
  <c r="A2498" i="56"/>
  <c r="A2497" i="56"/>
  <c r="A2496" i="56"/>
  <c r="A2495" i="56"/>
  <c r="A2494" i="56"/>
  <c r="A2493" i="56"/>
  <c r="A2492" i="56"/>
  <c r="A2491" i="56"/>
  <c r="A2490" i="56"/>
  <c r="A2489" i="56"/>
  <c r="A2488" i="56"/>
  <c r="A2487" i="56"/>
  <c r="A2486" i="56"/>
  <c r="A2485" i="56"/>
  <c r="A2484" i="56"/>
  <c r="A2483" i="56"/>
  <c r="A2482" i="56"/>
  <c r="A2481" i="56"/>
  <c r="A2480" i="56"/>
  <c r="A2479" i="56"/>
  <c r="A2478" i="56"/>
  <c r="A2477" i="56"/>
  <c r="A2476" i="56"/>
  <c r="A2475" i="56"/>
  <c r="A2474" i="56"/>
  <c r="A2473" i="56"/>
  <c r="A2472" i="56"/>
  <c r="A2471" i="56"/>
  <c r="A2470" i="56"/>
  <c r="A2469" i="56"/>
  <c r="A2468" i="56"/>
  <c r="A2467" i="56"/>
  <c r="A2466" i="56"/>
  <c r="A2465" i="56"/>
  <c r="A2464" i="56"/>
  <c r="A2463" i="56"/>
  <c r="A2462" i="56"/>
  <c r="A2461" i="56"/>
  <c r="A2460" i="56"/>
  <c r="A2459" i="56"/>
  <c r="A2458" i="56"/>
  <c r="A2457" i="56"/>
  <c r="A2456" i="56"/>
  <c r="A2455" i="56"/>
  <c r="A2454" i="56"/>
  <c r="A2453" i="56"/>
  <c r="A2452" i="56"/>
  <c r="A2451" i="56"/>
  <c r="A2450" i="56"/>
  <c r="A2449" i="56"/>
  <c r="A2448" i="56"/>
  <c r="A2447" i="56"/>
  <c r="A2446" i="56"/>
  <c r="A2445" i="56"/>
  <c r="A2444" i="56"/>
  <c r="A2443" i="56"/>
  <c r="A2442" i="56"/>
  <c r="A2441" i="56"/>
  <c r="A2440" i="56"/>
  <c r="A2439" i="56"/>
  <c r="A2438" i="56"/>
  <c r="A2437" i="56"/>
  <c r="A2436" i="56"/>
  <c r="A2435" i="56"/>
  <c r="A2434" i="56"/>
  <c r="A2433" i="56"/>
  <c r="A2432" i="56"/>
  <c r="A2431" i="56"/>
  <c r="A2430" i="56"/>
  <c r="A2429" i="56"/>
  <c r="A2428" i="56"/>
  <c r="A2427" i="56"/>
  <c r="A2426" i="56"/>
  <c r="A2425" i="56"/>
  <c r="A2424" i="56"/>
  <c r="A2423" i="56"/>
  <c r="A2422" i="56"/>
  <c r="A2421" i="56"/>
  <c r="A2420" i="56"/>
  <c r="A2419" i="56"/>
  <c r="A2418" i="56"/>
  <c r="A2417" i="56"/>
  <c r="A2416" i="56"/>
  <c r="A2415" i="56"/>
  <c r="A2414" i="56"/>
  <c r="A2413" i="56"/>
  <c r="A2412" i="56"/>
  <c r="A2411" i="56"/>
  <c r="A2410" i="56"/>
  <c r="A2409" i="56"/>
  <c r="A2408" i="56"/>
  <c r="A2407" i="56"/>
  <c r="A2406" i="56"/>
  <c r="A2405" i="56"/>
  <c r="A2404" i="56"/>
  <c r="A2403" i="56"/>
  <c r="A2402" i="56"/>
  <c r="A2401" i="56"/>
  <c r="A2400" i="56"/>
  <c r="A2399" i="56"/>
  <c r="A2398" i="56"/>
  <c r="A2397" i="56"/>
  <c r="A2396" i="56"/>
  <c r="A2395" i="56"/>
  <c r="A2394" i="56"/>
  <c r="A2393" i="56"/>
  <c r="A2392" i="56"/>
  <c r="A2391" i="56"/>
  <c r="A2390" i="56"/>
  <c r="A2389" i="56"/>
  <c r="A2388" i="56"/>
  <c r="A2387" i="56"/>
  <c r="A2386" i="56"/>
  <c r="A2385" i="56"/>
  <c r="A2384" i="56"/>
  <c r="A2383" i="56"/>
  <c r="A2382" i="56"/>
  <c r="A2381" i="56"/>
  <c r="A2380" i="56"/>
  <c r="A2379" i="56"/>
  <c r="A2378" i="56"/>
  <c r="A2377" i="56"/>
  <c r="A2376" i="56"/>
  <c r="A2375" i="56"/>
  <c r="A2374" i="56"/>
  <c r="A2373" i="56"/>
  <c r="A2372" i="56"/>
  <c r="A2371" i="56"/>
  <c r="A2370" i="56"/>
  <c r="A2369" i="56"/>
  <c r="A2368" i="56"/>
  <c r="A2367" i="56"/>
  <c r="A2366" i="56"/>
  <c r="A2365" i="56"/>
  <c r="A2364" i="56"/>
  <c r="A2363" i="56"/>
  <c r="A2362" i="56"/>
  <c r="A2361" i="56"/>
  <c r="A2360" i="56"/>
  <c r="A2359" i="56"/>
  <c r="A2358" i="56"/>
  <c r="A2357" i="56"/>
  <c r="A2356" i="56"/>
  <c r="A2355" i="56"/>
  <c r="A2354" i="56"/>
  <c r="A2353" i="56"/>
  <c r="A2352" i="56"/>
  <c r="A2351" i="56"/>
  <c r="A2350" i="56"/>
  <c r="A2349" i="56"/>
  <c r="A2348" i="56"/>
  <c r="A2347" i="56"/>
  <c r="A2346" i="56"/>
  <c r="A2345" i="56"/>
  <c r="A2344" i="56"/>
  <c r="A2343" i="56"/>
  <c r="A2342" i="56"/>
  <c r="A2341" i="56"/>
  <c r="A2340" i="56"/>
  <c r="A2339" i="56"/>
  <c r="A2338" i="56"/>
  <c r="A2337" i="56"/>
  <c r="A2336" i="56"/>
  <c r="A2335" i="56"/>
  <c r="A2334" i="56"/>
  <c r="A2333" i="56"/>
  <c r="A2332" i="56"/>
  <c r="A2331" i="56"/>
  <c r="A2330" i="56"/>
  <c r="A2329" i="56"/>
  <c r="A2328" i="56"/>
  <c r="A2327" i="56"/>
  <c r="A2326" i="56"/>
  <c r="A2325" i="56"/>
  <c r="A2324" i="56"/>
  <c r="A2323" i="56"/>
  <c r="A2322" i="56"/>
  <c r="A2321" i="56"/>
  <c r="A2320" i="56"/>
  <c r="A2319" i="56"/>
  <c r="A2318" i="56"/>
  <c r="A2317" i="56"/>
  <c r="A2316" i="56"/>
  <c r="A2315" i="56"/>
  <c r="A2314" i="56"/>
  <c r="A2313" i="56"/>
  <c r="A2312" i="56"/>
  <c r="A2311" i="56"/>
  <c r="A2310" i="56"/>
  <c r="A2309" i="56"/>
  <c r="A2308" i="56"/>
  <c r="A2307" i="56"/>
  <c r="A2306" i="56"/>
  <c r="A2305" i="56"/>
  <c r="A2304" i="56"/>
  <c r="A2303" i="56"/>
  <c r="A2302" i="56"/>
  <c r="A2301" i="56"/>
  <c r="A2300" i="56"/>
  <c r="A2299" i="56"/>
  <c r="A2298" i="56"/>
  <c r="A2297" i="56"/>
  <c r="A2296" i="56"/>
  <c r="A2295" i="56"/>
  <c r="A2294" i="56"/>
  <c r="A2293" i="56"/>
  <c r="A2292" i="56"/>
  <c r="A2291" i="56"/>
  <c r="A2290" i="56"/>
  <c r="A2289" i="56"/>
  <c r="A2288" i="56"/>
  <c r="A2287" i="56"/>
  <c r="A2286" i="56"/>
  <c r="A2285" i="56"/>
  <c r="A2284" i="56"/>
  <c r="A2283" i="56"/>
  <c r="A2282" i="56"/>
  <c r="A2281" i="56"/>
  <c r="A2280" i="56"/>
  <c r="A2279" i="56"/>
  <c r="A2278" i="56"/>
  <c r="A2277" i="56"/>
  <c r="A2276" i="56"/>
  <c r="A2275" i="56"/>
  <c r="A2274" i="56"/>
  <c r="A2273" i="56"/>
  <c r="A2272" i="56"/>
  <c r="A2271" i="56"/>
  <c r="A2270" i="56"/>
  <c r="A2269" i="56"/>
  <c r="A2268" i="56"/>
  <c r="A2267" i="56"/>
  <c r="A2266" i="56"/>
  <c r="A2265" i="56"/>
  <c r="A2264" i="56"/>
  <c r="A2263" i="56"/>
  <c r="A2262" i="56"/>
  <c r="A2261" i="56"/>
  <c r="A2260" i="56"/>
  <c r="A2259" i="56"/>
  <c r="A2258" i="56"/>
  <c r="A2257" i="56"/>
  <c r="A2256" i="56"/>
  <c r="A2255" i="56"/>
  <c r="A2254" i="56"/>
  <c r="A2253" i="56"/>
  <c r="A2252" i="56"/>
  <c r="A2251" i="56"/>
  <c r="A2250" i="56"/>
  <c r="A2249" i="56"/>
  <c r="A2248" i="56"/>
  <c r="A2247" i="56"/>
  <c r="A2246" i="56"/>
  <c r="A2245" i="56"/>
  <c r="A2244" i="56"/>
  <c r="A2243" i="56"/>
  <c r="A2242" i="56"/>
  <c r="A2241" i="56"/>
  <c r="A2240" i="56"/>
  <c r="A2239" i="56"/>
  <c r="A2238" i="56"/>
  <c r="A2237" i="56"/>
  <c r="A2236" i="56"/>
  <c r="A2235" i="56"/>
  <c r="A2234" i="56"/>
  <c r="A2233" i="56"/>
  <c r="A2232" i="56"/>
  <c r="A2231" i="56"/>
  <c r="A2230" i="56"/>
  <c r="A2229" i="56"/>
  <c r="A2228" i="56"/>
  <c r="A2227" i="56"/>
  <c r="A2226" i="56"/>
  <c r="A2225" i="56"/>
  <c r="A2224" i="56"/>
  <c r="A2223" i="56"/>
  <c r="A2222" i="56"/>
  <c r="A2221" i="56"/>
  <c r="A2220" i="56"/>
  <c r="A2219" i="56"/>
  <c r="A2218" i="56"/>
  <c r="A2217" i="56"/>
  <c r="A2216" i="56"/>
  <c r="A2215" i="56"/>
  <c r="A2214" i="56"/>
  <c r="A2213" i="56"/>
  <c r="A2212" i="56"/>
  <c r="A2211" i="56"/>
  <c r="A2210" i="56"/>
  <c r="A2209" i="56"/>
  <c r="A2208" i="56"/>
  <c r="A2207" i="56"/>
  <c r="A2206" i="56"/>
  <c r="A2205" i="56"/>
  <c r="A2204" i="56"/>
  <c r="A2203" i="56"/>
  <c r="A2202" i="56"/>
  <c r="A2201" i="56"/>
  <c r="A2200" i="56"/>
  <c r="A2199" i="56"/>
  <c r="A2198" i="56"/>
  <c r="A2197" i="56"/>
  <c r="A2196" i="56"/>
  <c r="A2195" i="56"/>
  <c r="A2194" i="56"/>
  <c r="A2193" i="56"/>
  <c r="A2192" i="56"/>
  <c r="A2191" i="56"/>
  <c r="A2190" i="56"/>
  <c r="A2189" i="56"/>
  <c r="A2188" i="56"/>
  <c r="A2187" i="56"/>
  <c r="A2186" i="56"/>
  <c r="A2185" i="56"/>
  <c r="A2184" i="56"/>
  <c r="A2183" i="56"/>
  <c r="A2182" i="56"/>
  <c r="A2181" i="56"/>
  <c r="A2180" i="56"/>
  <c r="A2179" i="56"/>
  <c r="A2178" i="56"/>
  <c r="A2177" i="56"/>
  <c r="A2176" i="56"/>
  <c r="A2175" i="56"/>
  <c r="A2174" i="56"/>
  <c r="A2173" i="56"/>
  <c r="A2172" i="56"/>
  <c r="A2171" i="56"/>
  <c r="A2170" i="56"/>
  <c r="A2169" i="56"/>
  <c r="A2168" i="56"/>
  <c r="A2167" i="56"/>
  <c r="A2166" i="56"/>
  <c r="A2165" i="56"/>
  <c r="A2164" i="56"/>
  <c r="A2163" i="56"/>
  <c r="A2162" i="56"/>
  <c r="A2161" i="56"/>
  <c r="A2160" i="56"/>
  <c r="A2159" i="56"/>
  <c r="A2158" i="56"/>
  <c r="A2157" i="56"/>
  <c r="A2156" i="56"/>
  <c r="A2155" i="56"/>
  <c r="A2154" i="56"/>
  <c r="A2153" i="56"/>
  <c r="A2152" i="56"/>
  <c r="A2151" i="56"/>
  <c r="A2150" i="56"/>
  <c r="A2149" i="56"/>
  <c r="A2148" i="56"/>
  <c r="A2147" i="56"/>
  <c r="A2146" i="56"/>
  <c r="A2145" i="56"/>
  <c r="A2144" i="56"/>
  <c r="A2143" i="56"/>
  <c r="A2142" i="56"/>
  <c r="A2141" i="56"/>
  <c r="A2731" i="55"/>
  <c r="A2730" i="55"/>
  <c r="A2729" i="55"/>
  <c r="A2728" i="55"/>
  <c r="A2727" i="55"/>
  <c r="A2726" i="55"/>
  <c r="A2725" i="55"/>
  <c r="A2724" i="55"/>
  <c r="A2723" i="55"/>
  <c r="A2722" i="55"/>
  <c r="A2721" i="55"/>
  <c r="A2720" i="55"/>
  <c r="A2719" i="55"/>
  <c r="A2718" i="55"/>
  <c r="A2717" i="55"/>
  <c r="A2716" i="55"/>
  <c r="A2715" i="55"/>
  <c r="A2714" i="55"/>
  <c r="A2713" i="55"/>
  <c r="A2712" i="55"/>
  <c r="A2711" i="55"/>
  <c r="A2710" i="55"/>
  <c r="A2709" i="55"/>
  <c r="A2708" i="55"/>
  <c r="A2707" i="55"/>
  <c r="A2706" i="55"/>
  <c r="A2705" i="55"/>
  <c r="A2704" i="55"/>
  <c r="A2703" i="55"/>
  <c r="A2702" i="55"/>
  <c r="A2701" i="55"/>
  <c r="A2700" i="55"/>
  <c r="A2699" i="55"/>
  <c r="A2698" i="55"/>
  <c r="A2697" i="55"/>
  <c r="A2696" i="55"/>
  <c r="A2695" i="55"/>
  <c r="A2694" i="55"/>
  <c r="A2693" i="55"/>
  <c r="A2692" i="55"/>
  <c r="A2691" i="55"/>
  <c r="A2690" i="55"/>
  <c r="A2689" i="55"/>
  <c r="A2688" i="55"/>
  <c r="A2687" i="55"/>
  <c r="A2686" i="55"/>
  <c r="A2685" i="55"/>
  <c r="A2684" i="55"/>
  <c r="A2683" i="55"/>
  <c r="A2682" i="55"/>
  <c r="A2681" i="55"/>
  <c r="A2680" i="55"/>
  <c r="A2679" i="55"/>
  <c r="A2678" i="55"/>
  <c r="A2677" i="55"/>
  <c r="A2676" i="55"/>
  <c r="A2675" i="55"/>
  <c r="A2674" i="55"/>
  <c r="A2673" i="55"/>
  <c r="A2672" i="55"/>
  <c r="A2671" i="55"/>
  <c r="A2670" i="55"/>
  <c r="A2669" i="55"/>
  <c r="A2668" i="55"/>
  <c r="A2667" i="55"/>
  <c r="A2666" i="55"/>
  <c r="A2665" i="55"/>
  <c r="A2664" i="55"/>
  <c r="A2663" i="55"/>
  <c r="A2662" i="55"/>
  <c r="A2661" i="55"/>
  <c r="A2660" i="55"/>
  <c r="A2659" i="55"/>
  <c r="A2658" i="55"/>
  <c r="A2657" i="55"/>
  <c r="A2656" i="55"/>
  <c r="A2655" i="55"/>
  <c r="A2654" i="55"/>
  <c r="A2653" i="55"/>
  <c r="A2652" i="55"/>
  <c r="A2651" i="55"/>
  <c r="A2650" i="55"/>
  <c r="A2649" i="55"/>
  <c r="A2648" i="55"/>
  <c r="A2647" i="55"/>
  <c r="A2646" i="55"/>
  <c r="A2645" i="55"/>
  <c r="A2644" i="55"/>
  <c r="A2643" i="55"/>
  <c r="A2642" i="55"/>
  <c r="A2641" i="55"/>
  <c r="A2640" i="55"/>
  <c r="A2639" i="55"/>
  <c r="A2638" i="55"/>
  <c r="A2637" i="55"/>
  <c r="A2636" i="55"/>
  <c r="A2635" i="55"/>
  <c r="A2634" i="55"/>
  <c r="A2633" i="55"/>
  <c r="A2632" i="55"/>
  <c r="A2631" i="55"/>
  <c r="A2630" i="55"/>
  <c r="A2629" i="55"/>
  <c r="A2628" i="55"/>
  <c r="A2627" i="55"/>
  <c r="A2626" i="55"/>
  <c r="A2625" i="55"/>
  <c r="A2624" i="55"/>
  <c r="A2623" i="55"/>
  <c r="A2622" i="55"/>
  <c r="A2621" i="55"/>
  <c r="A2620" i="55"/>
  <c r="A2619" i="55"/>
  <c r="A2618" i="55"/>
  <c r="A2617" i="55"/>
  <c r="A2616" i="55"/>
  <c r="A2615" i="55"/>
  <c r="A2614" i="55"/>
  <c r="A2613" i="55"/>
  <c r="A2612" i="55"/>
  <c r="A2611" i="55"/>
  <c r="A2610" i="55"/>
  <c r="A2609" i="55"/>
  <c r="A2608" i="55"/>
  <c r="A2607" i="55"/>
  <c r="A2606" i="55"/>
  <c r="A2605" i="55"/>
  <c r="A2604" i="55"/>
  <c r="A2603" i="55"/>
  <c r="A2602" i="55"/>
  <c r="A2601" i="55"/>
  <c r="A2600" i="55"/>
  <c r="A2599" i="55"/>
  <c r="A2598" i="55"/>
  <c r="A2597" i="55"/>
  <c r="A2596" i="55"/>
  <c r="A2595" i="55"/>
  <c r="A2594" i="55"/>
  <c r="A2593" i="55"/>
  <c r="A2592" i="55"/>
  <c r="A2591" i="55"/>
  <c r="A2590" i="55"/>
  <c r="A2589" i="55"/>
  <c r="A2588" i="55"/>
  <c r="A2587" i="55"/>
  <c r="A2586" i="55"/>
  <c r="A2585" i="55"/>
  <c r="A2584" i="55"/>
  <c r="A2583" i="55"/>
  <c r="A2582" i="55"/>
  <c r="A2581" i="55"/>
  <c r="A2580" i="55"/>
  <c r="A2579" i="55"/>
  <c r="A2578" i="55"/>
  <c r="A2577" i="55"/>
  <c r="A2576" i="55"/>
  <c r="A2575" i="55"/>
  <c r="A2574" i="55"/>
  <c r="A2573" i="55"/>
  <c r="A2572" i="55"/>
  <c r="A2571" i="55"/>
  <c r="A2570" i="55"/>
  <c r="A2569" i="55"/>
  <c r="A2568" i="55"/>
  <c r="A2567" i="55"/>
  <c r="A2566" i="55"/>
  <c r="A2565" i="55"/>
  <c r="A2564" i="55"/>
  <c r="A2563" i="55"/>
  <c r="A2562" i="55"/>
  <c r="A2561" i="55"/>
  <c r="A2560" i="55"/>
  <c r="A2559" i="55"/>
  <c r="A2558" i="55"/>
  <c r="A2557" i="55"/>
  <c r="A2556" i="55"/>
  <c r="A2555" i="55"/>
  <c r="A2554" i="55"/>
  <c r="A2553" i="55"/>
  <c r="A2552" i="55"/>
  <c r="A2551" i="55"/>
  <c r="A2550" i="55"/>
  <c r="A2549" i="55"/>
  <c r="A2548" i="55"/>
  <c r="A2547" i="55"/>
  <c r="A2546" i="55"/>
  <c r="A2545" i="55"/>
  <c r="A2544" i="55"/>
  <c r="A2543" i="55"/>
  <c r="A2542" i="55"/>
  <c r="A2541" i="55"/>
  <c r="A2540" i="55"/>
  <c r="A2539" i="55"/>
  <c r="A2538" i="55"/>
  <c r="A2537" i="55"/>
  <c r="A2536" i="55"/>
  <c r="A2535" i="55"/>
  <c r="A2534" i="55"/>
  <c r="A2533" i="55"/>
  <c r="A2532" i="55"/>
  <c r="A2531" i="55"/>
  <c r="A2530" i="55"/>
  <c r="A2529" i="55"/>
  <c r="A2528" i="55"/>
  <c r="A2527" i="55"/>
  <c r="A2526" i="55"/>
  <c r="A2525" i="55"/>
  <c r="A2524" i="55"/>
  <c r="A2523" i="55"/>
  <c r="A2522" i="55"/>
  <c r="A2521" i="55"/>
  <c r="A2520" i="55"/>
  <c r="A2519" i="55"/>
  <c r="A2518" i="55"/>
  <c r="A2517" i="55"/>
  <c r="A2516" i="55"/>
  <c r="A2515" i="55"/>
  <c r="A2514" i="55"/>
  <c r="A2513" i="55"/>
  <c r="A2512" i="55"/>
  <c r="A2511" i="55"/>
  <c r="A2510" i="55"/>
  <c r="A2509" i="55"/>
  <c r="A2508" i="55"/>
  <c r="A2507" i="55"/>
  <c r="A2506" i="55"/>
  <c r="A2505" i="55"/>
  <c r="A2504" i="55"/>
  <c r="A2503" i="55"/>
  <c r="A2502" i="55"/>
  <c r="A2501" i="55"/>
  <c r="A2500" i="55"/>
  <c r="A2499" i="55"/>
  <c r="A2498" i="55"/>
  <c r="A2497" i="55"/>
  <c r="A2496" i="55"/>
  <c r="A2495" i="55"/>
  <c r="A2494" i="55"/>
  <c r="A2493" i="55"/>
  <c r="A2492" i="55"/>
  <c r="A2491" i="55"/>
  <c r="A2490" i="55"/>
  <c r="A2489" i="55"/>
  <c r="A2488" i="55"/>
  <c r="A2487" i="55"/>
  <c r="A2486" i="55"/>
  <c r="A2485" i="55"/>
  <c r="A2484" i="55"/>
  <c r="A2483" i="55"/>
  <c r="A2482" i="55"/>
  <c r="A2481" i="55"/>
  <c r="A2480" i="55"/>
  <c r="A2479" i="55"/>
  <c r="A2478" i="55"/>
  <c r="A2477" i="55"/>
  <c r="A2476" i="55"/>
  <c r="A2475" i="55"/>
  <c r="A2474" i="55"/>
  <c r="A2473" i="55"/>
  <c r="A2472" i="55"/>
  <c r="A2471" i="55"/>
  <c r="A2470" i="55"/>
  <c r="A2469" i="55"/>
  <c r="A2468" i="55"/>
  <c r="A2467" i="55"/>
  <c r="A2466" i="55"/>
  <c r="A2465" i="55"/>
  <c r="A2464" i="55"/>
  <c r="A2463" i="55"/>
  <c r="A2462" i="55"/>
  <c r="A2461" i="55"/>
  <c r="A2460" i="55"/>
  <c r="A2459" i="55"/>
  <c r="A2458" i="55"/>
  <c r="A2457" i="55"/>
  <c r="A2456" i="55"/>
  <c r="A2455" i="55"/>
  <c r="A2454" i="55"/>
  <c r="A2453" i="55"/>
  <c r="A2452" i="55"/>
  <c r="A2451" i="55"/>
  <c r="A2450" i="55"/>
  <c r="A2449" i="55"/>
  <c r="A2448" i="55"/>
  <c r="A2447" i="55"/>
  <c r="A2446" i="55"/>
  <c r="A2445" i="55"/>
  <c r="A2444" i="55"/>
  <c r="A2443" i="55"/>
  <c r="A2442" i="55"/>
  <c r="A2441" i="55"/>
  <c r="A2440" i="55"/>
  <c r="A2439" i="55"/>
  <c r="A2438" i="55"/>
  <c r="A2437" i="55"/>
  <c r="A2436" i="55"/>
  <c r="A2435" i="55"/>
  <c r="A2434" i="55"/>
  <c r="A2433" i="55"/>
  <c r="A2432" i="55"/>
  <c r="A2431" i="55"/>
  <c r="A2430" i="55"/>
  <c r="A2429" i="55"/>
  <c r="A2428" i="55"/>
  <c r="A2427" i="55"/>
  <c r="A2426" i="55"/>
  <c r="A2425" i="55"/>
  <c r="A2424" i="55"/>
  <c r="A2423" i="55"/>
  <c r="A2422" i="55"/>
  <c r="A2421" i="55"/>
  <c r="A2420" i="55"/>
  <c r="A2419" i="55"/>
  <c r="A2418" i="55"/>
  <c r="A2417" i="55"/>
  <c r="A2416" i="55"/>
  <c r="A2415" i="55"/>
  <c r="A2414" i="55"/>
  <c r="A2413" i="55"/>
  <c r="A2412" i="55"/>
  <c r="A2411" i="55"/>
  <c r="A2410" i="55"/>
  <c r="A2409" i="55"/>
  <c r="A2408" i="55"/>
  <c r="A2407" i="55"/>
  <c r="A2406" i="55"/>
  <c r="A2405" i="55"/>
  <c r="A2404" i="55"/>
  <c r="A2403" i="55"/>
  <c r="A2402" i="55"/>
  <c r="A2401" i="55"/>
  <c r="A2400" i="55"/>
  <c r="A2399" i="55"/>
  <c r="A2398" i="55"/>
  <c r="A2397" i="55"/>
  <c r="A2396" i="55"/>
  <c r="A2395" i="55"/>
  <c r="A2394" i="55"/>
  <c r="A2393" i="55"/>
  <c r="A2392" i="55"/>
  <c r="A2391" i="55"/>
  <c r="A2390" i="55"/>
  <c r="A2389" i="55"/>
  <c r="A2388" i="55"/>
  <c r="A2387" i="55"/>
  <c r="A2386" i="55"/>
  <c r="A2385" i="55"/>
  <c r="A2384" i="55"/>
  <c r="A2383" i="55"/>
  <c r="A2382" i="55"/>
  <c r="A2381" i="55"/>
  <c r="A2380" i="55"/>
  <c r="A2379" i="55"/>
  <c r="A2378" i="55"/>
  <c r="A2377" i="55"/>
  <c r="A2376" i="55"/>
  <c r="A2375" i="55"/>
  <c r="A2374" i="55"/>
  <c r="A2373" i="55"/>
  <c r="A2372" i="55"/>
  <c r="A2371" i="55"/>
  <c r="A2370" i="55"/>
  <c r="A2369" i="55"/>
  <c r="A2368" i="55"/>
  <c r="A2367" i="55"/>
  <c r="A2366" i="55"/>
  <c r="A2365" i="55"/>
  <c r="A2364" i="55"/>
  <c r="A2363" i="55"/>
  <c r="A2362" i="55"/>
  <c r="A2361" i="55"/>
  <c r="A2360" i="55"/>
  <c r="A2359" i="55"/>
  <c r="A2358" i="55"/>
  <c r="A2357" i="55"/>
  <c r="A2356" i="55"/>
  <c r="A2355" i="55"/>
  <c r="A2354" i="55"/>
  <c r="A2353" i="55"/>
  <c r="A2352" i="55"/>
  <c r="A2351" i="55"/>
  <c r="A2350" i="55"/>
  <c r="A2349" i="55"/>
  <c r="A2348" i="55"/>
  <c r="A2347" i="55"/>
  <c r="A2346" i="55"/>
  <c r="A2345" i="55"/>
  <c r="A2344" i="55"/>
  <c r="A2343" i="55"/>
  <c r="A2342" i="55"/>
  <c r="A2341" i="55"/>
  <c r="A2340" i="55"/>
  <c r="A2339" i="55"/>
  <c r="A2338" i="55"/>
  <c r="A2337" i="55"/>
  <c r="A2336" i="55"/>
  <c r="A2335" i="55"/>
  <c r="A2334" i="55"/>
  <c r="A2333" i="55"/>
  <c r="A2332" i="55"/>
  <c r="A2331" i="55"/>
  <c r="A2330" i="55"/>
  <c r="A2329" i="55"/>
  <c r="A2328" i="55"/>
  <c r="A2327" i="55"/>
  <c r="A2326" i="55"/>
  <c r="A2325" i="55"/>
  <c r="A2324" i="55"/>
  <c r="A2323" i="55"/>
  <c r="A2322" i="55"/>
  <c r="A2321" i="55"/>
  <c r="A2320" i="55"/>
  <c r="A2319" i="55"/>
  <c r="A2318" i="55"/>
  <c r="A2317" i="55"/>
  <c r="A2316" i="55"/>
  <c r="A2315" i="55"/>
  <c r="A2314" i="55"/>
  <c r="A2313" i="55"/>
  <c r="A2312" i="55"/>
  <c r="A2311" i="55"/>
  <c r="A2310" i="55"/>
  <c r="A2309" i="55"/>
  <c r="A2308" i="55"/>
  <c r="A2307" i="55"/>
  <c r="A2306" i="55"/>
  <c r="A2305" i="55"/>
  <c r="A2304" i="55"/>
  <c r="A2303" i="55"/>
  <c r="A2302" i="55"/>
  <c r="A2301" i="55"/>
  <c r="A2300" i="55"/>
  <c r="A2299" i="55"/>
  <c r="A2298" i="55"/>
  <c r="A2297" i="55"/>
  <c r="A2296" i="55"/>
  <c r="A2295" i="55"/>
  <c r="A2294" i="55"/>
  <c r="A2293" i="55"/>
  <c r="A2292" i="55"/>
  <c r="A2291" i="55"/>
  <c r="A2290" i="55"/>
  <c r="A2289" i="55"/>
  <c r="A2288" i="55"/>
  <c r="A2287" i="55"/>
  <c r="A2286" i="55"/>
  <c r="A2285" i="55"/>
  <c r="A2284" i="55"/>
  <c r="A2283" i="55"/>
  <c r="A2282" i="55"/>
  <c r="A2281" i="55"/>
  <c r="A2280" i="55"/>
  <c r="A2279" i="55"/>
  <c r="A2278" i="55"/>
  <c r="A2277" i="55"/>
  <c r="A2276" i="55"/>
  <c r="A2275" i="55"/>
  <c r="A2274" i="55"/>
  <c r="A2273" i="55"/>
  <c r="A2272" i="55"/>
  <c r="A2271" i="55"/>
  <c r="A2270" i="55"/>
  <c r="A2269" i="55"/>
  <c r="A2268" i="55"/>
  <c r="A2267" i="55"/>
  <c r="A2266" i="55"/>
  <c r="A3040" i="53"/>
  <c r="A3039" i="53"/>
  <c r="A3038" i="53"/>
  <c r="A3037" i="53"/>
  <c r="A3036" i="53"/>
  <c r="A3035" i="53"/>
  <c r="A3034" i="53"/>
  <c r="A3033" i="53"/>
  <c r="A3032" i="53"/>
  <c r="A3031" i="53"/>
  <c r="A3030" i="53"/>
  <c r="A3029" i="53"/>
  <c r="A3028" i="53"/>
  <c r="A3027" i="53"/>
  <c r="A3026" i="53"/>
  <c r="A3025" i="53"/>
  <c r="A3024" i="53"/>
  <c r="A3023" i="53"/>
  <c r="A3022" i="53"/>
  <c r="A3021" i="53"/>
  <c r="A3020" i="53"/>
  <c r="A3019" i="53"/>
  <c r="A3018" i="53"/>
  <c r="A3017" i="53"/>
  <c r="A3016" i="53"/>
  <c r="A3015" i="53"/>
  <c r="A3014" i="53"/>
  <c r="A3013" i="53"/>
  <c r="A3012" i="53"/>
  <c r="A3011" i="53"/>
  <c r="A3010" i="53"/>
  <c r="A3009" i="53"/>
  <c r="A3008" i="53"/>
  <c r="A3007" i="53"/>
  <c r="A3006" i="53"/>
  <c r="A3005" i="53"/>
  <c r="A3004" i="53"/>
  <c r="A3003" i="53"/>
  <c r="A3002" i="53"/>
  <c r="A3001" i="53"/>
  <c r="A3000" i="53"/>
  <c r="A2999" i="53"/>
  <c r="A2998" i="53"/>
  <c r="A2997" i="53"/>
  <c r="A2996" i="53"/>
  <c r="A2995" i="53"/>
  <c r="A2994" i="53"/>
  <c r="A2993" i="53"/>
  <c r="A2992" i="53"/>
  <c r="A2991" i="53"/>
  <c r="A2990" i="53"/>
  <c r="A2989" i="53"/>
  <c r="A2988" i="53"/>
  <c r="A2987" i="53"/>
  <c r="A2986" i="53"/>
  <c r="A2985" i="53"/>
  <c r="A2984" i="53"/>
  <c r="A2983" i="53"/>
  <c r="A2982" i="53"/>
  <c r="A2981" i="53"/>
  <c r="A2980" i="53"/>
  <c r="A2979" i="53"/>
  <c r="A2978" i="53"/>
  <c r="A2977" i="53"/>
  <c r="A2976" i="53"/>
  <c r="A2975" i="53"/>
  <c r="A2974" i="53"/>
  <c r="A2973" i="53"/>
  <c r="A2972" i="53"/>
  <c r="A2971" i="53"/>
  <c r="A2970" i="53"/>
  <c r="A2969" i="53"/>
  <c r="A2968" i="53"/>
  <c r="A2967" i="53"/>
  <c r="A2966" i="53"/>
  <c r="A2965" i="53"/>
  <c r="A2964" i="53"/>
  <c r="A2963" i="53"/>
  <c r="A2962" i="53"/>
  <c r="A2961" i="53"/>
  <c r="A2960" i="53"/>
  <c r="A2959" i="53"/>
  <c r="A2958" i="53"/>
  <c r="A2957" i="53"/>
  <c r="A2956" i="53"/>
  <c r="A2955" i="53"/>
  <c r="A2954" i="53"/>
  <c r="A2953" i="53"/>
  <c r="A2952" i="53"/>
  <c r="A2951" i="53"/>
  <c r="A2950" i="53"/>
  <c r="A2949" i="53"/>
  <c r="A2948" i="53"/>
  <c r="A2947" i="53"/>
  <c r="A2946" i="53"/>
  <c r="A2945" i="53"/>
  <c r="A2944" i="53"/>
  <c r="A2943" i="53"/>
  <c r="A2942" i="53"/>
  <c r="A2941" i="53"/>
  <c r="A2940" i="53"/>
  <c r="A2939" i="53"/>
  <c r="A2938" i="53"/>
  <c r="A2937" i="53"/>
  <c r="A2936" i="53"/>
  <c r="A2935" i="53"/>
  <c r="A2934" i="53"/>
  <c r="A2933" i="53"/>
  <c r="A2932" i="53"/>
  <c r="A2931" i="53"/>
  <c r="A2930" i="53"/>
  <c r="A2929" i="53"/>
  <c r="A2928" i="53"/>
  <c r="A2927" i="53"/>
  <c r="A2926" i="53"/>
  <c r="A2925" i="53"/>
  <c r="A2924" i="53"/>
  <c r="A2923" i="53"/>
  <c r="A2922" i="53"/>
  <c r="A2921" i="53"/>
  <c r="A2920" i="53"/>
  <c r="A2919" i="53"/>
  <c r="A2918" i="53"/>
  <c r="A2917" i="53"/>
  <c r="A2916" i="53"/>
  <c r="A2915" i="53"/>
  <c r="A2914" i="53"/>
  <c r="A2913" i="53"/>
  <c r="A2912" i="53"/>
  <c r="A2911" i="53"/>
  <c r="A2910" i="53"/>
  <c r="A2909" i="53"/>
  <c r="A2908" i="53"/>
  <c r="A2907" i="53"/>
  <c r="A2906" i="53"/>
  <c r="A2905" i="53"/>
  <c r="A2904" i="53"/>
  <c r="A2903" i="53"/>
  <c r="A2902" i="53"/>
  <c r="A2901" i="53"/>
  <c r="A2900" i="53"/>
  <c r="A2899" i="53"/>
  <c r="A2898" i="53"/>
  <c r="A2897" i="53"/>
  <c r="A2896" i="53"/>
  <c r="A2895" i="53"/>
  <c r="A2894" i="53"/>
  <c r="A2893" i="53"/>
  <c r="A2892" i="53"/>
  <c r="A2891" i="53"/>
  <c r="A2890" i="53"/>
  <c r="A2889" i="53"/>
  <c r="A2888" i="53"/>
  <c r="A2887" i="53"/>
  <c r="A2886" i="53"/>
  <c r="A2885" i="53"/>
  <c r="A2884" i="53"/>
  <c r="A2883" i="53"/>
  <c r="A2882" i="53"/>
  <c r="A2881" i="53"/>
  <c r="A2880" i="53"/>
  <c r="A2879" i="53"/>
  <c r="A2878" i="53"/>
  <c r="A2877" i="53"/>
  <c r="A2876" i="53"/>
  <c r="A2875" i="53"/>
  <c r="A2874" i="53"/>
  <c r="A2873" i="53"/>
  <c r="A2872" i="53"/>
  <c r="A2871" i="53"/>
  <c r="A2870" i="53"/>
  <c r="A2869" i="53"/>
  <c r="A2868" i="53"/>
  <c r="A2867" i="53"/>
  <c r="A2866" i="53"/>
  <c r="A2865" i="53"/>
  <c r="A2864" i="53"/>
  <c r="A2863" i="53"/>
  <c r="A2862" i="53"/>
  <c r="A2861" i="53"/>
  <c r="A2860" i="53"/>
  <c r="A2859" i="53"/>
  <c r="A2858" i="53"/>
  <c r="A2857" i="53"/>
  <c r="A2856" i="53"/>
  <c r="A2855" i="53"/>
  <c r="A2854" i="53"/>
  <c r="A2853" i="53"/>
  <c r="A2852" i="53"/>
  <c r="A2851" i="53"/>
  <c r="A2850" i="53"/>
  <c r="A2849" i="53"/>
  <c r="A2848" i="53"/>
  <c r="A2847" i="53"/>
  <c r="A2846" i="53"/>
  <c r="A2845" i="53"/>
  <c r="A2844" i="53"/>
  <c r="A2843" i="53"/>
  <c r="A2842" i="53"/>
  <c r="A2841" i="53"/>
  <c r="A2840" i="53"/>
  <c r="A2839" i="53"/>
  <c r="A2838" i="53"/>
  <c r="A2837" i="53"/>
  <c r="A2836" i="53"/>
  <c r="A2835" i="53"/>
  <c r="A2834" i="53"/>
  <c r="A2833" i="53"/>
  <c r="A2832" i="53"/>
  <c r="A2831" i="53"/>
  <c r="A2830" i="53"/>
  <c r="A2829" i="53"/>
  <c r="A2828" i="53"/>
  <c r="A2827" i="53"/>
  <c r="A2826" i="53"/>
  <c r="A2825" i="53"/>
  <c r="A2824" i="53"/>
  <c r="A2823" i="53"/>
  <c r="A2822" i="53"/>
  <c r="A2821" i="53"/>
  <c r="A2820" i="53"/>
  <c r="A2819" i="53"/>
  <c r="A2818" i="53"/>
  <c r="A2817" i="53"/>
  <c r="A2816" i="53"/>
  <c r="A2815" i="53"/>
  <c r="A2814" i="53"/>
  <c r="A2813" i="53"/>
  <c r="A2812" i="53"/>
  <c r="A2811" i="53"/>
  <c r="A2810" i="53"/>
  <c r="A2809" i="53"/>
  <c r="A2808" i="53"/>
  <c r="A2807" i="53"/>
  <c r="A2806" i="53"/>
  <c r="A2805" i="53"/>
  <c r="A2804" i="53"/>
  <c r="A2803" i="53"/>
  <c r="A2802" i="53"/>
  <c r="A2801" i="53"/>
  <c r="A2800" i="53"/>
  <c r="A2799" i="53"/>
  <c r="A2798" i="53"/>
  <c r="A2797" i="53"/>
  <c r="A2796" i="53"/>
  <c r="A2795" i="53"/>
  <c r="A2794" i="53"/>
  <c r="A2793" i="53"/>
  <c r="A2792" i="53"/>
  <c r="A2791" i="53"/>
  <c r="A2790" i="53"/>
  <c r="A2789" i="53"/>
  <c r="A2788" i="53"/>
  <c r="A2787" i="53"/>
  <c r="A2786" i="53"/>
  <c r="A2785" i="53"/>
  <c r="A2784" i="53"/>
  <c r="A2783" i="53"/>
  <c r="A2782" i="53"/>
  <c r="A2781" i="53"/>
  <c r="A2780" i="53"/>
  <c r="A2779" i="53"/>
  <c r="A2778" i="53"/>
  <c r="A2777" i="53"/>
  <c r="A2776" i="53"/>
  <c r="A2775" i="53"/>
  <c r="A2774" i="53"/>
  <c r="A2773" i="53"/>
  <c r="A2772" i="53"/>
  <c r="A2771" i="53"/>
  <c r="A2770" i="53"/>
  <c r="A2769" i="53"/>
  <c r="A2768" i="53"/>
  <c r="A2767" i="53"/>
  <c r="A2766" i="53"/>
  <c r="A2765" i="53"/>
  <c r="A2764" i="53"/>
  <c r="A2763" i="53"/>
  <c r="A2762" i="53"/>
  <c r="A2761" i="53"/>
  <c r="A2760" i="53"/>
  <c r="A2759" i="53"/>
  <c r="A2758" i="53"/>
  <c r="A2757" i="53"/>
  <c r="A2756" i="53"/>
  <c r="A2755" i="53"/>
  <c r="A2754" i="53"/>
  <c r="A2753" i="53"/>
  <c r="A2752" i="53"/>
  <c r="A2751" i="53"/>
  <c r="A2750" i="53"/>
  <c r="A2749" i="53"/>
  <c r="A2748" i="53"/>
  <c r="A2747" i="53"/>
  <c r="A2746" i="53"/>
  <c r="A2745" i="53"/>
  <c r="A2744" i="53"/>
  <c r="A2743" i="53"/>
  <c r="A2742" i="53"/>
  <c r="A2741" i="53"/>
  <c r="A2740" i="53"/>
  <c r="A2739" i="53"/>
  <c r="A2738" i="53"/>
  <c r="A2737" i="53"/>
  <c r="A2736" i="53"/>
  <c r="A2735" i="53"/>
  <c r="A2734" i="53"/>
  <c r="A2733" i="53"/>
  <c r="A2732" i="53"/>
  <c r="A2731" i="53"/>
  <c r="A2730" i="53"/>
  <c r="A2729" i="53"/>
  <c r="A2728" i="53"/>
  <c r="A2727" i="53"/>
  <c r="A2726" i="53"/>
  <c r="A2725" i="53"/>
  <c r="A2724" i="53"/>
  <c r="A2723" i="53"/>
  <c r="A2722" i="53"/>
  <c r="A2721" i="53"/>
  <c r="A2720" i="53"/>
  <c r="A2719" i="53"/>
  <c r="A2718" i="53"/>
  <c r="A2717" i="53"/>
  <c r="A2716" i="53"/>
  <c r="A2715" i="53"/>
  <c r="A2714" i="53"/>
  <c r="A2713" i="53"/>
  <c r="A2712" i="53"/>
  <c r="A2711" i="53"/>
  <c r="A2710" i="53"/>
  <c r="A2709" i="53"/>
  <c r="A2708" i="53"/>
  <c r="A2707" i="53"/>
  <c r="A2706" i="53"/>
  <c r="A2705" i="53"/>
  <c r="A2704" i="53"/>
  <c r="A2703" i="53"/>
  <c r="A2702" i="53"/>
  <c r="A2701" i="53"/>
  <c r="A2700" i="53"/>
  <c r="A2699" i="53"/>
  <c r="A2698" i="53"/>
  <c r="A2697" i="53"/>
  <c r="A2696" i="53"/>
  <c r="A2695" i="53"/>
  <c r="A2694" i="53"/>
  <c r="A2693" i="53"/>
  <c r="A2692" i="53"/>
  <c r="A2691" i="53"/>
  <c r="A2690" i="53"/>
  <c r="A2689" i="53"/>
  <c r="A2688" i="53"/>
  <c r="A2687" i="53"/>
  <c r="A2686" i="53"/>
  <c r="A2685" i="53"/>
  <c r="A2684" i="53"/>
  <c r="A2683" i="53"/>
  <c r="A2682" i="53"/>
  <c r="A2681" i="53"/>
  <c r="A2680" i="53"/>
  <c r="A2679" i="53"/>
  <c r="A2678" i="53"/>
  <c r="A2677" i="53"/>
  <c r="A2676" i="53"/>
  <c r="A2675" i="53"/>
  <c r="A2674" i="53"/>
  <c r="A2673" i="53"/>
  <c r="A2672" i="53"/>
  <c r="A2671" i="53"/>
  <c r="A2670" i="53"/>
  <c r="A2669" i="53"/>
  <c r="A2668" i="53"/>
  <c r="A2667" i="53"/>
  <c r="A2666" i="53"/>
  <c r="A2665" i="53"/>
  <c r="A2664" i="53"/>
  <c r="A2663" i="53"/>
  <c r="A2662" i="53"/>
  <c r="A2661" i="53"/>
  <c r="A2660" i="53"/>
  <c r="A2659" i="53"/>
  <c r="A2658" i="53"/>
  <c r="A2657" i="53"/>
  <c r="A2656" i="53"/>
  <c r="A2655" i="53"/>
  <c r="A2654" i="53"/>
  <c r="A2653" i="53"/>
  <c r="A2652" i="53"/>
  <c r="A2651" i="53"/>
  <c r="A2650" i="53"/>
  <c r="A2649" i="53"/>
  <c r="A2648" i="53"/>
  <c r="A2647" i="53"/>
  <c r="A2646" i="53"/>
  <c r="A2645" i="53"/>
  <c r="A2644" i="53"/>
  <c r="A2643" i="53"/>
  <c r="A2642" i="53"/>
  <c r="A2641" i="53"/>
  <c r="A2640" i="53"/>
  <c r="A2639" i="53"/>
  <c r="A2638" i="53"/>
  <c r="A2637" i="53"/>
  <c r="A2636" i="53"/>
  <c r="A2635" i="53"/>
  <c r="A2634" i="53"/>
  <c r="A2633" i="53"/>
  <c r="A2632" i="53"/>
  <c r="A2631" i="53"/>
  <c r="A2630" i="53"/>
  <c r="A2629" i="53"/>
  <c r="A2628" i="53"/>
  <c r="A2627" i="53"/>
  <c r="A2626" i="53"/>
  <c r="A2625" i="53"/>
  <c r="A2624" i="53"/>
  <c r="A2623" i="53"/>
  <c r="A2622" i="53"/>
  <c r="A2621" i="53"/>
  <c r="A2620" i="53"/>
  <c r="A2619" i="53"/>
  <c r="A2618" i="53"/>
  <c r="A2617" i="53"/>
  <c r="A2616" i="53"/>
  <c r="A2615" i="53"/>
  <c r="A2614" i="53"/>
  <c r="A2613" i="53"/>
  <c r="A2612" i="53"/>
  <c r="A2611" i="53"/>
  <c r="A2610" i="53"/>
  <c r="A2609" i="53"/>
  <c r="A2608" i="53"/>
  <c r="A2607" i="53"/>
  <c r="A2606" i="53"/>
  <c r="A2605" i="53"/>
  <c r="A2604" i="53"/>
  <c r="A2603" i="53"/>
  <c r="A2602" i="53"/>
  <c r="A2601" i="53"/>
  <c r="A2600" i="53"/>
  <c r="A2599" i="53"/>
  <c r="A2598" i="53"/>
  <c r="A2597" i="53"/>
  <c r="A2596" i="53"/>
  <c r="A2595" i="53"/>
  <c r="A2594" i="53"/>
  <c r="A2593" i="53"/>
  <c r="A2592" i="53"/>
  <c r="A2591" i="53"/>
  <c r="A2590" i="53"/>
  <c r="A2589" i="53"/>
  <c r="A2588" i="53"/>
  <c r="A2587" i="53"/>
  <c r="A2586" i="53"/>
  <c r="A2585" i="53"/>
  <c r="A2584" i="53"/>
  <c r="A2583" i="53"/>
  <c r="A2582" i="53"/>
  <c r="A2581" i="53"/>
  <c r="A2580" i="53"/>
  <c r="A2579" i="53"/>
  <c r="A2578" i="53"/>
  <c r="A2577" i="53"/>
  <c r="A2576" i="53"/>
  <c r="A2575" i="53"/>
  <c r="A2574" i="53"/>
  <c r="A2573" i="53"/>
  <c r="A2572" i="53"/>
  <c r="A2571" i="53"/>
  <c r="A2570" i="53"/>
  <c r="A2569" i="53"/>
  <c r="A2568" i="53"/>
  <c r="A2567" i="53"/>
  <c r="A2566" i="53"/>
  <c r="A2565" i="53"/>
  <c r="A2564" i="53"/>
  <c r="A2563" i="53"/>
  <c r="A2562" i="53"/>
  <c r="A2561" i="53"/>
  <c r="A2560" i="53"/>
  <c r="A2559" i="53"/>
  <c r="A2558" i="53"/>
  <c r="A2557" i="53"/>
  <c r="A2556" i="53"/>
  <c r="A2555" i="53"/>
  <c r="A2554" i="53"/>
  <c r="A2553" i="53"/>
  <c r="A2552" i="53"/>
  <c r="A2551" i="53"/>
  <c r="A2550" i="53"/>
  <c r="A2549" i="53"/>
  <c r="A2548" i="53"/>
  <c r="A2547" i="53"/>
  <c r="A2546" i="53"/>
  <c r="A2545" i="53"/>
  <c r="A2544" i="53"/>
  <c r="A2543" i="53"/>
  <c r="A2542" i="53"/>
  <c r="A2541" i="53"/>
  <c r="A2540" i="53"/>
  <c r="A2539" i="53"/>
  <c r="A2538" i="53"/>
  <c r="A2537" i="53"/>
  <c r="A2536" i="53"/>
  <c r="A2535" i="53"/>
  <c r="A2534" i="53"/>
  <c r="A2533" i="53"/>
  <c r="A2532" i="53"/>
  <c r="A2531" i="53"/>
  <c r="A2530" i="53"/>
  <c r="A2529" i="53"/>
  <c r="A2528" i="53"/>
  <c r="A2527" i="53"/>
  <c r="A2526" i="53"/>
  <c r="A2525" i="53"/>
  <c r="A2524" i="53"/>
  <c r="A2523" i="53"/>
  <c r="A2522" i="53"/>
  <c r="A2521" i="53"/>
  <c r="A2520" i="53"/>
  <c r="A2519" i="53"/>
  <c r="A2518" i="53"/>
  <c r="A2517" i="53"/>
  <c r="A2516" i="53"/>
  <c r="A2515" i="53"/>
  <c r="A2514" i="53"/>
  <c r="A2513" i="53"/>
  <c r="A2512" i="53"/>
  <c r="A2511" i="53"/>
  <c r="A2510" i="53"/>
  <c r="A2509" i="53"/>
  <c r="A2508" i="53"/>
  <c r="A2507" i="53"/>
  <c r="A2506" i="53"/>
  <c r="A2505" i="53"/>
  <c r="A2504" i="53"/>
  <c r="A2503" i="53"/>
  <c r="A2502" i="53"/>
  <c r="A2501" i="53"/>
  <c r="A2500" i="53"/>
  <c r="A2499" i="53"/>
  <c r="A2498" i="53"/>
  <c r="A2497" i="53"/>
  <c r="A2496" i="53"/>
  <c r="A2495" i="53"/>
  <c r="A2494" i="53"/>
  <c r="A2493" i="53"/>
  <c r="A2492" i="53"/>
  <c r="A2491" i="53"/>
  <c r="A2490" i="53"/>
  <c r="A2489" i="53"/>
  <c r="A2488" i="53"/>
  <c r="A2487" i="53"/>
  <c r="A2486" i="53"/>
  <c r="A2485" i="53"/>
  <c r="A2484" i="53"/>
  <c r="A2483" i="53"/>
  <c r="A2482" i="53"/>
  <c r="A2481" i="53"/>
  <c r="A2480" i="53"/>
  <c r="A2479" i="53"/>
  <c r="A2478" i="53"/>
  <c r="A2477" i="53"/>
  <c r="A2476" i="53"/>
  <c r="A2475" i="53"/>
  <c r="A2474" i="53"/>
  <c r="A2473" i="53"/>
  <c r="A2472" i="53"/>
  <c r="A2471" i="53"/>
  <c r="A2470" i="53"/>
  <c r="A2469" i="53"/>
  <c r="A2468" i="53"/>
  <c r="A2467" i="53"/>
  <c r="A2466" i="53"/>
  <c r="A2465" i="53"/>
  <c r="A2464" i="53"/>
  <c r="A2463" i="53"/>
  <c r="A2462" i="53"/>
  <c r="A2461" i="53"/>
  <c r="A2460" i="53"/>
  <c r="A2459" i="53"/>
  <c r="A2458" i="53"/>
  <c r="A2457" i="53"/>
  <c r="A2456" i="53"/>
  <c r="A2455" i="53"/>
  <c r="A2454" i="53"/>
  <c r="A2453" i="53"/>
  <c r="A2452" i="53"/>
  <c r="A2451" i="53"/>
  <c r="A2450" i="53"/>
  <c r="A2449" i="53"/>
  <c r="A2448" i="53"/>
  <c r="A2447" i="53"/>
  <c r="A2446" i="53"/>
  <c r="A2445" i="53"/>
  <c r="A2444" i="53"/>
  <c r="A2443" i="53"/>
  <c r="A2442" i="53"/>
  <c r="A2441" i="53"/>
  <c r="A2440" i="53"/>
  <c r="A2439" i="53"/>
  <c r="A2438" i="53"/>
  <c r="A2437" i="53"/>
  <c r="A2436" i="53"/>
  <c r="A2435" i="53"/>
  <c r="A2434" i="53"/>
  <c r="A2433" i="53"/>
  <c r="A2432" i="53"/>
  <c r="A2431" i="53"/>
  <c r="A2430" i="53"/>
  <c r="A2429" i="53"/>
  <c r="A2428" i="53"/>
  <c r="A2427" i="53"/>
  <c r="A2426" i="53"/>
  <c r="A2425" i="53"/>
  <c r="A2424" i="53"/>
  <c r="A2423" i="53"/>
  <c r="A2422" i="53"/>
  <c r="A2421" i="53"/>
  <c r="A2420" i="53"/>
  <c r="A2419" i="53"/>
  <c r="A2418" i="53"/>
  <c r="A2417" i="53"/>
  <c r="A2416" i="53"/>
  <c r="A2415" i="53"/>
  <c r="A2414" i="53"/>
  <c r="A2413" i="53"/>
  <c r="A2412" i="53"/>
  <c r="A2411" i="53"/>
  <c r="A2410" i="53"/>
  <c r="A2409" i="53"/>
  <c r="A2408" i="53"/>
  <c r="A2407" i="53"/>
  <c r="A2406" i="53"/>
  <c r="A2405" i="53"/>
  <c r="A2404" i="53"/>
  <c r="A2403" i="53"/>
  <c r="A2402" i="53"/>
  <c r="A2401" i="53"/>
  <c r="A2400" i="53"/>
  <c r="A2399" i="53"/>
  <c r="A2398" i="53"/>
  <c r="A2397" i="53"/>
  <c r="A2396" i="53"/>
  <c r="A2395" i="53"/>
  <c r="A2394" i="53"/>
  <c r="A2393" i="53"/>
  <c r="A2392" i="53"/>
  <c r="A2391" i="53"/>
  <c r="A2390" i="53"/>
  <c r="A2389" i="53"/>
  <c r="A2388" i="53"/>
  <c r="A2387" i="53"/>
  <c r="A2386" i="53"/>
  <c r="A2385" i="53"/>
  <c r="A2384" i="53"/>
  <c r="A2383" i="53"/>
  <c r="A2382" i="53"/>
  <c r="A2381" i="53"/>
  <c r="A2380" i="53"/>
  <c r="A2379" i="53"/>
  <c r="A2378" i="53"/>
  <c r="A2377" i="53"/>
  <c r="A2376" i="53"/>
  <c r="A2375" i="53"/>
  <c r="A2374" i="53"/>
  <c r="A2373" i="53"/>
  <c r="A2372" i="53"/>
  <c r="A2371" i="53"/>
  <c r="A2370" i="53"/>
  <c r="A2369" i="53"/>
  <c r="A2368" i="53"/>
  <c r="A2367" i="53"/>
  <c r="A5" i="33"/>
  <c r="A6" i="33"/>
  <c r="A2241" i="33"/>
  <c r="A2242" i="33"/>
  <c r="A2243" i="33"/>
  <c r="A2244" i="33"/>
  <c r="A2245" i="33"/>
  <c r="A2246" i="33"/>
  <c r="A2247" i="33"/>
  <c r="A2248" i="33"/>
  <c r="A2249" i="33"/>
  <c r="A2250" i="33"/>
  <c r="A2251" i="33"/>
  <c r="A2252" i="33"/>
  <c r="A2253" i="33"/>
  <c r="A2254" i="33"/>
  <c r="A2255" i="33"/>
  <c r="A2256" i="33"/>
  <c r="A2257" i="33"/>
  <c r="A2258" i="33"/>
  <c r="A2259" i="33"/>
  <c r="A2260" i="33"/>
  <c r="A2261" i="33"/>
  <c r="A2262" i="33"/>
  <c r="A2263" i="33"/>
  <c r="A2264" i="33"/>
  <c r="A2265" i="33"/>
  <c r="A2266" i="33"/>
  <c r="A2267" i="33"/>
  <c r="A2268" i="33"/>
  <c r="A2269" i="33"/>
  <c r="A2270" i="33"/>
  <c r="A2271" i="33"/>
  <c r="A2272" i="33"/>
  <c r="A2273" i="33"/>
  <c r="A2274" i="33"/>
  <c r="A2275" i="33"/>
  <c r="A2276" i="33"/>
  <c r="A2277" i="33"/>
  <c r="A2278" i="33"/>
  <c r="A2279" i="33"/>
  <c r="A2280" i="33"/>
  <c r="A2281" i="33"/>
  <c r="A2282" i="33"/>
  <c r="A2283" i="33"/>
  <c r="A2284" i="33"/>
  <c r="A2285" i="33"/>
  <c r="A2286" i="33"/>
  <c r="A2287" i="33"/>
  <c r="A2288" i="33"/>
  <c r="A2289" i="33"/>
  <c r="A2290" i="33"/>
  <c r="A2291" i="33"/>
  <c r="A2292" i="33"/>
  <c r="A2293" i="33"/>
  <c r="A2294" i="33"/>
  <c r="A2295" i="33"/>
  <c r="A2296" i="33"/>
  <c r="A2297" i="33"/>
  <c r="A2298" i="33"/>
  <c r="A2299" i="33"/>
  <c r="A2300" i="33"/>
  <c r="A2301" i="33"/>
  <c r="A2302" i="33"/>
  <c r="A2303" i="33"/>
  <c r="A2304" i="33"/>
  <c r="A2305" i="33"/>
  <c r="A2306" i="33"/>
  <c r="A2307" i="33"/>
  <c r="A2308" i="33"/>
  <c r="A2309" i="33"/>
  <c r="A2310" i="33"/>
  <c r="A2311" i="33"/>
  <c r="A2312" i="33"/>
  <c r="A2313" i="33"/>
  <c r="A2314" i="33"/>
  <c r="A2315" i="33"/>
  <c r="A2316" i="33"/>
  <c r="A2317" i="33"/>
  <c r="A2318" i="33"/>
  <c r="A2319" i="33"/>
  <c r="A2320" i="33"/>
  <c r="A2321" i="33"/>
  <c r="A2322" i="33"/>
  <c r="A2323" i="33"/>
  <c r="A2324" i="33"/>
  <c r="A2325" i="33"/>
  <c r="A2326" i="33"/>
  <c r="A2327" i="33"/>
  <c r="A2328" i="33"/>
  <c r="A2329" i="33"/>
  <c r="A2330" i="33"/>
  <c r="A2331" i="33"/>
  <c r="A2332" i="33"/>
  <c r="A2333" i="33"/>
  <c r="A2334" i="33"/>
  <c r="A2335" i="33"/>
  <c r="A2336" i="33"/>
  <c r="A2337" i="33"/>
  <c r="A2338" i="33"/>
  <c r="A2339" i="33"/>
  <c r="A2340" i="33"/>
  <c r="A2341" i="33"/>
  <c r="A2342" i="33"/>
  <c r="A2343" i="33"/>
  <c r="A2344" i="33"/>
  <c r="A2345" i="33"/>
  <c r="A2346" i="33"/>
  <c r="A2347" i="33"/>
  <c r="A2348" i="33"/>
  <c r="A2349" i="33"/>
  <c r="A2350" i="33"/>
  <c r="A2351" i="33"/>
  <c r="A2352" i="33"/>
  <c r="A2353" i="33"/>
  <c r="A2354" i="33"/>
  <c r="A2355" i="33"/>
  <c r="A2356" i="33"/>
  <c r="A2357" i="33"/>
  <c r="A2358" i="33"/>
  <c r="A2359" i="33"/>
  <c r="A2360" i="33"/>
  <c r="A2361" i="33"/>
  <c r="A2362" i="33"/>
  <c r="A2363" i="33"/>
  <c r="A2364" i="33"/>
  <c r="A2365" i="33"/>
  <c r="A2366" i="33"/>
  <c r="A2367" i="33"/>
  <c r="A2368" i="33"/>
  <c r="A2369" i="33"/>
  <c r="A2370" i="33"/>
  <c r="A2371" i="33"/>
  <c r="A2372" i="33"/>
  <c r="A2373" i="33"/>
  <c r="A2374" i="33"/>
  <c r="A2375" i="33"/>
  <c r="A2376" i="33"/>
  <c r="A2377" i="33"/>
  <c r="A2378" i="33"/>
  <c r="A2379" i="33"/>
  <c r="A2380" i="33"/>
  <c r="A2381" i="33"/>
  <c r="A2382" i="33"/>
  <c r="A2383" i="33"/>
  <c r="A2384" i="33"/>
  <c r="A2385" i="33"/>
  <c r="A2386" i="33"/>
  <c r="A2387" i="33"/>
  <c r="A2388" i="33"/>
  <c r="A2389" i="33"/>
  <c r="A2390" i="33"/>
  <c r="A2391" i="33"/>
  <c r="A2392" i="33"/>
  <c r="A2393" i="33"/>
  <c r="A2394" i="33"/>
  <c r="A2395" i="33"/>
  <c r="A2396" i="33"/>
  <c r="A2397" i="33"/>
  <c r="A2398" i="33"/>
  <c r="A2399" i="33"/>
  <c r="A2400" i="33"/>
  <c r="A2401" i="33"/>
  <c r="A2402" i="33"/>
  <c r="A2403" i="33"/>
  <c r="A2404" i="33"/>
  <c r="A2405" i="33"/>
  <c r="A2406" i="33"/>
  <c r="A2407" i="33"/>
  <c r="A2408" i="33"/>
  <c r="A2409" i="33"/>
  <c r="A2410" i="33"/>
  <c r="A2411" i="33"/>
  <c r="A2412" i="33"/>
  <c r="A2413" i="33"/>
  <c r="A2414" i="33"/>
  <c r="A2415" i="33"/>
  <c r="A2416" i="33"/>
  <c r="A2417" i="33"/>
  <c r="A2418" i="33"/>
  <c r="A2419" i="33"/>
  <c r="A2420" i="33"/>
  <c r="A2421" i="33"/>
  <c r="A2422" i="33"/>
  <c r="A2423" i="33"/>
  <c r="A2424" i="33"/>
  <c r="A2425" i="33"/>
  <c r="A2426" i="33"/>
  <c r="A2427" i="33"/>
  <c r="A2428" i="33"/>
  <c r="A2429" i="33"/>
  <c r="A2430" i="33"/>
  <c r="A2431" i="33"/>
  <c r="A2432" i="33"/>
  <c r="A2433" i="33"/>
  <c r="A2434" i="33"/>
  <c r="A2435" i="33"/>
  <c r="A2436" i="33"/>
  <c r="A2437" i="33"/>
  <c r="A2438" i="33"/>
  <c r="A2439" i="33"/>
  <c r="A2440" i="33"/>
  <c r="A2441" i="33"/>
  <c r="A2442" i="33"/>
  <c r="A2443" i="33"/>
  <c r="A2444" i="33"/>
  <c r="A2445" i="33"/>
  <c r="A2446" i="33"/>
  <c r="A2447" i="33"/>
  <c r="A2448" i="33"/>
  <c r="A2449" i="33"/>
  <c r="A2450" i="33"/>
  <c r="A2451" i="33"/>
  <c r="A2452" i="33"/>
  <c r="A2453" i="33"/>
  <c r="A2454" i="33"/>
  <c r="A2455" i="33"/>
  <c r="A2456" i="33"/>
  <c r="A2457" i="33"/>
  <c r="A2458" i="33"/>
  <c r="A2459" i="33"/>
  <c r="A2460" i="33"/>
  <c r="A2461" i="33"/>
  <c r="A2462" i="33"/>
  <c r="A2463" i="33"/>
  <c r="A2464" i="33"/>
  <c r="A2465" i="33"/>
  <c r="A2466" i="33"/>
  <c r="A2467" i="33"/>
  <c r="A2468" i="33"/>
  <c r="A2469" i="33"/>
  <c r="A2470" i="33"/>
  <c r="A2471" i="33"/>
  <c r="A2472" i="33"/>
  <c r="A2473" i="33"/>
  <c r="A2474" i="33"/>
  <c r="A2475" i="33"/>
  <c r="A2476" i="33"/>
  <c r="A2477" i="33"/>
  <c r="A2478" i="33"/>
  <c r="A2479" i="33"/>
  <c r="A2480" i="33"/>
  <c r="A2481" i="33"/>
  <c r="A2482" i="33"/>
  <c r="A2483" i="33"/>
  <c r="A2484" i="33"/>
  <c r="A2485" i="33"/>
  <c r="A2486" i="33"/>
  <c r="A2487" i="33"/>
  <c r="A2488" i="33"/>
  <c r="A2489" i="33"/>
  <c r="A2490" i="33"/>
  <c r="A2491" i="33"/>
  <c r="A2492" i="33"/>
  <c r="A2493" i="33"/>
  <c r="A2494" i="33"/>
  <c r="A2495" i="33"/>
  <c r="A2496" i="33"/>
  <c r="A2497" i="33"/>
  <c r="A2498" i="33"/>
  <c r="A2499" i="33"/>
  <c r="A2500" i="33"/>
  <c r="A2501" i="33"/>
  <c r="A2502" i="33"/>
  <c r="A2503" i="33"/>
  <c r="A2504" i="33"/>
  <c r="A2505" i="33"/>
  <c r="A2506" i="33"/>
  <c r="A2507" i="33"/>
  <c r="A2508" i="33"/>
  <c r="A2509" i="33"/>
  <c r="A2510" i="33"/>
  <c r="A2511" i="33"/>
  <c r="A2512" i="33"/>
  <c r="A2513" i="33"/>
  <c r="A2514" i="33"/>
  <c r="A2515" i="33"/>
  <c r="A2516" i="33"/>
  <c r="A2517" i="33"/>
  <c r="A2518" i="33"/>
  <c r="A2519" i="33"/>
  <c r="A2520" i="33"/>
  <c r="A2521" i="33"/>
  <c r="A2522" i="33"/>
  <c r="A2523" i="33"/>
  <c r="A2524" i="33"/>
  <c r="A2525" i="33"/>
  <c r="A2526" i="33"/>
  <c r="A2527" i="33"/>
  <c r="A2528" i="33"/>
  <c r="A2529" i="33"/>
  <c r="A2530" i="33"/>
  <c r="A2531" i="33"/>
  <c r="A2532" i="33"/>
  <c r="A2533" i="33"/>
  <c r="A2534" i="33"/>
  <c r="A2535" i="33"/>
  <c r="A2536" i="33"/>
  <c r="A2537" i="33"/>
  <c r="A2538" i="33"/>
  <c r="A2539" i="33"/>
  <c r="A2540" i="33"/>
  <c r="A2541" i="33"/>
  <c r="A2542" i="33"/>
  <c r="A2543" i="33"/>
  <c r="A2544" i="33"/>
  <c r="A2545" i="33"/>
  <c r="A2546" i="33"/>
  <c r="A2547" i="33"/>
  <c r="A2548" i="33"/>
  <c r="A2549" i="33"/>
  <c r="A2550" i="33"/>
  <c r="A2551" i="33"/>
  <c r="A2552" i="33"/>
  <c r="A2553" i="33"/>
  <c r="A2554" i="33"/>
  <c r="A2555" i="33"/>
  <c r="A2556" i="33"/>
  <c r="A2557" i="33"/>
  <c r="A2558" i="33"/>
  <c r="A2559" i="33"/>
  <c r="A2560" i="33"/>
  <c r="A2561" i="33"/>
  <c r="A2562" i="33"/>
  <c r="A2563" i="33"/>
  <c r="A2564" i="33"/>
  <c r="A2565" i="33"/>
  <c r="A2566" i="33"/>
  <c r="A2567" i="33"/>
  <c r="A2568" i="33"/>
  <c r="A2569" i="33"/>
  <c r="A2570" i="33"/>
  <c r="A2571" i="33"/>
  <c r="A2572" i="33"/>
  <c r="A2573" i="33"/>
  <c r="A2574" i="33"/>
  <c r="A2575" i="33"/>
  <c r="A2576" i="33"/>
  <c r="A2577" i="33"/>
  <c r="A2578" i="33"/>
  <c r="A2579" i="33"/>
  <c r="A2580" i="33"/>
  <c r="A2581" i="33"/>
  <c r="A2582" i="33"/>
  <c r="A2583" i="33"/>
  <c r="A2584" i="33"/>
  <c r="A2585" i="33"/>
  <c r="A2586" i="33"/>
  <c r="A2587" i="33"/>
  <c r="A2588" i="33"/>
  <c r="A2589" i="33"/>
  <c r="A2590" i="33"/>
  <c r="A2591" i="33"/>
  <c r="A2592" i="33"/>
  <c r="A2593" i="33"/>
  <c r="A2594" i="33"/>
  <c r="A2595" i="33"/>
  <c r="A2596" i="33"/>
  <c r="A2597" i="33"/>
  <c r="A2598" i="33"/>
  <c r="A2599" i="33"/>
  <c r="A2600" i="33"/>
  <c r="A2601" i="33"/>
  <c r="A2602" i="33"/>
  <c r="A2603" i="33"/>
  <c r="A2604" i="33"/>
  <c r="A2605" i="33"/>
  <c r="A2606" i="33"/>
  <c r="A2607" i="33"/>
  <c r="A2608" i="33"/>
  <c r="A2609" i="33"/>
  <c r="A2610" i="33"/>
  <c r="A2611" i="33"/>
  <c r="A2612" i="33"/>
  <c r="A2613" i="33"/>
  <c r="A2614" i="33"/>
  <c r="A2615" i="33"/>
  <c r="A2616" i="33"/>
  <c r="A2617" i="33"/>
  <c r="A2618" i="33"/>
  <c r="A2619" i="33"/>
  <c r="A2620" i="33"/>
  <c r="A2621" i="33"/>
  <c r="A2622" i="33"/>
  <c r="A2623" i="33"/>
  <c r="A2624" i="33"/>
  <c r="A2625" i="33"/>
  <c r="A2626" i="33"/>
  <c r="A2627" i="33"/>
  <c r="A2628" i="33"/>
  <c r="A2629" i="33"/>
  <c r="A2630" i="33"/>
  <c r="A2631" i="33"/>
  <c r="A2632" i="33"/>
  <c r="A2633" i="33"/>
  <c r="A2634" i="33"/>
  <c r="A2635" i="33"/>
  <c r="A4" i="33"/>
  <c r="A1716" i="53" l="1"/>
  <c r="A2260" i="53"/>
  <c r="A2259" i="53"/>
  <c r="A2262" i="53"/>
  <c r="A2261" i="53"/>
  <c r="A692" i="53"/>
  <c r="A1598" i="53"/>
  <c r="A2359" i="53"/>
  <c r="A2362" i="53"/>
  <c r="A2364" i="53"/>
  <c r="A2363" i="53"/>
  <c r="A2365" i="53"/>
  <c r="A2358" i="53"/>
  <c r="A1895" i="53"/>
  <c r="A1899" i="53"/>
  <c r="A1903" i="53"/>
  <c r="A1907" i="53"/>
  <c r="A1897" i="53"/>
  <c r="A1901" i="53"/>
  <c r="A2068" i="53"/>
  <c r="A1906" i="53"/>
  <c r="A1898" i="53"/>
  <c r="A1896" i="53"/>
  <c r="A1900" i="53"/>
  <c r="A1904" i="53"/>
  <c r="A2243" i="53"/>
  <c r="A2102" i="53"/>
  <c r="A1905" i="53"/>
  <c r="A1894" i="53"/>
  <c r="A1902" i="53"/>
  <c r="A2338" i="53"/>
  <c r="A2311" i="53"/>
  <c r="A2337" i="53"/>
  <c r="A2309" i="53"/>
  <c r="A2322" i="53"/>
  <c r="A2321" i="53"/>
  <c r="A2320" i="53"/>
  <c r="A2339" i="53"/>
  <c r="A2340" i="53"/>
  <c r="A2310" i="53"/>
  <c r="A2336" i="53"/>
  <c r="A2366" i="53"/>
  <c r="A2312" i="53"/>
  <c r="A2347" i="53"/>
  <c r="A2308" i="53"/>
  <c r="A2346" i="53"/>
  <c r="A2307" i="53"/>
  <c r="A2314" i="53"/>
  <c r="A2313" i="53"/>
  <c r="A2348" i="53"/>
  <c r="A2316" i="53"/>
  <c r="A2278" i="53"/>
  <c r="A2302" i="53"/>
  <c r="A2294" i="53"/>
  <c r="A2236" i="53"/>
  <c r="A2081" i="53"/>
  <c r="A2306" i="53"/>
  <c r="A2335" i="53"/>
  <c r="A2300" i="53"/>
  <c r="A2319" i="53"/>
  <c r="A2277" i="53"/>
  <c r="A2084" i="53"/>
  <c r="A2296" i="53"/>
  <c r="A2083" i="53"/>
  <c r="A2303" i="53"/>
  <c r="A2082" i="53"/>
  <c r="A2315" i="53"/>
  <c r="A2301" i="53"/>
  <c r="A2293" i="53"/>
  <c r="A2235" i="53"/>
  <c r="A2080" i="53"/>
  <c r="A2323" i="53"/>
  <c r="A2237" i="53"/>
  <c r="A2318" i="53"/>
  <c r="A2279" i="53"/>
  <c r="A2280" i="53"/>
  <c r="A2305" i="53"/>
  <c r="A2334" i="53"/>
  <c r="A2299" i="53"/>
  <c r="A2239" i="53"/>
  <c r="A2304" i="53"/>
  <c r="A2298" i="53"/>
  <c r="A2238" i="53"/>
  <c r="A2109" i="53"/>
  <c r="A2085" i="53"/>
  <c r="A2297" i="53"/>
  <c r="A2108" i="53"/>
  <c r="A2276" i="53"/>
  <c r="A2317" i="53"/>
  <c r="A2295" i="53"/>
  <c r="A2040" i="53"/>
  <c r="A2037" i="53"/>
  <c r="A2039" i="53"/>
  <c r="A2038" i="53"/>
  <c r="A2035" i="53"/>
  <c r="A2041" i="53"/>
  <c r="A2036" i="53"/>
  <c r="A2034" i="53"/>
  <c r="A2033" i="53"/>
  <c r="A1839" i="53"/>
  <c r="A1815" i="53"/>
  <c r="A1816" i="53"/>
  <c r="A1818" i="53"/>
  <c r="A1817" i="53"/>
  <c r="A1689" i="53"/>
  <c r="A2360" i="53"/>
  <c r="A2361" i="53"/>
  <c r="A1515" i="53"/>
  <c r="A1612" i="53"/>
  <c r="A1516" i="53"/>
  <c r="A1611" i="53"/>
  <c r="A2232" i="53"/>
  <c r="A2231" i="53"/>
  <c r="A2230" i="53"/>
  <c r="A2018" i="53"/>
  <c r="A2010" i="53"/>
  <c r="A1664" i="53"/>
  <c r="A2107" i="53"/>
  <c r="A2017" i="53"/>
  <c r="A2009" i="53"/>
  <c r="A1663" i="53"/>
  <c r="A2228" i="53"/>
  <c r="A2106" i="53"/>
  <c r="A2016" i="53"/>
  <c r="A2008" i="53"/>
  <c r="A1688" i="53"/>
  <c r="A2227" i="53"/>
  <c r="A2105" i="53"/>
  <c r="A2015" i="53"/>
  <c r="A2007" i="53"/>
  <c r="A1838" i="53"/>
  <c r="A1687" i="53"/>
  <c r="A2104" i="53"/>
  <c r="A2079" i="53"/>
  <c r="A2014" i="53"/>
  <c r="A2006" i="53"/>
  <c r="A1837" i="53"/>
  <c r="A1686" i="53"/>
  <c r="A2103" i="53"/>
  <c r="A2078" i="53"/>
  <c r="A2013" i="53"/>
  <c r="A2005" i="53"/>
  <c r="A1836" i="53"/>
  <c r="A1685" i="53"/>
  <c r="A2057" i="53"/>
  <c r="A2012" i="53"/>
  <c r="A2004" i="53"/>
  <c r="A2056" i="53"/>
  <c r="A2011" i="53"/>
  <c r="A2003" i="53"/>
  <c r="A1665" i="53"/>
  <c r="A2229" i="53"/>
  <c r="A2258" i="53"/>
  <c r="A2257" i="53"/>
  <c r="A2234" i="53"/>
  <c r="A2233" i="53"/>
  <c r="A1523" i="53"/>
  <c r="A1495" i="53"/>
  <c r="A1490" i="53"/>
  <c r="A1522" i="53"/>
  <c r="A1494" i="53"/>
  <c r="A1270" i="53"/>
  <c r="A1561" i="53"/>
  <c r="A1521" i="53"/>
  <c r="A1493" i="53"/>
  <c r="A1269" i="53"/>
  <c r="A1330" i="53"/>
  <c r="A1520" i="53"/>
  <c r="A1331" i="53"/>
  <c r="A1268" i="53"/>
  <c r="A1519" i="53"/>
  <c r="A1267" i="53"/>
  <c r="A1266" i="53"/>
  <c r="A1492" i="53"/>
  <c r="A1491" i="53"/>
  <c r="A1207" i="53"/>
  <c r="A1177" i="53"/>
  <c r="A1176" i="53"/>
  <c r="A1206" i="53"/>
  <c r="A1151" i="53"/>
  <c r="A1148" i="53"/>
  <c r="A1150" i="53"/>
  <c r="A1149" i="53"/>
  <c r="A1115" i="53"/>
  <c r="A1114" i="53"/>
  <c r="A1113" i="53"/>
  <c r="A1112" i="53"/>
  <c r="A1111" i="53"/>
  <c r="A964" i="53"/>
  <c r="A1109" i="53"/>
  <c r="A966" i="53"/>
  <c r="A965" i="53"/>
  <c r="A1108" i="53"/>
  <c r="A1110" i="53"/>
  <c r="A809" i="53"/>
  <c r="A838" i="53"/>
  <c r="A2225" i="53"/>
  <c r="A2055" i="53"/>
  <c r="A2031" i="53"/>
  <c r="A1375" i="53"/>
  <c r="A808" i="53"/>
  <c r="A837" i="53"/>
  <c r="A2077" i="53"/>
  <c r="A2076" i="53"/>
  <c r="A2067" i="53"/>
  <c r="A807" i="53"/>
  <c r="A2032" i="53"/>
  <c r="A2226" i="53"/>
  <c r="A811" i="53"/>
  <c r="A839" i="53"/>
  <c r="A806" i="53"/>
  <c r="A812" i="53"/>
  <c r="A810" i="53"/>
  <c r="A2001" i="53"/>
  <c r="A1814" i="53"/>
  <c r="A1996" i="53"/>
  <c r="A2000" i="53"/>
  <c r="A2002" i="53"/>
  <c r="A1999" i="53"/>
  <c r="A1997" i="53"/>
  <c r="A1835" i="53"/>
  <c r="A1998" i="53"/>
  <c r="A1253" i="53"/>
  <c r="A1252" i="53"/>
  <c r="A1560" i="53"/>
  <c r="A2352" i="53"/>
  <c r="A2329" i="53"/>
  <c r="A2344" i="53"/>
  <c r="A2355" i="53"/>
  <c r="A2330" i="53"/>
  <c r="A2345" i="53"/>
  <c r="A2356" i="53"/>
  <c r="A2331" i="53"/>
  <c r="A2349" i="53"/>
  <c r="A2357" i="53"/>
  <c r="A2324" i="53"/>
  <c r="A2332" i="53"/>
  <c r="A2350" i="53"/>
  <c r="A2325" i="53"/>
  <c r="A2333" i="53"/>
  <c r="A2351" i="53"/>
  <c r="A2326" i="53"/>
  <c r="A2341" i="53"/>
  <c r="A1488" i="53"/>
  <c r="A1376" i="53"/>
  <c r="A1146" i="53"/>
  <c r="A2224" i="53"/>
  <c r="A1834" i="53"/>
  <c r="A1517" i="53"/>
  <c r="A1518" i="53"/>
  <c r="A1487" i="53"/>
  <c r="A1374" i="53"/>
  <c r="A1145" i="53"/>
  <c r="A1833" i="53"/>
  <c r="A1102" i="53"/>
  <c r="A1356" i="53"/>
  <c r="A1486" i="53"/>
  <c r="A2223" i="53"/>
  <c r="A2054" i="53"/>
  <c r="A1101" i="53"/>
  <c r="A1485" i="53"/>
  <c r="A1100" i="53"/>
  <c r="A1107" i="53"/>
  <c r="A2111" i="53"/>
  <c r="A1995" i="53"/>
  <c r="A1489" i="53"/>
  <c r="A1482" i="53"/>
  <c r="A1103" i="53"/>
  <c r="A1106" i="53"/>
  <c r="A1559" i="53"/>
  <c r="A1483" i="53"/>
  <c r="A836" i="53"/>
  <c r="A1104" i="53"/>
  <c r="A1484" i="53"/>
  <c r="A1105" i="53"/>
  <c r="A1147" i="53"/>
  <c r="A792" i="53"/>
  <c r="A1662" i="53"/>
  <c r="A2066" i="53"/>
  <c r="A1993" i="53"/>
  <c r="A1205" i="53"/>
  <c r="A1659" i="53"/>
  <c r="A1478" i="53"/>
  <c r="A1236" i="53"/>
  <c r="A1202" i="53"/>
  <c r="A1097" i="53"/>
  <c r="A961" i="53"/>
  <c r="A960" i="53"/>
  <c r="A1832" i="53"/>
  <c r="A1240" i="53"/>
  <c r="A1616" i="53"/>
  <c r="A1175" i="53"/>
  <c r="A1989" i="53"/>
  <c r="A1594" i="53"/>
  <c r="A1477" i="53"/>
  <c r="A1093" i="53"/>
  <c r="A957" i="53"/>
  <c r="A1988" i="53"/>
  <c r="A1481" i="53"/>
  <c r="A1614" i="53"/>
  <c r="A1092" i="53"/>
  <c r="A2052" i="53"/>
  <c r="A1512" i="53"/>
  <c r="A1353" i="53"/>
  <c r="A963" i="53"/>
  <c r="A1986" i="53"/>
  <c r="A1479" i="53"/>
  <c r="A1329" i="53"/>
  <c r="A962" i="53"/>
  <c r="A2030" i="53"/>
  <c r="A1992" i="53"/>
  <c r="A1619" i="53"/>
  <c r="A1597" i="53"/>
  <c r="A1558" i="53"/>
  <c r="A1204" i="53"/>
  <c r="A1658" i="53"/>
  <c r="A1474" i="53"/>
  <c r="A1328" i="53"/>
  <c r="A1235" i="53"/>
  <c r="A1096" i="53"/>
  <c r="A1617" i="53"/>
  <c r="A1656" i="53"/>
  <c r="A958" i="53"/>
  <c r="A1655" i="53"/>
  <c r="A1237" i="53"/>
  <c r="A1830" i="53"/>
  <c r="A1355" i="53"/>
  <c r="A1476" i="53"/>
  <c r="A1480" i="53"/>
  <c r="A1613" i="53"/>
  <c r="A1099" i="53"/>
  <c r="A2051" i="53"/>
  <c r="A1203" i="53"/>
  <c r="A1991" i="53"/>
  <c r="A1618" i="53"/>
  <c r="A1596" i="53"/>
  <c r="A1241" i="53"/>
  <c r="A1657" i="53"/>
  <c r="A1514" i="53"/>
  <c r="A1473" i="53"/>
  <c r="A1327" i="53"/>
  <c r="A1239" i="53"/>
  <c r="A1095" i="53"/>
  <c r="A959" i="53"/>
  <c r="A1990" i="53"/>
  <c r="A1595" i="53"/>
  <c r="A835" i="53"/>
  <c r="A1238" i="53"/>
  <c r="A1094" i="53"/>
  <c r="A2222" i="53"/>
  <c r="A1831" i="53"/>
  <c r="A1615" i="53"/>
  <c r="A1174" i="53"/>
  <c r="A2053" i="53"/>
  <c r="A1513" i="53"/>
  <c r="A1354" i="53"/>
  <c r="A1987" i="53"/>
  <c r="A1661" i="53"/>
  <c r="A1475" i="53"/>
  <c r="A1091" i="53"/>
  <c r="A1994" i="53"/>
  <c r="A1581" i="53"/>
  <c r="A1660" i="53"/>
  <c r="A1098" i="53"/>
  <c r="A2244" i="53"/>
  <c r="A2206" i="53"/>
  <c r="A2197" i="53"/>
  <c r="A1982" i="53"/>
  <c r="A1974" i="53"/>
  <c r="A1965" i="53"/>
  <c r="A1957" i="53"/>
  <c r="A1949" i="53"/>
  <c r="A1941" i="53"/>
  <c r="A1933" i="53"/>
  <c r="A1925" i="53"/>
  <c r="A1917" i="53"/>
  <c r="A1909" i="53"/>
  <c r="A1828" i="53"/>
  <c r="A1931" i="53"/>
  <c r="A2220" i="53"/>
  <c r="A2214" i="53"/>
  <c r="A2210" i="53"/>
  <c r="A2204" i="53"/>
  <c r="A2196" i="53"/>
  <c r="A1981" i="53"/>
  <c r="A1972" i="53"/>
  <c r="A1964" i="53"/>
  <c r="A1956" i="53"/>
  <c r="A1948" i="53"/>
  <c r="A1940" i="53"/>
  <c r="A1932" i="53"/>
  <c r="A1924" i="53"/>
  <c r="A1916" i="53"/>
  <c r="A1908" i="53"/>
  <c r="A1827" i="53"/>
  <c r="A2203" i="53"/>
  <c r="A1980" i="53"/>
  <c r="A1963" i="53"/>
  <c r="A1947" i="53"/>
  <c r="A1939" i="53"/>
  <c r="A1915" i="53"/>
  <c r="A1826" i="53"/>
  <c r="A2215" i="53"/>
  <c r="A2198" i="53"/>
  <c r="A1966" i="53"/>
  <c r="A1926" i="53"/>
  <c r="A2218" i="53"/>
  <c r="A2195" i="53"/>
  <c r="A1971" i="53"/>
  <c r="A1955" i="53"/>
  <c r="A1923" i="53"/>
  <c r="A1813" i="53"/>
  <c r="A2211" i="53"/>
  <c r="A1958" i="53"/>
  <c r="A1934" i="53"/>
  <c r="A1829" i="53"/>
  <c r="A2217" i="53"/>
  <c r="A2213" i="53"/>
  <c r="A2209" i="53"/>
  <c r="A2202" i="53"/>
  <c r="A2194" i="53"/>
  <c r="A1979" i="53"/>
  <c r="A1970" i="53"/>
  <c r="A1962" i="53"/>
  <c r="A1954" i="53"/>
  <c r="A1946" i="53"/>
  <c r="A1938" i="53"/>
  <c r="A1930" i="53"/>
  <c r="A1922" i="53"/>
  <c r="A1914" i="53"/>
  <c r="A1825" i="53"/>
  <c r="A1812" i="53"/>
  <c r="A2216" i="53"/>
  <c r="A2208" i="53"/>
  <c r="A2200" i="53"/>
  <c r="A1985" i="53"/>
  <c r="A1960" i="53"/>
  <c r="A1944" i="53"/>
  <c r="A1928" i="53"/>
  <c r="A1810" i="53"/>
  <c r="A1975" i="53"/>
  <c r="A2219" i="53"/>
  <c r="A2201" i="53"/>
  <c r="A2193" i="53"/>
  <c r="A1978" i="53"/>
  <c r="A1969" i="53"/>
  <c r="A1961" i="53"/>
  <c r="A1953" i="53"/>
  <c r="A1945" i="53"/>
  <c r="A1937" i="53"/>
  <c r="A1929" i="53"/>
  <c r="A1921" i="53"/>
  <c r="A1913" i="53"/>
  <c r="A1811" i="53"/>
  <c r="A2192" i="53"/>
  <c r="A1977" i="53"/>
  <c r="A1952" i="53"/>
  <c r="A1936" i="53"/>
  <c r="A1912" i="53"/>
  <c r="A1950" i="53"/>
  <c r="A2212" i="53"/>
  <c r="A1968" i="53"/>
  <c r="A1920" i="53"/>
  <c r="A1910" i="53"/>
  <c r="A2199" i="53"/>
  <c r="A1973" i="53"/>
  <c r="A1984" i="53"/>
  <c r="A1976" i="53"/>
  <c r="A1967" i="53"/>
  <c r="A1959" i="53"/>
  <c r="A1951" i="53"/>
  <c r="A1943" i="53"/>
  <c r="A1935" i="53"/>
  <c r="A1927" i="53"/>
  <c r="A1919" i="53"/>
  <c r="A1911" i="53"/>
  <c r="A1809" i="53"/>
  <c r="A2221" i="53"/>
  <c r="A2205" i="53"/>
  <c r="A2207" i="53"/>
  <c r="A1983" i="53"/>
  <c r="A1942" i="53"/>
  <c r="A1918" i="53"/>
  <c r="A1684" i="53"/>
  <c r="A1675" i="53"/>
  <c r="A1651" i="53"/>
  <c r="A1607" i="53"/>
  <c r="A1587" i="53"/>
  <c r="A1576" i="53"/>
  <c r="A1552" i="53"/>
  <c r="A1544" i="53"/>
  <c r="A1509" i="53"/>
  <c r="A1499" i="53"/>
  <c r="A1648" i="53"/>
  <c r="A1592" i="53"/>
  <c r="A1549" i="53"/>
  <c r="A1555" i="53"/>
  <c r="A1624" i="53"/>
  <c r="A1570" i="53"/>
  <c r="A1676" i="53"/>
  <c r="A1588" i="53"/>
  <c r="A1510" i="53"/>
  <c r="A1683" i="53"/>
  <c r="A1674" i="53"/>
  <c r="A1650" i="53"/>
  <c r="A1639" i="53"/>
  <c r="A1629" i="53"/>
  <c r="A1606" i="53"/>
  <c r="A1575" i="53"/>
  <c r="A1551" i="53"/>
  <c r="A1543" i="53"/>
  <c r="A1508" i="53"/>
  <c r="A1498" i="53"/>
  <c r="A1681" i="53"/>
  <c r="A1557" i="53"/>
  <c r="A1506" i="53"/>
  <c r="A1677" i="53"/>
  <c r="A1609" i="53"/>
  <c r="A1554" i="53"/>
  <c r="A1644" i="53"/>
  <c r="A1545" i="53"/>
  <c r="A1682" i="53"/>
  <c r="A1649" i="53"/>
  <c r="A1628" i="53"/>
  <c r="A1593" i="53"/>
  <c r="A1574" i="53"/>
  <c r="A1550" i="53"/>
  <c r="A1542" i="53"/>
  <c r="A1507" i="53"/>
  <c r="A1497" i="53"/>
  <c r="A1627" i="53"/>
  <c r="A1573" i="53"/>
  <c r="A1541" i="53"/>
  <c r="A1539" i="53"/>
  <c r="A1645" i="53"/>
  <c r="A1578" i="53"/>
  <c r="A1546" i="53"/>
  <c r="A1623" i="53"/>
  <c r="A1577" i="53"/>
  <c r="A1680" i="53"/>
  <c r="A1647" i="53"/>
  <c r="A1626" i="53"/>
  <c r="A1591" i="53"/>
  <c r="A1580" i="53"/>
  <c r="A1572" i="53"/>
  <c r="A1556" i="53"/>
  <c r="A1548" i="53"/>
  <c r="A1540" i="53"/>
  <c r="A1505" i="53"/>
  <c r="A1579" i="53"/>
  <c r="A1547" i="53"/>
  <c r="A1653" i="53"/>
  <c r="A1538" i="53"/>
  <c r="A1652" i="53"/>
  <c r="A1679" i="53"/>
  <c r="A1654" i="53"/>
  <c r="A1646" i="53"/>
  <c r="A1625" i="53"/>
  <c r="A1610" i="53"/>
  <c r="A1590" i="53"/>
  <c r="A1571" i="53"/>
  <c r="A1678" i="53"/>
  <c r="A1589" i="53"/>
  <c r="A1511" i="53"/>
  <c r="A1608" i="53"/>
  <c r="A1553" i="53"/>
  <c r="A1470" i="53"/>
  <c r="A1463" i="53"/>
  <c r="A1454" i="53"/>
  <c r="A1368" i="53"/>
  <c r="A1351" i="53"/>
  <c r="A1325" i="53"/>
  <c r="A1317" i="53"/>
  <c r="A1258" i="53"/>
  <c r="A1228" i="53"/>
  <c r="A1142" i="53"/>
  <c r="A1085" i="53"/>
  <c r="A1077" i="53"/>
  <c r="A1069" i="53"/>
  <c r="A1061" i="53"/>
  <c r="A1053" i="53"/>
  <c r="A1045" i="53"/>
  <c r="A1037" i="53"/>
  <c r="A175" i="53"/>
  <c r="A830" i="53"/>
  <c r="A787" i="53"/>
  <c r="A769" i="53"/>
  <c r="A1469" i="53"/>
  <c r="A1462" i="53"/>
  <c r="A1453" i="53"/>
  <c r="A1350" i="53"/>
  <c r="A1324" i="53"/>
  <c r="A1265" i="53"/>
  <c r="A1227" i="53"/>
  <c r="A1201" i="53"/>
  <c r="A1141" i="53"/>
  <c r="A1084" i="53"/>
  <c r="A1076" i="53"/>
  <c r="A1068" i="53"/>
  <c r="A1060" i="53"/>
  <c r="A1052" i="53"/>
  <c r="A1044" i="53"/>
  <c r="A1036" i="53"/>
  <c r="A829" i="53"/>
  <c r="A768" i="53"/>
  <c r="A791" i="53"/>
  <c r="A1468" i="53"/>
  <c r="A1461" i="53"/>
  <c r="A1452" i="53"/>
  <c r="A1349" i="53"/>
  <c r="A1323" i="53"/>
  <c r="A1264" i="53"/>
  <c r="A1234" i="53"/>
  <c r="A1226" i="53"/>
  <c r="A1200" i="53"/>
  <c r="A1140" i="53"/>
  <c r="A1083" i="53"/>
  <c r="A1075" i="53"/>
  <c r="A1067" i="53"/>
  <c r="A1059" i="53"/>
  <c r="A1051" i="53"/>
  <c r="A1043" i="53"/>
  <c r="A1035" i="53"/>
  <c r="A956" i="53"/>
  <c r="A60" i="53"/>
  <c r="A828" i="53"/>
  <c r="A772" i="53"/>
  <c r="A767" i="53"/>
  <c r="A1472" i="53"/>
  <c r="A1460" i="53"/>
  <c r="A1373" i="53"/>
  <c r="A1348" i="53"/>
  <c r="A1322" i="53"/>
  <c r="A1263" i="53"/>
  <c r="A1233" i="53"/>
  <c r="A1199" i="53"/>
  <c r="A1173" i="53"/>
  <c r="A1139" i="53"/>
  <c r="A1090" i="53"/>
  <c r="A1082" i="53"/>
  <c r="A1074" i="53"/>
  <c r="A1066" i="53"/>
  <c r="A1058" i="53"/>
  <c r="A1050" i="53"/>
  <c r="A1042" i="53"/>
  <c r="A1034" i="53"/>
  <c r="A955" i="53"/>
  <c r="A766" i="53"/>
  <c r="A765" i="53"/>
  <c r="A1471" i="53"/>
  <c r="A1467" i="53"/>
  <c r="A1459" i="53"/>
  <c r="A1451" i="53"/>
  <c r="A1372" i="53"/>
  <c r="A1347" i="53"/>
  <c r="A1321" i="53"/>
  <c r="A1262" i="53"/>
  <c r="A1232" i="53"/>
  <c r="A1198" i="53"/>
  <c r="A1172" i="53"/>
  <c r="A1138" i="53"/>
  <c r="A1089" i="53"/>
  <c r="A1081" i="53"/>
  <c r="A1073" i="53"/>
  <c r="A1065" i="53"/>
  <c r="A1057" i="53"/>
  <c r="A1049" i="53"/>
  <c r="A1041" i="53"/>
  <c r="A1033" i="53"/>
  <c r="A954" i="53"/>
  <c r="A43" i="53"/>
  <c r="A834" i="53"/>
  <c r="A1466" i="53"/>
  <c r="A1457" i="53"/>
  <c r="A1371" i="53"/>
  <c r="A1320" i="53"/>
  <c r="A1261" i="53"/>
  <c r="A1231" i="53"/>
  <c r="A1197" i="53"/>
  <c r="A1171" i="53"/>
  <c r="A1088" i="53"/>
  <c r="A1080" i="53"/>
  <c r="A1072" i="53"/>
  <c r="A1064" i="53"/>
  <c r="A1056" i="53"/>
  <c r="A1048" i="53"/>
  <c r="A1040" i="53"/>
  <c r="A1032" i="53"/>
  <c r="A953" i="53"/>
  <c r="A833" i="53"/>
  <c r="A805" i="53"/>
  <c r="A790" i="53"/>
  <c r="A773" i="53"/>
  <c r="A1465" i="53"/>
  <c r="A1458" i="53"/>
  <c r="A1456" i="53"/>
  <c r="A1370" i="53"/>
  <c r="A1319" i="53"/>
  <c r="A1260" i="53"/>
  <c r="A1230" i="53"/>
  <c r="A1196" i="53"/>
  <c r="A1170" i="53"/>
  <c r="A1144" i="53"/>
  <c r="A292" i="53"/>
  <c r="A1087" i="53"/>
  <c r="A1079" i="53"/>
  <c r="A1071" i="53"/>
  <c r="A1063" i="53"/>
  <c r="A1055" i="53"/>
  <c r="A1047" i="53"/>
  <c r="A1039" i="53"/>
  <c r="A832" i="53"/>
  <c r="A804" i="53"/>
  <c r="A789" i="53"/>
  <c r="A771" i="53"/>
  <c r="A763" i="53"/>
  <c r="A1464" i="53"/>
  <c r="A1455" i="53"/>
  <c r="A1369" i="53"/>
  <c r="A1352" i="53"/>
  <c r="A1326" i="53"/>
  <c r="A1318" i="53"/>
  <c r="A1259" i="53"/>
  <c r="A1229" i="53"/>
  <c r="A1143" i="53"/>
  <c r="A1086" i="53"/>
  <c r="A1078" i="53"/>
  <c r="A1070" i="53"/>
  <c r="A1062" i="53"/>
  <c r="A1054" i="53"/>
  <c r="A1046" i="53"/>
  <c r="A1038" i="53"/>
  <c r="A831" i="53"/>
  <c r="A788" i="53"/>
  <c r="A770" i="53"/>
  <c r="A764" i="53"/>
  <c r="A2327" i="53"/>
  <c r="A2342" i="53"/>
  <c r="A2353" i="53"/>
  <c r="A2328" i="53"/>
  <c r="A2343" i="53"/>
  <c r="A2354" i="53"/>
  <c r="A2283" i="53"/>
  <c r="A784" i="53"/>
  <c r="A798" i="53"/>
  <c r="A815" i="53"/>
  <c r="A785" i="53"/>
  <c r="A799" i="53"/>
  <c r="A778" i="53"/>
  <c r="A786" i="53"/>
  <c r="A800" i="53"/>
  <c r="A779" i="53"/>
  <c r="A793" i="53"/>
  <c r="A801" i="53"/>
  <c r="A780" i="53"/>
  <c r="A794" i="53"/>
  <c r="A802" i="53"/>
  <c r="A781" i="53"/>
  <c r="A795" i="53"/>
  <c r="A803" i="53"/>
  <c r="A797" i="53"/>
  <c r="A782" i="53"/>
  <c r="A796" i="53"/>
  <c r="A813" i="53"/>
  <c r="A783" i="53"/>
  <c r="A814" i="53"/>
  <c r="A2291" i="53"/>
  <c r="A2272" i="53"/>
  <c r="A2284" i="53"/>
  <c r="A2292" i="53"/>
  <c r="A2285" i="53"/>
  <c r="A2286" i="53"/>
  <c r="A2287" i="53"/>
  <c r="A2288" i="53"/>
  <c r="A2289" i="53"/>
  <c r="A2271" i="53"/>
  <c r="A2282" i="53"/>
  <c r="A2290" i="53"/>
  <c r="A2086" i="53"/>
  <c r="A2159" i="53"/>
  <c r="A2094" i="53"/>
  <c r="A2167" i="53"/>
  <c r="A2087" i="53"/>
  <c r="A2095" i="53"/>
  <c r="A2112" i="53"/>
  <c r="A2120" i="53"/>
  <c r="A2128" i="53"/>
  <c r="A2136" i="53"/>
  <c r="A2144" i="53"/>
  <c r="A2152" i="53"/>
  <c r="A2160" i="53"/>
  <c r="A2168" i="53"/>
  <c r="A2176" i="53"/>
  <c r="A2184" i="53"/>
  <c r="A2240" i="53"/>
  <c r="A2249" i="53"/>
  <c r="A2264" i="53"/>
  <c r="A2151" i="53"/>
  <c r="A2248" i="53"/>
  <c r="A1671" i="53"/>
  <c r="A2252" i="53"/>
  <c r="A746" i="53"/>
  <c r="A729" i="53"/>
  <c r="A722" i="53"/>
  <c r="A705" i="53"/>
  <c r="A684" i="53"/>
  <c r="A723" i="53"/>
  <c r="A745" i="53"/>
  <c r="A691" i="53"/>
  <c r="A673" i="53"/>
  <c r="A671" i="53"/>
  <c r="A668" i="53"/>
  <c r="A721" i="53"/>
  <c r="A744" i="53"/>
  <c r="A728" i="53"/>
  <c r="A690" i="53"/>
  <c r="A667" i="53"/>
  <c r="A743" i="53"/>
  <c r="A727" i="53"/>
  <c r="A689" i="53"/>
  <c r="A670" i="53"/>
  <c r="A666" i="53"/>
  <c r="A747" i="53"/>
  <c r="A742" i="53"/>
  <c r="A726" i="53"/>
  <c r="A688" i="53"/>
  <c r="A740" i="53"/>
  <c r="A720" i="53"/>
  <c r="A725" i="53"/>
  <c r="A708" i="53"/>
  <c r="A687" i="53"/>
  <c r="A739" i="53"/>
  <c r="A669" i="53"/>
  <c r="A685" i="53"/>
  <c r="A748" i="53"/>
  <c r="A741" i="53"/>
  <c r="A724" i="53"/>
  <c r="A707" i="53"/>
  <c r="A686" i="53"/>
  <c r="A672" i="53"/>
  <c r="A706" i="53"/>
  <c r="A2088" i="53"/>
  <c r="A2096" i="53"/>
  <c r="A2113" i="53"/>
  <c r="A2121" i="53"/>
  <c r="A2129" i="53"/>
  <c r="A2137" i="53"/>
  <c r="A2145" i="53"/>
  <c r="A2153" i="53"/>
  <c r="A2161" i="53"/>
  <c r="A2169" i="53"/>
  <c r="A2177" i="53"/>
  <c r="A2185" i="53"/>
  <c r="A2241" i="53"/>
  <c r="A2250" i="53"/>
  <c r="A2265" i="53"/>
  <c r="A2273" i="53"/>
  <c r="A2127" i="53"/>
  <c r="A2191" i="53"/>
  <c r="A2089" i="53"/>
  <c r="A2097" i="53"/>
  <c r="A2114" i="53"/>
  <c r="A2122" i="53"/>
  <c r="A2130" i="53"/>
  <c r="A2138" i="53"/>
  <c r="A2146" i="53"/>
  <c r="A2154" i="53"/>
  <c r="A2162" i="53"/>
  <c r="A2170" i="53"/>
  <c r="A2178" i="53"/>
  <c r="A2186" i="53"/>
  <c r="A2242" i="53"/>
  <c r="A2251" i="53"/>
  <c r="A2266" i="53"/>
  <c r="A2274" i="53"/>
  <c r="A2110" i="53"/>
  <c r="A2263" i="53"/>
  <c r="A2090" i="53"/>
  <c r="A2098" i="53"/>
  <c r="A2115" i="53"/>
  <c r="A2123" i="53"/>
  <c r="A2131" i="53"/>
  <c r="A2139" i="53"/>
  <c r="A2147" i="53"/>
  <c r="A2155" i="53"/>
  <c r="A2163" i="53"/>
  <c r="A2171" i="53"/>
  <c r="A2179" i="53"/>
  <c r="A2187" i="53"/>
  <c r="A2253" i="53"/>
  <c r="A2267" i="53"/>
  <c r="A2275" i="53"/>
  <c r="A2135" i="53"/>
  <c r="A2183" i="53"/>
  <c r="A2091" i="53"/>
  <c r="A2099" i="53"/>
  <c r="A2116" i="53"/>
  <c r="A2124" i="53"/>
  <c r="A2132" i="53"/>
  <c r="A2140" i="53"/>
  <c r="A2148" i="53"/>
  <c r="A2156" i="53"/>
  <c r="A2164" i="53"/>
  <c r="A2172" i="53"/>
  <c r="A2180" i="53"/>
  <c r="A2188" i="53"/>
  <c r="A2245" i="53"/>
  <c r="A2254" i="53"/>
  <c r="A2268" i="53"/>
  <c r="A2119" i="53"/>
  <c r="A2175" i="53"/>
  <c r="A2092" i="53"/>
  <c r="A2100" i="53"/>
  <c r="A2117" i="53"/>
  <c r="A2125" i="53"/>
  <c r="A2133" i="53"/>
  <c r="A2141" i="53"/>
  <c r="A2149" i="53"/>
  <c r="A2157" i="53"/>
  <c r="A2165" i="53"/>
  <c r="A2173" i="53"/>
  <c r="A2181" i="53"/>
  <c r="A2189" i="53"/>
  <c r="A2246" i="53"/>
  <c r="A2255" i="53"/>
  <c r="A2269" i="53"/>
  <c r="A2281" i="53"/>
  <c r="A2143" i="53"/>
  <c r="A2093" i="53"/>
  <c r="A2101" i="53"/>
  <c r="A2118" i="53"/>
  <c r="A2126" i="53"/>
  <c r="A2134" i="53"/>
  <c r="A2142" i="53"/>
  <c r="A2150" i="53"/>
  <c r="A2158" i="53"/>
  <c r="A2166" i="53"/>
  <c r="A2174" i="53"/>
  <c r="A2182" i="53"/>
  <c r="A2190" i="53"/>
  <c r="A2247" i="53"/>
  <c r="A2256" i="53"/>
  <c r="A2270" i="53"/>
  <c r="A1641" i="53"/>
  <c r="A1697" i="53"/>
  <c r="A2060" i="53"/>
  <c r="A1719" i="53"/>
  <c r="A1751" i="53"/>
  <c r="A1808" i="53"/>
  <c r="A1889" i="53"/>
  <c r="A682" i="53"/>
  <c r="A558" i="53"/>
  <c r="A550" i="53"/>
  <c r="A548" i="53"/>
  <c r="A546" i="53"/>
  <c r="A538" i="53"/>
  <c r="A551" i="53"/>
  <c r="A549" i="53"/>
  <c r="A542" i="53"/>
  <c r="A738" i="53"/>
  <c r="A555" i="53"/>
  <c r="A541" i="53"/>
  <c r="A559" i="53"/>
  <c r="A737" i="53"/>
  <c r="A704" i="53"/>
  <c r="A547" i="53"/>
  <c r="A736" i="53"/>
  <c r="A703" i="53"/>
  <c r="A683" i="53"/>
  <c r="A561" i="53"/>
  <c r="A553" i="53"/>
  <c r="A545" i="53"/>
  <c r="A539" i="53"/>
  <c r="A560" i="53"/>
  <c r="A552" i="53"/>
  <c r="A544" i="53"/>
  <c r="A1756" i="53"/>
  <c r="A1642" i="53"/>
  <c r="A1672" i="53"/>
  <c r="A1696" i="53"/>
  <c r="A1704" i="53"/>
  <c r="A1712" i="53"/>
  <c r="A1720" i="53"/>
  <c r="A1728" i="53"/>
  <c r="A1736" i="53"/>
  <c r="A1744" i="53"/>
  <c r="A1752" i="53"/>
  <c r="A1761" i="53"/>
  <c r="A1769" i="53"/>
  <c r="A1777" i="53"/>
  <c r="A1785" i="53"/>
  <c r="A1793" i="53"/>
  <c r="A1801" i="53"/>
  <c r="A1819" i="53"/>
  <c r="A1842" i="53"/>
  <c r="A1850" i="53"/>
  <c r="A1858" i="53"/>
  <c r="A1866" i="53"/>
  <c r="A1874" i="53"/>
  <c r="A1882" i="53"/>
  <c r="A1890" i="53"/>
  <c r="A2024" i="53"/>
  <c r="A2044" i="53"/>
  <c r="A2059" i="53"/>
  <c r="A2071" i="53"/>
  <c r="A1743" i="53"/>
  <c r="A1800" i="53"/>
  <c r="A1881" i="53"/>
  <c r="A1721" i="53"/>
  <c r="A1770" i="53"/>
  <c r="A1843" i="53"/>
  <c r="A1891" i="53"/>
  <c r="A1695" i="53"/>
  <c r="A1776" i="53"/>
  <c r="A1849" i="53"/>
  <c r="A1673" i="53"/>
  <c r="A1745" i="53"/>
  <c r="A1786" i="53"/>
  <c r="A1859" i="53"/>
  <c r="A2072" i="53"/>
  <c r="A1666" i="53"/>
  <c r="A1690" i="53"/>
  <c r="A1698" i="53"/>
  <c r="A1706" i="53"/>
  <c r="A1714" i="53"/>
  <c r="A1722" i="53"/>
  <c r="A1730" i="53"/>
  <c r="A1738" i="53"/>
  <c r="A1746" i="53"/>
  <c r="A1754" i="53"/>
  <c r="A1763" i="53"/>
  <c r="A1771" i="53"/>
  <c r="A1779" i="53"/>
  <c r="A1787" i="53"/>
  <c r="A1795" i="53"/>
  <c r="A1803" i="53"/>
  <c r="A1821" i="53"/>
  <c r="A1844" i="53"/>
  <c r="A1852" i="53"/>
  <c r="A1860" i="53"/>
  <c r="A1868" i="53"/>
  <c r="A1876" i="53"/>
  <c r="A1884" i="53"/>
  <c r="A1892" i="53"/>
  <c r="A2026" i="53"/>
  <c r="A2046" i="53"/>
  <c r="A2061" i="53"/>
  <c r="A2073" i="53"/>
  <c r="A1711" i="53"/>
  <c r="A1760" i="53"/>
  <c r="A1841" i="53"/>
  <c r="A2058" i="53"/>
  <c r="A1643" i="53"/>
  <c r="A1729" i="53"/>
  <c r="A1778" i="53"/>
  <c r="A1867" i="53"/>
  <c r="A1667" i="53"/>
  <c r="A1691" i="53"/>
  <c r="A1699" i="53"/>
  <c r="A1707" i="53"/>
  <c r="A1715" i="53"/>
  <c r="A1723" i="53"/>
  <c r="A1731" i="53"/>
  <c r="A1739" i="53"/>
  <c r="A1747" i="53"/>
  <c r="A1755" i="53"/>
  <c r="A1764" i="53"/>
  <c r="A1772" i="53"/>
  <c r="A1780" i="53"/>
  <c r="A1788" i="53"/>
  <c r="A1796" i="53"/>
  <c r="A1804" i="53"/>
  <c r="A1822" i="53"/>
  <c r="A1845" i="53"/>
  <c r="A1853" i="53"/>
  <c r="A1861" i="53"/>
  <c r="A1869" i="53"/>
  <c r="A1877" i="53"/>
  <c r="A1885" i="53"/>
  <c r="A1893" i="53"/>
  <c r="A2019" i="53"/>
  <c r="A2027" i="53"/>
  <c r="A2047" i="53"/>
  <c r="A2062" i="53"/>
  <c r="A2074" i="53"/>
  <c r="A1727" i="53"/>
  <c r="A1784" i="53"/>
  <c r="A1865" i="53"/>
  <c r="A2043" i="53"/>
  <c r="A1713" i="53"/>
  <c r="A1762" i="53"/>
  <c r="A1820" i="53"/>
  <c r="A1851" i="53"/>
  <c r="A2045" i="53"/>
  <c r="A1668" i="53"/>
  <c r="A1692" i="53"/>
  <c r="A1700" i="53"/>
  <c r="A1708" i="53"/>
  <c r="A1724" i="53"/>
  <c r="A1732" i="53"/>
  <c r="A1740" i="53"/>
  <c r="A1748" i="53"/>
  <c r="A1757" i="53"/>
  <c r="A1765" i="53"/>
  <c r="A1773" i="53"/>
  <c r="A1781" i="53"/>
  <c r="A1789" i="53"/>
  <c r="A1797" i="53"/>
  <c r="A1805" i="53"/>
  <c r="A1823" i="53"/>
  <c r="A1846" i="53"/>
  <c r="A1854" i="53"/>
  <c r="A1862" i="53"/>
  <c r="A1870" i="53"/>
  <c r="A1878" i="53"/>
  <c r="A1886" i="53"/>
  <c r="A2020" i="53"/>
  <c r="A2028" i="53"/>
  <c r="A2048" i="53"/>
  <c r="A2063" i="53"/>
  <c r="A2075" i="53"/>
  <c r="A1735" i="53"/>
  <c r="A1792" i="53"/>
  <c r="A1873" i="53"/>
  <c r="A2023" i="53"/>
  <c r="A1705" i="53"/>
  <c r="A1753" i="53"/>
  <c r="A1802" i="53"/>
  <c r="A1883" i="53"/>
  <c r="A2025" i="53"/>
  <c r="A1669" i="53"/>
  <c r="A1693" i="53"/>
  <c r="A1701" i="53"/>
  <c r="A1709" i="53"/>
  <c r="A1717" i="53"/>
  <c r="A1725" i="53"/>
  <c r="A1733" i="53"/>
  <c r="A1741" i="53"/>
  <c r="A1749" i="53"/>
  <c r="A1758" i="53"/>
  <c r="A1766" i="53"/>
  <c r="A1774" i="53"/>
  <c r="A1782" i="53"/>
  <c r="A1790" i="53"/>
  <c r="A1798" i="53"/>
  <c r="A1806" i="53"/>
  <c r="A1824" i="53"/>
  <c r="A1847" i="53"/>
  <c r="A1855" i="53"/>
  <c r="A1863" i="53"/>
  <c r="A1871" i="53"/>
  <c r="A1879" i="53"/>
  <c r="A1887" i="53"/>
  <c r="A2021" i="53"/>
  <c r="A2029" i="53"/>
  <c r="A2049" i="53"/>
  <c r="A2064" i="53"/>
  <c r="A1703" i="53"/>
  <c r="A1768" i="53"/>
  <c r="A1857" i="53"/>
  <c r="A2070" i="53"/>
  <c r="A1737" i="53"/>
  <c r="A1794" i="53"/>
  <c r="A1875" i="53"/>
  <c r="A1640" i="53"/>
  <c r="A1670" i="53"/>
  <c r="A1694" i="53"/>
  <c r="A1702" i="53"/>
  <c r="A1710" i="53"/>
  <c r="A1718" i="53"/>
  <c r="A1726" i="53"/>
  <c r="A1734" i="53"/>
  <c r="A1742" i="53"/>
  <c r="A1750" i="53"/>
  <c r="A1759" i="53"/>
  <c r="A1767" i="53"/>
  <c r="A1775" i="53"/>
  <c r="A1783" i="53"/>
  <c r="A1791" i="53"/>
  <c r="A1799" i="53"/>
  <c r="A1807" i="53"/>
  <c r="A1840" i="53"/>
  <c r="A1848" i="53"/>
  <c r="A1856" i="53"/>
  <c r="A1864" i="53"/>
  <c r="A1872" i="53"/>
  <c r="A1880" i="53"/>
  <c r="A1888" i="53"/>
  <c r="A2022" i="53"/>
  <c r="A2042" i="53"/>
  <c r="A2050" i="53"/>
  <c r="A2065" i="53"/>
  <c r="A1636" i="53"/>
  <c r="A1397" i="53"/>
  <c r="A1405" i="53"/>
  <c r="A1413" i="53"/>
  <c r="A1421" i="53"/>
  <c r="A1429" i="53"/>
  <c r="A1562" i="53"/>
  <c r="A1503" i="53"/>
  <c r="A1437" i="53"/>
  <c r="A1398" i="53"/>
  <c r="A1406" i="53"/>
  <c r="A1414" i="53"/>
  <c r="A1422" i="53"/>
  <c r="A1430" i="53"/>
  <c r="A1438" i="53"/>
  <c r="A1446" i="53"/>
  <c r="A1504" i="53"/>
  <c r="A1531" i="53"/>
  <c r="A1563" i="53"/>
  <c r="A1583" i="53"/>
  <c r="A1604" i="53"/>
  <c r="A1633" i="53"/>
  <c r="A1582" i="53"/>
  <c r="A1399" i="53"/>
  <c r="A1407" i="53"/>
  <c r="A1415" i="53"/>
  <c r="A1423" i="53"/>
  <c r="A1431" i="53"/>
  <c r="A1439" i="53"/>
  <c r="A1447" i="53"/>
  <c r="A1524" i="53"/>
  <c r="A1532" i="53"/>
  <c r="A1564" i="53"/>
  <c r="A1584" i="53"/>
  <c r="A1605" i="53"/>
  <c r="A1634" i="53"/>
  <c r="A1530" i="53"/>
  <c r="A1392" i="53"/>
  <c r="A1400" i="53"/>
  <c r="A1408" i="53"/>
  <c r="A1416" i="53"/>
  <c r="A1424" i="53"/>
  <c r="A1432" i="53"/>
  <c r="A1440" i="53"/>
  <c r="A1448" i="53"/>
  <c r="A1525" i="53"/>
  <c r="A1533" i="53"/>
  <c r="A1565" i="53"/>
  <c r="A1585" i="53"/>
  <c r="A1620" i="53"/>
  <c r="A1635" i="53"/>
  <c r="A1445" i="53"/>
  <c r="A1393" i="53"/>
  <c r="A1401" i="53"/>
  <c r="A1409" i="53"/>
  <c r="A1417" i="53"/>
  <c r="A1425" i="53"/>
  <c r="A1433" i="53"/>
  <c r="A1441" i="53"/>
  <c r="A1450" i="53"/>
  <c r="A1526" i="53"/>
  <c r="A1534" i="53"/>
  <c r="A1566" i="53"/>
  <c r="A1586" i="53"/>
  <c r="A1621" i="53"/>
  <c r="A1632" i="53"/>
  <c r="A1600" i="53"/>
  <c r="A1496" i="53"/>
  <c r="A1449" i="53"/>
  <c r="A1386" i="53"/>
  <c r="A58" i="53"/>
  <c r="A42" i="53"/>
  <c r="A41" i="53"/>
  <c r="A536" i="53"/>
  <c r="A40" i="53"/>
  <c r="A531" i="53"/>
  <c r="A1188" i="53"/>
  <c r="A1293" i="53"/>
  <c r="A1026" i="53"/>
  <c r="A875" i="53"/>
  <c r="A1156" i="53"/>
  <c r="A819" i="53"/>
  <c r="A820" i="53"/>
  <c r="A821" i="53"/>
  <c r="A841" i="53"/>
  <c r="A849" i="53"/>
  <c r="A857" i="53"/>
  <c r="A865" i="53"/>
  <c r="A873" i="53"/>
  <c r="A882" i="53"/>
  <c r="A890" i="53"/>
  <c r="A898" i="53"/>
  <c r="A906" i="53"/>
  <c r="A914" i="53"/>
  <c r="A922" i="53"/>
  <c r="A930" i="53"/>
  <c r="A938" i="53"/>
  <c r="A946" i="53"/>
  <c r="A968" i="53"/>
  <c r="A976" i="53"/>
  <c r="A984" i="53"/>
  <c r="A992" i="53"/>
  <c r="A1000" i="53"/>
  <c r="A1008" i="53"/>
  <c r="A1016" i="53"/>
  <c r="A1024" i="53"/>
  <c r="A1117" i="53"/>
  <c r="A1125" i="53"/>
  <c r="A1133" i="53"/>
  <c r="A1155" i="53"/>
  <c r="A1164" i="53"/>
  <c r="A1180" i="53"/>
  <c r="A1189" i="53"/>
  <c r="A1209" i="53"/>
  <c r="A1217" i="53"/>
  <c r="A1225" i="53"/>
  <c r="A1249" i="53"/>
  <c r="A1257" i="53"/>
  <c r="A1277" i="53"/>
  <c r="A1285" i="53"/>
  <c r="A1294" i="53"/>
  <c r="A1302" i="53"/>
  <c r="A1310" i="53"/>
  <c r="A1333" i="53"/>
  <c r="A1341" i="53"/>
  <c r="A1359" i="53"/>
  <c r="A1367" i="53"/>
  <c r="A1384" i="53"/>
  <c r="A874" i="53"/>
  <c r="A939" i="53"/>
  <c r="A969" i="53"/>
  <c r="A985" i="53"/>
  <c r="A1001" i="53"/>
  <c r="A1017" i="53"/>
  <c r="A1118" i="53"/>
  <c r="A1134" i="53"/>
  <c r="A1165" i="53"/>
  <c r="A1190" i="53"/>
  <c r="A1210" i="53"/>
  <c r="A1242" i="53"/>
  <c r="A1286" i="53"/>
  <c r="A1303" i="53"/>
  <c r="A1334" i="53"/>
  <c r="A1360" i="53"/>
  <c r="A1385" i="53"/>
  <c r="A1276" i="53"/>
  <c r="A1340" i="53"/>
  <c r="A822" i="53"/>
  <c r="A842" i="53"/>
  <c r="A850" i="53"/>
  <c r="A858" i="53"/>
  <c r="A866" i="53"/>
  <c r="A883" i="53"/>
  <c r="A891" i="53"/>
  <c r="A899" i="53"/>
  <c r="A907" i="53"/>
  <c r="A915" i="53"/>
  <c r="A923" i="53"/>
  <c r="A931" i="53"/>
  <c r="A947" i="53"/>
  <c r="A977" i="53"/>
  <c r="A993" i="53"/>
  <c r="A1009" i="53"/>
  <c r="A1025" i="53"/>
  <c r="A1126" i="53"/>
  <c r="A1157" i="53"/>
  <c r="A1181" i="53"/>
  <c r="A1218" i="53"/>
  <c r="A1250" i="53"/>
  <c r="A1278" i="53"/>
  <c r="A1295" i="53"/>
  <c r="A1311" i="53"/>
  <c r="A1342" i="53"/>
  <c r="A1377" i="53"/>
  <c r="A1309" i="53"/>
  <c r="A1366" i="53"/>
  <c r="A823" i="53"/>
  <c r="A843" i="53"/>
  <c r="A851" i="53"/>
  <c r="A859" i="53"/>
  <c r="A867" i="53"/>
  <c r="A876" i="53"/>
  <c r="A884" i="53"/>
  <c r="A892" i="53"/>
  <c r="A900" i="53"/>
  <c r="A908" i="53"/>
  <c r="A916" i="53"/>
  <c r="A924" i="53"/>
  <c r="A932" i="53"/>
  <c r="A940" i="53"/>
  <c r="A948" i="53"/>
  <c r="A970" i="53"/>
  <c r="A978" i="53"/>
  <c r="A986" i="53"/>
  <c r="A994" i="53"/>
  <c r="A1002" i="53"/>
  <c r="A1010" i="53"/>
  <c r="A1018" i="53"/>
  <c r="A1027" i="53"/>
  <c r="A1119" i="53"/>
  <c r="A1127" i="53"/>
  <c r="A1135" i="53"/>
  <c r="A1158" i="53"/>
  <c r="A1166" i="53"/>
  <c r="A1182" i="53"/>
  <c r="A1191" i="53"/>
  <c r="A1211" i="53"/>
  <c r="A1219" i="53"/>
  <c r="A1243" i="53"/>
  <c r="A1251" i="53"/>
  <c r="A1271" i="53"/>
  <c r="A1279" i="53"/>
  <c r="A1287" i="53"/>
  <c r="A1296" i="53"/>
  <c r="A1304" i="53"/>
  <c r="A1312" i="53"/>
  <c r="A1335" i="53"/>
  <c r="A1343" i="53"/>
  <c r="A1361" i="53"/>
  <c r="A1378" i="53"/>
  <c r="A1387" i="53"/>
  <c r="A877" i="53"/>
  <c r="A941" i="53"/>
  <c r="A979" i="53"/>
  <c r="A995" i="53"/>
  <c r="A1011" i="53"/>
  <c r="A1028" i="53"/>
  <c r="A1120" i="53"/>
  <c r="A1136" i="53"/>
  <c r="A1167" i="53"/>
  <c r="A1192" i="53"/>
  <c r="A1220" i="53"/>
  <c r="A1244" i="53"/>
  <c r="A1272" i="53"/>
  <c r="A1288" i="53"/>
  <c r="A1305" i="53"/>
  <c r="A1336" i="53"/>
  <c r="A1362" i="53"/>
  <c r="A1379" i="53"/>
  <c r="A1256" i="53"/>
  <c r="A1358" i="53"/>
  <c r="A824" i="53"/>
  <c r="A844" i="53"/>
  <c r="A852" i="53"/>
  <c r="A860" i="53"/>
  <c r="A868" i="53"/>
  <c r="A885" i="53"/>
  <c r="A893" i="53"/>
  <c r="A901" i="53"/>
  <c r="A909" i="53"/>
  <c r="A917" i="53"/>
  <c r="A925" i="53"/>
  <c r="A933" i="53"/>
  <c r="A949" i="53"/>
  <c r="A971" i="53"/>
  <c r="A987" i="53"/>
  <c r="A1003" i="53"/>
  <c r="A1019" i="53"/>
  <c r="A1128" i="53"/>
  <c r="A1159" i="53"/>
  <c r="A1183" i="53"/>
  <c r="A1212" i="53"/>
  <c r="A1280" i="53"/>
  <c r="A1297" i="53"/>
  <c r="A1313" i="53"/>
  <c r="A1344" i="53"/>
  <c r="A1388" i="53"/>
  <c r="A1292" i="53"/>
  <c r="A1383" i="53"/>
  <c r="A825" i="53"/>
  <c r="A845" i="53"/>
  <c r="A853" i="53"/>
  <c r="A861" i="53"/>
  <c r="A869" i="53"/>
  <c r="A878" i="53"/>
  <c r="A886" i="53"/>
  <c r="A894" i="53"/>
  <c r="A902" i="53"/>
  <c r="A910" i="53"/>
  <c r="A918" i="53"/>
  <c r="A926" i="53"/>
  <c r="A934" i="53"/>
  <c r="A942" i="53"/>
  <c r="A950" i="53"/>
  <c r="A972" i="53"/>
  <c r="A980" i="53"/>
  <c r="A988" i="53"/>
  <c r="A996" i="53"/>
  <c r="A1004" i="53"/>
  <c r="A1012" i="53"/>
  <c r="A1020" i="53"/>
  <c r="A1029" i="53"/>
  <c r="A1121" i="53"/>
  <c r="A1129" i="53"/>
  <c r="A1137" i="53"/>
  <c r="A1160" i="53"/>
  <c r="A1168" i="53"/>
  <c r="A1184" i="53"/>
  <c r="A1193" i="53"/>
  <c r="A1213" i="53"/>
  <c r="A1221" i="53"/>
  <c r="A1245" i="53"/>
  <c r="A1273" i="53"/>
  <c r="A1281" i="53"/>
  <c r="A1289" i="53"/>
  <c r="A1298" i="53"/>
  <c r="A1306" i="53"/>
  <c r="A1314" i="53"/>
  <c r="A1337" i="53"/>
  <c r="A1345" i="53"/>
  <c r="A1363" i="53"/>
  <c r="A1380" i="53"/>
  <c r="A1389" i="53"/>
  <c r="A1116" i="53"/>
  <c r="A1284" i="53"/>
  <c r="A826" i="53"/>
  <c r="A846" i="53"/>
  <c r="A854" i="53"/>
  <c r="A862" i="53"/>
  <c r="A870" i="53"/>
  <c r="A879" i="53"/>
  <c r="A887" i="53"/>
  <c r="A895" i="53"/>
  <c r="A903" i="53"/>
  <c r="A911" i="53"/>
  <c r="A919" i="53"/>
  <c r="A927" i="53"/>
  <c r="A935" i="53"/>
  <c r="A943" i="53"/>
  <c r="A951" i="53"/>
  <c r="A973" i="53"/>
  <c r="A981" i="53"/>
  <c r="A989" i="53"/>
  <c r="A997" i="53"/>
  <c r="A1005" i="53"/>
  <c r="A1013" i="53"/>
  <c r="A1021" i="53"/>
  <c r="A1030" i="53"/>
  <c r="A1122" i="53"/>
  <c r="A1130" i="53"/>
  <c r="A1152" i="53"/>
  <c r="A1161" i="53"/>
  <c r="A1169" i="53"/>
  <c r="A1185" i="53"/>
  <c r="A1194" i="53"/>
  <c r="A1214" i="53"/>
  <c r="A1222" i="53"/>
  <c r="A1246" i="53"/>
  <c r="A1254" i="53"/>
  <c r="A1274" i="53"/>
  <c r="A1282" i="53"/>
  <c r="A1290" i="53"/>
  <c r="A1299" i="53"/>
  <c r="A1307" i="53"/>
  <c r="A1315" i="53"/>
  <c r="A1338" i="53"/>
  <c r="A1346" i="53"/>
  <c r="A1364" i="53"/>
  <c r="A1381" i="53"/>
  <c r="A1390" i="53"/>
  <c r="A848" i="53"/>
  <c r="A864" i="53"/>
  <c r="A881" i="53"/>
  <c r="A897" i="53"/>
  <c r="A905" i="53"/>
  <c r="A921" i="53"/>
  <c r="A945" i="53"/>
  <c r="A975" i="53"/>
  <c r="A991" i="53"/>
  <c r="A1007" i="53"/>
  <c r="A1023" i="53"/>
  <c r="A1132" i="53"/>
  <c r="A1163" i="53"/>
  <c r="A1187" i="53"/>
  <c r="A1216" i="53"/>
  <c r="A1224" i="53"/>
  <c r="A1301" i="53"/>
  <c r="A827" i="53"/>
  <c r="A847" i="53"/>
  <c r="A855" i="53"/>
  <c r="A863" i="53"/>
  <c r="A871" i="53"/>
  <c r="A880" i="53"/>
  <c r="A888" i="53"/>
  <c r="A896" i="53"/>
  <c r="A904" i="53"/>
  <c r="A912" i="53"/>
  <c r="A920" i="53"/>
  <c r="A928" i="53"/>
  <c r="A936" i="53"/>
  <c r="A944" i="53"/>
  <c r="A952" i="53"/>
  <c r="A974" i="53"/>
  <c r="A982" i="53"/>
  <c r="A990" i="53"/>
  <c r="A998" i="53"/>
  <c r="A1006" i="53"/>
  <c r="A1014" i="53"/>
  <c r="A1022" i="53"/>
  <c r="A1031" i="53"/>
  <c r="A1123" i="53"/>
  <c r="A1131" i="53"/>
  <c r="A1153" i="53"/>
  <c r="A1162" i="53"/>
  <c r="A1178" i="53"/>
  <c r="A1186" i="53"/>
  <c r="A1195" i="53"/>
  <c r="A1215" i="53"/>
  <c r="A1223" i="53"/>
  <c r="A1247" i="53"/>
  <c r="A1255" i="53"/>
  <c r="A1275" i="53"/>
  <c r="A1283" i="53"/>
  <c r="A1291" i="53"/>
  <c r="A1300" i="53"/>
  <c r="A1308" i="53"/>
  <c r="A1316" i="53"/>
  <c r="A1339" i="53"/>
  <c r="A1357" i="53"/>
  <c r="A1365" i="53"/>
  <c r="A1382" i="53"/>
  <c r="A1391" i="53"/>
  <c r="A840" i="53"/>
  <c r="A856" i="53"/>
  <c r="A872" i="53"/>
  <c r="A889" i="53"/>
  <c r="A913" i="53"/>
  <c r="A929" i="53"/>
  <c r="A937" i="53"/>
  <c r="A967" i="53"/>
  <c r="A983" i="53"/>
  <c r="A999" i="53"/>
  <c r="A1015" i="53"/>
  <c r="A1124" i="53"/>
  <c r="A1154" i="53"/>
  <c r="A1179" i="53"/>
  <c r="A1208" i="53"/>
  <c r="A1248" i="53"/>
  <c r="A1332" i="53"/>
  <c r="A1394" i="53"/>
  <c r="A1402" i="53"/>
  <c r="A1410" i="53"/>
  <c r="A1418" i="53"/>
  <c r="A1426" i="53"/>
  <c r="A1434" i="53"/>
  <c r="A1442" i="53"/>
  <c r="A1500" i="53"/>
  <c r="A1527" i="53"/>
  <c r="A1535" i="53"/>
  <c r="A1567" i="53"/>
  <c r="A1599" i="53"/>
  <c r="A1622" i="53"/>
  <c r="A1637" i="53"/>
  <c r="A1603" i="53"/>
  <c r="A1395" i="53"/>
  <c r="A1403" i="53"/>
  <c r="A1411" i="53"/>
  <c r="A1419" i="53"/>
  <c r="A1427" i="53"/>
  <c r="A1435" i="53"/>
  <c r="A1443" i="53"/>
  <c r="A1501" i="53"/>
  <c r="A1528" i="53"/>
  <c r="A1536" i="53"/>
  <c r="A1568" i="53"/>
  <c r="A1601" i="53"/>
  <c r="A1630" i="53"/>
  <c r="A1638" i="53"/>
  <c r="A1396" i="53"/>
  <c r="A1404" i="53"/>
  <c r="A1412" i="53"/>
  <c r="A1420" i="53"/>
  <c r="A1428" i="53"/>
  <c r="A1436" i="53"/>
  <c r="A1444" i="53"/>
  <c r="A1502" i="53"/>
  <c r="A1529" i="53"/>
  <c r="A1537" i="53"/>
  <c r="A1569" i="53"/>
  <c r="A1602" i="53"/>
  <c r="A1631" i="53"/>
  <c r="A818" i="53"/>
  <c r="A816" i="53"/>
  <c r="A817" i="53"/>
  <c r="A702" i="53"/>
  <c r="A701" i="53"/>
  <c r="A730" i="53"/>
  <c r="A734" i="53"/>
  <c r="A751" i="53"/>
  <c r="A755" i="53"/>
  <c r="A759" i="53"/>
  <c r="A774" i="53"/>
  <c r="A731" i="53"/>
  <c r="A735" i="53"/>
  <c r="A752" i="53"/>
  <c r="A756" i="53"/>
  <c r="A760" i="53"/>
  <c r="A775" i="53"/>
  <c r="A732" i="53"/>
  <c r="A749" i="53"/>
  <c r="A753" i="53"/>
  <c r="A757" i="53"/>
  <c r="A761" i="53"/>
  <c r="A776" i="53"/>
  <c r="A733" i="53"/>
  <c r="A750" i="53"/>
  <c r="A754" i="53"/>
  <c r="A758" i="53"/>
  <c r="A762" i="53"/>
  <c r="A777" i="53"/>
  <c r="A569" i="53"/>
  <c r="A577" i="53"/>
  <c r="A460" i="53"/>
  <c r="A464" i="53"/>
  <c r="A468" i="53"/>
  <c r="A472" i="53"/>
  <c r="A476" i="53"/>
  <c r="A480" i="53"/>
  <c r="A484" i="53"/>
  <c r="A488" i="53"/>
  <c r="A492" i="53"/>
  <c r="A496" i="53"/>
  <c r="A500" i="53"/>
  <c r="A504" i="53"/>
  <c r="A508" i="53"/>
  <c r="A512" i="53"/>
  <c r="A516" i="53"/>
  <c r="A520" i="53"/>
  <c r="A524" i="53"/>
  <c r="A528" i="53"/>
  <c r="A533" i="53"/>
  <c r="A540" i="53"/>
  <c r="A543" i="53"/>
  <c r="A532" i="53"/>
  <c r="A461" i="53"/>
  <c r="A465" i="53"/>
  <c r="A469" i="53"/>
  <c r="A473" i="53"/>
  <c r="A477" i="53"/>
  <c r="A481" i="53"/>
  <c r="A485" i="53"/>
  <c r="A489" i="53"/>
  <c r="A493" i="53"/>
  <c r="A497" i="53"/>
  <c r="A501" i="53"/>
  <c r="A505" i="53"/>
  <c r="A509" i="53"/>
  <c r="A513" i="53"/>
  <c r="A517" i="53"/>
  <c r="A521" i="53"/>
  <c r="A525" i="53"/>
  <c r="A529" i="53"/>
  <c r="A534" i="53"/>
  <c r="A527" i="53"/>
  <c r="A458" i="53"/>
  <c r="A462" i="53"/>
  <c r="A466" i="53"/>
  <c r="A470" i="53"/>
  <c r="A474" i="53"/>
  <c r="A478" i="53"/>
  <c r="A482" i="53"/>
  <c r="A486" i="53"/>
  <c r="A490" i="53"/>
  <c r="A494" i="53"/>
  <c r="A498" i="53"/>
  <c r="A502" i="53"/>
  <c r="A506" i="53"/>
  <c r="A510" i="53"/>
  <c r="A514" i="53"/>
  <c r="A518" i="53"/>
  <c r="A522" i="53"/>
  <c r="A526" i="53"/>
  <c r="A530" i="53"/>
  <c r="A535" i="53"/>
  <c r="A554" i="53"/>
  <c r="A459" i="53"/>
  <c r="A467" i="53"/>
  <c r="A475" i="53"/>
  <c r="A479" i="53"/>
  <c r="A487" i="53"/>
  <c r="A495" i="53"/>
  <c r="A503" i="53"/>
  <c r="A511" i="53"/>
  <c r="A519" i="53"/>
  <c r="A537" i="53"/>
  <c r="A579" i="53"/>
  <c r="A568" i="53"/>
  <c r="A576" i="53"/>
  <c r="A463" i="53"/>
  <c r="A471" i="53"/>
  <c r="A483" i="53"/>
  <c r="A491" i="53"/>
  <c r="A499" i="53"/>
  <c r="A507" i="53"/>
  <c r="A515" i="53"/>
  <c r="A523" i="53"/>
  <c r="A424" i="53"/>
  <c r="A420" i="53"/>
  <c r="A416" i="53"/>
  <c r="A399" i="53"/>
  <c r="A395" i="53"/>
  <c r="A391" i="53"/>
  <c r="A387" i="53"/>
  <c r="A378" i="53"/>
  <c r="A374" i="53"/>
  <c r="A426" i="53"/>
  <c r="A422" i="53"/>
  <c r="A418" i="53"/>
  <c r="A414" i="53"/>
  <c r="A401" i="53"/>
  <c r="A397" i="53"/>
  <c r="A393" i="53"/>
  <c r="A389" i="53"/>
  <c r="A376" i="53"/>
  <c r="A372" i="53"/>
  <c r="A425" i="53"/>
  <c r="A417" i="53"/>
  <c r="A403" i="53"/>
  <c r="A402" i="53"/>
  <c r="A394" i="53"/>
  <c r="A386" i="53"/>
  <c r="A375" i="53"/>
  <c r="A421" i="53"/>
  <c r="A413" i="53"/>
  <c r="A398" i="53"/>
  <c r="A390" i="53"/>
  <c r="A371" i="53"/>
  <c r="A423" i="53"/>
  <c r="A396" i="53"/>
  <c r="A419" i="53"/>
  <c r="A377" i="53"/>
  <c r="A392" i="53"/>
  <c r="A415" i="53"/>
  <c r="A388" i="53"/>
  <c r="A373" i="53"/>
  <c r="A400" i="53"/>
  <c r="A427" i="53"/>
  <c r="A582" i="53"/>
  <c r="A586" i="53"/>
  <c r="A590" i="53"/>
  <c r="A594" i="53"/>
  <c r="A598" i="53"/>
  <c r="A602" i="53"/>
  <c r="A606" i="53"/>
  <c r="A610" i="53"/>
  <c r="A614" i="53"/>
  <c r="A618" i="53"/>
  <c r="A622" i="53"/>
  <c r="A626" i="53"/>
  <c r="A630" i="53"/>
  <c r="A634" i="53"/>
  <c r="A638" i="53"/>
  <c r="A642" i="53"/>
  <c r="A646" i="53"/>
  <c r="A650" i="53"/>
  <c r="A654" i="53"/>
  <c r="A658" i="53"/>
  <c r="A662" i="53"/>
  <c r="A674" i="53"/>
  <c r="A678" i="53"/>
  <c r="A693" i="53"/>
  <c r="A697" i="53"/>
  <c r="A709" i="53"/>
  <c r="A713" i="53"/>
  <c r="A717" i="53"/>
  <c r="A578" i="53"/>
  <c r="A583" i="53"/>
  <c r="A587" i="53"/>
  <c r="A591" i="53"/>
  <c r="A595" i="53"/>
  <c r="A599" i="53"/>
  <c r="A603" i="53"/>
  <c r="A607" i="53"/>
  <c r="A611" i="53"/>
  <c r="A615" i="53"/>
  <c r="A619" i="53"/>
  <c r="A623" i="53"/>
  <c r="A627" i="53"/>
  <c r="A631" i="53"/>
  <c r="A635" i="53"/>
  <c r="A639" i="53"/>
  <c r="A643" i="53"/>
  <c r="A647" i="53"/>
  <c r="A651" i="53"/>
  <c r="A655" i="53"/>
  <c r="A659" i="53"/>
  <c r="A663" i="53"/>
  <c r="A675" i="53"/>
  <c r="A679" i="53"/>
  <c r="A694" i="53"/>
  <c r="A698" i="53"/>
  <c r="A710" i="53"/>
  <c r="A714" i="53"/>
  <c r="A718" i="53"/>
  <c r="A580" i="53"/>
  <c r="A584" i="53"/>
  <c r="A588" i="53"/>
  <c r="A592" i="53"/>
  <c r="A596" i="53"/>
  <c r="A600" i="53"/>
  <c r="A604" i="53"/>
  <c r="A608" i="53"/>
  <c r="A612" i="53"/>
  <c r="A616" i="53"/>
  <c r="A620" i="53"/>
  <c r="A624" i="53"/>
  <c r="A628" i="53"/>
  <c r="A632" i="53"/>
  <c r="A636" i="53"/>
  <c r="A640" i="53"/>
  <c r="A644" i="53"/>
  <c r="A648" i="53"/>
  <c r="A652" i="53"/>
  <c r="A656" i="53"/>
  <c r="A660" i="53"/>
  <c r="A664" i="53"/>
  <c r="A676" i="53"/>
  <c r="A680" i="53"/>
  <c r="A695" i="53"/>
  <c r="A699" i="53"/>
  <c r="A711" i="53"/>
  <c r="A715" i="53"/>
  <c r="A719" i="53"/>
  <c r="A581" i="53"/>
  <c r="A585" i="53"/>
  <c r="A589" i="53"/>
  <c r="A593" i="53"/>
  <c r="A597" i="53"/>
  <c r="A601" i="53"/>
  <c r="A605" i="53"/>
  <c r="A609" i="53"/>
  <c r="A613" i="53"/>
  <c r="A617" i="53"/>
  <c r="A621" i="53"/>
  <c r="A625" i="53"/>
  <c r="A629" i="53"/>
  <c r="A633" i="53"/>
  <c r="A637" i="53"/>
  <c r="A641" i="53"/>
  <c r="A645" i="53"/>
  <c r="A649" i="53"/>
  <c r="A653" i="53"/>
  <c r="A657" i="53"/>
  <c r="A661" i="53"/>
  <c r="A665" i="53"/>
  <c r="A677" i="53"/>
  <c r="A681" i="53"/>
  <c r="A696" i="53"/>
  <c r="A700" i="53"/>
  <c r="A712" i="53"/>
  <c r="A716" i="53"/>
  <c r="A368" i="53"/>
  <c r="A364" i="53"/>
  <c r="A360" i="53"/>
  <c r="A365" i="53"/>
  <c r="A367" i="53"/>
  <c r="A363" i="53"/>
  <c r="A359" i="53"/>
  <c r="A370" i="53"/>
  <c r="A366" i="53"/>
  <c r="A362" i="53"/>
  <c r="A358" i="53"/>
  <c r="A369" i="53"/>
  <c r="A361" i="53"/>
  <c r="A345" i="53"/>
  <c r="A341" i="53"/>
  <c r="A348" i="53"/>
  <c r="A344" i="53"/>
  <c r="A331" i="53"/>
  <c r="A347" i="53"/>
  <c r="A343" i="53"/>
  <c r="A330" i="53"/>
  <c r="A346" i="53"/>
  <c r="A342" i="53"/>
  <c r="A329" i="53"/>
  <c r="A325" i="53"/>
  <c r="A321" i="53"/>
  <c r="A317" i="53"/>
  <c r="A328" i="53"/>
  <c r="A324" i="53"/>
  <c r="A320" i="53"/>
  <c r="A316" i="53"/>
  <c r="A327" i="53"/>
  <c r="A323" i="53"/>
  <c r="A319" i="53"/>
  <c r="A315" i="53"/>
  <c r="A326" i="53"/>
  <c r="A322" i="53"/>
  <c r="A318" i="53"/>
  <c r="A314" i="53"/>
  <c r="A244" i="53"/>
  <c r="A240" i="53"/>
  <c r="A236" i="53"/>
  <c r="A232" i="53"/>
  <c r="A228" i="53"/>
  <c r="A224" i="53"/>
  <c r="A220" i="53"/>
  <c r="A216" i="53"/>
  <c r="A212" i="53"/>
  <c r="A208" i="53"/>
  <c r="A204" i="53"/>
  <c r="A200" i="53"/>
  <c r="A234" i="53"/>
  <c r="A222" i="53"/>
  <c r="A214" i="53"/>
  <c r="A206" i="53"/>
  <c r="A198" i="53"/>
  <c r="A241" i="53"/>
  <c r="A233" i="53"/>
  <c r="A225" i="53"/>
  <c r="A217" i="53"/>
  <c r="A209" i="53"/>
  <c r="A201" i="53"/>
  <c r="A243" i="53"/>
  <c r="A239" i="53"/>
  <c r="A235" i="53"/>
  <c r="A231" i="53"/>
  <c r="A227" i="53"/>
  <c r="A223" i="53"/>
  <c r="A219" i="53"/>
  <c r="A215" i="53"/>
  <c r="A211" i="53"/>
  <c r="A207" i="53"/>
  <c r="A203" i="53"/>
  <c r="A199" i="53"/>
  <c r="A246" i="53"/>
  <c r="A242" i="53"/>
  <c r="A238" i="53"/>
  <c r="A230" i="53"/>
  <c r="A226" i="53"/>
  <c r="A218" i="53"/>
  <c r="A210" i="53"/>
  <c r="A202" i="53"/>
  <c r="A245" i="53"/>
  <c r="A237" i="53"/>
  <c r="A229" i="53"/>
  <c r="A221" i="53"/>
  <c r="A213" i="53"/>
  <c r="A205" i="53"/>
  <c r="A575" i="53"/>
  <c r="A21" i="53"/>
  <c r="A25" i="53"/>
  <c r="A29" i="53"/>
  <c r="A33" i="53"/>
  <c r="A37" i="53"/>
  <c r="A47" i="53"/>
  <c r="A51" i="53"/>
  <c r="A55" i="53"/>
  <c r="A59" i="53"/>
  <c r="A64" i="53"/>
  <c r="A68" i="53"/>
  <c r="A72" i="53"/>
  <c r="A76" i="53"/>
  <c r="A80" i="53"/>
  <c r="A84" i="53"/>
  <c r="A88" i="53"/>
  <c r="A92" i="53"/>
  <c r="A96" i="53"/>
  <c r="A100" i="53"/>
  <c r="A104" i="53"/>
  <c r="A108" i="53"/>
  <c r="A112" i="53"/>
  <c r="A116" i="53"/>
  <c r="A120" i="53"/>
  <c r="A124" i="53"/>
  <c r="A128" i="53"/>
  <c r="A132" i="53"/>
  <c r="A136" i="53"/>
  <c r="A140" i="53"/>
  <c r="A144" i="53"/>
  <c r="A148" i="53"/>
  <c r="A152" i="53"/>
  <c r="A156" i="53"/>
  <c r="A160" i="53"/>
  <c r="A164" i="53"/>
  <c r="A168" i="53"/>
  <c r="A172" i="53"/>
  <c r="A177" i="53"/>
  <c r="A181" i="53"/>
  <c r="A185" i="53"/>
  <c r="A189" i="53"/>
  <c r="A193" i="53"/>
  <c r="A197" i="53"/>
  <c r="A250" i="53"/>
  <c r="A254" i="53"/>
  <c r="A258" i="53"/>
  <c r="A262" i="53"/>
  <c r="A266" i="53"/>
  <c r="A270" i="53"/>
  <c r="A274" i="53"/>
  <c r="A278" i="53"/>
  <c r="A282" i="53"/>
  <c r="A286" i="53"/>
  <c r="A290" i="53"/>
  <c r="A294" i="53"/>
  <c r="A298" i="53"/>
  <c r="A302" i="53"/>
  <c r="A306" i="53"/>
  <c r="A310" i="53"/>
  <c r="A332" i="53"/>
  <c r="A336" i="53"/>
  <c r="A340" i="53"/>
  <c r="A352" i="53"/>
  <c r="A356" i="53"/>
  <c r="A381" i="53"/>
  <c r="A385" i="53"/>
  <c r="A407" i="53"/>
  <c r="A411" i="53"/>
  <c r="A430" i="53"/>
  <c r="A434" i="53"/>
  <c r="A438" i="53"/>
  <c r="A442" i="53"/>
  <c r="A446" i="53"/>
  <c r="A450" i="53"/>
  <c r="A454" i="53"/>
  <c r="A563" i="53"/>
  <c r="A567" i="53"/>
  <c r="A572" i="53"/>
  <c r="A22" i="53"/>
  <c r="A26" i="53"/>
  <c r="A30" i="53"/>
  <c r="A34" i="53"/>
  <c r="A38" i="53"/>
  <c r="A44" i="53"/>
  <c r="A48" i="53"/>
  <c r="A52" i="53"/>
  <c r="A56" i="53"/>
  <c r="A61" i="53"/>
  <c r="A65" i="53"/>
  <c r="A69" i="53"/>
  <c r="A73" i="53"/>
  <c r="A77" i="53"/>
  <c r="A81" i="53"/>
  <c r="A85" i="53"/>
  <c r="A89" i="53"/>
  <c r="A93" i="53"/>
  <c r="A97" i="53"/>
  <c r="A101" i="53"/>
  <c r="A105" i="53"/>
  <c r="A109" i="53"/>
  <c r="A113" i="53"/>
  <c r="A117" i="53"/>
  <c r="A121" i="53"/>
  <c r="A125" i="53"/>
  <c r="A129" i="53"/>
  <c r="A133" i="53"/>
  <c r="A137" i="53"/>
  <c r="A141" i="53"/>
  <c r="A145" i="53"/>
  <c r="A149" i="53"/>
  <c r="A153" i="53"/>
  <c r="A157" i="53"/>
  <c r="A161" i="53"/>
  <c r="A165" i="53"/>
  <c r="A169" i="53"/>
  <c r="A173" i="53"/>
  <c r="A178" i="53"/>
  <c r="A182" i="53"/>
  <c r="A186" i="53"/>
  <c r="A190" i="53"/>
  <c r="A194" i="53"/>
  <c r="A247" i="53"/>
  <c r="A251" i="53"/>
  <c r="A255" i="53"/>
  <c r="A259" i="53"/>
  <c r="A263" i="53"/>
  <c r="A267" i="53"/>
  <c r="A271" i="53"/>
  <c r="A275" i="53"/>
  <c r="A279" i="53"/>
  <c r="A283" i="53"/>
  <c r="A287" i="53"/>
  <c r="A291" i="53"/>
  <c r="A295" i="53"/>
  <c r="A299" i="53"/>
  <c r="A303" i="53"/>
  <c r="A307" i="53"/>
  <c r="A311" i="53"/>
  <c r="A333" i="53"/>
  <c r="A337" i="53"/>
  <c r="A349" i="53"/>
  <c r="A353" i="53"/>
  <c r="A357" i="53"/>
  <c r="A382" i="53"/>
  <c r="A404" i="53"/>
  <c r="A408" i="53"/>
  <c r="A412" i="53"/>
  <c r="A431" i="53"/>
  <c r="A435" i="53"/>
  <c r="A439" i="53"/>
  <c r="A443" i="53"/>
  <c r="A447" i="53"/>
  <c r="A451" i="53"/>
  <c r="A455" i="53"/>
  <c r="A556" i="53"/>
  <c r="A564" i="53"/>
  <c r="A573" i="53"/>
  <c r="A23" i="53"/>
  <c r="A27" i="53"/>
  <c r="A31" i="53"/>
  <c r="A35" i="53"/>
  <c r="A39" i="53"/>
  <c r="A45" i="53"/>
  <c r="A49" i="53"/>
  <c r="A53" i="53"/>
  <c r="A57" i="53"/>
  <c r="A62" i="53"/>
  <c r="A66" i="53"/>
  <c r="A70" i="53"/>
  <c r="A74" i="53"/>
  <c r="A78" i="53"/>
  <c r="A82" i="53"/>
  <c r="A86" i="53"/>
  <c r="A90" i="53"/>
  <c r="A94" i="53"/>
  <c r="A98" i="53"/>
  <c r="A102" i="53"/>
  <c r="A106" i="53"/>
  <c r="A110" i="53"/>
  <c r="A114" i="53"/>
  <c r="A118" i="53"/>
  <c r="A122" i="53"/>
  <c r="A126" i="53"/>
  <c r="A130" i="53"/>
  <c r="A134" i="53"/>
  <c r="A138" i="53"/>
  <c r="A142" i="53"/>
  <c r="A146" i="53"/>
  <c r="A150" i="53"/>
  <c r="A154" i="53"/>
  <c r="A158" i="53"/>
  <c r="A162" i="53"/>
  <c r="A166" i="53"/>
  <c r="A170" i="53"/>
  <c r="A174" i="53"/>
  <c r="A179" i="53"/>
  <c r="A183" i="53"/>
  <c r="A187" i="53"/>
  <c r="A191" i="53"/>
  <c r="A195" i="53"/>
  <c r="A248" i="53"/>
  <c r="A252" i="53"/>
  <c r="A256" i="53"/>
  <c r="A260" i="53"/>
  <c r="A264" i="53"/>
  <c r="A268" i="53"/>
  <c r="A272" i="53"/>
  <c r="A276" i="53"/>
  <c r="A280" i="53"/>
  <c r="A284" i="53"/>
  <c r="A288" i="53"/>
  <c r="A296" i="53"/>
  <c r="A300" i="53"/>
  <c r="A304" i="53"/>
  <c r="A308" i="53"/>
  <c r="A312" i="53"/>
  <c r="A334" i="53"/>
  <c r="A338" i="53"/>
  <c r="A350" i="53"/>
  <c r="A354" i="53"/>
  <c r="A379" i="53"/>
  <c r="A383" i="53"/>
  <c r="A405" i="53"/>
  <c r="A409" i="53"/>
  <c r="A428" i="53"/>
  <c r="A432" i="53"/>
  <c r="A436" i="53"/>
  <c r="A440" i="53"/>
  <c r="A444" i="53"/>
  <c r="A448" i="53"/>
  <c r="A452" i="53"/>
  <c r="A456" i="53"/>
  <c r="A557" i="53"/>
  <c r="A565" i="53"/>
  <c r="A570" i="53"/>
  <c r="A574" i="53"/>
  <c r="A20" i="53"/>
  <c r="A24" i="53"/>
  <c r="A28" i="53"/>
  <c r="A32" i="53"/>
  <c r="A36" i="53"/>
  <c r="A46" i="53"/>
  <c r="A50" i="53"/>
  <c r="A54" i="53"/>
  <c r="A63" i="53"/>
  <c r="A67" i="53"/>
  <c r="A71" i="53"/>
  <c r="A75" i="53"/>
  <c r="A79" i="53"/>
  <c r="A83" i="53"/>
  <c r="A87" i="53"/>
  <c r="A91" i="53"/>
  <c r="A95" i="53"/>
  <c r="A99" i="53"/>
  <c r="A103" i="53"/>
  <c r="A107" i="53"/>
  <c r="A111" i="53"/>
  <c r="A115" i="53"/>
  <c r="A119" i="53"/>
  <c r="A123" i="53"/>
  <c r="A127" i="53"/>
  <c r="A131" i="53"/>
  <c r="A135" i="53"/>
  <c r="A139" i="53"/>
  <c r="A143" i="53"/>
  <c r="A147" i="53"/>
  <c r="A151" i="53"/>
  <c r="A155" i="53"/>
  <c r="A159" i="53"/>
  <c r="A163" i="53"/>
  <c r="A167" i="53"/>
  <c r="A171" i="53"/>
  <c r="A176" i="53"/>
  <c r="A180" i="53"/>
  <c r="A184" i="53"/>
  <c r="A188" i="53"/>
  <c r="A192" i="53"/>
  <c r="A196" i="53"/>
  <c r="A249" i="53"/>
  <c r="A253" i="53"/>
  <c r="A257" i="53"/>
  <c r="A261" i="53"/>
  <c r="A265" i="53"/>
  <c r="A269" i="53"/>
  <c r="A273" i="53"/>
  <c r="A277" i="53"/>
  <c r="A281" i="53"/>
  <c r="A285" i="53"/>
  <c r="A289" i="53"/>
  <c r="A293" i="53"/>
  <c r="A297" i="53"/>
  <c r="A301" i="53"/>
  <c r="A305" i="53"/>
  <c r="A309" i="53"/>
  <c r="A313" i="53"/>
  <c r="A335" i="53"/>
  <c r="A339" i="53"/>
  <c r="A351" i="53"/>
  <c r="A355" i="53"/>
  <c r="A380" i="53"/>
  <c r="A384" i="53"/>
  <c r="A406" i="53"/>
  <c r="A410" i="53"/>
  <c r="A429" i="53"/>
  <c r="A433" i="53"/>
  <c r="A437" i="53"/>
  <c r="A441" i="53"/>
  <c r="A445" i="53"/>
  <c r="A449" i="53"/>
  <c r="A453" i="53"/>
  <c r="A457" i="53"/>
  <c r="A562" i="53"/>
  <c r="A566" i="53"/>
  <c r="A571" i="53"/>
  <c r="A13" i="53"/>
  <c r="A5" i="53"/>
  <c r="A4" i="53"/>
  <c r="A12" i="53"/>
  <c r="A11" i="53"/>
  <c r="A6" i="53"/>
  <c r="A14" i="53"/>
  <c r="A7" i="53"/>
  <c r="A16" i="53"/>
  <c r="A8" i="53"/>
  <c r="A17" i="53"/>
  <c r="A9" i="53"/>
  <c r="A18" i="53"/>
  <c r="A10" i="53"/>
  <c r="A19" i="53"/>
  <c r="D5" i="20"/>
  <c r="E5" i="20" s="1"/>
  <c r="F5" i="20" s="1"/>
  <c r="G5" i="20" s="1"/>
  <c r="H5" i="20" s="1"/>
  <c r="I5" i="20" s="1"/>
  <c r="J5" i="20" s="1"/>
  <c r="K5" i="20" s="1"/>
  <c r="L5" i="20" s="1"/>
  <c r="M5" i="20" s="1"/>
  <c r="N5" i="20" s="1"/>
  <c r="A15" i="55" l="1"/>
  <c r="A1930" i="55"/>
  <c r="A1921" i="55"/>
  <c r="A1925" i="55"/>
  <c r="A1924" i="55"/>
  <c r="A666" i="55"/>
  <c r="A1931" i="55"/>
  <c r="A1923" i="55"/>
  <c r="A1928" i="55"/>
  <c r="A14" i="55"/>
  <c r="A1927" i="55"/>
  <c r="A1922" i="55"/>
  <c r="A1926" i="55"/>
  <c r="A1929" i="55"/>
  <c r="A1932" i="55"/>
  <c r="A1914" i="55"/>
  <c r="A1918" i="55"/>
  <c r="A1915" i="55"/>
  <c r="A1919" i="55"/>
  <c r="A1916" i="55"/>
  <c r="A1920" i="55"/>
  <c r="A1917" i="55"/>
  <c r="A1895" i="55"/>
  <c r="A1902" i="55"/>
  <c r="A1901" i="55"/>
  <c r="A1912" i="55"/>
  <c r="A1896" i="55"/>
  <c r="A1907" i="55"/>
  <c r="A1898" i="55"/>
  <c r="A1913" i="55"/>
  <c r="A1897" i="55"/>
  <c r="A1908" i="55"/>
  <c r="A1903" i="55"/>
  <c r="A1910" i="55"/>
  <c r="A1894" i="55"/>
  <c r="A1909" i="55"/>
  <c r="A1904" i="55"/>
  <c r="A1899" i="55"/>
  <c r="A1906" i="55"/>
  <c r="A1905" i="55"/>
  <c r="A1900" i="55"/>
  <c r="A1911" i="55"/>
  <c r="A1892" i="55"/>
  <c r="A1888" i="55"/>
  <c r="A1887" i="55"/>
  <c r="A1890" i="55"/>
  <c r="A1891" i="55"/>
  <c r="A1889" i="55"/>
  <c r="A1893" i="55"/>
  <c r="A1879" i="55"/>
  <c r="A1886" i="55"/>
  <c r="A1870" i="55"/>
  <c r="A1883" i="55"/>
  <c r="A1877" i="55"/>
  <c r="A1861" i="55"/>
  <c r="A1863" i="55"/>
  <c r="A1876" i="55"/>
  <c r="A1860" i="55"/>
  <c r="A1867" i="55"/>
  <c r="A1882" i="55"/>
  <c r="A1866" i="55"/>
  <c r="A1873" i="55"/>
  <c r="A1872" i="55"/>
  <c r="A1859" i="55"/>
  <c r="A1878" i="55"/>
  <c r="A1862" i="55"/>
  <c r="A1885" i="55"/>
  <c r="A1869" i="55"/>
  <c r="A1875" i="55"/>
  <c r="A1884" i="55"/>
  <c r="A1868" i="55"/>
  <c r="A1874" i="55"/>
  <c r="A1858" i="55"/>
  <c r="A1881" i="55"/>
  <c r="A1865" i="55"/>
  <c r="A1871" i="55"/>
  <c r="A1880" i="55"/>
  <c r="A1864" i="55"/>
  <c r="A1704" i="55"/>
  <c r="A1840" i="55"/>
  <c r="A1839" i="55"/>
  <c r="A1842" i="55"/>
  <c r="A1841" i="55"/>
  <c r="A1848" i="55"/>
  <c r="A1846" i="55"/>
  <c r="A1849" i="55"/>
  <c r="A1835" i="55"/>
  <c r="A1819" i="55"/>
  <c r="A1803" i="55"/>
  <c r="A1787" i="55"/>
  <c r="A1771" i="55"/>
  <c r="A1755" i="55"/>
  <c r="A1739" i="55"/>
  <c r="A1723" i="55"/>
  <c r="A1707" i="55"/>
  <c r="A1838" i="55"/>
  <c r="A1822" i="55"/>
  <c r="A1806" i="55"/>
  <c r="A1790" i="55"/>
  <c r="A1774" i="55"/>
  <c r="A1758" i="55"/>
  <c r="A1742" i="55"/>
  <c r="A1726" i="55"/>
  <c r="A1710" i="55"/>
  <c r="A1845" i="55"/>
  <c r="A1825" i="55"/>
  <c r="A1809" i="55"/>
  <c r="A1793" i="55"/>
  <c r="A1777" i="55"/>
  <c r="A1761" i="55"/>
  <c r="A1745" i="55"/>
  <c r="A1729" i="55"/>
  <c r="A1713" i="55"/>
  <c r="A1851" i="55"/>
  <c r="A1828" i="55"/>
  <c r="A1812" i="55"/>
  <c r="A1796" i="55"/>
  <c r="A1780" i="55"/>
  <c r="A1764" i="55"/>
  <c r="A1748" i="55"/>
  <c r="A1732" i="55"/>
  <c r="A1716" i="55"/>
  <c r="A1854" i="55"/>
  <c r="A1831" i="55"/>
  <c r="A1815" i="55"/>
  <c r="A1799" i="55"/>
  <c r="A1783" i="55"/>
  <c r="A1767" i="55"/>
  <c r="A1751" i="55"/>
  <c r="A1735" i="55"/>
  <c r="A1719" i="55"/>
  <c r="A1857" i="55"/>
  <c r="A1834" i="55"/>
  <c r="A1818" i="55"/>
  <c r="A1802" i="55"/>
  <c r="A1786" i="55"/>
  <c r="A1770" i="55"/>
  <c r="A1754" i="55"/>
  <c r="A1738" i="55"/>
  <c r="A1722" i="55"/>
  <c r="A1706" i="55"/>
  <c r="A1837" i="55"/>
  <c r="A1821" i="55"/>
  <c r="A1805" i="55"/>
  <c r="A1789" i="55"/>
  <c r="A1773" i="55"/>
  <c r="A1757" i="55"/>
  <c r="A1741" i="55"/>
  <c r="A1725" i="55"/>
  <c r="A1709" i="55"/>
  <c r="A1844" i="55"/>
  <c r="A1824" i="55"/>
  <c r="A1808" i="55"/>
  <c r="A1792" i="55"/>
  <c r="A1776" i="55"/>
  <c r="A1760" i="55"/>
  <c r="A1744" i="55"/>
  <c r="A1728" i="55"/>
  <c r="A1712" i="55"/>
  <c r="A1850" i="55"/>
  <c r="A1827" i="55"/>
  <c r="A1811" i="55"/>
  <c r="A1795" i="55"/>
  <c r="A1779" i="55"/>
  <c r="A1763" i="55"/>
  <c r="A1747" i="55"/>
  <c r="A1731" i="55"/>
  <c r="A1715" i="55"/>
  <c r="A1853" i="55"/>
  <c r="A1830" i="55"/>
  <c r="A1814" i="55"/>
  <c r="A1798" i="55"/>
  <c r="A1782" i="55"/>
  <c r="A1766" i="55"/>
  <c r="A1750" i="55"/>
  <c r="A1734" i="55"/>
  <c r="A1718" i="55"/>
  <c r="A1856" i="55"/>
  <c r="A1833" i="55"/>
  <c r="A1817" i="55"/>
  <c r="A1801" i="55"/>
  <c r="A1785" i="55"/>
  <c r="A1769" i="55"/>
  <c r="A1753" i="55"/>
  <c r="A1737" i="55"/>
  <c r="A1721" i="55"/>
  <c r="A1705" i="55"/>
  <c r="A1836" i="55"/>
  <c r="A1820" i="55"/>
  <c r="A1804" i="55"/>
  <c r="A1788" i="55"/>
  <c r="A1772" i="55"/>
  <c r="A1756" i="55"/>
  <c r="A1740" i="55"/>
  <c r="A1724" i="55"/>
  <c r="A1708" i="55"/>
  <c r="A1843" i="55"/>
  <c r="A1823" i="55"/>
  <c r="A1807" i="55"/>
  <c r="A1791" i="55"/>
  <c r="A1775" i="55"/>
  <c r="A1759" i="55"/>
  <c r="A1743" i="55"/>
  <c r="A1727" i="55"/>
  <c r="A1711" i="55"/>
  <c r="A1847" i="55"/>
  <c r="A1826" i="55"/>
  <c r="A1810" i="55"/>
  <c r="A1794" i="55"/>
  <c r="A1778" i="55"/>
  <c r="A1762" i="55"/>
  <c r="A1746" i="55"/>
  <c r="A1730" i="55"/>
  <c r="A1714" i="55"/>
  <c r="A1852" i="55"/>
  <c r="A1829" i="55"/>
  <c r="A1813" i="55"/>
  <c r="A1797" i="55"/>
  <c r="A1781" i="55"/>
  <c r="A1765" i="55"/>
  <c r="A1749" i="55"/>
  <c r="A1733" i="55"/>
  <c r="A1717" i="55"/>
  <c r="A1855" i="55"/>
  <c r="A1832" i="55"/>
  <c r="A1816" i="55"/>
  <c r="A1800" i="55"/>
  <c r="A1784" i="55"/>
  <c r="A1768" i="55"/>
  <c r="A1752" i="55"/>
  <c r="A1736" i="55"/>
  <c r="A1720" i="55"/>
  <c r="A337" i="55"/>
  <c r="A912" i="55"/>
  <c r="A909" i="55"/>
  <c r="A910" i="55"/>
  <c r="A1649" i="55"/>
  <c r="A911" i="55"/>
  <c r="A1682" i="55"/>
  <c r="A1697" i="55"/>
  <c r="A1681" i="55"/>
  <c r="A1692" i="55"/>
  <c r="A1703" i="55"/>
  <c r="A1687" i="55"/>
  <c r="A1694" i="55"/>
  <c r="A1693" i="55"/>
  <c r="A1688" i="55"/>
  <c r="A1699" i="55"/>
  <c r="A1683" i="55"/>
  <c r="A1690" i="55"/>
  <c r="A1689" i="55"/>
  <c r="A1700" i="55"/>
  <c r="A1684" i="55"/>
  <c r="A1695" i="55"/>
  <c r="A1702" i="55"/>
  <c r="A1686" i="55"/>
  <c r="A1701" i="55"/>
  <c r="A1685" i="55"/>
  <c r="A1696" i="55"/>
  <c r="A1680" i="55"/>
  <c r="A1691" i="55"/>
  <c r="A1698" i="55"/>
  <c r="A1643" i="55"/>
  <c r="A1647" i="55"/>
  <c r="A1652" i="55"/>
  <c r="A1656" i="55"/>
  <c r="A1660" i="55"/>
  <c r="A1664" i="55"/>
  <c r="A1668" i="55"/>
  <c r="A1672" i="55"/>
  <c r="A1676" i="55"/>
  <c r="A1655" i="55"/>
  <c r="A1671" i="55"/>
  <c r="A1644" i="55"/>
  <c r="A1648" i="55"/>
  <c r="A1653" i="55"/>
  <c r="A1657" i="55"/>
  <c r="A1661" i="55"/>
  <c r="A1665" i="55"/>
  <c r="A1669" i="55"/>
  <c r="A1673" i="55"/>
  <c r="A1677" i="55"/>
  <c r="A1651" i="55"/>
  <c r="A1659" i="55"/>
  <c r="A1675" i="55"/>
  <c r="A1645" i="55"/>
  <c r="A1650" i="55"/>
  <c r="A1654" i="55"/>
  <c r="A1658" i="55"/>
  <c r="A1662" i="55"/>
  <c r="A1666" i="55"/>
  <c r="A1670" i="55"/>
  <c r="A1674" i="55"/>
  <c r="A1678" i="55"/>
  <c r="A1646" i="55"/>
  <c r="A1663" i="55"/>
  <c r="A1667" i="55"/>
  <c r="A1679" i="55"/>
  <c r="A1585" i="55"/>
  <c r="A1586" i="55"/>
  <c r="A1623" i="55"/>
  <c r="A1526" i="55"/>
  <c r="A1552" i="55"/>
  <c r="A1531" i="55"/>
  <c r="A1547" i="55"/>
  <c r="A1464" i="55"/>
  <c r="A1561" i="55"/>
  <c r="A1576" i="55"/>
  <c r="A1639" i="55"/>
  <c r="A1605" i="55"/>
  <c r="A1608" i="55"/>
  <c r="A1560" i="55"/>
  <c r="A1579" i="55"/>
  <c r="A1637" i="55"/>
  <c r="A1628" i="55"/>
  <c r="A1536" i="55"/>
  <c r="A1614" i="55"/>
  <c r="A1558" i="55"/>
  <c r="A1573" i="55"/>
  <c r="A1635" i="55"/>
  <c r="A1525" i="55"/>
  <c r="A1541" i="55"/>
  <c r="A1619" i="55"/>
  <c r="A1563" i="55"/>
  <c r="A1574" i="55"/>
  <c r="A1642" i="55"/>
  <c r="A1534" i="55"/>
  <c r="A1564" i="55"/>
  <c r="A1535" i="55"/>
  <c r="A1609" i="55"/>
  <c r="A1549" i="55"/>
  <c r="A1565" i="55"/>
  <c r="A1621" i="55"/>
  <c r="A1530" i="55"/>
  <c r="A1612" i="55"/>
  <c r="A1620" i="55"/>
  <c r="A1580" i="55"/>
  <c r="A1633" i="55"/>
  <c r="A1640" i="55"/>
  <c r="A1607" i="55"/>
  <c r="A1540" i="55"/>
  <c r="A1618" i="55"/>
  <c r="A1562" i="55"/>
  <c r="A1577" i="55"/>
  <c r="A1631" i="55"/>
  <c r="A1529" i="55"/>
  <c r="A1545" i="55"/>
  <c r="A1551" i="55"/>
  <c r="A1567" i="55"/>
  <c r="A1578" i="55"/>
  <c r="A1634" i="55"/>
  <c r="A1542" i="55"/>
  <c r="A1539" i="55"/>
  <c r="A1613" i="55"/>
  <c r="A1553" i="55"/>
  <c r="A1568" i="55"/>
  <c r="A1581" i="55"/>
  <c r="A1638" i="55"/>
  <c r="A1538" i="55"/>
  <c r="A1548" i="55"/>
  <c r="A1571" i="55"/>
  <c r="A1584" i="55"/>
  <c r="A1629" i="55"/>
  <c r="A1636" i="55"/>
  <c r="A1528" i="55"/>
  <c r="A1544" i="55"/>
  <c r="A1550" i="55"/>
  <c r="A1566" i="55"/>
  <c r="A1622" i="55"/>
  <c r="A1627" i="55"/>
  <c r="A1533" i="55"/>
  <c r="A1611" i="55"/>
  <c r="A1555" i="55"/>
  <c r="A1583" i="55"/>
  <c r="A1624" i="55"/>
  <c r="A1626" i="55"/>
  <c r="A1616" i="55"/>
  <c r="A1527" i="55"/>
  <c r="A1543" i="55"/>
  <c r="A1617" i="55"/>
  <c r="A1557" i="55"/>
  <c r="A1572" i="55"/>
  <c r="A1630" i="55"/>
  <c r="A1546" i="55"/>
  <c r="A1556" i="55"/>
  <c r="A1575" i="55"/>
  <c r="A1641" i="55"/>
  <c r="A1625" i="55"/>
  <c r="A1632" i="55"/>
  <c r="A1532" i="55"/>
  <c r="A1610" i="55"/>
  <c r="A1554" i="55"/>
  <c r="A1569" i="55"/>
  <c r="A1582" i="55"/>
  <c r="A1606" i="55"/>
  <c r="A1537" i="55"/>
  <c r="A1615" i="55"/>
  <c r="A1559" i="55"/>
  <c r="A1570" i="55"/>
  <c r="A1595" i="55"/>
  <c r="A1504" i="55"/>
  <c r="A1508" i="55"/>
  <c r="A1512" i="55"/>
  <c r="A1516" i="55"/>
  <c r="A1520" i="55"/>
  <c r="A1524" i="55"/>
  <c r="A1590" i="55"/>
  <c r="A1594" i="55"/>
  <c r="A1598" i="55"/>
  <c r="A1602" i="55"/>
  <c r="A1519" i="55"/>
  <c r="A1589" i="55"/>
  <c r="A1601" i="55"/>
  <c r="A1505" i="55"/>
  <c r="A1509" i="55"/>
  <c r="A1513" i="55"/>
  <c r="A1517" i="55"/>
  <c r="A1521" i="55"/>
  <c r="A1587" i="55"/>
  <c r="A1591" i="55"/>
  <c r="A1599" i="55"/>
  <c r="A1603" i="55"/>
  <c r="A1515" i="55"/>
  <c r="A1593" i="55"/>
  <c r="A1506" i="55"/>
  <c r="A1510" i="55"/>
  <c r="A1514" i="55"/>
  <c r="A1518" i="55"/>
  <c r="A1522" i="55"/>
  <c r="A1588" i="55"/>
  <c r="A1592" i="55"/>
  <c r="A1596" i="55"/>
  <c r="A1600" i="55"/>
  <c r="A1604" i="55"/>
  <c r="A1507" i="55"/>
  <c r="A1511" i="55"/>
  <c r="A1523" i="55"/>
  <c r="A1597" i="55"/>
  <c r="A1442" i="55"/>
  <c r="A1422" i="55"/>
  <c r="A1445" i="55"/>
  <c r="A1425" i="55"/>
  <c r="A1448" i="55"/>
  <c r="A1432" i="55"/>
  <c r="A1416" i="55"/>
  <c r="A1437" i="55"/>
  <c r="A1439" i="55"/>
  <c r="A1423" i="55"/>
  <c r="A1499" i="55"/>
  <c r="A1483" i="55"/>
  <c r="A1467" i="55"/>
  <c r="A1490" i="55"/>
  <c r="A1474" i="55"/>
  <c r="A1457" i="55"/>
  <c r="A1497" i="55"/>
  <c r="A1481" i="55"/>
  <c r="A1465" i="55"/>
  <c r="A1492" i="55"/>
  <c r="A1476" i="55"/>
  <c r="A1459" i="55"/>
  <c r="A1438" i="55"/>
  <c r="A1418" i="55"/>
  <c r="A1441" i="55"/>
  <c r="A1417" i="55"/>
  <c r="A1444" i="55"/>
  <c r="A1428" i="55"/>
  <c r="A1412" i="55"/>
  <c r="A1421" i="55"/>
  <c r="A1435" i="55"/>
  <c r="A1419" i="55"/>
  <c r="A1495" i="55"/>
  <c r="A1479" i="55"/>
  <c r="A1462" i="55"/>
  <c r="A1502" i="55"/>
  <c r="A1486" i="55"/>
  <c r="A1470" i="55"/>
  <c r="A1453" i="55"/>
  <c r="A1493" i="55"/>
  <c r="A1477" i="55"/>
  <c r="A1460" i="55"/>
  <c r="A1488" i="55"/>
  <c r="A1472" i="55"/>
  <c r="A1455" i="55"/>
  <c r="A1430" i="55"/>
  <c r="A1414" i="55"/>
  <c r="A1433" i="55"/>
  <c r="A1413" i="55"/>
  <c r="A1440" i="55"/>
  <c r="A1424" i="55"/>
  <c r="A1450" i="55"/>
  <c r="A1447" i="55"/>
  <c r="A1431" i="55"/>
  <c r="A1415" i="55"/>
  <c r="A1491" i="55"/>
  <c r="A1475" i="55"/>
  <c r="A1458" i="55"/>
  <c r="A1498" i="55"/>
  <c r="A1482" i="55"/>
  <c r="A1466" i="55"/>
  <c r="A1489" i="55"/>
  <c r="A1473" i="55"/>
  <c r="A1456" i="55"/>
  <c r="A1500" i="55"/>
  <c r="A1484" i="55"/>
  <c r="A1468" i="55"/>
  <c r="A1451" i="55"/>
  <c r="A1446" i="55"/>
  <c r="A1426" i="55"/>
  <c r="A1449" i="55"/>
  <c r="A1429" i="55"/>
  <c r="A1436" i="55"/>
  <c r="A1420" i="55"/>
  <c r="A1434" i="55"/>
  <c r="A1443" i="55"/>
  <c r="A1427" i="55"/>
  <c r="A1503" i="55"/>
  <c r="A1487" i="55"/>
  <c r="A1471" i="55"/>
  <c r="A1454" i="55"/>
  <c r="A1494" i="55"/>
  <c r="A1478" i="55"/>
  <c r="A1461" i="55"/>
  <c r="A1501" i="55"/>
  <c r="A1485" i="55"/>
  <c r="A1469" i="55"/>
  <c r="A1452" i="55"/>
  <c r="A1496" i="55"/>
  <c r="A1480" i="55"/>
  <c r="A1463" i="55"/>
  <c r="A1343" i="55"/>
  <c r="A1347" i="55"/>
  <c r="A1351" i="55"/>
  <c r="A1355" i="55"/>
  <c r="A1359" i="55"/>
  <c r="A1363" i="55"/>
  <c r="A1367" i="55"/>
  <c r="A1371" i="55"/>
  <c r="A1375" i="55"/>
  <c r="A1379" i="55"/>
  <c r="A1383" i="55"/>
  <c r="A1387" i="55"/>
  <c r="A1391" i="55"/>
  <c r="A1395" i="55"/>
  <c r="A1399" i="55"/>
  <c r="A1403" i="55"/>
  <c r="A1407" i="55"/>
  <c r="A1411" i="55"/>
  <c r="A1354" i="55"/>
  <c r="A1366" i="55"/>
  <c r="A1382" i="55"/>
  <c r="A1394" i="55"/>
  <c r="A1406" i="55"/>
  <c r="A1410" i="55"/>
  <c r="A1344" i="55"/>
  <c r="A1348" i="55"/>
  <c r="A1352" i="55"/>
  <c r="A1356" i="55"/>
  <c r="A1360" i="55"/>
  <c r="A1364" i="55"/>
  <c r="A1368" i="55"/>
  <c r="A1372" i="55"/>
  <c r="A1376" i="55"/>
  <c r="A1380" i="55"/>
  <c r="A1384" i="55"/>
  <c r="A1388" i="55"/>
  <c r="A1392" i="55"/>
  <c r="A1396" i="55"/>
  <c r="A1400" i="55"/>
  <c r="A1404" i="55"/>
  <c r="A1408" i="55"/>
  <c r="A1362" i="55"/>
  <c r="A1374" i="55"/>
  <c r="A1386" i="55"/>
  <c r="A1398" i="55"/>
  <c r="A1345" i="55"/>
  <c r="A1349" i="55"/>
  <c r="A1353" i="55"/>
  <c r="A1357" i="55"/>
  <c r="A1361" i="55"/>
  <c r="A1365" i="55"/>
  <c r="A1369" i="55"/>
  <c r="A1373" i="55"/>
  <c r="A1377" i="55"/>
  <c r="A1381" i="55"/>
  <c r="A1385" i="55"/>
  <c r="A1389" i="55"/>
  <c r="A1393" i="55"/>
  <c r="A1397" i="55"/>
  <c r="A1401" i="55"/>
  <c r="A1405" i="55"/>
  <c r="A1409" i="55"/>
  <c r="A1346" i="55"/>
  <c r="A1350" i="55"/>
  <c r="A1358" i="55"/>
  <c r="A1370" i="55"/>
  <c r="A1378" i="55"/>
  <c r="A1390" i="55"/>
  <c r="A1402" i="55"/>
  <c r="A1322" i="55"/>
  <c r="A1327" i="55"/>
  <c r="A1318" i="55"/>
  <c r="A1326" i="55"/>
  <c r="A1341" i="55"/>
  <c r="A1329" i="55"/>
  <c r="A1338" i="55"/>
  <c r="A1332" i="55"/>
  <c r="A1317" i="55"/>
  <c r="A1323" i="55"/>
  <c r="A1340" i="55"/>
  <c r="A1311" i="55"/>
  <c r="A1325" i="55"/>
  <c r="A1342" i="55"/>
  <c r="A1328" i="55"/>
  <c r="A1339" i="55"/>
  <c r="A1335" i="55"/>
  <c r="A1310" i="55"/>
  <c r="A1334" i="55"/>
  <c r="A1315" i="55"/>
  <c r="A1337" i="55"/>
  <c r="A1312" i="55"/>
  <c r="A1321" i="55"/>
  <c r="A1324" i="55"/>
  <c r="A1320" i="55"/>
  <c r="A1331" i="55"/>
  <c r="A1314" i="55"/>
  <c r="A1330" i="55"/>
  <c r="A1319" i="55"/>
  <c r="A1333" i="55"/>
  <c r="A1316" i="55"/>
  <c r="A1336" i="55"/>
  <c r="A1313" i="55"/>
  <c r="A1260" i="55"/>
  <c r="A1283" i="55"/>
  <c r="A1287" i="55"/>
  <c r="A1291" i="55"/>
  <c r="A1295" i="55"/>
  <c r="A1299" i="55"/>
  <c r="A1303" i="55"/>
  <c r="A1307" i="55"/>
  <c r="A1305" i="55"/>
  <c r="A1286" i="55"/>
  <c r="A1294" i="55"/>
  <c r="A1284" i="55"/>
  <c r="A1288" i="55"/>
  <c r="A1292" i="55"/>
  <c r="A1296" i="55"/>
  <c r="A1300" i="55"/>
  <c r="A1304" i="55"/>
  <c r="A1308" i="55"/>
  <c r="A1281" i="55"/>
  <c r="A1285" i="55"/>
  <c r="A1289" i="55"/>
  <c r="A1293" i="55"/>
  <c r="A1297" i="55"/>
  <c r="A1290" i="55"/>
  <c r="A1302" i="55"/>
  <c r="A1301" i="55"/>
  <c r="A1309" i="55"/>
  <c r="A1282" i="55"/>
  <c r="A1298" i="55"/>
  <c r="A1306" i="55"/>
  <c r="A1264" i="55"/>
  <c r="A1253" i="55"/>
  <c r="A1274" i="55"/>
  <c r="A1256" i="55"/>
  <c r="A1267" i="55"/>
  <c r="A1195" i="55"/>
  <c r="A1254" i="55"/>
  <c r="A1269" i="55"/>
  <c r="A1262" i="55"/>
  <c r="A1278" i="55"/>
  <c r="A1257" i="55"/>
  <c r="A1271" i="55"/>
  <c r="A1268" i="55"/>
  <c r="A1259" i="55"/>
  <c r="A1273" i="55"/>
  <c r="A1265" i="55"/>
  <c r="A1263" i="55"/>
  <c r="A1275" i="55"/>
  <c r="A1255" i="55"/>
  <c r="A1272" i="55"/>
  <c r="A1261" i="55"/>
  <c r="A1277" i="55"/>
  <c r="A1280" i="55"/>
  <c r="A1270" i="55"/>
  <c r="A1266" i="55"/>
  <c r="A1279" i="55"/>
  <c r="A1258" i="55"/>
  <c r="A1276" i="55"/>
  <c r="A1223" i="55"/>
  <c r="A1250" i="55"/>
  <c r="A1234" i="55"/>
  <c r="A1218" i="55"/>
  <c r="A1202" i="55"/>
  <c r="A1237" i="55"/>
  <c r="A1221" i="55"/>
  <c r="A1205" i="55"/>
  <c r="A1251" i="55"/>
  <c r="A1219" i="55"/>
  <c r="A1252" i="55"/>
  <c r="A1236" i="55"/>
  <c r="A1220" i="55"/>
  <c r="A1204" i="55"/>
  <c r="A1247" i="55"/>
  <c r="A1211" i="55"/>
  <c r="A1246" i="55"/>
  <c r="A1230" i="55"/>
  <c r="A1214" i="55"/>
  <c r="A1198" i="55"/>
  <c r="A1249" i="55"/>
  <c r="A1233" i="55"/>
  <c r="A1217" i="55"/>
  <c r="A1201" i="55"/>
  <c r="A1243" i="55"/>
  <c r="A1215" i="55"/>
  <c r="A1248" i="55"/>
  <c r="A1232" i="55"/>
  <c r="A1216" i="55"/>
  <c r="A1200" i="55"/>
  <c r="A1239" i="55"/>
  <c r="A1199" i="55"/>
  <c r="A1242" i="55"/>
  <c r="A1226" i="55"/>
  <c r="A1210" i="55"/>
  <c r="A1194" i="55"/>
  <c r="A1245" i="55"/>
  <c r="A1229" i="55"/>
  <c r="A1213" i="55"/>
  <c r="A1197" i="55"/>
  <c r="A1235" i="55"/>
  <c r="A1207" i="55"/>
  <c r="A1244" i="55"/>
  <c r="A1228" i="55"/>
  <c r="A1212" i="55"/>
  <c r="A1196" i="55"/>
  <c r="A1231" i="55"/>
  <c r="A1238" i="55"/>
  <c r="A1222" i="55"/>
  <c r="A1206" i="55"/>
  <c r="A1203" i="55"/>
  <c r="A1241" i="55"/>
  <c r="A1225" i="55"/>
  <c r="A1209" i="55"/>
  <c r="A1193" i="55"/>
  <c r="A1227" i="55"/>
  <c r="A1240" i="55"/>
  <c r="A1224" i="55"/>
  <c r="A1208" i="55"/>
  <c r="A1109" i="55"/>
  <c r="A1107" i="55"/>
  <c r="A1105" i="55"/>
  <c r="A1073" i="55"/>
  <c r="A1069" i="55"/>
  <c r="A1067" i="55"/>
  <c r="A1118" i="55"/>
  <c r="A1068" i="55"/>
  <c r="A1080" i="55"/>
  <c r="A1078" i="55"/>
  <c r="A1071" i="55"/>
  <c r="A1120" i="55"/>
  <c r="A1066" i="55"/>
  <c r="A1108" i="55"/>
  <c r="A1106" i="55"/>
  <c r="A1081" i="55"/>
  <c r="A1079" i="55"/>
  <c r="A1077" i="55"/>
  <c r="A1072" i="55"/>
  <c r="A1070" i="55"/>
  <c r="A1119" i="55"/>
  <c r="A569" i="55"/>
  <c r="A571" i="55"/>
  <c r="A567" i="55"/>
  <c r="A570" i="55"/>
  <c r="A568" i="55"/>
  <c r="A566" i="55"/>
  <c r="A612" i="55"/>
  <c r="A950" i="55"/>
  <c r="A1142" i="55"/>
  <c r="A882" i="55"/>
  <c r="A690" i="55"/>
  <c r="A574" i="55"/>
  <c r="A1138" i="55"/>
  <c r="A1030" i="55"/>
  <c r="A945" i="55"/>
  <c r="A855" i="55"/>
  <c r="A770" i="55"/>
  <c r="A685" i="55"/>
  <c r="A561" i="55"/>
  <c r="A1186" i="55"/>
  <c r="A1075" i="55"/>
  <c r="A893" i="55"/>
  <c r="A722" i="55"/>
  <c r="A525" i="55"/>
  <c r="A839" i="55"/>
  <c r="A1019" i="55"/>
  <c r="A674" i="55"/>
  <c r="A98" i="55"/>
  <c r="A1185" i="55"/>
  <c r="A1099" i="55"/>
  <c r="A1002" i="55"/>
  <c r="A917" i="55"/>
  <c r="A827" i="55"/>
  <c r="A742" i="55"/>
  <c r="A656" i="55"/>
  <c r="A1174" i="55"/>
  <c r="A754" i="55"/>
  <c r="A1057" i="55"/>
  <c r="A818" i="55"/>
  <c r="A646" i="55"/>
  <c r="A511" i="55"/>
  <c r="A1190" i="55"/>
  <c r="A1122" i="55"/>
  <c r="A1009" i="55"/>
  <c r="A923" i="55"/>
  <c r="A834" i="55"/>
  <c r="A749" i="55"/>
  <c r="A662" i="55"/>
  <c r="A503" i="55"/>
  <c r="A1166" i="55"/>
  <c r="A1003" i="55"/>
  <c r="A829" i="55"/>
  <c r="A657" i="55"/>
  <c r="A1126" i="55"/>
  <c r="A669" i="55"/>
  <c r="A934" i="55"/>
  <c r="A582" i="55"/>
  <c r="A1165" i="55"/>
  <c r="A1074" i="55"/>
  <c r="A981" i="55"/>
  <c r="A891" i="55"/>
  <c r="A806" i="55"/>
  <c r="A721" i="55"/>
  <c r="A634" i="55"/>
  <c r="A1091" i="55"/>
  <c r="A993" i="55"/>
  <c r="A797" i="55"/>
  <c r="A625" i="55"/>
  <c r="A1170" i="55"/>
  <c r="A1086" i="55"/>
  <c r="A987" i="55"/>
  <c r="A898" i="55"/>
  <c r="A813" i="55"/>
  <c r="A727" i="55"/>
  <c r="A620" i="55"/>
  <c r="A1150" i="55"/>
  <c r="A982" i="55"/>
  <c r="A807" i="55"/>
  <c r="A636" i="55"/>
  <c r="A1035" i="55"/>
  <c r="A845" i="55"/>
  <c r="A475" i="55"/>
  <c r="A1149" i="55"/>
  <c r="A1045" i="55"/>
  <c r="A959" i="55"/>
  <c r="A870" i="55"/>
  <c r="A785" i="55"/>
  <c r="A699" i="55"/>
  <c r="A327" i="55"/>
  <c r="A1179" i="55"/>
  <c r="A10" i="55"/>
  <c r="A28" i="55"/>
  <c r="A45" i="55"/>
  <c r="A63" i="55"/>
  <c r="A79" i="55"/>
  <c r="A95" i="55"/>
  <c r="A111" i="55"/>
  <c r="A127" i="55"/>
  <c r="A143" i="55"/>
  <c r="A159" i="55"/>
  <c r="A175" i="55"/>
  <c r="A191" i="55"/>
  <c r="A207" i="55"/>
  <c r="A223" i="55"/>
  <c r="A239" i="55"/>
  <c r="A330" i="55"/>
  <c r="A1121" i="55"/>
  <c r="A11" i="55"/>
  <c r="A29" i="55"/>
  <c r="A46" i="55"/>
  <c r="A64" i="55"/>
  <c r="A80" i="55"/>
  <c r="A96" i="55"/>
  <c r="A112" i="55"/>
  <c r="A128" i="55"/>
  <c r="A144" i="55"/>
  <c r="A160" i="55"/>
  <c r="A176" i="55"/>
  <c r="A192" i="55"/>
  <c r="A208" i="55"/>
  <c r="A224" i="55"/>
  <c r="A240" i="55"/>
  <c r="A256" i="55"/>
  <c r="A272" i="55"/>
  <c r="A288" i="55"/>
  <c r="A304" i="55"/>
  <c r="A320" i="55"/>
  <c r="A349" i="55"/>
  <c r="A365" i="55"/>
  <c r="A381" i="55"/>
  <c r="A397" i="55"/>
  <c r="A413" i="55"/>
  <c r="A333" i="55"/>
  <c r="A1117" i="55"/>
  <c r="A12" i="55"/>
  <c r="A30" i="55"/>
  <c r="A47" i="55"/>
  <c r="A65" i="55"/>
  <c r="A81" i="55"/>
  <c r="A97" i="55"/>
  <c r="A113" i="55"/>
  <c r="A129" i="55"/>
  <c r="A145" i="55"/>
  <c r="A161" i="55"/>
  <c r="A177" i="55"/>
  <c r="A193" i="55"/>
  <c r="A209" i="55"/>
  <c r="A225" i="55"/>
  <c r="A241" i="55"/>
  <c r="A257" i="55"/>
  <c r="A273" i="55"/>
  <c r="A289" i="55"/>
  <c r="A305" i="55"/>
  <c r="A336" i="55"/>
  <c r="A56" i="55"/>
  <c r="A122" i="55"/>
  <c r="A186" i="55"/>
  <c r="A250" i="55"/>
  <c r="A282" i="55"/>
  <c r="A314" i="55"/>
  <c r="A350" i="55"/>
  <c r="A371" i="55"/>
  <c r="A392" i="55"/>
  <c r="A414" i="55"/>
  <c r="A432" i="55"/>
  <c r="A448" i="55"/>
  <c r="A464" i="55"/>
  <c r="A480" i="55"/>
  <c r="A496" i="55"/>
  <c r="A512" i="55"/>
  <c r="A528" i="55"/>
  <c r="A544" i="55"/>
  <c r="A560" i="55"/>
  <c r="A583" i="55"/>
  <c r="A599" i="55"/>
  <c r="A9" i="55"/>
  <c r="A78" i="55"/>
  <c r="A142" i="55"/>
  <c r="A206" i="55"/>
  <c r="A259" i="55"/>
  <c r="A291" i="55"/>
  <c r="A322" i="55"/>
  <c r="A356" i="55"/>
  <c r="A378" i="55"/>
  <c r="A399" i="55"/>
  <c r="A420" i="55"/>
  <c r="A437" i="55"/>
  <c r="A453" i="55"/>
  <c r="A13" i="55"/>
  <c r="A146" i="55"/>
  <c r="A262" i="55"/>
  <c r="A323" i="55"/>
  <c r="A379" i="55"/>
  <c r="A422" i="55"/>
  <c r="A454" i="55"/>
  <c r="A478" i="55"/>
  <c r="A499" i="55"/>
  <c r="A521" i="55"/>
  <c r="A542" i="55"/>
  <c r="A563" i="55"/>
  <c r="A592" i="55"/>
  <c r="A610" i="55"/>
  <c r="A627" i="55"/>
  <c r="A643" i="55"/>
  <c r="A659" i="55"/>
  <c r="A676" i="55"/>
  <c r="A692" i="55"/>
  <c r="A708" i="55"/>
  <c r="A724" i="55"/>
  <c r="A740" i="55"/>
  <c r="A756" i="55"/>
  <c r="A772" i="55"/>
  <c r="A788" i="55"/>
  <c r="A804" i="55"/>
  <c r="A820" i="55"/>
  <c r="A836" i="55"/>
  <c r="A852" i="55"/>
  <c r="A565" i="55"/>
  <c r="A62" i="55"/>
  <c r="A1115" i="55"/>
  <c r="A16" i="55"/>
  <c r="A33" i="55"/>
  <c r="A49" i="55"/>
  <c r="A67" i="55"/>
  <c r="A83" i="55"/>
  <c r="A99" i="55"/>
  <c r="A115" i="55"/>
  <c r="A131" i="55"/>
  <c r="A147" i="55"/>
  <c r="A163" i="55"/>
  <c r="A179" i="55"/>
  <c r="A195" i="55"/>
  <c r="A211" i="55"/>
  <c r="A227" i="55"/>
  <c r="A243" i="55"/>
  <c r="A326" i="55"/>
  <c r="A1114" i="55"/>
  <c r="A17" i="55"/>
  <c r="A34" i="55"/>
  <c r="A50" i="55"/>
  <c r="A68" i="55"/>
  <c r="A84" i="55"/>
  <c r="A100" i="55"/>
  <c r="A116" i="55"/>
  <c r="A132" i="55"/>
  <c r="A148" i="55"/>
  <c r="A164" i="55"/>
  <c r="A180" i="55"/>
  <c r="A196" i="55"/>
  <c r="A212" i="55"/>
  <c r="A228" i="55"/>
  <c r="A244" i="55"/>
  <c r="A260" i="55"/>
  <c r="A276" i="55"/>
  <c r="A292" i="55"/>
  <c r="A308" i="55"/>
  <c r="A353" i="55"/>
  <c r="A369" i="55"/>
  <c r="A385" i="55"/>
  <c r="A401" i="55"/>
  <c r="A417" i="55"/>
  <c r="A329" i="55"/>
  <c r="A1113" i="55"/>
  <c r="A18" i="55"/>
  <c r="A35" i="55"/>
  <c r="A51" i="55"/>
  <c r="A69" i="55"/>
  <c r="A85" i="55"/>
  <c r="A101" i="55"/>
  <c r="A117" i="55"/>
  <c r="A133" i="55"/>
  <c r="A149" i="55"/>
  <c r="A165" i="55"/>
  <c r="A181" i="55"/>
  <c r="A197" i="55"/>
  <c r="A213" i="55"/>
  <c r="A229" i="55"/>
  <c r="A245" i="55"/>
  <c r="A261" i="55"/>
  <c r="A277" i="55"/>
  <c r="A293" i="55"/>
  <c r="A309" i="55"/>
  <c r="A5" i="55"/>
  <c r="A74" i="55"/>
  <c r="A138" i="55"/>
  <c r="A202" i="55"/>
  <c r="A258" i="55"/>
  <c r="A290" i="55"/>
  <c r="A321" i="55"/>
  <c r="A355" i="55"/>
  <c r="A376" i="55"/>
  <c r="A398" i="55"/>
  <c r="A419" i="55"/>
  <c r="A436" i="55"/>
  <c r="A452" i="55"/>
  <c r="A468" i="55"/>
  <c r="A484" i="55"/>
  <c r="A500" i="55"/>
  <c r="A516" i="55"/>
  <c r="A532" i="55"/>
  <c r="A548" i="55"/>
  <c r="A564" i="55"/>
  <c r="A587" i="55"/>
  <c r="A27" i="55"/>
  <c r="A94" i="55"/>
  <c r="A158" i="55"/>
  <c r="A222" i="55"/>
  <c r="A267" i="55"/>
  <c r="A299" i="55"/>
  <c r="A340" i="55"/>
  <c r="A362" i="55"/>
  <c r="A383" i="55"/>
  <c r="A404" i="55"/>
  <c r="A425" i="55"/>
  <c r="A441" i="55"/>
  <c r="A457" i="55"/>
  <c r="A48" i="55"/>
  <c r="A178" i="55"/>
  <c r="A278" i="55"/>
  <c r="A347" i="55"/>
  <c r="A390" i="55"/>
  <c r="A430" i="55"/>
  <c r="A462" i="55"/>
  <c r="A483" i="55"/>
  <c r="A505" i="55"/>
  <c r="A526" i="55"/>
  <c r="A547" i="55"/>
  <c r="A576" i="55"/>
  <c r="A597" i="55"/>
  <c r="A614" i="55"/>
  <c r="A631" i="55"/>
  <c r="A647" i="55"/>
  <c r="A663" i="55"/>
  <c r="A680" i="55"/>
  <c r="A696" i="55"/>
  <c r="A712" i="55"/>
  <c r="A728" i="55"/>
  <c r="A744" i="55"/>
  <c r="A760" i="55"/>
  <c r="A776" i="55"/>
  <c r="A335" i="55"/>
  <c r="A32" i="55"/>
  <c r="A1111" i="55"/>
  <c r="A20" i="55"/>
  <c r="A37" i="55"/>
  <c r="A53" i="55"/>
  <c r="A71" i="55"/>
  <c r="A87" i="55"/>
  <c r="A103" i="55"/>
  <c r="A119" i="55"/>
  <c r="A135" i="55"/>
  <c r="A151" i="55"/>
  <c r="A167" i="55"/>
  <c r="A183" i="55"/>
  <c r="A199" i="55"/>
  <c r="A215" i="55"/>
  <c r="A231" i="55"/>
  <c r="A247" i="55"/>
  <c r="A61" i="55"/>
  <c r="A1110" i="55"/>
  <c r="A21" i="55"/>
  <c r="A38" i="55"/>
  <c r="A54" i="55"/>
  <c r="A72" i="55"/>
  <c r="A88" i="55"/>
  <c r="A104" i="55"/>
  <c r="A120" i="55"/>
  <c r="A136" i="55"/>
  <c r="A152" i="55"/>
  <c r="A168" i="55"/>
  <c r="A184" i="55"/>
  <c r="A200" i="55"/>
  <c r="A216" i="55"/>
  <c r="A232" i="55"/>
  <c r="A248" i="55"/>
  <c r="A264" i="55"/>
  <c r="A280" i="55"/>
  <c r="A296" i="55"/>
  <c r="A312" i="55"/>
  <c r="A341" i="55"/>
  <c r="A357" i="55"/>
  <c r="A373" i="55"/>
  <c r="A389" i="55"/>
  <c r="A405" i="55"/>
  <c r="A421" i="55"/>
  <c r="A325" i="55"/>
  <c r="A1104" i="55"/>
  <c r="A22" i="55"/>
  <c r="A39" i="55"/>
  <c r="A55" i="55"/>
  <c r="A73" i="55"/>
  <c r="A89" i="55"/>
  <c r="A105" i="55"/>
  <c r="A121" i="55"/>
  <c r="A137" i="55"/>
  <c r="A153" i="55"/>
  <c r="A169" i="55"/>
  <c r="A185" i="55"/>
  <c r="A201" i="55"/>
  <c r="A217" i="55"/>
  <c r="A233" i="55"/>
  <c r="A249" i="55"/>
  <c r="A265" i="55"/>
  <c r="A281" i="55"/>
  <c r="A297" i="55"/>
  <c r="A313" i="55"/>
  <c r="A23" i="55"/>
  <c r="A90" i="55"/>
  <c r="A154" i="55"/>
  <c r="A218" i="55"/>
  <c r="A266" i="55"/>
  <c r="A298" i="55"/>
  <c r="A339" i="55"/>
  <c r="A360" i="55"/>
  <c r="A382" i="55"/>
  <c r="A403" i="55"/>
  <c r="A424" i="55"/>
  <c r="A440" i="55"/>
  <c r="A456" i="55"/>
  <c r="A472" i="55"/>
  <c r="A488" i="55"/>
  <c r="A504" i="55"/>
  <c r="A520" i="55"/>
  <c r="A536" i="55"/>
  <c r="A552" i="55"/>
  <c r="A575" i="55"/>
  <c r="A591" i="55"/>
  <c r="A332" i="55"/>
  <c r="A44" i="55"/>
  <c r="A110" i="55"/>
  <c r="A174" i="55"/>
  <c r="A238" i="55"/>
  <c r="A275" i="55"/>
  <c r="A307" i="55"/>
  <c r="A346" i="55"/>
  <c r="A367" i="55"/>
  <c r="A388" i="55"/>
  <c r="A410" i="55"/>
  <c r="A429" i="55"/>
  <c r="A445" i="55"/>
  <c r="A461" i="55"/>
  <c r="A82" i="55"/>
  <c r="A210" i="55"/>
  <c r="A294" i="55"/>
  <c r="A358" i="55"/>
  <c r="A400" i="55"/>
  <c r="A438" i="55"/>
  <c r="A467" i="55"/>
  <c r="A489" i="55"/>
  <c r="A510" i="55"/>
  <c r="A531" i="55"/>
  <c r="A553" i="55"/>
  <c r="A581" i="55"/>
  <c r="A602" i="55"/>
  <c r="A619" i="55"/>
  <c r="A635" i="55"/>
  <c r="A651" i="55"/>
  <c r="A668" i="55"/>
  <c r="A684" i="55"/>
  <c r="A700" i="55"/>
  <c r="A716" i="55"/>
  <c r="A732" i="55"/>
  <c r="A748" i="55"/>
  <c r="A764" i="55"/>
  <c r="A780" i="55"/>
  <c r="A796" i="55"/>
  <c r="A331" i="55"/>
  <c r="A6" i="55"/>
  <c r="A24" i="55"/>
  <c r="A41" i="55"/>
  <c r="A57" i="55"/>
  <c r="A75" i="55"/>
  <c r="A91" i="55"/>
  <c r="A107" i="55"/>
  <c r="A123" i="55"/>
  <c r="A139" i="55"/>
  <c r="A155" i="55"/>
  <c r="A171" i="55"/>
  <c r="A187" i="55"/>
  <c r="A203" i="55"/>
  <c r="A219" i="55"/>
  <c r="A235" i="55"/>
  <c r="A334" i="55"/>
  <c r="A1182" i="55"/>
  <c r="A7" i="55"/>
  <c r="A25" i="55"/>
  <c r="A42" i="55"/>
  <c r="A58" i="55"/>
  <c r="A76" i="55"/>
  <c r="A92" i="55"/>
  <c r="A108" i="55"/>
  <c r="A124" i="55"/>
  <c r="A140" i="55"/>
  <c r="A156" i="55"/>
  <c r="A172" i="55"/>
  <c r="A188" i="55"/>
  <c r="A204" i="55"/>
  <c r="A220" i="55"/>
  <c r="A236" i="55"/>
  <c r="A252" i="55"/>
  <c r="A268" i="55"/>
  <c r="A284" i="55"/>
  <c r="A300" i="55"/>
  <c r="A316" i="55"/>
  <c r="A345" i="55"/>
  <c r="A361" i="55"/>
  <c r="A377" i="55"/>
  <c r="A393" i="55"/>
  <c r="A409" i="55"/>
  <c r="A616" i="55"/>
  <c r="A1181" i="55"/>
  <c r="A8" i="55"/>
  <c r="A26" i="55"/>
  <c r="A43" i="55"/>
  <c r="A59" i="55"/>
  <c r="A77" i="55"/>
  <c r="A93" i="55"/>
  <c r="A109" i="55"/>
  <c r="A125" i="55"/>
  <c r="A141" i="55"/>
  <c r="A157" i="55"/>
  <c r="A173" i="55"/>
  <c r="A189" i="55"/>
  <c r="A205" i="55"/>
  <c r="A221" i="55"/>
  <c r="A237" i="55"/>
  <c r="A253" i="55"/>
  <c r="A269" i="55"/>
  <c r="A285" i="55"/>
  <c r="A301" i="55"/>
  <c r="A317" i="55"/>
  <c r="A40" i="55"/>
  <c r="A106" i="55"/>
  <c r="A170" i="55"/>
  <c r="A234" i="55"/>
  <c r="A274" i="55"/>
  <c r="A306" i="55"/>
  <c r="A344" i="55"/>
  <c r="A366" i="55"/>
  <c r="A387" i="55"/>
  <c r="A408" i="55"/>
  <c r="A428" i="55"/>
  <c r="A444" i="55"/>
  <c r="A460" i="55"/>
  <c r="A476" i="55"/>
  <c r="A492" i="55"/>
  <c r="A508" i="55"/>
  <c r="A524" i="55"/>
  <c r="A540" i="55"/>
  <c r="A556" i="55"/>
  <c r="A579" i="55"/>
  <c r="A126" i="55"/>
  <c r="A315" i="55"/>
  <c r="A415" i="55"/>
  <c r="A114" i="55"/>
  <c r="A411" i="55"/>
  <c r="A515" i="55"/>
  <c r="A606" i="55"/>
  <c r="A672" i="55"/>
  <c r="A736" i="55"/>
  <c r="A792" i="55"/>
  <c r="A816" i="55"/>
  <c r="A840" i="55"/>
  <c r="A860" i="55"/>
  <c r="A876" i="55"/>
  <c r="A892" i="55"/>
  <c r="A908" i="55"/>
  <c r="A928" i="55"/>
  <c r="A944" i="55"/>
  <c r="A960" i="55"/>
  <c r="A976" i="55"/>
  <c r="A992" i="55"/>
  <c r="A1008" i="55"/>
  <c r="A1024" i="55"/>
  <c r="A1040" i="55"/>
  <c r="A1056" i="55"/>
  <c r="A1085" i="55"/>
  <c r="A52" i="55"/>
  <c r="A182" i="55"/>
  <c r="A279" i="55"/>
  <c r="A348" i="55"/>
  <c r="A230" i="55"/>
  <c r="A363" i="55"/>
  <c r="A418" i="55"/>
  <c r="A463" i="55"/>
  <c r="A491" i="55"/>
  <c r="A519" i="55"/>
  <c r="A549" i="55"/>
  <c r="A584" i="55"/>
  <c r="A609" i="55"/>
  <c r="A632" i="55"/>
  <c r="A653" i="55"/>
  <c r="A675" i="55"/>
  <c r="A697" i="55"/>
  <c r="A718" i="55"/>
  <c r="A739" i="55"/>
  <c r="A761" i="55"/>
  <c r="A782" i="55"/>
  <c r="A803" i="55"/>
  <c r="A825" i="55"/>
  <c r="A846" i="55"/>
  <c r="A867" i="55"/>
  <c r="A889" i="55"/>
  <c r="A914" i="55"/>
  <c r="A935" i="55"/>
  <c r="A957" i="55"/>
  <c r="A978" i="55"/>
  <c r="A999" i="55"/>
  <c r="A1021" i="55"/>
  <c r="A1042" i="55"/>
  <c r="A1063" i="55"/>
  <c r="A1097" i="55"/>
  <c r="A1131" i="55"/>
  <c r="A1147" i="55"/>
  <c r="A1163" i="55"/>
  <c r="A1183" i="55"/>
  <c r="A1116" i="55"/>
  <c r="A254" i="55"/>
  <c r="A364" i="55"/>
  <c r="A423" i="55"/>
  <c r="A465" i="55"/>
  <c r="A493" i="55"/>
  <c r="A522" i="55"/>
  <c r="A550" i="55"/>
  <c r="A585" i="55"/>
  <c r="A611" i="55"/>
  <c r="A633" i="55"/>
  <c r="A654" i="55"/>
  <c r="A677" i="55"/>
  <c r="A698" i="55"/>
  <c r="A719" i="55"/>
  <c r="A741" i="55"/>
  <c r="A762" i="55"/>
  <c r="A783" i="55"/>
  <c r="A805" i="55"/>
  <c r="A826" i="55"/>
  <c r="A847" i="55"/>
  <c r="A869" i="55"/>
  <c r="A890" i="55"/>
  <c r="A915" i="55"/>
  <c r="A937" i="55"/>
  <c r="A958" i="55"/>
  <c r="A979" i="55"/>
  <c r="A1001" i="55"/>
  <c r="A1022" i="55"/>
  <c r="A1043" i="55"/>
  <c r="A1065" i="55"/>
  <c r="A1098" i="55"/>
  <c r="A1132" i="55"/>
  <c r="A1148" i="55"/>
  <c r="A1164" i="55"/>
  <c r="A1184" i="55"/>
  <c r="A328" i="55"/>
  <c r="A342" i="55"/>
  <c r="A450" i="55"/>
  <c r="A198" i="55"/>
  <c r="A354" i="55"/>
  <c r="A412" i="55"/>
  <c r="A458" i="55"/>
  <c r="A487" i="55"/>
  <c r="A517" i="55"/>
  <c r="A545" i="55"/>
  <c r="A580" i="55"/>
  <c r="A607" i="55"/>
  <c r="A629" i="55"/>
  <c r="A650" i="55"/>
  <c r="A673" i="55"/>
  <c r="A694" i="55"/>
  <c r="A715" i="55"/>
  <c r="A737" i="55"/>
  <c r="A758" i="55"/>
  <c r="A779" i="55"/>
  <c r="A801" i="55"/>
  <c r="A822" i="55"/>
  <c r="A843" i="55"/>
  <c r="A865" i="55"/>
  <c r="A886" i="55"/>
  <c r="A907" i="55"/>
  <c r="A933" i="55"/>
  <c r="A954" i="55"/>
  <c r="A975" i="55"/>
  <c r="A997" i="55"/>
  <c r="A1018" i="55"/>
  <c r="A1039" i="55"/>
  <c r="A1061" i="55"/>
  <c r="A1095" i="55"/>
  <c r="A1129" i="55"/>
  <c r="A1145" i="55"/>
  <c r="A1161" i="55"/>
  <c r="A1177" i="55"/>
  <c r="A359" i="55"/>
  <c r="A459" i="55"/>
  <c r="A546" i="55"/>
  <c r="A652" i="55"/>
  <c r="A738" i="55"/>
  <c r="A823" i="55"/>
  <c r="A913" i="55"/>
  <c r="A998" i="55"/>
  <c r="A1096" i="55"/>
  <c r="A1178" i="55"/>
  <c r="A539" i="55"/>
  <c r="A595" i="55"/>
  <c r="A190" i="55"/>
  <c r="A351" i="55"/>
  <c r="A433" i="55"/>
  <c r="A242" i="55"/>
  <c r="A446" i="55"/>
  <c r="A537" i="55"/>
  <c r="A623" i="55"/>
  <c r="A688" i="55"/>
  <c r="A752" i="55"/>
  <c r="A800" i="55"/>
  <c r="A824" i="55"/>
  <c r="A844" i="55"/>
  <c r="A864" i="55"/>
  <c r="A880" i="55"/>
  <c r="A896" i="55"/>
  <c r="A916" i="55"/>
  <c r="A932" i="55"/>
  <c r="A948" i="55"/>
  <c r="A964" i="55"/>
  <c r="A980" i="55"/>
  <c r="A996" i="55"/>
  <c r="A1012" i="55"/>
  <c r="A1028" i="55"/>
  <c r="A1044" i="55"/>
  <c r="A1060" i="55"/>
  <c r="A1089" i="55"/>
  <c r="A86" i="55"/>
  <c r="A214" i="55"/>
  <c r="A295" i="55"/>
  <c r="A36" i="55"/>
  <c r="A271" i="55"/>
  <c r="A375" i="55"/>
  <c r="A431" i="55"/>
  <c r="A470" i="55"/>
  <c r="A498" i="55"/>
  <c r="A527" i="55"/>
  <c r="A555" i="55"/>
  <c r="A590" i="55"/>
  <c r="A615" i="55"/>
  <c r="A637" i="55"/>
  <c r="A658" i="55"/>
  <c r="A681" i="55"/>
  <c r="A702" i="55"/>
  <c r="A723" i="55"/>
  <c r="A745" i="55"/>
  <c r="A766" i="55"/>
  <c r="A787" i="55"/>
  <c r="A809" i="55"/>
  <c r="A830" i="55"/>
  <c r="A851" i="55"/>
  <c r="A873" i="55"/>
  <c r="A894" i="55"/>
  <c r="A919" i="55"/>
  <c r="A941" i="55"/>
  <c r="A962" i="55"/>
  <c r="A983" i="55"/>
  <c r="A1005" i="55"/>
  <c r="A1026" i="55"/>
  <c r="A1047" i="55"/>
  <c r="A1082" i="55"/>
  <c r="A1101" i="55"/>
  <c r="A1135" i="55"/>
  <c r="A1151" i="55"/>
  <c r="A1167" i="55"/>
  <c r="A1187" i="55"/>
  <c r="A66" i="55"/>
  <c r="A286" i="55"/>
  <c r="A380" i="55"/>
  <c r="A434" i="55"/>
  <c r="A471" i="55"/>
  <c r="A501" i="55"/>
  <c r="A529" i="55"/>
  <c r="A557" i="55"/>
  <c r="A593" i="55"/>
  <c r="A617" i="55"/>
  <c r="A638" i="55"/>
  <c r="A660" i="55"/>
  <c r="A682" i="55"/>
  <c r="A703" i="55"/>
  <c r="A725" i="55"/>
  <c r="A746" i="55"/>
  <c r="A767" i="55"/>
  <c r="A789" i="55"/>
  <c r="A810" i="55"/>
  <c r="A831" i="55"/>
  <c r="A853" i="55"/>
  <c r="A874" i="55"/>
  <c r="A895" i="55"/>
  <c r="A921" i="55"/>
  <c r="A942" i="55"/>
  <c r="A963" i="55"/>
  <c r="A985" i="55"/>
  <c r="A1006" i="55"/>
  <c r="A1027" i="55"/>
  <c r="A1049" i="55"/>
  <c r="A1083" i="55"/>
  <c r="A1102" i="55"/>
  <c r="A1136" i="55"/>
  <c r="A1152" i="55"/>
  <c r="A1168" i="55"/>
  <c r="A1188" i="55"/>
  <c r="A31" i="55"/>
  <c r="A374" i="55"/>
  <c r="A469" i="55"/>
  <c r="A1112" i="55"/>
  <c r="A255" i="55"/>
  <c r="A370" i="55"/>
  <c r="A426" i="55"/>
  <c r="A466" i="55"/>
  <c r="A495" i="55"/>
  <c r="A523" i="55"/>
  <c r="A551" i="55"/>
  <c r="A1180" i="55"/>
  <c r="A251" i="55"/>
  <c r="A372" i="55"/>
  <c r="A449" i="55"/>
  <c r="A310" i="55"/>
  <c r="A473" i="55"/>
  <c r="A558" i="55"/>
  <c r="A639" i="55"/>
  <c r="A704" i="55"/>
  <c r="A768" i="55"/>
  <c r="A808" i="55"/>
  <c r="A828" i="55"/>
  <c r="A848" i="55"/>
  <c r="A868" i="55"/>
  <c r="A884" i="55"/>
  <c r="A900" i="55"/>
  <c r="A920" i="55"/>
  <c r="A936" i="55"/>
  <c r="A952" i="55"/>
  <c r="A968" i="55"/>
  <c r="A984" i="55"/>
  <c r="A1000" i="55"/>
  <c r="A1016" i="55"/>
  <c r="A1032" i="55"/>
  <c r="A1048" i="55"/>
  <c r="A1064" i="55"/>
  <c r="A1093" i="55"/>
  <c r="A118" i="55"/>
  <c r="A246" i="55"/>
  <c r="A311" i="55"/>
  <c r="A102" i="55"/>
  <c r="A303" i="55"/>
  <c r="A391" i="55"/>
  <c r="A442" i="55"/>
  <c r="A477" i="55"/>
  <c r="A506" i="55"/>
  <c r="A534" i="55"/>
  <c r="A562" i="55"/>
  <c r="A598" i="55"/>
  <c r="A621" i="55"/>
  <c r="A642" i="55"/>
  <c r="A664" i="55"/>
  <c r="A686" i="55"/>
  <c r="A707" i="55"/>
  <c r="A729" i="55"/>
  <c r="A750" i="55"/>
  <c r="A771" i="55"/>
  <c r="A793" i="55"/>
  <c r="A814" i="55"/>
  <c r="A835" i="55"/>
  <c r="A857" i="55"/>
  <c r="A878" i="55"/>
  <c r="A899" i="55"/>
  <c r="A925" i="55"/>
  <c r="A946" i="55"/>
  <c r="A967" i="55"/>
  <c r="A989" i="55"/>
  <c r="A1010" i="55"/>
  <c r="A1031" i="55"/>
  <c r="A1053" i="55"/>
  <c r="A1087" i="55"/>
  <c r="A1123" i="55"/>
  <c r="A1139" i="55"/>
  <c r="A1155" i="55"/>
  <c r="A1171" i="55"/>
  <c r="A1191" i="55"/>
  <c r="A130" i="55"/>
  <c r="A318" i="55"/>
  <c r="A395" i="55"/>
  <c r="A443" i="55"/>
  <c r="A479" i="55"/>
  <c r="A507" i="55"/>
  <c r="A535" i="55"/>
  <c r="A572" i="55"/>
  <c r="A600" i="55"/>
  <c r="A622" i="55"/>
  <c r="A644" i="55"/>
  <c r="A665" i="55"/>
  <c r="A687" i="55"/>
  <c r="A709" i="55"/>
  <c r="A730" i="55"/>
  <c r="A751" i="55"/>
  <c r="A773" i="55"/>
  <c r="A794" i="55"/>
  <c r="A815" i="55"/>
  <c r="A837" i="55"/>
  <c r="A858" i="55"/>
  <c r="A879" i="55"/>
  <c r="A901" i="55"/>
  <c r="A926" i="55"/>
  <c r="A947" i="55"/>
  <c r="A969" i="55"/>
  <c r="A990" i="55"/>
  <c r="A1011" i="55"/>
  <c r="A1033" i="55"/>
  <c r="A1054" i="55"/>
  <c r="A1088" i="55"/>
  <c r="A1124" i="55"/>
  <c r="A1140" i="55"/>
  <c r="A1156" i="55"/>
  <c r="A1172" i="55"/>
  <c r="A1192" i="55"/>
  <c r="A162" i="55"/>
  <c r="A402" i="55"/>
  <c r="A482" i="55"/>
  <c r="A70" i="55"/>
  <c r="A287" i="55"/>
  <c r="A384" i="55"/>
  <c r="A435" i="55"/>
  <c r="A474" i="55"/>
  <c r="A502" i="55"/>
  <c r="A530" i="55"/>
  <c r="A559" i="55"/>
  <c r="A594" i="55"/>
  <c r="A618" i="55"/>
  <c r="A640" i="55"/>
  <c r="A661" i="55"/>
  <c r="A683" i="55"/>
  <c r="A705" i="55"/>
  <c r="A726" i="55"/>
  <c r="A747" i="55"/>
  <c r="A769" i="55"/>
  <c r="A790" i="55"/>
  <c r="A811" i="55"/>
  <c r="A833" i="55"/>
  <c r="A854" i="55"/>
  <c r="A875" i="55"/>
  <c r="A897" i="55"/>
  <c r="A922" i="55"/>
  <c r="A943" i="55"/>
  <c r="A965" i="55"/>
  <c r="A986" i="55"/>
  <c r="A1007" i="55"/>
  <c r="A1029" i="55"/>
  <c r="A1050" i="55"/>
  <c r="A1084" i="55"/>
  <c r="A1103" i="55"/>
  <c r="A1137" i="55"/>
  <c r="A1153" i="55"/>
  <c r="A1169" i="55"/>
  <c r="A1189" i="55"/>
  <c r="A226" i="55"/>
  <c r="A416" i="55"/>
  <c r="A490" i="55"/>
  <c r="A608" i="55"/>
  <c r="A695" i="55"/>
  <c r="A781" i="55"/>
  <c r="A866" i="55"/>
  <c r="A955" i="55"/>
  <c r="A1041" i="55"/>
  <c r="A1146" i="55"/>
  <c r="A711" i="55"/>
  <c r="A903" i="55"/>
  <c r="A1158" i="55"/>
  <c r="A589" i="55"/>
  <c r="A679" i="55"/>
  <c r="A765" i="55"/>
  <c r="A850" i="55"/>
  <c r="A939" i="55"/>
  <c r="A1025" i="55"/>
  <c r="A1134" i="55"/>
  <c r="A533" i="55"/>
  <c r="A641" i="55"/>
  <c r="A60" i="55"/>
  <c r="A283" i="55"/>
  <c r="A394" i="55"/>
  <c r="A324" i="55"/>
  <c r="A368" i="55"/>
  <c r="A494" i="55"/>
  <c r="A586" i="55"/>
  <c r="A655" i="55"/>
  <c r="A720" i="55"/>
  <c r="A784" i="55"/>
  <c r="A812" i="55"/>
  <c r="A832" i="55"/>
  <c r="A856" i="55"/>
  <c r="A872" i="55"/>
  <c r="A888" i="55"/>
  <c r="A904" i="55"/>
  <c r="A924" i="55"/>
  <c r="A940" i="55"/>
  <c r="A956" i="55"/>
  <c r="A972" i="55"/>
  <c r="A988" i="55"/>
  <c r="A1004" i="55"/>
  <c r="A1020" i="55"/>
  <c r="A1036" i="55"/>
  <c r="A1052" i="55"/>
  <c r="A1076" i="55"/>
  <c r="A19" i="55"/>
  <c r="A150" i="55"/>
  <c r="A263" i="55"/>
  <c r="A338" i="55"/>
  <c r="A166" i="55"/>
  <c r="A343" i="55"/>
  <c r="A406" i="55"/>
  <c r="A451" i="55"/>
  <c r="A485" i="55"/>
  <c r="A513" i="55"/>
  <c r="A541" i="55"/>
  <c r="A577" i="55"/>
  <c r="A604" i="55"/>
  <c r="A626" i="55"/>
  <c r="A648" i="55"/>
  <c r="A670" i="55"/>
  <c r="A691" i="55"/>
  <c r="A713" i="55"/>
  <c r="A734" i="55"/>
  <c r="A755" i="55"/>
  <c r="A777" i="55"/>
  <c r="A798" i="55"/>
  <c r="A819" i="55"/>
  <c r="A841" i="55"/>
  <c r="A862" i="55"/>
  <c r="A883" i="55"/>
  <c r="A905" i="55"/>
  <c r="A930" i="55"/>
  <c r="A951" i="55"/>
  <c r="A973" i="55"/>
  <c r="A994" i="55"/>
  <c r="A1015" i="55"/>
  <c r="A1037" i="55"/>
  <c r="A1058" i="55"/>
  <c r="A1092" i="55"/>
  <c r="A1127" i="55"/>
  <c r="A1143" i="55"/>
  <c r="A1159" i="55"/>
  <c r="A1175" i="55"/>
  <c r="A194" i="55"/>
  <c r="A352" i="55"/>
  <c r="A407" i="55"/>
  <c r="A455" i="55"/>
  <c r="A486" i="55"/>
  <c r="A514" i="55"/>
  <c r="A543" i="55"/>
  <c r="A578" i="55"/>
  <c r="A605" i="55"/>
  <c r="A628" i="55"/>
  <c r="A649" i="55"/>
  <c r="A671" i="55"/>
  <c r="A693" i="55"/>
  <c r="A714" i="55"/>
  <c r="A735" i="55"/>
  <c r="A757" i="55"/>
  <c r="A778" i="55"/>
  <c r="A799" i="55"/>
  <c r="A821" i="55"/>
  <c r="A842" i="55"/>
  <c r="A863" i="55"/>
  <c r="A885" i="55"/>
  <c r="A906" i="55"/>
  <c r="A931" i="55"/>
  <c r="A953" i="55"/>
  <c r="A974" i="55"/>
  <c r="A995" i="55"/>
  <c r="A1017" i="55"/>
  <c r="A1038" i="55"/>
  <c r="A1059" i="55"/>
  <c r="A1094" i="55"/>
  <c r="A1128" i="55"/>
  <c r="A1144" i="55"/>
  <c r="A1160" i="55"/>
  <c r="A1176" i="55"/>
  <c r="A270" i="55"/>
  <c r="A427" i="55"/>
  <c r="A497" i="55"/>
  <c r="A134" i="55"/>
  <c r="A319" i="55"/>
  <c r="A396" i="55"/>
  <c r="A447" i="55"/>
  <c r="A481" i="55"/>
  <c r="A509" i="55"/>
  <c r="A538" i="55"/>
  <c r="A573" i="55"/>
  <c r="A601" i="55"/>
  <c r="A624" i="55"/>
  <c r="A645" i="55"/>
  <c r="A667" i="55"/>
  <c r="A689" i="55"/>
  <c r="A710" i="55"/>
  <c r="A731" i="55"/>
  <c r="A753" i="55"/>
  <c r="A774" i="55"/>
  <c r="A795" i="55"/>
  <c r="A817" i="55"/>
  <c r="A838" i="55"/>
  <c r="A859" i="55"/>
  <c r="A881" i="55"/>
  <c r="A902" i="55"/>
  <c r="A927" i="55"/>
  <c r="A949" i="55"/>
  <c r="A970" i="55"/>
  <c r="A991" i="55"/>
  <c r="A1013" i="55"/>
  <c r="A1034" i="55"/>
  <c r="A1055" i="55"/>
  <c r="A1090" i="55"/>
  <c r="A1125" i="55"/>
  <c r="A1141" i="55"/>
  <c r="A1157" i="55"/>
  <c r="A1173" i="55"/>
  <c r="A302" i="55"/>
  <c r="A439" i="55"/>
  <c r="A518" i="55"/>
  <c r="A630" i="55"/>
  <c r="A717" i="55"/>
  <c r="A802" i="55"/>
  <c r="A887" i="55"/>
  <c r="A977" i="55"/>
  <c r="A1062" i="55"/>
  <c r="A1162" i="55"/>
  <c r="A775" i="55"/>
  <c r="A971" i="55"/>
  <c r="A613" i="55"/>
  <c r="A701" i="55"/>
  <c r="A786" i="55"/>
  <c r="A871" i="55"/>
  <c r="A961" i="55"/>
  <c r="A1046" i="55"/>
  <c r="A1014" i="55"/>
  <c r="A929" i="55"/>
  <c r="A733" i="55"/>
  <c r="A603" i="55"/>
  <c r="A1154" i="55"/>
  <c r="A1051" i="55"/>
  <c r="A966" i="55"/>
  <c r="A877" i="55"/>
  <c r="A791" i="55"/>
  <c r="A706" i="55"/>
  <c r="A596" i="55"/>
  <c r="A1100" i="55"/>
  <c r="A918" i="55"/>
  <c r="A743" i="55"/>
  <c r="A554" i="55"/>
  <c r="A861" i="55"/>
  <c r="A1130" i="55"/>
  <c r="A759" i="55"/>
  <c r="A386" i="55"/>
  <c r="A1133" i="55"/>
  <c r="A1023" i="55"/>
  <c r="A938" i="55"/>
  <c r="A849" i="55"/>
  <c r="A763" i="55"/>
  <c r="A678" i="55"/>
  <c r="A588" i="55"/>
  <c r="A4" i="55"/>
  <c r="A2" i="47"/>
  <c r="A2" i="56"/>
  <c r="A2" i="53"/>
  <c r="A2" i="33"/>
  <c r="D23" i="20"/>
  <c r="F40" i="20" s="1"/>
  <c r="E23" i="20"/>
  <c r="I40" i="20" s="1"/>
  <c r="F23" i="20"/>
  <c r="L40" i="20" s="1"/>
  <c r="C23" i="20"/>
  <c r="C40" i="20" s="1"/>
  <c r="C4" i="20"/>
  <c r="D4" i="20"/>
  <c r="C7" i="20"/>
  <c r="A2139" i="56" l="1"/>
  <c r="A1662" i="56"/>
  <c r="A1350" i="56"/>
  <c r="A1131" i="56"/>
  <c r="A1351" i="56"/>
  <c r="A1957" i="56"/>
  <c r="A1338" i="56"/>
  <c r="A1949" i="56"/>
  <c r="A1184" i="56"/>
  <c r="A2098" i="56"/>
  <c r="A2108" i="56"/>
  <c r="A2099" i="56"/>
  <c r="A2085" i="56"/>
  <c r="A2046" i="56"/>
  <c r="A2086" i="56"/>
  <c r="A2056" i="56"/>
  <c r="A2087" i="56"/>
  <c r="A1716" i="56"/>
  <c r="A2088" i="56"/>
  <c r="A2060" i="56"/>
  <c r="A2082" i="56"/>
  <c r="A2092" i="56"/>
  <c r="A2047" i="56"/>
  <c r="A2091" i="56"/>
  <c r="A2077" i="56"/>
  <c r="A2044" i="56"/>
  <c r="A2078" i="56"/>
  <c r="A2039" i="56"/>
  <c r="A2079" i="56"/>
  <c r="A2057" i="56"/>
  <c r="A2080" i="56"/>
  <c r="A2052" i="56"/>
  <c r="A2081" i="56"/>
  <c r="A1719" i="56"/>
  <c r="A2075" i="56"/>
  <c r="A2125" i="56"/>
  <c r="A1986" i="56"/>
  <c r="A1992" i="56"/>
  <c r="A2070" i="56"/>
  <c r="A1718" i="56"/>
  <c r="A2071" i="56"/>
  <c r="A1717" i="56"/>
  <c r="A2072" i="56"/>
  <c r="A2069" i="56"/>
  <c r="A2073" i="56"/>
  <c r="A2061" i="56"/>
  <c r="A2074" i="56"/>
  <c r="A2084" i="56"/>
  <c r="A2041" i="56"/>
  <c r="A2118" i="56"/>
  <c r="A2065" i="56"/>
  <c r="A2133" i="56"/>
  <c r="A2043" i="56"/>
  <c r="A2134" i="56"/>
  <c r="A2068" i="56"/>
  <c r="A2135" i="56"/>
  <c r="A2059" i="56"/>
  <c r="A2136" i="56"/>
  <c r="A2053" i="56"/>
  <c r="A2137" i="56"/>
  <c r="A2076" i="56"/>
  <c r="A2138" i="56"/>
  <c r="A2117" i="56"/>
  <c r="A2045" i="56"/>
  <c r="A2111" i="56"/>
  <c r="A1715" i="56"/>
  <c r="A2126" i="56"/>
  <c r="A2049" i="56"/>
  <c r="A2127" i="56"/>
  <c r="A2051" i="56"/>
  <c r="A2128" i="56"/>
  <c r="A2036" i="56"/>
  <c r="A2129" i="56"/>
  <c r="A2063" i="56"/>
  <c r="A2130" i="56"/>
  <c r="A2140" i="56"/>
  <c r="A2131" i="56"/>
  <c r="A2110" i="56"/>
  <c r="A2050" i="56"/>
  <c r="A2104" i="56"/>
  <c r="A1714" i="56"/>
  <c r="A2119" i="56"/>
  <c r="A2048" i="56"/>
  <c r="A2120" i="56"/>
  <c r="A1721" i="56"/>
  <c r="A2121" i="56"/>
  <c r="A2062" i="56"/>
  <c r="A2122" i="56"/>
  <c r="A2132" i="56"/>
  <c r="A2123" i="56"/>
  <c r="A2109" i="56"/>
  <c r="A1987" i="56"/>
  <c r="A2103" i="56"/>
  <c r="A2038" i="56"/>
  <c r="A2097" i="56"/>
  <c r="A2067" i="56"/>
  <c r="A2112" i="56"/>
  <c r="A2035" i="56"/>
  <c r="A2113" i="56"/>
  <c r="A2054" i="56"/>
  <c r="A2114" i="56"/>
  <c r="A2124" i="56"/>
  <c r="A2115" i="56"/>
  <c r="A2101" i="56"/>
  <c r="A2042" i="56"/>
  <c r="A2102" i="56"/>
  <c r="A2066" i="56"/>
  <c r="A2096" i="56"/>
  <c r="A2055" i="56"/>
  <c r="A2090" i="56"/>
  <c r="A2100" i="56"/>
  <c r="A2105" i="56"/>
  <c r="A2037" i="56"/>
  <c r="A2106" i="56"/>
  <c r="A2116" i="56"/>
  <c r="A2107" i="56"/>
  <c r="A2093" i="56"/>
  <c r="A2040" i="56"/>
  <c r="A2094" i="56"/>
  <c r="A2064" i="56"/>
  <c r="A2095" i="56"/>
  <c r="A2058" i="56"/>
  <c r="A2089" i="56"/>
  <c r="A1720" i="56"/>
  <c r="A2083" i="56"/>
  <c r="A1990" i="56"/>
  <c r="A2014" i="56"/>
  <c r="A2022" i="56"/>
  <c r="A2030" i="56"/>
  <c r="A1985" i="56"/>
  <c r="A2015" i="56"/>
  <c r="A2023" i="56"/>
  <c r="A2031" i="56"/>
  <c r="A1988" i="56"/>
  <c r="A2008" i="56"/>
  <c r="A2016" i="56"/>
  <c r="A2024" i="56"/>
  <c r="A2032" i="56"/>
  <c r="A2009" i="56"/>
  <c r="A2017" i="56"/>
  <c r="A2025" i="56"/>
  <c r="A2033" i="56"/>
  <c r="A2010" i="56"/>
  <c r="A2018" i="56"/>
  <c r="A2026" i="56"/>
  <c r="A2034" i="56"/>
  <c r="A2011" i="56"/>
  <c r="A2019" i="56"/>
  <c r="A2027" i="56"/>
  <c r="A2012" i="56"/>
  <c r="A2020" i="56"/>
  <c r="A2028" i="56"/>
  <c r="A2013" i="56"/>
  <c r="A2021" i="56"/>
  <c r="A2029" i="56"/>
  <c r="A1991" i="56"/>
  <c r="A2000" i="56"/>
  <c r="A1993" i="56"/>
  <c r="A2001" i="56"/>
  <c r="A1999" i="56"/>
  <c r="A1994" i="56"/>
  <c r="A2002" i="56"/>
  <c r="A2007" i="56"/>
  <c r="A1995" i="56"/>
  <c r="A2003" i="56"/>
  <c r="A1996" i="56"/>
  <c r="A2004" i="56"/>
  <c r="A1997" i="56"/>
  <c r="A2005" i="56"/>
  <c r="A1998" i="56"/>
  <c r="A2006" i="56"/>
  <c r="A1981" i="56"/>
  <c r="A1979" i="56"/>
  <c r="A1973" i="56"/>
  <c r="A1978" i="56"/>
  <c r="A1977" i="56"/>
  <c r="A1976" i="56"/>
  <c r="A1980" i="56"/>
  <c r="A1983" i="56"/>
  <c r="A1972" i="56"/>
  <c r="A1975" i="56"/>
  <c r="A1989" i="56"/>
  <c r="A1982" i="56"/>
  <c r="A1984" i="56"/>
  <c r="A1974" i="56"/>
  <c r="A1935" i="56"/>
  <c r="A1913" i="56"/>
  <c r="A1924" i="56"/>
  <c r="A1946" i="56"/>
  <c r="A1970" i="56"/>
  <c r="A1939" i="56"/>
  <c r="A1925" i="56"/>
  <c r="A1932" i="56"/>
  <c r="A1901" i="56"/>
  <c r="A1956" i="56"/>
  <c r="A1967" i="56"/>
  <c r="A1917" i="56"/>
  <c r="A1930" i="56"/>
  <c r="A1928" i="56"/>
  <c r="A1961" i="56"/>
  <c r="A1971" i="56"/>
  <c r="A1915" i="56"/>
  <c r="A1926" i="56"/>
  <c r="A1920" i="56"/>
  <c r="A1966" i="56"/>
  <c r="A1904" i="56"/>
  <c r="A1907" i="56"/>
  <c r="A1922" i="56"/>
  <c r="A1960" i="56"/>
  <c r="A1959" i="56"/>
  <c r="A1911" i="56"/>
  <c r="A1962" i="56"/>
  <c r="A1898" i="56"/>
  <c r="A1943" i="56"/>
  <c r="A1908" i="56"/>
  <c r="A1918" i="56"/>
  <c r="A1937" i="56"/>
  <c r="A1940" i="56"/>
  <c r="A1950" i="56"/>
  <c r="A1906" i="56"/>
  <c r="A1912" i="56"/>
  <c r="A1909" i="56"/>
  <c r="A1951" i="56"/>
  <c r="A1954" i="56"/>
  <c r="A1910" i="56"/>
  <c r="A1899" i="56"/>
  <c r="A1969" i="56"/>
  <c r="A1942" i="56"/>
  <c r="A1902" i="56"/>
  <c r="A1903" i="56"/>
  <c r="A1896" i="56"/>
  <c r="A1965" i="56"/>
  <c r="A1964" i="56"/>
  <c r="A1916" i="56"/>
  <c r="A1921" i="56"/>
  <c r="A1944" i="56"/>
  <c r="A1968" i="56"/>
  <c r="A1914" i="56"/>
  <c r="A1900" i="56"/>
  <c r="A1955" i="56"/>
  <c r="A1938" i="56"/>
  <c r="A1927" i="56"/>
  <c r="A1934" i="56"/>
  <c r="A1897" i="56"/>
  <c r="A1952" i="56"/>
  <c r="A1963" i="56"/>
  <c r="A1933" i="56"/>
  <c r="A1905" i="56"/>
  <c r="A1895" i="56"/>
  <c r="A1948" i="56"/>
  <c r="A1931" i="56"/>
  <c r="A1919" i="56"/>
  <c r="A1923" i="56"/>
  <c r="A1941" i="56"/>
  <c r="A1953" i="56"/>
  <c r="A1929" i="56"/>
  <c r="A1936" i="56"/>
  <c r="A1945" i="56"/>
  <c r="A1947" i="56"/>
  <c r="A1958" i="56"/>
  <c r="A1819" i="56"/>
  <c r="A1732" i="56"/>
  <c r="A1826" i="56"/>
  <c r="A1818" i="56"/>
  <c r="A1825" i="56"/>
  <c r="A1731" i="56"/>
  <c r="A1824" i="56"/>
  <c r="A1735" i="56"/>
  <c r="A1823" i="56"/>
  <c r="A1726" i="56"/>
  <c r="A1822" i="56"/>
  <c r="A1821" i="56"/>
  <c r="A1820" i="56"/>
  <c r="A1713" i="56"/>
  <c r="A1708" i="56"/>
  <c r="A1725" i="56"/>
  <c r="A1737" i="56"/>
  <c r="A1745" i="56"/>
  <c r="A1753" i="56"/>
  <c r="A1761" i="56"/>
  <c r="A1742" i="56"/>
  <c r="A1709" i="56"/>
  <c r="A1727" i="56"/>
  <c r="A1738" i="56"/>
  <c r="A1746" i="56"/>
  <c r="A1754" i="56"/>
  <c r="A1762" i="56"/>
  <c r="A1733" i="56"/>
  <c r="A1710" i="56"/>
  <c r="A1728" i="56"/>
  <c r="A1739" i="56"/>
  <c r="A1747" i="56"/>
  <c r="A1755" i="56"/>
  <c r="A1763" i="56"/>
  <c r="A1750" i="56"/>
  <c r="A1711" i="56"/>
  <c r="A1729" i="56"/>
  <c r="A1740" i="56"/>
  <c r="A1748" i="56"/>
  <c r="A1756" i="56"/>
  <c r="A1764" i="56"/>
  <c r="A1757" i="56"/>
  <c r="A1712" i="56"/>
  <c r="A1730" i="56"/>
  <c r="A1741" i="56"/>
  <c r="A1749" i="56"/>
  <c r="A1722" i="56"/>
  <c r="A1706" i="56"/>
  <c r="A1723" i="56"/>
  <c r="A1734" i="56"/>
  <c r="A1743" i="56"/>
  <c r="A1751" i="56"/>
  <c r="A1759" i="56"/>
  <c r="A1707" i="56"/>
  <c r="A1724" i="56"/>
  <c r="A1736" i="56"/>
  <c r="A1744" i="56"/>
  <c r="A1752" i="56"/>
  <c r="A1760" i="56"/>
  <c r="A1765" i="56"/>
  <c r="A1758" i="56"/>
  <c r="A1891" i="56"/>
  <c r="A1883" i="56"/>
  <c r="A1875" i="56"/>
  <c r="A1867" i="56"/>
  <c r="A1859" i="56"/>
  <c r="A1851" i="56"/>
  <c r="A1843" i="56"/>
  <c r="A1835" i="56"/>
  <c r="A1827" i="56"/>
  <c r="A1810" i="56"/>
  <c r="A1802" i="56"/>
  <c r="A1794" i="56"/>
  <c r="A1786" i="56"/>
  <c r="A1778" i="56"/>
  <c r="A1770" i="56"/>
  <c r="A1773" i="56"/>
  <c r="A1884" i="56"/>
  <c r="A1836" i="56"/>
  <c r="A1771" i="56"/>
  <c r="A1890" i="56"/>
  <c r="A1882" i="56"/>
  <c r="A1874" i="56"/>
  <c r="A1866" i="56"/>
  <c r="A1858" i="56"/>
  <c r="A1850" i="56"/>
  <c r="A1842" i="56"/>
  <c r="A1834" i="56"/>
  <c r="A1817" i="56"/>
  <c r="A1809" i="56"/>
  <c r="A1801" i="56"/>
  <c r="A1793" i="56"/>
  <c r="A1785" i="56"/>
  <c r="A1777" i="56"/>
  <c r="A1769" i="56"/>
  <c r="A1892" i="56"/>
  <c r="A1795" i="56"/>
  <c r="A1889" i="56"/>
  <c r="A1881" i="56"/>
  <c r="A1873" i="56"/>
  <c r="A1865" i="56"/>
  <c r="A1857" i="56"/>
  <c r="A1849" i="56"/>
  <c r="A1841" i="56"/>
  <c r="A1833" i="56"/>
  <c r="A1816" i="56"/>
  <c r="A1808" i="56"/>
  <c r="A1800" i="56"/>
  <c r="A1792" i="56"/>
  <c r="A1784" i="56"/>
  <c r="A1776" i="56"/>
  <c r="A1768" i="56"/>
  <c r="A1772" i="56"/>
  <c r="A1852" i="56"/>
  <c r="A1787" i="56"/>
  <c r="A1888" i="56"/>
  <c r="A1880" i="56"/>
  <c r="A1872" i="56"/>
  <c r="A1864" i="56"/>
  <c r="A1856" i="56"/>
  <c r="A1848" i="56"/>
  <c r="A1840" i="56"/>
  <c r="A1832" i="56"/>
  <c r="A1815" i="56"/>
  <c r="A1807" i="56"/>
  <c r="A1799" i="56"/>
  <c r="A1791" i="56"/>
  <c r="A1783" i="56"/>
  <c r="A1775" i="56"/>
  <c r="A1767" i="56"/>
  <c r="A1766" i="56"/>
  <c r="A1781" i="56"/>
  <c r="A1876" i="56"/>
  <c r="A1811" i="56"/>
  <c r="A1779" i="56"/>
  <c r="A1887" i="56"/>
  <c r="A1879" i="56"/>
  <c r="A1871" i="56"/>
  <c r="A1863" i="56"/>
  <c r="A1855" i="56"/>
  <c r="A1847" i="56"/>
  <c r="A1839" i="56"/>
  <c r="A1831" i="56"/>
  <c r="A1814" i="56"/>
  <c r="A1806" i="56"/>
  <c r="A1798" i="56"/>
  <c r="A1790" i="56"/>
  <c r="A1782" i="56"/>
  <c r="A1774" i="56"/>
  <c r="A1789" i="56"/>
  <c r="A1868" i="56"/>
  <c r="A1828" i="56"/>
  <c r="A1894" i="56"/>
  <c r="A1886" i="56"/>
  <c r="A1878" i="56"/>
  <c r="A1870" i="56"/>
  <c r="A1862" i="56"/>
  <c r="A1854" i="56"/>
  <c r="A1846" i="56"/>
  <c r="A1838" i="56"/>
  <c r="A1830" i="56"/>
  <c r="A1813" i="56"/>
  <c r="A1805" i="56"/>
  <c r="A1797" i="56"/>
  <c r="A1860" i="56"/>
  <c r="A1803" i="56"/>
  <c r="A1893" i="56"/>
  <c r="A1885" i="56"/>
  <c r="A1877" i="56"/>
  <c r="A1869" i="56"/>
  <c r="A1861" i="56"/>
  <c r="A1853" i="56"/>
  <c r="A1845" i="56"/>
  <c r="A1837" i="56"/>
  <c r="A1829" i="56"/>
  <c r="A1812" i="56"/>
  <c r="A1804" i="56"/>
  <c r="A1796" i="56"/>
  <c r="A1788" i="56"/>
  <c r="A1780" i="56"/>
  <c r="A1844" i="56"/>
  <c r="A1694" i="56"/>
  <c r="A1226" i="56"/>
  <c r="A1358" i="56"/>
  <c r="A1432" i="56"/>
  <c r="A1497" i="56"/>
  <c r="A1390" i="56"/>
  <c r="A1251" i="56"/>
  <c r="A1392" i="56"/>
  <c r="A1458" i="56"/>
  <c r="A1547" i="56"/>
  <c r="A1512" i="56"/>
  <c r="A1342" i="56"/>
  <c r="A1426" i="56"/>
  <c r="A1491" i="56"/>
  <c r="A1415" i="56"/>
  <c r="A1261" i="56"/>
  <c r="A1403" i="56"/>
  <c r="A1468" i="56"/>
  <c r="A1557" i="56"/>
  <c r="A1387" i="56"/>
  <c r="A1453" i="56"/>
  <c r="A1542" i="56"/>
  <c r="A1239" i="56"/>
  <c r="A1380" i="56"/>
  <c r="A1446" i="56"/>
  <c r="A1510" i="56"/>
  <c r="A1256" i="56"/>
  <c r="A1397" i="56"/>
  <c r="A1463" i="56"/>
  <c r="A1552" i="56"/>
  <c r="A1215" i="56"/>
  <c r="A1221" i="56"/>
  <c r="A1192" i="56"/>
  <c r="A1202" i="56"/>
  <c r="A1314" i="56"/>
  <c r="A1299" i="56"/>
  <c r="A1292" i="56"/>
  <c r="A1293" i="56"/>
  <c r="A1310" i="56"/>
  <c r="A1295" i="56"/>
  <c r="A1296" i="56"/>
  <c r="A1373" i="56"/>
  <c r="A1345" i="56"/>
  <c r="A1566" i="56"/>
  <c r="A1588" i="56"/>
  <c r="A1619" i="56"/>
  <c r="A1595" i="56"/>
  <c r="A1638" i="56"/>
  <c r="A1604" i="56"/>
  <c r="A1439" i="56"/>
  <c r="A1526" i="56"/>
  <c r="A1587" i="56"/>
  <c r="A1527" i="56"/>
  <c r="A1568" i="56"/>
  <c r="A1529" i="56"/>
  <c r="A1586" i="56"/>
  <c r="A1618" i="56"/>
  <c r="A1657" i="56"/>
  <c r="A1667" i="56"/>
  <c r="A1661" i="56"/>
  <c r="A1664" i="56"/>
  <c r="A1671" i="56"/>
  <c r="A1686" i="56"/>
  <c r="A1685" i="56"/>
  <c r="A1257" i="56"/>
  <c r="A1234" i="56"/>
  <c r="A1366" i="56"/>
  <c r="A1441" i="56"/>
  <c r="A1505" i="56"/>
  <c r="A1440" i="56"/>
  <c r="A1259" i="56"/>
  <c r="A1400" i="56"/>
  <c r="A1466" i="56"/>
  <c r="A1555" i="56"/>
  <c r="A1228" i="56"/>
  <c r="A1360" i="56"/>
  <c r="A1434" i="56"/>
  <c r="A1499" i="56"/>
  <c r="A1448" i="56"/>
  <c r="A1325" i="56"/>
  <c r="A1411" i="56"/>
  <c r="A1476" i="56"/>
  <c r="A1238" i="56"/>
  <c r="A1395" i="56"/>
  <c r="A1461" i="56"/>
  <c r="A1550" i="56"/>
  <c r="A1247" i="56"/>
  <c r="A1388" i="56"/>
  <c r="A1454" i="56"/>
  <c r="A1543" i="56"/>
  <c r="A1316" i="56"/>
  <c r="A1406" i="56"/>
  <c r="A1471" i="56"/>
  <c r="A1560" i="56"/>
  <c r="A1207" i="56"/>
  <c r="A1213" i="56"/>
  <c r="A1219" i="56"/>
  <c r="A1289" i="56"/>
  <c r="A1319" i="56"/>
  <c r="A1307" i="56"/>
  <c r="A1300" i="56"/>
  <c r="A1301" i="56"/>
  <c r="A1318" i="56"/>
  <c r="A1303" i="56"/>
  <c r="A1304" i="56"/>
  <c r="A1369" i="56"/>
  <c r="A1347" i="56"/>
  <c r="A1615" i="56"/>
  <c r="A1523" i="56"/>
  <c r="A1639" i="56"/>
  <c r="A1603" i="56"/>
  <c r="A1630" i="56"/>
  <c r="A1610" i="56"/>
  <c r="A1637" i="56"/>
  <c r="A1597" i="56"/>
  <c r="A1636" i="56"/>
  <c r="A1598" i="56"/>
  <c r="A1577" i="56"/>
  <c r="A1613" i="56"/>
  <c r="A1594" i="56"/>
  <c r="A1698" i="56"/>
  <c r="A1649" i="56"/>
  <c r="A1656" i="56"/>
  <c r="A1690" i="56"/>
  <c r="A1653" i="56"/>
  <c r="A1663" i="56"/>
  <c r="A1678" i="56"/>
  <c r="A1677" i="56"/>
  <c r="A1354" i="56"/>
  <c r="A1242" i="56"/>
  <c r="A1383" i="56"/>
  <c r="A1449" i="56"/>
  <c r="A1513" i="56"/>
  <c r="A1472" i="56"/>
  <c r="A1323" i="56"/>
  <c r="A1409" i="56"/>
  <c r="A1474" i="56"/>
  <c r="A1249" i="56"/>
  <c r="A1236" i="56"/>
  <c r="A1377" i="56"/>
  <c r="A1443" i="56"/>
  <c r="A1507" i="56"/>
  <c r="A1480" i="56"/>
  <c r="A1334" i="56"/>
  <c r="A1419" i="56"/>
  <c r="A1484" i="56"/>
  <c r="A1254" i="56"/>
  <c r="A1404" i="56"/>
  <c r="A1469" i="56"/>
  <c r="A1558" i="56"/>
  <c r="A1255" i="56"/>
  <c r="A1396" i="56"/>
  <c r="A1462" i="56"/>
  <c r="A1551" i="56"/>
  <c r="A1328" i="56"/>
  <c r="A1414" i="56"/>
  <c r="A1479" i="56"/>
  <c r="A1201" i="56"/>
  <c r="A1199" i="56"/>
  <c r="A1205" i="56"/>
  <c r="A1211" i="56"/>
  <c r="A1196" i="56"/>
  <c r="A1281" i="56"/>
  <c r="A1320" i="56"/>
  <c r="A1308" i="56"/>
  <c r="A1309" i="56"/>
  <c r="A1273" i="56"/>
  <c r="A1311" i="56"/>
  <c r="A1312" i="56"/>
  <c r="A1401" i="56"/>
  <c r="A1356" i="56"/>
  <c r="A1640" i="56"/>
  <c r="A1602" i="56"/>
  <c r="A1631" i="56"/>
  <c r="A1609" i="56"/>
  <c r="A1571" i="56"/>
  <c r="A1534" i="56"/>
  <c r="A1629" i="56"/>
  <c r="A1605" i="56"/>
  <c r="A1628" i="56"/>
  <c r="A1606" i="56"/>
  <c r="A1585" i="56"/>
  <c r="A1537" i="56"/>
  <c r="A1521" i="56"/>
  <c r="A1705" i="56"/>
  <c r="A1695" i="56"/>
  <c r="A1648" i="56"/>
  <c r="A1666" i="56"/>
  <c r="A1645" i="56"/>
  <c r="A1652" i="56"/>
  <c r="A1670" i="56"/>
  <c r="A1669" i="56"/>
  <c r="A1398" i="56"/>
  <c r="A1250" i="56"/>
  <c r="A1391" i="56"/>
  <c r="A1457" i="56"/>
  <c r="A1546" i="56"/>
  <c r="A1504" i="56"/>
  <c r="A1331" i="56"/>
  <c r="A1417" i="56"/>
  <c r="A1482" i="56"/>
  <c r="A1365" i="56"/>
  <c r="A1244" i="56"/>
  <c r="A1385" i="56"/>
  <c r="A1451" i="56"/>
  <c r="A1515" i="56"/>
  <c r="A1561" i="56"/>
  <c r="A1343" i="56"/>
  <c r="A1427" i="56"/>
  <c r="A1492" i="56"/>
  <c r="A1326" i="56"/>
  <c r="A1412" i="56"/>
  <c r="A1477" i="56"/>
  <c r="A1339" i="56"/>
  <c r="A1263" i="56"/>
  <c r="A1405" i="56"/>
  <c r="A1470" i="56"/>
  <c r="A1559" i="56"/>
  <c r="A1337" i="56"/>
  <c r="A1422" i="56"/>
  <c r="A1487" i="56"/>
  <c r="A1224" i="56"/>
  <c r="A1223" i="56"/>
  <c r="A1193" i="56"/>
  <c r="A1203" i="56"/>
  <c r="A1274" i="56"/>
  <c r="A1313" i="56"/>
  <c r="A1305" i="56"/>
  <c r="A1265" i="56"/>
  <c r="A1315" i="56"/>
  <c r="A1270" i="56"/>
  <c r="A1278" i="56"/>
  <c r="A1195" i="56"/>
  <c r="A1375" i="56"/>
  <c r="A1370" i="56"/>
  <c r="A1632" i="56"/>
  <c r="A1532" i="56"/>
  <c r="A1572" i="56"/>
  <c r="A1533" i="56"/>
  <c r="A1563" i="56"/>
  <c r="A1622" i="56"/>
  <c r="A1570" i="56"/>
  <c r="A1611" i="56"/>
  <c r="A1569" i="56"/>
  <c r="A1641" i="56"/>
  <c r="A1593" i="56"/>
  <c r="A1617" i="56"/>
  <c r="A1600" i="56"/>
  <c r="A1701" i="56"/>
  <c r="A1647" i="56"/>
  <c r="A1696" i="56"/>
  <c r="A1681" i="56"/>
  <c r="A1691" i="56"/>
  <c r="A1644" i="56"/>
  <c r="A1659" i="56"/>
  <c r="A1658" i="56"/>
  <c r="A1431" i="56"/>
  <c r="A1258" i="56"/>
  <c r="A1399" i="56"/>
  <c r="A1465" i="56"/>
  <c r="A1554" i="56"/>
  <c r="A1553" i="56"/>
  <c r="A1341" i="56"/>
  <c r="A1425" i="56"/>
  <c r="A1490" i="56"/>
  <c r="A1407" i="56"/>
  <c r="A1252" i="56"/>
  <c r="A1393" i="56"/>
  <c r="A1459" i="56"/>
  <c r="A1548" i="56"/>
  <c r="A1229" i="56"/>
  <c r="A1361" i="56"/>
  <c r="A1435" i="56"/>
  <c r="A1500" i="56"/>
  <c r="A1335" i="56"/>
  <c r="A1420" i="56"/>
  <c r="A1485" i="56"/>
  <c r="A1230" i="56"/>
  <c r="A1327" i="56"/>
  <c r="A1413" i="56"/>
  <c r="A1478" i="56"/>
  <c r="A1233" i="56"/>
  <c r="A1353" i="56"/>
  <c r="A1430" i="56"/>
  <c r="A1495" i="56"/>
  <c r="A1216" i="56"/>
  <c r="A1222" i="56"/>
  <c r="A1225" i="56"/>
  <c r="A1191" i="56"/>
  <c r="A1282" i="56"/>
  <c r="A1267" i="56"/>
  <c r="A1266" i="56"/>
  <c r="A1317" i="56"/>
  <c r="A1332" i="56"/>
  <c r="A1294" i="56"/>
  <c r="A1264" i="56"/>
  <c r="A1368" i="56"/>
  <c r="A1374" i="56"/>
  <c r="A1348" i="56"/>
  <c r="A1573" i="56"/>
  <c r="A1620" i="56"/>
  <c r="A1564" i="56"/>
  <c r="A1540" i="56"/>
  <c r="A1582" i="56"/>
  <c r="A1635" i="56"/>
  <c r="A1575" i="56"/>
  <c r="A1535" i="56"/>
  <c r="A1576" i="56"/>
  <c r="A1612" i="56"/>
  <c r="A1520" i="56"/>
  <c r="A1625" i="56"/>
  <c r="A1608" i="56"/>
  <c r="A1700" i="56"/>
  <c r="A1198" i="56"/>
  <c r="A1673" i="56"/>
  <c r="A1704" i="56"/>
  <c r="A1682" i="56"/>
  <c r="A1692" i="56"/>
  <c r="A1651" i="56"/>
  <c r="A1650" i="56"/>
  <c r="A1456" i="56"/>
  <c r="A1322" i="56"/>
  <c r="A1408" i="56"/>
  <c r="A1473" i="56"/>
  <c r="A1562" i="56"/>
  <c r="A1227" i="56"/>
  <c r="A1359" i="56"/>
  <c r="A1433" i="56"/>
  <c r="A1498" i="56"/>
  <c r="A1423" i="56"/>
  <c r="A1260" i="56"/>
  <c r="A1402" i="56"/>
  <c r="A1467" i="56"/>
  <c r="A1556" i="56"/>
  <c r="A1237" i="56"/>
  <c r="A1378" i="56"/>
  <c r="A1444" i="56"/>
  <c r="A1508" i="56"/>
  <c r="A1344" i="56"/>
  <c r="A1428" i="56"/>
  <c r="A1493" i="56"/>
  <c r="A1246" i="56"/>
  <c r="A1336" i="56"/>
  <c r="A1421" i="56"/>
  <c r="A1486" i="56"/>
  <c r="A1232" i="56"/>
  <c r="A1364" i="56"/>
  <c r="A1438" i="56"/>
  <c r="A1503" i="56"/>
  <c r="A1208" i="56"/>
  <c r="A1214" i="56"/>
  <c r="A1220" i="56"/>
  <c r="A1217" i="56"/>
  <c r="A1290" i="56"/>
  <c r="A1275" i="56"/>
  <c r="A1268" i="56"/>
  <c r="A1269" i="56"/>
  <c r="A1297" i="56"/>
  <c r="A1271" i="56"/>
  <c r="A1272" i="56"/>
  <c r="A1371" i="56"/>
  <c r="A1376" i="56"/>
  <c r="A1357" i="56"/>
  <c r="A1565" i="56"/>
  <c r="A1643" i="56"/>
  <c r="A1581" i="56"/>
  <c r="A1621" i="56"/>
  <c r="A1590" i="56"/>
  <c r="A1633" i="56"/>
  <c r="A1583" i="56"/>
  <c r="A1623" i="56"/>
  <c r="A1584" i="56"/>
  <c r="A1536" i="56"/>
  <c r="A1528" i="56"/>
  <c r="A1626" i="56"/>
  <c r="A1530" i="56"/>
  <c r="A1684" i="56"/>
  <c r="A1699" i="56"/>
  <c r="A1665" i="56"/>
  <c r="A1688" i="56"/>
  <c r="A1697" i="56"/>
  <c r="A1655" i="56"/>
  <c r="A1693" i="56"/>
  <c r="A1660" i="56"/>
  <c r="A1496" i="56"/>
  <c r="A1330" i="56"/>
  <c r="A1416" i="56"/>
  <c r="A1481" i="56"/>
  <c r="A1241" i="56"/>
  <c r="A1235" i="56"/>
  <c r="A1367" i="56"/>
  <c r="A1442" i="56"/>
  <c r="A1506" i="56"/>
  <c r="A1464" i="56"/>
  <c r="A1324" i="56"/>
  <c r="A1410" i="56"/>
  <c r="A1475" i="56"/>
  <c r="A1321" i="56"/>
  <c r="A1245" i="56"/>
  <c r="A1386" i="56"/>
  <c r="A1452" i="56"/>
  <c r="A1541" i="56"/>
  <c r="A1362" i="56"/>
  <c r="A1436" i="56"/>
  <c r="A1501" i="56"/>
  <c r="A1262" i="56"/>
  <c r="A1352" i="56"/>
  <c r="A1429" i="56"/>
  <c r="A1494" i="56"/>
  <c r="A1240" i="56"/>
  <c r="A1381" i="56"/>
  <c r="A1447" i="56"/>
  <c r="A1511" i="56"/>
  <c r="A1200" i="56"/>
  <c r="A1206" i="56"/>
  <c r="A1212" i="56"/>
  <c r="A1218" i="56"/>
  <c r="A1298" i="56"/>
  <c r="A1283" i="56"/>
  <c r="A1276" i="56"/>
  <c r="A1277" i="56"/>
  <c r="A1286" i="56"/>
  <c r="A1279" i="56"/>
  <c r="A1280" i="56"/>
  <c r="A1349" i="56"/>
  <c r="A1346" i="56"/>
  <c r="A1579" i="56"/>
  <c r="A1517" i="56"/>
  <c r="A1516" i="56"/>
  <c r="A1589" i="56"/>
  <c r="A1642" i="56"/>
  <c r="A1525" i="56"/>
  <c r="A1601" i="56"/>
  <c r="A1591" i="56"/>
  <c r="A1627" i="56"/>
  <c r="A1592" i="56"/>
  <c r="A1616" i="56"/>
  <c r="A1599" i="56"/>
  <c r="A1567" i="56"/>
  <c r="A1614" i="56"/>
  <c r="A1676" i="56"/>
  <c r="A1683" i="56"/>
  <c r="A1654" i="56"/>
  <c r="A1680" i="56"/>
  <c r="A1687" i="56"/>
  <c r="A1703" i="56"/>
  <c r="A1674" i="56"/>
  <c r="A1689" i="56"/>
  <c r="A1545" i="56"/>
  <c r="A1340" i="56"/>
  <c r="A1424" i="56"/>
  <c r="A1489" i="56"/>
  <c r="A1329" i="56"/>
  <c r="A1243" i="56"/>
  <c r="A1384" i="56"/>
  <c r="A1450" i="56"/>
  <c r="A1514" i="56"/>
  <c r="A1488" i="56"/>
  <c r="A1333" i="56"/>
  <c r="A1418" i="56"/>
  <c r="A1483" i="56"/>
  <c r="A1382" i="56"/>
  <c r="A1253" i="56"/>
  <c r="A1394" i="56"/>
  <c r="A1460" i="56"/>
  <c r="A1549" i="56"/>
  <c r="A1379" i="56"/>
  <c r="A1445" i="56"/>
  <c r="A1509" i="56"/>
  <c r="A1231" i="56"/>
  <c r="A1363" i="56"/>
  <c r="A1437" i="56"/>
  <c r="A1502" i="56"/>
  <c r="A1248" i="56"/>
  <c r="A1389" i="56"/>
  <c r="A1455" i="56"/>
  <c r="A1544" i="56"/>
  <c r="A1209" i="56"/>
  <c r="A1194" i="56"/>
  <c r="A1204" i="56"/>
  <c r="A1210" i="56"/>
  <c r="A1306" i="56"/>
  <c r="A1291" i="56"/>
  <c r="A1284" i="56"/>
  <c r="A1285" i="56"/>
  <c r="A1302" i="56"/>
  <c r="A1287" i="56"/>
  <c r="A1288" i="56"/>
  <c r="A1372" i="56"/>
  <c r="A1355" i="56"/>
  <c r="A1634" i="56"/>
  <c r="A1580" i="56"/>
  <c r="A1522" i="56"/>
  <c r="A1524" i="56"/>
  <c r="A1539" i="56"/>
  <c r="A1596" i="56"/>
  <c r="A1531" i="56"/>
  <c r="A1518" i="56"/>
  <c r="A1574" i="56"/>
  <c r="A1519" i="56"/>
  <c r="A1624" i="56"/>
  <c r="A1607" i="56"/>
  <c r="A1578" i="56"/>
  <c r="A1538" i="56"/>
  <c r="A1668" i="56"/>
  <c r="A1675" i="56"/>
  <c r="A1646" i="56"/>
  <c r="A1672" i="56"/>
  <c r="A1679" i="56"/>
  <c r="A1702" i="56"/>
  <c r="A1197" i="56"/>
  <c r="A1183" i="56"/>
  <c r="A1182" i="56"/>
  <c r="A1171" i="56"/>
  <c r="A1180" i="56"/>
  <c r="A1172" i="56"/>
  <c r="A1170" i="56"/>
  <c r="A1181" i="56"/>
  <c r="A1174" i="56"/>
  <c r="A1178" i="56"/>
  <c r="A1187" i="56"/>
  <c r="A1188" i="56"/>
  <c r="A1173" i="56"/>
  <c r="A1168" i="56"/>
  <c r="A1175" i="56"/>
  <c r="A1179" i="56"/>
  <c r="A1177" i="56"/>
  <c r="A1169" i="56"/>
  <c r="A1176" i="56"/>
  <c r="A1185" i="56"/>
  <c r="A1189" i="56"/>
  <c r="A1186" i="56"/>
  <c r="A1190" i="56"/>
  <c r="A1160" i="56"/>
  <c r="A1156" i="56"/>
  <c r="A1167" i="56"/>
  <c r="A1157" i="56"/>
  <c r="A1166" i="56"/>
  <c r="A1159" i="56"/>
  <c r="A1165" i="56"/>
  <c r="A1158" i="56"/>
  <c r="A1164" i="56"/>
  <c r="A1163" i="56"/>
  <c r="A1162" i="56"/>
  <c r="A1161" i="56"/>
  <c r="A1076" i="56"/>
  <c r="A1153" i="56"/>
  <c r="A1152" i="56"/>
  <c r="A1151" i="56"/>
  <c r="A1155" i="56"/>
  <c r="A1077" i="56"/>
  <c r="A1075" i="56"/>
  <c r="A1078" i="56"/>
  <c r="A1154" i="56"/>
  <c r="A1072" i="56"/>
  <c r="A1068" i="56"/>
  <c r="A1067" i="56"/>
  <c r="A1073" i="56"/>
  <c r="A1069" i="56"/>
  <c r="A1070" i="56"/>
  <c r="A954" i="56"/>
  <c r="A1071" i="56"/>
  <c r="A1064" i="56"/>
  <c r="A1140" i="56"/>
  <c r="A1141" i="56"/>
  <c r="A1138" i="56"/>
  <c r="A1139" i="56"/>
  <c r="A1142" i="56"/>
  <c r="A1148" i="56"/>
  <c r="A1150" i="56"/>
  <c r="A1137" i="56"/>
  <c r="A1143" i="56"/>
  <c r="A1144" i="56"/>
  <c r="A1145" i="56"/>
  <c r="A1146" i="56"/>
  <c r="A1147" i="56"/>
  <c r="A1149" i="56"/>
  <c r="A1059" i="56"/>
  <c r="A1062" i="56"/>
  <c r="A1055" i="56"/>
  <c r="A1052" i="56"/>
  <c r="A1048" i="56"/>
  <c r="A1047" i="56"/>
  <c r="A1041" i="56"/>
  <c r="A1051" i="56"/>
  <c r="A1049" i="56"/>
  <c r="A1046" i="56"/>
  <c r="A1054" i="56"/>
  <c r="A1053" i="56"/>
  <c r="A1050" i="56"/>
  <c r="A1040" i="56"/>
  <c r="A1035" i="56"/>
  <c r="A1031" i="56"/>
  <c r="A1036" i="56"/>
  <c r="A1032" i="56"/>
  <c r="A1034" i="56"/>
  <c r="A1033" i="56"/>
  <c r="A1058" i="56"/>
  <c r="A1065" i="56"/>
  <c r="A1080" i="56"/>
  <c r="A1084" i="56"/>
  <c r="A1088" i="56"/>
  <c r="A1092" i="56"/>
  <c r="A1096" i="56"/>
  <c r="A1100" i="56"/>
  <c r="A1104" i="56"/>
  <c r="A1108" i="56"/>
  <c r="A1112" i="56"/>
  <c r="A1116" i="56"/>
  <c r="A1120" i="56"/>
  <c r="A1124" i="56"/>
  <c r="A1128" i="56"/>
  <c r="A1133" i="56"/>
  <c r="A1129" i="56"/>
  <c r="A1134" i="56"/>
  <c r="A1110" i="56"/>
  <c r="A1118" i="56"/>
  <c r="A1126" i="56"/>
  <c r="A1063" i="56"/>
  <c r="A1091" i="56"/>
  <c r="A1099" i="56"/>
  <c r="A1115" i="56"/>
  <c r="A1123" i="56"/>
  <c r="A1136" i="56"/>
  <c r="A1045" i="56"/>
  <c r="A1060" i="56"/>
  <c r="A1066" i="56"/>
  <c r="A1081" i="56"/>
  <c r="A1085" i="56"/>
  <c r="A1089" i="56"/>
  <c r="A1093" i="56"/>
  <c r="A1097" i="56"/>
  <c r="A1101" i="56"/>
  <c r="A1105" i="56"/>
  <c r="A1109" i="56"/>
  <c r="A1113" i="56"/>
  <c r="A1117" i="56"/>
  <c r="A1121" i="56"/>
  <c r="A1125" i="56"/>
  <c r="A1098" i="56"/>
  <c r="A1106" i="56"/>
  <c r="A1122" i="56"/>
  <c r="A1135" i="56"/>
  <c r="A1079" i="56"/>
  <c r="A1087" i="56"/>
  <c r="A1103" i="56"/>
  <c r="A1107" i="56"/>
  <c r="A1119" i="56"/>
  <c r="A1056" i="56"/>
  <c r="A1061" i="56"/>
  <c r="A1074" i="56"/>
  <c r="A1082" i="56"/>
  <c r="A1086" i="56"/>
  <c r="A1090" i="56"/>
  <c r="A1094" i="56"/>
  <c r="A1102" i="56"/>
  <c r="A1114" i="56"/>
  <c r="A1130" i="56"/>
  <c r="A1057" i="56"/>
  <c r="A1083" i="56"/>
  <c r="A1095" i="56"/>
  <c r="A1111" i="56"/>
  <c r="A1127" i="56"/>
  <c r="A1132" i="56"/>
  <c r="A1042" i="56"/>
  <c r="A1030" i="56"/>
  <c r="A1020" i="56"/>
  <c r="A1023" i="56"/>
  <c r="A1029" i="56"/>
  <c r="A1044" i="56"/>
  <c r="A1028" i="56"/>
  <c r="A1038" i="56"/>
  <c r="A1026" i="56"/>
  <c r="A1022" i="56"/>
  <c r="A1019" i="56"/>
  <c r="A1043" i="56"/>
  <c r="A1037" i="56"/>
  <c r="A1025" i="56"/>
  <c r="A1021" i="56"/>
  <c r="A1024" i="56"/>
  <c r="A1039" i="56"/>
  <c r="A1027" i="56"/>
  <c r="A1012" i="56"/>
  <c r="A1015" i="56"/>
  <c r="A1013" i="56"/>
  <c r="A1010" i="56"/>
  <c r="A1014" i="56"/>
  <c r="A1017" i="56"/>
  <c r="A1011" i="56"/>
  <c r="A1018" i="56"/>
  <c r="A1016" i="56"/>
  <c r="A992" i="56"/>
  <c r="A1008" i="56"/>
  <c r="A989" i="56"/>
  <c r="A1006" i="56"/>
  <c r="A987" i="56"/>
  <c r="A991" i="56"/>
  <c r="A1007" i="56"/>
  <c r="A988" i="56"/>
  <c r="A994" i="56"/>
  <c r="A990" i="56"/>
  <c r="A999" i="56"/>
  <c r="A1009" i="56"/>
  <c r="A998" i="56"/>
  <c r="A993" i="56"/>
  <c r="A1005" i="56"/>
  <c r="A986" i="56"/>
  <c r="A995" i="56"/>
  <c r="A1001" i="56"/>
  <c r="A975" i="56"/>
  <c r="A979" i="56"/>
  <c r="A983" i="56"/>
  <c r="A1003" i="56"/>
  <c r="A973" i="56"/>
  <c r="A981" i="56"/>
  <c r="A1004" i="56"/>
  <c r="A978" i="56"/>
  <c r="A996" i="56"/>
  <c r="A1002" i="56"/>
  <c r="A976" i="56"/>
  <c r="A980" i="56"/>
  <c r="A984" i="56"/>
  <c r="A997" i="56"/>
  <c r="A977" i="56"/>
  <c r="A985" i="56"/>
  <c r="A1000" i="56"/>
  <c r="A974" i="56"/>
  <c r="A982" i="56"/>
  <c r="A891" i="56"/>
  <c r="A913" i="56"/>
  <c r="A858" i="56"/>
  <c r="A817" i="56"/>
  <c r="A767" i="56"/>
  <c r="A898" i="56"/>
  <c r="A944" i="56"/>
  <c r="A843" i="56"/>
  <c r="A925" i="56"/>
  <c r="A896" i="56"/>
  <c r="A840" i="56"/>
  <c r="A800" i="56"/>
  <c r="A919" i="56"/>
  <c r="A887" i="56"/>
  <c r="A754" i="56"/>
  <c r="A850" i="56"/>
  <c r="A917" i="56"/>
  <c r="A882" i="56"/>
  <c r="A943" i="56"/>
  <c r="A861" i="56"/>
  <c r="A950" i="56"/>
  <c r="A847" i="56"/>
  <c r="A806" i="56"/>
  <c r="A942" i="56"/>
  <c r="A878" i="56"/>
  <c r="A796" i="56"/>
  <c r="A801" i="56"/>
  <c r="A859" i="56"/>
  <c r="A903" i="56"/>
  <c r="A873" i="56"/>
  <c r="A829" i="56"/>
  <c r="A926" i="56"/>
  <c r="A897" i="56"/>
  <c r="A755" i="56"/>
  <c r="A777" i="56"/>
  <c r="A922" i="56"/>
  <c r="A895" i="56"/>
  <c r="A787" i="56"/>
  <c r="A774" i="56"/>
  <c r="A927" i="56"/>
  <c r="A933" i="56"/>
  <c r="A798" i="56"/>
  <c r="A900" i="56"/>
  <c r="A907" i="56"/>
  <c r="A892" i="56"/>
  <c r="A779" i="56"/>
  <c r="A849" i="56"/>
  <c r="A855" i="56"/>
  <c r="A781" i="56"/>
  <c r="A832" i="56"/>
  <c r="A916" i="56"/>
  <c r="A869" i="56"/>
  <c r="A770" i="56"/>
  <c r="A842" i="56"/>
  <c r="A881" i="56"/>
  <c r="A899" i="56"/>
  <c r="A864" i="56"/>
  <c r="A753" i="56"/>
  <c r="A914" i="56"/>
  <c r="A960" i="56"/>
  <c r="A759" i="56"/>
  <c r="A808" i="56"/>
  <c r="A912" i="56"/>
  <c r="A894" i="56"/>
  <c r="A848" i="56"/>
  <c r="A860" i="56"/>
  <c r="A908" i="56"/>
  <c r="A958" i="56"/>
  <c r="A803" i="56"/>
  <c r="A831" i="56"/>
  <c r="A949" i="56"/>
  <c r="A937" i="56"/>
  <c r="A938" i="56"/>
  <c r="A941" i="56"/>
  <c r="A886" i="56"/>
  <c r="A812" i="56"/>
  <c r="A809" i="56"/>
  <c r="A930" i="56"/>
  <c r="A868" i="56"/>
  <c r="A822" i="56"/>
  <c r="A841" i="56"/>
  <c r="A872" i="56"/>
  <c r="A964" i="56"/>
  <c r="A823" i="56"/>
  <c r="A934" i="56"/>
  <c r="A953" i="56"/>
  <c r="A874" i="56"/>
  <c r="A764" i="56"/>
  <c r="A824" i="56"/>
  <c r="A902" i="56"/>
  <c r="A857" i="56"/>
  <c r="A811" i="56"/>
  <c r="A765" i="56"/>
  <c r="A951" i="56"/>
  <c r="A945" i="56"/>
  <c r="A775" i="56"/>
  <c r="A962" i="56"/>
  <c r="A863" i="56"/>
  <c r="A789" i="56"/>
  <c r="A825" i="56"/>
  <c r="A924" i="56"/>
  <c r="A877" i="56"/>
  <c r="A802" i="56"/>
  <c r="A940" i="56"/>
  <c r="A929" i="56"/>
  <c r="A867" i="56"/>
  <c r="A762" i="56"/>
  <c r="A768" i="56"/>
  <c r="A778" i="56"/>
  <c r="A955" i="56"/>
  <c r="A756" i="56"/>
  <c r="A851" i="56"/>
  <c r="A928" i="56"/>
  <c r="A959" i="56"/>
  <c r="A783" i="56"/>
  <c r="A790" i="56"/>
  <c r="A909" i="56"/>
  <c r="A957" i="56"/>
  <c r="A807" i="56"/>
  <c r="A837" i="56"/>
  <c r="A871" i="56"/>
  <c r="A797" i="56"/>
  <c r="A794" i="56"/>
  <c r="A834" i="56"/>
  <c r="A947" i="56"/>
  <c r="A830" i="56"/>
  <c r="A819" i="56"/>
  <c r="A923" i="56"/>
  <c r="A876" i="56"/>
  <c r="A936" i="56"/>
  <c r="A760" i="56"/>
  <c r="A920" i="56"/>
  <c r="A893" i="56"/>
  <c r="A845" i="56"/>
  <c r="A911" i="56"/>
  <c r="A833" i="56"/>
  <c r="A862" i="56"/>
  <c r="A772" i="56"/>
  <c r="A785" i="56"/>
  <c r="A910" i="56"/>
  <c r="A865" i="56"/>
  <c r="A821" i="56"/>
  <c r="A788" i="56"/>
  <c r="A879" i="56"/>
  <c r="A805" i="56"/>
  <c r="A828" i="56"/>
  <c r="A799" i="56"/>
  <c r="A963" i="56"/>
  <c r="A838" i="56"/>
  <c r="A827" i="56"/>
  <c r="A932" i="56"/>
  <c r="A885" i="56"/>
  <c r="A836" i="56"/>
  <c r="A752" i="56"/>
  <c r="A952" i="56"/>
  <c r="A875" i="56"/>
  <c r="A786" i="56"/>
  <c r="A792" i="56"/>
  <c r="A906" i="56"/>
  <c r="A880" i="56"/>
  <c r="A820" i="56"/>
  <c r="A921" i="56"/>
  <c r="A967" i="56"/>
  <c r="A915" i="56"/>
  <c r="A853" i="56"/>
  <c r="A791" i="56"/>
  <c r="A826" i="56"/>
  <c r="A904" i="56"/>
  <c r="A856" i="56"/>
  <c r="A939" i="56"/>
  <c r="A793" i="56"/>
  <c r="A890" i="56"/>
  <c r="A846" i="56"/>
  <c r="A835" i="56"/>
  <c r="A966" i="56"/>
  <c r="A946" i="56"/>
  <c r="A771" i="56"/>
  <c r="A761" i="56"/>
  <c r="A884" i="56"/>
  <c r="A782" i="56"/>
  <c r="A776" i="56"/>
  <c r="A969" i="56"/>
  <c r="A866" i="56"/>
  <c r="A935" i="56"/>
  <c r="A870" i="56"/>
  <c r="A905" i="56"/>
  <c r="A839" i="56"/>
  <c r="A766" i="56"/>
  <c r="A968" i="56"/>
  <c r="A931" i="56"/>
  <c r="A971" i="56"/>
  <c r="A852" i="56"/>
  <c r="A780" i="56"/>
  <c r="A961" i="56"/>
  <c r="A948" i="56"/>
  <c r="A813" i="56"/>
  <c r="A844" i="56"/>
  <c r="A918" i="56"/>
  <c r="A889" i="56"/>
  <c r="A795" i="56"/>
  <c r="A769" i="56"/>
  <c r="A972" i="56"/>
  <c r="A888" i="56"/>
  <c r="A814" i="56"/>
  <c r="A784" i="56"/>
  <c r="A970" i="56"/>
  <c r="A883" i="56"/>
  <c r="A810" i="56"/>
  <c r="A818" i="56"/>
  <c r="A901" i="56"/>
  <c r="A965" i="56"/>
  <c r="A763" i="56"/>
  <c r="A804" i="56"/>
  <c r="A956" i="56"/>
  <c r="A773" i="56"/>
  <c r="A757" i="56"/>
  <c r="A854" i="56"/>
  <c r="A815" i="56"/>
  <c r="A816" i="56"/>
  <c r="A687" i="56"/>
  <c r="A691" i="56"/>
  <c r="A695" i="56"/>
  <c r="A699" i="56"/>
  <c r="A703" i="56"/>
  <c r="A707" i="56"/>
  <c r="A711" i="56"/>
  <c r="A715" i="56"/>
  <c r="A719" i="56"/>
  <c r="A723" i="56"/>
  <c r="A727" i="56"/>
  <c r="A731" i="56"/>
  <c r="A735" i="56"/>
  <c r="A739" i="56"/>
  <c r="A743" i="56"/>
  <c r="A747" i="56"/>
  <c r="A751" i="56"/>
  <c r="A690" i="56"/>
  <c r="A706" i="56"/>
  <c r="A722" i="56"/>
  <c r="A726" i="56"/>
  <c r="A738" i="56"/>
  <c r="A750" i="56"/>
  <c r="A688" i="56"/>
  <c r="A692" i="56"/>
  <c r="A696" i="56"/>
  <c r="A700" i="56"/>
  <c r="A704" i="56"/>
  <c r="A708" i="56"/>
  <c r="A712" i="56"/>
  <c r="A716" i="56"/>
  <c r="A720" i="56"/>
  <c r="A724" i="56"/>
  <c r="A728" i="56"/>
  <c r="A732" i="56"/>
  <c r="A736" i="56"/>
  <c r="A740" i="56"/>
  <c r="A744" i="56"/>
  <c r="A748" i="56"/>
  <c r="A698" i="56"/>
  <c r="A710" i="56"/>
  <c r="A718" i="56"/>
  <c r="A730" i="56"/>
  <c r="A746" i="56"/>
  <c r="A758" i="56"/>
  <c r="A689" i="56"/>
  <c r="A693" i="56"/>
  <c r="A697" i="56"/>
  <c r="A701" i="56"/>
  <c r="A705" i="56"/>
  <c r="A709" i="56"/>
  <c r="A713" i="56"/>
  <c r="A717" i="56"/>
  <c r="A721" i="56"/>
  <c r="A725" i="56"/>
  <c r="A729" i="56"/>
  <c r="A733" i="56"/>
  <c r="A737" i="56"/>
  <c r="A741" i="56"/>
  <c r="A745" i="56"/>
  <c r="A749" i="56"/>
  <c r="A694" i="56"/>
  <c r="A702" i="56"/>
  <c r="A714" i="56"/>
  <c r="A734" i="56"/>
  <c r="A742" i="56"/>
  <c r="A636" i="56"/>
  <c r="A632" i="56"/>
  <c r="A628" i="56"/>
  <c r="A682" i="56"/>
  <c r="A627" i="56"/>
  <c r="A677" i="56"/>
  <c r="A673" i="56"/>
  <c r="A658" i="56"/>
  <c r="A623" i="56"/>
  <c r="A637" i="56"/>
  <c r="A686" i="56"/>
  <c r="A670" i="56"/>
  <c r="A635" i="56"/>
  <c r="A631" i="56"/>
  <c r="A681" i="56"/>
  <c r="A661" i="56"/>
  <c r="A626" i="56"/>
  <c r="A685" i="56"/>
  <c r="A676" i="56"/>
  <c r="A672" i="56"/>
  <c r="A657" i="56"/>
  <c r="A684" i="56"/>
  <c r="A671" i="56"/>
  <c r="A633" i="56"/>
  <c r="A659" i="56"/>
  <c r="A674" i="56"/>
  <c r="A634" i="56"/>
  <c r="A630" i="56"/>
  <c r="A680" i="56"/>
  <c r="A662" i="56"/>
  <c r="A678" i="56"/>
  <c r="A660" i="56"/>
  <c r="A625" i="56"/>
  <c r="A675" i="56"/>
  <c r="A629" i="56"/>
  <c r="A679" i="56"/>
  <c r="A624" i="56"/>
  <c r="A683" i="56"/>
  <c r="A652" i="56"/>
  <c r="A656" i="56"/>
  <c r="A653" i="56"/>
  <c r="A663" i="56"/>
  <c r="A667" i="56"/>
  <c r="A654" i="56"/>
  <c r="A664" i="56"/>
  <c r="A668" i="56"/>
  <c r="A655" i="56"/>
  <c r="A665" i="56"/>
  <c r="A669" i="56"/>
  <c r="A666" i="56"/>
  <c r="A29" i="56"/>
  <c r="A33" i="56"/>
  <c r="A37" i="56"/>
  <c r="A41" i="56"/>
  <c r="A45" i="56"/>
  <c r="A49" i="56"/>
  <c r="A53" i="56"/>
  <c r="A57" i="56"/>
  <c r="A61" i="56"/>
  <c r="A65" i="56"/>
  <c r="A69" i="56"/>
  <c r="A73" i="56"/>
  <c r="A77" i="56"/>
  <c r="A81" i="56"/>
  <c r="A85" i="56"/>
  <c r="A89" i="56"/>
  <c r="A93" i="56"/>
  <c r="A97" i="56"/>
  <c r="A101" i="56"/>
  <c r="A105" i="56"/>
  <c r="A109" i="56"/>
  <c r="A113" i="56"/>
  <c r="A117" i="56"/>
  <c r="A121" i="56"/>
  <c r="A125" i="56"/>
  <c r="A129" i="56"/>
  <c r="A133" i="56"/>
  <c r="A137" i="56"/>
  <c r="A141" i="56"/>
  <c r="A145" i="56"/>
  <c r="A149" i="56"/>
  <c r="A153" i="56"/>
  <c r="A157" i="56"/>
  <c r="A161" i="56"/>
  <c r="A165" i="56"/>
  <c r="A169" i="56"/>
  <c r="A173" i="56"/>
  <c r="A177" i="56"/>
  <c r="A181" i="56"/>
  <c r="A185" i="56"/>
  <c r="A189" i="56"/>
  <c r="A193" i="56"/>
  <c r="A197" i="56"/>
  <c r="A201" i="56"/>
  <c r="A205" i="56"/>
  <c r="A209" i="56"/>
  <c r="A213" i="56"/>
  <c r="A217" i="56"/>
  <c r="A221" i="56"/>
  <c r="A225" i="56"/>
  <c r="A229" i="56"/>
  <c r="A233" i="56"/>
  <c r="A237" i="56"/>
  <c r="A241" i="56"/>
  <c r="A30" i="56"/>
  <c r="A34" i="56"/>
  <c r="A38" i="56"/>
  <c r="A42" i="56"/>
  <c r="A46" i="56"/>
  <c r="A50" i="56"/>
  <c r="A54" i="56"/>
  <c r="A58" i="56"/>
  <c r="A62" i="56"/>
  <c r="A66" i="56"/>
  <c r="A70" i="56"/>
  <c r="A74" i="56"/>
  <c r="A78" i="56"/>
  <c r="A82" i="56"/>
  <c r="A86" i="56"/>
  <c r="A90" i="56"/>
  <c r="A94" i="56"/>
  <c r="A98" i="56"/>
  <c r="A102" i="56"/>
  <c r="A106" i="56"/>
  <c r="A110" i="56"/>
  <c r="A114" i="56"/>
  <c r="A118" i="56"/>
  <c r="A122" i="56"/>
  <c r="A126" i="56"/>
  <c r="A130" i="56"/>
  <c r="A134" i="56"/>
  <c r="A138" i="56"/>
  <c r="A142" i="56"/>
  <c r="A146" i="56"/>
  <c r="A150" i="56"/>
  <c r="A154" i="56"/>
  <c r="A158" i="56"/>
  <c r="A162" i="56"/>
  <c r="A166" i="56"/>
  <c r="A170" i="56"/>
  <c r="A174" i="56"/>
  <c r="A178" i="56"/>
  <c r="A182" i="56"/>
  <c r="A186" i="56"/>
  <c r="A190" i="56"/>
  <c r="A194" i="56"/>
  <c r="A198" i="56"/>
  <c r="A202" i="56"/>
  <c r="A206" i="56"/>
  <c r="A210" i="56"/>
  <c r="A31" i="56"/>
  <c r="A35" i="56"/>
  <c r="A39" i="56"/>
  <c r="A43" i="56"/>
  <c r="A47" i="56"/>
  <c r="A51" i="56"/>
  <c r="A55" i="56"/>
  <c r="A59" i="56"/>
  <c r="A63" i="56"/>
  <c r="A67" i="56"/>
  <c r="A71" i="56"/>
  <c r="A75" i="56"/>
  <c r="A79" i="56"/>
  <c r="A83" i="56"/>
  <c r="A87" i="56"/>
  <c r="A91" i="56"/>
  <c r="A95" i="56"/>
  <c r="A99" i="56"/>
  <c r="A103" i="56"/>
  <c r="A107" i="56"/>
  <c r="A111" i="56"/>
  <c r="A115" i="56"/>
  <c r="A119" i="56"/>
  <c r="A123" i="56"/>
  <c r="A127" i="56"/>
  <c r="A131" i="56"/>
  <c r="A135" i="56"/>
  <c r="A139" i="56"/>
  <c r="A143" i="56"/>
  <c r="A147" i="56"/>
  <c r="A151" i="56"/>
  <c r="A155" i="56"/>
  <c r="A159" i="56"/>
  <c r="A163" i="56"/>
  <c r="A167" i="56"/>
  <c r="A171" i="56"/>
  <c r="A175" i="56"/>
  <c r="A179" i="56"/>
  <c r="A183" i="56"/>
  <c r="A187" i="56"/>
  <c r="A191" i="56"/>
  <c r="A195" i="56"/>
  <c r="A199" i="56"/>
  <c r="A203" i="56"/>
  <c r="A207" i="56"/>
  <c r="A211" i="56"/>
  <c r="A215" i="56"/>
  <c r="A219" i="56"/>
  <c r="A223" i="56"/>
  <c r="A227" i="56"/>
  <c r="A231" i="56"/>
  <c r="A235" i="56"/>
  <c r="A239" i="56"/>
  <c r="A243" i="56"/>
  <c r="A247" i="56"/>
  <c r="A251" i="56"/>
  <c r="A255" i="56"/>
  <c r="A259" i="56"/>
  <c r="A263" i="56"/>
  <c r="A267" i="56"/>
  <c r="A271" i="56"/>
  <c r="A275" i="56"/>
  <c r="A279" i="56"/>
  <c r="A283" i="56"/>
  <c r="A287" i="56"/>
  <c r="A291" i="56"/>
  <c r="A295" i="56"/>
  <c r="A299" i="56"/>
  <c r="A303" i="56"/>
  <c r="A307" i="56"/>
  <c r="A311" i="56"/>
  <c r="A315" i="56"/>
  <c r="A319" i="56"/>
  <c r="A323" i="56"/>
  <c r="A327" i="56"/>
  <c r="A331" i="56"/>
  <c r="A335" i="56"/>
  <c r="A339" i="56"/>
  <c r="A343" i="56"/>
  <c r="A347" i="56"/>
  <c r="A351" i="56"/>
  <c r="A355" i="56"/>
  <c r="A359" i="56"/>
  <c r="A363" i="56"/>
  <c r="A367" i="56"/>
  <c r="A32" i="56"/>
  <c r="A36" i="56"/>
  <c r="A40" i="56"/>
  <c r="A44" i="56"/>
  <c r="A48" i="56"/>
  <c r="A52" i="56"/>
  <c r="A56" i="56"/>
  <c r="A60" i="56"/>
  <c r="A64" i="56"/>
  <c r="A68" i="56"/>
  <c r="A72" i="56"/>
  <c r="A76" i="56"/>
  <c r="A80" i="56"/>
  <c r="A84" i="56"/>
  <c r="A88" i="56"/>
  <c r="A92" i="56"/>
  <c r="A96" i="56"/>
  <c r="A100" i="56"/>
  <c r="A104" i="56"/>
  <c r="A108" i="56"/>
  <c r="A112" i="56"/>
  <c r="A116" i="56"/>
  <c r="A120" i="56"/>
  <c r="A124" i="56"/>
  <c r="A128" i="56"/>
  <c r="A132" i="56"/>
  <c r="A136" i="56"/>
  <c r="A140" i="56"/>
  <c r="A144" i="56"/>
  <c r="A148" i="56"/>
  <c r="A152" i="56"/>
  <c r="A156" i="56"/>
  <c r="A160" i="56"/>
  <c r="A164" i="56"/>
  <c r="A168" i="56"/>
  <c r="A172" i="56"/>
  <c r="A176" i="56"/>
  <c r="A180" i="56"/>
  <c r="A184" i="56"/>
  <c r="A188" i="56"/>
  <c r="A192" i="56"/>
  <c r="A196" i="56"/>
  <c r="A200" i="56"/>
  <c r="A204" i="56"/>
  <c r="A208" i="56"/>
  <c r="A212" i="56"/>
  <c r="A216" i="56"/>
  <c r="A220" i="56"/>
  <c r="A224" i="56"/>
  <c r="A228" i="56"/>
  <c r="A232" i="56"/>
  <c r="A236" i="56"/>
  <c r="A240" i="56"/>
  <c r="A244" i="56"/>
  <c r="A248" i="56"/>
  <c r="A252" i="56"/>
  <c r="A256" i="56"/>
  <c r="A260" i="56"/>
  <c r="A264" i="56"/>
  <c r="A268" i="56"/>
  <c r="A272" i="56"/>
  <c r="A276" i="56"/>
  <c r="A280" i="56"/>
  <c r="A284" i="56"/>
  <c r="A288" i="56"/>
  <c r="A292" i="56"/>
  <c r="A296" i="56"/>
  <c r="A300" i="56"/>
  <c r="A304" i="56"/>
  <c r="A308" i="56"/>
  <c r="A312" i="56"/>
  <c r="A316" i="56"/>
  <c r="A320" i="56"/>
  <c r="A324" i="56"/>
  <c r="A328" i="56"/>
  <c r="A332" i="56"/>
  <c r="A336" i="56"/>
  <c r="A340" i="56"/>
  <c r="A344" i="56"/>
  <c r="A348" i="56"/>
  <c r="A352" i="56"/>
  <c r="A356" i="56"/>
  <c r="A360" i="56"/>
  <c r="A364" i="56"/>
  <c r="A368" i="56"/>
  <c r="A214" i="56"/>
  <c r="A230" i="56"/>
  <c r="A245" i="56"/>
  <c r="A253" i="56"/>
  <c r="A261" i="56"/>
  <c r="A269" i="56"/>
  <c r="A277" i="56"/>
  <c r="A285" i="56"/>
  <c r="A293" i="56"/>
  <c r="A301" i="56"/>
  <c r="A309" i="56"/>
  <c r="A317" i="56"/>
  <c r="A325" i="56"/>
  <c r="A333" i="56"/>
  <c r="A341" i="56"/>
  <c r="A349" i="56"/>
  <c r="A357" i="56"/>
  <c r="A365" i="56"/>
  <c r="A371" i="56"/>
  <c r="A375" i="56"/>
  <c r="A379" i="56"/>
  <c r="A383" i="56"/>
  <c r="A387" i="56"/>
  <c r="A391" i="56"/>
  <c r="A395" i="56"/>
  <c r="A399" i="56"/>
  <c r="A403" i="56"/>
  <c r="A407" i="56"/>
  <c r="A411" i="56"/>
  <c r="A415" i="56"/>
  <c r="A419" i="56"/>
  <c r="A423" i="56"/>
  <c r="A427" i="56"/>
  <c r="A431" i="56"/>
  <c r="A435" i="56"/>
  <c r="A439" i="56"/>
  <c r="A443" i="56"/>
  <c r="A447" i="56"/>
  <c r="A451" i="56"/>
  <c r="A455" i="56"/>
  <c r="A459" i="56"/>
  <c r="A463" i="56"/>
  <c r="A467" i="56"/>
  <c r="A471" i="56"/>
  <c r="A475" i="56"/>
  <c r="A479" i="56"/>
  <c r="A483" i="56"/>
  <c r="A487" i="56"/>
  <c r="A491" i="56"/>
  <c r="A495" i="56"/>
  <c r="A499" i="56"/>
  <c r="A503" i="56"/>
  <c r="A507" i="56"/>
  <c r="A511" i="56"/>
  <c r="A515" i="56"/>
  <c r="A519" i="56"/>
  <c r="A523" i="56"/>
  <c r="A527" i="56"/>
  <c r="A531" i="56"/>
  <c r="A535" i="56"/>
  <c r="A539" i="56"/>
  <c r="A543" i="56"/>
  <c r="A547" i="56"/>
  <c r="A551" i="56"/>
  <c r="A555" i="56"/>
  <c r="A559" i="56"/>
  <c r="A563" i="56"/>
  <c r="A567" i="56"/>
  <c r="A571" i="56"/>
  <c r="A575" i="56"/>
  <c r="A579" i="56"/>
  <c r="A583" i="56"/>
  <c r="A587" i="56"/>
  <c r="A591" i="56"/>
  <c r="A595" i="56"/>
  <c r="A599" i="56"/>
  <c r="A603" i="56"/>
  <c r="A607" i="56"/>
  <c r="A611" i="56"/>
  <c r="A615" i="56"/>
  <c r="A619" i="56"/>
  <c r="A638" i="56"/>
  <c r="A642" i="56"/>
  <c r="A218" i="56"/>
  <c r="A234" i="56"/>
  <c r="A246" i="56"/>
  <c r="A254" i="56"/>
  <c r="A262" i="56"/>
  <c r="A270" i="56"/>
  <c r="A278" i="56"/>
  <c r="A286" i="56"/>
  <c r="A294" i="56"/>
  <c r="A302" i="56"/>
  <c r="A310" i="56"/>
  <c r="A318" i="56"/>
  <c r="A326" i="56"/>
  <c r="A334" i="56"/>
  <c r="A342" i="56"/>
  <c r="A350" i="56"/>
  <c r="A358" i="56"/>
  <c r="A366" i="56"/>
  <c r="A372" i="56"/>
  <c r="A376" i="56"/>
  <c r="A380" i="56"/>
  <c r="A384" i="56"/>
  <c r="A388" i="56"/>
  <c r="A392" i="56"/>
  <c r="A396" i="56"/>
  <c r="A400" i="56"/>
  <c r="A404" i="56"/>
  <c r="A408" i="56"/>
  <c r="A412" i="56"/>
  <c r="A416" i="56"/>
  <c r="A420" i="56"/>
  <c r="A424" i="56"/>
  <c r="A428" i="56"/>
  <c r="A432" i="56"/>
  <c r="A436" i="56"/>
  <c r="A440" i="56"/>
  <c r="A444" i="56"/>
  <c r="A448" i="56"/>
  <c r="A452" i="56"/>
  <c r="A456" i="56"/>
  <c r="A460" i="56"/>
  <c r="A464" i="56"/>
  <c r="A468" i="56"/>
  <c r="A472" i="56"/>
  <c r="A476" i="56"/>
  <c r="A480" i="56"/>
  <c r="A484" i="56"/>
  <c r="A488" i="56"/>
  <c r="A492" i="56"/>
  <c r="A496" i="56"/>
  <c r="A500" i="56"/>
  <c r="A504" i="56"/>
  <c r="A508" i="56"/>
  <c r="A512" i="56"/>
  <c r="A516" i="56"/>
  <c r="A520" i="56"/>
  <c r="A524" i="56"/>
  <c r="A528" i="56"/>
  <c r="A532" i="56"/>
  <c r="A536" i="56"/>
  <c r="A540" i="56"/>
  <c r="A544" i="56"/>
  <c r="A548" i="56"/>
  <c r="A552" i="56"/>
  <c r="A556" i="56"/>
  <c r="A560" i="56"/>
  <c r="A564" i="56"/>
  <c r="A568" i="56"/>
  <c r="A572" i="56"/>
  <c r="A576" i="56"/>
  <c r="A580" i="56"/>
  <c r="A584" i="56"/>
  <c r="A588" i="56"/>
  <c r="A592" i="56"/>
  <c r="A596" i="56"/>
  <c r="A600" i="56"/>
  <c r="A604" i="56"/>
  <c r="A608" i="56"/>
  <c r="A612" i="56"/>
  <c r="A616" i="56"/>
  <c r="A620" i="56"/>
  <c r="A639" i="56"/>
  <c r="A643" i="56"/>
  <c r="A647" i="56"/>
  <c r="A651" i="56"/>
  <c r="A222" i="56"/>
  <c r="A238" i="56"/>
  <c r="A249" i="56"/>
  <c r="A257" i="56"/>
  <c r="A265" i="56"/>
  <c r="A273" i="56"/>
  <c r="A281" i="56"/>
  <c r="A289" i="56"/>
  <c r="A297" i="56"/>
  <c r="A305" i="56"/>
  <c r="A313" i="56"/>
  <c r="A321" i="56"/>
  <c r="A329" i="56"/>
  <c r="A337" i="56"/>
  <c r="A345" i="56"/>
  <c r="A353" i="56"/>
  <c r="A361" i="56"/>
  <c r="A369" i="56"/>
  <c r="A373" i="56"/>
  <c r="A377" i="56"/>
  <c r="A381" i="56"/>
  <c r="A385" i="56"/>
  <c r="A389" i="56"/>
  <c r="A393" i="56"/>
  <c r="A397" i="56"/>
  <c r="A401" i="56"/>
  <c r="A405" i="56"/>
  <c r="A409" i="56"/>
  <c r="A413" i="56"/>
  <c r="A417" i="56"/>
  <c r="A421" i="56"/>
  <c r="A425" i="56"/>
  <c r="A429" i="56"/>
  <c r="A433" i="56"/>
  <c r="A437" i="56"/>
  <c r="A441" i="56"/>
  <c r="A445" i="56"/>
  <c r="A449" i="56"/>
  <c r="A453" i="56"/>
  <c r="A457" i="56"/>
  <c r="A461" i="56"/>
  <c r="A465" i="56"/>
  <c r="A469" i="56"/>
  <c r="A473" i="56"/>
  <c r="A477" i="56"/>
  <c r="A481" i="56"/>
  <c r="A485" i="56"/>
  <c r="A489" i="56"/>
  <c r="A493" i="56"/>
  <c r="A497" i="56"/>
  <c r="A501" i="56"/>
  <c r="A505" i="56"/>
  <c r="A509" i="56"/>
  <c r="A513" i="56"/>
  <c r="A517" i="56"/>
  <c r="A521" i="56"/>
  <c r="A525" i="56"/>
  <c r="A529" i="56"/>
  <c r="A533" i="56"/>
  <c r="A537" i="56"/>
  <c r="A541" i="56"/>
  <c r="A545" i="56"/>
  <c r="A549" i="56"/>
  <c r="A553" i="56"/>
  <c r="A557" i="56"/>
  <c r="A561" i="56"/>
  <c r="A226" i="56"/>
  <c r="A242" i="56"/>
  <c r="A250" i="56"/>
  <c r="A258" i="56"/>
  <c r="A266" i="56"/>
  <c r="A274" i="56"/>
  <c r="A282" i="56"/>
  <c r="A290" i="56"/>
  <c r="A298" i="56"/>
  <c r="A306" i="56"/>
  <c r="A314" i="56"/>
  <c r="A322" i="56"/>
  <c r="A330" i="56"/>
  <c r="A338" i="56"/>
  <c r="A346" i="56"/>
  <c r="A354" i="56"/>
  <c r="A362" i="56"/>
  <c r="A370" i="56"/>
  <c r="A374" i="56"/>
  <c r="A378" i="56"/>
  <c r="A382" i="56"/>
  <c r="A386" i="56"/>
  <c r="A390" i="56"/>
  <c r="A394" i="56"/>
  <c r="A398" i="56"/>
  <c r="A402" i="56"/>
  <c r="A406" i="56"/>
  <c r="A410" i="56"/>
  <c r="A426" i="56"/>
  <c r="A442" i="56"/>
  <c r="A458" i="56"/>
  <c r="A474" i="56"/>
  <c r="A490" i="56"/>
  <c r="A506" i="56"/>
  <c r="A522" i="56"/>
  <c r="A538" i="56"/>
  <c r="A554" i="56"/>
  <c r="A566" i="56"/>
  <c r="A574" i="56"/>
  <c r="A582" i="56"/>
  <c r="A590" i="56"/>
  <c r="A598" i="56"/>
  <c r="A606" i="56"/>
  <c r="A614" i="56"/>
  <c r="A622" i="56"/>
  <c r="A645" i="56"/>
  <c r="A650" i="56"/>
  <c r="A438" i="56"/>
  <c r="A470" i="56"/>
  <c r="A534" i="56"/>
  <c r="A573" i="56"/>
  <c r="A589" i="56"/>
  <c r="A605" i="56"/>
  <c r="A649" i="56"/>
  <c r="A414" i="56"/>
  <c r="A430" i="56"/>
  <c r="A446" i="56"/>
  <c r="A462" i="56"/>
  <c r="A478" i="56"/>
  <c r="A494" i="56"/>
  <c r="A510" i="56"/>
  <c r="A526" i="56"/>
  <c r="A542" i="56"/>
  <c r="A558" i="56"/>
  <c r="A569" i="56"/>
  <c r="A577" i="56"/>
  <c r="A585" i="56"/>
  <c r="A593" i="56"/>
  <c r="A601" i="56"/>
  <c r="A609" i="56"/>
  <c r="A617" i="56"/>
  <c r="A640" i="56"/>
  <c r="A646" i="56"/>
  <c r="A454" i="56"/>
  <c r="A502" i="56"/>
  <c r="A550" i="56"/>
  <c r="A581" i="56"/>
  <c r="A621" i="56"/>
  <c r="A418" i="56"/>
  <c r="A434" i="56"/>
  <c r="A450" i="56"/>
  <c r="A466" i="56"/>
  <c r="A482" i="56"/>
  <c r="A498" i="56"/>
  <c r="A514" i="56"/>
  <c r="A530" i="56"/>
  <c r="A546" i="56"/>
  <c r="A562" i="56"/>
  <c r="A570" i="56"/>
  <c r="A578" i="56"/>
  <c r="A586" i="56"/>
  <c r="A594" i="56"/>
  <c r="A602" i="56"/>
  <c r="A610" i="56"/>
  <c r="A618" i="56"/>
  <c r="A641" i="56"/>
  <c r="A648" i="56"/>
  <c r="A422" i="56"/>
  <c r="A486" i="56"/>
  <c r="A518" i="56"/>
  <c r="A565" i="56"/>
  <c r="A597" i="56"/>
  <c r="A613" i="56"/>
  <c r="A644" i="56"/>
  <c r="A19" i="56"/>
  <c r="A27" i="56"/>
  <c r="A25" i="56"/>
  <c r="A17" i="56"/>
  <c r="A20" i="56"/>
  <c r="A13" i="56"/>
  <c r="A15" i="56"/>
  <c r="A28" i="56"/>
  <c r="A26" i="56"/>
  <c r="A24" i="56"/>
  <c r="A16" i="56"/>
  <c r="A18" i="56"/>
  <c r="A12" i="56"/>
  <c r="A14" i="56"/>
  <c r="A8" i="56"/>
  <c r="A9" i="56"/>
  <c r="A23" i="56"/>
  <c r="A7" i="56"/>
  <c r="A22" i="56"/>
  <c r="A6" i="56"/>
  <c r="A4" i="56"/>
  <c r="A21" i="56"/>
  <c r="A5" i="56"/>
  <c r="A11" i="56"/>
  <c r="A10" i="56"/>
  <c r="D7" i="20"/>
  <c r="A3" i="60"/>
  <c r="A2" i="60"/>
  <c r="E7" i="20" l="1"/>
  <c r="E4" i="20"/>
  <c r="R1821" i="53"/>
  <c r="R1823" i="53"/>
  <c r="R1843" i="53"/>
  <c r="R1844" i="53"/>
  <c r="R1845" i="53"/>
  <c r="R1846" i="53"/>
  <c r="R1847" i="53"/>
  <c r="R1848" i="53"/>
  <c r="R1849" i="53"/>
  <c r="R1850" i="53"/>
  <c r="R1851" i="53"/>
  <c r="F4" i="20" l="1"/>
  <c r="F7" i="20"/>
  <c r="G4" i="20" l="1"/>
  <c r="G7" i="20"/>
  <c r="H4" i="20" l="1"/>
  <c r="H7" i="20"/>
  <c r="R675" i="53"/>
  <c r="R676" i="53"/>
  <c r="R677" i="53"/>
  <c r="R692" i="53"/>
  <c r="R695" i="53"/>
  <c r="R696" i="53"/>
  <c r="R712" i="53"/>
  <c r="R713" i="53"/>
  <c r="R714" i="53"/>
  <c r="R715" i="53"/>
  <c r="R729" i="53"/>
  <c r="R730" i="53"/>
  <c r="R731" i="53"/>
  <c r="R732" i="53"/>
  <c r="R733" i="53"/>
  <c r="R734" i="53"/>
  <c r="R748" i="53"/>
  <c r="R749" i="53"/>
  <c r="R750" i="53"/>
  <c r="R751" i="53"/>
  <c r="R752" i="53"/>
  <c r="R753" i="53"/>
  <c r="R754" i="53"/>
  <c r="R755" i="53"/>
  <c r="R756" i="53"/>
  <c r="R757" i="53"/>
  <c r="R758" i="53"/>
  <c r="R759" i="53"/>
  <c r="R760" i="53"/>
  <c r="R761" i="53"/>
  <c r="R775" i="53"/>
  <c r="R776" i="53"/>
  <c r="R794" i="53"/>
  <c r="R796" i="53"/>
  <c r="R798" i="53"/>
  <c r="R800" i="53"/>
  <c r="R801" i="53"/>
  <c r="R802" i="53"/>
  <c r="R815" i="53"/>
  <c r="R816" i="53"/>
  <c r="R817" i="53"/>
  <c r="R820" i="53"/>
  <c r="R986" i="53"/>
  <c r="R987" i="53"/>
  <c r="R988" i="53"/>
  <c r="R989" i="53"/>
  <c r="R990" i="53"/>
  <c r="R991" i="53"/>
  <c r="R992" i="53"/>
  <c r="R993" i="53"/>
  <c r="R994" i="53"/>
  <c r="R995" i="53"/>
  <c r="R996" i="53"/>
  <c r="R997" i="53"/>
  <c r="R998" i="53"/>
  <c r="R999" i="53"/>
  <c r="R1000" i="53"/>
  <c r="R1001" i="53"/>
  <c r="R1002" i="53"/>
  <c r="R1003" i="53"/>
  <c r="R1004" i="53"/>
  <c r="R1005" i="53"/>
  <c r="R1006" i="53"/>
  <c r="R1007" i="53"/>
  <c r="R1008" i="53"/>
  <c r="R1009" i="53"/>
  <c r="R1010" i="53"/>
  <c r="R1011" i="53"/>
  <c r="R1012" i="53"/>
  <c r="R1013" i="53"/>
  <c r="R1014" i="53"/>
  <c r="R1015" i="53"/>
  <c r="R1016" i="53"/>
  <c r="R1017" i="53"/>
  <c r="R1018" i="53"/>
  <c r="R1019" i="53"/>
  <c r="R1020" i="53"/>
  <c r="R1021" i="53"/>
  <c r="R1022" i="53"/>
  <c r="R1023" i="53"/>
  <c r="R1024" i="53"/>
  <c r="R1121" i="53"/>
  <c r="R1124" i="53"/>
  <c r="R1125" i="53"/>
  <c r="R1126" i="53"/>
  <c r="R1127" i="53"/>
  <c r="R1128" i="53"/>
  <c r="R1129" i="53"/>
  <c r="R1151" i="53"/>
  <c r="R1152" i="53"/>
  <c r="R1153" i="53"/>
  <c r="R1154" i="53"/>
  <c r="R1156" i="53"/>
  <c r="R1157" i="53"/>
  <c r="R1158" i="53"/>
  <c r="R1159" i="53"/>
  <c r="R1160" i="53"/>
  <c r="R1161" i="53"/>
  <c r="R1162" i="53"/>
  <c r="R1163" i="53"/>
  <c r="R1164" i="53"/>
  <c r="R1165" i="53"/>
  <c r="R1166" i="53"/>
  <c r="R1167" i="53"/>
  <c r="R1168" i="53"/>
  <c r="R1178" i="53"/>
  <c r="R1179" i="53"/>
  <c r="R1183" i="53"/>
  <c r="R1184" i="53"/>
  <c r="R1185" i="53"/>
  <c r="R1186" i="53"/>
  <c r="R1188" i="53"/>
  <c r="R1189" i="53"/>
  <c r="R1190" i="53"/>
  <c r="R1191" i="53"/>
  <c r="R1192" i="53"/>
  <c r="R1207" i="53"/>
  <c r="R1208" i="53"/>
  <c r="R1209" i="53"/>
  <c r="R1210" i="53"/>
  <c r="R1211" i="53"/>
  <c r="R1212" i="53"/>
  <c r="R1213" i="53"/>
  <c r="R1214" i="53"/>
  <c r="R1216" i="53"/>
  <c r="R1253" i="53"/>
  <c r="R1273" i="53"/>
  <c r="R1293" i="53"/>
  <c r="R1295" i="53"/>
  <c r="R1334" i="53"/>
  <c r="R1336" i="53"/>
  <c r="R1337" i="53"/>
  <c r="R1338" i="53"/>
  <c r="R1339" i="53"/>
  <c r="R1356" i="53"/>
  <c r="R1357" i="53"/>
  <c r="R1358" i="53"/>
  <c r="R1359" i="53"/>
  <c r="R1360" i="53"/>
  <c r="R1391" i="53"/>
  <c r="R1394" i="53"/>
  <c r="R1407" i="53"/>
  <c r="R1429" i="53"/>
  <c r="R1500" i="53"/>
  <c r="R1502" i="53"/>
  <c r="R1526" i="53"/>
  <c r="R1533" i="53"/>
  <c r="R1562" i="53"/>
  <c r="R1564" i="53"/>
  <c r="R1584" i="53"/>
  <c r="R1600" i="53"/>
  <c r="R1601" i="53"/>
  <c r="R1620" i="53"/>
  <c r="R1635" i="53"/>
  <c r="R1640" i="53"/>
  <c r="R1641" i="53"/>
  <c r="R1642" i="53"/>
  <c r="R1643" i="53"/>
  <c r="R1667" i="53"/>
  <c r="R1668" i="53"/>
  <c r="R1672" i="53"/>
  <c r="R1673" i="53"/>
  <c r="R1691" i="53"/>
  <c r="R1739" i="53"/>
  <c r="R1741" i="53"/>
  <c r="R1742" i="53"/>
  <c r="R1744" i="53"/>
  <c r="R1745" i="53"/>
  <c r="I4" i="20" l="1"/>
  <c r="I7" i="20"/>
  <c r="J4" i="20" l="1"/>
  <c r="J7" i="20"/>
  <c r="K4" i="20" l="1"/>
  <c r="K7" i="20"/>
  <c r="L4" i="20" l="1"/>
  <c r="L7" i="20"/>
  <c r="M4" i="20" l="1"/>
  <c r="M7" i="20"/>
  <c r="N7" i="20" l="1"/>
  <c r="N4" i="20"/>
  <c r="R7" i="56" l="1"/>
  <c r="R8" i="56"/>
  <c r="R9" i="56"/>
  <c r="R10" i="56"/>
  <c r="R11" i="56"/>
  <c r="R20" i="56"/>
  <c r="R21" i="56"/>
  <c r="R22" i="56"/>
  <c r="R23" i="56"/>
  <c r="R37" i="56"/>
  <c r="R38" i="56"/>
  <c r="R39" i="56"/>
  <c r="R40" i="56"/>
  <c r="R41" i="56"/>
  <c r="R42" i="56"/>
  <c r="R43" i="56"/>
  <c r="R44" i="56"/>
  <c r="R45" i="56"/>
  <c r="R46" i="56"/>
  <c r="R47" i="56"/>
  <c r="R48" i="56"/>
  <c r="R49" i="56"/>
  <c r="R50" i="56"/>
  <c r="R51" i="56"/>
  <c r="R64" i="56"/>
  <c r="R65" i="56"/>
  <c r="R66" i="56"/>
  <c r="R67" i="56"/>
  <c r="R68" i="56"/>
  <c r="R69" i="56"/>
  <c r="R70" i="56"/>
  <c r="R71" i="56"/>
  <c r="R72" i="56"/>
  <c r="R73" i="56"/>
  <c r="R74" i="56"/>
  <c r="R75" i="56"/>
  <c r="R76" i="56"/>
  <c r="R77" i="56"/>
  <c r="R78" i="56"/>
  <c r="R79" i="56"/>
  <c r="R80" i="56"/>
  <c r="R81" i="56"/>
  <c r="R82" i="56"/>
  <c r="R83" i="56"/>
  <c r="R84" i="56"/>
  <c r="R85" i="56"/>
  <c r="R86" i="56"/>
  <c r="R87" i="56"/>
  <c r="R88" i="56"/>
  <c r="R89" i="56"/>
  <c r="R90" i="56"/>
  <c r="R91" i="56"/>
  <c r="R92" i="56"/>
  <c r="R93" i="56"/>
  <c r="R94" i="56"/>
  <c r="R95" i="56"/>
  <c r="R96" i="56"/>
  <c r="R97" i="56"/>
  <c r="R98" i="56"/>
  <c r="R99" i="56"/>
  <c r="R100" i="56"/>
  <c r="R101" i="56"/>
  <c r="R102" i="56"/>
  <c r="R103" i="56"/>
  <c r="R104" i="56"/>
  <c r="R105" i="56"/>
  <c r="R106" i="56"/>
  <c r="R107" i="56"/>
  <c r="R108" i="56"/>
  <c r="R109" i="56"/>
  <c r="R110" i="56"/>
  <c r="R111" i="56"/>
  <c r="R112" i="56"/>
  <c r="R113" i="56"/>
  <c r="R114" i="56"/>
  <c r="R115" i="56"/>
  <c r="R116" i="56"/>
  <c r="R117" i="56"/>
  <c r="R118" i="56"/>
  <c r="R119" i="56"/>
  <c r="R120" i="56"/>
  <c r="R121" i="56"/>
  <c r="R122" i="56"/>
  <c r="R123" i="56"/>
  <c r="R124" i="56"/>
  <c r="R125" i="56"/>
  <c r="R126" i="56"/>
  <c r="R127" i="56"/>
  <c r="R128" i="56"/>
  <c r="R129" i="56"/>
  <c r="R130" i="56"/>
  <c r="R131" i="56"/>
  <c r="R132" i="56"/>
  <c r="R133" i="56"/>
  <c r="R134" i="56"/>
  <c r="R135" i="56"/>
  <c r="R136" i="56"/>
  <c r="R137" i="56"/>
  <c r="R138" i="56"/>
  <c r="R139" i="56"/>
  <c r="R140" i="56"/>
  <c r="R141" i="56"/>
  <c r="R142" i="56"/>
  <c r="R143" i="56"/>
  <c r="R144" i="56"/>
  <c r="R145" i="56"/>
  <c r="R146" i="56"/>
  <c r="R147" i="56"/>
  <c r="R148" i="56"/>
  <c r="R149" i="56"/>
  <c r="R150" i="56"/>
  <c r="R151" i="56"/>
  <c r="R152" i="56"/>
  <c r="R153" i="56"/>
  <c r="R154" i="56"/>
  <c r="R155" i="56"/>
  <c r="R156" i="56"/>
  <c r="R157" i="56"/>
  <c r="R158" i="56"/>
  <c r="R159" i="56"/>
  <c r="R160" i="56"/>
  <c r="R161" i="56"/>
  <c r="R162" i="56"/>
  <c r="R163" i="56"/>
  <c r="R164" i="56"/>
  <c r="R165" i="56"/>
  <c r="R166" i="56"/>
  <c r="R167" i="56"/>
  <c r="R168" i="56"/>
  <c r="R169" i="56"/>
  <c r="R170" i="56"/>
  <c r="R171" i="56"/>
  <c r="R172" i="56"/>
  <c r="R173" i="56"/>
  <c r="R174" i="56"/>
  <c r="R175" i="56"/>
  <c r="R176" i="56"/>
  <c r="R177" i="56"/>
  <c r="R178" i="56"/>
  <c r="R186" i="56"/>
  <c r="R187" i="56"/>
  <c r="R188" i="56"/>
  <c r="R189" i="56"/>
  <c r="R190" i="56"/>
  <c r="R191" i="56"/>
  <c r="R192" i="56"/>
  <c r="R193" i="56"/>
  <c r="R194" i="56"/>
  <c r="R195" i="56"/>
  <c r="R196" i="56"/>
  <c r="R197" i="56"/>
  <c r="R198" i="56"/>
  <c r="R199" i="56"/>
  <c r="R200" i="56"/>
  <c r="R202" i="56"/>
  <c r="R203" i="56"/>
  <c r="R221" i="56"/>
  <c r="R222" i="56"/>
  <c r="R223" i="56"/>
  <c r="R224" i="56"/>
  <c r="R225" i="56"/>
  <c r="R226" i="56"/>
  <c r="R227" i="56"/>
  <c r="R228" i="56"/>
  <c r="R229" i="56"/>
  <c r="R230" i="56"/>
  <c r="R231" i="56"/>
  <c r="R232" i="56"/>
  <c r="R233" i="56"/>
  <c r="R234" i="56"/>
  <c r="R235" i="56"/>
  <c r="R236" i="56"/>
  <c r="R237" i="56"/>
  <c r="R238" i="56"/>
  <c r="R239" i="56"/>
  <c r="R240" i="56"/>
  <c r="R241" i="56"/>
  <c r="R242" i="56"/>
  <c r="R243" i="56"/>
  <c r="R244" i="56"/>
  <c r="R245" i="56"/>
  <c r="R246" i="56"/>
  <c r="R247" i="56"/>
  <c r="R248" i="56"/>
  <c r="R249" i="56"/>
  <c r="R250" i="56"/>
  <c r="R251" i="56"/>
  <c r="R252" i="56"/>
  <c r="R253" i="56"/>
  <c r="R254" i="56"/>
  <c r="R255" i="56"/>
  <c r="R256" i="56"/>
  <c r="R257" i="56"/>
  <c r="R258" i="56"/>
  <c r="R259" i="56"/>
  <c r="R260" i="56"/>
  <c r="R261" i="56"/>
  <c r="R262" i="56"/>
  <c r="R263" i="56"/>
  <c r="R264" i="56"/>
  <c r="R265" i="56"/>
  <c r="R266" i="56"/>
  <c r="R313" i="56"/>
  <c r="R319" i="56"/>
  <c r="R320" i="56"/>
  <c r="R330" i="56"/>
  <c r="R331" i="56"/>
  <c r="R334" i="56"/>
  <c r="R336" i="56"/>
  <c r="R372" i="56"/>
  <c r="R373" i="56"/>
  <c r="R374" i="56"/>
  <c r="R375" i="56"/>
  <c r="R376" i="56"/>
  <c r="R377" i="56"/>
  <c r="R378" i="56"/>
  <c r="R382" i="56"/>
  <c r="R383" i="56"/>
  <c r="R384" i="56"/>
  <c r="R385" i="56"/>
  <c r="R388" i="56"/>
  <c r="R390" i="56"/>
  <c r="R391" i="56"/>
  <c r="R392" i="56"/>
  <c r="R393" i="56"/>
  <c r="R394" i="56"/>
  <c r="R395" i="56"/>
  <c r="R396" i="56"/>
  <c r="R397" i="56"/>
  <c r="R398" i="56"/>
  <c r="R399" i="56"/>
  <c r="R400" i="56"/>
  <c r="R401" i="56"/>
  <c r="R402" i="56"/>
  <c r="R403" i="56"/>
  <c r="R404" i="56"/>
  <c r="R405" i="56"/>
  <c r="R406" i="56"/>
  <c r="R409" i="56"/>
  <c r="R411" i="56"/>
  <c r="R412" i="56"/>
  <c r="R413" i="56"/>
  <c r="R414" i="56"/>
  <c r="R415" i="56"/>
  <c r="R416" i="56"/>
  <c r="R417" i="56"/>
  <c r="R418" i="56"/>
  <c r="R419" i="56"/>
  <c r="R420" i="56"/>
  <c r="R422" i="56"/>
  <c r="R423" i="56"/>
  <c r="R424" i="56"/>
  <c r="R425" i="56"/>
  <c r="R426" i="56"/>
  <c r="R427" i="56"/>
  <c r="R428" i="56"/>
  <c r="R429" i="56"/>
  <c r="R430" i="56"/>
  <c r="R431" i="56"/>
  <c r="R433" i="56"/>
  <c r="R434" i="56"/>
  <c r="R435" i="56"/>
  <c r="R436" i="56"/>
  <c r="R438" i="56"/>
  <c r="R439" i="56"/>
  <c r="R440" i="56"/>
  <c r="R441" i="56"/>
  <c r="R442" i="56"/>
  <c r="R443" i="56"/>
  <c r="R444" i="56"/>
  <c r="R445" i="56"/>
  <c r="R446" i="56"/>
  <c r="R447" i="56"/>
  <c r="R448" i="56"/>
  <c r="R491" i="56"/>
  <c r="R492" i="56"/>
  <c r="R493" i="56"/>
  <c r="R496" i="56"/>
  <c r="R499" i="56"/>
  <c r="R500" i="56"/>
  <c r="R501" i="56"/>
  <c r="R502" i="56"/>
  <c r="R509" i="56"/>
  <c r="R510" i="56"/>
  <c r="R1303" i="55" l="1"/>
  <c r="R1304" i="55"/>
  <c r="R1305" i="55"/>
  <c r="R1327" i="55"/>
  <c r="R1328" i="55"/>
  <c r="R1329" i="55"/>
  <c r="R1331" i="55"/>
  <c r="R1343" i="55"/>
  <c r="R1408" i="55"/>
  <c r="R1470" i="55"/>
  <c r="R1471" i="55"/>
  <c r="R1474" i="55"/>
  <c r="R1475" i="55"/>
  <c r="R1477" i="55"/>
  <c r="R1478" i="55"/>
  <c r="R1482" i="55"/>
  <c r="R1483" i="55"/>
  <c r="R1484" i="55"/>
  <c r="R1485" i="55"/>
  <c r="R1486" i="55"/>
  <c r="R1487" i="55"/>
  <c r="R1488" i="55"/>
  <c r="R1489" i="55"/>
  <c r="R1490" i="55"/>
  <c r="R1491" i="55"/>
  <c r="R1492" i="55"/>
  <c r="R1493" i="55"/>
  <c r="R1494" i="55"/>
  <c r="R1495" i="55"/>
  <c r="R1496" i="55"/>
  <c r="R1498" i="55"/>
  <c r="R1499" i="55"/>
  <c r="R1500" i="55"/>
  <c r="R1501" i="55"/>
  <c r="R1503" i="55"/>
  <c r="R1504" i="55"/>
  <c r="R1508" i="55"/>
  <c r="R1509" i="55"/>
  <c r="R1511" i="55"/>
  <c r="R1512" i="55"/>
  <c r="R1513" i="55"/>
  <c r="R1514" i="55"/>
  <c r="R1515" i="55"/>
  <c r="R1516" i="55"/>
  <c r="R1517" i="55"/>
  <c r="R1518" i="55"/>
  <c r="R1519" i="55"/>
  <c r="R1520" i="55"/>
  <c r="R1591" i="55"/>
  <c r="R1592" i="55"/>
  <c r="R1593" i="55"/>
  <c r="R1594" i="55"/>
  <c r="R1595" i="55"/>
  <c r="R1596" i="55"/>
  <c r="R1597" i="55"/>
  <c r="R1598" i="55"/>
  <c r="R1599" i="55"/>
  <c r="R1600" i="55"/>
  <c r="R1631" i="55"/>
  <c r="R1632" i="55"/>
  <c r="R1635" i="55"/>
  <c r="R1637" i="55"/>
  <c r="R1638" i="55"/>
  <c r="R1639" i="55"/>
  <c r="R1640" i="55"/>
  <c r="R1642" i="55"/>
  <c r="R1648" i="55"/>
  <c r="R1651" i="55"/>
  <c r="R1652" i="55"/>
  <c r="R1653" i="55"/>
  <c r="R1654" i="55"/>
  <c r="R1662" i="55"/>
  <c r="R1663" i="55"/>
  <c r="R1665" i="55"/>
  <c r="R1666" i="55"/>
  <c r="R1667" i="55"/>
  <c r="R1677" i="55"/>
  <c r="R1679" i="55"/>
  <c r="R1681" i="55"/>
  <c r="R1682" i="55"/>
  <c r="R1683" i="55"/>
  <c r="R1703" i="55"/>
  <c r="R1724" i="55"/>
  <c r="R1725" i="55"/>
  <c r="R1746" i="55"/>
  <c r="R1747" i="55"/>
  <c r="R1748" i="55"/>
  <c r="R1749" i="55"/>
  <c r="R1750" i="55"/>
  <c r="R1751" i="55"/>
  <c r="R1752" i="55"/>
  <c r="R1753" i="55"/>
  <c r="R1754" i="55"/>
  <c r="R1755" i="55"/>
  <c r="R1756" i="55"/>
  <c r="R1757" i="55"/>
  <c r="R1758" i="55"/>
  <c r="R1759" i="55"/>
  <c r="R1760" i="55"/>
  <c r="R1761" i="55"/>
  <c r="R1762" i="55"/>
  <c r="R1763" i="55"/>
  <c r="R1764" i="55"/>
  <c r="R1765" i="55"/>
  <c r="R1782" i="55"/>
  <c r="R1783" i="55"/>
  <c r="R1784" i="55"/>
  <c r="R1785" i="55"/>
  <c r="R1786" i="55"/>
  <c r="R1787" i="55"/>
  <c r="R1788" i="55"/>
  <c r="R1789" i="55"/>
  <c r="R1790" i="55"/>
  <c r="R1791" i="55"/>
  <c r="R1792" i="55"/>
  <c r="R1794" i="55"/>
  <c r="R1856" i="55"/>
  <c r="R1857" i="55"/>
  <c r="R1859" i="55"/>
  <c r="R1864" i="55"/>
  <c r="R1865" i="55"/>
  <c r="R1866" i="55"/>
  <c r="R1867" i="55"/>
  <c r="R1869" i="55"/>
  <c r="R1870" i="55"/>
  <c r="R1871" i="55"/>
  <c r="R1875" i="55"/>
  <c r="R1876" i="55"/>
  <c r="R1884" i="55"/>
  <c r="R1885" i="55"/>
  <c r="R1886" i="55"/>
  <c r="R1887" i="55"/>
  <c r="R1888" i="55"/>
  <c r="R1895" i="55"/>
  <c r="R1900" i="55"/>
  <c r="R1901" i="55"/>
  <c r="R1902" i="55"/>
  <c r="R1904" i="55"/>
  <c r="R1905" i="55"/>
  <c r="R1906" i="55"/>
  <c r="R1916" i="55"/>
  <c r="R1917" i="55"/>
  <c r="R1918" i="55"/>
  <c r="R1919" i="55"/>
  <c r="R1920" i="55"/>
  <c r="R1921" i="55"/>
  <c r="R1925" i="55"/>
  <c r="P1933" i="55"/>
  <c r="Q1933" i="55"/>
  <c r="R1933" i="55"/>
  <c r="P1934" i="55"/>
  <c r="Q1934" i="55"/>
  <c r="R1934" i="55"/>
  <c r="P1935" i="55"/>
  <c r="Q1935" i="55"/>
  <c r="R1935" i="55"/>
  <c r="P1936" i="55"/>
  <c r="Q1936" i="55"/>
  <c r="R1936" i="55"/>
  <c r="P1937" i="55"/>
  <c r="Q1937" i="55"/>
  <c r="R1937" i="55"/>
  <c r="P1938" i="55"/>
  <c r="Q1938" i="55"/>
  <c r="R1938" i="55"/>
  <c r="P1939" i="55"/>
  <c r="Q1939" i="55"/>
  <c r="R1939" i="55"/>
  <c r="P1940" i="55"/>
  <c r="Q1940" i="55"/>
  <c r="R1940" i="55"/>
  <c r="P1941" i="55"/>
  <c r="Q1941" i="55"/>
  <c r="R1941" i="55"/>
  <c r="P1942" i="55"/>
  <c r="Q1942" i="55"/>
  <c r="R1942" i="55"/>
  <c r="P1943" i="55"/>
  <c r="Q1943" i="55"/>
  <c r="R1943" i="55"/>
  <c r="P1944" i="55"/>
  <c r="Q1944" i="55"/>
  <c r="R1944" i="55"/>
  <c r="P1945" i="55"/>
  <c r="Q1945" i="55"/>
  <c r="R1945" i="55"/>
  <c r="P1946" i="55"/>
  <c r="Q1946" i="55"/>
  <c r="R1946" i="55"/>
  <c r="P1947" i="55"/>
  <c r="Q1947" i="55"/>
  <c r="R1947" i="55"/>
  <c r="P1948" i="55"/>
  <c r="Q1948" i="55"/>
  <c r="R1948" i="55"/>
  <c r="P1949" i="55"/>
  <c r="Q1949" i="55"/>
  <c r="R1949" i="55"/>
  <c r="P1950" i="55"/>
  <c r="Q1950" i="55"/>
  <c r="R1950" i="55"/>
  <c r="P1951" i="55"/>
  <c r="Q1951" i="55"/>
  <c r="R1951" i="55"/>
  <c r="P1952" i="55"/>
  <c r="Q1952" i="55"/>
  <c r="R1952" i="55"/>
  <c r="P1953" i="55"/>
  <c r="Q1953" i="55"/>
  <c r="R1953" i="55"/>
  <c r="P1954" i="55"/>
  <c r="Q1954" i="55"/>
  <c r="R1954" i="55"/>
  <c r="P1955" i="55"/>
  <c r="Q1955" i="55"/>
  <c r="R1955" i="55"/>
  <c r="P1956" i="55"/>
  <c r="Q1956" i="55"/>
  <c r="R1956" i="55"/>
  <c r="P1957" i="55"/>
  <c r="Q1957" i="55"/>
  <c r="R1957" i="55"/>
  <c r="P1958" i="55"/>
  <c r="Q1958" i="55"/>
  <c r="R1958" i="55"/>
  <c r="P1959" i="55"/>
  <c r="Q1959" i="55"/>
  <c r="R1959" i="55"/>
  <c r="P1960" i="55"/>
  <c r="Q1960" i="55"/>
  <c r="R1960" i="55"/>
  <c r="P1961" i="55"/>
  <c r="Q1961" i="55"/>
  <c r="R1961" i="55"/>
  <c r="P1962" i="55"/>
  <c r="Q1962" i="55"/>
  <c r="R1962" i="55"/>
  <c r="P1963" i="55"/>
  <c r="Q1963" i="55"/>
  <c r="R1963" i="55"/>
  <c r="P1964" i="55"/>
  <c r="Q1964" i="55"/>
  <c r="R1964" i="55"/>
  <c r="P1965" i="55"/>
  <c r="Q1965" i="55"/>
  <c r="R1965" i="55"/>
  <c r="P1966" i="55"/>
  <c r="Q1966" i="55"/>
  <c r="R1966" i="55"/>
  <c r="P1967" i="55"/>
  <c r="Q1967" i="55"/>
  <c r="R1967" i="55"/>
  <c r="P1968" i="55"/>
  <c r="Q1968" i="55"/>
  <c r="R1968" i="55"/>
  <c r="P1969" i="55"/>
  <c r="Q1969" i="55"/>
  <c r="R1969" i="55"/>
  <c r="P1970" i="55"/>
  <c r="Q1970" i="55"/>
  <c r="R1970" i="55"/>
  <c r="P1971" i="55"/>
  <c r="Q1971" i="55"/>
  <c r="R1971" i="55"/>
  <c r="P1972" i="55"/>
  <c r="Q1972" i="55"/>
  <c r="R1972" i="55"/>
  <c r="P1973" i="55"/>
  <c r="Q1973" i="55"/>
  <c r="R1973" i="55"/>
  <c r="P1974" i="55"/>
  <c r="Q1974" i="55"/>
  <c r="R1974" i="55"/>
  <c r="P1975" i="55"/>
  <c r="Q1975" i="55"/>
  <c r="R1975" i="55"/>
  <c r="P1976" i="55"/>
  <c r="Q1976" i="55"/>
  <c r="R1976" i="55"/>
  <c r="P1977" i="55"/>
  <c r="Q1977" i="55"/>
  <c r="R1977" i="55"/>
  <c r="P1978" i="55"/>
  <c r="Q1978" i="55"/>
  <c r="R1978" i="55"/>
  <c r="P1979" i="55"/>
  <c r="Q1979" i="55"/>
  <c r="R1979" i="55"/>
  <c r="P1980" i="55"/>
  <c r="Q1980" i="55"/>
  <c r="R1980" i="55"/>
  <c r="P1981" i="55"/>
  <c r="Q1981" i="55"/>
  <c r="R1981" i="55"/>
  <c r="P1982" i="55"/>
  <c r="Q1982" i="55"/>
  <c r="R1982" i="55"/>
  <c r="P1983" i="55"/>
  <c r="Q1983" i="55"/>
  <c r="R1983" i="55"/>
  <c r="P1984" i="55"/>
  <c r="Q1984" i="55"/>
  <c r="R1984" i="55"/>
  <c r="P1985" i="55"/>
  <c r="Q1985" i="55"/>
  <c r="R1985" i="55"/>
  <c r="P1986" i="55"/>
  <c r="Q1986" i="55"/>
  <c r="R1986" i="55"/>
  <c r="P1987" i="55"/>
  <c r="Q1987" i="55"/>
  <c r="R1987" i="55"/>
  <c r="P1988" i="55"/>
  <c r="Q1988" i="55"/>
  <c r="R1988" i="55"/>
  <c r="P1989" i="55"/>
  <c r="Q1989" i="55"/>
  <c r="R1989" i="55"/>
  <c r="P1990" i="55"/>
  <c r="Q1990" i="55"/>
  <c r="R1990" i="55"/>
  <c r="P1991" i="55"/>
  <c r="Q1991" i="55"/>
  <c r="R1991" i="55"/>
  <c r="P1992" i="55"/>
  <c r="Q1992" i="55"/>
  <c r="R1992" i="55"/>
  <c r="P1993" i="55"/>
  <c r="Q1993" i="55"/>
  <c r="R1993" i="55"/>
  <c r="P1994" i="55"/>
  <c r="Q1994" i="55"/>
  <c r="R1994" i="55"/>
  <c r="P1995" i="55"/>
  <c r="Q1995" i="55"/>
  <c r="R1995" i="55"/>
  <c r="P1996" i="55"/>
  <c r="Q1996" i="55"/>
  <c r="R1996" i="55"/>
  <c r="P1997" i="55"/>
  <c r="Q1997" i="55"/>
  <c r="R1997" i="55"/>
  <c r="P1998" i="55"/>
  <c r="Q1998" i="55"/>
  <c r="R1998" i="55"/>
  <c r="P1999" i="55"/>
  <c r="Q1999" i="55"/>
  <c r="R1999" i="55"/>
  <c r="P2000" i="55"/>
  <c r="Q2000" i="55"/>
  <c r="R2000" i="55"/>
  <c r="P2001" i="55"/>
  <c r="Q2001" i="55"/>
  <c r="R2001" i="55"/>
  <c r="P2002" i="55"/>
  <c r="Q2002" i="55"/>
  <c r="R2002" i="55"/>
  <c r="P2003" i="55"/>
  <c r="Q2003" i="55"/>
  <c r="R2003" i="55"/>
  <c r="P2004" i="55"/>
  <c r="Q2004" i="55"/>
  <c r="R2004" i="55"/>
  <c r="P2005" i="55"/>
  <c r="Q2005" i="55"/>
  <c r="R2005" i="55"/>
  <c r="P2006" i="55"/>
  <c r="Q2006" i="55"/>
  <c r="R2006" i="55"/>
  <c r="P2007" i="55"/>
  <c r="Q2007" i="55"/>
  <c r="R2007" i="55"/>
  <c r="P2008" i="55"/>
  <c r="Q2008" i="55"/>
  <c r="R2008" i="55"/>
  <c r="P2009" i="55"/>
  <c r="Q2009" i="55"/>
  <c r="R2009" i="55"/>
  <c r="P2010" i="55"/>
  <c r="Q2010" i="55"/>
  <c r="R2010" i="55"/>
  <c r="P2011" i="55"/>
  <c r="Q2011" i="55"/>
  <c r="R2011" i="55"/>
  <c r="P2012" i="55"/>
  <c r="Q2012" i="55"/>
  <c r="R2012" i="55"/>
  <c r="P2013" i="55"/>
  <c r="Q2013" i="55"/>
  <c r="R2013" i="55"/>
  <c r="P2014" i="55"/>
  <c r="Q2014" i="55"/>
  <c r="R2014" i="55"/>
  <c r="P2015" i="55"/>
  <c r="Q2015" i="55"/>
  <c r="R2015" i="55"/>
  <c r="P2016" i="55"/>
  <c r="Q2016" i="55"/>
  <c r="R2016" i="55"/>
  <c r="P2017" i="55"/>
  <c r="Q2017" i="55"/>
  <c r="R2017" i="55"/>
  <c r="P2018" i="55"/>
  <c r="Q2018" i="55"/>
  <c r="R2018" i="55"/>
  <c r="P2019" i="55"/>
  <c r="Q2019" i="55"/>
  <c r="R2019" i="55"/>
  <c r="P2020" i="55"/>
  <c r="Q2020" i="55"/>
  <c r="R2020" i="55"/>
  <c r="P2021" i="55"/>
  <c r="Q2021" i="55"/>
  <c r="R2021" i="55"/>
  <c r="P2022" i="55"/>
  <c r="Q2022" i="55"/>
  <c r="R2022" i="55"/>
  <c r="P2023" i="55"/>
  <c r="Q2023" i="55"/>
  <c r="R2023" i="55"/>
  <c r="P2024" i="55"/>
  <c r="Q2024" i="55"/>
  <c r="R2024" i="55"/>
  <c r="P2025" i="55"/>
  <c r="Q2025" i="55"/>
  <c r="R2025" i="55"/>
  <c r="C35" i="20" l="1"/>
  <c r="C36" i="20"/>
  <c r="C34" i="20"/>
  <c r="L199" i="47"/>
  <c r="L200" i="47"/>
  <c r="L201" i="47"/>
  <c r="L202" i="47"/>
  <c r="L203" i="47"/>
  <c r="L204" i="47"/>
  <c r="L205" i="47"/>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R1852" i="53" l="1"/>
  <c r="R1853" i="53"/>
  <c r="R1856" i="53"/>
  <c r="R1857" i="53"/>
  <c r="R1858" i="53"/>
  <c r="R1859" i="53"/>
  <c r="R1860" i="53"/>
  <c r="R1861" i="53"/>
  <c r="R1862" i="53"/>
  <c r="R1863" i="53"/>
  <c r="R1864" i="53"/>
  <c r="R1865" i="53"/>
  <c r="R1866" i="53"/>
  <c r="R1867" i="53"/>
  <c r="R1868" i="53"/>
  <c r="R1869" i="53"/>
  <c r="R2020" i="53"/>
  <c r="R2021" i="53"/>
  <c r="R2022" i="53"/>
  <c r="R2023" i="53"/>
  <c r="R2024" i="53"/>
  <c r="R2025" i="53"/>
  <c r="R2044" i="53"/>
  <c r="R2048" i="53"/>
  <c r="R2049" i="53"/>
  <c r="R2058" i="53"/>
  <c r="R2059" i="53"/>
  <c r="R2060" i="53"/>
  <c r="R2061" i="53"/>
  <c r="R2070" i="53"/>
  <c r="R2071" i="53"/>
  <c r="R2072" i="53"/>
  <c r="R2086" i="53"/>
  <c r="R2087" i="53"/>
  <c r="R2088" i="53"/>
  <c r="R2089" i="53"/>
  <c r="R2090" i="53"/>
  <c r="R2091" i="53"/>
  <c r="R2092" i="53"/>
  <c r="R2093" i="53"/>
  <c r="R2094" i="53"/>
  <c r="R2095" i="53"/>
  <c r="R2096" i="53"/>
  <c r="R2097" i="53"/>
  <c r="R2098" i="53"/>
  <c r="R2099" i="53"/>
  <c r="R2100" i="53"/>
  <c r="R2101" i="53"/>
  <c r="R2110" i="53"/>
  <c r="R2112" i="53"/>
  <c r="R2113" i="53"/>
  <c r="R2114" i="53"/>
  <c r="R2115" i="53"/>
  <c r="R2116" i="53"/>
  <c r="R2117" i="53"/>
  <c r="R2118" i="53"/>
  <c r="R2119" i="53"/>
  <c r="R2120" i="53"/>
  <c r="R2121" i="53"/>
  <c r="R2122" i="53"/>
  <c r="R2123" i="53"/>
  <c r="R2124" i="53"/>
  <c r="R2125" i="53"/>
  <c r="R2126" i="53"/>
  <c r="R2127" i="53"/>
  <c r="R2128" i="53"/>
  <c r="R2129" i="53"/>
  <c r="R2130" i="53"/>
  <c r="R2131" i="53"/>
  <c r="R2132" i="53"/>
  <c r="R2133" i="53"/>
  <c r="R2134" i="53"/>
  <c r="R2135" i="53"/>
  <c r="R2136" i="53"/>
  <c r="R2137" i="53"/>
  <c r="R2138" i="53"/>
  <c r="R2139" i="53"/>
  <c r="R2140" i="53"/>
  <c r="R2141" i="53"/>
  <c r="R2142" i="53"/>
  <c r="R2143" i="53"/>
  <c r="R2144" i="53"/>
  <c r="R2145" i="53"/>
  <c r="R2146" i="53"/>
  <c r="R2147" i="53"/>
  <c r="R2148" i="53"/>
  <c r="R2149" i="53"/>
  <c r="R2150" i="53"/>
  <c r="R2151" i="53"/>
  <c r="R2152" i="53"/>
  <c r="R2153" i="53"/>
  <c r="R2154" i="53"/>
  <c r="R2155" i="53"/>
  <c r="R2156" i="53"/>
  <c r="R2157" i="53"/>
  <c r="R2158" i="53"/>
  <c r="R2159" i="53"/>
  <c r="R2160" i="53"/>
  <c r="R2161" i="53"/>
  <c r="R2162" i="53"/>
  <c r="R2163" i="53"/>
  <c r="R2164" i="53"/>
  <c r="R2165" i="53"/>
  <c r="R2166" i="53"/>
  <c r="R2167" i="53"/>
  <c r="R2168" i="53"/>
  <c r="R2169" i="53"/>
  <c r="R2170" i="53"/>
  <c r="R2171" i="53"/>
  <c r="R2172" i="53"/>
  <c r="R2173" i="53"/>
  <c r="R2174" i="53"/>
  <c r="R2175" i="53"/>
  <c r="R2176" i="53"/>
  <c r="R2177" i="53"/>
  <c r="R2178" i="53"/>
  <c r="R2179" i="53"/>
  <c r="R2180" i="53"/>
  <c r="R2181" i="53"/>
  <c r="R2182" i="53"/>
  <c r="R2183" i="53"/>
  <c r="R2184" i="53"/>
  <c r="R2185" i="53"/>
  <c r="R2186" i="53"/>
  <c r="R2187" i="53"/>
  <c r="R2188" i="53"/>
  <c r="R2189" i="53"/>
  <c r="R2190" i="53"/>
  <c r="R2191" i="53"/>
  <c r="R2240" i="53"/>
  <c r="R2241" i="53"/>
  <c r="R2242" i="53"/>
  <c r="R2245" i="53"/>
  <c r="R2246" i="53"/>
  <c r="R2247" i="53"/>
  <c r="R2248" i="53"/>
  <c r="R2263" i="53"/>
  <c r="R2264" i="53"/>
  <c r="R2265" i="53"/>
  <c r="R2267" i="53"/>
  <c r="R2268" i="53"/>
  <c r="R2269" i="53"/>
  <c r="R2270" i="53"/>
  <c r="R2283" i="53"/>
  <c r="R2286" i="53"/>
  <c r="R2287" i="53"/>
  <c r="R2328" i="53"/>
  <c r="R2329" i="53"/>
  <c r="R2342" i="53"/>
  <c r="R2366" i="53"/>
  <c r="R2367" i="53"/>
  <c r="R2368" i="53"/>
  <c r="R2369" i="53"/>
  <c r="R2370" i="53"/>
  <c r="R2371" i="53"/>
  <c r="R2372" i="53"/>
  <c r="R2373" i="53"/>
  <c r="R2374" i="53"/>
  <c r="R2375" i="53"/>
  <c r="R2376" i="53"/>
  <c r="R2377" i="53"/>
  <c r="R2378" i="53"/>
  <c r="R2379" i="53"/>
  <c r="R2380" i="53"/>
  <c r="R2381" i="53"/>
  <c r="R2382" i="53"/>
  <c r="R2383" i="53"/>
  <c r="R2384" i="53"/>
  <c r="R2385" i="53"/>
  <c r="R2386" i="53"/>
  <c r="R2387" i="53"/>
  <c r="R2388" i="53"/>
  <c r="R2389" i="53"/>
  <c r="R2390" i="53"/>
  <c r="R2391" i="53"/>
  <c r="R2392" i="53"/>
  <c r="R2393" i="53"/>
  <c r="R2394" i="53"/>
  <c r="R2395" i="53"/>
  <c r="R2396" i="53"/>
  <c r="R2397" i="53"/>
  <c r="R2398" i="53"/>
  <c r="R2399" i="53"/>
  <c r="R2400" i="53"/>
  <c r="R2401" i="53"/>
  <c r="R2402" i="53"/>
  <c r="R2403" i="53"/>
  <c r="R2404" i="53"/>
  <c r="R2405" i="53"/>
  <c r="R2406" i="53"/>
  <c r="R2407" i="53"/>
  <c r="R2408" i="53"/>
  <c r="R2409" i="53"/>
  <c r="R2410" i="53"/>
  <c r="R2411" i="53"/>
  <c r="R2412" i="53"/>
  <c r="R2413" i="53"/>
  <c r="R2414" i="53"/>
  <c r="R2415" i="53"/>
  <c r="R2416" i="53"/>
  <c r="R2417" i="53"/>
  <c r="R2418" i="53"/>
  <c r="R2419" i="53"/>
  <c r="R2420" i="53"/>
  <c r="R2421" i="53"/>
  <c r="R2422" i="53"/>
  <c r="R2423" i="53"/>
  <c r="R2424" i="53"/>
  <c r="R2425" i="53"/>
  <c r="R2426" i="53"/>
  <c r="R2427" i="53"/>
  <c r="R2428" i="53"/>
  <c r="R2429" i="53"/>
  <c r="R2430" i="53"/>
  <c r="R2431" i="53"/>
  <c r="R2432" i="53"/>
  <c r="R2433" i="53"/>
  <c r="R2434" i="53"/>
  <c r="R2435" i="53"/>
  <c r="R2436" i="53"/>
  <c r="R2437" i="53"/>
  <c r="R2438" i="53"/>
  <c r="R2439" i="53"/>
  <c r="R2440" i="53"/>
  <c r="R2441" i="53"/>
  <c r="R2442" i="53"/>
  <c r="R2443" i="53"/>
  <c r="R2444" i="53"/>
  <c r="R2445" i="53"/>
  <c r="R2446" i="53"/>
  <c r="R2447" i="53"/>
  <c r="R2448" i="53"/>
  <c r="R2449" i="53"/>
  <c r="R2450" i="53"/>
  <c r="R2451" i="53"/>
  <c r="R2452" i="53"/>
  <c r="R2453" i="53"/>
  <c r="R2454" i="53"/>
  <c r="R2455" i="53"/>
  <c r="R2456" i="53"/>
  <c r="R2457" i="53"/>
  <c r="R2458" i="53"/>
  <c r="R2459" i="53"/>
  <c r="R2460" i="53"/>
  <c r="R2461" i="53"/>
  <c r="R2462" i="53"/>
  <c r="R2463" i="53"/>
  <c r="R2464" i="53"/>
  <c r="R2465" i="53"/>
  <c r="R2466" i="53"/>
  <c r="R2467" i="53"/>
  <c r="R2468" i="53"/>
  <c r="R2469" i="53"/>
  <c r="R2470" i="53"/>
  <c r="R2471" i="53"/>
  <c r="R2472" i="53"/>
  <c r="R2473" i="53"/>
  <c r="R2474" i="53"/>
  <c r="R2475" i="53"/>
  <c r="R2476" i="53"/>
  <c r="R2477" i="53"/>
  <c r="R2478" i="53"/>
  <c r="R2479" i="53"/>
  <c r="R2480" i="53"/>
  <c r="R2481" i="53"/>
  <c r="R2482" i="53"/>
  <c r="R2483" i="53"/>
  <c r="R2484" i="53"/>
  <c r="R2485" i="53"/>
  <c r="R2486" i="53"/>
  <c r="R2487" i="53"/>
  <c r="R2488" i="53"/>
  <c r="R2489" i="53"/>
  <c r="R2490" i="53"/>
  <c r="R2491" i="53"/>
  <c r="R2492" i="53"/>
  <c r="R2493" i="53"/>
  <c r="R2494" i="53"/>
  <c r="R2495" i="53"/>
  <c r="R2496" i="53"/>
  <c r="R2497" i="53"/>
  <c r="R2498" i="53"/>
  <c r="R2499" i="53"/>
  <c r="R2500" i="53"/>
  <c r="R2501" i="53"/>
  <c r="R2502" i="53"/>
  <c r="R2503" i="53"/>
  <c r="R2504" i="53"/>
  <c r="R2505" i="53"/>
  <c r="R2506" i="53"/>
  <c r="R2507" i="53"/>
  <c r="R2508" i="53"/>
  <c r="R2509" i="53"/>
  <c r="R2510" i="53"/>
  <c r="R2511" i="53"/>
  <c r="R2512" i="53"/>
  <c r="R2513" i="53"/>
  <c r="R2514" i="53"/>
  <c r="R2515" i="53"/>
  <c r="R2516" i="53"/>
  <c r="R2517" i="53"/>
  <c r="R2518" i="53"/>
  <c r="R2519" i="53"/>
  <c r="R2520" i="53"/>
  <c r="R2521" i="53"/>
  <c r="R2522" i="53"/>
  <c r="R2523" i="53"/>
  <c r="R2524" i="53"/>
  <c r="R2525" i="53"/>
  <c r="R2526" i="53"/>
  <c r="R2527" i="53"/>
  <c r="R2528" i="53"/>
  <c r="R2529" i="53"/>
  <c r="R2530" i="53"/>
  <c r="R2531" i="53"/>
  <c r="R2532" i="53"/>
  <c r="R2533" i="53"/>
  <c r="R2534" i="53"/>
  <c r="R2535" i="53"/>
  <c r="R2536" i="53"/>
  <c r="R2537" i="53"/>
  <c r="R2538" i="53"/>
  <c r="R2539" i="53"/>
  <c r="R2540" i="53"/>
  <c r="R2541" i="53"/>
  <c r="R2542" i="53"/>
  <c r="R2543" i="53"/>
  <c r="R2544" i="53"/>
  <c r="R2545" i="53"/>
  <c r="R2546" i="53"/>
  <c r="R2547" i="53"/>
  <c r="R2548" i="53"/>
  <c r="R2549" i="53"/>
  <c r="R2550" i="53"/>
  <c r="R2551" i="53"/>
  <c r="R2552" i="53"/>
  <c r="R2553" i="53"/>
  <c r="R2554" i="53"/>
  <c r="R2555" i="53"/>
  <c r="R2556" i="53"/>
  <c r="R2557" i="53"/>
  <c r="R2558" i="53"/>
  <c r="R2559" i="53"/>
  <c r="R2560" i="53"/>
  <c r="R2561" i="53"/>
  <c r="R2562" i="53"/>
  <c r="R2563" i="53"/>
  <c r="R2564" i="53"/>
  <c r="R2565" i="53"/>
  <c r="R2566" i="53"/>
  <c r="R2567" i="53"/>
  <c r="R2568" i="53"/>
  <c r="R2569" i="53"/>
  <c r="R2570" i="53"/>
  <c r="R2571" i="53"/>
  <c r="R2572" i="53"/>
  <c r="R2573" i="53"/>
  <c r="R2574" i="53"/>
  <c r="R2575" i="53"/>
  <c r="R2576" i="53"/>
  <c r="R2577" i="53"/>
  <c r="R2578" i="53"/>
  <c r="R2579" i="53"/>
  <c r="R2580" i="53"/>
  <c r="R2581" i="53"/>
  <c r="R2582" i="53"/>
  <c r="R2583" i="53"/>
  <c r="R2584" i="53"/>
  <c r="R2585" i="53"/>
  <c r="R2586" i="53"/>
  <c r="R2587" i="53"/>
  <c r="R2588" i="53"/>
  <c r="R2589" i="53"/>
  <c r="R2590" i="53"/>
  <c r="R2591" i="53"/>
  <c r="R2592" i="53"/>
  <c r="R2593" i="53"/>
  <c r="R2594" i="53"/>
  <c r="R2595" i="53"/>
  <c r="R2596" i="53"/>
  <c r="R2597" i="53"/>
  <c r="R2598" i="53"/>
  <c r="R2599" i="53"/>
  <c r="R2600" i="53"/>
  <c r="R2601" i="53"/>
  <c r="R2602" i="53"/>
  <c r="R2603" i="53"/>
  <c r="R2604" i="53"/>
  <c r="R2605" i="53"/>
  <c r="R2606" i="53"/>
  <c r="R2607" i="53"/>
  <c r="R2608" i="53"/>
  <c r="R2609" i="53"/>
  <c r="R2610" i="53"/>
  <c r="R2611" i="53"/>
  <c r="R2612" i="53"/>
  <c r="R2613" i="53"/>
  <c r="R2614" i="53"/>
  <c r="R2615" i="53"/>
  <c r="R2616" i="53"/>
  <c r="R2617" i="53"/>
  <c r="R2618" i="53"/>
  <c r="R2619" i="53"/>
  <c r="R2620" i="53"/>
  <c r="R2621" i="53"/>
  <c r="R2622" i="53"/>
  <c r="R2623" i="53"/>
  <c r="R2624" i="53"/>
  <c r="R2625" i="53"/>
  <c r="R2626" i="53"/>
  <c r="R2627" i="53"/>
  <c r="R2628" i="53"/>
  <c r="R2629" i="53"/>
  <c r="R2630" i="53"/>
  <c r="R2631" i="53"/>
  <c r="R2632" i="53"/>
  <c r="R2633" i="53"/>
  <c r="R2634" i="53"/>
  <c r="R2635" i="53"/>
  <c r="R2636" i="53"/>
  <c r="R2637" i="53"/>
  <c r="R2638" i="53"/>
  <c r="R2639" i="53"/>
  <c r="R2640" i="53"/>
  <c r="R2641" i="53"/>
  <c r="R2642" i="53"/>
  <c r="R2643" i="53"/>
  <c r="R2644" i="53"/>
  <c r="R2645" i="53"/>
  <c r="R2646" i="53"/>
  <c r="R2647" i="53"/>
  <c r="R2648" i="53"/>
  <c r="R2649" i="53"/>
  <c r="R2650" i="53"/>
  <c r="R2651" i="53"/>
  <c r="R2652" i="53"/>
  <c r="R2653" i="53"/>
  <c r="R2654" i="53"/>
  <c r="R2655" i="53"/>
  <c r="R2656" i="53"/>
  <c r="R2657" i="53"/>
  <c r="R2658" i="53"/>
  <c r="R2659" i="53"/>
  <c r="R2660" i="53"/>
  <c r="R2661" i="53"/>
  <c r="R2662" i="53"/>
  <c r="R2663" i="53"/>
  <c r="R2664" i="53"/>
  <c r="R2665" i="53"/>
  <c r="R2666" i="53"/>
  <c r="R2667" i="53"/>
  <c r="R2668" i="53"/>
  <c r="R2669" i="53"/>
  <c r="R2670" i="53"/>
  <c r="R2671" i="53"/>
  <c r="R2672" i="53"/>
  <c r="R2673" i="53"/>
  <c r="R2674" i="53"/>
  <c r="R2675" i="53"/>
  <c r="R2676" i="53"/>
  <c r="R2677" i="53"/>
  <c r="R2678" i="53"/>
  <c r="R2679" i="53"/>
  <c r="R2680" i="53"/>
  <c r="P2681" i="53"/>
  <c r="Q2681" i="53"/>
  <c r="R2681" i="53"/>
  <c r="P2682" i="53"/>
  <c r="Q2682" i="53"/>
  <c r="R2682" i="53"/>
  <c r="P2683" i="53"/>
  <c r="Q2683" i="53"/>
  <c r="R2683" i="53"/>
  <c r="P2684" i="53"/>
  <c r="Q2684" i="53"/>
  <c r="R2684" i="53"/>
  <c r="P2685" i="53"/>
  <c r="Q2685" i="53"/>
  <c r="R2685" i="53"/>
  <c r="P2686" i="53"/>
  <c r="Q2686" i="53"/>
  <c r="R2686" i="53"/>
  <c r="P2687" i="53"/>
  <c r="Q2687" i="53"/>
  <c r="R2687" i="53"/>
  <c r="P2688" i="53"/>
  <c r="Q2688" i="53"/>
  <c r="R2688" i="53"/>
  <c r="P2689" i="53"/>
  <c r="Q2689" i="53"/>
  <c r="R2689" i="53"/>
  <c r="P2690" i="53"/>
  <c r="Q2690" i="53"/>
  <c r="R2690" i="53"/>
  <c r="P2691" i="53"/>
  <c r="Q2691" i="53"/>
  <c r="R2691" i="53"/>
  <c r="P2692" i="53"/>
  <c r="Q2692" i="53"/>
  <c r="R2692" i="53"/>
  <c r="P2693" i="53"/>
  <c r="Q2693" i="53"/>
  <c r="R2693" i="53"/>
  <c r="P2694" i="53"/>
  <c r="Q2694" i="53"/>
  <c r="R2694" i="53"/>
  <c r="P2695" i="53"/>
  <c r="Q2695" i="53"/>
  <c r="R2695" i="53"/>
  <c r="P2696" i="53"/>
  <c r="Q2696" i="53"/>
  <c r="R2696" i="53"/>
  <c r="P2697" i="53"/>
  <c r="Q2697" i="53"/>
  <c r="R2697" i="53"/>
  <c r="P2698" i="53"/>
  <c r="Q2698" i="53"/>
  <c r="R2698" i="53"/>
  <c r="P2699" i="53"/>
  <c r="Q2699" i="53"/>
  <c r="R2699" i="53"/>
  <c r="P2700" i="53"/>
  <c r="Q2700" i="53"/>
  <c r="R2700" i="53"/>
  <c r="P2701" i="53"/>
  <c r="Q2701" i="53"/>
  <c r="R2701" i="53"/>
  <c r="P2702" i="53"/>
  <c r="Q2702" i="53"/>
  <c r="R2702" i="53"/>
  <c r="P2703" i="53"/>
  <c r="Q2703" i="53"/>
  <c r="R2703" i="53"/>
  <c r="P2704" i="53"/>
  <c r="Q2704" i="53"/>
  <c r="R2704" i="53"/>
  <c r="P2705" i="53"/>
  <c r="Q2705" i="53"/>
  <c r="R2705" i="53"/>
  <c r="P2706" i="53"/>
  <c r="Q2706" i="53"/>
  <c r="R2706" i="53"/>
  <c r="P2707" i="53"/>
  <c r="Q2707" i="53"/>
  <c r="R2707" i="53"/>
  <c r="P2708" i="53"/>
  <c r="Q2708" i="53"/>
  <c r="R2708" i="53"/>
  <c r="P2709" i="53"/>
  <c r="Q2709" i="53"/>
  <c r="R2709" i="53"/>
  <c r="P2710" i="53"/>
  <c r="Q2710" i="53"/>
  <c r="R2710" i="53"/>
  <c r="P2711" i="53"/>
  <c r="Q2711" i="53"/>
  <c r="R2711" i="53"/>
  <c r="P2712" i="53"/>
  <c r="Q2712" i="53"/>
  <c r="R2712" i="53"/>
  <c r="P2713" i="53"/>
  <c r="Q2713" i="53"/>
  <c r="R2713" i="53"/>
  <c r="P2714" i="53"/>
  <c r="Q2714" i="53"/>
  <c r="R2714" i="53"/>
  <c r="P2715" i="53"/>
  <c r="Q2715" i="53"/>
  <c r="R2715" i="53"/>
  <c r="P2716" i="53"/>
  <c r="Q2716" i="53"/>
  <c r="R2716" i="53"/>
  <c r="P2717" i="53"/>
  <c r="Q2717" i="53"/>
  <c r="R2717" i="53"/>
  <c r="P2718" i="53"/>
  <c r="Q2718" i="53"/>
  <c r="R2718" i="53"/>
  <c r="P2719" i="53"/>
  <c r="Q2719" i="53"/>
  <c r="R2719" i="53"/>
  <c r="P2720" i="53"/>
  <c r="Q2720" i="53"/>
  <c r="R2720" i="53"/>
  <c r="P2721" i="53"/>
  <c r="Q2721" i="53"/>
  <c r="R2721" i="53"/>
  <c r="P2722" i="53"/>
  <c r="Q2722" i="53"/>
  <c r="R2722" i="53"/>
  <c r="P2723" i="53"/>
  <c r="Q2723" i="53"/>
  <c r="R2723" i="53"/>
  <c r="P2724" i="53"/>
  <c r="Q2724" i="53"/>
  <c r="R2724" i="53"/>
  <c r="P2725" i="53"/>
  <c r="Q2725" i="53"/>
  <c r="R2725" i="53"/>
  <c r="P2726" i="53"/>
  <c r="Q2726" i="53"/>
  <c r="R2726" i="53"/>
  <c r="P2727" i="53"/>
  <c r="Q2727" i="53"/>
  <c r="R2727" i="53"/>
  <c r="P2728" i="53"/>
  <c r="Q2728" i="53"/>
  <c r="R2728" i="53"/>
  <c r="P2729" i="53"/>
  <c r="Q2729" i="53"/>
  <c r="R2729" i="53"/>
  <c r="P2730" i="53"/>
  <c r="Q2730" i="53"/>
  <c r="R2730" i="53"/>
  <c r="P2731" i="53"/>
  <c r="Q2731" i="53"/>
  <c r="R2731" i="53"/>
  <c r="P2732" i="53"/>
  <c r="Q2732" i="53"/>
  <c r="R2732" i="53"/>
  <c r="P2733" i="53"/>
  <c r="Q2733" i="53"/>
  <c r="R2733" i="53"/>
  <c r="P2734" i="53"/>
  <c r="Q2734" i="53"/>
  <c r="R2734" i="53"/>
  <c r="P2735" i="53"/>
  <c r="Q2735" i="53"/>
  <c r="R2735" i="53"/>
  <c r="P2736" i="53"/>
  <c r="Q2736" i="53"/>
  <c r="R2736" i="53"/>
  <c r="P2737" i="53"/>
  <c r="Q2737" i="53"/>
  <c r="R2737" i="53"/>
  <c r="P2738" i="53"/>
  <c r="Q2738" i="53"/>
  <c r="R2738" i="53"/>
  <c r="P2739" i="53"/>
  <c r="Q2739" i="53"/>
  <c r="R2739" i="53"/>
  <c r="P2740" i="53"/>
  <c r="Q2740" i="53"/>
  <c r="R2740" i="53"/>
  <c r="P2741" i="53"/>
  <c r="Q2741" i="53"/>
  <c r="R2741" i="53"/>
  <c r="P2742" i="53"/>
  <c r="Q2742" i="53"/>
  <c r="R2742" i="53"/>
  <c r="P2743" i="53"/>
  <c r="Q2743" i="53"/>
  <c r="R2743" i="53"/>
  <c r="P2744" i="53"/>
  <c r="Q2744" i="53"/>
  <c r="R2744" i="53"/>
  <c r="P2745" i="53"/>
  <c r="Q2745" i="53"/>
  <c r="R2745" i="53"/>
  <c r="P2746" i="53"/>
  <c r="Q2746" i="53"/>
  <c r="R2746" i="53"/>
  <c r="P2747" i="53"/>
  <c r="Q2747" i="53"/>
  <c r="R2747" i="53"/>
  <c r="P2748" i="53"/>
  <c r="Q2748" i="53"/>
  <c r="R2748" i="53"/>
  <c r="P2749" i="53"/>
  <c r="Q2749" i="53"/>
  <c r="R2749" i="53"/>
  <c r="P2750" i="53"/>
  <c r="Q2750" i="53"/>
  <c r="R2750" i="53"/>
  <c r="P2751" i="53"/>
  <c r="Q2751" i="53"/>
  <c r="R2751" i="53"/>
  <c r="P2752" i="53"/>
  <c r="Q2752" i="53"/>
  <c r="R2752" i="53"/>
  <c r="P2753" i="53"/>
  <c r="Q2753" i="53"/>
  <c r="R2753" i="53"/>
  <c r="P2754" i="53"/>
  <c r="Q2754" i="53"/>
  <c r="R2754" i="53"/>
  <c r="P2755" i="53"/>
  <c r="Q2755" i="53"/>
  <c r="R2755" i="53"/>
  <c r="P2756" i="53"/>
  <c r="Q2756" i="53"/>
  <c r="R2756" i="53"/>
  <c r="P2757" i="53"/>
  <c r="Q2757" i="53"/>
  <c r="R2757" i="53"/>
  <c r="P2758" i="53"/>
  <c r="Q2758" i="53"/>
  <c r="R2758" i="53"/>
  <c r="P2759" i="53"/>
  <c r="Q2759" i="53"/>
  <c r="R2759" i="53"/>
  <c r="P2760" i="53"/>
  <c r="Q2760" i="53"/>
  <c r="R2760" i="53"/>
  <c r="P2761" i="53"/>
  <c r="Q2761" i="53"/>
  <c r="R2761" i="53"/>
  <c r="P2762" i="53"/>
  <c r="Q2762" i="53"/>
  <c r="R2762" i="53"/>
  <c r="P2763" i="53"/>
  <c r="Q2763" i="53"/>
  <c r="R2763" i="53"/>
  <c r="P2764" i="53"/>
  <c r="Q2764" i="53"/>
  <c r="R2764" i="53"/>
  <c r="P2765" i="53"/>
  <c r="Q2765" i="53"/>
  <c r="R2765" i="53"/>
  <c r="P2766" i="53"/>
  <c r="Q2766" i="53"/>
  <c r="R2766" i="53"/>
  <c r="P2767" i="53"/>
  <c r="Q2767" i="53"/>
  <c r="R2767" i="53"/>
  <c r="P2768" i="53"/>
  <c r="Q2768" i="53"/>
  <c r="R2768" i="53"/>
  <c r="P2769" i="53"/>
  <c r="Q2769" i="53"/>
  <c r="R2769" i="53"/>
  <c r="P2770" i="53"/>
  <c r="Q2770" i="53"/>
  <c r="R2770" i="53"/>
  <c r="P2771" i="53"/>
  <c r="Q2771" i="53"/>
  <c r="R2771" i="53"/>
  <c r="P2772" i="53"/>
  <c r="Q2772" i="53"/>
  <c r="R2772" i="53"/>
  <c r="P2773" i="53"/>
  <c r="Q2773" i="53"/>
  <c r="R2773" i="53"/>
  <c r="P2774" i="53"/>
  <c r="Q2774" i="53"/>
  <c r="R2774" i="53"/>
  <c r="P2775" i="53"/>
  <c r="Q2775" i="53"/>
  <c r="R2775" i="53"/>
  <c r="P2776" i="53"/>
  <c r="Q2776" i="53"/>
  <c r="R2776" i="53"/>
  <c r="P2777" i="53"/>
  <c r="Q2777" i="53"/>
  <c r="R2777" i="53"/>
  <c r="P2778" i="53"/>
  <c r="Q2778" i="53"/>
  <c r="R2778" i="53"/>
  <c r="P2779" i="53"/>
  <c r="Q2779" i="53"/>
  <c r="R2779" i="53"/>
  <c r="P2780" i="53"/>
  <c r="Q2780" i="53"/>
  <c r="R2780" i="53"/>
  <c r="P2781" i="53"/>
  <c r="Q2781" i="53"/>
  <c r="R2781" i="53"/>
  <c r="P2782" i="53"/>
  <c r="Q2782" i="53"/>
  <c r="R2782" i="53"/>
  <c r="P2783" i="53"/>
  <c r="Q2783" i="53"/>
  <c r="R2783" i="53"/>
  <c r="P2784" i="53"/>
  <c r="Q2784" i="53"/>
  <c r="R2784" i="53"/>
  <c r="P2785" i="53"/>
  <c r="Q2785" i="53"/>
  <c r="R2785" i="53"/>
  <c r="P2786" i="53"/>
  <c r="Q2786" i="53"/>
  <c r="R2786" i="53"/>
  <c r="P2787" i="53"/>
  <c r="Q2787" i="53"/>
  <c r="R2787" i="53"/>
  <c r="P2788" i="53"/>
  <c r="Q2788" i="53"/>
  <c r="R2788" i="53"/>
  <c r="P2789" i="53"/>
  <c r="Q2789" i="53"/>
  <c r="R2789" i="53"/>
  <c r="P2790" i="53"/>
  <c r="Q2790" i="53"/>
  <c r="R2790" i="53"/>
  <c r="P2791" i="53"/>
  <c r="Q2791" i="53"/>
  <c r="R2791" i="53"/>
  <c r="P2792" i="53"/>
  <c r="Q2792" i="53"/>
  <c r="R2792" i="53"/>
  <c r="P2793" i="53"/>
  <c r="Q2793" i="53"/>
  <c r="R2793" i="53"/>
  <c r="P2794" i="53"/>
  <c r="Q2794" i="53"/>
  <c r="R2794" i="53"/>
  <c r="P2795" i="53"/>
  <c r="Q2795" i="53"/>
  <c r="R2795" i="53"/>
  <c r="P2796" i="53"/>
  <c r="Q2796" i="53"/>
  <c r="R2796" i="53"/>
  <c r="P2797" i="53"/>
  <c r="Q2797" i="53"/>
  <c r="R2797" i="53"/>
  <c r="P2798" i="53"/>
  <c r="Q2798" i="53"/>
  <c r="R2798" i="53"/>
  <c r="P2799" i="53"/>
  <c r="Q2799" i="53"/>
  <c r="R2799" i="53"/>
  <c r="P2800" i="53"/>
  <c r="Q2800" i="53"/>
  <c r="R2800" i="53"/>
  <c r="P2801" i="53"/>
  <c r="Q2801" i="53"/>
  <c r="R2801" i="53"/>
  <c r="P2802" i="53"/>
  <c r="Q2802" i="53"/>
  <c r="R2802" i="53"/>
  <c r="P2803" i="53"/>
  <c r="Q2803" i="53"/>
  <c r="R2803" i="53"/>
  <c r="P2804" i="53"/>
  <c r="Q2804" i="53"/>
  <c r="R2804" i="53"/>
  <c r="P2805" i="53"/>
  <c r="Q2805" i="53"/>
  <c r="R2805" i="53"/>
  <c r="P2806" i="53"/>
  <c r="Q2806" i="53"/>
  <c r="R2806" i="53"/>
  <c r="P2807" i="53"/>
  <c r="Q2807" i="53"/>
  <c r="R2807" i="53"/>
  <c r="P2808" i="53"/>
  <c r="Q2808" i="53"/>
  <c r="R2808" i="53"/>
  <c r="P2809" i="53"/>
  <c r="Q2809" i="53"/>
  <c r="R2809" i="53"/>
  <c r="P2810" i="53"/>
  <c r="Q2810" i="53"/>
  <c r="R2810" i="53"/>
  <c r="P2811" i="53"/>
  <c r="Q2811" i="53"/>
  <c r="R2811" i="53"/>
  <c r="P2812" i="53"/>
  <c r="Q2812" i="53"/>
  <c r="R2812" i="53"/>
  <c r="P2813" i="53"/>
  <c r="Q2813" i="53"/>
  <c r="R2813" i="53"/>
  <c r="P2814" i="53"/>
  <c r="Q2814" i="53"/>
  <c r="R2814" i="53"/>
  <c r="P2815" i="53"/>
  <c r="Q2815" i="53"/>
  <c r="R2815" i="53"/>
  <c r="P2816" i="53"/>
  <c r="Q2816" i="53"/>
  <c r="R2816" i="53"/>
  <c r="P2817" i="53"/>
  <c r="Q2817" i="53"/>
  <c r="R2817" i="53"/>
  <c r="P2818" i="53"/>
  <c r="Q2818" i="53"/>
  <c r="R2818" i="53"/>
  <c r="P2819" i="53"/>
  <c r="Q2819" i="53"/>
  <c r="R2819" i="53"/>
  <c r="P2820" i="53"/>
  <c r="Q2820" i="53"/>
  <c r="R2820" i="53"/>
  <c r="P2821" i="53"/>
  <c r="Q2821" i="53"/>
  <c r="R2821" i="53"/>
  <c r="P2822" i="53"/>
  <c r="Q2822" i="53"/>
  <c r="R2822" i="53"/>
  <c r="P2823" i="53"/>
  <c r="Q2823" i="53"/>
  <c r="R2823" i="53"/>
  <c r="P2824" i="53"/>
  <c r="Q2824" i="53"/>
  <c r="R2824" i="53"/>
  <c r="P2825" i="53"/>
  <c r="Q2825" i="53"/>
  <c r="R2825" i="53"/>
  <c r="P2826" i="53"/>
  <c r="Q2826" i="53"/>
  <c r="R2826" i="53"/>
  <c r="P2827" i="53"/>
  <c r="Q2827" i="53"/>
  <c r="R2827" i="53"/>
  <c r="P2828" i="53"/>
  <c r="Q2828" i="53"/>
  <c r="R2828" i="53"/>
  <c r="P2829" i="53"/>
  <c r="Q2829" i="53"/>
  <c r="R2829" i="53"/>
  <c r="P2830" i="53"/>
  <c r="Q2830" i="53"/>
  <c r="R2830" i="53"/>
  <c r="P2831" i="53"/>
  <c r="Q2831" i="53"/>
  <c r="R2831" i="53"/>
  <c r="P2832" i="53"/>
  <c r="Q2832" i="53"/>
  <c r="R2832" i="53"/>
  <c r="P2833" i="53"/>
  <c r="Q2833" i="53"/>
  <c r="R2833" i="53"/>
  <c r="P2834" i="53"/>
  <c r="Q2834" i="53"/>
  <c r="R2834" i="53"/>
  <c r="P2835" i="53"/>
  <c r="Q2835" i="53"/>
  <c r="R2835" i="53"/>
  <c r="P2836" i="53"/>
  <c r="Q2836" i="53"/>
  <c r="R2836" i="53"/>
  <c r="P2837" i="53"/>
  <c r="Q2837" i="53"/>
  <c r="R2837" i="53"/>
  <c r="P2838" i="53"/>
  <c r="Q2838" i="53"/>
  <c r="R2838" i="53"/>
  <c r="P2839" i="53"/>
  <c r="Q2839" i="53"/>
  <c r="R2839" i="53"/>
  <c r="P2840" i="53"/>
  <c r="Q2840" i="53"/>
  <c r="R2840" i="53"/>
  <c r="P2841" i="53"/>
  <c r="Q2841" i="53"/>
  <c r="R2841" i="53"/>
  <c r="P2842" i="53"/>
  <c r="Q2842" i="53"/>
  <c r="R2842" i="53"/>
  <c r="P2843" i="53"/>
  <c r="Q2843" i="53"/>
  <c r="R2843" i="53"/>
  <c r="P2844" i="53"/>
  <c r="Q2844" i="53"/>
  <c r="R2844" i="53"/>
  <c r="P2845" i="53"/>
  <c r="Q2845" i="53"/>
  <c r="R2845" i="53"/>
  <c r="P2846" i="53"/>
  <c r="Q2846" i="53"/>
  <c r="R2846" i="53"/>
  <c r="P2847" i="53"/>
  <c r="Q2847" i="53"/>
  <c r="R2847" i="53"/>
  <c r="P2848" i="53"/>
  <c r="Q2848" i="53"/>
  <c r="R2848" i="53"/>
  <c r="P2849" i="53"/>
  <c r="Q2849" i="53"/>
  <c r="R2849" i="53"/>
  <c r="P2850" i="53"/>
  <c r="Q2850" i="53"/>
  <c r="R2850" i="53"/>
  <c r="P2851" i="53"/>
  <c r="Q2851" i="53"/>
  <c r="R2851" i="53"/>
  <c r="P2852" i="53"/>
  <c r="Q2852" i="53"/>
  <c r="R2852" i="53"/>
  <c r="P2853" i="53"/>
  <c r="Q2853" i="53"/>
  <c r="R2853" i="53"/>
  <c r="P2854" i="53"/>
  <c r="Q2854" i="53"/>
  <c r="R2854" i="53"/>
  <c r="P2855" i="53"/>
  <c r="Q2855" i="53"/>
  <c r="R2855" i="53"/>
  <c r="P2856" i="53"/>
  <c r="Q2856" i="53"/>
  <c r="R2856" i="53"/>
  <c r="P2857" i="53"/>
  <c r="Q2857" i="53"/>
  <c r="R2857" i="53"/>
  <c r="P2858" i="53"/>
  <c r="Q2858" i="53"/>
  <c r="R2858" i="53"/>
  <c r="P2859" i="53"/>
  <c r="Q2859" i="53"/>
  <c r="R2859" i="53"/>
  <c r="P2860" i="53"/>
  <c r="Q2860" i="53"/>
  <c r="R2860" i="53"/>
  <c r="P2861" i="53"/>
  <c r="Q2861" i="53"/>
  <c r="R2861" i="53"/>
  <c r="P2862" i="53"/>
  <c r="Q2862" i="53"/>
  <c r="R2862" i="53"/>
  <c r="P2863" i="53"/>
  <c r="Q2863" i="53"/>
  <c r="R2863" i="53"/>
  <c r="P2864" i="53"/>
  <c r="Q2864" i="53"/>
  <c r="R2864" i="53"/>
  <c r="P2865" i="53"/>
  <c r="Q2865" i="53"/>
  <c r="R2865" i="53"/>
  <c r="P2866" i="53"/>
  <c r="Q2866" i="53"/>
  <c r="R2866" i="53"/>
  <c r="P2867" i="53"/>
  <c r="Q2867" i="53"/>
  <c r="R2867" i="53"/>
  <c r="P2868" i="53"/>
  <c r="Q2868" i="53"/>
  <c r="R2868" i="53"/>
  <c r="P2869" i="53"/>
  <c r="Q2869" i="53"/>
  <c r="R2869" i="53"/>
  <c r="P2870" i="53"/>
  <c r="Q2870" i="53"/>
  <c r="R2870" i="53"/>
  <c r="P2871" i="53"/>
  <c r="Q2871" i="53"/>
  <c r="R2871" i="53"/>
  <c r="P2872" i="53"/>
  <c r="Q2872" i="53"/>
  <c r="R2872" i="53"/>
  <c r="P2873" i="53"/>
  <c r="Q2873" i="53"/>
  <c r="R2873" i="53"/>
  <c r="P2874" i="53"/>
  <c r="Q2874" i="53"/>
  <c r="R2874" i="53"/>
  <c r="P2875" i="53"/>
  <c r="Q2875" i="53"/>
  <c r="R2875" i="53"/>
  <c r="P2876" i="53"/>
  <c r="Q2876" i="53"/>
  <c r="R2876" i="53"/>
  <c r="P2877" i="53"/>
  <c r="Q2877" i="53"/>
  <c r="R2877" i="53"/>
  <c r="P2878" i="53"/>
  <c r="Q2878" i="53"/>
  <c r="R2878" i="53"/>
  <c r="P2879" i="53"/>
  <c r="Q2879" i="53"/>
  <c r="R2879" i="53"/>
  <c r="P2880" i="53"/>
  <c r="Q2880" i="53"/>
  <c r="R2880" i="53"/>
  <c r="P2881" i="53"/>
  <c r="Q2881" i="53"/>
  <c r="R2881" i="53"/>
  <c r="P2882" i="53"/>
  <c r="Q2882" i="53"/>
  <c r="R2882" i="53"/>
  <c r="P2883" i="53"/>
  <c r="Q2883" i="53"/>
  <c r="R2883" i="53"/>
  <c r="P2884" i="53"/>
  <c r="Q2884" i="53"/>
  <c r="R2884" i="53"/>
  <c r="P2885" i="53"/>
  <c r="Q2885" i="53"/>
  <c r="R2885" i="53"/>
  <c r="P2886" i="53"/>
  <c r="Q2886" i="53"/>
  <c r="R2886" i="53"/>
  <c r="P2887" i="53"/>
  <c r="Q2887" i="53"/>
  <c r="R2887" i="53"/>
  <c r="P2888" i="53"/>
  <c r="Q2888" i="53"/>
  <c r="R2888" i="53"/>
  <c r="P2889" i="53"/>
  <c r="Q2889" i="53"/>
  <c r="R2889" i="53"/>
  <c r="P2890" i="53"/>
  <c r="Q2890" i="53"/>
  <c r="R2890" i="53"/>
  <c r="P2891" i="53"/>
  <c r="Q2891" i="53"/>
  <c r="R2891" i="53"/>
  <c r="P2892" i="53"/>
  <c r="Q2892" i="53"/>
  <c r="R2892" i="53"/>
  <c r="P2893" i="53"/>
  <c r="Q2893" i="53"/>
  <c r="R2893" i="53"/>
  <c r="P2894" i="53"/>
  <c r="Q2894" i="53"/>
  <c r="R2894" i="53"/>
  <c r="P2895" i="53"/>
  <c r="Q2895" i="53"/>
  <c r="R2895" i="53"/>
  <c r="P2896" i="53"/>
  <c r="Q2896" i="53"/>
  <c r="R2896" i="53"/>
  <c r="P2897" i="53"/>
  <c r="Q2897" i="53"/>
  <c r="R2897" i="53"/>
  <c r="P2898" i="53"/>
  <c r="Q2898" i="53"/>
  <c r="R2898" i="53"/>
  <c r="P2899" i="53"/>
  <c r="Q2899" i="53"/>
  <c r="R2899" i="53"/>
  <c r="P2900" i="53"/>
  <c r="Q2900" i="53"/>
  <c r="R2900" i="53"/>
  <c r="P2901" i="53"/>
  <c r="Q2901" i="53"/>
  <c r="R2901" i="53"/>
  <c r="P2902" i="53"/>
  <c r="Q2902" i="53"/>
  <c r="R2902" i="53"/>
  <c r="P2903" i="53"/>
  <c r="Q2903" i="53"/>
  <c r="R2903" i="53"/>
  <c r="P2904" i="53"/>
  <c r="Q2904" i="53"/>
  <c r="R2904" i="53"/>
  <c r="P2905" i="53"/>
  <c r="Q2905" i="53"/>
  <c r="R2905" i="53"/>
  <c r="P2906" i="53"/>
  <c r="Q2906" i="53"/>
  <c r="R2906" i="53"/>
  <c r="P2907" i="53"/>
  <c r="Q2907" i="53"/>
  <c r="R2907" i="53"/>
  <c r="P2908" i="53"/>
  <c r="Q2908" i="53"/>
  <c r="R2908" i="53"/>
  <c r="P2909" i="53"/>
  <c r="Q2909" i="53"/>
  <c r="R2909" i="53"/>
  <c r="P2910" i="53"/>
  <c r="Q2910" i="53"/>
  <c r="R2910" i="53"/>
  <c r="P2911" i="53"/>
  <c r="Q2911" i="53"/>
  <c r="R2911" i="53"/>
  <c r="P2912" i="53"/>
  <c r="Q2912" i="53"/>
  <c r="R2912" i="53"/>
  <c r="P2913" i="53"/>
  <c r="Q2913" i="53"/>
  <c r="R2913" i="53"/>
  <c r="P2914" i="53"/>
  <c r="Q2914" i="53"/>
  <c r="R2914" i="53"/>
  <c r="P2915" i="53"/>
  <c r="Q2915" i="53"/>
  <c r="R2915" i="53"/>
  <c r="P2916" i="53"/>
  <c r="Q2916" i="53"/>
  <c r="R2916" i="53"/>
  <c r="P2917" i="53"/>
  <c r="Q2917" i="53"/>
  <c r="R2917" i="53"/>
  <c r="P2918" i="53"/>
  <c r="Q2918" i="53"/>
  <c r="R2918" i="53"/>
  <c r="P2919" i="53"/>
  <c r="Q2919" i="53"/>
  <c r="R2919" i="53"/>
  <c r="P2920" i="53"/>
  <c r="Q2920" i="53"/>
  <c r="R2920" i="53"/>
  <c r="P2921" i="53"/>
  <c r="Q2921" i="53"/>
  <c r="R2921" i="53"/>
  <c r="P2922" i="53"/>
  <c r="Q2922" i="53"/>
  <c r="R2922" i="53"/>
  <c r="P2923" i="53"/>
  <c r="Q2923" i="53"/>
  <c r="R2923" i="53"/>
  <c r="P2924" i="53"/>
  <c r="Q2924" i="53"/>
  <c r="R2924" i="53"/>
  <c r="P2925" i="53"/>
  <c r="Q2925" i="53"/>
  <c r="R2925" i="53"/>
  <c r="P2926" i="53"/>
  <c r="Q2926" i="53"/>
  <c r="R2926" i="53"/>
  <c r="P2927" i="53"/>
  <c r="Q2927" i="53"/>
  <c r="R2927" i="53"/>
  <c r="P2928" i="53"/>
  <c r="Q2928" i="53"/>
  <c r="R2928" i="53"/>
  <c r="P2929" i="53"/>
  <c r="Q2929" i="53"/>
  <c r="R2929" i="53"/>
  <c r="P2930" i="53"/>
  <c r="Q2930" i="53"/>
  <c r="R2930" i="53"/>
  <c r="P2931" i="53"/>
  <c r="Q2931" i="53"/>
  <c r="R2931" i="53"/>
  <c r="P2932" i="53"/>
  <c r="Q2932" i="53"/>
  <c r="R2932" i="53"/>
  <c r="P2933" i="53"/>
  <c r="Q2933" i="53"/>
  <c r="R2933" i="53"/>
  <c r="P2934" i="53"/>
  <c r="Q2934" i="53"/>
  <c r="R2934" i="53"/>
  <c r="P2935" i="53"/>
  <c r="Q2935" i="53"/>
  <c r="R2935" i="53"/>
  <c r="P2936" i="53"/>
  <c r="Q2936" i="53"/>
  <c r="R2936" i="53"/>
  <c r="P2937" i="53"/>
  <c r="Q2937" i="53"/>
  <c r="R2937" i="53"/>
  <c r="P2938" i="53"/>
  <c r="Q2938" i="53"/>
  <c r="R2938" i="53"/>
  <c r="P2939" i="53"/>
  <c r="Q2939" i="53"/>
  <c r="R2939" i="53"/>
  <c r="P2940" i="53"/>
  <c r="Q2940" i="53"/>
  <c r="R2940" i="53"/>
  <c r="P2941" i="53"/>
  <c r="Q2941" i="53"/>
  <c r="R2941" i="53"/>
  <c r="P2942" i="53"/>
  <c r="Q2942" i="53"/>
  <c r="R2942" i="53"/>
  <c r="P2943" i="53"/>
  <c r="Q2943" i="53"/>
  <c r="R2943" i="53"/>
  <c r="P2390" i="33" l="1"/>
  <c r="Q2390" i="33"/>
  <c r="P2391" i="33"/>
  <c r="Q2391" i="33"/>
  <c r="P2392" i="33"/>
  <c r="Q2392" i="33"/>
  <c r="P2393" i="33"/>
  <c r="Q2393" i="33"/>
  <c r="P2394" i="33"/>
  <c r="Q2394" i="33"/>
  <c r="P2395" i="33"/>
  <c r="Q2395" i="33"/>
  <c r="P2396" i="33"/>
  <c r="Q2396" i="33"/>
  <c r="P2397" i="33"/>
  <c r="Q2397" i="33"/>
  <c r="P2398" i="33"/>
  <c r="Q2398" i="33"/>
  <c r="P2399" i="33"/>
  <c r="Q2399" i="33"/>
  <c r="P2400" i="33"/>
  <c r="Q2400" i="33"/>
  <c r="P2401" i="33"/>
  <c r="Q2401" i="33"/>
  <c r="P2402" i="33"/>
  <c r="Q2402" i="33"/>
  <c r="P2403" i="33"/>
  <c r="Q2403" i="33"/>
  <c r="P2404" i="33"/>
  <c r="Q2404" i="33"/>
  <c r="P2405" i="33"/>
  <c r="Q2405" i="33"/>
  <c r="P2406" i="33"/>
  <c r="Q2406" i="33"/>
  <c r="P2407" i="33"/>
  <c r="Q2407" i="33"/>
  <c r="P2408" i="33"/>
  <c r="Q2408" i="33"/>
  <c r="P2409" i="33"/>
  <c r="Q2409" i="33"/>
  <c r="P2410" i="33"/>
  <c r="Q2410" i="33"/>
  <c r="P2411" i="33"/>
  <c r="Q2411" i="33"/>
  <c r="P2412" i="33"/>
  <c r="Q2412" i="33"/>
  <c r="P2413" i="33"/>
  <c r="Q2413" i="33"/>
  <c r="P2414" i="33"/>
  <c r="Q2414" i="33"/>
  <c r="P2415" i="33"/>
  <c r="Q2415" i="33"/>
  <c r="P2416" i="33"/>
  <c r="Q2416" i="33"/>
  <c r="P2417" i="33"/>
  <c r="Q2417" i="33"/>
  <c r="P2418" i="33"/>
  <c r="Q2418" i="33"/>
  <c r="P2419" i="33"/>
  <c r="Q2419" i="33"/>
  <c r="P2420" i="33"/>
  <c r="Q2420" i="33"/>
  <c r="P2421" i="33"/>
  <c r="Q2421" i="33"/>
  <c r="P2422" i="33"/>
  <c r="Q2422" i="33"/>
  <c r="P2423" i="33"/>
  <c r="Q2423" i="33"/>
  <c r="P2424" i="33"/>
  <c r="Q2424" i="33"/>
  <c r="P2425" i="33"/>
  <c r="Q2425" i="33"/>
  <c r="P2426" i="33"/>
  <c r="Q2426" i="33"/>
  <c r="P2427" i="33"/>
  <c r="Q2427" i="33"/>
  <c r="P2428" i="33"/>
  <c r="Q2428" i="33"/>
  <c r="P2429" i="33"/>
  <c r="Q2429" i="33"/>
  <c r="P2430" i="33"/>
  <c r="Q2430" i="33"/>
  <c r="P2431" i="33"/>
  <c r="Q2431" i="33"/>
  <c r="P2432" i="33"/>
  <c r="Q2432" i="33"/>
  <c r="P2433" i="33"/>
  <c r="Q2433" i="33"/>
  <c r="P2434" i="33"/>
  <c r="Q2434" i="33"/>
  <c r="P2435" i="33"/>
  <c r="Q2435" i="33"/>
  <c r="P2436" i="33"/>
  <c r="Q2436" i="33"/>
  <c r="P2437" i="33"/>
  <c r="Q2437" i="33"/>
  <c r="P2438" i="33"/>
  <c r="Q2438" i="33"/>
  <c r="P2439" i="33"/>
  <c r="Q2439" i="33"/>
  <c r="P2440" i="33"/>
  <c r="Q2440" i="33"/>
  <c r="P2441" i="33"/>
  <c r="Q2441" i="33"/>
  <c r="P2442" i="33"/>
  <c r="Q2442" i="33"/>
  <c r="P2443" i="33"/>
  <c r="Q2443" i="33"/>
  <c r="P2444" i="33"/>
  <c r="Q2444" i="33"/>
  <c r="P2445" i="33"/>
  <c r="Q2445" i="33"/>
  <c r="P2446" i="33"/>
  <c r="Q2446" i="33"/>
  <c r="P2447" i="33"/>
  <c r="Q2447" i="33"/>
  <c r="P2448" i="33"/>
  <c r="Q2448" i="33"/>
  <c r="P2449" i="33"/>
  <c r="Q2449" i="33"/>
  <c r="P2450" i="33"/>
  <c r="Q2450" i="33"/>
  <c r="P2451" i="33"/>
  <c r="Q2451" i="33"/>
  <c r="P2452" i="33"/>
  <c r="Q2452" i="33"/>
  <c r="P2453" i="33"/>
  <c r="Q2453" i="33"/>
  <c r="P2454" i="33"/>
  <c r="Q2454" i="33"/>
  <c r="P2455" i="33"/>
  <c r="Q2455" i="33"/>
  <c r="P2456" i="33"/>
  <c r="Q2456" i="33"/>
  <c r="P2457" i="33"/>
  <c r="Q2457" i="33"/>
  <c r="P2458" i="33"/>
  <c r="Q2458" i="33"/>
  <c r="P2459" i="33"/>
  <c r="Q2459" i="33"/>
  <c r="P2460" i="33"/>
  <c r="Q2460" i="33"/>
  <c r="P2461" i="33"/>
  <c r="Q2461" i="33"/>
  <c r="P2462" i="33"/>
  <c r="Q2462" i="33"/>
  <c r="P2463" i="33"/>
  <c r="Q2463" i="33"/>
  <c r="P2464" i="33"/>
  <c r="Q2464" i="33"/>
  <c r="P2465" i="33"/>
  <c r="Q2465" i="33"/>
  <c r="P2466" i="33"/>
  <c r="Q2466" i="33"/>
  <c r="P2467" i="33"/>
  <c r="Q2467" i="33"/>
  <c r="P2468" i="33"/>
  <c r="Q2468" i="33"/>
  <c r="P2469" i="33"/>
  <c r="Q2469" i="33"/>
  <c r="P2470" i="33"/>
  <c r="Q2470" i="33"/>
  <c r="P2471" i="33"/>
  <c r="Q2471" i="33"/>
  <c r="P2472" i="33"/>
  <c r="Q2472" i="33"/>
  <c r="P2473" i="33"/>
  <c r="Q2473" i="33"/>
  <c r="P2474" i="33"/>
  <c r="Q2474" i="33"/>
  <c r="P2475" i="33"/>
  <c r="Q2475" i="33"/>
  <c r="P2476" i="33"/>
  <c r="Q2476" i="33"/>
  <c r="P2477" i="33"/>
  <c r="Q2477" i="33"/>
  <c r="P2478" i="33"/>
  <c r="Q2478" i="33"/>
  <c r="P2479" i="33"/>
  <c r="Q2479" i="33"/>
  <c r="P2480" i="33"/>
  <c r="Q2480" i="33"/>
  <c r="P2481" i="33"/>
  <c r="Q2481" i="33"/>
  <c r="P2482" i="33"/>
  <c r="Q2482" i="33"/>
  <c r="P2483" i="33"/>
  <c r="Q2483" i="33"/>
  <c r="P2484" i="33"/>
  <c r="Q2484" i="33"/>
  <c r="P2485" i="33"/>
  <c r="Q2485" i="33"/>
  <c r="P2486" i="33"/>
  <c r="Q2486" i="33"/>
  <c r="P2487" i="33"/>
  <c r="Q2487" i="33"/>
  <c r="P2488" i="33"/>
  <c r="Q2488" i="33"/>
  <c r="P2489" i="33"/>
  <c r="Q2489" i="33"/>
  <c r="P2490" i="33"/>
  <c r="Q2490" i="33"/>
  <c r="P2491" i="33"/>
  <c r="Q2491" i="33"/>
  <c r="P2492" i="33"/>
  <c r="Q2492" i="33"/>
  <c r="P2493" i="33"/>
  <c r="Q2493" i="33"/>
  <c r="P2494" i="33"/>
  <c r="Q2494" i="33"/>
  <c r="P2495" i="33"/>
  <c r="Q2495" i="33"/>
  <c r="P2496" i="33"/>
  <c r="Q2496" i="33"/>
  <c r="P2497" i="33"/>
  <c r="Q2497" i="33"/>
  <c r="P2498" i="33"/>
  <c r="Q2498" i="33"/>
  <c r="P2499" i="33"/>
  <c r="Q2499" i="33"/>
  <c r="P2500" i="33"/>
  <c r="Q2500" i="33"/>
  <c r="P2501" i="33"/>
  <c r="Q2501" i="33"/>
  <c r="P2502" i="33"/>
  <c r="Q2502" i="33"/>
  <c r="P2503" i="33"/>
  <c r="Q2503" i="33"/>
  <c r="P2504" i="33"/>
  <c r="Q2504" i="33"/>
  <c r="P2505" i="33"/>
  <c r="Q2505" i="33"/>
  <c r="P2506" i="33"/>
  <c r="Q2506" i="33"/>
  <c r="P2507" i="33"/>
  <c r="Q2507" i="33"/>
  <c r="P2508" i="33"/>
  <c r="Q2508" i="33"/>
  <c r="P2509" i="33"/>
  <c r="Q2509" i="33"/>
  <c r="P2510" i="33"/>
  <c r="Q2510" i="33"/>
  <c r="P2511" i="33"/>
  <c r="Q2511" i="33"/>
  <c r="P2512" i="33"/>
  <c r="Q2512" i="33"/>
  <c r="P2513" i="33"/>
  <c r="Q2513" i="33"/>
  <c r="P2514" i="33"/>
  <c r="Q2514" i="33"/>
  <c r="P2515" i="33"/>
  <c r="Q2515" i="33"/>
  <c r="P2516" i="33"/>
  <c r="Q2516" i="33"/>
  <c r="P2517" i="33"/>
  <c r="Q2517" i="33"/>
  <c r="P2518" i="33"/>
  <c r="Q2518" i="33"/>
  <c r="P2519" i="33"/>
  <c r="Q2519" i="33"/>
  <c r="P2520" i="33"/>
  <c r="Q2520" i="33"/>
  <c r="P2521" i="33"/>
  <c r="Q2521" i="33"/>
  <c r="P2522" i="33"/>
  <c r="Q2522" i="33"/>
  <c r="P2523" i="33"/>
  <c r="Q2523" i="33"/>
  <c r="P2524" i="33"/>
  <c r="Q2524" i="33"/>
  <c r="P2525" i="33"/>
  <c r="Q2525" i="33"/>
  <c r="P2526" i="33"/>
  <c r="Q2526" i="33"/>
  <c r="P2527" i="33"/>
  <c r="Q2527" i="33"/>
  <c r="P2528" i="33"/>
  <c r="Q2528" i="33"/>
  <c r="P2529" i="33"/>
  <c r="Q2529" i="33"/>
  <c r="P2530" i="33"/>
  <c r="Q2530" i="33"/>
  <c r="P2531" i="33"/>
  <c r="Q2531" i="33"/>
  <c r="P2532" i="33"/>
  <c r="Q2532" i="33"/>
  <c r="P2533" i="33"/>
  <c r="Q2533" i="33"/>
  <c r="P2534" i="33"/>
  <c r="Q2534" i="33"/>
  <c r="P2535" i="33"/>
  <c r="Q2535" i="33"/>
  <c r="P2536" i="33"/>
  <c r="Q2536" i="33"/>
  <c r="P2537" i="33"/>
  <c r="Q2537" i="33"/>
  <c r="P2538" i="33"/>
  <c r="Q2538" i="33"/>
  <c r="P2539" i="33"/>
  <c r="Q2539" i="33"/>
  <c r="P2540" i="33"/>
  <c r="Q2540" i="33"/>
  <c r="P2541" i="33"/>
  <c r="Q2541" i="33"/>
  <c r="P2542" i="33"/>
  <c r="Q2542" i="33"/>
  <c r="P2543" i="33"/>
  <c r="Q2543" i="33"/>
  <c r="P2544" i="33"/>
  <c r="Q2544" i="33"/>
  <c r="P2545" i="33"/>
  <c r="Q2545" i="33"/>
  <c r="P2546" i="33"/>
  <c r="Q2546" i="33"/>
  <c r="P2547" i="33"/>
  <c r="Q2547" i="33"/>
  <c r="P2548" i="33"/>
  <c r="Q2548" i="33"/>
  <c r="P2549" i="33"/>
  <c r="Q2549" i="33"/>
  <c r="P2550" i="33"/>
  <c r="Q2550" i="33"/>
  <c r="P2551" i="33"/>
  <c r="Q2551" i="33"/>
  <c r="P2552" i="33"/>
  <c r="Q2552" i="33"/>
  <c r="P2553" i="33"/>
  <c r="Q2553" i="33"/>
  <c r="P2554" i="33"/>
  <c r="Q2554" i="33"/>
  <c r="P2555" i="33"/>
  <c r="Q2555" i="33"/>
  <c r="P2556" i="33"/>
  <c r="Q2556" i="33"/>
  <c r="P2557" i="33"/>
  <c r="Q2557" i="33"/>
  <c r="P2558" i="33"/>
  <c r="Q2558" i="33"/>
  <c r="P2559" i="33"/>
  <c r="Q2559" i="33"/>
  <c r="P2560" i="33"/>
  <c r="Q2560" i="33"/>
  <c r="P2561" i="33"/>
  <c r="Q2561" i="33"/>
  <c r="P2562" i="33"/>
  <c r="Q2562" i="33"/>
  <c r="P2563" i="33"/>
  <c r="Q2563" i="33"/>
  <c r="P2564" i="33"/>
  <c r="Q2564" i="33"/>
  <c r="P2565" i="33"/>
  <c r="Q2565" i="33"/>
  <c r="P2566" i="33"/>
  <c r="Q2566" i="33"/>
  <c r="P2567" i="33"/>
  <c r="Q2567" i="33"/>
  <c r="P2568" i="33"/>
  <c r="Q2568" i="33"/>
  <c r="P2569" i="33"/>
  <c r="Q2569" i="33"/>
  <c r="P2570" i="33"/>
  <c r="Q2570" i="33"/>
  <c r="P2571" i="33"/>
  <c r="Q2571" i="33"/>
  <c r="P2572" i="33"/>
  <c r="Q2572" i="33"/>
  <c r="P2573" i="33"/>
  <c r="Q2573" i="33"/>
  <c r="P2574" i="33"/>
  <c r="Q2574" i="33"/>
  <c r="P2575" i="33"/>
  <c r="Q2575" i="33"/>
  <c r="P2576" i="33"/>
  <c r="Q2576" i="33"/>
  <c r="P2577" i="33"/>
  <c r="Q2577" i="33"/>
  <c r="P2578" i="33"/>
  <c r="Q2578" i="33"/>
  <c r="P2579" i="33"/>
  <c r="Q2579" i="33"/>
  <c r="P2580" i="33"/>
  <c r="Q2580" i="33"/>
  <c r="P2581" i="33"/>
  <c r="Q2581" i="33"/>
  <c r="P2582" i="33"/>
  <c r="Q2582" i="33"/>
  <c r="P2583" i="33"/>
  <c r="Q2583" i="33"/>
  <c r="P2584" i="33"/>
  <c r="Q2584" i="33"/>
  <c r="P2585" i="33"/>
  <c r="Q2585" i="33"/>
  <c r="P2586" i="33"/>
  <c r="Q2586" i="33"/>
  <c r="P2587" i="33"/>
  <c r="Q2587" i="33"/>
  <c r="P2588" i="33"/>
  <c r="Q2588" i="33"/>
  <c r="P2589" i="33"/>
  <c r="Q2589" i="33"/>
  <c r="P2590" i="33"/>
  <c r="Q2590" i="33"/>
  <c r="P2591" i="33"/>
  <c r="Q2591" i="33"/>
  <c r="P2592" i="33"/>
  <c r="Q2592" i="33"/>
  <c r="P2593" i="33"/>
  <c r="Q2593" i="33"/>
  <c r="P2594" i="33"/>
  <c r="Q2594" i="33"/>
  <c r="P2595" i="33"/>
  <c r="Q2595" i="33"/>
  <c r="P2596" i="33"/>
  <c r="Q2596" i="33"/>
  <c r="P2597" i="33"/>
  <c r="Q2597" i="33"/>
  <c r="P2598" i="33"/>
  <c r="Q2598" i="33"/>
  <c r="P2599" i="33"/>
  <c r="Q2599" i="33"/>
  <c r="P2600" i="33"/>
  <c r="Q2600" i="33"/>
  <c r="P2601" i="33"/>
  <c r="Q2601" i="33"/>
  <c r="P2602" i="33"/>
  <c r="Q2602" i="33"/>
  <c r="P2603" i="33"/>
  <c r="Q2603" i="33"/>
  <c r="P2604" i="33"/>
  <c r="Q2604" i="33"/>
  <c r="P2605" i="33"/>
  <c r="Q2605" i="33"/>
  <c r="P2606" i="33"/>
  <c r="Q2606" i="33"/>
  <c r="P2607" i="33"/>
  <c r="Q2607" i="33"/>
  <c r="P2608" i="33"/>
  <c r="Q2608" i="33"/>
  <c r="P2609" i="33"/>
  <c r="Q2609" i="33"/>
  <c r="P2610" i="33"/>
  <c r="Q2610" i="33"/>
  <c r="P2611" i="33"/>
  <c r="Q2611" i="33"/>
  <c r="P2612" i="33"/>
  <c r="Q2612" i="33"/>
  <c r="P2613" i="33"/>
  <c r="Q2613" i="33"/>
  <c r="P2614" i="33"/>
  <c r="Q2614" i="33"/>
  <c r="P2615" i="33"/>
  <c r="Q2615" i="33"/>
  <c r="P2616" i="33"/>
  <c r="Q2616" i="33"/>
  <c r="P2617" i="33"/>
  <c r="Q2617" i="33"/>
  <c r="P2618" i="33"/>
  <c r="Q2618" i="33"/>
  <c r="P2619" i="33"/>
  <c r="Q2619" i="33"/>
  <c r="P2620" i="33"/>
  <c r="Q2620" i="33"/>
  <c r="P2621" i="33"/>
  <c r="Q2621" i="33"/>
  <c r="P2622" i="33"/>
  <c r="Q2622" i="33"/>
  <c r="P2623" i="33"/>
  <c r="Q2623" i="33"/>
  <c r="P2624" i="33"/>
  <c r="Q2624" i="33"/>
  <c r="P2625" i="33"/>
  <c r="Q2625" i="33"/>
  <c r="P2626" i="33"/>
  <c r="Q2626" i="33"/>
  <c r="P2627" i="33"/>
  <c r="Q2627" i="33"/>
  <c r="P2628" i="33"/>
  <c r="Q2628" i="33"/>
  <c r="P2629" i="33"/>
  <c r="Q2629" i="33"/>
  <c r="P2630" i="33"/>
  <c r="Q2630" i="33"/>
  <c r="P2631" i="33"/>
  <c r="Q2631" i="33"/>
  <c r="P2632" i="33"/>
  <c r="Q2632" i="33"/>
  <c r="P2633" i="33"/>
  <c r="Q2633" i="33"/>
  <c r="P2634" i="33"/>
  <c r="Q2634" i="33"/>
  <c r="P2635" i="33"/>
  <c r="Q2635" i="33"/>
  <c r="N38" i="43" l="1"/>
  <c r="M38" i="43"/>
  <c r="L38" i="43"/>
  <c r="K38" i="43"/>
  <c r="J38" i="43"/>
  <c r="I38" i="43"/>
  <c r="H38" i="43"/>
  <c r="G38" i="43"/>
  <c r="F38" i="43"/>
  <c r="E38" i="43"/>
  <c r="D38" i="43"/>
  <c r="N37" i="43"/>
  <c r="M37" i="43"/>
  <c r="L37" i="43"/>
  <c r="K37" i="43"/>
  <c r="J37" i="43"/>
  <c r="I37" i="43"/>
  <c r="H37" i="43"/>
  <c r="G37" i="43"/>
  <c r="F37" i="43"/>
  <c r="E37" i="43"/>
  <c r="D37" i="43"/>
  <c r="N36" i="43"/>
  <c r="M36" i="43"/>
  <c r="L36" i="43"/>
  <c r="K36" i="43"/>
  <c r="J36" i="43"/>
  <c r="I36" i="43"/>
  <c r="H36" i="43"/>
  <c r="G36" i="43"/>
  <c r="F36" i="43"/>
  <c r="E36" i="43"/>
  <c r="D36" i="43"/>
  <c r="N35" i="43"/>
  <c r="M35" i="43"/>
  <c r="L35" i="43"/>
  <c r="K35" i="43"/>
  <c r="J35" i="43"/>
  <c r="I35" i="43"/>
  <c r="H35" i="43"/>
  <c r="G35" i="43"/>
  <c r="F35" i="43"/>
  <c r="E35" i="43"/>
  <c r="D35" i="43"/>
  <c r="N34" i="43"/>
  <c r="M34" i="43"/>
  <c r="N33" i="43"/>
  <c r="M33" i="43"/>
  <c r="N32" i="43"/>
  <c r="M32" i="43"/>
  <c r="N31" i="43"/>
  <c r="M31" i="43"/>
  <c r="C6" i="38" l="1"/>
  <c r="P1" i="33"/>
  <c r="Q1" i="33"/>
  <c r="L1" i="47"/>
  <c r="K25" i="44" l="1"/>
  <c r="K10" i="44"/>
  <c r="K18" i="44"/>
  <c r="K22" i="44"/>
  <c r="K24" i="44"/>
  <c r="K30" i="44"/>
  <c r="K34" i="44"/>
  <c r="K36" i="44"/>
  <c r="K49" i="44"/>
  <c r="K62" i="44"/>
  <c r="K68" i="44"/>
  <c r="K75" i="44"/>
  <c r="K83" i="44"/>
  <c r="K91" i="44"/>
  <c r="K99" i="44"/>
  <c r="K108" i="44"/>
  <c r="K116" i="44"/>
  <c r="K124" i="44"/>
  <c r="K132" i="44"/>
  <c r="K140" i="44"/>
  <c r="K148" i="44"/>
  <c r="K156" i="44"/>
  <c r="K163" i="44"/>
  <c r="K170" i="44"/>
  <c r="K177" i="44"/>
  <c r="K183" i="44"/>
  <c r="K14" i="44"/>
  <c r="K29" i="44"/>
  <c r="K35" i="44"/>
  <c r="K37" i="44"/>
  <c r="K43" i="44"/>
  <c r="K47" i="44"/>
  <c r="K53" i="44"/>
  <c r="K58" i="44"/>
  <c r="K79" i="44"/>
  <c r="K87" i="44"/>
  <c r="K95" i="44"/>
  <c r="K103" i="44"/>
  <c r="K112" i="44"/>
  <c r="K120" i="44"/>
  <c r="K128" i="44"/>
  <c r="K136" i="44"/>
  <c r="K144" i="44"/>
  <c r="K152" i="44"/>
  <c r="K159" i="44"/>
  <c r="K166" i="44"/>
  <c r="K180" i="44"/>
  <c r="K174" i="44"/>
  <c r="K188" i="44"/>
  <c r="K196" i="44"/>
  <c r="K204" i="44"/>
  <c r="K208" i="44"/>
  <c r="K216" i="44"/>
  <c r="K224" i="44"/>
  <c r="K236" i="44"/>
  <c r="K244" i="44"/>
  <c r="K252" i="44"/>
  <c r="K260" i="44"/>
  <c r="K268" i="44"/>
  <c r="K276" i="44"/>
  <c r="K284" i="44"/>
  <c r="K292" i="44"/>
  <c r="K297" i="44"/>
  <c r="K298" i="44"/>
  <c r="K7" i="44"/>
  <c r="K11" i="44"/>
  <c r="K15" i="44"/>
  <c r="K19" i="44"/>
  <c r="K26" i="44"/>
  <c r="K31" i="44"/>
  <c r="K32" i="44"/>
  <c r="K33" i="44"/>
  <c r="K44" i="44"/>
  <c r="K45" i="44"/>
  <c r="K48" i="44"/>
  <c r="K50" i="44"/>
  <c r="K54" i="44"/>
  <c r="K59" i="44"/>
  <c r="K63" i="44"/>
  <c r="K69" i="44"/>
  <c r="K72" i="44"/>
  <c r="K76" i="44"/>
  <c r="K80" i="44"/>
  <c r="K84" i="44"/>
  <c r="K88" i="44"/>
  <c r="K92" i="44"/>
  <c r="K96" i="44"/>
  <c r="K100" i="44"/>
  <c r="K104" i="44"/>
  <c r="K109" i="44"/>
  <c r="K113" i="44"/>
  <c r="K117" i="44"/>
  <c r="K121" i="44"/>
  <c r="K125" i="44"/>
  <c r="K129" i="44"/>
  <c r="K133" i="44"/>
  <c r="K137" i="44"/>
  <c r="K141" i="44"/>
  <c r="K145" i="44"/>
  <c r="K149" i="44"/>
  <c r="K153" i="44"/>
  <c r="K160" i="44"/>
  <c r="K167" i="44"/>
  <c r="K171" i="44"/>
  <c r="K184" i="44"/>
  <c r="K192" i="44"/>
  <c r="K200" i="44"/>
  <c r="K212" i="44"/>
  <c r="K220" i="44"/>
  <c r="K228" i="44"/>
  <c r="K233" i="44"/>
  <c r="K240" i="44"/>
  <c r="K248" i="44"/>
  <c r="K256" i="44"/>
  <c r="K264" i="44"/>
  <c r="K272" i="44"/>
  <c r="K280" i="44"/>
  <c r="K288" i="44"/>
  <c r="K293" i="44"/>
  <c r="K8" i="44"/>
  <c r="K12" i="44"/>
  <c r="K16" i="44"/>
  <c r="K20" i="44"/>
  <c r="K27" i="44"/>
  <c r="K38" i="44"/>
  <c r="K41" i="44"/>
  <c r="K46" i="44"/>
  <c r="K55" i="44"/>
  <c r="K60" i="44"/>
  <c r="K70" i="44"/>
  <c r="K73" i="44"/>
  <c r="K81" i="44"/>
  <c r="K89" i="44"/>
  <c r="K97" i="44"/>
  <c r="K110" i="44"/>
  <c r="K118" i="44"/>
  <c r="K130" i="44"/>
  <c r="K138" i="44"/>
  <c r="K146" i="44"/>
  <c r="K154" i="44"/>
  <c r="K157" i="44"/>
  <c r="K164" i="44"/>
  <c r="K172" i="44"/>
  <c r="K178" i="44"/>
  <c r="K185" i="44"/>
  <c r="K197" i="44"/>
  <c r="K205" i="44"/>
  <c r="K221" i="44"/>
  <c r="K229" i="44"/>
  <c r="K245" i="44"/>
  <c r="K253" i="44"/>
  <c r="K261" i="44"/>
  <c r="K273" i="44"/>
  <c r="K281" i="44"/>
  <c r="K289" i="44"/>
  <c r="K299" i="44"/>
  <c r="K51" i="44"/>
  <c r="K64" i="44"/>
  <c r="K65" i="44"/>
  <c r="K77" i="44"/>
  <c r="K85" i="44"/>
  <c r="K93" i="44"/>
  <c r="K101" i="44"/>
  <c r="K105" i="44"/>
  <c r="K114" i="44"/>
  <c r="K122" i="44"/>
  <c r="K126" i="44"/>
  <c r="K134" i="44"/>
  <c r="K142" i="44"/>
  <c r="K150" i="44"/>
  <c r="K161" i="44"/>
  <c r="K168" i="44"/>
  <c r="K175" i="44"/>
  <c r="K181" i="44"/>
  <c r="K189" i="44"/>
  <c r="K193" i="44"/>
  <c r="K201" i="44"/>
  <c r="K209" i="44"/>
  <c r="K213" i="44"/>
  <c r="K217" i="44"/>
  <c r="K225" i="44"/>
  <c r="K230" i="44"/>
  <c r="K237" i="44"/>
  <c r="K241" i="44"/>
  <c r="K249" i="44"/>
  <c r="K257" i="44"/>
  <c r="K265" i="44"/>
  <c r="K269" i="44"/>
  <c r="K277" i="44"/>
  <c r="K285" i="44"/>
  <c r="K294" i="44"/>
  <c r="K9" i="44"/>
  <c r="K13" i="44"/>
  <c r="K17" i="44"/>
  <c r="K21" i="44"/>
  <c r="K23" i="44"/>
  <c r="K28" i="44"/>
  <c r="K39" i="44"/>
  <c r="K40" i="44"/>
  <c r="K42" i="44"/>
  <c r="K52" i="44"/>
  <c r="K56" i="44"/>
  <c r="K57" i="44"/>
  <c r="K61" i="44"/>
  <c r="K66" i="44"/>
  <c r="K67" i="44"/>
  <c r="K71" i="44"/>
  <c r="K74" i="44"/>
  <c r="K78" i="44"/>
  <c r="K82" i="44"/>
  <c r="K86" i="44"/>
  <c r="K90" i="44"/>
  <c r="K94" i="44"/>
  <c r="K98" i="44"/>
  <c r="K102" i="44"/>
  <c r="K106" i="44"/>
  <c r="K107" i="44"/>
  <c r="K111" i="44"/>
  <c r="K115" i="44"/>
  <c r="K119" i="44"/>
  <c r="K123" i="44"/>
  <c r="K127" i="44"/>
  <c r="K131" i="44"/>
  <c r="K135" i="44"/>
  <c r="K139" i="44"/>
  <c r="K143" i="44"/>
  <c r="K147" i="44"/>
  <c r="K151" i="44"/>
  <c r="K155" i="44"/>
  <c r="K158" i="44"/>
  <c r="K162" i="44"/>
  <c r="K165" i="44"/>
  <c r="K169" i="44"/>
  <c r="K173" i="44"/>
  <c r="K176" i="44"/>
  <c r="K179" i="44"/>
  <c r="K182" i="44"/>
  <c r="K186" i="44"/>
  <c r="K190" i="44"/>
  <c r="K194" i="44"/>
  <c r="K198" i="44"/>
  <c r="K202" i="44"/>
  <c r="K206" i="44"/>
  <c r="K210" i="44"/>
  <c r="K214" i="44"/>
  <c r="K218" i="44"/>
  <c r="K222" i="44"/>
  <c r="K199" i="44"/>
  <c r="K274" i="44"/>
  <c r="K315" i="44"/>
  <c r="K335" i="44"/>
  <c r="K347" i="44"/>
  <c r="K328" i="44"/>
  <c r="K327" i="44"/>
  <c r="K308" i="44"/>
  <c r="K340" i="44"/>
  <c r="K207" i="44"/>
  <c r="K226" i="44"/>
  <c r="K238" i="44"/>
  <c r="K243" i="44"/>
  <c r="K254" i="44"/>
  <c r="K259" i="44"/>
  <c r="K270" i="44"/>
  <c r="K275" i="44"/>
  <c r="K286" i="44"/>
  <c r="K291" i="44"/>
  <c r="K304" i="44"/>
  <c r="K332" i="44"/>
  <c r="K195" i="44"/>
  <c r="K301" i="44"/>
  <c r="K312" i="44"/>
  <c r="K324" i="44"/>
  <c r="K344" i="44"/>
  <c r="K215" i="44"/>
  <c r="K227" i="44"/>
  <c r="K234" i="44"/>
  <c r="K239" i="44"/>
  <c r="K250" i="44"/>
  <c r="K255" i="44"/>
  <c r="K266" i="44"/>
  <c r="K271" i="44"/>
  <c r="K282" i="44"/>
  <c r="K287" i="44"/>
  <c r="K295" i="44"/>
  <c r="K322" i="44"/>
  <c r="K338" i="44"/>
  <c r="K348" i="44"/>
  <c r="K203" i="44"/>
  <c r="K305" i="44"/>
  <c r="K309" i="44"/>
  <c r="K313" i="44"/>
  <c r="K317" i="44"/>
  <c r="K321" i="44"/>
  <c r="K325" i="44"/>
  <c r="K329" i="44"/>
  <c r="K333" i="44"/>
  <c r="K337" i="44"/>
  <c r="K341" i="44"/>
  <c r="K345" i="44"/>
  <c r="K349" i="44"/>
  <c r="K300" i="44"/>
  <c r="K310" i="44"/>
  <c r="K318" i="44"/>
  <c r="K330" i="44"/>
  <c r="K342" i="44"/>
  <c r="K242" i="44"/>
  <c r="K263" i="44"/>
  <c r="K279" i="44"/>
  <c r="K187" i="44"/>
  <c r="K307" i="44"/>
  <c r="K319" i="44"/>
  <c r="K331" i="44"/>
  <c r="K343" i="44"/>
  <c r="K316" i="44"/>
  <c r="K336" i="44"/>
  <c r="K191" i="44"/>
  <c r="K223" i="44"/>
  <c r="K231" i="44"/>
  <c r="K235" i="44"/>
  <c r="K246" i="44"/>
  <c r="K251" i="44"/>
  <c r="K262" i="44"/>
  <c r="K267" i="44"/>
  <c r="K278" i="44"/>
  <c r="K283" i="44"/>
  <c r="K296" i="44"/>
  <c r="K211" i="44"/>
  <c r="K302" i="44"/>
  <c r="K306" i="44"/>
  <c r="K314" i="44"/>
  <c r="K326" i="44"/>
  <c r="K334" i="44"/>
  <c r="K346" i="44"/>
  <c r="K232" i="44"/>
  <c r="K247" i="44"/>
  <c r="K258" i="44"/>
  <c r="K290" i="44"/>
  <c r="K219" i="44"/>
  <c r="K303" i="44"/>
  <c r="K311" i="44"/>
  <c r="K323" i="44"/>
  <c r="K339" i="44"/>
  <c r="K320" i="44"/>
  <c r="K6" i="44"/>
  <c r="L37" i="47"/>
  <c r="L40" i="47"/>
  <c r="L42" i="47"/>
  <c r="L41" i="47"/>
  <c r="L39" i="47"/>
  <c r="L38" i="47"/>
  <c r="L36" i="47"/>
  <c r="L35" i="47"/>
  <c r="Q587" i="33"/>
  <c r="P587" i="33"/>
  <c r="Q962" i="33"/>
  <c r="P962" i="33"/>
  <c r="L29" i="47"/>
  <c r="L28" i="47"/>
  <c r="L27" i="47"/>
  <c r="L25" i="47"/>
  <c r="L24" i="47"/>
  <c r="L26" i="47"/>
  <c r="L23" i="47"/>
  <c r="L20" i="47"/>
  <c r="L19" i="47"/>
  <c r="L22" i="47"/>
  <c r="L18" i="47"/>
  <c r="L21" i="47"/>
  <c r="Q1638" i="33"/>
  <c r="P1637" i="33"/>
  <c r="Q1634" i="33"/>
  <c r="Q1636" i="33"/>
  <c r="Q1637" i="33"/>
  <c r="Q1639" i="33"/>
  <c r="P1638" i="33"/>
  <c r="Q1635" i="33"/>
  <c r="P1634" i="33"/>
  <c r="P1639" i="33"/>
  <c r="P1635" i="33"/>
  <c r="P1636" i="33"/>
  <c r="Q1642" i="33"/>
  <c r="Q1641" i="33"/>
  <c r="Q1640" i="33"/>
  <c r="P1631" i="33"/>
  <c r="Q1628" i="33"/>
  <c r="Q1633" i="33"/>
  <c r="P1628" i="33"/>
  <c r="P1633" i="33"/>
  <c r="Q1630" i="33"/>
  <c r="P1630" i="33"/>
  <c r="Q1627" i="33"/>
  <c r="Q1632" i="33"/>
  <c r="P1627" i="33"/>
  <c r="P1632" i="33"/>
  <c r="P1629" i="33"/>
  <c r="Q1629" i="33"/>
  <c r="Q1631" i="33"/>
  <c r="Q1626" i="33"/>
  <c r="Q1537" i="33"/>
  <c r="P1537" i="33"/>
  <c r="Q1539" i="33"/>
  <c r="P1539" i="33"/>
  <c r="Q1538" i="33"/>
  <c r="P1538" i="33"/>
  <c r="Q1536" i="33"/>
  <c r="Q1653" i="33"/>
  <c r="Q1654" i="33"/>
  <c r="Q1677" i="33"/>
  <c r="Q1648" i="33"/>
  <c r="P1648" i="33"/>
  <c r="Q1646" i="33"/>
  <c r="Q1649" i="33"/>
  <c r="Q1645" i="33"/>
  <c r="Q1650" i="33"/>
  <c r="Q1651" i="33"/>
  <c r="Q1647" i="33"/>
  <c r="Q1644" i="33"/>
  <c r="Q1376" i="33"/>
  <c r="Q1372" i="33"/>
  <c r="Q1377" i="33"/>
  <c r="Q1379" i="33"/>
  <c r="Q1370" i="33"/>
  <c r="Q1378" i="33"/>
  <c r="Q1371" i="33"/>
  <c r="Q1380" i="33"/>
  <c r="Q1373" i="33"/>
  <c r="Q1381" i="33"/>
  <c r="Q1643" i="33"/>
  <c r="Q1374" i="33"/>
  <c r="Q1382" i="33"/>
  <c r="Q1375" i="33"/>
  <c r="P1650" i="33"/>
  <c r="P1647" i="33"/>
  <c r="P1645" i="33"/>
  <c r="P1649" i="33"/>
  <c r="P1651" i="33"/>
  <c r="P1646" i="33"/>
  <c r="P1644" i="33"/>
  <c r="Q1364" i="33"/>
  <c r="Q1368" i="33"/>
  <c r="Q1502" i="33"/>
  <c r="Q1362" i="33"/>
  <c r="Q1366" i="33"/>
  <c r="Q1521" i="33"/>
  <c r="Q1363" i="33"/>
  <c r="Q1501" i="33"/>
  <c r="Q1659" i="33"/>
  <c r="Q1365" i="33"/>
  <c r="Q1369" i="33"/>
  <c r="Q1503" i="33"/>
  <c r="Q1367" i="33"/>
  <c r="Q1417" i="33"/>
  <c r="Q1418" i="33"/>
  <c r="Q1498" i="33"/>
  <c r="Q1449" i="33"/>
  <c r="Q1499" i="33"/>
  <c r="Q1676" i="33"/>
  <c r="Q1705" i="33"/>
  <c r="Q1483" i="33"/>
  <c r="Q1484" i="33"/>
  <c r="Q1730" i="33"/>
  <c r="Q1497" i="33"/>
  <c r="Q1535" i="33"/>
  <c r="Q1450" i="33"/>
  <c r="Q1500" i="33"/>
  <c r="Q1652" i="33"/>
  <c r="Q1694" i="33"/>
  <c r="Q1719" i="33"/>
  <c r="Q1706" i="33"/>
  <c r="Q1695" i="33"/>
  <c r="Q1669" i="33"/>
  <c r="Q1522" i="33"/>
  <c r="Q1704" i="33"/>
  <c r="Q1485" i="33"/>
  <c r="Q1696" i="33"/>
  <c r="Q1731" i="33"/>
  <c r="Q1416" i="33"/>
  <c r="Q1486" i="33"/>
  <c r="Q1702" i="33"/>
  <c r="Q1732" i="33"/>
  <c r="Q1703" i="33"/>
  <c r="Q1670" i="33"/>
  <c r="Q1692" i="33"/>
  <c r="P1692" i="33"/>
  <c r="Q1693" i="33"/>
  <c r="P1693" i="33"/>
  <c r="Q1288" i="33"/>
  <c r="Q1290" i="33"/>
  <c r="Q1291" i="33"/>
  <c r="Q1125" i="33"/>
  <c r="Q1126" i="33"/>
  <c r="Q1289" i="33"/>
  <c r="Q1127" i="33"/>
  <c r="P1668" i="33"/>
  <c r="Q1668" i="33"/>
  <c r="P1641" i="33"/>
  <c r="P1642" i="33"/>
  <c r="Q1518" i="33"/>
  <c r="P1517" i="33"/>
  <c r="Q1519" i="33"/>
  <c r="P1518" i="33"/>
  <c r="Q1520" i="33"/>
  <c r="P1519" i="33"/>
  <c r="P1520" i="33"/>
  <c r="Q1517" i="33"/>
  <c r="Q1721" i="33"/>
  <c r="Q1733" i="33"/>
  <c r="Q1734" i="33"/>
  <c r="Q1720" i="33"/>
  <c r="Q1481" i="33"/>
  <c r="P1481" i="33"/>
  <c r="Q1480" i="33"/>
  <c r="P1480" i="33"/>
  <c r="P1125" i="33"/>
  <c r="P1289" i="33"/>
  <c r="P1362" i="33"/>
  <c r="P1365" i="33"/>
  <c r="P1369" i="33"/>
  <c r="P1373" i="33"/>
  <c r="P1377" i="33"/>
  <c r="P1381" i="33"/>
  <c r="P1417" i="33"/>
  <c r="P1450" i="33"/>
  <c r="P1497" i="33"/>
  <c r="P1500" i="33"/>
  <c r="P1535" i="33"/>
  <c r="P1536" i="33"/>
  <c r="P1659" i="33"/>
  <c r="P1705" i="33"/>
  <c r="P1720" i="33"/>
  <c r="P1731" i="33"/>
  <c r="P1288" i="33"/>
  <c r="P1376" i="33"/>
  <c r="P1503" i="33"/>
  <c r="P1694" i="33"/>
  <c r="P1734" i="33"/>
  <c r="P1126" i="33"/>
  <c r="P1290" i="33"/>
  <c r="P1366" i="33"/>
  <c r="P1374" i="33"/>
  <c r="P1382" i="33"/>
  <c r="P1418" i="33"/>
  <c r="P1498" i="33"/>
  <c r="P1521" i="33"/>
  <c r="P1653" i="33"/>
  <c r="P1676" i="33"/>
  <c r="P1702" i="33"/>
  <c r="P1721" i="33"/>
  <c r="P1364" i="33"/>
  <c r="P1416" i="33"/>
  <c r="P1486" i="33"/>
  <c r="P1704" i="33"/>
  <c r="P1370" i="33"/>
  <c r="P1378" i="33"/>
  <c r="P1501" i="33"/>
  <c r="P1677" i="33"/>
  <c r="P1732" i="33"/>
  <c r="P1372" i="33"/>
  <c r="P1449" i="33"/>
  <c r="P1696" i="33"/>
  <c r="P1127" i="33"/>
  <c r="P1291" i="33"/>
  <c r="P1363" i="33"/>
  <c r="P1367" i="33"/>
  <c r="P1371" i="33"/>
  <c r="P1375" i="33"/>
  <c r="P1379" i="33"/>
  <c r="P1483" i="33"/>
  <c r="P1485" i="33"/>
  <c r="P1499" i="33"/>
  <c r="P1502" i="33"/>
  <c r="P1522" i="33"/>
  <c r="P1643" i="33"/>
  <c r="P1654" i="33"/>
  <c r="P1669" i="33"/>
  <c r="P1695" i="33"/>
  <c r="P1703" i="33"/>
  <c r="P1719" i="33"/>
  <c r="P1733" i="33"/>
  <c r="P1380" i="33"/>
  <c r="P1670" i="33"/>
  <c r="P1730" i="33"/>
  <c r="P1368" i="33"/>
  <c r="P1484" i="33"/>
  <c r="P1652" i="33"/>
  <c r="P1706" i="33"/>
  <c r="Q1461" i="33"/>
  <c r="P1460" i="33"/>
  <c r="Q1457" i="33"/>
  <c r="P1456" i="33"/>
  <c r="Q1453" i="33"/>
  <c r="P1452" i="33"/>
  <c r="P1459" i="33"/>
  <c r="Q1456" i="33"/>
  <c r="P1455" i="33"/>
  <c r="Q1452" i="33"/>
  <c r="P1451" i="33"/>
  <c r="P1461" i="33"/>
  <c r="Q1458" i="33"/>
  <c r="P1457" i="33"/>
  <c r="Q1454" i="33"/>
  <c r="P1453" i="33"/>
  <c r="Q1459" i="33"/>
  <c r="P1458" i="33"/>
  <c r="Q1455" i="33"/>
  <c r="P1454" i="33"/>
  <c r="Q1451" i="33"/>
  <c r="Q1460" i="33"/>
  <c r="Q1448" i="33"/>
  <c r="P1447" i="33"/>
  <c r="Q1447" i="33"/>
  <c r="P1448" i="33"/>
  <c r="P1412" i="33"/>
  <c r="Q1413" i="33"/>
  <c r="P1415" i="33"/>
  <c r="Q1414" i="33"/>
  <c r="P1413" i="33"/>
  <c r="Q1412" i="33"/>
  <c r="Q1415" i="33"/>
  <c r="P1414" i="33"/>
  <c r="Q1285" i="33"/>
  <c r="Q1286" i="33"/>
  <c r="P1285" i="33"/>
  <c r="Q1287" i="33"/>
  <c r="P1286" i="33"/>
  <c r="P1287" i="33"/>
  <c r="Q1727" i="33"/>
  <c r="P1727" i="33"/>
  <c r="Q1726" i="33"/>
  <c r="P1725" i="33"/>
  <c r="P1724" i="33"/>
  <c r="Q1729" i="33"/>
  <c r="P1726" i="33"/>
  <c r="P1729" i="33"/>
  <c r="Q1724" i="33"/>
  <c r="Q1725" i="33"/>
  <c r="Q1658" i="33"/>
  <c r="P1658" i="33"/>
  <c r="P1619" i="33"/>
  <c r="Q1619" i="33"/>
  <c r="Q1617" i="33"/>
  <c r="P1618" i="33"/>
  <c r="P1617" i="33"/>
  <c r="Q1618" i="33"/>
  <c r="Q1616" i="33"/>
  <c r="P1616" i="33"/>
  <c r="Q1491" i="33"/>
  <c r="P1491" i="33"/>
  <c r="Q1472" i="33"/>
  <c r="P1471" i="33"/>
  <c r="P1472" i="33"/>
  <c r="Q1471" i="33"/>
  <c r="Q1261" i="33"/>
  <c r="P1260" i="33"/>
  <c r="Q1257" i="33"/>
  <c r="P1256" i="33"/>
  <c r="Q1259" i="33"/>
  <c r="Q1260" i="33"/>
  <c r="Q1262" i="33"/>
  <c r="P1261" i="33"/>
  <c r="Q1258" i="33"/>
  <c r="P1257" i="33"/>
  <c r="P1258" i="33"/>
  <c r="P1259" i="33"/>
  <c r="Q1256" i="33"/>
  <c r="Q1263" i="33"/>
  <c r="P1262" i="33"/>
  <c r="P1263" i="33"/>
  <c r="P737" i="33"/>
  <c r="Q737" i="33"/>
  <c r="Q1717" i="33"/>
  <c r="P1717" i="33"/>
  <c r="Q1686" i="33"/>
  <c r="P1686" i="33"/>
  <c r="Q1685" i="33"/>
  <c r="P1685" i="33"/>
  <c r="P1615" i="33"/>
  <c r="Q1615" i="33"/>
  <c r="P1533" i="33"/>
  <c r="Q1531" i="33"/>
  <c r="P1531" i="33"/>
  <c r="Q1533" i="33"/>
  <c r="Q1509" i="33"/>
  <c r="P1509" i="33"/>
  <c r="Q1475" i="33"/>
  <c r="P1475" i="33"/>
  <c r="Q1394" i="33"/>
  <c r="P1394" i="33"/>
  <c r="P1400" i="33"/>
  <c r="P1409" i="33"/>
  <c r="Q1400" i="33"/>
  <c r="P1410" i="33"/>
  <c r="Q1409" i="33"/>
  <c r="Q1383" i="33"/>
  <c r="Q1410" i="33"/>
  <c r="Q1408" i="33"/>
  <c r="P1383" i="33"/>
  <c r="P1408" i="33"/>
  <c r="Q1353" i="33"/>
  <c r="P1353" i="33"/>
  <c r="Q1355" i="33"/>
  <c r="P1355" i="33"/>
  <c r="Q1354" i="33"/>
  <c r="P1292" i="33"/>
  <c r="Q1292" i="33"/>
  <c r="P1354" i="33"/>
  <c r="Q1255" i="33"/>
  <c r="P1255" i="33"/>
  <c r="Q1254" i="33"/>
  <c r="P1254" i="33"/>
  <c r="P5" i="33"/>
  <c r="Q5" i="33"/>
  <c r="Q11" i="33"/>
  <c r="Q15" i="33"/>
  <c r="Q18" i="33"/>
  <c r="Q22" i="33"/>
  <c r="Q25" i="33"/>
  <c r="Q59" i="33"/>
  <c r="Q46" i="33"/>
  <c r="Q33" i="33"/>
  <c r="Q27" i="33"/>
  <c r="Q47" i="33"/>
  <c r="Q37" i="33"/>
  <c r="Q39" i="33"/>
  <c r="Q40" i="33"/>
  <c r="Q61" i="33"/>
  <c r="P6" i="33"/>
  <c r="P19" i="33"/>
  <c r="P13" i="33"/>
  <c r="P16" i="33"/>
  <c r="P21" i="33"/>
  <c r="P26" i="33"/>
  <c r="P43" i="33"/>
  <c r="P57" i="33"/>
  <c r="P34" i="33"/>
  <c r="P28" i="33"/>
  <c r="P48" i="33"/>
  <c r="P51" i="33"/>
  <c r="P53" i="33"/>
  <c r="P55" i="33"/>
  <c r="P62" i="33"/>
  <c r="P67" i="33"/>
  <c r="P68" i="33"/>
  <c r="P74" i="33"/>
  <c r="P78" i="33"/>
  <c r="P82" i="33"/>
  <c r="P86" i="33"/>
  <c r="P90" i="33"/>
  <c r="P94" i="33"/>
  <c r="P98" i="33"/>
  <c r="P102" i="33"/>
  <c r="P106" i="33"/>
  <c r="P110" i="33"/>
  <c r="P114" i="33"/>
  <c r="P118" i="33"/>
  <c r="P122" i="33"/>
  <c r="P126" i="33"/>
  <c r="P130" i="33"/>
  <c r="P134" i="33"/>
  <c r="P138" i="33"/>
  <c r="P142" i="33"/>
  <c r="P194" i="33"/>
  <c r="P145" i="33"/>
  <c r="P149" i="33"/>
  <c r="P153" i="33"/>
  <c r="P157" i="33"/>
  <c r="P161" i="33"/>
  <c r="P165" i="33"/>
  <c r="P169" i="33"/>
  <c r="P173" i="33"/>
  <c r="P177" i="33"/>
  <c r="P181" i="33"/>
  <c r="P185" i="33"/>
  <c r="P189" i="33"/>
  <c r="P193" i="33"/>
  <c r="P199" i="33"/>
  <c r="P206" i="33"/>
  <c r="P293" i="33"/>
  <c r="P310" i="33"/>
  <c r="P210" i="33"/>
  <c r="P214" i="33"/>
  <c r="P218" i="33"/>
  <c r="P222" i="33"/>
  <c r="P226" i="33"/>
  <c r="P230" i="33"/>
  <c r="P234" i="33"/>
  <c r="P238" i="33"/>
  <c r="P242" i="33"/>
  <c r="P246" i="33"/>
  <c r="P250" i="33"/>
  <c r="P295" i="33"/>
  <c r="P257" i="33"/>
  <c r="P261" i="33"/>
  <c r="P263" i="33"/>
  <c r="P267" i="33"/>
  <c r="P271" i="33"/>
  <c r="P275" i="33"/>
  <c r="P308" i="33"/>
  <c r="P301" i="33"/>
  <c r="P303" i="33"/>
  <c r="P286" i="33"/>
  <c r="P290" i="33"/>
  <c r="P318" i="33"/>
  <c r="P320" i="33"/>
  <c r="P313" i="33"/>
  <c r="P323" i="33"/>
  <c r="P327" i="33"/>
  <c r="P353" i="33"/>
  <c r="P333" i="33"/>
  <c r="P335" i="33"/>
  <c r="Q6" i="33"/>
  <c r="Q19" i="33"/>
  <c r="Q13" i="33"/>
  <c r="Q16" i="33"/>
  <c r="Q21" i="33"/>
  <c r="Q26" i="33"/>
  <c r="Q43" i="33"/>
  <c r="Q57" i="33"/>
  <c r="Q34" i="33"/>
  <c r="Q28" i="33"/>
  <c r="Q48" i="33"/>
  <c r="Q51" i="33"/>
  <c r="Q53" i="33"/>
  <c r="Q55" i="33"/>
  <c r="Q62" i="33"/>
  <c r="Q67" i="33"/>
  <c r="Q68" i="33"/>
  <c r="Q74" i="33"/>
  <c r="Q78" i="33"/>
  <c r="Q82" i="33"/>
  <c r="Q86" i="33"/>
  <c r="Q90" i="33"/>
  <c r="Q94" i="33"/>
  <c r="Q98" i="33"/>
  <c r="Q102" i="33"/>
  <c r="Q106" i="33"/>
  <c r="Q110" i="33"/>
  <c r="Q114" i="33"/>
  <c r="Q118" i="33"/>
  <c r="Q122" i="33"/>
  <c r="Q126" i="33"/>
  <c r="Q130" i="33"/>
  <c r="Q134" i="33"/>
  <c r="Q138" i="33"/>
  <c r="Q142" i="33"/>
  <c r="Q194" i="33"/>
  <c r="Q145" i="33"/>
  <c r="Q149" i="33"/>
  <c r="Q153" i="33"/>
  <c r="Q157" i="33"/>
  <c r="Q161" i="33"/>
  <c r="Q165" i="33"/>
  <c r="Q169" i="33"/>
  <c r="Q173" i="33"/>
  <c r="Q177" i="33"/>
  <c r="Q181" i="33"/>
  <c r="Q185" i="33"/>
  <c r="Q189" i="33"/>
  <c r="Q193" i="33"/>
  <c r="Q199" i="33"/>
  <c r="Q206" i="33"/>
  <c r="Q293" i="33"/>
  <c r="Q310" i="33"/>
  <c r="Q210" i="33"/>
  <c r="Q214" i="33"/>
  <c r="Q218" i="33"/>
  <c r="Q222" i="33"/>
  <c r="Q226" i="33"/>
  <c r="Q230" i="33"/>
  <c r="Q234" i="33"/>
  <c r="Q238" i="33"/>
  <c r="Q242" i="33"/>
  <c r="Q246" i="33"/>
  <c r="Q250" i="33"/>
  <c r="Q295" i="33"/>
  <c r="Q257" i="33"/>
  <c r="Q261" i="33"/>
  <c r="Q263" i="33"/>
  <c r="Q267" i="33"/>
  <c r="Q271" i="33"/>
  <c r="Q275" i="33"/>
  <c r="Q308" i="33"/>
  <c r="Q301" i="33"/>
  <c r="Q303" i="33"/>
  <c r="Q286" i="33"/>
  <c r="Q290" i="33"/>
  <c r="Q318" i="33"/>
  <c r="Q320" i="33"/>
  <c r="Q313" i="33"/>
  <c r="Q323" i="33"/>
  <c r="Q327" i="33"/>
  <c r="Q353" i="33"/>
  <c r="Q333" i="33"/>
  <c r="Q335" i="33"/>
  <c r="P7" i="33"/>
  <c r="P17" i="33"/>
  <c r="P9" i="33"/>
  <c r="P12" i="33"/>
  <c r="P23" i="33"/>
  <c r="P41" i="33"/>
  <c r="P44" i="33"/>
  <c r="P31" i="33"/>
  <c r="P35" i="33"/>
  <c r="P29" i="33"/>
  <c r="P49" i="33"/>
  <c r="P38" i="33"/>
  <c r="P54" i="33"/>
  <c r="P56" i="33"/>
  <c r="P70" i="33"/>
  <c r="P63" i="33"/>
  <c r="P72" i="33"/>
  <c r="P75" i="33"/>
  <c r="P79" i="33"/>
  <c r="P83" i="33"/>
  <c r="P87" i="33"/>
  <c r="P91" i="33"/>
  <c r="P95" i="33"/>
  <c r="P99" i="33"/>
  <c r="P103" i="33"/>
  <c r="P107" i="33"/>
  <c r="P111" i="33"/>
  <c r="P115" i="33"/>
  <c r="P119" i="33"/>
  <c r="P123" i="33"/>
  <c r="P127" i="33"/>
  <c r="P131" i="33"/>
  <c r="P135" i="33"/>
  <c r="P139" i="33"/>
  <c r="P143" i="33"/>
  <c r="P203" i="33"/>
  <c r="P146" i="33"/>
  <c r="P150" i="33"/>
  <c r="P154" i="33"/>
  <c r="P158" i="33"/>
  <c r="P162" i="33"/>
  <c r="P166" i="33"/>
  <c r="P170" i="33"/>
  <c r="P174" i="33"/>
  <c r="P178" i="33"/>
  <c r="P182" i="33"/>
  <c r="P186" i="33"/>
  <c r="P190" i="33"/>
  <c r="P195" i="33"/>
  <c r="P200" i="33"/>
  <c r="P207" i="33"/>
  <c r="P306" i="33"/>
  <c r="P305" i="33"/>
  <c r="P211" i="33"/>
  <c r="P215" i="33"/>
  <c r="P219" i="33"/>
  <c r="P223" i="33"/>
  <c r="P227" i="33"/>
  <c r="P231" i="33"/>
  <c r="P235" i="33"/>
  <c r="P239" i="33"/>
  <c r="P243" i="33"/>
  <c r="P247" i="33"/>
  <c r="P251" i="33"/>
  <c r="P254" i="33"/>
  <c r="P258" i="33"/>
  <c r="P262" i="33"/>
  <c r="P264" i="33"/>
  <c r="P268" i="33"/>
  <c r="P272" i="33"/>
  <c r="P276" i="33"/>
  <c r="P298" i="33"/>
  <c r="P311" i="33"/>
  <c r="P302" i="33"/>
  <c r="P283" i="33"/>
  <c r="P287" i="33"/>
  <c r="P291" i="33"/>
  <c r="P330" i="33"/>
  <c r="P321" i="33"/>
  <c r="P314" i="33"/>
  <c r="P324" i="33"/>
  <c r="P329" i="33"/>
  <c r="P352" i="33"/>
  <c r="P344" i="33"/>
  <c r="P351" i="33"/>
  <c r="Q7" i="33"/>
  <c r="P8" i="33"/>
  <c r="P10" i="33"/>
  <c r="P24" i="33"/>
  <c r="P45" i="33"/>
  <c r="P36" i="33"/>
  <c r="P50" i="33"/>
  <c r="P58" i="33"/>
  <c r="P71" i="33"/>
  <c r="Q65" i="33"/>
  <c r="Q76" i="33"/>
  <c r="Q83" i="33"/>
  <c r="P89" i="33"/>
  <c r="P96" i="33"/>
  <c r="Q101" i="33"/>
  <c r="Q108" i="33"/>
  <c r="Q115" i="33"/>
  <c r="P121" i="33"/>
  <c r="P128" i="33"/>
  <c r="Q133" i="33"/>
  <c r="Q140" i="33"/>
  <c r="Q203" i="33"/>
  <c r="P148" i="33"/>
  <c r="P155" i="33"/>
  <c r="Q160" i="33"/>
  <c r="Q167" i="33"/>
  <c r="Q174" i="33"/>
  <c r="P180" i="33"/>
  <c r="P187" i="33"/>
  <c r="Q192" i="33"/>
  <c r="Q201" i="33"/>
  <c r="Q306" i="33"/>
  <c r="P294" i="33"/>
  <c r="P216" i="33"/>
  <c r="Q221" i="33"/>
  <c r="Q228" i="33"/>
  <c r="Q235" i="33"/>
  <c r="P241" i="33"/>
  <c r="P248" i="33"/>
  <c r="Q253" i="33"/>
  <c r="Q259" i="33"/>
  <c r="Q264" i="33"/>
  <c r="P270" i="33"/>
  <c r="P277" i="33"/>
  <c r="Q280" i="33"/>
  <c r="Q281" i="33"/>
  <c r="Q287" i="33"/>
  <c r="P317" i="33"/>
  <c r="P322" i="33"/>
  <c r="Q316" i="33"/>
  <c r="Q8" i="33"/>
  <c r="Q10" i="33"/>
  <c r="Q24" i="33"/>
  <c r="Q45" i="33"/>
  <c r="Q36" i="33"/>
  <c r="Q50" i="33"/>
  <c r="Q58" i="33"/>
  <c r="Q71" i="33"/>
  <c r="Q72" i="33"/>
  <c r="P77" i="33"/>
  <c r="P84" i="33"/>
  <c r="Q89" i="33"/>
  <c r="Q96" i="33"/>
  <c r="Q103" i="33"/>
  <c r="P109" i="33"/>
  <c r="P116" i="33"/>
  <c r="Q121" i="33"/>
  <c r="Q128" i="33"/>
  <c r="Q135" i="33"/>
  <c r="P141" i="33"/>
  <c r="P198" i="33"/>
  <c r="Q148" i="33"/>
  <c r="Q155" i="33"/>
  <c r="Q162" i="33"/>
  <c r="P168" i="33"/>
  <c r="P175" i="33"/>
  <c r="Q180" i="33"/>
  <c r="Q187" i="33"/>
  <c r="Q195" i="33"/>
  <c r="P202" i="33"/>
  <c r="P307" i="33"/>
  <c r="Q294" i="33"/>
  <c r="Q216" i="33"/>
  <c r="Q223" i="33"/>
  <c r="P229" i="33"/>
  <c r="P236" i="33"/>
  <c r="Q241" i="33"/>
  <c r="Q248" i="33"/>
  <c r="Q254" i="33"/>
  <c r="P260" i="33"/>
  <c r="P265" i="33"/>
  <c r="Q270" i="33"/>
  <c r="Q277" i="33"/>
  <c r="Q311" i="33"/>
  <c r="P282" i="33"/>
  <c r="P288" i="33"/>
  <c r="Q317" i="33"/>
  <c r="Q322" i="33"/>
  <c r="Q324" i="33"/>
  <c r="P332" i="33"/>
  <c r="P345" i="33"/>
  <c r="Q337" i="33"/>
  <c r="Q341" i="33"/>
  <c r="Q346" i="33"/>
  <c r="P11" i="33"/>
  <c r="P18" i="33"/>
  <c r="P25" i="33"/>
  <c r="P46" i="33"/>
  <c r="P27" i="33"/>
  <c r="P37" i="33"/>
  <c r="P40" i="33"/>
  <c r="P73" i="33"/>
  <c r="P66" i="33"/>
  <c r="Q77" i="33"/>
  <c r="Q84" i="33"/>
  <c r="Q91" i="33"/>
  <c r="P97" i="33"/>
  <c r="P104" i="33"/>
  <c r="Q109" i="33"/>
  <c r="Q116" i="33"/>
  <c r="Q123" i="33"/>
  <c r="P129" i="33"/>
  <c r="P136" i="33"/>
  <c r="Q141" i="33"/>
  <c r="Q198" i="33"/>
  <c r="Q150" i="33"/>
  <c r="P156" i="33"/>
  <c r="P163" i="33"/>
  <c r="Q168" i="33"/>
  <c r="Q175" i="33"/>
  <c r="Q182" i="33"/>
  <c r="P188" i="33"/>
  <c r="P196" i="33"/>
  <c r="Q202" i="33"/>
  <c r="Q307" i="33"/>
  <c r="Q211" i="33"/>
  <c r="P217" i="33"/>
  <c r="P224" i="33"/>
  <c r="Q229" i="33"/>
  <c r="Q236" i="33"/>
  <c r="Q243" i="33"/>
  <c r="P249" i="33"/>
  <c r="P255" i="33"/>
  <c r="Q260" i="33"/>
  <c r="Q265" i="33"/>
  <c r="Q272" i="33"/>
  <c r="P278" i="33"/>
  <c r="P299" i="33"/>
  <c r="Q17" i="33"/>
  <c r="Q12" i="33"/>
  <c r="Q41" i="33"/>
  <c r="Q31" i="33"/>
  <c r="Q29" i="33"/>
  <c r="Q38" i="33"/>
  <c r="Q56" i="33"/>
  <c r="Q73" i="33"/>
  <c r="Q66" i="33"/>
  <c r="Q79" i="33"/>
  <c r="P85" i="33"/>
  <c r="P92" i="33"/>
  <c r="Q97" i="33"/>
  <c r="Q104" i="33"/>
  <c r="Q111" i="33"/>
  <c r="P117" i="33"/>
  <c r="P124" i="33"/>
  <c r="Q129" i="33"/>
  <c r="Q136" i="33"/>
  <c r="Q143" i="33"/>
  <c r="P144" i="33"/>
  <c r="P151" i="33"/>
  <c r="Q156" i="33"/>
  <c r="Q163" i="33"/>
  <c r="Q170" i="33"/>
  <c r="P176" i="33"/>
  <c r="P183" i="33"/>
  <c r="Q188" i="33"/>
  <c r="Q196" i="33"/>
  <c r="Q207" i="33"/>
  <c r="P309" i="33"/>
  <c r="P212" i="33"/>
  <c r="Q217" i="33"/>
  <c r="Q224" i="33"/>
  <c r="Q231" i="33"/>
  <c r="P237" i="33"/>
  <c r="P244" i="33"/>
  <c r="Q249" i="33"/>
  <c r="Q255" i="33"/>
  <c r="Q262" i="33"/>
  <c r="P266" i="33"/>
  <c r="P273" i="33"/>
  <c r="Q278" i="33"/>
  <c r="Q299" i="33"/>
  <c r="Q283" i="33"/>
  <c r="P289" i="33"/>
  <c r="P328" i="33"/>
  <c r="Q312" i="33"/>
  <c r="Q325" i="33"/>
  <c r="Q352" i="33"/>
  <c r="P334" i="33"/>
  <c r="Q338" i="33"/>
  <c r="Q342" i="33"/>
  <c r="Q347" i="33"/>
  <c r="Q362" i="33"/>
  <c r="Q358" i="33"/>
  <c r="Q365" i="33"/>
  <c r="Q374" i="33"/>
  <c r="Q370" i="33"/>
  <c r="Q378" i="33"/>
  <c r="Q382" i="33"/>
  <c r="Q386" i="33"/>
  <c r="Q406" i="33"/>
  <c r="Q405" i="33"/>
  <c r="Q392" i="33"/>
  <c r="Q389" i="33"/>
  <c r="Q403" i="33"/>
  <c r="Q409" i="33"/>
  <c r="Q410" i="33"/>
  <c r="Q417" i="33"/>
  <c r="Q421" i="33"/>
  <c r="Q425" i="33"/>
  <c r="Q429" i="33"/>
  <c r="Q433" i="33"/>
  <c r="Q435" i="33"/>
  <c r="Q439" i="33"/>
  <c r="Q443" i="33"/>
  <c r="Q447" i="33"/>
  <c r="Q451" i="33"/>
  <c r="Q455" i="33"/>
  <c r="Q459" i="33"/>
  <c r="Q463" i="33"/>
  <c r="Q467" i="33"/>
  <c r="Q471" i="33"/>
  <c r="Q475" i="33"/>
  <c r="P14" i="33"/>
  <c r="P20" i="33"/>
  <c r="P42" i="33"/>
  <c r="P32" i="33"/>
  <c r="P30" i="33"/>
  <c r="P52" i="33"/>
  <c r="P60" i="33"/>
  <c r="Q63" i="33"/>
  <c r="P69" i="33"/>
  <c r="P80" i="33"/>
  <c r="Q85" i="33"/>
  <c r="Q92" i="33"/>
  <c r="Q99" i="33"/>
  <c r="P105" i="33"/>
  <c r="P112" i="33"/>
  <c r="Q117" i="33"/>
  <c r="Q124" i="33"/>
  <c r="Q131" i="33"/>
  <c r="P137" i="33"/>
  <c r="P204" i="33"/>
  <c r="Q144" i="33"/>
  <c r="Q151" i="33"/>
  <c r="Q158" i="33"/>
  <c r="P164" i="33"/>
  <c r="P171" i="33"/>
  <c r="Q176" i="33"/>
  <c r="Q183" i="33"/>
  <c r="Q190" i="33"/>
  <c r="P205" i="33"/>
  <c r="P208" i="33"/>
  <c r="Q309" i="33"/>
  <c r="Q212" i="33"/>
  <c r="Q219" i="33"/>
  <c r="P225" i="33"/>
  <c r="P232" i="33"/>
  <c r="Q237" i="33"/>
  <c r="Q244" i="33"/>
  <c r="Q251" i="33"/>
  <c r="P256" i="33"/>
  <c r="P296" i="33"/>
  <c r="Q266" i="33"/>
  <c r="Q273" i="33"/>
  <c r="Q298" i="33"/>
  <c r="P300" i="33"/>
  <c r="P284" i="33"/>
  <c r="Q289" i="33"/>
  <c r="Q328" i="33"/>
  <c r="Q314" i="33"/>
  <c r="P326" i="33"/>
  <c r="Q14" i="33"/>
  <c r="Q20" i="33"/>
  <c r="Q42" i="33"/>
  <c r="Q32" i="33"/>
  <c r="Q30" i="33"/>
  <c r="Q52" i="33"/>
  <c r="Q60" i="33"/>
  <c r="P64" i="33"/>
  <c r="Q69" i="33"/>
  <c r="Q80" i="33"/>
  <c r="Q87" i="33"/>
  <c r="P93" i="33"/>
  <c r="P100" i="33"/>
  <c r="Q105" i="33"/>
  <c r="Q112" i="33"/>
  <c r="Q119" i="33"/>
  <c r="P125" i="33"/>
  <c r="P132" i="33"/>
  <c r="Q137" i="33"/>
  <c r="Q204" i="33"/>
  <c r="Q146" i="33"/>
  <c r="P152" i="33"/>
  <c r="P159" i="33"/>
  <c r="Q164" i="33"/>
  <c r="Q171" i="33"/>
  <c r="Q178" i="33"/>
  <c r="P184" i="33"/>
  <c r="P191" i="33"/>
  <c r="Q205" i="33"/>
  <c r="Q208" i="33"/>
  <c r="Q305" i="33"/>
  <c r="P213" i="33"/>
  <c r="P220" i="33"/>
  <c r="Q225" i="33"/>
  <c r="Q232" i="33"/>
  <c r="Q239" i="33"/>
  <c r="P245" i="33"/>
  <c r="P252" i="33"/>
  <c r="Q256" i="33"/>
  <c r="Q296" i="33"/>
  <c r="Q268" i="33"/>
  <c r="P274" i="33"/>
  <c r="P279" i="33"/>
  <c r="Q300" i="33"/>
  <c r="Q284" i="33"/>
  <c r="Q291" i="33"/>
  <c r="P319" i="33"/>
  <c r="P315" i="33"/>
  <c r="Q326" i="33"/>
  <c r="Q349" i="33"/>
  <c r="Q351" i="33"/>
  <c r="Q339" i="33"/>
  <c r="Q354" i="33"/>
  <c r="Q348" i="33"/>
  <c r="P15" i="33"/>
  <c r="P22" i="33"/>
  <c r="P59" i="33"/>
  <c r="P33" i="33"/>
  <c r="P47" i="33"/>
  <c r="P39" i="33"/>
  <c r="P61" i="33"/>
  <c r="Q64" i="33"/>
  <c r="Q75" i="33"/>
  <c r="P81" i="33"/>
  <c r="P88" i="33"/>
  <c r="Q93" i="33"/>
  <c r="Q100" i="33"/>
  <c r="Q9" i="33"/>
  <c r="Q23" i="33"/>
  <c r="Q44" i="33"/>
  <c r="Q35" i="33"/>
  <c r="Q49" i="33"/>
  <c r="Q54" i="33"/>
  <c r="Q70" i="33"/>
  <c r="P65" i="33"/>
  <c r="P76" i="33"/>
  <c r="Q81" i="33"/>
  <c r="Q88" i="33"/>
  <c r="Q95" i="33"/>
  <c r="P101" i="33"/>
  <c r="P108" i="33"/>
  <c r="Q113" i="33"/>
  <c r="Q120" i="33"/>
  <c r="Q127" i="33"/>
  <c r="P133" i="33"/>
  <c r="P140" i="33"/>
  <c r="Q197" i="33"/>
  <c r="Q147" i="33"/>
  <c r="Q154" i="33"/>
  <c r="P160" i="33"/>
  <c r="P167" i="33"/>
  <c r="Q172" i="33"/>
  <c r="Q179" i="33"/>
  <c r="Q186" i="33"/>
  <c r="P192" i="33"/>
  <c r="P201" i="33"/>
  <c r="Q209" i="33"/>
  <c r="Q304" i="33"/>
  <c r="Q215" i="33"/>
  <c r="P221" i="33"/>
  <c r="P228" i="33"/>
  <c r="Q233" i="33"/>
  <c r="Q240" i="33"/>
  <c r="Q247" i="33"/>
  <c r="P253" i="33"/>
  <c r="P259" i="33"/>
  <c r="Q297" i="33"/>
  <c r="Q269" i="33"/>
  <c r="Q276" i="33"/>
  <c r="P280" i="33"/>
  <c r="P281" i="33"/>
  <c r="Q285" i="33"/>
  <c r="Q292" i="33"/>
  <c r="Q321" i="33"/>
  <c r="P316" i="33"/>
  <c r="P331" i="33"/>
  <c r="Q343" i="33"/>
  <c r="Q336" i="33"/>
  <c r="Q340" i="33"/>
  <c r="Q350" i="33"/>
  <c r="Q361" i="33"/>
  <c r="Q356" i="33"/>
  <c r="Q360" i="33"/>
  <c r="Q367" i="33"/>
  <c r="Q376" i="33"/>
  <c r="Q372" i="33"/>
  <c r="Q380" i="33"/>
  <c r="Q384" i="33"/>
  <c r="Q393" i="33"/>
  <c r="Q408" i="33"/>
  <c r="Q399" i="33"/>
  <c r="Q395" i="33"/>
  <c r="Q401" i="33"/>
  <c r="Q390" i="33"/>
  <c r="Q416" i="33"/>
  <c r="Q415" i="33"/>
  <c r="Q419" i="33"/>
  <c r="Q107" i="33"/>
  <c r="Q152" i="33"/>
  <c r="P209" i="33"/>
  <c r="Q252" i="33"/>
  <c r="P285" i="33"/>
  <c r="Q329" i="33"/>
  <c r="P336" i="33"/>
  <c r="P113" i="33"/>
  <c r="Q159" i="33"/>
  <c r="P304" i="33"/>
  <c r="Q258" i="33"/>
  <c r="Q288" i="33"/>
  <c r="Q331" i="33"/>
  <c r="P337" i="33"/>
  <c r="P346" i="33"/>
  <c r="Q363" i="33"/>
  <c r="P364" i="33"/>
  <c r="P120" i="33"/>
  <c r="Q166" i="33"/>
  <c r="Q213" i="33"/>
  <c r="P297" i="33"/>
  <c r="P292" i="33"/>
  <c r="Q332" i="33"/>
  <c r="P338" i="33"/>
  <c r="Q125" i="33"/>
  <c r="P172" i="33"/>
  <c r="Q220" i="33"/>
  <c r="P269" i="33"/>
  <c r="Q330" i="33"/>
  <c r="P349" i="33"/>
  <c r="P339" i="33"/>
  <c r="Q132" i="33"/>
  <c r="P179" i="33"/>
  <c r="Q227" i="33"/>
  <c r="Q274" i="33"/>
  <c r="Q319" i="33"/>
  <c r="P343" i="33"/>
  <c r="P340" i="33"/>
  <c r="Q139" i="33"/>
  <c r="Q184" i="33"/>
  <c r="P233" i="33"/>
  <c r="Q279" i="33"/>
  <c r="P312" i="33"/>
  <c r="Q344" i="33"/>
  <c r="P341" i="33"/>
  <c r="P355" i="33"/>
  <c r="P358" i="33"/>
  <c r="Q366" i="33"/>
  <c r="P197" i="33"/>
  <c r="Q191" i="33"/>
  <c r="P240" i="33"/>
  <c r="Q302" i="33"/>
  <c r="Q315" i="33"/>
  <c r="Q345" i="33"/>
  <c r="P342" i="33"/>
  <c r="Q355" i="33"/>
  <c r="P359" i="33"/>
  <c r="P367" i="33"/>
  <c r="Q369" i="33"/>
  <c r="P379" i="33"/>
  <c r="P384" i="33"/>
  <c r="Q397" i="33"/>
  <c r="P404" i="33"/>
  <c r="P395" i="33"/>
  <c r="Q402" i="33"/>
  <c r="P412" i="33"/>
  <c r="P415" i="33"/>
  <c r="Q420" i="33"/>
  <c r="P425" i="33"/>
  <c r="P430" i="33"/>
  <c r="Q507" i="33"/>
  <c r="P437" i="33"/>
  <c r="Q441" i="33"/>
  <c r="P446" i="33"/>
  <c r="Q450" i="33"/>
  <c r="P455" i="33"/>
  <c r="P460" i="33"/>
  <c r="Q464" i="33"/>
  <c r="P469" i="33"/>
  <c r="Q473" i="33"/>
  <c r="P478" i="33"/>
  <c r="P482" i="33"/>
  <c r="P486" i="33"/>
  <c r="P490" i="33"/>
  <c r="P494" i="33"/>
  <c r="P498" i="33"/>
  <c r="P502" i="33"/>
  <c r="P506" i="33"/>
  <c r="P511" i="33"/>
  <c r="P514" i="33"/>
  <c r="P522" i="33"/>
  <c r="P525" i="33"/>
  <c r="P539" i="33"/>
  <c r="P527" i="33"/>
  <c r="P531" i="33"/>
  <c r="P542" i="33"/>
  <c r="P544" i="33"/>
  <c r="P551" i="33"/>
  <c r="P549" i="33"/>
  <c r="P569" i="33"/>
  <c r="P559" i="33"/>
  <c r="P563" i="33"/>
  <c r="P567" i="33"/>
  <c r="P572" i="33"/>
  <c r="P579" i="33"/>
  <c r="P581" i="33"/>
  <c r="P584" i="33"/>
  <c r="P586" i="33"/>
  <c r="P593" i="33"/>
  <c r="P597" i="33"/>
  <c r="P601" i="33"/>
  <c r="P605" i="33"/>
  <c r="P609" i="33"/>
  <c r="P613" i="33"/>
  <c r="P617" i="33"/>
  <c r="P621" i="33"/>
  <c r="P625" i="33"/>
  <c r="P629" i="33"/>
  <c r="P633" i="33"/>
  <c r="P637" i="33"/>
  <c r="P641" i="33"/>
  <c r="P645" i="33"/>
  <c r="P649" i="33"/>
  <c r="P653" i="33"/>
  <c r="P657" i="33"/>
  <c r="P660" i="33"/>
  <c r="P664" i="33"/>
  <c r="P668" i="33"/>
  <c r="P672" i="33"/>
  <c r="P676" i="33"/>
  <c r="P680" i="33"/>
  <c r="P684" i="33"/>
  <c r="P688" i="33"/>
  <c r="P147" i="33"/>
  <c r="Q200" i="33"/>
  <c r="Q245" i="33"/>
  <c r="Q282" i="33"/>
  <c r="P325" i="33"/>
  <c r="Q334" i="33"/>
  <c r="P354" i="33"/>
  <c r="P362" i="33"/>
  <c r="Q359" i="33"/>
  <c r="P375" i="33"/>
  <c r="P370" i="33"/>
  <c r="Q379" i="33"/>
  <c r="P385" i="33"/>
  <c r="P406" i="33"/>
  <c r="Q404" i="33"/>
  <c r="P396" i="33"/>
  <c r="P403" i="33"/>
  <c r="Q412" i="33"/>
  <c r="P414" i="33"/>
  <c r="P421" i="33"/>
  <c r="P426" i="33"/>
  <c r="Q430" i="33"/>
  <c r="P508" i="33"/>
  <c r="Q437" i="33"/>
  <c r="P442" i="33"/>
  <c r="Q446" i="33"/>
  <c r="P451" i="33"/>
  <c r="P456" i="33"/>
  <c r="Q460" i="33"/>
  <c r="P465" i="33"/>
  <c r="Q469" i="33"/>
  <c r="P474" i="33"/>
  <c r="Q478" i="33"/>
  <c r="Q482" i="33"/>
  <c r="Q486" i="33"/>
  <c r="Q490" i="33"/>
  <c r="Q494" i="33"/>
  <c r="Q498" i="33"/>
  <c r="Q502" i="33"/>
  <c r="Q506" i="33"/>
  <c r="Q511" i="33"/>
  <c r="Q514" i="33"/>
  <c r="Q522" i="33"/>
  <c r="Q525" i="33"/>
  <c r="Q539" i="33"/>
  <c r="Q527" i="33"/>
  <c r="Q531" i="33"/>
  <c r="Q542" i="33"/>
  <c r="Q544" i="33"/>
  <c r="Q551" i="33"/>
  <c r="Q549" i="33"/>
  <c r="Q569" i="33"/>
  <c r="Q559" i="33"/>
  <c r="Q563" i="33"/>
  <c r="Q567" i="33"/>
  <c r="Q572" i="33"/>
  <c r="Q579" i="33"/>
  <c r="Q581" i="33"/>
  <c r="Q584" i="33"/>
  <c r="Q586" i="33"/>
  <c r="Q593" i="33"/>
  <c r="Q597" i="33"/>
  <c r="Q601" i="33"/>
  <c r="Q605" i="33"/>
  <c r="Q609" i="33"/>
  <c r="Q613" i="33"/>
  <c r="Q617" i="33"/>
  <c r="Q621" i="33"/>
  <c r="Q625" i="33"/>
  <c r="Q629" i="33"/>
  <c r="Q633" i="33"/>
  <c r="Q637" i="33"/>
  <c r="Q641" i="33"/>
  <c r="Q645" i="33"/>
  <c r="Q649" i="33"/>
  <c r="Q653" i="33"/>
  <c r="Q657" i="33"/>
  <c r="Q660" i="33"/>
  <c r="Q664" i="33"/>
  <c r="Q668" i="33"/>
  <c r="Q672" i="33"/>
  <c r="Q676" i="33"/>
  <c r="Q680" i="33"/>
  <c r="Q684" i="33"/>
  <c r="Q688" i="33"/>
  <c r="P350" i="33"/>
  <c r="P347" i="33"/>
  <c r="P361" i="33"/>
  <c r="P366" i="33"/>
  <c r="Q371" i="33"/>
  <c r="P382" i="33"/>
  <c r="P397" i="33"/>
  <c r="P388" i="33"/>
  <c r="Q400" i="33"/>
  <c r="P409" i="33"/>
  <c r="P417" i="33"/>
  <c r="Q423" i="33"/>
  <c r="P429" i="33"/>
  <c r="P434" i="33"/>
  <c r="P440" i="33"/>
  <c r="Q445" i="33"/>
  <c r="Q452" i="33"/>
  <c r="P458" i="33"/>
  <c r="P464" i="33"/>
  <c r="Q470" i="33"/>
  <c r="Q476" i="33"/>
  <c r="Q481" i="33"/>
  <c r="Q487" i="33"/>
  <c r="Q492" i="33"/>
  <c r="Q497" i="33"/>
  <c r="Q503" i="33"/>
  <c r="Q510" i="33"/>
  <c r="Q513" i="33"/>
  <c r="Q523" i="33"/>
  <c r="Q536" i="33"/>
  <c r="Q537" i="33"/>
  <c r="Q532" i="33"/>
  <c r="Q541" i="33"/>
  <c r="Q546" i="33"/>
  <c r="Q550" i="33"/>
  <c r="Q557" i="33"/>
  <c r="Q562" i="33"/>
  <c r="Q568" i="33"/>
  <c r="Q574" i="33"/>
  <c r="Q575" i="33"/>
  <c r="Q590" i="33"/>
  <c r="Q596" i="33"/>
  <c r="Q602" i="33"/>
  <c r="Q607" i="33"/>
  <c r="Q612" i="33"/>
  <c r="Q618" i="33"/>
  <c r="Q623" i="33"/>
  <c r="Q628" i="33"/>
  <c r="Q634" i="33"/>
  <c r="Q639" i="33"/>
  <c r="Q644" i="33"/>
  <c r="Q650" i="33"/>
  <c r="Q655" i="33"/>
  <c r="Q659" i="33"/>
  <c r="Q665" i="33"/>
  <c r="Q670" i="33"/>
  <c r="Q675" i="33"/>
  <c r="Q681" i="33"/>
  <c r="Q686" i="33"/>
  <c r="Q691" i="33"/>
  <c r="Q706" i="33"/>
  <c r="Q694" i="33"/>
  <c r="Q701" i="33"/>
  <c r="Q600" i="33"/>
  <c r="Q710" i="33"/>
  <c r="Q714" i="33"/>
  <c r="Q718" i="33"/>
  <c r="Q735" i="33"/>
  <c r="Q732" i="33"/>
  <c r="Q723" i="33"/>
  <c r="Q727" i="33"/>
  <c r="Q741" i="33"/>
  <c r="Q745" i="33"/>
  <c r="Q749" i="33"/>
  <c r="Q753" i="33"/>
  <c r="Q757" i="33"/>
  <c r="Q761" i="33"/>
  <c r="Q765" i="33"/>
  <c r="Q769" i="33"/>
  <c r="Q773" i="33"/>
  <c r="Q776" i="33"/>
  <c r="Q738" i="33"/>
  <c r="Q781" i="33"/>
  <c r="Q783" i="33"/>
  <c r="Q787" i="33"/>
  <c r="Q791" i="33"/>
  <c r="P363" i="33"/>
  <c r="P356" i="33"/>
  <c r="Q357" i="33"/>
  <c r="Q368" i="33"/>
  <c r="P378" i="33"/>
  <c r="P386" i="33"/>
  <c r="P407" i="33"/>
  <c r="Q394" i="33"/>
  <c r="Q377" i="33"/>
  <c r="P410" i="33"/>
  <c r="P420" i="33"/>
  <c r="P427" i="33"/>
  <c r="Q432" i="33"/>
  <c r="Q436" i="33"/>
  <c r="P443" i="33"/>
  <c r="P449" i="33"/>
  <c r="Q454" i="33"/>
  <c r="Q461" i="33"/>
  <c r="P467" i="33"/>
  <c r="P473" i="33"/>
  <c r="Q479" i="33"/>
  <c r="Q484" i="33"/>
  <c r="Q489" i="33"/>
  <c r="Q495" i="33"/>
  <c r="Q500" i="33"/>
  <c r="Q505" i="33"/>
  <c r="Q516" i="33"/>
  <c r="Q520" i="33"/>
  <c r="Q524" i="33"/>
  <c r="Q518" i="33"/>
  <c r="Q529" i="33"/>
  <c r="Q533" i="33"/>
  <c r="Q543" i="33"/>
  <c r="Q553" i="33"/>
  <c r="Q555" i="33"/>
  <c r="Q560" i="33"/>
  <c r="Q565" i="33"/>
  <c r="Q571" i="33"/>
  <c r="Q580" i="33"/>
  <c r="Q582" i="33"/>
  <c r="Q585" i="33"/>
  <c r="Q594" i="33"/>
  <c r="Q599" i="33"/>
  <c r="Q604" i="33"/>
  <c r="Q610" i="33"/>
  <c r="Q615" i="33"/>
  <c r="Q620" i="33"/>
  <c r="Q626" i="33"/>
  <c r="Q631" i="33"/>
  <c r="Q636" i="33"/>
  <c r="Q642" i="33"/>
  <c r="Q647" i="33"/>
  <c r="Q652" i="33"/>
  <c r="Q658" i="33"/>
  <c r="Q662" i="33"/>
  <c r="Q667" i="33"/>
  <c r="Q673" i="33"/>
  <c r="Q678" i="33"/>
  <c r="Q683" i="33"/>
  <c r="Q689" i="33"/>
  <c r="Q699" i="33"/>
  <c r="Q707" i="33"/>
  <c r="Q696" i="33"/>
  <c r="Q588" i="33"/>
  <c r="Q698" i="33"/>
  <c r="Q712" i="33"/>
  <c r="Q716" i="33"/>
  <c r="Q731" i="33"/>
  <c r="Q734" i="33"/>
  <c r="Q736" i="33"/>
  <c r="Q725" i="33"/>
  <c r="Q730" i="33"/>
  <c r="Q743" i="33"/>
  <c r="Q747" i="33"/>
  <c r="Q751" i="33"/>
  <c r="Q755" i="33"/>
  <c r="Q759" i="33"/>
  <c r="Q763" i="33"/>
  <c r="Q767" i="33"/>
  <c r="Q771" i="33"/>
  <c r="Q775" i="33"/>
  <c r="Q778" i="33"/>
  <c r="Q779" i="33"/>
  <c r="Q785" i="33"/>
  <c r="Q789" i="33"/>
  <c r="Q836" i="33"/>
  <c r="P348" i="33"/>
  <c r="P376" i="33"/>
  <c r="Q381" i="33"/>
  <c r="Q398" i="33"/>
  <c r="Q396" i="33"/>
  <c r="Q391" i="33"/>
  <c r="Q418" i="33"/>
  <c r="Q427" i="33"/>
  <c r="Q508" i="33"/>
  <c r="P441" i="33"/>
  <c r="Q449" i="33"/>
  <c r="Q457" i="33"/>
  <c r="P466" i="33"/>
  <c r="Q474" i="33"/>
  <c r="P481" i="33"/>
  <c r="Q488" i="33"/>
  <c r="P496" i="33"/>
  <c r="P503" i="33"/>
  <c r="Q512" i="33"/>
  <c r="P521" i="33"/>
  <c r="P536" i="33"/>
  <c r="Q528" i="33"/>
  <c r="P540" i="33"/>
  <c r="P546" i="33"/>
  <c r="Q554" i="33"/>
  <c r="P561" i="33"/>
  <c r="P568" i="33"/>
  <c r="Q578" i="33"/>
  <c r="P583" i="33"/>
  <c r="P590" i="33"/>
  <c r="Q598" i="33"/>
  <c r="P606" i="33"/>
  <c r="P612" i="33"/>
  <c r="Q619" i="33"/>
  <c r="P627" i="33"/>
  <c r="P634" i="33"/>
  <c r="Q640" i="33"/>
  <c r="P648" i="33"/>
  <c r="P655" i="33"/>
  <c r="Q661" i="33"/>
  <c r="P669" i="33"/>
  <c r="P675" i="33"/>
  <c r="Q682" i="33"/>
  <c r="P690" i="33"/>
  <c r="P706" i="33"/>
  <c r="Q695" i="33"/>
  <c r="P703" i="33"/>
  <c r="P710" i="33"/>
  <c r="Q715" i="33"/>
  <c r="P720" i="33"/>
  <c r="P732" i="33"/>
  <c r="Q724" i="33"/>
  <c r="P740" i="33"/>
  <c r="P745" i="33"/>
  <c r="Q750" i="33"/>
  <c r="P756" i="33"/>
  <c r="P761" i="33"/>
  <c r="Q766" i="33"/>
  <c r="P772" i="33"/>
  <c r="P776" i="33"/>
  <c r="Q739" i="33"/>
  <c r="P787" i="33"/>
  <c r="Q792" i="33"/>
  <c r="P793" i="33"/>
  <c r="P797" i="33"/>
  <c r="P801" i="33"/>
  <c r="P805" i="33"/>
  <c r="P809" i="33"/>
  <c r="P813" i="33"/>
  <c r="P817" i="33"/>
  <c r="P821" i="33"/>
  <c r="P825" i="33"/>
  <c r="P357" i="33"/>
  <c r="P369" i="33"/>
  <c r="P383" i="33"/>
  <c r="P408" i="33"/>
  <c r="P389" i="33"/>
  <c r="P416" i="33"/>
  <c r="P419" i="33"/>
  <c r="P428" i="33"/>
  <c r="Q434" i="33"/>
  <c r="Q442" i="33"/>
  <c r="P450" i="33"/>
  <c r="Q458" i="33"/>
  <c r="Q466" i="33"/>
  <c r="P475" i="33"/>
  <c r="P483" i="33"/>
  <c r="P489" i="33"/>
  <c r="Q496" i="33"/>
  <c r="P504" i="33"/>
  <c r="P516" i="33"/>
  <c r="Q521" i="33"/>
  <c r="P526" i="33"/>
  <c r="P529" i="33"/>
  <c r="Q540" i="33"/>
  <c r="P552" i="33"/>
  <c r="P555" i="33"/>
  <c r="Q561" i="33"/>
  <c r="P570" i="33"/>
  <c r="P580" i="33"/>
  <c r="Q583" i="33"/>
  <c r="P591" i="33"/>
  <c r="P599" i="33"/>
  <c r="Q606" i="33"/>
  <c r="P614" i="33"/>
  <c r="P620" i="33"/>
  <c r="Q627" i="33"/>
  <c r="P635" i="33"/>
  <c r="P642" i="33"/>
  <c r="Q648" i="33"/>
  <c r="P656" i="33"/>
  <c r="P662" i="33"/>
  <c r="Q669" i="33"/>
  <c r="P677" i="33"/>
  <c r="P683" i="33"/>
  <c r="Q690" i="33"/>
  <c r="P700" i="33"/>
  <c r="P696" i="33"/>
  <c r="Q703" i="33"/>
  <c r="P711" i="33"/>
  <c r="P716" i="33"/>
  <c r="Q720" i="33"/>
  <c r="P728" i="33"/>
  <c r="P725" i="33"/>
  <c r="Q740" i="33"/>
  <c r="P746" i="33"/>
  <c r="P751" i="33"/>
  <c r="Q756" i="33"/>
  <c r="P762" i="33"/>
  <c r="P767" i="33"/>
  <c r="Q772" i="33"/>
  <c r="P777" i="33"/>
  <c r="P779" i="33"/>
  <c r="P788" i="33"/>
  <c r="P836" i="33"/>
  <c r="Q793" i="33"/>
  <c r="Q797" i="33"/>
  <c r="Q801" i="33"/>
  <c r="Q805" i="33"/>
  <c r="Q809" i="33"/>
  <c r="Q813" i="33"/>
  <c r="Q817" i="33"/>
  <c r="Q821" i="33"/>
  <c r="Q825" i="33"/>
  <c r="Q829" i="33"/>
  <c r="Q833" i="33"/>
  <c r="Q845" i="33"/>
  <c r="Q852" i="33"/>
  <c r="Q841" i="33"/>
  <c r="Q855" i="33"/>
  <c r="P360" i="33"/>
  <c r="P371" i="33"/>
  <c r="Q383" i="33"/>
  <c r="Q407" i="33"/>
  <c r="P400" i="33"/>
  <c r="P413" i="33"/>
  <c r="P422" i="33"/>
  <c r="Q428" i="33"/>
  <c r="P435" i="33"/>
  <c r="P444" i="33"/>
  <c r="P452" i="33"/>
  <c r="P459" i="33"/>
  <c r="P468" i="33"/>
  <c r="P476" i="33"/>
  <c r="Q483" i="33"/>
  <c r="P491" i="33"/>
  <c r="P497" i="33"/>
  <c r="Q504" i="33"/>
  <c r="P517" i="33"/>
  <c r="P523" i="33"/>
  <c r="Q526" i="33"/>
  <c r="P530" i="33"/>
  <c r="P541" i="33"/>
  <c r="Q552" i="33"/>
  <c r="P556" i="33"/>
  <c r="P562" i="33"/>
  <c r="Q570" i="33"/>
  <c r="P577" i="33"/>
  <c r="Q591" i="33"/>
  <c r="P607" i="33"/>
  <c r="Q614" i="33"/>
  <c r="P622" i="33"/>
  <c r="P628" i="33"/>
  <c r="Q635" i="33"/>
  <c r="P643" i="33"/>
  <c r="P650" i="33"/>
  <c r="Q656" i="33"/>
  <c r="P663" i="33"/>
  <c r="P670" i="33"/>
  <c r="Q677" i="33"/>
  <c r="P685" i="33"/>
  <c r="P691" i="33"/>
  <c r="Q700" i="33"/>
  <c r="P697" i="33"/>
  <c r="P600" i="33"/>
  <c r="Q711" i="33"/>
  <c r="P717" i="33"/>
  <c r="P735" i="33"/>
  <c r="Q728" i="33"/>
  <c r="P726" i="33"/>
  <c r="P741" i="33"/>
  <c r="Q746" i="33"/>
  <c r="P752" i="33"/>
  <c r="P757" i="33"/>
  <c r="Q762" i="33"/>
  <c r="P768" i="33"/>
  <c r="P773" i="33"/>
  <c r="Q777" i="33"/>
  <c r="P780" i="33"/>
  <c r="P783" i="33"/>
  <c r="Q788" i="33"/>
  <c r="P794" i="33"/>
  <c r="P798" i="33"/>
  <c r="P802" i="33"/>
  <c r="P806" i="33"/>
  <c r="P810" i="33"/>
  <c r="P814" i="33"/>
  <c r="P818" i="33"/>
  <c r="P822" i="33"/>
  <c r="P826" i="33"/>
  <c r="P830" i="33"/>
  <c r="P839" i="33"/>
  <c r="P846" i="33"/>
  <c r="P848" i="33"/>
  <c r="P842" i="33"/>
  <c r="P861" i="33"/>
  <c r="Q364" i="33"/>
  <c r="P372" i="33"/>
  <c r="Q385" i="33"/>
  <c r="P405" i="33"/>
  <c r="P401" i="33"/>
  <c r="Q413" i="33"/>
  <c r="Q422" i="33"/>
  <c r="P431" i="33"/>
  <c r="P436" i="33"/>
  <c r="Q444" i="33"/>
  <c r="P453" i="33"/>
  <c r="P461" i="33"/>
  <c r="Q468" i="33"/>
  <c r="P477" i="33"/>
  <c r="P484" i="33"/>
  <c r="Q491" i="33"/>
  <c r="P499" i="33"/>
  <c r="P505" i="33"/>
  <c r="Q517" i="33"/>
  <c r="P534" i="33"/>
  <c r="P518" i="33"/>
  <c r="Q530" i="33"/>
  <c r="P547" i="33"/>
  <c r="P553" i="33"/>
  <c r="Q556" i="33"/>
  <c r="P564" i="33"/>
  <c r="P571" i="33"/>
  <c r="Q577" i="33"/>
  <c r="P589" i="33"/>
  <c r="P594" i="33"/>
  <c r="P608" i="33"/>
  <c r="P615" i="33"/>
  <c r="Q622" i="33"/>
  <c r="P630" i="33"/>
  <c r="P636" i="33"/>
  <c r="Q643" i="33"/>
  <c r="P651" i="33"/>
  <c r="P658" i="33"/>
  <c r="Q663" i="33"/>
  <c r="P671" i="33"/>
  <c r="P678" i="33"/>
  <c r="Q685" i="33"/>
  <c r="P692" i="33"/>
  <c r="P707" i="33"/>
  <c r="Q697" i="33"/>
  <c r="P709" i="33"/>
  <c r="P712" i="33"/>
  <c r="Q717" i="33"/>
  <c r="P721" i="33"/>
  <c r="P736" i="33"/>
  <c r="Q726" i="33"/>
  <c r="P742" i="33"/>
  <c r="P747" i="33"/>
  <c r="Q752" i="33"/>
  <c r="P758" i="33"/>
  <c r="P763" i="33"/>
  <c r="Q768" i="33"/>
  <c r="P774" i="33"/>
  <c r="P778" i="33"/>
  <c r="Q780" i="33"/>
  <c r="P784" i="33"/>
  <c r="P789" i="33"/>
  <c r="Q794" i="33"/>
  <c r="Q798" i="33"/>
  <c r="Q802" i="33"/>
  <c r="Q806" i="33"/>
  <c r="Q810" i="33"/>
  <c r="Q814" i="33"/>
  <c r="Q818" i="33"/>
  <c r="Q822" i="33"/>
  <c r="Q826" i="33"/>
  <c r="Q830" i="33"/>
  <c r="Q839" i="33"/>
  <c r="Q846" i="33"/>
  <c r="Q848" i="33"/>
  <c r="Q842" i="33"/>
  <c r="Q861" i="33"/>
  <c r="Q870" i="33"/>
  <c r="Q868" i="33"/>
  <c r="Q858" i="33"/>
  <c r="Q853" i="33"/>
  <c r="Q886" i="33"/>
  <c r="Q874" i="33"/>
  <c r="Q883" i="33"/>
  <c r="Q884" i="33"/>
  <c r="Q895" i="33"/>
  <c r="Q899" i="33"/>
  <c r="Q893" i="33"/>
  <c r="Q904" i="33"/>
  <c r="Q916" i="33"/>
  <c r="Q910" i="33"/>
  <c r="Q907" i="33"/>
  <c r="Q919" i="33"/>
  <c r="Q928" i="33"/>
  <c r="Q922" i="33"/>
  <c r="Q926" i="33"/>
  <c r="Q952" i="33"/>
  <c r="Q951" i="33"/>
  <c r="Q945" i="33"/>
  <c r="Q940" i="33"/>
  <c r="Q944" i="33"/>
  <c r="Q955" i="33"/>
  <c r="Q959" i="33"/>
  <c r="Q963" i="33"/>
  <c r="Q966" i="33"/>
  <c r="Q970" i="33"/>
  <c r="Q974" i="33"/>
  <c r="Q978" i="33"/>
  <c r="Q982" i="33"/>
  <c r="Q986" i="33"/>
  <c r="Q990" i="33"/>
  <c r="Q994" i="33"/>
  <c r="Q998" i="33"/>
  <c r="Q1002" i="33"/>
  <c r="Q1006" i="33"/>
  <c r="Q1010" i="33"/>
  <c r="Q1014" i="33"/>
  <c r="Q1018" i="33"/>
  <c r="Q1022" i="33"/>
  <c r="Q1026" i="33"/>
  <c r="Q1029" i="33"/>
  <c r="Q1035" i="33"/>
  <c r="Q1052" i="33"/>
  <c r="Q1057" i="33"/>
  <c r="Q1054" i="33"/>
  <c r="Q1048" i="33"/>
  <c r="Q1072" i="33"/>
  <c r="Q1073" i="33"/>
  <c r="Q1063" i="33"/>
  <c r="Q1067" i="33"/>
  <c r="Q1089" i="33"/>
  <c r="Q1075" i="33"/>
  <c r="Q1077" i="33"/>
  <c r="Q1080" i="33"/>
  <c r="Q1107" i="33"/>
  <c r="Q1102" i="33"/>
  <c r="Q1096" i="33"/>
  <c r="Q1100" i="33"/>
  <c r="Q1101" i="33"/>
  <c r="Q1110" i="33"/>
  <c r="Q1116" i="33"/>
  <c r="Q1113" i="33"/>
  <c r="P365" i="33"/>
  <c r="P373" i="33"/>
  <c r="P387" i="33"/>
  <c r="P399" i="33"/>
  <c r="P402" i="33"/>
  <c r="P411" i="33"/>
  <c r="P423" i="33"/>
  <c r="Q431" i="33"/>
  <c r="P438" i="33"/>
  <c r="P445" i="33"/>
  <c r="Q453" i="33"/>
  <c r="P462" i="33"/>
  <c r="P470" i="33"/>
  <c r="Q477" i="33"/>
  <c r="P485" i="33"/>
  <c r="P492" i="33"/>
  <c r="Q499" i="33"/>
  <c r="P509" i="33"/>
  <c r="P513" i="33"/>
  <c r="Q534" i="33"/>
  <c r="P519" i="33"/>
  <c r="P532" i="33"/>
  <c r="Q547" i="33"/>
  <c r="P548" i="33"/>
  <c r="P557" i="33"/>
  <c r="Q564" i="33"/>
  <c r="P573" i="33"/>
  <c r="P575" i="33"/>
  <c r="Q589" i="33"/>
  <c r="P595" i="33"/>
  <c r="P602" i="33"/>
  <c r="Q608" i="33"/>
  <c r="P616" i="33"/>
  <c r="P623" i="33"/>
  <c r="Q630" i="33"/>
  <c r="P638" i="33"/>
  <c r="P644" i="33"/>
  <c r="Q651" i="33"/>
  <c r="P708" i="33"/>
  <c r="P665" i="33"/>
  <c r="Q671" i="33"/>
  <c r="P679" i="33"/>
  <c r="P686" i="33"/>
  <c r="Q692" i="33"/>
  <c r="P693" i="33"/>
  <c r="P701" i="33"/>
  <c r="Q709" i="33"/>
  <c r="P713" i="33"/>
  <c r="P718" i="33"/>
  <c r="Q721" i="33"/>
  <c r="P733" i="33"/>
  <c r="P727" i="33"/>
  <c r="Q742" i="33"/>
  <c r="P748" i="33"/>
  <c r="P753" i="33"/>
  <c r="Q758" i="33"/>
  <c r="P764" i="33"/>
  <c r="P769" i="33"/>
  <c r="Q774" i="33"/>
  <c r="P835" i="33"/>
  <c r="P781" i="33"/>
  <c r="Q784" i="33"/>
  <c r="P790" i="33"/>
  <c r="P838" i="33"/>
  <c r="P795" i="33"/>
  <c r="P799" i="33"/>
  <c r="P803" i="33"/>
  <c r="P807" i="33"/>
  <c r="P811" i="33"/>
  <c r="P815" i="33"/>
  <c r="P819" i="33"/>
  <c r="P823" i="33"/>
  <c r="P827" i="33"/>
  <c r="P831" i="33"/>
  <c r="P840" i="33"/>
  <c r="P847" i="33"/>
  <c r="P849" i="33"/>
  <c r="P843" i="33"/>
  <c r="P871" i="33"/>
  <c r="P862" i="33"/>
  <c r="P864" i="33"/>
  <c r="P859" i="33"/>
  <c r="P872" i="33"/>
  <c r="P882" i="33"/>
  <c r="P875" i="33"/>
  <c r="P878" i="33"/>
  <c r="P880" i="33"/>
  <c r="P898" i="33"/>
  <c r="P890" i="33"/>
  <c r="P894" i="33"/>
  <c r="P902" i="33"/>
  <c r="P915" i="33"/>
  <c r="P911" i="33"/>
  <c r="P912" i="33"/>
  <c r="P920" i="33"/>
  <c r="P921" i="33"/>
  <c r="P923" i="33"/>
  <c r="P931" i="33"/>
  <c r="P950" i="33"/>
  <c r="P936" i="33"/>
  <c r="P946" i="33"/>
  <c r="P941" i="33"/>
  <c r="P947" i="33"/>
  <c r="P956" i="33"/>
  <c r="P960" i="33"/>
  <c r="P1031" i="33"/>
  <c r="P967" i="33"/>
  <c r="P971" i="33"/>
  <c r="P975" i="33"/>
  <c r="P979" i="33"/>
  <c r="P983" i="33"/>
  <c r="P987" i="33"/>
  <c r="P991" i="33"/>
  <c r="P995" i="33"/>
  <c r="P999" i="33"/>
  <c r="P1003" i="33"/>
  <c r="P1007" i="33"/>
  <c r="P1011" i="33"/>
  <c r="P1015" i="33"/>
  <c r="P1019" i="33"/>
  <c r="P1023" i="33"/>
  <c r="P1027" i="33"/>
  <c r="P1030" i="33"/>
  <c r="P1034" i="33"/>
  <c r="P1051" i="33"/>
  <c r="P1040" i="33"/>
  <c r="P1044" i="33"/>
  <c r="P1055" i="33"/>
  <c r="P1049" i="33"/>
  <c r="P1058" i="33"/>
  <c r="P1060" i="33"/>
  <c r="P1064" i="33"/>
  <c r="P1068" i="33"/>
  <c r="P1082" i="33"/>
  <c r="P1076" i="33"/>
  <c r="P1078" i="33"/>
  <c r="P1086" i="33"/>
  <c r="P1091" i="33"/>
  <c r="P1093" i="33"/>
  <c r="P1097" i="33"/>
  <c r="P1103" i="33"/>
  <c r="P1106" i="33"/>
  <c r="Q375" i="33"/>
  <c r="Q373" i="33"/>
  <c r="Q387" i="33"/>
  <c r="Q388" i="33"/>
  <c r="P377" i="33"/>
  <c r="Q411" i="33"/>
  <c r="P424" i="33"/>
  <c r="P432" i="33"/>
  <c r="Q438" i="33"/>
  <c r="P447" i="33"/>
  <c r="P454" i="33"/>
  <c r="Q462" i="33"/>
  <c r="P471" i="33"/>
  <c r="P479" i="33"/>
  <c r="Q485" i="33"/>
  <c r="P493" i="33"/>
  <c r="P500" i="33"/>
  <c r="Q509" i="33"/>
  <c r="P515" i="33"/>
  <c r="P524" i="33"/>
  <c r="Q519" i="33"/>
  <c r="P535" i="33"/>
  <c r="P543" i="33"/>
  <c r="Q548" i="33"/>
  <c r="P558" i="33"/>
  <c r="P565" i="33"/>
  <c r="Q573" i="33"/>
  <c r="P576" i="33"/>
  <c r="P585" i="33"/>
  <c r="Q595" i="33"/>
  <c r="P603" i="33"/>
  <c r="P610" i="33"/>
  <c r="Q616" i="33"/>
  <c r="P624" i="33"/>
  <c r="P631" i="33"/>
  <c r="Q638" i="33"/>
  <c r="P646" i="33"/>
  <c r="P652" i="33"/>
  <c r="Q708" i="33"/>
  <c r="P666" i="33"/>
  <c r="P673" i="33"/>
  <c r="Q679" i="33"/>
  <c r="P687" i="33"/>
  <c r="P699" i="33"/>
  <c r="Q693" i="33"/>
  <c r="P702" i="33"/>
  <c r="P698" i="33"/>
  <c r="Q713" i="33"/>
  <c r="P719" i="33"/>
  <c r="P734" i="33"/>
  <c r="Q733" i="33"/>
  <c r="P729" i="33"/>
  <c r="P743" i="33"/>
  <c r="Q748" i="33"/>
  <c r="P754" i="33"/>
  <c r="P759" i="33"/>
  <c r="Q764" i="33"/>
  <c r="P770" i="33"/>
  <c r="P775" i="33"/>
  <c r="Q835" i="33"/>
  <c r="P782" i="33"/>
  <c r="P785" i="33"/>
  <c r="Q790" i="33"/>
  <c r="Q838" i="33"/>
  <c r="Q795" i="33"/>
  <c r="Q799" i="33"/>
  <c r="Q803" i="33"/>
  <c r="Q807" i="33"/>
  <c r="Q811" i="33"/>
  <c r="Q815" i="33"/>
  <c r="Q819" i="33"/>
  <c r="Q823" i="33"/>
  <c r="Q827" i="33"/>
  <c r="Q831" i="33"/>
  <c r="Q840" i="33"/>
  <c r="Q847" i="33"/>
  <c r="Q849" i="33"/>
  <c r="Q843" i="33"/>
  <c r="Q871" i="33"/>
  <c r="Q862" i="33"/>
  <c r="Q864" i="33"/>
  <c r="Q859" i="33"/>
  <c r="Q872" i="33"/>
  <c r="Q882" i="33"/>
  <c r="Q875" i="33"/>
  <c r="P374" i="33"/>
  <c r="P380" i="33"/>
  <c r="P393" i="33"/>
  <c r="P392" i="33"/>
  <c r="P390" i="33"/>
  <c r="Q414" i="33"/>
  <c r="Q424" i="33"/>
  <c r="P433" i="33"/>
  <c r="P439" i="33"/>
  <c r="P448" i="33"/>
  <c r="Q456" i="33"/>
  <c r="P463" i="33"/>
  <c r="P472" i="33"/>
  <c r="P480" i="33"/>
  <c r="P487" i="33"/>
  <c r="Q493" i="33"/>
  <c r="P501" i="33"/>
  <c r="P510" i="33"/>
  <c r="Q515" i="33"/>
  <c r="P538" i="33"/>
  <c r="P537" i="33"/>
  <c r="Q535" i="33"/>
  <c r="P545" i="33"/>
  <c r="P550" i="33"/>
  <c r="Q558" i="33"/>
  <c r="P566" i="33"/>
  <c r="P574" i="33"/>
  <c r="Q576" i="33"/>
  <c r="P592" i="33"/>
  <c r="P596" i="33"/>
  <c r="Q603" i="33"/>
  <c r="P611" i="33"/>
  <c r="P618" i="33"/>
  <c r="Q624" i="33"/>
  <c r="P632" i="33"/>
  <c r="P639" i="33"/>
  <c r="Q646" i="33"/>
  <c r="P654" i="33"/>
  <c r="P659" i="33"/>
  <c r="Q666" i="33"/>
  <c r="P674" i="33"/>
  <c r="P681" i="33"/>
  <c r="Q687" i="33"/>
  <c r="P705" i="33"/>
  <c r="P694" i="33"/>
  <c r="Q702" i="33"/>
  <c r="P704" i="33"/>
  <c r="P714" i="33"/>
  <c r="Q719" i="33"/>
  <c r="P722" i="33"/>
  <c r="P723" i="33"/>
  <c r="Q729" i="33"/>
  <c r="P744" i="33"/>
  <c r="P749" i="33"/>
  <c r="Q754" i="33"/>
  <c r="P760" i="33"/>
  <c r="P765" i="33"/>
  <c r="Q770" i="33"/>
  <c r="P834" i="33"/>
  <c r="P738" i="33"/>
  <c r="Q782" i="33"/>
  <c r="P786" i="33"/>
  <c r="P791" i="33"/>
  <c r="P837" i="33"/>
  <c r="P796" i="33"/>
  <c r="P800" i="33"/>
  <c r="P804" i="33"/>
  <c r="P808" i="33"/>
  <c r="P812" i="33"/>
  <c r="P816" i="33"/>
  <c r="P820" i="33"/>
  <c r="P824" i="33"/>
  <c r="P828" i="33"/>
  <c r="P832" i="33"/>
  <c r="P844" i="33"/>
  <c r="P851" i="33"/>
  <c r="P850" i="33"/>
  <c r="P854" i="33"/>
  <c r="P867" i="33"/>
  <c r="P866" i="33"/>
  <c r="P856" i="33"/>
  <c r="P860" i="33"/>
  <c r="P881" i="33"/>
  <c r="P887" i="33"/>
  <c r="P876" i="33"/>
  <c r="P879" i="33"/>
  <c r="P897" i="33"/>
  <c r="P889" i="33"/>
  <c r="P891" i="33"/>
  <c r="P896" i="33"/>
  <c r="P908" i="33"/>
  <c r="P917" i="33"/>
  <c r="P905" i="33"/>
  <c r="P914" i="33"/>
  <c r="P927" i="33"/>
  <c r="P929" i="33"/>
  <c r="P924" i="33"/>
  <c r="P933" i="33"/>
  <c r="P937" i="33"/>
  <c r="P948" i="33"/>
  <c r="P938" i="33"/>
  <c r="P942" i="33"/>
  <c r="P935" i="33"/>
  <c r="P957" i="33"/>
  <c r="P961" i="33"/>
  <c r="P964" i="33"/>
  <c r="P968" i="33"/>
  <c r="P972" i="33"/>
  <c r="P976" i="33"/>
  <c r="P980" i="33"/>
  <c r="P984" i="33"/>
  <c r="P988" i="33"/>
  <c r="P992" i="33"/>
  <c r="P996" i="33"/>
  <c r="P1000" i="33"/>
  <c r="P1004" i="33"/>
  <c r="P1008" i="33"/>
  <c r="P1012" i="33"/>
  <c r="P1016" i="33"/>
  <c r="P1020" i="33"/>
  <c r="P1024" i="33"/>
  <c r="P1028" i="33"/>
  <c r="P1032" i="33"/>
  <c r="P1033" i="33"/>
  <c r="P1056" i="33"/>
  <c r="P1043" i="33"/>
  <c r="P1045" i="33"/>
  <c r="P1046" i="33"/>
  <c r="P1050" i="33"/>
  <c r="P1059" i="33"/>
  <c r="P1061" i="33"/>
  <c r="P1065" i="33"/>
  <c r="P1070" i="33"/>
  <c r="P1083" i="33"/>
  <c r="P1088" i="33"/>
  <c r="P1079" i="33"/>
  <c r="P1085" i="33"/>
  <c r="P1092" i="33"/>
  <c r="P1094" i="33"/>
  <c r="P1098" i="33"/>
  <c r="P1104" i="33"/>
  <c r="P1105" i="33"/>
  <c r="P1114" i="33"/>
  <c r="P1118" i="33"/>
  <c r="P1121" i="33"/>
  <c r="P368" i="33"/>
  <c r="P381" i="33"/>
  <c r="P398" i="33"/>
  <c r="P394" i="33"/>
  <c r="P391" i="33"/>
  <c r="P418" i="33"/>
  <c r="Q426" i="33"/>
  <c r="P507" i="33"/>
  <c r="Q440" i="33"/>
  <c r="Q448" i="33"/>
  <c r="P457" i="33"/>
  <c r="Q465" i="33"/>
  <c r="Q472" i="33"/>
  <c r="Q480" i="33"/>
  <c r="P488" i="33"/>
  <c r="P495" i="33"/>
  <c r="Q501" i="33"/>
  <c r="P512" i="33"/>
  <c r="P520" i="33"/>
  <c r="Q538" i="33"/>
  <c r="P528" i="33"/>
  <c r="P533" i="33"/>
  <c r="Q545" i="33"/>
  <c r="P554" i="33"/>
  <c r="P560" i="33"/>
  <c r="Q566" i="33"/>
  <c r="P578" i="33"/>
  <c r="P582" i="33"/>
  <c r="Q592" i="33"/>
  <c r="P598" i="33"/>
  <c r="P604" i="33"/>
  <c r="Q611" i="33"/>
  <c r="P619" i="33"/>
  <c r="P626" i="33"/>
  <c r="Q632" i="33"/>
  <c r="P640" i="33"/>
  <c r="P647" i="33"/>
  <c r="Q654" i="33"/>
  <c r="P661" i="33"/>
  <c r="P667" i="33"/>
  <c r="Q674" i="33"/>
  <c r="P682" i="33"/>
  <c r="P689" i="33"/>
  <c r="Q705" i="33"/>
  <c r="P695" i="33"/>
  <c r="P588" i="33"/>
  <c r="Q704" i="33"/>
  <c r="P715" i="33"/>
  <c r="P731" i="33"/>
  <c r="Q722" i="33"/>
  <c r="P724" i="33"/>
  <c r="P730" i="33"/>
  <c r="Q744" i="33"/>
  <c r="P750" i="33"/>
  <c r="P755" i="33"/>
  <c r="Q760" i="33"/>
  <c r="P766" i="33"/>
  <c r="P771" i="33"/>
  <c r="Q834" i="33"/>
  <c r="P739" i="33"/>
  <c r="Q786" i="33"/>
  <c r="P792" i="33"/>
  <c r="Q837" i="33"/>
  <c r="Q796" i="33"/>
  <c r="Q800" i="33"/>
  <c r="Q804" i="33"/>
  <c r="Q808" i="33"/>
  <c r="Q812" i="33"/>
  <c r="Q816" i="33"/>
  <c r="Q820" i="33"/>
  <c r="Q824" i="33"/>
  <c r="Q828" i="33"/>
  <c r="Q832" i="33"/>
  <c r="Q844" i="33"/>
  <c r="Q851" i="33"/>
  <c r="Q850" i="33"/>
  <c r="Q854" i="33"/>
  <c r="Q867" i="33"/>
  <c r="Q866" i="33"/>
  <c r="Q856" i="33"/>
  <c r="Q860" i="33"/>
  <c r="Q881" i="33"/>
  <c r="Q887" i="33"/>
  <c r="Q876" i="33"/>
  <c r="Q879" i="33"/>
  <c r="Q897" i="33"/>
  <c r="Q889" i="33"/>
  <c r="Q891" i="33"/>
  <c r="Q896" i="33"/>
  <c r="Q908" i="33"/>
  <c r="Q917" i="33"/>
  <c r="Q905" i="33"/>
  <c r="Q914" i="33"/>
  <c r="Q927" i="33"/>
  <c r="Q929" i="33"/>
  <c r="Q924" i="33"/>
  <c r="Q933" i="33"/>
  <c r="Q937" i="33"/>
  <c r="Q948" i="33"/>
  <c r="Q938" i="33"/>
  <c r="Q942" i="33"/>
  <c r="Q935" i="33"/>
  <c r="Q957" i="33"/>
  <c r="Q961" i="33"/>
  <c r="Q964" i="33"/>
  <c r="Q968" i="33"/>
  <c r="Q972" i="33"/>
  <c r="Q976" i="33"/>
  <c r="Q980" i="33"/>
  <c r="Q984" i="33"/>
  <c r="Q988" i="33"/>
  <c r="Q992" i="33"/>
  <c r="Q996" i="33"/>
  <c r="Q1000" i="33"/>
  <c r="Q1004" i="33"/>
  <c r="Q1008" i="33"/>
  <c r="Q1012" i="33"/>
  <c r="Q1016" i="33"/>
  <c r="Q1020" i="33"/>
  <c r="Q1024" i="33"/>
  <c r="Q1028" i="33"/>
  <c r="Q1032" i="33"/>
  <c r="Q1033" i="33"/>
  <c r="Q1056" i="33"/>
  <c r="Q1043" i="33"/>
  <c r="Q1045" i="33"/>
  <c r="Q1046" i="33"/>
  <c r="Q1050" i="33"/>
  <c r="Q1059" i="33"/>
  <c r="Q1061" i="33"/>
  <c r="Q1065" i="33"/>
  <c r="Q1070" i="33"/>
  <c r="Q1083" i="33"/>
  <c r="Q1088" i="33"/>
  <c r="Q1079" i="33"/>
  <c r="Q1085" i="33"/>
  <c r="Q1092" i="33"/>
  <c r="Q1094" i="33"/>
  <c r="Q1098" i="33"/>
  <c r="Q1104" i="33"/>
  <c r="Q1105" i="33"/>
  <c r="Q1114" i="33"/>
  <c r="Q1118" i="33"/>
  <c r="Q1121" i="33"/>
  <c r="P829" i="33"/>
  <c r="P870" i="33"/>
  <c r="Q865" i="33"/>
  <c r="P877" i="33"/>
  <c r="P900" i="33"/>
  <c r="P892" i="33"/>
  <c r="P918" i="33"/>
  <c r="P906" i="33"/>
  <c r="P934" i="33"/>
  <c r="P925" i="33"/>
  <c r="P953" i="33"/>
  <c r="P939" i="33"/>
  <c r="P954" i="33"/>
  <c r="P969" i="33"/>
  <c r="P977" i="33"/>
  <c r="P985" i="33"/>
  <c r="P993" i="33"/>
  <c r="P1001" i="33"/>
  <c r="P1009" i="33"/>
  <c r="P1017" i="33"/>
  <c r="P1025" i="33"/>
  <c r="P1036" i="33"/>
  <c r="Q1051" i="33"/>
  <c r="Q1044" i="33"/>
  <c r="Q1049" i="33"/>
  <c r="Q1060" i="33"/>
  <c r="Q1068" i="33"/>
  <c r="Q1076" i="33"/>
  <c r="Q1086" i="33"/>
  <c r="Q1093" i="33"/>
  <c r="Q1103" i="33"/>
  <c r="P1111" i="33"/>
  <c r="Q1123" i="33"/>
  <c r="P1119" i="33"/>
  <c r="P1134" i="33"/>
  <c r="P1132" i="33"/>
  <c r="P1138" i="33"/>
  <c r="P1142" i="33"/>
  <c r="P1146" i="33"/>
  <c r="P1150" i="33"/>
  <c r="P1154" i="33"/>
  <c r="P1158" i="33"/>
  <c r="P1162" i="33"/>
  <c r="P1166" i="33"/>
  <c r="P1170" i="33"/>
  <c r="P1174" i="33"/>
  <c r="P1178" i="33"/>
  <c r="P1182" i="33"/>
  <c r="P1186" i="33"/>
  <c r="P1190" i="33"/>
  <c r="P1194" i="33"/>
  <c r="P1198" i="33"/>
  <c r="P1202" i="33"/>
  <c r="P1206" i="33"/>
  <c r="P1210" i="33"/>
  <c r="P1214" i="33"/>
  <c r="P1218" i="33"/>
  <c r="P1222" i="33"/>
  <c r="P1226" i="33"/>
  <c r="P1230" i="33"/>
  <c r="P1234" i="33"/>
  <c r="P1238" i="33"/>
  <c r="P1240" i="33"/>
  <c r="P1267" i="33"/>
  <c r="P1268" i="33"/>
  <c r="P1244" i="33"/>
  <c r="P1248" i="33"/>
  <c r="P1252" i="33"/>
  <c r="P1270" i="33"/>
  <c r="P1274" i="33"/>
  <c r="P1277" i="33"/>
  <c r="P1296" i="33"/>
  <c r="P1300" i="33"/>
  <c r="P1304" i="33"/>
  <c r="P1308" i="33"/>
  <c r="P833" i="33"/>
  <c r="P863" i="33"/>
  <c r="P853" i="33"/>
  <c r="Q877" i="33"/>
  <c r="Q900" i="33"/>
  <c r="Q892" i="33"/>
  <c r="Q918" i="33"/>
  <c r="Q906" i="33"/>
  <c r="Q934" i="33"/>
  <c r="Q925" i="33"/>
  <c r="Q953" i="33"/>
  <c r="Q939" i="33"/>
  <c r="Q954" i="33"/>
  <c r="Q969" i="33"/>
  <c r="Q977" i="33"/>
  <c r="Q985" i="33"/>
  <c r="Q993" i="33"/>
  <c r="Q1001" i="33"/>
  <c r="Q1009" i="33"/>
  <c r="Q1017" i="33"/>
  <c r="Q1025" i="33"/>
  <c r="Q1036" i="33"/>
  <c r="P1039" i="33"/>
  <c r="P1053" i="33"/>
  <c r="P1042" i="33"/>
  <c r="P1062" i="33"/>
  <c r="P1071" i="33"/>
  <c r="P1084" i="33"/>
  <c r="P1081" i="33"/>
  <c r="P1095" i="33"/>
  <c r="P1108" i="33"/>
  <c r="Q1111" i="33"/>
  <c r="P1113" i="33"/>
  <c r="Q1119" i="33"/>
  <c r="Q1134" i="33"/>
  <c r="Q1132" i="33"/>
  <c r="Q1138" i="33"/>
  <c r="Q1142" i="33"/>
  <c r="Q1146" i="33"/>
  <c r="Q1150" i="33"/>
  <c r="Q1154" i="33"/>
  <c r="Q1158" i="33"/>
  <c r="Q1162" i="33"/>
  <c r="Q1166" i="33"/>
  <c r="Q1170" i="33"/>
  <c r="Q1174" i="33"/>
  <c r="Q1178" i="33"/>
  <c r="Q1182" i="33"/>
  <c r="Q1186" i="33"/>
  <c r="Q1190" i="33"/>
  <c r="Q1194" i="33"/>
  <c r="Q1198" i="33"/>
  <c r="Q1202" i="33"/>
  <c r="Q1206" i="33"/>
  <c r="Q1210" i="33"/>
  <c r="Q1214" i="33"/>
  <c r="Q1218" i="33"/>
  <c r="Q1222" i="33"/>
  <c r="Q1226" i="33"/>
  <c r="Q1230" i="33"/>
  <c r="Q1234" i="33"/>
  <c r="Q1238" i="33"/>
  <c r="Q1240" i="33"/>
  <c r="Q1267" i="33"/>
  <c r="Q1268" i="33"/>
  <c r="Q1244" i="33"/>
  <c r="Q1248" i="33"/>
  <c r="Q1252" i="33"/>
  <c r="Q1270" i="33"/>
  <c r="Q1274" i="33"/>
  <c r="Q1277" i="33"/>
  <c r="Q1296" i="33"/>
  <c r="Q1300" i="33"/>
  <c r="Q1304" i="33"/>
  <c r="Q1308" i="33"/>
  <c r="Q1312" i="33"/>
  <c r="Q1316" i="33"/>
  <c r="Q1320" i="33"/>
  <c r="Q1324" i="33"/>
  <c r="Q1328" i="33"/>
  <c r="Q1332" i="33"/>
  <c r="Q1359" i="33"/>
  <c r="Q1339" i="33"/>
  <c r="Q1343" i="33"/>
  <c r="P845" i="33"/>
  <c r="Q863" i="33"/>
  <c r="P885" i="33"/>
  <c r="P883" i="33"/>
  <c r="P895" i="33"/>
  <c r="P893" i="33"/>
  <c r="P916" i="33"/>
  <c r="P907" i="33"/>
  <c r="P928" i="33"/>
  <c r="P926" i="33"/>
  <c r="P951" i="33"/>
  <c r="P940" i="33"/>
  <c r="P955" i="33"/>
  <c r="P963" i="33"/>
  <c r="P970" i="33"/>
  <c r="P978" i="33"/>
  <c r="P986" i="33"/>
  <c r="P994" i="33"/>
  <c r="P1002" i="33"/>
  <c r="P1010" i="33"/>
  <c r="P1018" i="33"/>
  <c r="P1026" i="33"/>
  <c r="P1035" i="33"/>
  <c r="Q1039" i="33"/>
  <c r="Q1053" i="33"/>
  <c r="Q1042" i="33"/>
  <c r="Q1062" i="33"/>
  <c r="Q1071" i="33"/>
  <c r="Q1084" i="33"/>
  <c r="Q1081" i="33"/>
  <c r="Q1095" i="33"/>
  <c r="Q1108" i="33"/>
  <c r="P1115" i="33"/>
  <c r="P1112" i="33"/>
  <c r="P1120" i="33"/>
  <c r="P1133" i="33"/>
  <c r="P1135" i="33"/>
  <c r="P1139" i="33"/>
  <c r="P1143" i="33"/>
  <c r="P1147" i="33"/>
  <c r="P1151" i="33"/>
  <c r="P852" i="33"/>
  <c r="P868" i="33"/>
  <c r="Q885" i="33"/>
  <c r="Q878" i="33"/>
  <c r="Q898" i="33"/>
  <c r="Q894" i="33"/>
  <c r="Q915" i="33"/>
  <c r="Q912" i="33"/>
  <c r="Q921" i="33"/>
  <c r="Q931" i="33"/>
  <c r="Q936" i="33"/>
  <c r="Q941" i="33"/>
  <c r="Q956" i="33"/>
  <c r="Q1031" i="33"/>
  <c r="Q971" i="33"/>
  <c r="Q979" i="33"/>
  <c r="Q987" i="33"/>
  <c r="Q995" i="33"/>
  <c r="Q1003" i="33"/>
  <c r="Q1011" i="33"/>
  <c r="Q1019" i="33"/>
  <c r="Q1027" i="33"/>
  <c r="Q1034" i="33"/>
  <c r="P1052" i="33"/>
  <c r="P1054" i="33"/>
  <c r="P1072" i="33"/>
  <c r="P1063" i="33"/>
  <c r="P1089" i="33"/>
  <c r="P1077" i="33"/>
  <c r="P1107" i="33"/>
  <c r="P1096" i="33"/>
  <c r="P1101" i="33"/>
  <c r="Q1115" i="33"/>
  <c r="Q1112" i="33"/>
  <c r="Q1120" i="33"/>
  <c r="Q1133" i="33"/>
  <c r="Q1135" i="33"/>
  <c r="Q1139" i="33"/>
  <c r="Q1143" i="33"/>
  <c r="Q1147" i="33"/>
  <c r="Q1151" i="33"/>
  <c r="Q1155" i="33"/>
  <c r="Q1159" i="33"/>
  <c r="Q1163" i="33"/>
  <c r="Q1167" i="33"/>
  <c r="Q1171" i="33"/>
  <c r="Q1175" i="33"/>
  <c r="Q1179" i="33"/>
  <c r="Q1183" i="33"/>
  <c r="Q1187" i="33"/>
  <c r="Q1191" i="33"/>
  <c r="Q1195" i="33"/>
  <c r="Q1199" i="33"/>
  <c r="Q1203" i="33"/>
  <c r="Q1207" i="33"/>
  <c r="Q1211" i="33"/>
  <c r="Q1215" i="33"/>
  <c r="Q1219" i="33"/>
  <c r="Q1223" i="33"/>
  <c r="Q1227" i="33"/>
  <c r="Q1231" i="33"/>
  <c r="Q1235" i="33"/>
  <c r="Q1264" i="33"/>
  <c r="Q1265" i="33"/>
  <c r="Q1241" i="33"/>
  <c r="Q1282" i="33"/>
  <c r="Q1245" i="33"/>
  <c r="Q1249" i="33"/>
  <c r="Q1253" i="33"/>
  <c r="Q1271" i="33"/>
  <c r="Q1275" i="33"/>
  <c r="Q1293" i="33"/>
  <c r="Q1297" i="33"/>
  <c r="Q1301" i="33"/>
  <c r="Q1305" i="33"/>
  <c r="Q1309" i="33"/>
  <c r="Q1313" i="33"/>
  <c r="Q1317" i="33"/>
  <c r="Q1321" i="33"/>
  <c r="Q1325" i="33"/>
  <c r="Q1329" i="33"/>
  <c r="Q1333" i="33"/>
  <c r="Q1336" i="33"/>
  <c r="Q1340" i="33"/>
  <c r="Q1356" i="33"/>
  <c r="Q1346" i="33"/>
  <c r="Q1350" i="33"/>
  <c r="Q1361" i="33"/>
  <c r="Q1395" i="33"/>
  <c r="Q1403" i="33"/>
  <c r="Q1411" i="33"/>
  <c r="Q1386" i="33"/>
  <c r="Q1390" i="33"/>
  <c r="Q1407" i="33"/>
  <c r="Q1434" i="33"/>
  <c r="Q1443" i="33"/>
  <c r="Q1441" i="33"/>
  <c r="Q1438" i="33"/>
  <c r="Q1423" i="33"/>
  <c r="Q1427" i="33"/>
  <c r="Q1442" i="33"/>
  <c r="Q1462" i="33"/>
  <c r="Q1479" i="33"/>
  <c r="Q1466" i="33"/>
  <c r="Q1470" i="33"/>
  <c r="Q1494" i="33"/>
  <c r="Q1489" i="33"/>
  <c r="Q1506" i="33"/>
  <c r="Q1511" i="33"/>
  <c r="Q1507" i="33"/>
  <c r="Q1532" i="33"/>
  <c r="Q1528" i="33"/>
  <c r="Q1540" i="33"/>
  <c r="Q1546" i="33"/>
  <c r="Q1548" i="33"/>
  <c r="Q1552" i="33"/>
  <c r="Q1556" i="33"/>
  <c r="Q1560" i="33"/>
  <c r="Q1564" i="33"/>
  <c r="Q1568" i="33"/>
  <c r="Q1572" i="33"/>
  <c r="Q1576" i="33"/>
  <c r="Q1580" i="33"/>
  <c r="Q1584" i="33"/>
  <c r="Q1588" i="33"/>
  <c r="Q1592" i="33"/>
  <c r="Q1620" i="33"/>
  <c r="Q1599" i="33"/>
  <c r="Q1603" i="33"/>
  <c r="Q1607" i="33"/>
  <c r="Q1611" i="33"/>
  <c r="Q1613" i="33"/>
  <c r="Q1623" i="33"/>
  <c r="Q1656" i="33"/>
  <c r="Q1661" i="33"/>
  <c r="Q1663" i="33"/>
  <c r="Q1674" i="33"/>
  <c r="Q1679" i="33"/>
  <c r="Q1687" i="33"/>
  <c r="Q1684" i="33"/>
  <c r="Q1700" i="33"/>
  <c r="Q1712" i="33"/>
  <c r="Q1718" i="33"/>
  <c r="Q1713" i="33"/>
  <c r="Q1723" i="33"/>
  <c r="Q1735" i="33"/>
  <c r="P841" i="33"/>
  <c r="P857" i="33"/>
  <c r="P886" i="33"/>
  <c r="P888" i="33"/>
  <c r="P901" i="33"/>
  <c r="P903" i="33"/>
  <c r="P909" i="33"/>
  <c r="P913" i="33"/>
  <c r="P930" i="33"/>
  <c r="P932" i="33"/>
  <c r="P949" i="33"/>
  <c r="P943" i="33"/>
  <c r="P958" i="33"/>
  <c r="P965" i="33"/>
  <c r="P973" i="33"/>
  <c r="P981" i="33"/>
  <c r="P989" i="33"/>
  <c r="P997" i="33"/>
  <c r="P1005" i="33"/>
  <c r="P1013" i="33"/>
  <c r="P1021" i="33"/>
  <c r="P1037" i="33"/>
  <c r="Q1040" i="33"/>
  <c r="Q1055" i="33"/>
  <c r="Q1058" i="33"/>
  <c r="Q1064" i="33"/>
  <c r="Q1082" i="33"/>
  <c r="Q1078" i="33"/>
  <c r="Q1091" i="33"/>
  <c r="Q1097" i="33"/>
  <c r="Q1106" i="33"/>
  <c r="P1116" i="33"/>
  <c r="P1124" i="33"/>
  <c r="P1128" i="33"/>
  <c r="P1130" i="33"/>
  <c r="P1136" i="33"/>
  <c r="P1140" i="33"/>
  <c r="P1144" i="33"/>
  <c r="P1148" i="33"/>
  <c r="P1152" i="33"/>
  <c r="P1156" i="33"/>
  <c r="P1160" i="33"/>
  <c r="P1164" i="33"/>
  <c r="P1168" i="33"/>
  <c r="P1172" i="33"/>
  <c r="P1176" i="33"/>
  <c r="P1180" i="33"/>
  <c r="P1184" i="33"/>
  <c r="P1188" i="33"/>
  <c r="P1192" i="33"/>
  <c r="P1196" i="33"/>
  <c r="P1200" i="33"/>
  <c r="P1204" i="33"/>
  <c r="P1208" i="33"/>
  <c r="P1212" i="33"/>
  <c r="P1216" i="33"/>
  <c r="P1220" i="33"/>
  <c r="P1224" i="33"/>
  <c r="P1228" i="33"/>
  <c r="P1232" i="33"/>
  <c r="P1236" i="33"/>
  <c r="P1239" i="33"/>
  <c r="P1280" i="33"/>
  <c r="P1278" i="33"/>
  <c r="P1242" i="33"/>
  <c r="P1246" i="33"/>
  <c r="P1250" i="33"/>
  <c r="P1279" i="33"/>
  <c r="P1272" i="33"/>
  <c r="P1276" i="33"/>
  <c r="P1294" i="33"/>
  <c r="P1298" i="33"/>
  <c r="P1302" i="33"/>
  <c r="P1306" i="33"/>
  <c r="P1310" i="33"/>
  <c r="P1314" i="33"/>
  <c r="P1318" i="33"/>
  <c r="P1322" i="33"/>
  <c r="P1326" i="33"/>
  <c r="P1330" i="33"/>
  <c r="P1334" i="33"/>
  <c r="P1337" i="33"/>
  <c r="P1341" i="33"/>
  <c r="P855" i="33"/>
  <c r="Q857" i="33"/>
  <c r="P873" i="33"/>
  <c r="Q888" i="33"/>
  <c r="Q901" i="33"/>
  <c r="Q903" i="33"/>
  <c r="Q909" i="33"/>
  <c r="Q913" i="33"/>
  <c r="Q930" i="33"/>
  <c r="Q932" i="33"/>
  <c r="Q949" i="33"/>
  <c r="Q943" i="33"/>
  <c r="Q958" i="33"/>
  <c r="Q965" i="33"/>
  <c r="Q973" i="33"/>
  <c r="Q981" i="33"/>
  <c r="Q989" i="33"/>
  <c r="Q997" i="33"/>
  <c r="Q1005" i="33"/>
  <c r="Q1013" i="33"/>
  <c r="Q1021" i="33"/>
  <c r="Q1037" i="33"/>
  <c r="P1041" i="33"/>
  <c r="P1047" i="33"/>
  <c r="P1069" i="33"/>
  <c r="P1066" i="33"/>
  <c r="P1074" i="33"/>
  <c r="P1087" i="33"/>
  <c r="P1090" i="33"/>
  <c r="P1099" i="33"/>
  <c r="P1109" i="33"/>
  <c r="P1117" i="33"/>
  <c r="Q1124" i="33"/>
  <c r="Q1128" i="33"/>
  <c r="Q1130" i="33"/>
  <c r="Q1136" i="33"/>
  <c r="Q1140" i="33"/>
  <c r="Q1144" i="33"/>
  <c r="Q1148" i="33"/>
  <c r="Q1152" i="33"/>
  <c r="Q1156" i="33"/>
  <c r="Q1160" i="33"/>
  <c r="Q1164" i="33"/>
  <c r="Q1168" i="33"/>
  <c r="Q1172" i="33"/>
  <c r="Q1176" i="33"/>
  <c r="Q1180" i="33"/>
  <c r="Q1184" i="33"/>
  <c r="Q1188" i="33"/>
  <c r="Q1192" i="33"/>
  <c r="Q1196" i="33"/>
  <c r="Q1200" i="33"/>
  <c r="Q1204" i="33"/>
  <c r="Q1208" i="33"/>
  <c r="Q1212" i="33"/>
  <c r="Q1216" i="33"/>
  <c r="Q1220" i="33"/>
  <c r="Q1224" i="33"/>
  <c r="Q1228" i="33"/>
  <c r="Q1232" i="33"/>
  <c r="Q1236" i="33"/>
  <c r="Q1239" i="33"/>
  <c r="Q1280" i="33"/>
  <c r="Q1278" i="33"/>
  <c r="Q1242" i="33"/>
  <c r="Q1246" i="33"/>
  <c r="Q1250" i="33"/>
  <c r="Q1279" i="33"/>
  <c r="Q1272" i="33"/>
  <c r="Q1276" i="33"/>
  <c r="Q1294" i="33"/>
  <c r="Q1298" i="33"/>
  <c r="P869" i="33"/>
  <c r="P858" i="33"/>
  <c r="Q873" i="33"/>
  <c r="P884" i="33"/>
  <c r="P899" i="33"/>
  <c r="P904" i="33"/>
  <c r="P910" i="33"/>
  <c r="P919" i="33"/>
  <c r="P922" i="33"/>
  <c r="P952" i="33"/>
  <c r="P945" i="33"/>
  <c r="P944" i="33"/>
  <c r="P959" i="33"/>
  <c r="P966" i="33"/>
  <c r="P974" i="33"/>
  <c r="P982" i="33"/>
  <c r="P990" i="33"/>
  <c r="P998" i="33"/>
  <c r="P1006" i="33"/>
  <c r="P1014" i="33"/>
  <c r="P1022" i="33"/>
  <c r="P1029" i="33"/>
  <c r="P1038" i="33"/>
  <c r="Q1041" i="33"/>
  <c r="Q1047" i="33"/>
  <c r="Q1069" i="33"/>
  <c r="Q1066" i="33"/>
  <c r="Q1074" i="33"/>
  <c r="Q1087" i="33"/>
  <c r="Q1090" i="33"/>
  <c r="Q1099" i="33"/>
  <c r="Q1109" i="33"/>
  <c r="Q1117" i="33"/>
  <c r="P1122" i="33"/>
  <c r="P1129" i="33"/>
  <c r="P1131" i="33"/>
  <c r="P1137" i="33"/>
  <c r="P1141" i="33"/>
  <c r="P1145" i="33"/>
  <c r="P1149" i="33"/>
  <c r="P1153" i="33"/>
  <c r="P1157" i="33"/>
  <c r="P1161" i="33"/>
  <c r="P1165" i="33"/>
  <c r="P1169" i="33"/>
  <c r="Q869" i="33"/>
  <c r="P865" i="33"/>
  <c r="P874" i="33"/>
  <c r="Q880" i="33"/>
  <c r="Q890" i="33"/>
  <c r="Q902" i="33"/>
  <c r="Q911" i="33"/>
  <c r="Q920" i="33"/>
  <c r="Q923" i="33"/>
  <c r="Q950" i="33"/>
  <c r="Q946" i="33"/>
  <c r="Q947" i="33"/>
  <c r="Q960" i="33"/>
  <c r="Q967" i="33"/>
  <c r="Q975" i="33"/>
  <c r="Q983" i="33"/>
  <c r="Q991" i="33"/>
  <c r="Q999" i="33"/>
  <c r="Q1007" i="33"/>
  <c r="Q1015" i="33"/>
  <c r="Q1023" i="33"/>
  <c r="Q1030" i="33"/>
  <c r="P1057" i="33"/>
  <c r="P1048" i="33"/>
  <c r="P1073" i="33"/>
  <c r="P1067" i="33"/>
  <c r="P1075" i="33"/>
  <c r="P1080" i="33"/>
  <c r="P1102" i="33"/>
  <c r="P1100" i="33"/>
  <c r="P1110" i="33"/>
  <c r="P1123" i="33"/>
  <c r="Q1122" i="33"/>
  <c r="Q1129" i="33"/>
  <c r="Q1131" i="33"/>
  <c r="Q1137" i="33"/>
  <c r="Q1141" i="33"/>
  <c r="Q1145" i="33"/>
  <c r="Q1149" i="33"/>
  <c r="Q1153" i="33"/>
  <c r="Q1157" i="33"/>
  <c r="Q1161" i="33"/>
  <c r="Q1165" i="33"/>
  <c r="Q1169" i="33"/>
  <c r="Q1173" i="33"/>
  <c r="Q1177" i="33"/>
  <c r="Q1181" i="33"/>
  <c r="Q1185" i="33"/>
  <c r="Q1189" i="33"/>
  <c r="Q1193" i="33"/>
  <c r="Q1197" i="33"/>
  <c r="Q1201" i="33"/>
  <c r="Q1205" i="33"/>
  <c r="Q1209" i="33"/>
  <c r="Q1213" i="33"/>
  <c r="Q1217" i="33"/>
  <c r="Q1221" i="33"/>
  <c r="Q1225" i="33"/>
  <c r="Q1229" i="33"/>
  <c r="Q1233" i="33"/>
  <c r="Q1237" i="33"/>
  <c r="Q1283" i="33"/>
  <c r="Q1266" i="33"/>
  <c r="Q1281" i="33"/>
  <c r="Q1243" i="33"/>
  <c r="Q1247" i="33"/>
  <c r="Q1251" i="33"/>
  <c r="Q1269" i="33"/>
  <c r="Q1273" i="33"/>
  <c r="Q1284" i="33"/>
  <c r="Q1295" i="33"/>
  <c r="Q1299" i="33"/>
  <c r="Q1303" i="33"/>
  <c r="Q1307" i="33"/>
  <c r="Q1311" i="33"/>
  <c r="Q1315" i="33"/>
  <c r="Q1319" i="33"/>
  <c r="Q1323" i="33"/>
  <c r="Q1327" i="33"/>
  <c r="Q1331" i="33"/>
  <c r="Q1335" i="33"/>
  <c r="Q1338" i="33"/>
  <c r="Q1342" i="33"/>
  <c r="Q1344" i="33"/>
  <c r="Q1348" i="33"/>
  <c r="Q1358" i="33"/>
  <c r="Q1384" i="33"/>
  <c r="Q1405" i="33"/>
  <c r="Q1398" i="33"/>
  <c r="Q1402" i="33"/>
  <c r="Q1388" i="33"/>
  <c r="Q1392" i="33"/>
  <c r="Q1420" i="33"/>
  <c r="Q1435" i="33"/>
  <c r="Q1440" i="33"/>
  <c r="Q1444" i="33"/>
  <c r="Q1421" i="33"/>
  <c r="Q1425" i="33"/>
  <c r="Q1429" i="33"/>
  <c r="Q1473" i="33"/>
  <c r="Q1477" i="33"/>
  <c r="Q1464" i="33"/>
  <c r="Q1468" i="33"/>
  <c r="Q1488" i="33"/>
  <c r="Q1493" i="33"/>
  <c r="Q1504" i="33"/>
  <c r="Q1516" i="33"/>
  <c r="Q1512" i="33"/>
  <c r="Q1524" i="33"/>
  <c r="Q1526" i="33"/>
  <c r="Q1530" i="33"/>
  <c r="Q1542" i="33"/>
  <c r="Q1543" i="33"/>
  <c r="Q1550" i="33"/>
  <c r="Q1554" i="33"/>
  <c r="Q1558" i="33"/>
  <c r="Q1562" i="33"/>
  <c r="Q1566" i="33"/>
  <c r="Q1570" i="33"/>
  <c r="Q1574" i="33"/>
  <c r="Q1578" i="33"/>
  <c r="Q1582" i="33"/>
  <c r="Q1586" i="33"/>
  <c r="Q1590" i="33"/>
  <c r="Q1594" i="33"/>
  <c r="Q1597" i="33"/>
  <c r="Q1601" i="33"/>
  <c r="Q1605" i="33"/>
  <c r="Q1609" i="33"/>
  <c r="Q1625" i="33"/>
  <c r="Q1662" i="33"/>
  <c r="Q1666" i="33"/>
  <c r="Q1673" i="33"/>
  <c r="Q1671" i="33"/>
  <c r="Q1681" i="33"/>
  <c r="Q1689" i="33"/>
  <c r="Q1691" i="33"/>
  <c r="Q1698" i="33"/>
  <c r="Q1710" i="33"/>
  <c r="Q1709" i="33"/>
  <c r="Q1715" i="33"/>
  <c r="Q1738" i="33"/>
  <c r="Q1737" i="33"/>
  <c r="P1177" i="33"/>
  <c r="P1193" i="33"/>
  <c r="P1209" i="33"/>
  <c r="P1225" i="33"/>
  <c r="P1283" i="33"/>
  <c r="P1247" i="33"/>
  <c r="P1284" i="33"/>
  <c r="P1305" i="33"/>
  <c r="Q1314" i="33"/>
  <c r="Q1322" i="33"/>
  <c r="Q1330" i="33"/>
  <c r="Q1337" i="33"/>
  <c r="P1360" i="33"/>
  <c r="P1348" i="33"/>
  <c r="Q1357" i="33"/>
  <c r="P1396" i="33"/>
  <c r="P1398" i="33"/>
  <c r="Q1404" i="33"/>
  <c r="P1391" i="33"/>
  <c r="P1420" i="33"/>
  <c r="Q1436" i="33"/>
  <c r="P1437" i="33"/>
  <c r="P1421" i="33"/>
  <c r="Q1426" i="33"/>
  <c r="P1463" i="33"/>
  <c r="P1477" i="33"/>
  <c r="Q1465" i="33"/>
  <c r="P1487" i="33"/>
  <c r="P1493" i="33"/>
  <c r="Q1505" i="33"/>
  <c r="P1513" i="33"/>
  <c r="P1524" i="33"/>
  <c r="Q1527" i="33"/>
  <c r="P1541" i="33"/>
  <c r="P1543" i="33"/>
  <c r="Q1551" i="33"/>
  <c r="P1557" i="33"/>
  <c r="P1562" i="33"/>
  <c r="Q1567" i="33"/>
  <c r="P1573" i="33"/>
  <c r="P1578" i="33"/>
  <c r="Q1583" i="33"/>
  <c r="P1589" i="33"/>
  <c r="P1594" i="33"/>
  <c r="Q1598" i="33"/>
  <c r="P1604" i="33"/>
  <c r="P1609" i="33"/>
  <c r="Q1612" i="33"/>
  <c r="P1623" i="33"/>
  <c r="P1655" i="33"/>
  <c r="P1666" i="33"/>
  <c r="Q1672" i="33"/>
  <c r="P1680" i="33"/>
  <c r="P1689" i="33"/>
  <c r="Q1701" i="33"/>
  <c r="P1707" i="33"/>
  <c r="P1709" i="33"/>
  <c r="Q1722" i="33"/>
  <c r="P1736" i="33"/>
  <c r="P1155" i="33"/>
  <c r="P1179" i="33"/>
  <c r="P1195" i="33"/>
  <c r="P1211" i="33"/>
  <c r="P1227" i="33"/>
  <c r="P1265" i="33"/>
  <c r="P1249" i="33"/>
  <c r="P1293" i="33"/>
  <c r="Q1306" i="33"/>
  <c r="P1315" i="33"/>
  <c r="P1323" i="33"/>
  <c r="P1331" i="33"/>
  <c r="P1338" i="33"/>
  <c r="Q1360" i="33"/>
  <c r="P1349" i="33"/>
  <c r="P1361" i="33"/>
  <c r="Q1396" i="33"/>
  <c r="P1399" i="33"/>
  <c r="P1386" i="33"/>
  <c r="Q1391" i="33"/>
  <c r="P1433" i="33"/>
  <c r="P1443" i="33"/>
  <c r="Q1437" i="33"/>
  <c r="P1422" i="33"/>
  <c r="P1427" i="33"/>
  <c r="Q1463" i="33"/>
  <c r="P1474" i="33"/>
  <c r="P1466" i="33"/>
  <c r="Q1487" i="33"/>
  <c r="P1492" i="33"/>
  <c r="P1506" i="33"/>
  <c r="Q1513" i="33"/>
  <c r="P1525" i="33"/>
  <c r="P1528" i="33"/>
  <c r="Q1541" i="33"/>
  <c r="P1545" i="33"/>
  <c r="P1552" i="33"/>
  <c r="Q1557" i="33"/>
  <c r="P1563" i="33"/>
  <c r="P1568" i="33"/>
  <c r="Q1573" i="33"/>
  <c r="P1579" i="33"/>
  <c r="P1584" i="33"/>
  <c r="Q1589" i="33"/>
  <c r="P1595" i="33"/>
  <c r="P1599" i="33"/>
  <c r="Q1604" i="33"/>
  <c r="P1610" i="33"/>
  <c r="P1613" i="33"/>
  <c r="P1622" i="33"/>
  <c r="Q1655" i="33"/>
  <c r="P1667" i="33"/>
  <c r="P1674" i="33"/>
  <c r="Q1680" i="33"/>
  <c r="P1683" i="33"/>
  <c r="P1700" i="33"/>
  <c r="Q1707" i="33"/>
  <c r="P1716" i="33"/>
  <c r="P1723" i="33"/>
  <c r="Q1736" i="33"/>
  <c r="P1159" i="33"/>
  <c r="P1181" i="33"/>
  <c r="P1197" i="33"/>
  <c r="P1213" i="33"/>
  <c r="P1229" i="33"/>
  <c r="P1266" i="33"/>
  <c r="P1251" i="33"/>
  <c r="P1295" i="33"/>
  <c r="P1307" i="33"/>
  <c r="P1316" i="33"/>
  <c r="P1324" i="33"/>
  <c r="P1332" i="33"/>
  <c r="P1339" i="33"/>
  <c r="P1344" i="33"/>
  <c r="Q1349" i="33"/>
  <c r="P1352" i="33"/>
  <c r="P1405" i="33"/>
  <c r="Q1399" i="33"/>
  <c r="P1387" i="33"/>
  <c r="P1392" i="33"/>
  <c r="Q1433" i="33"/>
  <c r="P1445" i="33"/>
  <c r="P1444" i="33"/>
  <c r="Q1422" i="33"/>
  <c r="P1428" i="33"/>
  <c r="P1473" i="33"/>
  <c r="Q1474" i="33"/>
  <c r="P1467" i="33"/>
  <c r="P1488" i="33"/>
  <c r="Q1492" i="33"/>
  <c r="P1514" i="33"/>
  <c r="P1512" i="33"/>
  <c r="Q1525" i="33"/>
  <c r="P1529" i="33"/>
  <c r="P1542" i="33"/>
  <c r="Q1545" i="33"/>
  <c r="P1553" i="33"/>
  <c r="P1558" i="33"/>
  <c r="Q1563" i="33"/>
  <c r="P1569" i="33"/>
  <c r="P1574" i="33"/>
  <c r="Q1579" i="33"/>
  <c r="P1585" i="33"/>
  <c r="P1590" i="33"/>
  <c r="Q1595" i="33"/>
  <c r="P1600" i="33"/>
  <c r="P1605" i="33"/>
  <c r="Q1610" i="33"/>
  <c r="P1614" i="33"/>
  <c r="Q1622" i="33"/>
  <c r="P1662" i="33"/>
  <c r="Q1667" i="33"/>
  <c r="P1675" i="33"/>
  <c r="P1681" i="33"/>
  <c r="Q1683" i="33"/>
  <c r="P1697" i="33"/>
  <c r="P1710" i="33"/>
  <c r="Q1716" i="33"/>
  <c r="P1728" i="33"/>
  <c r="P1737" i="33"/>
  <c r="P1163" i="33"/>
  <c r="P1183" i="33"/>
  <c r="P1199" i="33"/>
  <c r="P1215" i="33"/>
  <c r="P1231" i="33"/>
  <c r="P1241" i="33"/>
  <c r="P1253" i="33"/>
  <c r="P1297" i="33"/>
  <c r="P1309" i="33"/>
  <c r="P1317" i="33"/>
  <c r="P1325" i="33"/>
  <c r="P1333" i="33"/>
  <c r="P1340" i="33"/>
  <c r="P1345" i="33"/>
  <c r="P1350" i="33"/>
  <c r="Q1352" i="33"/>
  <c r="P1406" i="33"/>
  <c r="P1411" i="33"/>
  <c r="Q1387" i="33"/>
  <c r="P1393" i="33"/>
  <c r="P1434" i="33"/>
  <c r="Q1445" i="33"/>
  <c r="P1431" i="33"/>
  <c r="P1423" i="33"/>
  <c r="Q1428" i="33"/>
  <c r="P1476" i="33"/>
  <c r="P1479" i="33"/>
  <c r="Q1467" i="33"/>
  <c r="P1496" i="33"/>
  <c r="P1489" i="33"/>
  <c r="Q1514" i="33"/>
  <c r="P1510" i="33"/>
  <c r="P1532" i="33"/>
  <c r="Q1529" i="33"/>
  <c r="P1547" i="33"/>
  <c r="P1548" i="33"/>
  <c r="Q1553" i="33"/>
  <c r="P1559" i="33"/>
  <c r="P1564" i="33"/>
  <c r="Q1569" i="33"/>
  <c r="P1575" i="33"/>
  <c r="P1580" i="33"/>
  <c r="Q1585" i="33"/>
  <c r="P1591" i="33"/>
  <c r="P1620" i="33"/>
  <c r="Q1600" i="33"/>
  <c r="P1606" i="33"/>
  <c r="P1611" i="33"/>
  <c r="Q1614" i="33"/>
  <c r="P1640" i="33"/>
  <c r="P1660" i="33"/>
  <c r="P1663" i="33"/>
  <c r="Q1675" i="33"/>
  <c r="P1682" i="33"/>
  <c r="P1684" i="33"/>
  <c r="Q1697" i="33"/>
  <c r="P1711" i="33"/>
  <c r="P1713" i="33"/>
  <c r="Q1728" i="33"/>
  <c r="P1167" i="33"/>
  <c r="P1185" i="33"/>
  <c r="P1201" i="33"/>
  <c r="P1217" i="33"/>
  <c r="P1233" i="33"/>
  <c r="P1281" i="33"/>
  <c r="P1269" i="33"/>
  <c r="P1299" i="33"/>
  <c r="Q1310" i="33"/>
  <c r="Q1318" i="33"/>
  <c r="Q1326" i="33"/>
  <c r="Q1334" i="33"/>
  <c r="Q1341" i="33"/>
  <c r="Q1345" i="33"/>
  <c r="P1351" i="33"/>
  <c r="P1384" i="33"/>
  <c r="Q1406" i="33"/>
  <c r="P1401" i="33"/>
  <c r="P1388" i="33"/>
  <c r="Q1393" i="33"/>
  <c r="P1430" i="33"/>
  <c r="P1440" i="33"/>
  <c r="Q1431" i="33"/>
  <c r="P1424" i="33"/>
  <c r="P1429" i="33"/>
  <c r="Q1476" i="33"/>
  <c r="P1482" i="33"/>
  <c r="P1468" i="33"/>
  <c r="Q1496" i="33"/>
  <c r="P1490" i="33"/>
  <c r="P1516" i="33"/>
  <c r="Q1510" i="33"/>
  <c r="P1523" i="33"/>
  <c r="P1530" i="33"/>
  <c r="Q1547" i="33"/>
  <c r="P1549" i="33"/>
  <c r="P1554" i="33"/>
  <c r="Q1559" i="33"/>
  <c r="P1565" i="33"/>
  <c r="P1570" i="33"/>
  <c r="Q1575" i="33"/>
  <c r="P1581" i="33"/>
  <c r="P1586" i="33"/>
  <c r="Q1591" i="33"/>
  <c r="P1596" i="33"/>
  <c r="P1601" i="33"/>
  <c r="Q1606" i="33"/>
  <c r="P1624" i="33"/>
  <c r="P1626" i="33"/>
  <c r="Q1660" i="33"/>
  <c r="P1665" i="33"/>
  <c r="P1671" i="33"/>
  <c r="Q1682" i="33"/>
  <c r="P1690" i="33"/>
  <c r="P1698" i="33"/>
  <c r="Q1711" i="33"/>
  <c r="P1714" i="33"/>
  <c r="P1738" i="33"/>
  <c r="P1171" i="33"/>
  <c r="P1187" i="33"/>
  <c r="P1203" i="33"/>
  <c r="P1219" i="33"/>
  <c r="P1235" i="33"/>
  <c r="P1282" i="33"/>
  <c r="P1271" i="33"/>
  <c r="P1301" i="33"/>
  <c r="P1311" i="33"/>
  <c r="P1319" i="33"/>
  <c r="P1327" i="33"/>
  <c r="P1335" i="33"/>
  <c r="P1342" i="33"/>
  <c r="P1346" i="33"/>
  <c r="Q1351" i="33"/>
  <c r="P1385" i="33"/>
  <c r="P1403" i="33"/>
  <c r="Q1401" i="33"/>
  <c r="P1389" i="33"/>
  <c r="P1407" i="33"/>
  <c r="Q1430" i="33"/>
  <c r="P1446" i="33"/>
  <c r="P1438" i="33"/>
  <c r="Q1424" i="33"/>
  <c r="P1439" i="33"/>
  <c r="P1462" i="33"/>
  <c r="Q1482" i="33"/>
  <c r="P1469" i="33"/>
  <c r="P1494" i="33"/>
  <c r="Q1490" i="33"/>
  <c r="P1515" i="33"/>
  <c r="P1507" i="33"/>
  <c r="Q1523" i="33"/>
  <c r="P1534" i="33"/>
  <c r="P1546" i="33"/>
  <c r="Q1549" i="33"/>
  <c r="P1555" i="33"/>
  <c r="P1560" i="33"/>
  <c r="Q1565" i="33"/>
  <c r="P1571" i="33"/>
  <c r="P1576" i="33"/>
  <c r="Q1581" i="33"/>
  <c r="P1587" i="33"/>
  <c r="P1592" i="33"/>
  <c r="Q1596" i="33"/>
  <c r="P1602" i="33"/>
  <c r="P1607" i="33"/>
  <c r="Q1624" i="33"/>
  <c r="P1657" i="33"/>
  <c r="P1661" i="33"/>
  <c r="Q1665" i="33"/>
  <c r="P1678" i="33"/>
  <c r="P1687" i="33"/>
  <c r="Q1690" i="33"/>
  <c r="P1699" i="33"/>
  <c r="P1718" i="33"/>
  <c r="Q1714" i="33"/>
  <c r="P1739" i="33"/>
  <c r="P1173" i="33"/>
  <c r="P1189" i="33"/>
  <c r="P1205" i="33"/>
  <c r="P1221" i="33"/>
  <c r="P1237" i="33"/>
  <c r="P1243" i="33"/>
  <c r="P1273" i="33"/>
  <c r="Q1302" i="33"/>
  <c r="P1312" i="33"/>
  <c r="P1320" i="33"/>
  <c r="P1328" i="33"/>
  <c r="P1359" i="33"/>
  <c r="P1343" i="33"/>
  <c r="P1347" i="33"/>
  <c r="P1358" i="33"/>
  <c r="Q1385" i="33"/>
  <c r="P1397" i="33"/>
  <c r="P1402" i="33"/>
  <c r="Q1389" i="33"/>
  <c r="P1419" i="33"/>
  <c r="P1435" i="33"/>
  <c r="Q1446" i="33"/>
  <c r="P1432" i="33"/>
  <c r="P1425" i="33"/>
  <c r="Q1439" i="33"/>
  <c r="P1478" i="33"/>
  <c r="P1464" i="33"/>
  <c r="Q1469" i="33"/>
  <c r="P1495" i="33"/>
  <c r="P1504" i="33"/>
  <c r="Q1515" i="33"/>
  <c r="P1508" i="33"/>
  <c r="P1526" i="33"/>
  <c r="Q1534" i="33"/>
  <c r="P1544" i="33"/>
  <c r="P1550" i="33"/>
  <c r="Q1555" i="33"/>
  <c r="P1561" i="33"/>
  <c r="P1566" i="33"/>
  <c r="Q1571" i="33"/>
  <c r="P1577" i="33"/>
  <c r="P1582" i="33"/>
  <c r="Q1587" i="33"/>
  <c r="P1593" i="33"/>
  <c r="P1597" i="33"/>
  <c r="Q1602" i="33"/>
  <c r="P1608" i="33"/>
  <c r="P1625" i="33"/>
  <c r="P1621" i="33"/>
  <c r="Q1657" i="33"/>
  <c r="P1664" i="33"/>
  <c r="P1673" i="33"/>
  <c r="Q1678" i="33"/>
  <c r="P1688" i="33"/>
  <c r="P1691" i="33"/>
  <c r="Q1699" i="33"/>
  <c r="P1708" i="33"/>
  <c r="P1715" i="33"/>
  <c r="Q1739" i="33"/>
  <c r="P1175" i="33"/>
  <c r="P1191" i="33"/>
  <c r="P1207" i="33"/>
  <c r="P1223" i="33"/>
  <c r="P1264" i="33"/>
  <c r="P1245" i="33"/>
  <c r="P1275" i="33"/>
  <c r="P1303" i="33"/>
  <c r="P1313" i="33"/>
  <c r="P1321" i="33"/>
  <c r="P1329" i="33"/>
  <c r="P1336" i="33"/>
  <c r="P1356" i="33"/>
  <c r="Q1347" i="33"/>
  <c r="P1357" i="33"/>
  <c r="P1395" i="33"/>
  <c r="Q1397" i="33"/>
  <c r="P1404" i="33"/>
  <c r="P1390" i="33"/>
  <c r="Q1419" i="33"/>
  <c r="P1436" i="33"/>
  <c r="P1441" i="33"/>
  <c r="Q1432" i="33"/>
  <c r="P1426" i="33"/>
  <c r="P1442" i="33"/>
  <c r="Q1478" i="33"/>
  <c r="P1465" i="33"/>
  <c r="P1470" i="33"/>
  <c r="Q1495" i="33"/>
  <c r="P1505" i="33"/>
  <c r="P1511" i="33"/>
  <c r="Q1508" i="33"/>
  <c r="P1527" i="33"/>
  <c r="P1540" i="33"/>
  <c r="Q1544" i="33"/>
  <c r="P1551" i="33"/>
  <c r="P1556" i="33"/>
  <c r="Q1561" i="33"/>
  <c r="P1567" i="33"/>
  <c r="P1572" i="33"/>
  <c r="Q1577" i="33"/>
  <c r="P1583" i="33"/>
  <c r="P1588" i="33"/>
  <c r="Q1593" i="33"/>
  <c r="P1598" i="33"/>
  <c r="P1603" i="33"/>
  <c r="Q1608" i="33"/>
  <c r="P1612" i="33"/>
  <c r="Q1621" i="33"/>
  <c r="P1656" i="33"/>
  <c r="Q1664" i="33"/>
  <c r="P1672" i="33"/>
  <c r="P1679" i="33"/>
  <c r="Q1688" i="33"/>
  <c r="P1701" i="33"/>
  <c r="P1712" i="33"/>
  <c r="Q1708" i="33"/>
  <c r="P1722" i="33"/>
  <c r="P1735" i="33"/>
  <c r="L82" i="47"/>
  <c r="L14" i="47"/>
  <c r="L10" i="47"/>
  <c r="L9" i="47"/>
  <c r="L12" i="47"/>
  <c r="L13" i="47"/>
  <c r="L8" i="47"/>
  <c r="L11" i="47"/>
  <c r="L175" i="47"/>
  <c r="L179" i="47"/>
  <c r="L183" i="47"/>
  <c r="L187" i="47"/>
  <c r="L191" i="47"/>
  <c r="L195" i="47"/>
  <c r="L176" i="47"/>
  <c r="L180" i="47"/>
  <c r="L184" i="47"/>
  <c r="L188" i="47"/>
  <c r="L192" i="47"/>
  <c r="L196" i="47"/>
  <c r="L177" i="47"/>
  <c r="L181" i="47"/>
  <c r="L185" i="47"/>
  <c r="L189" i="47"/>
  <c r="L193" i="47"/>
  <c r="L197" i="47"/>
  <c r="L178" i="47"/>
  <c r="L182" i="47"/>
  <c r="L186" i="47"/>
  <c r="L190" i="47"/>
  <c r="L194" i="47"/>
  <c r="L198" i="47"/>
  <c r="L112" i="47"/>
  <c r="L116" i="47"/>
  <c r="L120" i="47"/>
  <c r="L124" i="47"/>
  <c r="L128" i="47"/>
  <c r="L132" i="47"/>
  <c r="L136" i="47"/>
  <c r="L140" i="47"/>
  <c r="L144" i="47"/>
  <c r="L148" i="47"/>
  <c r="L152" i="47"/>
  <c r="L156" i="47"/>
  <c r="L160" i="47"/>
  <c r="L164" i="47"/>
  <c r="L168" i="47"/>
  <c r="L109" i="47"/>
  <c r="L113" i="47"/>
  <c r="L117" i="47"/>
  <c r="L121" i="47"/>
  <c r="L125" i="47"/>
  <c r="L129" i="47"/>
  <c r="L133" i="47"/>
  <c r="L137" i="47"/>
  <c r="L141" i="47"/>
  <c r="L145" i="47"/>
  <c r="L149" i="47"/>
  <c r="L153" i="47"/>
  <c r="L157" i="47"/>
  <c r="L161" i="47"/>
  <c r="L165" i="47"/>
  <c r="L169" i="47"/>
  <c r="L173" i="47"/>
  <c r="L110" i="47"/>
  <c r="L114" i="47"/>
  <c r="L118" i="47"/>
  <c r="L122" i="47"/>
  <c r="L126" i="47"/>
  <c r="L130" i="47"/>
  <c r="L134" i="47"/>
  <c r="L138" i="47"/>
  <c r="L142" i="47"/>
  <c r="L146" i="47"/>
  <c r="L150" i="47"/>
  <c r="L154" i="47"/>
  <c r="L158" i="47"/>
  <c r="L162" i="47"/>
  <c r="L166" i="47"/>
  <c r="L170" i="47"/>
  <c r="L174" i="47"/>
  <c r="L111" i="47"/>
  <c r="L115" i="47"/>
  <c r="L119" i="47"/>
  <c r="L123" i="47"/>
  <c r="L127" i="47"/>
  <c r="L131" i="47"/>
  <c r="L135" i="47"/>
  <c r="L139" i="47"/>
  <c r="L143" i="47"/>
  <c r="L147" i="47"/>
  <c r="L151" i="47"/>
  <c r="L155" i="47"/>
  <c r="L159" i="47"/>
  <c r="L163" i="47"/>
  <c r="L167" i="47"/>
  <c r="L171" i="47"/>
  <c r="L172" i="47"/>
  <c r="L17" i="47"/>
  <c r="L33" i="47"/>
  <c r="L45" i="47"/>
  <c r="L49" i="47"/>
  <c r="L53" i="47"/>
  <c r="L57" i="47"/>
  <c r="L61" i="47"/>
  <c r="L65" i="47"/>
  <c r="L69" i="47"/>
  <c r="L73" i="47"/>
  <c r="L77" i="47"/>
  <c r="L81" i="47"/>
  <c r="L86" i="47"/>
  <c r="L90" i="47"/>
  <c r="L94" i="47"/>
  <c r="L98" i="47"/>
  <c r="L102" i="47"/>
  <c r="L106" i="47"/>
  <c r="L30" i="47"/>
  <c r="L34" i="47"/>
  <c r="L46" i="47"/>
  <c r="L50" i="47"/>
  <c r="L54" i="47"/>
  <c r="L58" i="47"/>
  <c r="L62" i="47"/>
  <c r="L66" i="47"/>
  <c r="L70" i="47"/>
  <c r="L74" i="47"/>
  <c r="L78" i="47"/>
  <c r="L83" i="47"/>
  <c r="L87" i="47"/>
  <c r="L91" i="47"/>
  <c r="L95" i="47"/>
  <c r="L99" i="47"/>
  <c r="L103" i="47"/>
  <c r="L107" i="47"/>
  <c r="L15" i="47"/>
  <c r="L31" i="47"/>
  <c r="L43" i="47"/>
  <c r="L47" i="47"/>
  <c r="L51" i="47"/>
  <c r="L55" i="47"/>
  <c r="L59" i="47"/>
  <c r="L63" i="47"/>
  <c r="L67" i="47"/>
  <c r="L71" i="47"/>
  <c r="L75" i="47"/>
  <c r="L79" i="47"/>
  <c r="L84" i="47"/>
  <c r="L88" i="47"/>
  <c r="L92" i="47"/>
  <c r="L96" i="47"/>
  <c r="L100" i="47"/>
  <c r="L104" i="47"/>
  <c r="L108" i="47"/>
  <c r="L16" i="47"/>
  <c r="L32" i="47"/>
  <c r="L44" i="47"/>
  <c r="L48" i="47"/>
  <c r="L52" i="47"/>
  <c r="L56" i="47"/>
  <c r="L60" i="47"/>
  <c r="L64" i="47"/>
  <c r="L68" i="47"/>
  <c r="L72" i="47"/>
  <c r="L76" i="47"/>
  <c r="L80" i="47"/>
  <c r="L85" i="47"/>
  <c r="L89" i="47"/>
  <c r="L93" i="47"/>
  <c r="L97" i="47"/>
  <c r="L101" i="47"/>
  <c r="L105" i="47"/>
  <c r="P1870" i="33"/>
  <c r="Q1871" i="33"/>
  <c r="P1874" i="33"/>
  <c r="Q1875" i="33"/>
  <c r="P1878" i="33"/>
  <c r="Q1879" i="33"/>
  <c r="P1882" i="33"/>
  <c r="Q1883" i="33"/>
  <c r="P1886" i="33"/>
  <c r="Q1887" i="33"/>
  <c r="P1890" i="33"/>
  <c r="Q1891" i="33"/>
  <c r="P1869" i="33"/>
  <c r="Q1872" i="33"/>
  <c r="P1877" i="33"/>
  <c r="Q1880" i="33"/>
  <c r="P1885" i="33"/>
  <c r="Q1888" i="33"/>
  <c r="P1893" i="33"/>
  <c r="Q1894" i="33"/>
  <c r="P1897" i="33"/>
  <c r="Q1898" i="33"/>
  <c r="P1901" i="33"/>
  <c r="Q1902" i="33"/>
  <c r="P1905" i="33"/>
  <c r="Q1906" i="33"/>
  <c r="P1909" i="33"/>
  <c r="Q1910" i="33"/>
  <c r="P1913" i="33"/>
  <c r="Q1914" i="33"/>
  <c r="P1917" i="33"/>
  <c r="Q1918" i="33"/>
  <c r="P1921" i="33"/>
  <c r="Q1922" i="33"/>
  <c r="P1925" i="33"/>
  <c r="Q1926" i="33"/>
  <c r="P1929" i="33"/>
  <c r="Q1930" i="33"/>
  <c r="P1933" i="33"/>
  <c r="Q1934" i="33"/>
  <c r="P1937" i="33"/>
  <c r="Q1938" i="33"/>
  <c r="P1941" i="33"/>
  <c r="Q1942" i="33"/>
  <c r="P1945" i="33"/>
  <c r="Q1946" i="33"/>
  <c r="P1949" i="33"/>
  <c r="Q1950" i="33"/>
  <c r="P1953" i="33"/>
  <c r="Q1954" i="33"/>
  <c r="P1957" i="33"/>
  <c r="Q1958" i="33"/>
  <c r="P1961" i="33"/>
  <c r="Q1962" i="33"/>
  <c r="P1965" i="33"/>
  <c r="Q1966" i="33"/>
  <c r="P1969" i="33"/>
  <c r="Q1970" i="33"/>
  <c r="P1973" i="33"/>
  <c r="Q1974" i="33"/>
  <c r="P1977" i="33"/>
  <c r="Q1978" i="33"/>
  <c r="P1981" i="33"/>
  <c r="Q1982" i="33"/>
  <c r="P1985" i="33"/>
  <c r="Q1986" i="33"/>
  <c r="P1989" i="33"/>
  <c r="Q1990" i="33"/>
  <c r="P1993" i="33"/>
  <c r="Q1994" i="33"/>
  <c r="P1997" i="33"/>
  <c r="Q1998" i="33"/>
  <c r="P2001" i="33"/>
  <c r="Q2002" i="33"/>
  <c r="P2005" i="33"/>
  <c r="Q2006" i="33"/>
  <c r="P2009" i="33"/>
  <c r="Q2010" i="33"/>
  <c r="P2013" i="33"/>
  <c r="Q2014" i="33"/>
  <c r="P2017" i="33"/>
  <c r="Q2018" i="33"/>
  <c r="P2021" i="33"/>
  <c r="Q2022" i="33"/>
  <c r="P2025" i="33"/>
  <c r="Q2026" i="33"/>
  <c r="P2029" i="33"/>
  <c r="Q2030" i="33"/>
  <c r="P2033" i="33"/>
  <c r="Q2034" i="33"/>
  <c r="P2037" i="33"/>
  <c r="Q2038" i="33"/>
  <c r="P2041" i="33"/>
  <c r="Q2042" i="33"/>
  <c r="P2045" i="33"/>
  <c r="Q2046" i="33"/>
  <c r="P2049" i="33"/>
  <c r="Q2050" i="33"/>
  <c r="P2053" i="33"/>
  <c r="Q2054" i="33"/>
  <c r="P2057" i="33"/>
  <c r="Q2058" i="33"/>
  <c r="P2061" i="33"/>
  <c r="Q2062" i="33"/>
  <c r="P2065" i="33"/>
  <c r="Q2066" i="33"/>
  <c r="P2069" i="33"/>
  <c r="Q2070" i="33"/>
  <c r="P2073" i="33"/>
  <c r="Q2074" i="33"/>
  <c r="P2077" i="33"/>
  <c r="Q2078" i="33"/>
  <c r="P2081" i="33"/>
  <c r="Q2082" i="33"/>
  <c r="P2085" i="33"/>
  <c r="Q2086" i="33"/>
  <c r="P2089" i="33"/>
  <c r="Q2090" i="33"/>
  <c r="P2093" i="33"/>
  <c r="Q2094" i="33"/>
  <c r="P2097" i="33"/>
  <c r="Q2098" i="33"/>
  <c r="P2101" i="33"/>
  <c r="Q2102" i="33"/>
  <c r="P2105" i="33"/>
  <c r="Q2106" i="33"/>
  <c r="P2109" i="33"/>
  <c r="Q2110" i="33"/>
  <c r="P2113" i="33"/>
  <c r="Q2114" i="33"/>
  <c r="P2117" i="33"/>
  <c r="Q2118" i="33"/>
  <c r="P2121" i="33"/>
  <c r="Q2122" i="33"/>
  <c r="P2125" i="33"/>
  <c r="Q2126" i="33"/>
  <c r="P2129" i="33"/>
  <c r="Q2130" i="33"/>
  <c r="P2133" i="33"/>
  <c r="Q2134" i="33"/>
  <c r="P2137" i="33"/>
  <c r="Q2138" i="33"/>
  <c r="P2141" i="33"/>
  <c r="Q2142" i="33"/>
  <c r="P2145" i="33"/>
  <c r="Q2146" i="33"/>
  <c r="P2149" i="33"/>
  <c r="Q2150" i="33"/>
  <c r="P2153" i="33"/>
  <c r="Q2154" i="33"/>
  <c r="P2157" i="33"/>
  <c r="Q2158" i="33"/>
  <c r="P2161" i="33"/>
  <c r="Q2162" i="33"/>
  <c r="P2165" i="33"/>
  <c r="Q2166" i="33"/>
  <c r="P2169" i="33"/>
  <c r="Q2170" i="33"/>
  <c r="P2173" i="33"/>
  <c r="Q2174" i="33"/>
  <c r="P2177" i="33"/>
  <c r="Q2178" i="33"/>
  <c r="P2181" i="33"/>
  <c r="Q2182" i="33"/>
  <c r="P2185" i="33"/>
  <c r="Q2186" i="33"/>
  <c r="P2189" i="33"/>
  <c r="Q2190" i="33"/>
  <c r="P2193" i="33"/>
  <c r="Q2194" i="33"/>
  <c r="P2197" i="33"/>
  <c r="Q2198" i="33"/>
  <c r="P2201" i="33"/>
  <c r="Q2202" i="33"/>
  <c r="P2205" i="33"/>
  <c r="Q2206" i="33"/>
  <c r="P2209" i="33"/>
  <c r="Q2210" i="33"/>
  <c r="P2213" i="33"/>
  <c r="Q2214" i="33"/>
  <c r="P2217" i="33"/>
  <c r="Q2218" i="33"/>
  <c r="P2221" i="33"/>
  <c r="Q2222" i="33"/>
  <c r="P2225" i="33"/>
  <c r="Q2226" i="33"/>
  <c r="P2229" i="33"/>
  <c r="Q2230" i="33"/>
  <c r="P2233" i="33"/>
  <c r="Q2234" i="33"/>
  <c r="P2237" i="33"/>
  <c r="Q2238" i="33"/>
  <c r="P2241" i="33"/>
  <c r="Q2242" i="33"/>
  <c r="P2245" i="33"/>
  <c r="Q2246" i="33"/>
  <c r="P2249" i="33"/>
  <c r="Q2250" i="33"/>
  <c r="P2253" i="33"/>
  <c r="Q2254" i="33"/>
  <c r="P2257" i="33"/>
  <c r="Q2258" i="33"/>
  <c r="P2261" i="33"/>
  <c r="Q2262" i="33"/>
  <c r="P2265" i="33"/>
  <c r="Q2266" i="33"/>
  <c r="P2269" i="33"/>
  <c r="Q2270" i="33"/>
  <c r="P2273" i="33"/>
  <c r="Q2274" i="33"/>
  <c r="P2277" i="33"/>
  <c r="Q2278" i="33"/>
  <c r="P2281" i="33"/>
  <c r="Q2282" i="33"/>
  <c r="P2285" i="33"/>
  <c r="Q2286" i="33"/>
  <c r="P2289" i="33"/>
  <c r="Q2290" i="33"/>
  <c r="P2293" i="33"/>
  <c r="Q2294" i="33"/>
  <c r="P2297" i="33"/>
  <c r="Q2298" i="33"/>
  <c r="P2301" i="33"/>
  <c r="Q2302" i="33"/>
  <c r="P2305" i="33"/>
  <c r="Q2306" i="33"/>
  <c r="P2309" i="33"/>
  <c r="Q2310" i="33"/>
  <c r="P2313" i="33"/>
  <c r="Q2314" i="33"/>
  <c r="P2317" i="33"/>
  <c r="Q2318" i="33"/>
  <c r="P2321" i="33"/>
  <c r="Q2322" i="33"/>
  <c r="P2325" i="33"/>
  <c r="Q2326" i="33"/>
  <c r="P2329" i="33"/>
  <c r="Q2330" i="33"/>
  <c r="P2333" i="33"/>
  <c r="Q2334" i="33"/>
  <c r="P2337" i="33"/>
  <c r="Q2338" i="33"/>
  <c r="P2341" i="33"/>
  <c r="Q2342" i="33"/>
  <c r="P2345" i="33"/>
  <c r="Q2346" i="33"/>
  <c r="P2349" i="33"/>
  <c r="Q2350" i="33"/>
  <c r="P2353" i="33"/>
  <c r="Q2354" i="33"/>
  <c r="P2357" i="33"/>
  <c r="Q2358" i="33"/>
  <c r="P2361" i="33"/>
  <c r="Q2362" i="33"/>
  <c r="P2365" i="33"/>
  <c r="Q2366" i="33"/>
  <c r="P2369" i="33"/>
  <c r="Q2370" i="33"/>
  <c r="P1868" i="33"/>
  <c r="Q1869" i="33"/>
  <c r="P1871" i="33"/>
  <c r="Q1874" i="33"/>
  <c r="P1876" i="33"/>
  <c r="Q1877" i="33"/>
  <c r="P1879" i="33"/>
  <c r="Q1882" i="33"/>
  <c r="P1884" i="33"/>
  <c r="Q1885" i="33"/>
  <c r="P1887" i="33"/>
  <c r="Q1890" i="33"/>
  <c r="P1892" i="33"/>
  <c r="Q1893" i="33"/>
  <c r="P1896" i="33"/>
  <c r="Q1897" i="33"/>
  <c r="P1900" i="33"/>
  <c r="Q1901" i="33"/>
  <c r="P1904" i="33"/>
  <c r="Q1905" i="33"/>
  <c r="P1908" i="33"/>
  <c r="Q1909" i="33"/>
  <c r="P1912" i="33"/>
  <c r="Q1913" i="33"/>
  <c r="P1916" i="33"/>
  <c r="Q1917" i="33"/>
  <c r="P1920" i="33"/>
  <c r="Q1921" i="33"/>
  <c r="P1924" i="33"/>
  <c r="Q1925" i="33"/>
  <c r="P1928" i="33"/>
  <c r="Q1929" i="33"/>
  <c r="P1932" i="33"/>
  <c r="Q1933" i="33"/>
  <c r="P1936" i="33"/>
  <c r="Q1937" i="33"/>
  <c r="P1940" i="33"/>
  <c r="Q1941" i="33"/>
  <c r="P1944" i="33"/>
  <c r="Q1945" i="33"/>
  <c r="P1948" i="33"/>
  <c r="Q1949" i="33"/>
  <c r="P1952" i="33"/>
  <c r="Q1953" i="33"/>
  <c r="P1956" i="33"/>
  <c r="Q1957" i="33"/>
  <c r="P1960" i="33"/>
  <c r="Q1961" i="33"/>
  <c r="P1964" i="33"/>
  <c r="Q1965" i="33"/>
  <c r="P1968" i="33"/>
  <c r="Q1969" i="33"/>
  <c r="P1972" i="33"/>
  <c r="Q1973" i="33"/>
  <c r="P1976" i="33"/>
  <c r="Q1977" i="33"/>
  <c r="P1980" i="33"/>
  <c r="Q1981" i="33"/>
  <c r="P1984" i="33"/>
  <c r="Q1985" i="33"/>
  <c r="P1988" i="33"/>
  <c r="Q1989" i="33"/>
  <c r="P1992" i="33"/>
  <c r="Q1993" i="33"/>
  <c r="P1996" i="33"/>
  <c r="Q1997" i="33"/>
  <c r="P2000" i="33"/>
  <c r="Q2001" i="33"/>
  <c r="P2004" i="33"/>
  <c r="Q2005" i="33"/>
  <c r="P2008" i="33"/>
  <c r="Q2009" i="33"/>
  <c r="P2012" i="33"/>
  <c r="Q2013" i="33"/>
  <c r="P2016" i="33"/>
  <c r="Q2017" i="33"/>
  <c r="P2020" i="33"/>
  <c r="Q2021" i="33"/>
  <c r="P2024" i="33"/>
  <c r="Q2025" i="33"/>
  <c r="P2028" i="33"/>
  <c r="Q2029" i="33"/>
  <c r="P2032" i="33"/>
  <c r="Q2033" i="33"/>
  <c r="P2036" i="33"/>
  <c r="Q2037" i="33"/>
  <c r="P2040" i="33"/>
  <c r="Q2041" i="33"/>
  <c r="P2044" i="33"/>
  <c r="Q2045" i="33"/>
  <c r="P2048" i="33"/>
  <c r="Q2049" i="33"/>
  <c r="P2052" i="33"/>
  <c r="Q2053" i="33"/>
  <c r="P2056" i="33"/>
  <c r="Q2057" i="33"/>
  <c r="P2060" i="33"/>
  <c r="Q2061" i="33"/>
  <c r="P2064" i="33"/>
  <c r="Q2065" i="33"/>
  <c r="P2068" i="33"/>
  <c r="Q2069" i="33"/>
  <c r="P2072" i="33"/>
  <c r="Q2073" i="33"/>
  <c r="P2076" i="33"/>
  <c r="Q2077" i="33"/>
  <c r="P2080" i="33"/>
  <c r="Q2081" i="33"/>
  <c r="P2084" i="33"/>
  <c r="Q2085" i="33"/>
  <c r="P2088" i="33"/>
  <c r="Q2089" i="33"/>
  <c r="P2092" i="33"/>
  <c r="Q2093" i="33"/>
  <c r="P2096" i="33"/>
  <c r="Q2097" i="33"/>
  <c r="P2100" i="33"/>
  <c r="Q2101" i="33"/>
  <c r="P2104" i="33"/>
  <c r="Q2105" i="33"/>
  <c r="P2108" i="33"/>
  <c r="Q2109" i="33"/>
  <c r="P2112" i="33"/>
  <c r="Q2113" i="33"/>
  <c r="P2116" i="33"/>
  <c r="Q2117" i="33"/>
  <c r="P2120" i="33"/>
  <c r="Q2121" i="33"/>
  <c r="P2124" i="33"/>
  <c r="Q2125" i="33"/>
  <c r="P2128" i="33"/>
  <c r="Q2129" i="33"/>
  <c r="P2132" i="33"/>
  <c r="Q2133" i="33"/>
  <c r="P2136" i="33"/>
  <c r="Q2137" i="33"/>
  <c r="P2140" i="33"/>
  <c r="Q2141" i="33"/>
  <c r="P2144" i="33"/>
  <c r="Q2145" i="33"/>
  <c r="P2148" i="33"/>
  <c r="Q2149" i="33"/>
  <c r="P2152" i="33"/>
  <c r="Q2153" i="33"/>
  <c r="P2156" i="33"/>
  <c r="Q2157" i="33"/>
  <c r="P2160" i="33"/>
  <c r="Q2161" i="33"/>
  <c r="P2164" i="33"/>
  <c r="Q2165" i="33"/>
  <c r="P2168" i="33"/>
  <c r="Q2169" i="33"/>
  <c r="P2172" i="33"/>
  <c r="Q2173" i="33"/>
  <c r="P2176" i="33"/>
  <c r="Q2177" i="33"/>
  <c r="P2180" i="33"/>
  <c r="Q2181" i="33"/>
  <c r="P2184" i="33"/>
  <c r="Q2185" i="33"/>
  <c r="P2188" i="33"/>
  <c r="Q2189" i="33"/>
  <c r="P2192" i="33"/>
  <c r="Q2193" i="33"/>
  <c r="P2196" i="33"/>
  <c r="Q2197" i="33"/>
  <c r="P2200" i="33"/>
  <c r="Q2201" i="33"/>
  <c r="P2204" i="33"/>
  <c r="Q2205" i="33"/>
  <c r="P2208" i="33"/>
  <c r="Q2209" i="33"/>
  <c r="P2212" i="33"/>
  <c r="Q2213" i="33"/>
  <c r="P2216" i="33"/>
  <c r="Q2217" i="33"/>
  <c r="P2220" i="33"/>
  <c r="Q2221" i="33"/>
  <c r="P2224" i="33"/>
  <c r="Q2225" i="33"/>
  <c r="P2228" i="33"/>
  <c r="Q2229" i="33"/>
  <c r="P2232" i="33"/>
  <c r="Q2233" i="33"/>
  <c r="P2236" i="33"/>
  <c r="Q2237" i="33"/>
  <c r="P2240" i="33"/>
  <c r="Q2241" i="33"/>
  <c r="P2244" i="33"/>
  <c r="Q2245" i="33"/>
  <c r="P2248" i="33"/>
  <c r="Q2249" i="33"/>
  <c r="P2252" i="33"/>
  <c r="Q2253" i="33"/>
  <c r="P2256" i="33"/>
  <c r="Q2257" i="33"/>
  <c r="P2260" i="33"/>
  <c r="Q2261" i="33"/>
  <c r="P2264" i="33"/>
  <c r="Q2265" i="33"/>
  <c r="P2268" i="33"/>
  <c r="Q2269" i="33"/>
  <c r="P2272" i="33"/>
  <c r="Q2273" i="33"/>
  <c r="P2276" i="33"/>
  <c r="Q2277" i="33"/>
  <c r="P2280" i="33"/>
  <c r="Q2281" i="33"/>
  <c r="P2284" i="33"/>
  <c r="Q2285" i="33"/>
  <c r="P2288" i="33"/>
  <c r="Q2289" i="33"/>
  <c r="P2292" i="33"/>
  <c r="Q2293" i="33"/>
  <c r="P2296" i="33"/>
  <c r="Q2297" i="33"/>
  <c r="P2300" i="33"/>
  <c r="Q2301" i="33"/>
  <c r="P2304" i="33"/>
  <c r="Q2305" i="33"/>
  <c r="P2308" i="33"/>
  <c r="Q2309" i="33"/>
  <c r="P2312" i="33"/>
  <c r="Q2313" i="33"/>
  <c r="P2316" i="33"/>
  <c r="Q2317" i="33"/>
  <c r="P2320" i="33"/>
  <c r="Q2321" i="33"/>
  <c r="P2324" i="33"/>
  <c r="Q2325" i="33"/>
  <c r="P2328" i="33"/>
  <c r="Q2329" i="33"/>
  <c r="P2332" i="33"/>
  <c r="Q2333" i="33"/>
  <c r="P2336" i="33"/>
  <c r="Q2337" i="33"/>
  <c r="P2340" i="33"/>
  <c r="Q2341" i="33"/>
  <c r="P2344" i="33"/>
  <c r="Q2345" i="33"/>
  <c r="P2348" i="33"/>
  <c r="Q2349" i="33"/>
  <c r="P2352" i="33"/>
  <c r="Q2353" i="33"/>
  <c r="P2356" i="33"/>
  <c r="Q2357" i="33"/>
  <c r="P2360" i="33"/>
  <c r="Q2361" i="33"/>
  <c r="P2364" i="33"/>
  <c r="Q2365" i="33"/>
  <c r="P2368" i="33"/>
  <c r="Q2369" i="33"/>
  <c r="Q1868" i="33"/>
  <c r="P1873" i="33"/>
  <c r="Q1876" i="33"/>
  <c r="P1881" i="33"/>
  <c r="Q1884" i="33"/>
  <c r="P1889" i="33"/>
  <c r="Q1892" i="33"/>
  <c r="P1895" i="33"/>
  <c r="Q1896" i="33"/>
  <c r="P1899" i="33"/>
  <c r="Q1900" i="33"/>
  <c r="P1903" i="33"/>
  <c r="Q1904" i="33"/>
  <c r="P1907" i="33"/>
  <c r="Q1908" i="33"/>
  <c r="P1911" i="33"/>
  <c r="Q1912" i="33"/>
  <c r="P1915" i="33"/>
  <c r="Q1916" i="33"/>
  <c r="P1919" i="33"/>
  <c r="Q1920" i="33"/>
  <c r="P1923" i="33"/>
  <c r="Q1924" i="33"/>
  <c r="P1927" i="33"/>
  <c r="Q1928" i="33"/>
  <c r="P1931" i="33"/>
  <c r="Q1932" i="33"/>
  <c r="P1935" i="33"/>
  <c r="Q1936" i="33"/>
  <c r="P1939" i="33"/>
  <c r="Q1940" i="33"/>
  <c r="Q1873" i="33"/>
  <c r="Q1881" i="33"/>
  <c r="Q1889" i="33"/>
  <c r="Q1944" i="33"/>
  <c r="Q1948" i="33"/>
  <c r="Q1952" i="33"/>
  <c r="Q1956" i="33"/>
  <c r="Q1960" i="33"/>
  <c r="Q1964" i="33"/>
  <c r="Q1968" i="33"/>
  <c r="Q1972" i="33"/>
  <c r="Q1976" i="33"/>
  <c r="Q1980" i="33"/>
  <c r="Q1984" i="33"/>
  <c r="Q1988" i="33"/>
  <c r="Q1992" i="33"/>
  <c r="Q1996" i="33"/>
  <c r="Q2000" i="33"/>
  <c r="Q2004" i="33"/>
  <c r="Q2008" i="33"/>
  <c r="Q2012" i="33"/>
  <c r="Q2016" i="33"/>
  <c r="Q2020" i="33"/>
  <c r="Q2024" i="33"/>
  <c r="Q2028" i="33"/>
  <c r="Q2032" i="33"/>
  <c r="Q2036" i="33"/>
  <c r="Q2040" i="33"/>
  <c r="Q2044" i="33"/>
  <c r="Q2048" i="33"/>
  <c r="Q2052" i="33"/>
  <c r="Q2056" i="33"/>
  <c r="Q2060" i="33"/>
  <c r="Q2064" i="33"/>
  <c r="Q2068" i="33"/>
  <c r="Q2072" i="33"/>
  <c r="Q2076" i="33"/>
  <c r="Q2080" i="33"/>
  <c r="Q2084" i="33"/>
  <c r="Q2088" i="33"/>
  <c r="Q2092" i="33"/>
  <c r="Q2096" i="33"/>
  <c r="Q2100" i="33"/>
  <c r="Q2104" i="33"/>
  <c r="Q2108" i="33"/>
  <c r="Q2112" i="33"/>
  <c r="Q2116" i="33"/>
  <c r="Q2120" i="33"/>
  <c r="Q2124" i="33"/>
  <c r="Q2128" i="33"/>
  <c r="Q2132" i="33"/>
  <c r="Q2136" i="33"/>
  <c r="Q2140" i="33"/>
  <c r="Q2144" i="33"/>
  <c r="Q2148" i="33"/>
  <c r="Q2152" i="33"/>
  <c r="Q2156" i="33"/>
  <c r="Q2160" i="33"/>
  <c r="Q2164" i="33"/>
  <c r="Q2168" i="33"/>
  <c r="Q2172" i="33"/>
  <c r="Q2176" i="33"/>
  <c r="Q2180" i="33"/>
  <c r="Q2184" i="33"/>
  <c r="Q2188" i="33"/>
  <c r="Q2192" i="33"/>
  <c r="Q2196" i="33"/>
  <c r="Q2200" i="33"/>
  <c r="Q2204" i="33"/>
  <c r="Q2208" i="33"/>
  <c r="Q2212" i="33"/>
  <c r="Q2216" i="33"/>
  <c r="Q2220" i="33"/>
  <c r="Q2224" i="33"/>
  <c r="Q2228" i="33"/>
  <c r="Q2232" i="33"/>
  <c r="Q2236" i="33"/>
  <c r="Q2240" i="33"/>
  <c r="Q2244" i="33"/>
  <c r="Q2248" i="33"/>
  <c r="Q2252" i="33"/>
  <c r="Q2256" i="33"/>
  <c r="Q2260" i="33"/>
  <c r="Q2264" i="33"/>
  <c r="Q2268" i="33"/>
  <c r="Q2272" i="33"/>
  <c r="Q2276" i="33"/>
  <c r="Q2280" i="33"/>
  <c r="Q2284" i="33"/>
  <c r="Q2288" i="33"/>
  <c r="Q2292" i="33"/>
  <c r="Q2296" i="33"/>
  <c r="Q2300" i="33"/>
  <c r="Q2304" i="33"/>
  <c r="Q2308" i="33"/>
  <c r="Q2312" i="33"/>
  <c r="Q2316" i="33"/>
  <c r="Q2320" i="33"/>
  <c r="Q2324" i="33"/>
  <c r="Q2328" i="33"/>
  <c r="Q2332" i="33"/>
  <c r="Q2336" i="33"/>
  <c r="Q2340" i="33"/>
  <c r="Q2344" i="33"/>
  <c r="Q2348" i="33"/>
  <c r="Q2352" i="33"/>
  <c r="Q2356" i="33"/>
  <c r="Q2360" i="33"/>
  <c r="Q2364" i="33"/>
  <c r="Q2368" i="33"/>
  <c r="P2372" i="33"/>
  <c r="Q2373" i="33"/>
  <c r="P2376" i="33"/>
  <c r="Q2377" i="33"/>
  <c r="P2380" i="33"/>
  <c r="Q2381" i="33"/>
  <c r="P2384" i="33"/>
  <c r="Q2385" i="33"/>
  <c r="P2388" i="33"/>
  <c r="Q2389" i="33"/>
  <c r="Q1907" i="33"/>
  <c r="P1926" i="33"/>
  <c r="P1934" i="33"/>
  <c r="Q1939" i="33"/>
  <c r="P1946" i="33"/>
  <c r="P1958" i="33"/>
  <c r="P1966" i="33"/>
  <c r="P1974" i="33"/>
  <c r="P1986" i="33"/>
  <c r="P1994" i="33"/>
  <c r="P2002" i="33"/>
  <c r="P2018" i="33"/>
  <c r="P2034" i="33"/>
  <c r="P2038" i="33"/>
  <c r="P2054" i="33"/>
  <c r="P2062" i="33"/>
  <c r="P2078" i="33"/>
  <c r="P2086" i="33"/>
  <c r="P2094" i="33"/>
  <c r="P2110" i="33"/>
  <c r="P2118" i="33"/>
  <c r="P2130" i="33"/>
  <c r="P2146" i="33"/>
  <c r="P2158" i="33"/>
  <c r="P2170" i="33"/>
  <c r="P2174" i="33"/>
  <c r="P2190" i="33"/>
  <c r="P2198" i="33"/>
  <c r="P2214" i="33"/>
  <c r="P2226" i="33"/>
  <c r="P2234" i="33"/>
  <c r="P2246" i="33"/>
  <c r="P2254" i="33"/>
  <c r="P2262" i="33"/>
  <c r="P2274" i="33"/>
  <c r="P2290" i="33"/>
  <c r="P2298" i="33"/>
  <c r="P2314" i="33"/>
  <c r="P2322" i="33"/>
  <c r="P2334" i="33"/>
  <c r="P2350" i="33"/>
  <c r="P2354" i="33"/>
  <c r="P2366" i="33"/>
  <c r="P2373" i="33"/>
  <c r="P2381" i="33"/>
  <c r="P2385" i="33"/>
  <c r="Q1895" i="33"/>
  <c r="P1898" i="33"/>
  <c r="Q1903" i="33"/>
  <c r="P1906" i="33"/>
  <c r="Q1911" i="33"/>
  <c r="P1914" i="33"/>
  <c r="Q1919" i="33"/>
  <c r="P1922" i="33"/>
  <c r="Q1927" i="33"/>
  <c r="P1930" i="33"/>
  <c r="Q1935" i="33"/>
  <c r="P1938" i="33"/>
  <c r="P1943" i="33"/>
  <c r="P1947" i="33"/>
  <c r="P1951" i="33"/>
  <c r="P1955" i="33"/>
  <c r="P1959" i="33"/>
  <c r="P1963" i="33"/>
  <c r="P1967" i="33"/>
  <c r="P1971" i="33"/>
  <c r="P1975" i="33"/>
  <c r="P1979" i="33"/>
  <c r="P1983" i="33"/>
  <c r="P1987" i="33"/>
  <c r="P1991" i="33"/>
  <c r="P1995" i="33"/>
  <c r="P1999" i="33"/>
  <c r="P2003" i="33"/>
  <c r="P2007" i="33"/>
  <c r="P2011" i="33"/>
  <c r="P2015" i="33"/>
  <c r="P2019" i="33"/>
  <c r="P2023" i="33"/>
  <c r="P2027" i="33"/>
  <c r="P2031" i="33"/>
  <c r="P2035" i="33"/>
  <c r="P2039" i="33"/>
  <c r="P2043" i="33"/>
  <c r="P2047" i="33"/>
  <c r="P2051" i="33"/>
  <c r="P2055" i="33"/>
  <c r="P2059" i="33"/>
  <c r="P2063" i="33"/>
  <c r="P2067" i="33"/>
  <c r="P2071" i="33"/>
  <c r="P2075" i="33"/>
  <c r="P2079" i="33"/>
  <c r="P2083" i="33"/>
  <c r="P2087" i="33"/>
  <c r="P2091" i="33"/>
  <c r="P2095" i="33"/>
  <c r="P2099" i="33"/>
  <c r="P2103" i="33"/>
  <c r="P2107" i="33"/>
  <c r="P2111" i="33"/>
  <c r="P2115" i="33"/>
  <c r="P2119" i="33"/>
  <c r="P2123" i="33"/>
  <c r="P2127" i="33"/>
  <c r="P2131" i="33"/>
  <c r="P2135" i="33"/>
  <c r="P2139" i="33"/>
  <c r="P2143" i="33"/>
  <c r="P2147" i="33"/>
  <c r="P2151" i="33"/>
  <c r="P2155" i="33"/>
  <c r="P2159" i="33"/>
  <c r="P2163" i="33"/>
  <c r="P2167" i="33"/>
  <c r="P2171" i="33"/>
  <c r="P2175" i="33"/>
  <c r="P2179" i="33"/>
  <c r="P2183" i="33"/>
  <c r="P2187" i="33"/>
  <c r="P2191" i="33"/>
  <c r="P2195" i="33"/>
  <c r="P2199" i="33"/>
  <c r="P2203" i="33"/>
  <c r="P2207" i="33"/>
  <c r="P2211" i="33"/>
  <c r="P2215" i="33"/>
  <c r="P2219" i="33"/>
  <c r="P2223" i="33"/>
  <c r="P2227" i="33"/>
  <c r="P2231" i="33"/>
  <c r="P2235" i="33"/>
  <c r="P2239" i="33"/>
  <c r="P2243" i="33"/>
  <c r="P2247" i="33"/>
  <c r="P2251" i="33"/>
  <c r="P2255" i="33"/>
  <c r="P2259" i="33"/>
  <c r="P2263" i="33"/>
  <c r="P2267" i="33"/>
  <c r="P2271" i="33"/>
  <c r="P2275" i="33"/>
  <c r="P2279" i="33"/>
  <c r="P2283" i="33"/>
  <c r="P2287" i="33"/>
  <c r="P2291" i="33"/>
  <c r="P2295" i="33"/>
  <c r="P2299" i="33"/>
  <c r="P2303" i="33"/>
  <c r="P2307" i="33"/>
  <c r="P2311" i="33"/>
  <c r="P2315" i="33"/>
  <c r="P2319" i="33"/>
  <c r="P2323" i="33"/>
  <c r="P2327" i="33"/>
  <c r="P2331" i="33"/>
  <c r="P2335" i="33"/>
  <c r="P2339" i="33"/>
  <c r="P2343" i="33"/>
  <c r="P2347" i="33"/>
  <c r="P2351" i="33"/>
  <c r="P2355" i="33"/>
  <c r="P2359" i="33"/>
  <c r="P2363" i="33"/>
  <c r="P2367" i="33"/>
  <c r="P2371" i="33"/>
  <c r="Q2372" i="33"/>
  <c r="P2375" i="33"/>
  <c r="Q2376" i="33"/>
  <c r="P2379" i="33"/>
  <c r="Q2380" i="33"/>
  <c r="P2383" i="33"/>
  <c r="Q2384" i="33"/>
  <c r="P2387" i="33"/>
  <c r="Q2388" i="33"/>
  <c r="P1950" i="33"/>
  <c r="P1978" i="33"/>
  <c r="P1990" i="33"/>
  <c r="P2006" i="33"/>
  <c r="P2014" i="33"/>
  <c r="P2026" i="33"/>
  <c r="P2042" i="33"/>
  <c r="P2058" i="33"/>
  <c r="P2070" i="33"/>
  <c r="P2082" i="33"/>
  <c r="P2102" i="33"/>
  <c r="P2114" i="33"/>
  <c r="P2126" i="33"/>
  <c r="P2138" i="33"/>
  <c r="P2154" i="33"/>
  <c r="P2166" i="33"/>
  <c r="P2178" i="33"/>
  <c r="P2194" i="33"/>
  <c r="P2206" i="33"/>
  <c r="P2222" i="33"/>
  <c r="P2238" i="33"/>
  <c r="P2250" i="33"/>
  <c r="P2270" i="33"/>
  <c r="P2282" i="33"/>
  <c r="P2294" i="33"/>
  <c r="P2306" i="33"/>
  <c r="P2318" i="33"/>
  <c r="P2330" i="33"/>
  <c r="P2342" i="33"/>
  <c r="P2362" i="33"/>
  <c r="Q2378" i="33"/>
  <c r="Q2382" i="33"/>
  <c r="Q2386" i="33"/>
  <c r="P1872" i="33"/>
  <c r="P1880" i="33"/>
  <c r="P1888" i="33"/>
  <c r="Q1943" i="33"/>
  <c r="Q1947" i="33"/>
  <c r="Q1951" i="33"/>
  <c r="Q1955" i="33"/>
  <c r="Q1959" i="33"/>
  <c r="Q1963" i="33"/>
  <c r="Q1967" i="33"/>
  <c r="Q1971" i="33"/>
  <c r="Q1975" i="33"/>
  <c r="Q1979" i="33"/>
  <c r="Q1983" i="33"/>
  <c r="Q1987" i="33"/>
  <c r="Q1991" i="33"/>
  <c r="Q1995" i="33"/>
  <c r="Q1999" i="33"/>
  <c r="Q2003" i="33"/>
  <c r="Q2007" i="33"/>
  <c r="Q2011" i="33"/>
  <c r="Q2015" i="33"/>
  <c r="Q2019" i="33"/>
  <c r="Q2023" i="33"/>
  <c r="Q2027" i="33"/>
  <c r="Q2031" i="33"/>
  <c r="Q2035" i="33"/>
  <c r="Q2039" i="33"/>
  <c r="Q2043" i="33"/>
  <c r="Q2047" i="33"/>
  <c r="Q2051" i="33"/>
  <c r="Q2055" i="33"/>
  <c r="Q2059" i="33"/>
  <c r="Q2063" i="33"/>
  <c r="Q2067" i="33"/>
  <c r="Q2071" i="33"/>
  <c r="Q2075" i="33"/>
  <c r="Q2079" i="33"/>
  <c r="Q2083" i="33"/>
  <c r="Q2087" i="33"/>
  <c r="Q2091" i="33"/>
  <c r="Q2095" i="33"/>
  <c r="Q2099" i="33"/>
  <c r="Q2103" i="33"/>
  <c r="Q2107" i="33"/>
  <c r="Q2111" i="33"/>
  <c r="Q2115" i="33"/>
  <c r="Q2119" i="33"/>
  <c r="Q2123" i="33"/>
  <c r="Q2127" i="33"/>
  <c r="Q2131" i="33"/>
  <c r="Q2135" i="33"/>
  <c r="Q2139" i="33"/>
  <c r="Q2143" i="33"/>
  <c r="Q2147" i="33"/>
  <c r="Q2151" i="33"/>
  <c r="Q2155" i="33"/>
  <c r="Q2159" i="33"/>
  <c r="Q2163" i="33"/>
  <c r="Q2167" i="33"/>
  <c r="Q2171" i="33"/>
  <c r="Q2175" i="33"/>
  <c r="Q2179" i="33"/>
  <c r="Q2183" i="33"/>
  <c r="Q2187" i="33"/>
  <c r="Q2191" i="33"/>
  <c r="Q2195" i="33"/>
  <c r="Q2199" i="33"/>
  <c r="Q2203" i="33"/>
  <c r="Q2207" i="33"/>
  <c r="Q2211" i="33"/>
  <c r="Q2215" i="33"/>
  <c r="Q2219" i="33"/>
  <c r="Q2223" i="33"/>
  <c r="Q2227" i="33"/>
  <c r="Q2231" i="33"/>
  <c r="Q2235" i="33"/>
  <c r="Q2239" i="33"/>
  <c r="Q2243" i="33"/>
  <c r="Q2247" i="33"/>
  <c r="Q2251" i="33"/>
  <c r="Q2255" i="33"/>
  <c r="Q2259" i="33"/>
  <c r="Q2263" i="33"/>
  <c r="Q2267" i="33"/>
  <c r="Q2271" i="33"/>
  <c r="Q2275" i="33"/>
  <c r="Q2279" i="33"/>
  <c r="Q2283" i="33"/>
  <c r="Q2287" i="33"/>
  <c r="Q2291" i="33"/>
  <c r="Q2295" i="33"/>
  <c r="Q2299" i="33"/>
  <c r="Q2303" i="33"/>
  <c r="Q2307" i="33"/>
  <c r="Q2311" i="33"/>
  <c r="Q2315" i="33"/>
  <c r="Q2319" i="33"/>
  <c r="Q2323" i="33"/>
  <c r="Q2327" i="33"/>
  <c r="Q2331" i="33"/>
  <c r="Q2335" i="33"/>
  <c r="Q2339" i="33"/>
  <c r="Q2343" i="33"/>
  <c r="Q2347" i="33"/>
  <c r="Q2351" i="33"/>
  <c r="Q2355" i="33"/>
  <c r="Q2359" i="33"/>
  <c r="Q2363" i="33"/>
  <c r="Q2367" i="33"/>
  <c r="Q2371" i="33"/>
  <c r="P2374" i="33"/>
  <c r="Q2375" i="33"/>
  <c r="P2378" i="33"/>
  <c r="Q2379" i="33"/>
  <c r="P2382" i="33"/>
  <c r="Q2383" i="33"/>
  <c r="P2386" i="33"/>
  <c r="Q2387" i="33"/>
  <c r="Q1870" i="33"/>
  <c r="P1875" i="33"/>
  <c r="Q1878" i="33"/>
  <c r="P1883" i="33"/>
  <c r="Q1886" i="33"/>
  <c r="P1891" i="33"/>
  <c r="P1894" i="33"/>
  <c r="Q1899" i="33"/>
  <c r="P1902" i="33"/>
  <c r="P1910" i="33"/>
  <c r="Q1915" i="33"/>
  <c r="P1918" i="33"/>
  <c r="Q1923" i="33"/>
  <c r="Q1931" i="33"/>
  <c r="P1942" i="33"/>
  <c r="P1954" i="33"/>
  <c r="P1962" i="33"/>
  <c r="P1970" i="33"/>
  <c r="P1982" i="33"/>
  <c r="P1998" i="33"/>
  <c r="P2010" i="33"/>
  <c r="P2022" i="33"/>
  <c r="P2030" i="33"/>
  <c r="P2046" i="33"/>
  <c r="P2050" i="33"/>
  <c r="P2066" i="33"/>
  <c r="P2074" i="33"/>
  <c r="P2090" i="33"/>
  <c r="P2098" i="33"/>
  <c r="P2106" i="33"/>
  <c r="P2122" i="33"/>
  <c r="P2134" i="33"/>
  <c r="P2142" i="33"/>
  <c r="P2150" i="33"/>
  <c r="P2162" i="33"/>
  <c r="P2182" i="33"/>
  <c r="P2186" i="33"/>
  <c r="P2202" i="33"/>
  <c r="P2210" i="33"/>
  <c r="P2218" i="33"/>
  <c r="P2230" i="33"/>
  <c r="P2242" i="33"/>
  <c r="P2258" i="33"/>
  <c r="P2266" i="33"/>
  <c r="P2278" i="33"/>
  <c r="P2286" i="33"/>
  <c r="P2302" i="33"/>
  <c r="P2310" i="33"/>
  <c r="P2326" i="33"/>
  <c r="P2338" i="33"/>
  <c r="P2346" i="33"/>
  <c r="P2358" i="33"/>
  <c r="P2370" i="33"/>
  <c r="Q2374" i="33"/>
  <c r="P2377" i="33"/>
  <c r="P2389" i="33"/>
  <c r="L5" i="47" l="1"/>
  <c r="L6" i="47"/>
  <c r="L7" i="47"/>
  <c r="L4" i="47"/>
  <c r="Q1" i="56"/>
  <c r="P1" i="56"/>
  <c r="P1978" i="56" s="1"/>
  <c r="Q1" i="55"/>
  <c r="P1" i="55"/>
  <c r="Q1" i="53"/>
  <c r="P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1" i="36"/>
  <c r="E31" i="36"/>
  <c r="F31" i="36"/>
  <c r="G31" i="36"/>
  <c r="H31" i="36"/>
  <c r="I31" i="36"/>
  <c r="J31" i="36"/>
  <c r="K31" i="36"/>
  <c r="L31" i="36"/>
  <c r="M31" i="36"/>
  <c r="N31" i="36"/>
  <c r="D32" i="36"/>
  <c r="E32" i="36"/>
  <c r="F32" i="36"/>
  <c r="G32" i="36"/>
  <c r="H32" i="36"/>
  <c r="I32" i="36"/>
  <c r="J32" i="36"/>
  <c r="K32" i="36"/>
  <c r="L32" i="36"/>
  <c r="M32" i="36"/>
  <c r="N32" i="36"/>
  <c r="C31" i="36"/>
  <c r="C32"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R2564" i="56"/>
  <c r="Q2564" i="56"/>
  <c r="P2564" i="56"/>
  <c r="R2563" i="56"/>
  <c r="Q2563" i="56"/>
  <c r="P2563" i="56"/>
  <c r="R2562" i="56"/>
  <c r="Q2562" i="56"/>
  <c r="P2562" i="56"/>
  <c r="R2561" i="56"/>
  <c r="Q2561" i="56"/>
  <c r="P2561" i="56"/>
  <c r="R2560" i="56"/>
  <c r="Q2560" i="56"/>
  <c r="P2560" i="56"/>
  <c r="R2559" i="56"/>
  <c r="Q2559" i="56"/>
  <c r="P2559" i="56"/>
  <c r="R2558" i="56"/>
  <c r="Q2558" i="56"/>
  <c r="P2558" i="56"/>
  <c r="R2557" i="56"/>
  <c r="Q2557" i="56"/>
  <c r="P2557" i="56"/>
  <c r="R2556" i="56"/>
  <c r="Q2556" i="56"/>
  <c r="P2556" i="56"/>
  <c r="R2555" i="56"/>
  <c r="Q2555" i="56"/>
  <c r="P2555" i="56"/>
  <c r="R2554" i="56"/>
  <c r="Q2554" i="56"/>
  <c r="P2554" i="56"/>
  <c r="R2553" i="56"/>
  <c r="Q2553" i="56"/>
  <c r="P2553" i="56"/>
  <c r="R2552" i="56"/>
  <c r="Q2552" i="56"/>
  <c r="P2552" i="56"/>
  <c r="R2551" i="56"/>
  <c r="Q2551" i="56"/>
  <c r="P2551" i="56"/>
  <c r="R2550" i="56"/>
  <c r="Q2550" i="56"/>
  <c r="P2550" i="56"/>
  <c r="R2549" i="56"/>
  <c r="Q2549" i="56"/>
  <c r="P2549" i="56"/>
  <c r="R2548" i="56"/>
  <c r="Q2548" i="56"/>
  <c r="P2548" i="56"/>
  <c r="R2547" i="56"/>
  <c r="Q2547" i="56"/>
  <c r="P2547" i="56"/>
  <c r="R2546" i="56"/>
  <c r="Q2546" i="56"/>
  <c r="P2546" i="56"/>
  <c r="R2545" i="56"/>
  <c r="Q2545" i="56"/>
  <c r="P2545" i="56"/>
  <c r="R2544" i="56"/>
  <c r="Q2544" i="56"/>
  <c r="P2544" i="56"/>
  <c r="R2543" i="56"/>
  <c r="Q2543" i="56"/>
  <c r="P2543" i="56"/>
  <c r="R2542" i="56"/>
  <c r="Q2542" i="56"/>
  <c r="P2542" i="56"/>
  <c r="R2541" i="56"/>
  <c r="Q2541" i="56"/>
  <c r="P2541" i="56"/>
  <c r="R2540" i="56"/>
  <c r="Q2540" i="56"/>
  <c r="P2540" i="56"/>
  <c r="R2539" i="56"/>
  <c r="Q2539" i="56"/>
  <c r="P2539" i="56"/>
  <c r="R2538" i="56"/>
  <c r="Q2538" i="56"/>
  <c r="P2538" i="56"/>
  <c r="R2537" i="56"/>
  <c r="Q2537" i="56"/>
  <c r="P2537" i="56"/>
  <c r="R2536" i="56"/>
  <c r="Q2536" i="56"/>
  <c r="P2536" i="56"/>
  <c r="R2535" i="56"/>
  <c r="Q2535" i="56"/>
  <c r="P2535" i="56"/>
  <c r="R2534" i="56"/>
  <c r="Q2534" i="56"/>
  <c r="P2534" i="56"/>
  <c r="R2533" i="56"/>
  <c r="Q2533" i="56"/>
  <c r="P2533" i="56"/>
  <c r="R2532" i="56"/>
  <c r="Q2532" i="56"/>
  <c r="P2532" i="56"/>
  <c r="R2531" i="56"/>
  <c r="Q2531" i="56"/>
  <c r="P2531" i="56"/>
  <c r="R2530" i="56"/>
  <c r="Q2530" i="56"/>
  <c r="P2530" i="56"/>
  <c r="R2529" i="56"/>
  <c r="Q2529" i="56"/>
  <c r="P2529" i="56"/>
  <c r="R2528" i="56"/>
  <c r="Q2528" i="56"/>
  <c r="P2528" i="56"/>
  <c r="R2527" i="56"/>
  <c r="Q2527" i="56"/>
  <c r="P2527" i="56"/>
  <c r="R2526" i="56"/>
  <c r="Q2526" i="56"/>
  <c r="P2526" i="56"/>
  <c r="R2525" i="56"/>
  <c r="Q2525" i="56"/>
  <c r="P2525" i="56"/>
  <c r="R2524" i="56"/>
  <c r="Q2524" i="56"/>
  <c r="P2524" i="56"/>
  <c r="R2523" i="56"/>
  <c r="Q2523" i="56"/>
  <c r="P2523" i="56"/>
  <c r="R2522" i="56"/>
  <c r="Q2522" i="56"/>
  <c r="P2522" i="56"/>
  <c r="R2521" i="56"/>
  <c r="Q2521" i="56"/>
  <c r="P2521" i="56"/>
  <c r="R2520" i="56"/>
  <c r="Q2520" i="56"/>
  <c r="P2520" i="56"/>
  <c r="R2519" i="56"/>
  <c r="Q2519" i="56"/>
  <c r="P2519" i="56"/>
  <c r="R2518" i="56"/>
  <c r="Q2518" i="56"/>
  <c r="P2518" i="56"/>
  <c r="R2517" i="56"/>
  <c r="Q2517" i="56"/>
  <c r="P2517" i="56"/>
  <c r="R2516" i="56"/>
  <c r="Q2516" i="56"/>
  <c r="P2516" i="56"/>
  <c r="R2515" i="56"/>
  <c r="Q2515" i="56"/>
  <c r="P2515" i="56"/>
  <c r="R2514" i="56"/>
  <c r="Q2514" i="56"/>
  <c r="P2514" i="56"/>
  <c r="R2513" i="56"/>
  <c r="Q2513" i="56"/>
  <c r="P2513" i="56"/>
  <c r="R2512" i="56"/>
  <c r="Q2512" i="56"/>
  <c r="P2512" i="56"/>
  <c r="R2511" i="56"/>
  <c r="Q2511" i="56"/>
  <c r="P2511" i="56"/>
  <c r="R2510" i="56"/>
  <c r="Q2510" i="56"/>
  <c r="P2510" i="56"/>
  <c r="R2509" i="56"/>
  <c r="Q2509" i="56"/>
  <c r="P2509" i="56"/>
  <c r="R2508" i="56"/>
  <c r="Q2508" i="56"/>
  <c r="P2508" i="56"/>
  <c r="R2507" i="56"/>
  <c r="Q2507" i="56"/>
  <c r="P2507" i="56"/>
  <c r="R2506" i="56"/>
  <c r="Q2506" i="56"/>
  <c r="P2506" i="56"/>
  <c r="R2505" i="56"/>
  <c r="Q2505" i="56"/>
  <c r="P2505" i="56"/>
  <c r="R2504" i="56"/>
  <c r="Q2504" i="56"/>
  <c r="P2504" i="56"/>
  <c r="R2503" i="56"/>
  <c r="Q2503" i="56"/>
  <c r="P2503" i="56"/>
  <c r="R2502" i="56"/>
  <c r="Q2502" i="56"/>
  <c r="P2502" i="56"/>
  <c r="R2501" i="56"/>
  <c r="Q2501" i="56"/>
  <c r="P2501" i="56"/>
  <c r="R2500" i="56"/>
  <c r="Q2500" i="56"/>
  <c r="P2500" i="56"/>
  <c r="R2499" i="56"/>
  <c r="Q2499" i="56"/>
  <c r="P2499" i="56"/>
  <c r="R2498" i="56"/>
  <c r="Q2498" i="56"/>
  <c r="P2498" i="56"/>
  <c r="R2497" i="56"/>
  <c r="Q2497" i="56"/>
  <c r="P2497" i="56"/>
  <c r="R2496" i="56"/>
  <c r="Q2496" i="56"/>
  <c r="P2496" i="56"/>
  <c r="R2495" i="56"/>
  <c r="Q2495" i="56"/>
  <c r="P2495" i="56"/>
  <c r="R2494" i="56"/>
  <c r="Q2494" i="56"/>
  <c r="P2494" i="56"/>
  <c r="R2493" i="56"/>
  <c r="Q2493" i="56"/>
  <c r="P2493" i="56"/>
  <c r="R2492" i="56"/>
  <c r="Q2492" i="56"/>
  <c r="P2492" i="56"/>
  <c r="R2491" i="56"/>
  <c r="Q2491" i="56"/>
  <c r="P2491" i="56"/>
  <c r="R2490" i="56"/>
  <c r="Q2490" i="56"/>
  <c r="P2490" i="56"/>
  <c r="R2489" i="56"/>
  <c r="Q2489" i="56"/>
  <c r="P2489" i="56"/>
  <c r="R2488" i="56"/>
  <c r="Q2488" i="56"/>
  <c r="P2488" i="56"/>
  <c r="R2487" i="56"/>
  <c r="Q2487" i="56"/>
  <c r="P2487" i="56"/>
  <c r="R2486" i="56"/>
  <c r="Q2486" i="56"/>
  <c r="P2486" i="56"/>
  <c r="R2485" i="56"/>
  <c r="Q2485" i="56"/>
  <c r="P2485" i="56"/>
  <c r="R2484" i="56"/>
  <c r="Q2484" i="56"/>
  <c r="P2484" i="56"/>
  <c r="R2483" i="56"/>
  <c r="Q2483" i="56"/>
  <c r="P2483" i="56"/>
  <c r="R2482" i="56"/>
  <c r="Q2482" i="56"/>
  <c r="P2482" i="56"/>
  <c r="R2481" i="56"/>
  <c r="Q2481" i="56"/>
  <c r="P2481" i="56"/>
  <c r="R2480" i="56"/>
  <c r="Q2480" i="56"/>
  <c r="P2480" i="56"/>
  <c r="R2479" i="56"/>
  <c r="Q2479" i="56"/>
  <c r="P2479" i="56"/>
  <c r="R2478" i="56"/>
  <c r="Q2478" i="56"/>
  <c r="P2478" i="56"/>
  <c r="R2477" i="56"/>
  <c r="Q2477" i="56"/>
  <c r="P2477" i="56"/>
  <c r="R2476" i="56"/>
  <c r="Q2476" i="56"/>
  <c r="P2476" i="56"/>
  <c r="R2475" i="56"/>
  <c r="Q2475" i="56"/>
  <c r="P2475" i="56"/>
  <c r="R2474" i="56"/>
  <c r="Q2474" i="56"/>
  <c r="P2474" i="56"/>
  <c r="R2473" i="56"/>
  <c r="Q2473" i="56"/>
  <c r="P2473" i="56"/>
  <c r="R2472" i="56"/>
  <c r="Q2472" i="56"/>
  <c r="P2472" i="56"/>
  <c r="R2471" i="56"/>
  <c r="Q2471" i="56"/>
  <c r="P2471" i="56"/>
  <c r="R2470" i="56"/>
  <c r="Q2470" i="56"/>
  <c r="P2470" i="56"/>
  <c r="R2469" i="56"/>
  <c r="Q2469" i="56"/>
  <c r="P2469" i="56"/>
  <c r="R2468" i="56"/>
  <c r="Q2468" i="56"/>
  <c r="P2468" i="56"/>
  <c r="R2467" i="56"/>
  <c r="Q2467" i="56"/>
  <c r="P2467" i="56"/>
  <c r="R2466" i="56"/>
  <c r="Q2466" i="56"/>
  <c r="P2466" i="56"/>
  <c r="R2465" i="56"/>
  <c r="Q2465" i="56"/>
  <c r="P2465" i="56"/>
  <c r="R2464" i="56"/>
  <c r="Q2464" i="56"/>
  <c r="P2464" i="56"/>
  <c r="R2463" i="56"/>
  <c r="Q2463" i="56"/>
  <c r="P2463" i="56"/>
  <c r="R2462" i="56"/>
  <c r="Q2462" i="56"/>
  <c r="P2462" i="56"/>
  <c r="R2461" i="56"/>
  <c r="Q2461" i="56"/>
  <c r="P2461" i="56"/>
  <c r="R2460" i="56"/>
  <c r="Q2460" i="56"/>
  <c r="P2460" i="56"/>
  <c r="R2459" i="56"/>
  <c r="Q2459" i="56"/>
  <c r="P2459" i="56"/>
  <c r="R2458" i="56"/>
  <c r="Q2458" i="56"/>
  <c r="P2458" i="56"/>
  <c r="R2457" i="56"/>
  <c r="Q2457" i="56"/>
  <c r="P2457" i="56"/>
  <c r="R2456" i="56"/>
  <c r="Q2456" i="56"/>
  <c r="P2456" i="56"/>
  <c r="R2455" i="56"/>
  <c r="Q2455" i="56"/>
  <c r="P2455" i="56"/>
  <c r="R2454" i="56"/>
  <c r="Q2454" i="56"/>
  <c r="P2454" i="56"/>
  <c r="R2453" i="56"/>
  <c r="Q2453" i="56"/>
  <c r="P2453" i="56"/>
  <c r="R2452" i="56"/>
  <c r="Q2452" i="56"/>
  <c r="P2452" i="56"/>
  <c r="R2451" i="56"/>
  <c r="Q2451" i="56"/>
  <c r="P2451" i="56"/>
  <c r="R2450" i="56"/>
  <c r="Q2450" i="56"/>
  <c r="P2450" i="56"/>
  <c r="R2449" i="56"/>
  <c r="Q2449" i="56"/>
  <c r="P2449" i="56"/>
  <c r="R2448" i="56"/>
  <c r="Q2448" i="56"/>
  <c r="P2448" i="56"/>
  <c r="R2447" i="56"/>
  <c r="Q2447" i="56"/>
  <c r="P2447" i="56"/>
  <c r="R2446" i="56"/>
  <c r="Q2446" i="56"/>
  <c r="P2446" i="56"/>
  <c r="R2445" i="56"/>
  <c r="Q2445" i="56"/>
  <c r="P2445" i="56"/>
  <c r="R2444" i="56"/>
  <c r="Q2444" i="56"/>
  <c r="P2444" i="56"/>
  <c r="R2443" i="56"/>
  <c r="Q2443" i="56"/>
  <c r="P2443" i="56"/>
  <c r="R2442" i="56"/>
  <c r="Q2442" i="56"/>
  <c r="P2442" i="56"/>
  <c r="R2441" i="56"/>
  <c r="Q2441" i="56"/>
  <c r="P2441" i="56"/>
  <c r="R2440" i="56"/>
  <c r="Q2440" i="56"/>
  <c r="P2440" i="56"/>
  <c r="R2439" i="56"/>
  <c r="Q2439" i="56"/>
  <c r="P2439" i="56"/>
  <c r="R2438" i="56"/>
  <c r="Q2438" i="56"/>
  <c r="P2438" i="56"/>
  <c r="R2437" i="56"/>
  <c r="Q2437" i="56"/>
  <c r="P2437" i="56"/>
  <c r="R2436" i="56"/>
  <c r="Q2436" i="56"/>
  <c r="P2436" i="56"/>
  <c r="R2435" i="56"/>
  <c r="Q2435" i="56"/>
  <c r="P2435" i="56"/>
  <c r="R2434" i="56"/>
  <c r="Q2434" i="56"/>
  <c r="P2434" i="56"/>
  <c r="R2433" i="56"/>
  <c r="Q2433" i="56"/>
  <c r="P2433" i="56"/>
  <c r="R2432" i="56"/>
  <c r="Q2432" i="56"/>
  <c r="P2432" i="56"/>
  <c r="R2431" i="56"/>
  <c r="Q2431" i="56"/>
  <c r="P2431" i="56"/>
  <c r="R2430" i="56"/>
  <c r="Q2430" i="56"/>
  <c r="P2430" i="56"/>
  <c r="R2429" i="56"/>
  <c r="Q2429" i="56"/>
  <c r="P2429" i="56"/>
  <c r="R2428" i="56"/>
  <c r="Q2428" i="56"/>
  <c r="P2428" i="56"/>
  <c r="R2427" i="56"/>
  <c r="Q2427" i="56"/>
  <c r="P2427" i="56"/>
  <c r="R2426" i="56"/>
  <c r="Q2426" i="56"/>
  <c r="P2426" i="56"/>
  <c r="R2425" i="56"/>
  <c r="Q2425" i="56"/>
  <c r="P2425" i="56"/>
  <c r="R2424" i="56"/>
  <c r="Q2424" i="56"/>
  <c r="P2424" i="56"/>
  <c r="R2423" i="56"/>
  <c r="Q2423" i="56"/>
  <c r="P2423" i="56"/>
  <c r="R2422" i="56"/>
  <c r="Q2422" i="56"/>
  <c r="P2422" i="56"/>
  <c r="R2421" i="56"/>
  <c r="Q2421" i="56"/>
  <c r="P2421" i="56"/>
  <c r="R2420" i="56"/>
  <c r="Q2420" i="56"/>
  <c r="P2420" i="56"/>
  <c r="R2419" i="56"/>
  <c r="Q2419" i="56"/>
  <c r="P2419" i="56"/>
  <c r="R2418" i="56"/>
  <c r="Q2418" i="56"/>
  <c r="P2418" i="56"/>
  <c r="R2417" i="56"/>
  <c r="Q2417" i="56"/>
  <c r="P2417" i="56"/>
  <c r="R2416" i="56"/>
  <c r="Q2416" i="56"/>
  <c r="P2416" i="56"/>
  <c r="R2415" i="56"/>
  <c r="Q2415" i="56"/>
  <c r="P2415" i="56"/>
  <c r="R2414" i="56"/>
  <c r="Q2414" i="56"/>
  <c r="P2414" i="56"/>
  <c r="R2413" i="56"/>
  <c r="Q2413" i="56"/>
  <c r="P2413" i="56"/>
  <c r="R2412" i="56"/>
  <c r="Q2412" i="56"/>
  <c r="P2412" i="56"/>
  <c r="R2411" i="56"/>
  <c r="Q2411" i="56"/>
  <c r="P2411" i="56"/>
  <c r="R2410" i="56"/>
  <c r="Q2410" i="56"/>
  <c r="P2410" i="56"/>
  <c r="R2409" i="56"/>
  <c r="Q2409" i="56"/>
  <c r="P2409" i="56"/>
  <c r="R2408" i="56"/>
  <c r="Q2408" i="56"/>
  <c r="P2408" i="56"/>
  <c r="R2407" i="56"/>
  <c r="Q2407" i="56"/>
  <c r="P2407" i="56"/>
  <c r="R2406" i="56"/>
  <c r="Q2406" i="56"/>
  <c r="P2406" i="56"/>
  <c r="R2405" i="56"/>
  <c r="Q2405" i="56"/>
  <c r="P2405" i="56"/>
  <c r="R2404" i="56"/>
  <c r="Q2404" i="56"/>
  <c r="P2404" i="56"/>
  <c r="R2403" i="56"/>
  <c r="Q2403" i="56"/>
  <c r="P2403" i="56"/>
  <c r="R2402" i="56"/>
  <c r="Q2402" i="56"/>
  <c r="P2402" i="56"/>
  <c r="R2401" i="56"/>
  <c r="Q2401" i="56"/>
  <c r="P2401" i="56"/>
  <c r="R2400" i="56"/>
  <c r="Q2400" i="56"/>
  <c r="P2400" i="56"/>
  <c r="R2399" i="56"/>
  <c r="Q2399" i="56"/>
  <c r="P2399" i="56"/>
  <c r="R2398" i="56"/>
  <c r="Q2398" i="56"/>
  <c r="P2398" i="56"/>
  <c r="R2397" i="56"/>
  <c r="Q2397" i="56"/>
  <c r="P2397" i="56"/>
  <c r="R2396" i="56"/>
  <c r="Q2396" i="56"/>
  <c r="P2396" i="56"/>
  <c r="R2395" i="56"/>
  <c r="Q2395" i="56"/>
  <c r="P2395" i="56"/>
  <c r="R2394" i="56"/>
  <c r="Q2394" i="56"/>
  <c r="P2394" i="56"/>
  <c r="R2393" i="56"/>
  <c r="Q2393" i="56"/>
  <c r="P2393" i="56"/>
  <c r="R2392" i="56"/>
  <c r="Q2392" i="56"/>
  <c r="P2392" i="56"/>
  <c r="R2391" i="56"/>
  <c r="Q2391" i="56"/>
  <c r="P2391" i="56"/>
  <c r="R2390" i="56"/>
  <c r="Q2390" i="56"/>
  <c r="P2390" i="56"/>
  <c r="R2389" i="56"/>
  <c r="Q2389" i="56"/>
  <c r="P2389" i="56"/>
  <c r="R2388" i="56"/>
  <c r="Q2388" i="56"/>
  <c r="P2388" i="56"/>
  <c r="R2387" i="56"/>
  <c r="Q2387" i="56"/>
  <c r="P2387" i="56"/>
  <c r="R2386" i="56"/>
  <c r="Q2386" i="56"/>
  <c r="P2386" i="56"/>
  <c r="R2385" i="56"/>
  <c r="Q2385" i="56"/>
  <c r="P2385" i="56"/>
  <c r="R2384" i="56"/>
  <c r="Q2384" i="56"/>
  <c r="P2384" i="56"/>
  <c r="R2383" i="56"/>
  <c r="Q2383" i="56"/>
  <c r="P2383" i="56"/>
  <c r="R2382" i="56"/>
  <c r="Q2382" i="56"/>
  <c r="P2382" i="56"/>
  <c r="R2381" i="56"/>
  <c r="Q2381" i="56"/>
  <c r="P2381" i="56"/>
  <c r="R2380" i="56"/>
  <c r="Q2380" i="56"/>
  <c r="P2380" i="56"/>
  <c r="R2379" i="56"/>
  <c r="Q2379" i="56"/>
  <c r="P2379" i="56"/>
  <c r="R2378" i="56"/>
  <c r="Q2378" i="56"/>
  <c r="P2378" i="56"/>
  <c r="R2377" i="56"/>
  <c r="Q2377" i="56"/>
  <c r="P2377" i="56"/>
  <c r="R2376" i="56"/>
  <c r="Q2376" i="56"/>
  <c r="P2376" i="56"/>
  <c r="R2375" i="56"/>
  <c r="Q2375" i="56"/>
  <c r="P2375" i="56"/>
  <c r="R2374" i="56"/>
  <c r="Q2374" i="56"/>
  <c r="P2374" i="56"/>
  <c r="R2373" i="56"/>
  <c r="Q2373" i="56"/>
  <c r="P2373" i="56"/>
  <c r="R2372" i="56"/>
  <c r="Q2372" i="56"/>
  <c r="P2372" i="56"/>
  <c r="R2371" i="56"/>
  <c r="Q2371" i="56"/>
  <c r="P2371" i="56"/>
  <c r="R2370" i="56"/>
  <c r="Q2370" i="56"/>
  <c r="P2370" i="56"/>
  <c r="R2369" i="56"/>
  <c r="Q2369" i="56"/>
  <c r="P2369" i="56"/>
  <c r="R2368" i="56"/>
  <c r="Q2368" i="56"/>
  <c r="P2368" i="56"/>
  <c r="R2367" i="56"/>
  <c r="Q2367" i="56"/>
  <c r="P2367" i="56"/>
  <c r="R2366" i="56"/>
  <c r="Q2366" i="56"/>
  <c r="P2366" i="56"/>
  <c r="R2365" i="56"/>
  <c r="Q2365" i="56"/>
  <c r="P2365" i="56"/>
  <c r="R2364" i="56"/>
  <c r="Q2364" i="56"/>
  <c r="P2364" i="56"/>
  <c r="R2363" i="56"/>
  <c r="Q2363" i="56"/>
  <c r="P2363" i="56"/>
  <c r="R2362" i="56"/>
  <c r="Q2362" i="56"/>
  <c r="P2362" i="56"/>
  <c r="R2361" i="56"/>
  <c r="Q2361" i="56"/>
  <c r="P2361" i="56"/>
  <c r="R2360" i="56"/>
  <c r="Q2360" i="56"/>
  <c r="P2360" i="56"/>
  <c r="R2359" i="56"/>
  <c r="Q2359" i="56"/>
  <c r="P2359" i="56"/>
  <c r="R2358" i="56"/>
  <c r="Q2358" i="56"/>
  <c r="P2358" i="56"/>
  <c r="R2357" i="56"/>
  <c r="Q2357" i="56"/>
  <c r="P2357" i="56"/>
  <c r="R2356" i="56"/>
  <c r="Q2356" i="56"/>
  <c r="P2356" i="56"/>
  <c r="R2355" i="56"/>
  <c r="Q2355" i="56"/>
  <c r="P2355" i="56"/>
  <c r="R2354" i="56"/>
  <c r="Q2354" i="56"/>
  <c r="P2354" i="56"/>
  <c r="R2353" i="56"/>
  <c r="Q2353" i="56"/>
  <c r="P2353" i="56"/>
  <c r="R2352" i="56"/>
  <c r="Q2352" i="56"/>
  <c r="P2352" i="56"/>
  <c r="R2351" i="56"/>
  <c r="Q2351" i="56"/>
  <c r="P2351" i="56"/>
  <c r="R2350" i="56"/>
  <c r="Q2350" i="56"/>
  <c r="P2350" i="56"/>
  <c r="R2349" i="56"/>
  <c r="Q2349" i="56"/>
  <c r="P2349" i="56"/>
  <c r="R2348" i="56"/>
  <c r="Q2348" i="56"/>
  <c r="P2348" i="56"/>
  <c r="R2347" i="56"/>
  <c r="Q2347" i="56"/>
  <c r="P2347" i="56"/>
  <c r="R2346" i="56"/>
  <c r="Q2346" i="56"/>
  <c r="P2346" i="56"/>
  <c r="R2345" i="56"/>
  <c r="Q2345" i="56"/>
  <c r="P2345" i="56"/>
  <c r="R2344" i="56"/>
  <c r="Q2344" i="56"/>
  <c r="P2344" i="56"/>
  <c r="R2343" i="56"/>
  <c r="Q2343" i="56"/>
  <c r="P2343" i="56"/>
  <c r="R2342" i="56"/>
  <c r="Q2342" i="56"/>
  <c r="P2342" i="56"/>
  <c r="R2341" i="56"/>
  <c r="Q2341" i="56"/>
  <c r="P2341" i="56"/>
  <c r="R2340" i="56"/>
  <c r="Q2340" i="56"/>
  <c r="P2340" i="56"/>
  <c r="R2339" i="56"/>
  <c r="Q2339" i="56"/>
  <c r="P2339" i="56"/>
  <c r="R2338" i="56"/>
  <c r="Q2338" i="56"/>
  <c r="P2338" i="56"/>
  <c r="R2337" i="56"/>
  <c r="Q2337" i="56"/>
  <c r="P2337" i="56"/>
  <c r="R2336" i="56"/>
  <c r="Q2336" i="56"/>
  <c r="P2336" i="56"/>
  <c r="R2335" i="56"/>
  <c r="Q2335" i="56"/>
  <c r="P2335" i="56"/>
  <c r="R2334" i="56"/>
  <c r="Q2334" i="56"/>
  <c r="P2334" i="56"/>
  <c r="R2333" i="56"/>
  <c r="Q2333" i="56"/>
  <c r="P2333" i="56"/>
  <c r="R2332" i="56"/>
  <c r="Q2332" i="56"/>
  <c r="P2332" i="56"/>
  <c r="R2331" i="56"/>
  <c r="Q2331" i="56"/>
  <c r="P2331" i="56"/>
  <c r="R2330" i="56"/>
  <c r="Q2330" i="56"/>
  <c r="P2330" i="56"/>
  <c r="R2329" i="56"/>
  <c r="Q2329" i="56"/>
  <c r="P2329" i="56"/>
  <c r="R2328" i="56"/>
  <c r="Q2328" i="56"/>
  <c r="P2328" i="56"/>
  <c r="R2327" i="56"/>
  <c r="Q2327" i="56"/>
  <c r="P2327" i="56"/>
  <c r="R2326" i="56"/>
  <c r="Q2326" i="56"/>
  <c r="P2326" i="56"/>
  <c r="R2325" i="56"/>
  <c r="Q2325" i="56"/>
  <c r="P2325" i="56"/>
  <c r="R2324" i="56"/>
  <c r="Q2324" i="56"/>
  <c r="P2324" i="56"/>
  <c r="R2323" i="56"/>
  <c r="Q2323" i="56"/>
  <c r="P2323" i="56"/>
  <c r="R2322" i="56"/>
  <c r="Q2322" i="56"/>
  <c r="P2322" i="56"/>
  <c r="R2321" i="56"/>
  <c r="Q2321" i="56"/>
  <c r="P2321" i="56"/>
  <c r="R2320" i="56"/>
  <c r="Q2320" i="56"/>
  <c r="P2320" i="56"/>
  <c r="R2319" i="56"/>
  <c r="Q2319" i="56"/>
  <c r="P2319" i="56"/>
  <c r="R2318" i="56"/>
  <c r="Q2318" i="56"/>
  <c r="P2318" i="56"/>
  <c r="R2317" i="56"/>
  <c r="Q2317" i="56"/>
  <c r="P2317" i="56"/>
  <c r="R2316" i="56"/>
  <c r="Q2316" i="56"/>
  <c r="P2316" i="56"/>
  <c r="R2315" i="56"/>
  <c r="Q2315" i="56"/>
  <c r="P2315" i="56"/>
  <c r="R2314" i="56"/>
  <c r="Q2314" i="56"/>
  <c r="P2314" i="56"/>
  <c r="R2313" i="56"/>
  <c r="Q2313" i="56"/>
  <c r="P2313" i="56"/>
  <c r="R2312" i="56"/>
  <c r="Q2312" i="56"/>
  <c r="P2312" i="56"/>
  <c r="R2311" i="56"/>
  <c r="Q2311" i="56"/>
  <c r="P2311" i="56"/>
  <c r="R2310" i="56"/>
  <c r="Q2310" i="56"/>
  <c r="P2310" i="56"/>
  <c r="R2309" i="56"/>
  <c r="Q2309" i="56"/>
  <c r="P2309" i="56"/>
  <c r="R2308" i="56"/>
  <c r="Q2308" i="56"/>
  <c r="P2308" i="56"/>
  <c r="R2307" i="56"/>
  <c r="Q2307" i="56"/>
  <c r="P2307" i="56"/>
  <c r="R2306" i="56"/>
  <c r="Q2306" i="56"/>
  <c r="P2306" i="56"/>
  <c r="R2305" i="56"/>
  <c r="Q2305" i="56"/>
  <c r="P2305" i="56"/>
  <c r="R2304" i="56"/>
  <c r="Q2304" i="56"/>
  <c r="P2304" i="56"/>
  <c r="R2303" i="56"/>
  <c r="Q2303" i="56"/>
  <c r="P2303" i="56"/>
  <c r="R2302" i="56"/>
  <c r="Q2302" i="56"/>
  <c r="P2302" i="56"/>
  <c r="R2301" i="56"/>
  <c r="Q2301" i="56"/>
  <c r="P2301" i="56"/>
  <c r="R2300" i="56"/>
  <c r="Q2300" i="56"/>
  <c r="P2300" i="56"/>
  <c r="R2299" i="56"/>
  <c r="Q2299" i="56"/>
  <c r="P2299" i="56"/>
  <c r="R2298" i="56"/>
  <c r="Q2298" i="56"/>
  <c r="P2298" i="56"/>
  <c r="R2297" i="56"/>
  <c r="Q2297" i="56"/>
  <c r="P2297" i="56"/>
  <c r="R2296" i="56"/>
  <c r="Q2296" i="56"/>
  <c r="P2296" i="56"/>
  <c r="R2295" i="56"/>
  <c r="Q2295" i="56"/>
  <c r="P2295" i="56"/>
  <c r="R2294" i="56"/>
  <c r="Q2294" i="56"/>
  <c r="P2294" i="56"/>
  <c r="R2293" i="56"/>
  <c r="Q2293" i="56"/>
  <c r="P2293" i="56"/>
  <c r="R2292" i="56"/>
  <c r="Q2292" i="56"/>
  <c r="P2292" i="56"/>
  <c r="R2291" i="56"/>
  <c r="Q2291" i="56"/>
  <c r="P2291" i="56"/>
  <c r="R2290" i="56"/>
  <c r="Q2290" i="56"/>
  <c r="P2290" i="56"/>
  <c r="R2289" i="56"/>
  <c r="Q2289" i="56"/>
  <c r="P2289" i="56"/>
  <c r="R2288" i="56"/>
  <c r="Q2288" i="56"/>
  <c r="P2288" i="56"/>
  <c r="R2287" i="56"/>
  <c r="Q2287" i="56"/>
  <c r="P2287" i="56"/>
  <c r="R2286" i="56"/>
  <c r="Q2286" i="56"/>
  <c r="P2286" i="56"/>
  <c r="R2285" i="56"/>
  <c r="Q2285" i="56"/>
  <c r="P2285" i="56"/>
  <c r="R2284" i="56"/>
  <c r="Q2284" i="56"/>
  <c r="P2284" i="56"/>
  <c r="R2283" i="56"/>
  <c r="Q2283" i="56"/>
  <c r="P2283" i="56"/>
  <c r="R2282" i="56"/>
  <c r="Q2282" i="56"/>
  <c r="P2282" i="56"/>
  <c r="R2281" i="56"/>
  <c r="Q2281" i="56"/>
  <c r="P2281" i="56"/>
  <c r="R2280" i="56"/>
  <c r="Q2280" i="56"/>
  <c r="P2280" i="56"/>
  <c r="R2279" i="56"/>
  <c r="Q2279" i="56"/>
  <c r="P2279" i="56"/>
  <c r="R2278" i="56"/>
  <c r="Q2278" i="56"/>
  <c r="P2278" i="56"/>
  <c r="R2277" i="56"/>
  <c r="Q2277" i="56"/>
  <c r="P2277" i="56"/>
  <c r="R2276" i="56"/>
  <c r="Q2276" i="56"/>
  <c r="P2276" i="56"/>
  <c r="R2275" i="56"/>
  <c r="Q2275" i="56"/>
  <c r="P2275" i="56"/>
  <c r="R2274" i="56"/>
  <c r="Q2274" i="56"/>
  <c r="P2274" i="56"/>
  <c r="R2273" i="56"/>
  <c r="Q2273" i="56"/>
  <c r="P2273" i="56"/>
  <c r="R2272" i="56"/>
  <c r="Q2272" i="56"/>
  <c r="P2272" i="56"/>
  <c r="R2271" i="56"/>
  <c r="Q2271" i="56"/>
  <c r="P2271" i="56"/>
  <c r="R2270" i="56"/>
  <c r="Q2270" i="56"/>
  <c r="P2270" i="56"/>
  <c r="R2269" i="56"/>
  <c r="Q2269" i="56"/>
  <c r="P2269" i="56"/>
  <c r="R2268" i="56"/>
  <c r="Q2268" i="56"/>
  <c r="P2268" i="56"/>
  <c r="R2267" i="56"/>
  <c r="Q2267" i="56"/>
  <c r="P2267" i="56"/>
  <c r="R2266" i="56"/>
  <c r="Q2266" i="56"/>
  <c r="P2266" i="56"/>
  <c r="R2265" i="56"/>
  <c r="Q2265" i="56"/>
  <c r="P2265" i="56"/>
  <c r="R2264" i="56"/>
  <c r="Q2264" i="56"/>
  <c r="P2264" i="56"/>
  <c r="R2263" i="56"/>
  <c r="Q2263" i="56"/>
  <c r="P2263" i="56"/>
  <c r="R2262" i="56"/>
  <c r="Q2262" i="56"/>
  <c r="P2262" i="56"/>
  <c r="R2261" i="56"/>
  <c r="Q2261" i="56"/>
  <c r="P2261" i="56"/>
  <c r="R2260" i="56"/>
  <c r="Q2260" i="56"/>
  <c r="P2260" i="56"/>
  <c r="R2259" i="56"/>
  <c r="Q2259" i="56"/>
  <c r="P2259" i="56"/>
  <c r="R2258" i="56"/>
  <c r="Q2258" i="56"/>
  <c r="P2258" i="56"/>
  <c r="R2257" i="56"/>
  <c r="Q2257" i="56"/>
  <c r="P2257" i="56"/>
  <c r="R2256" i="56"/>
  <c r="Q2256" i="56"/>
  <c r="P2256" i="56"/>
  <c r="R2255" i="56"/>
  <c r="Q2255" i="56"/>
  <c r="P2255" i="56"/>
  <c r="R2254" i="56"/>
  <c r="Q2254" i="56"/>
  <c r="P2254" i="56"/>
  <c r="R2253" i="56"/>
  <c r="Q2253" i="56"/>
  <c r="P2253" i="56"/>
  <c r="R2252" i="56"/>
  <c r="Q2252" i="56"/>
  <c r="P2252" i="56"/>
  <c r="R2251" i="56"/>
  <c r="Q2251" i="56"/>
  <c r="P2251" i="56"/>
  <c r="R2250" i="56"/>
  <c r="Q2250" i="56"/>
  <c r="P2250" i="56"/>
  <c r="R2249" i="56"/>
  <c r="Q2249" i="56"/>
  <c r="P2249" i="56"/>
  <c r="R2248" i="56"/>
  <c r="Q2248" i="56"/>
  <c r="P2248" i="56"/>
  <c r="R2247" i="56"/>
  <c r="Q2247" i="56"/>
  <c r="P2247" i="56"/>
  <c r="R2246" i="56"/>
  <c r="Q2246" i="56"/>
  <c r="P2246" i="56"/>
  <c r="R2245" i="56"/>
  <c r="Q2245" i="56"/>
  <c r="P2245" i="56"/>
  <c r="R2244" i="56"/>
  <c r="Q2244" i="56"/>
  <c r="P2244" i="56"/>
  <c r="R2243" i="56"/>
  <c r="Q2243" i="56"/>
  <c r="P2243" i="56"/>
  <c r="R2242" i="56"/>
  <c r="Q2242" i="56"/>
  <c r="P2242" i="56"/>
  <c r="R2241" i="56"/>
  <c r="Q2241" i="56"/>
  <c r="P2241" i="56"/>
  <c r="R2240" i="56"/>
  <c r="Q2240" i="56"/>
  <c r="P2240" i="56"/>
  <c r="R2239" i="56"/>
  <c r="Q2239" i="56"/>
  <c r="P2239" i="56"/>
  <c r="R2238" i="56"/>
  <c r="Q2238" i="56"/>
  <c r="P2238" i="56"/>
  <c r="R2237" i="56"/>
  <c r="Q2237" i="56"/>
  <c r="P2237" i="56"/>
  <c r="R2236" i="56"/>
  <c r="Q2236" i="56"/>
  <c r="P2236" i="56"/>
  <c r="R2235" i="56"/>
  <c r="Q2235" i="56"/>
  <c r="P2235" i="56"/>
  <c r="R2234" i="56"/>
  <c r="Q2234" i="56"/>
  <c r="P2234" i="56"/>
  <c r="R2233" i="56"/>
  <c r="Q2233" i="56"/>
  <c r="P2233" i="56"/>
  <c r="R2232" i="56"/>
  <c r="Q2232" i="56"/>
  <c r="P2232" i="56"/>
  <c r="R2231" i="56"/>
  <c r="Q2231" i="56"/>
  <c r="P2231" i="56"/>
  <c r="R2230" i="56"/>
  <c r="Q2230" i="56"/>
  <c r="P2230" i="56"/>
  <c r="R2229" i="56"/>
  <c r="Q2229" i="56"/>
  <c r="P2229" i="56"/>
  <c r="R2228" i="56"/>
  <c r="Q2228" i="56"/>
  <c r="P2228" i="56"/>
  <c r="R2227" i="56"/>
  <c r="Q2227" i="56"/>
  <c r="P2227" i="56"/>
  <c r="R2226" i="56"/>
  <c r="Q2226" i="56"/>
  <c r="P2226" i="56"/>
  <c r="R2225" i="56"/>
  <c r="Q2225" i="56"/>
  <c r="P2225" i="56"/>
  <c r="R2224" i="56"/>
  <c r="Q2224" i="56"/>
  <c r="P2224" i="56"/>
  <c r="R2223" i="56"/>
  <c r="Q2223" i="56"/>
  <c r="P2223" i="56"/>
  <c r="R2222" i="56"/>
  <c r="Q2222" i="56"/>
  <c r="P2222" i="56"/>
  <c r="R2221" i="56"/>
  <c r="Q2221" i="56"/>
  <c r="P2221" i="56"/>
  <c r="R2220" i="56"/>
  <c r="Q2220" i="56"/>
  <c r="P2220" i="56"/>
  <c r="R2219" i="56"/>
  <c r="Q2219" i="56"/>
  <c r="P2219" i="56"/>
  <c r="R2218" i="56"/>
  <c r="Q2218" i="56"/>
  <c r="P2218" i="56"/>
  <c r="R2217" i="56"/>
  <c r="Q2217" i="56"/>
  <c r="P2217" i="56"/>
  <c r="R2216" i="56"/>
  <c r="Q2216" i="56"/>
  <c r="P2216" i="56"/>
  <c r="R2215" i="56"/>
  <c r="Q2215" i="56"/>
  <c r="P2215" i="56"/>
  <c r="R2214" i="56"/>
  <c r="Q2214" i="56"/>
  <c r="P2214" i="56"/>
  <c r="R2213" i="56"/>
  <c r="Q2213" i="56"/>
  <c r="P2213" i="56"/>
  <c r="R2212" i="56"/>
  <c r="Q2212" i="56"/>
  <c r="P2212" i="56"/>
  <c r="R2211" i="56"/>
  <c r="Q2211" i="56"/>
  <c r="P2211" i="56"/>
  <c r="R2210" i="56"/>
  <c r="Q2210" i="56"/>
  <c r="P2210" i="56"/>
  <c r="R2209" i="56"/>
  <c r="Q2209" i="56"/>
  <c r="P2209" i="56"/>
  <c r="R2208" i="56"/>
  <c r="Q2208" i="56"/>
  <c r="P2208" i="56"/>
  <c r="R2207" i="56"/>
  <c r="Q2207" i="56"/>
  <c r="P2207" i="56"/>
  <c r="R2206" i="56"/>
  <c r="Q2206" i="56"/>
  <c r="P2206" i="56"/>
  <c r="R2205" i="56"/>
  <c r="Q2205" i="56"/>
  <c r="P2205" i="56"/>
  <c r="R2204" i="56"/>
  <c r="Q2204" i="56"/>
  <c r="P2204" i="56"/>
  <c r="R2203" i="56"/>
  <c r="Q2203" i="56"/>
  <c r="P2203" i="56"/>
  <c r="R2202" i="56"/>
  <c r="Q2202" i="56"/>
  <c r="P2202" i="56"/>
  <c r="R2201" i="56"/>
  <c r="Q2201" i="56"/>
  <c r="P2201" i="56"/>
  <c r="R2200" i="56"/>
  <c r="Q2200" i="56"/>
  <c r="P2200" i="56"/>
  <c r="R2199" i="56"/>
  <c r="Q2199" i="56"/>
  <c r="P2199" i="56"/>
  <c r="R2198" i="56"/>
  <c r="Q2198" i="56"/>
  <c r="P2198" i="56"/>
  <c r="R2197" i="56"/>
  <c r="Q2197" i="56"/>
  <c r="P2197" i="56"/>
  <c r="R2196" i="56"/>
  <c r="Q2196" i="56"/>
  <c r="P2196" i="56"/>
  <c r="R2195" i="56"/>
  <c r="Q2195" i="56"/>
  <c r="P2195" i="56"/>
  <c r="R2194" i="56"/>
  <c r="Q2194" i="56"/>
  <c r="P2194" i="56"/>
  <c r="R2193" i="56"/>
  <c r="Q2193" i="56"/>
  <c r="P2193" i="56"/>
  <c r="R2192" i="56"/>
  <c r="Q2192" i="56"/>
  <c r="P2192" i="56"/>
  <c r="R2191" i="56"/>
  <c r="Q2191" i="56"/>
  <c r="P2191" i="56"/>
  <c r="R2190" i="56"/>
  <c r="Q2190" i="56"/>
  <c r="P2190" i="56"/>
  <c r="R2189" i="56"/>
  <c r="Q2189" i="56"/>
  <c r="P2189" i="56"/>
  <c r="R2188" i="56"/>
  <c r="Q2188" i="56"/>
  <c r="P2188" i="56"/>
  <c r="R2187" i="56"/>
  <c r="Q2187" i="56"/>
  <c r="P2187" i="56"/>
  <c r="R2186" i="56"/>
  <c r="Q2186" i="56"/>
  <c r="P2186" i="56"/>
  <c r="R2185" i="56"/>
  <c r="Q2185" i="56"/>
  <c r="P2185" i="56"/>
  <c r="R2184" i="56"/>
  <c r="Q2184" i="56"/>
  <c r="P2184" i="56"/>
  <c r="R2183" i="56"/>
  <c r="Q2183" i="56"/>
  <c r="P2183" i="56"/>
  <c r="R2182" i="56"/>
  <c r="Q2182" i="56"/>
  <c r="P2182" i="56"/>
  <c r="R2181" i="56"/>
  <c r="Q2181" i="56"/>
  <c r="P2181" i="56"/>
  <c r="R2180" i="56"/>
  <c r="Q2180" i="56"/>
  <c r="P2180" i="56"/>
  <c r="R2179" i="56"/>
  <c r="Q2179" i="56"/>
  <c r="P2179" i="56"/>
  <c r="R2178" i="56"/>
  <c r="Q2178" i="56"/>
  <c r="P2178" i="56"/>
  <c r="R2177" i="56"/>
  <c r="Q2177" i="56"/>
  <c r="P2177" i="56"/>
  <c r="R2176" i="56"/>
  <c r="Q2176" i="56"/>
  <c r="P2176" i="56"/>
  <c r="R2175" i="56"/>
  <c r="Q2175" i="56"/>
  <c r="P2175" i="56"/>
  <c r="R2174" i="56"/>
  <c r="Q2174" i="56"/>
  <c r="P2174" i="56"/>
  <c r="R2173" i="56"/>
  <c r="Q2173" i="56"/>
  <c r="P2173" i="56"/>
  <c r="R2172" i="56"/>
  <c r="Q2172" i="56"/>
  <c r="P2172" i="56"/>
  <c r="R2171" i="56"/>
  <c r="Q2171" i="56"/>
  <c r="P2171" i="56"/>
  <c r="R2170" i="56"/>
  <c r="Q2170" i="56"/>
  <c r="P2170" i="56"/>
  <c r="R2169" i="56"/>
  <c r="Q2169" i="56"/>
  <c r="P2169" i="56"/>
  <c r="R2168" i="56"/>
  <c r="Q2168" i="56"/>
  <c r="P2168" i="56"/>
  <c r="R2167" i="56"/>
  <c r="Q2167" i="56"/>
  <c r="P2167" i="56"/>
  <c r="R2166" i="56"/>
  <c r="Q2166" i="56"/>
  <c r="P2166" i="56"/>
  <c r="R2165" i="56"/>
  <c r="Q2165" i="56"/>
  <c r="P2165" i="56"/>
  <c r="R2164" i="56"/>
  <c r="Q2164" i="56"/>
  <c r="P2164" i="56"/>
  <c r="R2163" i="56"/>
  <c r="Q2163" i="56"/>
  <c r="P2163" i="56"/>
  <c r="R2162" i="56"/>
  <c r="Q2162" i="56"/>
  <c r="P2162" i="56"/>
  <c r="R2161" i="56"/>
  <c r="Q2161" i="56"/>
  <c r="P2161" i="56"/>
  <c r="R2160" i="56"/>
  <c r="Q2160" i="56"/>
  <c r="P2160" i="56"/>
  <c r="R2159" i="56"/>
  <c r="Q2159" i="56"/>
  <c r="P2159" i="56"/>
  <c r="R2158" i="56"/>
  <c r="Q2158" i="56"/>
  <c r="P2158" i="56"/>
  <c r="R2157" i="56"/>
  <c r="Q2157" i="56"/>
  <c r="P2157" i="56"/>
  <c r="R2156" i="56"/>
  <c r="Q2156" i="56"/>
  <c r="P2156" i="56"/>
  <c r="R2155" i="56"/>
  <c r="Q2155" i="56"/>
  <c r="P2155" i="56"/>
  <c r="R2154" i="56"/>
  <c r="Q2154" i="56"/>
  <c r="P2154" i="56"/>
  <c r="R2153" i="56"/>
  <c r="Q2153" i="56"/>
  <c r="P2153" i="56"/>
  <c r="R2152" i="56"/>
  <c r="Q2152" i="56"/>
  <c r="P2152" i="56"/>
  <c r="R2151" i="56"/>
  <c r="Q2151" i="56"/>
  <c r="P2151" i="56"/>
  <c r="R2150" i="56"/>
  <c r="Q2150" i="56"/>
  <c r="P2150" i="56"/>
  <c r="R2149" i="56"/>
  <c r="Q2149" i="56"/>
  <c r="P2149" i="56"/>
  <c r="R2148" i="56"/>
  <c r="Q2148" i="56"/>
  <c r="P2148" i="56"/>
  <c r="R2147" i="56"/>
  <c r="Q2147" i="56"/>
  <c r="P2147" i="56"/>
  <c r="R2146" i="56"/>
  <c r="Q2146" i="56"/>
  <c r="P2146" i="56"/>
  <c r="R2145" i="56"/>
  <c r="Q2145" i="56"/>
  <c r="P2145" i="56"/>
  <c r="R2144" i="56"/>
  <c r="Q2144" i="56"/>
  <c r="P2144" i="56"/>
  <c r="R2143" i="56"/>
  <c r="Q2143" i="56"/>
  <c r="P2143" i="56"/>
  <c r="R2142" i="56"/>
  <c r="Q2142" i="56"/>
  <c r="P2142" i="56"/>
  <c r="R2141" i="56"/>
  <c r="Q2141" i="56"/>
  <c r="P2141" i="56"/>
  <c r="R2050" i="56"/>
  <c r="Q2050" i="56"/>
  <c r="P2050" i="56"/>
  <c r="R2049" i="56"/>
  <c r="Q2049" i="56"/>
  <c r="P2049" i="56"/>
  <c r="R2048" i="56"/>
  <c r="Q2048" i="56"/>
  <c r="P2048" i="56"/>
  <c r="R2037" i="56"/>
  <c r="Q2037" i="56"/>
  <c r="P2037" i="56"/>
  <c r="R2030" i="56"/>
  <c r="Q2030" i="56"/>
  <c r="P2030" i="56"/>
  <c r="R2028" i="56"/>
  <c r="Q2028" i="56"/>
  <c r="P2028" i="56"/>
  <c r="R2026" i="56"/>
  <c r="Q2026" i="56"/>
  <c r="P2026" i="56"/>
  <c r="R2025" i="56"/>
  <c r="Q2025" i="56"/>
  <c r="P2025" i="56"/>
  <c r="R2024" i="56"/>
  <c r="Q2024" i="56"/>
  <c r="P2024" i="56"/>
  <c r="R2023" i="56"/>
  <c r="Q2023" i="56"/>
  <c r="P2023" i="56"/>
  <c r="R2021" i="56"/>
  <c r="Q2021" i="56"/>
  <c r="P2021" i="56"/>
  <c r="R2029" i="56"/>
  <c r="Q2029" i="56"/>
  <c r="P2029" i="56"/>
  <c r="R2020" i="56"/>
  <c r="Q2020" i="56"/>
  <c r="P2020" i="56"/>
  <c r="R2019" i="56"/>
  <c r="Q2019" i="56"/>
  <c r="P2019" i="56"/>
  <c r="R2018" i="56"/>
  <c r="Q2018" i="56"/>
  <c r="P2018" i="56"/>
  <c r="R2017" i="56"/>
  <c r="Q2017" i="56"/>
  <c r="P2017" i="56"/>
  <c r="R2016" i="56"/>
  <c r="Q2016" i="56"/>
  <c r="P2016" i="56"/>
  <c r="R2015" i="56"/>
  <c r="Q2015" i="56"/>
  <c r="P2015" i="56"/>
  <c r="R2014" i="56"/>
  <c r="Q2014" i="56"/>
  <c r="R2013" i="56"/>
  <c r="Q2013" i="56"/>
  <c r="P2013" i="56"/>
  <c r="R2012" i="56"/>
  <c r="Q2012" i="56"/>
  <c r="P2012" i="56"/>
  <c r="R2011" i="56"/>
  <c r="Q2011" i="56"/>
  <c r="P2011" i="56"/>
  <c r="R2010" i="56"/>
  <c r="Q2010" i="56"/>
  <c r="P2010" i="56"/>
  <c r="R2009" i="56"/>
  <c r="Q2009" i="56"/>
  <c r="P2009" i="56"/>
  <c r="R2008" i="56"/>
  <c r="Q2008" i="56"/>
  <c r="P2008" i="56"/>
  <c r="R2007" i="56"/>
  <c r="Q2007" i="56"/>
  <c r="P2007" i="56"/>
  <c r="R2006" i="56"/>
  <c r="Q2006" i="56"/>
  <c r="P2006" i="56"/>
  <c r="R2005" i="56"/>
  <c r="Q2005" i="56"/>
  <c r="P2005" i="56"/>
  <c r="R2004" i="56"/>
  <c r="Q2004" i="56"/>
  <c r="P2004" i="56"/>
  <c r="R2003" i="56"/>
  <c r="Q2003" i="56"/>
  <c r="P2003" i="56"/>
  <c r="R2002" i="56"/>
  <c r="Q2002" i="56"/>
  <c r="P2002" i="56"/>
  <c r="R2001" i="56"/>
  <c r="Q2001" i="56"/>
  <c r="P2001" i="56"/>
  <c r="R2000" i="56"/>
  <c r="Q2000" i="56"/>
  <c r="P2000" i="56"/>
  <c r="R1999" i="56"/>
  <c r="Q1999" i="56"/>
  <c r="P1999" i="56"/>
  <c r="R1998" i="56"/>
  <c r="Q1998" i="56"/>
  <c r="P1998" i="56"/>
  <c r="R1997" i="56"/>
  <c r="Q1997" i="56"/>
  <c r="P1997" i="56"/>
  <c r="R1996" i="56"/>
  <c r="Q1996" i="56"/>
  <c r="P1996" i="56"/>
  <c r="R1995" i="56"/>
  <c r="Q1995" i="56"/>
  <c r="P1995" i="56"/>
  <c r="R1994" i="56"/>
  <c r="Q1994" i="56"/>
  <c r="P1994" i="56"/>
  <c r="R1993" i="56"/>
  <c r="Q1993" i="56"/>
  <c r="P1993" i="56"/>
  <c r="R1982" i="56"/>
  <c r="R1981" i="56"/>
  <c r="R1980" i="56"/>
  <c r="R1979" i="56"/>
  <c r="P1979" i="56"/>
  <c r="R1978" i="56"/>
  <c r="R1977" i="56"/>
  <c r="R1976" i="56"/>
  <c r="Q1976" i="56"/>
  <c r="R1975" i="56"/>
  <c r="R1974" i="56"/>
  <c r="Q1973" i="56"/>
  <c r="R1972" i="56"/>
  <c r="R1971" i="56"/>
  <c r="Q1971" i="56"/>
  <c r="R1970" i="56"/>
  <c r="R1969" i="56"/>
  <c r="R1968" i="56"/>
  <c r="P1968" i="56"/>
  <c r="R1967" i="56"/>
  <c r="R1966" i="56"/>
  <c r="R1965" i="56"/>
  <c r="Q1965" i="56"/>
  <c r="R1964" i="56"/>
  <c r="R1963" i="56"/>
  <c r="R1961" i="56"/>
  <c r="R1960" i="56"/>
  <c r="R1959" i="56"/>
  <c r="P1959" i="56"/>
  <c r="R1958" i="56"/>
  <c r="R1956" i="56"/>
  <c r="R1948" i="56"/>
  <c r="Q1948" i="56"/>
  <c r="R1947" i="56"/>
  <c r="R1946" i="56"/>
  <c r="R1945" i="56"/>
  <c r="Q1945" i="56"/>
  <c r="R1941" i="56"/>
  <c r="R1940" i="56"/>
  <c r="R1939" i="56"/>
  <c r="R1938" i="56"/>
  <c r="R1937" i="56"/>
  <c r="R1827" i="56"/>
  <c r="P1827" i="56"/>
  <c r="R1810" i="56"/>
  <c r="R1807" i="56"/>
  <c r="R1780" i="56"/>
  <c r="R1774" i="56"/>
  <c r="R1765" i="56"/>
  <c r="R1764" i="56"/>
  <c r="R1759" i="56"/>
  <c r="R1748" i="56"/>
  <c r="R1724" i="56"/>
  <c r="R1712" i="56"/>
  <c r="R1711" i="56"/>
  <c r="R1710" i="56"/>
  <c r="R1709" i="56"/>
  <c r="R1707" i="56"/>
  <c r="R1705" i="56"/>
  <c r="R1704" i="56"/>
  <c r="R1703" i="56"/>
  <c r="Q1703" i="56"/>
  <c r="R1702" i="56"/>
  <c r="R1701" i="56"/>
  <c r="R1700" i="56"/>
  <c r="R1699" i="56"/>
  <c r="Q1699" i="56"/>
  <c r="R1698" i="56"/>
  <c r="R1697" i="56"/>
  <c r="R1685" i="56"/>
  <c r="R1684" i="56"/>
  <c r="R1683" i="56"/>
  <c r="R1682" i="56"/>
  <c r="R1681" i="56"/>
  <c r="R1680" i="56"/>
  <c r="R1679" i="56"/>
  <c r="R1678" i="56"/>
  <c r="R1677" i="56"/>
  <c r="P1677" i="56"/>
  <c r="R1676" i="56"/>
  <c r="R1675" i="56"/>
  <c r="R1674" i="56"/>
  <c r="R1673" i="56"/>
  <c r="R1672" i="56"/>
  <c r="R1671" i="56"/>
  <c r="Q1671" i="56"/>
  <c r="R1670" i="56"/>
  <c r="R1667" i="56"/>
  <c r="R1666" i="56"/>
  <c r="R1664" i="56"/>
  <c r="R1663" i="56"/>
  <c r="R1650" i="56"/>
  <c r="R1646" i="56"/>
  <c r="R1645" i="56"/>
  <c r="R1644" i="56"/>
  <c r="R1643" i="56"/>
  <c r="R1641" i="56"/>
  <c r="R1640" i="56"/>
  <c r="R1638" i="56"/>
  <c r="R1637" i="56"/>
  <c r="R1636" i="56"/>
  <c r="R1369" i="56"/>
  <c r="R1368" i="56"/>
  <c r="R1360" i="56"/>
  <c r="R1354" i="56"/>
  <c r="R1342" i="56"/>
  <c r="R1341" i="56"/>
  <c r="R1340" i="56"/>
  <c r="R1339" i="56"/>
  <c r="R1336" i="56"/>
  <c r="R1335" i="56"/>
  <c r="R1334" i="56"/>
  <c r="R1333" i="56"/>
  <c r="R1331" i="56"/>
  <c r="R1330" i="56"/>
  <c r="R1329" i="56"/>
  <c r="R1328" i="56"/>
  <c r="R1327" i="56"/>
  <c r="R1326" i="56"/>
  <c r="R1325" i="56"/>
  <c r="R1324" i="56"/>
  <c r="R1323" i="56"/>
  <c r="R1322" i="56"/>
  <c r="R1321" i="56"/>
  <c r="R1320" i="56"/>
  <c r="R1319" i="56"/>
  <c r="R1314" i="56"/>
  <c r="R1313" i="56"/>
  <c r="R1312" i="56"/>
  <c r="R1311" i="56"/>
  <c r="R1310" i="56"/>
  <c r="R1309" i="56"/>
  <c r="R1308" i="56"/>
  <c r="R1307" i="56"/>
  <c r="R1306" i="56"/>
  <c r="R1305" i="56"/>
  <c r="R1304" i="56"/>
  <c r="R1303" i="56"/>
  <c r="R1302" i="56"/>
  <c r="R1301" i="56"/>
  <c r="R1300" i="56"/>
  <c r="R1299" i="56"/>
  <c r="R1298" i="56"/>
  <c r="R1297" i="56"/>
  <c r="R1296" i="56"/>
  <c r="R1295" i="56"/>
  <c r="R1294" i="56"/>
  <c r="R1293" i="56"/>
  <c r="R1292" i="56"/>
  <c r="R1291" i="56"/>
  <c r="R1290" i="56"/>
  <c r="R1289" i="56"/>
  <c r="R1288" i="56"/>
  <c r="R1287" i="56"/>
  <c r="R1286" i="56"/>
  <c r="R1285" i="56"/>
  <c r="R1284" i="56"/>
  <c r="R1283" i="56"/>
  <c r="R1282" i="56"/>
  <c r="R1281" i="56"/>
  <c r="R1280" i="56"/>
  <c r="R1279" i="56"/>
  <c r="R1278" i="56"/>
  <c r="R1277" i="56"/>
  <c r="R1276" i="56"/>
  <c r="R1275" i="56"/>
  <c r="R1274" i="56"/>
  <c r="R1273" i="56"/>
  <c r="R1272" i="56"/>
  <c r="R1271" i="56"/>
  <c r="R1270" i="56"/>
  <c r="R1269" i="56"/>
  <c r="R1268" i="56"/>
  <c r="R1267" i="56"/>
  <c r="R1266" i="56"/>
  <c r="R1265" i="56"/>
  <c r="R1264" i="56"/>
  <c r="R1263" i="56"/>
  <c r="R1262" i="56"/>
  <c r="R1261" i="56"/>
  <c r="R1260" i="56"/>
  <c r="R1259" i="56"/>
  <c r="R1258" i="56"/>
  <c r="R1257" i="56"/>
  <c r="R1256" i="56"/>
  <c r="R1255" i="56"/>
  <c r="R1254" i="56"/>
  <c r="R1253" i="56"/>
  <c r="R1252" i="56"/>
  <c r="R1251" i="56"/>
  <c r="R1250" i="56"/>
  <c r="R1249" i="56"/>
  <c r="R1248" i="56"/>
  <c r="R1247" i="56"/>
  <c r="R1246" i="56"/>
  <c r="R1245" i="56"/>
  <c r="R1244" i="56"/>
  <c r="R1243" i="56"/>
  <c r="R1242" i="56"/>
  <c r="R1241" i="56"/>
  <c r="R1240" i="56"/>
  <c r="R1239" i="56"/>
  <c r="R1238" i="56"/>
  <c r="R1237" i="56"/>
  <c r="R1236" i="56"/>
  <c r="R1235" i="56"/>
  <c r="R1234" i="56"/>
  <c r="R1233" i="56"/>
  <c r="R1232" i="56"/>
  <c r="R1231" i="56"/>
  <c r="R1230" i="56"/>
  <c r="R1229" i="56"/>
  <c r="R1228" i="56"/>
  <c r="R1227" i="56"/>
  <c r="R1226" i="56"/>
  <c r="R1225" i="56"/>
  <c r="R1224" i="56"/>
  <c r="R1223" i="56"/>
  <c r="R1222" i="56"/>
  <c r="R1221" i="56"/>
  <c r="R1220" i="56"/>
  <c r="R1219" i="56"/>
  <c r="R1218" i="56"/>
  <c r="R1217" i="56"/>
  <c r="R1216" i="56"/>
  <c r="R1215" i="56"/>
  <c r="R1214" i="56"/>
  <c r="R1213" i="56"/>
  <c r="R1212" i="56"/>
  <c r="R1211" i="56"/>
  <c r="R1210" i="56"/>
  <c r="R1209" i="56"/>
  <c r="R1208" i="56"/>
  <c r="R1207" i="56"/>
  <c r="R1206" i="56"/>
  <c r="R1205" i="56"/>
  <c r="R1204" i="56"/>
  <c r="R1203" i="56"/>
  <c r="R1202" i="56"/>
  <c r="R1201" i="56"/>
  <c r="R1200" i="56"/>
  <c r="R1199" i="56"/>
  <c r="R1193" i="56"/>
  <c r="R1187" i="56"/>
  <c r="R1177" i="56"/>
  <c r="R1176" i="56"/>
  <c r="R1174" i="56"/>
  <c r="R1167" i="56"/>
  <c r="R1166" i="56"/>
  <c r="R1165" i="56"/>
  <c r="R1162" i="56"/>
  <c r="R1154" i="56"/>
  <c r="R1153" i="56"/>
  <c r="R1152" i="56"/>
  <c r="R1151" i="56"/>
  <c r="R1148" i="56"/>
  <c r="R1146" i="56"/>
  <c r="R1145" i="56"/>
  <c r="R1144" i="56"/>
  <c r="R1143" i="56"/>
  <c r="R1142" i="56"/>
  <c r="R1141" i="56"/>
  <c r="R1137" i="56"/>
  <c r="R1129" i="56"/>
  <c r="R1128" i="56"/>
  <c r="R1127" i="56"/>
  <c r="R1122" i="56"/>
  <c r="R1117" i="56"/>
  <c r="R1116" i="56"/>
  <c r="R1115" i="56"/>
  <c r="R1114" i="56"/>
  <c r="R1113" i="56"/>
  <c r="R1112" i="56"/>
  <c r="R1111" i="56"/>
  <c r="R1110" i="56"/>
  <c r="R1109" i="56"/>
  <c r="R1108" i="56"/>
  <c r="R1107" i="56"/>
  <c r="R1105" i="56"/>
  <c r="R1104" i="56"/>
  <c r="R1102" i="56"/>
  <c r="R1101" i="56"/>
  <c r="R1099" i="56"/>
  <c r="R1098" i="56"/>
  <c r="R1097" i="56"/>
  <c r="R1096" i="56"/>
  <c r="R1095" i="56"/>
  <c r="R1094" i="56"/>
  <c r="R1093" i="56"/>
  <c r="R1092" i="56"/>
  <c r="R1091" i="56"/>
  <c r="R1090" i="56"/>
  <c r="R1089" i="56"/>
  <c r="R1085" i="56"/>
  <c r="R1084" i="56"/>
  <c r="R1083" i="56"/>
  <c r="R1082" i="56"/>
  <c r="R1081" i="56"/>
  <c r="R1080" i="56"/>
  <c r="R1079" i="56"/>
  <c r="R1074" i="56"/>
  <c r="R1066" i="56"/>
  <c r="R1065" i="56"/>
  <c r="R1063" i="56"/>
  <c r="R1061" i="56"/>
  <c r="R1060" i="56"/>
  <c r="R1058" i="56"/>
  <c r="R1057" i="56"/>
  <c r="R1056" i="56"/>
  <c r="R1045" i="56"/>
  <c r="R1044" i="56"/>
  <c r="R1043" i="56"/>
  <c r="R1042" i="56"/>
  <c r="R1039" i="56"/>
  <c r="R1038" i="56"/>
  <c r="R1037" i="56"/>
  <c r="R1030" i="56"/>
  <c r="R1027" i="56"/>
  <c r="R1026" i="56"/>
  <c r="R1025" i="56"/>
  <c r="R1024" i="56"/>
  <c r="R1023" i="56"/>
  <c r="R1022" i="56"/>
  <c r="R1021" i="56"/>
  <c r="R1020" i="56"/>
  <c r="R1019" i="56"/>
  <c r="R1018" i="56"/>
  <c r="R1017" i="56"/>
  <c r="R1016" i="56"/>
  <c r="R1015" i="56"/>
  <c r="R1014" i="56"/>
  <c r="R1013" i="56"/>
  <c r="R1012" i="56"/>
  <c r="R1011" i="56"/>
  <c r="R1010" i="56"/>
  <c r="R1009" i="56"/>
  <c r="R1008" i="56"/>
  <c r="R1007" i="56"/>
  <c r="R1006" i="56"/>
  <c r="R1005" i="56"/>
  <c r="R1004" i="56"/>
  <c r="R1002" i="56"/>
  <c r="R1001" i="56"/>
  <c r="R1000" i="56"/>
  <c r="R997" i="56"/>
  <c r="R996" i="56"/>
  <c r="R995" i="56"/>
  <c r="R980" i="56"/>
  <c r="R979" i="56"/>
  <c r="R978" i="56"/>
  <c r="R977" i="56"/>
  <c r="R976" i="56"/>
  <c r="R975" i="56"/>
  <c r="R974" i="56"/>
  <c r="R973" i="56"/>
  <c r="R972" i="56"/>
  <c r="R971" i="56"/>
  <c r="R970" i="56"/>
  <c r="R969" i="56"/>
  <c r="R968" i="56"/>
  <c r="R967" i="56"/>
  <c r="R939" i="56"/>
  <c r="R938" i="56"/>
  <c r="R937" i="56"/>
  <c r="R936" i="56"/>
  <c r="R935" i="56"/>
  <c r="R934" i="56"/>
  <c r="R850" i="56"/>
  <c r="R844" i="56"/>
  <c r="R843" i="56"/>
  <c r="R842" i="56"/>
  <c r="R841" i="56"/>
  <c r="R840" i="56"/>
  <c r="R839" i="56"/>
  <c r="R838" i="56"/>
  <c r="R837" i="56"/>
  <c r="R836" i="56"/>
  <c r="R835" i="56"/>
  <c r="R834" i="56"/>
  <c r="R833" i="56"/>
  <c r="R832" i="56"/>
  <c r="R831" i="56"/>
  <c r="R830" i="56"/>
  <c r="R829" i="56"/>
  <c r="R828" i="56"/>
  <c r="R827" i="56"/>
  <c r="R826" i="56"/>
  <c r="R825" i="56"/>
  <c r="R824" i="56"/>
  <c r="R823" i="56"/>
  <c r="R822" i="56"/>
  <c r="R821" i="56"/>
  <c r="R818" i="56"/>
  <c r="R817" i="56"/>
  <c r="R759" i="56"/>
  <c r="R757" i="56"/>
  <c r="R720" i="56"/>
  <c r="R698" i="56"/>
  <c r="R691" i="56"/>
  <c r="R687" i="56"/>
  <c r="R686" i="56"/>
  <c r="R685" i="56"/>
  <c r="R684" i="56"/>
  <c r="R683" i="56"/>
  <c r="R677" i="56"/>
  <c r="R676" i="56"/>
  <c r="R675" i="56"/>
  <c r="R674" i="56"/>
  <c r="R673" i="56"/>
  <c r="R672" i="56"/>
  <c r="R671" i="56"/>
  <c r="R670" i="56"/>
  <c r="R667" i="56"/>
  <c r="R666" i="56"/>
  <c r="R665" i="56"/>
  <c r="R664" i="56"/>
  <c r="R647" i="56"/>
  <c r="R646" i="56"/>
  <c r="R645" i="56"/>
  <c r="R644" i="56"/>
  <c r="R643" i="56"/>
  <c r="R642" i="56"/>
  <c r="R640" i="56"/>
  <c r="R638" i="56"/>
  <c r="R621" i="56"/>
  <c r="R620" i="56"/>
  <c r="R618" i="56"/>
  <c r="R617" i="56"/>
  <c r="R616" i="56"/>
  <c r="R615" i="56"/>
  <c r="R614" i="56"/>
  <c r="R613" i="56"/>
  <c r="R612" i="56"/>
  <c r="R611" i="56"/>
  <c r="R610" i="56"/>
  <c r="R609" i="56"/>
  <c r="R608" i="56"/>
  <c r="R607" i="56"/>
  <c r="R606" i="56"/>
  <c r="R605" i="56"/>
  <c r="R604" i="56"/>
  <c r="R603" i="56"/>
  <c r="R602" i="56"/>
  <c r="R601" i="56"/>
  <c r="R600" i="56"/>
  <c r="R599" i="56"/>
  <c r="R598" i="56"/>
  <c r="R597" i="56"/>
  <c r="R577" i="56"/>
  <c r="R576" i="56"/>
  <c r="R574" i="56"/>
  <c r="R572" i="56"/>
  <c r="R564" i="56"/>
  <c r="R563" i="56"/>
  <c r="R561" i="56"/>
  <c r="R551" i="56"/>
  <c r="R549" i="56"/>
  <c r="R548" i="56"/>
  <c r="R547" i="56"/>
  <c r="R546" i="56"/>
  <c r="R545" i="56"/>
  <c r="R544" i="56"/>
  <c r="R543" i="56"/>
  <c r="R542" i="56"/>
  <c r="R541" i="56"/>
  <c r="R540" i="56"/>
  <c r="R539" i="56"/>
  <c r="R538" i="56"/>
  <c r="R537" i="56"/>
  <c r="R536" i="56"/>
  <c r="R528" i="56"/>
  <c r="R527" i="56"/>
  <c r="R515" i="56"/>
  <c r="R514" i="56"/>
  <c r="R513" i="56"/>
  <c r="R512" i="56"/>
  <c r="R6" i="56"/>
  <c r="R5" i="56"/>
  <c r="R4" i="56"/>
  <c r="A1" i="56"/>
  <c r="R2731" i="55"/>
  <c r="Q2731" i="55"/>
  <c r="P2731" i="55"/>
  <c r="R2730" i="55"/>
  <c r="Q2730" i="55"/>
  <c r="P2730" i="55"/>
  <c r="R2729" i="55"/>
  <c r="Q2729" i="55"/>
  <c r="P2729" i="55"/>
  <c r="R2728" i="55"/>
  <c r="Q2728" i="55"/>
  <c r="P2728" i="55"/>
  <c r="R2727" i="55"/>
  <c r="Q2727" i="55"/>
  <c r="P2727" i="55"/>
  <c r="R2726" i="55"/>
  <c r="Q2726" i="55"/>
  <c r="P2726" i="55"/>
  <c r="R2725" i="55"/>
  <c r="Q2725" i="55"/>
  <c r="P2725" i="55"/>
  <c r="R2724" i="55"/>
  <c r="Q2724" i="55"/>
  <c r="P2724" i="55"/>
  <c r="R2723" i="55"/>
  <c r="Q2723" i="55"/>
  <c r="P2723" i="55"/>
  <c r="R2722" i="55"/>
  <c r="Q2722" i="55"/>
  <c r="P2722" i="55"/>
  <c r="R2721" i="55"/>
  <c r="Q2721" i="55"/>
  <c r="P2721" i="55"/>
  <c r="R2720" i="55"/>
  <c r="Q2720" i="55"/>
  <c r="P2720" i="55"/>
  <c r="R2719" i="55"/>
  <c r="Q2719" i="55"/>
  <c r="P2719" i="55"/>
  <c r="R2718" i="55"/>
  <c r="Q2718" i="55"/>
  <c r="P2718" i="55"/>
  <c r="R2717" i="55"/>
  <c r="Q2717" i="55"/>
  <c r="P2717" i="55"/>
  <c r="R2716" i="55"/>
  <c r="Q2716" i="55"/>
  <c r="P2716" i="55"/>
  <c r="R2715" i="55"/>
  <c r="Q2715" i="55"/>
  <c r="P2715" i="55"/>
  <c r="R2714" i="55"/>
  <c r="Q2714" i="55"/>
  <c r="P2714" i="55"/>
  <c r="R2713" i="55"/>
  <c r="Q2713" i="55"/>
  <c r="P2713" i="55"/>
  <c r="R2712" i="55"/>
  <c r="Q2712" i="55"/>
  <c r="P2712" i="55"/>
  <c r="R2711" i="55"/>
  <c r="Q2711" i="55"/>
  <c r="P2711" i="55"/>
  <c r="R2710" i="55"/>
  <c r="Q2710" i="55"/>
  <c r="P2710" i="55"/>
  <c r="R2709" i="55"/>
  <c r="Q2709" i="55"/>
  <c r="P2709" i="55"/>
  <c r="R2708" i="55"/>
  <c r="Q2708" i="55"/>
  <c r="P2708" i="55"/>
  <c r="R2707" i="55"/>
  <c r="Q2707" i="55"/>
  <c r="P2707" i="55"/>
  <c r="R2706" i="55"/>
  <c r="Q2706" i="55"/>
  <c r="P2706" i="55"/>
  <c r="R2705" i="55"/>
  <c r="Q2705" i="55"/>
  <c r="P2705" i="55"/>
  <c r="R2704" i="55"/>
  <c r="Q2704" i="55"/>
  <c r="P2704" i="55"/>
  <c r="R2703" i="55"/>
  <c r="Q2703" i="55"/>
  <c r="P2703" i="55"/>
  <c r="R2702" i="55"/>
  <c r="Q2702" i="55"/>
  <c r="P2702" i="55"/>
  <c r="R2701" i="55"/>
  <c r="Q2701" i="55"/>
  <c r="P2701" i="55"/>
  <c r="R2700" i="55"/>
  <c r="Q2700" i="55"/>
  <c r="P2700" i="55"/>
  <c r="R2699" i="55"/>
  <c r="Q2699" i="55"/>
  <c r="P2699" i="55"/>
  <c r="R2698" i="55"/>
  <c r="Q2698" i="55"/>
  <c r="P2698" i="55"/>
  <c r="R2697" i="55"/>
  <c r="Q2697" i="55"/>
  <c r="P2697" i="55"/>
  <c r="R2696" i="55"/>
  <c r="Q2696" i="55"/>
  <c r="P2696" i="55"/>
  <c r="R2695" i="55"/>
  <c r="Q2695" i="55"/>
  <c r="P2695" i="55"/>
  <c r="R2694" i="55"/>
  <c r="Q2694" i="55"/>
  <c r="P2694" i="55"/>
  <c r="R2693" i="55"/>
  <c r="Q2693" i="55"/>
  <c r="P2693" i="55"/>
  <c r="R2692" i="55"/>
  <c r="Q2692" i="55"/>
  <c r="P2692" i="55"/>
  <c r="R2691" i="55"/>
  <c r="Q2691" i="55"/>
  <c r="P2691" i="55"/>
  <c r="R2690" i="55"/>
  <c r="Q2690" i="55"/>
  <c r="P2690" i="55"/>
  <c r="R2689" i="55"/>
  <c r="Q2689" i="55"/>
  <c r="P2689" i="55"/>
  <c r="R2688" i="55"/>
  <c r="Q2688" i="55"/>
  <c r="P2688" i="55"/>
  <c r="R2687" i="55"/>
  <c r="Q2687" i="55"/>
  <c r="P2687" i="55"/>
  <c r="R2686" i="55"/>
  <c r="Q2686" i="55"/>
  <c r="P2686" i="55"/>
  <c r="R2685" i="55"/>
  <c r="Q2685" i="55"/>
  <c r="P2685" i="55"/>
  <c r="R2684" i="55"/>
  <c r="Q2684" i="55"/>
  <c r="P2684" i="55"/>
  <c r="R2683" i="55"/>
  <c r="Q2683" i="55"/>
  <c r="P2683" i="55"/>
  <c r="R2682" i="55"/>
  <c r="Q2682" i="55"/>
  <c r="P2682" i="55"/>
  <c r="R2681" i="55"/>
  <c r="Q2681" i="55"/>
  <c r="P2681" i="55"/>
  <c r="R2680" i="55"/>
  <c r="Q2680" i="55"/>
  <c r="P2680" i="55"/>
  <c r="R2679" i="55"/>
  <c r="Q2679" i="55"/>
  <c r="P2679" i="55"/>
  <c r="R2678" i="55"/>
  <c r="Q2678" i="55"/>
  <c r="P2678" i="55"/>
  <c r="R2677" i="55"/>
  <c r="Q2677" i="55"/>
  <c r="P2677" i="55"/>
  <c r="R2676" i="55"/>
  <c r="Q2676" i="55"/>
  <c r="P2676" i="55"/>
  <c r="R2675" i="55"/>
  <c r="Q2675" i="55"/>
  <c r="P2675" i="55"/>
  <c r="R2674" i="55"/>
  <c r="Q2674" i="55"/>
  <c r="P2674" i="55"/>
  <c r="R2673" i="55"/>
  <c r="Q2673" i="55"/>
  <c r="P2673" i="55"/>
  <c r="R2672" i="55"/>
  <c r="Q2672" i="55"/>
  <c r="P2672" i="55"/>
  <c r="R2671" i="55"/>
  <c r="Q2671" i="55"/>
  <c r="P2671" i="55"/>
  <c r="R2670" i="55"/>
  <c r="Q2670" i="55"/>
  <c r="P2670" i="55"/>
  <c r="R2669" i="55"/>
  <c r="Q2669" i="55"/>
  <c r="P2669" i="55"/>
  <c r="R2668" i="55"/>
  <c r="Q2668" i="55"/>
  <c r="P2668" i="55"/>
  <c r="R2667" i="55"/>
  <c r="Q2667" i="55"/>
  <c r="P2667" i="55"/>
  <c r="R2666" i="55"/>
  <c r="Q2666" i="55"/>
  <c r="P2666" i="55"/>
  <c r="R2665" i="55"/>
  <c r="Q2665" i="55"/>
  <c r="P2665" i="55"/>
  <c r="R2664" i="55"/>
  <c r="Q2664" i="55"/>
  <c r="P2664" i="55"/>
  <c r="R2663" i="55"/>
  <c r="Q2663" i="55"/>
  <c r="P2663" i="55"/>
  <c r="R2662" i="55"/>
  <c r="Q2662" i="55"/>
  <c r="P2662" i="55"/>
  <c r="R2661" i="55"/>
  <c r="Q2661" i="55"/>
  <c r="P2661" i="55"/>
  <c r="R2660" i="55"/>
  <c r="Q2660" i="55"/>
  <c r="P2660" i="55"/>
  <c r="R2659" i="55"/>
  <c r="Q2659" i="55"/>
  <c r="P2659" i="55"/>
  <c r="R2658" i="55"/>
  <c r="Q2658" i="55"/>
  <c r="P2658" i="55"/>
  <c r="R2657" i="55"/>
  <c r="Q2657" i="55"/>
  <c r="P2657" i="55"/>
  <c r="R2656" i="55"/>
  <c r="Q2656" i="55"/>
  <c r="P2656" i="55"/>
  <c r="R2655" i="55"/>
  <c r="Q2655" i="55"/>
  <c r="P2655" i="55"/>
  <c r="R2654" i="55"/>
  <c r="Q2654" i="55"/>
  <c r="P2654" i="55"/>
  <c r="R2653" i="55"/>
  <c r="Q2653" i="55"/>
  <c r="P2653" i="55"/>
  <c r="R2652" i="55"/>
  <c r="Q2652" i="55"/>
  <c r="P2652" i="55"/>
  <c r="R2651" i="55"/>
  <c r="Q2651" i="55"/>
  <c r="P2651" i="55"/>
  <c r="R2650" i="55"/>
  <c r="Q2650" i="55"/>
  <c r="P2650" i="55"/>
  <c r="R2649" i="55"/>
  <c r="Q2649" i="55"/>
  <c r="P2649" i="55"/>
  <c r="R2648" i="55"/>
  <c r="Q2648" i="55"/>
  <c r="P2648" i="55"/>
  <c r="R2647" i="55"/>
  <c r="Q2647" i="55"/>
  <c r="P2647" i="55"/>
  <c r="R2646" i="55"/>
  <c r="Q2646" i="55"/>
  <c r="P2646" i="55"/>
  <c r="R2645" i="55"/>
  <c r="Q2645" i="55"/>
  <c r="P2645" i="55"/>
  <c r="R2644" i="55"/>
  <c r="Q2644" i="55"/>
  <c r="P2644" i="55"/>
  <c r="R2643" i="55"/>
  <c r="Q2643" i="55"/>
  <c r="P2643" i="55"/>
  <c r="R2642" i="55"/>
  <c r="Q2642" i="55"/>
  <c r="P2642" i="55"/>
  <c r="R2641" i="55"/>
  <c r="Q2641" i="55"/>
  <c r="P2641" i="55"/>
  <c r="R2640" i="55"/>
  <c r="Q2640" i="55"/>
  <c r="P2640" i="55"/>
  <c r="R2639" i="55"/>
  <c r="Q2639" i="55"/>
  <c r="P2639" i="55"/>
  <c r="R2638" i="55"/>
  <c r="Q2638" i="55"/>
  <c r="P2638" i="55"/>
  <c r="R2637" i="55"/>
  <c r="Q2637" i="55"/>
  <c r="P2637" i="55"/>
  <c r="R2636" i="55"/>
  <c r="Q2636" i="55"/>
  <c r="P2636" i="55"/>
  <c r="R2635" i="55"/>
  <c r="Q2635" i="55"/>
  <c r="P2635" i="55"/>
  <c r="R2634" i="55"/>
  <c r="Q2634" i="55"/>
  <c r="P2634" i="55"/>
  <c r="R2633" i="55"/>
  <c r="Q2633" i="55"/>
  <c r="P2633" i="55"/>
  <c r="R2632" i="55"/>
  <c r="Q2632" i="55"/>
  <c r="P2632" i="55"/>
  <c r="R2631" i="55"/>
  <c r="Q2631" i="55"/>
  <c r="P2631" i="55"/>
  <c r="R2630" i="55"/>
  <c r="Q2630" i="55"/>
  <c r="P2630" i="55"/>
  <c r="R2629" i="55"/>
  <c r="Q2629" i="55"/>
  <c r="P2629" i="55"/>
  <c r="R2628" i="55"/>
  <c r="Q2628" i="55"/>
  <c r="P2628" i="55"/>
  <c r="R2627" i="55"/>
  <c r="Q2627" i="55"/>
  <c r="P2627" i="55"/>
  <c r="R2626" i="55"/>
  <c r="Q2626" i="55"/>
  <c r="P2626" i="55"/>
  <c r="R2625" i="55"/>
  <c r="Q2625" i="55"/>
  <c r="P2625" i="55"/>
  <c r="R2624" i="55"/>
  <c r="Q2624" i="55"/>
  <c r="P2624" i="55"/>
  <c r="R2623" i="55"/>
  <c r="Q2623" i="55"/>
  <c r="P2623" i="55"/>
  <c r="R2622" i="55"/>
  <c r="Q2622" i="55"/>
  <c r="P2622" i="55"/>
  <c r="R2621" i="55"/>
  <c r="Q2621" i="55"/>
  <c r="P2621" i="55"/>
  <c r="R2620" i="55"/>
  <c r="Q2620" i="55"/>
  <c r="P2620" i="55"/>
  <c r="R2619" i="55"/>
  <c r="Q2619" i="55"/>
  <c r="P2619" i="55"/>
  <c r="R2618" i="55"/>
  <c r="Q2618" i="55"/>
  <c r="P2618" i="55"/>
  <c r="R2617" i="55"/>
  <c r="Q2617" i="55"/>
  <c r="P2617" i="55"/>
  <c r="R2616" i="55"/>
  <c r="Q2616" i="55"/>
  <c r="P2616" i="55"/>
  <c r="R2615" i="55"/>
  <c r="Q2615" i="55"/>
  <c r="P2615" i="55"/>
  <c r="R2614" i="55"/>
  <c r="Q2614" i="55"/>
  <c r="P2614" i="55"/>
  <c r="R2613" i="55"/>
  <c r="Q2613" i="55"/>
  <c r="P2613" i="55"/>
  <c r="R2612" i="55"/>
  <c r="Q2612" i="55"/>
  <c r="P2612" i="55"/>
  <c r="R2611" i="55"/>
  <c r="Q2611" i="55"/>
  <c r="P2611" i="55"/>
  <c r="R2610" i="55"/>
  <c r="Q2610" i="55"/>
  <c r="P2610" i="55"/>
  <c r="R2609" i="55"/>
  <c r="Q2609" i="55"/>
  <c r="P2609" i="55"/>
  <c r="R2608" i="55"/>
  <c r="Q2608" i="55"/>
  <c r="P2608" i="55"/>
  <c r="R2607" i="55"/>
  <c r="Q2607" i="55"/>
  <c r="P2607" i="55"/>
  <c r="R2606" i="55"/>
  <c r="Q2606" i="55"/>
  <c r="P2606" i="55"/>
  <c r="R2605" i="55"/>
  <c r="Q2605" i="55"/>
  <c r="P2605" i="55"/>
  <c r="R2604" i="55"/>
  <c r="Q2604" i="55"/>
  <c r="P2604" i="55"/>
  <c r="R2603" i="55"/>
  <c r="Q2603" i="55"/>
  <c r="P2603" i="55"/>
  <c r="R2602" i="55"/>
  <c r="Q2602" i="55"/>
  <c r="P2602" i="55"/>
  <c r="R2601" i="55"/>
  <c r="Q2601" i="55"/>
  <c r="P2601" i="55"/>
  <c r="R2600" i="55"/>
  <c r="Q2600" i="55"/>
  <c r="P2600" i="55"/>
  <c r="R2599" i="55"/>
  <c r="Q2599" i="55"/>
  <c r="P2599" i="55"/>
  <c r="R2598" i="55"/>
  <c r="Q2598" i="55"/>
  <c r="P2598" i="55"/>
  <c r="R2597" i="55"/>
  <c r="Q2597" i="55"/>
  <c r="P2597" i="55"/>
  <c r="R2596" i="55"/>
  <c r="Q2596" i="55"/>
  <c r="P2596" i="55"/>
  <c r="R2595" i="55"/>
  <c r="Q2595" i="55"/>
  <c r="P2595" i="55"/>
  <c r="R2594" i="55"/>
  <c r="Q2594" i="55"/>
  <c r="P2594" i="55"/>
  <c r="R2593" i="55"/>
  <c r="Q2593" i="55"/>
  <c r="P2593" i="55"/>
  <c r="R2592" i="55"/>
  <c r="Q2592" i="55"/>
  <c r="P2592" i="55"/>
  <c r="R2591" i="55"/>
  <c r="Q2591" i="55"/>
  <c r="P2591" i="55"/>
  <c r="R2590" i="55"/>
  <c r="Q2590" i="55"/>
  <c r="P2590" i="55"/>
  <c r="R2589" i="55"/>
  <c r="Q2589" i="55"/>
  <c r="P2589" i="55"/>
  <c r="R2588" i="55"/>
  <c r="Q2588" i="55"/>
  <c r="P2588" i="55"/>
  <c r="R2587" i="55"/>
  <c r="Q2587" i="55"/>
  <c r="P2587" i="55"/>
  <c r="R2586" i="55"/>
  <c r="Q2586" i="55"/>
  <c r="P2586" i="55"/>
  <c r="R2585" i="55"/>
  <c r="Q2585" i="55"/>
  <c r="P2585" i="55"/>
  <c r="R2584" i="55"/>
  <c r="Q2584" i="55"/>
  <c r="P2584" i="55"/>
  <c r="R2583" i="55"/>
  <c r="Q2583" i="55"/>
  <c r="P2583" i="55"/>
  <c r="R2582" i="55"/>
  <c r="Q2582" i="55"/>
  <c r="P2582" i="55"/>
  <c r="R2581" i="55"/>
  <c r="Q2581" i="55"/>
  <c r="P2581" i="55"/>
  <c r="R2580" i="55"/>
  <c r="Q2580" i="55"/>
  <c r="P2580" i="55"/>
  <c r="R2579" i="55"/>
  <c r="Q2579" i="55"/>
  <c r="P2579" i="55"/>
  <c r="R2578" i="55"/>
  <c r="Q2578" i="55"/>
  <c r="P2578" i="55"/>
  <c r="R2577" i="55"/>
  <c r="Q2577" i="55"/>
  <c r="P2577" i="55"/>
  <c r="R2576" i="55"/>
  <c r="Q2576" i="55"/>
  <c r="P2576" i="55"/>
  <c r="R2575" i="55"/>
  <c r="Q2575" i="55"/>
  <c r="P2575" i="55"/>
  <c r="R2574" i="55"/>
  <c r="Q2574" i="55"/>
  <c r="P2574" i="55"/>
  <c r="R2573" i="55"/>
  <c r="Q2573" i="55"/>
  <c r="P2573" i="55"/>
  <c r="R2572" i="55"/>
  <c r="Q2572" i="55"/>
  <c r="P2572" i="55"/>
  <c r="R2571" i="55"/>
  <c r="Q2571" i="55"/>
  <c r="P2571" i="55"/>
  <c r="R2570" i="55"/>
  <c r="Q2570" i="55"/>
  <c r="P2570" i="55"/>
  <c r="R2569" i="55"/>
  <c r="Q2569" i="55"/>
  <c r="P2569" i="55"/>
  <c r="R2568" i="55"/>
  <c r="Q2568" i="55"/>
  <c r="P2568" i="55"/>
  <c r="R2567" i="55"/>
  <c r="Q2567" i="55"/>
  <c r="P2567" i="55"/>
  <c r="R2566" i="55"/>
  <c r="Q2566" i="55"/>
  <c r="P2566" i="55"/>
  <c r="R2565" i="55"/>
  <c r="Q2565" i="55"/>
  <c r="P2565" i="55"/>
  <c r="R2564" i="55"/>
  <c r="Q2564" i="55"/>
  <c r="P2564" i="55"/>
  <c r="R2563" i="55"/>
  <c r="Q2563" i="55"/>
  <c r="P2563" i="55"/>
  <c r="R2562" i="55"/>
  <c r="Q2562" i="55"/>
  <c r="P2562" i="55"/>
  <c r="R2561" i="55"/>
  <c r="Q2561" i="55"/>
  <c r="P2561" i="55"/>
  <c r="R2560" i="55"/>
  <c r="Q2560" i="55"/>
  <c r="P2560" i="55"/>
  <c r="R2559" i="55"/>
  <c r="Q2559" i="55"/>
  <c r="P2559" i="55"/>
  <c r="R2558" i="55"/>
  <c r="Q2558" i="55"/>
  <c r="P2558" i="55"/>
  <c r="R2557" i="55"/>
  <c r="Q2557" i="55"/>
  <c r="P2557" i="55"/>
  <c r="R2556" i="55"/>
  <c r="Q2556" i="55"/>
  <c r="P2556" i="55"/>
  <c r="R2555" i="55"/>
  <c r="Q2555" i="55"/>
  <c r="P2555" i="55"/>
  <c r="R2554" i="55"/>
  <c r="Q2554" i="55"/>
  <c r="P2554" i="55"/>
  <c r="R2553" i="55"/>
  <c r="Q2553" i="55"/>
  <c r="P2553" i="55"/>
  <c r="R2552" i="55"/>
  <c r="Q2552" i="55"/>
  <c r="P2552" i="55"/>
  <c r="R2551" i="55"/>
  <c r="Q2551" i="55"/>
  <c r="P2551" i="55"/>
  <c r="R2550" i="55"/>
  <c r="Q2550" i="55"/>
  <c r="P2550" i="55"/>
  <c r="R2549" i="55"/>
  <c r="Q2549" i="55"/>
  <c r="P2549" i="55"/>
  <c r="R2548" i="55"/>
  <c r="Q2548" i="55"/>
  <c r="P2548" i="55"/>
  <c r="R2547" i="55"/>
  <c r="Q2547" i="55"/>
  <c r="P2547" i="55"/>
  <c r="R2546" i="55"/>
  <c r="Q2546" i="55"/>
  <c r="P2546" i="55"/>
  <c r="R2545" i="55"/>
  <c r="Q2545" i="55"/>
  <c r="P2545" i="55"/>
  <c r="R2544" i="55"/>
  <c r="Q2544" i="55"/>
  <c r="P2544" i="55"/>
  <c r="R2543" i="55"/>
  <c r="Q2543" i="55"/>
  <c r="P2543" i="55"/>
  <c r="R2542" i="55"/>
  <c r="Q2542" i="55"/>
  <c r="P2542" i="55"/>
  <c r="R2541" i="55"/>
  <c r="Q2541" i="55"/>
  <c r="P2541" i="55"/>
  <c r="R2540" i="55"/>
  <c r="Q2540" i="55"/>
  <c r="P2540" i="55"/>
  <c r="R2539" i="55"/>
  <c r="Q2539" i="55"/>
  <c r="P2539" i="55"/>
  <c r="R2538" i="55"/>
  <c r="Q2538" i="55"/>
  <c r="P2538" i="55"/>
  <c r="R2537" i="55"/>
  <c r="Q2537" i="55"/>
  <c r="P2537" i="55"/>
  <c r="R2536" i="55"/>
  <c r="Q2536" i="55"/>
  <c r="P2536" i="55"/>
  <c r="R2535" i="55"/>
  <c r="Q2535" i="55"/>
  <c r="P2535" i="55"/>
  <c r="R2534" i="55"/>
  <c r="Q2534" i="55"/>
  <c r="P2534" i="55"/>
  <c r="R2533" i="55"/>
  <c r="Q2533" i="55"/>
  <c r="P2533" i="55"/>
  <c r="R2532" i="55"/>
  <c r="Q2532" i="55"/>
  <c r="P2532" i="55"/>
  <c r="R2531" i="55"/>
  <c r="Q2531" i="55"/>
  <c r="P2531" i="55"/>
  <c r="R2530" i="55"/>
  <c r="Q2530" i="55"/>
  <c r="P2530" i="55"/>
  <c r="R2529" i="55"/>
  <c r="Q2529" i="55"/>
  <c r="P2529" i="55"/>
  <c r="R2528" i="55"/>
  <c r="Q2528" i="55"/>
  <c r="P2528" i="55"/>
  <c r="R2527" i="55"/>
  <c r="Q2527" i="55"/>
  <c r="P2527" i="55"/>
  <c r="R2526" i="55"/>
  <c r="Q2526" i="55"/>
  <c r="P2526" i="55"/>
  <c r="R2525" i="55"/>
  <c r="Q2525" i="55"/>
  <c r="P2525" i="55"/>
  <c r="R2524" i="55"/>
  <c r="Q2524" i="55"/>
  <c r="P2524" i="55"/>
  <c r="R2523" i="55"/>
  <c r="Q2523" i="55"/>
  <c r="P2523" i="55"/>
  <c r="R2522" i="55"/>
  <c r="Q2522" i="55"/>
  <c r="P2522" i="55"/>
  <c r="R2521" i="55"/>
  <c r="Q2521" i="55"/>
  <c r="P2521" i="55"/>
  <c r="R2520" i="55"/>
  <c r="Q2520" i="55"/>
  <c r="P2520" i="55"/>
  <c r="R2519" i="55"/>
  <c r="Q2519" i="55"/>
  <c r="P2519" i="55"/>
  <c r="R2518" i="55"/>
  <c r="Q2518" i="55"/>
  <c r="P2518" i="55"/>
  <c r="R2517" i="55"/>
  <c r="Q2517" i="55"/>
  <c r="P2517" i="55"/>
  <c r="R2516" i="55"/>
  <c r="Q2516" i="55"/>
  <c r="P2516" i="55"/>
  <c r="R2515" i="55"/>
  <c r="Q2515" i="55"/>
  <c r="P2515" i="55"/>
  <c r="R2514" i="55"/>
  <c r="Q2514" i="55"/>
  <c r="P2514" i="55"/>
  <c r="R2513" i="55"/>
  <c r="Q2513" i="55"/>
  <c r="P2513" i="55"/>
  <c r="R2512" i="55"/>
  <c r="Q2512" i="55"/>
  <c r="P2512" i="55"/>
  <c r="R2511" i="55"/>
  <c r="Q2511" i="55"/>
  <c r="P2511" i="55"/>
  <c r="R2510" i="55"/>
  <c r="Q2510" i="55"/>
  <c r="P2510" i="55"/>
  <c r="R2509" i="55"/>
  <c r="Q2509" i="55"/>
  <c r="P2509" i="55"/>
  <c r="R2508" i="55"/>
  <c r="Q2508" i="55"/>
  <c r="P2508" i="55"/>
  <c r="R2507" i="55"/>
  <c r="Q2507" i="55"/>
  <c r="P2507" i="55"/>
  <c r="R2506" i="55"/>
  <c r="Q2506" i="55"/>
  <c r="P2506" i="55"/>
  <c r="R2505" i="55"/>
  <c r="Q2505" i="55"/>
  <c r="P2505" i="55"/>
  <c r="R2504" i="55"/>
  <c r="Q2504" i="55"/>
  <c r="P2504" i="55"/>
  <c r="R2503" i="55"/>
  <c r="Q2503" i="55"/>
  <c r="P2503" i="55"/>
  <c r="R2502" i="55"/>
  <c r="Q2502" i="55"/>
  <c r="P2502" i="55"/>
  <c r="R2501" i="55"/>
  <c r="Q2501" i="55"/>
  <c r="P2501" i="55"/>
  <c r="R2500" i="55"/>
  <c r="Q2500" i="55"/>
  <c r="P2500" i="55"/>
  <c r="R2499" i="55"/>
  <c r="Q2499" i="55"/>
  <c r="P2499" i="55"/>
  <c r="R2498" i="55"/>
  <c r="Q2498" i="55"/>
  <c r="P2498" i="55"/>
  <c r="R2497" i="55"/>
  <c r="Q2497" i="55"/>
  <c r="P2497" i="55"/>
  <c r="R2496" i="55"/>
  <c r="Q2496" i="55"/>
  <c r="P2496" i="55"/>
  <c r="R2495" i="55"/>
  <c r="Q2495" i="55"/>
  <c r="P2495" i="55"/>
  <c r="R2494" i="55"/>
  <c r="Q2494" i="55"/>
  <c r="P2494" i="55"/>
  <c r="R2493" i="55"/>
  <c r="Q2493" i="55"/>
  <c r="P2493" i="55"/>
  <c r="R2492" i="55"/>
  <c r="Q2492" i="55"/>
  <c r="P2492" i="55"/>
  <c r="R2491" i="55"/>
  <c r="Q2491" i="55"/>
  <c r="P2491" i="55"/>
  <c r="R2490" i="55"/>
  <c r="Q2490" i="55"/>
  <c r="P2490" i="55"/>
  <c r="R2489" i="55"/>
  <c r="Q2489" i="55"/>
  <c r="P2489" i="55"/>
  <c r="R2488" i="55"/>
  <c r="Q2488" i="55"/>
  <c r="P2488" i="55"/>
  <c r="R2487" i="55"/>
  <c r="Q2487" i="55"/>
  <c r="P2487" i="55"/>
  <c r="R2486" i="55"/>
  <c r="Q2486" i="55"/>
  <c r="P2486" i="55"/>
  <c r="R2485" i="55"/>
  <c r="Q2485" i="55"/>
  <c r="P2485" i="55"/>
  <c r="R2484" i="55"/>
  <c r="Q2484" i="55"/>
  <c r="P2484" i="55"/>
  <c r="R2483" i="55"/>
  <c r="Q2483" i="55"/>
  <c r="P2483" i="55"/>
  <c r="R2482" i="55"/>
  <c r="Q2482" i="55"/>
  <c r="P2482" i="55"/>
  <c r="R2481" i="55"/>
  <c r="Q2481" i="55"/>
  <c r="P2481" i="55"/>
  <c r="R2480" i="55"/>
  <c r="Q2480" i="55"/>
  <c r="P2480" i="55"/>
  <c r="R2479" i="55"/>
  <c r="Q2479" i="55"/>
  <c r="P2479" i="55"/>
  <c r="R2478" i="55"/>
  <c r="Q2478" i="55"/>
  <c r="P2478" i="55"/>
  <c r="R2477" i="55"/>
  <c r="Q2477" i="55"/>
  <c r="P2477" i="55"/>
  <c r="R2476" i="55"/>
  <c r="Q2476" i="55"/>
  <c r="P2476" i="55"/>
  <c r="R2475" i="55"/>
  <c r="Q2475" i="55"/>
  <c r="P2475" i="55"/>
  <c r="R2474" i="55"/>
  <c r="Q2474" i="55"/>
  <c r="P2474" i="55"/>
  <c r="R2473" i="55"/>
  <c r="Q2473" i="55"/>
  <c r="P2473" i="55"/>
  <c r="R2472" i="55"/>
  <c r="Q2472" i="55"/>
  <c r="P2472" i="55"/>
  <c r="R2471" i="55"/>
  <c r="Q2471" i="55"/>
  <c r="P2471" i="55"/>
  <c r="R2470" i="55"/>
  <c r="Q2470" i="55"/>
  <c r="P2470" i="55"/>
  <c r="R2469" i="55"/>
  <c r="Q2469" i="55"/>
  <c r="P2469" i="55"/>
  <c r="R2468" i="55"/>
  <c r="Q2468" i="55"/>
  <c r="P2468" i="55"/>
  <c r="R2467" i="55"/>
  <c r="Q2467" i="55"/>
  <c r="P2467" i="55"/>
  <c r="R2466" i="55"/>
  <c r="Q2466" i="55"/>
  <c r="P2466" i="55"/>
  <c r="R2465" i="55"/>
  <c r="Q2465" i="55"/>
  <c r="P2465" i="55"/>
  <c r="R2464" i="55"/>
  <c r="Q2464" i="55"/>
  <c r="P2464" i="55"/>
  <c r="R2463" i="55"/>
  <c r="Q2463" i="55"/>
  <c r="P2463" i="55"/>
  <c r="R2462" i="55"/>
  <c r="Q2462" i="55"/>
  <c r="P2462" i="55"/>
  <c r="R2461" i="55"/>
  <c r="Q2461" i="55"/>
  <c r="P2461" i="55"/>
  <c r="R2460" i="55"/>
  <c r="Q2460" i="55"/>
  <c r="P2460" i="55"/>
  <c r="R2459" i="55"/>
  <c r="Q2459" i="55"/>
  <c r="P2459" i="55"/>
  <c r="R2458" i="55"/>
  <c r="Q2458" i="55"/>
  <c r="P2458" i="55"/>
  <c r="R2457" i="55"/>
  <c r="Q2457" i="55"/>
  <c r="P2457" i="55"/>
  <c r="R2456" i="55"/>
  <c r="Q2456" i="55"/>
  <c r="P2456" i="55"/>
  <c r="R2455" i="55"/>
  <c r="Q2455" i="55"/>
  <c r="P2455" i="55"/>
  <c r="R2454" i="55"/>
  <c r="Q2454" i="55"/>
  <c r="P2454" i="55"/>
  <c r="R2453" i="55"/>
  <c r="Q2453" i="55"/>
  <c r="P2453" i="55"/>
  <c r="R2452" i="55"/>
  <c r="Q2452" i="55"/>
  <c r="P2452" i="55"/>
  <c r="R2451" i="55"/>
  <c r="Q2451" i="55"/>
  <c r="P2451" i="55"/>
  <c r="R2450" i="55"/>
  <c r="Q2450" i="55"/>
  <c r="P2450" i="55"/>
  <c r="R2449" i="55"/>
  <c r="Q2449" i="55"/>
  <c r="P2449" i="55"/>
  <c r="R2448" i="55"/>
  <c r="Q2448" i="55"/>
  <c r="P2448" i="55"/>
  <c r="R2447" i="55"/>
  <c r="Q2447" i="55"/>
  <c r="P2447" i="55"/>
  <c r="R2446" i="55"/>
  <c r="Q2446" i="55"/>
  <c r="P2446" i="55"/>
  <c r="R2445" i="55"/>
  <c r="Q2445" i="55"/>
  <c r="P2445" i="55"/>
  <c r="R2444" i="55"/>
  <c r="Q2444" i="55"/>
  <c r="P2444" i="55"/>
  <c r="R2443" i="55"/>
  <c r="Q2443" i="55"/>
  <c r="P2443" i="55"/>
  <c r="R2442" i="55"/>
  <c r="Q2442" i="55"/>
  <c r="P2442" i="55"/>
  <c r="R2441" i="55"/>
  <c r="Q2441" i="55"/>
  <c r="P2441" i="55"/>
  <c r="R2440" i="55"/>
  <c r="Q2440" i="55"/>
  <c r="P2440" i="55"/>
  <c r="R2439" i="55"/>
  <c r="Q2439" i="55"/>
  <c r="P2439" i="55"/>
  <c r="R2438" i="55"/>
  <c r="Q2438" i="55"/>
  <c r="P2438" i="55"/>
  <c r="R2437" i="55"/>
  <c r="Q2437" i="55"/>
  <c r="P2437" i="55"/>
  <c r="R2436" i="55"/>
  <c r="Q2436" i="55"/>
  <c r="P2436" i="55"/>
  <c r="R2435" i="55"/>
  <c r="Q2435" i="55"/>
  <c r="P2435" i="55"/>
  <c r="R2434" i="55"/>
  <c r="Q2434" i="55"/>
  <c r="P2434" i="55"/>
  <c r="R2433" i="55"/>
  <c r="Q2433" i="55"/>
  <c r="P2433" i="55"/>
  <c r="R2432" i="55"/>
  <c r="Q2432" i="55"/>
  <c r="P2432" i="55"/>
  <c r="R2431" i="55"/>
  <c r="Q2431" i="55"/>
  <c r="P2431" i="55"/>
  <c r="R2430" i="55"/>
  <c r="Q2430" i="55"/>
  <c r="P2430" i="55"/>
  <c r="R2429" i="55"/>
  <c r="Q2429" i="55"/>
  <c r="P2429" i="55"/>
  <c r="R2428" i="55"/>
  <c r="Q2428" i="55"/>
  <c r="P2428" i="55"/>
  <c r="R2427" i="55"/>
  <c r="Q2427" i="55"/>
  <c r="P2427" i="55"/>
  <c r="R2426" i="55"/>
  <c r="Q2426" i="55"/>
  <c r="P2426" i="55"/>
  <c r="R2425" i="55"/>
  <c r="Q2425" i="55"/>
  <c r="P2425" i="55"/>
  <c r="R2424" i="55"/>
  <c r="Q2424" i="55"/>
  <c r="P2424" i="55"/>
  <c r="R2423" i="55"/>
  <c r="Q2423" i="55"/>
  <c r="P2423" i="55"/>
  <c r="R2422" i="55"/>
  <c r="Q2422" i="55"/>
  <c r="P2422" i="55"/>
  <c r="R2421" i="55"/>
  <c r="Q2421" i="55"/>
  <c r="P2421" i="55"/>
  <c r="R2420" i="55"/>
  <c r="Q2420" i="55"/>
  <c r="P2420" i="55"/>
  <c r="R2419" i="55"/>
  <c r="Q2419" i="55"/>
  <c r="P2419" i="55"/>
  <c r="R2418" i="55"/>
  <c r="Q2418" i="55"/>
  <c r="P2418" i="55"/>
  <c r="R2417" i="55"/>
  <c r="Q2417" i="55"/>
  <c r="P2417" i="55"/>
  <c r="R2416" i="55"/>
  <c r="Q2416" i="55"/>
  <c r="P2416" i="55"/>
  <c r="R2415" i="55"/>
  <c r="Q2415" i="55"/>
  <c r="P2415" i="55"/>
  <c r="R2414" i="55"/>
  <c r="Q2414" i="55"/>
  <c r="P2414" i="55"/>
  <c r="R2413" i="55"/>
  <c r="Q2413" i="55"/>
  <c r="P2413" i="55"/>
  <c r="R2412" i="55"/>
  <c r="Q2412" i="55"/>
  <c r="P2412" i="55"/>
  <c r="R2411" i="55"/>
  <c r="Q2411" i="55"/>
  <c r="P2411" i="55"/>
  <c r="R2410" i="55"/>
  <c r="Q2410" i="55"/>
  <c r="P2410" i="55"/>
  <c r="R2409" i="55"/>
  <c r="Q2409" i="55"/>
  <c r="P2409" i="55"/>
  <c r="R2408" i="55"/>
  <c r="Q2408" i="55"/>
  <c r="P2408" i="55"/>
  <c r="R2407" i="55"/>
  <c r="Q2407" i="55"/>
  <c r="P2407" i="55"/>
  <c r="R2406" i="55"/>
  <c r="Q2406" i="55"/>
  <c r="P2406" i="55"/>
  <c r="R2405" i="55"/>
  <c r="Q2405" i="55"/>
  <c r="P2405" i="55"/>
  <c r="R2404" i="55"/>
  <c r="Q2404" i="55"/>
  <c r="P2404" i="55"/>
  <c r="R2403" i="55"/>
  <c r="Q2403" i="55"/>
  <c r="P2403" i="55"/>
  <c r="R2402" i="55"/>
  <c r="Q2402" i="55"/>
  <c r="P2402" i="55"/>
  <c r="R2401" i="55"/>
  <c r="Q2401" i="55"/>
  <c r="P2401" i="55"/>
  <c r="R2400" i="55"/>
  <c r="Q2400" i="55"/>
  <c r="P2400" i="55"/>
  <c r="R2399" i="55"/>
  <c r="Q2399" i="55"/>
  <c r="P2399" i="55"/>
  <c r="R2398" i="55"/>
  <c r="Q2398" i="55"/>
  <c r="P2398" i="55"/>
  <c r="R2397" i="55"/>
  <c r="Q2397" i="55"/>
  <c r="P2397" i="55"/>
  <c r="R2396" i="55"/>
  <c r="Q2396" i="55"/>
  <c r="P2396" i="55"/>
  <c r="R2395" i="55"/>
  <c r="Q2395" i="55"/>
  <c r="P2395" i="55"/>
  <c r="R2394" i="55"/>
  <c r="Q2394" i="55"/>
  <c r="P2394" i="55"/>
  <c r="R2393" i="55"/>
  <c r="Q2393" i="55"/>
  <c r="P2393" i="55"/>
  <c r="R2392" i="55"/>
  <c r="Q2392" i="55"/>
  <c r="P2392" i="55"/>
  <c r="R2391" i="55"/>
  <c r="Q2391" i="55"/>
  <c r="P2391" i="55"/>
  <c r="R2390" i="55"/>
  <c r="Q2390" i="55"/>
  <c r="P2390" i="55"/>
  <c r="R2389" i="55"/>
  <c r="Q2389" i="55"/>
  <c r="P2389" i="55"/>
  <c r="R2388" i="55"/>
  <c r="Q2388" i="55"/>
  <c r="P2388" i="55"/>
  <c r="R2387" i="55"/>
  <c r="Q2387" i="55"/>
  <c r="P2387" i="55"/>
  <c r="R2386" i="55"/>
  <c r="Q2386" i="55"/>
  <c r="P2386" i="55"/>
  <c r="R2385" i="55"/>
  <c r="Q2385" i="55"/>
  <c r="P2385" i="55"/>
  <c r="R2384" i="55"/>
  <c r="Q2384" i="55"/>
  <c r="P2384" i="55"/>
  <c r="R2383" i="55"/>
  <c r="Q2383" i="55"/>
  <c r="P2383" i="55"/>
  <c r="R2382" i="55"/>
  <c r="Q2382" i="55"/>
  <c r="P2382" i="55"/>
  <c r="R2381" i="55"/>
  <c r="Q2381" i="55"/>
  <c r="P2381" i="55"/>
  <c r="R2380" i="55"/>
  <c r="Q2380" i="55"/>
  <c r="P2380" i="55"/>
  <c r="R2379" i="55"/>
  <c r="Q2379" i="55"/>
  <c r="P2379" i="55"/>
  <c r="R2378" i="55"/>
  <c r="Q2378" i="55"/>
  <c r="P2378" i="55"/>
  <c r="R2377" i="55"/>
  <c r="Q2377" i="55"/>
  <c r="P2377" i="55"/>
  <c r="R2376" i="55"/>
  <c r="Q2376" i="55"/>
  <c r="P2376" i="55"/>
  <c r="R2375" i="55"/>
  <c r="Q2375" i="55"/>
  <c r="P2375" i="55"/>
  <c r="R2374" i="55"/>
  <c r="Q2374" i="55"/>
  <c r="P2374" i="55"/>
  <c r="R2373" i="55"/>
  <c r="Q2373" i="55"/>
  <c r="P2373" i="55"/>
  <c r="R2372" i="55"/>
  <c r="Q2372" i="55"/>
  <c r="P2372" i="55"/>
  <c r="R2371" i="55"/>
  <c r="Q2371" i="55"/>
  <c r="P2371" i="55"/>
  <c r="R2370" i="55"/>
  <c r="Q2370" i="55"/>
  <c r="P2370" i="55"/>
  <c r="R2369" i="55"/>
  <c r="Q2369" i="55"/>
  <c r="P2369" i="55"/>
  <c r="R2368" i="55"/>
  <c r="Q2368" i="55"/>
  <c r="P2368" i="55"/>
  <c r="R2367" i="55"/>
  <c r="Q2367" i="55"/>
  <c r="P2367" i="55"/>
  <c r="R2366" i="55"/>
  <c r="Q2366" i="55"/>
  <c r="P2366" i="55"/>
  <c r="R2365" i="55"/>
  <c r="Q2365" i="55"/>
  <c r="P2365" i="55"/>
  <c r="R2364" i="55"/>
  <c r="Q2364" i="55"/>
  <c r="P2364" i="55"/>
  <c r="R2363" i="55"/>
  <c r="Q2363" i="55"/>
  <c r="P2363" i="55"/>
  <c r="R2362" i="55"/>
  <c r="Q2362" i="55"/>
  <c r="P2362" i="55"/>
  <c r="R2361" i="55"/>
  <c r="Q2361" i="55"/>
  <c r="P2361" i="55"/>
  <c r="R2360" i="55"/>
  <c r="Q2360" i="55"/>
  <c r="P2360" i="55"/>
  <c r="R2359" i="55"/>
  <c r="Q2359" i="55"/>
  <c r="P2359" i="55"/>
  <c r="R2358" i="55"/>
  <c r="Q2358" i="55"/>
  <c r="P2358" i="55"/>
  <c r="R2357" i="55"/>
  <c r="Q2357" i="55"/>
  <c r="P2357" i="55"/>
  <c r="R2356" i="55"/>
  <c r="Q2356" i="55"/>
  <c r="P2356" i="55"/>
  <c r="R2355" i="55"/>
  <c r="Q2355" i="55"/>
  <c r="P2355" i="55"/>
  <c r="R2354" i="55"/>
  <c r="Q2354" i="55"/>
  <c r="P2354" i="55"/>
  <c r="R2353" i="55"/>
  <c r="Q2353" i="55"/>
  <c r="P2353" i="55"/>
  <c r="R2352" i="55"/>
  <c r="Q2352" i="55"/>
  <c r="P2352" i="55"/>
  <c r="R2351" i="55"/>
  <c r="Q2351" i="55"/>
  <c r="P2351" i="55"/>
  <c r="R2350" i="55"/>
  <c r="Q2350" i="55"/>
  <c r="P2350" i="55"/>
  <c r="R2349" i="55"/>
  <c r="Q2349" i="55"/>
  <c r="P2349" i="55"/>
  <c r="R2348" i="55"/>
  <c r="Q2348" i="55"/>
  <c r="P2348" i="55"/>
  <c r="R2347" i="55"/>
  <c r="Q2347" i="55"/>
  <c r="P2347" i="55"/>
  <c r="R2346" i="55"/>
  <c r="Q2346" i="55"/>
  <c r="P2346" i="55"/>
  <c r="R2345" i="55"/>
  <c r="Q2345" i="55"/>
  <c r="P2345" i="55"/>
  <c r="R2344" i="55"/>
  <c r="Q2344" i="55"/>
  <c r="P2344" i="55"/>
  <c r="R2343" i="55"/>
  <c r="Q2343" i="55"/>
  <c r="P2343" i="55"/>
  <c r="R2342" i="55"/>
  <c r="Q2342" i="55"/>
  <c r="P2342" i="55"/>
  <c r="R2341" i="55"/>
  <c r="Q2341" i="55"/>
  <c r="P2341" i="55"/>
  <c r="R2340" i="55"/>
  <c r="Q2340" i="55"/>
  <c r="P2340" i="55"/>
  <c r="R2339" i="55"/>
  <c r="Q2339" i="55"/>
  <c r="P2339" i="55"/>
  <c r="R2338" i="55"/>
  <c r="Q2338" i="55"/>
  <c r="P2338" i="55"/>
  <c r="R2337" i="55"/>
  <c r="Q2337" i="55"/>
  <c r="P2337" i="55"/>
  <c r="R2336" i="55"/>
  <c r="Q2336" i="55"/>
  <c r="P2336" i="55"/>
  <c r="R2335" i="55"/>
  <c r="Q2335" i="55"/>
  <c r="P2335" i="55"/>
  <c r="R2334" i="55"/>
  <c r="Q2334" i="55"/>
  <c r="P2334" i="55"/>
  <c r="R2333" i="55"/>
  <c r="Q2333" i="55"/>
  <c r="P2333" i="55"/>
  <c r="R2332" i="55"/>
  <c r="Q2332" i="55"/>
  <c r="P2332" i="55"/>
  <c r="R2331" i="55"/>
  <c r="Q2331" i="55"/>
  <c r="P2331" i="55"/>
  <c r="R2330" i="55"/>
  <c r="Q2330" i="55"/>
  <c r="P2330" i="55"/>
  <c r="R2329" i="55"/>
  <c r="Q2329" i="55"/>
  <c r="P2329" i="55"/>
  <c r="R2328" i="55"/>
  <c r="Q2328" i="55"/>
  <c r="P2328" i="55"/>
  <c r="R2327" i="55"/>
  <c r="Q2327" i="55"/>
  <c r="P2327" i="55"/>
  <c r="R2326" i="55"/>
  <c r="Q2326" i="55"/>
  <c r="P2326" i="55"/>
  <c r="R2325" i="55"/>
  <c r="Q2325" i="55"/>
  <c r="P2325" i="55"/>
  <c r="R2324" i="55"/>
  <c r="Q2324" i="55"/>
  <c r="P2324" i="55"/>
  <c r="R2323" i="55"/>
  <c r="Q2323" i="55"/>
  <c r="P2323" i="55"/>
  <c r="R2322" i="55"/>
  <c r="Q2322" i="55"/>
  <c r="P2322" i="55"/>
  <c r="R2321" i="55"/>
  <c r="Q2321" i="55"/>
  <c r="P2321" i="55"/>
  <c r="R2320" i="55"/>
  <c r="Q2320" i="55"/>
  <c r="P2320" i="55"/>
  <c r="R2319" i="55"/>
  <c r="Q2319" i="55"/>
  <c r="P2319" i="55"/>
  <c r="R2318" i="55"/>
  <c r="Q2318" i="55"/>
  <c r="P2318" i="55"/>
  <c r="R2317" i="55"/>
  <c r="Q2317" i="55"/>
  <c r="P2317" i="55"/>
  <c r="R2316" i="55"/>
  <c r="Q2316" i="55"/>
  <c r="P2316" i="55"/>
  <c r="R2315" i="55"/>
  <c r="Q2315" i="55"/>
  <c r="P2315" i="55"/>
  <c r="R2314" i="55"/>
  <c r="Q2314" i="55"/>
  <c r="P2314" i="55"/>
  <c r="R2313" i="55"/>
  <c r="Q2313" i="55"/>
  <c r="P2313" i="55"/>
  <c r="R2312" i="55"/>
  <c r="Q2312" i="55"/>
  <c r="P2312" i="55"/>
  <c r="R2311" i="55"/>
  <c r="Q2311" i="55"/>
  <c r="P2311" i="55"/>
  <c r="R2310" i="55"/>
  <c r="Q2310" i="55"/>
  <c r="P2310" i="55"/>
  <c r="R2309" i="55"/>
  <c r="Q2309" i="55"/>
  <c r="P2309" i="55"/>
  <c r="R2308" i="55"/>
  <c r="Q2308" i="55"/>
  <c r="P2308" i="55"/>
  <c r="R2307" i="55"/>
  <c r="Q2307" i="55"/>
  <c r="P2307" i="55"/>
  <c r="R2306" i="55"/>
  <c r="Q2306" i="55"/>
  <c r="P2306" i="55"/>
  <c r="R2305" i="55"/>
  <c r="Q2305" i="55"/>
  <c r="P2305" i="55"/>
  <c r="R2304" i="55"/>
  <c r="Q2304" i="55"/>
  <c r="P2304" i="55"/>
  <c r="R2303" i="55"/>
  <c r="Q2303" i="55"/>
  <c r="P2303" i="55"/>
  <c r="R2302" i="55"/>
  <c r="Q2302" i="55"/>
  <c r="P2302" i="55"/>
  <c r="R2301" i="55"/>
  <c r="Q2301" i="55"/>
  <c r="P2301" i="55"/>
  <c r="R2300" i="55"/>
  <c r="Q2300" i="55"/>
  <c r="P2300" i="55"/>
  <c r="R2299" i="55"/>
  <c r="Q2299" i="55"/>
  <c r="P2299" i="55"/>
  <c r="R2298" i="55"/>
  <c r="Q2298" i="55"/>
  <c r="P2298" i="55"/>
  <c r="R2297" i="55"/>
  <c r="Q2297" i="55"/>
  <c r="P2297" i="55"/>
  <c r="R2296" i="55"/>
  <c r="Q2296" i="55"/>
  <c r="P2296" i="55"/>
  <c r="R2295" i="55"/>
  <c r="Q2295" i="55"/>
  <c r="P2295" i="55"/>
  <c r="R2294" i="55"/>
  <c r="Q2294" i="55"/>
  <c r="P2294" i="55"/>
  <c r="R2293" i="55"/>
  <c r="Q2293" i="55"/>
  <c r="P2293" i="55"/>
  <c r="R2292" i="55"/>
  <c r="Q2292" i="55"/>
  <c r="P2292" i="55"/>
  <c r="R2291" i="55"/>
  <c r="Q2291" i="55"/>
  <c r="P2291" i="55"/>
  <c r="R2290" i="55"/>
  <c r="Q2290" i="55"/>
  <c r="P2290" i="55"/>
  <c r="R2289" i="55"/>
  <c r="Q2289" i="55"/>
  <c r="P2289" i="55"/>
  <c r="R2288" i="55"/>
  <c r="Q2288" i="55"/>
  <c r="P2288" i="55"/>
  <c r="R2287" i="55"/>
  <c r="Q2287" i="55"/>
  <c r="P2287" i="55"/>
  <c r="R2286" i="55"/>
  <c r="Q2286" i="55"/>
  <c r="P2286" i="55"/>
  <c r="R2285" i="55"/>
  <c r="Q2285" i="55"/>
  <c r="P2285" i="55"/>
  <c r="R2284" i="55"/>
  <c r="Q2284" i="55"/>
  <c r="P2284" i="55"/>
  <c r="R2283" i="55"/>
  <c r="Q2283" i="55"/>
  <c r="P2283" i="55"/>
  <c r="R2282" i="55"/>
  <c r="Q2282" i="55"/>
  <c r="P2282" i="55"/>
  <c r="R2281" i="55"/>
  <c r="Q2281" i="55"/>
  <c r="P2281" i="55"/>
  <c r="R2280" i="55"/>
  <c r="Q2280" i="55"/>
  <c r="P2280" i="55"/>
  <c r="R2279" i="55"/>
  <c r="Q2279" i="55"/>
  <c r="P2279" i="55"/>
  <c r="R2278" i="55"/>
  <c r="Q2278" i="55"/>
  <c r="P2278" i="55"/>
  <c r="R2277" i="55"/>
  <c r="Q2277" i="55"/>
  <c r="P2277" i="55"/>
  <c r="R2276" i="55"/>
  <c r="Q2276" i="55"/>
  <c r="P2276" i="55"/>
  <c r="R2275" i="55"/>
  <c r="Q2275" i="55"/>
  <c r="P2275" i="55"/>
  <c r="R2274" i="55"/>
  <c r="Q2274" i="55"/>
  <c r="P2274" i="55"/>
  <c r="R2273" i="55"/>
  <c r="Q2273" i="55"/>
  <c r="P2273" i="55"/>
  <c r="R2272" i="55"/>
  <c r="Q2272" i="55"/>
  <c r="P2272" i="55"/>
  <c r="R2271" i="55"/>
  <c r="Q2271" i="55"/>
  <c r="P2271" i="55"/>
  <c r="R2270" i="55"/>
  <c r="Q2270" i="55"/>
  <c r="P2270" i="55"/>
  <c r="R2269" i="55"/>
  <c r="Q2269" i="55"/>
  <c r="P2269" i="55"/>
  <c r="R2268" i="55"/>
  <c r="Q2268" i="55"/>
  <c r="P2268" i="55"/>
  <c r="R2267" i="55"/>
  <c r="Q2267" i="55"/>
  <c r="P2267" i="55"/>
  <c r="R2266" i="55"/>
  <c r="Q2266" i="55"/>
  <c r="P2266" i="55"/>
  <c r="R2265" i="55"/>
  <c r="Q2265" i="55"/>
  <c r="P2265" i="55"/>
  <c r="R2264" i="55"/>
  <c r="Q2264" i="55"/>
  <c r="P2264" i="55"/>
  <c r="R2263" i="55"/>
  <c r="Q2263" i="55"/>
  <c r="P2263" i="55"/>
  <c r="R2262" i="55"/>
  <c r="Q2262" i="55"/>
  <c r="P2262" i="55"/>
  <c r="R2261" i="55"/>
  <c r="Q2261" i="55"/>
  <c r="P2261" i="55"/>
  <c r="R2260" i="55"/>
  <c r="Q2260" i="55"/>
  <c r="P2260" i="55"/>
  <c r="R2259" i="55"/>
  <c r="Q2259" i="55"/>
  <c r="P2259" i="55"/>
  <c r="R2258" i="55"/>
  <c r="Q2258" i="55"/>
  <c r="P2258" i="55"/>
  <c r="R2257" i="55"/>
  <c r="Q2257" i="55"/>
  <c r="P2257" i="55"/>
  <c r="R2256" i="55"/>
  <c r="Q2256" i="55"/>
  <c r="P2256" i="55"/>
  <c r="R2255" i="55"/>
  <c r="Q2255" i="55"/>
  <c r="P2255" i="55"/>
  <c r="R2254" i="55"/>
  <c r="Q2254" i="55"/>
  <c r="P2254" i="55"/>
  <c r="R2253" i="55"/>
  <c r="Q2253" i="55"/>
  <c r="P2253" i="55"/>
  <c r="R2252" i="55"/>
  <c r="Q2252" i="55"/>
  <c r="P2252" i="55"/>
  <c r="R2251" i="55"/>
  <c r="Q2251" i="55"/>
  <c r="P2251" i="55"/>
  <c r="R2250" i="55"/>
  <c r="Q2250" i="55"/>
  <c r="P2250" i="55"/>
  <c r="R2249" i="55"/>
  <c r="Q2249" i="55"/>
  <c r="P2249" i="55"/>
  <c r="R2248" i="55"/>
  <c r="Q2248" i="55"/>
  <c r="P2248" i="55"/>
  <c r="R2247" i="55"/>
  <c r="Q2247" i="55"/>
  <c r="P2247" i="55"/>
  <c r="R2246" i="55"/>
  <c r="Q2246" i="55"/>
  <c r="P2246" i="55"/>
  <c r="R2245" i="55"/>
  <c r="Q2245" i="55"/>
  <c r="P2245" i="55"/>
  <c r="R2244" i="55"/>
  <c r="Q2244" i="55"/>
  <c r="P2244" i="55"/>
  <c r="R2243" i="55"/>
  <c r="Q2243" i="55"/>
  <c r="P2243" i="55"/>
  <c r="R2242" i="55"/>
  <c r="Q2242" i="55"/>
  <c r="P2242" i="55"/>
  <c r="R2241" i="55"/>
  <c r="Q2241" i="55"/>
  <c r="P2241" i="55"/>
  <c r="R2240" i="55"/>
  <c r="Q2240" i="55"/>
  <c r="P2240" i="55"/>
  <c r="R2239" i="55"/>
  <c r="Q2239" i="55"/>
  <c r="P2239" i="55"/>
  <c r="R2238" i="55"/>
  <c r="Q2238" i="55"/>
  <c r="P2238" i="55"/>
  <c r="R2237" i="55"/>
  <c r="Q2237" i="55"/>
  <c r="P2237" i="55"/>
  <c r="R2236" i="55"/>
  <c r="Q2236" i="55"/>
  <c r="P2236" i="55"/>
  <c r="R2235" i="55"/>
  <c r="Q2235" i="55"/>
  <c r="P2235" i="55"/>
  <c r="R2234" i="55"/>
  <c r="Q2234" i="55"/>
  <c r="P2234" i="55"/>
  <c r="R2233" i="55"/>
  <c r="Q2233" i="55"/>
  <c r="P2233" i="55"/>
  <c r="R2232" i="55"/>
  <c r="Q2232" i="55"/>
  <c r="P2232" i="55"/>
  <c r="R2231" i="55"/>
  <c r="Q2231" i="55"/>
  <c r="P2231" i="55"/>
  <c r="R2230" i="55"/>
  <c r="Q2230" i="55"/>
  <c r="P2230" i="55"/>
  <c r="R2229" i="55"/>
  <c r="Q2229" i="55"/>
  <c r="P2229" i="55"/>
  <c r="R2228" i="55"/>
  <c r="Q2228" i="55"/>
  <c r="P2228" i="55"/>
  <c r="R2227" i="55"/>
  <c r="Q2227" i="55"/>
  <c r="P2227" i="55"/>
  <c r="R2226" i="55"/>
  <c r="Q2226" i="55"/>
  <c r="P2226" i="55"/>
  <c r="R2225" i="55"/>
  <c r="Q2225" i="55"/>
  <c r="P2225" i="55"/>
  <c r="R2224" i="55"/>
  <c r="Q2224" i="55"/>
  <c r="P2224" i="55"/>
  <c r="R2223" i="55"/>
  <c r="Q2223" i="55"/>
  <c r="P2223" i="55"/>
  <c r="R2222" i="55"/>
  <c r="Q2222" i="55"/>
  <c r="P2222" i="55"/>
  <c r="R2221" i="55"/>
  <c r="Q2221" i="55"/>
  <c r="P2221" i="55"/>
  <c r="R2220" i="55"/>
  <c r="Q2220" i="55"/>
  <c r="P2220" i="55"/>
  <c r="R2219" i="55"/>
  <c r="Q2219" i="55"/>
  <c r="P2219" i="55"/>
  <c r="R2218" i="55"/>
  <c r="Q2218" i="55"/>
  <c r="P2218" i="55"/>
  <c r="R2217" i="55"/>
  <c r="Q2217" i="55"/>
  <c r="P2217" i="55"/>
  <c r="R2216" i="55"/>
  <c r="Q2216" i="55"/>
  <c r="P2216" i="55"/>
  <c r="R2215" i="55"/>
  <c r="Q2215" i="55"/>
  <c r="P2215" i="55"/>
  <c r="R2214" i="55"/>
  <c r="Q2214" i="55"/>
  <c r="P2214" i="55"/>
  <c r="R2213" i="55"/>
  <c r="Q2213" i="55"/>
  <c r="P2213" i="55"/>
  <c r="R2212" i="55"/>
  <c r="Q2212" i="55"/>
  <c r="P2212" i="55"/>
  <c r="R2211" i="55"/>
  <c r="Q2211" i="55"/>
  <c r="P2211" i="55"/>
  <c r="R2210" i="55"/>
  <c r="Q2210" i="55"/>
  <c r="P2210" i="55"/>
  <c r="R2209" i="55"/>
  <c r="Q2209" i="55"/>
  <c r="P2209" i="55"/>
  <c r="R2208" i="55"/>
  <c r="Q2208" i="55"/>
  <c r="P2208" i="55"/>
  <c r="R2207" i="55"/>
  <c r="Q2207" i="55"/>
  <c r="P2207" i="55"/>
  <c r="R2206" i="55"/>
  <c r="Q2206" i="55"/>
  <c r="P2206" i="55"/>
  <c r="R2205" i="55"/>
  <c r="Q2205" i="55"/>
  <c r="P2205" i="55"/>
  <c r="R2204" i="55"/>
  <c r="Q2204" i="55"/>
  <c r="P2204" i="55"/>
  <c r="R2203" i="55"/>
  <c r="Q2203" i="55"/>
  <c r="P2203" i="55"/>
  <c r="R2202" i="55"/>
  <c r="Q2202" i="55"/>
  <c r="P2202" i="55"/>
  <c r="R2201" i="55"/>
  <c r="Q2201" i="55"/>
  <c r="P2201" i="55"/>
  <c r="R2200" i="55"/>
  <c r="Q2200" i="55"/>
  <c r="P2200" i="55"/>
  <c r="R2199" i="55"/>
  <c r="Q2199" i="55"/>
  <c r="P2199" i="55"/>
  <c r="R2198" i="55"/>
  <c r="Q2198" i="55"/>
  <c r="P2198" i="55"/>
  <c r="R2197" i="55"/>
  <c r="Q2197" i="55"/>
  <c r="P2197" i="55"/>
  <c r="R2196" i="55"/>
  <c r="Q2196" i="55"/>
  <c r="P2196" i="55"/>
  <c r="R2195" i="55"/>
  <c r="Q2195" i="55"/>
  <c r="P2195" i="55"/>
  <c r="R2194" i="55"/>
  <c r="Q2194" i="55"/>
  <c r="P2194" i="55"/>
  <c r="R2193" i="55"/>
  <c r="Q2193" i="55"/>
  <c r="P2193" i="55"/>
  <c r="R2192" i="55"/>
  <c r="Q2192" i="55"/>
  <c r="P2192" i="55"/>
  <c r="R2191" i="55"/>
  <c r="Q2191" i="55"/>
  <c r="P2191" i="55"/>
  <c r="R2190" i="55"/>
  <c r="Q2190" i="55"/>
  <c r="P2190" i="55"/>
  <c r="R2189" i="55"/>
  <c r="Q2189" i="55"/>
  <c r="P2189" i="55"/>
  <c r="R2188" i="55"/>
  <c r="Q2188" i="55"/>
  <c r="P2188" i="55"/>
  <c r="R2187" i="55"/>
  <c r="Q2187" i="55"/>
  <c r="P2187" i="55"/>
  <c r="R2186" i="55"/>
  <c r="Q2186" i="55"/>
  <c r="P2186" i="55"/>
  <c r="R2185" i="55"/>
  <c r="Q2185" i="55"/>
  <c r="P2185" i="55"/>
  <c r="R2184" i="55"/>
  <c r="Q2184" i="55"/>
  <c r="P2184" i="55"/>
  <c r="R2183" i="55"/>
  <c r="Q2183" i="55"/>
  <c r="P2183" i="55"/>
  <c r="R2182" i="55"/>
  <c r="Q2182" i="55"/>
  <c r="P2182" i="55"/>
  <c r="R2181" i="55"/>
  <c r="Q2181" i="55"/>
  <c r="P2181" i="55"/>
  <c r="R2180" i="55"/>
  <c r="Q2180" i="55"/>
  <c r="P2180" i="55"/>
  <c r="R2179" i="55"/>
  <c r="Q2179" i="55"/>
  <c r="P2179" i="55"/>
  <c r="R2178" i="55"/>
  <c r="Q2178" i="55"/>
  <c r="P2178" i="55"/>
  <c r="R2177" i="55"/>
  <c r="Q2177" i="55"/>
  <c r="P2177" i="55"/>
  <c r="R2176" i="55"/>
  <c r="Q2176" i="55"/>
  <c r="P2176" i="55"/>
  <c r="R2175" i="55"/>
  <c r="Q2175" i="55"/>
  <c r="P2175" i="55"/>
  <c r="R2174" i="55"/>
  <c r="Q2174" i="55"/>
  <c r="P2174" i="55"/>
  <c r="R2173" i="55"/>
  <c r="Q2173" i="55"/>
  <c r="P2173" i="55"/>
  <c r="R2172" i="55"/>
  <c r="Q2172" i="55"/>
  <c r="P2172" i="55"/>
  <c r="R2171" i="55"/>
  <c r="Q2171" i="55"/>
  <c r="P2171" i="55"/>
  <c r="R2170" i="55"/>
  <c r="Q2170" i="55"/>
  <c r="P2170" i="55"/>
  <c r="R2169" i="55"/>
  <c r="Q2169" i="55"/>
  <c r="P2169" i="55"/>
  <c r="R2168" i="55"/>
  <c r="Q2168" i="55"/>
  <c r="P2168" i="55"/>
  <c r="R2167" i="55"/>
  <c r="Q2167" i="55"/>
  <c r="P2167" i="55"/>
  <c r="R2166" i="55"/>
  <c r="Q2166" i="55"/>
  <c r="P2166" i="55"/>
  <c r="R2165" i="55"/>
  <c r="Q2165" i="55"/>
  <c r="P2165" i="55"/>
  <c r="R2164" i="55"/>
  <c r="Q2164" i="55"/>
  <c r="P2164" i="55"/>
  <c r="R2163" i="55"/>
  <c r="Q2163" i="55"/>
  <c r="P2163" i="55"/>
  <c r="R2162" i="55"/>
  <c r="Q2162" i="55"/>
  <c r="P2162" i="55"/>
  <c r="R2161" i="55"/>
  <c r="Q2161" i="55"/>
  <c r="P2161" i="55"/>
  <c r="R2160" i="55"/>
  <c r="Q2160" i="55"/>
  <c r="P2160" i="55"/>
  <c r="R2159" i="55"/>
  <c r="Q2159" i="55"/>
  <c r="P2159" i="55"/>
  <c r="R2158" i="55"/>
  <c r="Q2158" i="55"/>
  <c r="P2158" i="55"/>
  <c r="R2157" i="55"/>
  <c r="Q2157" i="55"/>
  <c r="P2157" i="55"/>
  <c r="R2156" i="55"/>
  <c r="Q2156" i="55"/>
  <c r="P2156" i="55"/>
  <c r="R2155" i="55"/>
  <c r="Q2155" i="55"/>
  <c r="P2155" i="55"/>
  <c r="R2154" i="55"/>
  <c r="Q2154" i="55"/>
  <c r="P2154" i="55"/>
  <c r="R2153" i="55"/>
  <c r="Q2153" i="55"/>
  <c r="P2153" i="55"/>
  <c r="R2152" i="55"/>
  <c r="Q2152" i="55"/>
  <c r="P2152" i="55"/>
  <c r="R2151" i="55"/>
  <c r="Q2151" i="55"/>
  <c r="P2151" i="55"/>
  <c r="R2150" i="55"/>
  <c r="Q2150" i="55"/>
  <c r="P2150" i="55"/>
  <c r="R2149" i="55"/>
  <c r="Q2149" i="55"/>
  <c r="P2149" i="55"/>
  <c r="R2148" i="55"/>
  <c r="Q2148" i="55"/>
  <c r="P2148" i="55"/>
  <c r="R2147" i="55"/>
  <c r="Q2147" i="55"/>
  <c r="P2147" i="55"/>
  <c r="R2146" i="55"/>
  <c r="Q2146" i="55"/>
  <c r="P2146" i="55"/>
  <c r="R2145" i="55"/>
  <c r="Q2145" i="55"/>
  <c r="P2145" i="55"/>
  <c r="R2144" i="55"/>
  <c r="Q2144" i="55"/>
  <c r="P2144" i="55"/>
  <c r="R2143" i="55"/>
  <c r="Q2143" i="55"/>
  <c r="P2143" i="55"/>
  <c r="R2142" i="55"/>
  <c r="Q2142" i="55"/>
  <c r="P2142" i="55"/>
  <c r="R2141" i="55"/>
  <c r="Q2141" i="55"/>
  <c r="P2141" i="55"/>
  <c r="R2140" i="55"/>
  <c r="Q2140" i="55"/>
  <c r="P2140" i="55"/>
  <c r="R2139" i="55"/>
  <c r="Q2139" i="55"/>
  <c r="P2139" i="55"/>
  <c r="R2138" i="55"/>
  <c r="Q2138" i="55"/>
  <c r="P2138" i="55"/>
  <c r="R2137" i="55"/>
  <c r="Q2137" i="55"/>
  <c r="P2137" i="55"/>
  <c r="R2136" i="55"/>
  <c r="Q2136" i="55"/>
  <c r="P2136" i="55"/>
  <c r="R2135" i="55"/>
  <c r="Q2135" i="55"/>
  <c r="P2135" i="55"/>
  <c r="R2134" i="55"/>
  <c r="Q2134" i="55"/>
  <c r="P2134" i="55"/>
  <c r="R2133" i="55"/>
  <c r="Q2133" i="55"/>
  <c r="P2133" i="55"/>
  <c r="R2132" i="55"/>
  <c r="Q2132" i="55"/>
  <c r="P2132" i="55"/>
  <c r="R2131" i="55"/>
  <c r="Q2131" i="55"/>
  <c r="P2131" i="55"/>
  <c r="R2130" i="55"/>
  <c r="Q2130" i="55"/>
  <c r="P2130" i="55"/>
  <c r="R2129" i="55"/>
  <c r="Q2129" i="55"/>
  <c r="P2129" i="55"/>
  <c r="R2128" i="55"/>
  <c r="Q2128" i="55"/>
  <c r="P2128" i="55"/>
  <c r="R2127" i="55"/>
  <c r="Q2127" i="55"/>
  <c r="P2127" i="55"/>
  <c r="R2126" i="55"/>
  <c r="Q2126" i="55"/>
  <c r="P2126" i="55"/>
  <c r="R2125" i="55"/>
  <c r="Q2125" i="55"/>
  <c r="P2125" i="55"/>
  <c r="R2124" i="55"/>
  <c r="Q2124" i="55"/>
  <c r="P2124" i="55"/>
  <c r="R2123" i="55"/>
  <c r="Q2123" i="55"/>
  <c r="P2123" i="55"/>
  <c r="R2122" i="55"/>
  <c r="Q2122" i="55"/>
  <c r="P2122" i="55"/>
  <c r="R2121" i="55"/>
  <c r="Q2121" i="55"/>
  <c r="P2121" i="55"/>
  <c r="R2120" i="55"/>
  <c r="Q2120" i="55"/>
  <c r="P2120" i="55"/>
  <c r="R2119" i="55"/>
  <c r="Q2119" i="55"/>
  <c r="P2119" i="55"/>
  <c r="R2118" i="55"/>
  <c r="Q2118" i="55"/>
  <c r="P2118" i="55"/>
  <c r="R2117" i="55"/>
  <c r="Q2117" i="55"/>
  <c r="P2117" i="55"/>
  <c r="R2116" i="55"/>
  <c r="Q2116" i="55"/>
  <c r="P2116" i="55"/>
  <c r="R2115" i="55"/>
  <c r="Q2115" i="55"/>
  <c r="P2115" i="55"/>
  <c r="R2114" i="55"/>
  <c r="Q2114" i="55"/>
  <c r="P2114" i="55"/>
  <c r="R2113" i="55"/>
  <c r="Q2113" i="55"/>
  <c r="P2113" i="55"/>
  <c r="R2112" i="55"/>
  <c r="Q2112" i="55"/>
  <c r="P2112" i="55"/>
  <c r="R2111" i="55"/>
  <c r="Q2111" i="55"/>
  <c r="P2111" i="55"/>
  <c r="R2110" i="55"/>
  <c r="Q2110" i="55"/>
  <c r="P2110" i="55"/>
  <c r="R2109" i="55"/>
  <c r="Q2109" i="55"/>
  <c r="P2109" i="55"/>
  <c r="R2108" i="55"/>
  <c r="Q2108" i="55"/>
  <c r="P2108" i="55"/>
  <c r="R2107" i="55"/>
  <c r="Q2107" i="55"/>
  <c r="P2107" i="55"/>
  <c r="R2106" i="55"/>
  <c r="Q2106" i="55"/>
  <c r="P2106" i="55"/>
  <c r="R2105" i="55"/>
  <c r="Q2105" i="55"/>
  <c r="P2105" i="55"/>
  <c r="R2104" i="55"/>
  <c r="Q2104" i="55"/>
  <c r="P2104" i="55"/>
  <c r="R2103" i="55"/>
  <c r="Q2103" i="55"/>
  <c r="P2103" i="55"/>
  <c r="R2102" i="55"/>
  <c r="Q2102" i="55"/>
  <c r="P2102" i="55"/>
  <c r="R2101" i="55"/>
  <c r="Q2101" i="55"/>
  <c r="P2101" i="55"/>
  <c r="R2100" i="55"/>
  <c r="Q2100" i="55"/>
  <c r="P2100" i="55"/>
  <c r="R2099" i="55"/>
  <c r="Q2099" i="55"/>
  <c r="P2099" i="55"/>
  <c r="R2098" i="55"/>
  <c r="Q2098" i="55"/>
  <c r="P2098" i="55"/>
  <c r="R2097" i="55"/>
  <c r="Q2097" i="55"/>
  <c r="P2097" i="55"/>
  <c r="R2096" i="55"/>
  <c r="Q2096" i="55"/>
  <c r="P2096" i="55"/>
  <c r="R2095" i="55"/>
  <c r="Q2095" i="55"/>
  <c r="P2095" i="55"/>
  <c r="R2094" i="55"/>
  <c r="Q2094" i="55"/>
  <c r="P2094" i="55"/>
  <c r="R2093" i="55"/>
  <c r="Q2093" i="55"/>
  <c r="P2093" i="55"/>
  <c r="R2092" i="55"/>
  <c r="Q2092" i="55"/>
  <c r="P2092" i="55"/>
  <c r="R2091" i="55"/>
  <c r="Q2091" i="55"/>
  <c r="P2091" i="55"/>
  <c r="R2090" i="55"/>
  <c r="Q2090" i="55"/>
  <c r="P2090" i="55"/>
  <c r="R2089" i="55"/>
  <c r="Q2089" i="55"/>
  <c r="P2089" i="55"/>
  <c r="R2088" i="55"/>
  <c r="Q2088" i="55"/>
  <c r="P2088" i="55"/>
  <c r="R2087" i="55"/>
  <c r="Q2087" i="55"/>
  <c r="P2087" i="55"/>
  <c r="R2086" i="55"/>
  <c r="Q2086" i="55"/>
  <c r="P2086" i="55"/>
  <c r="R2085" i="55"/>
  <c r="Q2085" i="55"/>
  <c r="P2085" i="55"/>
  <c r="R2084" i="55"/>
  <c r="Q2084" i="55"/>
  <c r="P2084" i="55"/>
  <c r="R2083" i="55"/>
  <c r="Q2083" i="55"/>
  <c r="P2083" i="55"/>
  <c r="R2082" i="55"/>
  <c r="Q2082" i="55"/>
  <c r="P2082" i="55"/>
  <c r="R2081" i="55"/>
  <c r="Q2081" i="55"/>
  <c r="P2081" i="55"/>
  <c r="R2080" i="55"/>
  <c r="Q2080" i="55"/>
  <c r="P2080" i="55"/>
  <c r="R2079" i="55"/>
  <c r="Q2079" i="55"/>
  <c r="P2079" i="55"/>
  <c r="R2078" i="55"/>
  <c r="Q2078" i="55"/>
  <c r="P2078" i="55"/>
  <c r="R2077" i="55"/>
  <c r="Q2077" i="55"/>
  <c r="P2077" i="55"/>
  <c r="R2076" i="55"/>
  <c r="Q2076" i="55"/>
  <c r="P2076" i="55"/>
  <c r="R2075" i="55"/>
  <c r="Q2075" i="55"/>
  <c r="P2075" i="55"/>
  <c r="R2074" i="55"/>
  <c r="Q2074" i="55"/>
  <c r="P2074" i="55"/>
  <c r="R2073" i="55"/>
  <c r="Q2073" i="55"/>
  <c r="P2073" i="55"/>
  <c r="R2072" i="55"/>
  <c r="Q2072" i="55"/>
  <c r="P2072" i="55"/>
  <c r="R2071" i="55"/>
  <c r="Q2071" i="55"/>
  <c r="P2071" i="55"/>
  <c r="R2070" i="55"/>
  <c r="Q2070" i="55"/>
  <c r="P2070" i="55"/>
  <c r="R2069" i="55"/>
  <c r="Q2069" i="55"/>
  <c r="P2069" i="55"/>
  <c r="R2068" i="55"/>
  <c r="Q2068" i="55"/>
  <c r="P2068" i="55"/>
  <c r="R2067" i="55"/>
  <c r="Q2067" i="55"/>
  <c r="P2067" i="55"/>
  <c r="R2066" i="55"/>
  <c r="Q2066" i="55"/>
  <c r="P2066" i="55"/>
  <c r="R2065" i="55"/>
  <c r="Q2065" i="55"/>
  <c r="P2065" i="55"/>
  <c r="R2064" i="55"/>
  <c r="Q2064" i="55"/>
  <c r="P2064" i="55"/>
  <c r="R2063" i="55"/>
  <c r="Q2063" i="55"/>
  <c r="P2063" i="55"/>
  <c r="R2062" i="55"/>
  <c r="Q2062" i="55"/>
  <c r="P2062" i="55"/>
  <c r="R2061" i="55"/>
  <c r="Q2061" i="55"/>
  <c r="P2061" i="55"/>
  <c r="R2060" i="55"/>
  <c r="Q2060" i="55"/>
  <c r="P2060" i="55"/>
  <c r="R2059" i="55"/>
  <c r="Q2059" i="55"/>
  <c r="P2059" i="55"/>
  <c r="R2058" i="55"/>
  <c r="Q2058" i="55"/>
  <c r="P2058" i="55"/>
  <c r="R2057" i="55"/>
  <c r="Q2057" i="55"/>
  <c r="P2057" i="55"/>
  <c r="R2056" i="55"/>
  <c r="Q2056" i="55"/>
  <c r="P2056" i="55"/>
  <c r="R2055" i="55"/>
  <c r="Q2055" i="55"/>
  <c r="P2055" i="55"/>
  <c r="R2054" i="55"/>
  <c r="Q2054" i="55"/>
  <c r="P2054" i="55"/>
  <c r="R2053" i="55"/>
  <c r="Q2053" i="55"/>
  <c r="P2053" i="55"/>
  <c r="R2052" i="55"/>
  <c r="Q2052" i="55"/>
  <c r="P2052" i="55"/>
  <c r="R2051" i="55"/>
  <c r="Q2051" i="55"/>
  <c r="P2051" i="55"/>
  <c r="R2050" i="55"/>
  <c r="Q2050" i="55"/>
  <c r="P2050" i="55"/>
  <c r="R2049" i="55"/>
  <c r="Q2049" i="55"/>
  <c r="P2049" i="55"/>
  <c r="R2048" i="55"/>
  <c r="Q2048" i="55"/>
  <c r="P2048" i="55"/>
  <c r="R2047" i="55"/>
  <c r="Q2047" i="55"/>
  <c r="P2047" i="55"/>
  <c r="R2046" i="55"/>
  <c r="Q2046" i="55"/>
  <c r="P2046" i="55"/>
  <c r="R2045" i="55"/>
  <c r="Q2045" i="55"/>
  <c r="P2045" i="55"/>
  <c r="R2044" i="55"/>
  <c r="Q2044" i="55"/>
  <c r="P2044" i="55"/>
  <c r="R2043" i="55"/>
  <c r="Q2043" i="55"/>
  <c r="P2043" i="55"/>
  <c r="R2042" i="55"/>
  <c r="Q2042" i="55"/>
  <c r="P2042" i="55"/>
  <c r="R2041" i="55"/>
  <c r="Q2041" i="55"/>
  <c r="P2041" i="55"/>
  <c r="R2040" i="55"/>
  <c r="Q2040" i="55"/>
  <c r="P2040" i="55"/>
  <c r="R2039" i="55"/>
  <c r="Q2039" i="55"/>
  <c r="P2039" i="55"/>
  <c r="R2038" i="55"/>
  <c r="Q2038" i="55"/>
  <c r="P2038" i="55"/>
  <c r="R2037" i="55"/>
  <c r="Q2037" i="55"/>
  <c r="P2037" i="55"/>
  <c r="R2036" i="55"/>
  <c r="Q2036" i="55"/>
  <c r="P2036" i="55"/>
  <c r="R2035" i="55"/>
  <c r="Q2035" i="55"/>
  <c r="P2035" i="55"/>
  <c r="R2034" i="55"/>
  <c r="Q2034" i="55"/>
  <c r="P2034" i="55"/>
  <c r="R2033" i="55"/>
  <c r="Q2033" i="55"/>
  <c r="P2033" i="55"/>
  <c r="R2032" i="55"/>
  <c r="Q2032" i="55"/>
  <c r="P2032" i="55"/>
  <c r="R2031" i="55"/>
  <c r="Q2031" i="55"/>
  <c r="P2031" i="55"/>
  <c r="R2030" i="55"/>
  <c r="Q2030" i="55"/>
  <c r="P2030" i="55"/>
  <c r="R2029" i="55"/>
  <c r="Q2029" i="55"/>
  <c r="P2029" i="55"/>
  <c r="R2028" i="55"/>
  <c r="Q2028" i="55"/>
  <c r="P2028" i="55"/>
  <c r="R2027" i="55"/>
  <c r="Q2027" i="55"/>
  <c r="P2027" i="55"/>
  <c r="R2026" i="55"/>
  <c r="Q2026" i="55"/>
  <c r="P2026" i="55"/>
  <c r="R4" i="55"/>
  <c r="A1" i="55"/>
  <c r="N28" i="21"/>
  <c r="M28" i="21"/>
  <c r="N18" i="21"/>
  <c r="M18" i="21"/>
  <c r="L18" i="21"/>
  <c r="K18" i="21"/>
  <c r="J18" i="21"/>
  <c r="I18" i="21"/>
  <c r="H18" i="21"/>
  <c r="G18" i="21"/>
  <c r="F18" i="21"/>
  <c r="N4" i="21"/>
  <c r="M4" i="21"/>
  <c r="L4" i="21"/>
  <c r="K4" i="21"/>
  <c r="J4" i="21"/>
  <c r="I4" i="21"/>
  <c r="H4" i="21"/>
  <c r="G4" i="21"/>
  <c r="F4" i="21"/>
  <c r="R3040" i="53"/>
  <c r="Q3040" i="53"/>
  <c r="P3040" i="53"/>
  <c r="R3039" i="53"/>
  <c r="Q3039" i="53"/>
  <c r="P3039" i="53"/>
  <c r="R3038" i="53"/>
  <c r="Q3038" i="53"/>
  <c r="P3038" i="53"/>
  <c r="R3037" i="53"/>
  <c r="Q3037" i="53"/>
  <c r="P3037" i="53"/>
  <c r="R3036" i="53"/>
  <c r="Q3036" i="53"/>
  <c r="P3036" i="53"/>
  <c r="R3035" i="53"/>
  <c r="Q3035" i="53"/>
  <c r="P3035" i="53"/>
  <c r="R3034" i="53"/>
  <c r="Q3034" i="53"/>
  <c r="P3034" i="53"/>
  <c r="R3033" i="53"/>
  <c r="Q3033" i="53"/>
  <c r="P3033" i="53"/>
  <c r="R3032" i="53"/>
  <c r="Q3032" i="53"/>
  <c r="P3032" i="53"/>
  <c r="R3031" i="53"/>
  <c r="Q3031" i="53"/>
  <c r="P3031" i="53"/>
  <c r="R3030" i="53"/>
  <c r="Q3030" i="53"/>
  <c r="P3030" i="53"/>
  <c r="R3029" i="53"/>
  <c r="Q3029" i="53"/>
  <c r="P3029" i="53"/>
  <c r="R3028" i="53"/>
  <c r="Q3028" i="53"/>
  <c r="P3028" i="53"/>
  <c r="R3027" i="53"/>
  <c r="Q3027" i="53"/>
  <c r="P3027" i="53"/>
  <c r="R3026" i="53"/>
  <c r="Q3026" i="53"/>
  <c r="P3026" i="53"/>
  <c r="R3025" i="53"/>
  <c r="Q3025" i="53"/>
  <c r="P3025" i="53"/>
  <c r="R3024" i="53"/>
  <c r="Q3024" i="53"/>
  <c r="P3024" i="53"/>
  <c r="R3023" i="53"/>
  <c r="Q3023" i="53"/>
  <c r="P3023" i="53"/>
  <c r="R3022" i="53"/>
  <c r="Q3022" i="53"/>
  <c r="P3022" i="53"/>
  <c r="R3021" i="53"/>
  <c r="Q3021" i="53"/>
  <c r="P3021" i="53"/>
  <c r="R3020" i="53"/>
  <c r="Q3020" i="53"/>
  <c r="P3020" i="53"/>
  <c r="R3019" i="53"/>
  <c r="Q3019" i="53"/>
  <c r="P3019" i="53"/>
  <c r="R3018" i="53"/>
  <c r="Q3018" i="53"/>
  <c r="P3018" i="53"/>
  <c r="R3017" i="53"/>
  <c r="Q3017" i="53"/>
  <c r="P3017" i="53"/>
  <c r="R3016" i="53"/>
  <c r="Q3016" i="53"/>
  <c r="P3016" i="53"/>
  <c r="R3015" i="53"/>
  <c r="Q3015" i="53"/>
  <c r="P3015" i="53"/>
  <c r="R3014" i="53"/>
  <c r="Q3014" i="53"/>
  <c r="P3014" i="53"/>
  <c r="R3013" i="53"/>
  <c r="Q3013" i="53"/>
  <c r="P3013" i="53"/>
  <c r="R3012" i="53"/>
  <c r="Q3012" i="53"/>
  <c r="P3012" i="53"/>
  <c r="R3011" i="53"/>
  <c r="Q3011" i="53"/>
  <c r="P3011" i="53"/>
  <c r="R3010" i="53"/>
  <c r="Q3010" i="53"/>
  <c r="P3010" i="53"/>
  <c r="R3009" i="53"/>
  <c r="Q3009" i="53"/>
  <c r="P3009" i="53"/>
  <c r="R3008" i="53"/>
  <c r="Q3008" i="53"/>
  <c r="P3008" i="53"/>
  <c r="R3007" i="53"/>
  <c r="Q3007" i="53"/>
  <c r="P3007" i="53"/>
  <c r="R3006" i="53"/>
  <c r="Q3006" i="53"/>
  <c r="P3006" i="53"/>
  <c r="R3005" i="53"/>
  <c r="Q3005" i="53"/>
  <c r="P3005" i="53"/>
  <c r="R3004" i="53"/>
  <c r="Q3004" i="53"/>
  <c r="P3004" i="53"/>
  <c r="R3003" i="53"/>
  <c r="Q3003" i="53"/>
  <c r="P3003" i="53"/>
  <c r="R3002" i="53"/>
  <c r="Q3002" i="53"/>
  <c r="P3002" i="53"/>
  <c r="R3001" i="53"/>
  <c r="Q3001" i="53"/>
  <c r="P3001" i="53"/>
  <c r="R3000" i="53"/>
  <c r="Q3000" i="53"/>
  <c r="P3000" i="53"/>
  <c r="R2999" i="53"/>
  <c r="Q2999" i="53"/>
  <c r="P2999" i="53"/>
  <c r="R2998" i="53"/>
  <c r="Q2998" i="53"/>
  <c r="P2998" i="53"/>
  <c r="R2997" i="53"/>
  <c r="Q2997" i="53"/>
  <c r="P2997" i="53"/>
  <c r="R2996" i="53"/>
  <c r="Q2996" i="53"/>
  <c r="P2996" i="53"/>
  <c r="R2995" i="53"/>
  <c r="Q2995" i="53"/>
  <c r="P2995" i="53"/>
  <c r="R2994" i="53"/>
  <c r="Q2994" i="53"/>
  <c r="P2994" i="53"/>
  <c r="R2993" i="53"/>
  <c r="Q2993" i="53"/>
  <c r="P2993" i="53"/>
  <c r="R2992" i="53"/>
  <c r="Q2992" i="53"/>
  <c r="P2992" i="53"/>
  <c r="R2991" i="53"/>
  <c r="Q2991" i="53"/>
  <c r="P2991" i="53"/>
  <c r="R2990" i="53"/>
  <c r="Q2990" i="53"/>
  <c r="P2990" i="53"/>
  <c r="R2989" i="53"/>
  <c r="Q2989" i="53"/>
  <c r="P2989" i="53"/>
  <c r="R2988" i="53"/>
  <c r="Q2988" i="53"/>
  <c r="P2988" i="53"/>
  <c r="R2987" i="53"/>
  <c r="Q2987" i="53"/>
  <c r="P2987" i="53"/>
  <c r="R2986" i="53"/>
  <c r="Q2986" i="53"/>
  <c r="P2986" i="53"/>
  <c r="R2985" i="53"/>
  <c r="Q2985" i="53"/>
  <c r="P2985" i="53"/>
  <c r="R2984" i="53"/>
  <c r="Q2984" i="53"/>
  <c r="P2984" i="53"/>
  <c r="R2983" i="53"/>
  <c r="Q2983" i="53"/>
  <c r="P2983" i="53"/>
  <c r="R2982" i="53"/>
  <c r="Q2982" i="53"/>
  <c r="P2982" i="53"/>
  <c r="R2981" i="53"/>
  <c r="Q2981" i="53"/>
  <c r="P2981" i="53"/>
  <c r="R2980" i="53"/>
  <c r="Q2980" i="53"/>
  <c r="P2980" i="53"/>
  <c r="R2979" i="53"/>
  <c r="Q2979" i="53"/>
  <c r="P2979" i="53"/>
  <c r="R2978" i="53"/>
  <c r="Q2978" i="53"/>
  <c r="P2978" i="53"/>
  <c r="R2977" i="53"/>
  <c r="Q2977" i="53"/>
  <c r="P2977" i="53"/>
  <c r="R2976" i="53"/>
  <c r="Q2976" i="53"/>
  <c r="P2976" i="53"/>
  <c r="R2975" i="53"/>
  <c r="Q2975" i="53"/>
  <c r="P2975" i="53"/>
  <c r="R2974" i="53"/>
  <c r="Q2974" i="53"/>
  <c r="P2974" i="53"/>
  <c r="R2973" i="53"/>
  <c r="Q2973" i="53"/>
  <c r="P2973" i="53"/>
  <c r="R2972" i="53"/>
  <c r="Q2972" i="53"/>
  <c r="P2972" i="53"/>
  <c r="R2971" i="53"/>
  <c r="Q2971" i="53"/>
  <c r="P2971" i="53"/>
  <c r="R2970" i="53"/>
  <c r="Q2970" i="53"/>
  <c r="P2970" i="53"/>
  <c r="R2969" i="53"/>
  <c r="Q2969" i="53"/>
  <c r="P2969" i="53"/>
  <c r="R2968" i="53"/>
  <c r="Q2968" i="53"/>
  <c r="P2968" i="53"/>
  <c r="R2967" i="53"/>
  <c r="Q2967" i="53"/>
  <c r="P2967" i="53"/>
  <c r="R2966" i="53"/>
  <c r="Q2966" i="53"/>
  <c r="P2966" i="53"/>
  <c r="R2965" i="53"/>
  <c r="Q2965" i="53"/>
  <c r="P2965" i="53"/>
  <c r="R2964" i="53"/>
  <c r="Q2964" i="53"/>
  <c r="P2964" i="53"/>
  <c r="R2963" i="53"/>
  <c r="Q2963" i="53"/>
  <c r="P2963" i="53"/>
  <c r="R2962" i="53"/>
  <c r="Q2962" i="53"/>
  <c r="P2962" i="53"/>
  <c r="R2961" i="53"/>
  <c r="Q2961" i="53"/>
  <c r="P2961" i="53"/>
  <c r="R2960" i="53"/>
  <c r="Q2960" i="53"/>
  <c r="P2960" i="53"/>
  <c r="R2959" i="53"/>
  <c r="Q2959" i="53"/>
  <c r="P2959" i="53"/>
  <c r="R2958" i="53"/>
  <c r="Q2958" i="53"/>
  <c r="P2958" i="53"/>
  <c r="R2957" i="53"/>
  <c r="Q2957" i="53"/>
  <c r="P2957" i="53"/>
  <c r="R2956" i="53"/>
  <c r="Q2956" i="53"/>
  <c r="P2956" i="53"/>
  <c r="R2955" i="53"/>
  <c r="Q2955" i="53"/>
  <c r="P2955" i="53"/>
  <c r="R2954" i="53"/>
  <c r="Q2954" i="53"/>
  <c r="P2954" i="53"/>
  <c r="R2953" i="53"/>
  <c r="Q2953" i="53"/>
  <c r="P2953" i="53"/>
  <c r="R2952" i="53"/>
  <c r="Q2952" i="53"/>
  <c r="P2952" i="53"/>
  <c r="R2951" i="53"/>
  <c r="Q2951" i="53"/>
  <c r="P2951" i="53"/>
  <c r="R2950" i="53"/>
  <c r="Q2950" i="53"/>
  <c r="P2950" i="53"/>
  <c r="R2949" i="53"/>
  <c r="Q2949" i="53"/>
  <c r="P2949" i="53"/>
  <c r="R2948" i="53"/>
  <c r="Q2948" i="53"/>
  <c r="P2948" i="53"/>
  <c r="R2947" i="53"/>
  <c r="Q2947" i="53"/>
  <c r="P2947" i="53"/>
  <c r="R2946" i="53"/>
  <c r="Q2946" i="53"/>
  <c r="P2946" i="53"/>
  <c r="R2945" i="53"/>
  <c r="Q2945" i="53"/>
  <c r="P2945" i="53"/>
  <c r="R2944" i="53"/>
  <c r="Q2944" i="53"/>
  <c r="P2944" i="53"/>
  <c r="A1" i="53"/>
  <c r="F5" i="43"/>
  <c r="G5" i="43"/>
  <c r="H5" i="43"/>
  <c r="I5" i="43"/>
  <c r="J5" i="43"/>
  <c r="K5" i="43"/>
  <c r="L5" i="43"/>
  <c r="M5" i="43"/>
  <c r="N5" i="43"/>
  <c r="O26" i="36"/>
  <c r="O24" i="36"/>
  <c r="O23" i="36"/>
  <c r="O13" i="36"/>
  <c r="O19" i="36"/>
  <c r="O20" i="36"/>
  <c r="O21" i="36"/>
  <c r="O18" i="36"/>
  <c r="O12" i="36"/>
  <c r="O11" i="36"/>
  <c r="O10" i="36"/>
  <c r="I30" i="36"/>
  <c r="I41" i="36" s="1"/>
  <c r="J30" i="36"/>
  <c r="J41" i="36" s="1"/>
  <c r="K30" i="36"/>
  <c r="K41" i="36" s="1"/>
  <c r="L30" i="36"/>
  <c r="L41" i="36" s="1"/>
  <c r="M30" i="36"/>
  <c r="M41" i="36" s="1"/>
  <c r="N30" i="36"/>
  <c r="N41" i="36" s="1"/>
  <c r="I33" i="36"/>
  <c r="J33" i="36"/>
  <c r="K33" i="36"/>
  <c r="L33" i="36"/>
  <c r="M33" i="36"/>
  <c r="N33" i="36"/>
  <c r="I5" i="36"/>
  <c r="I16" i="36" s="1"/>
  <c r="J5" i="36"/>
  <c r="J16" i="36" s="1"/>
  <c r="K5" i="36"/>
  <c r="K16" i="36" s="1"/>
  <c r="L5" i="36"/>
  <c r="L16" i="36" s="1"/>
  <c r="M5" i="36"/>
  <c r="M16" i="36" s="1"/>
  <c r="N5" i="36"/>
  <c r="N16" i="36" s="1"/>
  <c r="I14" i="36"/>
  <c r="J14" i="36"/>
  <c r="K14" i="36"/>
  <c r="L14" i="36"/>
  <c r="M14" i="36"/>
  <c r="N14" i="36"/>
  <c r="I22" i="36"/>
  <c r="I27" i="36" s="1"/>
  <c r="J22" i="36"/>
  <c r="J27" i="36" s="1"/>
  <c r="K22" i="36"/>
  <c r="K27" i="36" s="1"/>
  <c r="L22" i="36"/>
  <c r="L27" i="36" s="1"/>
  <c r="M22" i="36"/>
  <c r="M27" i="36" s="1"/>
  <c r="N22" i="36"/>
  <c r="N27" i="36" s="1"/>
  <c r="F27" i="20"/>
  <c r="E27" i="20"/>
  <c r="D27" i="20"/>
  <c r="Q1949" i="56" l="1"/>
  <c r="P1949" i="56"/>
  <c r="P1948" i="56"/>
  <c r="Q1662" i="56"/>
  <c r="P1662" i="56"/>
  <c r="Q1351" i="56"/>
  <c r="P1351" i="56"/>
  <c r="Q1350" i="56"/>
  <c r="P1350" i="56"/>
  <c r="Q1338" i="56"/>
  <c r="P1338" i="56"/>
  <c r="Q1184" i="56"/>
  <c r="P1184" i="56"/>
  <c r="Q1131" i="56"/>
  <c r="P1131" i="56"/>
  <c r="Q2046" i="56"/>
  <c r="P2046" i="56"/>
  <c r="Q2041" i="56"/>
  <c r="Q2045" i="56"/>
  <c r="P2045" i="56"/>
  <c r="P2041" i="56"/>
  <c r="Q2043" i="56"/>
  <c r="P2043" i="56"/>
  <c r="Q1992" i="56"/>
  <c r="P1992" i="56"/>
  <c r="Q1987" i="56"/>
  <c r="P1987" i="56"/>
  <c r="Q1986" i="56"/>
  <c r="P1986" i="56"/>
  <c r="Q2047" i="56"/>
  <c r="P2047" i="56"/>
  <c r="Q2042" i="56"/>
  <c r="P2042" i="56"/>
  <c r="P2040" i="56"/>
  <c r="Q2044" i="56"/>
  <c r="Q2040" i="56"/>
  <c r="P2044" i="56"/>
  <c r="Q1721" i="56"/>
  <c r="P1719" i="56"/>
  <c r="P1721" i="56"/>
  <c r="Q1720" i="56"/>
  <c r="P1720" i="56"/>
  <c r="Q1719" i="56"/>
  <c r="P1717" i="56"/>
  <c r="Q1714" i="56"/>
  <c r="Q1717" i="56"/>
  <c r="P1714" i="56"/>
  <c r="Q2140" i="56"/>
  <c r="Q1716" i="56"/>
  <c r="P2140" i="56"/>
  <c r="P1716" i="56"/>
  <c r="Q1718" i="56"/>
  <c r="Q2139" i="56"/>
  <c r="P1718" i="56"/>
  <c r="Q1715" i="56"/>
  <c r="P2139" i="56"/>
  <c r="P1715" i="56"/>
  <c r="Q2134" i="56"/>
  <c r="P2129" i="56"/>
  <c r="Q2126" i="56"/>
  <c r="P2121" i="56"/>
  <c r="Q2118" i="56"/>
  <c r="P2113" i="56"/>
  <c r="Q2110" i="56"/>
  <c r="P2105" i="56"/>
  <c r="Q2102" i="56"/>
  <c r="Q2137" i="56"/>
  <c r="P2134" i="56"/>
  <c r="Q2131" i="56"/>
  <c r="P2126" i="56"/>
  <c r="Q2123" i="56"/>
  <c r="P2118" i="56"/>
  <c r="Q2115" i="56"/>
  <c r="P2110" i="56"/>
  <c r="Q2107" i="56"/>
  <c r="P2102" i="56"/>
  <c r="Q2099" i="56"/>
  <c r="Q2097" i="56"/>
  <c r="P2137" i="56"/>
  <c r="P2131" i="56"/>
  <c r="Q2128" i="56"/>
  <c r="P2123" i="56"/>
  <c r="Q2120" i="56"/>
  <c r="P2115" i="56"/>
  <c r="Q2112" i="56"/>
  <c r="P2107" i="56"/>
  <c r="Q2104" i="56"/>
  <c r="P2099" i="56"/>
  <c r="P2097" i="56"/>
  <c r="Q2133" i="56"/>
  <c r="P2128" i="56"/>
  <c r="Q2125" i="56"/>
  <c r="P2120" i="56"/>
  <c r="Q2117" i="56"/>
  <c r="P2112" i="56"/>
  <c r="Q2109" i="56"/>
  <c r="P2104" i="56"/>
  <c r="Q2101" i="56"/>
  <c r="Q2136" i="56"/>
  <c r="P2133" i="56"/>
  <c r="Q2130" i="56"/>
  <c r="P2125" i="56"/>
  <c r="Q2122" i="56"/>
  <c r="P2117" i="56"/>
  <c r="Q2114" i="56"/>
  <c r="P2109" i="56"/>
  <c r="Q2106" i="56"/>
  <c r="P2101" i="56"/>
  <c r="Q2098" i="56"/>
  <c r="P2136" i="56"/>
  <c r="Q2135" i="56"/>
  <c r="P2130" i="56"/>
  <c r="Q2127" i="56"/>
  <c r="P2122" i="56"/>
  <c r="Q2119" i="56"/>
  <c r="P2114" i="56"/>
  <c r="Q2111" i="56"/>
  <c r="P2106" i="56"/>
  <c r="Q2103" i="56"/>
  <c r="P2098" i="56"/>
  <c r="Q2138" i="56"/>
  <c r="P2135" i="56"/>
  <c r="Q2132" i="56"/>
  <c r="P2127" i="56"/>
  <c r="Q2124" i="56"/>
  <c r="P2119" i="56"/>
  <c r="Q2116" i="56"/>
  <c r="P2111" i="56"/>
  <c r="Q2108" i="56"/>
  <c r="P2103" i="56"/>
  <c r="Q2100" i="56"/>
  <c r="P2138" i="56"/>
  <c r="P2132" i="56"/>
  <c r="Q2129" i="56"/>
  <c r="P2124" i="56"/>
  <c r="Q2121" i="56"/>
  <c r="P2116" i="56"/>
  <c r="Q2113" i="56"/>
  <c r="P2108" i="56"/>
  <c r="Q2105" i="56"/>
  <c r="P2100" i="56"/>
  <c r="Q2093" i="56"/>
  <c r="P2090" i="56"/>
  <c r="Q2085" i="56"/>
  <c r="Q2096" i="56"/>
  <c r="P2093" i="56"/>
  <c r="Q2088" i="56"/>
  <c r="P2085" i="56"/>
  <c r="P2096" i="56"/>
  <c r="Q2094" i="56"/>
  <c r="P2091" i="56"/>
  <c r="Q2086" i="56"/>
  <c r="P2094" i="56"/>
  <c r="Q2089" i="56"/>
  <c r="P2086" i="56"/>
  <c r="Q2092" i="56"/>
  <c r="P2089" i="56"/>
  <c r="Q2095" i="56"/>
  <c r="P2092" i="56"/>
  <c r="Q2087" i="56"/>
  <c r="Q2091" i="56"/>
  <c r="P2095" i="56"/>
  <c r="Q2090" i="56"/>
  <c r="P2087" i="56"/>
  <c r="P2088" i="56"/>
  <c r="Q2077" i="56"/>
  <c r="P2074" i="56"/>
  <c r="Q2061" i="56"/>
  <c r="P2058" i="56"/>
  <c r="Q2053" i="56"/>
  <c r="Q2051" i="56"/>
  <c r="P2038" i="56"/>
  <c r="Q2084" i="56"/>
  <c r="Q2080" i="56"/>
  <c r="P2077" i="56"/>
  <c r="Q2072" i="56"/>
  <c r="Q2070" i="56"/>
  <c r="Q2067" i="56"/>
  <c r="Q2064" i="56"/>
  <c r="P2061" i="56"/>
  <c r="Q2056" i="56"/>
  <c r="P2053" i="56"/>
  <c r="P2051" i="56"/>
  <c r="P2084" i="56"/>
  <c r="P2080" i="56"/>
  <c r="Q2075" i="56"/>
  <c r="P2072" i="56"/>
  <c r="P2070" i="56"/>
  <c r="P2067" i="56"/>
  <c r="P2064" i="56"/>
  <c r="Q2059" i="56"/>
  <c r="P2056" i="56"/>
  <c r="Q2082" i="56"/>
  <c r="Q2078" i="56"/>
  <c r="P2075" i="56"/>
  <c r="Q2068" i="56"/>
  <c r="Q2062" i="56"/>
  <c r="P2059" i="56"/>
  <c r="Q2054" i="56"/>
  <c r="P2082" i="56"/>
  <c r="Q2081" i="56"/>
  <c r="P2078" i="56"/>
  <c r="Q2073" i="56"/>
  <c r="Q2071" i="56"/>
  <c r="P2068" i="56"/>
  <c r="Q2065" i="56"/>
  <c r="P2062" i="56"/>
  <c r="Q2057" i="56"/>
  <c r="P2054" i="56"/>
  <c r="Q2039" i="56"/>
  <c r="P2081" i="56"/>
  <c r="Q2076" i="56"/>
  <c r="P2073" i="56"/>
  <c r="P2071" i="56"/>
  <c r="P2065" i="56"/>
  <c r="Q2060" i="56"/>
  <c r="P2057" i="56"/>
  <c r="Q2052" i="56"/>
  <c r="P2039" i="56"/>
  <c r="Q2083" i="56"/>
  <c r="Q2079" i="56"/>
  <c r="P2076" i="56"/>
  <c r="Q2069" i="56"/>
  <c r="Q2066" i="56"/>
  <c r="Q2063" i="56"/>
  <c r="P2060" i="56"/>
  <c r="Q2055" i="56"/>
  <c r="P2052" i="56"/>
  <c r="P2083" i="56"/>
  <c r="P2079" i="56"/>
  <c r="Q2074" i="56"/>
  <c r="P2069" i="56"/>
  <c r="P2066" i="56"/>
  <c r="P2063" i="56"/>
  <c r="Q2058" i="56"/>
  <c r="P2055" i="56"/>
  <c r="Q2038" i="56"/>
  <c r="Q1197" i="56"/>
  <c r="Q1198" i="56"/>
  <c r="Q2036" i="56"/>
  <c r="Q2035" i="56"/>
  <c r="Q2034" i="56"/>
  <c r="Q2033" i="56"/>
  <c r="Q2032" i="56"/>
  <c r="Q2031" i="56"/>
  <c r="P2036" i="56"/>
  <c r="P2035" i="56"/>
  <c r="P2034" i="56"/>
  <c r="P2033" i="56"/>
  <c r="P2032" i="56"/>
  <c r="P2031" i="56"/>
  <c r="Q2027" i="56"/>
  <c r="P2027" i="56"/>
  <c r="Q2022" i="56"/>
  <c r="P2022" i="56"/>
  <c r="P2014" i="56"/>
  <c r="Q1991" i="56"/>
  <c r="P1991" i="56"/>
  <c r="Q1988" i="56"/>
  <c r="P1988" i="56"/>
  <c r="Q1985" i="56"/>
  <c r="P1985" i="56"/>
  <c r="Q1682" i="56"/>
  <c r="Q1698" i="56"/>
  <c r="Q1702" i="56"/>
  <c r="P1748" i="56"/>
  <c r="Q1941" i="56"/>
  <c r="Q1958" i="56"/>
  <c r="P1961" i="56"/>
  <c r="Q1967" i="56"/>
  <c r="P1970" i="56"/>
  <c r="Q1978" i="56"/>
  <c r="P1981" i="56"/>
  <c r="Q1961" i="56"/>
  <c r="P1965" i="56"/>
  <c r="Q1970" i="56"/>
  <c r="P1973" i="56"/>
  <c r="P1976" i="56"/>
  <c r="Q1981" i="56"/>
  <c r="Q1650" i="56"/>
  <c r="Q1959" i="56"/>
  <c r="P1963" i="56"/>
  <c r="Q1968" i="56"/>
  <c r="P1971" i="56"/>
  <c r="P1974" i="56"/>
  <c r="Q1979" i="56"/>
  <c r="P1982" i="56"/>
  <c r="P1685" i="56"/>
  <c r="Q1700" i="56"/>
  <c r="P1704" i="56"/>
  <c r="Q1711" i="56"/>
  <c r="Q1946" i="56"/>
  <c r="P1956" i="56"/>
  <c r="Q1963" i="56"/>
  <c r="P1966" i="56"/>
  <c r="Q1974" i="56"/>
  <c r="P1977" i="56"/>
  <c r="Q1982" i="56"/>
  <c r="Q1704" i="56"/>
  <c r="Q1956" i="56"/>
  <c r="P1960" i="56"/>
  <c r="Q1966" i="56"/>
  <c r="P1969" i="56"/>
  <c r="Q1977" i="56"/>
  <c r="P1980" i="56"/>
  <c r="P1674" i="56"/>
  <c r="Q1697" i="56"/>
  <c r="Q1701" i="56"/>
  <c r="Q1780" i="56"/>
  <c r="P1947" i="56"/>
  <c r="Q1960" i="56"/>
  <c r="P1964" i="56"/>
  <c r="Q1969" i="56"/>
  <c r="P1972" i="56"/>
  <c r="P1975" i="56"/>
  <c r="Q1980" i="56"/>
  <c r="Q1705" i="56"/>
  <c r="Q1947" i="56"/>
  <c r="P1958" i="56"/>
  <c r="Q1964" i="56"/>
  <c r="P1967" i="56"/>
  <c r="Q1972" i="56"/>
  <c r="Q1975" i="56"/>
  <c r="P1989" i="56"/>
  <c r="Q1990" i="56"/>
  <c r="P1990" i="56"/>
  <c r="Q1989" i="56"/>
  <c r="Q1983" i="56"/>
  <c r="P1983" i="56"/>
  <c r="Q1984" i="56"/>
  <c r="P1984" i="56"/>
  <c r="Q1936" i="56"/>
  <c r="Q1935" i="56"/>
  <c r="Q1934" i="56"/>
  <c r="Q1933" i="56"/>
  <c r="Q1932" i="56"/>
  <c r="Q1931" i="56"/>
  <c r="Q1930" i="56"/>
  <c r="Q1929" i="56"/>
  <c r="P1935" i="56"/>
  <c r="P1934" i="56"/>
  <c r="P1933" i="56"/>
  <c r="P1932" i="56"/>
  <c r="P1931" i="56"/>
  <c r="P1930" i="56"/>
  <c r="P1929" i="56"/>
  <c r="P1936" i="56"/>
  <c r="P1927" i="56"/>
  <c r="P1926" i="56"/>
  <c r="P1925" i="56"/>
  <c r="P1924" i="56"/>
  <c r="Q1927" i="56"/>
  <c r="Q1926" i="56"/>
  <c r="Q1925" i="56"/>
  <c r="Q1924" i="56"/>
  <c r="Q1928" i="56"/>
  <c r="P1962" i="56"/>
  <c r="Q1962" i="56"/>
  <c r="Q1923" i="56"/>
  <c r="Q1921" i="56"/>
  <c r="Q1922" i="56"/>
  <c r="Q1661" i="56"/>
  <c r="Q1695" i="56"/>
  <c r="Q1696" i="56"/>
  <c r="Q1694" i="56"/>
  <c r="Q1692" i="56"/>
  <c r="Q1690" i="56"/>
  <c r="Q1693" i="56"/>
  <c r="Q1691" i="56"/>
  <c r="Q1624" i="56"/>
  <c r="Q1622" i="56"/>
  <c r="Q1620" i="56"/>
  <c r="Q1618" i="56"/>
  <c r="Q1616" i="56"/>
  <c r="Q1625" i="56"/>
  <c r="Q1623" i="56"/>
  <c r="Q1621" i="56"/>
  <c r="Q1619" i="56"/>
  <c r="Q1617" i="56"/>
  <c r="Q1540" i="56"/>
  <c r="Q1954" i="56"/>
  <c r="P1953" i="56"/>
  <c r="Q1952" i="56"/>
  <c r="P1954" i="56"/>
  <c r="Q1951" i="56"/>
  <c r="Q1955" i="56"/>
  <c r="P1952" i="56"/>
  <c r="Q1950" i="56"/>
  <c r="P1951" i="56"/>
  <c r="Q1919" i="56"/>
  <c r="Q1918" i="56"/>
  <c r="Q1917" i="56"/>
  <c r="Q1916" i="56"/>
  <c r="Q1915" i="56"/>
  <c r="Q1914" i="56"/>
  <c r="Q1913" i="56"/>
  <c r="Q1912" i="56"/>
  <c r="Q1911" i="56"/>
  <c r="Q1910" i="56"/>
  <c r="P1955" i="56"/>
  <c r="Q1953" i="56"/>
  <c r="P1950" i="56"/>
  <c r="P1919" i="56"/>
  <c r="P1918" i="56"/>
  <c r="P1917" i="56"/>
  <c r="P1916" i="56"/>
  <c r="P1915" i="56"/>
  <c r="P1914" i="56"/>
  <c r="P1913" i="56"/>
  <c r="P1912" i="56"/>
  <c r="P1911" i="56"/>
  <c r="P1910" i="56"/>
  <c r="Q1920" i="56"/>
  <c r="Q1907" i="56"/>
  <c r="Q1908" i="56"/>
  <c r="Q1904" i="56"/>
  <c r="Q1905" i="56"/>
  <c r="Q1906" i="56"/>
  <c r="Q1909" i="56"/>
  <c r="Q1903" i="56"/>
  <c r="Q1902" i="56"/>
  <c r="P1904" i="56"/>
  <c r="P1902" i="56"/>
  <c r="P1908" i="56"/>
  <c r="P1907" i="56"/>
  <c r="P1906" i="56"/>
  <c r="P1905" i="56"/>
  <c r="P1903" i="56"/>
  <c r="Q1901" i="56"/>
  <c r="P1946" i="56"/>
  <c r="P1928" i="56"/>
  <c r="Q1898" i="56"/>
  <c r="Q1896" i="56"/>
  <c r="Q1900" i="56"/>
  <c r="Q1899" i="56"/>
  <c r="Q1897" i="56"/>
  <c r="Q1895" i="56"/>
  <c r="Q1689" i="56"/>
  <c r="Q1660" i="56"/>
  <c r="P1921" i="56"/>
  <c r="P1923" i="56"/>
  <c r="P1922" i="56"/>
  <c r="P1644" i="56"/>
  <c r="Q1664" i="56"/>
  <c r="Q1673" i="56"/>
  <c r="Q1676" i="56"/>
  <c r="P1679" i="56"/>
  <c r="Q1684" i="56"/>
  <c r="P1698" i="56"/>
  <c r="P1707" i="56"/>
  <c r="Q1724" i="56"/>
  <c r="P1764" i="56"/>
  <c r="Q1810" i="56"/>
  <c r="P1938" i="56"/>
  <c r="Q1640" i="56"/>
  <c r="Q1644" i="56"/>
  <c r="P1650" i="56"/>
  <c r="P1671" i="56"/>
  <c r="Q1679" i="56"/>
  <c r="P1682" i="56"/>
  <c r="P1701" i="56"/>
  <c r="Q1707" i="56"/>
  <c r="P1711" i="56"/>
  <c r="Q1764" i="56"/>
  <c r="P1780" i="56"/>
  <c r="Q1938" i="56"/>
  <c r="P1941" i="56"/>
  <c r="Q1641" i="56"/>
  <c r="P1645" i="56"/>
  <c r="P1667" i="56"/>
  <c r="Q1674" i="56"/>
  <c r="Q1677" i="56"/>
  <c r="P1680" i="56"/>
  <c r="Q1685" i="56"/>
  <c r="P1699" i="56"/>
  <c r="P1709" i="56"/>
  <c r="Q1748" i="56"/>
  <c r="P1765" i="56"/>
  <c r="Q1827" i="56"/>
  <c r="P1939" i="56"/>
  <c r="Q1645" i="56"/>
  <c r="P1663" i="56"/>
  <c r="Q1667" i="56"/>
  <c r="P1672" i="56"/>
  <c r="Q1680" i="56"/>
  <c r="P1683" i="56"/>
  <c r="P1702" i="56"/>
  <c r="Q1709" i="56"/>
  <c r="P1712" i="56"/>
  <c r="Q1765" i="56"/>
  <c r="P1807" i="56"/>
  <c r="Q1939" i="56"/>
  <c r="P1945" i="56"/>
  <c r="P1643" i="56"/>
  <c r="Q1663" i="56"/>
  <c r="Q1672" i="56"/>
  <c r="Q1675" i="56"/>
  <c r="P1678" i="56"/>
  <c r="Q1683" i="56"/>
  <c r="P1697" i="56"/>
  <c r="P1705" i="56"/>
  <c r="Q1712" i="56"/>
  <c r="P1759" i="56"/>
  <c r="Q1807" i="56"/>
  <c r="P1937" i="56"/>
  <c r="Q1643" i="56"/>
  <c r="P1646" i="56"/>
  <c r="P1670" i="56"/>
  <c r="Q1678" i="56"/>
  <c r="P1681" i="56"/>
  <c r="P1700" i="56"/>
  <c r="P1710" i="56"/>
  <c r="Q1759" i="56"/>
  <c r="P1774" i="56"/>
  <c r="Q1937" i="56"/>
  <c r="P1940" i="56"/>
  <c r="Q1646" i="56"/>
  <c r="P1664" i="56"/>
  <c r="Q1670" i="56"/>
  <c r="P1673" i="56"/>
  <c r="P1676" i="56"/>
  <c r="Q1681" i="56"/>
  <c r="P1684" i="56"/>
  <c r="P1703" i="56"/>
  <c r="Q1710" i="56"/>
  <c r="P1724" i="56"/>
  <c r="Q1774" i="56"/>
  <c r="P1810" i="56"/>
  <c r="Q1940" i="56"/>
  <c r="P1901" i="56"/>
  <c r="P1920" i="56"/>
  <c r="P1900" i="56"/>
  <c r="P1909" i="56"/>
  <c r="P1898" i="56"/>
  <c r="P1895" i="56"/>
  <c r="P1897" i="56"/>
  <c r="P1899" i="56"/>
  <c r="P1896" i="56"/>
  <c r="Q1944" i="56"/>
  <c r="P1944" i="56"/>
  <c r="Q1943" i="56"/>
  <c r="P1943" i="56"/>
  <c r="Q1942" i="56"/>
  <c r="P1942" i="56"/>
  <c r="P1826" i="56"/>
  <c r="P1823" i="56"/>
  <c r="Q1820" i="56"/>
  <c r="Q1726" i="56"/>
  <c r="Q1825" i="56"/>
  <c r="P1820" i="56"/>
  <c r="P1825" i="56"/>
  <c r="Q1822" i="56"/>
  <c r="P1726" i="56"/>
  <c r="Q1821" i="56"/>
  <c r="P1725" i="56"/>
  <c r="Q1826" i="56"/>
  <c r="P1822" i="56"/>
  <c r="Q1819" i="56"/>
  <c r="P1821" i="56"/>
  <c r="Q1818" i="56"/>
  <c r="Q1824" i="56"/>
  <c r="P1819" i="56"/>
  <c r="Q1725" i="56"/>
  <c r="P1824" i="56"/>
  <c r="Q1823" i="56"/>
  <c r="P1818" i="56"/>
  <c r="P1738" i="56"/>
  <c r="Q1735" i="56"/>
  <c r="Q1740" i="56"/>
  <c r="P1735" i="56"/>
  <c r="P1740" i="56"/>
  <c r="Q1737" i="56"/>
  <c r="P1737" i="56"/>
  <c r="Q1734" i="56"/>
  <c r="Q1739" i="56"/>
  <c r="P1734" i="56"/>
  <c r="P1739" i="56"/>
  <c r="Q1736" i="56"/>
  <c r="P1736" i="56"/>
  <c r="Q1738" i="56"/>
  <c r="P1731" i="56"/>
  <c r="Q1733" i="56"/>
  <c r="P1733" i="56"/>
  <c r="Q1732" i="56"/>
  <c r="P1732" i="56"/>
  <c r="Q1731" i="56"/>
  <c r="P1728" i="56"/>
  <c r="Q1723" i="56"/>
  <c r="P1894" i="56"/>
  <c r="Q1891" i="56"/>
  <c r="P1886" i="56"/>
  <c r="Q1883" i="56"/>
  <c r="P1878" i="56"/>
  <c r="Q1875" i="56"/>
  <c r="P1870" i="56"/>
  <c r="Q1867" i="56"/>
  <c r="P1862" i="56"/>
  <c r="Q1859" i="56"/>
  <c r="P1854" i="56"/>
  <c r="Q1851" i="56"/>
  <c r="P1846" i="56"/>
  <c r="Q1843" i="56"/>
  <c r="P1838" i="56"/>
  <c r="Q1835" i="56"/>
  <c r="P1830" i="56"/>
  <c r="P1843" i="56"/>
  <c r="Q1832" i="56"/>
  <c r="Q1884" i="56"/>
  <c r="P1871" i="56"/>
  <c r="P1889" i="56"/>
  <c r="P1849" i="56"/>
  <c r="Q1838" i="56"/>
  <c r="Q1830" i="56"/>
  <c r="Q1730" i="56"/>
  <c r="P1723" i="56"/>
  <c r="P1891" i="56"/>
  <c r="Q1888" i="56"/>
  <c r="P1883" i="56"/>
  <c r="Q1880" i="56"/>
  <c r="P1875" i="56"/>
  <c r="Q1872" i="56"/>
  <c r="P1867" i="56"/>
  <c r="Q1864" i="56"/>
  <c r="P1859" i="56"/>
  <c r="Q1856" i="56"/>
  <c r="P1851" i="56"/>
  <c r="Q1848" i="56"/>
  <c r="Q1840" i="56"/>
  <c r="P1835" i="56"/>
  <c r="Q1844" i="56"/>
  <c r="Q1828" i="56"/>
  <c r="P1884" i="56"/>
  <c r="P1876" i="56"/>
  <c r="Q1886" i="56"/>
  <c r="P1881" i="56"/>
  <c r="Q1870" i="56"/>
  <c r="P1857" i="56"/>
  <c r="Q1846" i="56"/>
  <c r="P1833" i="56"/>
  <c r="P1730" i="56"/>
  <c r="Q1727" i="56"/>
  <c r="Q1893" i="56"/>
  <c r="P1888" i="56"/>
  <c r="Q1885" i="56"/>
  <c r="P1880" i="56"/>
  <c r="Q1877" i="56"/>
  <c r="P1872" i="56"/>
  <c r="Q1869" i="56"/>
  <c r="P1864" i="56"/>
  <c r="Q1861" i="56"/>
  <c r="P1856" i="56"/>
  <c r="Q1853" i="56"/>
  <c r="P1848" i="56"/>
  <c r="Q1845" i="56"/>
  <c r="P1840" i="56"/>
  <c r="Q1837" i="56"/>
  <c r="P1832" i="56"/>
  <c r="Q1829" i="56"/>
  <c r="Q1876" i="56"/>
  <c r="P1863" i="56"/>
  <c r="P1847" i="56"/>
  <c r="Q1836" i="56"/>
  <c r="P1892" i="56"/>
  <c r="Q1873" i="56"/>
  <c r="Q1849" i="56"/>
  <c r="P1828" i="56"/>
  <c r="P1727" i="56"/>
  <c r="Q1722" i="56"/>
  <c r="P1893" i="56"/>
  <c r="Q1890" i="56"/>
  <c r="P1885" i="56"/>
  <c r="Q1882" i="56"/>
  <c r="P1877" i="56"/>
  <c r="Q1874" i="56"/>
  <c r="P1869" i="56"/>
  <c r="Q1866" i="56"/>
  <c r="P1861" i="56"/>
  <c r="Q1858" i="56"/>
  <c r="P1853" i="56"/>
  <c r="Q1850" i="56"/>
  <c r="P1845" i="56"/>
  <c r="Q1842" i="56"/>
  <c r="P1837" i="56"/>
  <c r="Q1834" i="56"/>
  <c r="P1829" i="56"/>
  <c r="Q1892" i="56"/>
  <c r="P1879" i="56"/>
  <c r="Q1868" i="56"/>
  <c r="Q1860" i="56"/>
  <c r="Q1852" i="56"/>
  <c r="P1839" i="56"/>
  <c r="P1831" i="56"/>
  <c r="Q1881" i="56"/>
  <c r="P1868" i="56"/>
  <c r="Q1857" i="56"/>
  <c r="P1844" i="56"/>
  <c r="Q1833" i="56"/>
  <c r="P1873" i="56"/>
  <c r="Q1862" i="56"/>
  <c r="Q1729" i="56"/>
  <c r="P1722" i="56"/>
  <c r="P1890" i="56"/>
  <c r="Q1887" i="56"/>
  <c r="P1882" i="56"/>
  <c r="Q1879" i="56"/>
  <c r="P1874" i="56"/>
  <c r="Q1871" i="56"/>
  <c r="P1866" i="56"/>
  <c r="Q1863" i="56"/>
  <c r="P1858" i="56"/>
  <c r="Q1855" i="56"/>
  <c r="P1850" i="56"/>
  <c r="Q1847" i="56"/>
  <c r="P1842" i="56"/>
  <c r="Q1839" i="56"/>
  <c r="P1834" i="56"/>
  <c r="Q1831" i="56"/>
  <c r="Q1889" i="56"/>
  <c r="P1860" i="56"/>
  <c r="Q1841" i="56"/>
  <c r="P1841" i="56"/>
  <c r="P1729" i="56"/>
  <c r="P1887" i="56"/>
  <c r="P1855" i="56"/>
  <c r="Q1865" i="56"/>
  <c r="P1852" i="56"/>
  <c r="P1836" i="56"/>
  <c r="Q1894" i="56"/>
  <c r="Q1878" i="56"/>
  <c r="P1865" i="56"/>
  <c r="Q1854" i="56"/>
  <c r="Q1728" i="56"/>
  <c r="Q1786" i="56"/>
  <c r="Q1817" i="56"/>
  <c r="P1812" i="56"/>
  <c r="Q1808" i="56"/>
  <c r="P1802" i="56"/>
  <c r="Q1799" i="56"/>
  <c r="P1794" i="56"/>
  <c r="Q1791" i="56"/>
  <c r="P1786" i="56"/>
  <c r="Q1812" i="56"/>
  <c r="P1817" i="56"/>
  <c r="Q1814" i="56"/>
  <c r="P1808" i="56"/>
  <c r="Q1804" i="56"/>
  <c r="P1799" i="56"/>
  <c r="Q1796" i="56"/>
  <c r="P1791" i="56"/>
  <c r="Q1788" i="56"/>
  <c r="P1814" i="56"/>
  <c r="Q1811" i="56"/>
  <c r="P1804" i="56"/>
  <c r="Q1801" i="56"/>
  <c r="P1796" i="56"/>
  <c r="Q1793" i="56"/>
  <c r="P1788" i="56"/>
  <c r="Q1816" i="56"/>
  <c r="P1811" i="56"/>
  <c r="Q1806" i="56"/>
  <c r="P1801" i="56"/>
  <c r="Q1798" i="56"/>
  <c r="Q1790" i="56"/>
  <c r="P1805" i="56"/>
  <c r="P1797" i="56"/>
  <c r="P1793" i="56"/>
  <c r="P1816" i="56"/>
  <c r="Q1813" i="56"/>
  <c r="P1806" i="56"/>
  <c r="Q1803" i="56"/>
  <c r="P1798" i="56"/>
  <c r="Q1795" i="56"/>
  <c r="P1790" i="56"/>
  <c r="Q1787" i="56"/>
  <c r="P1789" i="56"/>
  <c r="P1813" i="56"/>
  <c r="Q1809" i="56"/>
  <c r="P1803" i="56"/>
  <c r="Q1800" i="56"/>
  <c r="P1795" i="56"/>
  <c r="Q1792" i="56"/>
  <c r="P1787" i="56"/>
  <c r="Q1815" i="56"/>
  <c r="P1809" i="56"/>
  <c r="Q1805" i="56"/>
  <c r="P1800" i="56"/>
  <c r="Q1797" i="56"/>
  <c r="P1792" i="56"/>
  <c r="Q1789" i="56"/>
  <c r="P1815" i="56"/>
  <c r="Q1802" i="56"/>
  <c r="Q1794" i="56"/>
  <c r="P1783" i="56"/>
  <c r="Q1779" i="56"/>
  <c r="P1778" i="56"/>
  <c r="Q1785" i="56"/>
  <c r="P1779" i="56"/>
  <c r="Q1776" i="56"/>
  <c r="P1784" i="56"/>
  <c r="P1785" i="56"/>
  <c r="Q1782" i="56"/>
  <c r="P1776" i="56"/>
  <c r="P1782" i="56"/>
  <c r="Q1778" i="56"/>
  <c r="Q1784" i="56"/>
  <c r="Q1775" i="56"/>
  <c r="Q1781" i="56"/>
  <c r="P1775" i="56"/>
  <c r="P1781" i="56"/>
  <c r="Q1777" i="56"/>
  <c r="Q1783" i="56"/>
  <c r="P1777" i="56"/>
  <c r="P1661" i="56"/>
  <c r="P1771" i="56"/>
  <c r="Q1773" i="56"/>
  <c r="P1768" i="56"/>
  <c r="Q1763" i="56"/>
  <c r="P1757" i="56"/>
  <c r="Q1754" i="56"/>
  <c r="P1749" i="56"/>
  <c r="Q1745" i="56"/>
  <c r="P1708" i="56"/>
  <c r="Q1770" i="56"/>
  <c r="P1763" i="56"/>
  <c r="Q1760" i="56"/>
  <c r="P1754" i="56"/>
  <c r="Q1751" i="56"/>
  <c r="P1745" i="56"/>
  <c r="P1773" i="56"/>
  <c r="P1770" i="56"/>
  <c r="Q1767" i="56"/>
  <c r="P1760" i="56"/>
  <c r="Q1756" i="56"/>
  <c r="P1751" i="56"/>
  <c r="Q1747" i="56"/>
  <c r="P1742" i="56"/>
  <c r="Q1706" i="56"/>
  <c r="P1767" i="56"/>
  <c r="Q1762" i="56"/>
  <c r="P1756" i="56"/>
  <c r="Q1753" i="56"/>
  <c r="P1747" i="56"/>
  <c r="Q1744" i="56"/>
  <c r="P1706" i="56"/>
  <c r="Q1769" i="56"/>
  <c r="P1762" i="56"/>
  <c r="Q1758" i="56"/>
  <c r="P1753" i="56"/>
  <c r="Q1750" i="56"/>
  <c r="P1744" i="56"/>
  <c r="Q1741" i="56"/>
  <c r="Q1766" i="56"/>
  <c r="P1758" i="56"/>
  <c r="P1741" i="56"/>
  <c r="Q1772" i="56"/>
  <c r="P1772" i="56"/>
  <c r="Q1755" i="56"/>
  <c r="Q1746" i="56"/>
  <c r="P1769" i="56"/>
  <c r="Q1771" i="56"/>
  <c r="P1766" i="56"/>
  <c r="Q1761" i="56"/>
  <c r="P1755" i="56"/>
  <c r="Q1752" i="56"/>
  <c r="P1746" i="56"/>
  <c r="Q1743" i="56"/>
  <c r="Q1768" i="56"/>
  <c r="P1761" i="56"/>
  <c r="Q1757" i="56"/>
  <c r="P1752" i="56"/>
  <c r="Q1749" i="56"/>
  <c r="P1743" i="56"/>
  <c r="Q1708" i="56"/>
  <c r="Q1742" i="56"/>
  <c r="P1750" i="56"/>
  <c r="Q1713" i="56"/>
  <c r="P1713" i="56"/>
  <c r="P1689" i="56"/>
  <c r="P1694" i="56"/>
  <c r="P1691" i="56"/>
  <c r="P1696" i="56"/>
  <c r="P1693" i="56"/>
  <c r="P1690" i="56"/>
  <c r="P1695" i="56"/>
  <c r="P1692" i="56"/>
  <c r="P1660" i="56"/>
  <c r="P1688" i="56"/>
  <c r="Q363" i="56"/>
  <c r="P1668" i="56"/>
  <c r="P1666" i="56"/>
  <c r="P1198" i="56"/>
  <c r="P1197" i="56"/>
  <c r="Q1665" i="56"/>
  <c r="Q1669" i="56"/>
  <c r="Q1686" i="56"/>
  <c r="P1669" i="56"/>
  <c r="P1665" i="56"/>
  <c r="P1686" i="56"/>
  <c r="Q1688" i="56"/>
  <c r="P363" i="56"/>
  <c r="Q1668" i="56"/>
  <c r="Q1687" i="56"/>
  <c r="P1675" i="56"/>
  <c r="Q1666" i="56"/>
  <c r="P1687" i="56"/>
  <c r="Q1539" i="56"/>
  <c r="Q1535" i="56"/>
  <c r="Q1531" i="56"/>
  <c r="Q1538" i="56"/>
  <c r="Q1534" i="56"/>
  <c r="Q1537" i="56"/>
  <c r="Q1533" i="56"/>
  <c r="Q1536" i="56"/>
  <c r="Q1532" i="56"/>
  <c r="Q1374" i="56"/>
  <c r="Q1601" i="56"/>
  <c r="P1601" i="56"/>
  <c r="Q1614" i="56"/>
  <c r="Q1610" i="56"/>
  <c r="Q1605" i="56"/>
  <c r="Q1600" i="56"/>
  <c r="Q1596" i="56"/>
  <c r="Q1525" i="56"/>
  <c r="Q1521" i="56"/>
  <c r="Q1592" i="56"/>
  <c r="Q1588" i="56"/>
  <c r="Q1584" i="56"/>
  <c r="Q1580" i="56"/>
  <c r="Q1576" i="56"/>
  <c r="Q1651" i="56"/>
  <c r="Q1613" i="56"/>
  <c r="Q1609" i="56"/>
  <c r="Q1608" i="56"/>
  <c r="Q1604" i="56"/>
  <c r="Q1599" i="56"/>
  <c r="Q1595" i="56"/>
  <c r="Q1528" i="56"/>
  <c r="Q1524" i="56"/>
  <c r="Q1520" i="56"/>
  <c r="Q1591" i="56"/>
  <c r="Q1587" i="56"/>
  <c r="Q1583" i="56"/>
  <c r="Q1579" i="56"/>
  <c r="Q1530" i="56"/>
  <c r="Q1612" i="56"/>
  <c r="Q1607" i="56"/>
  <c r="Q1603" i="56"/>
  <c r="Q1598" i="56"/>
  <c r="Q1527" i="56"/>
  <c r="Q1523" i="56"/>
  <c r="Q1519" i="56"/>
  <c r="Q1594" i="56"/>
  <c r="Q1590" i="56"/>
  <c r="Q1586" i="56"/>
  <c r="Q1582" i="56"/>
  <c r="Q1578" i="56"/>
  <c r="Q1529" i="56"/>
  <c r="Q1615" i="56"/>
  <c r="Q1611" i="56"/>
  <c r="Q1606" i="56"/>
  <c r="Q1602" i="56"/>
  <c r="Q1597" i="56"/>
  <c r="Q1526" i="56"/>
  <c r="Q1522" i="56"/>
  <c r="Q1518" i="56"/>
  <c r="Q1593" i="56"/>
  <c r="Q1589" i="56"/>
  <c r="Q1585" i="56"/>
  <c r="Q1581" i="56"/>
  <c r="Q1577" i="56"/>
  <c r="Q1375" i="56"/>
  <c r="Q1357" i="56"/>
  <c r="Q1349" i="56"/>
  <c r="Q1356" i="56"/>
  <c r="Q1347" i="56"/>
  <c r="Q1348" i="56"/>
  <c r="Q1355" i="56"/>
  <c r="Q1346" i="56"/>
  <c r="Q1195" i="56"/>
  <c r="Q1196" i="56"/>
  <c r="P1652" i="56"/>
  <c r="P1654" i="56"/>
  <c r="Q1655" i="56"/>
  <c r="P1658" i="56"/>
  <c r="Q1659" i="56"/>
  <c r="Q1654" i="56"/>
  <c r="P1657" i="56"/>
  <c r="Q1658" i="56"/>
  <c r="Q1653" i="56"/>
  <c r="P1656" i="56"/>
  <c r="Q1657" i="56"/>
  <c r="Q1652" i="56"/>
  <c r="P1655" i="56"/>
  <c r="Q1656" i="56"/>
  <c r="P1659" i="56"/>
  <c r="P1653" i="56"/>
  <c r="P1649" i="56"/>
  <c r="P1624" i="56"/>
  <c r="P1620" i="56"/>
  <c r="P1616" i="56"/>
  <c r="Q1575" i="56"/>
  <c r="Q1647" i="56"/>
  <c r="Q1642" i="56"/>
  <c r="P1625" i="56"/>
  <c r="P1621" i="56"/>
  <c r="P1617" i="56"/>
  <c r="Q1648" i="56"/>
  <c r="P1647" i="56"/>
  <c r="P1622" i="56"/>
  <c r="P1618" i="56"/>
  <c r="Q1517" i="56"/>
  <c r="Q1516" i="56"/>
  <c r="P1651" i="56"/>
  <c r="Q1649" i="56"/>
  <c r="P1648" i="56"/>
  <c r="P1642" i="56"/>
  <c r="P1623" i="56"/>
  <c r="P1619" i="56"/>
  <c r="P1540" i="56"/>
  <c r="P1537" i="56"/>
  <c r="P1534" i="56"/>
  <c r="P1539" i="56"/>
  <c r="P1531" i="56"/>
  <c r="P1536" i="56"/>
  <c r="P1533" i="56"/>
  <c r="P1538" i="56"/>
  <c r="P1535" i="56"/>
  <c r="P1532" i="56"/>
  <c r="P1641" i="56"/>
  <c r="P1613" i="56"/>
  <c r="P1610" i="56"/>
  <c r="P1615" i="56"/>
  <c r="P1612" i="56"/>
  <c r="P1609" i="56"/>
  <c r="P1614" i="56"/>
  <c r="P1611" i="56"/>
  <c r="P1530" i="56"/>
  <c r="P1529" i="56"/>
  <c r="P1604" i="56"/>
  <c r="P1596" i="56"/>
  <c r="P1606" i="56"/>
  <c r="P1598" i="56"/>
  <c r="P1603" i="56"/>
  <c r="P1595" i="56"/>
  <c r="P1607" i="56"/>
  <c r="P1599" i="56"/>
  <c r="P1608" i="56"/>
  <c r="P1600" i="56"/>
  <c r="P1605" i="56"/>
  <c r="P1597" i="56"/>
  <c r="P1602" i="56"/>
  <c r="P1640" i="56"/>
  <c r="P1526" i="56"/>
  <c r="P1518" i="56"/>
  <c r="P1523" i="56"/>
  <c r="P1528" i="56"/>
  <c r="P1520" i="56"/>
  <c r="P1525" i="56"/>
  <c r="P1522" i="56"/>
  <c r="P1527" i="56"/>
  <c r="P1519" i="56"/>
  <c r="P1524" i="56"/>
  <c r="P1521" i="56"/>
  <c r="P1638" i="56"/>
  <c r="P1592" i="56"/>
  <c r="P1584" i="56"/>
  <c r="P1576" i="56"/>
  <c r="P1589" i="56"/>
  <c r="P1581" i="56"/>
  <c r="P1594" i="56"/>
  <c r="P1586" i="56"/>
  <c r="P1578" i="56"/>
  <c r="P1591" i="56"/>
  <c r="P1583" i="56"/>
  <c r="P1575" i="56"/>
  <c r="P1579" i="56"/>
  <c r="P1588" i="56"/>
  <c r="P1580" i="56"/>
  <c r="P1587" i="56"/>
  <c r="P1593" i="56"/>
  <c r="P1585" i="56"/>
  <c r="P1577" i="56"/>
  <c r="P1590" i="56"/>
  <c r="P1582" i="56"/>
  <c r="Q1636" i="56"/>
  <c r="P1637" i="56"/>
  <c r="P1636" i="56"/>
  <c r="Q1637" i="56"/>
  <c r="Q1638" i="56"/>
  <c r="P1516" i="56"/>
  <c r="P1517" i="56"/>
  <c r="P1634" i="56"/>
  <c r="Q1634" i="56"/>
  <c r="Q1639" i="56"/>
  <c r="P1626" i="56"/>
  <c r="Q1635" i="56"/>
  <c r="P1635" i="56"/>
  <c r="P1439" i="56"/>
  <c r="P1639" i="56"/>
  <c r="Q1439" i="56"/>
  <c r="Q1627" i="56"/>
  <c r="P1630" i="56"/>
  <c r="Q1630" i="56"/>
  <c r="P1633" i="56"/>
  <c r="P1628" i="56"/>
  <c r="Q1633" i="56"/>
  <c r="Q1628" i="56"/>
  <c r="P1631" i="56"/>
  <c r="Q1631" i="56"/>
  <c r="Q1626" i="56"/>
  <c r="P1629" i="56"/>
  <c r="Q1629" i="56"/>
  <c r="P1632" i="56"/>
  <c r="P1627" i="56"/>
  <c r="Q1632" i="56"/>
  <c r="Q1544" i="56"/>
  <c r="P1544" i="56"/>
  <c r="Q1543" i="56"/>
  <c r="P1543" i="56"/>
  <c r="Q1542" i="56"/>
  <c r="P1542" i="56"/>
  <c r="Q1541" i="56"/>
  <c r="P1541" i="56"/>
  <c r="P1512" i="56"/>
  <c r="Q1511" i="56"/>
  <c r="P1513" i="56"/>
  <c r="P1509" i="56"/>
  <c r="Q1512" i="56"/>
  <c r="Q1514" i="56"/>
  <c r="P1514" i="56"/>
  <c r="Q1515" i="56"/>
  <c r="P1511" i="56"/>
  <c r="Q1513" i="56"/>
  <c r="Q1509" i="56"/>
  <c r="P1515" i="56"/>
  <c r="Q1508" i="56"/>
  <c r="P1508" i="56"/>
  <c r="Q1545" i="56"/>
  <c r="P1548" i="56"/>
  <c r="Q1553" i="56"/>
  <c r="P1556" i="56"/>
  <c r="Q1561" i="56"/>
  <c r="P1564" i="56"/>
  <c r="Q1569" i="56"/>
  <c r="P1572" i="56"/>
  <c r="Q1548" i="56"/>
  <c r="P1551" i="56"/>
  <c r="Q1556" i="56"/>
  <c r="P1559" i="56"/>
  <c r="Q1564" i="56"/>
  <c r="P1567" i="56"/>
  <c r="Q1572" i="56"/>
  <c r="P1546" i="56"/>
  <c r="Q1551" i="56"/>
  <c r="P1554" i="56"/>
  <c r="Q1559" i="56"/>
  <c r="P1562" i="56"/>
  <c r="Q1567" i="56"/>
  <c r="P1570" i="56"/>
  <c r="Q1546" i="56"/>
  <c r="P1549" i="56"/>
  <c r="Q1554" i="56"/>
  <c r="P1557" i="56"/>
  <c r="Q1562" i="56"/>
  <c r="P1565" i="56"/>
  <c r="Q1570" i="56"/>
  <c r="P1573" i="56"/>
  <c r="P1510" i="56"/>
  <c r="Q1549" i="56"/>
  <c r="P1552" i="56"/>
  <c r="Q1557" i="56"/>
  <c r="P1560" i="56"/>
  <c r="Q1565" i="56"/>
  <c r="P1568" i="56"/>
  <c r="Q1573" i="56"/>
  <c r="Q1510" i="56"/>
  <c r="P1547" i="56"/>
  <c r="Q1552" i="56"/>
  <c r="P1555" i="56"/>
  <c r="Q1560" i="56"/>
  <c r="P1563" i="56"/>
  <c r="Q1568" i="56"/>
  <c r="P1571" i="56"/>
  <c r="Q1547" i="56"/>
  <c r="P1550" i="56"/>
  <c r="Q1555" i="56"/>
  <c r="P1558" i="56"/>
  <c r="Q1563" i="56"/>
  <c r="P1566" i="56"/>
  <c r="Q1571" i="56"/>
  <c r="P1574" i="56"/>
  <c r="P1545" i="56"/>
  <c r="Q1550" i="56"/>
  <c r="P1553" i="56"/>
  <c r="Q1558" i="56"/>
  <c r="P1561" i="56"/>
  <c r="Q1566" i="56"/>
  <c r="P1569" i="56"/>
  <c r="Q1574" i="56"/>
  <c r="Q1507" i="56"/>
  <c r="Q1500" i="56"/>
  <c r="P1500" i="56"/>
  <c r="P1499" i="56"/>
  <c r="Q1501" i="56"/>
  <c r="P1501" i="56"/>
  <c r="P1507" i="56"/>
  <c r="Q1499" i="56"/>
  <c r="P1496" i="56"/>
  <c r="Q1373" i="56"/>
  <c r="P1376" i="56"/>
  <c r="Q1381" i="56"/>
  <c r="P1384" i="56"/>
  <c r="Q1389" i="56"/>
  <c r="P1392" i="56"/>
  <c r="Q1397" i="56"/>
  <c r="P1400" i="56"/>
  <c r="Q1405" i="56"/>
  <c r="P1408" i="56"/>
  <c r="Q1413" i="56"/>
  <c r="P1416" i="56"/>
  <c r="Q1421" i="56"/>
  <c r="P1424" i="56"/>
  <c r="Q1429" i="56"/>
  <c r="P1432" i="56"/>
  <c r="Q1437" i="56"/>
  <c r="P1441" i="56"/>
  <c r="Q1446" i="56"/>
  <c r="P1449" i="56"/>
  <c r="Q1454" i="56"/>
  <c r="P1457" i="56"/>
  <c r="Q1462" i="56"/>
  <c r="P1465" i="56"/>
  <c r="Q1470" i="56"/>
  <c r="P1473" i="56"/>
  <c r="Q1478" i="56"/>
  <c r="P1481" i="56"/>
  <c r="Q1486" i="56"/>
  <c r="P1489" i="56"/>
  <c r="Q1494" i="56"/>
  <c r="P1503" i="56"/>
  <c r="Q1498" i="56"/>
  <c r="P1371" i="56"/>
  <c r="Q1376" i="56"/>
  <c r="P1379" i="56"/>
  <c r="Q1384" i="56"/>
  <c r="P1387" i="56"/>
  <c r="Q1392" i="56"/>
  <c r="P1395" i="56"/>
  <c r="Q1400" i="56"/>
  <c r="P1403" i="56"/>
  <c r="Q1408" i="56"/>
  <c r="P1411" i="56"/>
  <c r="Q1416" i="56"/>
  <c r="P1419" i="56"/>
  <c r="Q1424" i="56"/>
  <c r="P1427" i="56"/>
  <c r="Q1432" i="56"/>
  <c r="P1435" i="56"/>
  <c r="Q1441" i="56"/>
  <c r="P1444" i="56"/>
  <c r="Q1449" i="56"/>
  <c r="P1452" i="56"/>
  <c r="Q1457" i="56"/>
  <c r="P1460" i="56"/>
  <c r="Q1465" i="56"/>
  <c r="P1468" i="56"/>
  <c r="Q1473" i="56"/>
  <c r="P1476" i="56"/>
  <c r="Q1481" i="56"/>
  <c r="P1484" i="56"/>
  <c r="Q1489" i="56"/>
  <c r="P1492" i="56"/>
  <c r="Q1503" i="56"/>
  <c r="P1506" i="56"/>
  <c r="P1498" i="56"/>
  <c r="Q1371" i="56"/>
  <c r="P1374" i="56"/>
  <c r="Q1379" i="56"/>
  <c r="P1382" i="56"/>
  <c r="Q1387" i="56"/>
  <c r="P1390" i="56"/>
  <c r="Q1395" i="56"/>
  <c r="P1398" i="56"/>
  <c r="Q1403" i="56"/>
  <c r="P1406" i="56"/>
  <c r="Q1411" i="56"/>
  <c r="P1414" i="56"/>
  <c r="Q1419" i="56"/>
  <c r="P1422" i="56"/>
  <c r="Q1427" i="56"/>
  <c r="P1430" i="56"/>
  <c r="Q1435" i="56"/>
  <c r="P1438" i="56"/>
  <c r="Q1444" i="56"/>
  <c r="P1447" i="56"/>
  <c r="Q1452" i="56"/>
  <c r="P1455" i="56"/>
  <c r="Q1460" i="56"/>
  <c r="P1463" i="56"/>
  <c r="Q1468" i="56"/>
  <c r="P1471" i="56"/>
  <c r="Q1476" i="56"/>
  <c r="P1479" i="56"/>
  <c r="Q1484" i="56"/>
  <c r="P1487" i="56"/>
  <c r="Q1492" i="56"/>
  <c r="P1495" i="56"/>
  <c r="Q1506" i="56"/>
  <c r="P1377" i="56"/>
  <c r="Q1382" i="56"/>
  <c r="P1385" i="56"/>
  <c r="Q1390" i="56"/>
  <c r="P1393" i="56"/>
  <c r="Q1398" i="56"/>
  <c r="P1401" i="56"/>
  <c r="Q1406" i="56"/>
  <c r="P1409" i="56"/>
  <c r="Q1414" i="56"/>
  <c r="P1417" i="56"/>
  <c r="Q1422" i="56"/>
  <c r="P1425" i="56"/>
  <c r="Q1430" i="56"/>
  <c r="P1433" i="56"/>
  <c r="Q1438" i="56"/>
  <c r="P1442" i="56"/>
  <c r="Q1447" i="56"/>
  <c r="P1450" i="56"/>
  <c r="Q1455" i="56"/>
  <c r="P1458" i="56"/>
  <c r="Q1463" i="56"/>
  <c r="P1466" i="56"/>
  <c r="Q1471" i="56"/>
  <c r="P1474" i="56"/>
  <c r="Q1479" i="56"/>
  <c r="P1482" i="56"/>
  <c r="Q1487" i="56"/>
  <c r="P1490" i="56"/>
  <c r="Q1495" i="56"/>
  <c r="P1504" i="56"/>
  <c r="Q1497" i="56"/>
  <c r="P1372" i="56"/>
  <c r="Q1377" i="56"/>
  <c r="P1380" i="56"/>
  <c r="Q1385" i="56"/>
  <c r="P1388" i="56"/>
  <c r="Q1393" i="56"/>
  <c r="P1396" i="56"/>
  <c r="Q1401" i="56"/>
  <c r="P1404" i="56"/>
  <c r="Q1409" i="56"/>
  <c r="P1412" i="56"/>
  <c r="Q1417" i="56"/>
  <c r="P1420" i="56"/>
  <c r="Q1425" i="56"/>
  <c r="P1428" i="56"/>
  <c r="Q1433" i="56"/>
  <c r="P1436" i="56"/>
  <c r="Q1442" i="56"/>
  <c r="P1445" i="56"/>
  <c r="Q1450" i="56"/>
  <c r="P1453" i="56"/>
  <c r="Q1458" i="56"/>
  <c r="P1461" i="56"/>
  <c r="Q1466" i="56"/>
  <c r="P1469" i="56"/>
  <c r="Q1474" i="56"/>
  <c r="P1477" i="56"/>
  <c r="Q1482" i="56"/>
  <c r="P1485" i="56"/>
  <c r="Q1490" i="56"/>
  <c r="P1493" i="56"/>
  <c r="Q1504" i="56"/>
  <c r="Q1345" i="56"/>
  <c r="P1497" i="56"/>
  <c r="Q1372" i="56"/>
  <c r="P1375" i="56"/>
  <c r="Q1380" i="56"/>
  <c r="P1383" i="56"/>
  <c r="Q1388" i="56"/>
  <c r="P1391" i="56"/>
  <c r="Q1396" i="56"/>
  <c r="P1399" i="56"/>
  <c r="Q1404" i="56"/>
  <c r="P1407" i="56"/>
  <c r="Q1412" i="56"/>
  <c r="P1415" i="56"/>
  <c r="Q1420" i="56"/>
  <c r="P1423" i="56"/>
  <c r="Q1428" i="56"/>
  <c r="P1431" i="56"/>
  <c r="Q1436" i="56"/>
  <c r="P1440" i="56"/>
  <c r="Q1445" i="56"/>
  <c r="P1448" i="56"/>
  <c r="Q1453" i="56"/>
  <c r="P1456" i="56"/>
  <c r="Q1461" i="56"/>
  <c r="P1464" i="56"/>
  <c r="Q1469" i="56"/>
  <c r="P1472" i="56"/>
  <c r="Q1477" i="56"/>
  <c r="P1480" i="56"/>
  <c r="Q1485" i="56"/>
  <c r="P1488" i="56"/>
  <c r="Q1493" i="56"/>
  <c r="P1502" i="56"/>
  <c r="P1378" i="56"/>
  <c r="Q1383" i="56"/>
  <c r="P1386" i="56"/>
  <c r="Q1391" i="56"/>
  <c r="P1394" i="56"/>
  <c r="Q1399" i="56"/>
  <c r="P1402" i="56"/>
  <c r="Q1407" i="56"/>
  <c r="P1410" i="56"/>
  <c r="Q1415" i="56"/>
  <c r="P1418" i="56"/>
  <c r="Q1423" i="56"/>
  <c r="P1426" i="56"/>
  <c r="Q1431" i="56"/>
  <c r="P1434" i="56"/>
  <c r="Q1440" i="56"/>
  <c r="P1443" i="56"/>
  <c r="Q1448" i="56"/>
  <c r="P1451" i="56"/>
  <c r="Q1456" i="56"/>
  <c r="P1459" i="56"/>
  <c r="Q1464" i="56"/>
  <c r="P1467" i="56"/>
  <c r="Q1472" i="56"/>
  <c r="P1475" i="56"/>
  <c r="Q1480" i="56"/>
  <c r="P1483" i="56"/>
  <c r="Q1488" i="56"/>
  <c r="P1491" i="56"/>
  <c r="Q1502" i="56"/>
  <c r="P1505" i="56"/>
  <c r="Q1370" i="56"/>
  <c r="Q1496" i="56"/>
  <c r="P1373" i="56"/>
  <c r="Q1378" i="56"/>
  <c r="P1381" i="56"/>
  <c r="Q1386" i="56"/>
  <c r="P1389" i="56"/>
  <c r="Q1394" i="56"/>
  <c r="P1397" i="56"/>
  <c r="Q1402" i="56"/>
  <c r="P1405" i="56"/>
  <c r="Q1410" i="56"/>
  <c r="P1413" i="56"/>
  <c r="Q1418" i="56"/>
  <c r="P1421" i="56"/>
  <c r="Q1426" i="56"/>
  <c r="P1429" i="56"/>
  <c r="Q1434" i="56"/>
  <c r="P1437" i="56"/>
  <c r="Q1443" i="56"/>
  <c r="P1446" i="56"/>
  <c r="Q1451" i="56"/>
  <c r="P1454" i="56"/>
  <c r="Q1459" i="56"/>
  <c r="P1462" i="56"/>
  <c r="Q1467" i="56"/>
  <c r="P1470" i="56"/>
  <c r="Q1475" i="56"/>
  <c r="P1478" i="56"/>
  <c r="Q1483" i="56"/>
  <c r="P1486" i="56"/>
  <c r="Q1491" i="56"/>
  <c r="P1494" i="56"/>
  <c r="Q1505" i="56"/>
  <c r="P1356" i="56"/>
  <c r="P1355" i="56"/>
  <c r="P1357" i="56"/>
  <c r="P1347" i="56"/>
  <c r="P1349" i="56"/>
  <c r="P1348" i="56"/>
  <c r="P1346" i="56"/>
  <c r="P1370" i="56"/>
  <c r="P1345" i="56"/>
  <c r="Q1365" i="56"/>
  <c r="P1365" i="56"/>
  <c r="Q1367" i="56"/>
  <c r="P1367" i="56"/>
  <c r="Q1366" i="56"/>
  <c r="P1366" i="56"/>
  <c r="P1362" i="56"/>
  <c r="Q1358" i="56"/>
  <c r="Q1364" i="56"/>
  <c r="P1358" i="56"/>
  <c r="Q1344" i="56"/>
  <c r="P1196" i="56"/>
  <c r="P1364" i="56"/>
  <c r="Q1361" i="56"/>
  <c r="P1344" i="56"/>
  <c r="Q1353" i="56"/>
  <c r="P1361" i="56"/>
  <c r="Q1363" i="56"/>
  <c r="P1353" i="56"/>
  <c r="Q1343" i="56"/>
  <c r="P1195" i="56"/>
  <c r="P1363" i="56"/>
  <c r="Q1359" i="56"/>
  <c r="P1343" i="56"/>
  <c r="P1359" i="56"/>
  <c r="Q1352" i="56"/>
  <c r="Q1362" i="56"/>
  <c r="P1352" i="56"/>
  <c r="Q1332" i="56"/>
  <c r="P1332" i="56"/>
  <c r="Q1337" i="56"/>
  <c r="P1337" i="56"/>
  <c r="P1315" i="56"/>
  <c r="P1317" i="56"/>
  <c r="Q1317" i="56"/>
  <c r="Q1316" i="56"/>
  <c r="P1316" i="56"/>
  <c r="P1318" i="56"/>
  <c r="Q1318" i="56"/>
  <c r="Q1315" i="56"/>
  <c r="P1191" i="56"/>
  <c r="Q1194" i="56"/>
  <c r="P1194" i="56"/>
  <c r="Q1181" i="56"/>
  <c r="Q1183" i="56"/>
  <c r="Q1192" i="56"/>
  <c r="P1183" i="56"/>
  <c r="P1192" i="56"/>
  <c r="Q1180" i="56"/>
  <c r="Q1182" i="56"/>
  <c r="Q1191" i="56"/>
  <c r="P1182" i="56"/>
  <c r="P1193" i="56"/>
  <c r="P1202" i="56"/>
  <c r="P1206" i="56"/>
  <c r="P1210" i="56"/>
  <c r="P1214" i="56"/>
  <c r="P1218" i="56"/>
  <c r="P1222" i="56"/>
  <c r="P1226" i="56"/>
  <c r="P1230" i="56"/>
  <c r="P1234" i="56"/>
  <c r="P1238" i="56"/>
  <c r="P1242" i="56"/>
  <c r="P1246" i="56"/>
  <c r="P1250" i="56"/>
  <c r="P1254" i="56"/>
  <c r="P1258" i="56"/>
  <c r="P1262" i="56"/>
  <c r="P1266" i="56"/>
  <c r="P1270" i="56"/>
  <c r="P1274" i="56"/>
  <c r="P1278" i="56"/>
  <c r="P1282" i="56"/>
  <c r="P1286" i="56"/>
  <c r="P1290" i="56"/>
  <c r="P1294" i="56"/>
  <c r="P1298" i="56"/>
  <c r="P1302" i="56"/>
  <c r="P1306" i="56"/>
  <c r="P1310" i="56"/>
  <c r="P1314" i="56"/>
  <c r="P1322" i="56"/>
  <c r="P1326" i="56"/>
  <c r="P1330" i="56"/>
  <c r="P1334" i="56"/>
  <c r="P1339" i="56"/>
  <c r="P1354" i="56"/>
  <c r="P1369" i="56"/>
  <c r="P1231" i="56"/>
  <c r="P1283" i="56"/>
  <c r="P1303" i="56"/>
  <c r="P1319" i="56"/>
  <c r="P1335" i="56"/>
  <c r="Q1193" i="56"/>
  <c r="Q1202" i="56"/>
  <c r="Q1206" i="56"/>
  <c r="Q1210" i="56"/>
  <c r="Q1214" i="56"/>
  <c r="Q1218" i="56"/>
  <c r="Q1222" i="56"/>
  <c r="Q1226" i="56"/>
  <c r="Q1230" i="56"/>
  <c r="Q1234" i="56"/>
  <c r="Q1238" i="56"/>
  <c r="Q1242" i="56"/>
  <c r="Q1246" i="56"/>
  <c r="Q1250" i="56"/>
  <c r="Q1254" i="56"/>
  <c r="Q1258" i="56"/>
  <c r="Q1262" i="56"/>
  <c r="Q1266" i="56"/>
  <c r="Q1270" i="56"/>
  <c r="Q1274" i="56"/>
  <c r="Q1278" i="56"/>
  <c r="Q1282" i="56"/>
  <c r="Q1286" i="56"/>
  <c r="Q1290" i="56"/>
  <c r="Q1294" i="56"/>
  <c r="Q1298" i="56"/>
  <c r="Q1302" i="56"/>
  <c r="Q1306" i="56"/>
  <c r="Q1310" i="56"/>
  <c r="Q1314" i="56"/>
  <c r="Q1322" i="56"/>
  <c r="Q1326" i="56"/>
  <c r="Q1330" i="56"/>
  <c r="Q1334" i="56"/>
  <c r="Q1339" i="56"/>
  <c r="Q1354" i="56"/>
  <c r="Q1369" i="56"/>
  <c r="P1199" i="56"/>
  <c r="P1207" i="56"/>
  <c r="P1211" i="56"/>
  <c r="P1215" i="56"/>
  <c r="P1219" i="56"/>
  <c r="P1227" i="56"/>
  <c r="P1235" i="56"/>
  <c r="P1247" i="56"/>
  <c r="P1255" i="56"/>
  <c r="P1263" i="56"/>
  <c r="P1271" i="56"/>
  <c r="P1287" i="56"/>
  <c r="P1299" i="56"/>
  <c r="P1331" i="56"/>
  <c r="P1203" i="56"/>
  <c r="P1223" i="56"/>
  <c r="P1243" i="56"/>
  <c r="P1251" i="56"/>
  <c r="P1259" i="56"/>
  <c r="P1267" i="56"/>
  <c r="P1279" i="56"/>
  <c r="P1295" i="56"/>
  <c r="P1311" i="56"/>
  <c r="P1327" i="56"/>
  <c r="Q1199" i="56"/>
  <c r="Q1203" i="56"/>
  <c r="Q1207" i="56"/>
  <c r="Q1211" i="56"/>
  <c r="Q1215" i="56"/>
  <c r="Q1219" i="56"/>
  <c r="Q1223" i="56"/>
  <c r="Q1227" i="56"/>
  <c r="Q1231" i="56"/>
  <c r="Q1235" i="56"/>
  <c r="Q1239" i="56"/>
  <c r="Q1243" i="56"/>
  <c r="Q1247" i="56"/>
  <c r="Q1251" i="56"/>
  <c r="Q1255" i="56"/>
  <c r="Q1259" i="56"/>
  <c r="Q1263" i="56"/>
  <c r="Q1267" i="56"/>
  <c r="Q1271" i="56"/>
  <c r="Q1275" i="56"/>
  <c r="Q1279" i="56"/>
  <c r="Q1283" i="56"/>
  <c r="Q1287" i="56"/>
  <c r="Q1291" i="56"/>
  <c r="Q1295" i="56"/>
  <c r="Q1299" i="56"/>
  <c r="Q1303" i="56"/>
  <c r="Q1307" i="56"/>
  <c r="Q1311" i="56"/>
  <c r="Q1319" i="56"/>
  <c r="Q1323" i="56"/>
  <c r="Q1327" i="56"/>
  <c r="Q1331" i="56"/>
  <c r="Q1335" i="56"/>
  <c r="Q1340" i="56"/>
  <c r="P1233" i="56"/>
  <c r="P1277" i="56"/>
  <c r="P1293" i="56"/>
  <c r="P1309" i="56"/>
  <c r="P1325" i="56"/>
  <c r="P1342" i="56"/>
  <c r="P1368" i="56"/>
  <c r="P1200" i="56"/>
  <c r="P1204" i="56"/>
  <c r="P1208" i="56"/>
  <c r="P1212" i="56"/>
  <c r="P1216" i="56"/>
  <c r="P1220" i="56"/>
  <c r="P1224" i="56"/>
  <c r="P1228" i="56"/>
  <c r="P1232" i="56"/>
  <c r="P1236" i="56"/>
  <c r="P1240" i="56"/>
  <c r="P1244" i="56"/>
  <c r="P1248" i="56"/>
  <c r="P1252" i="56"/>
  <c r="P1256" i="56"/>
  <c r="P1260" i="56"/>
  <c r="P1264" i="56"/>
  <c r="P1268" i="56"/>
  <c r="P1272" i="56"/>
  <c r="P1276" i="56"/>
  <c r="P1280" i="56"/>
  <c r="P1284" i="56"/>
  <c r="P1288" i="56"/>
  <c r="P1292" i="56"/>
  <c r="P1296" i="56"/>
  <c r="P1300" i="56"/>
  <c r="P1304" i="56"/>
  <c r="P1308" i="56"/>
  <c r="P1312" i="56"/>
  <c r="P1320" i="56"/>
  <c r="P1324" i="56"/>
  <c r="P1328" i="56"/>
  <c r="P1336" i="56"/>
  <c r="P1341" i="56"/>
  <c r="P1237" i="56"/>
  <c r="P1285" i="56"/>
  <c r="P1305" i="56"/>
  <c r="P1321" i="56"/>
  <c r="Q1200" i="56"/>
  <c r="Q1204" i="56"/>
  <c r="Q1208" i="56"/>
  <c r="Q1212" i="56"/>
  <c r="Q1216" i="56"/>
  <c r="Q1220" i="56"/>
  <c r="Q1224" i="56"/>
  <c r="Q1228" i="56"/>
  <c r="Q1232" i="56"/>
  <c r="Q1236" i="56"/>
  <c r="Q1240" i="56"/>
  <c r="Q1244" i="56"/>
  <c r="Q1248" i="56"/>
  <c r="Q1252" i="56"/>
  <c r="Q1256" i="56"/>
  <c r="Q1260" i="56"/>
  <c r="Q1264" i="56"/>
  <c r="Q1268" i="56"/>
  <c r="Q1272" i="56"/>
  <c r="Q1276" i="56"/>
  <c r="Q1280" i="56"/>
  <c r="Q1284" i="56"/>
  <c r="Q1288" i="56"/>
  <c r="Q1292" i="56"/>
  <c r="Q1296" i="56"/>
  <c r="Q1300" i="56"/>
  <c r="Q1304" i="56"/>
  <c r="Q1308" i="56"/>
  <c r="Q1312" i="56"/>
  <c r="Q1320" i="56"/>
  <c r="Q1324" i="56"/>
  <c r="Q1328" i="56"/>
  <c r="Q1336" i="56"/>
  <c r="Q1341" i="56"/>
  <c r="P1201" i="56"/>
  <c r="P1209" i="56"/>
  <c r="P1213" i="56"/>
  <c r="P1217" i="56"/>
  <c r="P1221" i="56"/>
  <c r="P1229" i="56"/>
  <c r="P1241" i="56"/>
  <c r="P1249" i="56"/>
  <c r="P1257" i="56"/>
  <c r="P1265" i="56"/>
  <c r="P1273" i="56"/>
  <c r="P1289" i="56"/>
  <c r="P1301" i="56"/>
  <c r="P1333" i="56"/>
  <c r="P1360" i="56"/>
  <c r="P1205" i="56"/>
  <c r="P1225" i="56"/>
  <c r="P1245" i="56"/>
  <c r="P1253" i="56"/>
  <c r="P1261" i="56"/>
  <c r="P1269" i="56"/>
  <c r="P1281" i="56"/>
  <c r="P1297" i="56"/>
  <c r="P1313" i="56"/>
  <c r="P1329" i="56"/>
  <c r="Q1201" i="56"/>
  <c r="Q1205" i="56"/>
  <c r="Q1209" i="56"/>
  <c r="Q1213" i="56"/>
  <c r="Q1217" i="56"/>
  <c r="Q1221" i="56"/>
  <c r="Q1225" i="56"/>
  <c r="Q1229" i="56"/>
  <c r="Q1233" i="56"/>
  <c r="Q1237" i="56"/>
  <c r="Q1241" i="56"/>
  <c r="Q1245" i="56"/>
  <c r="Q1249" i="56"/>
  <c r="Q1253" i="56"/>
  <c r="Q1257" i="56"/>
  <c r="Q1261" i="56"/>
  <c r="Q1265" i="56"/>
  <c r="Q1269" i="56"/>
  <c r="Q1273" i="56"/>
  <c r="Q1277" i="56"/>
  <c r="Q1281" i="56"/>
  <c r="Q1285" i="56"/>
  <c r="Q1289" i="56"/>
  <c r="Q1293" i="56"/>
  <c r="Q1297" i="56"/>
  <c r="Q1301" i="56"/>
  <c r="Q1305" i="56"/>
  <c r="Q1309" i="56"/>
  <c r="Q1313" i="56"/>
  <c r="Q1321" i="56"/>
  <c r="Q1325" i="56"/>
  <c r="Q1329" i="56"/>
  <c r="Q1333" i="56"/>
  <c r="Q1342" i="56"/>
  <c r="Q1360" i="56"/>
  <c r="Q1368" i="56"/>
  <c r="P1239" i="56"/>
  <c r="P1275" i="56"/>
  <c r="P1291" i="56"/>
  <c r="P1307" i="56"/>
  <c r="P1323" i="56"/>
  <c r="P1340" i="56"/>
  <c r="P1180" i="56"/>
  <c r="P1181" i="56"/>
  <c r="Q1190" i="56"/>
  <c r="P1190" i="56"/>
  <c r="P1186" i="56"/>
  <c r="P1175" i="56"/>
  <c r="Q1158" i="56"/>
  <c r="Q1179" i="56"/>
  <c r="Q1171" i="56"/>
  <c r="Q1189" i="56"/>
  <c r="P1189" i="56"/>
  <c r="Q1185" i="56"/>
  <c r="P1179" i="56"/>
  <c r="Q1173" i="56"/>
  <c r="P1171" i="56"/>
  <c r="Q1169" i="56"/>
  <c r="P1169" i="56"/>
  <c r="Q1157" i="56"/>
  <c r="P1157" i="56"/>
  <c r="P1178" i="56"/>
  <c r="Q1170" i="56"/>
  <c r="Q1168" i="56"/>
  <c r="Q1159" i="56"/>
  <c r="P1170" i="56"/>
  <c r="P1168" i="56"/>
  <c r="P1159" i="56"/>
  <c r="Q1156" i="56"/>
  <c r="P1156" i="56"/>
  <c r="P1185" i="56"/>
  <c r="P1173" i="56"/>
  <c r="Q1188" i="56"/>
  <c r="Q1178" i="56"/>
  <c r="P1188" i="56"/>
  <c r="P1158" i="56"/>
  <c r="Q1172" i="56"/>
  <c r="Q1186" i="56"/>
  <c r="Q1175" i="56"/>
  <c r="P1172" i="56"/>
  <c r="Q1140" i="56"/>
  <c r="P1165" i="56"/>
  <c r="P1176" i="56"/>
  <c r="Q1167" i="56"/>
  <c r="Q1165" i="56"/>
  <c r="Q1176" i="56"/>
  <c r="P1166" i="56"/>
  <c r="P1177" i="56"/>
  <c r="Q1166" i="56"/>
  <c r="Q1177" i="56"/>
  <c r="Q1187" i="56"/>
  <c r="P1167" i="56"/>
  <c r="P1187" i="56"/>
  <c r="P1174" i="56"/>
  <c r="Q1174" i="56"/>
  <c r="P1155" i="56"/>
  <c r="Q1161" i="56"/>
  <c r="P1161" i="56"/>
  <c r="Q1164" i="56"/>
  <c r="P1164" i="56"/>
  <c r="Q1160" i="56"/>
  <c r="Q1155" i="56"/>
  <c r="P1160" i="56"/>
  <c r="Q1163" i="56"/>
  <c r="P1163" i="56"/>
  <c r="Q1139" i="56"/>
  <c r="Q1143" i="56"/>
  <c r="Q1153" i="56"/>
  <c r="Q1144" i="56"/>
  <c r="P1154" i="56"/>
  <c r="Q1145" i="56"/>
  <c r="Q1154" i="56"/>
  <c r="P1151" i="56"/>
  <c r="P1162" i="56"/>
  <c r="Q1151" i="56"/>
  <c r="Q1162" i="56"/>
  <c r="P1152" i="56"/>
  <c r="Q1152" i="56"/>
  <c r="P1153" i="56"/>
  <c r="P1078" i="56"/>
  <c r="P1077" i="56"/>
  <c r="P1076" i="56"/>
  <c r="P1075" i="56"/>
  <c r="Q1078" i="56"/>
  <c r="Q1076" i="56"/>
  <c r="Q1077" i="56"/>
  <c r="Q1075" i="56"/>
  <c r="Q1138" i="56"/>
  <c r="Q1074" i="56"/>
  <c r="Q1142" i="56"/>
  <c r="Q1079" i="56"/>
  <c r="Q1137" i="56"/>
  <c r="Q1141" i="56"/>
  <c r="P1070" i="56"/>
  <c r="Q1068" i="56"/>
  <c r="P1067" i="56"/>
  <c r="Q1073" i="56"/>
  <c r="Q1071" i="56"/>
  <c r="P1068" i="56"/>
  <c r="Q1070" i="56"/>
  <c r="Q1072" i="56"/>
  <c r="Q1069" i="56"/>
  <c r="P1069" i="56"/>
  <c r="Q1067" i="56"/>
  <c r="Q1066" i="56"/>
  <c r="P1072" i="56"/>
  <c r="P1071" i="56"/>
  <c r="P1073" i="56"/>
  <c r="Q954" i="56"/>
  <c r="P954" i="56"/>
  <c r="Q1028" i="56"/>
  <c r="Q1029" i="56"/>
  <c r="Q953" i="56"/>
  <c r="Q932" i="56"/>
  <c r="Q930" i="56"/>
  <c r="Q928" i="56"/>
  <c r="Q926" i="56"/>
  <c r="Q924" i="56"/>
  <c r="Q922" i="56"/>
  <c r="Q920" i="56"/>
  <c r="Q918" i="56"/>
  <c r="Q916" i="56"/>
  <c r="Q914" i="56"/>
  <c r="Q931" i="56"/>
  <c r="Q927" i="56"/>
  <c r="Q925" i="56"/>
  <c r="Q921" i="56"/>
  <c r="Q917" i="56"/>
  <c r="Q929" i="56"/>
  <c r="Q923" i="56"/>
  <c r="Q919" i="56"/>
  <c r="Q915" i="56"/>
  <c r="Q952" i="56"/>
  <c r="Q966" i="56"/>
  <c r="Q965" i="56"/>
  <c r="Q967" i="56"/>
  <c r="Q971" i="56"/>
  <c r="Q968" i="56"/>
  <c r="Q972" i="56"/>
  <c r="Q969" i="56"/>
  <c r="Q970" i="56"/>
  <c r="P1150" i="56"/>
  <c r="P1147" i="56"/>
  <c r="P1140" i="56"/>
  <c r="P1149" i="56"/>
  <c r="Q1147" i="56"/>
  <c r="Q1149" i="56"/>
  <c r="Q1150" i="56"/>
  <c r="Q911" i="56"/>
  <c r="Q913" i="56"/>
  <c r="Q912" i="56"/>
  <c r="Q662" i="56"/>
  <c r="Q682" i="56"/>
  <c r="P1148" i="56"/>
  <c r="Q679" i="56"/>
  <c r="Q686" i="56"/>
  <c r="Q1148" i="56"/>
  <c r="Q680" i="56"/>
  <c r="Q687" i="56"/>
  <c r="P1146" i="56"/>
  <c r="Q681" i="56"/>
  <c r="Q1146" i="56"/>
  <c r="P1139" i="56"/>
  <c r="P1138" i="56"/>
  <c r="P1143" i="56"/>
  <c r="P1145" i="56"/>
  <c r="P1144" i="56"/>
  <c r="P1064" i="56"/>
  <c r="Q1064" i="56"/>
  <c r="P1142" i="56"/>
  <c r="P1137" i="56"/>
  <c r="P1141" i="56"/>
  <c r="Q1065" i="56"/>
  <c r="Q1062" i="56"/>
  <c r="Q1063" i="56"/>
  <c r="P1059" i="56"/>
  <c r="Q1059" i="56"/>
  <c r="P1062" i="56"/>
  <c r="Q999" i="56"/>
  <c r="Q998" i="56"/>
  <c r="Q993" i="56"/>
  <c r="Q991" i="56"/>
  <c r="Q994" i="56"/>
  <c r="Q990" i="56"/>
  <c r="Q992" i="56"/>
  <c r="Q1061" i="56"/>
  <c r="Q1008" i="56"/>
  <c r="Q1009" i="56"/>
  <c r="Q1060" i="56"/>
  <c r="Q1054" i="56"/>
  <c r="P1053" i="56"/>
  <c r="Q1050" i="56"/>
  <c r="P1049" i="56"/>
  <c r="Q1046" i="56"/>
  <c r="Q1055" i="56"/>
  <c r="P1054" i="56"/>
  <c r="Q1051" i="56"/>
  <c r="P1050" i="56"/>
  <c r="Q1047" i="56"/>
  <c r="P1046" i="56"/>
  <c r="Q1049" i="56"/>
  <c r="P1055" i="56"/>
  <c r="Q1052" i="56"/>
  <c r="P1051" i="56"/>
  <c r="Q1048" i="56"/>
  <c r="P1047" i="56"/>
  <c r="P1052" i="56"/>
  <c r="P1048" i="56"/>
  <c r="Q1053" i="56"/>
  <c r="Q1056" i="56"/>
  <c r="Q1057" i="56"/>
  <c r="Q1058" i="56"/>
  <c r="Q1045" i="56"/>
  <c r="Q1040" i="56"/>
  <c r="Q1041" i="56"/>
  <c r="P1040" i="56"/>
  <c r="P1041" i="56"/>
  <c r="Q1042" i="56"/>
  <c r="Q1043" i="56"/>
  <c r="Q1039" i="56"/>
  <c r="Q1035" i="56"/>
  <c r="Q1036" i="56"/>
  <c r="P1035" i="56"/>
  <c r="Q1032" i="56"/>
  <c r="P1031" i="56"/>
  <c r="P1032" i="56"/>
  <c r="P1033" i="56"/>
  <c r="Q1031" i="56"/>
  <c r="P1036" i="56"/>
  <c r="Q1033" i="56"/>
  <c r="P1034" i="56"/>
  <c r="Q1034" i="56"/>
  <c r="Q1037" i="56"/>
  <c r="Q1030" i="56"/>
  <c r="Q1038" i="56"/>
  <c r="P1134" i="56"/>
  <c r="Q1135" i="56"/>
  <c r="Q1133" i="56"/>
  <c r="P1132" i="56"/>
  <c r="P1136" i="56"/>
  <c r="Q1132" i="56"/>
  <c r="P1133" i="56"/>
  <c r="Q1134" i="56"/>
  <c r="P1135" i="56"/>
  <c r="Q1136" i="56"/>
  <c r="Q1124" i="56"/>
  <c r="P1123" i="56"/>
  <c r="Q421" i="56"/>
  <c r="P421" i="56"/>
  <c r="Q1125" i="56"/>
  <c r="P1124" i="56"/>
  <c r="Q1126" i="56"/>
  <c r="P1125" i="56"/>
  <c r="Q1130" i="56"/>
  <c r="P1126" i="56"/>
  <c r="Q1123" i="56"/>
  <c r="P1130" i="56"/>
  <c r="Q987" i="56"/>
  <c r="Q989" i="56"/>
  <c r="Q988" i="56"/>
  <c r="Q986" i="56"/>
  <c r="Q1021" i="56"/>
  <c r="Q1025" i="56"/>
  <c r="Q1128" i="56"/>
  <c r="Q1007" i="56"/>
  <c r="Q1024" i="56"/>
  <c r="P1128" i="56"/>
  <c r="Q1005" i="56"/>
  <c r="Q1022" i="56"/>
  <c r="Q1026" i="56"/>
  <c r="Q1044" i="56"/>
  <c r="P1127" i="56"/>
  <c r="P1129" i="56"/>
  <c r="Q1006" i="56"/>
  <c r="Q1019" i="56"/>
  <c r="Q1023" i="56"/>
  <c r="Q1027" i="56"/>
  <c r="Q1127" i="56"/>
  <c r="Q1129" i="56"/>
  <c r="Q1020" i="56"/>
  <c r="Q1120" i="56"/>
  <c r="Q1119" i="56"/>
  <c r="Q1118" i="56"/>
  <c r="Q1106" i="56"/>
  <c r="P1120" i="56"/>
  <c r="P1119" i="56"/>
  <c r="P1118" i="56"/>
  <c r="P1106" i="56"/>
  <c r="P1121" i="56"/>
  <c r="Q1121" i="56"/>
  <c r="Q1122" i="56"/>
  <c r="P1122" i="56"/>
  <c r="P1117" i="56"/>
  <c r="Q1117" i="56"/>
  <c r="Q1103" i="56"/>
  <c r="P1103" i="56"/>
  <c r="Q1111" i="56"/>
  <c r="Q1113" i="56"/>
  <c r="Q1115" i="56"/>
  <c r="P1110" i="56"/>
  <c r="P1112" i="56"/>
  <c r="P1114" i="56"/>
  <c r="P1116" i="56"/>
  <c r="P1111" i="56"/>
  <c r="P1115" i="56"/>
  <c r="Q1110" i="56"/>
  <c r="Q1112" i="56"/>
  <c r="Q1114" i="56"/>
  <c r="Q1116" i="56"/>
  <c r="P1113" i="56"/>
  <c r="Q1105" i="56"/>
  <c r="Q1107" i="56"/>
  <c r="Q1109" i="56"/>
  <c r="P1109" i="56"/>
  <c r="P1104" i="56"/>
  <c r="P1108" i="56"/>
  <c r="P1107" i="56"/>
  <c r="Q1104" i="56"/>
  <c r="Q1108" i="56"/>
  <c r="P1105" i="56"/>
  <c r="Q1086" i="56"/>
  <c r="Q1100" i="56"/>
  <c r="Q1088" i="56"/>
  <c r="Q1087" i="56"/>
  <c r="P1086" i="56"/>
  <c r="P1100" i="56"/>
  <c r="P1088" i="56"/>
  <c r="P1087" i="56"/>
  <c r="Q1091" i="56"/>
  <c r="Q1093" i="56"/>
  <c r="Q1095" i="56"/>
  <c r="Q1097" i="56"/>
  <c r="Q1099" i="56"/>
  <c r="Q1102" i="56"/>
  <c r="P1090" i="56"/>
  <c r="P1092" i="56"/>
  <c r="P1094" i="56"/>
  <c r="P1096" i="56"/>
  <c r="P1098" i="56"/>
  <c r="P1101" i="56"/>
  <c r="Q1090" i="56"/>
  <c r="Q1092" i="56"/>
  <c r="Q1094" i="56"/>
  <c r="Q1096" i="56"/>
  <c r="Q1098" i="56"/>
  <c r="Q1101" i="56"/>
  <c r="P1091" i="56"/>
  <c r="P1093" i="56"/>
  <c r="P1095" i="56"/>
  <c r="P1097" i="56"/>
  <c r="P1099" i="56"/>
  <c r="P1102" i="56"/>
  <c r="P1028" i="56"/>
  <c r="P1029" i="56"/>
  <c r="P1074" i="56"/>
  <c r="P1080" i="56"/>
  <c r="P1082" i="56"/>
  <c r="P1084" i="56"/>
  <c r="P1089" i="56"/>
  <c r="Q1083" i="56"/>
  <c r="Q1085" i="56"/>
  <c r="Q1080" i="56"/>
  <c r="Q1082" i="56"/>
  <c r="Q1084" i="56"/>
  <c r="Q1089" i="56"/>
  <c r="P1066" i="56"/>
  <c r="P1079" i="56"/>
  <c r="P1081" i="56"/>
  <c r="P1083" i="56"/>
  <c r="P1085" i="56"/>
  <c r="Q1081" i="56"/>
  <c r="Q907" i="56"/>
  <c r="Q910" i="56"/>
  <c r="Q906" i="56"/>
  <c r="Q902" i="56"/>
  <c r="Q950" i="56"/>
  <c r="Q903" i="56"/>
  <c r="Q951" i="56"/>
  <c r="Q909" i="56"/>
  <c r="Q905" i="56"/>
  <c r="Q908" i="56"/>
  <c r="Q904" i="56"/>
  <c r="Q636" i="56"/>
  <c r="P1018" i="56"/>
  <c r="P1022" i="56"/>
  <c r="P1026" i="56"/>
  <c r="P1038" i="56"/>
  <c r="P1044" i="56"/>
  <c r="P1058" i="56"/>
  <c r="P1065" i="56"/>
  <c r="Q637" i="56"/>
  <c r="Q1018" i="56"/>
  <c r="P1019" i="56"/>
  <c r="P1023" i="56"/>
  <c r="P1027" i="56"/>
  <c r="P1039" i="56"/>
  <c r="P1045" i="56"/>
  <c r="P1060" i="56"/>
  <c r="P1016" i="56"/>
  <c r="P1020" i="56"/>
  <c r="P1024" i="56"/>
  <c r="P1030" i="56"/>
  <c r="P1042" i="56"/>
  <c r="P1056" i="56"/>
  <c r="P1061" i="56"/>
  <c r="Q1016" i="56"/>
  <c r="Q1017" i="56"/>
  <c r="P1017" i="56"/>
  <c r="P1021" i="56"/>
  <c r="P1025" i="56"/>
  <c r="P1037" i="56"/>
  <c r="P1043" i="56"/>
  <c r="P1057" i="56"/>
  <c r="P1063" i="56"/>
  <c r="P356" i="56"/>
  <c r="Q356" i="56"/>
  <c r="P998" i="56"/>
  <c r="P999" i="56"/>
  <c r="Q947" i="56"/>
  <c r="Q886" i="56"/>
  <c r="Q882" i="56"/>
  <c r="Q880" i="56"/>
  <c r="Q878" i="56"/>
  <c r="Q876" i="56"/>
  <c r="Q946" i="56"/>
  <c r="Q885" i="56"/>
  <c r="Q881" i="56"/>
  <c r="Q877" i="56"/>
  <c r="Q963" i="56"/>
  <c r="Q948" i="56"/>
  <c r="Q883" i="56"/>
  <c r="Q879" i="56"/>
  <c r="Q875" i="56"/>
  <c r="Q884" i="56"/>
  <c r="Q874" i="56"/>
  <c r="Q964" i="56"/>
  <c r="Q630" i="56"/>
  <c r="Q634" i="56"/>
  <c r="Q1010" i="56"/>
  <c r="Q1012" i="56"/>
  <c r="Q1014" i="56"/>
  <c r="Q631" i="56"/>
  <c r="Q635" i="56"/>
  <c r="P1009" i="56"/>
  <c r="P1011" i="56"/>
  <c r="P1013" i="56"/>
  <c r="P1015" i="56"/>
  <c r="Q632" i="56"/>
  <c r="Q1011" i="56"/>
  <c r="Q1013" i="56"/>
  <c r="Q1015" i="56"/>
  <c r="Q633" i="56"/>
  <c r="P1010" i="56"/>
  <c r="P1012" i="56"/>
  <c r="P1014" i="56"/>
  <c r="P992" i="56"/>
  <c r="P994" i="56"/>
  <c r="P991" i="56"/>
  <c r="P993" i="56"/>
  <c r="P990" i="56"/>
  <c r="P988" i="56"/>
  <c r="P987" i="56"/>
  <c r="P989" i="56"/>
  <c r="P1006" i="56"/>
  <c r="P986" i="56"/>
  <c r="P1007" i="56"/>
  <c r="P1008" i="56"/>
  <c r="P1005" i="56"/>
  <c r="P1003" i="56"/>
  <c r="Q1003" i="56"/>
  <c r="Q871" i="56"/>
  <c r="Q867" i="56"/>
  <c r="Q863" i="56"/>
  <c r="Q864" i="56"/>
  <c r="Q860" i="56"/>
  <c r="Q872" i="56"/>
  <c r="Q870" i="56"/>
  <c r="Q866" i="56"/>
  <c r="Q862" i="56"/>
  <c r="Q873" i="56"/>
  <c r="Q869" i="56"/>
  <c r="Q865" i="56"/>
  <c r="Q861" i="56"/>
  <c r="Q868" i="56"/>
  <c r="P1000" i="56"/>
  <c r="Q983" i="56"/>
  <c r="P982" i="56"/>
  <c r="P981" i="56"/>
  <c r="Q984" i="56"/>
  <c r="P983" i="56"/>
  <c r="P984" i="56"/>
  <c r="Q981" i="56"/>
  <c r="Q985" i="56"/>
  <c r="P985" i="56"/>
  <c r="Q982" i="56"/>
  <c r="Q858" i="56"/>
  <c r="Q859" i="56"/>
  <c r="Q853" i="56"/>
  <c r="Q856" i="56"/>
  <c r="Q854" i="56"/>
  <c r="Q852" i="56"/>
  <c r="Q857" i="56"/>
  <c r="Q855" i="56"/>
  <c r="Q974" i="56"/>
  <c r="Q976" i="56"/>
  <c r="Q978" i="56"/>
  <c r="Q980" i="56"/>
  <c r="Q996" i="56"/>
  <c r="P1001" i="56"/>
  <c r="P1004" i="56"/>
  <c r="Q975" i="56"/>
  <c r="P978" i="56"/>
  <c r="P973" i="56"/>
  <c r="P975" i="56"/>
  <c r="P977" i="56"/>
  <c r="P979" i="56"/>
  <c r="P995" i="56"/>
  <c r="P997" i="56"/>
  <c r="Q1001" i="56"/>
  <c r="Q1004" i="56"/>
  <c r="Q977" i="56"/>
  <c r="P974" i="56"/>
  <c r="P996" i="56"/>
  <c r="Q1002" i="56"/>
  <c r="Q973" i="56"/>
  <c r="Q979" i="56"/>
  <c r="Q995" i="56"/>
  <c r="Q997" i="56"/>
  <c r="P1002" i="56"/>
  <c r="P976" i="56"/>
  <c r="P980" i="56"/>
  <c r="Q1000" i="56"/>
  <c r="P952" i="56"/>
  <c r="P953" i="56"/>
  <c r="Q900" i="56"/>
  <c r="Q899" i="56"/>
  <c r="Q949" i="56"/>
  <c r="Q901" i="56"/>
  <c r="Q895" i="56"/>
  <c r="Q891" i="56"/>
  <c r="Q887" i="56"/>
  <c r="Q898" i="56"/>
  <c r="Q894" i="56"/>
  <c r="Q890" i="56"/>
  <c r="Q897" i="56"/>
  <c r="Q893" i="56"/>
  <c r="Q889" i="56"/>
  <c r="Q896" i="56"/>
  <c r="Q892" i="56"/>
  <c r="Q888" i="56"/>
  <c r="P966" i="56"/>
  <c r="Q624" i="56"/>
  <c r="Q661" i="56"/>
  <c r="Q625" i="56"/>
  <c r="P967" i="56"/>
  <c r="P971" i="56"/>
  <c r="Q660" i="56"/>
  <c r="Q626" i="56"/>
  <c r="Q678" i="56"/>
  <c r="Q627" i="56"/>
  <c r="P968" i="56"/>
  <c r="P972" i="56"/>
  <c r="P970" i="56"/>
  <c r="Q628" i="56"/>
  <c r="Q629" i="56"/>
  <c r="P969" i="56"/>
  <c r="Q659" i="56"/>
  <c r="P930" i="56"/>
  <c r="P922" i="56"/>
  <c r="P914" i="56"/>
  <c r="P927" i="56"/>
  <c r="P919" i="56"/>
  <c r="P932" i="56"/>
  <c r="P924" i="56"/>
  <c r="P916" i="56"/>
  <c r="P929" i="56"/>
  <c r="P921" i="56"/>
  <c r="P913" i="56"/>
  <c r="P926" i="56"/>
  <c r="P918" i="56"/>
  <c r="P931" i="56"/>
  <c r="P923" i="56"/>
  <c r="P915" i="56"/>
  <c r="P928" i="56"/>
  <c r="P920" i="56"/>
  <c r="P912" i="56"/>
  <c r="P925" i="56"/>
  <c r="P917" i="56"/>
  <c r="P911" i="56"/>
  <c r="P951" i="56"/>
  <c r="P950" i="56"/>
  <c r="P908" i="56"/>
  <c r="P905" i="56"/>
  <c r="P910" i="56"/>
  <c r="P902" i="56"/>
  <c r="P907" i="56"/>
  <c r="P904" i="56"/>
  <c r="P903" i="56"/>
  <c r="P909" i="56"/>
  <c r="P906" i="56"/>
  <c r="P949" i="56"/>
  <c r="P900" i="56"/>
  <c r="P899" i="56"/>
  <c r="P901" i="56"/>
  <c r="P892" i="56"/>
  <c r="Q933" i="56"/>
  <c r="P897" i="56"/>
  <c r="P889" i="56"/>
  <c r="P933" i="56"/>
  <c r="P894" i="56"/>
  <c r="P891" i="56"/>
  <c r="P896" i="56"/>
  <c r="P888" i="56"/>
  <c r="P898" i="56"/>
  <c r="P893" i="56"/>
  <c r="P890" i="56"/>
  <c r="P895" i="56"/>
  <c r="P887" i="56"/>
  <c r="P964" i="56"/>
  <c r="P947" i="56"/>
  <c r="P946" i="56"/>
  <c r="P963" i="56"/>
  <c r="P948" i="56"/>
  <c r="P965" i="56"/>
  <c r="P884" i="56"/>
  <c r="P876" i="56"/>
  <c r="P868" i="56"/>
  <c r="P860" i="56"/>
  <c r="P852" i="56"/>
  <c r="P881" i="56"/>
  <c r="P873" i="56"/>
  <c r="P865" i="56"/>
  <c r="P857" i="56"/>
  <c r="P886" i="56"/>
  <c r="P878" i="56"/>
  <c r="P870" i="56"/>
  <c r="P862" i="56"/>
  <c r="P854" i="56"/>
  <c r="P883" i="56"/>
  <c r="P875" i="56"/>
  <c r="P867" i="56"/>
  <c r="P859" i="56"/>
  <c r="P880" i="56"/>
  <c r="P872" i="56"/>
  <c r="P864" i="56"/>
  <c r="P856" i="56"/>
  <c r="P885" i="56"/>
  <c r="P877" i="56"/>
  <c r="P869" i="56"/>
  <c r="P861" i="56"/>
  <c r="P853" i="56"/>
  <c r="P882" i="56"/>
  <c r="P874" i="56"/>
  <c r="P866" i="56"/>
  <c r="P858" i="56"/>
  <c r="P879" i="56"/>
  <c r="P871" i="56"/>
  <c r="P863" i="56"/>
  <c r="P855" i="56"/>
  <c r="Q961" i="56"/>
  <c r="P956" i="56"/>
  <c r="P961" i="56"/>
  <c r="Q958" i="56"/>
  <c r="P958" i="56"/>
  <c r="Q955" i="56"/>
  <c r="P955" i="56"/>
  <c r="Q957" i="56"/>
  <c r="Q960" i="56"/>
  <c r="P960" i="56"/>
  <c r="Q962" i="56"/>
  <c r="P957" i="56"/>
  <c r="P962" i="56"/>
  <c r="Q959" i="56"/>
  <c r="P959" i="56"/>
  <c r="Q956" i="56"/>
  <c r="Q674" i="56"/>
  <c r="Q675" i="56"/>
  <c r="Q683" i="56"/>
  <c r="Q676" i="56"/>
  <c r="Q684" i="56"/>
  <c r="Q677" i="56"/>
  <c r="Q685" i="56"/>
  <c r="P5" i="56"/>
  <c r="Q5" i="56"/>
  <c r="P6" i="56"/>
  <c r="Q6" i="56"/>
  <c r="Q8" i="56"/>
  <c r="Q10" i="56"/>
  <c r="Q12" i="56"/>
  <c r="Q14" i="56"/>
  <c r="Q16" i="56"/>
  <c r="Q18" i="56"/>
  <c r="Q20" i="56"/>
  <c r="Q22" i="56"/>
  <c r="Q24" i="56"/>
  <c r="Q26" i="56"/>
  <c r="Q28" i="56"/>
  <c r="Q30" i="56"/>
  <c r="Q32" i="56"/>
  <c r="Q34" i="56"/>
  <c r="Q36" i="56"/>
  <c r="Q38" i="56"/>
  <c r="Q40" i="56"/>
  <c r="Q42" i="56"/>
  <c r="Q44" i="56"/>
  <c r="Q46" i="56"/>
  <c r="Q48" i="56"/>
  <c r="Q50" i="56"/>
  <c r="Q52" i="56"/>
  <c r="Q54" i="56"/>
  <c r="Q56" i="56"/>
  <c r="Q58" i="56"/>
  <c r="Q60" i="56"/>
  <c r="Q62" i="56"/>
  <c r="Q64" i="56"/>
  <c r="Q66" i="56"/>
  <c r="Q68" i="56"/>
  <c r="Q70" i="56"/>
  <c r="Q72" i="56"/>
  <c r="Q74" i="56"/>
  <c r="Q76" i="56"/>
  <c r="Q78" i="56"/>
  <c r="Q80" i="56"/>
  <c r="Q82" i="56"/>
  <c r="Q84" i="56"/>
  <c r="Q86" i="56"/>
  <c r="Q88" i="56"/>
  <c r="Q90" i="56"/>
  <c r="Q92" i="56"/>
  <c r="Q94" i="56"/>
  <c r="Q96" i="56"/>
  <c r="Q98" i="56"/>
  <c r="Q100" i="56"/>
  <c r="Q102" i="56"/>
  <c r="Q104" i="56"/>
  <c r="Q106" i="56"/>
  <c r="Q108" i="56"/>
  <c r="Q110" i="56"/>
  <c r="Q112" i="56"/>
  <c r="Q114" i="56"/>
  <c r="Q116" i="56"/>
  <c r="Q118" i="56"/>
  <c r="Q120" i="56"/>
  <c r="Q122" i="56"/>
  <c r="Q124" i="56"/>
  <c r="Q126" i="56"/>
  <c r="Q128" i="56"/>
  <c r="Q130" i="56"/>
  <c r="Q132" i="56"/>
  <c r="Q134" i="56"/>
  <c r="Q136" i="56"/>
  <c r="Q138" i="56"/>
  <c r="Q140" i="56"/>
  <c r="Q142" i="56"/>
  <c r="Q144" i="56"/>
  <c r="Q146" i="56"/>
  <c r="Q148" i="56"/>
  <c r="Q150" i="56"/>
  <c r="Q152" i="56"/>
  <c r="Q154" i="56"/>
  <c r="Q156" i="56"/>
  <c r="Q158" i="56"/>
  <c r="Q160" i="56"/>
  <c r="Q162" i="56"/>
  <c r="Q164" i="56"/>
  <c r="Q166" i="56"/>
  <c r="Q168" i="56"/>
  <c r="Q170" i="56"/>
  <c r="Q172" i="56"/>
  <c r="Q174" i="56"/>
  <c r="P7" i="56"/>
  <c r="Q9" i="56"/>
  <c r="P12" i="56"/>
  <c r="P15" i="56"/>
  <c r="Q17" i="56"/>
  <c r="P20" i="56"/>
  <c r="P23" i="56"/>
  <c r="Q25" i="56"/>
  <c r="P28" i="56"/>
  <c r="P31" i="56"/>
  <c r="Q33" i="56"/>
  <c r="P36" i="56"/>
  <c r="P39" i="56"/>
  <c r="Q41" i="56"/>
  <c r="P44" i="56"/>
  <c r="P47" i="56"/>
  <c r="Q49" i="56"/>
  <c r="P52" i="56"/>
  <c r="P55" i="56"/>
  <c r="Q57" i="56"/>
  <c r="P60" i="56"/>
  <c r="P63" i="56"/>
  <c r="Q65" i="56"/>
  <c r="P68" i="56"/>
  <c r="P71" i="56"/>
  <c r="Q73" i="56"/>
  <c r="P76" i="56"/>
  <c r="P79" i="56"/>
  <c r="Q81" i="56"/>
  <c r="P84" i="56"/>
  <c r="P87" i="56"/>
  <c r="Q89" i="56"/>
  <c r="P92" i="56"/>
  <c r="P95" i="56"/>
  <c r="Q97" i="56"/>
  <c r="P100" i="56"/>
  <c r="P103" i="56"/>
  <c r="Q105" i="56"/>
  <c r="P108" i="56"/>
  <c r="P111" i="56"/>
  <c r="Q113" i="56"/>
  <c r="P116" i="56"/>
  <c r="P119" i="56"/>
  <c r="Q121" i="56"/>
  <c r="P124" i="56"/>
  <c r="P127" i="56"/>
  <c r="Q129" i="56"/>
  <c r="P132" i="56"/>
  <c r="P135" i="56"/>
  <c r="Q137" i="56"/>
  <c r="P140" i="56"/>
  <c r="P143" i="56"/>
  <c r="Q145" i="56"/>
  <c r="P148" i="56"/>
  <c r="P151" i="56"/>
  <c r="Q153" i="56"/>
  <c r="P156" i="56"/>
  <c r="P159" i="56"/>
  <c r="Q161" i="56"/>
  <c r="P164" i="56"/>
  <c r="P167" i="56"/>
  <c r="Q169" i="56"/>
  <c r="P172" i="56"/>
  <c r="P175" i="56"/>
  <c r="P177" i="56"/>
  <c r="P179" i="56"/>
  <c r="P181" i="56"/>
  <c r="P183" i="56"/>
  <c r="P185" i="56"/>
  <c r="P187" i="56"/>
  <c r="P189" i="56"/>
  <c r="P191" i="56"/>
  <c r="P193" i="56"/>
  <c r="P195" i="56"/>
  <c r="P197" i="56"/>
  <c r="P199" i="56"/>
  <c r="P201" i="56"/>
  <c r="P203" i="56"/>
  <c r="P205" i="56"/>
  <c r="P207" i="56"/>
  <c r="P209" i="56"/>
  <c r="P211" i="56"/>
  <c r="P213" i="56"/>
  <c r="P215" i="56"/>
  <c r="P217" i="56"/>
  <c r="Q7" i="56"/>
  <c r="P10" i="56"/>
  <c r="P13" i="56"/>
  <c r="Q15" i="56"/>
  <c r="P18" i="56"/>
  <c r="P21" i="56"/>
  <c r="Q23" i="56"/>
  <c r="P26" i="56"/>
  <c r="P29" i="56"/>
  <c r="Q31" i="56"/>
  <c r="P34" i="56"/>
  <c r="P37" i="56"/>
  <c r="Q39" i="56"/>
  <c r="P42" i="56"/>
  <c r="P45" i="56"/>
  <c r="Q47" i="56"/>
  <c r="P50" i="56"/>
  <c r="P53" i="56"/>
  <c r="Q55" i="56"/>
  <c r="P58" i="56"/>
  <c r="P61" i="56"/>
  <c r="Q63" i="56"/>
  <c r="P66" i="56"/>
  <c r="P69" i="56"/>
  <c r="Q71" i="56"/>
  <c r="P74" i="56"/>
  <c r="P77" i="56"/>
  <c r="Q79" i="56"/>
  <c r="P82" i="56"/>
  <c r="P85" i="56"/>
  <c r="Q87" i="56"/>
  <c r="P90" i="56"/>
  <c r="P93" i="56"/>
  <c r="Q95" i="56"/>
  <c r="P98" i="56"/>
  <c r="P101" i="56"/>
  <c r="Q103" i="56"/>
  <c r="P106" i="56"/>
  <c r="P109" i="56"/>
  <c r="Q111" i="56"/>
  <c r="P114" i="56"/>
  <c r="P117" i="56"/>
  <c r="Q119" i="56"/>
  <c r="P122" i="56"/>
  <c r="P125" i="56"/>
  <c r="Q127" i="56"/>
  <c r="P130" i="56"/>
  <c r="P133" i="56"/>
  <c r="Q135" i="56"/>
  <c r="P138" i="56"/>
  <c r="P141" i="56"/>
  <c r="Q143" i="56"/>
  <c r="P146" i="56"/>
  <c r="P149" i="56"/>
  <c r="Q151" i="56"/>
  <c r="P154" i="56"/>
  <c r="P157" i="56"/>
  <c r="Q159" i="56"/>
  <c r="P162" i="56"/>
  <c r="P165" i="56"/>
  <c r="Q167" i="56"/>
  <c r="P170" i="56"/>
  <c r="P173" i="56"/>
  <c r="Q175" i="56"/>
  <c r="Q177" i="56"/>
  <c r="Q179" i="56"/>
  <c r="Q181" i="56"/>
  <c r="Q183" i="56"/>
  <c r="Q185" i="56"/>
  <c r="Q187" i="56"/>
  <c r="Q189" i="56"/>
  <c r="Q191" i="56"/>
  <c r="Q193" i="56"/>
  <c r="Q195" i="56"/>
  <c r="Q197" i="56"/>
  <c r="Q199" i="56"/>
  <c r="Q201" i="56"/>
  <c r="Q203" i="56"/>
  <c r="Q205" i="56"/>
  <c r="Q207" i="56"/>
  <c r="Q209" i="56"/>
  <c r="Q211" i="56"/>
  <c r="Q213" i="56"/>
  <c r="Q215" i="56"/>
  <c r="Q217" i="56"/>
  <c r="P8" i="56"/>
  <c r="Q13" i="56"/>
  <c r="P19" i="56"/>
  <c r="P24" i="56"/>
  <c r="Q29" i="56"/>
  <c r="P35" i="56"/>
  <c r="P40" i="56"/>
  <c r="Q45" i="56"/>
  <c r="P51" i="56"/>
  <c r="P56" i="56"/>
  <c r="Q61" i="56"/>
  <c r="P67" i="56"/>
  <c r="P72" i="56"/>
  <c r="Q77" i="56"/>
  <c r="P83" i="56"/>
  <c r="P88" i="56"/>
  <c r="Q93" i="56"/>
  <c r="P99" i="56"/>
  <c r="P104" i="56"/>
  <c r="Q109" i="56"/>
  <c r="P115" i="56"/>
  <c r="P120" i="56"/>
  <c r="Q125" i="56"/>
  <c r="P131" i="56"/>
  <c r="P136" i="56"/>
  <c r="Q141" i="56"/>
  <c r="P147" i="56"/>
  <c r="P152" i="56"/>
  <c r="Q157" i="56"/>
  <c r="P163" i="56"/>
  <c r="P168" i="56"/>
  <c r="Q173" i="56"/>
  <c r="P178" i="56"/>
  <c r="P182" i="56"/>
  <c r="P186" i="56"/>
  <c r="P190" i="56"/>
  <c r="P194" i="56"/>
  <c r="P198" i="56"/>
  <c r="P202" i="56"/>
  <c r="P206" i="56"/>
  <c r="P210" i="56"/>
  <c r="P214" i="56"/>
  <c r="P218" i="56"/>
  <c r="P220" i="56"/>
  <c r="P222" i="56"/>
  <c r="P224" i="56"/>
  <c r="P226" i="56"/>
  <c r="P228" i="56"/>
  <c r="P230" i="56"/>
  <c r="P232" i="56"/>
  <c r="P234" i="56"/>
  <c r="P236" i="56"/>
  <c r="P238" i="56"/>
  <c r="P240" i="56"/>
  <c r="P242" i="56"/>
  <c r="P244" i="56"/>
  <c r="P246" i="56"/>
  <c r="P248" i="56"/>
  <c r="P250" i="56"/>
  <c r="P252" i="56"/>
  <c r="P254" i="56"/>
  <c r="P256" i="56"/>
  <c r="P258" i="56"/>
  <c r="P260" i="56"/>
  <c r="P262" i="56"/>
  <c r="P264" i="56"/>
  <c r="P266" i="56"/>
  <c r="P268" i="56"/>
  <c r="P270" i="56"/>
  <c r="P272" i="56"/>
  <c r="P274" i="56"/>
  <c r="P276" i="56"/>
  <c r="P278" i="56"/>
  <c r="P280" i="56"/>
  <c r="P282" i="56"/>
  <c r="P284" i="56"/>
  <c r="P286" i="56"/>
  <c r="P288" i="56"/>
  <c r="P290" i="56"/>
  <c r="P292" i="56"/>
  <c r="P294" i="56"/>
  <c r="P296" i="56"/>
  <c r="P298" i="56"/>
  <c r="P9" i="56"/>
  <c r="P14" i="56"/>
  <c r="Q19" i="56"/>
  <c r="P25" i="56"/>
  <c r="P30" i="56"/>
  <c r="Q35" i="56"/>
  <c r="P41" i="56"/>
  <c r="P46" i="56"/>
  <c r="Q51" i="56"/>
  <c r="P57" i="56"/>
  <c r="P62" i="56"/>
  <c r="Q67" i="56"/>
  <c r="P73" i="56"/>
  <c r="P78" i="56"/>
  <c r="Q83" i="56"/>
  <c r="P89" i="56"/>
  <c r="P94" i="56"/>
  <c r="Q99" i="56"/>
  <c r="P105" i="56"/>
  <c r="P110" i="56"/>
  <c r="Q115" i="56"/>
  <c r="P121" i="56"/>
  <c r="P126" i="56"/>
  <c r="Q131" i="56"/>
  <c r="P137" i="56"/>
  <c r="P142" i="56"/>
  <c r="Q147" i="56"/>
  <c r="P153" i="56"/>
  <c r="P158" i="56"/>
  <c r="Q163" i="56"/>
  <c r="P169" i="56"/>
  <c r="P174" i="56"/>
  <c r="Q178" i="56"/>
  <c r="Q182" i="56"/>
  <c r="Q186" i="56"/>
  <c r="Q190" i="56"/>
  <c r="Q194" i="56"/>
  <c r="Q198" i="56"/>
  <c r="Q202" i="56"/>
  <c r="Q206" i="56"/>
  <c r="Q210" i="56"/>
  <c r="Q214" i="56"/>
  <c r="Q218" i="56"/>
  <c r="Q220" i="56"/>
  <c r="Q222" i="56"/>
  <c r="Q224" i="56"/>
  <c r="Q226" i="56"/>
  <c r="Q228" i="56"/>
  <c r="Q230" i="56"/>
  <c r="Q232" i="56"/>
  <c r="Q234" i="56"/>
  <c r="Q236" i="56"/>
  <c r="Q238" i="56"/>
  <c r="Q240" i="56"/>
  <c r="Q242" i="56"/>
  <c r="Q244" i="56"/>
  <c r="Q246" i="56"/>
  <c r="Q248" i="56"/>
  <c r="Q250" i="56"/>
  <c r="Q252" i="56"/>
  <c r="Q254" i="56"/>
  <c r="Q256" i="56"/>
  <c r="Q258" i="56"/>
  <c r="Q260" i="56"/>
  <c r="Q262" i="56"/>
  <c r="Q264" i="56"/>
  <c r="Q266" i="56"/>
  <c r="Q268" i="56"/>
  <c r="Q270" i="56"/>
  <c r="Q272" i="56"/>
  <c r="Q274" i="56"/>
  <c r="Q276" i="56"/>
  <c r="Q278" i="56"/>
  <c r="Q280" i="56"/>
  <c r="Q282" i="56"/>
  <c r="Q284" i="56"/>
  <c r="Q286" i="56"/>
  <c r="Q288" i="56"/>
  <c r="Q290" i="56"/>
  <c r="Q292" i="56"/>
  <c r="Q294" i="56"/>
  <c r="Q296" i="56"/>
  <c r="Q298" i="56"/>
  <c r="Q300" i="56"/>
  <c r="Q302" i="56"/>
  <c r="P11" i="56"/>
  <c r="P16" i="56"/>
  <c r="Q21" i="56"/>
  <c r="P27" i="56"/>
  <c r="P32" i="56"/>
  <c r="Q37" i="56"/>
  <c r="P43" i="56"/>
  <c r="P48" i="56"/>
  <c r="Q53" i="56"/>
  <c r="P59" i="56"/>
  <c r="P64" i="56"/>
  <c r="Q69" i="56"/>
  <c r="P75" i="56"/>
  <c r="P80" i="56"/>
  <c r="Q85" i="56"/>
  <c r="P91" i="56"/>
  <c r="P96" i="56"/>
  <c r="Q101" i="56"/>
  <c r="P107" i="56"/>
  <c r="P112" i="56"/>
  <c r="Q117" i="56"/>
  <c r="P123" i="56"/>
  <c r="P128" i="56"/>
  <c r="Q133" i="56"/>
  <c r="P139" i="56"/>
  <c r="P144" i="56"/>
  <c r="Q149" i="56"/>
  <c r="P155" i="56"/>
  <c r="P160" i="56"/>
  <c r="Q165" i="56"/>
  <c r="P171" i="56"/>
  <c r="P176" i="56"/>
  <c r="P180" i="56"/>
  <c r="P184" i="56"/>
  <c r="P188" i="56"/>
  <c r="P192" i="56"/>
  <c r="P196" i="56"/>
  <c r="P200" i="56"/>
  <c r="P204" i="56"/>
  <c r="P208" i="56"/>
  <c r="P212" i="56"/>
  <c r="P216" i="56"/>
  <c r="P219" i="56"/>
  <c r="P221" i="56"/>
  <c r="P223" i="56"/>
  <c r="P225" i="56"/>
  <c r="P227" i="56"/>
  <c r="P229" i="56"/>
  <c r="P231" i="56"/>
  <c r="P233" i="56"/>
  <c r="P235" i="56"/>
  <c r="P237" i="56"/>
  <c r="P239" i="56"/>
  <c r="P241" i="56"/>
  <c r="P243" i="56"/>
  <c r="P245" i="56"/>
  <c r="P247" i="56"/>
  <c r="P249" i="56"/>
  <c r="P251" i="56"/>
  <c r="P253" i="56"/>
  <c r="P255" i="56"/>
  <c r="P257" i="56"/>
  <c r="P259" i="56"/>
  <c r="P261" i="56"/>
  <c r="P263" i="56"/>
  <c r="P265" i="56"/>
  <c r="P267" i="56"/>
  <c r="P269" i="56"/>
  <c r="P271" i="56"/>
  <c r="P273" i="56"/>
  <c r="P275" i="56"/>
  <c r="P277" i="56"/>
  <c r="P279" i="56"/>
  <c r="P281" i="56"/>
  <c r="P283" i="56"/>
  <c r="P285" i="56"/>
  <c r="P287" i="56"/>
  <c r="P289" i="56"/>
  <c r="P291" i="56"/>
  <c r="P293" i="56"/>
  <c r="P295" i="56"/>
  <c r="P297" i="56"/>
  <c r="P299" i="56"/>
  <c r="P301" i="56"/>
  <c r="P303" i="56"/>
  <c r="Q11" i="56"/>
  <c r="P33" i="56"/>
  <c r="P54" i="56"/>
  <c r="Q75" i="56"/>
  <c r="P97" i="56"/>
  <c r="P118" i="56"/>
  <c r="Q139" i="56"/>
  <c r="P161" i="56"/>
  <c r="Q180" i="56"/>
  <c r="Q196" i="56"/>
  <c r="Q212" i="56"/>
  <c r="Q223" i="56"/>
  <c r="Q231" i="56"/>
  <c r="Q239" i="56"/>
  <c r="Q247" i="56"/>
  <c r="Q255" i="56"/>
  <c r="Q263" i="56"/>
  <c r="Q271" i="56"/>
  <c r="Q279" i="56"/>
  <c r="Q287" i="56"/>
  <c r="Q295" i="56"/>
  <c r="Q301" i="56"/>
  <c r="Q304" i="56"/>
  <c r="Q306" i="56"/>
  <c r="Q308" i="56"/>
  <c r="Q310" i="56"/>
  <c r="Q312" i="56"/>
  <c r="Q314" i="56"/>
  <c r="Q316" i="56"/>
  <c r="Q318" i="56"/>
  <c r="Q320" i="56"/>
  <c r="Q322" i="56"/>
  <c r="Q324" i="56"/>
  <c r="Q326" i="56"/>
  <c r="Q328" i="56"/>
  <c r="Q330" i="56"/>
  <c r="Q332" i="56"/>
  <c r="Q334" i="56"/>
  <c r="Q336" i="56"/>
  <c r="Q338" i="56"/>
  <c r="Q340" i="56"/>
  <c r="Q342" i="56"/>
  <c r="Q344" i="56"/>
  <c r="Q346" i="56"/>
  <c r="Q348" i="56"/>
  <c r="Q350" i="56"/>
  <c r="Q352" i="56"/>
  <c r="Q354" i="56"/>
  <c r="Q358" i="56"/>
  <c r="Q360" i="56"/>
  <c r="Q362" i="56"/>
  <c r="Q364" i="56"/>
  <c r="Q366" i="56"/>
  <c r="Q368" i="56"/>
  <c r="Q370" i="56"/>
  <c r="Q372" i="56"/>
  <c r="Q374" i="56"/>
  <c r="Q376" i="56"/>
  <c r="Q378" i="56"/>
  <c r="Q380" i="56"/>
  <c r="Q382" i="56"/>
  <c r="Q384" i="56"/>
  <c r="Q386" i="56"/>
  <c r="Q388" i="56"/>
  <c r="Q390" i="56"/>
  <c r="Q392" i="56"/>
  <c r="Q394" i="56"/>
  <c r="Q396" i="56"/>
  <c r="Q398" i="56"/>
  <c r="Q400" i="56"/>
  <c r="Q402" i="56"/>
  <c r="Q404" i="56"/>
  <c r="Q406" i="56"/>
  <c r="Q408" i="56"/>
  <c r="Q410" i="56"/>
  <c r="Q412" i="56"/>
  <c r="Q414" i="56"/>
  <c r="Q416" i="56"/>
  <c r="Q418" i="56"/>
  <c r="Q420" i="56"/>
  <c r="Q422" i="56"/>
  <c r="Q424" i="56"/>
  <c r="Q426" i="56"/>
  <c r="P17" i="56"/>
  <c r="P38" i="56"/>
  <c r="Q59" i="56"/>
  <c r="P81" i="56"/>
  <c r="P102" i="56"/>
  <c r="Q123" i="56"/>
  <c r="P145" i="56"/>
  <c r="P166" i="56"/>
  <c r="Q184" i="56"/>
  <c r="Q200" i="56"/>
  <c r="Q216" i="56"/>
  <c r="Q225" i="56"/>
  <c r="Q233" i="56"/>
  <c r="Q241" i="56"/>
  <c r="Q249" i="56"/>
  <c r="Q257" i="56"/>
  <c r="Q265" i="56"/>
  <c r="Q273" i="56"/>
  <c r="Q281" i="56"/>
  <c r="Q289" i="56"/>
  <c r="Q297" i="56"/>
  <c r="P302" i="56"/>
  <c r="P305" i="56"/>
  <c r="P307" i="56"/>
  <c r="P309" i="56"/>
  <c r="P311" i="56"/>
  <c r="P313" i="56"/>
  <c r="P315" i="56"/>
  <c r="P317" i="56"/>
  <c r="P319" i="56"/>
  <c r="P321" i="56"/>
  <c r="P323" i="56"/>
  <c r="P325" i="56"/>
  <c r="P327" i="56"/>
  <c r="P329" i="56"/>
  <c r="P331" i="56"/>
  <c r="P333" i="56"/>
  <c r="P335" i="56"/>
  <c r="P337" i="56"/>
  <c r="P339" i="56"/>
  <c r="P341" i="56"/>
  <c r="P343" i="56"/>
  <c r="P345" i="56"/>
  <c r="P347" i="56"/>
  <c r="P349" i="56"/>
  <c r="P351" i="56"/>
  <c r="P353" i="56"/>
  <c r="P355" i="56"/>
  <c r="P357" i="56"/>
  <c r="P359" i="56"/>
  <c r="P361" i="56"/>
  <c r="P365" i="56"/>
  <c r="P367" i="56"/>
  <c r="P369" i="56"/>
  <c r="P371" i="56"/>
  <c r="P373" i="56"/>
  <c r="P375" i="56"/>
  <c r="P377" i="56"/>
  <c r="P379" i="56"/>
  <c r="P381" i="56"/>
  <c r="P383" i="56"/>
  <c r="P385" i="56"/>
  <c r="P387" i="56"/>
  <c r="P389" i="56"/>
  <c r="P391" i="56"/>
  <c r="P393" i="56"/>
  <c r="P395" i="56"/>
  <c r="P397" i="56"/>
  <c r="P399" i="56"/>
  <c r="P401" i="56"/>
  <c r="P403" i="56"/>
  <c r="P405" i="56"/>
  <c r="P407" i="56"/>
  <c r="P409" i="56"/>
  <c r="P411" i="56"/>
  <c r="P413" i="56"/>
  <c r="P415" i="56"/>
  <c r="P417" i="56"/>
  <c r="P419" i="56"/>
  <c r="P423" i="56"/>
  <c r="P425" i="56"/>
  <c r="P427" i="56"/>
  <c r="P22" i="56"/>
  <c r="Q43" i="56"/>
  <c r="P65" i="56"/>
  <c r="P86" i="56"/>
  <c r="Q107" i="56"/>
  <c r="P129" i="56"/>
  <c r="P150" i="56"/>
  <c r="Q171" i="56"/>
  <c r="Q188" i="56"/>
  <c r="Q204" i="56"/>
  <c r="Q219" i="56"/>
  <c r="Q227" i="56"/>
  <c r="Q235" i="56"/>
  <c r="Q243" i="56"/>
  <c r="Q251" i="56"/>
  <c r="Q259" i="56"/>
  <c r="Q267" i="56"/>
  <c r="Q275" i="56"/>
  <c r="Q283" i="56"/>
  <c r="Q291" i="56"/>
  <c r="Q299" i="56"/>
  <c r="Q303" i="56"/>
  <c r="Q305" i="56"/>
  <c r="Q307" i="56"/>
  <c r="Q309" i="56"/>
  <c r="Q311" i="56"/>
  <c r="Q313" i="56"/>
  <c r="Q315" i="56"/>
  <c r="Q317" i="56"/>
  <c r="Q319" i="56"/>
  <c r="Q321" i="56"/>
  <c r="Q323" i="56"/>
  <c r="Q325" i="56"/>
  <c r="Q327" i="56"/>
  <c r="Q329" i="56"/>
  <c r="Q331" i="56"/>
  <c r="Q333" i="56"/>
  <c r="Q335" i="56"/>
  <c r="Q337" i="56"/>
  <c r="Q339" i="56"/>
  <c r="Q341" i="56"/>
  <c r="Q343" i="56"/>
  <c r="Q345" i="56"/>
  <c r="Q347" i="56"/>
  <c r="Q349" i="56"/>
  <c r="Q351" i="56"/>
  <c r="Q353" i="56"/>
  <c r="Q355" i="56"/>
  <c r="Q357" i="56"/>
  <c r="Q359" i="56"/>
  <c r="Q361" i="56"/>
  <c r="Q365" i="56"/>
  <c r="Q367" i="56"/>
  <c r="Q369" i="56"/>
  <c r="Q371" i="56"/>
  <c r="Q373" i="56"/>
  <c r="Q375" i="56"/>
  <c r="Q377" i="56"/>
  <c r="Q379" i="56"/>
  <c r="Q381" i="56"/>
  <c r="Q383" i="56"/>
  <c r="Q385" i="56"/>
  <c r="Q387" i="56"/>
  <c r="Q389" i="56"/>
  <c r="Q391" i="56"/>
  <c r="Q393" i="56"/>
  <c r="Q395" i="56"/>
  <c r="Q397" i="56"/>
  <c r="Q399" i="56"/>
  <c r="Q401" i="56"/>
  <c r="Q403" i="56"/>
  <c r="Q405" i="56"/>
  <c r="Q407" i="56"/>
  <c r="Q409" i="56"/>
  <c r="Q411" i="56"/>
  <c r="Q413" i="56"/>
  <c r="Q415" i="56"/>
  <c r="Q417" i="56"/>
  <c r="Q419" i="56"/>
  <c r="Q423" i="56"/>
  <c r="Q425" i="56"/>
  <c r="Q427" i="56"/>
  <c r="Q429" i="56"/>
  <c r="Q27" i="56"/>
  <c r="P113" i="56"/>
  <c r="Q192" i="56"/>
  <c r="Q237" i="56"/>
  <c r="Q269" i="56"/>
  <c r="P300" i="56"/>
  <c r="P310" i="56"/>
  <c r="P318" i="56"/>
  <c r="P326" i="56"/>
  <c r="P334" i="56"/>
  <c r="P342" i="56"/>
  <c r="P350" i="56"/>
  <c r="P358" i="56"/>
  <c r="P366" i="56"/>
  <c r="P374" i="56"/>
  <c r="P382" i="56"/>
  <c r="P390" i="56"/>
  <c r="P398" i="56"/>
  <c r="P406" i="56"/>
  <c r="P414" i="56"/>
  <c r="P422" i="56"/>
  <c r="Q428" i="56"/>
  <c r="P431" i="56"/>
  <c r="P433" i="56"/>
  <c r="P435" i="56"/>
  <c r="P437" i="56"/>
  <c r="P439" i="56"/>
  <c r="P441" i="56"/>
  <c r="P443" i="56"/>
  <c r="P445" i="56"/>
  <c r="P447" i="56"/>
  <c r="P449" i="56"/>
  <c r="P451" i="56"/>
  <c r="P453" i="56"/>
  <c r="P455" i="56"/>
  <c r="P457" i="56"/>
  <c r="P459" i="56"/>
  <c r="P461" i="56"/>
  <c r="P463" i="56"/>
  <c r="P465" i="56"/>
  <c r="P467" i="56"/>
  <c r="P469" i="56"/>
  <c r="P471" i="56"/>
  <c r="P473" i="56"/>
  <c r="P475" i="56"/>
  <c r="P477" i="56"/>
  <c r="P479" i="56"/>
  <c r="P481" i="56"/>
  <c r="P483" i="56"/>
  <c r="P485" i="56"/>
  <c r="P487" i="56"/>
  <c r="P489" i="56"/>
  <c r="P491" i="56"/>
  <c r="P493" i="56"/>
  <c r="P495" i="56"/>
  <c r="P497" i="56"/>
  <c r="P499" i="56"/>
  <c r="P501" i="56"/>
  <c r="P503" i="56"/>
  <c r="P505" i="56"/>
  <c r="P507" i="56"/>
  <c r="P509" i="56"/>
  <c r="P511" i="56"/>
  <c r="P513" i="56"/>
  <c r="P515" i="56"/>
  <c r="P517" i="56"/>
  <c r="P519" i="56"/>
  <c r="P521" i="56"/>
  <c r="P523" i="56"/>
  <c r="P525" i="56"/>
  <c r="P527" i="56"/>
  <c r="P529" i="56"/>
  <c r="P531" i="56"/>
  <c r="P533" i="56"/>
  <c r="P535" i="56"/>
  <c r="P537" i="56"/>
  <c r="P539" i="56"/>
  <c r="P541" i="56"/>
  <c r="P543" i="56"/>
  <c r="P545" i="56"/>
  <c r="P547" i="56"/>
  <c r="P549" i="56"/>
  <c r="P551" i="56"/>
  <c r="P553" i="56"/>
  <c r="P555" i="56"/>
  <c r="P557" i="56"/>
  <c r="P559" i="56"/>
  <c r="P561" i="56"/>
  <c r="P563" i="56"/>
  <c r="P565" i="56"/>
  <c r="P567" i="56"/>
  <c r="P569" i="56"/>
  <c r="P571" i="56"/>
  <c r="P573" i="56"/>
  <c r="P575" i="56"/>
  <c r="P577" i="56"/>
  <c r="P579" i="56"/>
  <c r="P581" i="56"/>
  <c r="P583" i="56"/>
  <c r="P585" i="56"/>
  <c r="P587" i="56"/>
  <c r="P589" i="56"/>
  <c r="P591" i="56"/>
  <c r="P593" i="56"/>
  <c r="P595" i="56"/>
  <c r="P597" i="56"/>
  <c r="P599" i="56"/>
  <c r="P601" i="56"/>
  <c r="P603" i="56"/>
  <c r="P605" i="56"/>
  <c r="P607" i="56"/>
  <c r="P609" i="56"/>
  <c r="P611" i="56"/>
  <c r="P613" i="56"/>
  <c r="P615" i="56"/>
  <c r="P617" i="56"/>
  <c r="P619" i="56"/>
  <c r="P621" i="56"/>
  <c r="P623" i="56"/>
  <c r="P625" i="56"/>
  <c r="P627" i="56"/>
  <c r="P629" i="56"/>
  <c r="P631" i="56"/>
  <c r="P633" i="56"/>
  <c r="P635" i="56"/>
  <c r="P637" i="56"/>
  <c r="P639" i="56"/>
  <c r="P641" i="56"/>
  <c r="P643" i="56"/>
  <c r="P645" i="56"/>
  <c r="P647" i="56"/>
  <c r="P649" i="56"/>
  <c r="P651" i="56"/>
  <c r="P653" i="56"/>
  <c r="P655" i="56"/>
  <c r="P657" i="56"/>
  <c r="P659" i="56"/>
  <c r="P661" i="56"/>
  <c r="P663" i="56"/>
  <c r="P665" i="56"/>
  <c r="P667" i="56"/>
  <c r="P669" i="56"/>
  <c r="P671" i="56"/>
  <c r="P673" i="56"/>
  <c r="P675" i="56"/>
  <c r="P677" i="56"/>
  <c r="P679" i="56"/>
  <c r="P681" i="56"/>
  <c r="P683" i="56"/>
  <c r="P685" i="56"/>
  <c r="P687" i="56"/>
  <c r="P689" i="56"/>
  <c r="P691" i="56"/>
  <c r="P693" i="56"/>
  <c r="P695" i="56"/>
  <c r="P697" i="56"/>
  <c r="P699" i="56"/>
  <c r="P701" i="56"/>
  <c r="P703" i="56"/>
  <c r="P705" i="56"/>
  <c r="P707" i="56"/>
  <c r="P709" i="56"/>
  <c r="P711" i="56"/>
  <c r="P713" i="56"/>
  <c r="P715" i="56"/>
  <c r="P717" i="56"/>
  <c r="P719" i="56"/>
  <c r="P721" i="56"/>
  <c r="P723" i="56"/>
  <c r="P725" i="56"/>
  <c r="P49" i="56"/>
  <c r="P134" i="56"/>
  <c r="Q208" i="56"/>
  <c r="Q245" i="56"/>
  <c r="Q277" i="56"/>
  <c r="P304" i="56"/>
  <c r="P312" i="56"/>
  <c r="P320" i="56"/>
  <c r="P328" i="56"/>
  <c r="P336" i="56"/>
  <c r="P344" i="56"/>
  <c r="P352" i="56"/>
  <c r="P360" i="56"/>
  <c r="P368" i="56"/>
  <c r="P376" i="56"/>
  <c r="P384" i="56"/>
  <c r="P392" i="56"/>
  <c r="P400" i="56"/>
  <c r="P408" i="56"/>
  <c r="P416" i="56"/>
  <c r="P424" i="56"/>
  <c r="P429" i="56"/>
  <c r="Q431" i="56"/>
  <c r="Q433" i="56"/>
  <c r="Q435" i="56"/>
  <c r="Q437" i="56"/>
  <c r="Q439" i="56"/>
  <c r="Q441" i="56"/>
  <c r="Q443" i="56"/>
  <c r="Q445" i="56"/>
  <c r="Q447" i="56"/>
  <c r="Q449" i="56"/>
  <c r="Q451" i="56"/>
  <c r="Q453" i="56"/>
  <c r="Q455" i="56"/>
  <c r="Q457" i="56"/>
  <c r="Q459" i="56"/>
  <c r="Q461" i="56"/>
  <c r="Q463" i="56"/>
  <c r="Q465" i="56"/>
  <c r="Q467" i="56"/>
  <c r="Q469" i="56"/>
  <c r="Q471" i="56"/>
  <c r="Q473" i="56"/>
  <c r="Q475" i="56"/>
  <c r="Q477" i="56"/>
  <c r="Q479" i="56"/>
  <c r="Q481" i="56"/>
  <c r="Q483" i="56"/>
  <c r="Q485" i="56"/>
  <c r="Q487" i="56"/>
  <c r="Q489" i="56"/>
  <c r="Q491" i="56"/>
  <c r="Q493" i="56"/>
  <c r="Q495" i="56"/>
  <c r="Q497" i="56"/>
  <c r="Q499" i="56"/>
  <c r="Q501" i="56"/>
  <c r="Q503" i="56"/>
  <c r="Q505" i="56"/>
  <c r="Q507" i="56"/>
  <c r="Q509" i="56"/>
  <c r="Q511" i="56"/>
  <c r="Q513" i="56"/>
  <c r="Q515" i="56"/>
  <c r="Q517" i="56"/>
  <c r="Q519" i="56"/>
  <c r="Q521" i="56"/>
  <c r="Q523" i="56"/>
  <c r="Q525" i="56"/>
  <c r="Q527" i="56"/>
  <c r="Q529" i="56"/>
  <c r="Q531" i="56"/>
  <c r="Q533" i="56"/>
  <c r="Q535" i="56"/>
  <c r="Q537" i="56"/>
  <c r="Q539" i="56"/>
  <c r="Q541" i="56"/>
  <c r="Q543" i="56"/>
  <c r="Q545" i="56"/>
  <c r="Q547" i="56"/>
  <c r="Q549" i="56"/>
  <c r="Q551" i="56"/>
  <c r="Q553" i="56"/>
  <c r="Q555" i="56"/>
  <c r="Q557" i="56"/>
  <c r="Q559" i="56"/>
  <c r="Q561" i="56"/>
  <c r="Q563" i="56"/>
  <c r="Q565" i="56"/>
  <c r="Q567" i="56"/>
  <c r="Q569" i="56"/>
  <c r="Q571" i="56"/>
  <c r="Q573" i="56"/>
  <c r="Q575" i="56"/>
  <c r="Q577" i="56"/>
  <c r="Q579" i="56"/>
  <c r="Q581" i="56"/>
  <c r="Q583" i="56"/>
  <c r="Q585" i="56"/>
  <c r="Q587" i="56"/>
  <c r="Q589" i="56"/>
  <c r="Q591" i="56"/>
  <c r="Q593" i="56"/>
  <c r="Q595" i="56"/>
  <c r="Q597" i="56"/>
  <c r="Q599" i="56"/>
  <c r="Q601" i="56"/>
  <c r="Q603" i="56"/>
  <c r="Q605" i="56"/>
  <c r="Q607" i="56"/>
  <c r="Q609" i="56"/>
  <c r="Q611" i="56"/>
  <c r="Q613" i="56"/>
  <c r="Q615" i="56"/>
  <c r="Q617" i="56"/>
  <c r="Q619" i="56"/>
  <c r="Q621" i="56"/>
  <c r="Q623" i="56"/>
  <c r="Q639" i="56"/>
  <c r="Q641" i="56"/>
  <c r="Q643" i="56"/>
  <c r="Q645" i="56"/>
  <c r="Q647" i="56"/>
  <c r="Q649" i="56"/>
  <c r="Q651" i="56"/>
  <c r="Q653" i="56"/>
  <c r="Q655" i="56"/>
  <c r="Q657" i="56"/>
  <c r="Q663" i="56"/>
  <c r="Q665" i="56"/>
  <c r="Q667" i="56"/>
  <c r="Q669" i="56"/>
  <c r="Q671" i="56"/>
  <c r="Q673" i="56"/>
  <c r="Q689" i="56"/>
  <c r="Q691" i="56"/>
  <c r="Q693" i="56"/>
  <c r="Q695" i="56"/>
  <c r="Q697" i="56"/>
  <c r="Q699" i="56"/>
  <c r="Q701" i="56"/>
  <c r="Q703" i="56"/>
  <c r="Q705" i="56"/>
  <c r="Q707" i="56"/>
  <c r="Q709" i="56"/>
  <c r="Q711" i="56"/>
  <c r="Q713" i="56"/>
  <c r="Q715" i="56"/>
  <c r="Q717" i="56"/>
  <c r="Q719" i="56"/>
  <c r="Q721" i="56"/>
  <c r="Q723" i="56"/>
  <c r="Q725" i="56"/>
  <c r="P70" i="56"/>
  <c r="Q155" i="56"/>
  <c r="Q221" i="56"/>
  <c r="Q253" i="56"/>
  <c r="Q285" i="56"/>
  <c r="P306" i="56"/>
  <c r="P314" i="56"/>
  <c r="P322" i="56"/>
  <c r="P330" i="56"/>
  <c r="P338" i="56"/>
  <c r="P346" i="56"/>
  <c r="P354" i="56"/>
  <c r="P362" i="56"/>
  <c r="P370" i="56"/>
  <c r="P378" i="56"/>
  <c r="P386" i="56"/>
  <c r="P394" i="56"/>
  <c r="P402" i="56"/>
  <c r="P410" i="56"/>
  <c r="P418" i="56"/>
  <c r="P426" i="56"/>
  <c r="P430" i="56"/>
  <c r="P432" i="56"/>
  <c r="P434" i="56"/>
  <c r="P436" i="56"/>
  <c r="P438" i="56"/>
  <c r="P440" i="56"/>
  <c r="P442" i="56"/>
  <c r="P444" i="56"/>
  <c r="P446" i="56"/>
  <c r="P448" i="56"/>
  <c r="P450" i="56"/>
  <c r="P452" i="56"/>
  <c r="P454" i="56"/>
  <c r="P456" i="56"/>
  <c r="P458" i="56"/>
  <c r="P460" i="56"/>
  <c r="P462" i="56"/>
  <c r="P464" i="56"/>
  <c r="P466" i="56"/>
  <c r="P468" i="56"/>
  <c r="P470" i="56"/>
  <c r="P472" i="56"/>
  <c r="P474" i="56"/>
  <c r="P476" i="56"/>
  <c r="P478" i="56"/>
  <c r="P480" i="56"/>
  <c r="P482" i="56"/>
  <c r="P484" i="56"/>
  <c r="P486" i="56"/>
  <c r="P488" i="56"/>
  <c r="P490" i="56"/>
  <c r="P492" i="56"/>
  <c r="P494" i="56"/>
  <c r="P496" i="56"/>
  <c r="P498" i="56"/>
  <c r="P500" i="56"/>
  <c r="P502" i="56"/>
  <c r="P504" i="56"/>
  <c r="P506" i="56"/>
  <c r="P508" i="56"/>
  <c r="P510" i="56"/>
  <c r="P512" i="56"/>
  <c r="P514" i="56"/>
  <c r="P516" i="56"/>
  <c r="P518" i="56"/>
  <c r="P520" i="56"/>
  <c r="P522" i="56"/>
  <c r="P524" i="56"/>
  <c r="P526" i="56"/>
  <c r="P528" i="56"/>
  <c r="P530" i="56"/>
  <c r="P532" i="56"/>
  <c r="P534" i="56"/>
  <c r="P536" i="56"/>
  <c r="P538" i="56"/>
  <c r="P540" i="56"/>
  <c r="P542" i="56"/>
  <c r="P544" i="56"/>
  <c r="P546" i="56"/>
  <c r="P548" i="56"/>
  <c r="P550" i="56"/>
  <c r="P552" i="56"/>
  <c r="P554" i="56"/>
  <c r="P556" i="56"/>
  <c r="P558" i="56"/>
  <c r="P560" i="56"/>
  <c r="P562" i="56"/>
  <c r="P564" i="56"/>
  <c r="P566" i="56"/>
  <c r="P568" i="56"/>
  <c r="P570" i="56"/>
  <c r="P572" i="56"/>
  <c r="P574" i="56"/>
  <c r="P576" i="56"/>
  <c r="P578" i="56"/>
  <c r="P580" i="56"/>
  <c r="P582" i="56"/>
  <c r="P584" i="56"/>
  <c r="P586" i="56"/>
  <c r="P588" i="56"/>
  <c r="P590" i="56"/>
  <c r="P592" i="56"/>
  <c r="P594" i="56"/>
  <c r="P596" i="56"/>
  <c r="P598" i="56"/>
  <c r="P600" i="56"/>
  <c r="P602" i="56"/>
  <c r="P604" i="56"/>
  <c r="P606" i="56"/>
  <c r="P608" i="56"/>
  <c r="P610" i="56"/>
  <c r="P612" i="56"/>
  <c r="P614" i="56"/>
  <c r="P616" i="56"/>
  <c r="P618" i="56"/>
  <c r="P620" i="56"/>
  <c r="P622" i="56"/>
  <c r="P624" i="56"/>
  <c r="P626" i="56"/>
  <c r="P628" i="56"/>
  <c r="P630" i="56"/>
  <c r="P632" i="56"/>
  <c r="P634" i="56"/>
  <c r="P636" i="56"/>
  <c r="P638" i="56"/>
  <c r="P640" i="56"/>
  <c r="P642" i="56"/>
  <c r="P644" i="56"/>
  <c r="P646" i="56"/>
  <c r="P648" i="56"/>
  <c r="P650" i="56"/>
  <c r="P652" i="56"/>
  <c r="P654" i="56"/>
  <c r="P656" i="56"/>
  <c r="P658" i="56"/>
  <c r="P660" i="56"/>
  <c r="P662" i="56"/>
  <c r="P664" i="56"/>
  <c r="P666" i="56"/>
  <c r="P668" i="56"/>
  <c r="P670" i="56"/>
  <c r="P672" i="56"/>
  <c r="P674" i="56"/>
  <c r="P676" i="56"/>
  <c r="P678" i="56"/>
  <c r="P680" i="56"/>
  <c r="P682" i="56"/>
  <c r="P684" i="56"/>
  <c r="P686" i="56"/>
  <c r="P688" i="56"/>
  <c r="P690" i="56"/>
  <c r="P692" i="56"/>
  <c r="P694" i="56"/>
  <c r="P696" i="56"/>
  <c r="P698" i="56"/>
  <c r="P700" i="56"/>
  <c r="P702" i="56"/>
  <c r="P704" i="56"/>
  <c r="P706" i="56"/>
  <c r="P708" i="56"/>
  <c r="P710" i="56"/>
  <c r="P712" i="56"/>
  <c r="P714" i="56"/>
  <c r="P716" i="56"/>
  <c r="P718" i="56"/>
  <c r="P720" i="56"/>
  <c r="P722" i="56"/>
  <c r="P724" i="56"/>
  <c r="P726" i="56"/>
  <c r="Q91" i="56"/>
  <c r="Q293" i="56"/>
  <c r="P332" i="56"/>
  <c r="P364" i="56"/>
  <c r="P396" i="56"/>
  <c r="P428" i="56"/>
  <c r="Q436" i="56"/>
  <c r="Q444" i="56"/>
  <c r="Q452" i="56"/>
  <c r="Q460" i="56"/>
  <c r="Q468" i="56"/>
  <c r="Q476" i="56"/>
  <c r="Q484" i="56"/>
  <c r="Q492" i="56"/>
  <c r="Q500" i="56"/>
  <c r="Q508" i="56"/>
  <c r="Q516" i="56"/>
  <c r="Q524" i="56"/>
  <c r="Q532" i="56"/>
  <c r="Q540" i="56"/>
  <c r="Q548" i="56"/>
  <c r="Q556" i="56"/>
  <c r="Q564" i="56"/>
  <c r="Q572" i="56"/>
  <c r="Q580" i="56"/>
  <c r="Q588" i="56"/>
  <c r="Q596" i="56"/>
  <c r="Q604" i="56"/>
  <c r="Q612" i="56"/>
  <c r="Q620" i="56"/>
  <c r="Q638" i="56"/>
  <c r="Q646" i="56"/>
  <c r="Q654" i="56"/>
  <c r="Q666" i="56"/>
  <c r="Q692" i="56"/>
  <c r="Q700" i="56"/>
  <c r="Q708" i="56"/>
  <c r="Q716" i="56"/>
  <c r="Q724" i="56"/>
  <c r="P728" i="56"/>
  <c r="P730" i="56"/>
  <c r="P732" i="56"/>
  <c r="P734" i="56"/>
  <c r="P736" i="56"/>
  <c r="P738" i="56"/>
  <c r="P740" i="56"/>
  <c r="P742" i="56"/>
  <c r="P744" i="56"/>
  <c r="P746" i="56"/>
  <c r="P748" i="56"/>
  <c r="P750" i="56"/>
  <c r="P752" i="56"/>
  <c r="P754" i="56"/>
  <c r="P756" i="56"/>
  <c r="P758" i="56"/>
  <c r="P760" i="56"/>
  <c r="P762" i="56"/>
  <c r="P764" i="56"/>
  <c r="P766" i="56"/>
  <c r="P768" i="56"/>
  <c r="P770" i="56"/>
  <c r="P772" i="56"/>
  <c r="P774" i="56"/>
  <c r="P776" i="56"/>
  <c r="P778" i="56"/>
  <c r="P780" i="56"/>
  <c r="P782" i="56"/>
  <c r="P784" i="56"/>
  <c r="P786" i="56"/>
  <c r="P788" i="56"/>
  <c r="P790" i="56"/>
  <c r="P792" i="56"/>
  <c r="P794" i="56"/>
  <c r="P796" i="56"/>
  <c r="P798" i="56"/>
  <c r="P800" i="56"/>
  <c r="P802" i="56"/>
  <c r="P804" i="56"/>
  <c r="P806" i="56"/>
  <c r="P808" i="56"/>
  <c r="P810" i="56"/>
  <c r="P812" i="56"/>
  <c r="P814" i="56"/>
  <c r="P816" i="56"/>
  <c r="P818" i="56"/>
  <c r="P820" i="56"/>
  <c r="P822" i="56"/>
  <c r="P824" i="56"/>
  <c r="P826" i="56"/>
  <c r="P828" i="56"/>
  <c r="P830" i="56"/>
  <c r="P832" i="56"/>
  <c r="P834" i="56"/>
  <c r="P836" i="56"/>
  <c r="P838" i="56"/>
  <c r="P840" i="56"/>
  <c r="P842" i="56"/>
  <c r="P844" i="56"/>
  <c r="P846" i="56"/>
  <c r="P848" i="56"/>
  <c r="P850" i="56"/>
  <c r="P935" i="56"/>
  <c r="P937" i="56"/>
  <c r="P939" i="56"/>
  <c r="P941" i="56"/>
  <c r="P943" i="56"/>
  <c r="P945" i="56"/>
  <c r="Q176" i="56"/>
  <c r="P308" i="56"/>
  <c r="P340" i="56"/>
  <c r="P372" i="56"/>
  <c r="P404" i="56"/>
  <c r="Q430" i="56"/>
  <c r="Q438" i="56"/>
  <c r="Q446" i="56"/>
  <c r="Q454" i="56"/>
  <c r="Q462" i="56"/>
  <c r="Q470" i="56"/>
  <c r="Q478" i="56"/>
  <c r="Q486" i="56"/>
  <c r="Q494" i="56"/>
  <c r="Q502" i="56"/>
  <c r="Q510" i="56"/>
  <c r="Q518" i="56"/>
  <c r="Q526" i="56"/>
  <c r="Q534" i="56"/>
  <c r="Q542" i="56"/>
  <c r="Q550" i="56"/>
  <c r="Q558" i="56"/>
  <c r="Q566" i="56"/>
  <c r="Q574" i="56"/>
  <c r="Q582" i="56"/>
  <c r="Q590" i="56"/>
  <c r="Q598" i="56"/>
  <c r="Q606" i="56"/>
  <c r="Q614" i="56"/>
  <c r="Q622" i="56"/>
  <c r="Q640" i="56"/>
  <c r="Q648" i="56"/>
  <c r="Q656" i="56"/>
  <c r="Q668" i="56"/>
  <c r="Q694" i="56"/>
  <c r="Q702" i="56"/>
  <c r="Q710" i="56"/>
  <c r="Q718" i="56"/>
  <c r="Q726" i="56"/>
  <c r="Q728" i="56"/>
  <c r="Q730" i="56"/>
  <c r="Q732" i="56"/>
  <c r="Q734" i="56"/>
  <c r="Q736" i="56"/>
  <c r="Q738" i="56"/>
  <c r="Q740" i="56"/>
  <c r="Q742" i="56"/>
  <c r="Q744" i="56"/>
  <c r="Q746" i="56"/>
  <c r="Q748" i="56"/>
  <c r="Q750" i="56"/>
  <c r="Q752" i="56"/>
  <c r="Q754" i="56"/>
  <c r="Q756" i="56"/>
  <c r="Q758" i="56"/>
  <c r="Q760" i="56"/>
  <c r="Q762" i="56"/>
  <c r="Q764" i="56"/>
  <c r="Q766" i="56"/>
  <c r="Q768" i="56"/>
  <c r="Q770" i="56"/>
  <c r="Q772" i="56"/>
  <c r="Q774" i="56"/>
  <c r="Q776" i="56"/>
  <c r="Q778" i="56"/>
  <c r="Q780" i="56"/>
  <c r="Q782" i="56"/>
  <c r="Q784" i="56"/>
  <c r="Q786" i="56"/>
  <c r="Q788" i="56"/>
  <c r="Q790" i="56"/>
  <c r="Q792" i="56"/>
  <c r="Q794" i="56"/>
  <c r="Q796" i="56"/>
  <c r="Q798" i="56"/>
  <c r="Q800" i="56"/>
  <c r="Q802" i="56"/>
  <c r="Q804" i="56"/>
  <c r="Q806" i="56"/>
  <c r="Q808" i="56"/>
  <c r="Q810" i="56"/>
  <c r="Q812" i="56"/>
  <c r="Q814" i="56"/>
  <c r="Q816" i="56"/>
  <c r="Q818" i="56"/>
  <c r="Q820" i="56"/>
  <c r="Q822" i="56"/>
  <c r="Q824" i="56"/>
  <c r="Q826" i="56"/>
  <c r="Q828" i="56"/>
  <c r="Q830" i="56"/>
  <c r="Q832" i="56"/>
  <c r="Q834" i="56"/>
  <c r="Q836" i="56"/>
  <c r="Q838" i="56"/>
  <c r="Q840" i="56"/>
  <c r="Q842" i="56"/>
  <c r="Q844" i="56"/>
  <c r="Q846" i="56"/>
  <c r="Q848" i="56"/>
  <c r="Q850" i="56"/>
  <c r="Q935" i="56"/>
  <c r="Q937" i="56"/>
  <c r="Q939" i="56"/>
  <c r="Q941" i="56"/>
  <c r="Q943" i="56"/>
  <c r="Q945" i="56"/>
  <c r="Q229" i="56"/>
  <c r="P316" i="56"/>
  <c r="P348" i="56"/>
  <c r="P380" i="56"/>
  <c r="P412" i="56"/>
  <c r="Q432" i="56"/>
  <c r="Q440" i="56"/>
  <c r="Q448" i="56"/>
  <c r="Q456" i="56"/>
  <c r="Q464" i="56"/>
  <c r="Q472" i="56"/>
  <c r="Q480" i="56"/>
  <c r="Q488" i="56"/>
  <c r="Q496" i="56"/>
  <c r="Q504" i="56"/>
  <c r="Q512" i="56"/>
  <c r="Q520" i="56"/>
  <c r="Q528" i="56"/>
  <c r="Q536" i="56"/>
  <c r="Q544" i="56"/>
  <c r="Q552" i="56"/>
  <c r="Q560" i="56"/>
  <c r="Q568" i="56"/>
  <c r="Q576" i="56"/>
  <c r="Q584" i="56"/>
  <c r="Q592" i="56"/>
  <c r="Q600" i="56"/>
  <c r="Q608" i="56"/>
  <c r="Q616" i="56"/>
  <c r="Q642" i="56"/>
  <c r="Q650" i="56"/>
  <c r="Q658" i="56"/>
  <c r="Q670" i="56"/>
  <c r="Q688" i="56"/>
  <c r="Q696" i="56"/>
  <c r="Q704" i="56"/>
  <c r="Q712" i="56"/>
  <c r="Q720" i="56"/>
  <c r="P727" i="56"/>
  <c r="P729" i="56"/>
  <c r="P731" i="56"/>
  <c r="P733" i="56"/>
  <c r="P735" i="56"/>
  <c r="P737" i="56"/>
  <c r="P739" i="56"/>
  <c r="P741" i="56"/>
  <c r="P743" i="56"/>
  <c r="P745" i="56"/>
  <c r="P747" i="56"/>
  <c r="P749" i="56"/>
  <c r="P751" i="56"/>
  <c r="P753" i="56"/>
  <c r="P755" i="56"/>
  <c r="P757" i="56"/>
  <c r="P759" i="56"/>
  <c r="P761" i="56"/>
  <c r="P763" i="56"/>
  <c r="P765" i="56"/>
  <c r="P767" i="56"/>
  <c r="P769" i="56"/>
  <c r="P771" i="56"/>
  <c r="P773" i="56"/>
  <c r="P775" i="56"/>
  <c r="P777" i="56"/>
  <c r="P779" i="56"/>
  <c r="P781" i="56"/>
  <c r="P783" i="56"/>
  <c r="P785" i="56"/>
  <c r="P787" i="56"/>
  <c r="P789" i="56"/>
  <c r="P791" i="56"/>
  <c r="P793" i="56"/>
  <c r="P795" i="56"/>
  <c r="P797" i="56"/>
  <c r="P799" i="56"/>
  <c r="P801" i="56"/>
  <c r="P803" i="56"/>
  <c r="P805" i="56"/>
  <c r="P807" i="56"/>
  <c r="P809" i="56"/>
  <c r="P811" i="56"/>
  <c r="P813" i="56"/>
  <c r="P815" i="56"/>
  <c r="P817" i="56"/>
  <c r="P819" i="56"/>
  <c r="P821" i="56"/>
  <c r="P823" i="56"/>
  <c r="P825" i="56"/>
  <c r="P827" i="56"/>
  <c r="P829" i="56"/>
  <c r="P831" i="56"/>
  <c r="P833" i="56"/>
  <c r="P835" i="56"/>
  <c r="P837" i="56"/>
  <c r="P839" i="56"/>
  <c r="P841" i="56"/>
  <c r="P843" i="56"/>
  <c r="P845" i="56"/>
  <c r="P847" i="56"/>
  <c r="P849" i="56"/>
  <c r="P851" i="56"/>
  <c r="P934" i="56"/>
  <c r="P936" i="56"/>
  <c r="P938" i="56"/>
  <c r="P940" i="56"/>
  <c r="P942" i="56"/>
  <c r="P944" i="56"/>
  <c r="Q261" i="56"/>
  <c r="P324" i="56"/>
  <c r="P388" i="56"/>
  <c r="P420" i="56"/>
  <c r="Q434" i="56"/>
  <c r="Q442" i="56"/>
  <c r="Q450" i="56"/>
  <c r="Q458" i="56"/>
  <c r="Q466" i="56"/>
  <c r="Q474" i="56"/>
  <c r="Q482" i="56"/>
  <c r="Q490" i="56"/>
  <c r="Q498" i="56"/>
  <c r="Q506" i="56"/>
  <c r="Q514" i="56"/>
  <c r="Q522" i="56"/>
  <c r="Q530" i="56"/>
  <c r="Q538" i="56"/>
  <c r="Q546" i="56"/>
  <c r="Q554" i="56"/>
  <c r="Q562" i="56"/>
  <c r="Q570" i="56"/>
  <c r="Q578" i="56"/>
  <c r="Q586" i="56"/>
  <c r="Q594" i="56"/>
  <c r="Q602" i="56"/>
  <c r="Q610" i="56"/>
  <c r="Q618" i="56"/>
  <c r="Q644" i="56"/>
  <c r="Q652" i="56"/>
  <c r="Q664" i="56"/>
  <c r="Q672" i="56"/>
  <c r="Q690" i="56"/>
  <c r="Q698" i="56"/>
  <c r="Q706" i="56"/>
  <c r="Q714" i="56"/>
  <c r="Q722" i="56"/>
  <c r="Q727" i="56"/>
  <c r="Q729" i="56"/>
  <c r="Q731" i="56"/>
  <c r="Q733" i="56"/>
  <c r="Q735" i="56"/>
  <c r="Q737" i="56"/>
  <c r="Q739" i="56"/>
  <c r="Q741" i="56"/>
  <c r="Q743" i="56"/>
  <c r="Q745" i="56"/>
  <c r="Q747" i="56"/>
  <c r="Q749" i="56"/>
  <c r="Q751" i="56"/>
  <c r="Q753" i="56"/>
  <c r="Q755" i="56"/>
  <c r="Q757" i="56"/>
  <c r="Q759" i="56"/>
  <c r="Q761" i="56"/>
  <c r="Q763" i="56"/>
  <c r="Q765" i="56"/>
  <c r="Q767" i="56"/>
  <c r="Q769" i="56"/>
  <c r="Q771" i="56"/>
  <c r="Q773" i="56"/>
  <c r="Q775" i="56"/>
  <c r="Q777" i="56"/>
  <c r="Q779" i="56"/>
  <c r="Q781" i="56"/>
  <c r="Q783" i="56"/>
  <c r="Q785" i="56"/>
  <c r="Q787" i="56"/>
  <c r="Q789" i="56"/>
  <c r="Q791" i="56"/>
  <c r="Q793" i="56"/>
  <c r="Q795" i="56"/>
  <c r="Q797" i="56"/>
  <c r="Q799" i="56"/>
  <c r="Q801" i="56"/>
  <c r="Q803" i="56"/>
  <c r="Q805" i="56"/>
  <c r="Q807" i="56"/>
  <c r="Q809" i="56"/>
  <c r="Q811" i="56"/>
  <c r="Q813" i="56"/>
  <c r="Q815" i="56"/>
  <c r="Q817" i="56"/>
  <c r="Q819" i="56"/>
  <c r="Q821" i="56"/>
  <c r="Q823" i="56"/>
  <c r="Q825" i="56"/>
  <c r="Q827" i="56"/>
  <c r="Q829" i="56"/>
  <c r="Q831" i="56"/>
  <c r="Q833" i="56"/>
  <c r="Q835" i="56"/>
  <c r="Q837" i="56"/>
  <c r="Q839" i="56"/>
  <c r="Q841" i="56"/>
  <c r="Q843" i="56"/>
  <c r="Q845" i="56"/>
  <c r="Q847" i="56"/>
  <c r="Q849" i="56"/>
  <c r="Q851" i="56"/>
  <c r="Q934" i="56"/>
  <c r="Q936" i="56"/>
  <c r="Q938" i="56"/>
  <c r="Q940" i="56"/>
  <c r="Q942" i="56"/>
  <c r="Q944" i="56"/>
  <c r="Q15" i="55"/>
  <c r="P15" i="55"/>
  <c r="Q1930" i="55"/>
  <c r="P1930" i="55"/>
  <c r="Q1929" i="55"/>
  <c r="P1929" i="55"/>
  <c r="Q14" i="55"/>
  <c r="P14" i="55"/>
  <c r="Q1928" i="55"/>
  <c r="P1928" i="55"/>
  <c r="Q1927" i="55"/>
  <c r="P1927" i="55"/>
  <c r="Q666" i="55"/>
  <c r="P666" i="55"/>
  <c r="Q1931" i="55"/>
  <c r="P1931" i="55"/>
  <c r="Q1926" i="55"/>
  <c r="P1932" i="55"/>
  <c r="P1926" i="55"/>
  <c r="Q1932" i="55"/>
  <c r="P1925" i="55"/>
  <c r="Q1925" i="55"/>
  <c r="Q1922" i="55"/>
  <c r="Q1923" i="55"/>
  <c r="P1922" i="55"/>
  <c r="Q1924" i="55"/>
  <c r="P1923" i="55"/>
  <c r="P1924" i="55"/>
  <c r="Q1915" i="55"/>
  <c r="P1914" i="55"/>
  <c r="Q1911" i="55"/>
  <c r="P1910" i="55"/>
  <c r="Q1907" i="55"/>
  <c r="P1915" i="55"/>
  <c r="Q1912" i="55"/>
  <c r="P1911" i="55"/>
  <c r="Q1908" i="55"/>
  <c r="P1907" i="55"/>
  <c r="Q1903" i="55"/>
  <c r="Q1913" i="55"/>
  <c r="P1912" i="55"/>
  <c r="Q1909" i="55"/>
  <c r="P1908" i="55"/>
  <c r="P1903" i="55"/>
  <c r="Q1914" i="55"/>
  <c r="P1913" i="55"/>
  <c r="Q1910" i="55"/>
  <c r="P1909" i="55"/>
  <c r="Q1900" i="55"/>
  <c r="P1904" i="55"/>
  <c r="Q1905" i="55"/>
  <c r="P1917" i="55"/>
  <c r="Q1918" i="55"/>
  <c r="P1921" i="55"/>
  <c r="P1900" i="55"/>
  <c r="P1905" i="55"/>
  <c r="P1902" i="55"/>
  <c r="Q1904" i="55"/>
  <c r="P1916" i="55"/>
  <c r="Q1917" i="55"/>
  <c r="P1920" i="55"/>
  <c r="Q1921" i="55"/>
  <c r="Q1906" i="55"/>
  <c r="Q1919" i="55"/>
  <c r="P1901" i="55"/>
  <c r="Q1902" i="55"/>
  <c r="P1906" i="55"/>
  <c r="Q1916" i="55"/>
  <c r="P1919" i="55"/>
  <c r="Q1920" i="55"/>
  <c r="Q1901" i="55"/>
  <c r="P1918" i="55"/>
  <c r="P1898" i="55"/>
  <c r="Q1898" i="55"/>
  <c r="Q1899" i="55"/>
  <c r="P1899" i="55"/>
  <c r="P1893" i="55"/>
  <c r="Q1892" i="55"/>
  <c r="Q1890" i="55"/>
  <c r="P1892" i="55"/>
  <c r="Q1891" i="55"/>
  <c r="Q1893" i="55"/>
  <c r="P1891" i="55"/>
  <c r="P1890" i="55"/>
  <c r="P1897" i="55"/>
  <c r="Q1896" i="55"/>
  <c r="P1896" i="55"/>
  <c r="Q1894" i="55"/>
  <c r="P1894" i="55"/>
  <c r="Q1897" i="55"/>
  <c r="P1895" i="55"/>
  <c r="Q1895" i="55"/>
  <c r="P1889" i="55"/>
  <c r="Q1889" i="55"/>
  <c r="P1884" i="55"/>
  <c r="Q1887" i="55"/>
  <c r="P1885" i="55"/>
  <c r="Q1885" i="55"/>
  <c r="P1888" i="55"/>
  <c r="Q1888" i="55"/>
  <c r="P1886" i="55"/>
  <c r="Q1886" i="55"/>
  <c r="P1887" i="55"/>
  <c r="Q1882" i="55"/>
  <c r="Q1883" i="55"/>
  <c r="P1883" i="55"/>
  <c r="P1882" i="55"/>
  <c r="Q1884" i="55"/>
  <c r="Q1862" i="55"/>
  <c r="Q1863" i="55"/>
  <c r="P1862" i="55"/>
  <c r="P1863" i="55"/>
  <c r="P1858" i="55"/>
  <c r="Q1881" i="55"/>
  <c r="P1880" i="55"/>
  <c r="Q1877" i="55"/>
  <c r="Q1861" i="55"/>
  <c r="P1881" i="55"/>
  <c r="Q1878" i="55"/>
  <c r="P1877" i="55"/>
  <c r="P1861" i="55"/>
  <c r="Q1860" i="55"/>
  <c r="Q1879" i="55"/>
  <c r="P1878" i="55"/>
  <c r="P1860" i="55"/>
  <c r="Q1858" i="55"/>
  <c r="Q1880" i="55"/>
  <c r="P1879" i="55"/>
  <c r="P1874" i="55"/>
  <c r="Q1864" i="55"/>
  <c r="Q1866" i="55"/>
  <c r="Q1876" i="55"/>
  <c r="P1870" i="55"/>
  <c r="P1875" i="55"/>
  <c r="Q1859" i="55"/>
  <c r="Q1865" i="55"/>
  <c r="Q1867" i="55"/>
  <c r="P1871" i="55"/>
  <c r="P1876" i="55"/>
  <c r="Q1873" i="55"/>
  <c r="Q1868" i="55"/>
  <c r="Q1874" i="55"/>
  <c r="Q1872" i="55"/>
  <c r="P1873" i="55"/>
  <c r="P1872" i="55"/>
  <c r="P1868" i="55"/>
  <c r="Q1875" i="55"/>
  <c r="Q1871" i="55"/>
  <c r="P1869" i="55"/>
  <c r="Q1870" i="55"/>
  <c r="Q1869" i="55"/>
  <c r="P1849" i="55"/>
  <c r="P1848" i="55"/>
  <c r="Q1849" i="55"/>
  <c r="Q1848" i="55"/>
  <c r="Q1847" i="55"/>
  <c r="Q1850" i="55"/>
  <c r="P1864" i="55"/>
  <c r="P1859" i="55"/>
  <c r="P1867" i="55"/>
  <c r="P1866" i="55"/>
  <c r="P1865" i="55"/>
  <c r="Q1846" i="55"/>
  <c r="P1846" i="55"/>
  <c r="Q1845" i="55"/>
  <c r="Q1841" i="55"/>
  <c r="Q1842" i="55"/>
  <c r="Q1840" i="55"/>
  <c r="Q1839" i="55"/>
  <c r="P1842" i="55"/>
  <c r="P1841" i="55"/>
  <c r="P1840" i="55"/>
  <c r="P1839" i="55"/>
  <c r="Q1844" i="55"/>
  <c r="Q1838" i="55"/>
  <c r="Q1843" i="55"/>
  <c r="Q1837" i="55"/>
  <c r="Q1855" i="55"/>
  <c r="Q1728" i="55"/>
  <c r="Q1854" i="55"/>
  <c r="Q1852" i="55"/>
  <c r="Q1727" i="55"/>
  <c r="Q1853" i="55"/>
  <c r="Q1851" i="55"/>
  <c r="Q1824" i="55"/>
  <c r="Q1823" i="55"/>
  <c r="P1823" i="55"/>
  <c r="Q1825" i="55"/>
  <c r="Q1821" i="55"/>
  <c r="Q1820" i="55"/>
  <c r="Q1819" i="55"/>
  <c r="Q1818" i="55"/>
  <c r="Q1817" i="55"/>
  <c r="Q1816" i="55"/>
  <c r="Q1815" i="55"/>
  <c r="Q1814" i="55"/>
  <c r="Q1813" i="55"/>
  <c r="Q1812" i="55"/>
  <c r="Q1822" i="55"/>
  <c r="P1824" i="55"/>
  <c r="P1822" i="55"/>
  <c r="P1821" i="55"/>
  <c r="P1820" i="55"/>
  <c r="P1819" i="55"/>
  <c r="P1818" i="55"/>
  <c r="P1817" i="55"/>
  <c r="P1816" i="55"/>
  <c r="P1815" i="55"/>
  <c r="P1814" i="55"/>
  <c r="P1813" i="55"/>
  <c r="P1812" i="55"/>
  <c r="Q1808" i="55"/>
  <c r="Q1807" i="55"/>
  <c r="Q1806" i="55"/>
  <c r="Q1805" i="55"/>
  <c r="Q1804" i="55"/>
  <c r="Q1803" i="55"/>
  <c r="Q1802" i="55"/>
  <c r="Q1801" i="55"/>
  <c r="Q1800" i="55"/>
  <c r="Q1799" i="55"/>
  <c r="Q1798" i="55"/>
  <c r="Q1797" i="55"/>
  <c r="P1808" i="55"/>
  <c r="P1807" i="55"/>
  <c r="P1806" i="55"/>
  <c r="P1805" i="55"/>
  <c r="P1804" i="55"/>
  <c r="P1803" i="55"/>
  <c r="P1802" i="55"/>
  <c r="P1801" i="55"/>
  <c r="P1800" i="55"/>
  <c r="P1799" i="55"/>
  <c r="P1798" i="55"/>
  <c r="P1797" i="55"/>
  <c r="Q1809" i="55"/>
  <c r="P1809" i="55"/>
  <c r="Q1796" i="55"/>
  <c r="Q1810" i="55"/>
  <c r="Q1811" i="55"/>
  <c r="Q1726" i="55"/>
  <c r="P1835" i="55"/>
  <c r="Q1835" i="55"/>
  <c r="Q1836" i="55"/>
  <c r="Q1833" i="55"/>
  <c r="Q1831" i="55"/>
  <c r="Q1830" i="55"/>
  <c r="Q1829" i="55"/>
  <c r="Q1828" i="55"/>
  <c r="Q1827" i="55"/>
  <c r="Q1826" i="55"/>
  <c r="P1832" i="55"/>
  <c r="P1831" i="55"/>
  <c r="P1830" i="55"/>
  <c r="P1829" i="55"/>
  <c r="P1828" i="55"/>
  <c r="P1827" i="55"/>
  <c r="P1826" i="55"/>
  <c r="Q1832" i="55"/>
  <c r="P1833" i="55"/>
  <c r="Q1834" i="55"/>
  <c r="P1855" i="55"/>
  <c r="P1852" i="55"/>
  <c r="P1853" i="55"/>
  <c r="P1854" i="55"/>
  <c r="P1851" i="55"/>
  <c r="P1838" i="55"/>
  <c r="P1850" i="55"/>
  <c r="P1844" i="55"/>
  <c r="P1847" i="55"/>
  <c r="P1845" i="55"/>
  <c r="P1843" i="55"/>
  <c r="P1837" i="55"/>
  <c r="P1728" i="55"/>
  <c r="P1727" i="55"/>
  <c r="P1836" i="55"/>
  <c r="P1834" i="55"/>
  <c r="P1726" i="55"/>
  <c r="P1810" i="55"/>
  <c r="P1825" i="55"/>
  <c r="P1796" i="55"/>
  <c r="P1811" i="55"/>
  <c r="P910" i="55"/>
  <c r="Q912" i="55"/>
  <c r="Q910" i="55"/>
  <c r="P912" i="55"/>
  <c r="Q911" i="55"/>
  <c r="P911" i="55"/>
  <c r="Q1857" i="55"/>
  <c r="P1856" i="55"/>
  <c r="Q1856" i="55"/>
  <c r="P1857" i="55"/>
  <c r="P909" i="55"/>
  <c r="Q1795" i="55"/>
  <c r="P1795" i="55"/>
  <c r="Q909" i="55"/>
  <c r="Q1649" i="55"/>
  <c r="P1649" i="55"/>
  <c r="Q1781" i="55"/>
  <c r="P1781" i="55"/>
  <c r="Q1780" i="55"/>
  <c r="P1780" i="55"/>
  <c r="Q1793" i="55"/>
  <c r="P1793" i="55"/>
  <c r="P1782" i="55"/>
  <c r="Q1787" i="55"/>
  <c r="P1790" i="55"/>
  <c r="Q1782" i="55"/>
  <c r="P1785" i="55"/>
  <c r="Q1790" i="55"/>
  <c r="P1794" i="55"/>
  <c r="Q1785" i="55"/>
  <c r="P1788" i="55"/>
  <c r="P1783" i="55"/>
  <c r="Q1788" i="55"/>
  <c r="P1791" i="55"/>
  <c r="Q1783" i="55"/>
  <c r="P1786" i="55"/>
  <c r="Q1791" i="55"/>
  <c r="Q1786" i="55"/>
  <c r="P1789" i="55"/>
  <c r="P1784" i="55"/>
  <c r="Q1789" i="55"/>
  <c r="P1792" i="55"/>
  <c r="Q1784" i="55"/>
  <c r="P1787" i="55"/>
  <c r="Q1792" i="55"/>
  <c r="Q1794" i="55"/>
  <c r="Q1778" i="55"/>
  <c r="P1740" i="55"/>
  <c r="P1739" i="55"/>
  <c r="P1738" i="55"/>
  <c r="P1737" i="55"/>
  <c r="P1736" i="55"/>
  <c r="P1735" i="55"/>
  <c r="P1734" i="55"/>
  <c r="P1733" i="55"/>
  <c r="P1732" i="55"/>
  <c r="P1731" i="55"/>
  <c r="P1730" i="55"/>
  <c r="Q1779" i="55"/>
  <c r="Q1777" i="55"/>
  <c r="Q1776" i="55"/>
  <c r="Q1775" i="55"/>
  <c r="Q1774" i="55"/>
  <c r="Q1773" i="55"/>
  <c r="Q1772" i="55"/>
  <c r="Q1771" i="55"/>
  <c r="Q1770" i="55"/>
  <c r="Q1769" i="55"/>
  <c r="Q1768" i="55"/>
  <c r="Q1767" i="55"/>
  <c r="Q1766" i="55"/>
  <c r="Q1745" i="55"/>
  <c r="Q1744" i="55"/>
  <c r="Q1743" i="55"/>
  <c r="Q1742" i="55"/>
  <c r="Q1741" i="55"/>
  <c r="Q1740" i="55"/>
  <c r="Q1739" i="55"/>
  <c r="Q1738" i="55"/>
  <c r="Q1737" i="55"/>
  <c r="Q1736" i="55"/>
  <c r="Q1735" i="55"/>
  <c r="Q1734" i="55"/>
  <c r="Q1733" i="55"/>
  <c r="Q1732" i="55"/>
  <c r="Q1731" i="55"/>
  <c r="Q1730" i="55"/>
  <c r="P1778" i="55"/>
  <c r="P1777" i="55"/>
  <c r="P1776" i="55"/>
  <c r="P1775" i="55"/>
  <c r="P1774" i="55"/>
  <c r="P1773" i="55"/>
  <c r="P1772" i="55"/>
  <c r="P1771" i="55"/>
  <c r="P1770" i="55"/>
  <c r="P1769" i="55"/>
  <c r="P1768" i="55"/>
  <c r="P1767" i="55"/>
  <c r="P1766" i="55"/>
  <c r="P1745" i="55"/>
  <c r="P1744" i="55"/>
  <c r="P1743" i="55"/>
  <c r="P1742" i="55"/>
  <c r="P1741" i="55"/>
  <c r="P1779" i="55"/>
  <c r="Q1729" i="55"/>
  <c r="P1729" i="55"/>
  <c r="Q1682" i="55"/>
  <c r="P1725" i="55"/>
  <c r="Q1746" i="55"/>
  <c r="P1749" i="55"/>
  <c r="Q1750" i="55"/>
  <c r="P1753" i="55"/>
  <c r="Q1754" i="55"/>
  <c r="P1757" i="55"/>
  <c r="Q1758" i="55"/>
  <c r="P1761" i="55"/>
  <c r="Q1762" i="55"/>
  <c r="P1765" i="55"/>
  <c r="P1724" i="55"/>
  <c r="Q1725" i="55"/>
  <c r="P1748" i="55"/>
  <c r="Q1749" i="55"/>
  <c r="P1752" i="55"/>
  <c r="Q1753" i="55"/>
  <c r="P1756" i="55"/>
  <c r="Q1757" i="55"/>
  <c r="P1760" i="55"/>
  <c r="Q1761" i="55"/>
  <c r="P1764" i="55"/>
  <c r="Q1765" i="55"/>
  <c r="Q1681" i="55"/>
  <c r="Q1683" i="55"/>
  <c r="Q1724" i="55"/>
  <c r="P1747" i="55"/>
  <c r="Q1748" i="55"/>
  <c r="P1751" i="55"/>
  <c r="Q1752" i="55"/>
  <c r="P1755" i="55"/>
  <c r="Q1756" i="55"/>
  <c r="P1759" i="55"/>
  <c r="Q1760" i="55"/>
  <c r="P1763" i="55"/>
  <c r="Q1764" i="55"/>
  <c r="P1746" i="55"/>
  <c r="Q1747" i="55"/>
  <c r="P1750" i="55"/>
  <c r="Q1751" i="55"/>
  <c r="P1754" i="55"/>
  <c r="Q1755" i="55"/>
  <c r="P1758" i="55"/>
  <c r="Q1759" i="55"/>
  <c r="P1762" i="55"/>
  <c r="Q1763" i="55"/>
  <c r="Q1722" i="55"/>
  <c r="P1721" i="55"/>
  <c r="Q1721" i="55"/>
  <c r="Q1723" i="55"/>
  <c r="P1722" i="55"/>
  <c r="P1723" i="55"/>
  <c r="P1720" i="55"/>
  <c r="P1719" i="55"/>
  <c r="P1718" i="55"/>
  <c r="P1717" i="55"/>
  <c r="P1716" i="55"/>
  <c r="P1715" i="55"/>
  <c r="P1714" i="55"/>
  <c r="P1713" i="55"/>
  <c r="P1712" i="55"/>
  <c r="P1711" i="55"/>
  <c r="P1710" i="55"/>
  <c r="P1709" i="55"/>
  <c r="P1708" i="55"/>
  <c r="P1707" i="55"/>
  <c r="P1706" i="55"/>
  <c r="P1705" i="55"/>
  <c r="P1704" i="55"/>
  <c r="Q1720" i="55"/>
  <c r="Q1719" i="55"/>
  <c r="Q1718" i="55"/>
  <c r="Q1717" i="55"/>
  <c r="Q1716" i="55"/>
  <c r="Q1715" i="55"/>
  <c r="Q1714" i="55"/>
  <c r="Q1713" i="55"/>
  <c r="Q1712" i="55"/>
  <c r="Q1711" i="55"/>
  <c r="Q1710" i="55"/>
  <c r="Q1709" i="55"/>
  <c r="Q1708" i="55"/>
  <c r="Q1707" i="55"/>
  <c r="Q1706" i="55"/>
  <c r="Q1705" i="55"/>
  <c r="Q1704" i="55"/>
  <c r="P1703" i="55"/>
  <c r="Q1703" i="55"/>
  <c r="Q1701" i="55"/>
  <c r="Q1700" i="55"/>
  <c r="Q1699" i="55"/>
  <c r="Q1698" i="55"/>
  <c r="Q1697" i="55"/>
  <c r="Q1695" i="55"/>
  <c r="Q1694" i="55"/>
  <c r="Q1693" i="55"/>
  <c r="Q1692" i="55"/>
  <c r="Q1691" i="55"/>
  <c r="Q1690" i="55"/>
  <c r="Q1689" i="55"/>
  <c r="Q1687" i="55"/>
  <c r="Q1686" i="55"/>
  <c r="Q1684" i="55"/>
  <c r="Q1702" i="55"/>
  <c r="Q1696" i="55"/>
  <c r="Q1688" i="55"/>
  <c r="Q1685" i="55"/>
  <c r="P1702" i="55"/>
  <c r="P1701" i="55"/>
  <c r="P1700" i="55"/>
  <c r="P1699" i="55"/>
  <c r="P1698" i="55"/>
  <c r="P1697" i="55"/>
  <c r="P1696" i="55"/>
  <c r="P1695" i="55"/>
  <c r="P1694" i="55"/>
  <c r="P1693" i="55"/>
  <c r="P1692" i="55"/>
  <c r="P1691" i="55"/>
  <c r="P1690" i="55"/>
  <c r="P1689" i="55"/>
  <c r="P1688" i="55"/>
  <c r="P1687" i="55"/>
  <c r="P1686" i="55"/>
  <c r="P1685" i="55"/>
  <c r="P1684" i="55"/>
  <c r="Q1678" i="55"/>
  <c r="P1678" i="55"/>
  <c r="Q1658" i="55"/>
  <c r="Q1585" i="55"/>
  <c r="Q1659" i="55"/>
  <c r="Q1586" i="55"/>
  <c r="P1679" i="55"/>
  <c r="Q1665" i="55"/>
  <c r="Q1667" i="55"/>
  <c r="Q1679" i="55"/>
  <c r="P1683" i="55"/>
  <c r="P1682" i="55"/>
  <c r="Q1666" i="55"/>
  <c r="P1681" i="55"/>
  <c r="Q1675" i="55"/>
  <c r="P1674" i="55"/>
  <c r="Q1671" i="55"/>
  <c r="P1670" i="55"/>
  <c r="P1675" i="55"/>
  <c r="Q1672" i="55"/>
  <c r="P1671" i="55"/>
  <c r="Q1680" i="55"/>
  <c r="P1680" i="55"/>
  <c r="P1676" i="55"/>
  <c r="Q1673" i="55"/>
  <c r="P1672" i="55"/>
  <c r="P1673" i="55"/>
  <c r="Q1670" i="55"/>
  <c r="Q1676" i="55"/>
  <c r="Q1674" i="55"/>
  <c r="Q1677" i="55"/>
  <c r="P1677" i="55"/>
  <c r="P1659" i="55"/>
  <c r="P1667" i="55"/>
  <c r="P1586" i="55"/>
  <c r="P1658" i="55"/>
  <c r="P1665" i="55"/>
  <c r="P1666" i="55"/>
  <c r="P1585" i="55"/>
  <c r="Q1661" i="55"/>
  <c r="P1661" i="55"/>
  <c r="Q1660" i="55"/>
  <c r="P1664" i="55"/>
  <c r="P1660" i="55"/>
  <c r="Q1664" i="55"/>
  <c r="Q1580" i="55"/>
  <c r="Q1620" i="55"/>
  <c r="Q1556" i="55"/>
  <c r="Q1548" i="55"/>
  <c r="Q1578" i="55"/>
  <c r="Q1613" i="55"/>
  <c r="Q1533" i="55"/>
  <c r="Q1547" i="55"/>
  <c r="P1657" i="55"/>
  <c r="Q1570" i="55"/>
  <c r="Q1545" i="55"/>
  <c r="Q1525" i="55"/>
  <c r="Q1650" i="55"/>
  <c r="Q1576" i="55"/>
  <c r="Q1619" i="55"/>
  <c r="Q1539" i="55"/>
  <c r="Q1583" i="55"/>
  <c r="Q1567" i="55"/>
  <c r="Q1563" i="55"/>
  <c r="Q1559" i="55"/>
  <c r="Q1555" i="55"/>
  <c r="Q1551" i="55"/>
  <c r="Q1464" i="55"/>
  <c r="Q1656" i="55"/>
  <c r="Q1622" i="55"/>
  <c r="Q1577" i="55"/>
  <c r="Q1573" i="55"/>
  <c r="Q1616" i="55"/>
  <c r="Q1608" i="55"/>
  <c r="Q1544" i="55"/>
  <c r="Q1536" i="55"/>
  <c r="Q1528" i="55"/>
  <c r="Q1624" i="55"/>
  <c r="Q1566" i="55"/>
  <c r="Q1558" i="55"/>
  <c r="Q1550" i="55"/>
  <c r="Q1572" i="55"/>
  <c r="Q1543" i="55"/>
  <c r="Q1527" i="55"/>
  <c r="Q1569" i="55"/>
  <c r="Q1612" i="55"/>
  <c r="Q1540" i="55"/>
  <c r="Q1532" i="55"/>
  <c r="P1656" i="55"/>
  <c r="Q1582" i="55"/>
  <c r="Q1562" i="55"/>
  <c r="Q1554" i="55"/>
  <c r="Q1568" i="55"/>
  <c r="Q1611" i="55"/>
  <c r="Q1531" i="55"/>
  <c r="P1650" i="55"/>
  <c r="Q1655" i="55"/>
  <c r="Q1623" i="55"/>
  <c r="Q1581" i="55"/>
  <c r="Q1565" i="55"/>
  <c r="Q1561" i="55"/>
  <c r="Q1557" i="55"/>
  <c r="Q1553" i="55"/>
  <c r="Q1549" i="55"/>
  <c r="Q1574" i="55"/>
  <c r="Q1541" i="55"/>
  <c r="P1655" i="55"/>
  <c r="Q1579" i="55"/>
  <c r="Q1575" i="55"/>
  <c r="Q1571" i="55"/>
  <c r="Q1618" i="55"/>
  <c r="Q1614" i="55"/>
  <c r="Q1610" i="55"/>
  <c r="Q1546" i="55"/>
  <c r="Q1542" i="55"/>
  <c r="Q1538" i="55"/>
  <c r="Q1534" i="55"/>
  <c r="Q1530" i="55"/>
  <c r="Q1526" i="55"/>
  <c r="Q1657" i="55"/>
  <c r="Q1584" i="55"/>
  <c r="Q1564" i="55"/>
  <c r="Q1560" i="55"/>
  <c r="Q1552" i="55"/>
  <c r="Q1617" i="55"/>
  <c r="Q1609" i="55"/>
  <c r="Q1537" i="55"/>
  <c r="Q1529" i="55"/>
  <c r="Q1621" i="55"/>
  <c r="Q1615" i="55"/>
  <c r="Q1535" i="55"/>
  <c r="Q1320" i="55"/>
  <c r="Q1338" i="55"/>
  <c r="Q1316" i="55"/>
  <c r="Q1312" i="55"/>
  <c r="Q1314" i="55"/>
  <c r="Q1322" i="55"/>
  <c r="Q1341" i="55"/>
  <c r="Q1319" i="55"/>
  <c r="Q1315" i="55"/>
  <c r="Q1311" i="55"/>
  <c r="Q1340" i="55"/>
  <c r="Q1321" i="55"/>
  <c r="Q1318" i="55"/>
  <c r="Q1310" i="55"/>
  <c r="Q1181" i="55"/>
  <c r="Q1342" i="55"/>
  <c r="Q1339" i="55"/>
  <c r="Q1317" i="55"/>
  <c r="Q1313" i="55"/>
  <c r="P1652" i="55"/>
  <c r="Q1652" i="55"/>
  <c r="P1662" i="55"/>
  <c r="Q1662" i="55"/>
  <c r="Q1648" i="55"/>
  <c r="P1653" i="55"/>
  <c r="Q1653" i="55"/>
  <c r="P1663" i="55"/>
  <c r="P1651" i="55"/>
  <c r="Q1663" i="55"/>
  <c r="Q1651" i="55"/>
  <c r="P1654" i="55"/>
  <c r="Q1343" i="55"/>
  <c r="Q1654" i="55"/>
  <c r="P1623" i="55"/>
  <c r="P1624" i="55"/>
  <c r="P1582" i="55"/>
  <c r="P1584" i="55"/>
  <c r="P1581" i="55"/>
  <c r="P1583" i="55"/>
  <c r="P1580" i="55"/>
  <c r="P1622" i="55"/>
  <c r="P1621" i="55"/>
  <c r="P1577" i="55"/>
  <c r="P1569" i="55"/>
  <c r="P1574" i="55"/>
  <c r="P1579" i="55"/>
  <c r="P1571" i="55"/>
  <c r="P1576" i="55"/>
  <c r="P1568" i="55"/>
  <c r="P1578" i="55"/>
  <c r="P1570" i="55"/>
  <c r="P1573" i="55"/>
  <c r="P1575" i="55"/>
  <c r="P1572" i="55"/>
  <c r="P1620" i="55"/>
  <c r="P1648" i="55"/>
  <c r="P1565" i="55"/>
  <c r="P1557" i="55"/>
  <c r="P1549" i="55"/>
  <c r="P1560" i="55"/>
  <c r="P1562" i="55"/>
  <c r="P1554" i="55"/>
  <c r="P1567" i="55"/>
  <c r="P1559" i="55"/>
  <c r="P1551" i="55"/>
  <c r="P1564" i="55"/>
  <c r="P1556" i="55"/>
  <c r="P1548" i="55"/>
  <c r="P1561" i="55"/>
  <c r="P1553" i="55"/>
  <c r="P1566" i="55"/>
  <c r="P1558" i="55"/>
  <c r="P1550" i="55"/>
  <c r="P1552" i="55"/>
  <c r="P1563" i="55"/>
  <c r="P1555" i="55"/>
  <c r="P1464" i="55"/>
  <c r="P1612" i="55"/>
  <c r="P1617" i="55"/>
  <c r="P1609" i="55"/>
  <c r="P1614" i="55"/>
  <c r="P1619" i="55"/>
  <c r="P1611" i="55"/>
  <c r="P1615" i="55"/>
  <c r="P1616" i="55"/>
  <c r="P1608" i="55"/>
  <c r="P1613" i="55"/>
  <c r="P1618" i="55"/>
  <c r="P1610" i="55"/>
  <c r="P1545" i="55"/>
  <c r="P1537" i="55"/>
  <c r="P1529" i="55"/>
  <c r="P1542" i="55"/>
  <c r="P1534" i="55"/>
  <c r="P1526" i="55"/>
  <c r="P1547" i="55"/>
  <c r="P1539" i="55"/>
  <c r="P1531" i="55"/>
  <c r="P1544" i="55"/>
  <c r="P1536" i="55"/>
  <c r="P1528" i="55"/>
  <c r="P1530" i="55"/>
  <c r="P1541" i="55"/>
  <c r="P1533" i="55"/>
  <c r="P1525" i="55"/>
  <c r="P1546" i="55"/>
  <c r="P1538" i="55"/>
  <c r="P1543" i="55"/>
  <c r="P1535" i="55"/>
  <c r="P1527" i="55"/>
  <c r="P1540" i="55"/>
  <c r="P1532" i="55"/>
  <c r="Q1647" i="55"/>
  <c r="P1641" i="55"/>
  <c r="P1643" i="55"/>
  <c r="P1645" i="55"/>
  <c r="P1647" i="55"/>
  <c r="Q1644" i="55"/>
  <c r="P1644" i="55"/>
  <c r="Q1646" i="55"/>
  <c r="Q1643" i="55"/>
  <c r="P1646" i="55"/>
  <c r="Q1641" i="55"/>
  <c r="Q1645" i="55"/>
  <c r="Q1634" i="55"/>
  <c r="Q1628" i="55"/>
  <c r="P1634" i="55"/>
  <c r="P1628" i="55"/>
  <c r="Q1625" i="55"/>
  <c r="Q1630" i="55"/>
  <c r="P1625" i="55"/>
  <c r="Q1633" i="55"/>
  <c r="P1630" i="55"/>
  <c r="Q1627" i="55"/>
  <c r="P1633" i="55"/>
  <c r="P1627" i="55"/>
  <c r="Q1636" i="55"/>
  <c r="Q1629" i="55"/>
  <c r="P1636" i="55"/>
  <c r="P1629" i="55"/>
  <c r="Q1626" i="55"/>
  <c r="P1626" i="55"/>
  <c r="Q1638" i="55"/>
  <c r="P1642" i="55"/>
  <c r="P1635" i="55"/>
  <c r="Q1642" i="55"/>
  <c r="Q1635" i="55"/>
  <c r="P1639" i="55"/>
  <c r="P1631" i="55"/>
  <c r="Q1639" i="55"/>
  <c r="Q1631" i="55"/>
  <c r="P1637" i="55"/>
  <c r="Q1637" i="55"/>
  <c r="P1640" i="55"/>
  <c r="P1632" i="55"/>
  <c r="Q1640" i="55"/>
  <c r="Q1632" i="55"/>
  <c r="P1638" i="55"/>
  <c r="Q1606" i="55"/>
  <c r="P1605" i="55"/>
  <c r="Q1602" i="55"/>
  <c r="P1601" i="55"/>
  <c r="Q1590" i="55"/>
  <c r="P1589" i="55"/>
  <c r="Q1607" i="55"/>
  <c r="P1606" i="55"/>
  <c r="Q1603" i="55"/>
  <c r="P1602" i="55"/>
  <c r="P1590" i="55"/>
  <c r="Q1587" i="55"/>
  <c r="P1607" i="55"/>
  <c r="Q1604" i="55"/>
  <c r="P1603" i="55"/>
  <c r="Q1588" i="55"/>
  <c r="P1587" i="55"/>
  <c r="Q1605" i="55"/>
  <c r="P1604" i="55"/>
  <c r="Q1601" i="55"/>
  <c r="Q1589" i="55"/>
  <c r="P1588" i="55"/>
  <c r="P1592" i="55"/>
  <c r="Q1593" i="55"/>
  <c r="P1596" i="55"/>
  <c r="Q1597" i="55"/>
  <c r="P1600" i="55"/>
  <c r="P1591" i="55"/>
  <c r="Q1592" i="55"/>
  <c r="P1595" i="55"/>
  <c r="Q1596" i="55"/>
  <c r="P1599" i="55"/>
  <c r="Q1600" i="55"/>
  <c r="Q1591" i="55"/>
  <c r="P1594" i="55"/>
  <c r="Q1595" i="55"/>
  <c r="P1598" i="55"/>
  <c r="Q1599" i="55"/>
  <c r="P1593" i="55"/>
  <c r="Q1594" i="55"/>
  <c r="P1597" i="55"/>
  <c r="Q1598" i="55"/>
  <c r="P1505" i="55"/>
  <c r="Q1510" i="55"/>
  <c r="Q1505" i="55"/>
  <c r="P1510" i="55"/>
  <c r="P1524" i="55"/>
  <c r="Q1521" i="55"/>
  <c r="P1507" i="55"/>
  <c r="Q1497" i="55"/>
  <c r="P1481" i="55"/>
  <c r="Q1476" i="55"/>
  <c r="P1473" i="55"/>
  <c r="Q1466" i="55"/>
  <c r="P1465" i="55"/>
  <c r="P1521" i="55"/>
  <c r="Q1502" i="55"/>
  <c r="P1497" i="55"/>
  <c r="P1476" i="55"/>
  <c r="Q1469" i="55"/>
  <c r="P1466" i="55"/>
  <c r="P1523" i="55"/>
  <c r="Q1507" i="55"/>
  <c r="P1506" i="55"/>
  <c r="P1480" i="55"/>
  <c r="Q1473" i="55"/>
  <c r="P1472" i="55"/>
  <c r="Q1465" i="55"/>
  <c r="Q1522" i="55"/>
  <c r="Q1479" i="55"/>
  <c r="Q1524" i="55"/>
  <c r="Q1481" i="55"/>
  <c r="Q1523" i="55"/>
  <c r="P1522" i="55"/>
  <c r="Q1506" i="55"/>
  <c r="P1502" i="55"/>
  <c r="Q1480" i="55"/>
  <c r="P1479" i="55"/>
  <c r="Q1472" i="55"/>
  <c r="P1469" i="55"/>
  <c r="P1474" i="55"/>
  <c r="Q1475" i="55"/>
  <c r="P1482" i="55"/>
  <c r="Q1483" i="55"/>
  <c r="P1486" i="55"/>
  <c r="Q1487" i="55"/>
  <c r="P1490" i="55"/>
  <c r="Q1491" i="55"/>
  <c r="P1494" i="55"/>
  <c r="Q1495" i="55"/>
  <c r="P1499" i="55"/>
  <c r="Q1500" i="55"/>
  <c r="P1504" i="55"/>
  <c r="Q1508" i="55"/>
  <c r="P1512" i="55"/>
  <c r="Q1513" i="55"/>
  <c r="P1516" i="55"/>
  <c r="Q1517" i="55"/>
  <c r="P1520" i="55"/>
  <c r="P1471" i="55"/>
  <c r="Q1474" i="55"/>
  <c r="P1478" i="55"/>
  <c r="Q1482" i="55"/>
  <c r="P1485" i="55"/>
  <c r="Q1486" i="55"/>
  <c r="P1489" i="55"/>
  <c r="Q1490" i="55"/>
  <c r="P1493" i="55"/>
  <c r="Q1494" i="55"/>
  <c r="P1498" i="55"/>
  <c r="Q1499" i="55"/>
  <c r="P1503" i="55"/>
  <c r="Q1504" i="55"/>
  <c r="P1511" i="55"/>
  <c r="Q1512" i="55"/>
  <c r="P1515" i="55"/>
  <c r="Q1516" i="55"/>
  <c r="P1519" i="55"/>
  <c r="Q1520" i="55"/>
  <c r="P1470" i="55"/>
  <c r="Q1471" i="55"/>
  <c r="P1477" i="55"/>
  <c r="Q1478" i="55"/>
  <c r="P1484" i="55"/>
  <c r="Q1485" i="55"/>
  <c r="P1488" i="55"/>
  <c r="Q1489" i="55"/>
  <c r="P1492" i="55"/>
  <c r="Q1493" i="55"/>
  <c r="P1496" i="55"/>
  <c r="Q1498" i="55"/>
  <c r="P1501" i="55"/>
  <c r="Q1503" i="55"/>
  <c r="P1509" i="55"/>
  <c r="Q1511" i="55"/>
  <c r="P1514" i="55"/>
  <c r="Q1515" i="55"/>
  <c r="P1518" i="55"/>
  <c r="Q1519" i="55"/>
  <c r="Q1470" i="55"/>
  <c r="P1475" i="55"/>
  <c r="Q1477" i="55"/>
  <c r="P1483" i="55"/>
  <c r="Q1484" i="55"/>
  <c r="P1487" i="55"/>
  <c r="Q1488" i="55"/>
  <c r="P1491" i="55"/>
  <c r="Q1492" i="55"/>
  <c r="P1495" i="55"/>
  <c r="Q1496" i="55"/>
  <c r="P1500" i="55"/>
  <c r="Q1501" i="55"/>
  <c r="P1508" i="55"/>
  <c r="Q1509" i="55"/>
  <c r="P1513" i="55"/>
  <c r="Q1514" i="55"/>
  <c r="P1517" i="55"/>
  <c r="Q1518" i="55"/>
  <c r="Q1463" i="55"/>
  <c r="P1462" i="55"/>
  <c r="Q1459" i="55"/>
  <c r="P1458" i="55"/>
  <c r="Q1455" i="55"/>
  <c r="P1454" i="55"/>
  <c r="Q1451" i="55"/>
  <c r="P1450" i="55"/>
  <c r="Q1447" i="55"/>
  <c r="P1446" i="55"/>
  <c r="Q1443" i="55"/>
  <c r="P1442" i="55"/>
  <c r="Q1439" i="55"/>
  <c r="P1438" i="55"/>
  <c r="Q1435" i="55"/>
  <c r="P1434" i="55"/>
  <c r="Q1431" i="55"/>
  <c r="P1430" i="55"/>
  <c r="Q1427" i="55"/>
  <c r="P1426" i="55"/>
  <c r="Q1423" i="55"/>
  <c r="P1422" i="55"/>
  <c r="Q1419" i="55"/>
  <c r="P1418" i="55"/>
  <c r="Q1415" i="55"/>
  <c r="P1414" i="55"/>
  <c r="Q1411" i="55"/>
  <c r="P1410" i="55"/>
  <c r="Q1406" i="55"/>
  <c r="P1405" i="55"/>
  <c r="Q1402" i="55"/>
  <c r="P1401" i="55"/>
  <c r="Q1398" i="55"/>
  <c r="P1397" i="55"/>
  <c r="Q1461" i="55"/>
  <c r="P1456" i="55"/>
  <c r="Q1453" i="55"/>
  <c r="P1444" i="55"/>
  <c r="Q1441" i="55"/>
  <c r="P1436" i="55"/>
  <c r="Q1433" i="55"/>
  <c r="P1420" i="55"/>
  <c r="Q1417" i="55"/>
  <c r="P1412" i="55"/>
  <c r="Q1409" i="55"/>
  <c r="P1461" i="55"/>
  <c r="Q1458" i="55"/>
  <c r="P1449" i="55"/>
  <c r="Q1446" i="55"/>
  <c r="P1445" i="55"/>
  <c r="Q1442" i="55"/>
  <c r="P1433" i="55"/>
  <c r="Q1430" i="55"/>
  <c r="P1421" i="55"/>
  <c r="Q1418" i="55"/>
  <c r="P1413" i="55"/>
  <c r="Q1410" i="55"/>
  <c r="P1463" i="55"/>
  <c r="Q1460" i="55"/>
  <c r="P1459" i="55"/>
  <c r="Q1456" i="55"/>
  <c r="P1455" i="55"/>
  <c r="Q1452" i="55"/>
  <c r="P1451" i="55"/>
  <c r="Q1448" i="55"/>
  <c r="P1447" i="55"/>
  <c r="Q1444" i="55"/>
  <c r="P1443" i="55"/>
  <c r="Q1440" i="55"/>
  <c r="P1439" i="55"/>
  <c r="Q1436" i="55"/>
  <c r="P1435" i="55"/>
  <c r="Q1432" i="55"/>
  <c r="P1431" i="55"/>
  <c r="Q1428" i="55"/>
  <c r="P1427" i="55"/>
  <c r="Q1424" i="55"/>
  <c r="P1423" i="55"/>
  <c r="Q1420" i="55"/>
  <c r="P1419" i="55"/>
  <c r="Q1416" i="55"/>
  <c r="P1415" i="55"/>
  <c r="Q1412" i="55"/>
  <c r="P1411" i="55"/>
  <c r="Q1407" i="55"/>
  <c r="P1406" i="55"/>
  <c r="Q1403" i="55"/>
  <c r="P1402" i="55"/>
  <c r="Q1399" i="55"/>
  <c r="P1398" i="55"/>
  <c r="P1460" i="55"/>
  <c r="Q1457" i="55"/>
  <c r="P1452" i="55"/>
  <c r="Q1449" i="55"/>
  <c r="P1448" i="55"/>
  <c r="Q1445" i="55"/>
  <c r="P1440" i="55"/>
  <c r="Q1437" i="55"/>
  <c r="P1432" i="55"/>
  <c r="Q1429" i="55"/>
  <c r="P1428" i="55"/>
  <c r="Q1425" i="55"/>
  <c r="P1424" i="55"/>
  <c r="Q1421" i="55"/>
  <c r="P1416" i="55"/>
  <c r="Q1413" i="55"/>
  <c r="P1407" i="55"/>
  <c r="Q1404" i="55"/>
  <c r="P1403" i="55"/>
  <c r="Q1400" i="55"/>
  <c r="P1399" i="55"/>
  <c r="Q1396" i="55"/>
  <c r="Q1462" i="55"/>
  <c r="P1457" i="55"/>
  <c r="Q1454" i="55"/>
  <c r="P1453" i="55"/>
  <c r="Q1450" i="55"/>
  <c r="P1441" i="55"/>
  <c r="Q1438" i="55"/>
  <c r="P1437" i="55"/>
  <c r="Q1434" i="55"/>
  <c r="P1429" i="55"/>
  <c r="Q1426" i="55"/>
  <c r="P1425" i="55"/>
  <c r="Q1422" i="55"/>
  <c r="P1417" i="55"/>
  <c r="Q1414" i="55"/>
  <c r="P1409" i="55"/>
  <c r="Q1405" i="55"/>
  <c r="P1404" i="55"/>
  <c r="Q1401" i="55"/>
  <c r="P1400" i="55"/>
  <c r="Q1397" i="55"/>
  <c r="P1396" i="55"/>
  <c r="P1408" i="55"/>
  <c r="Q1408" i="55"/>
  <c r="Q1395" i="55"/>
  <c r="P1394" i="55"/>
  <c r="Q1391" i="55"/>
  <c r="P1390" i="55"/>
  <c r="Q1387" i="55"/>
  <c r="P1386" i="55"/>
  <c r="Q1383" i="55"/>
  <c r="P1382" i="55"/>
  <c r="Q1379" i="55"/>
  <c r="P1378" i="55"/>
  <c r="Q1375" i="55"/>
  <c r="P1374" i="55"/>
  <c r="Q1370" i="55"/>
  <c r="P1369" i="55"/>
  <c r="Q1366" i="55"/>
  <c r="P1365" i="55"/>
  <c r="Q1362" i="55"/>
  <c r="P1361" i="55"/>
  <c r="Q1358" i="55"/>
  <c r="P1357" i="55"/>
  <c r="Q1354" i="55"/>
  <c r="P1393" i="55"/>
  <c r="Q1390" i="55"/>
  <c r="P1389" i="55"/>
  <c r="Q1386" i="55"/>
  <c r="Q1378" i="55"/>
  <c r="P1368" i="55"/>
  <c r="P1364" i="55"/>
  <c r="P1360" i="55"/>
  <c r="Q1357" i="55"/>
  <c r="P1395" i="55"/>
  <c r="Q1392" i="55"/>
  <c r="P1391" i="55"/>
  <c r="Q1388" i="55"/>
  <c r="P1387" i="55"/>
  <c r="Q1384" i="55"/>
  <c r="P1383" i="55"/>
  <c r="Q1380" i="55"/>
  <c r="P1379" i="55"/>
  <c r="Q1376" i="55"/>
  <c r="P1375" i="55"/>
  <c r="Q1371" i="55"/>
  <c r="P1370" i="55"/>
  <c r="Q1367" i="55"/>
  <c r="P1366" i="55"/>
  <c r="Q1363" i="55"/>
  <c r="P1362" i="55"/>
  <c r="Q1359" i="55"/>
  <c r="P1358" i="55"/>
  <c r="Q1355" i="55"/>
  <c r="P1354" i="55"/>
  <c r="Q1394" i="55"/>
  <c r="P1381" i="55"/>
  <c r="P1377" i="55"/>
  <c r="Q1374" i="55"/>
  <c r="P1372" i="55"/>
  <c r="Q1369" i="55"/>
  <c r="Q1365" i="55"/>
  <c r="P1356" i="55"/>
  <c r="Q1393" i="55"/>
  <c r="P1392" i="55"/>
  <c r="Q1389" i="55"/>
  <c r="P1388" i="55"/>
  <c r="Q1385" i="55"/>
  <c r="P1384" i="55"/>
  <c r="Q1381" i="55"/>
  <c r="P1380" i="55"/>
  <c r="Q1377" i="55"/>
  <c r="P1376" i="55"/>
  <c r="Q1373" i="55"/>
  <c r="Q1372" i="55"/>
  <c r="P1371" i="55"/>
  <c r="Q1368" i="55"/>
  <c r="P1367" i="55"/>
  <c r="Q1364" i="55"/>
  <c r="P1363" i="55"/>
  <c r="Q1360" i="55"/>
  <c r="P1359" i="55"/>
  <c r="Q1356" i="55"/>
  <c r="P1355" i="55"/>
  <c r="P1385" i="55"/>
  <c r="Q1382" i="55"/>
  <c r="P1373" i="55"/>
  <c r="Q1361" i="55"/>
  <c r="P1322" i="55"/>
  <c r="Q1352" i="55"/>
  <c r="Q1349" i="55"/>
  <c r="P1348" i="55"/>
  <c r="Q1345" i="55"/>
  <c r="P1344" i="55"/>
  <c r="Q1353" i="55"/>
  <c r="P1352" i="55"/>
  <c r="Q1351" i="55"/>
  <c r="Q1350" i="55"/>
  <c r="P1349" i="55"/>
  <c r="Q1346" i="55"/>
  <c r="P1345" i="55"/>
  <c r="P1353" i="55"/>
  <c r="P1351" i="55"/>
  <c r="P1350" i="55"/>
  <c r="Q1347" i="55"/>
  <c r="P1346" i="55"/>
  <c r="Q1348" i="55"/>
  <c r="P1347" i="55"/>
  <c r="Q1344" i="55"/>
  <c r="P1321" i="55"/>
  <c r="P1343" i="55"/>
  <c r="P1342" i="55"/>
  <c r="P1320" i="55"/>
  <c r="P1339" i="55"/>
  <c r="P1341" i="55"/>
  <c r="P1338" i="55"/>
  <c r="P1340" i="55"/>
  <c r="P1317" i="55"/>
  <c r="P1314" i="55"/>
  <c r="P1319" i="55"/>
  <c r="P1311" i="55"/>
  <c r="P1312" i="55"/>
  <c r="P1316" i="55"/>
  <c r="P1313" i="55"/>
  <c r="P1318" i="55"/>
  <c r="P1310" i="55"/>
  <c r="P1315" i="55"/>
  <c r="Q1336" i="55"/>
  <c r="Q1326" i="55"/>
  <c r="P1306" i="55"/>
  <c r="P1308" i="55"/>
  <c r="P1336" i="55"/>
  <c r="Q1333" i="55"/>
  <c r="Q1330" i="55"/>
  <c r="P1326" i="55"/>
  <c r="Q1323" i="55"/>
  <c r="Q1307" i="55"/>
  <c r="Q1295" i="55"/>
  <c r="P1309" i="55"/>
  <c r="Q1337" i="55"/>
  <c r="P1333" i="55"/>
  <c r="P1330" i="55"/>
  <c r="P1323" i="55"/>
  <c r="P1307" i="55"/>
  <c r="P1292" i="55"/>
  <c r="Q1309" i="55"/>
  <c r="Q1306" i="55"/>
  <c r="P1295" i="55"/>
  <c r="P1332" i="55"/>
  <c r="Q1335" i="55"/>
  <c r="Q1325" i="55"/>
  <c r="P1335" i="55"/>
  <c r="Q1332" i="55"/>
  <c r="P1325" i="55"/>
  <c r="P1337" i="55"/>
  <c r="Q1334" i="55"/>
  <c r="Q1324" i="55"/>
  <c r="Q1308" i="55"/>
  <c r="P1324" i="55"/>
  <c r="P1334" i="55"/>
  <c r="Q1300" i="55"/>
  <c r="P1293" i="55"/>
  <c r="P1300" i="55"/>
  <c r="Q1297" i="55"/>
  <c r="Q1302" i="55"/>
  <c r="P1297" i="55"/>
  <c r="P1302" i="55"/>
  <c r="Q1299" i="55"/>
  <c r="P1299" i="55"/>
  <c r="P1296" i="55"/>
  <c r="Q1301" i="55"/>
  <c r="P1301" i="55"/>
  <c r="Q1298" i="55"/>
  <c r="P1294" i="55"/>
  <c r="P1298" i="55"/>
  <c r="P1303" i="55"/>
  <c r="Q1329" i="55"/>
  <c r="Q1303" i="55"/>
  <c r="P1327" i="55"/>
  <c r="Q1327" i="55"/>
  <c r="P1331" i="55"/>
  <c r="P1304" i="55"/>
  <c r="Q1331" i="55"/>
  <c r="Q1304" i="55"/>
  <c r="P1328" i="55"/>
  <c r="P1329" i="55"/>
  <c r="Q1328" i="55"/>
  <c r="P1305" i="55"/>
  <c r="Q1305" i="55"/>
  <c r="Q1292" i="55"/>
  <c r="Q1296" i="55"/>
  <c r="Q1291" i="55"/>
  <c r="P1291" i="55"/>
  <c r="Q1293" i="55"/>
  <c r="Q1294" i="55"/>
  <c r="P1279" i="55"/>
  <c r="Q1276" i="55"/>
  <c r="P1275" i="55"/>
  <c r="Q1272" i="55"/>
  <c r="P1271" i="55"/>
  <c r="Q1268" i="55"/>
  <c r="P1267" i="55"/>
  <c r="Q1266" i="55"/>
  <c r="Q1264" i="55"/>
  <c r="Q1262" i="55"/>
  <c r="Q1260" i="55"/>
  <c r="Q1258" i="55"/>
  <c r="Q1277" i="55"/>
  <c r="P1276" i="55"/>
  <c r="Q1273" i="55"/>
  <c r="P1272" i="55"/>
  <c r="Q1269" i="55"/>
  <c r="P1268" i="55"/>
  <c r="P1277" i="55"/>
  <c r="Q1274" i="55"/>
  <c r="P1273" i="55"/>
  <c r="Q1270" i="55"/>
  <c r="P1269" i="55"/>
  <c r="Q1265" i="55"/>
  <c r="Q1263" i="55"/>
  <c r="Q1261" i="55"/>
  <c r="Q1259" i="55"/>
  <c r="Q1257" i="55"/>
  <c r="Q1278" i="55"/>
  <c r="Q1279" i="55"/>
  <c r="P1278" i="55"/>
  <c r="Q1275" i="55"/>
  <c r="P1274" i="55"/>
  <c r="Q1271" i="55"/>
  <c r="P1270" i="55"/>
  <c r="Q1267" i="55"/>
  <c r="Q1290" i="55"/>
  <c r="P1290" i="55"/>
  <c r="P1264" i="55"/>
  <c r="P1266" i="55"/>
  <c r="P1265" i="55"/>
  <c r="P1261" i="55"/>
  <c r="P1263" i="55"/>
  <c r="P1260" i="55"/>
  <c r="P1262" i="55"/>
  <c r="P1257" i="55"/>
  <c r="P1259" i="55"/>
  <c r="P1258" i="55"/>
  <c r="Q1289" i="55"/>
  <c r="P1289" i="55"/>
  <c r="Q1288" i="55"/>
  <c r="P1288" i="55"/>
  <c r="P1287" i="55"/>
  <c r="Q1282" i="55"/>
  <c r="P1282" i="55"/>
  <c r="Q1286" i="55"/>
  <c r="P1285" i="55"/>
  <c r="Q1285" i="55"/>
  <c r="Q1287" i="55"/>
  <c r="P1286" i="55"/>
  <c r="Q1281" i="55"/>
  <c r="Q1283" i="55"/>
  <c r="P1281" i="55"/>
  <c r="P1283" i="55"/>
  <c r="P1256" i="55"/>
  <c r="Q1254" i="55"/>
  <c r="Q1252" i="55"/>
  <c r="Q1255" i="55"/>
  <c r="P1254" i="55"/>
  <c r="Q1253" i="55"/>
  <c r="P1252" i="55"/>
  <c r="Q1256" i="55"/>
  <c r="P1255" i="55"/>
  <c r="P1253" i="55"/>
  <c r="Q1251" i="55"/>
  <c r="P1250" i="55"/>
  <c r="Q1250" i="55"/>
  <c r="P1251" i="55"/>
  <c r="Q1248" i="55"/>
  <c r="P1249" i="55"/>
  <c r="Q1247" i="55"/>
  <c r="Q1249" i="55"/>
  <c r="Q1240" i="55"/>
  <c r="Q1156" i="55"/>
  <c r="Q1081" i="55"/>
  <c r="P1081" i="55"/>
  <c r="Q1239" i="55"/>
  <c r="Q1157" i="55"/>
  <c r="Q1083" i="55"/>
  <c r="Q1082" i="55"/>
  <c r="Q1213" i="55"/>
  <c r="Q1211" i="55"/>
  <c r="Q1209" i="55"/>
  <c r="Q1212" i="55"/>
  <c r="Q1210" i="55"/>
  <c r="Q1208" i="55"/>
  <c r="Q1076" i="55"/>
  <c r="P1079" i="55"/>
  <c r="P1077" i="55"/>
  <c r="Q1080" i="55"/>
  <c r="Q1079" i="55"/>
  <c r="Q1078" i="55"/>
  <c r="Q1077" i="55"/>
  <c r="P1080" i="55"/>
  <c r="P1078" i="55"/>
  <c r="Q1075" i="55"/>
  <c r="Q1074" i="55"/>
  <c r="Q1072" i="55"/>
  <c r="Q1068" i="55"/>
  <c r="Q1067" i="55"/>
  <c r="Q1073" i="55"/>
  <c r="Q1069" i="55"/>
  <c r="Q1065" i="55"/>
  <c r="Q1071" i="55"/>
  <c r="Q1070" i="55"/>
  <c r="Q1066" i="55"/>
  <c r="P1073" i="55"/>
  <c r="P1072" i="55"/>
  <c r="P1071" i="55"/>
  <c r="P1070" i="55"/>
  <c r="P1069" i="55"/>
  <c r="P1068" i="55"/>
  <c r="P1067" i="55"/>
  <c r="P1066" i="55"/>
  <c r="Q1120" i="55"/>
  <c r="Q1119" i="55"/>
  <c r="Q1118" i="55"/>
  <c r="Q1221" i="55"/>
  <c r="Q1179" i="55"/>
  <c r="Q1182" i="55"/>
  <c r="Q1180" i="55"/>
  <c r="Q1121" i="55"/>
  <c r="P1120" i="55"/>
  <c r="P1119" i="55"/>
  <c r="P1118" i="55"/>
  <c r="Q1116" i="55"/>
  <c r="Q1117" i="55"/>
  <c r="Q1115" i="55"/>
  <c r="Q1110" i="55"/>
  <c r="Q1109" i="55"/>
  <c r="Q1108" i="55"/>
  <c r="Q1107" i="55"/>
  <c r="Q1106" i="55"/>
  <c r="Q1105" i="55"/>
  <c r="Q1114" i="55"/>
  <c r="Q1112" i="55"/>
  <c r="Q1113" i="55"/>
  <c r="P1109" i="55"/>
  <c r="P1108" i="55"/>
  <c r="P1107" i="55"/>
  <c r="P1106" i="55"/>
  <c r="P1105" i="55"/>
  <c r="Q1111" i="55"/>
  <c r="Q1104" i="55"/>
  <c r="Q1222" i="55"/>
  <c r="Q616" i="55"/>
  <c r="Q1241" i="55"/>
  <c r="Q571" i="55"/>
  <c r="Q570" i="55"/>
  <c r="Q569" i="55"/>
  <c r="P571" i="55"/>
  <c r="P570" i="55"/>
  <c r="P569" i="55"/>
  <c r="P567" i="55"/>
  <c r="Q568" i="55"/>
  <c r="Q567" i="55"/>
  <c r="Q566" i="55"/>
  <c r="P568" i="55"/>
  <c r="P566" i="55"/>
  <c r="Q565" i="55"/>
  <c r="P1241" i="55"/>
  <c r="Q334" i="55"/>
  <c r="Q333" i="55"/>
  <c r="Q329" i="55"/>
  <c r="Q325" i="55"/>
  <c r="Q32" i="55"/>
  <c r="Q335" i="55"/>
  <c r="Q331" i="55"/>
  <c r="Q327" i="55"/>
  <c r="Q62" i="55"/>
  <c r="Q336" i="55"/>
  <c r="Q332" i="55"/>
  <c r="Q330" i="55"/>
  <c r="Q328" i="55"/>
  <c r="Q326" i="55"/>
  <c r="Q324" i="55"/>
  <c r="Q61" i="55"/>
  <c r="P616" i="55"/>
  <c r="P1222" i="55"/>
  <c r="P565" i="55"/>
  <c r="P334" i="55"/>
  <c r="P326" i="55"/>
  <c r="P331" i="55"/>
  <c r="P336" i="55"/>
  <c r="P328" i="55"/>
  <c r="P333" i="55"/>
  <c r="P325" i="55"/>
  <c r="P330" i="55"/>
  <c r="P335" i="55"/>
  <c r="P327" i="55"/>
  <c r="P332" i="55"/>
  <c r="P324" i="55"/>
  <c r="P329" i="55"/>
  <c r="P62" i="55"/>
  <c r="P61" i="55"/>
  <c r="P1221" i="55"/>
  <c r="P32" i="55"/>
  <c r="P1180" i="55"/>
  <c r="P1182" i="55"/>
  <c r="P1179" i="55"/>
  <c r="P1181" i="55"/>
  <c r="P1116" i="55"/>
  <c r="P1113" i="55"/>
  <c r="P1121" i="55"/>
  <c r="P1110" i="55"/>
  <c r="P1115" i="55"/>
  <c r="P1112" i="55"/>
  <c r="P1117" i="55"/>
  <c r="P1104" i="55"/>
  <c r="P1114" i="55"/>
  <c r="P1111" i="55"/>
  <c r="P1090" i="55"/>
  <c r="Q1160" i="55"/>
  <c r="Q1089" i="55"/>
  <c r="Q1091" i="55"/>
  <c r="P1089" i="55"/>
  <c r="Q1159" i="55"/>
  <c r="Q1158" i="55"/>
  <c r="Q1176" i="55"/>
  <c r="Q1135" i="55"/>
  <c r="Q1090" i="55"/>
  <c r="Q1175" i="55"/>
  <c r="Q1086" i="55"/>
  <c r="Q1088" i="55"/>
  <c r="Q1087" i="55"/>
  <c r="P1087" i="55"/>
  <c r="P1088" i="55"/>
  <c r="Q1102" i="55"/>
  <c r="Q1237" i="55"/>
  <c r="P1102" i="55"/>
  <c r="Q1238" i="55"/>
  <c r="Q1220" i="55"/>
  <c r="Q1218" i="55"/>
  <c r="Q1216" i="55"/>
  <c r="Q1214" i="55"/>
  <c r="Q1177" i="55"/>
  <c r="Q1161" i="55"/>
  <c r="Q1219" i="55"/>
  <c r="Q1217" i="55"/>
  <c r="Q1215" i="55"/>
  <c r="Q1178" i="55"/>
  <c r="Q1162" i="55"/>
  <c r="P1100" i="55"/>
  <c r="Q1101" i="55"/>
  <c r="Q1100" i="55"/>
  <c r="P1101" i="55"/>
  <c r="Q1103" i="55"/>
  <c r="Q1096" i="55"/>
  <c r="Q1097" i="55"/>
  <c r="Q1099" i="55"/>
  <c r="Q1098" i="55"/>
  <c r="Q1094" i="55"/>
  <c r="Q1095" i="55"/>
  <c r="Q1093" i="55"/>
  <c r="P1095" i="55"/>
  <c r="P1094" i="55"/>
  <c r="P1093" i="55"/>
  <c r="Q1092" i="55"/>
  <c r="P1239" i="55"/>
  <c r="P1240" i="55"/>
  <c r="P1247" i="55"/>
  <c r="P1248" i="55"/>
  <c r="P1238" i="55"/>
  <c r="P1237" i="55"/>
  <c r="P1218" i="55"/>
  <c r="P1215" i="55"/>
  <c r="P1220" i="55"/>
  <c r="P1217" i="55"/>
  <c r="P1214" i="55"/>
  <c r="P1219" i="55"/>
  <c r="P1216" i="55"/>
  <c r="P1178" i="55"/>
  <c r="P1177" i="55"/>
  <c r="P1162" i="55"/>
  <c r="P1161" i="55"/>
  <c r="P1098" i="55"/>
  <c r="P1092" i="55"/>
  <c r="P1103" i="55"/>
  <c r="P1097" i="55"/>
  <c r="P1099" i="55"/>
  <c r="P1096" i="55"/>
  <c r="P1243" i="55"/>
  <c r="Q1246" i="55"/>
  <c r="P1246" i="55"/>
  <c r="P1242" i="55"/>
  <c r="P1227" i="55"/>
  <c r="Q1244" i="55"/>
  <c r="P1244" i="55"/>
  <c r="P1226" i="55"/>
  <c r="P1245" i="55"/>
  <c r="P1229" i="55"/>
  <c r="P1225" i="55"/>
  <c r="Q1245" i="55"/>
  <c r="P1228" i="55"/>
  <c r="P1224" i="55"/>
  <c r="Q1242" i="55"/>
  <c r="Q1243" i="55"/>
  <c r="Q1231" i="55"/>
  <c r="P1235" i="55"/>
  <c r="P1232" i="55"/>
  <c r="P1234" i="55"/>
  <c r="P1230" i="55"/>
  <c r="P1236" i="55"/>
  <c r="Q1236" i="55"/>
  <c r="Q1235" i="55"/>
  <c r="Q1234" i="55"/>
  <c r="Q1233" i="55"/>
  <c r="Q1232" i="55"/>
  <c r="Q1230" i="55"/>
  <c r="P1233" i="55"/>
  <c r="P1231" i="55"/>
  <c r="Q1226" i="55"/>
  <c r="Q1227" i="55"/>
  <c r="Q1228" i="55"/>
  <c r="Q1229" i="55"/>
  <c r="Q1223" i="55"/>
  <c r="Q1224" i="55"/>
  <c r="P1223" i="55"/>
  <c r="Q1225" i="55"/>
  <c r="Q1085" i="55"/>
  <c r="Q1005" i="55"/>
  <c r="Q1084" i="55"/>
  <c r="Q997" i="55"/>
  <c r="P1175" i="55"/>
  <c r="P1176" i="55"/>
  <c r="P1135" i="55"/>
  <c r="P1158" i="55"/>
  <c r="P1160" i="55"/>
  <c r="P1159" i="55"/>
  <c r="P1086" i="55"/>
  <c r="P1091" i="55"/>
  <c r="P1085" i="55"/>
  <c r="P1084" i="55"/>
  <c r="P997" i="55"/>
  <c r="P1005" i="55"/>
  <c r="P1157" i="55"/>
  <c r="P1156" i="55"/>
  <c r="P1213" i="55"/>
  <c r="P1210" i="55"/>
  <c r="P1212" i="55"/>
  <c r="P1209" i="55"/>
  <c r="P1211" i="55"/>
  <c r="P1208" i="55"/>
  <c r="Q1134" i="55"/>
  <c r="P1134" i="55"/>
  <c r="P1076" i="55"/>
  <c r="P1065" i="55"/>
  <c r="P1083" i="55"/>
  <c r="P1075" i="55"/>
  <c r="P1082" i="55"/>
  <c r="P1074" i="55"/>
  <c r="P1191" i="55"/>
  <c r="P1192" i="55"/>
  <c r="P1199" i="55"/>
  <c r="P1195" i="55"/>
  <c r="P1187" i="55"/>
  <c r="P1198" i="55"/>
  <c r="P1193" i="55"/>
  <c r="P1186" i="55"/>
  <c r="P1189" i="55"/>
  <c r="P1197" i="55"/>
  <c r="P1190" i="55"/>
  <c r="P1196" i="55"/>
  <c r="Q1206" i="55"/>
  <c r="Q1205" i="55"/>
  <c r="Q1204" i="55"/>
  <c r="Q1203" i="55"/>
  <c r="Q1202" i="55"/>
  <c r="Q1201" i="55"/>
  <c r="Q1200" i="55"/>
  <c r="Q1194" i="55"/>
  <c r="Q1192" i="55"/>
  <c r="Q1191" i="55"/>
  <c r="Q1188" i="55"/>
  <c r="P1206" i="55"/>
  <c r="P1205" i="55"/>
  <c r="P1204" i="55"/>
  <c r="P1203" i="55"/>
  <c r="P1202" i="55"/>
  <c r="P1201" i="55"/>
  <c r="P1200" i="55"/>
  <c r="P1194" i="55"/>
  <c r="P1188" i="55"/>
  <c r="Q1207" i="55"/>
  <c r="P1207" i="55"/>
  <c r="Q1198" i="55"/>
  <c r="Q1193" i="55"/>
  <c r="Q1186" i="55"/>
  <c r="Q1199" i="55"/>
  <c r="Q1195" i="55"/>
  <c r="Q1187" i="55"/>
  <c r="Q1196" i="55"/>
  <c r="Q1189" i="55"/>
  <c r="Q1197" i="55"/>
  <c r="Q1190" i="55"/>
  <c r="P1185" i="55"/>
  <c r="Q1174" i="55"/>
  <c r="Q1184" i="55"/>
  <c r="Q1183" i="55"/>
  <c r="P1174" i="55"/>
  <c r="Q1171" i="55"/>
  <c r="P1170" i="55"/>
  <c r="P1183" i="55"/>
  <c r="Q1172" i="55"/>
  <c r="P1171" i="55"/>
  <c r="P1184" i="55"/>
  <c r="Q1173" i="55"/>
  <c r="P1172" i="55"/>
  <c r="P1173" i="55"/>
  <c r="Q1170" i="55"/>
  <c r="Q1168" i="55"/>
  <c r="P1167" i="55"/>
  <c r="Q1164" i="55"/>
  <c r="P1163" i="55"/>
  <c r="Q807" i="55"/>
  <c r="Q1167" i="55"/>
  <c r="Q949" i="55"/>
  <c r="Q943" i="55"/>
  <c r="Q892" i="55"/>
  <c r="Q693" i="55"/>
  <c r="Q1169" i="55"/>
  <c r="P1168" i="55"/>
  <c r="Q1165" i="55"/>
  <c r="P1164" i="55"/>
  <c r="Q971" i="55"/>
  <c r="Q969" i="55"/>
  <c r="Q950" i="55"/>
  <c r="Q948" i="55"/>
  <c r="Q946" i="55"/>
  <c r="Q944" i="55"/>
  <c r="Q942" i="55"/>
  <c r="Q893" i="55"/>
  <c r="Q891" i="55"/>
  <c r="Q1163" i="55"/>
  <c r="Q970" i="55"/>
  <c r="Q945" i="55"/>
  <c r="Q890" i="55"/>
  <c r="Q1185" i="55"/>
  <c r="P1169" i="55"/>
  <c r="Q1166" i="55"/>
  <c r="P1165" i="55"/>
  <c r="Q927" i="55"/>
  <c r="Q808" i="55"/>
  <c r="P1166" i="55"/>
  <c r="Q972" i="55"/>
  <c r="Q947" i="55"/>
  <c r="Q941" i="55"/>
  <c r="Q678" i="55"/>
  <c r="Q1155" i="55"/>
  <c r="Q1153" i="55"/>
  <c r="Q1152" i="55"/>
  <c r="Q1151" i="55"/>
  <c r="Q1150" i="55"/>
  <c r="Q1149" i="55"/>
  <c r="Q1148" i="55"/>
  <c r="Q1147" i="55"/>
  <c r="P1154" i="55"/>
  <c r="P1153" i="55"/>
  <c r="P1152" i="55"/>
  <c r="P1151" i="55"/>
  <c r="P1150" i="55"/>
  <c r="P1149" i="55"/>
  <c r="P1148" i="55"/>
  <c r="P1147" i="55"/>
  <c r="Q1136" i="55"/>
  <c r="P1155" i="55"/>
  <c r="P1136" i="55"/>
  <c r="Q1154" i="55"/>
  <c r="P1145" i="55"/>
  <c r="Q1142" i="55"/>
  <c r="P1141" i="55"/>
  <c r="Q1138" i="55"/>
  <c r="P1137" i="55"/>
  <c r="Q1146" i="55"/>
  <c r="Q1143" i="55"/>
  <c r="P1142" i="55"/>
  <c r="Q1139" i="55"/>
  <c r="P1138" i="55"/>
  <c r="P1146" i="55"/>
  <c r="Q1144" i="55"/>
  <c r="P1143" i="55"/>
  <c r="Q1140" i="55"/>
  <c r="P1139" i="55"/>
  <c r="Q1145" i="55"/>
  <c r="P1144" i="55"/>
  <c r="Q1141" i="55"/>
  <c r="P1140" i="55"/>
  <c r="Q1137" i="55"/>
  <c r="P1133" i="55"/>
  <c r="Q1128" i="55"/>
  <c r="Q1123" i="55"/>
  <c r="P1122" i="55"/>
  <c r="P1123" i="55"/>
  <c r="Q1131" i="55"/>
  <c r="P1128" i="55"/>
  <c r="Q1132" i="55"/>
  <c r="P1131" i="55"/>
  <c r="Q1133" i="55"/>
  <c r="P1132" i="55"/>
  <c r="Q1122" i="55"/>
  <c r="P1130" i="55"/>
  <c r="Q1126" i="55"/>
  <c r="P1125" i="55"/>
  <c r="Q1127" i="55"/>
  <c r="P1126" i="55"/>
  <c r="Q1129" i="55"/>
  <c r="P1127" i="55"/>
  <c r="Q1124" i="55"/>
  <c r="Q1130" i="55"/>
  <c r="P1129" i="55"/>
  <c r="Q1125" i="55"/>
  <c r="P1124" i="55"/>
  <c r="P483" i="55"/>
  <c r="Q1063" i="55"/>
  <c r="P1062" i="55"/>
  <c r="Q1059" i="55"/>
  <c r="P1058" i="55"/>
  <c r="Q1055" i="55"/>
  <c r="P1054" i="55"/>
  <c r="Q1051" i="55"/>
  <c r="P1050" i="55"/>
  <c r="Q1047" i="55"/>
  <c r="P1046" i="55"/>
  <c r="Q1043" i="55"/>
  <c r="P1042" i="55"/>
  <c r="Q1039" i="55"/>
  <c r="P1038" i="55"/>
  <c r="Q1035" i="55"/>
  <c r="P1034" i="55"/>
  <c r="Q1031" i="55"/>
  <c r="P1030" i="55"/>
  <c r="Q1027" i="55"/>
  <c r="P1026" i="55"/>
  <c r="Q1023" i="55"/>
  <c r="P1022" i="55"/>
  <c r="Q1019" i="55"/>
  <c r="P1018" i="55"/>
  <c r="Q1015" i="55"/>
  <c r="P1014" i="55"/>
  <c r="Q1011" i="55"/>
  <c r="P1010" i="55"/>
  <c r="Q1007" i="55"/>
  <c r="P1006" i="55"/>
  <c r="Q1002" i="55"/>
  <c r="P1001" i="55"/>
  <c r="Q998" i="55"/>
  <c r="P996" i="55"/>
  <c r="Q993" i="55"/>
  <c r="P992" i="55"/>
  <c r="Q989" i="55"/>
  <c r="P988" i="55"/>
  <c r="Q985" i="55"/>
  <c r="P984" i="55"/>
  <c r="Q981" i="55"/>
  <c r="P980" i="55"/>
  <c r="Q977" i="55"/>
  <c r="P976" i="55"/>
  <c r="Q973" i="55"/>
  <c r="P972" i="55"/>
  <c r="P968" i="55"/>
  <c r="Q965" i="55"/>
  <c r="P964" i="55"/>
  <c r="Q961" i="55"/>
  <c r="P960" i="55"/>
  <c r="Q957" i="55"/>
  <c r="P956" i="55"/>
  <c r="Q953" i="55"/>
  <c r="P952" i="55"/>
  <c r="P948" i="55"/>
  <c r="P944" i="55"/>
  <c r="P940" i="55"/>
  <c r="Q937" i="55"/>
  <c r="P936" i="55"/>
  <c r="Q933" i="55"/>
  <c r="P932" i="55"/>
  <c r="Q929" i="55"/>
  <c r="P928" i="55"/>
  <c r="Q925" i="55"/>
  <c r="P924" i="55"/>
  <c r="Q921" i="55"/>
  <c r="P920" i="55"/>
  <c r="Q917" i="55"/>
  <c r="P916" i="55"/>
  <c r="Q913" i="55"/>
  <c r="P908" i="55"/>
  <c r="Q905" i="55"/>
  <c r="P904" i="55"/>
  <c r="Q901" i="55"/>
  <c r="P900" i="55"/>
  <c r="Q897" i="55"/>
  <c r="P896" i="55"/>
  <c r="P892" i="55"/>
  <c r="Q889" i="55"/>
  <c r="P888" i="55"/>
  <c r="Q885" i="55"/>
  <c r="P884" i="55"/>
  <c r="Q881" i="55"/>
  <c r="Q1064" i="55"/>
  <c r="P1063" i="55"/>
  <c r="Q1060" i="55"/>
  <c r="P1059" i="55"/>
  <c r="Q1056" i="55"/>
  <c r="P1055" i="55"/>
  <c r="Q1052" i="55"/>
  <c r="P1051" i="55"/>
  <c r="Q1048" i="55"/>
  <c r="P1047" i="55"/>
  <c r="Q1044" i="55"/>
  <c r="P1043" i="55"/>
  <c r="Q1040" i="55"/>
  <c r="P1039" i="55"/>
  <c r="Q1036" i="55"/>
  <c r="P1035" i="55"/>
  <c r="Q1032" i="55"/>
  <c r="P1031" i="55"/>
  <c r="Q1028" i="55"/>
  <c r="P1027" i="55"/>
  <c r="Q1024" i="55"/>
  <c r="P1023" i="55"/>
  <c r="Q1020" i="55"/>
  <c r="P1019" i="55"/>
  <c r="Q1016" i="55"/>
  <c r="P1015" i="55"/>
  <c r="Q1012" i="55"/>
  <c r="P1011" i="55"/>
  <c r="Q1008" i="55"/>
  <c r="P1007" i="55"/>
  <c r="Q1003" i="55"/>
  <c r="P1002" i="55"/>
  <c r="Q999" i="55"/>
  <c r="P998" i="55"/>
  <c r="Q994" i="55"/>
  <c r="P993" i="55"/>
  <c r="Q990" i="55"/>
  <c r="P989" i="55"/>
  <c r="Q986" i="55"/>
  <c r="P985" i="55"/>
  <c r="Q982" i="55"/>
  <c r="P981" i="55"/>
  <c r="Q978" i="55"/>
  <c r="P977" i="55"/>
  <c r="Q974" i="55"/>
  <c r="P973" i="55"/>
  <c r="P969" i="55"/>
  <c r="Q966" i="55"/>
  <c r="P965" i="55"/>
  <c r="Q962" i="55"/>
  <c r="P961" i="55"/>
  <c r="Q958" i="55"/>
  <c r="P957" i="55"/>
  <c r="Q954" i="55"/>
  <c r="P953" i="55"/>
  <c r="P949" i="55"/>
  <c r="P945" i="55"/>
  <c r="P941" i="55"/>
  <c r="Q938" i="55"/>
  <c r="P937" i="55"/>
  <c r="Q934" i="55"/>
  <c r="P933" i="55"/>
  <c r="Q930" i="55"/>
  <c r="P929" i="55"/>
  <c r="Q926" i="55"/>
  <c r="P925" i="55"/>
  <c r="Q922" i="55"/>
  <c r="P921" i="55"/>
  <c r="Q918" i="55"/>
  <c r="P917" i="55"/>
  <c r="Q914" i="55"/>
  <c r="P913" i="55"/>
  <c r="Q906" i="55"/>
  <c r="P905" i="55"/>
  <c r="Q902" i="55"/>
  <c r="P901" i="55"/>
  <c r="Q898" i="55"/>
  <c r="P897" i="55"/>
  <c r="Q894" i="55"/>
  <c r="P893" i="55"/>
  <c r="P889" i="55"/>
  <c r="Q886" i="55"/>
  <c r="P885" i="55"/>
  <c r="Q882" i="55"/>
  <c r="P881" i="55"/>
  <c r="P1064" i="55"/>
  <c r="Q1061" i="55"/>
  <c r="P1060" i="55"/>
  <c r="Q1057" i="55"/>
  <c r="P1056" i="55"/>
  <c r="Q1053" i="55"/>
  <c r="P1052" i="55"/>
  <c r="Q1049" i="55"/>
  <c r="P1048" i="55"/>
  <c r="Q1045" i="55"/>
  <c r="P1044" i="55"/>
  <c r="Q1041" i="55"/>
  <c r="P1040" i="55"/>
  <c r="Q1037" i="55"/>
  <c r="P1036" i="55"/>
  <c r="Q1033" i="55"/>
  <c r="P1032" i="55"/>
  <c r="Q1029" i="55"/>
  <c r="P1028" i="55"/>
  <c r="Q1025" i="55"/>
  <c r="P1024" i="55"/>
  <c r="Q1021" i="55"/>
  <c r="P1020" i="55"/>
  <c r="Q1017" i="55"/>
  <c r="P1016" i="55"/>
  <c r="Q1013" i="55"/>
  <c r="P1012" i="55"/>
  <c r="Q1009" i="55"/>
  <c r="P1008" i="55"/>
  <c r="Q1004" i="55"/>
  <c r="P1003" i="55"/>
  <c r="Q1000" i="55"/>
  <c r="P999" i="55"/>
  <c r="Q995" i="55"/>
  <c r="P994" i="55"/>
  <c r="Q991" i="55"/>
  <c r="P990" i="55"/>
  <c r="Q987" i="55"/>
  <c r="P986" i="55"/>
  <c r="Q983" i="55"/>
  <c r="Q1062" i="55"/>
  <c r="P1061" i="55"/>
  <c r="Q1058" i="55"/>
  <c r="P1057" i="55"/>
  <c r="Q1054" i="55"/>
  <c r="P1053" i="55"/>
  <c r="Q1050" i="55"/>
  <c r="P1049" i="55"/>
  <c r="Q1046" i="55"/>
  <c r="P1045" i="55"/>
  <c r="Q1042" i="55"/>
  <c r="P1041" i="55"/>
  <c r="Q1038" i="55"/>
  <c r="P1037" i="55"/>
  <c r="Q1034" i="55"/>
  <c r="P1033" i="55"/>
  <c r="Q1030" i="55"/>
  <c r="P1029" i="55"/>
  <c r="Q1026" i="55"/>
  <c r="P1025" i="55"/>
  <c r="Q1022" i="55"/>
  <c r="P1021" i="55"/>
  <c r="Q1018" i="55"/>
  <c r="P1017" i="55"/>
  <c r="Q1014" i="55"/>
  <c r="P1013" i="55"/>
  <c r="Q1010" i="55"/>
  <c r="P1009" i="55"/>
  <c r="Q1006" i="55"/>
  <c r="P1004" i="55"/>
  <c r="Q1001" i="55"/>
  <c r="P1000" i="55"/>
  <c r="Q996" i="55"/>
  <c r="P995" i="55"/>
  <c r="Q992" i="55"/>
  <c r="P991" i="55"/>
  <c r="Q988" i="55"/>
  <c r="P987" i="55"/>
  <c r="Q984" i="55"/>
  <c r="P983" i="55"/>
  <c r="Q980" i="55"/>
  <c r="P979" i="55"/>
  <c r="Q976" i="55"/>
  <c r="P975" i="55"/>
  <c r="P971" i="55"/>
  <c r="Q968" i="55"/>
  <c r="P967" i="55"/>
  <c r="Q964" i="55"/>
  <c r="P963" i="55"/>
  <c r="Q960" i="55"/>
  <c r="P959" i="55"/>
  <c r="Q956" i="55"/>
  <c r="P955" i="55"/>
  <c r="Q952" i="55"/>
  <c r="P951" i="55"/>
  <c r="P947" i="55"/>
  <c r="P943" i="55"/>
  <c r="Q940" i="55"/>
  <c r="P939" i="55"/>
  <c r="Q936" i="55"/>
  <c r="P935" i="55"/>
  <c r="Q932" i="55"/>
  <c r="P931" i="55"/>
  <c r="Q928" i="55"/>
  <c r="P927" i="55"/>
  <c r="Q924" i="55"/>
  <c r="P923" i="55"/>
  <c r="Q920" i="55"/>
  <c r="P919" i="55"/>
  <c r="Q916" i="55"/>
  <c r="P915" i="55"/>
  <c r="Q908" i="55"/>
  <c r="P907" i="55"/>
  <c r="Q904" i="55"/>
  <c r="P903" i="55"/>
  <c r="P982" i="55"/>
  <c r="Q979" i="55"/>
  <c r="P974" i="55"/>
  <c r="P970" i="55"/>
  <c r="P950" i="55"/>
  <c r="Q900" i="55"/>
  <c r="Q896" i="55"/>
  <c r="P891" i="55"/>
  <c r="Q887" i="55"/>
  <c r="Q883" i="55"/>
  <c r="Q878" i="55"/>
  <c r="P877" i="55"/>
  <c r="Q874" i="55"/>
  <c r="P873" i="55"/>
  <c r="Q870" i="55"/>
  <c r="P869" i="55"/>
  <c r="Q866" i="55"/>
  <c r="P865" i="55"/>
  <c r="Q862" i="55"/>
  <c r="P861" i="55"/>
  <c r="Q858" i="55"/>
  <c r="P857" i="55"/>
  <c r="Q854" i="55"/>
  <c r="P853" i="55"/>
  <c r="Q850" i="55"/>
  <c r="P849" i="55"/>
  <c r="Q846" i="55"/>
  <c r="P845" i="55"/>
  <c r="Q842" i="55"/>
  <c r="P841" i="55"/>
  <c r="Q838" i="55"/>
  <c r="P837" i="55"/>
  <c r="Q834" i="55"/>
  <c r="P833" i="55"/>
  <c r="Q830" i="55"/>
  <c r="P829" i="55"/>
  <c r="Q826" i="55"/>
  <c r="P825" i="55"/>
  <c r="Q822" i="55"/>
  <c r="P821" i="55"/>
  <c r="Q818" i="55"/>
  <c r="P817" i="55"/>
  <c r="Q814" i="55"/>
  <c r="P813" i="55"/>
  <c r="Q810" i="55"/>
  <c r="P809" i="55"/>
  <c r="Q806" i="55"/>
  <c r="P805" i="55"/>
  <c r="Q802" i="55"/>
  <c r="P801" i="55"/>
  <c r="Q798" i="55"/>
  <c r="P797" i="55"/>
  <c r="Q794" i="55"/>
  <c r="P793" i="55"/>
  <c r="Q790" i="55"/>
  <c r="P789" i="55"/>
  <c r="Q786" i="55"/>
  <c r="P785" i="55"/>
  <c r="Q782" i="55"/>
  <c r="P781" i="55"/>
  <c r="Q778" i="55"/>
  <c r="P777" i="55"/>
  <c r="Q774" i="55"/>
  <c r="P773" i="55"/>
  <c r="Q770" i="55"/>
  <c r="P769" i="55"/>
  <c r="Q766" i="55"/>
  <c r="P765" i="55"/>
  <c r="Q967" i="55"/>
  <c r="P962" i="55"/>
  <c r="Q959" i="55"/>
  <c r="P954" i="55"/>
  <c r="Q951" i="55"/>
  <c r="P946" i="55"/>
  <c r="P938" i="55"/>
  <c r="Q935" i="55"/>
  <c r="P930" i="55"/>
  <c r="P922" i="55"/>
  <c r="Q919" i="55"/>
  <c r="P914" i="55"/>
  <c r="Q907" i="55"/>
  <c r="P902" i="55"/>
  <c r="P898" i="55"/>
  <c r="P894" i="55"/>
  <c r="P887" i="55"/>
  <c r="P883" i="55"/>
  <c r="Q879" i="55"/>
  <c r="P878" i="55"/>
  <c r="Q875" i="55"/>
  <c r="P874" i="55"/>
  <c r="Q871" i="55"/>
  <c r="P870" i="55"/>
  <c r="Q867" i="55"/>
  <c r="P866" i="55"/>
  <c r="Q863" i="55"/>
  <c r="P862" i="55"/>
  <c r="Q859" i="55"/>
  <c r="P858" i="55"/>
  <c r="Q855" i="55"/>
  <c r="P854" i="55"/>
  <c r="Q851" i="55"/>
  <c r="P850" i="55"/>
  <c r="Q847" i="55"/>
  <c r="P846" i="55"/>
  <c r="Q843" i="55"/>
  <c r="P842" i="55"/>
  <c r="Q839" i="55"/>
  <c r="P838" i="55"/>
  <c r="Q835" i="55"/>
  <c r="P834" i="55"/>
  <c r="Q831" i="55"/>
  <c r="P830" i="55"/>
  <c r="Q827" i="55"/>
  <c r="P826" i="55"/>
  <c r="Q823" i="55"/>
  <c r="P822" i="55"/>
  <c r="Q819" i="55"/>
  <c r="P818" i="55"/>
  <c r="Q815" i="55"/>
  <c r="P814" i="55"/>
  <c r="Q811" i="55"/>
  <c r="P810" i="55"/>
  <c r="P806" i="55"/>
  <c r="Q803" i="55"/>
  <c r="P802" i="55"/>
  <c r="Q799" i="55"/>
  <c r="P798" i="55"/>
  <c r="Q795" i="55"/>
  <c r="P794" i="55"/>
  <c r="Q791" i="55"/>
  <c r="P790" i="55"/>
  <c r="Q787" i="55"/>
  <c r="P786" i="55"/>
  <c r="Q783" i="55"/>
  <c r="P782" i="55"/>
  <c r="Q779" i="55"/>
  <c r="P778" i="55"/>
  <c r="Q775" i="55"/>
  <c r="P774" i="55"/>
  <c r="Q771" i="55"/>
  <c r="P770" i="55"/>
  <c r="Q767" i="55"/>
  <c r="P766" i="55"/>
  <c r="Q763" i="55"/>
  <c r="P762" i="55"/>
  <c r="Q759" i="55"/>
  <c r="P758" i="55"/>
  <c r="Q755" i="55"/>
  <c r="P754" i="55"/>
  <c r="Q751" i="55"/>
  <c r="P750" i="55"/>
  <c r="Q747" i="55"/>
  <c r="P746" i="55"/>
  <c r="P978" i="55"/>
  <c r="Q975" i="55"/>
  <c r="P942" i="55"/>
  <c r="Q899" i="55"/>
  <c r="Q895" i="55"/>
  <c r="Q888" i="55"/>
  <c r="Q884" i="55"/>
  <c r="Q880" i="55"/>
  <c r="P879" i="55"/>
  <c r="Q876" i="55"/>
  <c r="P875" i="55"/>
  <c r="Q872" i="55"/>
  <c r="P871" i="55"/>
  <c r="Q868" i="55"/>
  <c r="P867" i="55"/>
  <c r="Q864" i="55"/>
  <c r="P863" i="55"/>
  <c r="Q860" i="55"/>
  <c r="P859" i="55"/>
  <c r="Q856" i="55"/>
  <c r="P855" i="55"/>
  <c r="Q852" i="55"/>
  <c r="P851" i="55"/>
  <c r="Q848" i="55"/>
  <c r="P847" i="55"/>
  <c r="Q844" i="55"/>
  <c r="P843" i="55"/>
  <c r="Q840" i="55"/>
  <c r="P839" i="55"/>
  <c r="Q836" i="55"/>
  <c r="P835" i="55"/>
  <c r="Q832" i="55"/>
  <c r="P831" i="55"/>
  <c r="Q828" i="55"/>
  <c r="P827" i="55"/>
  <c r="Q824" i="55"/>
  <c r="P823" i="55"/>
  <c r="Q820" i="55"/>
  <c r="P819" i="55"/>
  <c r="Q816" i="55"/>
  <c r="P815" i="55"/>
  <c r="Q812" i="55"/>
  <c r="P811" i="55"/>
  <c r="P807" i="55"/>
  <c r="Q804" i="55"/>
  <c r="P803" i="55"/>
  <c r="Q800" i="55"/>
  <c r="P799" i="55"/>
  <c r="Q796" i="55"/>
  <c r="P795" i="55"/>
  <c r="Q792" i="55"/>
  <c r="P791" i="55"/>
  <c r="Q788" i="55"/>
  <c r="P787" i="55"/>
  <c r="Q784" i="55"/>
  <c r="P783" i="55"/>
  <c r="Q780" i="55"/>
  <c r="P779" i="55"/>
  <c r="Q776" i="55"/>
  <c r="P775" i="55"/>
  <c r="Q772" i="55"/>
  <c r="P771" i="55"/>
  <c r="Q768" i="55"/>
  <c r="P767" i="55"/>
  <c r="Q764" i="55"/>
  <c r="P763" i="55"/>
  <c r="Q760" i="55"/>
  <c r="P759" i="55"/>
  <c r="Q756" i="55"/>
  <c r="P755" i="55"/>
  <c r="Q752" i="55"/>
  <c r="P751" i="55"/>
  <c r="Q748" i="55"/>
  <c r="P747" i="55"/>
  <c r="Q744" i="55"/>
  <c r="P743" i="55"/>
  <c r="Q740" i="55"/>
  <c r="P739" i="55"/>
  <c r="Q736" i="55"/>
  <c r="P735" i="55"/>
  <c r="P966" i="55"/>
  <c r="Q963" i="55"/>
  <c r="P918" i="55"/>
  <c r="Q915" i="55"/>
  <c r="P895" i="55"/>
  <c r="P882" i="55"/>
  <c r="P808" i="55"/>
  <c r="Q761" i="55"/>
  <c r="Q757" i="55"/>
  <c r="Q753" i="55"/>
  <c r="Q749" i="55"/>
  <c r="Q745" i="55"/>
  <c r="P742" i="55"/>
  <c r="Q737" i="55"/>
  <c r="P734" i="55"/>
  <c r="Q731" i="55"/>
  <c r="P730" i="55"/>
  <c r="Q727" i="55"/>
  <c r="P726" i="55"/>
  <c r="Q723" i="55"/>
  <c r="P722" i="55"/>
  <c r="Q719" i="55"/>
  <c r="P718" i="55"/>
  <c r="Q715" i="55"/>
  <c r="P714" i="55"/>
  <c r="Q711" i="55"/>
  <c r="P710" i="55"/>
  <c r="Q707" i="55"/>
  <c r="P706" i="55"/>
  <c r="Q703" i="55"/>
  <c r="P702" i="55"/>
  <c r="Q699" i="55"/>
  <c r="P698" i="55"/>
  <c r="Q695" i="55"/>
  <c r="P694" i="55"/>
  <c r="Q691" i="55"/>
  <c r="P690" i="55"/>
  <c r="Q687" i="55"/>
  <c r="P686" i="55"/>
  <c r="Q683" i="55"/>
  <c r="P682" i="55"/>
  <c r="Q679" i="55"/>
  <c r="P678" i="55"/>
  <c r="Q675" i="55"/>
  <c r="P674" i="55"/>
  <c r="Q671" i="55"/>
  <c r="P670" i="55"/>
  <c r="Q667" i="55"/>
  <c r="P665" i="55"/>
  <c r="Q662" i="55"/>
  <c r="P661" i="55"/>
  <c r="Q658" i="55"/>
  <c r="P657" i="55"/>
  <c r="Q654" i="55"/>
  <c r="P653" i="55"/>
  <c r="Q650" i="55"/>
  <c r="P649" i="55"/>
  <c r="Q646" i="55"/>
  <c r="P645" i="55"/>
  <c r="Q642" i="55"/>
  <c r="P641" i="55"/>
  <c r="Q638" i="55"/>
  <c r="P637" i="55"/>
  <c r="Q634" i="55"/>
  <c r="P633" i="55"/>
  <c r="Q630" i="55"/>
  <c r="P629" i="55"/>
  <c r="Q626" i="55"/>
  <c r="P625" i="55"/>
  <c r="Q622" i="55"/>
  <c r="P621" i="55"/>
  <c r="Q618" i="55"/>
  <c r="P617" i="55"/>
  <c r="Q613" i="55"/>
  <c r="P612" i="55"/>
  <c r="Q609" i="55"/>
  <c r="P608" i="55"/>
  <c r="Q605" i="55"/>
  <c r="P604" i="55"/>
  <c r="Q601" i="55"/>
  <c r="P600" i="55"/>
  <c r="Q597" i="55"/>
  <c r="P596" i="55"/>
  <c r="Q593" i="55"/>
  <c r="P592" i="55"/>
  <c r="Q589" i="55"/>
  <c r="P588" i="55"/>
  <c r="Q585" i="55"/>
  <c r="P584" i="55"/>
  <c r="Q581" i="55"/>
  <c r="P580" i="55"/>
  <c r="Q577" i="55"/>
  <c r="P576" i="55"/>
  <c r="Q573" i="55"/>
  <c r="P572" i="55"/>
  <c r="Q562" i="55"/>
  <c r="P561" i="55"/>
  <c r="Q558" i="55"/>
  <c r="P557" i="55"/>
  <c r="Q939" i="55"/>
  <c r="P876" i="55"/>
  <c r="Q873" i="55"/>
  <c r="P868" i="55"/>
  <c r="Q865" i="55"/>
  <c r="P860" i="55"/>
  <c r="Q857" i="55"/>
  <c r="P852" i="55"/>
  <c r="Q849" i="55"/>
  <c r="P844" i="55"/>
  <c r="Q841" i="55"/>
  <c r="P836" i="55"/>
  <c r="Q833" i="55"/>
  <c r="P828" i="55"/>
  <c r="Q825" i="55"/>
  <c r="P820" i="55"/>
  <c r="Q817" i="55"/>
  <c r="P812" i="55"/>
  <c r="Q809" i="55"/>
  <c r="Q805" i="55"/>
  <c r="P800" i="55"/>
  <c r="Q797" i="55"/>
  <c r="P792" i="55"/>
  <c r="Q789" i="55"/>
  <c r="P784" i="55"/>
  <c r="Q781" i="55"/>
  <c r="P776" i="55"/>
  <c r="Q773" i="55"/>
  <c r="P768" i="55"/>
  <c r="Q765" i="55"/>
  <c r="P761" i="55"/>
  <c r="P757" i="55"/>
  <c r="P753" i="55"/>
  <c r="P749" i="55"/>
  <c r="P745" i="55"/>
  <c r="Q743" i="55"/>
  <c r="P740" i="55"/>
  <c r="Q738" i="55"/>
  <c r="P737" i="55"/>
  <c r="Q735" i="55"/>
  <c r="Q732" i="55"/>
  <c r="P731" i="55"/>
  <c r="Q728" i="55"/>
  <c r="P727" i="55"/>
  <c r="Q724" i="55"/>
  <c r="P723" i="55"/>
  <c r="Q720" i="55"/>
  <c r="P719" i="55"/>
  <c r="Q716" i="55"/>
  <c r="P715" i="55"/>
  <c r="Q712" i="55"/>
  <c r="P711" i="55"/>
  <c r="Q708" i="55"/>
  <c r="P707" i="55"/>
  <c r="Q704" i="55"/>
  <c r="P703" i="55"/>
  <c r="Q700" i="55"/>
  <c r="P699" i="55"/>
  <c r="Q696" i="55"/>
  <c r="P695" i="55"/>
  <c r="Q692" i="55"/>
  <c r="P691" i="55"/>
  <c r="Q688" i="55"/>
  <c r="P687" i="55"/>
  <c r="Q684" i="55"/>
  <c r="P683" i="55"/>
  <c r="Q680" i="55"/>
  <c r="P679" i="55"/>
  <c r="Q676" i="55"/>
  <c r="P675" i="55"/>
  <c r="Q672" i="55"/>
  <c r="P671" i="55"/>
  <c r="Q668" i="55"/>
  <c r="P667" i="55"/>
  <c r="Q663" i="55"/>
  <c r="P662" i="55"/>
  <c r="Q659" i="55"/>
  <c r="P658" i="55"/>
  <c r="Q655" i="55"/>
  <c r="P654" i="55"/>
  <c r="Q651" i="55"/>
  <c r="P650" i="55"/>
  <c r="Q647" i="55"/>
  <c r="P646" i="55"/>
  <c r="Q643" i="55"/>
  <c r="P642" i="55"/>
  <c r="Q639" i="55"/>
  <c r="P638" i="55"/>
  <c r="Q635" i="55"/>
  <c r="P634" i="55"/>
  <c r="Q631" i="55"/>
  <c r="P630" i="55"/>
  <c r="Q627" i="55"/>
  <c r="P626" i="55"/>
  <c r="Q623" i="55"/>
  <c r="P622" i="55"/>
  <c r="Q619" i="55"/>
  <c r="P618" i="55"/>
  <c r="Q614" i="55"/>
  <c r="P613" i="55"/>
  <c r="Q610" i="55"/>
  <c r="P609" i="55"/>
  <c r="Q606" i="55"/>
  <c r="P605" i="55"/>
  <c r="Q602" i="55"/>
  <c r="P601" i="55"/>
  <c r="Q598" i="55"/>
  <c r="P597" i="55"/>
  <c r="P958" i="55"/>
  <c r="Q955" i="55"/>
  <c r="P926" i="55"/>
  <c r="Q923" i="55"/>
  <c r="P906" i="55"/>
  <c r="Q903" i="55"/>
  <c r="P890" i="55"/>
  <c r="Q762" i="55"/>
  <c r="Q758" i="55"/>
  <c r="Q754" i="55"/>
  <c r="Q750" i="55"/>
  <c r="Q746" i="55"/>
  <c r="Q741" i="55"/>
  <c r="P738" i="55"/>
  <c r="Q733" i="55"/>
  <c r="P732" i="55"/>
  <c r="Q729" i="55"/>
  <c r="P728" i="55"/>
  <c r="Q725" i="55"/>
  <c r="P724" i="55"/>
  <c r="Q721" i="55"/>
  <c r="P720" i="55"/>
  <c r="Q717" i="55"/>
  <c r="P716" i="55"/>
  <c r="Q713" i="55"/>
  <c r="P712" i="55"/>
  <c r="Q709" i="55"/>
  <c r="P708" i="55"/>
  <c r="Q705" i="55"/>
  <c r="P704" i="55"/>
  <c r="Q701" i="55"/>
  <c r="P700" i="55"/>
  <c r="Q697" i="55"/>
  <c r="P696" i="55"/>
  <c r="P692" i="55"/>
  <c r="Q689" i="55"/>
  <c r="P688" i="55"/>
  <c r="Q685" i="55"/>
  <c r="P684" i="55"/>
  <c r="Q681" i="55"/>
  <c r="P680" i="55"/>
  <c r="Q677" i="55"/>
  <c r="P676" i="55"/>
  <c r="Q673" i="55"/>
  <c r="P672" i="55"/>
  <c r="Q669" i="55"/>
  <c r="P668" i="55"/>
  <c r="Q664" i="55"/>
  <c r="P663" i="55"/>
  <c r="Q660" i="55"/>
  <c r="P659" i="55"/>
  <c r="Q656" i="55"/>
  <c r="P655" i="55"/>
  <c r="Q652" i="55"/>
  <c r="P651" i="55"/>
  <c r="Q648" i="55"/>
  <c r="P647" i="55"/>
  <c r="Q644" i="55"/>
  <c r="P643" i="55"/>
  <c r="Q640" i="55"/>
  <c r="P639" i="55"/>
  <c r="Q636" i="55"/>
  <c r="P635" i="55"/>
  <c r="Q632" i="55"/>
  <c r="P631" i="55"/>
  <c r="Q628" i="55"/>
  <c r="P627" i="55"/>
  <c r="Q624" i="55"/>
  <c r="P623" i="55"/>
  <c r="Q620" i="55"/>
  <c r="P619" i="55"/>
  <c r="Q615" i="55"/>
  <c r="P614" i="55"/>
  <c r="Q611" i="55"/>
  <c r="P610" i="55"/>
  <c r="Q607" i="55"/>
  <c r="P606" i="55"/>
  <c r="Q603" i="55"/>
  <c r="P602" i="55"/>
  <c r="Q599" i="55"/>
  <c r="P598" i="55"/>
  <c r="Q595" i="55"/>
  <c r="P594" i="55"/>
  <c r="Q591" i="55"/>
  <c r="P590" i="55"/>
  <c r="P899" i="55"/>
  <c r="P760" i="55"/>
  <c r="P744" i="55"/>
  <c r="Q739" i="55"/>
  <c r="P736" i="55"/>
  <c r="P689" i="55"/>
  <c r="Q686" i="55"/>
  <c r="P681" i="55"/>
  <c r="P673" i="55"/>
  <c r="Q670" i="55"/>
  <c r="P664" i="55"/>
  <c r="Q661" i="55"/>
  <c r="P656" i="55"/>
  <c r="Q653" i="55"/>
  <c r="P648" i="55"/>
  <c r="Q645" i="55"/>
  <c r="P640" i="55"/>
  <c r="Q637" i="55"/>
  <c r="P632" i="55"/>
  <c r="Q629" i="55"/>
  <c r="P624" i="55"/>
  <c r="Q621" i="55"/>
  <c r="P615" i="55"/>
  <c r="Q612" i="55"/>
  <c r="P607" i="55"/>
  <c r="Q604" i="55"/>
  <c r="P599" i="55"/>
  <c r="Q596" i="55"/>
  <c r="Q594" i="55"/>
  <c r="Q592" i="55"/>
  <c r="Q590" i="55"/>
  <c r="Q588" i="55"/>
  <c r="P585" i="55"/>
  <c r="Q583" i="55"/>
  <c r="P582" i="55"/>
  <c r="Q580" i="55"/>
  <c r="P577" i="55"/>
  <c r="Q575" i="55"/>
  <c r="P574" i="55"/>
  <c r="Q572" i="55"/>
  <c r="P562" i="55"/>
  <c r="Q560" i="55"/>
  <c r="P559" i="55"/>
  <c r="Q557" i="55"/>
  <c r="Q554" i="55"/>
  <c r="P553" i="55"/>
  <c r="Q550" i="55"/>
  <c r="P549" i="55"/>
  <c r="Q546" i="55"/>
  <c r="P545" i="55"/>
  <c r="Q542" i="55"/>
  <c r="P541" i="55"/>
  <c r="Q538" i="55"/>
  <c r="P537" i="55"/>
  <c r="Q534" i="55"/>
  <c r="P533" i="55"/>
  <c r="Q530" i="55"/>
  <c r="P529" i="55"/>
  <c r="Q526" i="55"/>
  <c r="P525" i="55"/>
  <c r="Q522" i="55"/>
  <c r="P521" i="55"/>
  <c r="Q518" i="55"/>
  <c r="P517" i="55"/>
  <c r="Q514" i="55"/>
  <c r="P513" i="55"/>
  <c r="Q510" i="55"/>
  <c r="P509" i="55"/>
  <c r="Q506" i="55"/>
  <c r="P505" i="55"/>
  <c r="Q502" i="55"/>
  <c r="P501" i="55"/>
  <c r="Q498" i="55"/>
  <c r="P497" i="55"/>
  <c r="Q494" i="55"/>
  <c r="P493" i="55"/>
  <c r="Q490" i="55"/>
  <c r="P489" i="55"/>
  <c r="Q486" i="55"/>
  <c r="P485" i="55"/>
  <c r="P482" i="55"/>
  <c r="Q479" i="55"/>
  <c r="P478" i="55"/>
  <c r="Q475" i="55"/>
  <c r="P474" i="55"/>
  <c r="Q471" i="55"/>
  <c r="P470" i="55"/>
  <c r="Q467" i="55"/>
  <c r="P466" i="55"/>
  <c r="Q463" i="55"/>
  <c r="P462" i="55"/>
  <c r="Q459" i="55"/>
  <c r="P458" i="55"/>
  <c r="Q455" i="55"/>
  <c r="P454" i="55"/>
  <c r="Q451" i="55"/>
  <c r="P450" i="55"/>
  <c r="Q447" i="55"/>
  <c r="P446" i="55"/>
  <c r="Q443" i="55"/>
  <c r="P442" i="55"/>
  <c r="Q439" i="55"/>
  <c r="P438" i="55"/>
  <c r="Q435" i="55"/>
  <c r="P434" i="55"/>
  <c r="Q431" i="55"/>
  <c r="P430" i="55"/>
  <c r="Q427" i="55"/>
  <c r="P426" i="55"/>
  <c r="Q423" i="55"/>
  <c r="P422" i="55"/>
  <c r="Q419" i="55"/>
  <c r="P418" i="55"/>
  <c r="Q415" i="55"/>
  <c r="P414" i="55"/>
  <c r="Q411" i="55"/>
  <c r="P410" i="55"/>
  <c r="Q407" i="55"/>
  <c r="P406" i="55"/>
  <c r="Q403" i="55"/>
  <c r="P402" i="55"/>
  <c r="Q399" i="55"/>
  <c r="P398" i="55"/>
  <c r="Q395" i="55"/>
  <c r="P394" i="55"/>
  <c r="Q391" i="55"/>
  <c r="P390" i="55"/>
  <c r="Q387" i="55"/>
  <c r="P386" i="55"/>
  <c r="Q383" i="55"/>
  <c r="P382" i="55"/>
  <c r="Q379" i="55"/>
  <c r="P378" i="55"/>
  <c r="Q375" i="55"/>
  <c r="P374" i="55"/>
  <c r="Q371" i="55"/>
  <c r="P370" i="55"/>
  <c r="Q367" i="55"/>
  <c r="P366" i="55"/>
  <c r="Q363" i="55"/>
  <c r="P362" i="55"/>
  <c r="Q359" i="55"/>
  <c r="P358" i="55"/>
  <c r="P880" i="55"/>
  <c r="Q877" i="55"/>
  <c r="P864" i="55"/>
  <c r="Q861" i="55"/>
  <c r="P848" i="55"/>
  <c r="Q845" i="55"/>
  <c r="P832" i="55"/>
  <c r="Q829" i="55"/>
  <c r="P816" i="55"/>
  <c r="Q813" i="55"/>
  <c r="P804" i="55"/>
  <c r="Q801" i="55"/>
  <c r="P788" i="55"/>
  <c r="Q785" i="55"/>
  <c r="P772" i="55"/>
  <c r="Q769" i="55"/>
  <c r="P756" i="55"/>
  <c r="P741" i="55"/>
  <c r="P733" i="55"/>
  <c r="Q730" i="55"/>
  <c r="P725" i="55"/>
  <c r="Q722" i="55"/>
  <c r="P717" i="55"/>
  <c r="Q714" i="55"/>
  <c r="P709" i="55"/>
  <c r="Q706" i="55"/>
  <c r="P701" i="55"/>
  <c r="Q698" i="55"/>
  <c r="Q586" i="55"/>
  <c r="P583" i="55"/>
  <c r="Q578" i="55"/>
  <c r="P575" i="55"/>
  <c r="Q563" i="55"/>
  <c r="P560" i="55"/>
  <c r="Q555" i="55"/>
  <c r="P554" i="55"/>
  <c r="Q551" i="55"/>
  <c r="P550" i="55"/>
  <c r="Q547" i="55"/>
  <c r="P546" i="55"/>
  <c r="Q543" i="55"/>
  <c r="P542" i="55"/>
  <c r="Q539" i="55"/>
  <c r="P538" i="55"/>
  <c r="Q535" i="55"/>
  <c r="P534" i="55"/>
  <c r="Q531" i="55"/>
  <c r="P530" i="55"/>
  <c r="Q527" i="55"/>
  <c r="P526" i="55"/>
  <c r="Q523" i="55"/>
  <c r="P522" i="55"/>
  <c r="Q519" i="55"/>
  <c r="P518" i="55"/>
  <c r="Q515" i="55"/>
  <c r="P514" i="55"/>
  <c r="Q511" i="55"/>
  <c r="P510" i="55"/>
  <c r="Q507" i="55"/>
  <c r="P506" i="55"/>
  <c r="Q503" i="55"/>
  <c r="P502" i="55"/>
  <c r="Q499" i="55"/>
  <c r="P498" i="55"/>
  <c r="Q495" i="55"/>
  <c r="P494" i="55"/>
  <c r="Q491" i="55"/>
  <c r="P490" i="55"/>
  <c r="Q487" i="55"/>
  <c r="P486" i="55"/>
  <c r="Q483" i="55"/>
  <c r="Q480" i="55"/>
  <c r="P479" i="55"/>
  <c r="Q476" i="55"/>
  <c r="P475" i="55"/>
  <c r="Q472" i="55"/>
  <c r="P471" i="55"/>
  <c r="Q468" i="55"/>
  <c r="P467" i="55"/>
  <c r="Q464" i="55"/>
  <c r="P463" i="55"/>
  <c r="Q460" i="55"/>
  <c r="P459" i="55"/>
  <c r="Q456" i="55"/>
  <c r="P455" i="55"/>
  <c r="Q452" i="55"/>
  <c r="P451" i="55"/>
  <c r="Q448" i="55"/>
  <c r="P447" i="55"/>
  <c r="Q444" i="55"/>
  <c r="P443" i="55"/>
  <c r="Q440" i="55"/>
  <c r="P439" i="55"/>
  <c r="Q436" i="55"/>
  <c r="P435" i="55"/>
  <c r="Q432" i="55"/>
  <c r="P431" i="55"/>
  <c r="Q428" i="55"/>
  <c r="P427" i="55"/>
  <c r="Q424" i="55"/>
  <c r="P423" i="55"/>
  <c r="Q420" i="55"/>
  <c r="P419" i="55"/>
  <c r="Q416" i="55"/>
  <c r="P415" i="55"/>
  <c r="Q412" i="55"/>
  <c r="P411" i="55"/>
  <c r="Q408" i="55"/>
  <c r="P407" i="55"/>
  <c r="Q404" i="55"/>
  <c r="P403" i="55"/>
  <c r="Q400" i="55"/>
  <c r="P399" i="55"/>
  <c r="Q396" i="55"/>
  <c r="P395" i="55"/>
  <c r="Q392" i="55"/>
  <c r="P391" i="55"/>
  <c r="Q388" i="55"/>
  <c r="P387" i="55"/>
  <c r="Q384" i="55"/>
  <c r="P383" i="55"/>
  <c r="Q380" i="55"/>
  <c r="P379" i="55"/>
  <c r="Q376" i="55"/>
  <c r="P375" i="55"/>
  <c r="Q372" i="55"/>
  <c r="P371" i="55"/>
  <c r="Q368" i="55"/>
  <c r="P367" i="55"/>
  <c r="Q364" i="55"/>
  <c r="P363" i="55"/>
  <c r="Q360" i="55"/>
  <c r="P359" i="55"/>
  <c r="Q356" i="55"/>
  <c r="P355" i="55"/>
  <c r="Q352" i="55"/>
  <c r="P351" i="55"/>
  <c r="Q348" i="55"/>
  <c r="P347" i="55"/>
  <c r="Q344" i="55"/>
  <c r="P343" i="55"/>
  <c r="Q340" i="55"/>
  <c r="P339" i="55"/>
  <c r="Q323" i="55"/>
  <c r="P322" i="55"/>
  <c r="Q319" i="55"/>
  <c r="P318" i="55"/>
  <c r="Q315" i="55"/>
  <c r="P314" i="55"/>
  <c r="Q311" i="55"/>
  <c r="P310" i="55"/>
  <c r="Q307" i="55"/>
  <c r="P306" i="55"/>
  <c r="Q303" i="55"/>
  <c r="P302" i="55"/>
  <c r="Q299" i="55"/>
  <c r="P298" i="55"/>
  <c r="Q295" i="55"/>
  <c r="P294" i="55"/>
  <c r="Q291" i="55"/>
  <c r="P934" i="55"/>
  <c r="Q931" i="55"/>
  <c r="P886" i="55"/>
  <c r="P752" i="55"/>
  <c r="P693" i="55"/>
  <c r="Q690" i="55"/>
  <c r="P685" i="55"/>
  <c r="Q682" i="55"/>
  <c r="P677" i="55"/>
  <c r="Q674" i="55"/>
  <c r="P669" i="55"/>
  <c r="Q665" i="55"/>
  <c r="P660" i="55"/>
  <c r="Q657" i="55"/>
  <c r="P652" i="55"/>
  <c r="Q649" i="55"/>
  <c r="P644" i="55"/>
  <c r="Q641" i="55"/>
  <c r="P636" i="55"/>
  <c r="Q633" i="55"/>
  <c r="P628" i="55"/>
  <c r="Q625" i="55"/>
  <c r="P620" i="55"/>
  <c r="Q617" i="55"/>
  <c r="P611" i="55"/>
  <c r="Q608" i="55"/>
  <c r="P603" i="55"/>
  <c r="Q600" i="55"/>
  <c r="P595" i="55"/>
  <c r="P593" i="55"/>
  <c r="P591" i="55"/>
  <c r="P589" i="55"/>
  <c r="Q587" i="55"/>
  <c r="P586" i="55"/>
  <c r="Q584" i="55"/>
  <c r="P581" i="55"/>
  <c r="Q579" i="55"/>
  <c r="P578" i="55"/>
  <c r="Q576" i="55"/>
  <c r="P573" i="55"/>
  <c r="Q564" i="55"/>
  <c r="P563" i="55"/>
  <c r="Q561" i="55"/>
  <c r="P558" i="55"/>
  <c r="Q556" i="55"/>
  <c r="P555" i="55"/>
  <c r="Q552" i="55"/>
  <c r="P551" i="55"/>
  <c r="Q548" i="55"/>
  <c r="P547" i="55"/>
  <c r="Q544" i="55"/>
  <c r="P543" i="55"/>
  <c r="Q540" i="55"/>
  <c r="P539" i="55"/>
  <c r="Q536" i="55"/>
  <c r="P535" i="55"/>
  <c r="Q532" i="55"/>
  <c r="P531" i="55"/>
  <c r="Q528" i="55"/>
  <c r="P527" i="55"/>
  <c r="Q524" i="55"/>
  <c r="P523" i="55"/>
  <c r="Q520" i="55"/>
  <c r="P519" i="55"/>
  <c r="Q516" i="55"/>
  <c r="P515" i="55"/>
  <c r="Q512" i="55"/>
  <c r="P511" i="55"/>
  <c r="Q508" i="55"/>
  <c r="P507" i="55"/>
  <c r="Q504" i="55"/>
  <c r="P503" i="55"/>
  <c r="Q500" i="55"/>
  <c r="P499" i="55"/>
  <c r="Q496" i="55"/>
  <c r="P495" i="55"/>
  <c r="Q492" i="55"/>
  <c r="P491" i="55"/>
  <c r="Q488" i="55"/>
  <c r="P487" i="55"/>
  <c r="Q484" i="55"/>
  <c r="Q481" i="55"/>
  <c r="P480" i="55"/>
  <c r="Q477" i="55"/>
  <c r="P476" i="55"/>
  <c r="Q473" i="55"/>
  <c r="P472" i="55"/>
  <c r="Q469" i="55"/>
  <c r="P468" i="55"/>
  <c r="Q465" i="55"/>
  <c r="P464" i="55"/>
  <c r="Q461" i="55"/>
  <c r="P460" i="55"/>
  <c r="Q457" i="55"/>
  <c r="P456" i="55"/>
  <c r="Q453" i="55"/>
  <c r="P452" i="55"/>
  <c r="Q449" i="55"/>
  <c r="P448" i="55"/>
  <c r="Q445" i="55"/>
  <c r="P444" i="55"/>
  <c r="Q441" i="55"/>
  <c r="P440" i="55"/>
  <c r="Q437" i="55"/>
  <c r="P436" i="55"/>
  <c r="Q433" i="55"/>
  <c r="P432" i="55"/>
  <c r="Q429" i="55"/>
  <c r="P428" i="55"/>
  <c r="Q425" i="55"/>
  <c r="P424" i="55"/>
  <c r="Q421" i="55"/>
  <c r="P420" i="55"/>
  <c r="Q417" i="55"/>
  <c r="P416" i="55"/>
  <c r="Q413" i="55"/>
  <c r="P412" i="55"/>
  <c r="Q409" i="55"/>
  <c r="P408" i="55"/>
  <c r="Q405" i="55"/>
  <c r="P404" i="55"/>
  <c r="Q401" i="55"/>
  <c r="P400" i="55"/>
  <c r="Q397" i="55"/>
  <c r="P396" i="55"/>
  <c r="Q393" i="55"/>
  <c r="P392" i="55"/>
  <c r="Q389" i="55"/>
  <c r="P388" i="55"/>
  <c r="Q385" i="55"/>
  <c r="P384" i="55"/>
  <c r="Q381" i="55"/>
  <c r="P380" i="55"/>
  <c r="Q377" i="55"/>
  <c r="P376" i="55"/>
  <c r="Q373" i="55"/>
  <c r="P372" i="55"/>
  <c r="Q369" i="55"/>
  <c r="P368" i="55"/>
  <c r="Q365" i="55"/>
  <c r="P364" i="55"/>
  <c r="Q361" i="55"/>
  <c r="P360" i="55"/>
  <c r="Q357" i="55"/>
  <c r="P356" i="55"/>
  <c r="Q353" i="55"/>
  <c r="P352" i="55"/>
  <c r="Q349" i="55"/>
  <c r="P348" i="55"/>
  <c r="Q345" i="55"/>
  <c r="P344" i="55"/>
  <c r="Q341" i="55"/>
  <c r="P340" i="55"/>
  <c r="Q337" i="55"/>
  <c r="P323" i="55"/>
  <c r="Q320" i="55"/>
  <c r="P319" i="55"/>
  <c r="Q316" i="55"/>
  <c r="P315" i="55"/>
  <c r="Q312" i="55"/>
  <c r="P311" i="55"/>
  <c r="Q308" i="55"/>
  <c r="P307" i="55"/>
  <c r="Q304" i="55"/>
  <c r="P303" i="55"/>
  <c r="Q300" i="55"/>
  <c r="P299" i="55"/>
  <c r="Q296" i="55"/>
  <c r="P295" i="55"/>
  <c r="Q292" i="55"/>
  <c r="P748" i="55"/>
  <c r="Q734" i="55"/>
  <c r="P721" i="55"/>
  <c r="Q718" i="55"/>
  <c r="P705" i="55"/>
  <c r="Q702" i="55"/>
  <c r="Q582" i="55"/>
  <c r="P579" i="55"/>
  <c r="Q559" i="55"/>
  <c r="P556" i="55"/>
  <c r="Q553" i="55"/>
  <c r="P548" i="55"/>
  <c r="Q545" i="55"/>
  <c r="P540" i="55"/>
  <c r="Q537" i="55"/>
  <c r="P532" i="55"/>
  <c r="Q529" i="55"/>
  <c r="P524" i="55"/>
  <c r="Q521" i="55"/>
  <c r="P516" i="55"/>
  <c r="Q513" i="55"/>
  <c r="P508" i="55"/>
  <c r="Q505" i="55"/>
  <c r="P500" i="55"/>
  <c r="Q497" i="55"/>
  <c r="P492" i="55"/>
  <c r="Q489" i="55"/>
  <c r="P484" i="55"/>
  <c r="Q354" i="55"/>
  <c r="Q350" i="55"/>
  <c r="Q346" i="55"/>
  <c r="Q342" i="55"/>
  <c r="Q338" i="55"/>
  <c r="Q321" i="55"/>
  <c r="Q317" i="55"/>
  <c r="Q313" i="55"/>
  <c r="Q309" i="55"/>
  <c r="Q305" i="55"/>
  <c r="Q301" i="55"/>
  <c r="Q297" i="55"/>
  <c r="Q293" i="55"/>
  <c r="P290" i="55"/>
  <c r="Q287" i="55"/>
  <c r="P286" i="55"/>
  <c r="Q283" i="55"/>
  <c r="P282" i="55"/>
  <c r="Q279" i="55"/>
  <c r="P278" i="55"/>
  <c r="Q275" i="55"/>
  <c r="P274" i="55"/>
  <c r="Q271" i="55"/>
  <c r="P270" i="55"/>
  <c r="Q267" i="55"/>
  <c r="P266" i="55"/>
  <c r="Q263" i="55"/>
  <c r="P262" i="55"/>
  <c r="Q259" i="55"/>
  <c r="P258" i="55"/>
  <c r="Q255" i="55"/>
  <c r="P254" i="55"/>
  <c r="Q251" i="55"/>
  <c r="P250" i="55"/>
  <c r="Q247" i="55"/>
  <c r="P246" i="55"/>
  <c r="Q243" i="55"/>
  <c r="P242" i="55"/>
  <c r="Q239" i="55"/>
  <c r="P238" i="55"/>
  <c r="Q235" i="55"/>
  <c r="P234" i="55"/>
  <c r="Q231" i="55"/>
  <c r="P230" i="55"/>
  <c r="Q227" i="55"/>
  <c r="P226" i="55"/>
  <c r="Q223" i="55"/>
  <c r="P222" i="55"/>
  <c r="Q219" i="55"/>
  <c r="P218" i="55"/>
  <c r="Q215" i="55"/>
  <c r="P214" i="55"/>
  <c r="Q211" i="55"/>
  <c r="P210" i="55"/>
  <c r="Q207" i="55"/>
  <c r="P206" i="55"/>
  <c r="Q203" i="55"/>
  <c r="P202" i="55"/>
  <c r="Q199" i="55"/>
  <c r="P198" i="55"/>
  <c r="Q195" i="55"/>
  <c r="P194" i="55"/>
  <c r="Q191" i="55"/>
  <c r="P190" i="55"/>
  <c r="Q187" i="55"/>
  <c r="P186" i="55"/>
  <c r="Q183" i="55"/>
  <c r="P182" i="55"/>
  <c r="Q179" i="55"/>
  <c r="P178" i="55"/>
  <c r="Q175" i="55"/>
  <c r="P174" i="55"/>
  <c r="Q171" i="55"/>
  <c r="P170" i="55"/>
  <c r="Q167" i="55"/>
  <c r="P166" i="55"/>
  <c r="Q163" i="55"/>
  <c r="P162" i="55"/>
  <c r="Q159" i="55"/>
  <c r="P158" i="55"/>
  <c r="Q155" i="55"/>
  <c r="P154" i="55"/>
  <c r="Q151" i="55"/>
  <c r="P150" i="55"/>
  <c r="Q147" i="55"/>
  <c r="P146" i="55"/>
  <c r="Q143" i="55"/>
  <c r="P142" i="55"/>
  <c r="Q139" i="55"/>
  <c r="P138" i="55"/>
  <c r="Q135" i="55"/>
  <c r="P134" i="55"/>
  <c r="Q131" i="55"/>
  <c r="P130" i="55"/>
  <c r="Q127" i="55"/>
  <c r="P126" i="55"/>
  <c r="Q123" i="55"/>
  <c r="P122" i="55"/>
  <c r="Q119" i="55"/>
  <c r="P118" i="55"/>
  <c r="Q115" i="55"/>
  <c r="P114" i="55"/>
  <c r="Q111" i="55"/>
  <c r="P110" i="55"/>
  <c r="Q107" i="55"/>
  <c r="P106" i="55"/>
  <c r="Q103" i="55"/>
  <c r="P102" i="55"/>
  <c r="Q99" i="55"/>
  <c r="P98" i="55"/>
  <c r="Q95" i="55"/>
  <c r="P94" i="55"/>
  <c r="Q91" i="55"/>
  <c r="P90" i="55"/>
  <c r="Q87" i="55"/>
  <c r="P86" i="55"/>
  <c r="Q83" i="55"/>
  <c r="P82" i="55"/>
  <c r="Q79" i="55"/>
  <c r="P78" i="55"/>
  <c r="Q75" i="55"/>
  <c r="P74" i="55"/>
  <c r="Q71" i="55"/>
  <c r="P70" i="55"/>
  <c r="Q67" i="55"/>
  <c r="P66" i="55"/>
  <c r="Q63" i="55"/>
  <c r="P60" i="55"/>
  <c r="Q57" i="55"/>
  <c r="P56" i="55"/>
  <c r="Q53" i="55"/>
  <c r="P52" i="55"/>
  <c r="Q49" i="55"/>
  <c r="P48" i="55"/>
  <c r="P872" i="55"/>
  <c r="Q869" i="55"/>
  <c r="P840" i="55"/>
  <c r="Q837" i="55"/>
  <c r="P780" i="55"/>
  <c r="Q777" i="55"/>
  <c r="P481" i="55"/>
  <c r="Q478" i="55"/>
  <c r="P473" i="55"/>
  <c r="Q470" i="55"/>
  <c r="P465" i="55"/>
  <c r="Q462" i="55"/>
  <c r="P457" i="55"/>
  <c r="Q454" i="55"/>
  <c r="P449" i="55"/>
  <c r="Q446" i="55"/>
  <c r="P441" i="55"/>
  <c r="Q438" i="55"/>
  <c r="P433" i="55"/>
  <c r="Q430" i="55"/>
  <c r="P425" i="55"/>
  <c r="Q422" i="55"/>
  <c r="P417" i="55"/>
  <c r="Q414" i="55"/>
  <c r="P409" i="55"/>
  <c r="Q406" i="55"/>
  <c r="P401" i="55"/>
  <c r="Q398" i="55"/>
  <c r="P393" i="55"/>
  <c r="Q390" i="55"/>
  <c r="P385" i="55"/>
  <c r="Q382" i="55"/>
  <c r="P377" i="55"/>
  <c r="Q374" i="55"/>
  <c r="P369" i="55"/>
  <c r="Q366" i="55"/>
  <c r="P361" i="55"/>
  <c r="Q358" i="55"/>
  <c r="P354" i="55"/>
  <c r="P350" i="55"/>
  <c r="P346" i="55"/>
  <c r="P342" i="55"/>
  <c r="P338" i="55"/>
  <c r="P321" i="55"/>
  <c r="P317" i="55"/>
  <c r="P313" i="55"/>
  <c r="P309" i="55"/>
  <c r="P305" i="55"/>
  <c r="P301" i="55"/>
  <c r="P297" i="55"/>
  <c r="P293" i="55"/>
  <c r="P291" i="55"/>
  <c r="Q288" i="55"/>
  <c r="P287" i="55"/>
  <c r="Q284" i="55"/>
  <c r="P283" i="55"/>
  <c r="Q280" i="55"/>
  <c r="P279" i="55"/>
  <c r="Q276" i="55"/>
  <c r="P275" i="55"/>
  <c r="Q272" i="55"/>
  <c r="P271" i="55"/>
  <c r="Q268" i="55"/>
  <c r="P267" i="55"/>
  <c r="Q264" i="55"/>
  <c r="P263" i="55"/>
  <c r="Q260" i="55"/>
  <c r="P259" i="55"/>
  <c r="Q256" i="55"/>
  <c r="P255" i="55"/>
  <c r="Q252" i="55"/>
  <c r="P251" i="55"/>
  <c r="Q248" i="55"/>
  <c r="P247" i="55"/>
  <c r="Q244" i="55"/>
  <c r="P243" i="55"/>
  <c r="Q240" i="55"/>
  <c r="P239" i="55"/>
  <c r="Q236" i="55"/>
  <c r="P235" i="55"/>
  <c r="Q232" i="55"/>
  <c r="P231" i="55"/>
  <c r="Q228" i="55"/>
  <c r="P227" i="55"/>
  <c r="Q224" i="55"/>
  <c r="P223" i="55"/>
  <c r="Q220" i="55"/>
  <c r="P219" i="55"/>
  <c r="Q216" i="55"/>
  <c r="P215" i="55"/>
  <c r="Q212" i="55"/>
  <c r="P211" i="55"/>
  <c r="Q208" i="55"/>
  <c r="P207" i="55"/>
  <c r="Q204" i="55"/>
  <c r="P203" i="55"/>
  <c r="Q200" i="55"/>
  <c r="P199" i="55"/>
  <c r="Q196" i="55"/>
  <c r="P195" i="55"/>
  <c r="Q192" i="55"/>
  <c r="P191" i="55"/>
  <c r="Q188" i="55"/>
  <c r="P187" i="55"/>
  <c r="Q184" i="55"/>
  <c r="P183" i="55"/>
  <c r="Q180" i="55"/>
  <c r="P179" i="55"/>
  <c r="Q176" i="55"/>
  <c r="P175" i="55"/>
  <c r="Q172" i="55"/>
  <c r="P171" i="55"/>
  <c r="Q168" i="55"/>
  <c r="P167" i="55"/>
  <c r="Q164" i="55"/>
  <c r="P163" i="55"/>
  <c r="Q160" i="55"/>
  <c r="P159" i="55"/>
  <c r="Q156" i="55"/>
  <c r="P155" i="55"/>
  <c r="Q152" i="55"/>
  <c r="P151" i="55"/>
  <c r="Q148" i="55"/>
  <c r="P147" i="55"/>
  <c r="Q144" i="55"/>
  <c r="P143" i="55"/>
  <c r="Q140" i="55"/>
  <c r="P139" i="55"/>
  <c r="Q136" i="55"/>
  <c r="P135" i="55"/>
  <c r="Q132" i="55"/>
  <c r="P131" i="55"/>
  <c r="Q128" i="55"/>
  <c r="P127" i="55"/>
  <c r="Q124" i="55"/>
  <c r="P123" i="55"/>
  <c r="Q120" i="55"/>
  <c r="P119" i="55"/>
  <c r="Q116" i="55"/>
  <c r="P115" i="55"/>
  <c r="Q112" i="55"/>
  <c r="P111" i="55"/>
  <c r="Q108" i="55"/>
  <c r="P107" i="55"/>
  <c r="Q104" i="55"/>
  <c r="P103" i="55"/>
  <c r="Q100" i="55"/>
  <c r="P99" i="55"/>
  <c r="Q96" i="55"/>
  <c r="P95" i="55"/>
  <c r="Q92" i="55"/>
  <c r="P91" i="55"/>
  <c r="Q88" i="55"/>
  <c r="P87" i="55"/>
  <c r="Q84" i="55"/>
  <c r="P83" i="55"/>
  <c r="Q80" i="55"/>
  <c r="P79" i="55"/>
  <c r="Q76" i="55"/>
  <c r="P75" i="55"/>
  <c r="Q72" i="55"/>
  <c r="P71" i="55"/>
  <c r="Q68" i="55"/>
  <c r="P67" i="55"/>
  <c r="Q64" i="55"/>
  <c r="P63" i="55"/>
  <c r="Q58" i="55"/>
  <c r="P57" i="55"/>
  <c r="Q54" i="55"/>
  <c r="P53" i="55"/>
  <c r="P729" i="55"/>
  <c r="Q726" i="55"/>
  <c r="P713" i="55"/>
  <c r="Q710" i="55"/>
  <c r="P697" i="55"/>
  <c r="Q694" i="55"/>
  <c r="P587" i="55"/>
  <c r="Q574" i="55"/>
  <c r="P564" i="55"/>
  <c r="P552" i="55"/>
  <c r="Q549" i="55"/>
  <c r="P544" i="55"/>
  <c r="Q541" i="55"/>
  <c r="P536" i="55"/>
  <c r="Q533" i="55"/>
  <c r="P528" i="55"/>
  <c r="Q525" i="55"/>
  <c r="P520" i="55"/>
  <c r="Q517" i="55"/>
  <c r="P512" i="55"/>
  <c r="Q509" i="55"/>
  <c r="P504" i="55"/>
  <c r="Q501" i="55"/>
  <c r="P496" i="55"/>
  <c r="Q493" i="55"/>
  <c r="P488" i="55"/>
  <c r="Q485" i="55"/>
  <c r="Q355" i="55"/>
  <c r="Q351" i="55"/>
  <c r="Q347" i="55"/>
  <c r="Q343" i="55"/>
  <c r="Q339" i="55"/>
  <c r="Q322" i="55"/>
  <c r="Q318" i="55"/>
  <c r="Q314" i="55"/>
  <c r="Q310" i="55"/>
  <c r="Q306" i="55"/>
  <c r="Q302" i="55"/>
  <c r="Q298" i="55"/>
  <c r="Q294" i="55"/>
  <c r="Q289" i="55"/>
  <c r="P288" i="55"/>
  <c r="Q285" i="55"/>
  <c r="P284" i="55"/>
  <c r="Q281" i="55"/>
  <c r="P280" i="55"/>
  <c r="Q277" i="55"/>
  <c r="P276" i="55"/>
  <c r="Q273" i="55"/>
  <c r="P272" i="55"/>
  <c r="Q269" i="55"/>
  <c r="P268" i="55"/>
  <c r="Q265" i="55"/>
  <c r="P264" i="55"/>
  <c r="Q261" i="55"/>
  <c r="P260" i="55"/>
  <c r="Q257" i="55"/>
  <c r="P256" i="55"/>
  <c r="Q253" i="55"/>
  <c r="P252" i="55"/>
  <c r="Q249" i="55"/>
  <c r="P248" i="55"/>
  <c r="Q245" i="55"/>
  <c r="P244" i="55"/>
  <c r="Q241" i="55"/>
  <c r="P240" i="55"/>
  <c r="Q237" i="55"/>
  <c r="P236" i="55"/>
  <c r="Q233" i="55"/>
  <c r="P232" i="55"/>
  <c r="Q229" i="55"/>
  <c r="P228" i="55"/>
  <c r="Q225" i="55"/>
  <c r="P224" i="55"/>
  <c r="Q221" i="55"/>
  <c r="P220" i="55"/>
  <c r="Q217" i="55"/>
  <c r="P216" i="55"/>
  <c r="Q213" i="55"/>
  <c r="P212" i="55"/>
  <c r="Q209" i="55"/>
  <c r="P208" i="55"/>
  <c r="Q205" i="55"/>
  <c r="P204" i="55"/>
  <c r="Q201" i="55"/>
  <c r="P200" i="55"/>
  <c r="Q197" i="55"/>
  <c r="P196" i="55"/>
  <c r="Q193" i="55"/>
  <c r="P192" i="55"/>
  <c r="Q189" i="55"/>
  <c r="P188" i="55"/>
  <c r="Q185" i="55"/>
  <c r="P184" i="55"/>
  <c r="Q181" i="55"/>
  <c r="P180" i="55"/>
  <c r="Q177" i="55"/>
  <c r="P176" i="55"/>
  <c r="Q173" i="55"/>
  <c r="P172" i="55"/>
  <c r="Q169" i="55"/>
  <c r="P168" i="55"/>
  <c r="Q165" i="55"/>
  <c r="P164" i="55"/>
  <c r="Q161" i="55"/>
  <c r="P160" i="55"/>
  <c r="Q157" i="55"/>
  <c r="P156" i="55"/>
  <c r="Q153" i="55"/>
  <c r="P152" i="55"/>
  <c r="Q149" i="55"/>
  <c r="P148" i="55"/>
  <c r="Q145" i="55"/>
  <c r="P144" i="55"/>
  <c r="Q141" i="55"/>
  <c r="P140" i="55"/>
  <c r="Q137" i="55"/>
  <c r="P136" i="55"/>
  <c r="Q133" i="55"/>
  <c r="P132" i="55"/>
  <c r="Q129" i="55"/>
  <c r="P128" i="55"/>
  <c r="Q125" i="55"/>
  <c r="P124" i="55"/>
  <c r="Q121" i="55"/>
  <c r="P120" i="55"/>
  <c r="Q117" i="55"/>
  <c r="P116" i="55"/>
  <c r="Q113" i="55"/>
  <c r="P112" i="55"/>
  <c r="Q109" i="55"/>
  <c r="P108" i="55"/>
  <c r="Q105" i="55"/>
  <c r="P104" i="55"/>
  <c r="Q101" i="55"/>
  <c r="P100" i="55"/>
  <c r="Q97" i="55"/>
  <c r="P96" i="55"/>
  <c r="Q93" i="55"/>
  <c r="P92" i="55"/>
  <c r="Q89" i="55"/>
  <c r="P88" i="55"/>
  <c r="Q85" i="55"/>
  <c r="P84" i="55"/>
  <c r="Q81" i="55"/>
  <c r="P80" i="55"/>
  <c r="Q742" i="55"/>
  <c r="P477" i="55"/>
  <c r="Q474" i="55"/>
  <c r="P461" i="55"/>
  <c r="Q458" i="55"/>
  <c r="P445" i="55"/>
  <c r="Q442" i="55"/>
  <c r="P429" i="55"/>
  <c r="Q426" i="55"/>
  <c r="P413" i="55"/>
  <c r="Q410" i="55"/>
  <c r="P397" i="55"/>
  <c r="Q394" i="55"/>
  <c r="P381" i="55"/>
  <c r="Q378" i="55"/>
  <c r="P365" i="55"/>
  <c r="Q362" i="55"/>
  <c r="P349" i="55"/>
  <c r="P320" i="55"/>
  <c r="P304" i="55"/>
  <c r="P289" i="55"/>
  <c r="Q286" i="55"/>
  <c r="P281" i="55"/>
  <c r="Q278" i="55"/>
  <c r="P273" i="55"/>
  <c r="Q270" i="55"/>
  <c r="P265" i="55"/>
  <c r="Q262" i="55"/>
  <c r="P257" i="55"/>
  <c r="Q254" i="55"/>
  <c r="P249" i="55"/>
  <c r="Q246" i="55"/>
  <c r="P241" i="55"/>
  <c r="Q238" i="55"/>
  <c r="P233" i="55"/>
  <c r="Q230" i="55"/>
  <c r="P225" i="55"/>
  <c r="Q222" i="55"/>
  <c r="P217" i="55"/>
  <c r="Q214" i="55"/>
  <c r="P209" i="55"/>
  <c r="Q206" i="55"/>
  <c r="P201" i="55"/>
  <c r="Q198" i="55"/>
  <c r="P193" i="55"/>
  <c r="Q190" i="55"/>
  <c r="P185" i="55"/>
  <c r="Q182" i="55"/>
  <c r="P177" i="55"/>
  <c r="Q174" i="55"/>
  <c r="P169" i="55"/>
  <c r="Q166" i="55"/>
  <c r="P161" i="55"/>
  <c r="Q158" i="55"/>
  <c r="P153" i="55"/>
  <c r="Q150" i="55"/>
  <c r="P145" i="55"/>
  <c r="Q142" i="55"/>
  <c r="P137" i="55"/>
  <c r="Q134" i="55"/>
  <c r="P129" i="55"/>
  <c r="Q126" i="55"/>
  <c r="P121" i="55"/>
  <c r="Q118" i="55"/>
  <c r="P113" i="55"/>
  <c r="Q110" i="55"/>
  <c r="P105" i="55"/>
  <c r="Q102" i="55"/>
  <c r="P97" i="55"/>
  <c r="Q94" i="55"/>
  <c r="P89" i="55"/>
  <c r="Q86" i="55"/>
  <c r="P81" i="55"/>
  <c r="Q78" i="55"/>
  <c r="Q74" i="55"/>
  <c r="Q70" i="55"/>
  <c r="Q66" i="55"/>
  <c r="Q60" i="55"/>
  <c r="Q56" i="55"/>
  <c r="Q52" i="55"/>
  <c r="P49" i="55"/>
  <c r="Q47" i="55"/>
  <c r="P46" i="55"/>
  <c r="Q43" i="55"/>
  <c r="P42" i="55"/>
  <c r="Q39" i="55"/>
  <c r="P38" i="55"/>
  <c r="Q35" i="55"/>
  <c r="P34" i="55"/>
  <c r="Q30" i="55"/>
  <c r="P29" i="55"/>
  <c r="Q26" i="55"/>
  <c r="P25" i="55"/>
  <c r="Q22" i="55"/>
  <c r="P21" i="55"/>
  <c r="Q18" i="55"/>
  <c r="P17" i="55"/>
  <c r="Q12" i="55"/>
  <c r="P11" i="55"/>
  <c r="Q8" i="55"/>
  <c r="P7" i="55"/>
  <c r="P77" i="55"/>
  <c r="P59" i="55"/>
  <c r="Q42" i="55"/>
  <c r="Q38" i="55"/>
  <c r="P24" i="55"/>
  <c r="P20" i="55"/>
  <c r="Q17" i="55"/>
  <c r="P6" i="55"/>
  <c r="P856" i="55"/>
  <c r="Q853" i="55"/>
  <c r="P764" i="55"/>
  <c r="P345" i="55"/>
  <c r="P316" i="55"/>
  <c r="P300" i="55"/>
  <c r="P76" i="55"/>
  <c r="P72" i="55"/>
  <c r="P68" i="55"/>
  <c r="P64" i="55"/>
  <c r="P58" i="55"/>
  <c r="P54" i="55"/>
  <c r="Q50" i="55"/>
  <c r="P47" i="55"/>
  <c r="Q44" i="55"/>
  <c r="P43" i="55"/>
  <c r="Q40" i="55"/>
  <c r="P39" i="55"/>
  <c r="Q36" i="55"/>
  <c r="P35" i="55"/>
  <c r="Q31" i="55"/>
  <c r="P30" i="55"/>
  <c r="Q27" i="55"/>
  <c r="P26" i="55"/>
  <c r="Q23" i="55"/>
  <c r="P22" i="55"/>
  <c r="Q19" i="55"/>
  <c r="P18" i="55"/>
  <c r="Q13" i="55"/>
  <c r="P12" i="55"/>
  <c r="Q9" i="55"/>
  <c r="P8" i="55"/>
  <c r="Q5" i="55"/>
  <c r="P181" i="55"/>
  <c r="P173" i="55"/>
  <c r="Q170" i="55"/>
  <c r="P165" i="55"/>
  <c r="Q162" i="55"/>
  <c r="P157" i="55"/>
  <c r="Q154" i="55"/>
  <c r="P149" i="55"/>
  <c r="Q146" i="55"/>
  <c r="P141" i="55"/>
  <c r="Q138" i="55"/>
  <c r="P133" i="55"/>
  <c r="Q130" i="55"/>
  <c r="P125" i="55"/>
  <c r="Q122" i="55"/>
  <c r="P117" i="55"/>
  <c r="Q114" i="55"/>
  <c r="P109" i="55"/>
  <c r="Q106" i="55"/>
  <c r="P101" i="55"/>
  <c r="Q98" i="55"/>
  <c r="P93" i="55"/>
  <c r="Q90" i="55"/>
  <c r="P85" i="55"/>
  <c r="Q82" i="55"/>
  <c r="Q77" i="55"/>
  <c r="Q59" i="55"/>
  <c r="Q48" i="55"/>
  <c r="P44" i="55"/>
  <c r="Q41" i="55"/>
  <c r="P40" i="55"/>
  <c r="P31" i="55"/>
  <c r="Q28" i="55"/>
  <c r="P27" i="55"/>
  <c r="Q24" i="55"/>
  <c r="P23" i="55"/>
  <c r="Q20" i="55"/>
  <c r="P19" i="55"/>
  <c r="P13" i="55"/>
  <c r="Q10" i="55"/>
  <c r="P9" i="55"/>
  <c r="Q6" i="55"/>
  <c r="Q821" i="55"/>
  <c r="Q793" i="55"/>
  <c r="P353" i="55"/>
  <c r="P308" i="55"/>
  <c r="P55" i="55"/>
  <c r="P51" i="55"/>
  <c r="Q46" i="55"/>
  <c r="P45" i="55"/>
  <c r="P41" i="55"/>
  <c r="Q34" i="55"/>
  <c r="Q29" i="55"/>
  <c r="Q21" i="55"/>
  <c r="Q11" i="55"/>
  <c r="Q482" i="55"/>
  <c r="P469" i="55"/>
  <c r="Q466" i="55"/>
  <c r="P453" i="55"/>
  <c r="Q450" i="55"/>
  <c r="P437" i="55"/>
  <c r="Q434" i="55"/>
  <c r="P421" i="55"/>
  <c r="Q418" i="55"/>
  <c r="P405" i="55"/>
  <c r="Q402" i="55"/>
  <c r="P389" i="55"/>
  <c r="Q386" i="55"/>
  <c r="P373" i="55"/>
  <c r="Q370" i="55"/>
  <c r="P357" i="55"/>
  <c r="P341" i="55"/>
  <c r="P312" i="55"/>
  <c r="P296" i="55"/>
  <c r="Q290" i="55"/>
  <c r="P285" i="55"/>
  <c r="Q282" i="55"/>
  <c r="P277" i="55"/>
  <c r="Q274" i="55"/>
  <c r="P269" i="55"/>
  <c r="Q266" i="55"/>
  <c r="P261" i="55"/>
  <c r="Q258" i="55"/>
  <c r="P253" i="55"/>
  <c r="Q250" i="55"/>
  <c r="P245" i="55"/>
  <c r="Q242" i="55"/>
  <c r="P237" i="55"/>
  <c r="Q234" i="55"/>
  <c r="P229" i="55"/>
  <c r="Q226" i="55"/>
  <c r="P221" i="55"/>
  <c r="Q218" i="55"/>
  <c r="P213" i="55"/>
  <c r="Q210" i="55"/>
  <c r="P205" i="55"/>
  <c r="Q202" i="55"/>
  <c r="P197" i="55"/>
  <c r="Q194" i="55"/>
  <c r="P189" i="55"/>
  <c r="Q186" i="55"/>
  <c r="Q178" i="55"/>
  <c r="Q73" i="55"/>
  <c r="Q69" i="55"/>
  <c r="Q65" i="55"/>
  <c r="Q55" i="55"/>
  <c r="Q51" i="55"/>
  <c r="P50" i="55"/>
  <c r="Q45" i="55"/>
  <c r="Q37" i="55"/>
  <c r="P36" i="55"/>
  <c r="Q33" i="55"/>
  <c r="Q16" i="55"/>
  <c r="P5" i="55"/>
  <c r="P824" i="55"/>
  <c r="P796" i="55"/>
  <c r="P337" i="55"/>
  <c r="P292" i="55"/>
  <c r="P73" i="55"/>
  <c r="P69" i="55"/>
  <c r="P65" i="55"/>
  <c r="P37" i="55"/>
  <c r="P33" i="55"/>
  <c r="P28" i="55"/>
  <c r="Q25" i="55"/>
  <c r="P16" i="55"/>
  <c r="P10" i="55"/>
  <c r="Q7" i="55"/>
  <c r="P201" i="53"/>
  <c r="P2262" i="53"/>
  <c r="Q2259" i="53"/>
  <c r="Q2260" i="53"/>
  <c r="P2259" i="53"/>
  <c r="Q2261" i="53"/>
  <c r="P2260" i="53"/>
  <c r="Q2262" i="53"/>
  <c r="P2261" i="53"/>
  <c r="P1598" i="53"/>
  <c r="Q1598" i="53"/>
  <c r="Q691" i="53"/>
  <c r="P691" i="53"/>
  <c r="Q2069" i="53"/>
  <c r="P2069" i="53"/>
  <c r="Q2308" i="53"/>
  <c r="Q2309" i="53"/>
  <c r="Q2310" i="53"/>
  <c r="Q2307" i="53"/>
  <c r="Q2068" i="53"/>
  <c r="P2068" i="53"/>
  <c r="Q2102" i="53"/>
  <c r="P2102" i="53"/>
  <c r="Q2321" i="53"/>
  <c r="Q2320" i="53"/>
  <c r="Q2322" i="53"/>
  <c r="Q2305" i="53"/>
  <c r="Q2304" i="53"/>
  <c r="Q2306" i="53"/>
  <c r="P1894" i="53"/>
  <c r="P1896" i="53"/>
  <c r="P1898" i="53"/>
  <c r="P1900" i="53"/>
  <c r="P1902" i="53"/>
  <c r="P1904" i="53"/>
  <c r="P1906" i="53"/>
  <c r="Q1896" i="53"/>
  <c r="Q1898" i="53"/>
  <c r="Q1900" i="53"/>
  <c r="Q1902" i="53"/>
  <c r="Q1904" i="53"/>
  <c r="Q1906" i="53"/>
  <c r="Q1894" i="53"/>
  <c r="P1895" i="53"/>
  <c r="P1897" i="53"/>
  <c r="P1899" i="53"/>
  <c r="P1901" i="53"/>
  <c r="P1903" i="53"/>
  <c r="P1905" i="53"/>
  <c r="P1907" i="53"/>
  <c r="Q1895" i="53"/>
  <c r="Q1897" i="53"/>
  <c r="Q1899" i="53"/>
  <c r="Q1901" i="53"/>
  <c r="Q1903" i="53"/>
  <c r="Q1905" i="53"/>
  <c r="Q1907" i="53"/>
  <c r="P2243" i="53"/>
  <c r="Q2243" i="53"/>
  <c r="Q2348" i="53"/>
  <c r="P2348" i="53"/>
  <c r="Q2340" i="53"/>
  <c r="P2340" i="53"/>
  <c r="P2320" i="53"/>
  <c r="P2322" i="53"/>
  <c r="P2321" i="53"/>
  <c r="Q2347" i="53"/>
  <c r="P2347" i="53"/>
  <c r="Q2346" i="53"/>
  <c r="P2346" i="53"/>
  <c r="Q2339" i="53"/>
  <c r="P2339" i="53"/>
  <c r="Q2338" i="53"/>
  <c r="P2338" i="53"/>
  <c r="P2312" i="53"/>
  <c r="Q2314" i="53"/>
  <c r="P2309" i="53"/>
  <c r="P2314" i="53"/>
  <c r="Q2311" i="53"/>
  <c r="P2311" i="53"/>
  <c r="Q2313" i="53"/>
  <c r="P2308" i="53"/>
  <c r="P2313" i="53"/>
  <c r="Q2312" i="53"/>
  <c r="P2307" i="53"/>
  <c r="P2310" i="53"/>
  <c r="Q2337" i="53"/>
  <c r="P2337" i="53"/>
  <c r="Q2365" i="53"/>
  <c r="P2365" i="53"/>
  <c r="Q2364" i="53"/>
  <c r="P2364" i="53"/>
  <c r="Q2336" i="53"/>
  <c r="P2336" i="53"/>
  <c r="Q2317" i="53"/>
  <c r="P2304" i="53"/>
  <c r="P2317" i="53"/>
  <c r="Q2319" i="53"/>
  <c r="P2306" i="53"/>
  <c r="P2319" i="53"/>
  <c r="Q2316" i="53"/>
  <c r="P2316" i="53"/>
  <c r="Q2318" i="53"/>
  <c r="P2305" i="53"/>
  <c r="P2318" i="53"/>
  <c r="Q2315" i="53"/>
  <c r="P2315" i="53"/>
  <c r="P2278" i="53"/>
  <c r="Q2278" i="53"/>
  <c r="Q2279" i="53"/>
  <c r="P2279" i="53"/>
  <c r="Q2361" i="53"/>
  <c r="P2334" i="53"/>
  <c r="P2361" i="53"/>
  <c r="Q2358" i="53"/>
  <c r="Q2363" i="53"/>
  <c r="P2358" i="53"/>
  <c r="Q2360" i="53"/>
  <c r="P2363" i="53"/>
  <c r="P2360" i="53"/>
  <c r="Q2335" i="53"/>
  <c r="Q2362" i="53"/>
  <c r="P2335" i="53"/>
  <c r="P2362" i="53"/>
  <c r="Q2359" i="53"/>
  <c r="P2359" i="53"/>
  <c r="Q2334" i="53"/>
  <c r="Q2301" i="53"/>
  <c r="P2296" i="53"/>
  <c r="Q2293" i="53"/>
  <c r="Q2303" i="53"/>
  <c r="P2298" i="53"/>
  <c r="Q2295" i="53"/>
  <c r="P2303" i="53"/>
  <c r="Q2300" i="53"/>
  <c r="P2295" i="53"/>
  <c r="P2300" i="53"/>
  <c r="Q2297" i="53"/>
  <c r="Q2302" i="53"/>
  <c r="P2297" i="53"/>
  <c r="Q2294" i="53"/>
  <c r="P2302" i="53"/>
  <c r="Q2299" i="53"/>
  <c r="P2294" i="53"/>
  <c r="P2301" i="53"/>
  <c r="Q2298" i="53"/>
  <c r="P2293" i="53"/>
  <c r="P2299" i="53"/>
  <c r="Q2296" i="53"/>
  <c r="Q2276" i="53"/>
  <c r="P2276" i="53"/>
  <c r="P2277" i="53"/>
  <c r="Q2277" i="53"/>
  <c r="Q2237" i="53"/>
  <c r="P2237" i="53"/>
  <c r="Q2239" i="53"/>
  <c r="P2239" i="53"/>
  <c r="Q2238" i="53"/>
  <c r="P2238" i="53"/>
  <c r="Q2236" i="53"/>
  <c r="P2236" i="53"/>
  <c r="Q2235" i="53"/>
  <c r="P2235" i="53"/>
  <c r="Q2108" i="53"/>
  <c r="P2109" i="53"/>
  <c r="Q2109" i="53"/>
  <c r="P2108" i="53"/>
  <c r="P2082" i="53"/>
  <c r="Q2084" i="53"/>
  <c r="P2084" i="53"/>
  <c r="Q2081" i="53"/>
  <c r="P2081" i="53"/>
  <c r="Q2083" i="53"/>
  <c r="P2083" i="53"/>
  <c r="Q2080" i="53"/>
  <c r="Q2085" i="53"/>
  <c r="P2080" i="53"/>
  <c r="P2085" i="53"/>
  <c r="Q2082" i="53"/>
  <c r="P2039" i="53"/>
  <c r="Q2036" i="53"/>
  <c r="Q2041" i="53"/>
  <c r="P2036" i="53"/>
  <c r="Q2033" i="53"/>
  <c r="P2041" i="53"/>
  <c r="Q2038" i="53"/>
  <c r="P2033" i="53"/>
  <c r="P2034" i="53"/>
  <c r="P2038" i="53"/>
  <c r="Q2035" i="53"/>
  <c r="Q2040" i="53"/>
  <c r="P2035" i="53"/>
  <c r="P2040" i="53"/>
  <c r="Q2037" i="53"/>
  <c r="P2037" i="53"/>
  <c r="Q2034" i="53"/>
  <c r="Q2039" i="53"/>
  <c r="Q1839" i="53"/>
  <c r="P1839" i="53"/>
  <c r="Q1816" i="53"/>
  <c r="P1816" i="53"/>
  <c r="Q1818" i="53"/>
  <c r="P1818" i="53"/>
  <c r="Q1815" i="53"/>
  <c r="P1815" i="53"/>
  <c r="Q1817" i="53"/>
  <c r="P1817" i="53"/>
  <c r="Q1689" i="53"/>
  <c r="P1689" i="53"/>
  <c r="Q1514" i="53"/>
  <c r="P1514" i="53"/>
  <c r="Q1833" i="53"/>
  <c r="Q2222" i="53"/>
  <c r="Q1965" i="53"/>
  <c r="Q744" i="53"/>
  <c r="Q39" i="53"/>
  <c r="P1515" i="53"/>
  <c r="Q1515" i="53"/>
  <c r="Q2258" i="53"/>
  <c r="P2258" i="53"/>
  <c r="Q2257" i="53"/>
  <c r="P2257" i="53"/>
  <c r="Q2228" i="53"/>
  <c r="P2231" i="53"/>
  <c r="P2228" i="53"/>
  <c r="Q2233" i="53"/>
  <c r="Q2230" i="53"/>
  <c r="P2233" i="53"/>
  <c r="P2230" i="53"/>
  <c r="Q2227" i="53"/>
  <c r="P2234" i="53"/>
  <c r="P2227" i="53"/>
  <c r="Q2232" i="53"/>
  <c r="Q2231" i="53"/>
  <c r="Q2229" i="53"/>
  <c r="P2232" i="53"/>
  <c r="P2229" i="53"/>
  <c r="Q2234" i="53"/>
  <c r="Q2105" i="53"/>
  <c r="P2105" i="53"/>
  <c r="Q2107" i="53"/>
  <c r="P2107" i="53"/>
  <c r="Q2104" i="53"/>
  <c r="P2104" i="53"/>
  <c r="Q2106" i="53"/>
  <c r="P2106" i="53"/>
  <c r="Q2103" i="53"/>
  <c r="P2103" i="53"/>
  <c r="Q2078" i="53"/>
  <c r="P2078" i="53"/>
  <c r="Q2079" i="53"/>
  <c r="P2079" i="53"/>
  <c r="Q2057" i="53"/>
  <c r="P2057" i="53"/>
  <c r="Q2056" i="53"/>
  <c r="P2056" i="53"/>
  <c r="Q2016" i="53"/>
  <c r="P2011" i="53"/>
  <c r="Q2008" i="53"/>
  <c r="P2003" i="53"/>
  <c r="P2016" i="53"/>
  <c r="Q2013" i="53"/>
  <c r="P2008" i="53"/>
  <c r="Q2005" i="53"/>
  <c r="Q2003" i="53"/>
  <c r="Q2018" i="53"/>
  <c r="P2013" i="53"/>
  <c r="Q2010" i="53"/>
  <c r="P2005" i="53"/>
  <c r="Q2011" i="53"/>
  <c r="P2018" i="53"/>
  <c r="Q2015" i="53"/>
  <c r="P2010" i="53"/>
  <c r="Q2007" i="53"/>
  <c r="P2015" i="53"/>
  <c r="Q2012" i="53"/>
  <c r="P2007" i="53"/>
  <c r="Q2004" i="53"/>
  <c r="P2014" i="53"/>
  <c r="Q2017" i="53"/>
  <c r="P2012" i="53"/>
  <c r="Q2009" i="53"/>
  <c r="P2004" i="53"/>
  <c r="P2006" i="53"/>
  <c r="P2017" i="53"/>
  <c r="Q2014" i="53"/>
  <c r="P2009" i="53"/>
  <c r="Q2006" i="53"/>
  <c r="Q1837" i="53"/>
  <c r="P1837" i="53"/>
  <c r="Q1836" i="53"/>
  <c r="P1836" i="53"/>
  <c r="Q1838" i="53"/>
  <c r="P1838" i="53"/>
  <c r="P1687" i="53"/>
  <c r="Q1686" i="53"/>
  <c r="P1686" i="53"/>
  <c r="Q1687" i="53"/>
  <c r="Q1685" i="53"/>
  <c r="P1685" i="53"/>
  <c r="Q1688" i="53"/>
  <c r="P1688" i="53"/>
  <c r="Q1665" i="53"/>
  <c r="P1665" i="53"/>
  <c r="Q1664" i="53"/>
  <c r="P1664" i="53"/>
  <c r="P1663" i="53"/>
  <c r="Q1663" i="53"/>
  <c r="Q1560" i="53"/>
  <c r="P1560" i="53"/>
  <c r="P1518" i="53"/>
  <c r="Q1521" i="53"/>
  <c r="Q1520" i="53"/>
  <c r="P1521" i="53"/>
  <c r="P1520" i="53"/>
  <c r="Q1519" i="53"/>
  <c r="P1519" i="53"/>
  <c r="Q1522" i="53"/>
  <c r="P1522" i="53"/>
  <c r="Q1518" i="53"/>
  <c r="P1492" i="53"/>
  <c r="Q1494" i="53"/>
  <c r="P1494" i="53"/>
  <c r="Q1493" i="53"/>
  <c r="Q1492" i="53"/>
  <c r="P1493" i="53"/>
  <c r="P1489" i="53"/>
  <c r="Q1491" i="53"/>
  <c r="P1491" i="53"/>
  <c r="Q1490" i="53"/>
  <c r="P1490" i="53"/>
  <c r="Q1489" i="53"/>
  <c r="Q1330" i="53"/>
  <c r="Q1329" i="53"/>
  <c r="P1330" i="53"/>
  <c r="P1329" i="53"/>
  <c r="Q1266" i="53"/>
  <c r="P1266" i="53"/>
  <c r="Q1268" i="53"/>
  <c r="P1268" i="53"/>
  <c r="Q1265" i="53"/>
  <c r="P1265" i="53"/>
  <c r="Q1267" i="53"/>
  <c r="P1267" i="53"/>
  <c r="Q1206" i="53"/>
  <c r="P1206" i="53"/>
  <c r="Q1205" i="53"/>
  <c r="P1205" i="53"/>
  <c r="Q1176" i="53"/>
  <c r="P1176" i="53"/>
  <c r="Q1175" i="53"/>
  <c r="P1175" i="53"/>
  <c r="Q1150" i="53"/>
  <c r="P1150" i="53"/>
  <c r="Q1147" i="53"/>
  <c r="P1147" i="53"/>
  <c r="Q1149" i="53"/>
  <c r="P1149" i="53"/>
  <c r="Q1148" i="53"/>
  <c r="P1148" i="53"/>
  <c r="Q1114" i="53"/>
  <c r="Q1110" i="53"/>
  <c r="Q1113" i="53"/>
  <c r="Q1109" i="53"/>
  <c r="Q1112" i="53"/>
  <c r="Q1108" i="53"/>
  <c r="Q1111" i="53"/>
  <c r="Q1107" i="53"/>
  <c r="P1112" i="53"/>
  <c r="P1107" i="53"/>
  <c r="P1109" i="53"/>
  <c r="P1114" i="53"/>
  <c r="P1111" i="53"/>
  <c r="P1108" i="53"/>
  <c r="P1113" i="53"/>
  <c r="P1110" i="53"/>
  <c r="Q965" i="53"/>
  <c r="P965" i="53"/>
  <c r="Q964" i="53"/>
  <c r="P964" i="53"/>
  <c r="Q963" i="53"/>
  <c r="P963" i="53"/>
  <c r="P809" i="53"/>
  <c r="Q806" i="53"/>
  <c r="Q811" i="53"/>
  <c r="P806" i="53"/>
  <c r="P811" i="53"/>
  <c r="Q808" i="53"/>
  <c r="P808" i="53"/>
  <c r="Q805" i="53"/>
  <c r="Q810" i="53"/>
  <c r="P805" i="53"/>
  <c r="P810" i="53"/>
  <c r="Q807" i="53"/>
  <c r="P807" i="53"/>
  <c r="Q809" i="53"/>
  <c r="Q838" i="53"/>
  <c r="Q837" i="53"/>
  <c r="Q836" i="53"/>
  <c r="P838" i="53"/>
  <c r="P837" i="53"/>
  <c r="P836" i="53"/>
  <c r="Q2226" i="53"/>
  <c r="P2226" i="53"/>
  <c r="Q1374" i="53"/>
  <c r="P1374" i="53"/>
  <c r="Q2225" i="53"/>
  <c r="P2225" i="53"/>
  <c r="Q2076" i="53"/>
  <c r="P2076" i="53"/>
  <c r="Q2077" i="53"/>
  <c r="P2077" i="53"/>
  <c r="P2067" i="53"/>
  <c r="Q2067" i="53"/>
  <c r="Q2055" i="53"/>
  <c r="P2055" i="53"/>
  <c r="Q2031" i="53"/>
  <c r="P2031" i="53"/>
  <c r="Q2032" i="53"/>
  <c r="P2032" i="53"/>
  <c r="P2000" i="53"/>
  <c r="Q1997" i="53"/>
  <c r="Q2002" i="53"/>
  <c r="P1997" i="53"/>
  <c r="P2002" i="53"/>
  <c r="Q1999" i="53"/>
  <c r="P1999" i="53"/>
  <c r="Q1996" i="53"/>
  <c r="Q2001" i="53"/>
  <c r="P1996" i="53"/>
  <c r="P2001" i="53"/>
  <c r="Q1998" i="53"/>
  <c r="P1998" i="53"/>
  <c r="Q2000" i="53"/>
  <c r="Q1835" i="53"/>
  <c r="P1835" i="53"/>
  <c r="Q1814" i="53"/>
  <c r="P1814" i="53"/>
  <c r="Q1251" i="53"/>
  <c r="P1251" i="53"/>
  <c r="Q1252" i="53"/>
  <c r="P1252" i="53"/>
  <c r="Q1559" i="53"/>
  <c r="P1559" i="53"/>
  <c r="P1517" i="53"/>
  <c r="Q1517" i="53"/>
  <c r="P1486" i="53"/>
  <c r="Q1488" i="53"/>
  <c r="P1488" i="53"/>
  <c r="Q1485" i="53"/>
  <c r="P1485" i="53"/>
  <c r="Q1487" i="53"/>
  <c r="P1487" i="53"/>
  <c r="Q1484" i="53"/>
  <c r="P1484" i="53"/>
  <c r="Q1486" i="53"/>
  <c r="Q1375" i="53"/>
  <c r="P1375" i="53"/>
  <c r="Q1373" i="53"/>
  <c r="P1373" i="53"/>
  <c r="Q1355" i="53"/>
  <c r="P1355" i="53"/>
  <c r="P1144" i="53"/>
  <c r="Q1146" i="53"/>
  <c r="P1146" i="53"/>
  <c r="Q1145" i="53"/>
  <c r="P1145" i="53"/>
  <c r="Q1144" i="53"/>
  <c r="Q1106" i="53"/>
  <c r="P1106" i="53"/>
  <c r="Q1105" i="53"/>
  <c r="P1105" i="53"/>
  <c r="Q2224" i="53"/>
  <c r="P2224" i="53"/>
  <c r="Q2223" i="53"/>
  <c r="P2223" i="53"/>
  <c r="Q2111" i="53"/>
  <c r="P2111" i="53"/>
  <c r="Q2054" i="53"/>
  <c r="P2054" i="53"/>
  <c r="Q1995" i="53"/>
  <c r="P1995" i="53"/>
  <c r="Q1834" i="53"/>
  <c r="P1834" i="53"/>
  <c r="P1833" i="53"/>
  <c r="Q1662" i="53"/>
  <c r="P1662" i="53"/>
  <c r="Q1558" i="53"/>
  <c r="P1558" i="53"/>
  <c r="Q1516" i="53"/>
  <c r="P1516" i="53"/>
  <c r="Q1483" i="53"/>
  <c r="P1483" i="53"/>
  <c r="Q1482" i="53"/>
  <c r="P1482" i="53"/>
  <c r="Q1481" i="53"/>
  <c r="P1481" i="53"/>
  <c r="P1102" i="53"/>
  <c r="Q1099" i="53"/>
  <c r="Q1104" i="53"/>
  <c r="P1099" i="53"/>
  <c r="Q1101" i="53"/>
  <c r="Q1100" i="53"/>
  <c r="P1104" i="53"/>
  <c r="P1103" i="53"/>
  <c r="P1101" i="53"/>
  <c r="Q1103" i="53"/>
  <c r="P1100" i="53"/>
  <c r="Q1102" i="53"/>
  <c r="Q835" i="53"/>
  <c r="P835" i="53"/>
  <c r="P791" i="53"/>
  <c r="Q791" i="53"/>
  <c r="Q2355" i="53"/>
  <c r="P2355" i="53"/>
  <c r="Q2357" i="53"/>
  <c r="P2357" i="53"/>
  <c r="Q2356" i="53"/>
  <c r="P2222" i="53"/>
  <c r="P2356" i="53"/>
  <c r="Q2066" i="53"/>
  <c r="P2066" i="53"/>
  <c r="Q2051" i="53"/>
  <c r="P2051" i="53"/>
  <c r="Q2053" i="53"/>
  <c r="P2053" i="53"/>
  <c r="Q2052" i="53"/>
  <c r="P2052" i="53"/>
  <c r="Q2030" i="53"/>
  <c r="P2030" i="53"/>
  <c r="P1991" i="53"/>
  <c r="Q1988" i="53"/>
  <c r="Q1993" i="53"/>
  <c r="P1988" i="53"/>
  <c r="P1993" i="53"/>
  <c r="Q1990" i="53"/>
  <c r="P1990" i="53"/>
  <c r="Q1987" i="53"/>
  <c r="Q1992" i="53"/>
  <c r="P1987" i="53"/>
  <c r="Q1989" i="53"/>
  <c r="P1992" i="53"/>
  <c r="Q1994" i="53"/>
  <c r="P1989" i="53"/>
  <c r="Q1986" i="53"/>
  <c r="P1994" i="53"/>
  <c r="Q1991" i="53"/>
  <c r="P1986" i="53"/>
  <c r="Q1830" i="53"/>
  <c r="P1830" i="53"/>
  <c r="Q1832" i="53"/>
  <c r="P1832" i="53"/>
  <c r="Q1831" i="53"/>
  <c r="P1831" i="53"/>
  <c r="Q1617" i="53"/>
  <c r="P1617" i="53"/>
  <c r="Q1619" i="53"/>
  <c r="P1619" i="53"/>
  <c r="Q1618" i="53"/>
  <c r="P1618" i="53"/>
  <c r="Q1595" i="53"/>
  <c r="Q1596" i="53"/>
  <c r="P1595" i="53"/>
  <c r="Q1597" i="53"/>
  <c r="P1597" i="53"/>
  <c r="Q1594" i="53"/>
  <c r="P1594" i="53"/>
  <c r="P1596" i="53"/>
  <c r="Q1593" i="53"/>
  <c r="P1593" i="53"/>
  <c r="P1580" i="53"/>
  <c r="Q1580" i="53"/>
  <c r="Q1557" i="53"/>
  <c r="P1557" i="53"/>
  <c r="Q1480" i="53"/>
  <c r="Q1479" i="53"/>
  <c r="P1478" i="53"/>
  <c r="P1480" i="53"/>
  <c r="P1479" i="53"/>
  <c r="Q1478" i="53"/>
  <c r="Q2352" i="53"/>
  <c r="P1354" i="53"/>
  <c r="P2352" i="53"/>
  <c r="Q2354" i="53"/>
  <c r="Q2351" i="53"/>
  <c r="P2354" i="53"/>
  <c r="P2351" i="53"/>
  <c r="Q2353" i="53"/>
  <c r="P2353" i="53"/>
  <c r="Q1354" i="53"/>
  <c r="Q1328" i="53"/>
  <c r="P1328" i="53"/>
  <c r="Q1240" i="53"/>
  <c r="P1240" i="53"/>
  <c r="Q1239" i="53"/>
  <c r="P1239" i="53"/>
  <c r="Q1204" i="53"/>
  <c r="Q2350" i="53"/>
  <c r="P1204" i="53"/>
  <c r="P2350" i="53"/>
  <c r="Q1203" i="53"/>
  <c r="Q2349" i="53"/>
  <c r="P1203" i="53"/>
  <c r="P2349" i="53"/>
  <c r="Q834" i="53"/>
  <c r="P834" i="53"/>
  <c r="P1660" i="53"/>
  <c r="Q1657" i="53"/>
  <c r="P1657" i="53"/>
  <c r="Q1659" i="53"/>
  <c r="P1659" i="53"/>
  <c r="Q1656" i="53"/>
  <c r="Q1661" i="53"/>
  <c r="P1656" i="53"/>
  <c r="P1661" i="53"/>
  <c r="Q1658" i="53"/>
  <c r="P1658" i="53"/>
  <c r="Q1655" i="53"/>
  <c r="Q1660" i="53"/>
  <c r="P1655" i="53"/>
  <c r="P1612" i="53"/>
  <c r="P1611" i="53"/>
  <c r="Q1614" i="53"/>
  <c r="P1614" i="53"/>
  <c r="Q1611" i="53"/>
  <c r="Q1616" i="53"/>
  <c r="P1615" i="53"/>
  <c r="Q1612" i="53"/>
  <c r="P1616" i="53"/>
  <c r="Q1613" i="53"/>
  <c r="P1613" i="53"/>
  <c r="Q1615" i="53"/>
  <c r="Q1513" i="53"/>
  <c r="P1513" i="53"/>
  <c r="Q1512" i="53"/>
  <c r="P1512" i="53"/>
  <c r="Q1511" i="53"/>
  <c r="P1511" i="53"/>
  <c r="Q1477" i="53"/>
  <c r="P1477" i="53"/>
  <c r="P1474" i="53"/>
  <c r="Q1476" i="53"/>
  <c r="P1476" i="53"/>
  <c r="Q1475" i="53"/>
  <c r="P1475" i="53"/>
  <c r="Q1474" i="53"/>
  <c r="Q1473" i="53"/>
  <c r="P1473" i="53"/>
  <c r="P1472" i="53"/>
  <c r="Q1472" i="53"/>
  <c r="Q1353" i="53"/>
  <c r="P1353" i="53"/>
  <c r="Q1352" i="53"/>
  <c r="P1352" i="53"/>
  <c r="Q1327" i="53"/>
  <c r="P1327" i="53"/>
  <c r="Q1326" i="53"/>
  <c r="P1326" i="53"/>
  <c r="Q1201" i="53"/>
  <c r="Q1236" i="53"/>
  <c r="P1236" i="53"/>
  <c r="Q1238" i="53"/>
  <c r="P1238" i="53"/>
  <c r="Q1235" i="53"/>
  <c r="P1235" i="53"/>
  <c r="Q1237" i="53"/>
  <c r="P1237" i="53"/>
  <c r="Q1234" i="53"/>
  <c r="P1234" i="53"/>
  <c r="Q1202" i="53"/>
  <c r="P1202" i="53"/>
  <c r="P1201" i="53"/>
  <c r="Q1173" i="53"/>
  <c r="P1173" i="53"/>
  <c r="Q1174" i="53"/>
  <c r="P1174" i="53"/>
  <c r="Q1096" i="53"/>
  <c r="P1091" i="53"/>
  <c r="Q1097" i="53"/>
  <c r="P1096" i="53"/>
  <c r="Q1093" i="53"/>
  <c r="Q1098" i="53"/>
  <c r="P1093" i="53"/>
  <c r="Q1090" i="53"/>
  <c r="P1092" i="53"/>
  <c r="P1098" i="53"/>
  <c r="Q1095" i="53"/>
  <c r="P1090" i="53"/>
  <c r="P1095" i="53"/>
  <c r="Q1092" i="53"/>
  <c r="P1097" i="53"/>
  <c r="Q1094" i="53"/>
  <c r="P1094" i="53"/>
  <c r="Q1091" i="53"/>
  <c r="Q957" i="53"/>
  <c r="Q961" i="53"/>
  <c r="P957" i="53"/>
  <c r="Q959" i="53"/>
  <c r="P961" i="53"/>
  <c r="P959" i="53"/>
  <c r="Q956" i="53"/>
  <c r="P956" i="53"/>
  <c r="Q960" i="53"/>
  <c r="Q958" i="53"/>
  <c r="P960" i="53"/>
  <c r="P958" i="53"/>
  <c r="Q962" i="53"/>
  <c r="P962" i="53"/>
  <c r="Q804" i="53"/>
  <c r="Q803" i="53"/>
  <c r="Q1264" i="53"/>
  <c r="P2218" i="53"/>
  <c r="Q2218" i="53"/>
  <c r="P2219" i="53"/>
  <c r="Q2219" i="53"/>
  <c r="Q2221" i="53"/>
  <c r="Q2217" i="53"/>
  <c r="Q2215" i="53"/>
  <c r="Q2213" i="53"/>
  <c r="Q2211" i="53"/>
  <c r="Q2209" i="53"/>
  <c r="P2221" i="53"/>
  <c r="P2217" i="53"/>
  <c r="P2215" i="53"/>
  <c r="P2213" i="53"/>
  <c r="P2211" i="53"/>
  <c r="P2209" i="53"/>
  <c r="Q2220" i="53"/>
  <c r="Q2216" i="53"/>
  <c r="Q2214" i="53"/>
  <c r="Q2212" i="53"/>
  <c r="Q2210" i="53"/>
  <c r="Q2208" i="53"/>
  <c r="P2220" i="53"/>
  <c r="P2216" i="53"/>
  <c r="P2214" i="53"/>
  <c r="P2212" i="53"/>
  <c r="P2210" i="53"/>
  <c r="P2208" i="53"/>
  <c r="Q2205" i="53"/>
  <c r="P2205" i="53"/>
  <c r="P2204" i="53"/>
  <c r="Q2201" i="53"/>
  <c r="P2196" i="53"/>
  <c r="Q2193" i="53"/>
  <c r="Q2207" i="53"/>
  <c r="P2201" i="53"/>
  <c r="Q2198" i="53"/>
  <c r="P2193" i="53"/>
  <c r="P2207" i="53"/>
  <c r="Q2203" i="53"/>
  <c r="P2198" i="53"/>
  <c r="Q2195" i="53"/>
  <c r="P2203" i="53"/>
  <c r="Q2200" i="53"/>
  <c r="P2195" i="53"/>
  <c r="Q2192" i="53"/>
  <c r="Q2206" i="53"/>
  <c r="P2200" i="53"/>
  <c r="Q2197" i="53"/>
  <c r="P2192" i="53"/>
  <c r="P2206" i="53"/>
  <c r="Q2202" i="53"/>
  <c r="P2197" i="53"/>
  <c r="Q2194" i="53"/>
  <c r="P2202" i="53"/>
  <c r="Q2199" i="53"/>
  <c r="P2194" i="53"/>
  <c r="Q2204" i="53"/>
  <c r="P2199" i="53"/>
  <c r="Q2196" i="53"/>
  <c r="P1973" i="53"/>
  <c r="Q1973" i="53"/>
  <c r="Q1982" i="53"/>
  <c r="Q1978" i="53"/>
  <c r="Q1985" i="53"/>
  <c r="Q1981" i="53"/>
  <c r="Q1984" i="53"/>
  <c r="Q1980" i="53"/>
  <c r="Q1983" i="53"/>
  <c r="Q1979" i="53"/>
  <c r="P1983" i="53"/>
  <c r="P1976" i="53"/>
  <c r="P1968" i="53"/>
  <c r="P1960" i="53"/>
  <c r="Q1957" i="53"/>
  <c r="P1952" i="53"/>
  <c r="Q1949" i="53"/>
  <c r="P1944" i="53"/>
  <c r="Q1941" i="53"/>
  <c r="P1936" i="53"/>
  <c r="Q1933" i="53"/>
  <c r="P1928" i="53"/>
  <c r="Q1925" i="53"/>
  <c r="P1920" i="53"/>
  <c r="Q1917" i="53"/>
  <c r="P1912" i="53"/>
  <c r="Q1909" i="53"/>
  <c r="P1980" i="53"/>
  <c r="Q1970" i="53"/>
  <c r="P1965" i="53"/>
  <c r="Q1962" i="53"/>
  <c r="P1957" i="53"/>
  <c r="Q1954" i="53"/>
  <c r="P1949" i="53"/>
  <c r="Q1946" i="53"/>
  <c r="P1941" i="53"/>
  <c r="Q1938" i="53"/>
  <c r="P1933" i="53"/>
  <c r="Q1930" i="53"/>
  <c r="P1925" i="53"/>
  <c r="Q1922" i="53"/>
  <c r="P1917" i="53"/>
  <c r="Q1914" i="53"/>
  <c r="P1909" i="53"/>
  <c r="P1985" i="53"/>
  <c r="Q1975" i="53"/>
  <c r="P1970" i="53"/>
  <c r="Q1967" i="53"/>
  <c r="P1962" i="53"/>
  <c r="Q1959" i="53"/>
  <c r="P1954" i="53"/>
  <c r="Q1951" i="53"/>
  <c r="P1946" i="53"/>
  <c r="Q1943" i="53"/>
  <c r="P1938" i="53"/>
  <c r="Q1935" i="53"/>
  <c r="P1930" i="53"/>
  <c r="Q1927" i="53"/>
  <c r="P1922" i="53"/>
  <c r="Q1919" i="53"/>
  <c r="P1914" i="53"/>
  <c r="Q1911" i="53"/>
  <c r="P1982" i="53"/>
  <c r="P1975" i="53"/>
  <c r="Q1972" i="53"/>
  <c r="P1967" i="53"/>
  <c r="Q1964" i="53"/>
  <c r="P1959" i="53"/>
  <c r="Q1956" i="53"/>
  <c r="P1951" i="53"/>
  <c r="Q1948" i="53"/>
  <c r="P1943" i="53"/>
  <c r="Q1940" i="53"/>
  <c r="P1935" i="53"/>
  <c r="Q1932" i="53"/>
  <c r="P1927" i="53"/>
  <c r="Q1924" i="53"/>
  <c r="P1919" i="53"/>
  <c r="Q1916" i="53"/>
  <c r="P1911" i="53"/>
  <c r="Q1908" i="53"/>
  <c r="P1979" i="53"/>
  <c r="Q1977" i="53"/>
  <c r="P1972" i="53"/>
  <c r="Q1969" i="53"/>
  <c r="P1964" i="53"/>
  <c r="Q1961" i="53"/>
  <c r="P1956" i="53"/>
  <c r="Q1953" i="53"/>
  <c r="P1948" i="53"/>
  <c r="Q1945" i="53"/>
  <c r="P1940" i="53"/>
  <c r="Q1937" i="53"/>
  <c r="P1932" i="53"/>
  <c r="Q1929" i="53"/>
  <c r="P1924" i="53"/>
  <c r="Q1921" i="53"/>
  <c r="P1916" i="53"/>
  <c r="Q1913" i="53"/>
  <c r="P1908" i="53"/>
  <c r="P1984" i="53"/>
  <c r="P1977" i="53"/>
  <c r="Q1974" i="53"/>
  <c r="P1969" i="53"/>
  <c r="Q1966" i="53"/>
  <c r="P1961" i="53"/>
  <c r="Q1958" i="53"/>
  <c r="P1953" i="53"/>
  <c r="Q1950" i="53"/>
  <c r="P1945" i="53"/>
  <c r="Q1942" i="53"/>
  <c r="P1937" i="53"/>
  <c r="Q1934" i="53"/>
  <c r="P1929" i="53"/>
  <c r="Q1926" i="53"/>
  <c r="P1921" i="53"/>
  <c r="Q1918" i="53"/>
  <c r="P1913" i="53"/>
  <c r="Q1910" i="53"/>
  <c r="P1981" i="53"/>
  <c r="P1974" i="53"/>
  <c r="Q1971" i="53"/>
  <c r="P1966" i="53"/>
  <c r="Q1963" i="53"/>
  <c r="P1958" i="53"/>
  <c r="Q1955" i="53"/>
  <c r="P1950" i="53"/>
  <c r="Q1947" i="53"/>
  <c r="P1942" i="53"/>
  <c r="Q1939" i="53"/>
  <c r="P1934" i="53"/>
  <c r="Q1931" i="53"/>
  <c r="P1926" i="53"/>
  <c r="Q1923" i="53"/>
  <c r="P1918" i="53"/>
  <c r="Q1915" i="53"/>
  <c r="P1910" i="53"/>
  <c r="P1978" i="53"/>
  <c r="Q1976" i="53"/>
  <c r="P1971" i="53"/>
  <c r="Q1968" i="53"/>
  <c r="P1963" i="53"/>
  <c r="Q1960" i="53"/>
  <c r="P1955" i="53"/>
  <c r="Q1952" i="53"/>
  <c r="P1947" i="53"/>
  <c r="Q1944" i="53"/>
  <c r="P1939" i="53"/>
  <c r="Q1936" i="53"/>
  <c r="P1931" i="53"/>
  <c r="Q1928" i="53"/>
  <c r="P1923" i="53"/>
  <c r="Q1920" i="53"/>
  <c r="P1915" i="53"/>
  <c r="Q1912" i="53"/>
  <c r="Q1840" i="53"/>
  <c r="P1826" i="53"/>
  <c r="Q1825" i="53"/>
  <c r="P1840" i="53"/>
  <c r="P1825" i="53"/>
  <c r="P1828" i="53"/>
  <c r="Q1826" i="53"/>
  <c r="Q1829" i="53"/>
  <c r="P1829" i="53"/>
  <c r="Q1827" i="53"/>
  <c r="P1827" i="53"/>
  <c r="Q1828" i="53"/>
  <c r="Q1810" i="53"/>
  <c r="P1810" i="53"/>
  <c r="Q1812" i="53"/>
  <c r="P1812" i="53"/>
  <c r="Q1809" i="53"/>
  <c r="P1811" i="53"/>
  <c r="Q1813" i="53"/>
  <c r="P1809" i="53"/>
  <c r="P1813" i="53"/>
  <c r="Q1811" i="53"/>
  <c r="Q1682" i="53"/>
  <c r="P1682" i="53"/>
  <c r="Q1680" i="53"/>
  <c r="P1680" i="53"/>
  <c r="Q1681" i="53"/>
  <c r="P1675" i="53"/>
  <c r="P1681" i="53"/>
  <c r="Q1677" i="53"/>
  <c r="Q1684" i="53"/>
  <c r="P1677" i="53"/>
  <c r="Q1674" i="53"/>
  <c r="P1684" i="53"/>
  <c r="Q1679" i="53"/>
  <c r="P1674" i="53"/>
  <c r="P1679" i="53"/>
  <c r="Q1676" i="53"/>
  <c r="Q1683" i="53"/>
  <c r="P1676" i="53"/>
  <c r="P1683" i="53"/>
  <c r="Q1678" i="53"/>
  <c r="P1678" i="53"/>
  <c r="Q1675" i="53"/>
  <c r="P1645" i="53"/>
  <c r="Q1651" i="53"/>
  <c r="P1646" i="53"/>
  <c r="P1651" i="53"/>
  <c r="Q1648" i="53"/>
  <c r="Q1652" i="53"/>
  <c r="Q1654" i="53"/>
  <c r="P1648" i="53"/>
  <c r="Q1644" i="53"/>
  <c r="P1652" i="53"/>
  <c r="P1654" i="53"/>
  <c r="Q1650" i="53"/>
  <c r="P1644" i="53"/>
  <c r="P1650" i="53"/>
  <c r="Q1647" i="53"/>
  <c r="Q1653" i="53"/>
  <c r="P1647" i="53"/>
  <c r="P1653" i="53"/>
  <c r="Q1649" i="53"/>
  <c r="Q1645" i="53"/>
  <c r="P1649" i="53"/>
  <c r="Q1646" i="53"/>
  <c r="Q1639" i="53"/>
  <c r="P1639" i="53"/>
  <c r="Q1627" i="53"/>
  <c r="P1627" i="53"/>
  <c r="Q1624" i="53"/>
  <c r="Q1629" i="53"/>
  <c r="P1624" i="53"/>
  <c r="P1629" i="53"/>
  <c r="Q1626" i="53"/>
  <c r="P1626" i="53"/>
  <c r="Q1623" i="53"/>
  <c r="Q1628" i="53"/>
  <c r="P1623" i="53"/>
  <c r="P1625" i="53"/>
  <c r="P1628" i="53"/>
  <c r="Q1625" i="53"/>
  <c r="P1608" i="53"/>
  <c r="Q1610" i="53"/>
  <c r="P1610" i="53"/>
  <c r="Q1607" i="53"/>
  <c r="P1607" i="53"/>
  <c r="P1609" i="53"/>
  <c r="Q1609" i="53"/>
  <c r="Q1606" i="53"/>
  <c r="P1606" i="53"/>
  <c r="Q1608" i="53"/>
  <c r="Q1590" i="53"/>
  <c r="Q1592" i="53"/>
  <c r="P1590" i="53"/>
  <c r="Q1587" i="53"/>
  <c r="P1592" i="53"/>
  <c r="P1587" i="53"/>
  <c r="Q1589" i="53"/>
  <c r="P1589" i="53"/>
  <c r="Q1586" i="53"/>
  <c r="P1588" i="53"/>
  <c r="Q1591" i="53"/>
  <c r="P1586" i="53"/>
  <c r="P1591" i="53"/>
  <c r="Q1588" i="53"/>
  <c r="P1578" i="53"/>
  <c r="Q1575" i="53"/>
  <c r="P1569" i="53"/>
  <c r="Q1571" i="53"/>
  <c r="P1575" i="53"/>
  <c r="Q1572" i="53"/>
  <c r="P1571" i="53"/>
  <c r="Q1577" i="53"/>
  <c r="P1572" i="53"/>
  <c r="P1577" i="53"/>
  <c r="Q1574" i="53"/>
  <c r="Q1579" i="53"/>
  <c r="P1574" i="53"/>
  <c r="Q1570" i="53"/>
  <c r="P1579" i="53"/>
  <c r="Q1576" i="53"/>
  <c r="P1570" i="53"/>
  <c r="P1576" i="53"/>
  <c r="Q1573" i="53"/>
  <c r="Q1578" i="53"/>
  <c r="P1573" i="53"/>
  <c r="Q1569" i="53"/>
  <c r="P1545" i="53"/>
  <c r="Q1554" i="53"/>
  <c r="P1547" i="53"/>
  <c r="Q1543" i="53"/>
  <c r="P1538" i="53"/>
  <c r="Q1551" i="53"/>
  <c r="P1554" i="53"/>
  <c r="Q1550" i="53"/>
  <c r="P1543" i="53"/>
  <c r="Q1540" i="53"/>
  <c r="P1551" i="53"/>
  <c r="Q1556" i="53"/>
  <c r="P1550" i="53"/>
  <c r="Q1546" i="53"/>
  <c r="P1540" i="53"/>
  <c r="Q1537" i="53"/>
  <c r="P1556" i="53"/>
  <c r="Q1553" i="53"/>
  <c r="P1546" i="53"/>
  <c r="Q1542" i="53"/>
  <c r="P1537" i="53"/>
  <c r="Q1508" i="53"/>
  <c r="Q1549" i="53"/>
  <c r="P1553" i="53"/>
  <c r="Q1548" i="53"/>
  <c r="P1542" i="53"/>
  <c r="Q1539" i="53"/>
  <c r="P1549" i="53"/>
  <c r="Q1555" i="53"/>
  <c r="P1548" i="53"/>
  <c r="Q1544" i="53"/>
  <c r="P1539" i="53"/>
  <c r="P1555" i="53"/>
  <c r="Q1552" i="53"/>
  <c r="P1544" i="53"/>
  <c r="Q1541" i="53"/>
  <c r="Q1545" i="53"/>
  <c r="P1552" i="53"/>
  <c r="Q1547" i="53"/>
  <c r="P1541" i="53"/>
  <c r="Q1538" i="53"/>
  <c r="P1508" i="53"/>
  <c r="Q1505" i="53"/>
  <c r="Q1510" i="53"/>
  <c r="P1505" i="53"/>
  <c r="P1510" i="53"/>
  <c r="Q1507" i="53"/>
  <c r="P1507" i="53"/>
  <c r="Q1504" i="53"/>
  <c r="Q1509" i="53"/>
  <c r="P1504" i="53"/>
  <c r="P1509" i="53"/>
  <c r="Q1506" i="53"/>
  <c r="P1506" i="53"/>
  <c r="P1496" i="53"/>
  <c r="Q1497" i="53"/>
  <c r="P1497" i="53"/>
  <c r="Q1498" i="53"/>
  <c r="Q1496" i="53"/>
  <c r="P1498" i="53"/>
  <c r="Q2344" i="53"/>
  <c r="Q2341" i="53"/>
  <c r="P2341" i="53"/>
  <c r="Q2343" i="53"/>
  <c r="Q2345" i="53"/>
  <c r="P2344" i="53"/>
  <c r="P2343" i="53"/>
  <c r="P2345" i="53"/>
  <c r="Q1471" i="53"/>
  <c r="P1471" i="53"/>
  <c r="Q1470" i="53"/>
  <c r="P1470" i="53"/>
  <c r="P1467" i="53"/>
  <c r="Q1469" i="53"/>
  <c r="P1469" i="53"/>
  <c r="Q1468" i="53"/>
  <c r="P1468" i="53"/>
  <c r="Q1467" i="53"/>
  <c r="P1464" i="53"/>
  <c r="Q1461" i="53"/>
  <c r="Q1466" i="53"/>
  <c r="P1461" i="53"/>
  <c r="Q1458" i="53"/>
  <c r="P1466" i="53"/>
  <c r="Q1463" i="53"/>
  <c r="P1458" i="53"/>
  <c r="P1463" i="53"/>
  <c r="Q1460" i="53"/>
  <c r="Q1465" i="53"/>
  <c r="P1460" i="53"/>
  <c r="P1465" i="53"/>
  <c r="Q1462" i="53"/>
  <c r="P1462" i="53"/>
  <c r="Q1459" i="53"/>
  <c r="Q1464" i="53"/>
  <c r="P1459" i="53"/>
  <c r="Q1457" i="53"/>
  <c r="P1457" i="53"/>
  <c r="P1454" i="53"/>
  <c r="Q1451" i="53"/>
  <c r="Q1456" i="53"/>
  <c r="P1451" i="53"/>
  <c r="Q1450" i="53"/>
  <c r="P1456" i="53"/>
  <c r="Q1453" i="53"/>
  <c r="P1453" i="53"/>
  <c r="Q1455" i="53"/>
  <c r="P1455" i="53"/>
  <c r="Q1452" i="53"/>
  <c r="P1452" i="53"/>
  <c r="Q1454" i="53"/>
  <c r="P1450" i="53"/>
  <c r="P1368" i="53"/>
  <c r="Q1370" i="53"/>
  <c r="P1370" i="53"/>
  <c r="Q1367" i="53"/>
  <c r="Q1372" i="53"/>
  <c r="P1367" i="53"/>
  <c r="P1372" i="53"/>
  <c r="Q1369" i="53"/>
  <c r="P1369" i="53"/>
  <c r="Q1371" i="53"/>
  <c r="P1371" i="53"/>
  <c r="Q1368" i="53"/>
  <c r="Q1349" i="53"/>
  <c r="P1349" i="53"/>
  <c r="Q1346" i="53"/>
  <c r="Q1351" i="53"/>
  <c r="P1346" i="53"/>
  <c r="P1351" i="53"/>
  <c r="Q1348" i="53"/>
  <c r="P1348" i="53"/>
  <c r="Q1350" i="53"/>
  <c r="P1350" i="53"/>
  <c r="Q1347" i="53"/>
  <c r="P1347" i="53"/>
  <c r="Q1323" i="53"/>
  <c r="P1318" i="53"/>
  <c r="P1323" i="53"/>
  <c r="Q1320" i="53"/>
  <c r="Q1325" i="53"/>
  <c r="P1320" i="53"/>
  <c r="Q1317" i="53"/>
  <c r="P1325" i="53"/>
  <c r="Q1322" i="53"/>
  <c r="P1317" i="53"/>
  <c r="P1322" i="53"/>
  <c r="Q1319" i="53"/>
  <c r="Q1324" i="53"/>
  <c r="P1319" i="53"/>
  <c r="Q1316" i="53"/>
  <c r="P1324" i="53"/>
  <c r="Q1321" i="53"/>
  <c r="P1316" i="53"/>
  <c r="P1321" i="53"/>
  <c r="Q1318" i="53"/>
  <c r="P1257" i="53"/>
  <c r="P1264" i="53"/>
  <c r="Q1259" i="53"/>
  <c r="Q1262" i="53"/>
  <c r="P1259" i="53"/>
  <c r="P1262" i="53"/>
  <c r="Q1263" i="53"/>
  <c r="P1263" i="53"/>
  <c r="Q1258" i="53"/>
  <c r="Q1261" i="53"/>
  <c r="P1258" i="53"/>
  <c r="P1261" i="53"/>
  <c r="Q1260" i="53"/>
  <c r="P1260" i="53"/>
  <c r="Q1257" i="53"/>
  <c r="Q1232" i="53"/>
  <c r="P1226" i="53"/>
  <c r="P1232" i="53"/>
  <c r="Q1229" i="53"/>
  <c r="Q1228" i="53"/>
  <c r="P1229" i="53"/>
  <c r="Q1225" i="53"/>
  <c r="P1228" i="53"/>
  <c r="Q1231" i="53"/>
  <c r="P1225" i="53"/>
  <c r="P1231" i="53"/>
  <c r="Q1227" i="53"/>
  <c r="Q1233" i="53"/>
  <c r="P1227" i="53"/>
  <c r="P1230" i="53"/>
  <c r="Q1226" i="53"/>
  <c r="P1233" i="53"/>
  <c r="Q1230" i="53"/>
  <c r="P1199" i="53"/>
  <c r="Q1196" i="53"/>
  <c r="P1196" i="53"/>
  <c r="Q1198" i="53"/>
  <c r="P1198" i="53"/>
  <c r="Q1195" i="53"/>
  <c r="Q1200" i="53"/>
  <c r="P1195" i="53"/>
  <c r="P1200" i="53"/>
  <c r="Q1197" i="53"/>
  <c r="P1197" i="53"/>
  <c r="Q1199" i="53"/>
  <c r="P1170" i="53"/>
  <c r="Q1172" i="53"/>
  <c r="P1172" i="53"/>
  <c r="Q1169" i="53"/>
  <c r="P1169" i="53"/>
  <c r="Q1171" i="53"/>
  <c r="P1171" i="53"/>
  <c r="Q1170" i="53"/>
  <c r="P1142" i="53"/>
  <c r="Q1138" i="53"/>
  <c r="Q1143" i="53"/>
  <c r="P1138" i="53"/>
  <c r="P1143" i="53"/>
  <c r="Q1140" i="53"/>
  <c r="P1140" i="53"/>
  <c r="Q1137" i="53"/>
  <c r="Q1141" i="53"/>
  <c r="P1137" i="53"/>
  <c r="P1141" i="53"/>
  <c r="Q1139" i="53"/>
  <c r="P1139" i="53"/>
  <c r="Q1142" i="53"/>
  <c r="P2327" i="53"/>
  <c r="Q2324" i="53"/>
  <c r="Q2331" i="53"/>
  <c r="P2324" i="53"/>
  <c r="Q1089" i="53"/>
  <c r="Q1085" i="53"/>
  <c r="Q1081" i="53"/>
  <c r="Q1077" i="53"/>
  <c r="Q1073" i="53"/>
  <c r="Q1069" i="53"/>
  <c r="P2331" i="53"/>
  <c r="Q2326" i="53"/>
  <c r="Q2333" i="53"/>
  <c r="P2326" i="53"/>
  <c r="Q2323" i="53"/>
  <c r="Q1088" i="53"/>
  <c r="Q1084" i="53"/>
  <c r="Q1080" i="53"/>
  <c r="Q1076" i="53"/>
  <c r="Q1072" i="53"/>
  <c r="Q1068" i="53"/>
  <c r="P2333" i="53"/>
  <c r="Q2330" i="53"/>
  <c r="P2323" i="53"/>
  <c r="P2330" i="53"/>
  <c r="Q2325" i="53"/>
  <c r="Q1087" i="53"/>
  <c r="Q1083" i="53"/>
  <c r="Q1079" i="53"/>
  <c r="Q1075" i="53"/>
  <c r="Q1071" i="53"/>
  <c r="Q2332" i="53"/>
  <c r="P2325" i="53"/>
  <c r="P2332" i="53"/>
  <c r="Q2327" i="53"/>
  <c r="Q1086" i="53"/>
  <c r="Q1082" i="53"/>
  <c r="Q1078" i="53"/>
  <c r="Q1074" i="53"/>
  <c r="Q1070" i="53"/>
  <c r="Q1066" i="53"/>
  <c r="Q1062" i="53"/>
  <c r="Q1058" i="53"/>
  <c r="Q1065" i="53"/>
  <c r="Q1061" i="53"/>
  <c r="Q1057" i="53"/>
  <c r="Q1063" i="53"/>
  <c r="Q1059" i="53"/>
  <c r="Q1064" i="53"/>
  <c r="Q1060" i="53"/>
  <c r="Q1056" i="53"/>
  <c r="Q1067" i="53"/>
  <c r="P291" i="53"/>
  <c r="Q291" i="53"/>
  <c r="P1087" i="53"/>
  <c r="P1079" i="53"/>
  <c r="P1071" i="53"/>
  <c r="P1064" i="53"/>
  <c r="P1056" i="53"/>
  <c r="Q1053" i="53"/>
  <c r="P1048" i="53"/>
  <c r="Q1045" i="53"/>
  <c r="P1040" i="53"/>
  <c r="Q1037" i="53"/>
  <c r="P1032" i="53"/>
  <c r="P1084" i="53"/>
  <c r="P1076" i="53"/>
  <c r="P1068" i="53"/>
  <c r="P1061" i="53"/>
  <c r="P1053" i="53"/>
  <c r="Q1050" i="53"/>
  <c r="P1045" i="53"/>
  <c r="Q1042" i="53"/>
  <c r="P1037" i="53"/>
  <c r="Q1034" i="53"/>
  <c r="P1089" i="53"/>
  <c r="P1081" i="53"/>
  <c r="P1073" i="53"/>
  <c r="P1066" i="53"/>
  <c r="P1058" i="53"/>
  <c r="Q1055" i="53"/>
  <c r="P1050" i="53"/>
  <c r="Q1047" i="53"/>
  <c r="P1042" i="53"/>
  <c r="Q1039" i="53"/>
  <c r="P1034" i="53"/>
  <c r="Q1031" i="53"/>
  <c r="P1086" i="53"/>
  <c r="P1078" i="53"/>
  <c r="P1070" i="53"/>
  <c r="P1063" i="53"/>
  <c r="P1055" i="53"/>
  <c r="Q1052" i="53"/>
  <c r="P1047" i="53"/>
  <c r="Q1044" i="53"/>
  <c r="P1039" i="53"/>
  <c r="Q1036" i="53"/>
  <c r="P1031" i="53"/>
  <c r="P1083" i="53"/>
  <c r="P1075" i="53"/>
  <c r="P1067" i="53"/>
  <c r="P1060" i="53"/>
  <c r="P1052" i="53"/>
  <c r="Q1049" i="53"/>
  <c r="P1044" i="53"/>
  <c r="Q1041" i="53"/>
  <c r="P1036" i="53"/>
  <c r="Q1033" i="53"/>
  <c r="P1088" i="53"/>
  <c r="P1080" i="53"/>
  <c r="P1072" i="53"/>
  <c r="P1065" i="53"/>
  <c r="P1057" i="53"/>
  <c r="Q1054" i="53"/>
  <c r="P1049" i="53"/>
  <c r="Q1046" i="53"/>
  <c r="P1041" i="53"/>
  <c r="Q1038" i="53"/>
  <c r="P1033" i="53"/>
  <c r="P1085" i="53"/>
  <c r="P1077" i="53"/>
  <c r="P1069" i="53"/>
  <c r="P1062" i="53"/>
  <c r="P1054" i="53"/>
  <c r="Q1051" i="53"/>
  <c r="P1046" i="53"/>
  <c r="Q1043" i="53"/>
  <c r="P1038" i="53"/>
  <c r="Q1035" i="53"/>
  <c r="P1082" i="53"/>
  <c r="P1074" i="53"/>
  <c r="P1059" i="53"/>
  <c r="P1051" i="53"/>
  <c r="Q1048" i="53"/>
  <c r="P1043" i="53"/>
  <c r="Q1040" i="53"/>
  <c r="P1035" i="53"/>
  <c r="Q1032" i="53"/>
  <c r="P953" i="53"/>
  <c r="Q955" i="53"/>
  <c r="Q953" i="53"/>
  <c r="P955" i="53"/>
  <c r="Q952" i="53"/>
  <c r="P952" i="53"/>
  <c r="Q954" i="53"/>
  <c r="P954" i="53"/>
  <c r="Q174" i="53"/>
  <c r="P174" i="53"/>
  <c r="Q59" i="53"/>
  <c r="P59" i="53"/>
  <c r="Q42" i="53"/>
  <c r="P42" i="53"/>
  <c r="P829" i="53"/>
  <c r="Q831" i="53"/>
  <c r="P831" i="53"/>
  <c r="Q828" i="53"/>
  <c r="Q833" i="53"/>
  <c r="P828" i="53"/>
  <c r="P833" i="53"/>
  <c r="Q830" i="53"/>
  <c r="P830" i="53"/>
  <c r="Q827" i="53"/>
  <c r="Q832" i="53"/>
  <c r="P827" i="53"/>
  <c r="P832" i="53"/>
  <c r="Q829" i="53"/>
  <c r="P804" i="53"/>
  <c r="P803" i="53"/>
  <c r="P788" i="53"/>
  <c r="Q790" i="53"/>
  <c r="P790" i="53"/>
  <c r="Q787" i="53"/>
  <c r="P787" i="53"/>
  <c r="Q788" i="53"/>
  <c r="Q789" i="53"/>
  <c r="P786" i="53"/>
  <c r="P789" i="53"/>
  <c r="Q786" i="53"/>
  <c r="Q770" i="53"/>
  <c r="Q766" i="53"/>
  <c r="Q762" i="53"/>
  <c r="Q771" i="53"/>
  <c r="P771" i="53"/>
  <c r="Q769" i="53"/>
  <c r="Q765" i="53"/>
  <c r="Q772" i="53"/>
  <c r="P772" i="53"/>
  <c r="Q768" i="53"/>
  <c r="Q764" i="53"/>
  <c r="Q767" i="53"/>
  <c r="Q763" i="53"/>
  <c r="P769" i="53"/>
  <c r="P764" i="53"/>
  <c r="P766" i="53"/>
  <c r="P763" i="53"/>
  <c r="P768" i="53"/>
  <c r="P765" i="53"/>
  <c r="P770" i="53"/>
  <c r="P762" i="53"/>
  <c r="P767" i="53"/>
  <c r="P778" i="53"/>
  <c r="Q783" i="53"/>
  <c r="Q778" i="53"/>
  <c r="P781" i="53"/>
  <c r="Q781" i="53"/>
  <c r="P784" i="53"/>
  <c r="P779" i="53"/>
  <c r="Q784" i="53"/>
  <c r="Q779" i="53"/>
  <c r="P782" i="53"/>
  <c r="P777" i="53"/>
  <c r="Q782" i="53"/>
  <c r="P785" i="53"/>
  <c r="Q777" i="53"/>
  <c r="P780" i="53"/>
  <c r="Q785" i="53"/>
  <c r="Q780" i="53"/>
  <c r="P783" i="53"/>
  <c r="P2292" i="53"/>
  <c r="Q2289" i="53"/>
  <c r="P2288" i="53"/>
  <c r="Q2282" i="53"/>
  <c r="P2281" i="53"/>
  <c r="Q2290" i="53"/>
  <c r="P2289" i="53"/>
  <c r="Q2284" i="53"/>
  <c r="P2282" i="53"/>
  <c r="Q2291" i="53"/>
  <c r="P2290" i="53"/>
  <c r="Q2285" i="53"/>
  <c r="P2284" i="53"/>
  <c r="Q2280" i="53"/>
  <c r="Q2292" i="53"/>
  <c r="P2291" i="53"/>
  <c r="Q2288" i="53"/>
  <c r="P2280" i="53"/>
  <c r="P2285" i="53"/>
  <c r="Q2281" i="53"/>
  <c r="P2273" i="53"/>
  <c r="Q2275" i="53"/>
  <c r="P2275" i="53"/>
  <c r="Q2272" i="53"/>
  <c r="Q2266" i="53"/>
  <c r="P2272" i="53"/>
  <c r="P2266" i="53"/>
  <c r="Q2273" i="53"/>
  <c r="Q2274" i="53"/>
  <c r="P2274" i="53"/>
  <c r="Q2271" i="53"/>
  <c r="P2271" i="53"/>
  <c r="Q2252" i="53"/>
  <c r="P2252" i="53"/>
  <c r="P2254" i="53"/>
  <c r="Q2251" i="53"/>
  <c r="P745" i="53"/>
  <c r="Q742" i="53"/>
  <c r="P2249" i="53"/>
  <c r="Q2256" i="53"/>
  <c r="P2251" i="53"/>
  <c r="Q2244" i="53"/>
  <c r="Q747" i="53"/>
  <c r="P742" i="53"/>
  <c r="Q740" i="53"/>
  <c r="P2256" i="53"/>
  <c r="Q2253" i="53"/>
  <c r="P2244" i="53"/>
  <c r="P747" i="53"/>
  <c r="P740" i="53"/>
  <c r="Q745" i="53"/>
  <c r="P2253" i="53"/>
  <c r="Q2250" i="53"/>
  <c r="P744" i="53"/>
  <c r="Q741" i="53"/>
  <c r="Q2255" i="53"/>
  <c r="P2250" i="53"/>
  <c r="Q746" i="53"/>
  <c r="P741" i="53"/>
  <c r="P2255" i="53"/>
  <c r="P746" i="53"/>
  <c r="Q743" i="53"/>
  <c r="Q2254" i="53"/>
  <c r="Q2249" i="53"/>
  <c r="P743" i="53"/>
  <c r="P727" i="53"/>
  <c r="Q722" i="53"/>
  <c r="Q728" i="53"/>
  <c r="P722" i="53"/>
  <c r="Q725" i="53"/>
  <c r="P728" i="53"/>
  <c r="Q726" i="53"/>
  <c r="P725" i="53"/>
  <c r="P726" i="53"/>
  <c r="Q721" i="53"/>
  <c r="P721" i="53"/>
  <c r="Q724" i="53"/>
  <c r="Q723" i="53"/>
  <c r="P724" i="53"/>
  <c r="P723" i="53"/>
  <c r="Q727" i="53"/>
  <c r="Q707" i="53"/>
  <c r="Q705" i="53"/>
  <c r="P705" i="53"/>
  <c r="P707" i="53"/>
  <c r="Q704" i="53"/>
  <c r="P704" i="53"/>
  <c r="Q706" i="53"/>
  <c r="P706" i="53"/>
  <c r="P689" i="53"/>
  <c r="Q686" i="53"/>
  <c r="P686" i="53"/>
  <c r="Q683" i="53"/>
  <c r="Q688" i="53"/>
  <c r="P683" i="53"/>
  <c r="P688" i="53"/>
  <c r="Q685" i="53"/>
  <c r="Q690" i="53"/>
  <c r="P685" i="53"/>
  <c r="P690" i="53"/>
  <c r="Q687" i="53"/>
  <c r="P687" i="53"/>
  <c r="Q684" i="53"/>
  <c r="Q689" i="53"/>
  <c r="P684" i="53"/>
  <c r="Q739" i="53"/>
  <c r="P739" i="53"/>
  <c r="Q738" i="53"/>
  <c r="P738" i="53"/>
  <c r="Q720" i="53"/>
  <c r="P720" i="53"/>
  <c r="Q672" i="53"/>
  <c r="P672" i="53"/>
  <c r="Q719" i="53"/>
  <c r="P719" i="53"/>
  <c r="Q671" i="53"/>
  <c r="P671" i="53"/>
  <c r="Q670" i="53"/>
  <c r="P670" i="53"/>
  <c r="Q669" i="53"/>
  <c r="P669" i="53"/>
  <c r="Q668" i="53"/>
  <c r="P668" i="53"/>
  <c r="Q665" i="53"/>
  <c r="Q667" i="53"/>
  <c r="Q666" i="53"/>
  <c r="P666" i="53"/>
  <c r="P667" i="53"/>
  <c r="P665" i="53"/>
  <c r="Q735" i="53"/>
  <c r="P735" i="53"/>
  <c r="Q737" i="53"/>
  <c r="P737" i="53"/>
  <c r="Q736" i="53"/>
  <c r="P736" i="53"/>
  <c r="Q702" i="53"/>
  <c r="P702" i="53"/>
  <c r="Q703" i="53"/>
  <c r="P703" i="53"/>
  <c r="Q682" i="53"/>
  <c r="P682" i="53"/>
  <c r="Q681" i="53"/>
  <c r="P681" i="53"/>
  <c r="P558" i="53"/>
  <c r="Q560" i="53"/>
  <c r="P560" i="53"/>
  <c r="Q557" i="53"/>
  <c r="P557" i="53"/>
  <c r="Q559" i="53"/>
  <c r="P559" i="53"/>
  <c r="Q558" i="53"/>
  <c r="Q565" i="53"/>
  <c r="Q562" i="53"/>
  <c r="Q564" i="53"/>
  <c r="Q563" i="53"/>
  <c r="Q566" i="53"/>
  <c r="Q561" i="53"/>
  <c r="Q568" i="53"/>
  <c r="Q569" i="53"/>
  <c r="Q573" i="53"/>
  <c r="Q570" i="53"/>
  <c r="Q574" i="53"/>
  <c r="Q572" i="53"/>
  <c r="Q571" i="53"/>
  <c r="Q554" i="53"/>
  <c r="P554" i="53"/>
  <c r="Q553" i="53"/>
  <c r="Q556" i="53"/>
  <c r="Q555" i="53"/>
  <c r="P550" i="53"/>
  <c r="Q547" i="53"/>
  <c r="Q552" i="53"/>
  <c r="P547" i="53"/>
  <c r="Q544" i="53"/>
  <c r="P552" i="53"/>
  <c r="Q549" i="53"/>
  <c r="P544" i="53"/>
  <c r="P549" i="53"/>
  <c r="Q546" i="53"/>
  <c r="Q551" i="53"/>
  <c r="P546" i="53"/>
  <c r="Q543" i="53"/>
  <c r="P551" i="53"/>
  <c r="Q548" i="53"/>
  <c r="P543" i="53"/>
  <c r="P548" i="53"/>
  <c r="Q545" i="53"/>
  <c r="Q550" i="53"/>
  <c r="P545" i="53"/>
  <c r="Q542" i="53"/>
  <c r="Q541" i="53"/>
  <c r="P541" i="53"/>
  <c r="Q540" i="53"/>
  <c r="P540" i="53"/>
  <c r="Q539" i="53"/>
  <c r="Q538" i="53"/>
  <c r="P538" i="53"/>
  <c r="Q537" i="53"/>
  <c r="P537" i="53"/>
  <c r="Q536" i="53"/>
  <c r="P2073" i="53"/>
  <c r="P2065" i="53"/>
  <c r="Q2062" i="53"/>
  <c r="Q2050" i="53"/>
  <c r="P2042" i="53"/>
  <c r="Q2027" i="53"/>
  <c r="P1893" i="53"/>
  <c r="Q1890" i="53"/>
  <c r="P1885" i="53"/>
  <c r="Q1882" i="53"/>
  <c r="P1877" i="53"/>
  <c r="Q1874" i="53"/>
  <c r="Q2075" i="53"/>
  <c r="P446" i="53"/>
  <c r="P2062" i="53"/>
  <c r="P2050" i="53"/>
  <c r="Q2045" i="53"/>
  <c r="P2027" i="53"/>
  <c r="P1890" i="53"/>
  <c r="Q1887" i="53"/>
  <c r="P1882" i="53"/>
  <c r="Q1879" i="53"/>
  <c r="P1874" i="53"/>
  <c r="Q1871" i="53"/>
  <c r="P2075" i="53"/>
  <c r="Q2064" i="53"/>
  <c r="P2045" i="53"/>
  <c r="Q2029" i="53"/>
  <c r="Q1892" i="53"/>
  <c r="P1887" i="53"/>
  <c r="Q1884" i="53"/>
  <c r="P1879" i="53"/>
  <c r="Q1876" i="53"/>
  <c r="P1871" i="53"/>
  <c r="P2064" i="53"/>
  <c r="Q2047" i="53"/>
  <c r="P2029" i="53"/>
  <c r="Q2026" i="53"/>
  <c r="P1892" i="53"/>
  <c r="Q1889" i="53"/>
  <c r="P1884" i="53"/>
  <c r="Q1881" i="53"/>
  <c r="P1876" i="53"/>
  <c r="Q1873" i="53"/>
  <c r="Q2074" i="53"/>
  <c r="P2047" i="53"/>
  <c r="Q2043" i="53"/>
  <c r="P2026" i="53"/>
  <c r="P1889" i="53"/>
  <c r="Q1886" i="53"/>
  <c r="P1881" i="53"/>
  <c r="Q1878" i="53"/>
  <c r="P1873" i="53"/>
  <c r="Q1870" i="53"/>
  <c r="P2074" i="53"/>
  <c r="Q2063" i="53"/>
  <c r="P2043" i="53"/>
  <c r="Q2028" i="53"/>
  <c r="Q1891" i="53"/>
  <c r="P1886" i="53"/>
  <c r="Q1883" i="53"/>
  <c r="P1878" i="53"/>
  <c r="Q1875" i="53"/>
  <c r="P1870" i="53"/>
  <c r="P2063" i="53"/>
  <c r="Q2046" i="53"/>
  <c r="P2028" i="53"/>
  <c r="Q2019" i="53"/>
  <c r="P1891" i="53"/>
  <c r="Q1888" i="53"/>
  <c r="P1883" i="53"/>
  <c r="Q1880" i="53"/>
  <c r="P1875" i="53"/>
  <c r="Q1872" i="53"/>
  <c r="Q2073" i="53"/>
  <c r="Q2065" i="53"/>
  <c r="P2046" i="53"/>
  <c r="Q2042" i="53"/>
  <c r="P2019" i="53"/>
  <c r="Q1893" i="53"/>
  <c r="P1888" i="53"/>
  <c r="Q1885" i="53"/>
  <c r="P1880" i="53"/>
  <c r="Q1877" i="53"/>
  <c r="P1872" i="53"/>
  <c r="Q35" i="53"/>
  <c r="Q382" i="53"/>
  <c r="Q404" i="53"/>
  <c r="Q408" i="53"/>
  <c r="Q456" i="53"/>
  <c r="Q432" i="53"/>
  <c r="Q436" i="53"/>
  <c r="Q440" i="53"/>
  <c r="Q444" i="53"/>
  <c r="Q448" i="53"/>
  <c r="Q452" i="53"/>
  <c r="Q36" i="53"/>
  <c r="Q383" i="53"/>
  <c r="Q405" i="53"/>
  <c r="Q409" i="53"/>
  <c r="Q433" i="53"/>
  <c r="Q437" i="53"/>
  <c r="Q441" i="53"/>
  <c r="Q445" i="53"/>
  <c r="Q380" i="53"/>
  <c r="Q384" i="53"/>
  <c r="Q406" i="53"/>
  <c r="Q410" i="53"/>
  <c r="Q434" i="53"/>
  <c r="Q438" i="53"/>
  <c r="Q442" i="53"/>
  <c r="Q446" i="53"/>
  <c r="Q450" i="53"/>
  <c r="Q454" i="53"/>
  <c r="Q449" i="53"/>
  <c r="Q34" i="53"/>
  <c r="Q381" i="53"/>
  <c r="Q403" i="53"/>
  <c r="Q407" i="53"/>
  <c r="Q411" i="53"/>
  <c r="Q453" i="53"/>
  <c r="Q435" i="53"/>
  <c r="Q439" i="53"/>
  <c r="Q443" i="53"/>
  <c r="Q447" i="53"/>
  <c r="Q451" i="53"/>
  <c r="Q455" i="53"/>
  <c r="Q1756" i="53"/>
  <c r="Q1820" i="53"/>
  <c r="Q1819" i="53"/>
  <c r="P1854" i="53"/>
  <c r="P1820" i="53"/>
  <c r="Q1854" i="53"/>
  <c r="Q1842" i="53"/>
  <c r="Q1824" i="53"/>
  <c r="P1842" i="53"/>
  <c r="P1855" i="53"/>
  <c r="P1819" i="53"/>
  <c r="Q1855" i="53"/>
  <c r="Q1841" i="53"/>
  <c r="Q1822" i="53"/>
  <c r="P1824" i="53"/>
  <c r="P1841" i="53"/>
  <c r="P1822" i="53"/>
  <c r="P1756" i="53"/>
  <c r="Q336" i="53"/>
  <c r="Q353" i="53"/>
  <c r="Q337" i="53"/>
  <c r="Q354" i="53"/>
  <c r="Q350" i="53"/>
  <c r="Q338" i="53"/>
  <c r="Q351" i="53"/>
  <c r="Q355" i="53"/>
  <c r="Q335" i="53"/>
  <c r="Q356" i="53"/>
  <c r="Q339" i="53"/>
  <c r="Q352" i="53"/>
  <c r="Q1807" i="53"/>
  <c r="P1802" i="53"/>
  <c r="Q1799" i="53"/>
  <c r="P1794" i="53"/>
  <c r="Q1791" i="53"/>
  <c r="P1786" i="53"/>
  <c r="Q1783" i="53"/>
  <c r="P1778" i="53"/>
  <c r="Q1775" i="53"/>
  <c r="P1770" i="53"/>
  <c r="Q1767" i="53"/>
  <c r="P1762" i="53"/>
  <c r="Q1759" i="53"/>
  <c r="Q1788" i="53"/>
  <c r="P1783" i="53"/>
  <c r="Q1780" i="53"/>
  <c r="Q1772" i="53"/>
  <c r="Q1764" i="53"/>
  <c r="P1759" i="53"/>
  <c r="Q1762" i="53"/>
  <c r="P1807" i="53"/>
  <c r="Q1804" i="53"/>
  <c r="P1799" i="53"/>
  <c r="Q1796" i="53"/>
  <c r="P1791" i="53"/>
  <c r="P1775" i="53"/>
  <c r="P1767" i="53"/>
  <c r="P1804" i="53"/>
  <c r="Q1801" i="53"/>
  <c r="P1796" i="53"/>
  <c r="Q1793" i="53"/>
  <c r="P1788" i="53"/>
  <c r="Q1785" i="53"/>
  <c r="P1780" i="53"/>
  <c r="Q1777" i="53"/>
  <c r="P1772" i="53"/>
  <c r="Q1769" i="53"/>
  <c r="P1764" i="53"/>
  <c r="Q1761" i="53"/>
  <c r="P1801" i="53"/>
  <c r="Q1790" i="53"/>
  <c r="P1785" i="53"/>
  <c r="Q1774" i="53"/>
  <c r="P1769" i="53"/>
  <c r="Q1766" i="53"/>
  <c r="P1761" i="53"/>
  <c r="Q1806" i="53"/>
  <c r="Q1798" i="53"/>
  <c r="P1793" i="53"/>
  <c r="Q1782" i="53"/>
  <c r="P1777" i="53"/>
  <c r="Q1758" i="53"/>
  <c r="P1773" i="53"/>
  <c r="P1806" i="53"/>
  <c r="Q1803" i="53"/>
  <c r="P1798" i="53"/>
  <c r="Q1795" i="53"/>
  <c r="P1790" i="53"/>
  <c r="Q1787" i="53"/>
  <c r="P1782" i="53"/>
  <c r="Q1779" i="53"/>
  <c r="P1774" i="53"/>
  <c r="Q1771" i="53"/>
  <c r="P1766" i="53"/>
  <c r="Q1763" i="53"/>
  <c r="P1758" i="53"/>
  <c r="Q1800" i="53"/>
  <c r="P1795" i="53"/>
  <c r="Q1792" i="53"/>
  <c r="P1787" i="53"/>
  <c r="Q1784" i="53"/>
  <c r="Q1776" i="53"/>
  <c r="Q1768" i="53"/>
  <c r="Q1760" i="53"/>
  <c r="Q1770" i="53"/>
  <c r="P1757" i="53"/>
  <c r="Q1808" i="53"/>
  <c r="P1803" i="53"/>
  <c r="P1779" i="53"/>
  <c r="P1771" i="53"/>
  <c r="P1763" i="53"/>
  <c r="P1808" i="53"/>
  <c r="Q1805" i="53"/>
  <c r="P1800" i="53"/>
  <c r="Q1797" i="53"/>
  <c r="P1792" i="53"/>
  <c r="Q1789" i="53"/>
  <c r="P1784" i="53"/>
  <c r="Q1781" i="53"/>
  <c r="P1776" i="53"/>
  <c r="Q1773" i="53"/>
  <c r="P1768" i="53"/>
  <c r="Q1765" i="53"/>
  <c r="P1760" i="53"/>
  <c r="Q1757" i="53"/>
  <c r="Q1802" i="53"/>
  <c r="P1797" i="53"/>
  <c r="Q1794" i="53"/>
  <c r="P1789" i="53"/>
  <c r="Q1786" i="53"/>
  <c r="P1781" i="53"/>
  <c r="Q1778" i="53"/>
  <c r="P1765" i="53"/>
  <c r="P1805" i="53"/>
  <c r="P1753" i="53"/>
  <c r="Q1749" i="53"/>
  <c r="Q1753" i="53"/>
  <c r="Q1755" i="53"/>
  <c r="P1749" i="53"/>
  <c r="Q1747" i="53"/>
  <c r="P1755" i="53"/>
  <c r="Q1752" i="53"/>
  <c r="P1747" i="53"/>
  <c r="P1751" i="53"/>
  <c r="P1752" i="53"/>
  <c r="Q1750" i="53"/>
  <c r="P1750" i="53"/>
  <c r="Q1746" i="53"/>
  <c r="P1748" i="53"/>
  <c r="Q1754" i="53"/>
  <c r="P1754" i="53"/>
  <c r="Q1751" i="53"/>
  <c r="P1746" i="53"/>
  <c r="Q1748" i="53"/>
  <c r="P1738" i="53"/>
  <c r="Q1736" i="53"/>
  <c r="P1731" i="53"/>
  <c r="Q1727" i="53"/>
  <c r="P1722" i="53"/>
  <c r="Q1719" i="53"/>
  <c r="P1714" i="53"/>
  <c r="Q1711" i="53"/>
  <c r="P1706" i="53"/>
  <c r="Q1703" i="53"/>
  <c r="P1698" i="53"/>
  <c r="Q1695" i="53"/>
  <c r="P1670" i="53"/>
  <c r="Q1636" i="53"/>
  <c r="P1630" i="53"/>
  <c r="Q1632" i="53"/>
  <c r="P1725" i="53"/>
  <c r="P1717" i="53"/>
  <c r="P1701" i="53"/>
  <c r="Q1743" i="53"/>
  <c r="P1736" i="53"/>
  <c r="Q1733" i="53"/>
  <c r="P1727" i="53"/>
  <c r="Q1724" i="53"/>
  <c r="P1719" i="53"/>
  <c r="Q1716" i="53"/>
  <c r="P1711" i="53"/>
  <c r="Q1708" i="53"/>
  <c r="P1703" i="53"/>
  <c r="Q1700" i="53"/>
  <c r="P1695" i="53"/>
  <c r="Q1692" i="53"/>
  <c r="P1636" i="53"/>
  <c r="Q1731" i="53"/>
  <c r="P1743" i="53"/>
  <c r="Q1737" i="53"/>
  <c r="P1733" i="53"/>
  <c r="Q1730" i="53"/>
  <c r="P1724" i="53"/>
  <c r="Q1721" i="53"/>
  <c r="P1716" i="53"/>
  <c r="Q1713" i="53"/>
  <c r="P1708" i="53"/>
  <c r="Q1705" i="53"/>
  <c r="P1700" i="53"/>
  <c r="Q1697" i="53"/>
  <c r="P1692" i="53"/>
  <c r="Q1669" i="53"/>
  <c r="Q1638" i="53"/>
  <c r="P1632" i="53"/>
  <c r="P1734" i="53"/>
  <c r="Q1630" i="53"/>
  <c r="P1737" i="53"/>
  <c r="Q1735" i="53"/>
  <c r="P1730" i="53"/>
  <c r="Q1726" i="53"/>
  <c r="P1721" i="53"/>
  <c r="Q1718" i="53"/>
  <c r="P1713" i="53"/>
  <c r="Q1710" i="53"/>
  <c r="P1705" i="53"/>
  <c r="Q1702" i="53"/>
  <c r="P1697" i="53"/>
  <c r="Q1694" i="53"/>
  <c r="Q1671" i="53"/>
  <c r="P1669" i="53"/>
  <c r="P1638" i="53"/>
  <c r="Q1634" i="53"/>
  <c r="Q1738" i="53"/>
  <c r="Q1714" i="53"/>
  <c r="P1693" i="53"/>
  <c r="P1633" i="53"/>
  <c r="Q1740" i="53"/>
  <c r="P1735" i="53"/>
  <c r="Q1732" i="53"/>
  <c r="P1726" i="53"/>
  <c r="Q1723" i="53"/>
  <c r="P1718" i="53"/>
  <c r="Q1715" i="53"/>
  <c r="P1710" i="53"/>
  <c r="Q1707" i="53"/>
  <c r="P1702" i="53"/>
  <c r="Q1699" i="53"/>
  <c r="P1694" i="53"/>
  <c r="P1671" i="53"/>
  <c r="P1634" i="53"/>
  <c r="Q1631" i="53"/>
  <c r="P1709" i="53"/>
  <c r="Q1698" i="53"/>
  <c r="P1740" i="53"/>
  <c r="Q1729" i="53"/>
  <c r="P1732" i="53"/>
  <c r="Q1728" i="53"/>
  <c r="P1723" i="53"/>
  <c r="Q1720" i="53"/>
  <c r="P1715" i="53"/>
  <c r="Q1712" i="53"/>
  <c r="P1707" i="53"/>
  <c r="Q1704" i="53"/>
  <c r="P1699" i="53"/>
  <c r="Q1696" i="53"/>
  <c r="Q1666" i="53"/>
  <c r="Q1637" i="53"/>
  <c r="P1631" i="53"/>
  <c r="Q1722" i="53"/>
  <c r="Q1706" i="53"/>
  <c r="Q1670" i="53"/>
  <c r="P1729" i="53"/>
  <c r="Q1734" i="53"/>
  <c r="P1728" i="53"/>
  <c r="Q1725" i="53"/>
  <c r="P1720" i="53"/>
  <c r="Q1717" i="53"/>
  <c r="P1712" i="53"/>
  <c r="Q1709" i="53"/>
  <c r="P1704" i="53"/>
  <c r="Q1701" i="53"/>
  <c r="P1696" i="53"/>
  <c r="Q1693" i="53"/>
  <c r="Q1690" i="53"/>
  <c r="P1666" i="53"/>
  <c r="P1637" i="53"/>
  <c r="Q1633" i="53"/>
  <c r="P1690" i="53"/>
  <c r="P1602" i="53"/>
  <c r="Q1622" i="53"/>
  <c r="Q1604" i="53"/>
  <c r="P1622" i="53"/>
  <c r="P1604" i="53"/>
  <c r="Q1599" i="53"/>
  <c r="P1599" i="53"/>
  <c r="Q1621" i="53"/>
  <c r="Q1603" i="53"/>
  <c r="P1621" i="53"/>
  <c r="P1603" i="53"/>
  <c r="Q1602" i="53"/>
  <c r="Q1605" i="53"/>
  <c r="P1605" i="53"/>
  <c r="P1582" i="53"/>
  <c r="Q1567" i="53"/>
  <c r="P1495" i="53"/>
  <c r="Q1585" i="53"/>
  <c r="P1567" i="53"/>
  <c r="Q1563" i="53"/>
  <c r="P1565" i="53"/>
  <c r="P1585" i="53"/>
  <c r="Q1581" i="53"/>
  <c r="P1563" i="53"/>
  <c r="Q1561" i="53"/>
  <c r="Q1495" i="53"/>
  <c r="P1581" i="53"/>
  <c r="Q1566" i="53"/>
  <c r="Q1583" i="53"/>
  <c r="P1566" i="53"/>
  <c r="P1583" i="53"/>
  <c r="Q1568" i="53"/>
  <c r="P1561" i="53"/>
  <c r="Q1582" i="53"/>
  <c r="P1568" i="53"/>
  <c r="Q1565" i="53"/>
  <c r="Q172" i="53"/>
  <c r="Q253" i="53"/>
  <c r="Q257" i="53"/>
  <c r="Q261" i="53"/>
  <c r="Q265" i="53"/>
  <c r="Q269" i="53"/>
  <c r="Q273" i="53"/>
  <c r="Q277" i="53"/>
  <c r="Q281" i="53"/>
  <c r="Q285" i="53"/>
  <c r="Q289" i="53"/>
  <c r="Q293" i="53"/>
  <c r="Q297" i="53"/>
  <c r="Q301" i="53"/>
  <c r="Q305" i="53"/>
  <c r="Q310" i="53"/>
  <c r="Q331" i="53"/>
  <c r="Q254" i="53"/>
  <c r="Q258" i="53"/>
  <c r="Q262" i="53"/>
  <c r="Q266" i="53"/>
  <c r="Q270" i="53"/>
  <c r="Q274" i="53"/>
  <c r="Q278" i="53"/>
  <c r="Q282" i="53"/>
  <c r="Q286" i="53"/>
  <c r="Q290" i="53"/>
  <c r="Q294" i="53"/>
  <c r="Q298" i="53"/>
  <c r="Q302" i="53"/>
  <c r="Q311" i="53"/>
  <c r="Q332" i="53"/>
  <c r="Q56" i="53"/>
  <c r="Q256" i="53"/>
  <c r="Q284" i="53"/>
  <c r="Q300" i="53"/>
  <c r="Q38" i="53"/>
  <c r="Q255" i="53"/>
  <c r="Q259" i="53"/>
  <c r="Q263" i="53"/>
  <c r="Q267" i="53"/>
  <c r="Q271" i="53"/>
  <c r="Q275" i="53"/>
  <c r="Q279" i="53"/>
  <c r="Q283" i="53"/>
  <c r="Q287" i="53"/>
  <c r="Q295" i="53"/>
  <c r="Q299" i="53"/>
  <c r="Q303" i="53"/>
  <c r="Q308" i="53"/>
  <c r="Q312" i="53"/>
  <c r="Q333" i="53"/>
  <c r="Q264" i="53"/>
  <c r="Q272" i="53"/>
  <c r="Q288" i="53"/>
  <c r="Q296" i="53"/>
  <c r="Q309" i="53"/>
  <c r="Q334" i="53"/>
  <c r="Q171" i="53"/>
  <c r="Q268" i="53"/>
  <c r="Q276" i="53"/>
  <c r="Q292" i="53"/>
  <c r="Q260" i="53"/>
  <c r="Q280" i="53"/>
  <c r="Q304" i="53"/>
  <c r="P1536" i="53"/>
  <c r="Q1535" i="53"/>
  <c r="P1535" i="53"/>
  <c r="Q1534" i="53"/>
  <c r="P1534" i="53"/>
  <c r="Q1536" i="53"/>
  <c r="Q1531" i="53"/>
  <c r="P1530" i="53"/>
  <c r="Q1527" i="53"/>
  <c r="Q1524" i="53"/>
  <c r="P1523" i="53"/>
  <c r="Q1499" i="53"/>
  <c r="P1529" i="53"/>
  <c r="Q1532" i="53"/>
  <c r="P1531" i="53"/>
  <c r="Q1528" i="53"/>
  <c r="P1527" i="53"/>
  <c r="Q1525" i="53"/>
  <c r="P1524" i="53"/>
  <c r="Q1501" i="53"/>
  <c r="P1499" i="53"/>
  <c r="Q1523" i="53"/>
  <c r="P1532" i="53"/>
  <c r="Q1529" i="53"/>
  <c r="P1528" i="53"/>
  <c r="P1525" i="53"/>
  <c r="Q1503" i="53"/>
  <c r="P1501" i="53"/>
  <c r="Q1530" i="53"/>
  <c r="P1503" i="53"/>
  <c r="P1448" i="53"/>
  <c r="Q1448" i="53"/>
  <c r="Q1427" i="53"/>
  <c r="P1426" i="53"/>
  <c r="Q1423" i="53"/>
  <c r="P1422" i="53"/>
  <c r="Q1419" i="53"/>
  <c r="P1418" i="53"/>
  <c r="Q1447" i="53"/>
  <c r="P1446" i="53"/>
  <c r="Q1443" i="53"/>
  <c r="P1442" i="53"/>
  <c r="Q1439" i="53"/>
  <c r="P1438" i="53"/>
  <c r="Q1435" i="53"/>
  <c r="P1434" i="53"/>
  <c r="Q1431" i="53"/>
  <c r="P1430" i="53"/>
  <c r="Q1414" i="53"/>
  <c r="Q1436" i="53"/>
  <c r="Q1432" i="53"/>
  <c r="Q1415" i="53"/>
  <c r="P1414" i="53"/>
  <c r="P1417" i="53"/>
  <c r="Q1442" i="53"/>
  <c r="P1437" i="53"/>
  <c r="P1433" i="53"/>
  <c r="Q1428" i="53"/>
  <c r="P1427" i="53"/>
  <c r="Q1424" i="53"/>
  <c r="P1423" i="53"/>
  <c r="Q1420" i="53"/>
  <c r="P1419" i="53"/>
  <c r="Q1449" i="53"/>
  <c r="P1447" i="53"/>
  <c r="Q1444" i="53"/>
  <c r="P1443" i="53"/>
  <c r="Q1440" i="53"/>
  <c r="P1439" i="53"/>
  <c r="P1435" i="53"/>
  <c r="P1431" i="53"/>
  <c r="Q1446" i="53"/>
  <c r="Q1438" i="53"/>
  <c r="Q1430" i="53"/>
  <c r="P1428" i="53"/>
  <c r="Q1425" i="53"/>
  <c r="P1424" i="53"/>
  <c r="Q1421" i="53"/>
  <c r="P1420" i="53"/>
  <c r="Q1417" i="53"/>
  <c r="P1449" i="53"/>
  <c r="Q1445" i="53"/>
  <c r="P1444" i="53"/>
  <c r="Q1441" i="53"/>
  <c r="P1440" i="53"/>
  <c r="Q1437" i="53"/>
  <c r="P1436" i="53"/>
  <c r="Q1433" i="53"/>
  <c r="P1432" i="53"/>
  <c r="Q1416" i="53"/>
  <c r="P1415" i="53"/>
  <c r="Q1426" i="53"/>
  <c r="P1425" i="53"/>
  <c r="Q1422" i="53"/>
  <c r="P1421" i="53"/>
  <c r="Q1418" i="53"/>
  <c r="P1445" i="53"/>
  <c r="P1441" i="53"/>
  <c r="Q1434" i="53"/>
  <c r="P1416" i="53"/>
  <c r="Q1413" i="53"/>
  <c r="P1411" i="53"/>
  <c r="Q1409" i="53"/>
  <c r="P1408" i="53"/>
  <c r="Q1404" i="53"/>
  <c r="P1403" i="53"/>
  <c r="Q1400" i="53"/>
  <c r="P1399" i="53"/>
  <c r="Q1396" i="53"/>
  <c r="P1395" i="53"/>
  <c r="Q1390" i="53"/>
  <c r="P1389" i="53"/>
  <c r="Q1386" i="53"/>
  <c r="P1385" i="53"/>
  <c r="P1384" i="53"/>
  <c r="Q1381" i="53"/>
  <c r="P1380" i="53"/>
  <c r="Q1377" i="53"/>
  <c r="P1376" i="53"/>
  <c r="Q1382" i="53"/>
  <c r="P1381" i="53"/>
  <c r="Q1378" i="53"/>
  <c r="P1377" i="53"/>
  <c r="P1410" i="53"/>
  <c r="Q1406" i="53"/>
  <c r="P1405" i="53"/>
  <c r="Q1402" i="53"/>
  <c r="P1401" i="53"/>
  <c r="Q1398" i="53"/>
  <c r="P1397" i="53"/>
  <c r="Q1393" i="53"/>
  <c r="P1392" i="53"/>
  <c r="Q1388" i="53"/>
  <c r="P1387" i="53"/>
  <c r="Q1383" i="53"/>
  <c r="P1382" i="53"/>
  <c r="Q1379" i="53"/>
  <c r="P1378" i="53"/>
  <c r="Q1411" i="53"/>
  <c r="P1412" i="53"/>
  <c r="Q1408" i="53"/>
  <c r="P1406" i="53"/>
  <c r="Q1403" i="53"/>
  <c r="P1402" i="53"/>
  <c r="Q1399" i="53"/>
  <c r="Q1395" i="53"/>
  <c r="P1388" i="53"/>
  <c r="Q1385" i="53"/>
  <c r="Q1384" i="53"/>
  <c r="P1379" i="53"/>
  <c r="Q1376" i="53"/>
  <c r="P1413" i="53"/>
  <c r="Q1410" i="53"/>
  <c r="P1409" i="53"/>
  <c r="Q1405" i="53"/>
  <c r="P1404" i="53"/>
  <c r="Q1401" i="53"/>
  <c r="P1400" i="53"/>
  <c r="Q1397" i="53"/>
  <c r="P1396" i="53"/>
  <c r="Q1392" i="53"/>
  <c r="P1390" i="53"/>
  <c r="Q1387" i="53"/>
  <c r="P1386" i="53"/>
  <c r="Q1412" i="53"/>
  <c r="P1398" i="53"/>
  <c r="P1393" i="53"/>
  <c r="Q1389" i="53"/>
  <c r="P1383" i="53"/>
  <c r="Q1380" i="53"/>
  <c r="Q195" i="53"/>
  <c r="Q173" i="53"/>
  <c r="Q194" i="53"/>
  <c r="Q196" i="53"/>
  <c r="Q41" i="53"/>
  <c r="P40" i="53"/>
  <c r="P41" i="53"/>
  <c r="Q40" i="53"/>
  <c r="P39" i="53"/>
  <c r="Q57" i="53"/>
  <c r="Q58" i="53"/>
  <c r="P57" i="53"/>
  <c r="P535" i="53"/>
  <c r="Q535" i="53"/>
  <c r="Q534" i="53"/>
  <c r="P1363" i="53"/>
  <c r="Q1363" i="53"/>
  <c r="Q1365" i="53"/>
  <c r="P1364" i="53"/>
  <c r="Q1361" i="53"/>
  <c r="P530" i="53"/>
  <c r="Q1366" i="53"/>
  <c r="P1365" i="53"/>
  <c r="P1361" i="53"/>
  <c r="P1362" i="53"/>
  <c r="Q530" i="53"/>
  <c r="P1366" i="53"/>
  <c r="Q1362" i="53"/>
  <c r="Q1364" i="53"/>
  <c r="Q1345" i="53"/>
  <c r="P1344" i="53"/>
  <c r="Q1341" i="53"/>
  <c r="P1340" i="53"/>
  <c r="Q1340" i="53"/>
  <c r="P1335" i="53"/>
  <c r="P1345" i="53"/>
  <c r="Q1342" i="53"/>
  <c r="P1341" i="53"/>
  <c r="Q1344" i="53"/>
  <c r="Q1343" i="53"/>
  <c r="P1342" i="53"/>
  <c r="Q1335" i="53"/>
  <c r="P1343" i="53"/>
  <c r="Q1332" i="53"/>
  <c r="P1331" i="53"/>
  <c r="Q1333" i="53"/>
  <c r="P1332" i="53"/>
  <c r="P1333" i="53"/>
  <c r="Q1331" i="53"/>
  <c r="P1312" i="53"/>
  <c r="Q1312" i="53"/>
  <c r="P1292" i="53"/>
  <c r="Q1292" i="53"/>
  <c r="Q1314" i="53"/>
  <c r="P1313" i="53"/>
  <c r="Q1310" i="53"/>
  <c r="P1309" i="53"/>
  <c r="Q1306" i="53"/>
  <c r="P1305" i="53"/>
  <c r="Q1302" i="53"/>
  <c r="P1301" i="53"/>
  <c r="Q1298" i="53"/>
  <c r="P1297" i="53"/>
  <c r="Q1315" i="53"/>
  <c r="P1314" i="53"/>
  <c r="Q1311" i="53"/>
  <c r="P1310" i="53"/>
  <c r="Q1307" i="53"/>
  <c r="P1306" i="53"/>
  <c r="Q1303" i="53"/>
  <c r="P1302" i="53"/>
  <c r="Q1299" i="53"/>
  <c r="P1298" i="53"/>
  <c r="Q1313" i="53"/>
  <c r="P1308" i="53"/>
  <c r="Q1305" i="53"/>
  <c r="P1304" i="53"/>
  <c r="Q1301" i="53"/>
  <c r="P1187" i="53"/>
  <c r="P1315" i="53"/>
  <c r="P1311" i="53"/>
  <c r="Q1308" i="53"/>
  <c r="P1307" i="53"/>
  <c r="Q1304" i="53"/>
  <c r="P1303" i="53"/>
  <c r="Q1300" i="53"/>
  <c r="P1299" i="53"/>
  <c r="Q1187" i="53"/>
  <c r="Q1296" i="53"/>
  <c r="Q1309" i="53"/>
  <c r="P1300" i="53"/>
  <c r="Q1297" i="53"/>
  <c r="P1296" i="53"/>
  <c r="P1294" i="53"/>
  <c r="Q1289" i="53"/>
  <c r="P1288" i="53"/>
  <c r="Q1285" i="53"/>
  <c r="P1284" i="53"/>
  <c r="Q1281" i="53"/>
  <c r="P1280" i="53"/>
  <c r="Q1277" i="53"/>
  <c r="P1276" i="53"/>
  <c r="Q1270" i="53"/>
  <c r="P1269" i="53"/>
  <c r="Q1290" i="53"/>
  <c r="Q1286" i="53"/>
  <c r="P1285" i="53"/>
  <c r="Q1282" i="53"/>
  <c r="P1281" i="53"/>
  <c r="Q1278" i="53"/>
  <c r="P1277" i="53"/>
  <c r="Q1274" i="53"/>
  <c r="Q1271" i="53"/>
  <c r="Q1291" i="53"/>
  <c r="P1290" i="53"/>
  <c r="Q1287" i="53"/>
  <c r="Q1283" i="53"/>
  <c r="P1282" i="53"/>
  <c r="Q1279" i="53"/>
  <c r="Q1275" i="53"/>
  <c r="P1274" i="53"/>
  <c r="Q1272" i="53"/>
  <c r="Q1294" i="53"/>
  <c r="P1291" i="53"/>
  <c r="Q1288" i="53"/>
  <c r="Q1284" i="53"/>
  <c r="P1283" i="53"/>
  <c r="Q1280" i="53"/>
  <c r="Q1276" i="53"/>
  <c r="P1275" i="53"/>
  <c r="P1272" i="53"/>
  <c r="P1289" i="53"/>
  <c r="P1270" i="53"/>
  <c r="P1286" i="53"/>
  <c r="P1278" i="53"/>
  <c r="P1271" i="53"/>
  <c r="P1287" i="53"/>
  <c r="P1279" i="53"/>
  <c r="Q1269" i="53"/>
  <c r="Q1256" i="53"/>
  <c r="P1255" i="53"/>
  <c r="Q1249" i="53"/>
  <c r="P1248" i="53"/>
  <c r="P1244" i="53"/>
  <c r="P1241" i="53"/>
  <c r="Q1254" i="53"/>
  <c r="P1256" i="53"/>
  <c r="Q1250" i="53"/>
  <c r="P1249" i="53"/>
  <c r="Q1246" i="53"/>
  <c r="P1245" i="53"/>
  <c r="Q1242" i="53"/>
  <c r="P1254" i="53"/>
  <c r="P1250" i="53"/>
  <c r="Q1247" i="53"/>
  <c r="P1246" i="53"/>
  <c r="Q1243" i="53"/>
  <c r="P1242" i="53"/>
  <c r="Q1245" i="53"/>
  <c r="Q1255" i="53"/>
  <c r="Q1248" i="53"/>
  <c r="P1247" i="53"/>
  <c r="Q1244" i="53"/>
  <c r="P1243" i="53"/>
  <c r="Q1241" i="53"/>
  <c r="P732" i="53"/>
  <c r="P1221" i="53"/>
  <c r="Q1218" i="53"/>
  <c r="Q1223" i="53"/>
  <c r="P1222" i="53"/>
  <c r="Q1219" i="53"/>
  <c r="P1218" i="53"/>
  <c r="P1219" i="53"/>
  <c r="Q1224" i="53"/>
  <c r="P1223" i="53"/>
  <c r="Q1220" i="53"/>
  <c r="P1224" i="53"/>
  <c r="Q1221" i="53"/>
  <c r="P1220" i="53"/>
  <c r="Q1217" i="53"/>
  <c r="Q1222" i="53"/>
  <c r="P1217" i="53"/>
  <c r="Q533" i="53"/>
  <c r="Q531" i="53"/>
  <c r="Q532" i="53"/>
  <c r="Q529" i="53"/>
  <c r="Q429" i="53"/>
  <c r="Q427" i="53"/>
  <c r="Q379" i="53"/>
  <c r="Q37" i="53"/>
  <c r="Q55" i="53"/>
  <c r="Q306" i="53"/>
  <c r="Q349" i="53"/>
  <c r="Q431" i="53"/>
  <c r="Q430" i="53"/>
  <c r="Q428" i="53"/>
  <c r="Q378" i="53"/>
  <c r="Q307" i="53"/>
  <c r="Q348" i="53"/>
  <c r="P1215" i="53"/>
  <c r="Q1215" i="53"/>
  <c r="Q1194" i="53"/>
  <c r="P1193" i="53"/>
  <c r="Q1180" i="53"/>
  <c r="P1177" i="53"/>
  <c r="P1194" i="53"/>
  <c r="Q1181" i="53"/>
  <c r="P1180" i="53"/>
  <c r="Q1182" i="53"/>
  <c r="P1181" i="53"/>
  <c r="Q1155" i="53"/>
  <c r="Q1193" i="53"/>
  <c r="P1182" i="53"/>
  <c r="Q1177" i="53"/>
  <c r="P1155" i="53"/>
  <c r="P1136" i="53"/>
  <c r="Q1133" i="53"/>
  <c r="P1132" i="53"/>
  <c r="Q1123" i="53"/>
  <c r="P1122" i="53"/>
  <c r="Q1118" i="53"/>
  <c r="P1117" i="53"/>
  <c r="Q1119" i="53"/>
  <c r="Q1115" i="53"/>
  <c r="Q1134" i="53"/>
  <c r="Q1135" i="53"/>
  <c r="P1134" i="53"/>
  <c r="Q1131" i="53"/>
  <c r="P1130" i="53"/>
  <c r="Q1120" i="53"/>
  <c r="P1119" i="53"/>
  <c r="Q1116" i="53"/>
  <c r="P1115" i="53"/>
  <c r="Q1025" i="53"/>
  <c r="P1157" i="53"/>
  <c r="Q1136" i="53"/>
  <c r="P1135" i="53"/>
  <c r="Q1132" i="53"/>
  <c r="P1131" i="53"/>
  <c r="Q1122" i="53"/>
  <c r="P1120" i="53"/>
  <c r="Q1117" i="53"/>
  <c r="P1116" i="53"/>
  <c r="P1025" i="53"/>
  <c r="P1133" i="53"/>
  <c r="Q1130" i="53"/>
  <c r="P1123" i="53"/>
  <c r="P1118" i="53"/>
  <c r="Q1030" i="53"/>
  <c r="P1029" i="53"/>
  <c r="Q1026" i="53"/>
  <c r="P1027" i="53"/>
  <c r="P1030" i="53"/>
  <c r="Q1028" i="53"/>
  <c r="Q1029" i="53"/>
  <c r="P1028" i="53"/>
  <c r="Q1027" i="53"/>
  <c r="P1026" i="53"/>
  <c r="P979" i="53"/>
  <c r="Q978" i="53"/>
  <c r="P977" i="53"/>
  <c r="P970" i="53"/>
  <c r="Q967" i="53"/>
  <c r="P966" i="53"/>
  <c r="P874" i="53"/>
  <c r="Q983" i="53"/>
  <c r="P982" i="53"/>
  <c r="Q976" i="53"/>
  <c r="P975" i="53"/>
  <c r="Q971" i="53"/>
  <c r="Q968" i="53"/>
  <c r="P967" i="53"/>
  <c r="P978" i="53"/>
  <c r="Q972" i="53"/>
  <c r="Q969" i="53"/>
  <c r="P968" i="53"/>
  <c r="Q985" i="53"/>
  <c r="P984" i="53"/>
  <c r="Q981" i="53"/>
  <c r="P980" i="53"/>
  <c r="Q974" i="53"/>
  <c r="P973" i="53"/>
  <c r="Q977" i="53"/>
  <c r="P972" i="53"/>
  <c r="Q970" i="53"/>
  <c r="P969" i="53"/>
  <c r="Q966" i="53"/>
  <c r="Q874" i="53"/>
  <c r="P985" i="53"/>
  <c r="Q982" i="53"/>
  <c r="P981" i="53"/>
  <c r="Q975" i="53"/>
  <c r="P974" i="53"/>
  <c r="Q984" i="53"/>
  <c r="P983" i="53"/>
  <c r="Q980" i="53"/>
  <c r="P976" i="53"/>
  <c r="Q973" i="53"/>
  <c r="P971" i="53"/>
  <c r="Q979" i="53"/>
  <c r="P951" i="53"/>
  <c r="Q948" i="53"/>
  <c r="P947" i="53"/>
  <c r="Q944" i="53"/>
  <c r="P943" i="53"/>
  <c r="Q940" i="53"/>
  <c r="P939" i="53"/>
  <c r="Q936" i="53"/>
  <c r="P935" i="53"/>
  <c r="Q932" i="53"/>
  <c r="P931" i="53"/>
  <c r="Q928" i="53"/>
  <c r="P927" i="53"/>
  <c r="Q924" i="53"/>
  <c r="P923" i="53"/>
  <c r="Q920" i="53"/>
  <c r="P919" i="53"/>
  <c r="Q916" i="53"/>
  <c r="P915" i="53"/>
  <c r="Q912" i="53"/>
  <c r="P911" i="53"/>
  <c r="Q908" i="53"/>
  <c r="P907" i="53"/>
  <c r="Q904" i="53"/>
  <c r="P903" i="53"/>
  <c r="Q900" i="53"/>
  <c r="P899" i="53"/>
  <c r="Q896" i="53"/>
  <c r="P895" i="53"/>
  <c r="Q892" i="53"/>
  <c r="P891" i="53"/>
  <c r="Q888" i="53"/>
  <c r="P887" i="53"/>
  <c r="Q884" i="53"/>
  <c r="P883" i="53"/>
  <c r="Q880" i="53"/>
  <c r="P879" i="53"/>
  <c r="Q876" i="53"/>
  <c r="P875" i="53"/>
  <c r="Q871" i="53"/>
  <c r="P870" i="53"/>
  <c r="Q867" i="53"/>
  <c r="P866" i="53"/>
  <c r="Q863" i="53"/>
  <c r="P862" i="53"/>
  <c r="Q859" i="53"/>
  <c r="P858" i="53"/>
  <c r="Q855" i="53"/>
  <c r="P854" i="53"/>
  <c r="Q851" i="53"/>
  <c r="P850" i="53"/>
  <c r="Q847" i="53"/>
  <c r="P846" i="53"/>
  <c r="Q843" i="53"/>
  <c r="P842" i="53"/>
  <c r="Q919" i="53"/>
  <c r="P914" i="53"/>
  <c r="P906" i="53"/>
  <c r="P898" i="53"/>
  <c r="Q891" i="53"/>
  <c r="P886" i="53"/>
  <c r="Q879" i="53"/>
  <c r="P869" i="53"/>
  <c r="Q862" i="53"/>
  <c r="P857" i="53"/>
  <c r="Q850" i="53"/>
  <c r="P845" i="53"/>
  <c r="Q949" i="53"/>
  <c r="P948" i="53"/>
  <c r="Q945" i="53"/>
  <c r="P944" i="53"/>
  <c r="Q941" i="53"/>
  <c r="P940" i="53"/>
  <c r="Q937" i="53"/>
  <c r="P936" i="53"/>
  <c r="Q933" i="53"/>
  <c r="P932" i="53"/>
  <c r="Q929" i="53"/>
  <c r="P928" i="53"/>
  <c r="Q925" i="53"/>
  <c r="P924" i="53"/>
  <c r="Q921" i="53"/>
  <c r="P920" i="53"/>
  <c r="Q917" i="53"/>
  <c r="P916" i="53"/>
  <c r="Q913" i="53"/>
  <c r="P912" i="53"/>
  <c r="Q909" i="53"/>
  <c r="P908" i="53"/>
  <c r="Q905" i="53"/>
  <c r="P904" i="53"/>
  <c r="Q901" i="53"/>
  <c r="P900" i="53"/>
  <c r="Q897" i="53"/>
  <c r="P896" i="53"/>
  <c r="Q893" i="53"/>
  <c r="P892" i="53"/>
  <c r="Q889" i="53"/>
  <c r="P888" i="53"/>
  <c r="Q885" i="53"/>
  <c r="P884" i="53"/>
  <c r="Q881" i="53"/>
  <c r="P880" i="53"/>
  <c r="Q877" i="53"/>
  <c r="P876" i="53"/>
  <c r="Q872" i="53"/>
  <c r="P871" i="53"/>
  <c r="Q868" i="53"/>
  <c r="P867" i="53"/>
  <c r="Q864" i="53"/>
  <c r="P863" i="53"/>
  <c r="Q860" i="53"/>
  <c r="P859" i="53"/>
  <c r="Q856" i="53"/>
  <c r="P855" i="53"/>
  <c r="Q852" i="53"/>
  <c r="P851" i="53"/>
  <c r="Q848" i="53"/>
  <c r="P847" i="53"/>
  <c r="Q844" i="53"/>
  <c r="P843" i="53"/>
  <c r="P950" i="53"/>
  <c r="Q947" i="53"/>
  <c r="Q943" i="53"/>
  <c r="Q939" i="53"/>
  <c r="Q935" i="53"/>
  <c r="P930" i="53"/>
  <c r="P926" i="53"/>
  <c r="Q923" i="53"/>
  <c r="P918" i="53"/>
  <c r="Q911" i="53"/>
  <c r="Q903" i="53"/>
  <c r="Q899" i="53"/>
  <c r="Q895" i="53"/>
  <c r="P890" i="53"/>
  <c r="P882" i="53"/>
  <c r="Q875" i="53"/>
  <c r="Q870" i="53"/>
  <c r="P865" i="53"/>
  <c r="P861" i="53"/>
  <c r="P853" i="53"/>
  <c r="Q846" i="53"/>
  <c r="Q842" i="53"/>
  <c r="Q950" i="53"/>
  <c r="P949" i="53"/>
  <c r="Q946" i="53"/>
  <c r="P945" i="53"/>
  <c r="Q942" i="53"/>
  <c r="P941" i="53"/>
  <c r="Q938" i="53"/>
  <c r="P937" i="53"/>
  <c r="Q934" i="53"/>
  <c r="P933" i="53"/>
  <c r="Q930" i="53"/>
  <c r="P929" i="53"/>
  <c r="Q926" i="53"/>
  <c r="P925" i="53"/>
  <c r="Q922" i="53"/>
  <c r="P921" i="53"/>
  <c r="Q918" i="53"/>
  <c r="P917" i="53"/>
  <c r="Q914" i="53"/>
  <c r="P913" i="53"/>
  <c r="Q910" i="53"/>
  <c r="P909" i="53"/>
  <c r="Q906" i="53"/>
  <c r="P905" i="53"/>
  <c r="Q902" i="53"/>
  <c r="P901" i="53"/>
  <c r="Q898" i="53"/>
  <c r="P897" i="53"/>
  <c r="Q894" i="53"/>
  <c r="P893" i="53"/>
  <c r="Q890" i="53"/>
  <c r="P889" i="53"/>
  <c r="Q886" i="53"/>
  <c r="P885" i="53"/>
  <c r="Q882" i="53"/>
  <c r="P881" i="53"/>
  <c r="Q878" i="53"/>
  <c r="P877" i="53"/>
  <c r="Q873" i="53"/>
  <c r="P872" i="53"/>
  <c r="Q869" i="53"/>
  <c r="P868" i="53"/>
  <c r="Q865" i="53"/>
  <c r="P864" i="53"/>
  <c r="Q861" i="53"/>
  <c r="P860" i="53"/>
  <c r="Q857" i="53"/>
  <c r="P856" i="53"/>
  <c r="Q853" i="53"/>
  <c r="P852" i="53"/>
  <c r="Q849" i="53"/>
  <c r="P848" i="53"/>
  <c r="Q845" i="53"/>
  <c r="P844" i="53"/>
  <c r="Q841" i="53"/>
  <c r="Q951" i="53"/>
  <c r="P946" i="53"/>
  <c r="P942" i="53"/>
  <c r="P938" i="53"/>
  <c r="P934" i="53"/>
  <c r="Q931" i="53"/>
  <c r="Q927" i="53"/>
  <c r="P922" i="53"/>
  <c r="Q915" i="53"/>
  <c r="P910" i="53"/>
  <c r="Q907" i="53"/>
  <c r="P902" i="53"/>
  <c r="P894" i="53"/>
  <c r="Q887" i="53"/>
  <c r="Q883" i="53"/>
  <c r="P878" i="53"/>
  <c r="P873" i="53"/>
  <c r="Q866" i="53"/>
  <c r="Q858" i="53"/>
  <c r="Q854" i="53"/>
  <c r="P849" i="53"/>
  <c r="P841" i="53"/>
  <c r="Q839" i="53"/>
  <c r="Q840" i="53"/>
  <c r="P839" i="53"/>
  <c r="P840" i="53"/>
  <c r="Q812" i="53"/>
  <c r="P812" i="53"/>
  <c r="Q819" i="53"/>
  <c r="Q818" i="53"/>
  <c r="P819" i="53"/>
  <c r="P818" i="53"/>
  <c r="Q813" i="53"/>
  <c r="P813" i="53"/>
  <c r="Q825" i="53"/>
  <c r="P824" i="53"/>
  <c r="Q821" i="53"/>
  <c r="Q823" i="53"/>
  <c r="Q824" i="53"/>
  <c r="P814" i="53"/>
  <c r="Q826" i="53"/>
  <c r="P825" i="53"/>
  <c r="Q822" i="53"/>
  <c r="P821" i="53"/>
  <c r="P826" i="53"/>
  <c r="P822" i="53"/>
  <c r="Q814" i="53"/>
  <c r="P823" i="53"/>
  <c r="P795" i="53"/>
  <c r="Q795" i="53"/>
  <c r="Q246" i="53"/>
  <c r="Q248" i="53"/>
  <c r="Q250" i="53"/>
  <c r="Q252" i="53"/>
  <c r="Q247" i="53"/>
  <c r="Q249" i="53"/>
  <c r="Q251" i="53"/>
  <c r="P797" i="53"/>
  <c r="Q797" i="53"/>
  <c r="Q793" i="53"/>
  <c r="P793" i="53"/>
  <c r="Q799" i="53"/>
  <c r="P799" i="53"/>
  <c r="Q792" i="53"/>
  <c r="P792" i="53"/>
  <c r="Q701" i="53"/>
  <c r="P701" i="53"/>
  <c r="Q165" i="53"/>
  <c r="Q167" i="53"/>
  <c r="Q169" i="53"/>
  <c r="Q26" i="53"/>
  <c r="Q32" i="53"/>
  <c r="Q53" i="53"/>
  <c r="Q23" i="53"/>
  <c r="Q25" i="53"/>
  <c r="Q27" i="53"/>
  <c r="Q29" i="53"/>
  <c r="Q31" i="53"/>
  <c r="Q33" i="53"/>
  <c r="Q54" i="53"/>
  <c r="Q30" i="53"/>
  <c r="Q166" i="53"/>
  <c r="Q168" i="53"/>
  <c r="Q170" i="53"/>
  <c r="Q14" i="53"/>
  <c r="Q24" i="53"/>
  <c r="Q28" i="53"/>
  <c r="P700" i="53"/>
  <c r="Q700" i="53"/>
  <c r="P774" i="53"/>
  <c r="Q773" i="53"/>
  <c r="P773" i="53"/>
  <c r="Q774" i="53"/>
  <c r="Q718" i="53"/>
  <c r="P717" i="53"/>
  <c r="Q717" i="53"/>
  <c r="P718" i="53"/>
  <c r="P716" i="53"/>
  <c r="Q716" i="53"/>
  <c r="Q710" i="53"/>
  <c r="P709" i="53"/>
  <c r="P710" i="53"/>
  <c r="Q711" i="53"/>
  <c r="P711" i="53"/>
  <c r="Q708" i="53"/>
  <c r="Q709" i="53"/>
  <c r="P708" i="53"/>
  <c r="Q698" i="53"/>
  <c r="P697" i="53"/>
  <c r="Q693" i="53"/>
  <c r="Q680" i="53"/>
  <c r="P679" i="53"/>
  <c r="Q664" i="53"/>
  <c r="P663" i="53"/>
  <c r="Q660" i="53"/>
  <c r="P659" i="53"/>
  <c r="Q656" i="53"/>
  <c r="P655" i="53"/>
  <c r="Q652" i="53"/>
  <c r="P651" i="53"/>
  <c r="Q648" i="53"/>
  <c r="P647" i="53"/>
  <c r="Q644" i="53"/>
  <c r="P643" i="53"/>
  <c r="Q640" i="53"/>
  <c r="P639" i="53"/>
  <c r="Q636" i="53"/>
  <c r="P635" i="53"/>
  <c r="Q699" i="53"/>
  <c r="P698" i="53"/>
  <c r="Q694" i="53"/>
  <c r="P693" i="53"/>
  <c r="P680" i="53"/>
  <c r="Q673" i="53"/>
  <c r="Q661" i="53"/>
  <c r="P660" i="53"/>
  <c r="Q657" i="53"/>
  <c r="P656" i="53"/>
  <c r="Q653" i="53"/>
  <c r="P652" i="53"/>
  <c r="Q649" i="53"/>
  <c r="P648" i="53"/>
  <c r="Q645" i="53"/>
  <c r="P644" i="53"/>
  <c r="Q641" i="53"/>
  <c r="P640" i="53"/>
  <c r="Q637" i="53"/>
  <c r="P636" i="53"/>
  <c r="Q633" i="53"/>
  <c r="P632" i="53"/>
  <c r="Q629" i="53"/>
  <c r="P627" i="53"/>
  <c r="Q630" i="53"/>
  <c r="P629" i="53"/>
  <c r="P699" i="53"/>
  <c r="P694" i="53"/>
  <c r="Q678" i="53"/>
  <c r="Q674" i="53"/>
  <c r="P673" i="53"/>
  <c r="Q662" i="53"/>
  <c r="P661" i="53"/>
  <c r="Q658" i="53"/>
  <c r="P657" i="53"/>
  <c r="Q654" i="53"/>
  <c r="P653" i="53"/>
  <c r="Q650" i="53"/>
  <c r="P649" i="53"/>
  <c r="Q646" i="53"/>
  <c r="P645" i="53"/>
  <c r="Q642" i="53"/>
  <c r="P641" i="53"/>
  <c r="Q638" i="53"/>
  <c r="P637" i="53"/>
  <c r="Q634" i="53"/>
  <c r="P633" i="53"/>
  <c r="Q697" i="53"/>
  <c r="Q679" i="53"/>
  <c r="P678" i="53"/>
  <c r="P674" i="53"/>
  <c r="P664" i="53"/>
  <c r="Q663" i="53"/>
  <c r="P662" i="53"/>
  <c r="Q659" i="53"/>
  <c r="P658" i="53"/>
  <c r="Q655" i="53"/>
  <c r="P654" i="53"/>
  <c r="Q651" i="53"/>
  <c r="P650" i="53"/>
  <c r="Q647" i="53"/>
  <c r="P646" i="53"/>
  <c r="Q643" i="53"/>
  <c r="P642" i="53"/>
  <c r="Q639" i="53"/>
  <c r="P638" i="53"/>
  <c r="Q635" i="53"/>
  <c r="P634" i="53"/>
  <c r="Q631" i="53"/>
  <c r="P630" i="53"/>
  <c r="Q632" i="53"/>
  <c r="P631" i="53"/>
  <c r="Q627" i="53"/>
  <c r="Q605" i="53"/>
  <c r="P604" i="53"/>
  <c r="Q601" i="53"/>
  <c r="P605" i="53"/>
  <c r="P601" i="53"/>
  <c r="P600" i="53"/>
  <c r="Q600" i="53"/>
  <c r="Q615" i="53"/>
  <c r="P615" i="53"/>
  <c r="Q604" i="53"/>
  <c r="P593" i="53"/>
  <c r="P628" i="53"/>
  <c r="Q625" i="53"/>
  <c r="P624" i="53"/>
  <c r="Q621" i="53"/>
  <c r="P620" i="53"/>
  <c r="Q617" i="53"/>
  <c r="P616" i="53"/>
  <c r="Q612" i="53"/>
  <c r="P611" i="53"/>
  <c r="Q608" i="53"/>
  <c r="P607" i="53"/>
  <c r="Q602" i="53"/>
  <c r="P599" i="53"/>
  <c r="Q596" i="53"/>
  <c r="P595" i="53"/>
  <c r="Q591" i="53"/>
  <c r="P590" i="53"/>
  <c r="Q587" i="53"/>
  <c r="P586" i="53"/>
  <c r="Q583" i="53"/>
  <c r="P582" i="53"/>
  <c r="Q579" i="53"/>
  <c r="Q578" i="53"/>
  <c r="P577" i="53"/>
  <c r="Q626" i="53"/>
  <c r="P625" i="53"/>
  <c r="Q622" i="53"/>
  <c r="P621" i="53"/>
  <c r="Q618" i="53"/>
  <c r="P617" i="53"/>
  <c r="Q613" i="53"/>
  <c r="P612" i="53"/>
  <c r="Q609" i="53"/>
  <c r="P608" i="53"/>
  <c r="Q603" i="53"/>
  <c r="P602" i="53"/>
  <c r="Q597" i="53"/>
  <c r="P596" i="53"/>
  <c r="Q592" i="53"/>
  <c r="P591" i="53"/>
  <c r="Q588" i="53"/>
  <c r="P587" i="53"/>
  <c r="Q584" i="53"/>
  <c r="P583" i="53"/>
  <c r="Q580" i="53"/>
  <c r="P579" i="53"/>
  <c r="P578" i="53"/>
  <c r="P626" i="53"/>
  <c r="Q623" i="53"/>
  <c r="P622" i="53"/>
  <c r="Q619" i="53"/>
  <c r="P618" i="53"/>
  <c r="Q614" i="53"/>
  <c r="P613" i="53"/>
  <c r="Q610" i="53"/>
  <c r="P609" i="53"/>
  <c r="Q606" i="53"/>
  <c r="P603" i="53"/>
  <c r="Q598" i="53"/>
  <c r="P597" i="53"/>
  <c r="Q594" i="53"/>
  <c r="P592" i="53"/>
  <c r="Q589" i="53"/>
  <c r="P588" i="53"/>
  <c r="Q585" i="53"/>
  <c r="P584" i="53"/>
  <c r="Q581" i="53"/>
  <c r="P580" i="53"/>
  <c r="Q567" i="53"/>
  <c r="Q593" i="53"/>
  <c r="Q628" i="53"/>
  <c r="Q624" i="53"/>
  <c r="P623" i="53"/>
  <c r="Q620" i="53"/>
  <c r="P619" i="53"/>
  <c r="Q616" i="53"/>
  <c r="P614" i="53"/>
  <c r="Q611" i="53"/>
  <c r="P610" i="53"/>
  <c r="Q607" i="53"/>
  <c r="P606" i="53"/>
  <c r="Q599" i="53"/>
  <c r="P598" i="53"/>
  <c r="Q595" i="53"/>
  <c r="P594" i="53"/>
  <c r="Q590" i="53"/>
  <c r="P589" i="53"/>
  <c r="Q586" i="53"/>
  <c r="P585" i="53"/>
  <c r="Q582" i="53"/>
  <c r="P581" i="53"/>
  <c r="Q577" i="53"/>
  <c r="P567" i="53"/>
  <c r="Q575" i="53"/>
  <c r="Q576" i="53"/>
  <c r="P575" i="53"/>
  <c r="P576" i="53"/>
  <c r="Q527" i="53"/>
  <c r="P526" i="53"/>
  <c r="Q523" i="53"/>
  <c r="P522" i="53"/>
  <c r="Q519" i="53"/>
  <c r="P518" i="53"/>
  <c r="Q515" i="53"/>
  <c r="P514" i="53"/>
  <c r="Q511" i="53"/>
  <c r="P510" i="53"/>
  <c r="Q528" i="53"/>
  <c r="P527" i="53"/>
  <c r="Q524" i="53"/>
  <c r="P523" i="53"/>
  <c r="Q520" i="53"/>
  <c r="P519" i="53"/>
  <c r="Q516" i="53"/>
  <c r="P515" i="53"/>
  <c r="Q512" i="53"/>
  <c r="P511" i="53"/>
  <c r="P528" i="53"/>
  <c r="Q525" i="53"/>
  <c r="P524" i="53"/>
  <c r="Q521" i="53"/>
  <c r="P520" i="53"/>
  <c r="Q517" i="53"/>
  <c r="P516" i="53"/>
  <c r="Q513" i="53"/>
  <c r="P512" i="53"/>
  <c r="Q509" i="53"/>
  <c r="Q526" i="53"/>
  <c r="P525" i="53"/>
  <c r="Q522" i="53"/>
  <c r="P521" i="53"/>
  <c r="Q518" i="53"/>
  <c r="P517" i="53"/>
  <c r="Q514" i="53"/>
  <c r="P513" i="53"/>
  <c r="Q510" i="53"/>
  <c r="P509" i="53"/>
  <c r="Q507" i="53"/>
  <c r="P506" i="53"/>
  <c r="Q503" i="53"/>
  <c r="P502" i="53"/>
  <c r="Q499" i="53"/>
  <c r="P498" i="53"/>
  <c r="Q495" i="53"/>
  <c r="P494" i="53"/>
  <c r="Q491" i="53"/>
  <c r="P490" i="53"/>
  <c r="Q487" i="53"/>
  <c r="P486" i="53"/>
  <c r="Q483" i="53"/>
  <c r="P482" i="53"/>
  <c r="Q479" i="53"/>
  <c r="P478" i="53"/>
  <c r="Q470" i="53"/>
  <c r="P469" i="53"/>
  <c r="Q466" i="53"/>
  <c r="P465" i="53"/>
  <c r="Q463" i="53"/>
  <c r="P462" i="53"/>
  <c r="Q458" i="53"/>
  <c r="P457" i="53"/>
  <c r="P566" i="53"/>
  <c r="P562" i="53"/>
  <c r="P553" i="53"/>
  <c r="P534" i="53"/>
  <c r="P529" i="53"/>
  <c r="Q474" i="53"/>
  <c r="P472" i="53"/>
  <c r="P507" i="53"/>
  <c r="Q504" i="53"/>
  <c r="P503" i="53"/>
  <c r="Q500" i="53"/>
  <c r="P499" i="53"/>
  <c r="Q496" i="53"/>
  <c r="P495" i="53"/>
  <c r="Q492" i="53"/>
  <c r="P491" i="53"/>
  <c r="Q488" i="53"/>
  <c r="P487" i="53"/>
  <c r="Q484" i="53"/>
  <c r="P483" i="53"/>
  <c r="Q480" i="53"/>
  <c r="P479" i="53"/>
  <c r="Q471" i="53"/>
  <c r="P470" i="53"/>
  <c r="Q467" i="53"/>
  <c r="P466" i="53"/>
  <c r="Q461" i="53"/>
  <c r="P463" i="53"/>
  <c r="Q459" i="53"/>
  <c r="P458" i="53"/>
  <c r="P563" i="53"/>
  <c r="P555" i="53"/>
  <c r="P536" i="53"/>
  <c r="P531" i="53"/>
  <c r="Q475" i="53"/>
  <c r="P474" i="53"/>
  <c r="Q505" i="53"/>
  <c r="P504" i="53"/>
  <c r="Q501" i="53"/>
  <c r="P500" i="53"/>
  <c r="Q497" i="53"/>
  <c r="P496" i="53"/>
  <c r="Q493" i="53"/>
  <c r="Q508" i="53"/>
  <c r="P508" i="53"/>
  <c r="Q506" i="53"/>
  <c r="P505" i="53"/>
  <c r="Q502" i="53"/>
  <c r="P497" i="53"/>
  <c r="Q494" i="53"/>
  <c r="P492" i="53"/>
  <c r="P488" i="53"/>
  <c r="P484" i="53"/>
  <c r="P480" i="53"/>
  <c r="P471" i="53"/>
  <c r="P467" i="53"/>
  <c r="P461" i="53"/>
  <c r="P459" i="53"/>
  <c r="P564" i="53"/>
  <c r="P539" i="53"/>
  <c r="Q472" i="53"/>
  <c r="P565" i="53"/>
  <c r="P475" i="53"/>
  <c r="Q489" i="53"/>
  <c r="Q485" i="53"/>
  <c r="Q481" i="53"/>
  <c r="Q477" i="53"/>
  <c r="Q473" i="53"/>
  <c r="Q468" i="53"/>
  <c r="Q464" i="53"/>
  <c r="Q460" i="53"/>
  <c r="P542" i="53"/>
  <c r="P501" i="53"/>
  <c r="Q498" i="53"/>
  <c r="P493" i="53"/>
  <c r="P489" i="53"/>
  <c r="P485" i="53"/>
  <c r="P481" i="53"/>
  <c r="P477" i="53"/>
  <c r="P473" i="53"/>
  <c r="P468" i="53"/>
  <c r="P464" i="53"/>
  <c r="P460" i="53"/>
  <c r="P556" i="53"/>
  <c r="P532" i="53"/>
  <c r="Q476" i="53"/>
  <c r="Q490" i="53"/>
  <c r="Q486" i="53"/>
  <c r="Q482" i="53"/>
  <c r="Q478" i="53"/>
  <c r="Q469" i="53"/>
  <c r="Q465" i="53"/>
  <c r="Q462" i="53"/>
  <c r="Q457" i="53"/>
  <c r="P561" i="53"/>
  <c r="P533" i="53"/>
  <c r="P476" i="53"/>
  <c r="P429" i="53"/>
  <c r="Q426" i="53"/>
  <c r="P425" i="53"/>
  <c r="Q422" i="53"/>
  <c r="P421" i="53"/>
  <c r="Q418" i="53"/>
  <c r="P417" i="53"/>
  <c r="Q414" i="53"/>
  <c r="P413" i="53"/>
  <c r="Q412" i="53"/>
  <c r="P430" i="53"/>
  <c r="P426" i="53"/>
  <c r="Q423" i="53"/>
  <c r="P422" i="53"/>
  <c r="Q419" i="53"/>
  <c r="P418" i="53"/>
  <c r="Q415" i="53"/>
  <c r="P414" i="53"/>
  <c r="P412" i="53"/>
  <c r="P427" i="53"/>
  <c r="Q424" i="53"/>
  <c r="P423" i="53"/>
  <c r="Q420" i="53"/>
  <c r="P419" i="53"/>
  <c r="Q416" i="53"/>
  <c r="P415" i="53"/>
  <c r="P428" i="53"/>
  <c r="Q425" i="53"/>
  <c r="P424" i="53"/>
  <c r="Q421" i="53"/>
  <c r="P420" i="53"/>
  <c r="Q417" i="53"/>
  <c r="P416" i="53"/>
  <c r="Q413" i="53"/>
  <c r="Q402" i="53"/>
  <c r="P402" i="53"/>
  <c r="Q400" i="53"/>
  <c r="P399" i="53"/>
  <c r="Q392" i="53"/>
  <c r="P391" i="53"/>
  <c r="Q388" i="53"/>
  <c r="P387" i="53"/>
  <c r="Q393" i="53"/>
  <c r="Q401" i="53"/>
  <c r="P400" i="53"/>
  <c r="Q396" i="53"/>
  <c r="Q394" i="53"/>
  <c r="P392" i="53"/>
  <c r="Q389" i="53"/>
  <c r="P388" i="53"/>
  <c r="Q385" i="53"/>
  <c r="Q397" i="53"/>
  <c r="P393" i="53"/>
  <c r="P401" i="53"/>
  <c r="Q398" i="53"/>
  <c r="P396" i="53"/>
  <c r="Q395" i="53"/>
  <c r="P394" i="53"/>
  <c r="Q390" i="53"/>
  <c r="P389" i="53"/>
  <c r="Q386" i="53"/>
  <c r="P385" i="53"/>
  <c r="P397" i="53"/>
  <c r="Q399" i="53"/>
  <c r="P398" i="53"/>
  <c r="P395" i="53"/>
  <c r="Q391" i="53"/>
  <c r="P390" i="53"/>
  <c r="Q387" i="53"/>
  <c r="P386" i="53"/>
  <c r="Q376" i="53"/>
  <c r="P375" i="53"/>
  <c r="Q371" i="53"/>
  <c r="P373" i="53"/>
  <c r="P370" i="53"/>
  <c r="Q377" i="53"/>
  <c r="P376" i="53"/>
  <c r="Q372" i="53"/>
  <c r="P371" i="53"/>
  <c r="Q375" i="53"/>
  <c r="P377" i="53"/>
  <c r="Q374" i="53"/>
  <c r="P372" i="53"/>
  <c r="Q370" i="53"/>
  <c r="P374" i="53"/>
  <c r="Q373" i="53"/>
  <c r="P5" i="53"/>
  <c r="Q6" i="53"/>
  <c r="P9" i="53"/>
  <c r="Q10" i="53"/>
  <c r="P13" i="53"/>
  <c r="P17" i="53"/>
  <c r="Q18" i="53"/>
  <c r="P21" i="53"/>
  <c r="Q22" i="53"/>
  <c r="P25" i="53"/>
  <c r="P29" i="53"/>
  <c r="P33" i="53"/>
  <c r="P37" i="53"/>
  <c r="P43" i="53"/>
  <c r="Q44" i="53"/>
  <c r="P47" i="53"/>
  <c r="Q48" i="53"/>
  <c r="P51" i="53"/>
  <c r="Q52" i="53"/>
  <c r="P55" i="53"/>
  <c r="P60" i="53"/>
  <c r="Q61" i="53"/>
  <c r="P64" i="53"/>
  <c r="Q65" i="53"/>
  <c r="P68" i="53"/>
  <c r="Q69" i="53"/>
  <c r="P72" i="53"/>
  <c r="Q73" i="53"/>
  <c r="P76" i="53"/>
  <c r="Q77" i="53"/>
  <c r="P80" i="53"/>
  <c r="Q81" i="53"/>
  <c r="P84" i="53"/>
  <c r="Q85" i="53"/>
  <c r="P88" i="53"/>
  <c r="Q89" i="53"/>
  <c r="P92" i="53"/>
  <c r="Q93" i="53"/>
  <c r="P96" i="53"/>
  <c r="Q97" i="53"/>
  <c r="P100" i="53"/>
  <c r="Q101" i="53"/>
  <c r="P104" i="53"/>
  <c r="Q105" i="53"/>
  <c r="P108" i="53"/>
  <c r="Q109" i="53"/>
  <c r="P112" i="53"/>
  <c r="Q113" i="53"/>
  <c r="P116" i="53"/>
  <c r="Q117" i="53"/>
  <c r="P120" i="53"/>
  <c r="Q121" i="53"/>
  <c r="P124" i="53"/>
  <c r="Q125" i="53"/>
  <c r="P128" i="53"/>
  <c r="Q129" i="53"/>
  <c r="P132" i="53"/>
  <c r="Q133" i="53"/>
  <c r="P136" i="53"/>
  <c r="Q137" i="53"/>
  <c r="P140" i="53"/>
  <c r="Q141" i="53"/>
  <c r="P144" i="53"/>
  <c r="Q145" i="53"/>
  <c r="P148" i="53"/>
  <c r="Q149" i="53"/>
  <c r="P152" i="53"/>
  <c r="Q153" i="53"/>
  <c r="P156" i="53"/>
  <c r="Q157" i="53"/>
  <c r="P160" i="53"/>
  <c r="P4" i="53"/>
  <c r="Q5" i="53"/>
  <c r="P8" i="53"/>
  <c r="Q9" i="53"/>
  <c r="P12" i="53"/>
  <c r="Q13" i="53"/>
  <c r="P16" i="53"/>
  <c r="Q17" i="53"/>
  <c r="P20" i="53"/>
  <c r="Q21" i="53"/>
  <c r="P24" i="53"/>
  <c r="P28" i="53"/>
  <c r="P32" i="53"/>
  <c r="P36" i="53"/>
  <c r="Q43" i="53"/>
  <c r="P46" i="53"/>
  <c r="Q47" i="53"/>
  <c r="P50" i="53"/>
  <c r="Q51" i="53"/>
  <c r="P54" i="53"/>
  <c r="P58" i="53"/>
  <c r="Q60" i="53"/>
  <c r="P63" i="53"/>
  <c r="Q64" i="53"/>
  <c r="P67" i="53"/>
  <c r="Q68" i="53"/>
  <c r="P71" i="53"/>
  <c r="Q72" i="53"/>
  <c r="P75" i="53"/>
  <c r="Q76" i="53"/>
  <c r="P79" i="53"/>
  <c r="Q80" i="53"/>
  <c r="P83" i="53"/>
  <c r="Q4" i="53"/>
  <c r="P7" i="53"/>
  <c r="Q8" i="53"/>
  <c r="P11" i="53"/>
  <c r="Q12" i="53"/>
  <c r="P15" i="53"/>
  <c r="Q16" i="53"/>
  <c r="P19" i="53"/>
  <c r="Q20" i="53"/>
  <c r="P23" i="53"/>
  <c r="P27" i="53"/>
  <c r="P31" i="53"/>
  <c r="P35" i="53"/>
  <c r="P45" i="53"/>
  <c r="Q46" i="53"/>
  <c r="P49" i="53"/>
  <c r="Q50" i="53"/>
  <c r="P53" i="53"/>
  <c r="P62" i="53"/>
  <c r="Q63" i="53"/>
  <c r="P66" i="53"/>
  <c r="Q67" i="53"/>
  <c r="P70" i="53"/>
  <c r="Q71" i="53"/>
  <c r="P74" i="53"/>
  <c r="Q75" i="53"/>
  <c r="P78" i="53"/>
  <c r="Q79" i="53"/>
  <c r="P82" i="53"/>
  <c r="Q83" i="53"/>
  <c r="P86" i="53"/>
  <c r="Q87" i="53"/>
  <c r="P90" i="53"/>
  <c r="Q91" i="53"/>
  <c r="P94" i="53"/>
  <c r="Q95" i="53"/>
  <c r="P98" i="53"/>
  <c r="Q99" i="53"/>
  <c r="P102" i="53"/>
  <c r="Q103" i="53"/>
  <c r="P106" i="53"/>
  <c r="Q107" i="53"/>
  <c r="P110" i="53"/>
  <c r="Q111" i="53"/>
  <c r="P114" i="53"/>
  <c r="Q115" i="53"/>
  <c r="P118" i="53"/>
  <c r="Q119" i="53"/>
  <c r="P122" i="53"/>
  <c r="Q123" i="53"/>
  <c r="P126" i="53"/>
  <c r="Q127" i="53"/>
  <c r="P130" i="53"/>
  <c r="Q131" i="53"/>
  <c r="P134" i="53"/>
  <c r="Q135" i="53"/>
  <c r="P138" i="53"/>
  <c r="Q139" i="53"/>
  <c r="P142" i="53"/>
  <c r="Q143" i="53"/>
  <c r="P146" i="53"/>
  <c r="Q147" i="53"/>
  <c r="P150" i="53"/>
  <c r="Q151" i="53"/>
  <c r="P154" i="53"/>
  <c r="Q155" i="53"/>
  <c r="P158" i="53"/>
  <c r="Q159" i="53"/>
  <c r="P162" i="53"/>
  <c r="Q163" i="53"/>
  <c r="P166" i="53"/>
  <c r="P170" i="53"/>
  <c r="P175" i="53"/>
  <c r="Q176" i="53"/>
  <c r="P179" i="53"/>
  <c r="Q180" i="53"/>
  <c r="P183" i="53"/>
  <c r="Q184" i="53"/>
  <c r="P187" i="53"/>
  <c r="Q188" i="53"/>
  <c r="P191" i="53"/>
  <c r="Q192" i="53"/>
  <c r="P195" i="53"/>
  <c r="P6" i="53"/>
  <c r="Q7" i="53"/>
  <c r="P10" i="53"/>
  <c r="Q11" i="53"/>
  <c r="P14" i="53"/>
  <c r="Q15" i="53"/>
  <c r="P18" i="53"/>
  <c r="Q19" i="53"/>
  <c r="P22" i="53"/>
  <c r="P26" i="53"/>
  <c r="P30" i="53"/>
  <c r="P34" i="53"/>
  <c r="P38" i="53"/>
  <c r="P44" i="53"/>
  <c r="Q45" i="53"/>
  <c r="P48" i="53"/>
  <c r="Q49" i="53"/>
  <c r="P52" i="53"/>
  <c r="P56" i="53"/>
  <c r="P61" i="53"/>
  <c r="Q62" i="53"/>
  <c r="P65" i="53"/>
  <c r="Q66" i="53"/>
  <c r="P69" i="53"/>
  <c r="Q70" i="53"/>
  <c r="P73" i="53"/>
  <c r="Q74" i="53"/>
  <c r="P77" i="53"/>
  <c r="Q78" i="53"/>
  <c r="P81" i="53"/>
  <c r="Q82" i="53"/>
  <c r="P85" i="53"/>
  <c r="Q86" i="53"/>
  <c r="P89" i="53"/>
  <c r="Q90" i="53"/>
  <c r="P93" i="53"/>
  <c r="Q94" i="53"/>
  <c r="P97" i="53"/>
  <c r="Q98" i="53"/>
  <c r="P101" i="53"/>
  <c r="Q102" i="53"/>
  <c r="P105" i="53"/>
  <c r="Q106" i="53"/>
  <c r="P109" i="53"/>
  <c r="Q110" i="53"/>
  <c r="P113" i="53"/>
  <c r="Q114" i="53"/>
  <c r="P117" i="53"/>
  <c r="Q118" i="53"/>
  <c r="P121" i="53"/>
  <c r="Q122" i="53"/>
  <c r="P125" i="53"/>
  <c r="Q126" i="53"/>
  <c r="P129" i="53"/>
  <c r="Q130" i="53"/>
  <c r="P133" i="53"/>
  <c r="Q134" i="53"/>
  <c r="P137" i="53"/>
  <c r="Q138" i="53"/>
  <c r="P141" i="53"/>
  <c r="Q142" i="53"/>
  <c r="P145" i="53"/>
  <c r="Q146" i="53"/>
  <c r="P149" i="53"/>
  <c r="Q150" i="53"/>
  <c r="P153" i="53"/>
  <c r="Q154" i="53"/>
  <c r="P157" i="53"/>
  <c r="Q158" i="53"/>
  <c r="P161" i="53"/>
  <c r="Q162" i="53"/>
  <c r="P165" i="53"/>
  <c r="P169" i="53"/>
  <c r="P173" i="53"/>
  <c r="Q175" i="53"/>
  <c r="P178" i="53"/>
  <c r="Q179" i="53"/>
  <c r="P182" i="53"/>
  <c r="Q183" i="53"/>
  <c r="P186" i="53"/>
  <c r="Q187" i="53"/>
  <c r="P190" i="53"/>
  <c r="Q191" i="53"/>
  <c r="P194" i="53"/>
  <c r="P164" i="53"/>
  <c r="Q88" i="53"/>
  <c r="P91" i="53"/>
  <c r="Q96" i="53"/>
  <c r="P99" i="53"/>
  <c r="Q104" i="53"/>
  <c r="P107" i="53"/>
  <c r="Q112" i="53"/>
  <c r="P115" i="53"/>
  <c r="Q120" i="53"/>
  <c r="P123" i="53"/>
  <c r="Q128" i="53"/>
  <c r="P131" i="53"/>
  <c r="Q136" i="53"/>
  <c r="P139" i="53"/>
  <c r="Q144" i="53"/>
  <c r="P147" i="53"/>
  <c r="Q152" i="53"/>
  <c r="P155" i="53"/>
  <c r="Q160" i="53"/>
  <c r="Q164" i="53"/>
  <c r="P171" i="53"/>
  <c r="Q177" i="53"/>
  <c r="Q181" i="53"/>
  <c r="Q185" i="53"/>
  <c r="Q189" i="53"/>
  <c r="Q193" i="53"/>
  <c r="P198" i="53"/>
  <c r="Q199" i="53"/>
  <c r="P202" i="53"/>
  <c r="Q203" i="53"/>
  <c r="P206" i="53"/>
  <c r="Q207" i="53"/>
  <c r="P210" i="53"/>
  <c r="Q211" i="53"/>
  <c r="P214" i="53"/>
  <c r="Q215" i="53"/>
  <c r="P218" i="53"/>
  <c r="Q219" i="53"/>
  <c r="P222" i="53"/>
  <c r="Q223" i="53"/>
  <c r="P226" i="53"/>
  <c r="Q227" i="53"/>
  <c r="P230" i="53"/>
  <c r="Q231" i="53"/>
  <c r="P234" i="53"/>
  <c r="Q235" i="53"/>
  <c r="P238" i="53"/>
  <c r="Q239" i="53"/>
  <c r="P242" i="53"/>
  <c r="Q243" i="53"/>
  <c r="P246" i="53"/>
  <c r="P250" i="53"/>
  <c r="P254" i="53"/>
  <c r="P258" i="53"/>
  <c r="P262" i="53"/>
  <c r="P266" i="53"/>
  <c r="P270" i="53"/>
  <c r="P274" i="53"/>
  <c r="P278" i="53"/>
  <c r="P282" i="53"/>
  <c r="P286" i="53"/>
  <c r="P290" i="53"/>
  <c r="P294" i="53"/>
  <c r="P298" i="53"/>
  <c r="P302" i="53"/>
  <c r="P306" i="53"/>
  <c r="P310" i="53"/>
  <c r="P314" i="53"/>
  <c r="Q315" i="53"/>
  <c r="P318" i="53"/>
  <c r="Q319" i="53"/>
  <c r="P322" i="53"/>
  <c r="Q323" i="53"/>
  <c r="P326" i="53"/>
  <c r="Q327" i="53"/>
  <c r="P330" i="53"/>
  <c r="P334" i="53"/>
  <c r="P338" i="53"/>
  <c r="P342" i="53"/>
  <c r="Q343" i="53"/>
  <c r="P346" i="53"/>
  <c r="Q347" i="53"/>
  <c r="P350" i="53"/>
  <c r="P354" i="53"/>
  <c r="P358" i="53"/>
  <c r="Q161" i="53"/>
  <c r="P176" i="53"/>
  <c r="Q178" i="53"/>
  <c r="P185" i="53"/>
  <c r="P192" i="53"/>
  <c r="P196" i="53"/>
  <c r="Q197" i="53"/>
  <c r="P199" i="53"/>
  <c r="Q202" i="53"/>
  <c r="P204" i="53"/>
  <c r="Q205" i="53"/>
  <c r="P207" i="53"/>
  <c r="Q210" i="53"/>
  <c r="P212" i="53"/>
  <c r="Q213" i="53"/>
  <c r="P215" i="53"/>
  <c r="Q218" i="53"/>
  <c r="P220" i="53"/>
  <c r="Q221" i="53"/>
  <c r="P223" i="53"/>
  <c r="Q226" i="53"/>
  <c r="P228" i="53"/>
  <c r="Q229" i="53"/>
  <c r="P231" i="53"/>
  <c r="Q234" i="53"/>
  <c r="P236" i="53"/>
  <c r="Q237" i="53"/>
  <c r="P239" i="53"/>
  <c r="Q242" i="53"/>
  <c r="P244" i="53"/>
  <c r="Q245" i="53"/>
  <c r="P247" i="53"/>
  <c r="P257" i="53"/>
  <c r="P260" i="53"/>
  <c r="P263" i="53"/>
  <c r="P273" i="53"/>
  <c r="P276" i="53"/>
  <c r="P279" i="53"/>
  <c r="P289" i="53"/>
  <c r="P292" i="53"/>
  <c r="P295" i="53"/>
  <c r="P305" i="53"/>
  <c r="P308" i="53"/>
  <c r="P311" i="53"/>
  <c r="P317" i="53"/>
  <c r="Q320" i="53"/>
  <c r="P325" i="53"/>
  <c r="Q328" i="53"/>
  <c r="P337" i="53"/>
  <c r="P340" i="53"/>
  <c r="Q341" i="53"/>
  <c r="P343" i="53"/>
  <c r="Q346" i="53"/>
  <c r="P348" i="53"/>
  <c r="P351" i="53"/>
  <c r="Q358" i="53"/>
  <c r="P361" i="53"/>
  <c r="Q362" i="53"/>
  <c r="P365" i="53"/>
  <c r="Q366" i="53"/>
  <c r="P369" i="53"/>
  <c r="P381" i="53"/>
  <c r="P403" i="53"/>
  <c r="P407" i="53"/>
  <c r="P411" i="53"/>
  <c r="P434" i="53"/>
  <c r="P438" i="53"/>
  <c r="P442" i="53"/>
  <c r="P450" i="53"/>
  <c r="P454" i="53"/>
  <c r="P568" i="53"/>
  <c r="P572" i="53"/>
  <c r="P251" i="53"/>
  <c r="P280" i="53"/>
  <c r="P309" i="53"/>
  <c r="P312" i="53"/>
  <c r="P315" i="53"/>
  <c r="Q321" i="53"/>
  <c r="P328" i="53"/>
  <c r="Q92" i="53"/>
  <c r="P95" i="53"/>
  <c r="Q108" i="53"/>
  <c r="P111" i="53"/>
  <c r="Q124" i="53"/>
  <c r="P127" i="53"/>
  <c r="Q140" i="53"/>
  <c r="P143" i="53"/>
  <c r="Q156" i="53"/>
  <c r="P159" i="53"/>
  <c r="P168" i="53"/>
  <c r="P181" i="53"/>
  <c r="P188" i="53"/>
  <c r="Q190" i="53"/>
  <c r="Q204" i="53"/>
  <c r="P209" i="53"/>
  <c r="Q212" i="53"/>
  <c r="P217" i="53"/>
  <c r="Q220" i="53"/>
  <c r="P225" i="53"/>
  <c r="Q228" i="53"/>
  <c r="P233" i="53"/>
  <c r="Q236" i="53"/>
  <c r="P241" i="53"/>
  <c r="Q244" i="53"/>
  <c r="P253" i="53"/>
  <c r="P256" i="53"/>
  <c r="P259" i="53"/>
  <c r="P269" i="53"/>
  <c r="P272" i="53"/>
  <c r="P275" i="53"/>
  <c r="P285" i="53"/>
  <c r="P288" i="53"/>
  <c r="P301" i="53"/>
  <c r="P304" i="53"/>
  <c r="P307" i="53"/>
  <c r="Q314" i="53"/>
  <c r="P316" i="53"/>
  <c r="Q317" i="53"/>
  <c r="P319" i="53"/>
  <c r="Q322" i="53"/>
  <c r="P324" i="53"/>
  <c r="Q325" i="53"/>
  <c r="P327" i="53"/>
  <c r="Q330" i="53"/>
  <c r="P333" i="53"/>
  <c r="P336" i="53"/>
  <c r="P339" i="53"/>
  <c r="Q340" i="53"/>
  <c r="P345" i="53"/>
  <c r="P357" i="53"/>
  <c r="P360" i="53"/>
  <c r="Q361" i="53"/>
  <c r="P364" i="53"/>
  <c r="Q365" i="53"/>
  <c r="P368" i="53"/>
  <c r="Q369" i="53"/>
  <c r="P380" i="53"/>
  <c r="P384" i="53"/>
  <c r="P406" i="53"/>
  <c r="P410" i="53"/>
  <c r="P433" i="53"/>
  <c r="P437" i="53"/>
  <c r="P441" i="53"/>
  <c r="P445" i="53"/>
  <c r="P449" i="53"/>
  <c r="P453" i="53"/>
  <c r="P571" i="53"/>
  <c r="P574" i="53"/>
  <c r="P87" i="53"/>
  <c r="P103" i="53"/>
  <c r="Q116" i="53"/>
  <c r="Q132" i="53"/>
  <c r="Q148" i="53"/>
  <c r="P180" i="53"/>
  <c r="P197" i="53"/>
  <c r="P205" i="53"/>
  <c r="Q208" i="53"/>
  <c r="Q216" i="53"/>
  <c r="P229" i="53"/>
  <c r="Q232" i="53"/>
  <c r="P245" i="53"/>
  <c r="P248" i="53"/>
  <c r="P283" i="53"/>
  <c r="P320" i="53"/>
  <c r="Q326" i="53"/>
  <c r="P331" i="53"/>
  <c r="P167" i="53"/>
  <c r="P172" i="53"/>
  <c r="P177" i="53"/>
  <c r="P184" i="53"/>
  <c r="Q186" i="53"/>
  <c r="P193" i="53"/>
  <c r="Q198" i="53"/>
  <c r="P200" i="53"/>
  <c r="Q201" i="53"/>
  <c r="P203" i="53"/>
  <c r="Q206" i="53"/>
  <c r="P208" i="53"/>
  <c r="Q209" i="53"/>
  <c r="P211" i="53"/>
  <c r="Q214" i="53"/>
  <c r="P216" i="53"/>
  <c r="Q217" i="53"/>
  <c r="P219" i="53"/>
  <c r="Q222" i="53"/>
  <c r="P224" i="53"/>
  <c r="Q225" i="53"/>
  <c r="P227" i="53"/>
  <c r="Q230" i="53"/>
  <c r="P232" i="53"/>
  <c r="Q233" i="53"/>
  <c r="P235" i="53"/>
  <c r="Q238" i="53"/>
  <c r="P240" i="53"/>
  <c r="Q241" i="53"/>
  <c r="P243" i="53"/>
  <c r="P249" i="53"/>
  <c r="P252" i="53"/>
  <c r="P255" i="53"/>
  <c r="P265" i="53"/>
  <c r="P268" i="53"/>
  <c r="P271" i="53"/>
  <c r="P281" i="53"/>
  <c r="P284" i="53"/>
  <c r="P287" i="53"/>
  <c r="P297" i="53"/>
  <c r="P300" i="53"/>
  <c r="P303" i="53"/>
  <c r="P313" i="53"/>
  <c r="Q316" i="53"/>
  <c r="P321" i="53"/>
  <c r="Q324" i="53"/>
  <c r="P329" i="53"/>
  <c r="P332" i="53"/>
  <c r="P335" i="53"/>
  <c r="Q342" i="53"/>
  <c r="P344" i="53"/>
  <c r="Q345" i="53"/>
  <c r="P347" i="53"/>
  <c r="P353" i="53"/>
  <c r="P356" i="53"/>
  <c r="Q357" i="53"/>
  <c r="P359" i="53"/>
  <c r="Q360" i="53"/>
  <c r="P363" i="53"/>
  <c r="Q364" i="53"/>
  <c r="P367" i="53"/>
  <c r="Q368" i="53"/>
  <c r="P379" i="53"/>
  <c r="P383" i="53"/>
  <c r="P405" i="53"/>
  <c r="P409" i="53"/>
  <c r="P432" i="53"/>
  <c r="P436" i="53"/>
  <c r="P440" i="53"/>
  <c r="P444" i="53"/>
  <c r="P448" i="53"/>
  <c r="P452" i="53"/>
  <c r="P456" i="53"/>
  <c r="P570" i="53"/>
  <c r="Q84" i="53"/>
  <c r="Q100" i="53"/>
  <c r="P119" i="53"/>
  <c r="P135" i="53"/>
  <c r="P151" i="53"/>
  <c r="P163" i="53"/>
  <c r="Q182" i="53"/>
  <c r="P189" i="53"/>
  <c r="Q200" i="53"/>
  <c r="P213" i="53"/>
  <c r="P221" i="53"/>
  <c r="Q224" i="53"/>
  <c r="P237" i="53"/>
  <c r="Q240" i="53"/>
  <c r="P261" i="53"/>
  <c r="P264" i="53"/>
  <c r="P267" i="53"/>
  <c r="P277" i="53"/>
  <c r="P293" i="53"/>
  <c r="P296" i="53"/>
  <c r="P299" i="53"/>
  <c r="Q313" i="53"/>
  <c r="Q318" i="53"/>
  <c r="P323" i="53"/>
  <c r="Q329" i="53"/>
  <c r="P355" i="53"/>
  <c r="P382" i="53"/>
  <c r="P431" i="53"/>
  <c r="P447" i="53"/>
  <c r="P573" i="53"/>
  <c r="P451" i="53"/>
  <c r="Q344" i="53"/>
  <c r="Q359" i="53"/>
  <c r="Q367" i="53"/>
  <c r="P352" i="53"/>
  <c r="Q363" i="53"/>
  <c r="P366" i="53"/>
  <c r="P404" i="53"/>
  <c r="P435" i="53"/>
  <c r="P362" i="53"/>
  <c r="P378" i="53"/>
  <c r="P569" i="53"/>
  <c r="P349" i="53"/>
  <c r="P408" i="53"/>
  <c r="P439" i="53"/>
  <c r="P455" i="53"/>
  <c r="P341" i="53"/>
  <c r="P443" i="53"/>
  <c r="P1821" i="53"/>
  <c r="P1844" i="53"/>
  <c r="Q1845" i="53"/>
  <c r="P1848" i="53"/>
  <c r="Q1849" i="53"/>
  <c r="P1851" i="53"/>
  <c r="Q1823" i="53"/>
  <c r="Q1846" i="53"/>
  <c r="Q1821" i="53"/>
  <c r="P1843" i="53"/>
  <c r="Q1844" i="53"/>
  <c r="P1847" i="53"/>
  <c r="Q1848" i="53"/>
  <c r="P1845" i="53"/>
  <c r="P1849" i="53"/>
  <c r="P1823" i="53"/>
  <c r="Q1843" i="53"/>
  <c r="P1846" i="53"/>
  <c r="Q1847" i="53"/>
  <c r="P1850" i="53"/>
  <c r="Q1851" i="53"/>
  <c r="Q1850" i="53"/>
  <c r="P677" i="53"/>
  <c r="P692" i="53"/>
  <c r="P696" i="53"/>
  <c r="P712" i="53"/>
  <c r="Q713" i="53"/>
  <c r="P730" i="53"/>
  <c r="Q731" i="53"/>
  <c r="P734" i="53"/>
  <c r="Q748" i="53"/>
  <c r="P751" i="53"/>
  <c r="Q752" i="53"/>
  <c r="P755" i="53"/>
  <c r="Q756" i="53"/>
  <c r="P759" i="53"/>
  <c r="Q760" i="53"/>
  <c r="Q775" i="53"/>
  <c r="Q794" i="53"/>
  <c r="P798" i="53"/>
  <c r="P802" i="53"/>
  <c r="P817" i="53"/>
  <c r="Q986" i="53"/>
  <c r="P989" i="53"/>
  <c r="Q990" i="53"/>
  <c r="P993" i="53"/>
  <c r="Q994" i="53"/>
  <c r="P997" i="53"/>
  <c r="Q998" i="53"/>
  <c r="P1001" i="53"/>
  <c r="Q1002" i="53"/>
  <c r="Q677" i="53"/>
  <c r="Q696" i="53"/>
  <c r="Q712" i="53"/>
  <c r="P714" i="53"/>
  <c r="Q715" i="53"/>
  <c r="Q730" i="53"/>
  <c r="Q733" i="53"/>
  <c r="P748" i="53"/>
  <c r="Q751" i="53"/>
  <c r="P753" i="53"/>
  <c r="Q754" i="53"/>
  <c r="P756" i="53"/>
  <c r="Q759" i="53"/>
  <c r="P761" i="53"/>
  <c r="P775" i="53"/>
  <c r="P796" i="53"/>
  <c r="Q802" i="53"/>
  <c r="P815" i="53"/>
  <c r="Q816" i="53"/>
  <c r="P987" i="53"/>
  <c r="Q988" i="53"/>
  <c r="P990" i="53"/>
  <c r="Q993" i="53"/>
  <c r="P995" i="53"/>
  <c r="Q996" i="53"/>
  <c r="P998" i="53"/>
  <c r="Q1001" i="53"/>
  <c r="P1003" i="53"/>
  <c r="Q1004" i="53"/>
  <c r="P1007" i="53"/>
  <c r="Q1008" i="53"/>
  <c r="P1011" i="53"/>
  <c r="Q1012" i="53"/>
  <c r="P1015" i="53"/>
  <c r="Q1016" i="53"/>
  <c r="P1019" i="53"/>
  <c r="Q1020" i="53"/>
  <c r="P1023" i="53"/>
  <c r="Q1024" i="53"/>
  <c r="Q1121" i="53"/>
  <c r="P676" i="53"/>
  <c r="P695" i="53"/>
  <c r="Q714" i="53"/>
  <c r="P729" i="53"/>
  <c r="Q732" i="53"/>
  <c r="P750" i="53"/>
  <c r="Q753" i="53"/>
  <c r="P758" i="53"/>
  <c r="Q761" i="53"/>
  <c r="Q796" i="53"/>
  <c r="P801" i="53"/>
  <c r="Q815" i="53"/>
  <c r="Q987" i="53"/>
  <c r="P992" i="53"/>
  <c r="Q995" i="53"/>
  <c r="P1000" i="53"/>
  <c r="Q1003" i="53"/>
  <c r="P1006" i="53"/>
  <c r="Q676" i="53"/>
  <c r="Q692" i="53"/>
  <c r="P733" i="53"/>
  <c r="Q750" i="53"/>
  <c r="Q755" i="53"/>
  <c r="Q757" i="53"/>
  <c r="Q798" i="53"/>
  <c r="Q800" i="53"/>
  <c r="P816" i="53"/>
  <c r="P988" i="53"/>
  <c r="Q992" i="53"/>
  <c r="Q997" i="53"/>
  <c r="Q999" i="53"/>
  <c r="P1004" i="53"/>
  <c r="Q1009" i="53"/>
  <c r="P1014" i="53"/>
  <c r="Q1017" i="53"/>
  <c r="P1022" i="53"/>
  <c r="Q1124" i="53"/>
  <c r="P1127" i="53"/>
  <c r="Q1128" i="53"/>
  <c r="P1152" i="53"/>
  <c r="Q1153" i="53"/>
  <c r="Q1158" i="53"/>
  <c r="P1161" i="53"/>
  <c r="Q1162" i="53"/>
  <c r="P1165" i="53"/>
  <c r="Q1166" i="53"/>
  <c r="Q1178" i="53"/>
  <c r="P1185" i="53"/>
  <c r="Q1186" i="53"/>
  <c r="P1190" i="53"/>
  <c r="Q1191" i="53"/>
  <c r="Q1207" i="53"/>
  <c r="P1210" i="53"/>
  <c r="Q1211" i="53"/>
  <c r="P1214" i="53"/>
  <c r="P1295" i="53"/>
  <c r="Q1334" i="53"/>
  <c r="P1337" i="53"/>
  <c r="Q1338" i="53"/>
  <c r="Q1356" i="53"/>
  <c r="P1359" i="53"/>
  <c r="Q1360" i="53"/>
  <c r="Q1502" i="53"/>
  <c r="Q1533" i="53"/>
  <c r="P1564" i="53"/>
  <c r="P1584" i="53"/>
  <c r="P1601" i="53"/>
  <c r="Q1620" i="53"/>
  <c r="Q1635" i="53"/>
  <c r="Q1640" i="53"/>
  <c r="P1643" i="53"/>
  <c r="P1673" i="53"/>
  <c r="Q1739" i="53"/>
  <c r="P1742" i="53"/>
  <c r="P715" i="53"/>
  <c r="Q729" i="53"/>
  <c r="Q749" i="53"/>
  <c r="Q817" i="53"/>
  <c r="Q991" i="53"/>
  <c r="P996" i="53"/>
  <c r="P1005" i="53"/>
  <c r="Q1013" i="53"/>
  <c r="Q1021" i="53"/>
  <c r="P1125" i="53"/>
  <c r="Q1151" i="53"/>
  <c r="Q1156" i="53"/>
  <c r="P1159" i="53"/>
  <c r="Q1164" i="53"/>
  <c r="P1167" i="53"/>
  <c r="P1179" i="53"/>
  <c r="Q1184" i="53"/>
  <c r="Q1189" i="53"/>
  <c r="P1192" i="53"/>
  <c r="P1208" i="53"/>
  <c r="P1212" i="53"/>
  <c r="P675" i="53"/>
  <c r="P731" i="53"/>
  <c r="P749" i="53"/>
  <c r="P760" i="53"/>
  <c r="P776" i="53"/>
  <c r="P820" i="53"/>
  <c r="P986" i="53"/>
  <c r="P991" i="53"/>
  <c r="P1002" i="53"/>
  <c r="Q1006" i="53"/>
  <c r="P1008" i="53"/>
  <c r="Q1011" i="53"/>
  <c r="P1013" i="53"/>
  <c r="Q1014" i="53"/>
  <c r="P1016" i="53"/>
  <c r="Q1019" i="53"/>
  <c r="P1021" i="53"/>
  <c r="Q1022" i="53"/>
  <c r="P1024" i="53"/>
  <c r="P1126" i="53"/>
  <c r="Q1127" i="53"/>
  <c r="P1129" i="53"/>
  <c r="P1151" i="53"/>
  <c r="Q1152" i="53"/>
  <c r="P1156" i="53"/>
  <c r="Q1157" i="53"/>
  <c r="P1160" i="53"/>
  <c r="Q1161" i="53"/>
  <c r="P1164" i="53"/>
  <c r="Q1165" i="53"/>
  <c r="P1168" i="53"/>
  <c r="P1184" i="53"/>
  <c r="Q1185" i="53"/>
  <c r="P1189" i="53"/>
  <c r="Q1190" i="53"/>
  <c r="P1209" i="53"/>
  <c r="Q1210" i="53"/>
  <c r="P1213" i="53"/>
  <c r="Q1214" i="53"/>
  <c r="P1253" i="53"/>
  <c r="P1273" i="53"/>
  <c r="Q1295" i="53"/>
  <c r="P1336" i="53"/>
  <c r="Q1337" i="53"/>
  <c r="P1358" i="53"/>
  <c r="Q1359" i="53"/>
  <c r="P1391" i="53"/>
  <c r="P1407" i="53"/>
  <c r="P1500" i="53"/>
  <c r="Q1564" i="53"/>
  <c r="Q1584" i="53"/>
  <c r="P1600" i="53"/>
  <c r="Q1601" i="53"/>
  <c r="P1642" i="53"/>
  <c r="Q1643" i="53"/>
  <c r="P1668" i="53"/>
  <c r="P1672" i="53"/>
  <c r="Q1673" i="53"/>
  <c r="P1741" i="53"/>
  <c r="Q1742" i="53"/>
  <c r="P1745" i="53"/>
  <c r="Q675" i="53"/>
  <c r="Q695" i="53"/>
  <c r="Q734" i="53"/>
  <c r="P754" i="53"/>
  <c r="Q758" i="53"/>
  <c r="Q776" i="53"/>
  <c r="Q801" i="53"/>
  <c r="Q820" i="53"/>
  <c r="Q989" i="53"/>
  <c r="Q1000" i="53"/>
  <c r="P1010" i="53"/>
  <c r="P1018" i="53"/>
  <c r="Q1126" i="53"/>
  <c r="Q1129" i="53"/>
  <c r="P1154" i="53"/>
  <c r="Q1160" i="53"/>
  <c r="P1163" i="53"/>
  <c r="Q1168" i="53"/>
  <c r="P1183" i="53"/>
  <c r="P1188" i="53"/>
  <c r="Q1209" i="53"/>
  <c r="Q1213" i="53"/>
  <c r="P1216" i="53"/>
  <c r="Q1253" i="53"/>
  <c r="Q1273" i="53"/>
  <c r="P1293" i="53"/>
  <c r="P1009" i="53"/>
  <c r="P1017" i="53"/>
  <c r="Q1339" i="53"/>
  <c r="Q1357" i="53"/>
  <c r="Q1394" i="53"/>
  <c r="Q1429" i="53"/>
  <c r="Q1526" i="53"/>
  <c r="Q1562" i="53"/>
  <c r="Q1641" i="53"/>
  <c r="Q1667" i="53"/>
  <c r="Q1691" i="53"/>
  <c r="Q1744" i="53"/>
  <c r="Q1018" i="53"/>
  <c r="Q1336" i="53"/>
  <c r="Q1391" i="53"/>
  <c r="Q1407" i="53"/>
  <c r="Q1500" i="53"/>
  <c r="Q1668" i="53"/>
  <c r="P752" i="53"/>
  <c r="P1128" i="53"/>
  <c r="Q1154" i="53"/>
  <c r="Q1179" i="53"/>
  <c r="P1191" i="53"/>
  <c r="P1211" i="53"/>
  <c r="P1339" i="53"/>
  <c r="P1429" i="53"/>
  <c r="P713" i="53"/>
  <c r="P757" i="53"/>
  <c r="P794" i="53"/>
  <c r="P994" i="53"/>
  <c r="Q1007" i="53"/>
  <c r="P1012" i="53"/>
  <c r="Q1015" i="53"/>
  <c r="P1020" i="53"/>
  <c r="Q1023" i="53"/>
  <c r="P1121" i="53"/>
  <c r="P1124" i="53"/>
  <c r="P1153" i="53"/>
  <c r="Q1159" i="53"/>
  <c r="P1162" i="53"/>
  <c r="Q1167" i="53"/>
  <c r="P1178" i="53"/>
  <c r="Q1183" i="53"/>
  <c r="P1186" i="53"/>
  <c r="Q1192" i="53"/>
  <c r="P1207" i="53"/>
  <c r="Q1212" i="53"/>
  <c r="P1334" i="53"/>
  <c r="P1338" i="53"/>
  <c r="P1356" i="53"/>
  <c r="P1360" i="53"/>
  <c r="P1502" i="53"/>
  <c r="P1533" i="53"/>
  <c r="P1620" i="53"/>
  <c r="P1635" i="53"/>
  <c r="P1640" i="53"/>
  <c r="P1739" i="53"/>
  <c r="Q1005" i="53"/>
  <c r="Q1010" i="53"/>
  <c r="Q1358" i="53"/>
  <c r="Q1600" i="53"/>
  <c r="Q1642" i="53"/>
  <c r="Q1672" i="53"/>
  <c r="Q1741" i="53"/>
  <c r="Q1745" i="53"/>
  <c r="P800" i="53"/>
  <c r="P999" i="53"/>
  <c r="Q1125" i="53"/>
  <c r="P1158" i="53"/>
  <c r="Q1163" i="53"/>
  <c r="P1166" i="53"/>
  <c r="Q1188" i="53"/>
  <c r="Q1208" i="53"/>
  <c r="Q1216" i="53"/>
  <c r="Q1293" i="53"/>
  <c r="P1357" i="53"/>
  <c r="P1526" i="53"/>
  <c r="P1667" i="53"/>
  <c r="P1691" i="53"/>
  <c r="P1394" i="53"/>
  <c r="P1562" i="53"/>
  <c r="P1641" i="53"/>
  <c r="P1744" i="53"/>
  <c r="Q4" i="55"/>
  <c r="P4" i="55"/>
  <c r="P1852" i="53"/>
  <c r="Q1853" i="53"/>
  <c r="P1856" i="53"/>
  <c r="Q1857" i="53"/>
  <c r="P1860" i="53"/>
  <c r="Q1861" i="53"/>
  <c r="P1864" i="53"/>
  <c r="Q1865" i="53"/>
  <c r="P1868" i="53"/>
  <c r="Q1869" i="53"/>
  <c r="P2022" i="53"/>
  <c r="Q2023" i="53"/>
  <c r="Q2058" i="53"/>
  <c r="P2061" i="53"/>
  <c r="Q2070" i="53"/>
  <c r="P2087" i="53"/>
  <c r="Q2088" i="53"/>
  <c r="P2091" i="53"/>
  <c r="Q2092" i="53"/>
  <c r="P2095" i="53"/>
  <c r="Q2096" i="53"/>
  <c r="P2099" i="53"/>
  <c r="Q2100" i="53"/>
  <c r="P2112" i="53"/>
  <c r="Q2113" i="53"/>
  <c r="P2116" i="53"/>
  <c r="Q2117" i="53"/>
  <c r="P2120" i="53"/>
  <c r="Q2121" i="53"/>
  <c r="P2124" i="53"/>
  <c r="Q2125" i="53"/>
  <c r="P2128" i="53"/>
  <c r="Q2129" i="53"/>
  <c r="P2132" i="53"/>
  <c r="Q2133" i="53"/>
  <c r="P2136" i="53"/>
  <c r="Q2137" i="53"/>
  <c r="P2140" i="53"/>
  <c r="Q2141" i="53"/>
  <c r="P2144" i="53"/>
  <c r="Q2145" i="53"/>
  <c r="P2148" i="53"/>
  <c r="Q2149" i="53"/>
  <c r="P2152" i="53"/>
  <c r="Q2153" i="53"/>
  <c r="P2156" i="53"/>
  <c r="Q2157" i="53"/>
  <c r="P2160" i="53"/>
  <c r="Q2161" i="53"/>
  <c r="P2164" i="53"/>
  <c r="Q2165" i="53"/>
  <c r="P2168" i="53"/>
  <c r="Q2169" i="53"/>
  <c r="P2172" i="53"/>
  <c r="Q2173" i="53"/>
  <c r="P2176" i="53"/>
  <c r="Q2177" i="53"/>
  <c r="P2180" i="53"/>
  <c r="Q2181" i="53"/>
  <c r="P2184" i="53"/>
  <c r="Q2185" i="53"/>
  <c r="P2188" i="53"/>
  <c r="Q2189" i="53"/>
  <c r="P2240" i="53"/>
  <c r="Q2241" i="53"/>
  <c r="P2245" i="53"/>
  <c r="Q2246" i="53"/>
  <c r="P2263" i="53"/>
  <c r="Q2264" i="53"/>
  <c r="P2267" i="53"/>
  <c r="Q2268" i="53"/>
  <c r="P2270" i="53"/>
  <c r="Q2283" i="53"/>
  <c r="P2286" i="53"/>
  <c r="Q2287" i="53"/>
  <c r="P2328" i="53"/>
  <c r="Q2329" i="53"/>
  <c r="Q1852" i="53"/>
  <c r="Q1856" i="53"/>
  <c r="P1859" i="53"/>
  <c r="Q1860" i="53"/>
  <c r="P1863" i="53"/>
  <c r="Q1864" i="53"/>
  <c r="P1867" i="53"/>
  <c r="Q1868" i="53"/>
  <c r="P2021" i="53"/>
  <c r="Q2022" i="53"/>
  <c r="P2025" i="53"/>
  <c r="P2049" i="53"/>
  <c r="P2060" i="53"/>
  <c r="Q2061" i="53"/>
  <c r="P2072" i="53"/>
  <c r="P2086" i="53"/>
  <c r="Q2087" i="53"/>
  <c r="P2090" i="53"/>
  <c r="Q2091" i="53"/>
  <c r="P2094" i="53"/>
  <c r="Q2095" i="53"/>
  <c r="P2098" i="53"/>
  <c r="Q2099" i="53"/>
  <c r="P2110" i="53"/>
  <c r="Q2112" i="53"/>
  <c r="P2115" i="53"/>
  <c r="Q2116" i="53"/>
  <c r="P2119" i="53"/>
  <c r="Q2120" i="53"/>
  <c r="P2123" i="53"/>
  <c r="Q2124" i="53"/>
  <c r="P2127" i="53"/>
  <c r="Q2128" i="53"/>
  <c r="P2131" i="53"/>
  <c r="Q2132" i="53"/>
  <c r="P2135" i="53"/>
  <c r="Q2136" i="53"/>
  <c r="P2139" i="53"/>
  <c r="Q2140" i="53"/>
  <c r="P2143" i="53"/>
  <c r="Q2144" i="53"/>
  <c r="P2147" i="53"/>
  <c r="Q2148" i="53"/>
  <c r="P2151" i="53"/>
  <c r="Q2152" i="53"/>
  <c r="P2155" i="53"/>
  <c r="Q2156" i="53"/>
  <c r="P2159" i="53"/>
  <c r="Q2160" i="53"/>
  <c r="P2163" i="53"/>
  <c r="Q2164" i="53"/>
  <c r="P2167" i="53"/>
  <c r="Q2168" i="53"/>
  <c r="P2171" i="53"/>
  <c r="Q2172" i="53"/>
  <c r="P2175" i="53"/>
  <c r="Q2176" i="53"/>
  <c r="P2179" i="53"/>
  <c r="Q2180" i="53"/>
  <c r="P2183" i="53"/>
  <c r="Q2184" i="53"/>
  <c r="P2187" i="53"/>
  <c r="Q2188" i="53"/>
  <c r="P2191" i="53"/>
  <c r="Q2240" i="53"/>
  <c r="Q2245" i="53"/>
  <c r="P2248" i="53"/>
  <c r="Q2263" i="53"/>
  <c r="Q2267" i="53"/>
  <c r="P2269" i="53"/>
  <c r="Q2270" i="53"/>
  <c r="Q2286" i="53"/>
  <c r="Q2328" i="53"/>
  <c r="P2342" i="53"/>
  <c r="P1858" i="53"/>
  <c r="Q1859" i="53"/>
  <c r="P1862" i="53"/>
  <c r="Q1863" i="53"/>
  <c r="P1866" i="53"/>
  <c r="Q1867" i="53"/>
  <c r="P2020" i="53"/>
  <c r="Q2021" i="53"/>
  <c r="P2024" i="53"/>
  <c r="Q2025" i="53"/>
  <c r="P2044" i="53"/>
  <c r="P2048" i="53"/>
  <c r="Q2049" i="53"/>
  <c r="P2059" i="53"/>
  <c r="Q2060" i="53"/>
  <c r="P2071" i="53"/>
  <c r="Q2072" i="53"/>
  <c r="Q2086" i="53"/>
  <c r="P2089" i="53"/>
  <c r="Q2090" i="53"/>
  <c r="P2093" i="53"/>
  <c r="Q2094" i="53"/>
  <c r="P2097" i="53"/>
  <c r="Q2098" i="53"/>
  <c r="P2101" i="53"/>
  <c r="Q2110" i="53"/>
  <c r="P2114" i="53"/>
  <c r="Q2115" i="53"/>
  <c r="P2118" i="53"/>
  <c r="Q2119" i="53"/>
  <c r="P2122" i="53"/>
  <c r="Q2123" i="53"/>
  <c r="P2126" i="53"/>
  <c r="Q2127" i="53"/>
  <c r="P2130" i="53"/>
  <c r="Q2131" i="53"/>
  <c r="P2134" i="53"/>
  <c r="Q2135" i="53"/>
  <c r="P2138" i="53"/>
  <c r="Q2139" i="53"/>
  <c r="P2142" i="53"/>
  <c r="Q2143" i="53"/>
  <c r="P2146" i="53"/>
  <c r="Q2147" i="53"/>
  <c r="P2150" i="53"/>
  <c r="Q2151" i="53"/>
  <c r="P2154" i="53"/>
  <c r="Q2155" i="53"/>
  <c r="P2158" i="53"/>
  <c r="Q2159" i="53"/>
  <c r="P2162" i="53"/>
  <c r="Q2163" i="53"/>
  <c r="P2166" i="53"/>
  <c r="Q2167" i="53"/>
  <c r="P2170" i="53"/>
  <c r="Q2171" i="53"/>
  <c r="P2174" i="53"/>
  <c r="Q2175" i="53"/>
  <c r="P2178" i="53"/>
  <c r="Q2179" i="53"/>
  <c r="P2182" i="53"/>
  <c r="Q2183" i="53"/>
  <c r="P2186" i="53"/>
  <c r="Q2187" i="53"/>
  <c r="P2190" i="53"/>
  <c r="Q2191" i="53"/>
  <c r="P2242" i="53"/>
  <c r="P2247" i="53"/>
  <c r="Q2248" i="53"/>
  <c r="P2265" i="53"/>
  <c r="Q2269" i="53"/>
  <c r="Q2342" i="53"/>
  <c r="P1853" i="53"/>
  <c r="P1857" i="53"/>
  <c r="Q1858" i="53"/>
  <c r="P1861" i="53"/>
  <c r="Q1862" i="53"/>
  <c r="P1865" i="53"/>
  <c r="Q1866" i="53"/>
  <c r="P1869" i="53"/>
  <c r="Q2020" i="53"/>
  <c r="P2023" i="53"/>
  <c r="Q2024" i="53"/>
  <c r="Q2044" i="53"/>
  <c r="Q2048" i="53"/>
  <c r="P2058" i="53"/>
  <c r="Q2059" i="53"/>
  <c r="P2070" i="53"/>
  <c r="Q2071" i="53"/>
  <c r="P2088" i="53"/>
  <c r="Q2089" i="53"/>
  <c r="P2092" i="53"/>
  <c r="Q2093" i="53"/>
  <c r="P2096" i="53"/>
  <c r="Q2097" i="53"/>
  <c r="P2100" i="53"/>
  <c r="Q2101" i="53"/>
  <c r="P2113" i="53"/>
  <c r="Q2114" i="53"/>
  <c r="P2117" i="53"/>
  <c r="Q2118" i="53"/>
  <c r="P2121" i="53"/>
  <c r="Q2122" i="53"/>
  <c r="P2125" i="53"/>
  <c r="Q2126" i="53"/>
  <c r="P2129" i="53"/>
  <c r="Q2130" i="53"/>
  <c r="P2133" i="53"/>
  <c r="Q2134" i="53"/>
  <c r="P2137" i="53"/>
  <c r="Q2138" i="53"/>
  <c r="P2141" i="53"/>
  <c r="Q2142" i="53"/>
  <c r="P2145" i="53"/>
  <c r="Q2146" i="53"/>
  <c r="P2149" i="53"/>
  <c r="Q2150" i="53"/>
  <c r="P2153" i="53"/>
  <c r="Q2154" i="53"/>
  <c r="P2157" i="53"/>
  <c r="Q2158" i="53"/>
  <c r="P2161" i="53"/>
  <c r="Q2162" i="53"/>
  <c r="P2165" i="53"/>
  <c r="Q2166" i="53"/>
  <c r="P2169" i="53"/>
  <c r="Q2170" i="53"/>
  <c r="P2173" i="53"/>
  <c r="Q2174" i="53"/>
  <c r="P2177" i="53"/>
  <c r="Q2178" i="53"/>
  <c r="P2181" i="53"/>
  <c r="Q2182" i="53"/>
  <c r="P2185" i="53"/>
  <c r="Q2186" i="53"/>
  <c r="P2189" i="53"/>
  <c r="Q2190" i="53"/>
  <c r="P2241" i="53"/>
  <c r="Q2242" i="53"/>
  <c r="P2246" i="53"/>
  <c r="Q2247" i="53"/>
  <c r="P2264" i="53"/>
  <c r="Q2265" i="53"/>
  <c r="P2268" i="53"/>
  <c r="P2283" i="53"/>
  <c r="P2287" i="53"/>
  <c r="P2329" i="53"/>
  <c r="P2368" i="53"/>
  <c r="Q2369" i="53"/>
  <c r="P2372" i="53"/>
  <c r="Q2373" i="53"/>
  <c r="P2376" i="53"/>
  <c r="Q2377" i="53"/>
  <c r="P2380" i="53"/>
  <c r="Q2381" i="53"/>
  <c r="P2384" i="53"/>
  <c r="Q2385" i="53"/>
  <c r="P2388" i="53"/>
  <c r="Q2389" i="53"/>
  <c r="P2392" i="53"/>
  <c r="Q2393" i="53"/>
  <c r="P2396" i="53"/>
  <c r="Q2397" i="53"/>
  <c r="P2400" i="53"/>
  <c r="Q2401" i="53"/>
  <c r="P2404" i="53"/>
  <c r="Q2405" i="53"/>
  <c r="P2408" i="53"/>
  <c r="Q2409" i="53"/>
  <c r="P2412" i="53"/>
  <c r="Q2413" i="53"/>
  <c r="P2416" i="53"/>
  <c r="Q2417" i="53"/>
  <c r="P2420" i="53"/>
  <c r="Q2421" i="53"/>
  <c r="P2424" i="53"/>
  <c r="Q2425" i="53"/>
  <c r="P2428" i="53"/>
  <c r="Q2429" i="53"/>
  <c r="P2432" i="53"/>
  <c r="Q2433" i="53"/>
  <c r="P2436" i="53"/>
  <c r="Q2437" i="53"/>
  <c r="P2440" i="53"/>
  <c r="Q2441" i="53"/>
  <c r="P2444" i="53"/>
  <c r="Q2445" i="53"/>
  <c r="P2448" i="53"/>
  <c r="Q2449" i="53"/>
  <c r="P2452" i="53"/>
  <c r="Q2453" i="53"/>
  <c r="P2456" i="53"/>
  <c r="Q2457" i="53"/>
  <c r="P2460" i="53"/>
  <c r="Q2461" i="53"/>
  <c r="P2464" i="53"/>
  <c r="Q2465" i="53"/>
  <c r="P2468" i="53"/>
  <c r="Q2469" i="53"/>
  <c r="P2472" i="53"/>
  <c r="Q2473" i="53"/>
  <c r="P2476" i="53"/>
  <c r="Q2477" i="53"/>
  <c r="P2480" i="53"/>
  <c r="Q2481" i="53"/>
  <c r="P2484" i="53"/>
  <c r="Q2485" i="53"/>
  <c r="P2488" i="53"/>
  <c r="Q2489" i="53"/>
  <c r="P2492" i="53"/>
  <c r="Q2493" i="53"/>
  <c r="P2496" i="53"/>
  <c r="Q2497" i="53"/>
  <c r="P2500" i="53"/>
  <c r="Q2501" i="53"/>
  <c r="P2504" i="53"/>
  <c r="Q2505" i="53"/>
  <c r="P2508" i="53"/>
  <c r="Q2509" i="53"/>
  <c r="P2512" i="53"/>
  <c r="Q2513" i="53"/>
  <c r="P2516" i="53"/>
  <c r="Q2517" i="53"/>
  <c r="P2520" i="53"/>
  <c r="Q2521" i="53"/>
  <c r="P2524" i="53"/>
  <c r="Q2525" i="53"/>
  <c r="P2528" i="53"/>
  <c r="Q2529" i="53"/>
  <c r="P2532" i="53"/>
  <c r="Q2533" i="53"/>
  <c r="P2536" i="53"/>
  <c r="Q2537" i="53"/>
  <c r="P2540" i="53"/>
  <c r="Q2541" i="53"/>
  <c r="P2544" i="53"/>
  <c r="Q2545" i="53"/>
  <c r="P2548" i="53"/>
  <c r="Q2549" i="53"/>
  <c r="P2552" i="53"/>
  <c r="Q2553" i="53"/>
  <c r="P2556" i="53"/>
  <c r="Q2557" i="53"/>
  <c r="P2560" i="53"/>
  <c r="Q2561" i="53"/>
  <c r="P2564" i="53"/>
  <c r="Q2565" i="53"/>
  <c r="P2568" i="53"/>
  <c r="Q2569" i="53"/>
  <c r="P2572" i="53"/>
  <c r="Q2573" i="53"/>
  <c r="P2576" i="53"/>
  <c r="Q2577" i="53"/>
  <c r="P2580" i="53"/>
  <c r="Q2581" i="53"/>
  <c r="P2584" i="53"/>
  <c r="Q2585" i="53"/>
  <c r="P2588" i="53"/>
  <c r="Q2589" i="53"/>
  <c r="P2592" i="53"/>
  <c r="Q2593" i="53"/>
  <c r="P2596" i="53"/>
  <c r="Q2597" i="53"/>
  <c r="P2600" i="53"/>
  <c r="Q2601" i="53"/>
  <c r="P2604" i="53"/>
  <c r="Q2605" i="53"/>
  <c r="P2608" i="53"/>
  <c r="Q2609" i="53"/>
  <c r="P2612" i="53"/>
  <c r="Q2613" i="53"/>
  <c r="P2616" i="53"/>
  <c r="Q2617" i="53"/>
  <c r="P2620" i="53"/>
  <c r="Q2621" i="53"/>
  <c r="P2624" i="53"/>
  <c r="Q2625" i="53"/>
  <c r="P2628" i="53"/>
  <c r="Q2629" i="53"/>
  <c r="P2632" i="53"/>
  <c r="Q2633" i="53"/>
  <c r="P2636" i="53"/>
  <c r="Q2637" i="53"/>
  <c r="P2640" i="53"/>
  <c r="Q2641" i="53"/>
  <c r="P2644" i="53"/>
  <c r="Q2645" i="53"/>
  <c r="P2648" i="53"/>
  <c r="Q2649" i="53"/>
  <c r="P2652" i="53"/>
  <c r="Q2653" i="53"/>
  <c r="P2656" i="53"/>
  <c r="Q2657" i="53"/>
  <c r="P2660" i="53"/>
  <c r="Q2661" i="53"/>
  <c r="P2664" i="53"/>
  <c r="Q2665" i="53"/>
  <c r="P2668" i="53"/>
  <c r="Q2669" i="53"/>
  <c r="P2672" i="53"/>
  <c r="Q2673" i="53"/>
  <c r="P2676" i="53"/>
  <c r="Q2677" i="53"/>
  <c r="P2680" i="53"/>
  <c r="P2367" i="53"/>
  <c r="Q2368" i="53"/>
  <c r="P2371" i="53"/>
  <c r="Q2372" i="53"/>
  <c r="P2375" i="53"/>
  <c r="Q2376" i="53"/>
  <c r="P2379" i="53"/>
  <c r="Q2380" i="53"/>
  <c r="P2383" i="53"/>
  <c r="Q2384" i="53"/>
  <c r="P2387" i="53"/>
  <c r="Q2388" i="53"/>
  <c r="P2391" i="53"/>
  <c r="Q2392" i="53"/>
  <c r="P2395" i="53"/>
  <c r="Q2396" i="53"/>
  <c r="P2399" i="53"/>
  <c r="Q2400" i="53"/>
  <c r="P2403" i="53"/>
  <c r="Q2404" i="53"/>
  <c r="P2407" i="53"/>
  <c r="Q2408" i="53"/>
  <c r="P2411" i="53"/>
  <c r="Q2412" i="53"/>
  <c r="P2415" i="53"/>
  <c r="Q2416" i="53"/>
  <c r="P2419" i="53"/>
  <c r="Q2420" i="53"/>
  <c r="P2423" i="53"/>
  <c r="Q2424" i="53"/>
  <c r="P2427" i="53"/>
  <c r="Q2428" i="53"/>
  <c r="P2431" i="53"/>
  <c r="Q2432" i="53"/>
  <c r="P2435" i="53"/>
  <c r="Q2436" i="53"/>
  <c r="P2439" i="53"/>
  <c r="Q2440" i="53"/>
  <c r="P2443" i="53"/>
  <c r="Q2444" i="53"/>
  <c r="P2447" i="53"/>
  <c r="Q2448" i="53"/>
  <c r="P2451" i="53"/>
  <c r="Q2452" i="53"/>
  <c r="P2455" i="53"/>
  <c r="Q2456" i="53"/>
  <c r="P2459" i="53"/>
  <c r="Q2460" i="53"/>
  <c r="P2463" i="53"/>
  <c r="Q2464" i="53"/>
  <c r="P2467" i="53"/>
  <c r="Q2468" i="53"/>
  <c r="P2471" i="53"/>
  <c r="Q2472" i="53"/>
  <c r="P2475" i="53"/>
  <c r="Q2476" i="53"/>
  <c r="P2479" i="53"/>
  <c r="Q2480" i="53"/>
  <c r="P2483" i="53"/>
  <c r="Q2484" i="53"/>
  <c r="P2487" i="53"/>
  <c r="Q2488" i="53"/>
  <c r="P2491" i="53"/>
  <c r="Q2492" i="53"/>
  <c r="P2495" i="53"/>
  <c r="Q2496" i="53"/>
  <c r="P2499" i="53"/>
  <c r="Q2500" i="53"/>
  <c r="P2503" i="53"/>
  <c r="Q2504" i="53"/>
  <c r="P2507" i="53"/>
  <c r="Q2508" i="53"/>
  <c r="P2511" i="53"/>
  <c r="Q2512" i="53"/>
  <c r="P2515" i="53"/>
  <c r="Q2516" i="53"/>
  <c r="P2519" i="53"/>
  <c r="Q2520" i="53"/>
  <c r="P2523" i="53"/>
  <c r="Q2524" i="53"/>
  <c r="P2527" i="53"/>
  <c r="Q2528" i="53"/>
  <c r="P2531" i="53"/>
  <c r="Q2532" i="53"/>
  <c r="P2535" i="53"/>
  <c r="Q2536" i="53"/>
  <c r="P2539" i="53"/>
  <c r="Q2540" i="53"/>
  <c r="P2543" i="53"/>
  <c r="Q2544" i="53"/>
  <c r="P2547" i="53"/>
  <c r="Q2548" i="53"/>
  <c r="P2551" i="53"/>
  <c r="Q2552" i="53"/>
  <c r="P2555" i="53"/>
  <c r="Q2556" i="53"/>
  <c r="P2559" i="53"/>
  <c r="Q2560" i="53"/>
  <c r="P2563" i="53"/>
  <c r="Q2564" i="53"/>
  <c r="P2567" i="53"/>
  <c r="Q2568" i="53"/>
  <c r="P2571" i="53"/>
  <c r="Q2572" i="53"/>
  <c r="P2575" i="53"/>
  <c r="Q2576" i="53"/>
  <c r="P2579" i="53"/>
  <c r="Q2580" i="53"/>
  <c r="P2583" i="53"/>
  <c r="Q2584" i="53"/>
  <c r="P2587" i="53"/>
  <c r="Q2588" i="53"/>
  <c r="P2591" i="53"/>
  <c r="Q2592" i="53"/>
  <c r="P2595" i="53"/>
  <c r="Q2596" i="53"/>
  <c r="P2599" i="53"/>
  <c r="Q2600" i="53"/>
  <c r="P2603" i="53"/>
  <c r="Q2604" i="53"/>
  <c r="P2607" i="53"/>
  <c r="Q2608" i="53"/>
  <c r="P2611" i="53"/>
  <c r="Q2612" i="53"/>
  <c r="P2615" i="53"/>
  <c r="Q2616" i="53"/>
  <c r="P2619" i="53"/>
  <c r="Q2620" i="53"/>
  <c r="P2623" i="53"/>
  <c r="Q2624" i="53"/>
  <c r="P2627" i="53"/>
  <c r="Q2628" i="53"/>
  <c r="P2631" i="53"/>
  <c r="Q2632" i="53"/>
  <c r="P2635" i="53"/>
  <c r="Q2636" i="53"/>
  <c r="P2639" i="53"/>
  <c r="Q2640" i="53"/>
  <c r="P2643" i="53"/>
  <c r="Q2644" i="53"/>
  <c r="P2647" i="53"/>
  <c r="Q2648" i="53"/>
  <c r="P2651" i="53"/>
  <c r="Q2652" i="53"/>
  <c r="P2655" i="53"/>
  <c r="Q2656" i="53"/>
  <c r="P2659" i="53"/>
  <c r="Q2660" i="53"/>
  <c r="P2663" i="53"/>
  <c r="Q2664" i="53"/>
  <c r="P2667" i="53"/>
  <c r="Q2668" i="53"/>
  <c r="P2671" i="53"/>
  <c r="Q2672" i="53"/>
  <c r="P2675" i="53"/>
  <c r="Q2676" i="53"/>
  <c r="P2679" i="53"/>
  <c r="Q2680" i="53"/>
  <c r="P2366" i="53"/>
  <c r="Q2367" i="53"/>
  <c r="P2370" i="53"/>
  <c r="Q2371" i="53"/>
  <c r="P2374" i="53"/>
  <c r="Q2375" i="53"/>
  <c r="P2378" i="53"/>
  <c r="Q2379" i="53"/>
  <c r="P2382" i="53"/>
  <c r="Q2383" i="53"/>
  <c r="P2386" i="53"/>
  <c r="Q2387" i="53"/>
  <c r="P2390" i="53"/>
  <c r="Q2391" i="53"/>
  <c r="P2394" i="53"/>
  <c r="Q2395" i="53"/>
  <c r="P2398" i="53"/>
  <c r="Q2399" i="53"/>
  <c r="P2402" i="53"/>
  <c r="Q2403" i="53"/>
  <c r="P2406" i="53"/>
  <c r="Q2407" i="53"/>
  <c r="P2410" i="53"/>
  <c r="Q2411" i="53"/>
  <c r="P2414" i="53"/>
  <c r="Q2415" i="53"/>
  <c r="P2418" i="53"/>
  <c r="Q2419" i="53"/>
  <c r="P2422" i="53"/>
  <c r="Q2423" i="53"/>
  <c r="P2426" i="53"/>
  <c r="Q2427" i="53"/>
  <c r="P2430" i="53"/>
  <c r="Q2431" i="53"/>
  <c r="P2434" i="53"/>
  <c r="Q2435" i="53"/>
  <c r="P2438" i="53"/>
  <c r="Q2439" i="53"/>
  <c r="P2442" i="53"/>
  <c r="Q2443" i="53"/>
  <c r="P2446" i="53"/>
  <c r="Q2447" i="53"/>
  <c r="P2450" i="53"/>
  <c r="Q2451" i="53"/>
  <c r="P2454" i="53"/>
  <c r="Q2455" i="53"/>
  <c r="P2458" i="53"/>
  <c r="Q2459" i="53"/>
  <c r="P2462" i="53"/>
  <c r="Q2463" i="53"/>
  <c r="P2466" i="53"/>
  <c r="Q2467" i="53"/>
  <c r="P2470" i="53"/>
  <c r="Q2471" i="53"/>
  <c r="P2474" i="53"/>
  <c r="Q2475" i="53"/>
  <c r="P2478" i="53"/>
  <c r="Q2479" i="53"/>
  <c r="P2482" i="53"/>
  <c r="Q2483" i="53"/>
  <c r="P2486" i="53"/>
  <c r="Q2487" i="53"/>
  <c r="P2490" i="53"/>
  <c r="Q2491" i="53"/>
  <c r="P2494" i="53"/>
  <c r="Q2495" i="53"/>
  <c r="P2498" i="53"/>
  <c r="Q2499" i="53"/>
  <c r="P2502" i="53"/>
  <c r="Q2503" i="53"/>
  <c r="P2506" i="53"/>
  <c r="Q2507" i="53"/>
  <c r="P2510" i="53"/>
  <c r="Q2511" i="53"/>
  <c r="P2514" i="53"/>
  <c r="Q2515" i="53"/>
  <c r="P2518" i="53"/>
  <c r="Q2519" i="53"/>
  <c r="P2522" i="53"/>
  <c r="Q2523" i="53"/>
  <c r="P2526" i="53"/>
  <c r="Q2527" i="53"/>
  <c r="P2530" i="53"/>
  <c r="Q2531" i="53"/>
  <c r="P2534" i="53"/>
  <c r="Q2535" i="53"/>
  <c r="P2538" i="53"/>
  <c r="Q2539" i="53"/>
  <c r="P2542" i="53"/>
  <c r="Q2543" i="53"/>
  <c r="P2546" i="53"/>
  <c r="Q2547" i="53"/>
  <c r="P2550" i="53"/>
  <c r="Q2551" i="53"/>
  <c r="P2554" i="53"/>
  <c r="Q2555" i="53"/>
  <c r="P2558" i="53"/>
  <c r="Q2559" i="53"/>
  <c r="P2562" i="53"/>
  <c r="Q2563" i="53"/>
  <c r="P2566" i="53"/>
  <c r="Q2567" i="53"/>
  <c r="P2570" i="53"/>
  <c r="Q2571" i="53"/>
  <c r="P2574" i="53"/>
  <c r="Q2575" i="53"/>
  <c r="P2578" i="53"/>
  <c r="Q2579" i="53"/>
  <c r="P2582" i="53"/>
  <c r="Q2583" i="53"/>
  <c r="P2586" i="53"/>
  <c r="Q2587" i="53"/>
  <c r="P2590" i="53"/>
  <c r="Q2591" i="53"/>
  <c r="P2594" i="53"/>
  <c r="Q2595" i="53"/>
  <c r="P2598" i="53"/>
  <c r="Q2599" i="53"/>
  <c r="P2602" i="53"/>
  <c r="Q2603" i="53"/>
  <c r="P2606" i="53"/>
  <c r="Q2607" i="53"/>
  <c r="P2610" i="53"/>
  <c r="Q2611" i="53"/>
  <c r="P2614" i="53"/>
  <c r="Q2615" i="53"/>
  <c r="P2618" i="53"/>
  <c r="Q2619" i="53"/>
  <c r="P2622" i="53"/>
  <c r="Q2623" i="53"/>
  <c r="P2626" i="53"/>
  <c r="Q2627" i="53"/>
  <c r="P2630" i="53"/>
  <c r="Q2631" i="53"/>
  <c r="P2634" i="53"/>
  <c r="Q2635" i="53"/>
  <c r="P2638" i="53"/>
  <c r="Q2639" i="53"/>
  <c r="P2642" i="53"/>
  <c r="Q2643" i="53"/>
  <c r="P2646" i="53"/>
  <c r="Q2647" i="53"/>
  <c r="P2650" i="53"/>
  <c r="Q2651" i="53"/>
  <c r="P2654" i="53"/>
  <c r="Q2655" i="53"/>
  <c r="P2658" i="53"/>
  <c r="Q2659" i="53"/>
  <c r="P2662" i="53"/>
  <c r="Q2663" i="53"/>
  <c r="P2666" i="53"/>
  <c r="Q2667" i="53"/>
  <c r="P2670" i="53"/>
  <c r="Q2671" i="53"/>
  <c r="P2674" i="53"/>
  <c r="Q2675" i="53"/>
  <c r="P2678" i="53"/>
  <c r="Q2679" i="53"/>
  <c r="Q2366" i="53"/>
  <c r="P2369" i="53"/>
  <c r="Q2370" i="53"/>
  <c r="P2373" i="53"/>
  <c r="Q2374" i="53"/>
  <c r="P2377" i="53"/>
  <c r="Q2378" i="53"/>
  <c r="P2381" i="53"/>
  <c r="Q2382" i="53"/>
  <c r="P2385" i="53"/>
  <c r="Q2386" i="53"/>
  <c r="P2389" i="53"/>
  <c r="Q2390" i="53"/>
  <c r="P2393" i="53"/>
  <c r="Q2394" i="53"/>
  <c r="P2397" i="53"/>
  <c r="Q2398" i="53"/>
  <c r="P2401" i="53"/>
  <c r="Q2402" i="53"/>
  <c r="P2405" i="53"/>
  <c r="Q2406" i="53"/>
  <c r="P2409" i="53"/>
  <c r="Q2410" i="53"/>
  <c r="P2413" i="53"/>
  <c r="Q2414" i="53"/>
  <c r="P2417" i="53"/>
  <c r="Q2418" i="53"/>
  <c r="P2421" i="53"/>
  <c r="Q2422" i="53"/>
  <c r="P2425" i="53"/>
  <c r="Q2426" i="53"/>
  <c r="P2429" i="53"/>
  <c r="Q2430" i="53"/>
  <c r="P2433" i="53"/>
  <c r="Q2434" i="53"/>
  <c r="P2437" i="53"/>
  <c r="Q2438" i="53"/>
  <c r="P2441" i="53"/>
  <c r="Q2442" i="53"/>
  <c r="P2445" i="53"/>
  <c r="Q2446" i="53"/>
  <c r="P2449" i="53"/>
  <c r="Q2450" i="53"/>
  <c r="P2453" i="53"/>
  <c r="Q2454" i="53"/>
  <c r="P2457" i="53"/>
  <c r="Q2458" i="53"/>
  <c r="P2461" i="53"/>
  <c r="Q2462" i="53"/>
  <c r="P2465" i="53"/>
  <c r="Q2466" i="53"/>
  <c r="P2469" i="53"/>
  <c r="Q2470" i="53"/>
  <c r="P2473" i="53"/>
  <c r="Q2474" i="53"/>
  <c r="P2477" i="53"/>
  <c r="Q2478" i="53"/>
  <c r="P2481" i="53"/>
  <c r="Q2482" i="53"/>
  <c r="P2485" i="53"/>
  <c r="Q2486" i="53"/>
  <c r="P2489" i="53"/>
  <c r="Q2490" i="53"/>
  <c r="P2493" i="53"/>
  <c r="Q2494" i="53"/>
  <c r="P2497" i="53"/>
  <c r="Q2498" i="53"/>
  <c r="P2501" i="53"/>
  <c r="Q2502" i="53"/>
  <c r="P2505" i="53"/>
  <c r="Q2506" i="53"/>
  <c r="P2509" i="53"/>
  <c r="Q2510" i="53"/>
  <c r="P2513" i="53"/>
  <c r="Q2514" i="53"/>
  <c r="P2517" i="53"/>
  <c r="Q2518" i="53"/>
  <c r="P2521" i="53"/>
  <c r="Q2522" i="53"/>
  <c r="P2525" i="53"/>
  <c r="Q2526" i="53"/>
  <c r="P2529" i="53"/>
  <c r="Q2530" i="53"/>
  <c r="P2533" i="53"/>
  <c r="Q2534" i="53"/>
  <c r="P2537" i="53"/>
  <c r="Q2538" i="53"/>
  <c r="P2541" i="53"/>
  <c r="Q2542" i="53"/>
  <c r="P2545" i="53"/>
  <c r="Q2546" i="53"/>
  <c r="P2549" i="53"/>
  <c r="Q2550" i="53"/>
  <c r="P2553" i="53"/>
  <c r="Q2554" i="53"/>
  <c r="P2557" i="53"/>
  <c r="Q2558" i="53"/>
  <c r="P2561" i="53"/>
  <c r="Q2562" i="53"/>
  <c r="P2565" i="53"/>
  <c r="Q2566" i="53"/>
  <c r="P2569" i="53"/>
  <c r="Q2570" i="53"/>
  <c r="P2573" i="53"/>
  <c r="Q2574" i="53"/>
  <c r="P2577" i="53"/>
  <c r="Q2578" i="53"/>
  <c r="P2581" i="53"/>
  <c r="Q2582" i="53"/>
  <c r="P2585" i="53"/>
  <c r="Q2586" i="53"/>
  <c r="P2589" i="53"/>
  <c r="Q2590" i="53"/>
  <c r="P2593" i="53"/>
  <c r="Q2594" i="53"/>
  <c r="P2597" i="53"/>
  <c r="Q2598" i="53"/>
  <c r="P2601" i="53"/>
  <c r="Q2602" i="53"/>
  <c r="P2605" i="53"/>
  <c r="Q2606" i="53"/>
  <c r="P2609" i="53"/>
  <c r="Q2610" i="53"/>
  <c r="P2613" i="53"/>
  <c r="Q2614" i="53"/>
  <c r="P2617" i="53"/>
  <c r="Q2618" i="53"/>
  <c r="P2621" i="53"/>
  <c r="Q2622" i="53"/>
  <c r="P2625" i="53"/>
  <c r="Q2626" i="53"/>
  <c r="P2629" i="53"/>
  <c r="Q2630" i="53"/>
  <c r="P2633" i="53"/>
  <c r="Q2634" i="53"/>
  <c r="P2637" i="53"/>
  <c r="Q2638" i="53"/>
  <c r="P2641" i="53"/>
  <c r="Q2642" i="53"/>
  <c r="P2645" i="53"/>
  <c r="Q2646" i="53"/>
  <c r="P2649" i="53"/>
  <c r="Q2650" i="53"/>
  <c r="P2653" i="53"/>
  <c r="Q2654" i="53"/>
  <c r="P2657" i="53"/>
  <c r="Q2658" i="53"/>
  <c r="P2661" i="53"/>
  <c r="Q2662" i="53"/>
  <c r="P2665" i="53"/>
  <c r="Q2666" i="53"/>
  <c r="P2669" i="53"/>
  <c r="Q2670" i="53"/>
  <c r="P2673" i="53"/>
  <c r="Q2674" i="53"/>
  <c r="P2677" i="53"/>
  <c r="Q2678" i="53"/>
  <c r="Q4" i="56"/>
  <c r="P4" i="56"/>
  <c r="A2" i="20" l="1"/>
  <c r="A1" i="20"/>
  <c r="H5" i="38" l="1"/>
  <c r="I5" i="38"/>
  <c r="J5" i="38"/>
  <c r="K5" i="38"/>
  <c r="L5" i="38"/>
  <c r="M5" i="38"/>
  <c r="N5" i="38"/>
  <c r="C36" i="46" l="1"/>
  <c r="A3" i="49" l="1"/>
  <c r="A1" i="48" l="1"/>
  <c r="B2" i="48"/>
  <c r="B1" i="48"/>
  <c r="A1" i="47" l="1"/>
  <c r="D14" i="36"/>
  <c r="E14" i="36"/>
  <c r="F14" i="36"/>
  <c r="G14" i="36"/>
  <c r="H14" i="36"/>
  <c r="C14" i="36"/>
  <c r="O14" i="36" l="1"/>
  <c r="C37" i="20"/>
  <c r="A2" i="46" l="1"/>
  <c r="A1" i="46"/>
  <c r="C35" i="43" l="1"/>
  <c r="C36" i="43"/>
  <c r="C37" i="43"/>
  <c r="C38" i="43"/>
  <c r="D4" i="21" l="1"/>
  <c r="E4" i="21"/>
  <c r="C7" i="21"/>
  <c r="C4" i="21"/>
  <c r="C10" i="38"/>
  <c r="D95" i="26"/>
  <c r="O13" i="21"/>
  <c r="O14" i="21"/>
  <c r="Q49" i="36"/>
  <c r="Q37" i="36"/>
  <c r="A2" i="44"/>
  <c r="D18" i="21"/>
  <c r="E18" i="21"/>
  <c r="C18" i="21"/>
  <c r="O11" i="21"/>
  <c r="O12" i="21"/>
  <c r="O15" i="21"/>
  <c r="O16" i="21"/>
  <c r="O17" i="21"/>
  <c r="O10" i="21"/>
  <c r="C8" i="43"/>
  <c r="E5" i="43"/>
  <c r="D5" i="43"/>
  <c r="C5" i="43"/>
  <c r="A3" i="43"/>
  <c r="A2" i="43"/>
  <c r="O41" i="36"/>
  <c r="D33" i="36"/>
  <c r="E33" i="36"/>
  <c r="F33" i="36"/>
  <c r="G33" i="36"/>
  <c r="H33" i="36"/>
  <c r="C33" i="36"/>
  <c r="D30" i="36"/>
  <c r="D41" i="36" s="1"/>
  <c r="E30" i="36"/>
  <c r="E41" i="36" s="1"/>
  <c r="F30" i="36"/>
  <c r="F41" i="36" s="1"/>
  <c r="G30" i="36"/>
  <c r="G41" i="36" s="1"/>
  <c r="H30" i="36"/>
  <c r="H41" i="36" s="1"/>
  <c r="C30" i="36"/>
  <c r="C41" i="36" s="1"/>
  <c r="Q41" i="36"/>
  <c r="R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1" i="36"/>
  <c r="C8" i="36"/>
  <c r="H22" i="36"/>
  <c r="H27" i="36" s="1"/>
  <c r="G22" i="36"/>
  <c r="G27" i="36" s="1"/>
  <c r="F22" i="36"/>
  <c r="F27" i="36" s="1"/>
  <c r="E22" i="36"/>
  <c r="E27" i="36" s="1"/>
  <c r="D22" i="36"/>
  <c r="D27" i="36" s="1"/>
  <c r="O16" i="36"/>
  <c r="C27" i="20"/>
  <c r="C22" i="36"/>
  <c r="C27" i="36" l="1"/>
  <c r="O27" i="36" s="1"/>
  <c r="O22" i="36"/>
  <c r="P4" i="33"/>
  <c r="Q4" i="33"/>
  <c r="O18" i="21"/>
  <c r="D35" i="46" l="1" a="1"/>
  <c r="D35" i="46" s="1"/>
  <c r="E35" i="46" s="1"/>
  <c r="D34" i="46" a="1"/>
  <c r="D34" i="46" s="1"/>
  <c r="E34" i="46" s="1"/>
  <c r="D30" i="46" a="1"/>
  <c r="D30" i="46" s="1"/>
  <c r="E30" i="46" s="1"/>
  <c r="D26" i="46" a="1"/>
  <c r="D26" i="46" s="1"/>
  <c r="E26" i="46" s="1"/>
  <c r="D22" i="46" a="1"/>
  <c r="D22" i="46" s="1"/>
  <c r="E22" i="46" s="1"/>
  <c r="D18" i="46" a="1"/>
  <c r="D18" i="46" s="1"/>
  <c r="E18" i="46" s="1"/>
  <c r="D14" i="46" a="1"/>
  <c r="D14" i="46" s="1"/>
  <c r="E14" i="46" s="1"/>
  <c r="D10" i="46" a="1"/>
  <c r="D10" i="46" s="1"/>
  <c r="E10" i="46" s="1"/>
  <c r="D6" i="46" a="1"/>
  <c r="D6" i="46" s="1"/>
  <c r="D7" i="46" a="1"/>
  <c r="D7" i="46" s="1"/>
  <c r="D33" i="46" a="1"/>
  <c r="D33" i="46" s="1"/>
  <c r="E33" i="46" s="1"/>
  <c r="D29" i="46" a="1"/>
  <c r="D29" i="46" s="1"/>
  <c r="E29" i="46" s="1"/>
  <c r="D25" i="46" a="1"/>
  <c r="D25" i="46" s="1"/>
  <c r="E25" i="46" s="1"/>
  <c r="D21" i="46" a="1"/>
  <c r="D21" i="46" s="1"/>
  <c r="E21" i="46" s="1"/>
  <c r="D17" i="46" a="1"/>
  <c r="D17" i="46" s="1"/>
  <c r="E17" i="46" s="1"/>
  <c r="D13" i="46" a="1"/>
  <c r="D13" i="46" s="1"/>
  <c r="E13" i="46" s="1"/>
  <c r="D9" i="46" a="1"/>
  <c r="D9" i="46" s="1"/>
  <c r="D27" i="46" a="1"/>
  <c r="D27" i="46" s="1"/>
  <c r="E27" i="46" s="1"/>
  <c r="D19" i="46" a="1"/>
  <c r="D19" i="46" s="1"/>
  <c r="E19" i="46" s="1"/>
  <c r="D15" i="46" a="1"/>
  <c r="D15" i="46" s="1"/>
  <c r="E15" i="46" s="1"/>
  <c r="D32" i="46" a="1"/>
  <c r="D32" i="46" s="1"/>
  <c r="E32" i="46" s="1"/>
  <c r="D28" i="46" a="1"/>
  <c r="D28" i="46" s="1"/>
  <c r="E28" i="46" s="1"/>
  <c r="D24" i="46" a="1"/>
  <c r="D24" i="46" s="1"/>
  <c r="E24" i="46" s="1"/>
  <c r="D20" i="46" a="1"/>
  <c r="D20" i="46" s="1"/>
  <c r="E20" i="46" s="1"/>
  <c r="D16" i="46" a="1"/>
  <c r="D16" i="46" s="1"/>
  <c r="E16" i="46" s="1"/>
  <c r="D12" i="46" a="1"/>
  <c r="D12" i="46" s="1"/>
  <c r="E12" i="46" s="1"/>
  <c r="D8" i="46" a="1"/>
  <c r="D8" i="46" s="1"/>
  <c r="E8" i="46" s="1"/>
  <c r="D31" i="46" a="1"/>
  <c r="D31" i="46" s="1"/>
  <c r="D23" i="46" a="1"/>
  <c r="D23" i="46" s="1"/>
  <c r="E23" i="46" s="1"/>
  <c r="D11" i="46" a="1"/>
  <c r="D11" i="46" s="1"/>
  <c r="E11" i="46" s="1"/>
  <c r="M165" i="38"/>
  <c r="G165" i="38"/>
  <c r="C165" i="38"/>
  <c r="N165" i="38"/>
  <c r="I165" i="38"/>
  <c r="L165" i="38"/>
  <c r="J165" i="38"/>
  <c r="E165" i="38"/>
  <c r="H165" i="38"/>
  <c r="F165" i="38"/>
  <c r="K165" i="38"/>
  <c r="D165" i="38"/>
  <c r="N162" i="43"/>
  <c r="N50" i="36" s="1"/>
  <c r="J162" i="43"/>
  <c r="J50" i="36" s="1"/>
  <c r="F162" i="43"/>
  <c r="F50" i="36" s="1"/>
  <c r="G162" i="43"/>
  <c r="G50" i="36" s="1"/>
  <c r="M162" i="43"/>
  <c r="M50" i="36" s="1"/>
  <c r="I162" i="43"/>
  <c r="I50" i="36" s="1"/>
  <c r="E162" i="43"/>
  <c r="E50" i="36" s="1"/>
  <c r="C162" i="43"/>
  <c r="C50" i="36" s="1"/>
  <c r="L162" i="43"/>
  <c r="L50" i="36" s="1"/>
  <c r="H162" i="43"/>
  <c r="H50" i="36" s="1"/>
  <c r="D162" i="43"/>
  <c r="D50" i="36" s="1"/>
  <c r="K162" i="43"/>
  <c r="K50" i="36" s="1"/>
  <c r="C117" i="43"/>
  <c r="G118" i="43"/>
  <c r="K119" i="43"/>
  <c r="F121" i="43"/>
  <c r="J122" i="43"/>
  <c r="N123" i="43"/>
  <c r="E125" i="43"/>
  <c r="I126" i="43"/>
  <c r="M127" i="43"/>
  <c r="E129" i="43"/>
  <c r="H130" i="43"/>
  <c r="L131" i="43"/>
  <c r="D133" i="43"/>
  <c r="H134" i="43"/>
  <c r="L135" i="43"/>
  <c r="D137" i="43"/>
  <c r="G138" i="43"/>
  <c r="K139" i="43"/>
  <c r="C141" i="43"/>
  <c r="G142" i="43"/>
  <c r="K143" i="43"/>
  <c r="D118" i="43"/>
  <c r="H119" i="43"/>
  <c r="K120" i="43"/>
  <c r="C122" i="43"/>
  <c r="G123" i="43"/>
  <c r="N124" i="43"/>
  <c r="F126" i="43"/>
  <c r="J127" i="43"/>
  <c r="N128" i="43"/>
  <c r="E130" i="43"/>
  <c r="I131" i="43"/>
  <c r="M132" i="43"/>
  <c r="E134" i="43"/>
  <c r="I135" i="43"/>
  <c r="M136" i="43"/>
  <c r="D138" i="43"/>
  <c r="H139" i="43"/>
  <c r="L140" i="43"/>
  <c r="D142" i="43"/>
  <c r="H143" i="43"/>
  <c r="L144" i="43"/>
  <c r="E118" i="43"/>
  <c r="I119" i="43"/>
  <c r="L120" i="43"/>
  <c r="D122" i="43"/>
  <c r="H123" i="43"/>
  <c r="K124" i="43"/>
  <c r="C126" i="43"/>
  <c r="G127" i="43"/>
  <c r="K128" i="43"/>
  <c r="F130" i="43"/>
  <c r="J131" i="43"/>
  <c r="N132" i="43"/>
  <c r="F134" i="43"/>
  <c r="J135" i="43"/>
  <c r="N136" i="43"/>
  <c r="E138" i="43"/>
  <c r="I139" i="43"/>
  <c r="M140" i="43"/>
  <c r="E142" i="43"/>
  <c r="F118" i="43"/>
  <c r="J119" i="43"/>
  <c r="M120" i="43"/>
  <c r="E122" i="43"/>
  <c r="I123" i="43"/>
  <c r="L124" i="43"/>
  <c r="D126" i="43"/>
  <c r="H127" i="43"/>
  <c r="L128" i="43"/>
  <c r="C130" i="43"/>
  <c r="G131" i="43"/>
  <c r="K132" i="43"/>
  <c r="C134" i="43"/>
  <c r="G135" i="43"/>
  <c r="K136" i="43"/>
  <c r="F138" i="43"/>
  <c r="J139" i="43"/>
  <c r="N140" i="43"/>
  <c r="F142" i="43"/>
  <c r="J143" i="43"/>
  <c r="K144" i="43"/>
  <c r="M142" i="43"/>
  <c r="E145" i="43"/>
  <c r="C144" i="43"/>
  <c r="J145" i="43"/>
  <c r="J144" i="43"/>
  <c r="N145" i="43"/>
  <c r="K117" i="43"/>
  <c r="J120" i="43"/>
  <c r="F123" i="43"/>
  <c r="M125" i="43"/>
  <c r="I128" i="43"/>
  <c r="D131" i="43"/>
  <c r="L133" i="43"/>
  <c r="H136" i="43"/>
  <c r="C139" i="43"/>
  <c r="K141" i="43"/>
  <c r="H117" i="43"/>
  <c r="C120" i="43"/>
  <c r="K122" i="43"/>
  <c r="J125" i="43"/>
  <c r="F128" i="43"/>
  <c r="M130" i="43"/>
  <c r="E136" i="43"/>
  <c r="H141" i="43"/>
  <c r="M118" i="43"/>
  <c r="C124" i="43"/>
  <c r="N130" i="43"/>
  <c r="F136" i="43"/>
  <c r="I141" i="43"/>
  <c r="I121" i="43"/>
  <c r="L126" i="43"/>
  <c r="C132" i="43"/>
  <c r="G137" i="43"/>
  <c r="N142" i="43"/>
  <c r="M145" i="43"/>
  <c r="C118" i="43"/>
  <c r="J123" i="43"/>
  <c r="M128" i="43"/>
  <c r="D134" i="43"/>
  <c r="G139" i="43"/>
  <c r="L117" i="43"/>
  <c r="C123" i="43"/>
  <c r="J128" i="43"/>
  <c r="M133" i="43"/>
  <c r="D139" i="43"/>
  <c r="H144" i="43"/>
  <c r="L121" i="43"/>
  <c r="C127" i="43"/>
  <c r="J132" i="43"/>
  <c r="N137" i="43"/>
  <c r="N117" i="43"/>
  <c r="E123" i="43"/>
  <c r="L129" i="43"/>
  <c r="K133" i="43"/>
  <c r="J140" i="43"/>
  <c r="M144" i="43"/>
  <c r="K145" i="43"/>
  <c r="G117" i="43"/>
  <c r="K118" i="43"/>
  <c r="F120" i="43"/>
  <c r="J121" i="43"/>
  <c r="N122" i="43"/>
  <c r="E124" i="43"/>
  <c r="I125" i="43"/>
  <c r="M126" i="43"/>
  <c r="E128" i="43"/>
  <c r="I129" i="43"/>
  <c r="L130" i="43"/>
  <c r="D132" i="43"/>
  <c r="H133" i="43"/>
  <c r="L134" i="43"/>
  <c r="D136" i="43"/>
  <c r="H137" i="43"/>
  <c r="K138" i="43"/>
  <c r="C140" i="43"/>
  <c r="G141" i="43"/>
  <c r="K142" i="43"/>
  <c r="D117" i="43"/>
  <c r="H118" i="43"/>
  <c r="L119" i="43"/>
  <c r="C121" i="43"/>
  <c r="G122" i="43"/>
  <c r="K123" i="43"/>
  <c r="F125" i="43"/>
  <c r="J126" i="43"/>
  <c r="N127" i="43"/>
  <c r="F129" i="43"/>
  <c r="I130" i="43"/>
  <c r="M131" i="43"/>
  <c r="E133" i="43"/>
  <c r="I134" i="43"/>
  <c r="M135" i="43"/>
  <c r="E137" i="43"/>
  <c r="H138" i="43"/>
  <c r="L139" i="43"/>
  <c r="D141" i="43"/>
  <c r="H142" i="43"/>
  <c r="L143" i="43"/>
  <c r="E117" i="43"/>
  <c r="I118" i="43"/>
  <c r="M119" i="43"/>
  <c r="D121" i="43"/>
  <c r="H122" i="43"/>
  <c r="L123" i="43"/>
  <c r="C125" i="43"/>
  <c r="G126" i="43"/>
  <c r="K127" i="43"/>
  <c r="C129" i="43"/>
  <c r="J130" i="43"/>
  <c r="N131" i="43"/>
  <c r="F133" i="43"/>
  <c r="J134" i="43"/>
  <c r="N135" i="43"/>
  <c r="F137" i="43"/>
  <c r="I138" i="43"/>
  <c r="M139" i="43"/>
  <c r="E141" i="43"/>
  <c r="F117" i="43"/>
  <c r="J118" i="43"/>
  <c r="N119" i="43"/>
  <c r="E121" i="43"/>
  <c r="I122" i="43"/>
  <c r="M123" i="43"/>
  <c r="D125" i="43"/>
  <c r="H126" i="43"/>
  <c r="L127" i="43"/>
  <c r="D129" i="43"/>
  <c r="G130" i="43"/>
  <c r="K131" i="43"/>
  <c r="C133" i="43"/>
  <c r="G134" i="43"/>
  <c r="K135" i="43"/>
  <c r="C137" i="43"/>
  <c r="J138" i="43"/>
  <c r="N139" i="43"/>
  <c r="F141" i="43"/>
  <c r="J142" i="43"/>
  <c r="I142" i="43"/>
  <c r="D145" i="43"/>
  <c r="N143" i="43"/>
  <c r="I145" i="43"/>
  <c r="I144" i="43"/>
  <c r="C145" i="43"/>
  <c r="C119" i="43"/>
  <c r="N121" i="43"/>
  <c r="I124" i="43"/>
  <c r="E127" i="43"/>
  <c r="M129" i="43"/>
  <c r="H132" i="43"/>
  <c r="D135" i="43"/>
  <c r="L137" i="43"/>
  <c r="G140" i="43"/>
  <c r="C143" i="43"/>
  <c r="L118" i="43"/>
  <c r="G121" i="43"/>
  <c r="F124" i="43"/>
  <c r="N126" i="43"/>
  <c r="J129" i="43"/>
  <c r="E132" i="43"/>
  <c r="M134" i="43"/>
  <c r="I137" i="43"/>
  <c r="D140" i="43"/>
  <c r="L142" i="43"/>
  <c r="I117" i="43"/>
  <c r="D120" i="43"/>
  <c r="L122" i="43"/>
  <c r="G125" i="43"/>
  <c r="C128" i="43"/>
  <c r="G129" i="43"/>
  <c r="J133" i="43"/>
  <c r="N134" i="43"/>
  <c r="M138" i="43"/>
  <c r="E140" i="43"/>
  <c r="N118" i="43"/>
  <c r="E120" i="43"/>
  <c r="D124" i="43"/>
  <c r="H125" i="43"/>
  <c r="H129" i="43"/>
  <c r="K130" i="43"/>
  <c r="K134" i="43"/>
  <c r="C136" i="43"/>
  <c r="F140" i="43"/>
  <c r="J141" i="43"/>
  <c r="H145" i="43"/>
  <c r="G144" i="43"/>
  <c r="I143" i="43"/>
  <c r="G145" i="43"/>
  <c r="N120" i="43"/>
  <c r="F122" i="43"/>
  <c r="E126" i="43"/>
  <c r="I127" i="43"/>
  <c r="H131" i="43"/>
  <c r="L132" i="43"/>
  <c r="L136" i="43"/>
  <c r="C138" i="43"/>
  <c r="K140" i="43"/>
  <c r="G143" i="43"/>
  <c r="D119" i="43"/>
  <c r="K121" i="43"/>
  <c r="J124" i="43"/>
  <c r="F127" i="43"/>
  <c r="N129" i="43"/>
  <c r="I132" i="43"/>
  <c r="E135" i="43"/>
  <c r="M137" i="43"/>
  <c r="H140" i="43"/>
  <c r="D143" i="43"/>
  <c r="M117" i="43"/>
  <c r="H120" i="43"/>
  <c r="G124" i="43"/>
  <c r="K125" i="43"/>
  <c r="K129" i="43"/>
  <c r="F131" i="43"/>
  <c r="F135" i="43"/>
  <c r="J136" i="43"/>
  <c r="I140" i="43"/>
  <c r="M141" i="43"/>
  <c r="I120" i="43"/>
  <c r="M121" i="43"/>
  <c r="L125" i="43"/>
  <c r="D127" i="43"/>
  <c r="H128" i="43"/>
  <c r="G132" i="43"/>
  <c r="G136" i="43"/>
  <c r="K137" i="43"/>
  <c r="N141" i="43"/>
  <c r="F143" i="43"/>
  <c r="L145" i="43"/>
  <c r="E143" i="43"/>
  <c r="F145" i="43"/>
  <c r="I133" i="43"/>
  <c r="L138" i="43"/>
  <c r="D144" i="43"/>
  <c r="H121" i="43"/>
  <c r="K126" i="43"/>
  <c r="F132" i="43"/>
  <c r="J137" i="43"/>
  <c r="J117" i="43"/>
  <c r="M122" i="43"/>
  <c r="D128" i="43"/>
  <c r="G133" i="43"/>
  <c r="N138" i="43"/>
  <c r="M143" i="43"/>
  <c r="N144" i="43"/>
  <c r="G119" i="43"/>
  <c r="M124" i="43"/>
  <c r="D130" i="43"/>
  <c r="H135" i="43"/>
  <c r="C142" i="43"/>
  <c r="G120" i="43"/>
  <c r="N125" i="43"/>
  <c r="E131" i="43"/>
  <c r="I136" i="43"/>
  <c r="L141" i="43"/>
  <c r="E119" i="43"/>
  <c r="D123" i="43"/>
  <c r="G128" i="43"/>
  <c r="N133" i="43"/>
  <c r="E139" i="43"/>
  <c r="F119" i="43"/>
  <c r="H124" i="43"/>
  <c r="C131" i="43"/>
  <c r="C135" i="43"/>
  <c r="F139" i="43"/>
  <c r="F144" i="43"/>
  <c r="E144" i="43"/>
  <c r="E120" i="38"/>
  <c r="I121" i="38"/>
  <c r="M122" i="38"/>
  <c r="D124" i="38"/>
  <c r="H125" i="38"/>
  <c r="L126" i="38"/>
  <c r="D128" i="38"/>
  <c r="H129" i="38"/>
  <c r="L130" i="38"/>
  <c r="C132" i="38"/>
  <c r="G133" i="38"/>
  <c r="K134" i="38"/>
  <c r="C136" i="38"/>
  <c r="G137" i="38"/>
  <c r="K138" i="38"/>
  <c r="C140" i="38"/>
  <c r="J141" i="38"/>
  <c r="N142" i="38"/>
  <c r="F144" i="38"/>
  <c r="J145" i="38"/>
  <c r="N146" i="38"/>
  <c r="F120" i="38"/>
  <c r="J121" i="38"/>
  <c r="N122" i="38"/>
  <c r="E124" i="38"/>
  <c r="I125" i="38"/>
  <c r="M126" i="38"/>
  <c r="E128" i="38"/>
  <c r="I129" i="38"/>
  <c r="M130" i="38"/>
  <c r="D132" i="38"/>
  <c r="H133" i="38"/>
  <c r="L134" i="38"/>
  <c r="D136" i="38"/>
  <c r="H137" i="38"/>
  <c r="L138" i="38"/>
  <c r="D140" i="38"/>
  <c r="G141" i="38"/>
  <c r="K142" i="38"/>
  <c r="C144" i="38"/>
  <c r="G145" i="38"/>
  <c r="K146" i="38"/>
  <c r="C148" i="38"/>
  <c r="C121" i="38"/>
  <c r="G122" i="38"/>
  <c r="N123" i="38"/>
  <c r="F125" i="38"/>
  <c r="J126" i="38"/>
  <c r="N127" i="38"/>
  <c r="F129" i="38"/>
  <c r="J130" i="38"/>
  <c r="M131" i="38"/>
  <c r="E133" i="38"/>
  <c r="I134" i="38"/>
  <c r="M135" i="38"/>
  <c r="E137" i="38"/>
  <c r="I138" i="38"/>
  <c r="M139" i="38"/>
  <c r="D141" i="38"/>
  <c r="H142" i="38"/>
  <c r="L143" i="38"/>
  <c r="D145" i="38"/>
  <c r="H146" i="38"/>
  <c r="D120" i="38"/>
  <c r="H121" i="38"/>
  <c r="L122" i="38"/>
  <c r="C124" i="38"/>
  <c r="G125" i="38"/>
  <c r="K126" i="38"/>
  <c r="C128" i="38"/>
  <c r="G129" i="38"/>
  <c r="K130" i="38"/>
  <c r="F132" i="38"/>
  <c r="J133" i="38"/>
  <c r="N134" i="38"/>
  <c r="F136" i="38"/>
  <c r="J137" i="38"/>
  <c r="N138" i="38"/>
  <c r="F140" i="38"/>
  <c r="I141" i="38"/>
  <c r="M142" i="38"/>
  <c r="E144" i="38"/>
  <c r="I145" i="38"/>
  <c r="I120" i="38"/>
  <c r="M121" i="38"/>
  <c r="D123" i="38"/>
  <c r="H124" i="38"/>
  <c r="L125" i="38"/>
  <c r="D127" i="38"/>
  <c r="H128" i="38"/>
  <c r="L129" i="38"/>
  <c r="C131" i="38"/>
  <c r="G132" i="38"/>
  <c r="K133" i="38"/>
  <c r="C135" i="38"/>
  <c r="G136" i="38"/>
  <c r="K137" i="38"/>
  <c r="C139" i="38"/>
  <c r="G140" i="38"/>
  <c r="N141" i="38"/>
  <c r="F143" i="38"/>
  <c r="J144" i="38"/>
  <c r="N145" i="38"/>
  <c r="F147" i="38"/>
  <c r="J120" i="38"/>
  <c r="N121" i="38"/>
  <c r="E123" i="38"/>
  <c r="I124" i="38"/>
  <c r="M125" i="38"/>
  <c r="E127" i="38"/>
  <c r="I128" i="38"/>
  <c r="M129" i="38"/>
  <c r="D131" i="38"/>
  <c r="H132" i="38"/>
  <c r="L133" i="38"/>
  <c r="D135" i="38"/>
  <c r="H136" i="38"/>
  <c r="L137" i="38"/>
  <c r="D139" i="38"/>
  <c r="H140" i="38"/>
  <c r="K141" i="38"/>
  <c r="C143" i="38"/>
  <c r="G144" i="38"/>
  <c r="K145" i="38"/>
  <c r="C147" i="38"/>
  <c r="C120" i="38"/>
  <c r="G121" i="38"/>
  <c r="K122" i="38"/>
  <c r="F124" i="38"/>
  <c r="J125" i="38"/>
  <c r="N126" i="38"/>
  <c r="F128" i="38"/>
  <c r="J129" i="38"/>
  <c r="N130" i="38"/>
  <c r="E132" i="38"/>
  <c r="I133" i="38"/>
  <c r="M134" i="38"/>
  <c r="E136" i="38"/>
  <c r="I137" i="38"/>
  <c r="M138" i="38"/>
  <c r="E140" i="38"/>
  <c r="H141" i="38"/>
  <c r="L142" i="38"/>
  <c r="D144" i="38"/>
  <c r="H145" i="38"/>
  <c r="L146" i="38"/>
  <c r="H120" i="38"/>
  <c r="L121" i="38"/>
  <c r="C123" i="38"/>
  <c r="G124" i="38"/>
  <c r="K125" i="38"/>
  <c r="C127" i="38"/>
  <c r="G128" i="38"/>
  <c r="K129" i="38"/>
  <c r="F131" i="38"/>
  <c r="J132" i="38"/>
  <c r="N133" i="38"/>
  <c r="F135" i="38"/>
  <c r="J136" i="38"/>
  <c r="N137" i="38"/>
  <c r="F139" i="38"/>
  <c r="J140" i="38"/>
  <c r="M141" i="38"/>
  <c r="E143" i="38"/>
  <c r="I144" i="38"/>
  <c r="M145" i="38"/>
  <c r="M120" i="38"/>
  <c r="E122" i="38"/>
  <c r="H123" i="38"/>
  <c r="L124" i="38"/>
  <c r="D126" i="38"/>
  <c r="H127" i="38"/>
  <c r="L128" i="38"/>
  <c r="D130" i="38"/>
  <c r="G131" i="38"/>
  <c r="K132" i="38"/>
  <c r="C134" i="38"/>
  <c r="G135" i="38"/>
  <c r="K136" i="38"/>
  <c r="C138" i="38"/>
  <c r="G139" i="38"/>
  <c r="K140" i="38"/>
  <c r="F142" i="38"/>
  <c r="J143" i="38"/>
  <c r="N144" i="38"/>
  <c r="F146" i="38"/>
  <c r="J147" i="38"/>
  <c r="N120" i="38"/>
  <c r="F122" i="38"/>
  <c r="I123" i="38"/>
  <c r="M124" i="38"/>
  <c r="E126" i="38"/>
  <c r="I127" i="38"/>
  <c r="M128" i="38"/>
  <c r="E130" i="38"/>
  <c r="H131" i="38"/>
  <c r="L132" i="38"/>
  <c r="D134" i="38"/>
  <c r="H135" i="38"/>
  <c r="L136" i="38"/>
  <c r="D138" i="38"/>
  <c r="H139" i="38"/>
  <c r="L140" i="38"/>
  <c r="C142" i="38"/>
  <c r="G143" i="38"/>
  <c r="K144" i="38"/>
  <c r="C146" i="38"/>
  <c r="G147" i="38"/>
  <c r="G120" i="38"/>
  <c r="K121" i="38"/>
  <c r="F123" i="38"/>
  <c r="J124" i="38"/>
  <c r="N125" i="38"/>
  <c r="F127" i="38"/>
  <c r="J128" i="38"/>
  <c r="N129" i="38"/>
  <c r="E131" i="38"/>
  <c r="I132" i="38"/>
  <c r="M133" i="38"/>
  <c r="E135" i="38"/>
  <c r="I136" i="38"/>
  <c r="M137" i="38"/>
  <c r="E139" i="38"/>
  <c r="I140" i="38"/>
  <c r="L141" i="38"/>
  <c r="D143" i="38"/>
  <c r="H144" i="38"/>
  <c r="L145" i="38"/>
  <c r="D147" i="38"/>
  <c r="L120" i="38"/>
  <c r="D122" i="38"/>
  <c r="G123" i="38"/>
  <c r="K124" i="38"/>
  <c r="C126" i="38"/>
  <c r="G127" i="38"/>
  <c r="K128" i="38"/>
  <c r="C130" i="38"/>
  <c r="J131" i="38"/>
  <c r="N132" i="38"/>
  <c r="F134" i="38"/>
  <c r="J135" i="38"/>
  <c r="N136" i="38"/>
  <c r="F138" i="38"/>
  <c r="J139" i="38"/>
  <c r="N140" i="38"/>
  <c r="E142" i="38"/>
  <c r="I143" i="38"/>
  <c r="M144" i="38"/>
  <c r="E146" i="38"/>
  <c r="I147" i="38"/>
  <c r="M148" i="38"/>
  <c r="E121" i="38"/>
  <c r="I122" i="38"/>
  <c r="L123" i="38"/>
  <c r="D125" i="38"/>
  <c r="H126" i="38"/>
  <c r="L127" i="38"/>
  <c r="D129" i="38"/>
  <c r="H130" i="38"/>
  <c r="K131" i="38"/>
  <c r="C133" i="38"/>
  <c r="G134" i="38"/>
  <c r="K135" i="38"/>
  <c r="C137" i="38"/>
  <c r="G138" i="38"/>
  <c r="K139" i="38"/>
  <c r="F141" i="38"/>
  <c r="J142" i="38"/>
  <c r="N143" i="38"/>
  <c r="F145" i="38"/>
  <c r="J146" i="38"/>
  <c r="N147" i="38"/>
  <c r="F121" i="38"/>
  <c r="J122" i="38"/>
  <c r="M123" i="38"/>
  <c r="E125" i="38"/>
  <c r="I126" i="38"/>
  <c r="M127" i="38"/>
  <c r="E129" i="38"/>
  <c r="I130" i="38"/>
  <c r="L131" i="38"/>
  <c r="D133" i="38"/>
  <c r="H134" i="38"/>
  <c r="L135" i="38"/>
  <c r="D137" i="38"/>
  <c r="H138" i="38"/>
  <c r="L139" i="38"/>
  <c r="C141" i="38"/>
  <c r="G142" i="38"/>
  <c r="K143" i="38"/>
  <c r="C145" i="38"/>
  <c r="G146" i="38"/>
  <c r="K147" i="38"/>
  <c r="K120" i="38"/>
  <c r="C122" i="38"/>
  <c r="J123" i="38"/>
  <c r="N124" i="38"/>
  <c r="F126" i="38"/>
  <c r="J127" i="38"/>
  <c r="N128" i="38"/>
  <c r="F130" i="38"/>
  <c r="I131" i="38"/>
  <c r="M132" i="38"/>
  <c r="E134" i="38"/>
  <c r="I135" i="38"/>
  <c r="M136" i="38"/>
  <c r="E138" i="38"/>
  <c r="I139" i="38"/>
  <c r="M140" i="38"/>
  <c r="D142" i="38"/>
  <c r="H143" i="38"/>
  <c r="L144" i="38"/>
  <c r="D146" i="38"/>
  <c r="H147" i="38"/>
  <c r="D121" i="38"/>
  <c r="H122" i="38"/>
  <c r="K123" i="38"/>
  <c r="C125" i="38"/>
  <c r="G126" i="38"/>
  <c r="K127" i="38"/>
  <c r="C129" i="38"/>
  <c r="G130" i="38"/>
  <c r="N131" i="38"/>
  <c r="F133" i="38"/>
  <c r="J134" i="38"/>
  <c r="N135" i="38"/>
  <c r="F137" i="38"/>
  <c r="J138" i="38"/>
  <c r="N139" i="38"/>
  <c r="E141" i="38"/>
  <c r="I142" i="38"/>
  <c r="M143" i="38"/>
  <c r="E145" i="38"/>
  <c r="I146" i="38"/>
  <c r="E148" i="38"/>
  <c r="J148" i="38"/>
  <c r="G148" i="38"/>
  <c r="M146" i="38"/>
  <c r="I148" i="38"/>
  <c r="N148" i="38"/>
  <c r="K148" i="38"/>
  <c r="E147" i="38"/>
  <c r="D148" i="38"/>
  <c r="H148" i="38"/>
  <c r="L148" i="38"/>
  <c r="M147" i="38"/>
  <c r="F148" i="38"/>
  <c r="L147" i="38"/>
  <c r="N42" i="43"/>
  <c r="J42" i="43"/>
  <c r="F42" i="43"/>
  <c r="M41" i="43"/>
  <c r="I41" i="43"/>
  <c r="E41" i="43"/>
  <c r="L40" i="43"/>
  <c r="H40" i="43"/>
  <c r="D40" i="43"/>
  <c r="K39" i="43"/>
  <c r="G39" i="43"/>
  <c r="I39" i="43"/>
  <c r="G42" i="43"/>
  <c r="F41" i="43"/>
  <c r="E40" i="43"/>
  <c r="D39" i="43"/>
  <c r="M42" i="43"/>
  <c r="I42" i="43"/>
  <c r="E42" i="43"/>
  <c r="L41" i="43"/>
  <c r="H41" i="43"/>
  <c r="D41" i="43"/>
  <c r="K40" i="43"/>
  <c r="G40" i="43"/>
  <c r="N39" i="43"/>
  <c r="J39" i="43"/>
  <c r="F39" i="43"/>
  <c r="K42" i="43"/>
  <c r="J41" i="43"/>
  <c r="I40" i="43"/>
  <c r="H39" i="43"/>
  <c r="L42" i="43"/>
  <c r="H42" i="43"/>
  <c r="D42" i="43"/>
  <c r="K41" i="43"/>
  <c r="G41" i="43"/>
  <c r="N40" i="43"/>
  <c r="J40" i="43"/>
  <c r="F40" i="43"/>
  <c r="M39" i="43"/>
  <c r="E39" i="43"/>
  <c r="N41" i="43"/>
  <c r="M40" i="43"/>
  <c r="L39" i="43"/>
  <c r="C54" i="38"/>
  <c r="G54" i="38"/>
  <c r="K54" i="38"/>
  <c r="D54" i="38"/>
  <c r="H54" i="38"/>
  <c r="L54" i="38"/>
  <c r="E54" i="38"/>
  <c r="I54" i="38"/>
  <c r="M54" i="38"/>
  <c r="F54" i="38"/>
  <c r="J54" i="38"/>
  <c r="N54" i="38"/>
  <c r="N11" i="43"/>
  <c r="N35" i="36" s="1"/>
  <c r="C51" i="43"/>
  <c r="G51" i="43"/>
  <c r="K51" i="43"/>
  <c r="D51" i="43"/>
  <c r="H51" i="43"/>
  <c r="L51" i="43"/>
  <c r="E51" i="43"/>
  <c r="I51" i="43"/>
  <c r="M51" i="43"/>
  <c r="F51" i="43"/>
  <c r="J51" i="43"/>
  <c r="N51" i="43"/>
  <c r="C163" i="43"/>
  <c r="J163" i="43"/>
  <c r="J51" i="36" s="1"/>
  <c r="M163" i="43"/>
  <c r="M51" i="36" s="1"/>
  <c r="D148" i="43"/>
  <c r="I149" i="43"/>
  <c r="N150" i="43"/>
  <c r="H152" i="43"/>
  <c r="M153" i="43"/>
  <c r="G155" i="43"/>
  <c r="L156" i="43"/>
  <c r="F158" i="43"/>
  <c r="K159" i="43"/>
  <c r="H155" i="43"/>
  <c r="G158" i="43"/>
  <c r="H158" i="43"/>
  <c r="I150" i="43"/>
  <c r="M154" i="43"/>
  <c r="M158" i="43"/>
  <c r="I148" i="43"/>
  <c r="N149" i="43"/>
  <c r="H151" i="43"/>
  <c r="M152" i="43"/>
  <c r="G154" i="43"/>
  <c r="I156" i="43"/>
  <c r="L159" i="43"/>
  <c r="F160" i="43"/>
  <c r="G152" i="43"/>
  <c r="H157" i="43"/>
  <c r="F148" i="43"/>
  <c r="K149" i="43"/>
  <c r="E151" i="43"/>
  <c r="J152" i="43"/>
  <c r="D154" i="43"/>
  <c r="I155" i="43"/>
  <c r="N156" i="43"/>
  <c r="I159" i="43"/>
  <c r="J151" i="43"/>
  <c r="J155" i="43"/>
  <c r="K148" i="43"/>
  <c r="C149" i="43"/>
  <c r="C150" i="43"/>
  <c r="C151" i="43"/>
  <c r="D56" i="43"/>
  <c r="I57" i="43"/>
  <c r="N58" i="43"/>
  <c r="H60" i="43"/>
  <c r="M61" i="43"/>
  <c r="G63" i="43"/>
  <c r="L64" i="43"/>
  <c r="F66" i="43"/>
  <c r="K67" i="43"/>
  <c r="E69" i="43"/>
  <c r="J70" i="43"/>
  <c r="D72" i="43"/>
  <c r="I73" i="43"/>
  <c r="N74" i="43"/>
  <c r="H76" i="43"/>
  <c r="M77" i="43"/>
  <c r="G79" i="43"/>
  <c r="L80" i="43"/>
  <c r="F82" i="43"/>
  <c r="K83" i="43"/>
  <c r="E85" i="43"/>
  <c r="J86" i="43"/>
  <c r="F57" i="43"/>
  <c r="K58" i="43"/>
  <c r="E60" i="43"/>
  <c r="J61" i="43"/>
  <c r="D63" i="43"/>
  <c r="I64" i="43"/>
  <c r="N65" i="43"/>
  <c r="H67" i="43"/>
  <c r="M68" i="43"/>
  <c r="G70" i="43"/>
  <c r="L71" i="43"/>
  <c r="F73" i="43"/>
  <c r="K74" i="43"/>
  <c r="E76" i="43"/>
  <c r="J77" i="43"/>
  <c r="D79" i="43"/>
  <c r="I80" i="43"/>
  <c r="N81" i="43"/>
  <c r="H83" i="43"/>
  <c r="M84" i="43"/>
  <c r="F56" i="43"/>
  <c r="D163" i="43"/>
  <c r="D51" i="36" s="1"/>
  <c r="N163" i="43"/>
  <c r="N51" i="36" s="1"/>
  <c r="F163" i="43"/>
  <c r="F51" i="36" s="1"/>
  <c r="H148" i="43"/>
  <c r="M149" i="43"/>
  <c r="G151" i="43"/>
  <c r="L152" i="43"/>
  <c r="F154" i="43"/>
  <c r="K155" i="43"/>
  <c r="E157" i="43"/>
  <c r="J158" i="43"/>
  <c r="D160" i="43"/>
  <c r="L155" i="43"/>
  <c r="K158" i="43"/>
  <c r="L158" i="43"/>
  <c r="M150" i="43"/>
  <c r="G156" i="43"/>
  <c r="G160" i="43"/>
  <c r="M148" i="43"/>
  <c r="G150" i="43"/>
  <c r="L151" i="43"/>
  <c r="F153" i="43"/>
  <c r="K154" i="43"/>
  <c r="F157" i="43"/>
  <c r="I160" i="43"/>
  <c r="H149" i="43"/>
  <c r="L153" i="43"/>
  <c r="L157" i="43"/>
  <c r="J148" i="43"/>
  <c r="D150" i="43"/>
  <c r="I151" i="43"/>
  <c r="N152" i="43"/>
  <c r="H154" i="43"/>
  <c r="M155" i="43"/>
  <c r="G157" i="43"/>
  <c r="M159" i="43"/>
  <c r="K152" i="43"/>
  <c r="K156" i="43"/>
  <c r="N151" i="43"/>
  <c r="C153" i="43"/>
  <c r="C154" i="43"/>
  <c r="C155" i="43"/>
  <c r="H56" i="43"/>
  <c r="M57" i="43"/>
  <c r="G59" i="43"/>
  <c r="L60" i="43"/>
  <c r="F62" i="43"/>
  <c r="K63" i="43"/>
  <c r="E65" i="43"/>
  <c r="J66" i="43"/>
  <c r="D68" i="43"/>
  <c r="I69" i="43"/>
  <c r="N70" i="43"/>
  <c r="H72" i="43"/>
  <c r="M73" i="43"/>
  <c r="G75" i="43"/>
  <c r="L76" i="43"/>
  <c r="F78" i="43"/>
  <c r="K79" i="43"/>
  <c r="E81" i="43"/>
  <c r="J82" i="43"/>
  <c r="D84" i="43"/>
  <c r="I85" i="43"/>
  <c r="E56" i="43"/>
  <c r="J57" i="43"/>
  <c r="D59" i="43"/>
  <c r="I60" i="43"/>
  <c r="N61" i="43"/>
  <c r="H63" i="43"/>
  <c r="M64" i="43"/>
  <c r="G66" i="43"/>
  <c r="L67" i="43"/>
  <c r="F69" i="43"/>
  <c r="K70" i="43"/>
  <c r="E72" i="43"/>
  <c r="J73" i="43"/>
  <c r="H163" i="43"/>
  <c r="H51" i="36" s="1"/>
  <c r="E163" i="43"/>
  <c r="E51" i="36" s="1"/>
  <c r="G163" i="43"/>
  <c r="G51" i="36" s="1"/>
  <c r="L148" i="43"/>
  <c r="F150" i="43"/>
  <c r="K151" i="43"/>
  <c r="E153" i="43"/>
  <c r="J154" i="43"/>
  <c r="D156" i="43"/>
  <c r="I157" i="43"/>
  <c r="N158" i="43"/>
  <c r="H160" i="43"/>
  <c r="M156" i="43"/>
  <c r="H159" i="43"/>
  <c r="J160" i="43"/>
  <c r="D153" i="43"/>
  <c r="D157" i="43"/>
  <c r="K160" i="43"/>
  <c r="F149" i="43"/>
  <c r="K150" i="43"/>
  <c r="E152" i="43"/>
  <c r="J153" i="43"/>
  <c r="D155" i="43"/>
  <c r="N157" i="43"/>
  <c r="M160" i="43"/>
  <c r="L149" i="43"/>
  <c r="F155" i="43"/>
  <c r="F159" i="43"/>
  <c r="N148" i="43"/>
  <c r="H150" i="43"/>
  <c r="M151" i="43"/>
  <c r="G153" i="43"/>
  <c r="L154" i="43"/>
  <c r="F156" i="43"/>
  <c r="K157" i="43"/>
  <c r="D149" i="43"/>
  <c r="H153" i="43"/>
  <c r="E158" i="43"/>
  <c r="J159" i="43"/>
  <c r="C157" i="43"/>
  <c r="C158" i="43"/>
  <c r="C159" i="43"/>
  <c r="L56" i="43"/>
  <c r="F58" i="43"/>
  <c r="K59" i="43"/>
  <c r="E61" i="43"/>
  <c r="J62" i="43"/>
  <c r="D64" i="43"/>
  <c r="I65" i="43"/>
  <c r="N66" i="43"/>
  <c r="H68" i="43"/>
  <c r="M69" i="43"/>
  <c r="G71" i="43"/>
  <c r="L72" i="43"/>
  <c r="F74" i="43"/>
  <c r="K75" i="43"/>
  <c r="E77" i="43"/>
  <c r="J78" i="43"/>
  <c r="D80" i="43"/>
  <c r="I81" i="43"/>
  <c r="N82" i="43"/>
  <c r="H84" i="43"/>
  <c r="M85" i="43"/>
  <c r="I56" i="43"/>
  <c r="N57" i="43"/>
  <c r="H59" i="43"/>
  <c r="M60" i="43"/>
  <c r="G62" i="43"/>
  <c r="L63" i="43"/>
  <c r="F65" i="43"/>
  <c r="K66" i="43"/>
  <c r="E68" i="43"/>
  <c r="J69" i="43"/>
  <c r="D71" i="43"/>
  <c r="I72" i="43"/>
  <c r="N73" i="43"/>
  <c r="H75" i="43"/>
  <c r="M76" i="43"/>
  <c r="G78" i="43"/>
  <c r="L79" i="43"/>
  <c r="F81" i="43"/>
  <c r="K82" i="43"/>
  <c r="E84" i="43"/>
  <c r="J85" i="43"/>
  <c r="N56" i="43"/>
  <c r="L163" i="43"/>
  <c r="L51" i="36" s="1"/>
  <c r="J150" i="43"/>
  <c r="H156" i="43"/>
  <c r="J157" i="43"/>
  <c r="I158" i="43"/>
  <c r="I152" i="43"/>
  <c r="E159" i="43"/>
  <c r="G149" i="43"/>
  <c r="E155" i="43"/>
  <c r="I154" i="43"/>
  <c r="C152" i="43"/>
  <c r="D60" i="43"/>
  <c r="M65" i="43"/>
  <c r="K71" i="43"/>
  <c r="I77" i="43"/>
  <c r="G83" i="43"/>
  <c r="G58" i="43"/>
  <c r="E64" i="43"/>
  <c r="N69" i="43"/>
  <c r="D75" i="43"/>
  <c r="N77" i="43"/>
  <c r="M80" i="43"/>
  <c r="L83" i="43"/>
  <c r="J56" i="43"/>
  <c r="H58" i="43"/>
  <c r="M59" i="43"/>
  <c r="G61" i="43"/>
  <c r="L62" i="43"/>
  <c r="F64" i="43"/>
  <c r="K65" i="43"/>
  <c r="E67" i="43"/>
  <c r="J68" i="43"/>
  <c r="D70" i="43"/>
  <c r="I71" i="43"/>
  <c r="N72" i="43"/>
  <c r="H74" i="43"/>
  <c r="K56" i="43"/>
  <c r="E58" i="43"/>
  <c r="J59" i="43"/>
  <c r="H65" i="43"/>
  <c r="F71" i="43"/>
  <c r="F76" i="43"/>
  <c r="E79" i="43"/>
  <c r="D82" i="43"/>
  <c r="N84" i="43"/>
  <c r="E87" i="43"/>
  <c r="J88" i="43"/>
  <c r="D90" i="43"/>
  <c r="I91" i="43"/>
  <c r="N92" i="43"/>
  <c r="H94" i="43"/>
  <c r="M95" i="43"/>
  <c r="G97" i="43"/>
  <c r="L98" i="43"/>
  <c r="F100" i="43"/>
  <c r="K101" i="43"/>
  <c r="E103" i="43"/>
  <c r="J104" i="43"/>
  <c r="D106" i="43"/>
  <c r="I163" i="43"/>
  <c r="I51" i="36" s="1"/>
  <c r="D152" i="43"/>
  <c r="M157" i="43"/>
  <c r="E160" i="43"/>
  <c r="E148" i="43"/>
  <c r="N153" i="43"/>
  <c r="F151" i="43"/>
  <c r="L150" i="43"/>
  <c r="J156" i="43"/>
  <c r="G148" i="43"/>
  <c r="C156" i="43"/>
  <c r="I61" i="43"/>
  <c r="G67" i="43"/>
  <c r="E73" i="43"/>
  <c r="N78" i="43"/>
  <c r="L84" i="43"/>
  <c r="L59" i="43"/>
  <c r="J65" i="43"/>
  <c r="H71" i="43"/>
  <c r="L75" i="43"/>
  <c r="K78" i="43"/>
  <c r="J81" i="43"/>
  <c r="I84" i="43"/>
  <c r="G57" i="43"/>
  <c r="L58" i="43"/>
  <c r="F60" i="43"/>
  <c r="K61" i="43"/>
  <c r="E63" i="43"/>
  <c r="J64" i="43"/>
  <c r="D66" i="43"/>
  <c r="I67" i="43"/>
  <c r="N68" i="43"/>
  <c r="H70" i="43"/>
  <c r="M71" i="43"/>
  <c r="G73" i="43"/>
  <c r="L74" i="43"/>
  <c r="D57" i="43"/>
  <c r="I58" i="43"/>
  <c r="D61" i="43"/>
  <c r="M66" i="43"/>
  <c r="K72" i="43"/>
  <c r="N76" i="43"/>
  <c r="M79" i="43"/>
  <c r="L82" i="43"/>
  <c r="K85" i="43"/>
  <c r="I87" i="43"/>
  <c r="N88" i="43"/>
  <c r="H90" i="43"/>
  <c r="M91" i="43"/>
  <c r="G93" i="43"/>
  <c r="L94" i="43"/>
  <c r="F96" i="43"/>
  <c r="K97" i="43"/>
  <c r="E99" i="43"/>
  <c r="J100" i="43"/>
  <c r="D102" i="43"/>
  <c r="I103" i="43"/>
  <c r="N104" i="43"/>
  <c r="H106" i="43"/>
  <c r="M62" i="43"/>
  <c r="K68" i="43"/>
  <c r="I74" i="43"/>
  <c r="L77" i="43"/>
  <c r="K80" i="43"/>
  <c r="J83" i="43"/>
  <c r="H86" i="43"/>
  <c r="N87" i="43"/>
  <c r="H89" i="43"/>
  <c r="M90" i="43"/>
  <c r="G92" i="43"/>
  <c r="L93" i="43"/>
  <c r="F95" i="43"/>
  <c r="K96" i="43"/>
  <c r="E98" i="43"/>
  <c r="J99" i="43"/>
  <c r="D101" i="43"/>
  <c r="K163" i="43"/>
  <c r="K51" i="36" s="1"/>
  <c r="I153" i="43"/>
  <c r="G159" i="43"/>
  <c r="N160" i="43"/>
  <c r="J149" i="43"/>
  <c r="E156" i="43"/>
  <c r="N155" i="43"/>
  <c r="F152" i="43"/>
  <c r="D158" i="43"/>
  <c r="C148" i="43"/>
  <c r="E57" i="43"/>
  <c r="N62" i="43"/>
  <c r="L68" i="43"/>
  <c r="J74" i="43"/>
  <c r="H80" i="43"/>
  <c r="F86" i="43"/>
  <c r="F61" i="43"/>
  <c r="D67" i="43"/>
  <c r="M72" i="43"/>
  <c r="I76" i="43"/>
  <c r="H79" i="43"/>
  <c r="G82" i="43"/>
  <c r="F85" i="43"/>
  <c r="K57" i="43"/>
  <c r="E59" i="43"/>
  <c r="J60" i="43"/>
  <c r="D62" i="43"/>
  <c r="I63" i="43"/>
  <c r="N64" i="43"/>
  <c r="H66" i="43"/>
  <c r="M67" i="43"/>
  <c r="G69" i="43"/>
  <c r="L70" i="43"/>
  <c r="F72" i="43"/>
  <c r="K73" i="43"/>
  <c r="E75" i="43"/>
  <c r="H57" i="43"/>
  <c r="M58" i="43"/>
  <c r="I62" i="43"/>
  <c r="G68" i="43"/>
  <c r="E74" i="43"/>
  <c r="K77" i="43"/>
  <c r="J80" i="43"/>
  <c r="I83" i="43"/>
  <c r="G86" i="43"/>
  <c r="M87" i="43"/>
  <c r="G89" i="43"/>
  <c r="L90" i="43"/>
  <c r="F92" i="43"/>
  <c r="K93" i="43"/>
  <c r="E95" i="43"/>
  <c r="J96" i="43"/>
  <c r="D98" i="43"/>
  <c r="I99" i="43"/>
  <c r="N100" i="43"/>
  <c r="H102" i="43"/>
  <c r="M103" i="43"/>
  <c r="G105" i="43"/>
  <c r="L106" i="43"/>
  <c r="G64" i="43"/>
  <c r="E70" i="43"/>
  <c r="J75" i="43"/>
  <c r="I78" i="43"/>
  <c r="H81" i="43"/>
  <c r="G84" i="43"/>
  <c r="M86" i="43"/>
  <c r="G88" i="43"/>
  <c r="L89" i="43"/>
  <c r="F91" i="43"/>
  <c r="K92" i="43"/>
  <c r="E94" i="43"/>
  <c r="J95" i="43"/>
  <c r="D97" i="43"/>
  <c r="I98" i="43"/>
  <c r="N99" i="43"/>
  <c r="G60" i="43"/>
  <c r="E66" i="43"/>
  <c r="N71" i="43"/>
  <c r="J76" i="43"/>
  <c r="I79" i="43"/>
  <c r="H82" i="43"/>
  <c r="G85" i="43"/>
  <c r="G87" i="43"/>
  <c r="L88" i="43"/>
  <c r="F90" i="43"/>
  <c r="E149" i="43"/>
  <c r="N154" i="43"/>
  <c r="L160" i="43"/>
  <c r="E154" i="43"/>
  <c r="D151" i="43"/>
  <c r="D159" i="43"/>
  <c r="N159" i="43"/>
  <c r="K153" i="43"/>
  <c r="E150" i="43"/>
  <c r="C160" i="43"/>
  <c r="J58" i="43"/>
  <c r="H64" i="43"/>
  <c r="F70" i="43"/>
  <c r="D76" i="43"/>
  <c r="M81" i="43"/>
  <c r="M56" i="43"/>
  <c r="K62" i="43"/>
  <c r="I68" i="43"/>
  <c r="G74" i="43"/>
  <c r="F77" i="43"/>
  <c r="E80" i="43"/>
  <c r="D83" i="43"/>
  <c r="N85" i="43"/>
  <c r="D58" i="43"/>
  <c r="I59" i="43"/>
  <c r="N60" i="43"/>
  <c r="H62" i="43"/>
  <c r="M63" i="43"/>
  <c r="G65" i="43"/>
  <c r="L66" i="43"/>
  <c r="F68" i="43"/>
  <c r="K69" i="43"/>
  <c r="E71" i="43"/>
  <c r="J72" i="43"/>
  <c r="D74" i="43"/>
  <c r="G56" i="43"/>
  <c r="L57" i="43"/>
  <c r="F59" i="43"/>
  <c r="N63" i="43"/>
  <c r="L69" i="43"/>
  <c r="I75" i="43"/>
  <c r="H78" i="43"/>
  <c r="G81" i="43"/>
  <c r="F84" i="43"/>
  <c r="L86" i="43"/>
  <c r="F88" i="43"/>
  <c r="K89" i="43"/>
  <c r="E91" i="43"/>
  <c r="J92" i="43"/>
  <c r="D94" i="43"/>
  <c r="I95" i="43"/>
  <c r="N96" i="43"/>
  <c r="H98" i="43"/>
  <c r="M99" i="43"/>
  <c r="G101" i="43"/>
  <c r="L102" i="43"/>
  <c r="F104" i="43"/>
  <c r="K105" i="43"/>
  <c r="N59" i="43"/>
  <c r="L65" i="43"/>
  <c r="J71" i="43"/>
  <c r="G76" i="43"/>
  <c r="F79" i="43"/>
  <c r="E82" i="43"/>
  <c r="D85" i="43"/>
  <c r="F87" i="43"/>
  <c r="K88" i="43"/>
  <c r="E90" i="43"/>
  <c r="J91" i="43"/>
  <c r="D93" i="43"/>
  <c r="I94" i="43"/>
  <c r="N95" i="43"/>
  <c r="H97" i="43"/>
  <c r="M98" i="43"/>
  <c r="G100" i="43"/>
  <c r="L61" i="43"/>
  <c r="J67" i="43"/>
  <c r="H73" i="43"/>
  <c r="G77" i="43"/>
  <c r="H61" i="43"/>
  <c r="N79" i="43"/>
  <c r="D89" i="43"/>
  <c r="M94" i="43"/>
  <c r="K100" i="43"/>
  <c r="I70" i="43"/>
  <c r="L78" i="43"/>
  <c r="E83" i="43"/>
  <c r="I86" i="43"/>
  <c r="H88" i="43"/>
  <c r="J90" i="43"/>
  <c r="D92" i="43"/>
  <c r="I93" i="43"/>
  <c r="N94" i="43"/>
  <c r="H96" i="43"/>
  <c r="M97" i="43"/>
  <c r="G99" i="43"/>
  <c r="L100" i="43"/>
  <c r="F102" i="43"/>
  <c r="K103" i="43"/>
  <c r="E105" i="43"/>
  <c r="J106" i="43"/>
  <c r="K60" i="43"/>
  <c r="I66" i="43"/>
  <c r="G72" i="43"/>
  <c r="K76" i="43"/>
  <c r="J79" i="43"/>
  <c r="I82" i="43"/>
  <c r="H85" i="43"/>
  <c r="H87" i="43"/>
  <c r="M88" i="43"/>
  <c r="G90" i="43"/>
  <c r="L91" i="43"/>
  <c r="F93" i="43"/>
  <c r="K94" i="43"/>
  <c r="E96" i="43"/>
  <c r="J97" i="43"/>
  <c r="D99" i="43"/>
  <c r="I100" i="43"/>
  <c r="N101" i="43"/>
  <c r="H103" i="43"/>
  <c r="M104" i="43"/>
  <c r="G106" i="43"/>
  <c r="H101" i="43"/>
  <c r="E107" i="43"/>
  <c r="M108" i="43"/>
  <c r="G110" i="43"/>
  <c r="L111" i="43"/>
  <c r="F103" i="43"/>
  <c r="M107" i="43"/>
  <c r="G109" i="43"/>
  <c r="L110" i="43"/>
  <c r="F112" i="43"/>
  <c r="K113" i="43"/>
  <c r="E115" i="43"/>
  <c r="J116" i="43"/>
  <c r="I116" i="43"/>
  <c r="D105" i="43"/>
  <c r="G108" i="43"/>
  <c r="L109" i="43"/>
  <c r="F111" i="43"/>
  <c r="K112" i="43"/>
  <c r="E114" i="43"/>
  <c r="J115" i="43"/>
  <c r="J113" i="43"/>
  <c r="M106" i="43"/>
  <c r="L108" i="43"/>
  <c r="F110" i="43"/>
  <c r="K111" i="43"/>
  <c r="E113" i="43"/>
  <c r="J114" i="43"/>
  <c r="D116" i="43"/>
  <c r="I112" i="43"/>
  <c r="C65" i="43"/>
  <c r="C81" i="43"/>
  <c r="C97" i="43"/>
  <c r="C113" i="43"/>
  <c r="C76" i="43"/>
  <c r="C116" i="43"/>
  <c r="C70" i="43"/>
  <c r="C86" i="43"/>
  <c r="C102" i="43"/>
  <c r="F67" i="43"/>
  <c r="M82" i="43"/>
  <c r="I90" i="43"/>
  <c r="G96" i="43"/>
  <c r="F63" i="43"/>
  <c r="M74" i="43"/>
  <c r="F80" i="43"/>
  <c r="M83" i="43"/>
  <c r="N86" i="43"/>
  <c r="E89" i="43"/>
  <c r="N90" i="43"/>
  <c r="H92" i="43"/>
  <c r="M93" i="43"/>
  <c r="G95" i="43"/>
  <c r="L96" i="43"/>
  <c r="F98" i="43"/>
  <c r="K99" i="43"/>
  <c r="E101" i="43"/>
  <c r="J102" i="43"/>
  <c r="D104" i="43"/>
  <c r="I105" i="43"/>
  <c r="N106" i="43"/>
  <c r="E62" i="43"/>
  <c r="N67" i="43"/>
  <c r="L73" i="43"/>
  <c r="H77" i="43"/>
  <c r="G80" i="43"/>
  <c r="F83" i="43"/>
  <c r="E86" i="43"/>
  <c r="L87" i="43"/>
  <c r="F89" i="43"/>
  <c r="K90" i="43"/>
  <c r="E92" i="43"/>
  <c r="J93" i="43"/>
  <c r="D95" i="43"/>
  <c r="I96" i="43"/>
  <c r="N97" i="43"/>
  <c r="H99" i="43"/>
  <c r="M100" i="43"/>
  <c r="G102" i="43"/>
  <c r="L103" i="43"/>
  <c r="F105" i="43"/>
  <c r="K106" i="43"/>
  <c r="M102" i="43"/>
  <c r="L107" i="43"/>
  <c r="F109" i="43"/>
  <c r="K110" i="43"/>
  <c r="E112" i="43"/>
  <c r="K104" i="43"/>
  <c r="F108" i="43"/>
  <c r="K109" i="43"/>
  <c r="E111" i="43"/>
  <c r="J112" i="43"/>
  <c r="D114" i="43"/>
  <c r="I115" i="43"/>
  <c r="N116" i="43"/>
  <c r="F113" i="43"/>
  <c r="I106" i="43"/>
  <c r="K108" i="43"/>
  <c r="E110" i="43"/>
  <c r="J111" i="43"/>
  <c r="D113" i="43"/>
  <c r="I114" i="43"/>
  <c r="N115" i="43"/>
  <c r="N113" i="43"/>
  <c r="I102" i="43"/>
  <c r="J107" i="43"/>
  <c r="E109" i="43"/>
  <c r="J110" i="43"/>
  <c r="D112" i="43"/>
  <c r="I113" i="43"/>
  <c r="N114" i="43"/>
  <c r="H116" i="43"/>
  <c r="M112" i="43"/>
  <c r="C56" i="43"/>
  <c r="C69" i="43"/>
  <c r="C85" i="43"/>
  <c r="C101" i="43"/>
  <c r="C88" i="43"/>
  <c r="C58" i="43"/>
  <c r="C74" i="43"/>
  <c r="C90" i="43"/>
  <c r="D73" i="43"/>
  <c r="L85" i="43"/>
  <c r="N91" i="43"/>
  <c r="L97" i="43"/>
  <c r="K64" i="43"/>
  <c r="M75" i="43"/>
  <c r="N80" i="43"/>
  <c r="J84" i="43"/>
  <c r="K87" i="43"/>
  <c r="I89" i="43"/>
  <c r="G91" i="43"/>
  <c r="L92" i="43"/>
  <c r="F94" i="43"/>
  <c r="K95" i="43"/>
  <c r="E97" i="43"/>
  <c r="J98" i="43"/>
  <c r="D100" i="43"/>
  <c r="I101" i="43"/>
  <c r="N102" i="43"/>
  <c r="H104" i="43"/>
  <c r="M105" i="43"/>
  <c r="G107" i="43"/>
  <c r="J63" i="43"/>
  <c r="H69" i="43"/>
  <c r="F75" i="43"/>
  <c r="E78" i="43"/>
  <c r="D81" i="43"/>
  <c r="N83" i="43"/>
  <c r="K86" i="43"/>
  <c r="E88" i="43"/>
  <c r="J89" i="43"/>
  <c r="D91" i="43"/>
  <c r="I92" i="43"/>
  <c r="N93" i="43"/>
  <c r="H95" i="43"/>
  <c r="M96" i="43"/>
  <c r="G98" i="43"/>
  <c r="L99" i="43"/>
  <c r="F101" i="43"/>
  <c r="K102" i="43"/>
  <c r="E104" i="43"/>
  <c r="J105" i="43"/>
  <c r="D107" i="43"/>
  <c r="G104" i="43"/>
  <c r="E108" i="43"/>
  <c r="J109" i="43"/>
  <c r="D111" i="43"/>
  <c r="M116" i="43"/>
  <c r="E106" i="43"/>
  <c r="J108" i="43"/>
  <c r="D110" i="43"/>
  <c r="I111" i="43"/>
  <c r="N112" i="43"/>
  <c r="H114" i="43"/>
  <c r="M115" i="43"/>
  <c r="G114" i="43"/>
  <c r="E102" i="43"/>
  <c r="I107" i="43"/>
  <c r="D109" i="43"/>
  <c r="I110" i="43"/>
  <c r="N111" i="43"/>
  <c r="H113" i="43"/>
  <c r="M114" i="43"/>
  <c r="G116" i="43"/>
  <c r="H115" i="43"/>
  <c r="N103" i="43"/>
  <c r="D108" i="43"/>
  <c r="I109" i="43"/>
  <c r="N110" i="43"/>
  <c r="H112" i="43"/>
  <c r="M113" i="43"/>
  <c r="G115" i="43"/>
  <c r="L116" i="43"/>
  <c r="K114" i="43"/>
  <c r="C57" i="43"/>
  <c r="C73" i="43"/>
  <c r="C89" i="43"/>
  <c r="C105" i="43"/>
  <c r="C111" i="43"/>
  <c r="C96" i="43"/>
  <c r="C62" i="43"/>
  <c r="C78" i="43"/>
  <c r="C94" i="43"/>
  <c r="D77" i="43"/>
  <c r="J87" i="43"/>
  <c r="H93" i="43"/>
  <c r="F99" i="43"/>
  <c r="D69" i="43"/>
  <c r="D78" i="43"/>
  <c r="K81" i="43"/>
  <c r="D86" i="43"/>
  <c r="D88" i="43"/>
  <c r="M89" i="43"/>
  <c r="K91" i="43"/>
  <c r="E93" i="43"/>
  <c r="J94" i="43"/>
  <c r="D96" i="43"/>
  <c r="I97" i="43"/>
  <c r="N98" i="43"/>
  <c r="H100" i="43"/>
  <c r="M101" i="43"/>
  <c r="G103" i="43"/>
  <c r="L104" i="43"/>
  <c r="F106" i="43"/>
  <c r="K107" i="43"/>
  <c r="D65" i="43"/>
  <c r="M70" i="43"/>
  <c r="N75" i="43"/>
  <c r="M78" i="43"/>
  <c r="L81" i="43"/>
  <c r="K84" i="43"/>
  <c r="D87" i="43"/>
  <c r="I88" i="43"/>
  <c r="N89" i="43"/>
  <c r="H91" i="43"/>
  <c r="M92" i="43"/>
  <c r="G94" i="43"/>
  <c r="L95" i="43"/>
  <c r="F97" i="43"/>
  <c r="K98" i="43"/>
  <c r="E100" i="43"/>
  <c r="J101" i="43"/>
  <c r="D103" i="43"/>
  <c r="I104" i="43"/>
  <c r="N105" i="43"/>
  <c r="H107" i="43"/>
  <c r="L105" i="43"/>
  <c r="I108" i="43"/>
  <c r="N109" i="43"/>
  <c r="H111" i="43"/>
  <c r="L101" i="43"/>
  <c r="F107" i="43"/>
  <c r="N108" i="43"/>
  <c r="H110" i="43"/>
  <c r="M111" i="43"/>
  <c r="G113" i="43"/>
  <c r="L114" i="43"/>
  <c r="F116" i="43"/>
  <c r="D115" i="43"/>
  <c r="J103" i="43"/>
  <c r="N107" i="43"/>
  <c r="H109" i="43"/>
  <c r="M110" i="43"/>
  <c r="G112" i="43"/>
  <c r="L113" i="43"/>
  <c r="F115" i="43"/>
  <c r="K116" i="43"/>
  <c r="E116" i="43"/>
  <c r="H105" i="43"/>
  <c r="H108" i="43"/>
  <c r="M109" i="43"/>
  <c r="G111" i="43"/>
  <c r="L112" i="43"/>
  <c r="F114" i="43"/>
  <c r="K115" i="43"/>
  <c r="L115" i="43"/>
  <c r="C61" i="43"/>
  <c r="C77" i="43"/>
  <c r="C93" i="43"/>
  <c r="C109" i="43"/>
  <c r="C64" i="43"/>
  <c r="C108" i="43"/>
  <c r="C66" i="43"/>
  <c r="C82" i="43"/>
  <c r="C114" i="43"/>
  <c r="C68" i="43"/>
  <c r="C59" i="43"/>
  <c r="C75" i="43"/>
  <c r="C91" i="43"/>
  <c r="C72" i="43"/>
  <c r="D45" i="43"/>
  <c r="I46" i="43"/>
  <c r="N47" i="43"/>
  <c r="H49" i="43"/>
  <c r="M50" i="43"/>
  <c r="F49" i="43"/>
  <c r="E45" i="43"/>
  <c r="J46" i="43"/>
  <c r="D48" i="43"/>
  <c r="I49" i="43"/>
  <c r="N50" i="43"/>
  <c r="J49" i="43"/>
  <c r="F45" i="43"/>
  <c r="K46" i="43"/>
  <c r="E48" i="43"/>
  <c r="D46" i="43"/>
  <c r="I47" i="43"/>
  <c r="N48" i="43"/>
  <c r="H50" i="43"/>
  <c r="M52" i="43"/>
  <c r="C49" i="43"/>
  <c r="C39" i="43"/>
  <c r="D27" i="43"/>
  <c r="I28" i="43"/>
  <c r="M27" i="43"/>
  <c r="K27" i="43"/>
  <c r="H28" i="43"/>
  <c r="G28" i="43"/>
  <c r="D20" i="43"/>
  <c r="N21" i="43"/>
  <c r="H23" i="43"/>
  <c r="M24" i="43"/>
  <c r="E23" i="43"/>
  <c r="J24" i="43"/>
  <c r="E20" i="43"/>
  <c r="F20" i="43"/>
  <c r="E22" i="43"/>
  <c r="J23" i="43"/>
  <c r="G23" i="43"/>
  <c r="K20" i="43"/>
  <c r="E21" i="43"/>
  <c r="J22" i="43"/>
  <c r="C24" i="43"/>
  <c r="D11" i="43"/>
  <c r="I12" i="43"/>
  <c r="I36" i="36" s="1"/>
  <c r="N13" i="43"/>
  <c r="N37" i="36" s="1"/>
  <c r="E11" i="43"/>
  <c r="E35" i="36" s="1"/>
  <c r="J12" i="43"/>
  <c r="J36" i="36" s="1"/>
  <c r="D14" i="43"/>
  <c r="D38" i="36" s="1"/>
  <c r="G12" i="43"/>
  <c r="G36" i="36" s="1"/>
  <c r="L13" i="43"/>
  <c r="L37" i="36" s="1"/>
  <c r="L14" i="43"/>
  <c r="L38" i="36" s="1"/>
  <c r="H12" i="43"/>
  <c r="H36" i="36" s="1"/>
  <c r="M13" i="43"/>
  <c r="M37" i="36" s="1"/>
  <c r="C11" i="43"/>
  <c r="C98" i="43"/>
  <c r="C95" i="43"/>
  <c r="C80" i="43"/>
  <c r="C63" i="43"/>
  <c r="C79" i="43"/>
  <c r="C99" i="43"/>
  <c r="C84" i="43"/>
  <c r="H45" i="43"/>
  <c r="M46" i="43"/>
  <c r="G48" i="43"/>
  <c r="L49" i="43"/>
  <c r="F52" i="43"/>
  <c r="G50" i="43"/>
  <c r="I45" i="43"/>
  <c r="N46" i="43"/>
  <c r="H48" i="43"/>
  <c r="M49" i="43"/>
  <c r="G52" i="43"/>
  <c r="N49" i="43"/>
  <c r="J45" i="43"/>
  <c r="D47" i="43"/>
  <c r="I48" i="43"/>
  <c r="H46" i="43"/>
  <c r="M47" i="43"/>
  <c r="G49" i="43"/>
  <c r="L50" i="43"/>
  <c r="C45" i="43"/>
  <c r="C47" i="43"/>
  <c r="C106" i="43"/>
  <c r="C103" i="43"/>
  <c r="C92" i="43"/>
  <c r="C67" i="43"/>
  <c r="C83" i="43"/>
  <c r="C107" i="43"/>
  <c r="C100" i="43"/>
  <c r="L45" i="43"/>
  <c r="F47" i="43"/>
  <c r="K48" i="43"/>
  <c r="E50" i="43"/>
  <c r="J52" i="43"/>
  <c r="K50" i="43"/>
  <c r="M45" i="43"/>
  <c r="G47" i="43"/>
  <c r="L48" i="43"/>
  <c r="F50" i="43"/>
  <c r="K52" i="43"/>
  <c r="D52" i="43"/>
  <c r="N45" i="43"/>
  <c r="H47" i="43"/>
  <c r="G45" i="43"/>
  <c r="L46" i="43"/>
  <c r="F48" i="43"/>
  <c r="K49" i="43"/>
  <c r="E52" i="43"/>
  <c r="C110" i="43"/>
  <c r="C115" i="43"/>
  <c r="C104" i="43"/>
  <c r="C71" i="43"/>
  <c r="C87" i="43"/>
  <c r="C60" i="43"/>
  <c r="C112" i="43"/>
  <c r="E46" i="43"/>
  <c r="J47" i="43"/>
  <c r="D49" i="43"/>
  <c r="I50" i="43"/>
  <c r="N52" i="43"/>
  <c r="H52" i="43"/>
  <c r="F46" i="43"/>
  <c r="K47" i="43"/>
  <c r="E49" i="43"/>
  <c r="J50" i="43"/>
  <c r="M48" i="43"/>
  <c r="L52" i="43"/>
  <c r="G46" i="43"/>
  <c r="L47" i="43"/>
  <c r="K45" i="43"/>
  <c r="E47" i="43"/>
  <c r="J48" i="43"/>
  <c r="D50" i="43"/>
  <c r="I52" i="43"/>
  <c r="C50" i="43"/>
  <c r="C48" i="43"/>
  <c r="C42" i="43"/>
  <c r="E28" i="43"/>
  <c r="I27" i="43"/>
  <c r="G27" i="43"/>
  <c r="K28" i="43"/>
  <c r="J27" i="43"/>
  <c r="C28" i="43"/>
  <c r="J21" i="43"/>
  <c r="D23" i="43"/>
  <c r="I24" i="43"/>
  <c r="L22" i="43"/>
  <c r="F24" i="43"/>
  <c r="L24" i="43"/>
  <c r="K21" i="43"/>
  <c r="L21" i="43"/>
  <c r="F23" i="43"/>
  <c r="K24" i="43"/>
  <c r="G20" i="43"/>
  <c r="F22" i="43"/>
  <c r="C23" i="43"/>
  <c r="E12" i="43"/>
  <c r="E36" i="36" s="1"/>
  <c r="J13" i="43"/>
  <c r="J37" i="36" s="1"/>
  <c r="H14" i="43"/>
  <c r="H38" i="36" s="1"/>
  <c r="F12" i="43"/>
  <c r="F36" i="36" s="1"/>
  <c r="K13" i="43"/>
  <c r="K37" i="36" s="1"/>
  <c r="H13" i="43"/>
  <c r="H37" i="36" s="1"/>
  <c r="M14" i="43"/>
  <c r="M38" i="36" s="1"/>
  <c r="D12" i="43"/>
  <c r="D36" i="36" s="1"/>
  <c r="I13" i="43"/>
  <c r="I37" i="36" s="1"/>
  <c r="N14" i="43"/>
  <c r="N38" i="36" s="1"/>
  <c r="C14" i="43"/>
  <c r="C46" i="43"/>
  <c r="H27" i="43"/>
  <c r="F28" i="43"/>
  <c r="L28" i="43"/>
  <c r="H20" i="43"/>
  <c r="G22" i="43"/>
  <c r="D22" i="43"/>
  <c r="N24" i="43"/>
  <c r="D21" i="43"/>
  <c r="N23" i="43"/>
  <c r="N22" i="43"/>
  <c r="H11" i="43"/>
  <c r="H35" i="36" s="1"/>
  <c r="G14" i="43"/>
  <c r="G38" i="36" s="1"/>
  <c r="N12" i="43"/>
  <c r="N36" i="36" s="1"/>
  <c r="K12" i="43"/>
  <c r="K36" i="36" s="1"/>
  <c r="G11" i="43"/>
  <c r="G35" i="36" s="1"/>
  <c r="F14" i="43"/>
  <c r="F38" i="36" s="1"/>
  <c r="C52" i="43"/>
  <c r="L27" i="43"/>
  <c r="N28" i="43"/>
  <c r="F27" i="43"/>
  <c r="L20" i="43"/>
  <c r="K22" i="43"/>
  <c r="H22" i="43"/>
  <c r="H24" i="43"/>
  <c r="G21" i="43"/>
  <c r="H21" i="43"/>
  <c r="G24" i="43"/>
  <c r="C20" i="43"/>
  <c r="L11" i="43"/>
  <c r="L35" i="36" s="1"/>
  <c r="K14" i="43"/>
  <c r="K38" i="36" s="1"/>
  <c r="G13" i="43"/>
  <c r="G37" i="36" s="1"/>
  <c r="D13" i="43"/>
  <c r="D37" i="36" s="1"/>
  <c r="K11" i="43"/>
  <c r="K35" i="36" s="1"/>
  <c r="J14" i="43"/>
  <c r="J38" i="36" s="1"/>
  <c r="C40" i="43"/>
  <c r="M28" i="43"/>
  <c r="J28" i="43"/>
  <c r="D28" i="43"/>
  <c r="L23" i="43"/>
  <c r="I23" i="43"/>
  <c r="I20" i="43"/>
  <c r="J20" i="43"/>
  <c r="I22" i="43"/>
  <c r="K23" i="43"/>
  <c r="I21" i="43"/>
  <c r="C21" i="43"/>
  <c r="M12" i="43"/>
  <c r="M36" i="36" s="1"/>
  <c r="I11" i="43"/>
  <c r="I35" i="36" s="1"/>
  <c r="F11" i="43"/>
  <c r="F35" i="36" s="1"/>
  <c r="E14" i="43"/>
  <c r="E38" i="36" s="1"/>
  <c r="L12" i="43"/>
  <c r="L36" i="36" s="1"/>
  <c r="C12" i="43"/>
  <c r="C36" i="36" s="1"/>
  <c r="C41" i="43"/>
  <c r="E27" i="43"/>
  <c r="N27" i="43"/>
  <c r="C27" i="43"/>
  <c r="F21" i="43"/>
  <c r="E24" i="43"/>
  <c r="M23" i="43"/>
  <c r="M20" i="43"/>
  <c r="N20" i="43"/>
  <c r="M22" i="43"/>
  <c r="D24" i="43"/>
  <c r="M21" i="43"/>
  <c r="C22" i="43"/>
  <c r="F13" i="43"/>
  <c r="F37" i="36" s="1"/>
  <c r="M11" i="43"/>
  <c r="M35" i="36" s="1"/>
  <c r="J11" i="43"/>
  <c r="J35" i="36" s="1"/>
  <c r="I14" i="43"/>
  <c r="I38" i="36" s="1"/>
  <c r="E13" i="43"/>
  <c r="E37" i="36" s="1"/>
  <c r="C13" i="43"/>
  <c r="C37" i="36" s="1"/>
  <c r="N166" i="38"/>
  <c r="J166" i="38"/>
  <c r="F166" i="38"/>
  <c r="H166" i="38"/>
  <c r="M166" i="38"/>
  <c r="I166" i="38"/>
  <c r="E166" i="38"/>
  <c r="D166" i="38"/>
  <c r="K166" i="38"/>
  <c r="G166" i="38"/>
  <c r="L166" i="38"/>
  <c r="C166" i="38"/>
  <c r="D151" i="38"/>
  <c r="H151" i="38"/>
  <c r="L151" i="38"/>
  <c r="E152" i="38"/>
  <c r="I152" i="38"/>
  <c r="M152" i="38"/>
  <c r="F153" i="38"/>
  <c r="J153" i="38"/>
  <c r="N153" i="38"/>
  <c r="G154" i="38"/>
  <c r="K154" i="38"/>
  <c r="D155" i="38"/>
  <c r="H155" i="38"/>
  <c r="L155" i="38"/>
  <c r="E156" i="38"/>
  <c r="I156" i="38"/>
  <c r="M156" i="38"/>
  <c r="F157" i="38"/>
  <c r="J157" i="38"/>
  <c r="N157" i="38"/>
  <c r="G158" i="38"/>
  <c r="K158" i="38"/>
  <c r="D159" i="38"/>
  <c r="H159" i="38"/>
  <c r="L159" i="38"/>
  <c r="E160" i="38"/>
  <c r="I160" i="38"/>
  <c r="M160" i="38"/>
  <c r="F161" i="38"/>
  <c r="J161" i="38"/>
  <c r="N161" i="38"/>
  <c r="G162" i="38"/>
  <c r="K162" i="38"/>
  <c r="D163" i="38"/>
  <c r="H163" i="38"/>
  <c r="L163" i="38"/>
  <c r="J155" i="38"/>
  <c r="N163" i="38"/>
  <c r="D152" i="38"/>
  <c r="M153" i="38"/>
  <c r="N154" i="38"/>
  <c r="H156" i="38"/>
  <c r="M157" i="38"/>
  <c r="N158" i="38"/>
  <c r="K159" i="38"/>
  <c r="E161" i="38"/>
  <c r="F162" i="38"/>
  <c r="N162" i="38"/>
  <c r="K163" i="38"/>
  <c r="E151" i="38"/>
  <c r="I151" i="38"/>
  <c r="M151" i="38"/>
  <c r="F152" i="38"/>
  <c r="J152" i="38"/>
  <c r="N152" i="38"/>
  <c r="G153" i="38"/>
  <c r="K153" i="38"/>
  <c r="D154" i="38"/>
  <c r="H154" i="38"/>
  <c r="L154" i="38"/>
  <c r="E155" i="38"/>
  <c r="I155" i="38"/>
  <c r="M155" i="38"/>
  <c r="F156" i="38"/>
  <c r="J156" i="38"/>
  <c r="N156" i="38"/>
  <c r="G157" i="38"/>
  <c r="K157" i="38"/>
  <c r="D158" i="38"/>
  <c r="H158" i="38"/>
  <c r="L158" i="38"/>
  <c r="E159" i="38"/>
  <c r="I159" i="38"/>
  <c r="M159" i="38"/>
  <c r="F160" i="38"/>
  <c r="J160" i="38"/>
  <c r="N160" i="38"/>
  <c r="G161" i="38"/>
  <c r="K161" i="38"/>
  <c r="D162" i="38"/>
  <c r="H162" i="38"/>
  <c r="L162" i="38"/>
  <c r="E163" i="38"/>
  <c r="I163" i="38"/>
  <c r="M163" i="38"/>
  <c r="I154" i="38"/>
  <c r="M154" i="38"/>
  <c r="G156" i="38"/>
  <c r="K156" i="38"/>
  <c r="L157" i="38"/>
  <c r="I158" i="38"/>
  <c r="M158" i="38"/>
  <c r="J159" i="38"/>
  <c r="K160" i="38"/>
  <c r="H161" i="38"/>
  <c r="L161" i="38"/>
  <c r="I162" i="38"/>
  <c r="J163" i="38"/>
  <c r="G151" i="38"/>
  <c r="H152" i="38"/>
  <c r="E153" i="38"/>
  <c r="J154" i="38"/>
  <c r="K155" i="38"/>
  <c r="L156" i="38"/>
  <c r="I157" i="38"/>
  <c r="J158" i="38"/>
  <c r="D160" i="38"/>
  <c r="L160" i="38"/>
  <c r="M161" i="38"/>
  <c r="G163" i="38"/>
  <c r="F151" i="38"/>
  <c r="J151" i="38"/>
  <c r="N151" i="38"/>
  <c r="G152" i="38"/>
  <c r="K152" i="38"/>
  <c r="D153" i="38"/>
  <c r="H153" i="38"/>
  <c r="L153" i="38"/>
  <c r="E154" i="38"/>
  <c r="F155" i="38"/>
  <c r="N155" i="38"/>
  <c r="D157" i="38"/>
  <c r="H157" i="38"/>
  <c r="E158" i="38"/>
  <c r="F159" i="38"/>
  <c r="N159" i="38"/>
  <c r="G160" i="38"/>
  <c r="D161" i="38"/>
  <c r="E162" i="38"/>
  <c r="M162" i="38"/>
  <c r="F163" i="38"/>
  <c r="K151" i="38"/>
  <c r="L152" i="38"/>
  <c r="I153" i="38"/>
  <c r="F154" i="38"/>
  <c r="G155" i="38"/>
  <c r="D156" i="38"/>
  <c r="E157" i="38"/>
  <c r="F158" i="38"/>
  <c r="G159" i="38"/>
  <c r="H160" i="38"/>
  <c r="I161" i="38"/>
  <c r="J162" i="38"/>
  <c r="C151" i="38"/>
  <c r="C152" i="38"/>
  <c r="C156" i="38"/>
  <c r="C160" i="38"/>
  <c r="C162" i="38"/>
  <c r="C153" i="38"/>
  <c r="C157" i="38"/>
  <c r="C161" i="38"/>
  <c r="C154" i="38"/>
  <c r="C155" i="38"/>
  <c r="C159" i="38"/>
  <c r="C163" i="38"/>
  <c r="C158" i="38"/>
  <c r="D59" i="38"/>
  <c r="H59" i="38"/>
  <c r="L59" i="38"/>
  <c r="E60" i="38"/>
  <c r="I60" i="38"/>
  <c r="M60" i="38"/>
  <c r="F61" i="38"/>
  <c r="J61" i="38"/>
  <c r="N61"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I76" i="38"/>
  <c r="M76" i="38"/>
  <c r="F77" i="38"/>
  <c r="J77" i="38"/>
  <c r="N77" i="38"/>
  <c r="G78" i="38"/>
  <c r="K78" i="38"/>
  <c r="D79" i="38"/>
  <c r="H79" i="38"/>
  <c r="L79" i="38"/>
  <c r="E80" i="38"/>
  <c r="I80" i="38"/>
  <c r="M80" i="38"/>
  <c r="F81" i="38"/>
  <c r="J81" i="38"/>
  <c r="N81" i="38"/>
  <c r="G82" i="38"/>
  <c r="K82" i="38"/>
  <c r="D83" i="38"/>
  <c r="H83" i="38"/>
  <c r="L83" i="38"/>
  <c r="E84" i="38"/>
  <c r="I84" i="38"/>
  <c r="M84" i="38"/>
  <c r="F85" i="38"/>
  <c r="J85" i="38"/>
  <c r="N85" i="38"/>
  <c r="G86" i="38"/>
  <c r="K86" i="38"/>
  <c r="D87" i="38"/>
  <c r="H87" i="38"/>
  <c r="E59" i="38"/>
  <c r="I59" i="38"/>
  <c r="M59" i="38"/>
  <c r="F60" i="38"/>
  <c r="J60" i="38"/>
  <c r="N60" i="38"/>
  <c r="G61" i="38"/>
  <c r="K61"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F59" i="38"/>
  <c r="J59" i="38"/>
  <c r="N59" i="38"/>
  <c r="G60" i="38"/>
  <c r="K60" i="38"/>
  <c r="D61" i="38"/>
  <c r="H61" i="38"/>
  <c r="L61"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G59" i="38"/>
  <c r="K59" i="38"/>
  <c r="D60" i="38"/>
  <c r="H60" i="38"/>
  <c r="L60" i="38"/>
  <c r="E61" i="38"/>
  <c r="I61" i="38"/>
  <c r="M6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J74" i="38"/>
  <c r="D76" i="38"/>
  <c r="I77" i="38"/>
  <c r="N78" i="38"/>
  <c r="H80" i="38"/>
  <c r="M81" i="38"/>
  <c r="G83" i="38"/>
  <c r="L84" i="38"/>
  <c r="F86" i="38"/>
  <c r="K87" i="38"/>
  <c r="H88" i="38"/>
  <c r="E89" i="38"/>
  <c r="J89" i="38"/>
  <c r="D90" i="38"/>
  <c r="H90" i="38"/>
  <c r="L90" i="38"/>
  <c r="E91" i="38"/>
  <c r="I91" i="38"/>
  <c r="M91" i="38"/>
  <c r="F92" i="38"/>
  <c r="J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I73" i="38"/>
  <c r="N74" i="38"/>
  <c r="H76" i="38"/>
  <c r="M77" i="38"/>
  <c r="G79" i="38"/>
  <c r="L80" i="38"/>
  <c r="F82" i="38"/>
  <c r="K83" i="38"/>
  <c r="E85" i="38"/>
  <c r="J86" i="38"/>
  <c r="L87" i="38"/>
  <c r="I88" i="38"/>
  <c r="F89" i="38"/>
  <c r="K89" i="38"/>
  <c r="E90" i="38"/>
  <c r="I90" i="38"/>
  <c r="M90" i="38"/>
  <c r="F91" i="38"/>
  <c r="J91" i="38"/>
  <c r="N91" i="38"/>
  <c r="G92" i="38"/>
  <c r="K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M73" i="38"/>
  <c r="G75" i="38"/>
  <c r="L76" i="38"/>
  <c r="F78" i="38"/>
  <c r="K79" i="38"/>
  <c r="E81" i="38"/>
  <c r="J82" i="38"/>
  <c r="D84" i="38"/>
  <c r="I85" i="38"/>
  <c r="N86" i="38"/>
  <c r="D88" i="38"/>
  <c r="L88" i="38"/>
  <c r="G89" i="38"/>
  <c r="M89" i="38"/>
  <c r="F90" i="38"/>
  <c r="J90" i="38"/>
  <c r="N90" i="38"/>
  <c r="G91" i="38"/>
  <c r="K91" i="38"/>
  <c r="D92" i="38"/>
  <c r="H92" i="38"/>
  <c r="L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N114" i="38"/>
  <c r="G115" i="38"/>
  <c r="F74" i="38"/>
  <c r="K75" i="38"/>
  <c r="E77" i="38"/>
  <c r="J78" i="38"/>
  <c r="D80" i="38"/>
  <c r="I81" i="38"/>
  <c r="N82" i="38"/>
  <c r="H84" i="38"/>
  <c r="M85" i="38"/>
  <c r="G87" i="38"/>
  <c r="E88" i="38"/>
  <c r="M88" i="38"/>
  <c r="I89" i="38"/>
  <c r="N89" i="38"/>
  <c r="G90" i="38"/>
  <c r="K90" i="38"/>
  <c r="D91" i="38"/>
  <c r="H91" i="38"/>
  <c r="L91" i="38"/>
  <c r="E92" i="38"/>
  <c r="I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N111" i="38"/>
  <c r="H113" i="38"/>
  <c r="L114" i="38"/>
  <c r="I115" i="38"/>
  <c r="N115" i="38"/>
  <c r="G116" i="38"/>
  <c r="K116" i="38"/>
  <c r="D117" i="38"/>
  <c r="H117" i="38"/>
  <c r="L117" i="38"/>
  <c r="E118" i="38"/>
  <c r="I118" i="38"/>
  <c r="M118" i="38"/>
  <c r="F119" i="38"/>
  <c r="J119" i="38"/>
  <c r="N119" i="38"/>
  <c r="G112" i="38"/>
  <c r="L113" i="38"/>
  <c r="M114" i="38"/>
  <c r="J115" i="38"/>
  <c r="D116" i="38"/>
  <c r="H116" i="38"/>
  <c r="L116" i="38"/>
  <c r="E117" i="38"/>
  <c r="I117" i="38"/>
  <c r="M117" i="38"/>
  <c r="F118" i="38"/>
  <c r="J118" i="38"/>
  <c r="N118" i="38"/>
  <c r="G119" i="38"/>
  <c r="K119" i="38"/>
  <c r="K112" i="38"/>
  <c r="E114" i="38"/>
  <c r="E115" i="38"/>
  <c r="K115" i="38"/>
  <c r="E116" i="38"/>
  <c r="I116" i="38"/>
  <c r="M116" i="38"/>
  <c r="F117" i="38"/>
  <c r="J117" i="38"/>
  <c r="N117" i="38"/>
  <c r="G118" i="38"/>
  <c r="K118" i="38"/>
  <c r="D119" i="38"/>
  <c r="H119" i="38"/>
  <c r="L119" i="38"/>
  <c r="D113" i="38"/>
  <c r="I114" i="38"/>
  <c r="F115" i="38"/>
  <c r="M115" i="38"/>
  <c r="F116" i="38"/>
  <c r="J116" i="38"/>
  <c r="N116" i="38"/>
  <c r="G117" i="38"/>
  <c r="K117" i="38"/>
  <c r="D118" i="38"/>
  <c r="H118" i="38"/>
  <c r="L118" i="38"/>
  <c r="E119" i="38"/>
  <c r="I119" i="38"/>
  <c r="M119" i="38"/>
  <c r="C59" i="38"/>
  <c r="C60" i="38"/>
  <c r="C64" i="38"/>
  <c r="C68" i="38"/>
  <c r="C72" i="38"/>
  <c r="C76" i="38"/>
  <c r="C80" i="38"/>
  <c r="C84" i="38"/>
  <c r="C88" i="38"/>
  <c r="C92" i="38"/>
  <c r="C96" i="38"/>
  <c r="C100" i="38"/>
  <c r="C104" i="38"/>
  <c r="C108" i="38"/>
  <c r="C112" i="38"/>
  <c r="C116" i="38"/>
  <c r="C61" i="38"/>
  <c r="C65" i="38"/>
  <c r="C69" i="38"/>
  <c r="C73" i="38"/>
  <c r="C77" i="38"/>
  <c r="C81" i="38"/>
  <c r="C85" i="38"/>
  <c r="C89" i="38"/>
  <c r="C93" i="38"/>
  <c r="C97" i="38"/>
  <c r="C101" i="38"/>
  <c r="C105" i="38"/>
  <c r="C109" i="38"/>
  <c r="C113" i="38"/>
  <c r="C117" i="38"/>
  <c r="C62" i="38"/>
  <c r="C66" i="38"/>
  <c r="C78" i="38"/>
  <c r="C90" i="38"/>
  <c r="C102" i="38"/>
  <c r="C63" i="38"/>
  <c r="C75" i="38"/>
  <c r="C87" i="38"/>
  <c r="C99" i="38"/>
  <c r="C111" i="38"/>
  <c r="C74" i="38"/>
  <c r="C82" i="38"/>
  <c r="C94" i="38"/>
  <c r="C106" i="38"/>
  <c r="C114" i="38"/>
  <c r="C67" i="38"/>
  <c r="C83" i="38"/>
  <c r="C91" i="38"/>
  <c r="C103" i="38"/>
  <c r="C115" i="38"/>
  <c r="C70" i="38"/>
  <c r="C86" i="38"/>
  <c r="C98" i="38"/>
  <c r="C110" i="38"/>
  <c r="C118" i="38"/>
  <c r="C71" i="38"/>
  <c r="C79" i="38"/>
  <c r="C95" i="38"/>
  <c r="C107" i="38"/>
  <c r="C119" i="38"/>
  <c r="D48" i="38"/>
  <c r="H48" i="38"/>
  <c r="L48" i="38"/>
  <c r="E49" i="38"/>
  <c r="I49" i="38"/>
  <c r="M49" i="38"/>
  <c r="F50" i="38"/>
  <c r="J50" i="38"/>
  <c r="N50" i="38"/>
  <c r="G51" i="38"/>
  <c r="K51" i="38"/>
  <c r="D52" i="38"/>
  <c r="H52" i="38"/>
  <c r="L52" i="38"/>
  <c r="E53" i="38"/>
  <c r="I53" i="38"/>
  <c r="M53" i="38"/>
  <c r="F55" i="38"/>
  <c r="J55" i="38"/>
  <c r="N55" i="38"/>
  <c r="E48" i="38"/>
  <c r="I48" i="38"/>
  <c r="M48" i="38"/>
  <c r="F49" i="38"/>
  <c r="J49" i="38"/>
  <c r="N49" i="38"/>
  <c r="G50" i="38"/>
  <c r="K50" i="38"/>
  <c r="D51" i="38"/>
  <c r="H51" i="38"/>
  <c r="L51" i="38"/>
  <c r="E52" i="38"/>
  <c r="I52" i="38"/>
  <c r="M52" i="38"/>
  <c r="F53" i="38"/>
  <c r="J53" i="38"/>
  <c r="N53" i="38"/>
  <c r="G55" i="38"/>
  <c r="K55" i="38"/>
  <c r="F48" i="38"/>
  <c r="J48" i="38"/>
  <c r="N48" i="38"/>
  <c r="G49" i="38"/>
  <c r="K49" i="38"/>
  <c r="D50" i="38"/>
  <c r="H50" i="38"/>
  <c r="L50" i="38"/>
  <c r="E51" i="38"/>
  <c r="I51" i="38"/>
  <c r="M51" i="38"/>
  <c r="F52" i="38"/>
  <c r="J52" i="38"/>
  <c r="N52" i="38"/>
  <c r="G53" i="38"/>
  <c r="K53" i="38"/>
  <c r="D55" i="38"/>
  <c r="H55" i="38"/>
  <c r="L55" i="38"/>
  <c r="M55" i="38"/>
  <c r="G48" i="38"/>
  <c r="K48" i="38"/>
  <c r="D49" i="38"/>
  <c r="H49" i="38"/>
  <c r="L49" i="38"/>
  <c r="E50" i="38"/>
  <c r="I50" i="38"/>
  <c r="M50" i="38"/>
  <c r="F51" i="38"/>
  <c r="J51" i="38"/>
  <c r="N51" i="38"/>
  <c r="G52" i="38"/>
  <c r="K52" i="38"/>
  <c r="D53" i="38"/>
  <c r="H53" i="38"/>
  <c r="L53" i="38"/>
  <c r="E55" i="38"/>
  <c r="I55" i="38"/>
  <c r="C49" i="38"/>
  <c r="C53" i="38"/>
  <c r="C50" i="38"/>
  <c r="C55" i="38"/>
  <c r="C52" i="38"/>
  <c r="C51" i="38"/>
  <c r="C48" i="38"/>
  <c r="D34" i="38"/>
  <c r="D30" i="21" s="1"/>
  <c r="H34" i="38"/>
  <c r="H30" i="21" s="1"/>
  <c r="L34" i="38"/>
  <c r="E35" i="38"/>
  <c r="E31" i="21" s="1"/>
  <c r="I35" i="38"/>
  <c r="I31" i="21" s="1"/>
  <c r="M35" i="38"/>
  <c r="M31" i="21" s="1"/>
  <c r="F36" i="38"/>
  <c r="F32" i="21" s="1"/>
  <c r="J36" i="38"/>
  <c r="J32" i="21" s="1"/>
  <c r="N36" i="38"/>
  <c r="N32" i="21" s="1"/>
  <c r="G37" i="38"/>
  <c r="G33" i="21" s="1"/>
  <c r="K37" i="38"/>
  <c r="K33" i="21" s="1"/>
  <c r="D38" i="38"/>
  <c r="D34" i="21" s="1"/>
  <c r="H38" i="38"/>
  <c r="H34" i="21" s="1"/>
  <c r="L38" i="38"/>
  <c r="L34" i="21" s="1"/>
  <c r="E39" i="38"/>
  <c r="E35" i="21" s="1"/>
  <c r="I39" i="38"/>
  <c r="I35" i="21" s="1"/>
  <c r="M39" i="38"/>
  <c r="M35" i="21" s="1"/>
  <c r="F40" i="38"/>
  <c r="F36" i="21" s="1"/>
  <c r="J40" i="38"/>
  <c r="J36" i="21" s="1"/>
  <c r="N40" i="38"/>
  <c r="N36" i="21" s="1"/>
  <c r="G41" i="38"/>
  <c r="G37" i="21" s="1"/>
  <c r="K41" i="38"/>
  <c r="K37" i="21" s="1"/>
  <c r="D42" i="38"/>
  <c r="H42" i="38"/>
  <c r="L42" i="38"/>
  <c r="E43" i="38"/>
  <c r="I43" i="38"/>
  <c r="M43" i="38"/>
  <c r="F44" i="38"/>
  <c r="J44" i="38"/>
  <c r="N44" i="38"/>
  <c r="G45" i="38"/>
  <c r="K45" i="38"/>
  <c r="J42" i="38"/>
  <c r="K43" i="38"/>
  <c r="L44" i="38"/>
  <c r="M45" i="38"/>
  <c r="F41" i="38"/>
  <c r="F37" i="21" s="1"/>
  <c r="K42" i="38"/>
  <c r="E44" i="38"/>
  <c r="F45" i="38"/>
  <c r="N45" i="38"/>
  <c r="E34" i="38"/>
  <c r="E30" i="21" s="1"/>
  <c r="I34" i="38"/>
  <c r="M34" i="38"/>
  <c r="F35" i="38"/>
  <c r="F31" i="21" s="1"/>
  <c r="J35" i="38"/>
  <c r="J31" i="21" s="1"/>
  <c r="N35" i="38"/>
  <c r="N31" i="21" s="1"/>
  <c r="G36" i="38"/>
  <c r="G32" i="21" s="1"/>
  <c r="K36" i="38"/>
  <c r="K32" i="21" s="1"/>
  <c r="D37" i="38"/>
  <c r="D33" i="21" s="1"/>
  <c r="H37" i="38"/>
  <c r="H33" i="21" s="1"/>
  <c r="L37" i="38"/>
  <c r="L33" i="21" s="1"/>
  <c r="E38" i="38"/>
  <c r="E34" i="21" s="1"/>
  <c r="I38" i="38"/>
  <c r="I34" i="21" s="1"/>
  <c r="M38" i="38"/>
  <c r="M34" i="21" s="1"/>
  <c r="F39" i="38"/>
  <c r="F35" i="21" s="1"/>
  <c r="J39" i="38"/>
  <c r="J35" i="21" s="1"/>
  <c r="N39" i="38"/>
  <c r="N35" i="21" s="1"/>
  <c r="G40" i="38"/>
  <c r="G36" i="21" s="1"/>
  <c r="K40" i="38"/>
  <c r="K36" i="21" s="1"/>
  <c r="D41" i="38"/>
  <c r="D37" i="21" s="1"/>
  <c r="H41" i="38"/>
  <c r="H37" i="21" s="1"/>
  <c r="L41" i="38"/>
  <c r="L37" i="21" s="1"/>
  <c r="E42" i="38"/>
  <c r="I42" i="38"/>
  <c r="M42" i="38"/>
  <c r="F43" i="38"/>
  <c r="J43" i="38"/>
  <c r="N43" i="38"/>
  <c r="G44" i="38"/>
  <c r="K44" i="38"/>
  <c r="D45" i="38"/>
  <c r="H45" i="38"/>
  <c r="L45" i="38"/>
  <c r="F42" i="38"/>
  <c r="N42" i="38"/>
  <c r="D44" i="38"/>
  <c r="I45" i="38"/>
  <c r="I40" i="38"/>
  <c r="I36" i="21" s="1"/>
  <c r="J41" i="38"/>
  <c r="J37" i="21" s="1"/>
  <c r="G42" i="38"/>
  <c r="H43" i="38"/>
  <c r="I44" i="38"/>
  <c r="J45" i="38"/>
  <c r="F34" i="38"/>
  <c r="F30" i="21" s="1"/>
  <c r="J34" i="38"/>
  <c r="N34" i="38"/>
  <c r="G35" i="38"/>
  <c r="G31" i="21" s="1"/>
  <c r="K35" i="38"/>
  <c r="K31" i="21" s="1"/>
  <c r="D36" i="38"/>
  <c r="D32" i="21" s="1"/>
  <c r="H36" i="38"/>
  <c r="H32" i="21" s="1"/>
  <c r="L36" i="38"/>
  <c r="L32" i="21" s="1"/>
  <c r="E37" i="38"/>
  <c r="E33" i="21" s="1"/>
  <c r="I37" i="38"/>
  <c r="I33" i="21" s="1"/>
  <c r="M37" i="38"/>
  <c r="M33" i="21" s="1"/>
  <c r="F38" i="38"/>
  <c r="F34" i="21" s="1"/>
  <c r="J38" i="38"/>
  <c r="J34" i="21" s="1"/>
  <c r="N38" i="38"/>
  <c r="N34" i="21" s="1"/>
  <c r="G39" i="38"/>
  <c r="G35" i="21" s="1"/>
  <c r="K39" i="38"/>
  <c r="K35" i="21" s="1"/>
  <c r="D40" i="38"/>
  <c r="D36" i="21" s="1"/>
  <c r="H40" i="38"/>
  <c r="H36" i="21" s="1"/>
  <c r="L40" i="38"/>
  <c r="L36" i="21" s="1"/>
  <c r="E41" i="38"/>
  <c r="E37" i="21" s="1"/>
  <c r="I41" i="38"/>
  <c r="I37" i="21" s="1"/>
  <c r="M41" i="38"/>
  <c r="M37" i="21" s="1"/>
  <c r="G43" i="38"/>
  <c r="H44" i="38"/>
  <c r="E45" i="38"/>
  <c r="M40" i="38"/>
  <c r="M36" i="21" s="1"/>
  <c r="N41" i="38"/>
  <c r="N37" i="21" s="1"/>
  <c r="D43" i="38"/>
  <c r="L43" i="38"/>
  <c r="M44" i="38"/>
  <c r="G34" i="38"/>
  <c r="G30" i="21" s="1"/>
  <c r="K34" i="38"/>
  <c r="D35" i="38"/>
  <c r="D31" i="21" s="1"/>
  <c r="H35" i="38"/>
  <c r="H31" i="21" s="1"/>
  <c r="L35" i="38"/>
  <c r="L31" i="21" s="1"/>
  <c r="E36" i="38"/>
  <c r="E32" i="21" s="1"/>
  <c r="I36" i="38"/>
  <c r="I32" i="21" s="1"/>
  <c r="M36" i="38"/>
  <c r="M32" i="21" s="1"/>
  <c r="F37" i="38"/>
  <c r="F33" i="21" s="1"/>
  <c r="J37" i="38"/>
  <c r="J33" i="21" s="1"/>
  <c r="N37" i="38"/>
  <c r="N33" i="21" s="1"/>
  <c r="G38" i="38"/>
  <c r="G34" i="21" s="1"/>
  <c r="K38" i="38"/>
  <c r="K34" i="21" s="1"/>
  <c r="D39" i="38"/>
  <c r="D35" i="21" s="1"/>
  <c r="H39" i="38"/>
  <c r="H35" i="21" s="1"/>
  <c r="L39" i="38"/>
  <c r="L35" i="21" s="1"/>
  <c r="E40" i="38"/>
  <c r="E36" i="21" s="1"/>
  <c r="C34" i="38"/>
  <c r="C35" i="38"/>
  <c r="C39" i="38"/>
  <c r="C43" i="38"/>
  <c r="C37" i="38"/>
  <c r="C36" i="38"/>
  <c r="C40" i="38"/>
  <c r="C45" i="38"/>
  <c r="C38" i="38"/>
  <c r="C42" i="38"/>
  <c r="C44" i="38"/>
  <c r="C41" i="38"/>
  <c r="D30" i="38"/>
  <c r="H30" i="38"/>
  <c r="L30" i="38"/>
  <c r="E31" i="38"/>
  <c r="I31" i="38"/>
  <c r="M31" i="38"/>
  <c r="H31" i="38"/>
  <c r="E30" i="38"/>
  <c r="I30" i="38"/>
  <c r="M30" i="38"/>
  <c r="F31" i="38"/>
  <c r="J31" i="38"/>
  <c r="N31" i="38"/>
  <c r="G30" i="38"/>
  <c r="L31" i="38"/>
  <c r="F30" i="38"/>
  <c r="J30" i="38"/>
  <c r="N30" i="38"/>
  <c r="G31" i="38"/>
  <c r="K31" i="38"/>
  <c r="K30" i="38"/>
  <c r="D31" i="38"/>
  <c r="C30" i="38"/>
  <c r="C31" i="38"/>
  <c r="D23" i="38"/>
  <c r="H23" i="38"/>
  <c r="L23" i="38"/>
  <c r="F24" i="38"/>
  <c r="J24" i="38"/>
  <c r="N24" i="38"/>
  <c r="G25" i="38"/>
  <c r="K25" i="38"/>
  <c r="D26" i="38"/>
  <c r="H26" i="38"/>
  <c r="L26" i="38"/>
  <c r="E27" i="38"/>
  <c r="I27" i="38"/>
  <c r="M27" i="38"/>
  <c r="N26" i="38"/>
  <c r="M24" i="38"/>
  <c r="G26" i="38"/>
  <c r="H27" i="38"/>
  <c r="E23" i="38"/>
  <c r="I23" i="38"/>
  <c r="M23" i="38"/>
  <c r="G24" i="38"/>
  <c r="K24" i="38"/>
  <c r="D25" i="38"/>
  <c r="H25" i="38"/>
  <c r="L25" i="38"/>
  <c r="E26" i="38"/>
  <c r="I26" i="38"/>
  <c r="M26" i="38"/>
  <c r="F27" i="38"/>
  <c r="J27" i="38"/>
  <c r="N27" i="38"/>
  <c r="M25" i="38"/>
  <c r="F26" i="38"/>
  <c r="G27" i="38"/>
  <c r="F25" i="38"/>
  <c r="N25" i="38"/>
  <c r="D27" i="38"/>
  <c r="F23" i="38"/>
  <c r="J23" i="38"/>
  <c r="N23" i="38"/>
  <c r="D24" i="38"/>
  <c r="H24" i="38"/>
  <c r="L24" i="38"/>
  <c r="E25" i="38"/>
  <c r="I25" i="38"/>
  <c r="J26" i="38"/>
  <c r="K27" i="38"/>
  <c r="J25" i="38"/>
  <c r="K26" i="38"/>
  <c r="L27" i="38"/>
  <c r="G23" i="38"/>
  <c r="K23" i="38"/>
  <c r="E24" i="38"/>
  <c r="I24" i="38"/>
  <c r="C23" i="38"/>
  <c r="C27" i="38"/>
  <c r="C24" i="38"/>
  <c r="C25" i="38"/>
  <c r="C26"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C45" i="46" l="1"/>
  <c r="F6" i="46"/>
  <c r="O50" i="36"/>
  <c r="R50" i="36" s="1"/>
  <c r="O165" i="38"/>
  <c r="C46" i="46"/>
  <c r="O162" i="43"/>
  <c r="O135" i="43"/>
  <c r="O142" i="43"/>
  <c r="O141" i="38"/>
  <c r="O137" i="38"/>
  <c r="O131" i="43"/>
  <c r="O133" i="43"/>
  <c r="O123" i="43"/>
  <c r="O124" i="43"/>
  <c r="O120" i="43"/>
  <c r="O145" i="38"/>
  <c r="O124" i="38"/>
  <c r="O136" i="43"/>
  <c r="O143" i="43"/>
  <c r="O137" i="43"/>
  <c r="O125" i="43"/>
  <c r="O121" i="43"/>
  <c r="O130" i="43"/>
  <c r="O141" i="43"/>
  <c r="O128" i="43"/>
  <c r="O119" i="43"/>
  <c r="O129" i="43"/>
  <c r="O127" i="43"/>
  <c r="O118" i="43"/>
  <c r="O132" i="43"/>
  <c r="O134" i="43"/>
  <c r="O138" i="43"/>
  <c r="O145" i="43"/>
  <c r="O140" i="43"/>
  <c r="O139" i="43"/>
  <c r="O144" i="43"/>
  <c r="O126" i="43"/>
  <c r="O122" i="43"/>
  <c r="O117" i="43"/>
  <c r="O142" i="38"/>
  <c r="O138" i="38"/>
  <c r="O127" i="38"/>
  <c r="O131" i="38"/>
  <c r="O121" i="38"/>
  <c r="O144" i="38"/>
  <c r="O140" i="38"/>
  <c r="O122" i="38"/>
  <c r="O146" i="38"/>
  <c r="O135" i="38"/>
  <c r="O148" i="38"/>
  <c r="O125" i="38"/>
  <c r="O126" i="38"/>
  <c r="O120" i="38"/>
  <c r="O143" i="38"/>
  <c r="O139" i="38"/>
  <c r="O128" i="38"/>
  <c r="O132" i="38"/>
  <c r="O129" i="38"/>
  <c r="O133" i="38"/>
  <c r="O130" i="38"/>
  <c r="O134" i="38"/>
  <c r="O123" i="38"/>
  <c r="O147" i="38"/>
  <c r="O136" i="38"/>
  <c r="D32" i="43"/>
  <c r="D31" i="43"/>
  <c r="H34" i="43"/>
  <c r="E34" i="43"/>
  <c r="E32" i="43"/>
  <c r="I34" i="43"/>
  <c r="K32" i="43"/>
  <c r="F32" i="43"/>
  <c r="G32" i="43"/>
  <c r="I32" i="43"/>
  <c r="H32" i="43"/>
  <c r="J32" i="43"/>
  <c r="L33" i="43"/>
  <c r="L32" i="43"/>
  <c r="O54" i="38"/>
  <c r="O51" i="43"/>
  <c r="N39" i="36"/>
  <c r="M39" i="36"/>
  <c r="K39" i="36"/>
  <c r="L39" i="36"/>
  <c r="C18" i="38"/>
  <c r="C10" i="20" s="1"/>
  <c r="K32" i="38"/>
  <c r="M29" i="43"/>
  <c r="M44" i="36" s="1"/>
  <c r="N53" i="43"/>
  <c r="N46" i="36" s="1"/>
  <c r="K15" i="43"/>
  <c r="H29" i="43"/>
  <c r="H44" i="36" s="1"/>
  <c r="L25" i="43"/>
  <c r="L43" i="36" s="1"/>
  <c r="K29" i="43"/>
  <c r="K44" i="36" s="1"/>
  <c r="K161" i="43"/>
  <c r="K49" i="36" s="1"/>
  <c r="G161" i="43"/>
  <c r="G49" i="36" s="1"/>
  <c r="G146" i="43"/>
  <c r="G48" i="36" s="1"/>
  <c r="F146" i="43"/>
  <c r="F48" i="36" s="1"/>
  <c r="N25" i="43"/>
  <c r="N43" i="36" s="1"/>
  <c r="J29" i="43"/>
  <c r="J44" i="36" s="1"/>
  <c r="N161" i="43"/>
  <c r="N49" i="36" s="1"/>
  <c r="J53" i="43"/>
  <c r="J46" i="36" s="1"/>
  <c r="N43" i="43"/>
  <c r="N45" i="36" s="1"/>
  <c r="N15" i="43"/>
  <c r="G29" i="43"/>
  <c r="G44" i="36" s="1"/>
  <c r="F29" i="43"/>
  <c r="F44" i="36" s="1"/>
  <c r="J161" i="43"/>
  <c r="J49" i="36" s="1"/>
  <c r="M161" i="43"/>
  <c r="M49" i="36" s="1"/>
  <c r="L161" i="43"/>
  <c r="L49" i="36" s="1"/>
  <c r="K146" i="43"/>
  <c r="K48" i="36" s="1"/>
  <c r="F53" i="43"/>
  <c r="F46" i="36" s="1"/>
  <c r="G15" i="43"/>
  <c r="N146" i="43"/>
  <c r="N48" i="36" s="1"/>
  <c r="M53" i="43"/>
  <c r="M46" i="36" s="1"/>
  <c r="F25" i="43"/>
  <c r="F43" i="36" s="1"/>
  <c r="J15" i="43"/>
  <c r="M146" i="43"/>
  <c r="M48" i="36" s="1"/>
  <c r="L53" i="43"/>
  <c r="L46" i="36" s="1"/>
  <c r="I25" i="43"/>
  <c r="I43" i="36" s="1"/>
  <c r="M15" i="43"/>
  <c r="L146" i="43"/>
  <c r="L48" i="36" s="1"/>
  <c r="K53" i="43"/>
  <c r="K46" i="36" s="1"/>
  <c r="L15" i="43"/>
  <c r="F161" i="43"/>
  <c r="F49" i="36" s="1"/>
  <c r="I161" i="43"/>
  <c r="I49" i="36" s="1"/>
  <c r="H161" i="43"/>
  <c r="H49" i="36" s="1"/>
  <c r="J146" i="43"/>
  <c r="J48" i="36" s="1"/>
  <c r="I53" i="43"/>
  <c r="I46" i="36" s="1"/>
  <c r="M43" i="43"/>
  <c r="M45" i="36" s="1"/>
  <c r="L29" i="43"/>
  <c r="L44" i="36" s="1"/>
  <c r="F15" i="43"/>
  <c r="I146" i="43"/>
  <c r="I48" i="36" s="1"/>
  <c r="H53" i="43"/>
  <c r="H46" i="36" s="1"/>
  <c r="I15" i="43"/>
  <c r="H146" i="43"/>
  <c r="H48" i="36" s="1"/>
  <c r="G53" i="43"/>
  <c r="G46" i="36" s="1"/>
  <c r="N29" i="43"/>
  <c r="N44" i="36" s="1"/>
  <c r="H15" i="43"/>
  <c r="L18" i="38"/>
  <c r="L10" i="20" s="1"/>
  <c r="O48" i="38"/>
  <c r="O44" i="38"/>
  <c r="O158" i="38"/>
  <c r="O162" i="38"/>
  <c r="L32" i="38"/>
  <c r="K56" i="38"/>
  <c r="O113" i="38"/>
  <c r="J164" i="38"/>
  <c r="L56" i="38"/>
  <c r="M149" i="38"/>
  <c r="I30" i="21"/>
  <c r="I46" i="38"/>
  <c r="I28" i="38"/>
  <c r="O88" i="38"/>
  <c r="O156" i="38"/>
  <c r="L164" i="38"/>
  <c r="N56" i="38"/>
  <c r="M18" i="38"/>
  <c r="M10" i="20" s="1"/>
  <c r="N149" i="38"/>
  <c r="I149" i="38"/>
  <c r="K30" i="21"/>
  <c r="K46" i="38"/>
  <c r="M28" i="38"/>
  <c r="K28" i="38"/>
  <c r="N32" i="38"/>
  <c r="M56" i="38"/>
  <c r="J25" i="43"/>
  <c r="J43" i="36" s="1"/>
  <c r="M25" i="43"/>
  <c r="O114" i="38"/>
  <c r="O70" i="38"/>
  <c r="K18" i="38"/>
  <c r="K10" i="20" s="1"/>
  <c r="N18" i="38"/>
  <c r="N10" i="20" s="1"/>
  <c r="J56" i="38"/>
  <c r="I18" i="38"/>
  <c r="I10" i="20" s="1"/>
  <c r="M164" i="38"/>
  <c r="L149" i="38"/>
  <c r="J149" i="38"/>
  <c r="L30" i="21"/>
  <c r="L46" i="38"/>
  <c r="L28" i="38"/>
  <c r="N30" i="21"/>
  <c r="N38" i="21" s="1"/>
  <c r="N46" i="38"/>
  <c r="J32" i="38"/>
  <c r="N28" i="38"/>
  <c r="I56" i="38"/>
  <c r="M32" i="38"/>
  <c r="K25" i="43"/>
  <c r="K43" i="36" s="1"/>
  <c r="I29" i="43"/>
  <c r="I44" i="36" s="1"/>
  <c r="H25" i="43"/>
  <c r="H43" i="36" s="1"/>
  <c r="K164" i="38"/>
  <c r="J18" i="38"/>
  <c r="J10" i="20" s="1"/>
  <c r="N164" i="38"/>
  <c r="I164" i="38"/>
  <c r="J30" i="21"/>
  <c r="J46" i="38"/>
  <c r="J28" i="38"/>
  <c r="K149" i="38"/>
  <c r="M30" i="21"/>
  <c r="M38" i="21" s="1"/>
  <c r="M46" i="38"/>
  <c r="I32" i="38"/>
  <c r="G25" i="43"/>
  <c r="G43" i="36" s="1"/>
  <c r="O45" i="38"/>
  <c r="C36" i="21"/>
  <c r="O36" i="21" s="1"/>
  <c r="O40" i="38"/>
  <c r="O119" i="38"/>
  <c r="O81" i="38"/>
  <c r="O59" i="38"/>
  <c r="O117" i="38"/>
  <c r="G38" i="21"/>
  <c r="O104" i="38"/>
  <c r="C32" i="21"/>
  <c r="O36" i="38"/>
  <c r="O83" i="38"/>
  <c r="C35" i="21"/>
  <c r="O35" i="21" s="1"/>
  <c r="O39" i="38"/>
  <c r="O84" i="38"/>
  <c r="H38" i="21"/>
  <c r="O30" i="38"/>
  <c r="O153" i="38"/>
  <c r="O90" i="38"/>
  <c r="O78" i="38"/>
  <c r="O75" i="38"/>
  <c r="O25" i="38"/>
  <c r="O95" i="38"/>
  <c r="O98" i="38"/>
  <c r="O69" i="38"/>
  <c r="O118" i="38"/>
  <c r="O101" i="38"/>
  <c r="O23" i="38"/>
  <c r="O159" i="38"/>
  <c r="O55" i="38"/>
  <c r="O107" i="38"/>
  <c r="C34" i="21"/>
  <c r="O38" i="38"/>
  <c r="O151" i="38"/>
  <c r="O161" i="38"/>
  <c r="O64" i="38"/>
  <c r="O163" i="38"/>
  <c r="O27" i="38"/>
  <c r="O110" i="38"/>
  <c r="O60" i="38"/>
  <c r="O157" i="38"/>
  <c r="O106" i="38"/>
  <c r="O152" i="38"/>
  <c r="O31" i="38"/>
  <c r="O93" i="38"/>
  <c r="O155" i="38"/>
  <c r="O103" i="38"/>
  <c r="O72" i="38"/>
  <c r="O92" i="38"/>
  <c r="O108" i="38"/>
  <c r="O97" i="38"/>
  <c r="O87" i="38"/>
  <c r="O43" i="38"/>
  <c r="O111" i="38"/>
  <c r="C30" i="21"/>
  <c r="O34" i="38"/>
  <c r="O105" i="38"/>
  <c r="F38" i="21"/>
  <c r="O26" i="38"/>
  <c r="O80" i="38"/>
  <c r="O63" i="38"/>
  <c r="O160" i="38"/>
  <c r="O50" i="38"/>
  <c r="O42" i="38"/>
  <c r="O68" i="38"/>
  <c r="O102" i="38"/>
  <c r="O65" i="38"/>
  <c r="O61" i="38"/>
  <c r="O74" i="38"/>
  <c r="O94" i="38"/>
  <c r="O91" i="38"/>
  <c r="O115" i="38"/>
  <c r="O166" i="38"/>
  <c r="O62" i="38"/>
  <c r="O73" i="38"/>
  <c r="C33" i="21"/>
  <c r="O33" i="21" s="1"/>
  <c r="O37" i="38"/>
  <c r="O66" i="38"/>
  <c r="O71" i="38"/>
  <c r="O89" i="38"/>
  <c r="O96" i="38"/>
  <c r="O99" i="38"/>
  <c r="C31" i="21"/>
  <c r="O35" i="38"/>
  <c r="O112" i="38"/>
  <c r="O49" i="38"/>
  <c r="O53" i="38"/>
  <c r="O86" i="38"/>
  <c r="O100" i="38"/>
  <c r="C37" i="21"/>
  <c r="O37" i="21" s="1"/>
  <c r="O41" i="38"/>
  <c r="O79" i="38"/>
  <c r="O85" i="38"/>
  <c r="O52" i="38"/>
  <c r="O51" i="38"/>
  <c r="O77" i="38"/>
  <c r="O24" i="38"/>
  <c r="O82" i="38"/>
  <c r="O67" i="38"/>
  <c r="O109" i="38"/>
  <c r="O76" i="38"/>
  <c r="O116" i="38"/>
  <c r="O154" i="38"/>
  <c r="O15" i="38"/>
  <c r="O17" i="38"/>
  <c r="O14" i="38"/>
  <c r="O16" i="38"/>
  <c r="F39" i="36"/>
  <c r="C35" i="36"/>
  <c r="C15" i="43"/>
  <c r="E39" i="36"/>
  <c r="E15" i="43"/>
  <c r="D35" i="36"/>
  <c r="D39" i="36" s="1"/>
  <c r="D15" i="43"/>
  <c r="H39" i="36"/>
  <c r="G39" i="36"/>
  <c r="E31" i="46"/>
  <c r="D36" i="46"/>
  <c r="E7" i="46"/>
  <c r="G18" i="38"/>
  <c r="G10" i="20" s="1"/>
  <c r="C51" i="36"/>
  <c r="O163" i="43"/>
  <c r="C38" i="36"/>
  <c r="O14" i="43"/>
  <c r="E18" i="38"/>
  <c r="E10" i="20" s="1"/>
  <c r="E29" i="43"/>
  <c r="E44" i="36" s="1"/>
  <c r="H18" i="38"/>
  <c r="H10" i="20" s="1"/>
  <c r="D18" i="38"/>
  <c r="D10" i="20" s="1"/>
  <c r="F18" i="38"/>
  <c r="F10" i="20" s="1"/>
  <c r="D29" i="43"/>
  <c r="D44" i="36" s="1"/>
  <c r="E6" i="46"/>
  <c r="E9" i="46"/>
  <c r="O42" i="43"/>
  <c r="O12" i="43"/>
  <c r="O41" i="43"/>
  <c r="O27" i="43"/>
  <c r="O111" i="43"/>
  <c r="O40" i="43"/>
  <c r="O39" i="43"/>
  <c r="O13" i="43"/>
  <c r="O11" i="43"/>
  <c r="O60" i="43"/>
  <c r="F32" i="38"/>
  <c r="O148" i="43"/>
  <c r="O151" i="43"/>
  <c r="O158" i="43"/>
  <c r="O153" i="43"/>
  <c r="H28" i="38"/>
  <c r="E32" i="38"/>
  <c r="D32" i="38"/>
  <c r="O85" i="43"/>
  <c r="O86" i="43"/>
  <c r="O28" i="43"/>
  <c r="E164" i="38"/>
  <c r="O101" i="43"/>
  <c r="D149" i="38"/>
  <c r="O105" i="43"/>
  <c r="O58" i="43"/>
  <c r="O22" i="43"/>
  <c r="C161" i="43"/>
  <c r="C49" i="36" s="1"/>
  <c r="O92" i="43"/>
  <c r="O106" i="43"/>
  <c r="O52" i="43"/>
  <c r="O83" i="43"/>
  <c r="O98" i="43"/>
  <c r="O68" i="43"/>
  <c r="O157" i="43"/>
  <c r="C29" i="43"/>
  <c r="C44" i="36" s="1"/>
  <c r="O89" i="43"/>
  <c r="O82" i="43"/>
  <c r="E161" i="43"/>
  <c r="E49" i="36" s="1"/>
  <c r="O113" i="43"/>
  <c r="O156" i="43"/>
  <c r="O81" i="43"/>
  <c r="O112" i="43"/>
  <c r="E146" i="43"/>
  <c r="E48" i="36" s="1"/>
  <c r="O61" i="43"/>
  <c r="O47" i="43"/>
  <c r="O65" i="43"/>
  <c r="C146" i="43"/>
  <c r="C48" i="36" s="1"/>
  <c r="O108" i="43"/>
  <c r="O62" i="43"/>
  <c r="D161" i="43"/>
  <c r="D49" i="36" s="1"/>
  <c r="O99" i="43"/>
  <c r="O72" i="43"/>
  <c r="O155" i="43"/>
  <c r="O88" i="43"/>
  <c r="O90" i="43"/>
  <c r="O103" i="43"/>
  <c r="O107" i="43"/>
  <c r="O91" i="43"/>
  <c r="O115" i="43"/>
  <c r="O154" i="43"/>
  <c r="O109" i="43"/>
  <c r="O104" i="43"/>
  <c r="O116" i="43"/>
  <c r="O150" i="43"/>
  <c r="O73" i="43"/>
  <c r="O77" i="43"/>
  <c r="O71" i="43"/>
  <c r="O70" i="43"/>
  <c r="O87" i="43"/>
  <c r="O79" i="43"/>
  <c r="C53" i="43"/>
  <c r="C46" i="36" s="1"/>
  <c r="O45" i="43"/>
  <c r="O64" i="43"/>
  <c r="E25" i="43"/>
  <c r="E43" i="36" s="1"/>
  <c r="O57" i="43"/>
  <c r="O63" i="43"/>
  <c r="O49" i="43"/>
  <c r="O110" i="43"/>
  <c r="O66" i="43"/>
  <c r="O21" i="43"/>
  <c r="O149" i="43"/>
  <c r="O75" i="43"/>
  <c r="O74" i="43"/>
  <c r="O97" i="43"/>
  <c r="O59" i="43"/>
  <c r="O48" i="43"/>
  <c r="O84" i="43"/>
  <c r="D53" i="43"/>
  <c r="D46" i="36" s="1"/>
  <c r="E53" i="43"/>
  <c r="E46" i="36" s="1"/>
  <c r="O152" i="43"/>
  <c r="O114" i="43"/>
  <c r="O100" i="43"/>
  <c r="O94" i="43"/>
  <c r="C25" i="43"/>
  <c r="C43" i="36" s="1"/>
  <c r="O20" i="43"/>
  <c r="D25" i="43"/>
  <c r="D43" i="36" s="1"/>
  <c r="O93" i="43"/>
  <c r="O102" i="43"/>
  <c r="O23" i="43"/>
  <c r="O46" i="43"/>
  <c r="O24" i="43"/>
  <c r="O76" i="43"/>
  <c r="O69" i="43"/>
  <c r="O56" i="43"/>
  <c r="D146" i="43"/>
  <c r="D48" i="36" s="1"/>
  <c r="O78" i="43"/>
  <c r="O50" i="43"/>
  <c r="O96" i="43"/>
  <c r="O160" i="43"/>
  <c r="O159" i="43"/>
  <c r="O80" i="43"/>
  <c r="O95" i="43"/>
  <c r="O67" i="43"/>
  <c r="F56" i="38"/>
  <c r="O26" i="21"/>
  <c r="O37" i="43" s="1"/>
  <c r="D28" i="38"/>
  <c r="C32" i="38"/>
  <c r="F46" i="38"/>
  <c r="D46" i="38"/>
  <c r="F28" i="38"/>
  <c r="E28" i="38"/>
  <c r="H46" i="38"/>
  <c r="O27" i="21"/>
  <c r="O38" i="43" s="1"/>
  <c r="C28" i="38"/>
  <c r="H149" i="38"/>
  <c r="D56" i="38"/>
  <c r="C56" i="38"/>
  <c r="C164" i="38"/>
  <c r="G46" i="38"/>
  <c r="C46" i="38"/>
  <c r="G28" i="38"/>
  <c r="G149" i="38"/>
  <c r="F149" i="38"/>
  <c r="D164" i="38"/>
  <c r="G56" i="38"/>
  <c r="H32" i="38"/>
  <c r="O24" i="21"/>
  <c r="O35" i="43" s="1"/>
  <c r="C149" i="38"/>
  <c r="E46" i="38"/>
  <c r="O25" i="21"/>
  <c r="O36" i="43" s="1"/>
  <c r="H164" i="38"/>
  <c r="G164" i="38"/>
  <c r="G32" i="38"/>
  <c r="E149" i="38"/>
  <c r="E56" i="38"/>
  <c r="F164" i="38"/>
  <c r="H56" i="38"/>
  <c r="C31" i="43" l="1"/>
  <c r="K33" i="43"/>
  <c r="J33" i="43"/>
  <c r="I33" i="43"/>
  <c r="L34" i="43"/>
  <c r="K34" i="43"/>
  <c r="J34" i="43"/>
  <c r="H28" i="21"/>
  <c r="H31" i="43"/>
  <c r="H33" i="43"/>
  <c r="J38" i="21"/>
  <c r="L38" i="21"/>
  <c r="K38" i="21"/>
  <c r="I38" i="21"/>
  <c r="G34" i="43"/>
  <c r="G33" i="43"/>
  <c r="F34" i="43"/>
  <c r="F33" i="43"/>
  <c r="G31" i="43"/>
  <c r="F31" i="43"/>
  <c r="F28" i="21"/>
  <c r="D33" i="43"/>
  <c r="D34" i="43"/>
  <c r="D28" i="21"/>
  <c r="E33" i="43"/>
  <c r="O32" i="21"/>
  <c r="O31" i="21"/>
  <c r="E28" i="21"/>
  <c r="E31" i="43"/>
  <c r="N47" i="36"/>
  <c r="N52" i="36" s="1"/>
  <c r="M54" i="43"/>
  <c r="M164" i="43" s="1"/>
  <c r="M43" i="36"/>
  <c r="M47" i="36" s="1"/>
  <c r="M52" i="36" s="1"/>
  <c r="N54" i="43"/>
  <c r="N164" i="43" s="1"/>
  <c r="K57" i="38"/>
  <c r="K167" i="38" s="1"/>
  <c r="K11" i="20" s="1"/>
  <c r="N57" i="38"/>
  <c r="N167" i="38" s="1"/>
  <c r="N11" i="20" s="1"/>
  <c r="O30" i="21"/>
  <c r="L57" i="38"/>
  <c r="L167" i="38" s="1"/>
  <c r="L11" i="20" s="1"/>
  <c r="I57" i="38"/>
  <c r="I167" i="38" s="1"/>
  <c r="I11" i="20" s="1"/>
  <c r="J57" i="38"/>
  <c r="J167" i="38" s="1"/>
  <c r="J11" i="20" s="1"/>
  <c r="M57" i="38"/>
  <c r="M167" i="38" s="1"/>
  <c r="M11" i="20" s="1"/>
  <c r="I39" i="36"/>
  <c r="C39" i="36"/>
  <c r="O18" i="38"/>
  <c r="O15" i="43"/>
  <c r="P14" i="43" s="1"/>
  <c r="O38" i="36" s="1"/>
  <c r="D38" i="21"/>
  <c r="E38" i="21"/>
  <c r="O29" i="43"/>
  <c r="O34" i="21"/>
  <c r="C38" i="21"/>
  <c r="O146" i="43"/>
  <c r="G57" i="38"/>
  <c r="O161" i="43"/>
  <c r="O25" i="43"/>
  <c r="O53" i="43"/>
  <c r="F57" i="38"/>
  <c r="F167" i="38" s="1"/>
  <c r="D57" i="38"/>
  <c r="O164" i="38"/>
  <c r="E57" i="38"/>
  <c r="E167" i="38" s="1"/>
  <c r="O149" i="38"/>
  <c r="O56" i="38"/>
  <c r="H57" i="38"/>
  <c r="O28" i="38"/>
  <c r="O32" i="38"/>
  <c r="O46" i="38"/>
  <c r="C57" i="38"/>
  <c r="C167" i="38" s="1"/>
  <c r="H43" i="43" l="1"/>
  <c r="H45" i="36" s="1"/>
  <c r="H47" i="36" s="1"/>
  <c r="H52" i="36" s="1"/>
  <c r="I31" i="43"/>
  <c r="I43" i="43" s="1"/>
  <c r="I28" i="21"/>
  <c r="K31" i="43"/>
  <c r="K28" i="21"/>
  <c r="L31" i="43"/>
  <c r="L28" i="21"/>
  <c r="J31" i="43"/>
  <c r="J28" i="21"/>
  <c r="G28" i="21"/>
  <c r="G43" i="43"/>
  <c r="F43" i="43"/>
  <c r="F45" i="36" s="1"/>
  <c r="F47" i="36" s="1"/>
  <c r="F52" i="36" s="1"/>
  <c r="D43" i="43"/>
  <c r="O20" i="21"/>
  <c r="E43" i="43"/>
  <c r="E45" i="36" s="1"/>
  <c r="E47" i="36" s="1"/>
  <c r="E52" i="36" s="1"/>
  <c r="C32" i="43"/>
  <c r="O21" i="21"/>
  <c r="C33" i="43"/>
  <c r="O22" i="21"/>
  <c r="R38" i="36"/>
  <c r="Q38" i="36"/>
  <c r="P17" i="38"/>
  <c r="P15" i="43"/>
  <c r="G167" i="38"/>
  <c r="G11" i="20" s="1"/>
  <c r="D167" i="38"/>
  <c r="D11" i="20" s="1"/>
  <c r="E11" i="20"/>
  <c r="F11" i="20"/>
  <c r="H167" i="38"/>
  <c r="H11" i="20" s="1"/>
  <c r="P11" i="43"/>
  <c r="O38" i="21"/>
  <c r="P12" i="43"/>
  <c r="O36" i="36" s="1"/>
  <c r="P13" i="43"/>
  <c r="O37" i="36" s="1"/>
  <c r="R37" i="36" s="1"/>
  <c r="C11" i="20"/>
  <c r="C13" i="20" s="1"/>
  <c r="D10" i="38"/>
  <c r="O57" i="38"/>
  <c r="O167" i="38" s="1"/>
  <c r="P165" i="38" s="1"/>
  <c r="P18" i="38"/>
  <c r="P15" i="38"/>
  <c r="P16" i="38"/>
  <c r="P14" i="38"/>
  <c r="R36" i="36" l="1"/>
  <c r="Q36" i="36"/>
  <c r="P120" i="38"/>
  <c r="P122" i="38"/>
  <c r="P124" i="38"/>
  <c r="P126" i="38"/>
  <c r="P128" i="38"/>
  <c r="P130" i="38"/>
  <c r="P132" i="38"/>
  <c r="P134" i="38"/>
  <c r="P136" i="38"/>
  <c r="P138" i="38"/>
  <c r="P140" i="38"/>
  <c r="P142" i="38"/>
  <c r="P144" i="38"/>
  <c r="P146" i="38"/>
  <c r="P121" i="38"/>
  <c r="P123" i="38"/>
  <c r="P125" i="38"/>
  <c r="P127" i="38"/>
  <c r="P129" i="38"/>
  <c r="P131" i="38"/>
  <c r="P133" i="38"/>
  <c r="P135" i="38"/>
  <c r="P137" i="38"/>
  <c r="P139" i="38"/>
  <c r="P141" i="38"/>
  <c r="P143" i="38"/>
  <c r="P145" i="38"/>
  <c r="P147" i="38"/>
  <c r="P148" i="38"/>
  <c r="H54" i="43"/>
  <c r="H164" i="43" s="1"/>
  <c r="O31" i="43"/>
  <c r="J43" i="43"/>
  <c r="J45" i="36" s="1"/>
  <c r="K43" i="43"/>
  <c r="K45" i="36" s="1"/>
  <c r="K47" i="36" s="1"/>
  <c r="K52" i="36" s="1"/>
  <c r="L43" i="43"/>
  <c r="L45" i="36" s="1"/>
  <c r="L47" i="36" s="1"/>
  <c r="L52" i="36" s="1"/>
  <c r="F54" i="43"/>
  <c r="F164" i="43" s="1"/>
  <c r="G45" i="36"/>
  <c r="G47" i="36" s="1"/>
  <c r="G52" i="36" s="1"/>
  <c r="G54" i="43"/>
  <c r="G164" i="43" s="1"/>
  <c r="D45" i="36"/>
  <c r="D47" i="36" s="1"/>
  <c r="D52" i="36" s="1"/>
  <c r="D54" i="43"/>
  <c r="D164" i="43" s="1"/>
  <c r="O32" i="43"/>
  <c r="E54" i="43"/>
  <c r="E164" i="43" s="1"/>
  <c r="C34" i="43"/>
  <c r="C43" i="43" s="1"/>
  <c r="O23" i="21"/>
  <c r="C28" i="21"/>
  <c r="O33" i="43"/>
  <c r="P54" i="38"/>
  <c r="I54" i="43"/>
  <c r="I164" i="43" s="1"/>
  <c r="I45" i="36"/>
  <c r="I47" i="36" s="1"/>
  <c r="I52" i="36" s="1"/>
  <c r="J39" i="36"/>
  <c r="O39" i="36" s="1"/>
  <c r="O35" i="36"/>
  <c r="P166" i="38"/>
  <c r="E10" i="38"/>
  <c r="D8" i="20"/>
  <c r="D13" i="20" s="1"/>
  <c r="P158" i="38"/>
  <c r="P154" i="38"/>
  <c r="P95" i="38"/>
  <c r="P63" i="38"/>
  <c r="P27" i="38"/>
  <c r="P112" i="38"/>
  <c r="P80" i="38"/>
  <c r="P55" i="38"/>
  <c r="P28" i="38"/>
  <c r="P156" i="38"/>
  <c r="P113" i="38"/>
  <c r="P97" i="38"/>
  <c r="P81" i="38"/>
  <c r="P65" i="38"/>
  <c r="P47" i="38"/>
  <c r="P30" i="38"/>
  <c r="P157" i="38"/>
  <c r="P114" i="38"/>
  <c r="P98" i="38"/>
  <c r="P82" i="38"/>
  <c r="P66" i="38"/>
  <c r="P48" i="38"/>
  <c r="P31" i="38"/>
  <c r="P107" i="38"/>
  <c r="P75" i="38"/>
  <c r="P41" i="38"/>
  <c r="P151" i="38"/>
  <c r="P92" i="38"/>
  <c r="P60" i="38"/>
  <c r="P38" i="38"/>
  <c r="P160" i="38"/>
  <c r="P117" i="38"/>
  <c r="P101" i="38"/>
  <c r="P85" i="38"/>
  <c r="P69" i="38"/>
  <c r="P51" i="38"/>
  <c r="P35" i="38"/>
  <c r="P161" i="38"/>
  <c r="P118" i="38"/>
  <c r="P102" i="38"/>
  <c r="P86" i="38"/>
  <c r="P70" i="38"/>
  <c r="P52" i="38"/>
  <c r="P36" i="38"/>
  <c r="P111" i="38"/>
  <c r="P79" i="38"/>
  <c r="P45" i="38"/>
  <c r="P155" i="38"/>
  <c r="P96" i="38"/>
  <c r="P64" i="38"/>
  <c r="P42" i="38"/>
  <c r="P164" i="38"/>
  <c r="P119" i="38"/>
  <c r="P105" i="38"/>
  <c r="P89" i="38"/>
  <c r="P73" i="38"/>
  <c r="P56" i="38"/>
  <c r="P39" i="38"/>
  <c r="P167" i="38"/>
  <c r="P106" i="38"/>
  <c r="P90" i="38"/>
  <c r="P74" i="38"/>
  <c r="P57" i="38"/>
  <c r="P40" i="38"/>
  <c r="P23" i="38"/>
  <c r="P149" i="38"/>
  <c r="P91" i="38"/>
  <c r="P59" i="38"/>
  <c r="P108" i="38"/>
  <c r="P76" i="38"/>
  <c r="P46" i="38"/>
  <c r="P24" i="38"/>
  <c r="P152" i="38"/>
  <c r="P109" i="38"/>
  <c r="P93" i="38"/>
  <c r="P77" i="38"/>
  <c r="P61" i="38"/>
  <c r="P43" i="38"/>
  <c r="P25" i="38"/>
  <c r="P153" i="38"/>
  <c r="P110" i="38"/>
  <c r="P94" i="38"/>
  <c r="P78" i="38"/>
  <c r="P62" i="38"/>
  <c r="P44" i="38"/>
  <c r="P26" i="38"/>
  <c r="P162" i="38"/>
  <c r="P99" i="38"/>
  <c r="P104" i="38"/>
  <c r="P53" i="38"/>
  <c r="P68" i="38"/>
  <c r="P159" i="38"/>
  <c r="P83" i="38"/>
  <c r="P88" i="38"/>
  <c r="P37" i="38"/>
  <c r="P103" i="38"/>
  <c r="P50" i="38"/>
  <c r="P116" i="38"/>
  <c r="P67" i="38"/>
  <c r="P72" i="38"/>
  <c r="P163" i="38"/>
  <c r="P87" i="38"/>
  <c r="P34" i="38"/>
  <c r="P100" i="38"/>
  <c r="P49" i="38"/>
  <c r="P115" i="38"/>
  <c r="P71" i="38"/>
  <c r="P84" i="38"/>
  <c r="P32" i="38"/>
  <c r="J54" i="43" l="1"/>
  <c r="J164" i="43" s="1"/>
  <c r="L54" i="43"/>
  <c r="L164" i="43" s="1"/>
  <c r="K54" i="43"/>
  <c r="K164" i="43" s="1"/>
  <c r="O34" i="43"/>
  <c r="O43" i="43" s="1"/>
  <c r="O54" i="43" s="1"/>
  <c r="O164" i="43" s="1"/>
  <c r="P162" i="43" s="1"/>
  <c r="C45" i="36"/>
  <c r="C47" i="36" s="1"/>
  <c r="C52" i="36" s="1"/>
  <c r="C54" i="43"/>
  <c r="C164"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5" i="36"/>
  <c r="Q35" i="36"/>
  <c r="R39" i="36"/>
  <c r="Q39" i="36"/>
  <c r="F10" i="38"/>
  <c r="E8" i="20"/>
  <c r="E13" i="20" s="1"/>
  <c r="C29" i="20" s="1"/>
  <c r="P88" i="43" l="1"/>
  <c r="P117" i="43"/>
  <c r="P119" i="43"/>
  <c r="P121" i="43"/>
  <c r="P123" i="43"/>
  <c r="P125" i="43"/>
  <c r="P127" i="43"/>
  <c r="P129" i="43"/>
  <c r="P131" i="43"/>
  <c r="P133" i="43"/>
  <c r="P135" i="43"/>
  <c r="P137" i="43"/>
  <c r="P139" i="43"/>
  <c r="P141" i="43"/>
  <c r="P143" i="43"/>
  <c r="P145" i="43"/>
  <c r="P144" i="43"/>
  <c r="P118" i="43"/>
  <c r="P120" i="43"/>
  <c r="P122" i="43"/>
  <c r="P124" i="43"/>
  <c r="P126" i="43"/>
  <c r="P128" i="43"/>
  <c r="P130" i="43"/>
  <c r="P132" i="43"/>
  <c r="P134" i="43"/>
  <c r="P136" i="43"/>
  <c r="P138" i="43"/>
  <c r="P140" i="43"/>
  <c r="P142" i="43"/>
  <c r="P49" i="43"/>
  <c r="P21" i="43"/>
  <c r="P87" i="43"/>
  <c r="P80" i="43"/>
  <c r="P74" i="43"/>
  <c r="P155" i="43"/>
  <c r="P58" i="43"/>
  <c r="P66" i="43"/>
  <c r="P101" i="43"/>
  <c r="P56" i="43"/>
  <c r="P94" i="43"/>
  <c r="P69" i="43"/>
  <c r="P59" i="43"/>
  <c r="P68" i="43"/>
  <c r="P51" i="43"/>
  <c r="P150" i="43"/>
  <c r="P20" i="43"/>
  <c r="P111" i="43"/>
  <c r="P61" i="43"/>
  <c r="P84" i="43"/>
  <c r="P34" i="43"/>
  <c r="P64" i="43"/>
  <c r="P31" i="43"/>
  <c r="P95" i="43"/>
  <c r="P104" i="43"/>
  <c r="P154" i="43"/>
  <c r="P93" i="43"/>
  <c r="P85" i="43"/>
  <c r="P70" i="43"/>
  <c r="P156" i="43"/>
  <c r="P91" i="43"/>
  <c r="P27" i="43"/>
  <c r="P71" i="43"/>
  <c r="P160" i="43"/>
  <c r="P112" i="43"/>
  <c r="P82" i="43"/>
  <c r="P105" i="43"/>
  <c r="P79" i="43"/>
  <c r="P24" i="43"/>
  <c r="P33" i="43"/>
  <c r="P102" i="43"/>
  <c r="P28" i="43"/>
  <c r="P107" i="43"/>
  <c r="P73" i="43"/>
  <c r="P45" i="43"/>
  <c r="P110" i="43"/>
  <c r="P52" i="43"/>
  <c r="P35" i="43"/>
  <c r="P113" i="43"/>
  <c r="P22" i="43"/>
  <c r="P76" i="43"/>
  <c r="P37" i="43"/>
  <c r="P63" i="43"/>
  <c r="P153" i="43"/>
  <c r="P53" i="43"/>
  <c r="O46" i="36" s="1"/>
  <c r="R46" i="36" s="1"/>
  <c r="P99" i="43"/>
  <c r="P65" i="43"/>
  <c r="P72" i="43"/>
  <c r="P152" i="43"/>
  <c r="P50" i="43"/>
  <c r="P116" i="43"/>
  <c r="P46" i="43"/>
  <c r="P75" i="43"/>
  <c r="P38" i="43"/>
  <c r="P151" i="43"/>
  <c r="P78" i="43"/>
  <c r="P86" i="43"/>
  <c r="P115" i="43"/>
  <c r="P81" i="43"/>
  <c r="P40" i="43"/>
  <c r="P149" i="43"/>
  <c r="P92" i="43"/>
  <c r="P43" i="43"/>
  <c r="O45" i="36" s="1"/>
  <c r="R45" i="36" s="1"/>
  <c r="P77" i="43"/>
  <c r="P83" i="43"/>
  <c r="P47" i="43"/>
  <c r="P148" i="43"/>
  <c r="P25" i="43"/>
  <c r="P89" i="43"/>
  <c r="P108" i="43"/>
  <c r="P62" i="43"/>
  <c r="P100" i="43"/>
  <c r="P32" i="43"/>
  <c r="P114" i="43"/>
  <c r="P57" i="43"/>
  <c r="P42" i="43"/>
  <c r="P161" i="43"/>
  <c r="O49" i="36" s="1"/>
  <c r="R49" i="36" s="1"/>
  <c r="P158" i="43"/>
  <c r="P97" i="43"/>
  <c r="P146" i="43"/>
  <c r="O48" i="36" s="1"/>
  <c r="R48" i="36" s="1"/>
  <c r="P90" i="43"/>
  <c r="P60" i="43"/>
  <c r="P164" i="43"/>
  <c r="P159" i="43"/>
  <c r="P157" i="43"/>
  <c r="P54" i="43"/>
  <c r="P29" i="43"/>
  <c r="O44" i="36" s="1"/>
  <c r="R44" i="36" s="1"/>
  <c r="P39" i="43"/>
  <c r="P36" i="43"/>
  <c r="P106" i="43"/>
  <c r="P103" i="43"/>
  <c r="P163" i="43"/>
  <c r="O51" i="36" s="1"/>
  <c r="R51" i="36" s="1"/>
  <c r="P96" i="43"/>
  <c r="P109" i="43"/>
  <c r="P67" i="43"/>
  <c r="P48" i="43"/>
  <c r="P41" i="43"/>
  <c r="P98" i="43"/>
  <c r="P23" i="43"/>
  <c r="J47" i="36"/>
  <c r="O43" i="36"/>
  <c r="F8" i="20"/>
  <c r="F13" i="20" s="1"/>
  <c r="G10" i="38"/>
  <c r="G8" i="20" s="1"/>
  <c r="Q45" i="36" l="1"/>
  <c r="Q46" i="36"/>
  <c r="Q48" i="36"/>
  <c r="Q44" i="36"/>
  <c r="Q51" i="36"/>
  <c r="R43" i="36"/>
  <c r="Q43" i="36"/>
  <c r="J52" i="36"/>
  <c r="O47" i="36"/>
  <c r="Q47" i="36" s="1"/>
  <c r="C16" i="20"/>
  <c r="H10" i="38"/>
  <c r="G13" i="20"/>
  <c r="O52" i="36" l="1"/>
  <c r="R47" i="36"/>
  <c r="H8" i="20"/>
  <c r="H13" i="20" s="1"/>
  <c r="D29" i="20" s="1"/>
  <c r="I10" i="38"/>
  <c r="R52" i="36" l="1"/>
  <c r="Q52"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<sst xmlns="http://schemas.openxmlformats.org/spreadsheetml/2006/main" count="97861" uniqueCount="9240">
  <si>
    <t>Material de Escritorio</t>
  </si>
  <si>
    <t>Salários</t>
  </si>
  <si>
    <t>Aluguel</t>
  </si>
  <si>
    <t>IPTU</t>
  </si>
  <si>
    <t>FGTS</t>
  </si>
  <si>
    <t>TOTAL</t>
  </si>
  <si>
    <t>Vale Alimentação</t>
  </si>
  <si>
    <t>Estagiários</t>
  </si>
  <si>
    <t>Seguro de Vida</t>
  </si>
  <si>
    <t>Assessoria Jurídica</t>
  </si>
  <si>
    <t>FGTS Multa Rescisória</t>
  </si>
  <si>
    <t>2.1.1</t>
  </si>
  <si>
    <t>2.1.2</t>
  </si>
  <si>
    <t>2.1.3</t>
  </si>
  <si>
    <t>2.1.4</t>
  </si>
  <si>
    <t>1.1</t>
  </si>
  <si>
    <t>2.2.1</t>
  </si>
  <si>
    <t>2.2.2</t>
  </si>
  <si>
    <t>2.2.3</t>
  </si>
  <si>
    <t>2.2.4</t>
  </si>
  <si>
    <t>2.2.5</t>
  </si>
  <si>
    <t>__________________________________</t>
  </si>
  <si>
    <t>Período Avaliatório</t>
  </si>
  <si>
    <t>2.3.2</t>
  </si>
  <si>
    <t>2.3.3</t>
  </si>
  <si>
    <t>2.3.4</t>
  </si>
  <si>
    <t>2.3.5</t>
  </si>
  <si>
    <t>2.3.6</t>
  </si>
  <si>
    <t>2.3.7</t>
  </si>
  <si>
    <t>2.3.1</t>
  </si>
  <si>
    <t>Data de Aquisição</t>
  </si>
  <si>
    <t>Fornecedor</t>
  </si>
  <si>
    <t>Nota Fiscal</t>
  </si>
  <si>
    <t>Carga-Horária 
(Semanal)</t>
  </si>
  <si>
    <t>Receitas</t>
  </si>
  <si>
    <t>Categoria</t>
  </si>
  <si>
    <t>Forma de Contratação</t>
  </si>
  <si>
    <t>Encargos</t>
  </si>
  <si>
    <t>Benefícios</t>
  </si>
  <si>
    <t>2.1</t>
  </si>
  <si>
    <t>2.2</t>
  </si>
  <si>
    <t>2.3</t>
  </si>
  <si>
    <t>1.1.1</t>
  </si>
  <si>
    <t>1.1.2</t>
  </si>
  <si>
    <t>Subcategoria</t>
  </si>
  <si>
    <t>1.1.4</t>
  </si>
  <si>
    <t>Subtotal:</t>
  </si>
  <si>
    <t>T</t>
  </si>
  <si>
    <t>(T)</t>
  </si>
  <si>
    <t>(A)</t>
  </si>
  <si>
    <t>(E)</t>
  </si>
  <si>
    <t>(C)</t>
  </si>
  <si>
    <t>Tipo do Documento</t>
  </si>
  <si>
    <t>Subtotal (Pessoal):</t>
  </si>
  <si>
    <t>Favorecido</t>
  </si>
  <si>
    <t>Vinculação ao Objeto / Justificativa</t>
  </si>
  <si>
    <t>CNPJ - CPF (Favorecido)</t>
  </si>
  <si>
    <t>Plano Odontológico</t>
  </si>
  <si>
    <t>Cesta Básica</t>
  </si>
  <si>
    <t>Assessoria Contábil</t>
  </si>
  <si>
    <t>Cartório</t>
  </si>
  <si>
    <t>Correios e Telégrafos</t>
  </si>
  <si>
    <t>Lanches e Refeiçoes</t>
  </si>
  <si>
    <t>Estacionamento</t>
  </si>
  <si>
    <t>Taxi</t>
  </si>
  <si>
    <t>Seguros de Imóveis</t>
  </si>
  <si>
    <t>Assinatura de Certificado Digital</t>
  </si>
  <si>
    <t>Taxas Municipais, Estaduais e Federais</t>
  </si>
  <si>
    <t>I.O.F</t>
  </si>
  <si>
    <t>Taxa de Expediente</t>
  </si>
  <si>
    <t>Juros e Multas</t>
  </si>
  <si>
    <t>Despesas Bancárias</t>
  </si>
  <si>
    <t>Veículos</t>
  </si>
  <si>
    <t>Número do Patrimônio</t>
  </si>
  <si>
    <t>Descrição Completa</t>
  </si>
  <si>
    <t>Nº do Documento</t>
  </si>
  <si>
    <t>Forma de Pagamento</t>
  </si>
  <si>
    <t>Outros Benefícios</t>
  </si>
  <si>
    <t>I.R.R.F s/ Aplicações</t>
  </si>
  <si>
    <t>Saldo Extrato C/C no período</t>
  </si>
  <si>
    <t>Saldo Extrato CI no período</t>
  </si>
  <si>
    <t>( = ) Saldo Financeiro no período</t>
  </si>
  <si>
    <t>Uniformes</t>
  </si>
  <si>
    <t>Combustível</t>
  </si>
  <si>
    <t>Água e Esgoto</t>
  </si>
  <si>
    <t>Energia Elétrica</t>
  </si>
  <si>
    <t>Serviços de Motoboy</t>
  </si>
  <si>
    <t>Locação de Veículos</t>
  </si>
  <si>
    <t>Serviços Gráficos</t>
  </si>
  <si>
    <t>Material Pedagógico/Didático</t>
  </si>
  <si>
    <t>Serviços de Mão-de-obra Terceirizada</t>
  </si>
  <si>
    <t>Fretes e Carretos</t>
  </si>
  <si>
    <t>Locação de Equipamentos e Máquinas</t>
  </si>
  <si>
    <t>Salários e Remunerações</t>
  </si>
  <si>
    <t>Outros Gastos com Pessoal</t>
  </si>
  <si>
    <t>Localização do Bem</t>
  </si>
  <si>
    <t>(G)</t>
  </si>
  <si>
    <t>Nº Lançto</t>
  </si>
  <si>
    <t>Eventos</t>
  </si>
  <si>
    <t>Cursos</t>
  </si>
  <si>
    <t>2.1.1.1</t>
  </si>
  <si>
    <t>2.1.1.2</t>
  </si>
  <si>
    <t>2.1.1.3</t>
  </si>
  <si>
    <t>2.1.1.4</t>
  </si>
  <si>
    <t>2.1.1.5</t>
  </si>
  <si>
    <t>Subtotal Salários :</t>
  </si>
  <si>
    <t>2.1.2.1</t>
  </si>
  <si>
    <t>Subtotal Estagiários:</t>
  </si>
  <si>
    <t>2.1.3.1</t>
  </si>
  <si>
    <t>2.1.4.1</t>
  </si>
  <si>
    <t>2.1.4.2</t>
  </si>
  <si>
    <t>2.1.4.3</t>
  </si>
  <si>
    <t>2.1.4.4</t>
  </si>
  <si>
    <t>2.1.4.5</t>
  </si>
  <si>
    <t>Subtotal Encargos Trabalhistas:</t>
  </si>
  <si>
    <t>Subtotal Benefícios:</t>
  </si>
  <si>
    <t>2.2.6</t>
  </si>
  <si>
    <t>2.2.7</t>
  </si>
  <si>
    <t>2.2.8</t>
  </si>
  <si>
    <t>2.2.9</t>
  </si>
  <si>
    <t>2.2.10</t>
  </si>
  <si>
    <t>2.2.11</t>
  </si>
  <si>
    <t>2.2.12</t>
  </si>
  <si>
    <t>2.2.13</t>
  </si>
  <si>
    <t>2.2.14</t>
  </si>
  <si>
    <t>2.2.15</t>
  </si>
  <si>
    <t>2.2.16</t>
  </si>
  <si>
    <t>2.2.17</t>
  </si>
  <si>
    <t>2.2.18</t>
  </si>
  <si>
    <t>2.2.19</t>
  </si>
  <si>
    <t>2.2.20</t>
  </si>
  <si>
    <t>2.2.21</t>
  </si>
  <si>
    <t>2.2.22</t>
  </si>
  <si>
    <t>2.2.23</t>
  </si>
  <si>
    <t>2.2.24</t>
  </si>
  <si>
    <t>2.2.25</t>
  </si>
  <si>
    <t>2.3.8</t>
  </si>
  <si>
    <t>2.3.9</t>
  </si>
  <si>
    <t>2.3.10</t>
  </si>
  <si>
    <t>Material de Copa e Cozinha</t>
  </si>
  <si>
    <t>2.3.11</t>
  </si>
  <si>
    <t>Material de Limpeza</t>
  </si>
  <si>
    <t>2.3.12</t>
  </si>
  <si>
    <t>2.3.13</t>
  </si>
  <si>
    <t>Aquisição de Bens Permanentes</t>
  </si>
  <si>
    <t>Número do Mês</t>
  </si>
  <si>
    <t>2.2.26</t>
  </si>
  <si>
    <t>2.2.27</t>
  </si>
  <si>
    <t>2.2.28</t>
  </si>
  <si>
    <t>2.2.29</t>
  </si>
  <si>
    <t>2.2.30</t>
  </si>
  <si>
    <t>2.2.31</t>
  </si>
  <si>
    <t>2.2.32</t>
  </si>
  <si>
    <t>2.2.33</t>
  </si>
  <si>
    <t>2.2.34</t>
  </si>
  <si>
    <t>Condomínio</t>
  </si>
  <si>
    <t>Entrada de Recursos</t>
  </si>
  <si>
    <t>Saída de Recursos</t>
  </si>
  <si>
    <t>Previsto
(-) Realizado</t>
  </si>
  <si>
    <t>Previsto</t>
  </si>
  <si>
    <t>Realizado</t>
  </si>
  <si>
    <t>Vale Transporte</t>
  </si>
  <si>
    <t>Valor</t>
  </si>
  <si>
    <t>Telefone Fixo</t>
  </si>
  <si>
    <t>Telefone Móvel</t>
  </si>
  <si>
    <t>Data do Documento</t>
  </si>
  <si>
    <t>Transporte de Saldo Acumulado Anterior</t>
  </si>
  <si>
    <t>Outras Receitas</t>
  </si>
  <si>
    <t>Celetista</t>
  </si>
  <si>
    <t>Adicional Noturno</t>
  </si>
  <si>
    <t>2.1.4.6</t>
  </si>
  <si>
    <t>2.1.4.7</t>
  </si>
  <si>
    <t>2.1.3.2</t>
  </si>
  <si>
    <t>Hora Extra</t>
  </si>
  <si>
    <t>DSR sobre Hora Extra/Adic. Noturno</t>
  </si>
  <si>
    <t>Rescisão de Trabalho (Saldo Salário, Aviso Prévio, outros)</t>
  </si>
  <si>
    <t>Despesas Sindicais</t>
  </si>
  <si>
    <t>Consultoria</t>
  </si>
  <si>
    <t>Serviços de Segurança</t>
  </si>
  <si>
    <t>Medicina e Segurança do Trabalho</t>
  </si>
  <si>
    <t>Serviços de Internet (Web Design, Hospedagem de Site, outros)</t>
  </si>
  <si>
    <t>Justificativa para a aquisição</t>
  </si>
  <si>
    <t>Gastos com Pessoal</t>
  </si>
  <si>
    <t>Internet</t>
  </si>
  <si>
    <t>Publicidade, Comunicação e Marketing</t>
  </si>
  <si>
    <t>Assinatura de Periódicos e Aquisição de Livros</t>
  </si>
  <si>
    <t>Aquisição e Suporte em Softwares</t>
  </si>
  <si>
    <t>Manutenção e Reparos em Redes e Computadores</t>
  </si>
  <si>
    <t>Serviços de Instalação e Manutenção Elétrica e Hidráulica</t>
  </si>
  <si>
    <t>Manutenção e Reparos em Ar Condicionado</t>
  </si>
  <si>
    <t>Serviços de Entrega/Recarga de Vale Transportes</t>
  </si>
  <si>
    <t>2.2.35</t>
  </si>
  <si>
    <t>2.2.36</t>
  </si>
  <si>
    <t>2.2.37</t>
  </si>
  <si>
    <t>2.2.38</t>
  </si>
  <si>
    <t>2.2.39</t>
  </si>
  <si>
    <t>2.2.40</t>
  </si>
  <si>
    <t>2.2.41</t>
  </si>
  <si>
    <t>2.2.42</t>
  </si>
  <si>
    <t>2.2.43</t>
  </si>
  <si>
    <t>2.2.44</t>
  </si>
  <si>
    <t>2.2.45</t>
  </si>
  <si>
    <t>2.2.46</t>
  </si>
  <si>
    <t>2.2.47</t>
  </si>
  <si>
    <t>2.2.48</t>
  </si>
  <si>
    <t>Locação de Veículos com Motorista</t>
  </si>
  <si>
    <t>2.2.49</t>
  </si>
  <si>
    <t>2.2.50</t>
  </si>
  <si>
    <t>2.2.51</t>
  </si>
  <si>
    <t>2.2.52</t>
  </si>
  <si>
    <t>IPVA/Seguro Obrigatório/Licenciamento</t>
  </si>
  <si>
    <t>2.2.53</t>
  </si>
  <si>
    <t>Seguro de Veículos</t>
  </si>
  <si>
    <t>2.2.54</t>
  </si>
  <si>
    <t>Manutenção em Veículos</t>
  </si>
  <si>
    <t>2.2.55</t>
  </si>
  <si>
    <t>2.2.56</t>
  </si>
  <si>
    <t>Despesas de Viagem - Passagem Terrestre</t>
  </si>
  <si>
    <t>2.2.57</t>
  </si>
  <si>
    <t>2.2.58</t>
  </si>
  <si>
    <t>2.2.59</t>
  </si>
  <si>
    <t>2.2.60</t>
  </si>
  <si>
    <t>Serviços de Registro/Produção Audiovisual</t>
  </si>
  <si>
    <t>Locação de Espaço</t>
  </si>
  <si>
    <t>Coleção e Materiais Bibliográficos</t>
  </si>
  <si>
    <t>Equipamentos de Comunicação e Telefonia</t>
  </si>
  <si>
    <t>Equipamentos de Informática</t>
  </si>
  <si>
    <t>Equipamentos de Segurança Eletrônica</t>
  </si>
  <si>
    <t>Equipamentos de Som, Vídeo, Fotográfico e Cinematográfico</t>
  </si>
  <si>
    <t>Instrumentos Musicais e Artísticos</t>
  </si>
  <si>
    <t>Máquinas, Aparelhos, Utensílios e Equip. de Uso Administrativo</t>
  </si>
  <si>
    <t>Máquinas, Aparelhos, Utensílios e Equipamentos de Uso Industrial</t>
  </si>
  <si>
    <t>Material Didático</t>
  </si>
  <si>
    <t>Material Esportivo e Recreativo</t>
  </si>
  <si>
    <t>Mobiliário</t>
  </si>
  <si>
    <t>Outros Materiais Permanentes</t>
  </si>
  <si>
    <t>(S)</t>
  </si>
  <si>
    <t>(SA)</t>
  </si>
  <si>
    <t>(SR)</t>
  </si>
  <si>
    <t>2.1.3.3</t>
  </si>
  <si>
    <t>2.1.3.4</t>
  </si>
  <si>
    <t>2.1.3.5</t>
  </si>
  <si>
    <t>2.1.3.6</t>
  </si>
  <si>
    <t>2.1.3.7</t>
  </si>
  <si>
    <t>2.1.3.8</t>
  </si>
  <si>
    <t>2.1.3.9</t>
  </si>
  <si>
    <t>2.1.3.10</t>
  </si>
  <si>
    <t>2.1.3.11</t>
  </si>
  <si>
    <t>2.1.3.12</t>
  </si>
  <si>
    <t>Bolsa Estágio</t>
  </si>
  <si>
    <t>2.1.2.2</t>
  </si>
  <si>
    <t>Auxílio Transporte</t>
  </si>
  <si>
    <t>INSS Patronal</t>
  </si>
  <si>
    <t>Serviços de Montagem e Desmontagem de Mobiliário</t>
  </si>
  <si>
    <t>Material de Informática</t>
  </si>
  <si>
    <t>(S) Total de Saídas:</t>
  </si>
  <si>
    <t>(E) Total de Entradas:</t>
  </si>
  <si>
    <t>Saldo Acumulado (T+E-S)</t>
  </si>
  <si>
    <t>(SF)</t>
  </si>
  <si>
    <t>CONFERENCIA (SA) - (SF) = 0,00</t>
  </si>
  <si>
    <t>Recursos Comprometidos</t>
  </si>
  <si>
    <t>(S) Total de Saídas</t>
  </si>
  <si>
    <t>Subtotal Pessoal:</t>
  </si>
  <si>
    <t>(E) Total de Entradas</t>
  </si>
  <si>
    <t>Buffet</t>
  </si>
  <si>
    <t>2.2.61</t>
  </si>
  <si>
    <t>2.2.62</t>
  </si>
  <si>
    <t>PIS</t>
  </si>
  <si>
    <t>13º Salário</t>
  </si>
  <si>
    <t>1/3 de Férias</t>
  </si>
  <si>
    <t>Composição Financeira do Saldo Acumulado (SF)</t>
  </si>
  <si>
    <t>Gastos Gerais</t>
  </si>
  <si>
    <t>Valor (R$)</t>
  </si>
  <si>
    <t>Total</t>
  </si>
  <si>
    <t>Entrada de Provisionamentos com Pessoal</t>
  </si>
  <si>
    <t>Total de Entradas</t>
  </si>
  <si>
    <t>Transporte de Provisionamentos Anteriores</t>
  </si>
  <si>
    <t>Provisionamento do Período</t>
  </si>
  <si>
    <t>Provisonamentos de Pessoal</t>
  </si>
  <si>
    <t>(PP)</t>
  </si>
  <si>
    <t>Data
Pgto</t>
  </si>
  <si>
    <t>MÊS
Pgto</t>
  </si>
  <si>
    <t>MÊS
Comp.</t>
  </si>
  <si>
    <t>Mês
Comp.</t>
  </si>
  <si>
    <r>
      <rPr>
        <sz val="9"/>
        <rFont val="Arial"/>
        <family val="2"/>
      </rPr>
      <t>N</t>
    </r>
    <r>
      <rPr>
        <b/>
        <sz val="9"/>
        <rFont val="Arial"/>
        <family val="2"/>
      </rPr>
      <t>º</t>
    </r>
  </si>
  <si>
    <t>Mês de
Comp.</t>
  </si>
  <si>
    <t>Custas com Justiça do Trabalho</t>
  </si>
  <si>
    <t>Férias</t>
  </si>
  <si>
    <t>Valor de Aquisição</t>
  </si>
  <si>
    <t>Saldo Fundo Fixo no período</t>
  </si>
  <si>
    <t>Tabela 1 - Resumo das Movimentações Financeiras no Período em Regime de Caixa</t>
  </si>
  <si>
    <t>Transporte de Saldo Acumulado (SA)</t>
  </si>
  <si>
    <t>Realizado
(/) Previsto</t>
  </si>
  <si>
    <t>% do TOTAL</t>
  </si>
  <si>
    <t>Tabela 2 - Comparativo entre Receitas e Gastos Previstos e Realizados no Período em Regime de Competência</t>
  </si>
  <si>
    <t>Rendimentos de Aplicações Fin.</t>
  </si>
  <si>
    <t>Outros Encargos Trabalhistas</t>
  </si>
  <si>
    <t>Outros Gastos Gerais</t>
  </si>
  <si>
    <t>Total de Entradas de Recursos</t>
  </si>
  <si>
    <t>Total de Saídas de Recursos</t>
  </si>
  <si>
    <t>Despesas de Viagem</t>
  </si>
  <si>
    <t>Gastos do Provisionamentos com Pessoal</t>
  </si>
  <si>
    <t>Total de Gastos</t>
  </si>
  <si>
    <t>Cancelamento de Provisionamentos com Pessoal</t>
  </si>
  <si>
    <t>Total de Cancelamentos</t>
  </si>
  <si>
    <t>Apropriação às Atividades</t>
  </si>
  <si>
    <t>Área Fim</t>
  </si>
  <si>
    <t>Área Meio</t>
  </si>
  <si>
    <t>Nº</t>
  </si>
  <si>
    <t>Área Meio - Atividades e Gastos</t>
  </si>
  <si>
    <t>N/A</t>
  </si>
  <si>
    <t>Destinação dos Gastos do Termo de Parceria</t>
  </si>
  <si>
    <t>Destinação</t>
  </si>
  <si>
    <t>Destinação dos Gastos do Termo de Parceria com Pessoal</t>
  </si>
  <si>
    <t>%</t>
  </si>
  <si>
    <t>Transferência para Reserva de Recursos</t>
  </si>
  <si>
    <t>Tabela 4 - Demonstrativo Analítico das Receitas e Gastos Mensais em Regime de Caixa</t>
  </si>
  <si>
    <t>Tabela 5 - Demonstrativo Analítico das Receitas e Gastos Mensais em Regime de Competência</t>
  </si>
  <si>
    <t>2.4</t>
  </si>
  <si>
    <t>1.2</t>
  </si>
  <si>
    <t>Gastos da Reserva de Recursos</t>
  </si>
  <si>
    <t>Saldo da Reserva de Recursos</t>
  </si>
  <si>
    <t>Movimentação Financeira da Reserva de Recursos</t>
  </si>
  <si>
    <t>Transporte de Saldo da Reserva de Recursos</t>
  </si>
  <si>
    <t>Rendimentos Financeiros da Reserva de Recursos</t>
  </si>
  <si>
    <t>Plano de Saúde</t>
  </si>
  <si>
    <t>Auditoria Externa</t>
  </si>
  <si>
    <t>Serviços de Manutenção em Equipamentos e Máquinas</t>
  </si>
  <si>
    <t>Despesas de Viagem - Passagem Aérea</t>
  </si>
  <si>
    <t>Data de entrega à Comissão de Monitoramento:        /        /</t>
  </si>
  <si>
    <t>Repasses do Contrato de Gestão</t>
  </si>
  <si>
    <t>Receita Arrecadada em Função do CG</t>
  </si>
  <si>
    <t>Tabela 3 - Demonstrativo dos Gastos das Atividades do Contrato de Gestão</t>
  </si>
  <si>
    <t>Atividades do Contrato de Gestão -
Vinculação ao Programa de Trabalho</t>
  </si>
  <si>
    <t>DECLARAÇÃO DO DIRIGENTE DA OS</t>
  </si>
  <si>
    <t>a</t>
  </si>
  <si>
    <t>Saldo de Recursos Arrecadados do CG</t>
  </si>
  <si>
    <t>2.1.4.8</t>
  </si>
  <si>
    <t>Bem Estar Social</t>
  </si>
  <si>
    <t>Março</t>
  </si>
  <si>
    <t>Abril</t>
  </si>
  <si>
    <t>Maio</t>
  </si>
  <si>
    <t>Junho</t>
  </si>
  <si>
    <t>Julho</t>
  </si>
  <si>
    <t>Agosto</t>
  </si>
  <si>
    <t>Setembro</t>
  </si>
  <si>
    <t>Outubro</t>
  </si>
  <si>
    <t>Novembro</t>
  </si>
  <si>
    <t>Dezembro</t>
  </si>
  <si>
    <t>Janeiro</t>
  </si>
  <si>
    <t>Fevereiro</t>
  </si>
  <si>
    <t>Estagiário</t>
  </si>
  <si>
    <t>Cargo Previsto na Memória de Cálculo</t>
  </si>
  <si>
    <t>Nome</t>
  </si>
  <si>
    <t>CPF</t>
  </si>
  <si>
    <t>Salário Contratado / Bolsa Estágio custeado pelo CG</t>
  </si>
  <si>
    <t>Salário Contratado / Bolsa Estágio total da pessoa</t>
  </si>
  <si>
    <t>Local de Trabalho</t>
  </si>
  <si>
    <t>Data de Admissão</t>
  </si>
  <si>
    <t>Data de Demissão
(Se ocorrida no ano)</t>
  </si>
  <si>
    <t>Tabela 6 - Demonstrativo Mensal dos Recursos Provisionados com Pessoal</t>
  </si>
  <si>
    <t>Tabela 7 - Lista de Bens Permanentes Adquiridos no Período</t>
  </si>
  <si>
    <t>Tabela 8 - Demonstrativo dos Recursos Comprometidos ao Final do Período</t>
  </si>
  <si>
    <t>1º Relatório Gerencial Financeiro</t>
  </si>
  <si>
    <t>2º Relatório Gerencial Financeiro</t>
  </si>
  <si>
    <t>3º Relatório Gerencial Financeiro</t>
  </si>
  <si>
    <t>4º Relatório Gerencial Financeiro</t>
  </si>
  <si>
    <t>Atenção: Não publicar esta Tabela nos sítios eletrônicos devido à Lei Geral de Proteção de Dados</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</si>
  <si>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</si>
  <si>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</si>
  <si>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</si>
  <si>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</si>
  <si>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</si>
  <si>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</si>
  <si>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</si>
  <si>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</si>
  <si>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</si>
  <si>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</si>
  <si>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</si>
  <si>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</si>
  <si>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</si>
  <si>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</si>
  <si>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</si>
  <si>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</si>
  <si>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</si>
  <si>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</si>
  <si>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</si>
  <si>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</si>
  <si>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Selecionar na célula abaixo o 1º Período Avaliaitório do ano corrente:</t>
  </si>
  <si>
    <t>Análise das Despesas e Receitas do Período Avaliatório</t>
  </si>
  <si>
    <t>Relatório Gerencial Financeiro | Belo Horizonte | Versão 2.0 | Janeiro | 2022 |</t>
  </si>
  <si>
    <t>Realizado (/) Previsto</t>
  </si>
  <si>
    <t>Adiantamento de Recursos de Repasse Anterior:</t>
  </si>
  <si>
    <t>(AR)</t>
  </si>
  <si>
    <t>Saldo Remanescente (SA-A-PP-C-AR)</t>
  </si>
  <si>
    <t>Extratos Contas Bancárias</t>
  </si>
  <si>
    <t>Conta Bancária</t>
  </si>
  <si>
    <t>C/C</t>
  </si>
  <si>
    <t>CI 1</t>
  </si>
  <si>
    <t>CI 2</t>
  </si>
  <si>
    <t>16121-7 - Contrato de Gestão</t>
  </si>
  <si>
    <t>15845-3  - Programação Artística da Fundação Clóvis Salgado - CA 2018.13609.0061</t>
  </si>
  <si>
    <t>15949-2 - Complemento da Programação Artística da Fundação Clóvis Salgado - CA 2018.13609.0068</t>
  </si>
  <si>
    <t>15556-x - Manutenção das Atividades Corpo Artísticos Pronac: 18.5397</t>
  </si>
  <si>
    <t>16375-9 - Programa de Artes Visuais da Fundação Clóvis Salgado Pronac: 17.7912</t>
  </si>
  <si>
    <t>16185-3 - Cine Humberto Mauro - Programação e Fomento 2018 Pronac: 17.8919</t>
  </si>
  <si>
    <t>16432-1 - Plano Anual da Fundação Clóvis Salgado - Ano I Pronac: 20.4460</t>
  </si>
  <si>
    <t>16376-7 - Cinquentenário Operístico da Fundação Clóvis Salgado - Pronac: 20.3579</t>
  </si>
  <si>
    <t>16517-4 - Área Meio - Projetos Meta do Contrato de Gestão</t>
  </si>
  <si>
    <t>Conta</t>
  </si>
  <si>
    <t>Comprometidos</t>
  </si>
  <si>
    <t>Saldo Remanescente</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</si>
  <si>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</si>
  <si>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</si>
  <si>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</si>
  <si>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</si>
  <si>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</si>
  <si>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</si>
  <si>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</si>
  <si>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</si>
  <si>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</si>
  <si>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</si>
  <si>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</si>
  <si>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</si>
  <si>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</si>
  <si>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</si>
  <si>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</si>
  <si>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</si>
  <si>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</si>
  <si>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</si>
  <si>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</si>
  <si>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</si>
  <si>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</si>
  <si>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</si>
  <si>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</si>
  <si>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</si>
  <si>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</si>
  <si>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</si>
  <si>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</si>
  <si>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</si>
  <si>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Aquisição de Partituras</t>
  </si>
  <si>
    <t>Autoração</t>
  </si>
  <si>
    <t>Cachê de Artistas e Convidados</t>
  </si>
  <si>
    <t>Camareira</t>
  </si>
  <si>
    <t>Cenografia</t>
  </si>
  <si>
    <t>Comitês de Seleção</t>
  </si>
  <si>
    <t>Criação e Confecção de Cenário</t>
  </si>
  <si>
    <t>Criação e Confecção de Figurino</t>
  </si>
  <si>
    <t>Curadoria</t>
  </si>
  <si>
    <t>Direitos Autorais e de Exibição</t>
  </si>
  <si>
    <t>Equipe para Produção e Coordenação de Eventos</t>
  </si>
  <si>
    <t>Figurino</t>
  </si>
  <si>
    <t>Iluminação</t>
  </si>
  <si>
    <t>Instrutores, Oficineiros e Palestrantes</t>
  </si>
  <si>
    <t>Locação de Equipamentos e Máquinas para Eventos</t>
  </si>
  <si>
    <t>Material de consumo</t>
  </si>
  <si>
    <t>Outros Gastos para Produção de Eventos</t>
  </si>
  <si>
    <t>Registro videográfico ou fotográfico</t>
  </si>
  <si>
    <t>Seguros</t>
  </si>
  <si>
    <t>Serviços de Direção Artística</t>
  </si>
  <si>
    <t>Serviços de Higienização de Figurinos</t>
  </si>
  <si>
    <t>Serviços de Manutenção em Equipamentos de Produção de Eventos</t>
  </si>
  <si>
    <t>Serviços de Montagem e Desmontagem de Eventos</t>
  </si>
  <si>
    <t xml:space="preserve">Serviços de Tradução, Legendagem e Revisão de Texto </t>
  </si>
  <si>
    <t>Serviços e Materiais de Maquiagem</t>
  </si>
  <si>
    <t>Serviços Gráficos para Realização de Eventos</t>
  </si>
  <si>
    <t>Serviços para Produção e Coordenação de Eventos</t>
  </si>
  <si>
    <t>Sonorização</t>
  </si>
  <si>
    <t>Gastos custeados por captação</t>
  </si>
  <si>
    <t>Contratação de profissional para Gestão do Sistema de Processos da Appa. Faz-se necessária a contratação de profissional para a Gestão do Sistema de Processos da Appa, em especial para desenvolvimento evolutivo do sistema de compras, criação de módulos e funcionalidades, resolução preventiva e evolutiva de demandas internas relacionadas a Tecnologia de Informação da Appa.</t>
  </si>
  <si>
    <t>Aquisição de pacote pré-pago para acesso à internet de alunos matriculados nos cursos regulares do Cefart. (140 chips de telefone).A Fundação Clóvis Salgado, por meio do Centro de Formação Artística e Tecnológica lançou, a partir de agosto, o Programa de Inclusão Digital para estudantes matriculadosnos cursos de Produção em Artes Visuais; Básico em Dança, Técnico em Dança; Coral Infantojuvenil, Básico em Música; Técnico em Teatro; e Tecnologia da Cena. Para garantir o acesso digital, faz-se necessária a aquisição de pacote de dados para internet móvel.</t>
  </si>
  <si>
    <t>Contratação de empresa de motoboy para serviços de entrega e retirada de documentos.Contratação de empresa de motoboy para serviços de entrega e retirada de documentos.</t>
  </si>
  <si>
    <t>Impressão de adesivo vinil fosco para plotagem na Grande Galeria Alberto da Veiga Guignard, formato: 30 cm x 30 cm. Incluir impressão, instalação e retirada dos adesivos. Data de instalação: até 03/11/2020, até as 12h00 / Retirada: a partir de 24/01/2021.</t>
  </si>
  <si>
    <t>Contratação de empresa de Telecomunicação para locação e suporte em PABX utilizado pelos colaboradores da Appa em atendimento às demandas.Contratação de uma empresa para a locação e suporte técnico em Central telefônica PABX, com aparelho digital. Tal contratação faz-se necessária para atendimento dos colaboradores e compreende a disponibilidade de central para 06 linhas analógicas , 32 ramais e 01 aparelho digital para os mesmos. A locação será aditivada nas mesmas condições comerciais.</t>
  </si>
  <si>
    <t>Contratação de servicos de locação de impressoras multifuncionais em atendimento as demandas administrativas na sede da Appa - ano 2021.O serviço em questão é primordial para o bom andamento das demandas administrativas: elaboração de cópias para montagem dos processos, digitalizações diversas, cópias de contratos, relatórios diversos, etc. O valor total mensal poderá sofrer alteções caso ocorra excedente na quantidade de cópias. Os serviços serão aditivados nas mesmas condições comerciais.</t>
  </si>
  <si>
    <t>Contratação de suporte TI para utilização das ferramentas do G Suite.O serviço de suporte G Suite faz o acompanhamento em tempo real do desempenho dos produtos da Google e a intervenção imediata em caso de dúvida ou eventualidade.</t>
  </si>
  <si>
    <t>Contratação de empresa de gestão de hardware e Redes - ano 2021.Prestação de serviços técnicos de manutenção de hardware e redes, preventiva, preditiva e corretiva, visando garantia de melhor desempenho do servidor e estações de trabalho em atendimento às necessidades do trabalho, com acesso remoto ilimitado.</t>
  </si>
  <si>
    <t>ISSQN referente ao RPA 1466 - Cintya Juliana Souza Santos Dias</t>
  </si>
  <si>
    <t>DARF/IR referente ao RPA 1466 - Cintya Juliana Souza Santos Dias</t>
  </si>
  <si>
    <t>ISSQN referente a nota fiscal 2021/23 - PEREZ BERTACHINI TRADUCOES E PROJETOS LTDA</t>
  </si>
  <si>
    <t>Serviço de plotagem para o Prêmio Décio Noviello dosprojetos em artes visuais e fotografia para ocupação das galerias da FCS e CamaraSete - Casa da Fotografia de Minas Gerias. As plotagens são necessárias para portas, vidros, escada e banners para a composição de divulgação das exposições.</t>
  </si>
  <si>
    <t>Prestação de serviços Técnicos em Acervo: Acompanhamento e acondicionamento do acervo do Centro Técnico de Produção e Formação – CTPF.Faz-se necessária a contratação de prestação de serviçosdigitação e transcrição de formulários de controle de materiais, bem como preenchimento de fichas de cadastramento de usuários do espaço para fins de controle, acompanhamento e acondicionamento do acervo do Centro Técnico de Produção e Formação - CTPFdo Contrato de Gestão 05/2019 - CEFART Andradas. Os serviços serão prestados no horário de 8h às 17h, de segunda a sexta e em finais de semana, conforme demanda. Aditivo</t>
  </si>
  <si>
    <t>Contratação de empresa de segurança eletrônica para atender a demandas da sede administrativa - ano 2021.Contratação de empresa especializada em sistema de segurança eletrônica para atender a sede administrativa da APPA, onde os termos de Parceria estão alocados para realização das atividades dos mesmos.</t>
  </si>
  <si>
    <t xml:space="preserve">ISSQN referente a nota fiscal 2022/2 - Dolabella Advocacia e Consultoria </t>
  </si>
  <si>
    <t xml:space="preserve">DARF/IR referente a nota fiscal 2021/1717 - Krypton Serviços Contábeis S. S. </t>
  </si>
  <si>
    <t xml:space="preserve">DARF/PCC referente a nota fiscal 2021/1717 - Krypton Serviços Contábeis S. S. </t>
  </si>
  <si>
    <t>ISSQN referente a nota fiscal 2021/15 - BD SERVICOS E CONSULTORIA LTDA</t>
  </si>
  <si>
    <t>ISSQN referente a nota fiscal 2022/1 - BD SERVICOS E CONSULTORIA LTDA</t>
  </si>
  <si>
    <t xml:space="preserve">ISSQN referente a nota fiscal 2021/18 - Arreda Produções </t>
  </si>
  <si>
    <t>Apoio na Produção Executiva e supervisão de ações e projetos da APPA</t>
  </si>
  <si>
    <t>Água e Esgoto da Sede da Appa mês 12/2021</t>
  </si>
  <si>
    <t>Consumo de energia elétrica do mês 01/2022</t>
  </si>
  <si>
    <t>Consumo de energia elétrica do mês 02/2022</t>
  </si>
  <si>
    <t>Consumo de energia elétrica do mês 03/2022</t>
  </si>
  <si>
    <t>DARF/IR referente ao aluguel da sede da Appa</t>
  </si>
  <si>
    <t>Aluguel da sede da Appa referente ao período de 10/12 a 09/01/2022</t>
  </si>
  <si>
    <t>Aluguel da sede da Appa referente ao período de 10/01 a 09/02/2022</t>
  </si>
  <si>
    <t>Aluguel da sede da Appa referente ao período de 10/02 a 09/03/2022</t>
  </si>
  <si>
    <t>Guia de IPTU 02/11</t>
  </si>
  <si>
    <t>Aluguel da sede da Appa referente ao período de 10/03 a 09/04/2022</t>
  </si>
  <si>
    <t>Guia de IPTU 03/11</t>
  </si>
  <si>
    <t>Telefone Fixo da sede da Appa referente ao mês 12/2021</t>
  </si>
  <si>
    <t>Telefone móvel para os funcionários a serviço do Contrato de Gestão</t>
  </si>
  <si>
    <t>Internet para sede da Appa referente ao mês 12/2021</t>
  </si>
  <si>
    <t>IR retido em folha do mês 11/2021</t>
  </si>
  <si>
    <t xml:space="preserve">IR retido 13º salário </t>
  </si>
  <si>
    <t>Seguro de vida dos funcionários a serviço do Contrato de Gestão e Termo de Parceria</t>
  </si>
  <si>
    <t>DARF/PCC referente a nota fiscal 2021/9301 - Assiste Saúde do Trabalho</t>
  </si>
  <si>
    <t>DARF/PCC referente a nota fiscal 2021/14136 - Ocupacional Medicina do Trabalho</t>
  </si>
  <si>
    <t>ISSQN referente a nota fiscal 2021/15763 - Ocupacional Medicina do Trabalho Ltda</t>
  </si>
  <si>
    <t>DARF/PCC referente a nota fiscal 2021/15763 - Ocupacional Medicina do Trabalho Ltda</t>
  </si>
  <si>
    <t xml:space="preserve">ISSQN referente a nota fiscal 2021/10108 - Assiste Saúde do Trabalhador </t>
  </si>
  <si>
    <t xml:space="preserve">DARF/PCC referente a nota fiscal 2021/10108 - Assiste Saúde do Trabalhador </t>
  </si>
  <si>
    <t>Valor referente a Medicina do Trabalho do mês 02/2022 - PCMSO</t>
  </si>
  <si>
    <t>Valor referente a Medicina do Trabalho do mês 03/2022 - PCMSO</t>
  </si>
  <si>
    <t>ISSQN referente ao RPA 1465 -  Angela Peres De Oliveira</t>
  </si>
  <si>
    <t>DARF referente ao RPA 1465 -  Angela Peres De Oliveira</t>
  </si>
  <si>
    <t>INSS e INSS Patronal referente ao RPA 1465 -  Angela Peres De Oliveira</t>
  </si>
  <si>
    <t>Contratação de plataforma web para reuniões online em formato de transmissão de conteúdo. (videoconferência). A partir da realidade da Pandemia do COVID-19, a Diretoria do Cefart conjuntamente com a APPA estão buscando alternativas para o atendimento aos alunos da Escola de forma não presencial. Com isso, faz-se necessária a contratação de um canal de transmissão on-line dos conteúdos desenvolvidos pelos professores, como forma de bate-papo, transmissão ao vivo de atividades práticas, desenvolvimento de fóruns, dentre outras ações.</t>
  </si>
  <si>
    <t>Aluguel do mês de 01/2022 do CTP</t>
  </si>
  <si>
    <t>Aluguel do mês de 02/2022 do CTP</t>
  </si>
  <si>
    <t>Aluguel do mês de 03/2022 do CTP</t>
  </si>
  <si>
    <t>Guia de ISSQN referente a nota fiscal 2021/17 - Sergio Arruda Felicio</t>
  </si>
  <si>
    <t>Plotagem da identidade visual da exposição "Acervo FCS - Retratos" na PQNA Galeria Pedro Moraleida - FCS, conforme especificações e arquivos anexos.</t>
  </si>
  <si>
    <t>ISSQN referente a nota fiscal 2021/288 - Softwares De Gestão Ltda</t>
  </si>
  <si>
    <t>Contratação de um sistema de gestão acadêmica com, hospedagem em nuvem, para monitoramento e acompanhamento das atividades complementares e demais atividades de Secretaria Acadêmica do CEFART no ano de 2021. Parcela 10</t>
  </si>
  <si>
    <t>Contratação de um sistema de gestão acadêmica com, hospedagem em nuvem, para monitoramento e acompanhamento das atividades complementares e demais atividades de Secretaria Acadêmica do CEFART no ano de 2021. Parcela 11</t>
  </si>
  <si>
    <t>Contratação de um sistema de gestão acadêmica com, hospedagem em nuvem, para monitoramento e acompanhamento das atividades complementares e demais atividades de Secretaria Acadêmica do CEFART no ano de 2021. Parcela 12</t>
  </si>
  <si>
    <t>ISSQN referente a nota fiscal 2021/48 - Arco Cultural Ltda</t>
  </si>
  <si>
    <t>ISSQN referente a nota fiscal 2021/49 - Arco Cultural Ltda</t>
  </si>
  <si>
    <t>ISSQN referente a nota fiscal 2022/1 - Arco Cultural Ltda</t>
  </si>
  <si>
    <t>Guia de ISSQN referente ao RPA 1500 - Cleber José Leão</t>
  </si>
  <si>
    <t>DARF/IR  referente ao RPA 1500 - Cleber José Leão</t>
  </si>
  <si>
    <t>ISSQN referente a nota fiscal 2021/23 - ARTELIVRE PRODUCAO E COMUNICACAO LTDA</t>
  </si>
  <si>
    <t>ISSQN referente a nota fiscal 2021/9 - Sinara Araujo Costa Sociedade Individual De Advocacia</t>
  </si>
  <si>
    <t>Renovação de linha telefônica para o CEFART Andradas com acréscimo de internet (fibra óptica) 30 MB para utilização do sistema de catalogação do acervo. A renovação do contrato faz-se necessária para manter um mínimo de estrutura no espaço. O contrato atual não possuí plano de internet. No entanto, iremos cotar para a contratação de internet - fibra óptica - 30MB para atendimento às novas demandas do Contrato de Gestão 05-2019 no local do CTPF (Andradas). O contrato deverá ser de apuração mensal onde já utilizamos linha telefônica. O serviço será uma composição do pacote de telefonia para atendimento das demandas locais.</t>
  </si>
  <si>
    <t>Locação de notebooks para atender as demandas de colaboradores a serviço da Appa. - Cotação por computador e configuração. Ano 2021.Faz-se necessária a locação de notebooks para colaboradores em atendimento às demandas da Appa. A locação será realizada com apuração mensal, dentro das necessidades dos colaboradores.</t>
  </si>
  <si>
    <t>Realização do Seminário "Encontros com a Cultura Popular" no mês de junho, proposta de Formação dos alunos do Centro de Formação Artística e Tecnológica (CEFART), neste momento na modalidade virtual.Os seminários e cursos propostos ampliam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</si>
  <si>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Aquisição de sistema de ponto para utilização pelos colaboradores.Faz-se necessário a aquisição da licença de uso de um aplicativo chamado "PontoTel" que possibilitará o acompanhamento mais próximo do ponto dos funcionários, além da localização de trabalho do mesmo. Atualmente, a Appa possui vários pontos de trabalho e um ponto fixo de marcação dificultaria o controle do ponto.aboradores da Appa - ano 2021.</t>
  </si>
  <si>
    <t>Guia de ISSQN referente ao RPA 1476 - Lívia Beatriz Ferreira Lopes</t>
  </si>
  <si>
    <t>INSS e INSS Patronal referente ao RPA 1476 - Lívia Beatriz Ferreira Lopes</t>
  </si>
  <si>
    <t>Guia de ISSQN referente ao RPA 1477 - Adriano Maciel Canabrava</t>
  </si>
  <si>
    <t>INSS e INS Patronal referente ao RPA 1477 - Adriano Maciel Canabrava</t>
  </si>
  <si>
    <t>INSS e INSS Patronal referente ao RPA 1478 - Victor Hugo Marques</t>
  </si>
  <si>
    <t>Contratação de profissional para edição de vídeos que seja responsável por pegar um material de professores e alunos produzidos nas escolas e editá-los.Justifica-se a contratação de um profissional, pois sua atuação impacta as atividades dos cursos complementares e atividades artísticas, uma vez que os vídeos editados servirão como documento e complemento pedagógico às aulas. O profissional realizará edição de apresentações artísticas, referentes às metas no Contrato de Gestão, e os vídeosde aulas abertas, rodas de conversa, aulas inaugurais e outras atividades do Cefart que são direcionadas para as redes sociais da FCS.</t>
  </si>
  <si>
    <t>Aquisição de licença de um sistema de gestão financeira e gestão de compras para os projetos da Appa.A Appa no ano de 2020 e 2021 contratou um desenvolvedor para a criação de um sistema customizado para o setor de compras. O sistema está em execução, com algumas limitações. Para tanto, será necessário procurar no mercado algumas opções de sistemas prontos (de prateleira) que apresentassem ferramentas de gestão, integrando tanto o setor de compras e projetos quanto o setor de contratos e compras. Para tanto, justifica-se a aquisição (aluguel) da licença de um sistema de gestão.</t>
  </si>
  <si>
    <t>DARF/PCC referente a nota fiscal 2138 - Ongsys Sistema Ltda</t>
  </si>
  <si>
    <t xml:space="preserve">Contratação de serviço de comunicação visual, sendo impressão e instalação de adesivos como textos, legendas, comunicação diversa e construção de lightbox personalizado, para compor da Exposição "50 anos em 5 atos" do Palácio das Artes. Detalhamento do material anexo no termo de referência.A exposição comemorativa dos 50 anos do Palácio das Artes acontecerá na Grande Galeria Alberto da Veiga Guignard entre os dias 12 de agosto a 14 de novembro de 2021. </t>
  </si>
  <si>
    <t>Serviço para contratação de espaço para a guarda de documentos da sede administrativos - 2º semestre de 2021.O serviço contempla a contratação de espaço para a guarda de documentos escriturais referente ao segundo semestre de 2021.</t>
  </si>
  <si>
    <t>Compra de 6 folhas de Gelatina Supergel, cores:#21 Âmbar Dourado (Goldem Amber)#22 Âmbar Escuro (Deep Amber)#388 Verde Luz de Gás (Gaslight Green)#93 Azul Esverdeado (Blue Green)#383 Azul Safira (Sapphire)#343 Rosa Neon (Neon Pink). Necessário a compra de 6 gelatinas para iluminação do Concerto Stabat Mater, dia 28/08 no Grande Teatro Cemig Palácio das Artes.</t>
  </si>
  <si>
    <t>Direito de Exibição do filme O HOMEM DO PAU BRASIL, dirigido por Joaquim Pedro de Andrade (BRA, 1981).O filme integra a programação da mostra Exagerados, e será exibido, durante a mostra entre os dias 09 e 29 de setembro de 2021 de forma presencial no Cine Humberto Mauro e também na plataforma virtual CineHumbertoMauroMais.com.</t>
  </si>
  <si>
    <t>Aquisição de plano de internet fixa para o espaço CTPF Andradas.Com o retorno das atividades presenciais e as ações de catalogação, faz-se necessária a instalação de uma internet no CTPF Andradas.</t>
  </si>
  <si>
    <t>Contratação de empresa especializada para prestação de serviço de TV CORPORATIVA / MURAL ELETRÔNICO. aContratação será licenças do Software de Digital Signage (4YouSee, plano Enterprise), para gerenciamento e exibição de conteúdos em vídeos e informativos</t>
  </si>
  <si>
    <t>Guia de ISSQN referente a nota fiscal 2021/38 -  Rodrigo Alves Moreira 91460212649</t>
  </si>
  <si>
    <t xml:space="preserve">ISSQN referente a nota fiscal 2021/95 - Logus Protection Patrimonial Ltda
</t>
  </si>
  <si>
    <t>INSS e INSS Patronal referente ao RPA 1504 - Livia Sabbag Da Silva Ramos</t>
  </si>
  <si>
    <t>DARF/IR referente RPA1504 - Livia Sabbag Da Silva Ramos</t>
  </si>
  <si>
    <t>Compra de 06 buquês para homenageados da formatura do 3º ano da Escola de Teatro.</t>
  </si>
  <si>
    <t>ISSQN referente ao RPA 1495 - Wagner Luiz Nardi</t>
  </si>
  <si>
    <t>DARF/IR referente ao RPA 1495 - Wagner Luiz Nardi</t>
  </si>
  <si>
    <t>INSS e INSS Patrona referente ao RPA 1495 - Wagner Luiz Nardi</t>
  </si>
  <si>
    <t>Guia de ISSQN referente a nota fiscal 2021/19 - Sergio Arruda Felicio</t>
  </si>
  <si>
    <t>Guia de ISSQN referente ao RPA 1475 - Luciana Campos Horta</t>
  </si>
  <si>
    <t>Guia de ISSQN referente a nota fiscal 2021/20 - Sergio Arruda Felicio</t>
  </si>
  <si>
    <t xml:space="preserve">INSS e INSS Patronal referente ao RPA 1492 - Guilherme Dias Da Silva Barreto
</t>
  </si>
  <si>
    <t xml:space="preserve">DARF/IR referente ao RPA 1492 - Guilherme Dias Da Silva Barreto
</t>
  </si>
  <si>
    <t xml:space="preserve">Contratação do instrutor/monitor Guilherme Dias para acompanhamento do público durante a visitação na exposição "Assim como os jardins..." da artista Mariana Palma e curadoria de Wagner Nardi, durante o período expositivo, 08 de outubro a 12 de dezembro de 2021, na Galeria Arlinda Correa Lima /FCS. Aditivo </t>
  </si>
  <si>
    <t>Impressão, plotagem e retirada de adesivos para exposição “Assim como os jardins…” de Mariana Palma, conforme descrição abaixo:Item 1 – texto institucional – 2 adesivos vinil leitoso fosco – 88 x 55cmItem 2 – ficha técnica – 2 adesivos vinil leitoso fosco – 88 x 55cmItem 3 - adesivo porta - adesivo recorte fosco rosa - 115 X 125 cmItem 4 - adesivo porta - adesivo recorte fosco rosa - 63,25 X 54,5 cmItem 5 - adesivo porta - adesivo recorte fosco rosa - 65 X 68,25 cmItem 6 - vitrine – adesivo vinil leitoso fosco - 300 x104cm</t>
  </si>
  <si>
    <t>ISSQN referente ao RPA 1493 - Camila Araújo De Oliveira Pinho</t>
  </si>
  <si>
    <t>DARF/IR referente ao RPA 1493 - Camila Araújo De Oliveira Pinho</t>
  </si>
  <si>
    <t>INSS e INSS Patronal  referente ao RPA 1493 - Camila Araújo De Oliveira Pinho</t>
  </si>
  <si>
    <t xml:space="preserve">Contratação da instrutora / monitora Camila Pinho para acompanhamento do público durante a visitação na exposição "Assim como os jardins..." da artista Mariana Palma e curadoria de Wagner Nardi, durante o período expositivo, 08 de outubro a 12 de dezembro de 2021, na Galeria Arlinda Correa Lima / FCS. Aditivo </t>
  </si>
  <si>
    <t>ISSQN referente ao RPA 1482 - Marise Dinis Sousa</t>
  </si>
  <si>
    <t>INSS e INSS Patronal  referente ao RPA 1482 - Marise Dinis Sousa</t>
  </si>
  <si>
    <t>ISSQN referente a NF 202128 - Arquipelago Ltda</t>
  </si>
  <si>
    <t>DARF/IR referente ao RPA 1508 -  Lindberg Souza Campos Filho</t>
  </si>
  <si>
    <t>INSS e INSS Patronal referente ao RPA 1508 -  Lindberg Souza Campos Filho</t>
  </si>
  <si>
    <t>Guia de ISSQN referente a nota fiscal 2021/127 -  Elisete Gomes Joaquim De Oliveira-me</t>
  </si>
  <si>
    <t>Contratação de Curadoria e Pesquisa de orientação pedagógica aos alunos que irão apresentar seus trabalhos do semestre na Mostra Chama da Escola de Artes Visuais.</t>
  </si>
  <si>
    <t>ISSQN referente ao câmbio - Processo 2380 - Khaunbiow Elom Kossi</t>
  </si>
  <si>
    <t>Contratação de serviço de audiodescrição -Adaptação do material produzido para faixa narrativa adicional para pessoas com deficiência visual, intelectual, dislexia e idosos, consumidores de meios de comunicação visual.</t>
  </si>
  <si>
    <t>Contratação de Leonardo Gontijo para palestra de abertura da programação do Ações Afirmativas - Acessibilidade 2021 - "Palestra-show - Afinal, onde está a deficiência?"</t>
  </si>
  <si>
    <t>Contratação de empresas para apoio na operação de higienização e acondicionamento dos figurinos utilizados nas apresentações do final do ano, sendo: dois profissionais para execução de serviço de lavagem, passagem e higienização de roupas e dois profissionais para execução de serviços de assistente auxiliar e apoio ao setor de acervo.</t>
  </si>
  <si>
    <t>Contratação de empresas para apoio na operação de higienização e acondicionamento dos figurinos utilizados nas apresentações do final do ano, sendo: dois profissionais para execução de serviço de lavagem, passagem e higienização de roupas e dois profissionais para execução de serviços de assistente auxiliar e apoio ao setor de acervo. Referente ao Termo Aditivo.</t>
  </si>
  <si>
    <t>Contratação de técnico de palco para auxiliar nas atividades de iluminação da montagem das cenas e ensaios do Concerto da OSMG presencial.</t>
  </si>
  <si>
    <t>Guia de ISSQN referente ao RPA 1471 - Fábio Silva Martins De Jesus</t>
  </si>
  <si>
    <t>DARF/IR referente ao RPA 1471 - Fábio Silva Martins De Jesus</t>
  </si>
  <si>
    <t>INSS e INSS Patronal referente ao RPA 1471 - Fábio Silva Martins De Jesus</t>
  </si>
  <si>
    <t>ISSQN referente ao RPA 1468 - Andrea Werner Silva Bonoli</t>
  </si>
  <si>
    <t>INSS e INSS Patronal referente ao RPA 1468 - Andrea Werner Silva Bonoli</t>
  </si>
  <si>
    <t>Contratação de empresa para captação de imagens. Necessário diárias de captação de imagens, divididas da seguinte forma: captação dos ensaios e registros da retomada das atividades presenciais da Orquestra Sinfônica de Minas Gerais, diária para entrevistas com os músicos, diária para coletar imagens da plateia no dia do concerto e depoimento do público. Edição de vídeo.</t>
  </si>
  <si>
    <t>ISSQN referente ao RPA 1485 - Eduardo Assis Martins</t>
  </si>
  <si>
    <t>INSS e INSS Patronal referente ao RPA 1485 - Eduardo Assis Martins</t>
  </si>
  <si>
    <t>Contratação de profissional para a coordenação geral e curadoria da Mostra Tátil, desenvolvendo, acompanhando e adequando os trabalhos dos 19 residentes, em diferentes áreas, para criar uma proposta uniforme para dialogar com o público-alvo. Acompanhar as montagens cênicas nos dias 01 e 2 de dezembro, coordenando o trabalho dos artistas com a equipe técnica dos teatro. Produção de briefing e material de divulgação junto a Ascom. Coordenação e organização de publicação com os trabalhos dos residentes. Orientação e acompanhamento da curadoria específica da exposição dos residentes das artes visuais na Galeria Maris´tela Tristão entre o dia 10 de dezembro a 10 de janeiro.</t>
  </si>
  <si>
    <t>Locação de TV LED – 32 pol ou maior, com entrada para pen drive e HDMI, bivolt, com suporte de parede.Incluir instalação imediata e desinstalação após o fim da exposição.Período de locação: até 20/12</t>
  </si>
  <si>
    <t>Guia de ISSQN referente a nota fiscal 2021/27 - Mylene Youssef A Vieira - Produções E Eventos Epp</t>
  </si>
  <si>
    <t>Contratação de Curadoria e Pesquisa de orientação pedagógica aos residentes que irão apresentar seus trabalhos na Mostra Tátil, o profissional trabalhará no acompanhamento pedagógico daprodução do texto curatorial, acompanhamento do processo de construção da exposição para seleção dos projetos e criação de um percurso expositivo.</t>
  </si>
  <si>
    <t>Produção de adesivo ploter fosco verde - 225 x 80 cm com impressão do grid de marcas em branco . O adesivo faz parte da sinalização da exposição que está no espaço Mari'Stella Tritão.</t>
  </si>
  <si>
    <t>Contratação de Waneska Cezar, professora para preparação dos bailarinos da Cia de Dança para novembro e dezembro sendo 12 aulas com horários a serem definidos</t>
  </si>
  <si>
    <t>Contratação de um profissional para realizar as filmagens da Mostra, incluindo 4 diárias para filmagem da Mostra, incluindo Mostra cênica, show da apresentação musical e da exposição. Dias 01, 02, 03 e 10 de dezembro, incluindo acompanhamento das montagens para making off</t>
  </si>
  <si>
    <t>Locação de TV LED – 32 pol ou maior, com entrada para pen drive e HDMI, bivolt, com suporte de parede para obra do artista Victor Galvão - nova doação do Acervo FCS. Duração: período expositivo - 30/11 a 26/12Instalação: 02/12/2021Retirada: 03/01/2022</t>
  </si>
  <si>
    <t>Locação de TV LED – 32 pol ou maior, com entrada para pen drive e HDMI, bivolt, com suporte de parede para obra do artista Victor Galvão - nova doação do Acervo FCS. Duração: período expositivo - 30/11 a 26/12Instalação: 02/12/2021Retirada: 03/01/2022. Aditivo</t>
  </si>
  <si>
    <t>ISSQN referente ao RPA 1517 - Jéssica Parreiras Marroques</t>
  </si>
  <si>
    <t>INSS e INSS Patronal referente ao RPA 1517 - Jéssica Parreiras Marroques</t>
  </si>
  <si>
    <t>ISSQN referente ao RPA 1486 - Jéssica Parreiras Marroques</t>
  </si>
  <si>
    <t>INSS e INSS Patronal referente ao RPA 1486 - Jéssica Parreiras Marroques</t>
  </si>
  <si>
    <t>Aquisição de cabos, grampos e esticadores para construção de varal no CTPF: 60 metros de cabo de aço revestido 3/16, 4 esticadores ,4 chumbadores com argola ou gancho. A montagem do varal será de responsabilidade da equipe de manutenção da Fundação Clóvis Salgado.ustifica-se a construção de varal de roupas, para atender à demanda de higienização/secagem de figurinos do acervo do CTPF.</t>
  </si>
  <si>
    <t>Contratação da monitoraVictória Sofia Lúcio Silvapara acompanhamento do público durante a visitação na exposição "Acervo FCS - Cidade Imaginária", durante o período expositivo, 03 de dezembro a 31 de dezembro de 2021, na Pequena Galeria /FCS.</t>
  </si>
  <si>
    <t xml:space="preserve">Plotagem de sinalização da exposição Cidades Imaginárias na Pequena Galeria do Palácio das Artes. Fornecedor deve produzir, instalar e retirar os adesivos. A plotagem deve ser feita no local na quinta-feira 02/12. </t>
  </si>
  <si>
    <t>ISSQN referente a nota fiscal 2021/651 - Flag Impressao Digital Ltda</t>
  </si>
  <si>
    <t>ISSQN referente ao RPA 1506 - Kênia E Silva Dias</t>
  </si>
  <si>
    <t>DARF/IR referente ao RPA 1506 - Kênia E Silva Dias</t>
  </si>
  <si>
    <t>INSS e INSS Patronal referente ao RPA 1506 - Kênia E Silva Dias</t>
  </si>
  <si>
    <t>Contratação da monitora Luiza Poeiras Amorim para acompanhamento do público durante a visitação na exposição "Acervo FCS - Cidade Imaginária", durante o período expositivo, 03 de dezembro a 31 de dezembro de 2021, na Pequena Galeria /FCS.</t>
  </si>
  <si>
    <t>Contratação de técnico de palco para os eventos da Orquestra Sinfônica de Minas Gerais em dezembro 2021.</t>
  </si>
  <si>
    <t>ISSQN referente ao RPA 1496 - Paulo Ricardo Botelho Cordeiro</t>
  </si>
  <si>
    <t>INSS e INSS Patronal  referente ao RPA 1496 - Paulo Ricardo Botelho Cordeiro</t>
  </si>
  <si>
    <t>ISSQN referente a nota fiscal 2022/2 - Mylene Youssef A Vieira - Produções E Eventos Epp</t>
  </si>
  <si>
    <t>ISSQN  referente ao pagamento de câmbio do processo 2325 - Dénètem Touam Bona</t>
  </si>
  <si>
    <t>Contratação de Cenografia para preparação e montagem da exposição do vídeo "Os Ajudantes" da artista Sara Ramo na Galeria Genesco Murta. Elementos cenográficos</t>
  </si>
  <si>
    <t>Aluguel de equipamentos de som e projeção para a exposição "Sara Ramo - Os Ajudantes".</t>
  </si>
  <si>
    <t xml:space="preserve">Debatedor do filme "Funan" (França, 2017), longa-metragem de animação dirigido por Danis Do, no dia 15/12/2021 às 16h, presencialmente, no Cine Humberto Mauro. </t>
  </si>
  <si>
    <t>INSS e INSS Patronal  referente ao RPA 1507 - Alexandre Guilherme De Rabelo Campos</t>
  </si>
  <si>
    <t>ISSQN referente ao RPA 1507 - Alexandre Guilherme De Rabelo Campos</t>
  </si>
  <si>
    <t xml:space="preserve">Contratação de serviço de impressão e instalação de plotagem para os textos institucionais da exposição da Mostra Tátil da Residência. </t>
  </si>
  <si>
    <t xml:space="preserve">Impressão, plotagem e retirada de adesivos para a exposição"Los Ayudantes" da Artista Sara Ramo, que acontece na Galeria Genesco Murta de 10 a 31 de dezembro de 2021. </t>
  </si>
  <si>
    <t>Guia de ISSQN referente ao RPA 1499 - Graciela Pereira De Souza</t>
  </si>
  <si>
    <t>INSS e INSS Patronal  referente ao RPA 1499 - Graciela Pereira De Souza</t>
  </si>
  <si>
    <t>Compra de material de consumo / higiene e copa, para atender a equipe do CTPF, em demanda especial de produção de ópera:Café - equipe da ópera Viramundo</t>
  </si>
  <si>
    <t>Contratação de auditoria externa para as contas do Contrato de Gestão e Termo de Parceria.</t>
  </si>
  <si>
    <t>Compra dos  materias diversos para atender a equipe do CTPF, em demanda especial de produção de ópera.</t>
  </si>
  <si>
    <t>ISSQN referente ao RPA 1505 - Helena Cristina Pereira Jorge</t>
  </si>
  <si>
    <t>INSS e INSS Patronal referente ao RPA 1505 - Helena Cristina Pereira Jorge</t>
  </si>
  <si>
    <t>Contratação de Fotógrafo para realizar registro fotográfico dos figurinos no Palácio das Artes, nos dias 20 e 21 de dezembro (datas do evento).O profissional deverá possuir equipamento fotográfico e/de iluminação e posteriormente entregar as imagens tratadas e salvas em CD para arquivo do CTPF.</t>
  </si>
  <si>
    <t>ISSQN referente a nota fiscal 2021/1 - Instituto Fernando Sabino</t>
  </si>
  <si>
    <t>ISSQN referente a nota fiscal 2021/168 - Contorno Áudio E Vídeo Ltda</t>
  </si>
  <si>
    <t>Contratação de Antonio Ribeiro, profissional para adaptação e transposição da obra literária para o libreto de uma pequena ópera, referente ao módulo: Criação dos libretos e composição das óperas do Ateliê de Criação da Temporada de Ópera online 2021.</t>
  </si>
  <si>
    <t>Serviço de restauração em obra danificada durante o período expositivo de " Assim como os Jardins.." da artista Mariana Palma. O quadro, que ficou exposto de 04 a 12 de dezembro na Galeria Arlinda Correa Lima, recebeu uma mancha e precisou de ser avaliado e reparado por uma laudista especialista em conservação e restauração</t>
  </si>
  <si>
    <t>Contratação de profissional especializado em diagramação e Arte Gráfica Publicação Final (Dossiê Programa de Residência em Pesquisas Artísticas - Cefart/FCS - 2021). A mostra propõe o compartilhamento de trabalhos finais das pesquisas realizadas ao longo de um ano pelos residentes do programa, e também será publicada no formato virtual, por isso justifica-se a contratação de um profissional capacitado para produzir todo esse material.</t>
  </si>
  <si>
    <t>Contratação de Maria Pompeia pianista acompanhadora das aulas de balé clássico para preparo técnico dos bailarinos.</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</si>
  <si>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01</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</si>
  <si>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02</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</si>
  <si>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03</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</si>
  <si>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04</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</si>
  <si>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06</t>
  </si>
  <si>
    <t>Direção Artística musical dos áudios dos cantores do CLMG e músicos Instrumentistas da OSMG, para elaboração do video coletivo da OSMG e Coral Lírico de Minas Gerais. Conteúdos gerados pelos artistas em formato de audio para exibição na internet do video coletivo OSMG e CLMG</t>
  </si>
  <si>
    <t>IR retido férias Coordenador Administrativo - Flávio César Pereira</t>
  </si>
  <si>
    <t>Licenciamento da obra "Os Ajudantes" da artista Sara Ramo para exibição em exposição de mesmo nome que acontecerá no Palácio das Artes, na Galeria Genesco Murta, de 10 a 31 de dezembro de 2021. Título da obra:'Os Ajudantes (Los Ayudantes)', 2015./ Técnica: Video HD, color, audio 5.1. / Duração:19’26”.</t>
  </si>
  <si>
    <t>Contratação de Waneska Cezar, professora para preparação dos bailarinos da CDPA em janeiro de 2022, sendo 6 aulas com horários a serem definidos.</t>
  </si>
  <si>
    <t>Compra de 2 Rolos de Plástico Bolha-1,30mtrs x 100 Metros -Cor: transparente -Medida: 1,30m x 100 Metros. Material necessário para proteção, manutenção e transporte do Elefante Cênico HARI que fez parte da exposição de 50 anos da FCS.Plástico bolha para repor o material emprestado com a GEAVI para a desmontagem da exposição do HARI.</t>
  </si>
  <si>
    <t>Contratação de Músico instrumentista fagotista para tocar o primeiro fagote e compor o naipe das mateiras na gravação do video coletivo OSMG e CLMG, para APRESENTAÇÕES E ENSAIOS NO MÊS DE DEZEMBRO de 2021 e ensaios e apresentações no mês de FEVEREIRO DE 2022.</t>
  </si>
  <si>
    <t>ISSQN referente a nota fiscal 2022/1 - Unicusto Limpeza Em Eventos Ltda</t>
  </si>
  <si>
    <t>INSS referente a nota fiscal 2022/1 - Unicusto Limpeza Em Eventos Ltda</t>
  </si>
  <si>
    <t xml:space="preserve"> Locação de 01 caçamba para executar a limpeza dos entulhos deixados em ocasião da produção da ópera "Viramundo", no CTPF Andradas. Retirada de entulhos de madeira, caixas de papelão e outros resíduos.</t>
  </si>
  <si>
    <t>Prestação de serviços de Higienização: prestação de serviços na lavanderia do Centro Técnico de Produção e Formação (CTPF) para higienização dos figurinos e acondicionamento do acervo da Fundação. 1ª parcela</t>
  </si>
  <si>
    <t>Contratação de empresa de Telecomunicação para locação e suporte em PABX utilizado pelos colaboradores da Appa em atendimento às demandas.</t>
  </si>
  <si>
    <t>Contratação de fornecedor que disponibilize profissional ou atue diretamente como encarregado em prestar apoio administrativo à coordenação executiva da secretaria escolar quanto ao acompanhamento das atividades diárias da secretaria; digitação e inserção de dados de alunos e professores no sistema acadêmico, atendimento ao público; orientações gerais aos alunos e sobre processos pedagógicos; prestar apoio ao atendimento virtual dos alunos e professores; recepcionar, informar e esclarecer dúvidas a toda comunidade escolar; diagnosticar necessidades de diferentes públicos da escola.</t>
  </si>
  <si>
    <t>Contratação de Seguros de Responsabilidade Civil (RC) e de Acidentes Pessoais (AP) para a exposição Magister Raffaello desde sua montagem até a desmontagem.</t>
  </si>
  <si>
    <t>Contratação de fornecedor que disponibilize profissional ou atue diretamente como especialistaem Tecnologia da Informação com conhecimento em sistemas acadêmicos, sistema Moodle e outrasferramentas de ensino a distância para auxiliar os professores do CEFART na gestão das aulasvirtuais; auxiliar os alunos em relação a acessos e cadastros, facilidade na digitação e na elaboraçãode relatórios. Parcela 01</t>
  </si>
  <si>
    <t>Contratação de fornecedor que disponibilize profissional ou atue diretamente como especialistaem Tecnologia da Informação com conhecimento em sistemas acadêmicos, sistema Moodle e outrasferramentas de ensino a distância para auxiliar os professores do CEFART na gestão das aulasvirtuais; auxiliar os alunos em relação a acessos e cadastros, facilidade na digitação e na elaboraçãode relatórios.  Parcela 02</t>
  </si>
  <si>
    <t>Contratação de fornecedor que disponibilize profissional ou atue diretamente como especialistaem Tecnologia da Informação com conhecimento em sistemas acadêmicos, sistema Moodle e outrasferramentas de ensino a distância para auxiliar os professores do CEFART na gestão das aulasvirtuais; auxiliar os alunos em relação a acessos e cadastros, facilidade na digitação e na elaboraçãode relatórios. Parcela 03</t>
  </si>
  <si>
    <t>ISSQN referente a nota fiscal 2021/273138 - Consórcio Ótimo de Bilhetagem Eletrônica</t>
  </si>
  <si>
    <t>ISSQN referente a nota fiscal 2021/309931 - Consórcio Operacional Transporte Coletivo</t>
  </si>
  <si>
    <t>ISSQN referente a nota fiscal 2021/296189 - Consórcio Operacional Transporte Coletivo</t>
  </si>
  <si>
    <t>Contratação de profissional selecionado no edital de monitoria da APPApara acompanhamento da exposição "Magister Raffaello" na Grande Galeria Alberto da Veiga Guignard</t>
  </si>
  <si>
    <t>Contratação de 04 serviços de afinação de piano para os pianos de concertos e ensaios pertecente ao patrimonio da OSMG, sendo 03 Afinações nos piano palco e 01 afinação no piano da sala de ensaios OSMG.</t>
  </si>
  <si>
    <t>2300 escápulas em L de 6mm para montagem de obra de arte fixada em parede em uma das exposições selecionadas pelo "2º Prêmio Décio Noviello de Artes Visuais e Fotografia".</t>
  </si>
  <si>
    <t>Contratação de profissionalselecionado no edital de monitoria da APPApara acompanhamento do público durante a exposição "Magister Raffaello" na Grande Galeria Alberto da Veiga Guignard.</t>
  </si>
  <si>
    <t>Contratação de monitor, selecionado no edital de monitoria da APPA para acompanhamento da exposição "Magister Raffaello" na Grande Galeria Alberto da Veiga Guignard.</t>
  </si>
  <si>
    <t>Contratação de um profissional para edição de vídeos, realização de lives e webinários. Serviços previstos para 04 meses a contar do dia 03 de janeiro.</t>
  </si>
  <si>
    <t>Contratação de um designer gráfico com experiência comprovada na área. Os serviços serão prestados por 04 meses.</t>
  </si>
  <si>
    <t>Licenciamento de arranjo de partitura para apresentação da OSMG e CLMG.</t>
  </si>
  <si>
    <t>Tinta para preparação das galerias para montagem das quatro exposições selecionadas pelo edital "2º Prêmio Décio Noviello de Artes Visuais e de Fotografia", sendo: 04 latas de tinta cor branco neve de 18 litros.</t>
  </si>
  <si>
    <t>DARF/IR referente ao recibo de - Lucas Antônio Pereira Morais</t>
  </si>
  <si>
    <t>Pacote de 20 plotagens da vitrine de programação do Cine Humberto Mauro / FCS, incluindo impressão 300 x 100 cm colorida em adesivo fosco, instalação e retirada um cada uma das ocasiões que o adesivo precisar ser impresso e instalado na vitrine do cinema, serão 20 plotagens durante todo o ano de 2022.</t>
  </si>
  <si>
    <t>Contratação de fornecedor que disponibilize profissional ou atue diretamente como montador/carregador para acompanhamento das atividades complementares e regulares do CEFART, montagem de salas, suporte técnico aos professores e alunos, carregamento e transporte de materiais, instrumentos e recursos pedagógicos, desmontagem das salas, manutenção de equipamentos e produção das atividades artísticas.</t>
  </si>
  <si>
    <t>Criação de identidade visual e desenvolvimento de ambientação para as galerias (espaços expositivos), peças gráficas e web para divulgação para as quatro exposições selecionadas no edital "2º Prêmio Décio Noviello de Artes Visuais e Fotografia" e, ainda, a diagramação dos catálogos das exposições.</t>
  </si>
  <si>
    <t>Transporte (entrega e devolução) de obras de arte para a exposição“Quero dançar sobre as ruínas dos reinos da escuridão”, deRicardo de Almeida Reis "Erre Erre", selecionada no edital "2º Prêmio Décio Noviello de Artes Visuais e Fotografia" e que estará em período expositivo na galeria Arlinda Corrêa Lima (palácio da artes) no período de 20/01/2022 a 13/03/2022 conforme logística de transporte anexa ao processo</t>
  </si>
  <si>
    <t>Transporte para devolução da obra "Maquete de Teatro Italiano - de Raul Belém Machado", dos objetos de cena e dos figurinos que fizeram parte da instalação artística na exposição comemorativa de 50 anos do Palácio das Artes "50 anos em 5 atos" e de andaimes para montagem de exposição no CâmeraSete - Casa da Fotografia de Minas Gerais,</t>
  </si>
  <si>
    <t>Contratação de serviço edição e captação de imagem para vídeo artístico coletivo da OSMG e CLMG.</t>
  </si>
  <si>
    <t>Contratação de caminhão baú com altura do baú de aproximadamente 2,80 m para transportar materiais, tais como, cenários, figurinos e adereços cênicos, considerando os trechos:-&amp;gt; CTP Marzagão x FCS-&amp;gt; CTP Andradas x FCS-&amp;gt; FCS x CTP Andradas x Marzagão</t>
  </si>
  <si>
    <t>Contratação de Maestro Gabriel Rhein-Schirato para Direção Musical e Regência de ensaios e apresentações da montagem de 5 óperas criadas no Ateliê de Criação da Academia de Ópera - Temporada de Ópera On-line 2021 .</t>
  </si>
  <si>
    <t>Contratação de Ramon Mundin como solista para apoio as ações que integram a Temporada de Óperas de 2021.</t>
  </si>
  <si>
    <t>Contratação de assistente de figurinista em atendimento à produção dos figurinos da montagem das operetas do Ateliê.</t>
  </si>
  <si>
    <t>Contratação de profissional para elaboração e a partir de partitura musical e operação de legenda do espetáculo, sendo: -&amp;gt; 04 Diárias - 02 Ensaios e 02 Apresentações, dias 17 e 18, 20 e 21/12,.</t>
  </si>
  <si>
    <t>Impressão de postal,formato é 150 x 100 mm, colorido, frente de verso e sugerimos o papel Triplex 280 ou 370 gramas. Quantidade: 2.000 exemplares.- Impressão de placas para porta dos camarins, tamanho 4. Pode ser papel ofício normal mas com impressão colorida e de boa qualidade.</t>
  </si>
  <si>
    <t>Contratação de costureira responsável por costurar todos os trajes do espetáculo a partir do comando da contramestra do espetáculo Viramundo - montagem do Ateliê de Criação,Temporada de ópera online 2021.</t>
  </si>
  <si>
    <t>Contratação de cantor lírico Jordani Messias, para Temporada de Óperas de 2021.</t>
  </si>
  <si>
    <t>Serviços de cartório</t>
  </si>
  <si>
    <t xml:space="preserve">Contratação de profissional para apoio na digitação e edição de processos de compras e contratações, de cadastros para base de dados e controles do projeto. Aditivo </t>
  </si>
  <si>
    <t>Contratação de profissional para apoio na digitação e edição de processos de compras e contratações, de cadastros para base de dados e controles do projeto.Aditivo</t>
  </si>
  <si>
    <t xml:space="preserve">Contratação de profissional para digitação e edição de processos de compras e contratações, de cadastros para base de dados e controles do projeto. </t>
  </si>
  <si>
    <t>Contratação de servicos de locação de impressoras multifuncionais em atendimento as demandas administrativas na sede da Appa - ano 2022.</t>
  </si>
  <si>
    <t>Contratação de profissional para apoio administrativo, no setor de processos, em atendimento às atividades da APPA.</t>
  </si>
  <si>
    <t>Contratação de profissional para apoio na digitação e edição de processos de compras e contratações, de cadastros para base de dados e controles do projeto.</t>
  </si>
  <si>
    <t>Contratação de profissional habilitado para desenvolver atividades no setor de Contratos.</t>
  </si>
  <si>
    <t>Prestação de serviços Técnicos em Acervo e ou Higienização: Acompanhamento e acondicionamento do acervo do Centro Técnico de Produção e Formação – CTPF.</t>
  </si>
  <si>
    <t>Contratação de profissional independente para apoio nas atividades de gestão de tecnologia de informação interna da Appa - Hardware e Software.</t>
  </si>
  <si>
    <t>Contratação de Produtor Executivo para atuar durante as etapas de pré-produção, produção e pós produção das exposições de artes visuais que ocorrerão nos espaços expositivos da FCS de janeiro a abril de 2022.</t>
  </si>
  <si>
    <t xml:space="preserve">Contratação de fornecedor que disponibilize profissional ou atue diretamente na área de produção cultural, encarregado de viabilizar e acompanhar a pré-produção e produção de todas as mostras, recitais, espetáculos, ensaios e demais apresentações artísticas do CEFART. </t>
  </si>
  <si>
    <t>Contratação de prestador de serviços para digitação, preenchimento de planilhas, elaboração de relatórios bem como auxiliar o manuseio e preparo de documentos para o setor de Comunicação.</t>
  </si>
  <si>
    <t>Contratação de profissional pra digitação de controles financeiros, preenchimento de planilhas, bem como auxiliar de manuseio e preparo de documentos para prestação de contas e arquivamento interno.</t>
  </si>
  <si>
    <t>Contratação de designer gráfico para criação e desenvolvimento de peças gráficas, para atuação na divulgação das atividades da Fundação Clóvis Salgado - ano 2022.</t>
  </si>
  <si>
    <t>Contratação de fornecedor de serviços administrativos e atendimento no balcão de informações na Fundação Clóvis Salgado.</t>
  </si>
  <si>
    <t>Serviço de Produção de Programação para atender as demandas relativas às mostras de cinema produzidas no Cine Humberto Mauro - FCS durante o período de vigência do contrato (janeiro a abril de 2022).</t>
  </si>
  <si>
    <t>Serviço de Produção Geral para atender as demandas relativas às mostras de cinema produzidas no Cine Humberto Mauro - FCS durante o período de vigência do contrato (janeiro a abril de 2022).</t>
  </si>
  <si>
    <t>Serviço de Produção Técnica, Autoração e Legendagem para atender as demandas relativas às mostras de cinema produzidas no Cine Humberto Mauro - FCS durante o período de vigência do contrato (janeiro a abril de 2022).</t>
  </si>
  <si>
    <t>Montagem especializada em exposições artísticas para montagem e desmontagem das quatro 4 exposições selecionadas pelo edital "2º Prêmio Décio Noviello de Fotografia e de Artes Visuais", que acontecerão nas galerias Genesco Murta e Arlinda Correa Lima (Palácio das Artes) e no CâmaraSete - Casa da Fotografia de Minas Gerais no período de 11 de janeiro a 13 de março de 2022.</t>
  </si>
  <si>
    <t>Aquisição de material de limpeza e higienização do acervo do CTPF - 10 galões (3L) de sabão líquido, 04 unidades de detergente,06 galões (5L) de desinfetante, 05 pacotes de saco de lixo 50l/10kg com 30 unidades, 03 pacotes de saco de lixo 30l/6kg com 50 unidades e 01pacote de papel sulfite A4 75g c/500 folhas</t>
  </si>
  <si>
    <t xml:space="preserve">Conservado/ restaurador (laudista) para confecção e conferência de laudo técnico de estado de conservação de obras de arte das obras que integram as exposições "Do que fomos feitos e o que deixamos”, deJoão Angelini Mota Campos, e“Campo de Passagem”, deMatheus Dias Aguiar selecionadas no edital "2º Prêmio Décio Noviello de Artes Visuais e Fotografia". Os laudos deverão ser confeccionados / conferidos na montagem das exposições e conferidos na desmontagem, </t>
  </si>
  <si>
    <t>Contratação de apoio para o Setor de Comunicação para digitar e organizar documentos, registrar dados em planilhas, entre outras atividades correlatas.</t>
  </si>
  <si>
    <t xml:space="preserve">Impressão de programas para portfólio dos residentes e envio de prestação de contas para a Fapemig. </t>
  </si>
  <si>
    <t>Contratação de professor para ministrar o CursoComplementar"Prática e performance para instrumentos de cordas friccionadas" para a Escola de Música do Cefart.</t>
  </si>
  <si>
    <t>Prestação de serviços de assessoria em planejamento e implantação de projetos para a Fundação Clóvis Salgado - FCS, durante 04 meses.</t>
  </si>
  <si>
    <t>Serviço de criação de identidade visual para a exposição "Magister Raffaello", incluindo peças de sinalização da Grande Galeria Alberto da Veiga Guignard e da fachada do Palácio das Artes para a exposição.</t>
  </si>
  <si>
    <t>Contratação de ponto de internet para atender a grande galeria do Palácio das Artes em relação às necessidades da exposição Raffaello. A velocidade de upload deve ser no mínimo de 35Mb.Duração: 60 dias apartir do dia: 03/01/2022. Obs.: a internet deve chegar via cabo, não é necessário que tenha wi-fi.</t>
  </si>
  <si>
    <t>Impressão colorida e encadernação de relatório final de prestação de contas da execução do 23º FestcurtasBH para assinatura do presidente da APPA e posterior envio para oServiço de Cooperação e Ação Culturalpara o Estado de MG -Embaixada da França no Brasil, instituição apoiadora da realização do 23º FestcurtasBH. Arquivo para impressão anexo.</t>
  </si>
  <si>
    <t>Coordenação de programação e curadoria para o 23º Festcurtas BH. A prestadora de serviços será responsável pela organização geral da dinâmica da comissão de seleção, que seleciona os filmes a serem exibidos no23º Festcurtas BH e deverá ser contratada pelo período de nove meses. Aditivo</t>
  </si>
  <si>
    <t>Contratação de profissional selecionado no edital de monitoria da APPA para acompanhamento do público durante exposição "Magister Raffaello" na Grande Galeria Alberto da Veiga Guignard.</t>
  </si>
  <si>
    <t>Contratação para prestação de serviços de gestão de projetos.</t>
  </si>
  <si>
    <t>Locação de mesa de iluminação para uso no Grande Teatro Cemig Palácio das Artes pelo período de 17 de janeiro a 28 de fevereiro de 2022.</t>
  </si>
  <si>
    <t>Contratação de revisor de textos, com experiência comprovada na área.Os serviços serão prestados por 04 meses.</t>
  </si>
  <si>
    <t>Contratação de produtor especializado que fará o acompanhamento da montagem técnica da exposição "Os Ajudantes", de Sara Ramo na Galeria Genesco Murta.</t>
  </si>
  <si>
    <t>Intérprete de libras para tradução simultânea dos debates com realizadores contemplados no "7º BDMG Cultural/FCS de Estímulo ao Curta-Metragem de Baixo Orçamento" e do curso"Cinema de Invenção, práticas comunitárias de realização".</t>
  </si>
  <si>
    <t>Contratação de profissional especializado para o serviço de editoração de Publicação Final (Dossiê Programa de Residência em Pesquisas Artísticas - Cefart/FCS - 2021)</t>
  </si>
  <si>
    <t>Contratação de professor para ministrar o CursoComplementar"Expressão Vocal/Canto"na modalidadePresencial, para atender a demanda da escola de Teatro do Cefart.</t>
  </si>
  <si>
    <t>Contratação de técnico de palco diarista para atender as demandas dos eventos do Grande Teatro do Palácio das Artes durante a temporada de 17/01/22 a 15/02/22, dando suporte na parte de som e iluminação</t>
  </si>
  <si>
    <t>Serviço para contratação de espaço para a guarda de documentos da sede administrativos - 1º semestre de 2022.</t>
  </si>
  <si>
    <t>Contratação de professor para ministrar o Curso Complementar "Novas Mídias na Arte Contemporânea" para atender a demanda da Escola de Artes Visuais.</t>
  </si>
  <si>
    <t>Serviços de assessoria jurídica - ano 2022.</t>
  </si>
  <si>
    <t>Contratação de profissional para Direção, composição coreográfica e acompanhamento dos ensaios do Espetáculo de Formatura do 3o da Escola de Dança do Cefart.</t>
  </si>
  <si>
    <t>Contratação de Professor para ministrar o Curso Expressão Corporal para a Escola de Teatro do Cefart.</t>
  </si>
  <si>
    <t>Coordenação de produção para o 23º Festcurtas BH. O prestador de serviços será responsável por coordenar a logística e desenho de produção para a realização da 23ª edição do festival, incluindo a finalização e pós-evento e deverá ser contratado pelo período de 9 meses. Aditivo</t>
  </si>
  <si>
    <t>Serviço de plotagem para as exposições do 2º Prêmio Décio Noviello de Artes Visuais e Fotografia</t>
  </si>
  <si>
    <t xml:space="preserve">Locação de equipamentos eletrônicos audiovisuais para a exibição de obras das exposições do 2º Prêmio Décio Noviello de Fotografia e Artes Visuais. </t>
  </si>
  <si>
    <t>Contratação de ferramenta para crescimento de perfil no Instagram.</t>
  </si>
  <si>
    <t>Contratação de cachês artísticos para Regente/Maestro titular da Orquestra Sinfônica de Minas Gerais (OSMG) para a direção e desenvolvimento dos repertórios artísticos, ensaios, apresentações, óperas e eventos da orquestra sendo presenciais ou virtuais.</t>
  </si>
  <si>
    <t>Contratação de 3 contas do Zoom para realização de aulas virtuais no Cefart. As salas são necessárias para a realização de até 5 salas simultâneas. As escolas tem tido uma demanda crescente por salas virtuais, e noticias recentes indicam que o google Meet será pago em breve</t>
  </si>
  <si>
    <t>Contratação de monitora para acompanhamento do público durante a exposição "Acervo FCS - Cidade Imaginária" na Pequena Galeria do Palácio das Artes. A fornecedora substituirá à monitora Luiza Amorim (processo 2551 aditivo), afastada por questões médicas.</t>
  </si>
  <si>
    <t>Contratação de profissional responsável pela produção e também pela assistência de palco da Mostra de Tecnologia da Cena, previsto para ser realizado em Fevereiro.</t>
  </si>
  <si>
    <t>Contratação de ministrante para a Aula Aberta "A Carreira do Músico Militar" para a Escola de Música do Cefart.</t>
  </si>
  <si>
    <t>Contratação de ministrante para a Aula Aberta "A Carreira do Músico Erudito" para a Escola de Música do Cefart.</t>
  </si>
  <si>
    <t>Contratação de professor para ministrar o Curso Complementar "Reconhecendo gêneros da música brasileira" para a Escola de Música do Cefart.</t>
  </si>
  <si>
    <t>Locação de equipamento audiovisual: 01 media players HDMI Full HD 1080p. Ele será conectado a um projetor para exibir uma obra do artista Erre Erre na exposição do2º Prêmio Décio Noviello. Período da locação: 24 de janeiro a 06 de março de 2022.</t>
  </si>
  <si>
    <t>Contratação do monitor Diogo Vieira para acompanhamento do público durante a visitação na exposição "Campo de Passagem", durante o período expositivo, no período de 20 de janeiro de 2022 a 11 de março de 2022, na CâmeraSete– Casa da Fotografia de Minas Gerais.</t>
  </si>
  <si>
    <t>Contratação de ministrante para a AulaAberta "Teatro Musical: carreira e oportunidades na área" para a Escola de Música do Cefart.</t>
  </si>
  <si>
    <t>Contratação de seguro de Responsabilidade Civil para atender as exposições do 2º Prêmio Décio Novielo de Artes Visuais e Fotografia.</t>
  </si>
  <si>
    <t xml:space="preserve">Compra de exaustor para manutenção corretiva do equipamento de projeção do Cine Humberto Mauro </t>
  </si>
  <si>
    <t>CEFART Apoio à formação e extensão da Escola de Dança</t>
  </si>
  <si>
    <t>CEFART Apoio à formação e extensão da Escola de Música</t>
  </si>
  <si>
    <t>Gestão do CTP Marzagão</t>
  </si>
  <si>
    <t>CEFART Apoio às ações culturais formativas e de extensão</t>
  </si>
  <si>
    <t>DIPRO Apoio à realização das exposições da FCS</t>
  </si>
  <si>
    <t>CEFART Apoio às ações do CTP</t>
  </si>
  <si>
    <t>CEFART Apoio à formação e extensão da Escola de Tecnologia do Espetáculo</t>
  </si>
  <si>
    <t>DIART Apoio à produção artística da Orquestra Sinfônica de Minas Gerais</t>
  </si>
  <si>
    <t>DIPRO Mostras Especiais</t>
  </si>
  <si>
    <t>DIART Apoio à produção artística da Cia de Dança Palácio das Artes</t>
  </si>
  <si>
    <t>CEFART Apoio à formação e extensão da Escola de Teatro</t>
  </si>
  <si>
    <t>CEFART Apoio à formação e pesquisa do Programa de Residência em Pesquisas Artísticas</t>
  </si>
  <si>
    <t>CEFART Apoio à formação e extensão da Escola de Artes Visuais</t>
  </si>
  <si>
    <t>DIPRO História Permanente do Cinema</t>
  </si>
  <si>
    <t>Comunicação dos programas e atividades (condicionada à captação)</t>
  </si>
  <si>
    <t>Processo 1142 -  Loggi Tecnologia LTDA</t>
  </si>
  <si>
    <t>Prefeitura de Belo Horizonte</t>
  </si>
  <si>
    <t>Cemig Distribuição S.A</t>
  </si>
  <si>
    <t xml:space="preserve">Companhia de Saneamento de Minas Gerais </t>
  </si>
  <si>
    <t>VHSR Imóveis Eireli</t>
  </si>
  <si>
    <t>Telefônica Brasil S.A</t>
  </si>
  <si>
    <t>TIM S.A</t>
  </si>
  <si>
    <t>Metropolitan Life Seguros e Previdência Privada S.A</t>
  </si>
  <si>
    <t xml:space="preserve">Ocupacional Medicina do Trabalho Ltda </t>
  </si>
  <si>
    <t xml:space="preserve">Assiste Saúde do Trabalhador e Medicina do Trabalho </t>
  </si>
  <si>
    <t>Unimed Belo Horizonte Cooperativa de Trabalho Médico</t>
  </si>
  <si>
    <t>JMMX Imovéis Ltda</t>
  </si>
  <si>
    <t>Processo 1628 - Associação Histórico Cultural Mucury</t>
  </si>
  <si>
    <t>Automatizações Século XXl Tratamento de Dados Ltda</t>
  </si>
  <si>
    <t>Processo 1837 - Filmes Do Serro Ltda.</t>
  </si>
  <si>
    <t>Processo 2666 - GE Duarte - ME</t>
  </si>
  <si>
    <t>Processo 2748 - Flag Impressao Digital Ltda</t>
  </si>
  <si>
    <t>DAMASCO COMUNICACAO EIRELI</t>
  </si>
  <si>
    <t>Processo 2665 - Up Print Comercio E Locacao De Equipamentos Eireli</t>
  </si>
  <si>
    <t>Processo 2642 - Bd Servicos E Consultoria Ltda</t>
  </si>
  <si>
    <t>Processo 2663 - Arte Livre Produção E Comunicação Ltda</t>
  </si>
  <si>
    <t>Processo 2631 - Sinara Araujo Costa Sociedade Individual De Advocacia</t>
  </si>
  <si>
    <t>Marcela Silva Moreira 06326086680</t>
  </si>
  <si>
    <t>Processo 2661 - Maria Luiza Luz Alves Mendonca 14841323600</t>
  </si>
  <si>
    <t>Processo 2687 - Cleber Jose Leao De Almeida 01199122602</t>
  </si>
  <si>
    <t>Processo 2641 - Thales Henrique Vieira Sabino 09440374616</t>
  </si>
  <si>
    <t>Processo 2662 - Marcela De Oliveira Rodrigues 08714767627</t>
  </si>
  <si>
    <t>DIART Apoio à produção artística do Coral Lírico de Minas Gerais</t>
  </si>
  <si>
    <t>DIART Apresentações da série Sinfônica Pop</t>
  </si>
  <si>
    <t>DIART Récitas de Óperas</t>
  </si>
  <si>
    <t>CEFART Apoio aos Cursos Regulares</t>
  </si>
  <si>
    <t>Reembolso proporcional realizado pela conta do projeto Anglo referente ao pagamento Medicina do Trabalho do mês 12/2021</t>
  </si>
  <si>
    <t>Associação Pró-Cultura e Promoção das Artes (Contrato de Gestão 05/2019)</t>
  </si>
  <si>
    <t>70.945.209/0001-03</t>
  </si>
  <si>
    <t>Transferência Recebida</t>
  </si>
  <si>
    <t>Extrato Bancário</t>
  </si>
  <si>
    <t>Reembolso proporcional realizado pela conta da Appa referente ao pagamento Seguro de Vida do mês 12/2021</t>
  </si>
  <si>
    <t>Reembolso proporcional realizado pela conta do projeto Anglo referente ao pagamento Seguro de Vida do mês 12/2021</t>
  </si>
  <si>
    <t>Reembolso proporcional realizado pela conta do TP 50/2020 IEPHA  referente ao pagamento Seguro de Vida do mês 12/2021</t>
  </si>
  <si>
    <t>Reembolso proporcional realizado pela conta do TP 50/2020 IEPHA  referente ao pagamento Medicina do Trabalho do mês 12/2021</t>
  </si>
  <si>
    <t>Conservador/ Restaurador (laudista) para confecção e conferência de laudo técnico de estado de conservação na cidade de Belo Horizonte/ MG, na chegada e saída para devolução das obras da artista Mariana Palma, que integram a exposição "Assim como os jardins..." que será realizada de 04 de outubro a 12 de dezembro de 2021 na galeria Arlinda Correa Lima, Palácio das Artes / FCS.</t>
  </si>
  <si>
    <t xml:space="preserve">Alice Almeida Gontijo 09331535627
</t>
  </si>
  <si>
    <t>36.361.101/0001-35</t>
  </si>
  <si>
    <t>Transferência Enviada</t>
  </si>
  <si>
    <t xml:space="preserve">Nota Fiscal </t>
  </si>
  <si>
    <t>2021/19</t>
  </si>
  <si>
    <t>O Centro Técnico de Produção e Formação possui diversos acervos em dois espaços - CTPF Andradas e CTPF Marzagão. Devido problemas na fechadura do CTPF Andradas, foi preciso provisoriamente fazer uma amarração no portão para manter o espaço com um mínimo de segurança para uma futura troca, o que justifica-se a compra para manutenção do portão de entrada principal do CTPF Andradas. Não haverá inicialmente despesas com a instalação, visto que a equipe de manutenção da FCS fará a instalação.</t>
  </si>
  <si>
    <t xml:space="preserve">Comercial Obradec Materiais Para Construção Ltda.
</t>
  </si>
  <si>
    <t xml:space="preserve">05.583.664/0001-44
</t>
  </si>
  <si>
    <t>Pagamento de Boleto</t>
  </si>
  <si>
    <t>000.041.036</t>
  </si>
  <si>
    <t>Tinta para preparação da Pequena Galeria do Palácio das artes para realização da exposição "Acervo FCS - Cidade Imaginária".- 01 Lata de 18 litros de tinta misturada na cor Pantone "Cool Gray 2 U" (em anexo)- 02 Latas de 18 litros de tinta branca fosca para parede.</t>
  </si>
  <si>
    <t>Atacadao Das Tintas Ltda</t>
  </si>
  <si>
    <t>00.830.498/0001-10</t>
  </si>
  <si>
    <t>Serviços de Medicina do Trabalho - PCMSO</t>
  </si>
  <si>
    <t>Ocupacional Medicina do Trabalho Ltda</t>
  </si>
  <si>
    <t>26.231.266/0001-39</t>
  </si>
  <si>
    <t>2021/15763</t>
  </si>
  <si>
    <t>Serviços de Medicina do Trabalho - PPRA</t>
  </si>
  <si>
    <t>03.053.305/0001-50</t>
  </si>
  <si>
    <t>2021/10108</t>
  </si>
  <si>
    <t xml:space="preserve">Seguro de vida dos funcionários a serviço do Contrato de Gestão e Termo de Parceria </t>
  </si>
  <si>
    <t>02.102.498/0001-29</t>
  </si>
  <si>
    <t>Apólice</t>
  </si>
  <si>
    <t xml:space="preserve">Férias Montador </t>
  </si>
  <si>
    <t>Carlos Natanael Brito da Silva</t>
  </si>
  <si>
    <t>034.603.595-36</t>
  </si>
  <si>
    <t xml:space="preserve">Ted Transferência Eletrônica </t>
  </si>
  <si>
    <t>Recibo de Férias</t>
  </si>
  <si>
    <t xml:space="preserve">Reembolso parcial da conta do Termo de Parceria 50/2020 - IEPHA, referente contratação de empresa de setor administrativo especializada em entidades do terceiro setor  para o Contrato de Gestão 05/2019 e Termo de Parceria 50/2020 (mês 12/2021) - 26,41% do valor total </t>
  </si>
  <si>
    <t>Serviços de assessoria jurídica - ano 2021. Contratação de assessoria jurídica para fornecer consultoria destinada a análise de questões jurídicas relacionada à legislação do Terceiro Setor, propriedade intelectual/orientação sobre aspectos relacionados a celebração e execução do Contrato de Gestão. Os serviços prestados são para atendimento de até 32h de consultoria por mês, prestados de segunda a sexta-feira, em horário comercial útil (9h as 18h), dentro da Comarca de Belo Horizonte.</t>
  </si>
  <si>
    <t>Reembolso parcial da conta do Termo de Parceria 50/2020 - IEPHA, referente aos serviços administrativos para controle financeiro e de orçamento de projetos .Contratação de profissional para contribuir com a gestão financeira dos projetos; organizando e acompanhando saldos e rubricas dos projetos, realizando conferência bancária, harmonia fiscal, elaboração e/ou acompanhamento de planilhas de projetos e demais ações do setor para o Contrato de Gestão 05/2019 e Termo de Parceria 50/2020 (mês 12/2021) - 26,41% do valor total</t>
  </si>
  <si>
    <t>Reembolso realizado pelo Termo de Parceria 50/2020 - IEPHA  referente ao percentual (26,41% do valor total), assessoria contábil para o Contrato de Gestão 05/2019 e Termo de Parceria referente ao mês 12/2021</t>
  </si>
  <si>
    <t>Contratação de profissional para realização do projeto expográfico, luminotécnico e coordenação de montagem, incluindo compra, transporte e aluguel de materiais necessários para a montagem, manutenção e desmontagem da Exposição.</t>
  </si>
  <si>
    <t>Jéssica Parreiras Marroques</t>
  </si>
  <si>
    <t>118.086.266-05</t>
  </si>
  <si>
    <t>RPA</t>
  </si>
  <si>
    <t xml:space="preserve">Dolabella Advocacia e Consultoria </t>
  </si>
  <si>
    <t>08.215.660/0001-00</t>
  </si>
  <si>
    <t>2022/2</t>
  </si>
  <si>
    <t>Aluguel do mês de dezembro/2021 do CTP</t>
  </si>
  <si>
    <t>09.422.638/0001-95</t>
  </si>
  <si>
    <t>Contratação de profissional para digitação e edição de processos de compras e contratações, de cadastros para base de dados e controles do projeto. Ano 2021. Faz-se necessária a contratação de um profissional para apoiar o setor de compras. Esse apoio se dará na elaboração dos processos de compras, cadastro de novos fornecedores, cotações, solicitação de documentação.</t>
  </si>
  <si>
    <t>Patrícia Cláudia Pereira Lima Bernardi 03978862689</t>
  </si>
  <si>
    <t xml:space="preserve">38.230.957/0001-05
</t>
  </si>
  <si>
    <t>2022/1</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</si>
  <si>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09</t>
  </si>
  <si>
    <t>Arco Cultural Ltda</t>
  </si>
  <si>
    <t xml:space="preserve">13.711.589/0001-88
</t>
  </si>
  <si>
    <t>Contratação de profissional para apoio no setor de processos em atendimento as atividades do Projeto - ano 2021.Faz-se necessário a contratação de um profissional para apoiar o setor de processos de compras e contratações, tais como conferência da documentação, consulta de harmonia fiscal e montagem dos processos.</t>
  </si>
  <si>
    <t>BD SERVICOS E CONSULTORIA LTDA</t>
  </si>
  <si>
    <t xml:space="preserve">34.271.279/0001-60
</t>
  </si>
  <si>
    <t xml:space="preserve">Prestação de serviços Técnicos em Higienização: prestação de serviços na lavanderia do Centro Técnico de Produção e Formação (CTPF) para higienização dos figurinos e acondicionamento do acervo da Fundação.Faz-se necessária a contratação de prestação de serviços na lavanderia do Centro Técnico de Produção e Formação (CTPF) para higienização dos figurinos e acondicionamento do acervo do Contrato de Gestão 05/2019 - CEFART Andradas. Os serviços serão prestados no horário de 8h às 17h, de segunda a sexta e em finais de semana, conforme demanda. Aditivo </t>
  </si>
  <si>
    <t>Ivete Maria De Oliveira 76363481600</t>
  </si>
  <si>
    <t xml:space="preserve">20.273.014/0001-96
</t>
  </si>
  <si>
    <t>Serviços de assessoria contábil ano 2021. Contratação de empresa para assessoria contábil especializada em terceiro setor para acompanhamento mensal de fatos e eventos contábeis ocorridos na instituição em decorrência da execução do Contrato de Gestão, em conformidade com a legislação aplicável</t>
  </si>
  <si>
    <t xml:space="preserve">Krypton Serviços Contábeis S. S. </t>
  </si>
  <si>
    <t>42.784.421/0001-09</t>
  </si>
  <si>
    <t>2021/1717</t>
  </si>
  <si>
    <t>Contratação de empresa de setor administrativo especializada em entidades do terceiro setor - ano 2021.Contratação de empresa de setor administrativo especializada em entidades do terceiro setor, para atuar na gestão de impostos, consolidação fiscal, controle de faturas, acompanhamento de planilhas financeiras, instrução em decorrência da execução do Contrato de Gestão, em conformidade com a legislação aplicável.</t>
  </si>
  <si>
    <t>13.711.589/0001-88</t>
  </si>
  <si>
    <t>Contratação de 07 pessoas para o serviço de recepção, para a Ópera Viramundo no Grande Teatro Cemig do Palácio das Artes que ocorrerá no dia 21 de dezembro de 2021. Os profissionais ficarão sob Coordenação da Chefe de Eventos do setor da Fundação Clóvis Salgado.</t>
  </si>
  <si>
    <t>Mylene Youssef A Vieira - Produções E Eventos Epp</t>
  </si>
  <si>
    <t>08.769.496/0001-74</t>
  </si>
  <si>
    <t>Contratação de Samuel Gomide, professor para ministrar o Curso Complementar "Violino - Módulo II" para a Escola de Música do Cefart.</t>
  </si>
  <si>
    <t>Samuel Gomide Freitas 07314317666</t>
  </si>
  <si>
    <t>14.810.429/0001-59</t>
  </si>
  <si>
    <t>2022/01</t>
  </si>
  <si>
    <t>Contratação de diária de carregador para executar a limpeza dos entulhos deixados em ocasião da produção da ópera "Viramundo", no CTPF Andradas. Retirada de entulhos de madeira, caixas de papelão e outros resíduos.</t>
  </si>
  <si>
    <t>Unicusto Limpeza Em Eventos Ltda</t>
  </si>
  <si>
    <t>10.451.580/0001-97</t>
  </si>
  <si>
    <t>Contratação de Rodrigo Brasil, para ministrar o CursoComplementar"Direção de Palco", atendendo a demanda da Escola de Tecnologia da Cena do Cefart.</t>
  </si>
  <si>
    <t>Rodrigo Gomes De Almeida Bras</t>
  </si>
  <si>
    <t>043.582.256-08</t>
  </si>
  <si>
    <t>Contratação de profissional pra digitação de controles financeiros, preenchimento de planilhas, bem como auxiliar de manuseio e preparo de documentos para prestação de contas e arquivamento interno. Ano 2021. Faz a contratação de um profissional para apoiar o setor administrativo e financeiro, baixar notas na contabilidade, verificar impostos retidos, dentre outras funções administrativas.</t>
  </si>
  <si>
    <t xml:space="preserve">Thales Henrique Vieira Sabino 09440374616
</t>
  </si>
  <si>
    <t xml:space="preserve">35.234.565/0001-18
</t>
  </si>
  <si>
    <t>Tarifa Pacote de Serviços</t>
  </si>
  <si>
    <t>Banco do Brasil S/A</t>
  </si>
  <si>
    <t>00.000.000/0001-91</t>
  </si>
  <si>
    <t>Débito em Conta</t>
  </si>
  <si>
    <t>Tarifa Bancária referente a transferência eletrônica pagamento fornecedor: Patrícia Cláudia Pereira Lima Bernardi 03978862689 -  Processo: 1135</t>
  </si>
  <si>
    <t>Tarifa Bancária referente a transferência eletrônica pagamento fornecedor: Arco Cultural Ltda-  Processo: 1458</t>
  </si>
  <si>
    <t>Tarifa Bancária referente a transferência eletrônica pagamento fornecedor:BD SERVICOS E CONSULTORIA LTDA -  Processo: 1137</t>
  </si>
  <si>
    <t>Reembolso realizado pelo Termo de Parceria 50/2020 - IEPHA referente ao percentual (26,41% do valor total), Aquisição de licença de um sistema de gestão financeira e gestão de compras para os projetos da Appa</t>
  </si>
  <si>
    <t>Reembolso a conta do Contrato de Gestão referente a contratação de seguro empresarial para cobertura predial do CTPF - Centro Técnico de Produção e Formação da Fundação Clóvis Salgado - localizado:-Marzagão: Av. do Cartório, 140 - Sabará - Processo 2630</t>
  </si>
  <si>
    <t xml:space="preserve"> Ongsys Sistema Ltda</t>
  </si>
  <si>
    <t>29.335.055/0001-34</t>
  </si>
  <si>
    <t>Consumo de energia elétrica do mês 12/2021</t>
  </si>
  <si>
    <t>06.981.180/0001-16</t>
  </si>
  <si>
    <t>Pagamento Conta Luz</t>
  </si>
  <si>
    <t>06 serviços de edições de vídeos para os meses de setembro, outubro, novembro e dezembro/2021, referente aos eventos dos Saraus Líricos e Pequenos Grupos OSMG/CLMG. Necessário capa (frame), inclusão de ficha técnica, créditos e logomarcas, com entrega de um vídeo com minutagem de aproximadamente 4''min a partir de vários vídeos dos coralistas.</t>
  </si>
  <si>
    <t>Hanna Mussi Dias 14995811737</t>
  </si>
  <si>
    <t>41.928.617/0001-59</t>
  </si>
  <si>
    <t>Tarifa Bancária referente a transferência eletrônica pagamento fornecedor: Waneska Torres De Oliveira Cezar -  Processo: 2504</t>
  </si>
  <si>
    <t>Tarifa Bancária referente a transferência eletrônica pagamento fornecedor: Hanna Mussi Dias 14995811737-  Processo: 1935</t>
  </si>
  <si>
    <t>Reembolso realizado pela conta da Appa referente a juros no pagamento do boleto  Contratação de seguro permanência para as obras da exposição "assim como os jardins</t>
  </si>
  <si>
    <t>Reembolso a conta do Contrato de Gestão - 05/2019  ref aquisição de sistema de ponto para utilização pelos colaboradores da Appa - ano 2021. Referente ao mês 12/2021</t>
  </si>
  <si>
    <t>Reembolso a conta do Contrato de Gestão - 05/2019  ref aquisição de sistema de ponto para utilização pelos colaboradores do Projeto Anglo - ano 2021. Referente ao mês 12/2021</t>
  </si>
  <si>
    <t>Reembolso a conta do Contrato de Gestão - 05/2019 Aquisição de sistema de ponto para utilização pelos colaboradores do TP 50/2020 IEPHA - ano 2021. Referente ao mês 12/2021</t>
  </si>
  <si>
    <t>Reembolso realizado pelo Termo de Parceria 50/2020 - Iepha a conta do Contra de Gestão 005/2019 referente ao pagamento de guia de FGTS - Valor proporcional aos funcionários a serviço do TP 50/2020 - 12/2021</t>
  </si>
  <si>
    <t xml:space="preserve">Reembolso realizado pelo Termo de Parceria 50/2020 - Iepha a conta do Contra de Gestão 005/2019 referente ao pagamento de guia de FGTS - Valor proporcional aos funcionários a serviço do TP 50/2020 - 2º parcela do 13º </t>
  </si>
  <si>
    <t>Reembolso realizado pela Appa - Projeto Pronac  a conta do Contrato de Gestão referente ao pagamento de guia de FGTS  - 12/2021</t>
  </si>
  <si>
    <t xml:space="preserve">Valor recebido Persona Filmes  - CNPJ: 02.501.714/0001-09, referente à locação de figurinos </t>
  </si>
  <si>
    <t>Priscila Ramos Toledo Ferreira</t>
  </si>
  <si>
    <t>031.269.666-32</t>
  </si>
  <si>
    <t>Recibo de Pagamento de Salário</t>
  </si>
  <si>
    <t>Salário do Músico Instrumentista, referente ao mês 12/2021</t>
  </si>
  <si>
    <t>Weverton dos Santos Araújo</t>
  </si>
  <si>
    <t>121.574.766-79</t>
  </si>
  <si>
    <t>Salário do Pianista, referente ao mês 12/2021</t>
  </si>
  <si>
    <t xml:space="preserve">Frederico Carlos Natalino </t>
  </si>
  <si>
    <t>068.222.456-18</t>
  </si>
  <si>
    <t xml:space="preserve">Luis Fernando Umbelino da Silva </t>
  </si>
  <si>
    <t>111.879.576-82</t>
  </si>
  <si>
    <t xml:space="preserve">Patrick Messias Silva </t>
  </si>
  <si>
    <t>108.603.796-04</t>
  </si>
  <si>
    <t>Ravel Munaier Lanza Conceição</t>
  </si>
  <si>
    <t>084.063.176-63</t>
  </si>
  <si>
    <t>Salário Gerente de Projetos Dipro, referente ao mês 12/2021</t>
  </si>
  <si>
    <t>Luciana Soares Veloso</t>
  </si>
  <si>
    <t>055.473.976-36</t>
  </si>
  <si>
    <t>Recibo de Pagamento de Férias</t>
  </si>
  <si>
    <t xml:space="preserve">Igor de Lima Pereira </t>
  </si>
  <si>
    <t>115.495.356-41</t>
  </si>
  <si>
    <t>Salário do Montador Diart, referente ao mês 12/2021</t>
  </si>
  <si>
    <t>Alexandre de Oliveira Santos</t>
  </si>
  <si>
    <t>044.537.996-08</t>
  </si>
  <si>
    <t>Salário do Músico Cantora, referente ao mês 12/2021</t>
  </si>
  <si>
    <t>Mariana Corrêa de Oliveira</t>
  </si>
  <si>
    <t>077.655.896-01</t>
  </si>
  <si>
    <t>Salário do Músico Instrumentista, referente ao mês12/2021</t>
  </si>
  <si>
    <t xml:space="preserve">Alef Caetano Silva </t>
  </si>
  <si>
    <t>016.727.396-59</t>
  </si>
  <si>
    <t>Salário Bailarina, referente ao mês 12/2021</t>
  </si>
  <si>
    <t>Eliatrice Gischewski Souza</t>
  </si>
  <si>
    <t>086.132.186-36</t>
  </si>
  <si>
    <t>Salário do Presidente referente ao mês 12/2021</t>
  </si>
  <si>
    <t>Felipe Vieira Xavier</t>
  </si>
  <si>
    <t>067.186.996-59</t>
  </si>
  <si>
    <t>André Lodi Rocha</t>
  </si>
  <si>
    <t>075.500.986-03</t>
  </si>
  <si>
    <t>Salário do Coordenador Administrativo referente ao mês 12/2021</t>
  </si>
  <si>
    <t>Flávio César Pereira</t>
  </si>
  <si>
    <t>044.218.046-22</t>
  </si>
  <si>
    <t>Salário do Gerente de Projetos: Programação Artística referente ao mês 12/2021</t>
  </si>
  <si>
    <t>Priscila Fiorini Maia Bittencourt</t>
  </si>
  <si>
    <t>014.275.836-17</t>
  </si>
  <si>
    <t>Salário do Superintendente de Auditoria, referente ao mês 12/2021</t>
  </si>
  <si>
    <t>Agostinho Resende Neves</t>
  </si>
  <si>
    <t>827.810.796-34</t>
  </si>
  <si>
    <t xml:space="preserve">Aldo César da Silva </t>
  </si>
  <si>
    <t>067.774.056-58</t>
  </si>
  <si>
    <t>Salário do Bailarina, referente ao mês 12/2021</t>
  </si>
  <si>
    <t>Amanda Pessoa Soares</t>
  </si>
  <si>
    <t>119.017.367-09</t>
  </si>
  <si>
    <t>Anahí Poty Corteletti Jimenez</t>
  </si>
  <si>
    <t>090.158.239-52</t>
  </si>
  <si>
    <t xml:space="preserve">Andréia Aparecida  de Paula </t>
  </si>
  <si>
    <t>037.889.336-07</t>
  </si>
  <si>
    <t>Andréia Simões Santos</t>
  </si>
  <si>
    <t>060.635.676-23</t>
  </si>
  <si>
    <t>Analista de RH , referente ao mês 12/2021</t>
  </si>
  <si>
    <t>Andreza Silva Nunes</t>
  </si>
  <si>
    <t>057.552.146-54</t>
  </si>
  <si>
    <t>Salário do Músico, referente ao mês 12/2021</t>
  </si>
  <si>
    <t xml:space="preserve">Ariadna Fernandes </t>
  </si>
  <si>
    <t>076.945.796-76</t>
  </si>
  <si>
    <t>Salário do Regente Assistente, referente ao mês 12/2021</t>
  </si>
  <si>
    <t xml:space="preserve">Augusto Mário Goulart Pimenta </t>
  </si>
  <si>
    <t>001.836.186-29</t>
  </si>
  <si>
    <t>Salário do Músico cantora, referente ao mês 12/2021</t>
  </si>
  <si>
    <t>Bárbara Augusta Brasil Nicolau</t>
  </si>
  <si>
    <t>Salário do Bailarino, referente ao mês 12/2021</t>
  </si>
  <si>
    <t>Cristhyan Barbosa Pimentel</t>
  </si>
  <si>
    <t>122.395.787-00</t>
  </si>
  <si>
    <t>Salário da Músico Cantor, referente ao mês 12/2021</t>
  </si>
  <si>
    <t xml:space="preserve">Cristiano Gomes da Rocha   </t>
  </si>
  <si>
    <t>032.236.356-02</t>
  </si>
  <si>
    <t>Elias Magalhães Moreira</t>
  </si>
  <si>
    <t>139.223.746-70</t>
  </si>
  <si>
    <t>Salário da Assessora Pedagógica, referente ao mês 12/2021</t>
  </si>
  <si>
    <t>Erika Fabíola Aniceto Marques</t>
  </si>
  <si>
    <t>075.296.186-10</t>
  </si>
  <si>
    <t>Felllip Matheus dos Santos Lopes</t>
  </si>
  <si>
    <t>148.464.986-97</t>
  </si>
  <si>
    <t>Salário do Diretor Financeiro, referente ao mês 12/2021</t>
  </si>
  <si>
    <t>Guilherme Domingos de Oliveira</t>
  </si>
  <si>
    <t>030.761.766-17</t>
  </si>
  <si>
    <t xml:space="preserve">Hozana Martins de Barros Santos </t>
  </si>
  <si>
    <t>126.443.966-03</t>
  </si>
  <si>
    <t xml:space="preserve">Indaiara Silva Dos Santos Patrocínio </t>
  </si>
  <si>
    <t>058.237.986-52</t>
  </si>
  <si>
    <t>Isadora Franca Franco Brandão</t>
  </si>
  <si>
    <t>138.356.276-86</t>
  </si>
  <si>
    <t>CS</t>
  </si>
  <si>
    <t>CO</t>
  </si>
  <si>
    <t xml:space="preserve">Parcela </t>
  </si>
  <si>
    <t xml:space="preserve">Tipo de Processo </t>
  </si>
  <si>
    <t xml:space="preserve">Nº Processo </t>
  </si>
  <si>
    <t>Contrato de Gestão nº. 05/20 celebrado entre a Fundação Clóvis Salgado e a Associação Pró-Cultura e Promoção das Artes</t>
  </si>
  <si>
    <t>Compra de Cordas de Violão -4 jogos de Encordoamento Daddario Classic Nylon Ejn 27 - normal tension</t>
  </si>
  <si>
    <t xml:space="preserve">CNPJ </t>
  </si>
  <si>
    <t>00.776.574/0001-56</t>
  </si>
  <si>
    <t>03.287.370/0003-01</t>
  </si>
  <si>
    <t>14.975.725/0001-00</t>
  </si>
  <si>
    <t>18.277.493/0001-77</t>
  </si>
  <si>
    <t>10.356.504/0001-00</t>
  </si>
  <si>
    <t xml:space="preserve">26.433.663/0001-93
</t>
  </si>
  <si>
    <t xml:space="preserve">08.314.044/0001-06
</t>
  </si>
  <si>
    <t>35.205.413/0001-97</t>
  </si>
  <si>
    <t>114.772.006-14</t>
  </si>
  <si>
    <t>36.319.159/0001-10</t>
  </si>
  <si>
    <t>36.420.881/0001-47</t>
  </si>
  <si>
    <t>01.216.839/0001-24</t>
  </si>
  <si>
    <t>40.274.941/0001-38</t>
  </si>
  <si>
    <t>17.281.106/0001-03</t>
  </si>
  <si>
    <t>023.226.843/0001-06</t>
  </si>
  <si>
    <t>02.558.157/0001-62</t>
  </si>
  <si>
    <t>01.505.648/0001-82</t>
  </si>
  <si>
    <t>22.204.920/0001-64</t>
  </si>
  <si>
    <t>086.515.596-82</t>
  </si>
  <si>
    <t>36.717.152/0001-57</t>
  </si>
  <si>
    <t>41.215.577/0001-06</t>
  </si>
  <si>
    <t>405.654.508-16</t>
  </si>
  <si>
    <t>23.108.151/0001-63</t>
  </si>
  <si>
    <t>08.173.813/0001-95</t>
  </si>
  <si>
    <t>41.308.133/0001-07</t>
  </si>
  <si>
    <t>40.090.079/0001-03</t>
  </si>
  <si>
    <t>40.432.544/0112-62</t>
  </si>
  <si>
    <t>13.254.493/0001-38</t>
  </si>
  <si>
    <t>09.432.891/0001-20</t>
  </si>
  <si>
    <t>16.757.524/0001-61</t>
  </si>
  <si>
    <t>20.617.386/0001-92</t>
  </si>
  <si>
    <t>33.339.017/0001-27</t>
  </si>
  <si>
    <t>33.556.383/0001-38</t>
  </si>
  <si>
    <t>23.500.129/0001-64</t>
  </si>
  <si>
    <t>10.199.466/0001-11</t>
  </si>
  <si>
    <t>26.171.295/0001-52</t>
  </si>
  <si>
    <t>13.450.692/0001-11</t>
  </si>
  <si>
    <t>33.451.113/0001-62</t>
  </si>
  <si>
    <t>07.029.586/0001-66</t>
  </si>
  <si>
    <t>42.947.214/0001-10</t>
  </si>
  <si>
    <t>19.514.622/0001-66</t>
  </si>
  <si>
    <t>126.424.776-14</t>
  </si>
  <si>
    <t>31.395.134/0001-82</t>
  </si>
  <si>
    <t>037.714.656-05</t>
  </si>
  <si>
    <t>23.684.121/0001-03</t>
  </si>
  <si>
    <t>30.688.005/0001-10</t>
  </si>
  <si>
    <t>15.800.532/0001-80</t>
  </si>
  <si>
    <t xml:space="preserve">41.928.617/0001-59
</t>
  </si>
  <si>
    <t>21.103.300/0001-76</t>
  </si>
  <si>
    <t>02.028.930/0001-89</t>
  </si>
  <si>
    <t xml:space="preserve">31.395.134/0001-82
</t>
  </si>
  <si>
    <t>584.054.965-72</t>
  </si>
  <si>
    <t>014.807.776-50</t>
  </si>
  <si>
    <t>138.634.206-83</t>
  </si>
  <si>
    <t>077.480.716-40</t>
  </si>
  <si>
    <t>134.947.726-57</t>
  </si>
  <si>
    <t>07.900.263/0001-04</t>
  </si>
  <si>
    <t>37.040.206/0001-55</t>
  </si>
  <si>
    <t>41.037.681/0001-40</t>
  </si>
  <si>
    <t>08.608.007/0001-00</t>
  </si>
  <si>
    <t>03.922.845/0001-22</t>
  </si>
  <si>
    <t>44.572.228/0001-21</t>
  </si>
  <si>
    <t>185.876.778-45</t>
  </si>
  <si>
    <t>44.570.266/0001-45</t>
  </si>
  <si>
    <t xml:space="preserve">19.514.622/0001-66
</t>
  </si>
  <si>
    <t>23.446.767/0001-44</t>
  </si>
  <si>
    <t>19.178.475/0001-09</t>
  </si>
  <si>
    <t>056.631.786-94</t>
  </si>
  <si>
    <t>17.498.163/0001-49</t>
  </si>
  <si>
    <t>31.964.548/0001-85</t>
  </si>
  <si>
    <t>22.101.690/0001-08</t>
  </si>
  <si>
    <t>20.273.014/0001-96</t>
  </si>
  <si>
    <t>00.072.675/0001-46</t>
  </si>
  <si>
    <t>07.021.544/0001-89</t>
  </si>
  <si>
    <t>117.922.866-94</t>
  </si>
  <si>
    <t>29.782.437/0001-06</t>
  </si>
  <si>
    <t>22.061.279/0001-56</t>
  </si>
  <si>
    <t>124.289.266-40</t>
  </si>
  <si>
    <t>117.593.926-93</t>
  </si>
  <si>
    <t>23.082.168/0001-99</t>
  </si>
  <si>
    <t>097.410.426-47</t>
  </si>
  <si>
    <t>20.994.643/0001-05</t>
  </si>
  <si>
    <t>44.737.175/0001-51</t>
  </si>
  <si>
    <t>18.866.960/0001-02</t>
  </si>
  <si>
    <t>41.073.558/0001-84</t>
  </si>
  <si>
    <t>13.794.450/0001-45</t>
  </si>
  <si>
    <t>28.035.613/0001-83</t>
  </si>
  <si>
    <t>12.233.251/0001-03</t>
  </si>
  <si>
    <t>04.826.601/0001-09</t>
  </si>
  <si>
    <t>33.829.537/0001-18</t>
  </si>
  <si>
    <t>32.849.441/0001-59</t>
  </si>
  <si>
    <t>419.296.548-80</t>
  </si>
  <si>
    <t>43.841.435/0001-71</t>
  </si>
  <si>
    <t>25.299.077/0001-35</t>
  </si>
  <si>
    <t>00.723.345/0001-73</t>
  </si>
  <si>
    <t>126.855.286-01</t>
  </si>
  <si>
    <t>00.099.221/0001-69</t>
  </si>
  <si>
    <t>315.104.186-87</t>
  </si>
  <si>
    <t>182.148.986-17</t>
  </si>
  <si>
    <t>07.834.141/0001-59</t>
  </si>
  <si>
    <t>767.973.096-20</t>
  </si>
  <si>
    <t>37.494.209/0001-69</t>
  </si>
  <si>
    <t>403.515.806-20</t>
  </si>
  <si>
    <t>713.281.731-00</t>
  </si>
  <si>
    <t>42.914.408/0001-19</t>
  </si>
  <si>
    <t>18.980.684/0001-09</t>
  </si>
  <si>
    <t>16.512.925/0001-51</t>
  </si>
  <si>
    <t>23.396.293/0001-73</t>
  </si>
  <si>
    <t>29.293.868/0001-09</t>
  </si>
  <si>
    <t>24.839.996/0001-91</t>
  </si>
  <si>
    <t>17.904.708/0001-70</t>
  </si>
  <si>
    <t>09.162.834/0001-78</t>
  </si>
  <si>
    <t>18.969.186/0001-57</t>
  </si>
  <si>
    <t>32.584.996/0001-16</t>
  </si>
  <si>
    <t xml:space="preserve">04.161.336/0001-97
</t>
  </si>
  <si>
    <t>42.225.713/0001-01</t>
  </si>
  <si>
    <t>38.230.957/0001-05</t>
  </si>
  <si>
    <t>26.433.663/0001-93</t>
  </si>
  <si>
    <t>34.271.279/0001-60</t>
  </si>
  <si>
    <t xml:space="preserve">41.308.133/0001-07
</t>
  </si>
  <si>
    <t>28.817.968/0001-24</t>
  </si>
  <si>
    <t xml:space="preserve">40.274.941/0001-38
</t>
  </si>
  <si>
    <t>40.214.619/0001-13</t>
  </si>
  <si>
    <t>103.381.567-55</t>
  </si>
  <si>
    <t xml:space="preserve">43.213.819/0001-40
</t>
  </si>
  <si>
    <t>35.234.565/0001-18</t>
  </si>
  <si>
    <t>118.436.746-96</t>
  </si>
  <si>
    <t xml:space="preserve">42.848.212/0001-73
</t>
  </si>
  <si>
    <t xml:space="preserve">36.361.101/0001-35
</t>
  </si>
  <si>
    <t>40.415.688/0001-95</t>
  </si>
  <si>
    <t>42.919.408/0001-19</t>
  </si>
  <si>
    <t>44.783.540/0001-64</t>
  </si>
  <si>
    <t>749.701.351-34</t>
  </si>
  <si>
    <t>05.021.797/0001-27</t>
  </si>
  <si>
    <t>29.032.573/0001-89</t>
  </si>
  <si>
    <t>17.125.729/0001-97</t>
  </si>
  <si>
    <t xml:space="preserve">
074.517.466-31
</t>
  </si>
  <si>
    <t>013.025.696-00</t>
  </si>
  <si>
    <t>666.956.431-72</t>
  </si>
  <si>
    <t>20.760.670/0001-13</t>
  </si>
  <si>
    <t>058.232.306-13</t>
  </si>
  <si>
    <t>42.236.925/0001-86</t>
  </si>
  <si>
    <t xml:space="preserve">42.225.713/0001-01
</t>
  </si>
  <si>
    <t>066.005.206-71</t>
  </si>
  <si>
    <t xml:space="preserve">08.215.660/0001-00
</t>
  </si>
  <si>
    <t xml:space="preserve">15.022.074/0001-04
</t>
  </si>
  <si>
    <t>078.974.356-60</t>
  </si>
  <si>
    <t>04.099.931/0001-40</t>
  </si>
  <si>
    <t>07.071.575/0002-25</t>
  </si>
  <si>
    <t>18.727.053/0001-74</t>
  </si>
  <si>
    <t xml:space="preserve">788.556.596-34
</t>
  </si>
  <si>
    <t>112.598.776-63</t>
  </si>
  <si>
    <t>093.989.796-24</t>
  </si>
  <si>
    <t>099.513.026-45</t>
  </si>
  <si>
    <t>792.345.006-44</t>
  </si>
  <si>
    <t>10.762.571/0001-17</t>
  </si>
  <si>
    <t>014.629.566-88</t>
  </si>
  <si>
    <t>075.783.736-09</t>
  </si>
  <si>
    <t>075.448.886-14</t>
  </si>
  <si>
    <t>Contratação de uma conta Business Standard para o Cefart.https://workspace.google.com/intl/pt-BR/pricing.html</t>
  </si>
  <si>
    <t>06.990.590/0001-23</t>
  </si>
  <si>
    <t>Jéssica Cristina Soares</t>
  </si>
  <si>
    <t>094.008.786-30</t>
  </si>
  <si>
    <t>Kênia Regina de Mendonça Perdigão</t>
  </si>
  <si>
    <t>000.061.956-60</t>
  </si>
  <si>
    <t xml:space="preserve">Leandro Lino da Cunha </t>
  </si>
  <si>
    <t>113.321.226-39</t>
  </si>
  <si>
    <t>Leise Rodrigues Toledo Renhe</t>
  </si>
  <si>
    <t>070.864.116-47</t>
  </si>
  <si>
    <t xml:space="preserve">Leonardo Brasilino Rodrigues da Cunha </t>
  </si>
  <si>
    <t>040.390.166-96</t>
  </si>
  <si>
    <t>Lucas Roberto de Souza Sodré</t>
  </si>
  <si>
    <t>109.570.336-64</t>
  </si>
  <si>
    <t>Luiza Freitas Therezo</t>
  </si>
  <si>
    <t>117.576.736-01</t>
  </si>
  <si>
    <t>Maíra Campos de Freitas Lucas</t>
  </si>
  <si>
    <t xml:space="preserve">Maria da Penha Vasconcelos Batista Sabeti </t>
  </si>
  <si>
    <t>060.156.864-80</t>
  </si>
  <si>
    <t>Maxmiler Junio Santos de Deus</t>
  </si>
  <si>
    <t>114.620.816-22</t>
  </si>
  <si>
    <t>Pablo Garcia do Carmo</t>
  </si>
  <si>
    <t>121.017.896-63</t>
  </si>
  <si>
    <t>Paulo Wesley Barbosa Ferreira</t>
  </si>
  <si>
    <t>610.279.193-24</t>
  </si>
  <si>
    <t>Rafael Ribeiro</t>
  </si>
  <si>
    <t>105.605.686-06</t>
  </si>
  <si>
    <t>Renato Augusto Silva</t>
  </si>
  <si>
    <t>142.229.636-90</t>
  </si>
  <si>
    <t>Renivalda Cândida da Silva Santana</t>
  </si>
  <si>
    <t>024.550.206-81</t>
  </si>
  <si>
    <t>Robert Avelino Camilo</t>
  </si>
  <si>
    <t>013.263.696-44</t>
  </si>
  <si>
    <t>Rosana Guedes de Oliveira Carneiro</t>
  </si>
  <si>
    <t>095.047.226-36</t>
  </si>
  <si>
    <t xml:space="preserve">Silvia Maurício De Souza Campos Neves 
</t>
  </si>
  <si>
    <t>074.691.586-18</t>
  </si>
  <si>
    <t xml:space="preserve">Simone Poliana de Jeses Martins e Silva </t>
  </si>
  <si>
    <t>Thiago Roussin Borges</t>
  </si>
  <si>
    <t>056.166.086-70</t>
  </si>
  <si>
    <t>Vitor Dutra Oliveira</t>
  </si>
  <si>
    <t>004.627.916-17</t>
  </si>
  <si>
    <t>Wilton Bernardino Marques</t>
  </si>
  <si>
    <t>Salário da Produtora Cultural: Produção Artística, referente ao mês 12/2021</t>
  </si>
  <si>
    <t>Salário do Produtora Cultural da Dipro, referente ao mês 12/2021</t>
  </si>
  <si>
    <t xml:space="preserve"> Salário   Auxiliar de serviços Gerais, referente ao mês 12/2021</t>
  </si>
  <si>
    <t xml:space="preserve"> Salário  Arquivista, referente ao mês 12/2021</t>
  </si>
  <si>
    <t xml:space="preserve"> Salário  Músico Instrumentista, referente ao mês 12/2021</t>
  </si>
  <si>
    <t>Salário Músico Cantora, referente ao mês 12/2021</t>
  </si>
  <si>
    <t>Salário Músico Instrumentista, referente ao mês 12/2021</t>
  </si>
  <si>
    <t>Salário  Músico Cantor, referente ao mês 12/2021</t>
  </si>
  <si>
    <t>Salário  Músico Instrumentista, referente ao mês 12/2021</t>
  </si>
  <si>
    <t>Salário Montador Dipro, referente ao mês 12/2021</t>
  </si>
  <si>
    <t>Férias da Produtora Cultural: Produção Artística</t>
  </si>
  <si>
    <t>Fundo de Garantia do Tempo de Serviço</t>
  </si>
  <si>
    <t>Imposto</t>
  </si>
  <si>
    <t>FGTS referente a folha de pagamento do mês 12/2021</t>
  </si>
  <si>
    <t>Origem do Recurso</t>
  </si>
  <si>
    <t>FGTS referente a 2º parcela do 13º salário</t>
  </si>
  <si>
    <t xml:space="preserve"> Maria Luiza Luz Alves Mendonca 14841323600</t>
  </si>
  <si>
    <t>Contratação de profissional para apoio na digitação e edição de processos de compras e contratações, de cadastros para base de dados e controles do projeto.Faz-se necessária a contratação de um profissional para para apoiar o setor de compras. Esse apoio se dará na elaboração dos processos de compras, cadastro de novos fornecedores, cotações, solicitação de documentação</t>
  </si>
  <si>
    <t>Luiza Poeiras Amorim</t>
  </si>
  <si>
    <t>ISSQN referente ao RPA 1525 - Luiza Poeiras Amorim</t>
  </si>
  <si>
    <t>INSS e INSS Patronal referente ao RPA 1525 - Luiza Poeiras Amorim</t>
  </si>
  <si>
    <t>Damasco Comunicação Eirelli</t>
  </si>
  <si>
    <t>Gilberto De Lima Goulart 08401043670</t>
  </si>
  <si>
    <t>Férias do  Diretor Financeiro/2021</t>
  </si>
  <si>
    <t>Tarifa Bancária referente a transferência eletrônica salário Superintendente de Auditoria</t>
  </si>
  <si>
    <t xml:space="preserve">Tarifa Bancária referente a transferência eletrônica salário Músico </t>
  </si>
  <si>
    <t>Tarifa Bancária referente a transferência eletrônica salário Analista Financeiro Pleno</t>
  </si>
  <si>
    <t>Tarifa Bancária referente a transferência eletrônica salário Analista de RH</t>
  </si>
  <si>
    <t>Tarifa Bancária referente a transferência eletrônica salário Assistente Regente</t>
  </si>
  <si>
    <t>Tarifa Bancária referente a transferência eletrônica salário Montador</t>
  </si>
  <si>
    <t>Tarifa Bancária referente a transferência eletrônica salário Coordenador de Comunicação</t>
  </si>
  <si>
    <t>Tarifa Bancária referente a transferência eletrônica salário Produtora Cultural Dipro</t>
  </si>
  <si>
    <t>Tarifa Bancária referente a transferência eletrônica salário Diretor Financeiro</t>
  </si>
  <si>
    <t>Tarifa Bancária referente a transferência eletrônica salário Produtora Cultural Diart</t>
  </si>
  <si>
    <t xml:space="preserve">Tarifa Bancária referente a transferência eletrônica salário Auxiliar de Serviços Gerais </t>
  </si>
  <si>
    <t>Tarifa Bancária referente a transferência eletrônica salário Arquivista</t>
  </si>
  <si>
    <t>Tarifa Bancária referente a transferência eletrônica salário Montador Dipro</t>
  </si>
  <si>
    <t>Tarifa Bancária referente a transferência eletrônica salário Assessora Pedagógica</t>
  </si>
  <si>
    <t>Tarifa Bancária referente a transferência eletrônica salário Bailarina</t>
  </si>
  <si>
    <t>Tarifa Bancária referente a transferência eletrônica salário Bailarino</t>
  </si>
  <si>
    <t>Tarifa Bancária referente a transferência eletrônica pagamento fornecedor :  Patrícia Cláudia Pereira Lima Bernardi 03978862689  -  Processo: 1135</t>
  </si>
  <si>
    <t>Tarifa Bancária referente a transferência eletrônica pagamento fornecedor :  Arco Cultural Ltda  -  Processo: 1458</t>
  </si>
  <si>
    <t>Tarifa Bancária referente a transferência eletrônica pagamento fornecedor :   BD SERVICOS E CONSULTORIA LTDA  -  Processo: 1137</t>
  </si>
  <si>
    <t>Tarifa Bancária referente a transferência eletrônica pagamento fornecedor :  Ivete Maria De Oliveira 76363481600  -  Processo: 1458</t>
  </si>
  <si>
    <t>Tarifa Bancária referente a transferência eletrônica pagamento fornecedor:Krypton Serviços Contábeis S. S.  -  Processo: 1114</t>
  </si>
  <si>
    <t>Reposição de 07 Galões de 20 litros de água mineral.</t>
  </si>
  <si>
    <t>08.846.102/0001-34</t>
  </si>
  <si>
    <t>122.426.726-57</t>
  </si>
  <si>
    <t>Contratação da monitora Nathalia Araujo Marques para acompanhamento do público durante visitação na exposição dos artistas Erre Erre e João Angelini, que fazem parte do 2º Prêmio Décio Noviello nas galerias Genesco Murta e Arlinda Correia Lima, no período de 25 de janeiro de 2022 a 12 de março de 2022, no Palácio das Artes.</t>
  </si>
  <si>
    <t>107.582.106-12</t>
  </si>
  <si>
    <t>Contratação do monitor Brenno Theotônio de Castro para acompanhamento do público durante a visitação na exposição "Campo de Passagem", parte do 2º Prêmio Décio Noviello, no período de 25 de janeiro de 2022 a 12 de março de 2022, na CâmeraSete– Casa da Fotografia de Minas Gerais.</t>
  </si>
  <si>
    <t>105.888.896-01</t>
  </si>
  <si>
    <t>Contratação da monitora Daniela Coelho Brandão para acompanhamento do público durante a visitação na exposição "Erre e Erre e João Angelini", durante o período expositivo, no período de25 de janeiro de 2022 a 13 de março de 2022, no Palácio das Artes.</t>
  </si>
  <si>
    <t>123.737.176-70</t>
  </si>
  <si>
    <t>Contratação da monitora Bianca Furtado Penha para acompanhamento do público durante visitação na exposição dos artistas Erre Erre e João Angelini, que fazem parte do 2º Prêmio Décio Noviello nas galerias Genesco Murta e Arlinda Correia Lima, no período de25 de janeiro de 2022 a 12 de março de 2022, no Palácio das Artes.</t>
  </si>
  <si>
    <t>Serviço de plotagem: impressão, instalação e remoção de adesivos para a exposição do Artista Erre Erre, na Galeria Arlinda Correa Lima, pelo2° Prêmio Décio Noviello de Artes Visuais.</t>
  </si>
  <si>
    <t>Reembolso realizado pelo Termo de Parceria 50/2020 - IEPHA referente ao percentual (26,41% do valor total), Manutenção de redes e computadores da sede da Appa - mês 12/2021</t>
  </si>
  <si>
    <t>Reembolso realizado pelo Termo de Parceria 50/2020 - IEPHA referente ao percentual (26,41% do valor total), Serviço para contratação de espaço para a guarda de documentos da sede administrativos - 2º semestre de 2021.O serviço contempla a contratação de espaço para a guarda de documentos escriturais referente ao segundo semestre de 2021.</t>
  </si>
  <si>
    <t>Reembolso realizado pelo Termo de Parceria 50/2020 - IEPHA referente ao percentual (26,41% do valor total ) do aluguel da sede da Appa referente ao mês 12/2021</t>
  </si>
  <si>
    <t>Victória Sofia Lúcio Silva</t>
  </si>
  <si>
    <t>ISSQN referente ao RPA 1529 - Victória Sofia Lúcio Silva</t>
  </si>
  <si>
    <t>DARF/IR referente ao RPA 1529 - Victória Sofia Lúcio Silva</t>
  </si>
  <si>
    <t>INSS e INSS Patronal  referente ao RPA 1529 - Victória Sofia Lúcio Silva</t>
  </si>
  <si>
    <t>Claro S.A.</t>
  </si>
  <si>
    <t>Pagamento Conta de Telefone</t>
  </si>
  <si>
    <t xml:space="preserve">Fatura </t>
  </si>
  <si>
    <t>Guard Gerenciamento De Documentos Ltda</t>
  </si>
  <si>
    <t xml:space="preserve">GE Duarte - ME </t>
  </si>
  <si>
    <t>Patrulha Eletrônica Ltda</t>
  </si>
  <si>
    <t>2021/2012</t>
  </si>
  <si>
    <t>Elisete Gomes Joaquim De Oliveira-ME</t>
  </si>
  <si>
    <t>ISSQN referente a nota fiscal 2022/1 - Elisete Gomes Joaquim De Oliveira-ME</t>
  </si>
  <si>
    <t xml:space="preserve">ISSQN referente a nota fiscal 122 - Elias do Carmo -ME </t>
  </si>
  <si>
    <t xml:space="preserve">Guia de ISSQN </t>
  </si>
  <si>
    <t>ISSQN referente ao RPA 1492 - Guilherme Dias Da Silva Barreto</t>
  </si>
  <si>
    <t>ISSQN referente a nota fiscal 2021/16 - Estudio 739 de Publicidade e Propaganda Ltda</t>
  </si>
  <si>
    <t>ISSQN referente a nota fiscal 2021/2012 - Patrulha Eletrônica Ltda</t>
  </si>
  <si>
    <t>DARR/PCC referente a nota fiscal 2021/670685 - Unimed Cooperativa de Trabalho Médico</t>
  </si>
  <si>
    <t>DARF/PCC referente a nota fiscal 2021/609618 - Unimed Cooperativa de Trabalho Médico</t>
  </si>
  <si>
    <t>ISSQN referente a nota fiscal 2021/67085 - Unimed Cooperativa de Trabalho Médico</t>
  </si>
  <si>
    <t>ISSQN referente a nota fiscal 2021/674436 - Unimed Cooperativa de Trabalho Médico</t>
  </si>
  <si>
    <t>Tarifa Bancária referente a transferência eletrônica pagamento fornecedor:Elisete Gomes Joaquim De Oliveira-ME  -  Processo: 2678</t>
  </si>
  <si>
    <t>Reembolso realizado pelo Termo de Parceria 50/2020 - IEPHA referente ao percentual (26,41% do valor total), Segurança Eletrônica da Sede da APPA - mês 12/2021</t>
  </si>
  <si>
    <t>Contratação de profissional para direção e acompanhamento dos ensaios do Espetáculo de Formatura do 3o da Escola de Teatro do Cefart.</t>
  </si>
  <si>
    <t>29.117.312/0001-61</t>
  </si>
  <si>
    <t>17.939.552/0001-62</t>
  </si>
  <si>
    <t xml:space="preserve">Contratação do serviço de Vigilância Noturna Local, para Casa de Fotografia Câmera Sete, durante a exposição do 2º Prêmio Décio Noviello. </t>
  </si>
  <si>
    <t>2.5</t>
  </si>
  <si>
    <t xml:space="preserve">Guilherme Dias Da Silva Barreto
</t>
  </si>
  <si>
    <t>133.903.445-69</t>
  </si>
  <si>
    <t xml:space="preserve">Transferência Enviada </t>
  </si>
  <si>
    <t xml:space="preserve">ISSQN referente ao RPA 1534 - Guilherme Dias Da Silva Barreto
</t>
  </si>
  <si>
    <t xml:space="preserve">INSS e INSS Patronal referente ao RPA 1534 - Guilherme Dias Da Silva Barreto
</t>
  </si>
  <si>
    <t>Gabriel Couto Pereira 08089583644</t>
  </si>
  <si>
    <t>Arte Group Ltda</t>
  </si>
  <si>
    <t xml:space="preserve">CO </t>
  </si>
  <si>
    <t>BH Notebooks Ltda</t>
  </si>
  <si>
    <t>Recibo</t>
  </si>
  <si>
    <t>Marcilene Ferreira Da Silva 05133402627</t>
  </si>
  <si>
    <t>Emer-som Ltda</t>
  </si>
  <si>
    <t>2022/5</t>
  </si>
  <si>
    <t>ISSQN referente a nota fiscal 2022/5 - Emer-som Ltda</t>
  </si>
  <si>
    <t xml:space="preserve"> Camila Araújo De Oliveira Pinho</t>
  </si>
  <si>
    <t>ISSQN referente ao RPA 1535 -  Camila Araújo De Oliveira Pinho</t>
  </si>
  <si>
    <t>INSS e INSS referente ao RPA 1535 -  Camila Araújo De Oliveira Pinho</t>
  </si>
  <si>
    <t>Antonio Tavares Ribeiro</t>
  </si>
  <si>
    <t>Tarifa Bancária referente a transferência eletrônica pagamento fornecedor: BH Notebooks Ltda  -  Processo: 1139</t>
  </si>
  <si>
    <t>Tarifa Bancária referente a transferência eletrônica pagamento fornecedor: Emer-som Ltda -  Processo: 2455</t>
  </si>
  <si>
    <t>Tarifa Bancária referente a transferência eletrônica pagamento fornecedor: Marcilene Ferreira Da Silva 05133402627  -  Processo: 2259</t>
  </si>
  <si>
    <t>Tarifa Bancária referente a transferência eletrônica pagamento fornecedor:  Camila Araújo De Oliveira Pinho   -  Processo: 2248</t>
  </si>
  <si>
    <t>Tarifa Bancária referente a transferência eletrônica pagamento fornecedor: Antonio Tavares Ribeiro -  Processo: 1826</t>
  </si>
  <si>
    <t>Reembolso realizado pelo Termo de Parceria 50/2020 - IEPHA referente ao uso de táxi pelos funcionários ao serviço do Termo</t>
  </si>
  <si>
    <t xml:space="preserve">Reembolso parcial da conta do Termo de Parceria 50/2020 - IEPHA, referenteao uso de telefone fixo (mês 12/2021) - 26,41% do valor total </t>
  </si>
  <si>
    <t>05.583.664/0001-44</t>
  </si>
  <si>
    <t>000.041.109</t>
  </si>
  <si>
    <t>02.558.157/0009-10</t>
  </si>
  <si>
    <t>Pagamento de conta Telefone</t>
  </si>
  <si>
    <t>12770188-MG</t>
  </si>
  <si>
    <t>Telefone Fixo da sede da Appa referente ao mês 01/2022</t>
  </si>
  <si>
    <t>Telefone Fixo da sede da Appa referente ao mês 02/2022</t>
  </si>
  <si>
    <t xml:space="preserve">Uso de táxi pelos funcionários a serviço do CG e do Termo de Parceria </t>
  </si>
  <si>
    <t>Cooperativa Mista de Transporte de Passageiros Táxi BH Ltda</t>
  </si>
  <si>
    <t>25.298.969/0001-11</t>
  </si>
  <si>
    <t>2022/109</t>
  </si>
  <si>
    <t xml:space="preserve"> Aloltech Telecom Ltda</t>
  </si>
  <si>
    <t>2022/25</t>
  </si>
  <si>
    <t>ISSQN referente a nota fiscal 2022/25 - Aloltech Telecom Ltda</t>
  </si>
  <si>
    <t xml:space="preserve"> Fala Comercio De Cenario Ltda</t>
  </si>
  <si>
    <t>ISSQN referente a nota fiscal 2022/1 -  Fala Comercio De Cenario Ltda</t>
  </si>
  <si>
    <t xml:space="preserve">Contratação de profissional para serviços de Instrutor/Monitoria quer fará o acompanhamento de público para Exposição da Mostra Tátil do programa de Residência Artística, que ocorrerá entre os dias 10 de dezembro a 10 de janeiro. </t>
  </si>
  <si>
    <t xml:space="preserve"> Brenno Theotônio De Castro 10588889601</t>
  </si>
  <si>
    <t>Contratação de profissional para serviços de Instrutor/Monitoria quer fará o acompanhamento de público para Exposição da Mostra Tátil do programa de Residência Artística, que ocorrerá entre os dias 10 de dezembro a 10 de janeiro. O contratado precisa ter conhecimento do programa de Residência Artística e seus parceiros. Por ser tratar de uma mostra que para além de acompanhar o público exigirá do monitor uma interação com os bolsistas residentes para explicação de cada trabalho sugere-se a contratação de Maria do Rosário que já participa do programa de residência.</t>
  </si>
  <si>
    <t>Maria Do Rosário Gomes Da Silva</t>
  </si>
  <si>
    <t xml:space="preserve">RPA </t>
  </si>
  <si>
    <t>ISSQN referente ao RPA 1537 - Maria Do Rosário Gomes Da Silva</t>
  </si>
  <si>
    <t>DARF/IR  referente ao RPA 1537 - Maria Do Rosário Gomes Da Silva</t>
  </si>
  <si>
    <t>INSS e INSS Patronal referente ao RPA 1537 - Maria Do Rosário Gomes Da Silva</t>
  </si>
  <si>
    <t>Contratação de profissional responsável pela Montagem e Desmontagem da exposição, incluindo pintura de galeria, fixação de obras em paredes e varas.</t>
  </si>
  <si>
    <t>Geraldo Peixoto De Freitas Neto</t>
  </si>
  <si>
    <t>ISSQN referente ao RPA 1538 - Geraldo Peixoto De Freitas Neto</t>
  </si>
  <si>
    <t>INSS e INSS Patronal  referente ao RPA 1538 - Geraldo Peixoto De Freitas Neto</t>
  </si>
  <si>
    <t>Arreda Produções e Eventos Ltda</t>
  </si>
  <si>
    <t>40.017.090/0001-48</t>
  </si>
  <si>
    <t>ISSQN referente a nota fiscal 2022/2 - Arreda Produções e Eventos Ltda</t>
  </si>
  <si>
    <t>Waneska Torres De Oliveira Cezar</t>
  </si>
  <si>
    <t>Emissão DOC</t>
  </si>
  <si>
    <t>DARF/IR referente ao RPA 1520 - Waneska Torres De Oliveira Cezar</t>
  </si>
  <si>
    <t>INSS e INSS Patronal  referente ao RPA 1520 - Waneska Torres De Oliveira Cezar</t>
  </si>
  <si>
    <t>Tarifa Bancária referente a transferência eletrônica pagamento fornecedor:  Aloltech Telecom Ltda -  Processo: 2718</t>
  </si>
  <si>
    <t>Tarifa Bancária referente a transferência eletrônica pagamento fornecedor:  Fala Comercio De Cenario Ltda-  Processo: 2754</t>
  </si>
  <si>
    <t>Tarifa Bancária referente a transferência eletrônica pagamento fornecedor:  Brenno Theotônio De Castro 10588889601 -  Processo: 2549</t>
  </si>
  <si>
    <t>Tarifa Bancária referente a transferência eletrônica pagamento fornecedor: Maria Do Rosário Gomes Da Silva -  Processo: 2539</t>
  </si>
  <si>
    <t>Tarifa Bancária referente a transferência eletrônica pagamento fornecedor: Geraldo Peixoto De Freitas Neto -  Processo: 2489</t>
  </si>
  <si>
    <t>Tarifa Bancária referente a transferência eletrônica pagamento fornecedor: Arreda Produções e Eventos Ltda -  Processo: 2158</t>
  </si>
  <si>
    <t xml:space="preserve">Férias do Presidente </t>
  </si>
  <si>
    <t>Berkley International Do Brasil Seguros S.A</t>
  </si>
  <si>
    <t xml:space="preserve">M&amp;M Suprimentos Para Informática Ltda
</t>
  </si>
  <si>
    <t xml:space="preserve"> Cassio Moreira Dos Santos 09492794632</t>
  </si>
  <si>
    <t>Tarifa Bancária referente a transferência eletrônica pagamento fornecedor: Cassio Moreira Dos Santos 09492794632 -  Processo: 2614</t>
  </si>
  <si>
    <t>Reembolso realizado pelo Termo de Parceria 50/2020 - IEPHA referente ao percentual (26,41% do valor total ) locação de impressoras da sede da Appa referente ao mês 12/2021</t>
  </si>
  <si>
    <t>DARF</t>
  </si>
  <si>
    <t>DARF/Importação referente ao câmbio do processo 2380  -  Khaunbiow Elom Kossi</t>
  </si>
  <si>
    <t>DARF/Importação referente ao câmbio do processo  2325 - Dénètem Touam Bona</t>
  </si>
  <si>
    <t xml:space="preserve">Up Print Comercio E Locacao De Equipamentos Eireli
</t>
  </si>
  <si>
    <t>Fatura</t>
  </si>
  <si>
    <t>U05058</t>
  </si>
  <si>
    <t>Michelle Domingas Correia De Oliveira</t>
  </si>
  <si>
    <t>ISSQN referente ao RPA 1536 - Michelle Domingas Correia De Oliveira</t>
  </si>
  <si>
    <t>INSS e INSS Patronal referente ao RPA 1536 - Michelle Domingas Correia De Oliveira</t>
  </si>
  <si>
    <t>Tarifa Bancária referente a transferência eletrônica pagamento fornecedor: Michelle Domingas Correia De Oliveira -  Processo: 2291</t>
  </si>
  <si>
    <t xml:space="preserve">Reembolso a conta do Contrato de Gestão - 05/2019, referente plano de saúde - mensalidade dos funcionários a serviço do Projeto Anlgo </t>
  </si>
  <si>
    <t xml:space="preserve">Reembolso a conta do Contrato de Gestão - 05/2019, referente a CO-Participação plano de saúde dos funcionários a serviço do Projeto Anlgo </t>
  </si>
  <si>
    <t>Reembolso realizado pelo Termo de Parceria 50/2020 - IEPHA referente ao percentual (26,41% do valor total) consumo de energia elétrica da sede da Appa- mês 12/2021</t>
  </si>
  <si>
    <t>Reembolso realizado pelo Termo de Parceria 50/2020 - IEPHA referente ao percentual (26,41% do valor total ) consumo de água da sede da Appa- mês 12/2021</t>
  </si>
  <si>
    <t xml:space="preserve">Reembolso realizado pelo Termo de Parceria 50/2020 - IEPHA referente ao pagamento do Plano de Saúde dos Funcionários a serviço do Termo </t>
  </si>
  <si>
    <t>Reembolso realizado pelo Termo de Parceria 50/2020 - IEPHA referente ao percentual (26,41% do valor total ) despesas com cartório</t>
  </si>
  <si>
    <t xml:space="preserve">Reembolso a conta do Contrato de Gestão - 05/2019, referente a CO-Participação plano de saúde dos funcionários a serviço  do Termo de Parceria Iepha. </t>
  </si>
  <si>
    <t>Reembolso realizado pelo Termo de Parceria 50/2020 - IEPHA referente ao percentual (26,41% do valor total), referente ao telefone móvel da sede da Appa- mês 12/2021</t>
  </si>
  <si>
    <t>Zoom Vídeo  communication</t>
  </si>
  <si>
    <t xml:space="preserve">Contratação de 5 contas do Zoom para realização de aulas virtuais no Cefart. As salas são necessárias para a realização de até 5 salas simultâneas. As escolas tem tido uma demanda crescente por salas virtuais, e noticias recentes indicam que o google Meet será pago em breve. A assinatura deve ser feita pelo período de sete meses. </t>
  </si>
  <si>
    <t>Moncalvo Comunicacao Ltda</t>
  </si>
  <si>
    <t>Alice Almeida Gontijo 09331535627</t>
  </si>
  <si>
    <t>8º Cartório de Notas</t>
  </si>
  <si>
    <t>21.856.505/0001-22</t>
  </si>
  <si>
    <t>Pagamento Conta Água</t>
  </si>
  <si>
    <t>001.22.00325064-1</t>
  </si>
  <si>
    <t>001.21.73777362-5</t>
  </si>
  <si>
    <t xml:space="preserve">Água e Esgoto </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</si>
  <si>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 Co- Participação</t>
  </si>
  <si>
    <t>16.513.178/0001-76</t>
  </si>
  <si>
    <t>2021/6700685</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</si>
  <si>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t>
  </si>
  <si>
    <t>2021/674436</t>
  </si>
  <si>
    <t>Contratação da monitora Suellen Silva Araújo Magalhães para acompanhamento do público durante a visitação na exposição "Erre e Erre e João Angelini", durante o período expositivo, no período de25 de janeiro de 2022 a 13 de março de 2022, no Palácio das Artes.</t>
  </si>
  <si>
    <t>097.529.656-50</t>
  </si>
  <si>
    <t>Telefone móvel para os funcionários a serviço do Contrato de Gestão e Termo de Parceria</t>
  </si>
  <si>
    <t>Pagamento Conta Telefone</t>
  </si>
  <si>
    <t>Ctrl P Impressão Digital Ltda</t>
  </si>
  <si>
    <t xml:space="preserve"> Elias Do Carmo - ME</t>
  </si>
  <si>
    <t xml:space="preserve"> Frederico Carlos Natalino 06822245618</t>
  </si>
  <si>
    <t>Tarifa Bancária referente a transferência eletrônica pagamento fornecedor: Ctrl P Impressão Digital Ltda-  Processo: 1866</t>
  </si>
  <si>
    <t>Tarifa Bancária referente a transferência eletrônica pagamento fornecedor:  Elias Do Carmo - ME -  Processo: 2561</t>
  </si>
  <si>
    <t>Tarifa Bancária referente a transferência eletrônica pagamento fornecedor:  Frederico Carlos Natalino 06822245618 -  Processo: 2677</t>
  </si>
  <si>
    <t>Sara Ramo Affonso</t>
  </si>
  <si>
    <t xml:space="preserve">Recibo </t>
  </si>
  <si>
    <t>DARF/IR referente ao recibo de - Sara Ramo Affonso</t>
  </si>
  <si>
    <t>Reembolso realizado pela conta Appa(2462-7) referente ao pagamento da guia de GPS do mês 12/2021</t>
  </si>
  <si>
    <t>Reembolso realizado pela conta Recusos Próprios (11407-3) referente ao pagamento da guia de GPS do mês 12/2021</t>
  </si>
  <si>
    <t>Reembolso realizado pela conta Manutenção Corpo Artístico (15556-X) referente ao pagamento da guia de GPS do mês 12/2021</t>
  </si>
  <si>
    <t>Reembolso realizado pela conta Programa Artístico da Fundação Clóvis Salgado - CA  (15845-3 ) referente ao pagamento da guia de GPS do mês 12/2021</t>
  </si>
  <si>
    <t>Reembolso realizado pela conta Programa Artístico da Fundação Clóvis Salgado - CA  (15949-2 ) referente ao pagamento da guia de GPS do mês 12/2021</t>
  </si>
  <si>
    <t>Reembolso realizado pela conta do Termo de Parceria 50/2020 - Iepha referente ao pagamento da guia de GPS (funcionários) INSS retido sob folha do mês 12/2021</t>
  </si>
  <si>
    <t>Reembolso realizado pela conta do Termo de Parceria 50/2020 - Iepha referente ao pagamento da guia de GPS (funcionários) INSS Patronal do mês 12/2021</t>
  </si>
  <si>
    <t>Reembolso realizado pelo Termo de Parceria 50/2020 - IEPHA referente ao percentual 26,41% do valor total ) ao consumo de internet da Appa do mês 12/2021</t>
  </si>
  <si>
    <t>Reembolso realizado pela conta Programa de Artes Visuais da Fundação Clóvis Salgado (16375-9) referente ao pagamento da guia de GPS do mês 12/2021</t>
  </si>
  <si>
    <t>Reembolso realizado pela conta Cinquentenário Operístico da Fundação Clóvis Salgado - Pronac: 20.3579 (16376-7) referente ao pagamento da guia de GPS do mês 12/2021</t>
  </si>
  <si>
    <t>Reembolso realizado pela conta Área Meio - Projetos Meta do Contrato de Gestão  (16517-4) referente ao pagamento da guia de GPS do mês 12/2021</t>
  </si>
  <si>
    <t>Reembolso realizado pela conta FESTCURTASBH   (16568-9) referente ao pagamento da guia de GPS do mês 12/2021</t>
  </si>
  <si>
    <t>Reembolso realizado pela conta do Termo de Parceria 50/2020 - Iepha referente ao pagamento da guia de GPS (autônomo) do mês 12/2021</t>
  </si>
  <si>
    <t xml:space="preserve"> Softwares De Gestão Ltda</t>
  </si>
  <si>
    <t>2022/14</t>
  </si>
  <si>
    <t>ISSQN referente a nota fiscal 2022/14 - Softwares De Gestão Ltda</t>
  </si>
  <si>
    <t>12930934-MG</t>
  </si>
  <si>
    <t>Internet para sede da Appa referente ao mês 01/2022</t>
  </si>
  <si>
    <t>Internet para sede da Appa referente ao mês 02/2022</t>
  </si>
  <si>
    <t>Internet para sede da Appa referente ao mês 03/2022</t>
  </si>
  <si>
    <t>IR retido férias Superitendente de Auditoria</t>
  </si>
  <si>
    <t>INSS e INSS Patronal referente a nota fiscal 2021/95 - Logus Protection Patrimonial Ltda</t>
  </si>
  <si>
    <t xml:space="preserve"> guia de GPS do mês 12/2021 - Appa(2462-7) </t>
  </si>
  <si>
    <t xml:space="preserve"> guia de GPS do mês 12/2021 - Recusos Próprios (11407-3)</t>
  </si>
  <si>
    <t xml:space="preserve"> guia de GPS do mês 12/2021 - anutenção Corpo Artístico (15556-X</t>
  </si>
  <si>
    <t>guia de GPS do mês 12/2021 - Programa Artístico da Fundação Clóvis Salgado - CA  (15845-3 )</t>
  </si>
  <si>
    <t>guia de GPS do mês 12/2021 - Programa Artístico da Fundação Clóvis Salgado - CA  (15949-2 )</t>
  </si>
  <si>
    <t xml:space="preserve"> guia de GPS (autônomo) do mês 12/2021 -  Termo de Parceria 50/2020 - Iepha</t>
  </si>
  <si>
    <t>guia de GPS (funcionários) INSS retido sob folha do mês 12/2021 - ermo de Parceria 50/2020 - Iepha</t>
  </si>
  <si>
    <t xml:space="preserve"> guia de GPS (funcionários) INSS Patronal do mês 12/2021 -  Termo de Parceria 50/2020</t>
  </si>
  <si>
    <t xml:space="preserve"> guia de GPS do mês 12/2021 - Programa de Artes Visuais da Fundação Clóvis Salgado (16375-9) </t>
  </si>
  <si>
    <t xml:space="preserve"> guia de GPS do mês 12/2021 - Cinquentenário Operístico da Fundação Clóvis Salgado - Pronac: 20.3579 (16376-7) </t>
  </si>
  <si>
    <t>guia de GPS (funcionários) INSS retido sob folha do mês 12/2021 - Projeto Minc Pronac 20</t>
  </si>
  <si>
    <t xml:space="preserve"> guia de GPS (funcionários) INSS Patronal referente a folha 12/2021 - Projeto Minc Pronac 20</t>
  </si>
  <si>
    <t xml:space="preserve"> guia de GPS (autônomo) do mês 12/2021 - Projeto Minc Pronac 20</t>
  </si>
  <si>
    <t>guia de GPS do mês 12/2021 - Área Meio - Projetos Meta do Contrato de Gestão  (16517-4)</t>
  </si>
  <si>
    <t xml:space="preserve"> guia de GPS do mês 12/2021 -  FESTCURTASBH   (16568-9)</t>
  </si>
  <si>
    <t>Reembolso realizado pela conta do Projeto Minc Pronac 20 referente ao pagamento da guia de GPS (funcionários) INSS retido sob folha do mês 12/2021</t>
  </si>
  <si>
    <t>Reembolso realizado pela conta do Projeto Minc Pronac 20 referente ao pagamento da guia de GPS (funcionários) INSS Patronal referente a folha 12/2021</t>
  </si>
  <si>
    <t>Reembolso realizado pela conta do Projeto Minc Pronac 20 referente ao pagamento da guia de GPS (autônomo) do mês 12/2021</t>
  </si>
  <si>
    <t>INSS e INSS Patronal referente ao RPA 1475 - Luciana Campos Horta</t>
  </si>
  <si>
    <t>INSS Patronal referente a folha do mês 12/2021</t>
  </si>
  <si>
    <t xml:space="preserve">04.558.476/0001-01
</t>
  </si>
  <si>
    <t xml:space="preserve">Contratação de serviço de clipping, mailing e disparador de e-mail marketing.
</t>
  </si>
  <si>
    <t>Joacélio Batista Da Silva</t>
  </si>
  <si>
    <t>ISSQN referente ao RPA 1545 - Joacélio Batista Da Silva</t>
  </si>
  <si>
    <t>INSS e INSS Patronal  referente ao RPA 1545 - Joacélio Batista Da Silva</t>
  </si>
  <si>
    <t>Receita Federal</t>
  </si>
  <si>
    <t xml:space="preserve"> Lafaete Gestão Ambiental Ltda</t>
  </si>
  <si>
    <t>2022/99</t>
  </si>
  <si>
    <t>Flag Impressao Digital Ltda</t>
  </si>
  <si>
    <t>2022/16</t>
  </si>
  <si>
    <t>ISSQN referente a nota fiscal 2022/16 -  Flag Impressao Digital Ltda</t>
  </si>
  <si>
    <t>Multistar Industria E Comercio Ltda</t>
  </si>
  <si>
    <t>000.011.114</t>
  </si>
  <si>
    <t>Tarifa Bancária referente a transferência eletrônica pagamento fornecedor:  Joacélio Batista Da Silva -  Processo: 2577</t>
  </si>
  <si>
    <t xml:space="preserve">Reembolso realizado pela conta da Appa referente ao juros fatura Copasa </t>
  </si>
  <si>
    <t>Reembolso realizado pelo Termo de Parceria 50/2020 - IEPHA referente ao percentual (26,41% do valor total ) locação de PABX da sede da Appa referente ao mês 12/2021</t>
  </si>
  <si>
    <t>Transferência para conta Reserva referente aos rendimentos do mês 12/2021</t>
  </si>
  <si>
    <t>Associação Pró-Cultura e Promoção das Artes (Contrato de Gestão 05/2019 - Conta Reserva)</t>
  </si>
  <si>
    <t>Rodrigo Guillermo Olivarez Olivares 01873309643</t>
  </si>
  <si>
    <t>26.079.695/0001-32</t>
  </si>
  <si>
    <t>PIS referente a 13º salário</t>
  </si>
  <si>
    <t>PIS referente a folha 12/2021</t>
  </si>
  <si>
    <t>02.421.421/0020-84</t>
  </si>
  <si>
    <t xml:space="preserve">Consumo de água e esgoto </t>
  </si>
  <si>
    <t>001.22.02251340-7</t>
  </si>
  <si>
    <t>Cofins referente aos rendimentos de aplicações financeiras de 12/2021</t>
  </si>
  <si>
    <t xml:space="preserve"> Distribuidora Triângulo Ltda</t>
  </si>
  <si>
    <t>02.351.877/0001-52</t>
  </si>
  <si>
    <t>Contratação de serviço de e-mail marketing para envio de 100mil e-mails / mensais</t>
  </si>
  <si>
    <t>Locaweb Serviços De Internet S.A</t>
  </si>
  <si>
    <t>Alelo S.A</t>
  </si>
  <si>
    <t>04.740.876/0001-25</t>
  </si>
  <si>
    <t>TMS Telecomunicações Ltda</t>
  </si>
  <si>
    <t xml:space="preserve">Fatura de Locação </t>
  </si>
  <si>
    <t>Tarifa Bancária referente a transferência eletrônica pagamento fornecedor:  TMS Telecomunicações Ltda -  Processo: 1117</t>
  </si>
  <si>
    <t xml:space="preserve"> Elias Do Carmo - Me</t>
  </si>
  <si>
    <t>Tarifa Bancária referente a transferência eletrônica pagamento fornecedor:   Elias Do Carmo - Me -  Processo: 2394</t>
  </si>
  <si>
    <t>Vale Refeição dos funcionários a serviço do Contrato de Gestão</t>
  </si>
  <si>
    <t>Vale Alimentação dos funcionários a serviço do Contrato de Gestão</t>
  </si>
  <si>
    <t>Vale transporte para os funcionários a serviço do Contrato de Gestão</t>
  </si>
  <si>
    <t>Consórcio Ótimo de Bilhetagem Eletrônica</t>
  </si>
  <si>
    <t>10.426.715/0001-64</t>
  </si>
  <si>
    <t>Americanas S.A</t>
  </si>
  <si>
    <t>Contratação de professor para ministrar o CursoComplementar"Corpo Móvel: experiências em movimento"na modalidadePresencial, atendendo a demanda ad escola de Dança do Cefart</t>
  </si>
  <si>
    <t>Alex Dias Mendes Moreira</t>
  </si>
  <si>
    <t>530.038.456-96</t>
  </si>
  <si>
    <t>INSS e INSS Patronal referente ao RPA 1547 - Alex Dias Mendes Moreira</t>
  </si>
  <si>
    <t>2022/6</t>
  </si>
  <si>
    <t>ISSQN referente a nota fiscal 2022/6 - Emer-som Ltda</t>
  </si>
  <si>
    <t>Loggi Tecnologia LTDA</t>
  </si>
  <si>
    <t>Tarifa Bancária referente a transferência eletrônica pagamento fornecedor:  Alex Dias Mendes Moreira -  Processo: 2754</t>
  </si>
  <si>
    <t>Tarifa Bancária referente a transferência eletrônica pagamento fornecedor:  Emer-som Ltda -  Processo: 2571</t>
  </si>
  <si>
    <t>Reembolso realizado pela conta da Appa referente ao pagamento de juros do boleto da Loggi Tecnologia LTDA</t>
  </si>
  <si>
    <t>05.570.714/0001-59</t>
  </si>
  <si>
    <t>Aquisição de 02 HDs externos de 2 teras, para arquivo histórico de vídeos e documentos da Cia de Dança Palácio das Artes.</t>
  </si>
  <si>
    <t>Tarifa Bancária referente a transferência eletrônica pagamento férias Analista Financeira Pleno</t>
  </si>
  <si>
    <t>Rendimentos de aplicações financeiras do mês 12/2021</t>
  </si>
  <si>
    <t>DARF/IR retido férias Analista Financeiro Pleno</t>
  </si>
  <si>
    <t>DARF/IR retido férias Produtora Cultural</t>
  </si>
  <si>
    <t>DARF/IR retido férias Diretor Financeiro</t>
  </si>
  <si>
    <t>DARF/IR retido férias Presidente</t>
  </si>
  <si>
    <t>Qinetwork Solucoes Tecnologicas Ltda</t>
  </si>
  <si>
    <t>Kabum Comércio Eletrônico S/a</t>
  </si>
  <si>
    <t>Rendimentos de aplicações financeiras do mês 01/2022</t>
  </si>
  <si>
    <t>Associação Pró-Cultura e Promoção das Artes - Contrato de Gestão 05/2019 (Conta Reserva)</t>
  </si>
  <si>
    <t>Imposto de Renda referente aos rendimentos de aplicações financeiras do mês 01/2022</t>
  </si>
  <si>
    <t>Compra do material/produtos de limpeza para atender a demanda de limpeza, higienização e convivência de alunos e professores do CEFART, bem como dos espaços por eles utilizados no CTPF entre os dias 01/02/22 á 21/02/22, em razão a realização de oficinas para o Projeto da Mostra Final da Escola de Tecnologia da Cena.</t>
  </si>
  <si>
    <t>11.065.582/0001-00</t>
  </si>
  <si>
    <t>Reembolso proporcional realizado pela conta da Appa referente ao pagamento Seguro de Vida do mês 01/2022</t>
  </si>
  <si>
    <t>Reembolso proporcional realizado pela conta do TP 50/2020 IEPHA  referente ao pagamento Seguro de Vida do mês 01/2022</t>
  </si>
  <si>
    <t>DARF/PCC referente a nota fiscal 2022/1164 - Ocupacional Medicina do Trabalho Ltda</t>
  </si>
  <si>
    <t>ISSQN referente a nota fiscal 2022/1164 - Ocupacional Medicina do Trabalho Ltda</t>
  </si>
  <si>
    <t>Reembolso proporcional realizado pela conta do projeto Anglo referente ao pagamento Medicina do Trabalho do mês 01/2022</t>
  </si>
  <si>
    <t>Reembolso proporcional realizado pela conta do TP 50/2020 IEPHA  referente ao pagamento Medicina do Trabalho do mês 01/2022</t>
  </si>
  <si>
    <t>Rodrigo Ferreira Do Nascimento Ltda - Me</t>
  </si>
  <si>
    <t>Gastos_Gerais</t>
  </si>
  <si>
    <t>Valor referente a Medicina do Trabalho do mês 01/2022 - PPRA</t>
  </si>
  <si>
    <t>2022/1163</t>
  </si>
  <si>
    <t>2022/1164</t>
  </si>
  <si>
    <t>ISSQN referente a nota fiscal 2022/1163 - Ocupacional Medicina do Trabalho Ltda</t>
  </si>
  <si>
    <t>DARF/PCC referente a nota fiscal 2022/1163 - Ocupacional Medicina do Trabalho Ltda</t>
  </si>
  <si>
    <t>Contratação de empresas para apoio na operação de higienização e acondicionamento dos figurinos utilizados nas apresentações do final do ano, sendo: dois profissionais para execução de serviço de lavagem, passagem e higienização de roupas e dois profissionais para execução de serviços de assistente auxiliar e apoio ao setor de acervo. Termo Aditivo</t>
  </si>
  <si>
    <t>Contratação de professor de técnica clássica convidado para preparação corporal dos bailarinos da Cia de Dança Palácio da Artes, sendo 12 aulas mensais em um período de 3 meses com horários a serem definidos pela direção da companhia.</t>
  </si>
  <si>
    <t>013.103.266-65</t>
  </si>
  <si>
    <t>2022/8</t>
  </si>
  <si>
    <t xml:space="preserve">Reembolso parcial da conta do Termo de Parceria 50/2020 - IEPHA, referente contratação de empresa de setor administrativo especializada em entidades do terceiro setor  para o Contrato de Gestão 05/2019 e Termo de Parceria 50/2020 (mês 01/2022) - 26,41% do valor total </t>
  </si>
  <si>
    <t>Vale Alimentação dos funcionários a serviço do Contrato de Gestão - Complementar.</t>
  </si>
  <si>
    <t>Vale Refeição dos funcionários a serviço do Contrato de Gestão - Complementar.</t>
  </si>
  <si>
    <t>Gerente de Projetos , referente ao mês 01/2022</t>
  </si>
  <si>
    <t>Gerente de Projetos , referente ao mês 12/2021</t>
  </si>
  <si>
    <t>Salário do Músico Instrumentista, referente ao mês 01/2022</t>
  </si>
  <si>
    <t>Salário do Pianista, referente ao mês 01/2022</t>
  </si>
  <si>
    <t>Salário Gerente de Projetos Dipro, referente ao mês 01/2022</t>
  </si>
  <si>
    <t>Salário do Músico Cantora, referente ao mês 01/2022</t>
  </si>
  <si>
    <t>Salário Bailarina, referente ao mês 01/2022</t>
  </si>
  <si>
    <t>Salário do Presidente referente ao mês 01/2022</t>
  </si>
  <si>
    <t>Salário do Coordenador Administrativo referente ao mês 01/2022</t>
  </si>
  <si>
    <t>041.141.936-69</t>
  </si>
  <si>
    <t>Salário do Montador Diart, referente ao mês 01/2022</t>
  </si>
  <si>
    <t>Salário do Gerente de Projetos: Programação Artística referente ao mês 01/2022</t>
  </si>
  <si>
    <t>Salário do Superintendente de Auditoria, referente ao mês 01/2022</t>
  </si>
  <si>
    <t>Salário de Bailarina, referente ao mês 01/2022</t>
  </si>
  <si>
    <t>Salário de Bailarina, referente ao mês 12/2021</t>
  </si>
  <si>
    <t>Salário de Músico Cantora, referente ao mês 01/2022</t>
  </si>
  <si>
    <t>Salário de Músico, referente ao mês 12/2021</t>
  </si>
  <si>
    <t>Salário da Analista Financeiro Pleno, referente ao mês 01/2022</t>
  </si>
  <si>
    <t>Analista de RH , referente ao mês 01/2022</t>
  </si>
  <si>
    <t>Salário de Músico, referente ao mês 01/2022</t>
  </si>
  <si>
    <t>Salário do Regente Assistente, referente ao mês 01/2022</t>
  </si>
  <si>
    <t xml:space="preserve"> 102.562.506-42</t>
  </si>
  <si>
    <t>Salário do Músico cantora, referente ao mês 01/2022</t>
  </si>
  <si>
    <t>Salário do Bailarino, referente ao mês 01/2022</t>
  </si>
  <si>
    <t>Salário da Músico Cantor, referente ao mês 01/2022</t>
  </si>
  <si>
    <t>Salário da Assessora Pedagógica, referente ao mês 01/2022</t>
  </si>
  <si>
    <t>Salário do Diretor Financeiro, referente ao mês 01/2022</t>
  </si>
  <si>
    <t>Salário do Bailarina, referente ao mês 01/2022</t>
  </si>
  <si>
    <t>Salário da Produtora Cultural: Produção Artística, referente ao mês 01/2022</t>
  </si>
  <si>
    <t>Salário do Produtora Cultural da Dipro, referente ao mês 01/2022</t>
  </si>
  <si>
    <t xml:space="preserve"> 694.430.171-72</t>
  </si>
  <si>
    <t>Salário do Músico, referente ao mês 01/2022</t>
  </si>
  <si>
    <t xml:space="preserve"> 142.229.636-90</t>
  </si>
  <si>
    <t xml:space="preserve"> Salário   Auxiliar de serviços Gerais, referente ao mês 01/2022</t>
  </si>
  <si>
    <t xml:space="preserve"> 095.047.226-36</t>
  </si>
  <si>
    <t xml:space="preserve"> Salário  Arquivista, referente ao mês 01/2022</t>
  </si>
  <si>
    <t>Salário  Músico Cantor, referente ao mês 01/2022</t>
  </si>
  <si>
    <t>Salário Montador Dipro, referente ao mês 01/2022</t>
  </si>
  <si>
    <t xml:space="preserve"> 056.166.086-70</t>
  </si>
  <si>
    <t xml:space="preserve"> 004.627.926-17</t>
  </si>
  <si>
    <t>051.877.056-79</t>
  </si>
  <si>
    <t>Tarifa Bancária referente a transferência eletrônica pagamento salário Analista Financeira Pleno</t>
  </si>
  <si>
    <t>Tarifa Bancária referente a transferência eletrônica salário Montador Diart</t>
  </si>
  <si>
    <t>Tarifa Bancária referente a transferência eletrônica salário Regente Assistente</t>
  </si>
  <si>
    <t>Tarifa Bancária referente a transferência eletrônica salário Bailatino</t>
  </si>
  <si>
    <t xml:space="preserve">Tarifa Bancária referente a transferência eletrônica salário Produtora Cultural </t>
  </si>
  <si>
    <t>Locação de notebooks para atender as demandas de colaboradores a serviço da Appa. - Cotação por computador e configuração. Ano 2022.</t>
  </si>
  <si>
    <t>019.467.616-13</t>
  </si>
  <si>
    <t>Contratação de uma diária de carregador para finalizar a organização dos materiais utilizados na ópera Viramundo no acervo do CTPF - Centro Técnico de produção, localizado na avenida dos Andradas e Marzagão.</t>
  </si>
  <si>
    <t>Contratação de professor convidado para preparação corporal dos bailarinos da Cia de Dança Palácio da Artes. Serão 8 aulas mensais em um período de 3 meses com horários a serem definidos pela direção da companhia.</t>
  </si>
  <si>
    <t>27.282.282/0001-13</t>
  </si>
  <si>
    <t>Contratação do monitor Sitaram Márcio Costa Custódio para acompanhamento do público durante a visitação das exposições em cartaznas Galerias do Palácio das Artes. Vigência do contrato: 04/02/2022 até 27/02/2022.</t>
  </si>
  <si>
    <t>040.699.056-50</t>
  </si>
  <si>
    <t>Contratação de profissional convidado para ministrar oficina de dança contemporânea, com carga horária de 15h, para os bailarinos da CDPA no mês de fevereiro conforme datas e horários estabelecidos pela equipe da CDPA.</t>
  </si>
  <si>
    <t>Contratação de professor para ministrar o Curso Complementar "Técnica de Transmissão para Programa ao Vivo", atendendo a demanda da Escola de Tecnologia da Cena do Cefart.</t>
  </si>
  <si>
    <t>15.267.259/0001-70</t>
  </si>
  <si>
    <t>Contratação de prestação de serviços para desenvolvimento de estruturação de um setor geral de Projetos, setor responsável pela gestão de todos os projetos incentivados.</t>
  </si>
  <si>
    <t>24.431.845/0001-08</t>
  </si>
  <si>
    <t>17.948.578/0001-77</t>
  </si>
  <si>
    <t>14.923.073/0001-60</t>
  </si>
  <si>
    <t>Aquisição de DVD e Blu Ray para exibição dos filmes "Cemitério Maldito" e "Queen and Slim" na Mostra Clássica no Cine Humberto Mauro. Especificações dos títulos e links para aquisição estão nas observações.</t>
  </si>
  <si>
    <t>33.041.260/0652-90</t>
  </si>
  <si>
    <t>Aquisição de DVD ou Blu Ray para exibição do filme "Quero ser Grande", parte da programação da Mostra Clássica do Cine Humberto Mauro. Especificações dos títulos e links para aquisição estão nas observações.</t>
  </si>
  <si>
    <t>Upgrade do serviço de otimização conteúdo nas mídias sociais.</t>
  </si>
  <si>
    <t>2022/3</t>
  </si>
  <si>
    <t>Lucas Alexandre Teixeira 13035532605</t>
  </si>
  <si>
    <t>Ongsys Sistema Ltda</t>
  </si>
  <si>
    <t>Reembolso a conta do Contrato de Gestão - 05/2019  ref aquisição de sistema de ponto para utilização pelos colaboradores da Appa - ano 2022. Referente ao mês 01/2022</t>
  </si>
  <si>
    <t>Reembolso a conta do Contrato de Gestão - 05/2019  ref aquisição de sistema de ponto para utilização pelos colaboradores do Projeto Anglo - ano 2022. Referente ao mês 01/2022</t>
  </si>
  <si>
    <t>Reembolso a conta do Contrato de Gestão - 05/2019 Aquisição de sistema de ponto para utilização pelos colaboradores do TP 50/2020 IEPHA - ano 2022. Referente ao mês 01/2022</t>
  </si>
  <si>
    <t>2022/77</t>
  </si>
  <si>
    <t>Serviços de assessoria contábil ano 2022. Contratação de empresa para assessoria contábil especializada em terceiro setor para acompanhamento mensal de fatos e eventos contábeis ocorridos na instituição em decorrência da execução do Contrato de Gestão, em conformidade com a legislação aplicável</t>
  </si>
  <si>
    <t>Reembolso realizado pelo Termo de Parceria 50/2020 - IEPHA  referente ao percentual (26,41% do valor total), assessoria contábil para o Contrato de Gestão 05/2019 e Termo de Parceria referente ao mês 01/2022</t>
  </si>
  <si>
    <t xml:space="preserve">DARF/IR referente a nota fiscal 2022/77 - Krypton Serviços Contábeis S. S. </t>
  </si>
  <si>
    <t xml:space="preserve">DARF/PCC referente a nota fiscal 2022/77 - Krypton Serviços Contábeis S. S. </t>
  </si>
  <si>
    <t>DARF/PCC referente a nota fiscal 2188 - Ongsys Sistema Ltda</t>
  </si>
  <si>
    <t>Dollabela Advocacia E Consultoria</t>
  </si>
  <si>
    <t>2022/32</t>
  </si>
  <si>
    <t>Reembolso realizado pelo Termo de Parceria 50/2020 - IEPHA referente ao percentual (26,41% do valor total). Serviços de assessoria jurídica - ano 2022.</t>
  </si>
  <si>
    <t xml:space="preserve">ISSQN referente a nota fiscal 2022/32 - Dolabella Advocacia e Consultoria </t>
  </si>
  <si>
    <t>FGTS referente a folha de pagamento do mês 01/2022</t>
  </si>
  <si>
    <t>Reembolso realizado pelo Termo de Parceria 50/2020 - Iepha a conta do Contra de Gestão 005/2019 referente ao pagamento de guia de FGTS - Valor proporcional aos funcionários a serviço do TP 50/2020 - 01/2022</t>
  </si>
  <si>
    <t>Reembolso realizado pela Appa - Projeto Pronac  a conta do Contrato de Gestão referente ao pagamento de guia de FGTS  - 01/2022</t>
  </si>
  <si>
    <t>Tarifa Bancária referente a transferência eletrônica pagamento fornecedor:  Krypton Serviços Contábeis S. S.   Processo: 1114</t>
  </si>
  <si>
    <t>Tarifa Bancária referente a transferência eletrônica pagamento fornecedor:  Ivete Maria De Oliveira 76363481600 -  Processo: 2689</t>
  </si>
  <si>
    <t>Tarifa Bancária referente a transferência eletrônica pagamento fornecedor:  Marcilene Ferreira Da Silva 05133402627 -  Processo: 2496</t>
  </si>
  <si>
    <t>Tarifa Bancária referente a transferência eletrônica pagamento fornecedor:  Lucas Alexandre Teixeira 13035532605 -  Processo: 2712</t>
  </si>
  <si>
    <t>Compra de Máscaras de proteção PFF2 - 100 unidades, com elástico atrás da cabeça.</t>
  </si>
  <si>
    <t>Compra dePlásticoBolhão– Medida 1,30 mt x 50 mt – Cor Transparente. Material necessário para proteção, manutenção e transporte dos materiais cênicos da Cena Show.</t>
  </si>
  <si>
    <t>08.569.258/0001-15</t>
  </si>
  <si>
    <t>Contratação de Hospedagem para equipe de direção e cenografia para visita técnica e reunião de planejamento para a Ópera Aleijadinho em Belo Horizonte.</t>
  </si>
  <si>
    <t>00.714.608/0001-88</t>
  </si>
  <si>
    <t>Contratação de um cenógrafo para a criação dos cenários e elementos cênicos da Ópera Aleijadinho que será realizada em Ouro Preto e Belo Horizonte. Criação, elaboração do projeto cênico/cenotécnico, acompanhamento da confecção do cenário e objetos cênicos durante o período de montagem e apresentações da ópera.</t>
  </si>
  <si>
    <t>039.066.176-70</t>
  </si>
  <si>
    <t>Contratação do monitor Flávio Von Randowem substituição da Suellen Silva Araújo Magalhãespara acompanhamento do público durante a visitação na exposição "Do que fomos feitos e o que deixamos" na Galeria Genesco Murta, no turno da tarde (15 horas às 21 horas)", durante o período expositivo, no período de 08de fevereiro de 2022 a 13 de março de 2022, no Palácio das Artes.</t>
  </si>
  <si>
    <t>Contratação de Produção que será responsável pela confecção de figurinos e também produzirá a maquiagem dos atores (alunos) que atuarão na Mostra Cena Show da Escola de Tecnologia da Cena.</t>
  </si>
  <si>
    <t>142.713.376-09</t>
  </si>
  <si>
    <t>Contratação de Monitor para acompanhamento do público durante a exposição "Magister Raffaello", que está em cartaz na Grande Galeria Alberto da Veiga Guignard até o dia 27 de fevereiro de 2022.</t>
  </si>
  <si>
    <t>Contratação de Produção e ambientação para a Mostra Cena Show da Escola de Tecnologia da Cena.</t>
  </si>
  <si>
    <t>19.679.752/0001-59</t>
  </si>
  <si>
    <t>Aquisição de Kit lanches para 34 pessoas - equipe Cefart responsáveis por acompanhar o processo seletivo da escola do Teatro no dia 12 de Fevereiro, que acontecerá na Ultramig, durante o dia inteiro. Conteúdo do Kit Lanche: água, sanduiche e suco.</t>
  </si>
  <si>
    <t>222026544362</t>
  </si>
  <si>
    <t>ISSQN referente ao RPA 1519 - Rodrigo Gomes De Almeida Bras</t>
  </si>
  <si>
    <t>222026544524</t>
  </si>
  <si>
    <t>222026544877</t>
  </si>
  <si>
    <t>222026545253</t>
  </si>
  <si>
    <t>ISSQN referente ao RPA 1533 - Antonio Tavares Ribeiro</t>
  </si>
  <si>
    <t>ISSQN referente a nota fiscal 2022/1 - Damasco Comunicação Eireli</t>
  </si>
  <si>
    <t>ISSQN referente a nota fiscal 2022/2 - Arco Cultural Ltda</t>
  </si>
  <si>
    <t xml:space="preserve">Tarifa Bancária referente a transferência eletrônica pagamento fornecedor:  </t>
  </si>
  <si>
    <t xml:space="preserve">Tarifa Bancária referente a transferência eletrônica pagamento fornecedor: Gilberto De Lima Goulart 08401043670 - Processo 1876 </t>
  </si>
  <si>
    <t>44.976.479/0001-71</t>
  </si>
  <si>
    <t>Michelle Aparecida Da Silva Barreto 08651559682</t>
  </si>
  <si>
    <t>ISSQN referente a nota fiscal 2022/24 - Patrulha Eletrônica Ltda</t>
  </si>
  <si>
    <t>ISSQN referente a nota fiscal 2022/109 - Artes Gráficas Formato</t>
  </si>
  <si>
    <t>ISSQN referente a nota fiscal 2022/19264 - Consórcio Operacional Transporte Coletivo</t>
  </si>
  <si>
    <t>ISSQN referente a nota fiscal 2022/21179 - Consórcio Operacional Transporte Coletivo</t>
  </si>
  <si>
    <t>ISSQN referente a nota fiscal 2022/22555 - Consórcio Ótimo de Bilhetagem Eletrônica</t>
  </si>
  <si>
    <t>ISSQN referente a nota fiscal 2022/25955 - Unimed Cooperativa de Trabalho Médico</t>
  </si>
  <si>
    <t>ISSQN referente a nota fiscal 2022/22530 - Unimed Cooperativa de Trabalho Médico</t>
  </si>
  <si>
    <t>055.805.506-00</t>
  </si>
  <si>
    <t>Contratação de profissional que fará a transmissão, montagem e também será responsável pela filmagem, edição, legendagem juntamente com os alunos da escola de tecnologia da cena do Cena Show.Serão 2 noites de transmissões ao vivo e posterior publicação no youtube da FCS.</t>
  </si>
  <si>
    <t>Contratação de Produtor de Galerias para atuar durante as etapas de pré-produção, produção e pós produção das exposições de artes visuais que ocorrerão nos espaços expositivos da FCS de fevereiro a junho de 2022.</t>
  </si>
  <si>
    <t>Lucas Tadeu Moraes Araujo</t>
  </si>
  <si>
    <t>INSS e INSS Patronal referente ao RPA 1566 - Lucas Tadeu Moraes Araujo</t>
  </si>
  <si>
    <t>Patrick Severo Viglioni Cabral</t>
  </si>
  <si>
    <t>INSS e INSS Patronal referente ao RPA 1565 - Patrick Severo Viglioni Cabral</t>
  </si>
  <si>
    <t>Ângelo Nonato Natale Cardoso</t>
  </si>
  <si>
    <t>INSS e INSS Patronal referente ao RPA 1563 - Ângelo Nonato Natale Cardoso</t>
  </si>
  <si>
    <t>INSS e INSS Patronal  referente ao RPA 1568 - Victória Sofia Lúcio Silva</t>
  </si>
  <si>
    <t>DARF/IR referente ao RPA 1568 - Victória Sofia Lúcio Silva</t>
  </si>
  <si>
    <t>ISSQN referente ao RPA 1565 - Patrick Severo Viglioni Cabral</t>
  </si>
  <si>
    <t>ISSQN referente ao RPA 1566 - Lucas Tadeu Moraes Araujo</t>
  </si>
  <si>
    <t>ISSQN referente ao RPA 1567 - Luiza Poeiras Amorim</t>
  </si>
  <si>
    <t>INSS e INSS Patronal referente ao RPA 1567 - Luiza Poeiras Amorim</t>
  </si>
  <si>
    <t>Tarifa Bancária referente a transferência eletrônica pagamento fornecedor:  Luiza Poeiras Amorim - Processo 2551</t>
  </si>
  <si>
    <t>Douglas Dias De Toledo</t>
  </si>
  <si>
    <t>Tarifa Bancária referente a transferência eletrônica pagamento fornecedor: Douglas Dias De Toledo - Processo 2805</t>
  </si>
  <si>
    <t>ISSQN referente ao RPA 1564 - Douglas Dias De Toledo</t>
  </si>
  <si>
    <t>INSS e INSS Patronal referente ao RPA 1564 - Douglas Dias De Toledo</t>
  </si>
  <si>
    <t>Locação de notebooks para atender as demandas de colaboradores a serviço da Appa. - Cotação por computador e configuração. Ano 2022. Faz-se necessária a locação de notebooks para colaboradores em atendimento às demandas da Appa. A locação será realizada com apuração mensal, dentro das necessidades dos colaboradores.</t>
  </si>
  <si>
    <t>Reembolso realizado pelo Termo de Parceria 50/2020 - IEPHA referente ao percentual (26,41% do valor total ) do aluguel/IPTU da sede da Appa referente ao mês 01/2022</t>
  </si>
  <si>
    <t>Aluguel do mês de 04/2022 do CTP</t>
  </si>
  <si>
    <t>Aluguel do mês de 05/2022 do CTP</t>
  </si>
  <si>
    <t>Aluguel do mês de 06/2022 do CTP</t>
  </si>
  <si>
    <t>40.084.834/0001-47</t>
  </si>
  <si>
    <t>Contratação de profissional especializado para construção de Cenografia para oprograma de auditório de acordo com as orientações das professoras e alunas trabalhadas nas salas de aula. O profissional irá acompanhar junto com as professoras o processo de criação e também auxiliar os alunos que participarão na construção conjunto dos cenários.</t>
  </si>
  <si>
    <t>129.121.386-47</t>
  </si>
  <si>
    <t>Contratação do monitor Jonathan Serafim dos Santos para acompanhamento do público durante a visitação das exposições em cartaznas Galerias do Palácio das Artes. Vigência do contrato: 04/02/2022 até 27/02/2022.</t>
  </si>
  <si>
    <t>32.857.995/0001-06</t>
  </si>
  <si>
    <t>Contratação de profissional para conduzir uma Apresentação Artística, e que também atuará como apresentadora e mestre de cerimônia do programa Cena Show. A contratada participará dos ensaios e planejamentos juntamente com os alunos e professores da escola, dando todo o suporte artístico necessário.</t>
  </si>
  <si>
    <t>Guia de IPTU 01/11</t>
  </si>
  <si>
    <t>2022/9</t>
  </si>
  <si>
    <t>Eduardo Muller Carvalho Dos Reis 09247861675</t>
  </si>
  <si>
    <t>Tarifa Bancária referente a transferência eletrônica pagamento fornecedor: Eduardo Muller Carvalho Dos Reis 09247861675 - Processo 2713</t>
  </si>
  <si>
    <t xml:space="preserve">Tarifa Bancária referente a transferência eletrônica pagamento fornecedor:  Mylene Youssef A Vieira - Produções E Eventos Epp - Processo 2710 </t>
  </si>
  <si>
    <t>2022/13</t>
  </si>
  <si>
    <t>GE Duarte - ME</t>
  </si>
  <si>
    <t>Reembolso realizado pelo Termo de Parceria 50/2020 - IEPHA referente ao percentual (26,41% do valor total), Manutenção de hardware e redes, preventiva, preditiva e corretiva da sede da Appa - mês 01/2022</t>
  </si>
  <si>
    <t>2022/24</t>
  </si>
  <si>
    <t>66.970.229/0021-00</t>
  </si>
  <si>
    <t>Claro S.A</t>
  </si>
  <si>
    <t>Luciana Campos Horta</t>
  </si>
  <si>
    <t xml:space="preserve">Tarifa Bancária referente a transferência eletrônica pagamento fornecedor: Luciana Campos Horta  - Processo 2816 </t>
  </si>
  <si>
    <t>ISSQN referente ao RPA 1571 - Luciana Campos Horta</t>
  </si>
  <si>
    <t>INSS e INSS Patronal referente ao RPA 1571 - Luciana Campos Horta</t>
  </si>
  <si>
    <t>Tarifa Bancária referente a transferência eletrônica pagamento fornecedor: Emer-som Ltda - Processo 2534</t>
  </si>
  <si>
    <t>2022/17</t>
  </si>
  <si>
    <t>ISSQN referente a nota fiscal 2022/17 - Emer-som Ltda</t>
  </si>
  <si>
    <t>Tarifa Bancária referente a transferência eletrônica pagamento fornecedor: Bh Fotocópias Digital Ltda - Processo 2795</t>
  </si>
  <si>
    <t>2022/83</t>
  </si>
  <si>
    <t>Bh Fotocópias Digital Ltda.</t>
  </si>
  <si>
    <t>15.783.728/0001-04</t>
  </si>
  <si>
    <t>Contratação de profissional para direção artística de luz e som, onde o mesmo atuará com um viés pedagógico pois irá orientará os alunos dos módulos de Iluminação e Sonoplastia da escola de tecnologia da cena, que colaboração junto com o diretor contratado na produção de todo o programa Cena Show.</t>
  </si>
  <si>
    <t>26.057.000/0001-11</t>
  </si>
  <si>
    <t>Instalação de ponto de internet para atender a transmissão online do Sinfônica em Concerto que acontecerá no Grande Teatro Cemig Palácio das Artes. A velocidade de upload deve ser no mínimo de 35Mb. Duração: 2 dias - 15 e 16/02.</t>
  </si>
  <si>
    <t>29.501.000/0001-57</t>
  </si>
  <si>
    <t>Contratação de serviço profissional para filmagem e transmissão do Sinfônica em Concerto no Grande Teatro Cemig Palácio das Artes dias 15 e 16/02.</t>
  </si>
  <si>
    <t>Contratação de profissional para captação de áudio do Sinfônica em Concerto.Montagem dia 14 de fevereiro Ensaios – Dia 14 e 15 de 08:30H às 11:30HTransmissão concerto dias 15 e 16 as 12:00H</t>
  </si>
  <si>
    <t>Maria Pompéia De Melo Sant'anna Dutra 27760200668</t>
  </si>
  <si>
    <t>2022/18</t>
  </si>
  <si>
    <t>ISSQN referente a nota fiscal 2022/18 - Damasco Comunicação Eirelli</t>
  </si>
  <si>
    <t>ISSQN referente a nota fiscal 2022/17 - Damasco Comunicação Eirelli</t>
  </si>
  <si>
    <t>Jonathan Cardoso Da Silva 07906973607</t>
  </si>
  <si>
    <t>Sitaram Márcio Costa Custódio</t>
  </si>
  <si>
    <t>INSS e INSS Patronal  referente ao RPA 1573 - Sitaram Márcio Costa Custódio</t>
  </si>
  <si>
    <t>DARF/IR referente ao RPA 1573 - Sitaram Márcio Costa Custódio</t>
  </si>
  <si>
    <t>Reembolso realizado pela projeto Pronac: 17.7912, referente ao pagamento da Nota Fiscal 2022/3 - Processo 2771 - Alice Almeida Gontijo 09331535627.</t>
  </si>
  <si>
    <t>Tarifa Bancária referente a transferência eletrônica pagamento fornecedor: Damasco Comunicação Eirelli - Processo 2397</t>
  </si>
  <si>
    <t>Tarifa Bancária referente a transferência eletrônica pagamento fornecedor: Jonathan Cardoso Da Silva 07906973607 - Processo 2714</t>
  </si>
  <si>
    <t>Tarifa Bancária referente a transferência eletrônica pagamento fornecedor: Sitaram Márcio Costa Custódio - Processo 2800</t>
  </si>
  <si>
    <t>047.121.789-14</t>
  </si>
  <si>
    <t>Contratação de profissional para acompanhamento e gestão do Centro Técnico de Produção e Formação, apoiando no planejamento estratégico do espaço, definição e acompanhamento das locações e pesquisa de satisfação do locatários, orientação e acompanhamento dos profissionais para o acondicionamento e higienização do acervo dos dois espaços - CTPF Andradas e Marzagão, dentre outras questões ligadas aos espaços.</t>
  </si>
  <si>
    <t>Processo 2528 - Leo Jonas Batista Motta 08537248657</t>
  </si>
  <si>
    <t>22.593.299/0001-78</t>
  </si>
  <si>
    <t>Contratação de técnico de montagem/desmontagem especializada para a exposição“Acervo FCS - Cidade Imaginária", na Pequena Galeria do Palácio das Artes.O serviço será dividido em 4 diárias: 2 dias para a montagem - inicio dia 30/11/2021. 2 dias para a desmontagem - inicio 03/01/2022.</t>
  </si>
  <si>
    <t>20.637.165/0001-86</t>
  </si>
  <si>
    <t>Contratação de um músico trompetista convidado para ensaios e concertos da OSMG que serão realizados nos mês de fevereiro de 2022.</t>
  </si>
  <si>
    <t>U05182</t>
  </si>
  <si>
    <t>13111769-MG</t>
  </si>
  <si>
    <t>INSS e INSS Patronal referente ao RPA 1550 - Waneska Torres De Oliveira Cezar</t>
  </si>
  <si>
    <t>Tarifa Bancária referente a transferência eletrônica pagamento fornecedor: Waneska Torres De Oliveira Cezar - Processo 2656</t>
  </si>
  <si>
    <t>Reembolso realizado pelo Termo de Parceria 50/2020 - IEPHA referente ao percentual (26,41% do valor total ) locação de impressoras da sede da Appa referente ao mês 01/2022</t>
  </si>
  <si>
    <t xml:space="preserve">Reembolso parcial da conta do Termo de Parceria 50/2020 - IEPHA, referenteao uso de telefone fixo (mês 01/2022) - 26,41% do valor total </t>
  </si>
  <si>
    <t>Ewelyn Felice Da Silva</t>
  </si>
  <si>
    <t>ISSQN referente ao RPA 1570 - Ewelyn Felice Da Silva</t>
  </si>
  <si>
    <t>DARF/IR referente ao RPA 1570 - Ewelyn Felice Da Silva</t>
  </si>
  <si>
    <t>INSS e INSS Patronal referente ao RPA 1570 - Ewelyn Felice Da Silva</t>
  </si>
  <si>
    <t>40.890.506/0001-38</t>
  </si>
  <si>
    <t>Contratação de profissional para criação e edição de vídeos que serão projetados sobre partes do cenário da Ópera Aleijadinho com estreia prevista para abril de 2022 considerando a montagem e as apresentações em Ouro Preto e Belo Horizonte conforme cronograma estipulado pela Diretoria Cultural da FCS.</t>
  </si>
  <si>
    <t>17.256.512/0001-16</t>
  </si>
  <si>
    <t>22.347.234/0001-42</t>
  </si>
  <si>
    <t>Contratação de um músico pianista convidado para ensaios e concertos da OSMG que serão realizados nos mês de fevereiro de 2022.</t>
  </si>
  <si>
    <t>2022/25955</t>
  </si>
  <si>
    <t>2022/22530</t>
  </si>
  <si>
    <t>DARR/PCC referente a nota fiscal 2022/22530 - Unimed Cooperativa de Trabalho Médico</t>
  </si>
  <si>
    <t>IR referente a nota fiscal 2022/22530 - Unimed Cooperativa de Trabalho Médico</t>
  </si>
  <si>
    <t>Água e Esgoto da Sede da Appa mês 01/2022</t>
  </si>
  <si>
    <t>Reembolso realizado pelo Termo de Parceria 50/2020 - IEPHA referente ao percentual (26,41% do valor total ) consumo de água da sede da Appa- mês 01/2022</t>
  </si>
  <si>
    <t>001.22.06781183-1</t>
  </si>
  <si>
    <t>Panificadora Andreia Ltda</t>
  </si>
  <si>
    <t>Tarifa Bancária referente a transferência eletrônica pagamento fornecedor: Panificadora Andreia Ltda - Processo 2882</t>
  </si>
  <si>
    <t>Carina Rafaela De Camargos Manoel</t>
  </si>
  <si>
    <t>ISSQN referente ao RPA 1574 - Carina Rafaela De Camargos Manoel</t>
  </si>
  <si>
    <t>DARF/IR referente ao RPA 1574 - Carina Rafaela De Camargos Manoel</t>
  </si>
  <si>
    <t>INSS e INSS Patronal  referente ao RPA 1574 - Carina Rafaela De Camargos Manoel</t>
  </si>
  <si>
    <t>128.582.876-35</t>
  </si>
  <si>
    <t>Bheatriz Alexsandra Rocha De Souza</t>
  </si>
  <si>
    <t>ISSQN referente ao RPA 1576 - Bheatriz Alexsandra Rocha De Souza</t>
  </si>
  <si>
    <t>DARF/IR referente ao RPA 1576 - Bheatriz Alexsandra Rocha De Souza</t>
  </si>
  <si>
    <t>INSS e INSS Patronal  referente ao RPA 1576 - Bheatriz Alexsandra Rocha De Souza</t>
  </si>
  <si>
    <t>Tarifa Bancária referente a transferência eletrônica pagamento fornecedor: Leonam Lima Duarte - Processo 2738</t>
  </si>
  <si>
    <t>Leonam Lima Duarte</t>
  </si>
  <si>
    <t>ISSQN referente ao RPA 1575 - Leonam Lima Duarte</t>
  </si>
  <si>
    <t>DARF/IR referente ao RPA 1575 - Leonam Lima Duarte</t>
  </si>
  <si>
    <t>INSS e INSS Patronal  referente ao RPA 1575 - Leonam Lima Duarte</t>
  </si>
  <si>
    <t>Tarifa Bancária referente a transferência eletrônica pagamento fornecedor: Bheatriz Alexsandra Rocha De Souza - Processo 2739</t>
  </si>
  <si>
    <t>Contratação de um diretor de ópera para a montagem e apresentações da Ópera Aleijadinho que será realizada em Ouro Preto e Belo Horizonte.</t>
  </si>
  <si>
    <t>054.143.626-02</t>
  </si>
  <si>
    <t>Contratação de monitorapara acompanhamento do público durante a visitação na exposição, Magister Rafaello, no turno da tarde (15 horas às 21 horas)", durante o período expositivo, no período de 10de fevereiro de 2022 a 27 de fevereiro de 2022, no Palácio das Artes.</t>
  </si>
  <si>
    <t>2022/852</t>
  </si>
  <si>
    <t>F6 Sistemas De Informatica Ltda</t>
  </si>
  <si>
    <t>2022/4</t>
  </si>
  <si>
    <t>Maria De Lourdes T Herrmann-ME</t>
  </si>
  <si>
    <t>15.022.074/0001-04</t>
  </si>
  <si>
    <t>Contratação de profissional para Direção, composição coreográfica e acompanhamento dos ensaios do Espetáculo de Formatura do 3o da Escola de Dança do Cefart. A profissional atuará junto com uma professora do CEFART (co-direção do Espetáculo), e será a responsável por criar, elaborar e coordenar a encenação do espetáculo utilizando-se de recursos técnico-artísticos procurando assegurar o alcance dos resultados objetivados com a encenação da dança e definir com o Figurinista, Cenógrafo, iluminador e outros técnicos, quais as melhores soluções para o espetáculo, preservando assim a unidade da obra.</t>
  </si>
  <si>
    <t>Cleverson Eduardo Rodrigues 01475521685</t>
  </si>
  <si>
    <t>instrutores, Oficineiros e Palestrantes</t>
  </si>
  <si>
    <t>ISSQN referente a Nota Fiscal 2022/2 - Maria De Lourdes T Herrmann-ME</t>
  </si>
  <si>
    <t>2022/12</t>
  </si>
  <si>
    <t>ISSQN referente a Nota Fiscal 2022/12 - Mylene Youssef A Vieira - Produções E Eventos Epp</t>
  </si>
  <si>
    <t>2022/10</t>
  </si>
  <si>
    <t>Tarifa Bancária referente a transferência eletrônica pagamento fornecedor: Mylene Youssef A Vieira - Produções E Eventos Epp - Processo 2853</t>
  </si>
  <si>
    <t>Tarifa Bancária referente a transferência eletrônica pagamento fornecedor: Mylene Youssef A Vieira - Produções E Eventos Epp - Processo 2854</t>
  </si>
  <si>
    <t>Tarifa Bancária referente a transferência eletrônica pagamento fornecedor: Maria De Lourdes T Herrmann-ME - Processo 2885</t>
  </si>
  <si>
    <t>Tarifa Bancária referente a transferência eletrônica pagamento fornecedor: Cleverson Eduardo Rodrigues 01475521685 - Processo 2855</t>
  </si>
  <si>
    <t>ISSQN referente a Nota Fiscal 2022/852 - F6 Sistemas De Informatica Ltda</t>
  </si>
  <si>
    <t>Assinatura de conta do Zoom para utilização nos trâmites pedagógicos e administrativos do Cefart. Serão dois usuários no perfil profissional, para a realização de duas reuniões ao mesmo tempo.</t>
  </si>
  <si>
    <t>Reembolso para o Diretor Financeiro referente assinatura da ferramenta para conversão, compressão, divisão e junção de arquivos em PDF - Assinatura anual. A operação administrativa e financeira dos processos requer uma ferramenta que permita desmembrar, juntar, converter e comprimir arquivos em PDF para montagens dos processos, elaboração de arquivos da movimentação contábil e fiscal que tem muitas páginas, dentre outras demandas. Existem alguns sites que disponibilizam essa ferramenta gratuita mas com limitação de páginas, arquivos ou mesmo utilizações diárias.</t>
  </si>
  <si>
    <t>Guilherme Domingos De Oliveira</t>
  </si>
  <si>
    <t>Justificativa</t>
  </si>
  <si>
    <t>Tarifa Bancária referente a transferência eletrônica pagamento fornecedor: Guilherme Domingos De Oliveira - Processo 2741</t>
  </si>
  <si>
    <t>Contratação de professor para ministrar o Curso Complementar "Curadoria/Estudos de Imagens" para a Escola de Artes Visuais.</t>
  </si>
  <si>
    <t>21.076.844/0001-96</t>
  </si>
  <si>
    <t>Contratação de transporte(caminhão baúfechado grande) com 2 (dois) ajudantes que levarãoo cenário para a mostra Cena Show - CTP Andradas para o Cefart dia 21/02/2022 e do CEFART para o CTP Marzagão no dia 03/03/2022.</t>
  </si>
  <si>
    <t>Reembolso realizado pelo Termo de Parceria 50/2020 - IEPHA referente ao percentual (26,41% do valor total) consumo de energia elétrica da sede da Appa- mês 01/2022</t>
  </si>
  <si>
    <t>Reembolso realizado pelo Termo de Parceria 50/2020 - IEPHA referente ao percentual (26,41% do valor total), referente ao telefone móvel da sede da Appa- mês 01/2022</t>
  </si>
  <si>
    <t>Hatari Filmes Ltda</t>
  </si>
  <si>
    <t>ISSN referente a Nota Fiscal 2022/8 - Hatari Filmes Ltda</t>
  </si>
  <si>
    <t>2022/20</t>
  </si>
  <si>
    <t>ISSQN referente ao processo 2022/20 - Damasco Comunicação Eirelli</t>
  </si>
  <si>
    <t>2022/88</t>
  </si>
  <si>
    <t>2022/89</t>
  </si>
  <si>
    <t xml:space="preserve">ISSQN referente a Nota Fiscal 2022/88 - Ctrl P Impressão Digital Ltda </t>
  </si>
  <si>
    <t>Tarifa Bancária referente a transferência eletrônica pagamento fornecedor: Ctrl P Impressão Digital Ltda - Processo 2604</t>
  </si>
  <si>
    <t xml:space="preserve">Tarifa Bancária referente a transferência eletrônica pagamento fornecedor: Ctrl P Impressão Digital Ltda - 2599 </t>
  </si>
  <si>
    <t>Tarifa Bancária referente a transferência eletrônica pagamento fornecedor:  Hatari Filmes Ltda - Processo 2730</t>
  </si>
  <si>
    <t>ISSQN referente a Nota Fiscal 2022/89 - Ctrl P Impressão Digital Ltda</t>
  </si>
  <si>
    <t>Tarifa Bancária referente a transferência eletrônica salário de férias - Wilton Bernardino Marques - Montador Dipro</t>
  </si>
  <si>
    <t>Referente a reativação/formatação do Cartão Ótimo para a colaboradora Kênia Perdigão
.</t>
  </si>
  <si>
    <t>Tarifa Bancária referente a transferência eletrônica pagamento fornecedor: Consórcio Ótimo de Bilhetagem Eletrônica</t>
  </si>
  <si>
    <t>Tarifa Bancária referente a transferência eletrônica pagamento fornecedor: Fernanda Ladeira Lippi - Processo 2844</t>
  </si>
  <si>
    <t>Direitos de exibição e cópia (digital e física) do filme MAR DE ROSAS, da diretora Ana Carolina, para exibição no Cine Humberto Mauro e na plataforma CineHumbertoMauroMais durante a mostra Classicas, de 08/03 a 07/04.</t>
  </si>
  <si>
    <t>30.510.135/0001-68</t>
  </si>
  <si>
    <t>Contratação de professor para ministrar o Curso Complementar "Laboratório de Cordas Friccionadas"na modalidade Presencial, para os alunos da Escola de Música do Cefart.</t>
  </si>
  <si>
    <t>Contratação de carregadores para ajudar na montagem e desmontagem do Evento Cena Show - É o que trem para hoje.Quantidade: 2Datas e horários:Segunda-feira, dia 21, às 8hLocal: CTP Andradas para Palácio das ArtesSexta feira, dia 25 às 16:30 Local: Palácio das artes para CTP Andradas</t>
  </si>
  <si>
    <t>690.529.306-78</t>
  </si>
  <si>
    <t>Contratação de profissional externo para as bancas examinadoras dos editais de 2022 para Escola de dança do Cefart.</t>
  </si>
  <si>
    <t>Contratação de profissionais externos para as bancas examinadoras dos editais de 2022 de Música do Cefart.</t>
  </si>
  <si>
    <t>033.429.375-80</t>
  </si>
  <si>
    <t>103.707.506-40</t>
  </si>
  <si>
    <t>Contratação de monitorpara acompanhamento do público durante a visitação na exposição "Do que fomos feitos e o que deixamos" na Galeria Genesco Murta, no turno da tarde (15 horas às 21 horas)", durante o período expositivo, no período de 09de fevereiro de 2022 a 13 de março de 2022, no Palácio das Artes. A exposição integra os trabalhos do 2º Prêmio Décio Novielo de Fotografia e Artes Visuais.</t>
  </si>
  <si>
    <t>Fernanda Ladeira Lippi</t>
  </si>
  <si>
    <t>ISSQN referente ao RPA 1580 - Fernanda Ladeira Lippi</t>
  </si>
  <si>
    <t>INSS e INSS Patronal referente ao RPA 1580 - Fernanda Ladeira Lippi</t>
  </si>
  <si>
    <t>INSS referente a nota fiscal 2022/2 - Unicusto Limpeza Em Eventos Ltda</t>
  </si>
  <si>
    <t>07.16.22047.1400963-2</t>
  </si>
  <si>
    <t>DARF/IR  referente ao RPA 1533 - Antonio Tavares Ribeiro</t>
  </si>
  <si>
    <t>07.01.22047.0872331-4</t>
  </si>
  <si>
    <t>DARF/IR referente ao RPA 1525 - Luiza Poeiras Amorim</t>
  </si>
  <si>
    <t>IR retido em folha do mês 01/2022</t>
  </si>
  <si>
    <t>INSS e INSS Patronal referente ao RPA 1519 - Rodrigo Gomes De Almeida Bras</t>
  </si>
  <si>
    <t>INSS e INSS Patronal referente ao RPA 1533 - Antonio Tavares Ribeiro</t>
  </si>
  <si>
    <t>Guia de GPS (autônomo) do mês 01/2022 -  Termo de Parceria 50/2020 - Iepha</t>
  </si>
  <si>
    <t>Reembolso realizado pela conta do Termo de Parceria 50/2020 - Iepha referente ao pagamento da guia de GPS (funcionários) INSS retido sob folha do mês 01/2022</t>
  </si>
  <si>
    <t>Reembolso realizado pela conta do Termo de Parceria 50/2020 - Iepha referente ao pagamento da guia de GPS (autônomo) do mês 01/2022</t>
  </si>
  <si>
    <t>Guia de GPS (autônomo) do mês 01/2022 - Programa Artístico da Fundação Clóvis Salgado - CA - (15845-3 )</t>
  </si>
  <si>
    <t>Guia de GPS (autônomo) do mês 01/2022 - Área Meio - Projetos Meta do Contrato de Gestão - (16517-4)</t>
  </si>
  <si>
    <t>Reembolso realizado pela conta Área Meio - Projetos Meta do Contrato de Gestão  (16517-4) referente ao pagamento da guia de GPS (autônomo) do mês 01/2022</t>
  </si>
  <si>
    <t xml:space="preserve">Guia de GPS (autônomo) do mês 01/2022 - Cinquentenário Operístico da Fundação Clóvis Salgado - Pronac: 20.3579 - (16376-7) </t>
  </si>
  <si>
    <t>Guia de GPS (autônomo) do mês 01/2022 - Complemento da Programação Artística da Fundação Clóvis Salgado - (15949-2)</t>
  </si>
  <si>
    <t>Guia de GPS (autônomo) do mês 01/2022 - Manutenção das Atividades Corpo Artísticos Pronac: 18.5397 - (15556-X)</t>
  </si>
  <si>
    <t xml:space="preserve">Reembolso realizado pela conta do projeto Manutenção das Atividades Corpo Artísticos - (15556-X), referente a Guia de GPS (autônomo) do mês 01/2022 </t>
  </si>
  <si>
    <t xml:space="preserve">Reembolso realizado pela conta do projeto Programa Artístico da Fundação Clóvis Salgado - (15845-3), referente a Guia de GPS (autônomo) do mês 01/2022 </t>
  </si>
  <si>
    <t>Reembolso realizado pela conta do projeto Complemento da Programação Artística da Fundação Clóvis Salgado - (15949-2), referente a Guia de GPS (autônomo) do mês 01/2022.</t>
  </si>
  <si>
    <t>Reembolso realizado pela conta do projeto Cinquentenário Operístico da Fundação Clóvis Salgado, referente ao INSS da nota fiscal 2022/2 - Unicusto Limpeza Em Eventos Ltda</t>
  </si>
  <si>
    <t>Reembolso realizado pela conta do projeto Cinquentenário Operístico da Fundação Clóvis Salgado - Pronac: 20.3579 - (16376-7), Guia de GPS (autônomo) do mês 01/2022</t>
  </si>
  <si>
    <t>Reembolso realizado pela conta do projeto Requalrevanglogold - (163910), referente a Guia de GPS (autônomo) do mês 01/2022</t>
  </si>
  <si>
    <t>Guia de GPS (autônomo) do mês 01/2022 - Requalrevanglogold - (163910)</t>
  </si>
  <si>
    <t>INSS retido do Termo de Parceria 50/2020 - Iepha referente ao pagamento da guia de GPS (funcionários) INSS retido sob folha do mês 01/2022</t>
  </si>
  <si>
    <t>INSS retido dos funcionário, referente a folha de pagamento do mês 01/2022 - Anglo Goldi Ashanti</t>
  </si>
  <si>
    <t>29.509.130/0001-36</t>
  </si>
  <si>
    <t>124.896.986-30</t>
  </si>
  <si>
    <t>Contratação de professor para ministrar o Curso Complementar "Dança com Bambolê", conforme demanda da Escola de Dança da Cefart.</t>
  </si>
  <si>
    <t>Locação de 24 Fresnel de 2K com acessórios e 2 técnicos de operação no Grande Teatro Cemig Palácio das Artes. Datas:, 22 e 23 de fevereiro.</t>
  </si>
  <si>
    <t>Complemento de licenciamento de arranjo de partitura para o vídeo de fevereiro da OSMG e CLMG do samba enredo da Escola de Samba Canto da Alvorada em homenagem aos 50 anos do Palácio das Artes.</t>
  </si>
  <si>
    <t>Contratação de profissional externo para as bancas examinadoras dos editais de 2022 de Tecnologia da Cena do Cefart.</t>
  </si>
  <si>
    <t>15.406.084/0001-35</t>
  </si>
  <si>
    <t>Contratação de profissionais externos para as bancas examinadoras dos editais de 2022 para a Escola de Música do Cefart.</t>
  </si>
  <si>
    <t>Reembolso realizado pelo Termo de Parceria 50/2020 - IEPHA referente ao percentual 26,41% do valor total ) ao consumo de internet da Appa do mês 01/2022</t>
  </si>
  <si>
    <t>1433401413-0</t>
  </si>
  <si>
    <t>B&amp;c Produtos De Limpeza E Embalagens Ltda</t>
  </si>
  <si>
    <t>Compra de 6 caixas de máscaras cirúrgica tripla descartável, preferência na cor preta. Necessário máscaras cirúrgicas para proteção dos músicos cantores nos concertos e saraus de fevereiro.</t>
  </si>
  <si>
    <t>37.968.379/0001-38</t>
  </si>
  <si>
    <t>ISSQN referente ao RPA 1583 - Joacélio Batista Da Silva</t>
  </si>
  <si>
    <t>Tarifa Bancária referente a transferência eletrônica pagamento fornecedor: Fabricio Eduardo De Brito -  Processo: 2736</t>
  </si>
  <si>
    <t>ISSQN referente ao RPA 1581 - Fabricio Eduardo De Brito</t>
  </si>
  <si>
    <t>INSS e INSS Patronal referente ao RPA 1581 - Fabricio Eduardo De Brito</t>
  </si>
  <si>
    <t>INSS e INSS Patronal referente ao RPA 1583 - Joacélio Batista Da Silva</t>
  </si>
  <si>
    <t>001.22.08857775-6</t>
  </si>
  <si>
    <t>Locação de caçambas, para recolher os entulhos que irão surgindo de acordo com a limpeza que será realizada nas áreas externas do CTPF.</t>
  </si>
  <si>
    <t>Direito de exibição para duas (02) sessões do filme"Os Homens que eu tive" (de Tereza Trautman) na programação presencial da mostra Clássicas - Parte 2.As exibições serão no Cine Humberto Mauro.As datas e os horários serão definidos e informados à distribuidora tão logo a programação esteja fechada.</t>
  </si>
  <si>
    <t>Contratação de carregadores para atender as demandas do coral lírico. Necessário contratação de carregadores para auxiliar na montagem e desmontagem doSarau CLMG Fevereiro e Março.</t>
  </si>
  <si>
    <t>34.808.208/0001-53</t>
  </si>
  <si>
    <t>Contratação de professor para ministrar o Curso Complementar "O ator, o objeto e a cena - Grupo Armatrux"na modalidade Presencial, para atender a demanda da Escola de Teatro do Cefart.</t>
  </si>
  <si>
    <t>30.709.782/0001-01</t>
  </si>
  <si>
    <t>2022/7</t>
  </si>
  <si>
    <t xml:space="preserve">Tarifa Bancária referente a transferência eletrônica pagamento fornecedor: Hanna Mussi Dias 14995811737 - Processo: 2453 </t>
  </si>
  <si>
    <t>2022/15</t>
  </si>
  <si>
    <t>Sem Rumo - Projetos Audiovisuais Ltda</t>
  </si>
  <si>
    <t>Tarifa Bancária referente a transferência eletrônica pagamento fornecedor: Sem Rumo - Projetos Audiovisuais Ltda - Processo: 2767</t>
  </si>
  <si>
    <t>ISSQN referente a Nota Fiscal 2022/15 - Sem Rumo - Projetos Audiovisuais Ltda</t>
  </si>
  <si>
    <t xml:space="preserve">Alberto Gusmão Da Silva
</t>
  </si>
  <si>
    <t>Tarifa Bancária referente a transferência eletrônica pagamento fornecedor: Alberto Gusmão Da Silva -  Processo: 2735</t>
  </si>
  <si>
    <t>ISSQN referente ao RPA 1589 - Alberto Gusmão Da Silva</t>
  </si>
  <si>
    <t>Captação de áudio do Sarau Lírico no Grande Teatro Cemig Palácio das Artes. - Montagem dia 25 de fevereiro Ensaios e transmissão dia 25/02, ao meio dia</t>
  </si>
  <si>
    <t>30.990.534/0001-73</t>
  </si>
  <si>
    <t>Contratação de professor para ministrar o Curso Complementar de "Jazz"na modalidade Presencial, para os alunos da Escola de Dança do Cefart.</t>
  </si>
  <si>
    <t>40.642.069/0001-33</t>
  </si>
  <si>
    <t>Contratação de debatedor responsável por formular e conduzir um debate acerca do filme "Filhas do Pó", que faz parte da programação da Mostra Clássicas. O debate será transmitido no dia 04/04, às 19h, na plataforma Cine Humberto Mauro Mais</t>
  </si>
  <si>
    <t>23.805.167/0001-25</t>
  </si>
  <si>
    <t>Serviço de construção, montagem e desmontagem do mobiliário expositivo (cenografia) da exposição Órbita Gráfica. O detalhamento do mobiliário em questão está em arquivo anexo ao processo. A exposição acontece de 05 de abril a 05 de junho na Galeria Genesco Murta.</t>
  </si>
  <si>
    <t>Contratação de serviço profissional para filmagem e transmissão do Sarau Lírico no Grande Teatro Cemig Palácio das Artes dia 25/02Rider: Equipamentos mínimos: Equipamentos disponibilizados: 6 câmeras 4K Televisão de Retorno para o Público 2 Mesas de Corte Switch de internet com cabo de 30 metros 1 ilha de Transmissão 2 Notebooks 5 Tripés de Câmera 1 Slider 1 Gimbal 1 Transmissor de vídeo sem fio - até 100m Cabeamento necessárioMontagem dia 25/02 às 7 hs da manhã - evento transmitido ao meio dia.</t>
  </si>
  <si>
    <t>Contratação de profissional externo para as bancas examinadoras dos editais de 2022 para a Escola de Artes Visuais.</t>
  </si>
  <si>
    <t>024.509.481-47</t>
  </si>
  <si>
    <t>Contratação de debatedor para formular e conduzir um debate acerca do filme O Pântano. O debate será transmitido no dia 01/04, às 17h, na plataforma Cine Humberto Mauro Mais.</t>
  </si>
  <si>
    <t>21.112.974/0001-37</t>
  </si>
  <si>
    <t>19.297.602/0001-80</t>
  </si>
  <si>
    <t>Contratação de Pedro Vianna, cantor solista para interpretar o personagem Alvarenga Peixoto na Ópera Aleijadinho.</t>
  </si>
  <si>
    <t xml:space="preserve">Contratação do Grêmio Recreativo Escola de Samba Canto da Alvorada para participação artística no vídeo coletivo da OSMG e CLMG. </t>
  </si>
  <si>
    <t>33.681.320/0001-03</t>
  </si>
  <si>
    <t>Contratação de profissional externo para as bancas examinadoras dos editais de 2022 de Artes Visuais. Justifica-se a contratação de profissional externo com expertise em Artes Visuais, com experiência em Curadoria e Ensino para participar do Processo Seletivo da Escola de Artes Visuais do Cefart, afim de compor a banca examinadora junto aos professores e coordenadores da Escola.</t>
  </si>
  <si>
    <t>Tarifa Bancária referente a transferência eletrônica pagamento fornecedor: Patrick Hermany Ferreira Souza 06224225613 - Processo: 2751</t>
  </si>
  <si>
    <t>Patrick Hermany Ferreira Souza 06224225613</t>
  </si>
  <si>
    <t>Tarifa Bancária referente a transferência eletrônica pagamento fornecedor: Renzo Albierre Da Costa 08570962658 - Processo: 2886</t>
  </si>
  <si>
    <t>Renzo Albierre Da Costa 08570962658</t>
  </si>
  <si>
    <t>Tarifa Bancária referente a transferência eletrônica pagamento fornecedor: Gilberto De Lima Goulart 08401043670 - Processo: 2486</t>
  </si>
  <si>
    <t>13.606.139/0001-25</t>
  </si>
  <si>
    <t>Contratação de profissional externo para as bancas examinadoras dos editais de 2022 de Artes Visuais.</t>
  </si>
  <si>
    <t>Contratação de debatedor para formular e conduzir debate acerca do filme "Os Homens Que Eu Tive", que faz parte da Mostra Clássicas. O debate será transmitido no dia 28/03, às 19h, na plataforma Cine Humberto Mauro Mais.</t>
  </si>
  <si>
    <t>151.930.197-90</t>
  </si>
  <si>
    <t>Contratação de Guilherme Moreira, cantor solista. Faz-se necessário a contratação deo cantor solista para interpretar o personagem ‘’Tomás Antônio Gonzaga’ nessa apresentação inédita da Fundação Clóvis Salgado</t>
  </si>
  <si>
    <t>Direito de exibição para duas (02) sessões do filme "Colo", e duas (02) exibições do filme "Western" na programação presencial da mostra Clássicas - Parte 2</t>
  </si>
  <si>
    <t>Contratação de Luanda Siqueira, cantora solista para interpretar Joana.A ópera inédita “Aleijadinho” que, tem composição de Ernani Aguiar e libreto de autoria de André Cardoso conta a história do famoso escultor mineiro Aleijadinho, principal artista brasileiro do período colonial. Faz-se necessário a contratação de cantora solista nessa apresentação inédita da Fundação Clóvis Salgado</t>
  </si>
  <si>
    <t>042.431.557-20</t>
  </si>
  <si>
    <t>Reembolso realizado pelo Termo de Parceria 50/2020 - IEPHA referente ao percentual (26,41% do valor total), Segurança Eletrônica da Sede da APPA - mês 01/2022</t>
  </si>
  <si>
    <t>Repasse  parcial referente a parcela de fevereiro 2022</t>
  </si>
  <si>
    <t>Tarifa Bancária referente a transferência eletrônica pagamento fornecedor: BH Notebooks Ltda - Processo 2842</t>
  </si>
  <si>
    <t>Direito de exibição para duas sessões do filme O Pântano (La Ciénaga), dirigido pela cineasta latinoamericana Lucrécia Martel</t>
  </si>
  <si>
    <t>41.761.932/0001-34</t>
  </si>
  <si>
    <t>071.836.066-43</t>
  </si>
  <si>
    <t>2022/40</t>
  </si>
  <si>
    <t>ISSQN referente a nota fiscal 2022/40 - Softwares De Gestão Ltda</t>
  </si>
  <si>
    <t>PIS referente a folha 01/2022</t>
  </si>
  <si>
    <t>Cofins referente aos rendimentos de aplicações financeiras de 01/2022</t>
  </si>
  <si>
    <t>Bernardo Brandão De Oliveira 05319440693</t>
  </si>
  <si>
    <t>Tarifa Bancária referente a transferência eletrônica pagamento fornecedor: Bernardo Brandão De Oliveira 05319440693 - Processo: 2694</t>
  </si>
  <si>
    <t>Rendimentos de aplicações financeiras do mês 02/2022</t>
  </si>
  <si>
    <t>Imposto de Renda referente aos rendimentos de aplicações financeiras do mês 02/2022</t>
  </si>
  <si>
    <t>IOF  referente aos rendimentos de aplicações financeiras do mês 02/2022</t>
  </si>
  <si>
    <t>Associação Pró-Cultura e Promoção das Artes (Conta Reserva - Contrato de Gestão 05/2019)</t>
  </si>
  <si>
    <t>INSS retido em folha do mês 01/2022</t>
  </si>
  <si>
    <t>INSS Patronal referente a folha do mês 01/2022</t>
  </si>
  <si>
    <t>INSS retido em folha do mês 12/2021</t>
  </si>
  <si>
    <t xml:space="preserve">Valor referente a Medicina do Trabalho do mês 01/2022 - PCMSO </t>
  </si>
  <si>
    <t>IR retido em folha do mês 02/2022</t>
  </si>
  <si>
    <t>INSS retido em folha do mês 02/2022</t>
  </si>
  <si>
    <t>848.119.196-53</t>
  </si>
  <si>
    <t>Contratação de Wagner Sander, pianista acompanhador para as apresentações do Sarau Lírico do CLMG.Contratação de Wagner Sander, pianista acompanhador para as apresentações do Sarau Lírico do CLMG.</t>
  </si>
  <si>
    <t>Envio de Catálogo + Troféu Capivara para a realizadora premiadaYundi WANG no22º FestCurtasBH- 2020</t>
  </si>
  <si>
    <t xml:space="preserve">Impressão, instalação e retirada de placão de divulgação da Mostra Clássicas próximo à entrada da Fundação Clóvis Salgado, medidas: Metragem: 1,50 (largura) x 5,00 (altura). Acabamento com ilhós, fosco. </t>
  </si>
  <si>
    <t>Contratação de carregadores para atender as demandas do CLMG relacionada a montagem e desmontagem dos ensaios e apresentações.</t>
  </si>
  <si>
    <t>Aquisição de Pilhas Alcalinas Duracell AA -96 unidades (o pacote com 16 unidades costuma ser aproximadamente 60,00 cada - Pode-se comprar 6 pacotes). Estas pilhas são utilizadas para os microfones do Cine Humberto Mauro, em debates, cursos e palestras presenciais.Aquisição de Pilhas Alcalinas Duracel AAAA Palito -Para controles remotos dos equipamentos de projeção. Pode ser 05 pacotes com 04 unidades,</t>
  </si>
  <si>
    <t>43.283.811/0012-02</t>
  </si>
  <si>
    <t>27.940.818/0001-40</t>
  </si>
  <si>
    <t>Contratação de profissional externo para as bancas examinadoras dos editais de 2022 para a Escola de Teatro.</t>
  </si>
  <si>
    <t>Contratação de Aline Lobão, cantora solista. Ensaios nos dias 21 e 22 de 08h30 às 11h e apresentações dias 22 e 23 de Fevereiro às 12h (Meio Dia).</t>
  </si>
  <si>
    <t>068.550.896-07</t>
  </si>
  <si>
    <t>Contratação de agência para organização de conteúdo do Balanço 2021, para prestação de contas aos parceiros e publico em geral.</t>
  </si>
  <si>
    <t>22.436.999/0001-59</t>
  </si>
  <si>
    <t>28.026.565/0001-67</t>
  </si>
  <si>
    <t>Direito de exibição para duas (02) sessões do filme Carlota Joaquina (de Carla Camurati) na programação presencial da mostra Clássicas - Parte 2.As exibições serão no Cine Humberto Mauro.As datas e os horários serão definidos e informados à distribuidora tão logo a programação esteja fechada. A mostra Clássicas - Parte 2 acontece do dia 8 de Março de 2022 a 7 de abril de 2022.</t>
  </si>
  <si>
    <t>Legendagem eletrônica para projeção de legendas em português do filme Filhas do Pó, que será exibido na mostra Clássicas - Parte 2 no Cine Humberto Mauro,nos dias 26/03/2022 às 18:15 e dia 03/04 às 18h.</t>
  </si>
  <si>
    <t>Contratação de debatedor para conduzir uma conversa acerca do filme Mar de Rosas. O debate será transmitido no dia 21/03, às 19h, na plataforma Cine Humberto Mauro Mais.</t>
  </si>
  <si>
    <t>22.658.664/0001-85</t>
  </si>
  <si>
    <t>04.081.144/0001-70</t>
  </si>
  <si>
    <t>Solicito a visita de técnico para revisão e manutenção das máquinas de costura retas e overloque industriais do atelier do CTPF, indispensáveis em seu pleno funcionamento à produção dos figurinos e adereçosda ópera 'Aleijadinho' com previsão de início das atividades específicas a este fim para dia 14/03.</t>
  </si>
  <si>
    <t>Aquisição de HD's para armazenamento e tráfego de cópias da Gerência de Cinema - 2022:04 HD's, de 2TB cada, preferencialmente da marca Seagate.</t>
  </si>
  <si>
    <t>Contratação de Marise Diniz para dar aulas de dança contemporânea.</t>
  </si>
  <si>
    <t>Contratação da profissional Dudude que será a responsável por criar, elaborar e coordenar a encenação do espetáculo utilizando-se de recursos técnico-artísticos procurando assegurar o alcance dos resultados objetivados com a encenação da dança e definir com o Figurinista, Cenógrafo, iluminador e outros técnicos, quais as melhores soluções para o espetáculo, preservando assim a unidade da obra.</t>
  </si>
  <si>
    <t>Contratação de profissional para digitação e preenchimento de planilhas de controles do Setor de Pessoal da Appa, bem como auxiliar de manuseio e preparo de documentos para prestação de contas e arquivamento interno.</t>
  </si>
  <si>
    <t>45.552.834/0001-48</t>
  </si>
  <si>
    <t>788.147.236-72</t>
  </si>
  <si>
    <t>Contratação de Mauro Chantal, cantor solista para interpretar o personagem Vicente Ferreira.</t>
  </si>
  <si>
    <t>Compra de filó armação - tecido 2,80 de largura - 100 metros - Cor: Branco Off</t>
  </si>
  <si>
    <t>Entretela auto colante - Freudenbeg - 4 rolos 10 metros cor branca - 1 rolo 10 metros cor pretaBordado Inglês - Bordado inglês tamanhos variados(geralmente variam entre 10 e 20 cm) poliéster com algodão. 20 rolos de cada amostra (5 amostras)Elástico Reforçado - Real Rubi - 40mm (4cm) 25 metros - Branco - 3 rolosEntretela Cavalinho - 01 Rolo 70cm x 10mts</t>
  </si>
  <si>
    <t>Contratação de Figurinista Marcelo Marques.</t>
  </si>
  <si>
    <t>17.027.492/0001-01</t>
  </si>
  <si>
    <t xml:space="preserve">12.233.251/0001-03
</t>
  </si>
  <si>
    <t>Aquisição de material de escritório</t>
  </si>
  <si>
    <t>Contratação de profissional externo para as bancas examinadoras dos editais de 2022 para a Escola de Música.</t>
  </si>
  <si>
    <t>Contratação de pianista acompanhador para as aulas de técnica clássica dos bailarinos da Cia de Dança Palácio da Artes com horários a serem definidos pela direção da CDPA.</t>
  </si>
  <si>
    <t>Contratação de fornecedor de serviços administrativos e atendimento no balcão de informações na Fundação Clóvis Salgado, de março a dezembro/22.</t>
  </si>
  <si>
    <t xml:space="preserve">45.582.689/0001-48
</t>
  </si>
  <si>
    <t>Contratação de recepcionista para os espetáculos que acontecerão no Grande Teatro Cemig Palácio das Artes entre março e abril de 2022. São previstas 15 diárias.</t>
  </si>
  <si>
    <t>633.442.116-69</t>
  </si>
  <si>
    <t>079.800.426-62</t>
  </si>
  <si>
    <t>054.536.626-70</t>
  </si>
  <si>
    <t>Contratação de profissional externo para as bancas examinadoras dos editais de 2022 de dança.</t>
  </si>
  <si>
    <t>699.882.776-87</t>
  </si>
  <si>
    <t>02.954.216/0001-11</t>
  </si>
  <si>
    <t>Aquisição de materiais de copa e cozinha para sede da Appa</t>
  </si>
  <si>
    <t xml:space="preserve">01 und - Rolo de 100 metros de cabo 6mm na cor azul;01 und - Rolo de 100 metros de cabo 2,5mm em qualquer cor.
</t>
  </si>
  <si>
    <t>Compra de 25 metros de linho cru e 25 metros de linho poliester off.</t>
  </si>
  <si>
    <t>27.930.158/0001-17</t>
  </si>
  <si>
    <t>Compra de tecido de saco de pano de prato (Pé de galinha) - tarquinado Rolo 50 metros - Quantidade 4 rolos -Cor: Branco</t>
  </si>
  <si>
    <t>Contratação de 1 assistente de produção, 1 assistente de compras e 1 assistente de elenco.</t>
  </si>
  <si>
    <t>Contratação de Cantor Solista para a execução da obra Magnifica Aleluia de Villa Lobos na apresentação da OSMG e CLMG</t>
  </si>
  <si>
    <t>764.855.446-15</t>
  </si>
  <si>
    <t>Contratação de profissionais externos para as bancas examinadoras dos editais de 2022 para Escola de Teatro.</t>
  </si>
  <si>
    <t>113.000.556-93</t>
  </si>
  <si>
    <t>Reembolso proporcional realizado pela conta do projeto Anglo referente ao pagamento Medicina do Trabalho do mês 02/2022</t>
  </si>
  <si>
    <t>Reembolso proporcional realizado pela conta da Appa referente ao pagamento Seguro de Vida do mês 02/2022</t>
  </si>
  <si>
    <t>Reembolso proporcional realizado pela conta do TP 50/2020 IEPHA  referente ao pagamento Medicina do Trabalho do mês 02/2022</t>
  </si>
  <si>
    <t>Cons Operacional de Transporte Coletivo</t>
  </si>
  <si>
    <t>04.398.505/0001-07</t>
  </si>
  <si>
    <t>Valor referente a Medicina do Trabalho do mês 02/2022 - PPRA</t>
  </si>
  <si>
    <t>2022/2720</t>
  </si>
  <si>
    <t>ISSQN referente a nota fiscal 2022/2720 -  Ocupacional Medicina do Trabalho Ltda</t>
  </si>
  <si>
    <t>PCC referente a nota fiscal 2022/2720 -  Ocupacional Medicina do Trabalho Ltda</t>
  </si>
  <si>
    <t>2022/2719</t>
  </si>
  <si>
    <t>ISSQN referente a nota fiscal 2022/2719  Ocupacional Medicina do Trabalho Ltda</t>
  </si>
  <si>
    <t>PCC referente a nota fiscal 2022/2719 -  Ocupacional Medicina do Trabalho Ltda</t>
  </si>
  <si>
    <t>ISSQN referente a Nota Fiscal 2022/2 - Duetto Atividades Artisticas Eireli</t>
  </si>
  <si>
    <t xml:space="preserve"> Duetto Atividades Artisticas Eireli</t>
  </si>
  <si>
    <t>ISSQN referente a Nota Fiscal 2022/3 - Duetto Atividades Artisticas Eireli</t>
  </si>
  <si>
    <t>Transferência para conta Reserva referente aos rendimentos do mês 01/2022</t>
  </si>
  <si>
    <t>B&amp;C  Produtos De Limpeza E Embalagens Ltda</t>
  </si>
  <si>
    <t>Linktree</t>
  </si>
  <si>
    <t>Rembolso</t>
  </si>
  <si>
    <t>19.995.746/0001-00</t>
  </si>
  <si>
    <t xml:space="preserve">Valor recebido Sayonara Lopes Silva Pereira - CPF: 512.474.456-15 , referente à locação de figurinos </t>
  </si>
  <si>
    <t xml:space="preserve">Valor recebido Adelaine Scalco Aguiar - CPF: 009.154.696-69 , referente à locação de figurinos </t>
  </si>
  <si>
    <t>Gerente de Projetos , referente ao mês 02/2022</t>
  </si>
  <si>
    <t>Salário do Músico Instrumentista, referente ao mês 02/2022</t>
  </si>
  <si>
    <t>Salário do Pianista, referente ao mês 02/2022</t>
  </si>
  <si>
    <t>Salário Gerente de Projetos Dipro, referente ao mês 02/2022</t>
  </si>
  <si>
    <t>Salário do Montador Diart, referente ao mês 02/2022</t>
  </si>
  <si>
    <t>Salário do Músico Cantora, referente ao mês 02/2022</t>
  </si>
  <si>
    <t>Salário Bailarina, referente ao mês 02/2022</t>
  </si>
  <si>
    <t>Salário do Presidente referente ao mês 02/2022</t>
  </si>
  <si>
    <t>Salário do Coordenador Administrativo referente ao mês 02/2022</t>
  </si>
  <si>
    <t>Salário do Gerente de Projetos: Programação Artística referente ao mês 02/2022</t>
  </si>
  <si>
    <t>Salário do Bailarino, referente ao mês 02/2022</t>
  </si>
  <si>
    <t>Salário de Músico, referente ao mês 02/2022</t>
  </si>
  <si>
    <t>Salário do Músico cantora, referente ao mês 02/2022</t>
  </si>
  <si>
    <t xml:space="preserve"> Salário   Auxiliar de serviços Gerais, referente ao mês 02/2022</t>
  </si>
  <si>
    <t>Salário de Bailarina, referente ao mês 02/2022</t>
  </si>
  <si>
    <t xml:space="preserve"> Salário  Arquivista, referente ao mês 02/2022</t>
  </si>
  <si>
    <t>Salário do Músico, referente ao mês 02/2022</t>
  </si>
  <si>
    <t>Salário da Músico Cantor, referente ao mês 02/2022</t>
  </si>
  <si>
    <t>Salário Montador Dipro, referente ao mês 02/2022</t>
  </si>
  <si>
    <t>Salário do Superintendente de Auditoria, referente ao mês 02/2022</t>
  </si>
  <si>
    <t>Salário da Produtora Cultural: Produção Artística, referente ao mês 02/2022</t>
  </si>
  <si>
    <t>Salário do Produtora Cultural da Dipro, referente ao mês 02/2022</t>
  </si>
  <si>
    <t>Salário de Músico Cantora, referente ao mês 02/2022</t>
  </si>
  <si>
    <t>Analista de RH , referente ao mês 02/2022</t>
  </si>
  <si>
    <t>Salário da Analista Financeiro Pleno, referente ao mês 02/2022</t>
  </si>
  <si>
    <t>Salário do Bailarina, referente ao mês 02/2022</t>
  </si>
  <si>
    <t>Salário do Diretor Financeiro, referente ao mês 02/2022</t>
  </si>
  <si>
    <t>Compra de tecido de saco de pano de prato (Pé de galinha) - tarquinado 76 metros Cor: Branco</t>
  </si>
  <si>
    <t>Compra de tecidos : Tecido Nantes (66 metros),Jacquard Marisa (18 metros),Imola (6 metros),Chenile (36 metros)</t>
  </si>
  <si>
    <t>26.252.213/0001-02</t>
  </si>
  <si>
    <t xml:space="preserve"> Salário  Músico Instrumentista, referente ao mês 02/2022</t>
  </si>
  <si>
    <t>Salário  Músico Cantor, referente ao mês 02/2022</t>
  </si>
  <si>
    <t>Salário Músico Cantora, referente ao mês 02/2022</t>
  </si>
  <si>
    <t>Salário da Coordenadora de Comunicação, referente ao mês 02/2022</t>
  </si>
  <si>
    <t>Raquel Dornelas da Costa Silva</t>
  </si>
  <si>
    <t>054.766.346-30</t>
  </si>
  <si>
    <t>Salário do Regente Assistente, referente ao mês 02/2022</t>
  </si>
  <si>
    <t>Contratação de Fotógrafo artístico para a montagem e acompanhamento da formatura do teatro. O Fotógrafo será responsável pelo registro fotográfico das peças de divulgação e do registro das apresentações artísticas da montagem.Local de atuação: CEFART e João Ceschiatti</t>
  </si>
  <si>
    <t>00.731.178/0001-02</t>
  </si>
  <si>
    <t>Reembolso realizado pelo Termo de Parceria 50/2020 - IEPHA  referente ao percentual (26,41% do valor total), assessoria contábil para o Contrato de Gestão 05/2019 e Termo de Parceria referente ao mês 02/2022</t>
  </si>
  <si>
    <t>Reembolso realizado pelo Termo de Parceria 50/2020 - Iepha a conta do Contra de Gestão 005/2019 referente ao pagamento de guia de FGTS - Valor proporcional aos funcionários a serviço do TP 50/2020 - 02/2022</t>
  </si>
  <si>
    <t xml:space="preserve">Reembolso parcial da conta do Termo de Parceria 50/2020 - IEPHA, referente contratação de empresa de setor administrativo especializada em entidades do terceiro setor  para o Contrato de Gestão 05/2019 e Termo de Parceria 50/2020 (mês 02/2022) - 26,41% do valor total </t>
  </si>
  <si>
    <t>Reembolso realizado pela Appa - Projeto Pronac  a conta do Contrato de Gestão referente ao pagamento de guia de FGTS  - 02/2022</t>
  </si>
  <si>
    <t>2022/59</t>
  </si>
  <si>
    <t xml:space="preserve">ISSQN referente a nota fiscal 2022/59 - Dolabella Advocacia e Consultoria </t>
  </si>
  <si>
    <t>Salário da Assessora Pedagógica, referente ao mês 02/2022</t>
  </si>
  <si>
    <t>FGTS referente a folha de pagamento do mês 02/2022</t>
  </si>
  <si>
    <t>2022/286</t>
  </si>
  <si>
    <t xml:space="preserve">DARF/PCC referente a nota fiscal 2022/286- Krypton Serviços Contábeis S. S. </t>
  </si>
  <si>
    <t xml:space="preserve">DARF/PCC referente a nota fiscal 2022/286 - Krypton Serviços Contábeis S. S. </t>
  </si>
  <si>
    <t>ISSQN referente a nota fiscal 2022/14 -  Mylene Youssef A Vieira - Produções E Eventos Epp</t>
  </si>
  <si>
    <t>DARF/PCC referente a nota fiscal 2382 - Ongsys Sistema Ltda</t>
  </si>
  <si>
    <t xml:space="preserve"> Mylene Youssef A Vieira - Produções E Eventos Epp</t>
  </si>
  <si>
    <t>ISSQN referente a Nota Fiscal 2022/15 -  Mylene Youssef A Vieira - Produções E Eventos Epp</t>
  </si>
  <si>
    <t>Contratação de empresa para fornecimento de mão de obra especializada, para realizar a limpeza externa do CTPF Andradas. Os serviços serão de jardinagem como roçagem e capina da área externa.</t>
  </si>
  <si>
    <t>ISSQN referente a nota fiscal 2022/15 - Unicusto Limpeza Em Eventos Ltda</t>
  </si>
  <si>
    <t>INSS referente a nota fiscal 2022/15 - Unicusto Limpeza Em Eventos Ltda</t>
  </si>
  <si>
    <t>HB Audiovisual Ltda</t>
  </si>
  <si>
    <t>2022/41</t>
  </si>
  <si>
    <t>ISSQN referente a nota fiscal 2022/41 - HB Audiovisual Ltda</t>
  </si>
  <si>
    <t>Tarifa Bancária referente a transferência eletrônica Assessora Pedagógica</t>
  </si>
  <si>
    <t>Tarifa Bancária referente a transferência eletrônica pagamento fornecedor: Krypton Serviços Contábeis S. S. A - Processo 1114</t>
  </si>
  <si>
    <t>Tarifa Bancária referente a transferência eletrônica pagamento fornecedor: Mylene Youssef A Vieira - Produções E Eventos Eppi - Processo 2853</t>
  </si>
  <si>
    <t>Tarifa Bancária referente a transferência eletrônica pagamento fornecedor: Michele Costa Bernardino 11479891681 -  Processo 2986</t>
  </si>
  <si>
    <t>Tarifa Bancária referente a transferência eletrônica pagamento fornecedor:  Mylene Youssef A Vieira - Produções E Eventos Epp - Processo 2854</t>
  </si>
  <si>
    <t>Tarifa Bancária referente a transferência eletrônica pagamento fornecedor: Unicusto Limpeza Em Eventos Ltda - Processo 2870</t>
  </si>
  <si>
    <t>Tarifa Bancária referente a transferência eletrônica pagamento fornecedor:  Elizangela Gonçalves Viana Santos 07357636666 - Processo 2873</t>
  </si>
  <si>
    <t>Reembolso a conta do Contrato de Gestão - 05/2019  ref aquisição de sistema de ponto para utilização pelos colaboradores da Appa - ano 2022. Referente ao mês 02/2022</t>
  </si>
  <si>
    <t>Reembolso a conta do Contrato de Gestão - 05/2019  ref aquisição de sistema de ponto para utilização pelos colaboradores do Projeto Anglo - ano 2022. Referente ao mês 02/2022</t>
  </si>
  <si>
    <t>Reembolso a conta do Contrato de Gestão - 05/2019 Aquisição de sistema de ponto para utilização pelos colaboradores do TP 50/2020 IEPHA - ano 2022. Referente ao mês 02/2022</t>
  </si>
  <si>
    <t>ISSQN referente a nota fiscal 2022/8 - Arco Cultural Ltda</t>
  </si>
  <si>
    <t xml:space="preserve">0222047537250
</t>
  </si>
  <si>
    <t>Contratação de Johnny França cantor solista para interpretar o personagem Aleijadinho na Ópera Aleijadinho.</t>
  </si>
  <si>
    <t>21.777.063/0001-29</t>
  </si>
  <si>
    <t>Compra de tecidos diversos: chenille (14 metros), J. serrano (18 metros) e riviera (30 metros) - conforme amostra.</t>
  </si>
  <si>
    <t>07.335.769/0001-00</t>
  </si>
  <si>
    <t>07 und - Galões de 20 litros de água mineral.</t>
  </si>
  <si>
    <t>Contratação de assistente de iluminação - técnico de palco diarista para atender as demandas dos eventos do Grande Teatro do Palácio das Artes durante a temporada de 04/03/22 a 31/03/22, das apresentações da OSMG e CLMG, dando suporte na parte de som e iluminação. Estimativa de 10 diárias.</t>
  </si>
  <si>
    <t xml:space="preserve">0222047538060
</t>
  </si>
  <si>
    <t xml:space="preserve">0222047540552
</t>
  </si>
  <si>
    <t xml:space="preserve">0222047540986
</t>
  </si>
  <si>
    <t xml:space="preserve">0222047542172
</t>
  </si>
  <si>
    <t>ISSQN referente a Nota Fiscal 2022/83 - BH Fotocópias Digital Ltda</t>
  </si>
  <si>
    <t xml:space="preserve">0222047543900
</t>
  </si>
  <si>
    <t>ISSQN referente a nota fiscal 2022/212 - Patrulha Eletrônica Ltda</t>
  </si>
  <si>
    <t xml:space="preserve">0222047545350
</t>
  </si>
  <si>
    <t xml:space="preserve">0222047546089
</t>
  </si>
  <si>
    <t xml:space="preserve">0222047546917
</t>
  </si>
  <si>
    <t>ISSQN referente a nota fiscal 2022/40862 - Consórcio Ótimo de Bihetagem Eletrônica</t>
  </si>
  <si>
    <t>ISSQN referente a nota fiscal 2022/43461 - Cons Operacional Transporte Coletivo</t>
  </si>
  <si>
    <t>ISSQN referente a nota fiscal 2022/81349 - Unimed Cooperativa Médica</t>
  </si>
  <si>
    <t>ISSQN referente a nota fiscal 202286797 - Unimed Cooperativa Médica</t>
  </si>
  <si>
    <t xml:space="preserve">0222047551082
</t>
  </si>
  <si>
    <t xml:space="preserve">0222047553964
</t>
  </si>
  <si>
    <t xml:space="preserve">0222047554260
</t>
  </si>
  <si>
    <t xml:space="preserve">0222047554855
</t>
  </si>
  <si>
    <t>ISSQN  referente ao RPA 1568 - Victória Sofia Lúcio Silva</t>
  </si>
  <si>
    <t xml:space="preserve">0222047555827
</t>
  </si>
  <si>
    <t xml:space="preserve">0222047557285
</t>
  </si>
  <si>
    <t xml:space="preserve">0222047557366
</t>
  </si>
  <si>
    <t>Aquisição de sistema de ponto para utilização pelos colaboradores.Faz-se necessário a aquisição da licença de uso de um aplicativo chamado "PontoTel" que possibilitará o acompanhamento mais próximo do ponto dos funcionários, além da localização de trabalho do mesmo. Atualmente, a Appa possui vários pontos de trabalho e um ponto fixo de marcação dificultaria o controle do ponto.aboradores da Appa - ano 2022</t>
  </si>
  <si>
    <t>113.520.446-25</t>
  </si>
  <si>
    <t>Serviço de moldura de conservação para as obras que compõem a exposição Órbita Gráfica, que acontecerá na Galeria Genesco Murta de 05 de abril a 05 de junho.</t>
  </si>
  <si>
    <t>39.757.392/0001-73</t>
  </si>
  <si>
    <t>Contratação de preparador corporal para a montagem da formatura do teatro.A principal função de um preparador corporal consiste em auxiliar os atores no processo de criação de um corpo para o seu personagem. Para atingir este objetivo, inúmeros exercícios são desenvolvidos, passando por alongamentos, técnicas de caminhada e relaxamentos.Local de atuação: CEFART e João Ceschiatti</t>
  </si>
  <si>
    <t>18.950.912/0001-90</t>
  </si>
  <si>
    <t>Reembolso realizado pelo Termo de Parceria 50/2020 - IEPHA referente ao percentual (26,41% do valor total ) do aluguel/IPTU da sede da Appa referente ao mês 02/2022</t>
  </si>
  <si>
    <t>Reembolso realizado pelo Termo de Parceria 50/2020 - IEPHA referente a guia de IPTU - 2º parcela</t>
  </si>
  <si>
    <t>Reembolso realizado pelo Termo de Parceria 50/2020 - IEPHA referente a guia de IPTU - 1º parcela</t>
  </si>
  <si>
    <t>Contratação de Músico instrumentista fagotista para tocar o primeiro fagote e compor o naipe das mateiras na gravação do video coletivo OSMG e CLMG, para APRESENTAÇÕES E ENSAIOS NO MÊS DE DEZEMBRO de 2021 e ensaios e apresentações no mês de FEVEREIRO DE 2022</t>
  </si>
  <si>
    <t>ISSQN referente a nota fiscal 2022/4 - Elisete Gomes Joaquim De Oliveira-ME</t>
  </si>
  <si>
    <t xml:space="preserve"> Helvécio Alves Izabel</t>
  </si>
  <si>
    <t>Translevar Mudanças Ltda</t>
  </si>
  <si>
    <t>DACTE</t>
  </si>
  <si>
    <t>Christoffer Produções Artísticas Ltda</t>
  </si>
  <si>
    <t>ISSQN referente a nota fiscal 203 - Christoffer Produções Artísticas Ltda</t>
  </si>
  <si>
    <t>Arte De Limpar Ltda</t>
  </si>
  <si>
    <t>RF Locação &amp; Filmagem Ltda</t>
  </si>
  <si>
    <t>ISSQN referente a nota fiscal 2022/7 -  RF Locação &amp; Filmagem Ltda</t>
  </si>
  <si>
    <t xml:space="preserve"> Murillo Correa E Cia Som E Luz Ltda</t>
  </si>
  <si>
    <t>ISSQN referente a nota fiscal 2022/14 -  Murillo Correa E Cia Som E Luz Ltda</t>
  </si>
  <si>
    <t>Oficina Cc Ltda</t>
  </si>
  <si>
    <t>ISSQN referente a nota fiscal 2022/1 - Oficina Cc Ltda</t>
  </si>
  <si>
    <t>Tarifa Bancária referente a transferência eletrônica pagamento fornecedor: Elisete Gomes Joaquim De Oliveira-ME - Processo 2678</t>
  </si>
  <si>
    <t>Tarifa Bancária referente a transferência eletrônica pagamento fornecedor:  Helvécio Alves Izabel - Processo 2846</t>
  </si>
  <si>
    <t>Tarifa Bancária referente a transferência eletrônica pagamento fornecedor: Translevar Mudanças Ltda - Processo 2907</t>
  </si>
  <si>
    <t>Tarifa Bancária referente a transferência eletrônica pagamento fornecedor: Hanna Mussi Dias 14995811737 - Processo 2695</t>
  </si>
  <si>
    <t>Tarifa Bancária referente a transferência eletrônica pagamento fornecedor: Christoffer Produções Artísticas Ltda - Processo 2996</t>
  </si>
  <si>
    <t>Tarifa Bancária referente a transferência eletrônica pagamento fornecedor: RF Locação &amp; Filmagem Ltda - Processo 2951</t>
  </si>
  <si>
    <t>Tarifa Bancária referente a transferência eletrônica pagamento fornecedor:  Murillo Correa E Cia Som E Luz Ltda - Processo 2953</t>
  </si>
  <si>
    <t>Tarifa Bancária referente a transferência eletrônica pagamento fornecedor:  Oficina Cc Ltda - Processo 2901</t>
  </si>
  <si>
    <t>Reembolso realizado pelo Termo de Parceria 50/2020 - IEPHA referente ao percentual (26,41% do valor total), Manutenção de hardware e redes, preventiva, preditiva e corretiva da sede da Appa - mês 02/2022</t>
  </si>
  <si>
    <t>Reembolso realizado pelo Termo de Parceria 50/2020 - IEPHA referente ao percentual (26,41% do valor total), Segurança Eletrônica da Sede da APPA - mês 02/2022</t>
  </si>
  <si>
    <t xml:space="preserve"> Carina Rafaela De Camargos Manoel</t>
  </si>
  <si>
    <t>ISSQN referente ao RPA 1614 - Carina Rafaela De Camargos Manoel</t>
  </si>
  <si>
    <t>INSS e INSS Patronal referente ao RPA 1574 - Carina Rafaela De Camargos Manoel</t>
  </si>
  <si>
    <t xml:space="preserve"> ISSQN referente ao RPA 1617 -  Victória Sofia Lúcio Silva</t>
  </si>
  <si>
    <t>IR referente ao RPA 1617 -  Victória Sofia Lúcio Silva</t>
  </si>
  <si>
    <t>INSS e INSS Patronal referente ao RPA 1617 -  Victória Sofia Lúcio Silva</t>
  </si>
  <si>
    <t>Instalação de ponto de internet para atender a transmissão online do Sarau Lírico que acontecerá no Grande Teatro Cemig Palácio das Artes. A velocidade de upload deve ser no mínimo de 35Mb. Duração: 1 dia - 25/02</t>
  </si>
  <si>
    <t>Jlx Telecomunicações Ltda</t>
  </si>
  <si>
    <t>2022/33</t>
  </si>
  <si>
    <t>ISSQN referente a nota fiscal 2022/33 - Jlx Telecomunicações Ltda</t>
  </si>
  <si>
    <t xml:space="preserve"> Luciana Campos Horta</t>
  </si>
  <si>
    <t>788.556.596-34</t>
  </si>
  <si>
    <t>ISSQN referente ao RPA 1618 -  Luciana Campos Horta</t>
  </si>
  <si>
    <t>IR referente ao RPA 1618 -  Luciana Campos Horta</t>
  </si>
  <si>
    <t>INSS e INSS Patronal referente ao RPA 1618 -  Luciana Campos Horta</t>
  </si>
  <si>
    <t>ISSQN referente ao RPA 1613 -  Leonam Lima Duarte</t>
  </si>
  <si>
    <t>INSS e INSS Patronal referente ao RPA 1613 -  Leonam Lima Duarte</t>
  </si>
  <si>
    <t>Dadier Aguilera Ramos</t>
  </si>
  <si>
    <t>2022/212</t>
  </si>
  <si>
    <t>INSS e INSS Patronal referente ao RPA 1605 - Waneska Torres De Oliveira Cezar</t>
  </si>
  <si>
    <t xml:space="preserve"> Flag Impressao Digital Ltda</t>
  </si>
  <si>
    <t>ISSQN referente a nota fiscal 2022/138 - Flag Impressao Digital Ltda</t>
  </si>
  <si>
    <t xml:space="preserve"> Adriano Maciel Canabrava</t>
  </si>
  <si>
    <t>ISSQN referente ao RPA 1616 -  Adriano Maciel Canabrava</t>
  </si>
  <si>
    <t>INSS e INSS Patronal referente ao RPA 1616 -  Adriano Maciel Canabrava</t>
  </si>
  <si>
    <t>IR Patronal referente ao RPA 1616 -  Adriano Maciel Canabrava</t>
  </si>
  <si>
    <t>2022/34</t>
  </si>
  <si>
    <t>ISSQN referente a nota fiscal 2022/34 - Jlx Telecomunicações Ltda</t>
  </si>
  <si>
    <t>Tarifa Bancária referente a transferência eletrônica pagamento fornecedor: Jlx Telecomunicações Ltda - Processo 2954</t>
  </si>
  <si>
    <t>Tarifa Bancária referente a transferência eletrônica pagamento fornecedor:  Leonam Lima Duarte - Processo 2738</t>
  </si>
  <si>
    <t>Tarifa Bancária referente a transferência eletrônica pagamento fornecedor:  Dadier Aguilera Ramos - Processo 2836</t>
  </si>
  <si>
    <t>Tarifa Bancária referente a transferência eletrônica pagamento fornecedor:  Waneska Torres De Oliveira Cezar - Processo 2837</t>
  </si>
  <si>
    <t>Tarifa Bancária referente a transferência eletrônica pagamento fornecedor:   Frederico Carlos Natalino 06822245618 - Processo 2942</t>
  </si>
  <si>
    <t>Tarifa Bancária referente a transferência eletrônica pagamento fornecedor:   Flag Impressao Digital Ltda - Processo 2748</t>
  </si>
  <si>
    <t>Tarifa Bancária referente a transferência eletrônica pagamento fornecedor:   Adriano Maciel Canabrava - Processo 2885</t>
  </si>
  <si>
    <t>Tarifa Bancária referente a transferência eletrônica pagamento fornecedor:  Jlx Telecomunicações Ltda- Processo 2890</t>
  </si>
  <si>
    <t>Tarifa Bancária referente a transferência eletrônica pagamento fornecedor:   Carina Rafaela De Camargos Manoel - Processo 2737</t>
  </si>
  <si>
    <t>Reembolso realizado pelo Termo de Parceria 50/2020 - IEPHA referente ao percentual (26,41% do valor total ) locação de PABX da sede da Appa referente ao mês 01/2022</t>
  </si>
  <si>
    <t>Túlio Márcio Carvalho De Rezende</t>
  </si>
  <si>
    <t>ISSQN referente ao RPA 1621 - Túlio Márcio Carvalho De Rezende</t>
  </si>
  <si>
    <t>IR referente ao RPA 1621 - Túlio Márcio Carvalho De Rezende</t>
  </si>
  <si>
    <t>INSS e INSS Patronal referente ao RPA 1621 - Túlio Márcio Carvalho De Rezende</t>
  </si>
  <si>
    <t>Sabrina Fernanda De Souza Rodrigues</t>
  </si>
  <si>
    <t>ISSQN referente ao RPA 1619 - Sabrina Fernanda De Souza Rodrigues</t>
  </si>
  <si>
    <t>IR referente ao RPA 1619 - Sabrina Fernanda De Souza Rodrigues</t>
  </si>
  <si>
    <t>INSS e INSS Patronal referente ao RPA 1619 - Sabrina Fernanda De Souza Rodrigues</t>
  </si>
  <si>
    <t>Laís Villela Penna</t>
  </si>
  <si>
    <t>ISSQN referente ao RPA 1612 - Laís Villela Penna</t>
  </si>
  <si>
    <t>IR referente ao RPA 1612 - Laís Villela Penna</t>
  </si>
  <si>
    <t>INSS e INSS Patronal referente ao RPA 1612 - Laís Villela Penna</t>
  </si>
  <si>
    <t>Debora Augusta Guimaraes</t>
  </si>
  <si>
    <t>ISSQN referente ao RPA 1620 - Debora Augusta Guimaraes</t>
  </si>
  <si>
    <t>INSS e INSS Patronal referente ao RPA 1620 - Debora Augusta Guimaraes</t>
  </si>
  <si>
    <t>Rafael Alves Soares De Souza 06638314661</t>
  </si>
  <si>
    <t>Elizangela Gonçalves Viana Santos 07357636666</t>
  </si>
  <si>
    <t>Grêmio Recreativo Escola De Samba Canto Da Alvorada</t>
  </si>
  <si>
    <t>ISSQN referente a nota fiscal 2022/3 - Grêmio Recreativo Escola De Samba Canto Da Alvorada</t>
  </si>
  <si>
    <t>Tarifa Bancária referente a transferência eletrônica pagamento fornecedor:   Laís Villela Penna - Processo 2810</t>
  </si>
  <si>
    <t>Tarifa Bancária referente a transferência eletrônica pagamento fornecedor:   Debora Augusta Guimaraesl - Processo 2904</t>
  </si>
  <si>
    <t>Tarifa Bancária referente a transferência eletrônica pagamento fornecedor:  Rafael Alves Soares De Souza 06638314661- Processo 2717</t>
  </si>
  <si>
    <t>Tarifa Bancária referente a transferência eletrônica pagamento fornecedor:   Elizangela Gonçalves Viana Santos 07357636666 - Processo 2873</t>
  </si>
  <si>
    <t>Tarifa Bancária referente a transferência eletrônica pagamento fornecedor:   TMS Telecomunicações Ltda - Processo 2667</t>
  </si>
  <si>
    <t>Tarifa Bancária referente a transferência eletrônica pagamento fornecedor:   Grêmio Recreativo Escola De Samba Canto Da Alvorada - Processo 2943</t>
  </si>
  <si>
    <t>Contratação de Técnico especializado em Iluminação para a montagem da formatura do teatro, onde irá juntamente com a direção ser responsável por luminárias convencionais ou automatizadas, bem como práticas e, controle de vídeos, além de cuidar das questões técnicas da montagem. O valor inclui diárias para 3 semanas de operação mais duas semanas acompanhamento de montagem.Local de atuação: CEFART e João Ceschiatti</t>
  </si>
  <si>
    <t>39.688.070/0001-10</t>
  </si>
  <si>
    <t xml:space="preserve">Reembolso parcial da conta do Termo de Parceria 50/2020 - IEPHA, referenteao uso de telefone fixo (mês 02/2022) - 26,41% do valor total </t>
  </si>
  <si>
    <t>Reembolso realizado pelo Termo de Parceria 50/2020 - IEPHA referente ao percentual (26,41% do valor total ) locação de impressoras da sede da Appa referente ao mês 02/2022</t>
  </si>
  <si>
    <t>13453964-MG</t>
  </si>
  <si>
    <t xml:space="preserve">25.298.969/0001-11 </t>
  </si>
  <si>
    <t>2022/492</t>
  </si>
  <si>
    <t>U05317</t>
  </si>
  <si>
    <t>Rf Locação &amp; Filmagem Ltda</t>
  </si>
  <si>
    <t>ISSQN referente a nota fiscal 2022/8 -  Rf Locação &amp; Filmagem Ltda</t>
  </si>
  <si>
    <t>Deslimites Prestação De Serviços Ltda</t>
  </si>
  <si>
    <t>ISSQN referente a Nota Fiscal 2022/12 - Deslimites Prestação De Serviços Ltda</t>
  </si>
  <si>
    <t>Tarifa Bancária referente a transferência eletrônica pagamento fornecedor:   Rf Locação &amp; Filmagem LtdaRf Locação &amp; Filmagem Ltda - Processo 2921</t>
  </si>
  <si>
    <t>Tarifa Bancária referente a transferência eletrônica pagamento fornecedor:   Deslimites Prestação De Serviços Ltda - Processo 2875</t>
  </si>
  <si>
    <t>Reembolso realizado pela conta dedo Termo de Parceria 50/2020 IEPHA referente a co-participação plano de saúde dos funcionários alocadas neste projeto.</t>
  </si>
  <si>
    <t>Reembolso realizado pela conta dedo Termo de Parceria 50/2020 IEPHA referente ao plano de saúde dos funcionários alocadas neste projeto.</t>
  </si>
  <si>
    <t>Reembolso realizado pela conta de projetos Anlgo Gold referente ao plano de saúde da funcionália alocada neste projeto</t>
  </si>
  <si>
    <t>2022/86797</t>
  </si>
  <si>
    <t>2022/81349</t>
  </si>
  <si>
    <t>Distribuidora Triângulo Ltda</t>
  </si>
  <si>
    <t>2022/1240</t>
  </si>
  <si>
    <t xml:space="preserve"> Michele Costa Bernardino 11479891681</t>
  </si>
  <si>
    <t>Aline Rafaella Lobão</t>
  </si>
  <si>
    <t>ISSQN referente ao RPA 1622 - Aline Rafaella Lobão</t>
  </si>
  <si>
    <t>IR referente ao RPA 1622 - Aline Rafaella Lobão</t>
  </si>
  <si>
    <t>INSS e INSS Patronal referente ao RPA 1622 - Aline Rafaella Lobão</t>
  </si>
  <si>
    <t>Tarifa Bancária referente a transferência eletrônica pagamento fornecedor:    Michele Costa Bernardino 11479891681- Processo 2753</t>
  </si>
  <si>
    <t>Tarifa Bancária referente a transferência eletrônica pagamento fornecedor:   Aline Rafaella Lobão- Processo 2926</t>
  </si>
  <si>
    <t>André Veloso Junqueira 04504427648</t>
  </si>
  <si>
    <t>2022/37</t>
  </si>
  <si>
    <t>ISSQN referente a nota fiscal 2022/37 -  Jlx Telecomunicações Ltda</t>
  </si>
  <si>
    <t>Tarifa Bancária referente a transferência eletrônica pagamento fornecedor:    André Veloso Junqueira 04504427648 - Processo 2847</t>
  </si>
  <si>
    <t>Tarifa Bancária referente a transferência eletrônica pagamento fornecedor:    André Veloso Junqueira 04504427648 - Processo 2861</t>
  </si>
  <si>
    <t>Tarifa Bancária referente a transferência eletrônica pagamento fornecedor:   Jlx Telecomunicações Ltda - Processo 2890</t>
  </si>
  <si>
    <t>Reembolso realizado pelo Termo de Parceria 50/2020 - IEPHA referente ao percentual (26,41% do valor total) consumo de energia elétrica da sede da Appa- mês 02/2022</t>
  </si>
  <si>
    <t>Thiago Jose Santos De Alcântara</t>
  </si>
  <si>
    <t>Tranferência Enviada</t>
  </si>
  <si>
    <t>INSS e INSS Patronal referente ao RPA 1632 - Thiago Jose Santos De Alcântara</t>
  </si>
  <si>
    <t>Contratação de maquiadora para a montagem da formatura do teatro. A maquiadora seráresponsável pela pintura do rosto ou do corpo dos atores e atrizes compondo oespetáculo, sendo um instrumento fundamental que auxilia na criação do personagem e na transformação estética dos atores.</t>
  </si>
  <si>
    <t>117.481.746-14</t>
  </si>
  <si>
    <t>Contratação de transporte para devolução das obras dos artistas Matheus Dias e João Angelini que integraram a exposição do Prêmio Décio Noviello. Lista com as obras e suas dimensões em anexo .</t>
  </si>
  <si>
    <t>39.893.623/0001-76</t>
  </si>
  <si>
    <t>21.606.420/0001-96</t>
  </si>
  <si>
    <t>Contratação do músico violonista Celso Faria para ensaios e apresentações dos Concertos da OSMG.</t>
  </si>
  <si>
    <t>Processo 3093 - Ouvex Tecnologia Para Compliance Ltda.</t>
  </si>
  <si>
    <t>Assinatura de licença de uso da plataforma Ouvex - canal de ouvidoria para a Appa.</t>
  </si>
  <si>
    <t>39.264.040/0001-86</t>
  </si>
  <si>
    <t>Contratação de direção de fotografiapara a montagem da formatura do teatro, dos alunos do turno da noite, turma de 2021. A diretora de fotografia seráresponsável emtraduzir para a tela (e palco) o que está descrito no roteiro</t>
  </si>
  <si>
    <t>02.825.596/0001-94</t>
  </si>
  <si>
    <t>Contratação de cenógrafa que será responsável por toda construção de todo cenário do espetáculo,incluindo o fornecimento de elementos cênicos de linguagem cinematográfica, contratação de equipe de cenógrafose montagem e desmontagem.</t>
  </si>
  <si>
    <t>38.263.023/0001-61</t>
  </si>
  <si>
    <t>Contratação de assistente de direção da segunda montagem da formatura do teatro, turma de 2021, turno da noite.</t>
  </si>
  <si>
    <t>42.501.499/0001-60</t>
  </si>
  <si>
    <t>Compra deCola de Contato - BrascoplastBisnaga com 75gQuantidade - 120 bisnagas</t>
  </si>
  <si>
    <t>05.297.520/0001-21</t>
  </si>
  <si>
    <t>Contratação do músico saxofonista Robson Saquett para ensaios e apresentações dos Concertos da OSMG.</t>
  </si>
  <si>
    <t>096.314.216-00</t>
  </si>
  <si>
    <t>Contratação de figurinista para a montagem da formatura do teatro.</t>
  </si>
  <si>
    <t>19.902.171/0001-34</t>
  </si>
  <si>
    <t xml:space="preserve">Profissional responsável por formular e apresentar um debate acerca do filme Os Anos de Chumbo, de Margarethe von Trotta (Die bleierne Zeit, ALE, 1981, 10 anos) </t>
  </si>
  <si>
    <t>343.715.268-88</t>
  </si>
  <si>
    <t>Serviço l Hospedagem para atender os convidados da equipe técnica artística da "Ópera Aleijadinho"</t>
  </si>
  <si>
    <t>Compra de roupas/uniforme para os montadores da OSMG, conforme descrição: Alexandre: calça 42 | camisa social manga cumprida nº 3 - 2 unidades de cada, cor preta Carlos: calça 42 | camisa social manga cumprida nº 4 - 2 unidades de cada - cor preta</t>
  </si>
  <si>
    <t xml:space="preserve">Reembolso realizado pela conta do projeto Manutenção das Atividades Corpo Artísticos - (15556-X), referente a Guia de GPS (autônomo) do mês 02/2022 </t>
  </si>
  <si>
    <t xml:space="preserve">Reembolso realizado pela conta do projeto Programa Artístico da Fundação Clóvis Salgado - (15845-3), referente a Guia de GPS (autônomo) do mês 02/2022 </t>
  </si>
  <si>
    <t>Reembolso realizado pela conta do projeto Complemento da Programação Artística da Fundação Clóvis Salgado - (15949-2), referente a Guia de GPS (autônomo) do mês 02/2022.</t>
  </si>
  <si>
    <t>Reembolso realizado pela conta do projeto  Cine Humberto Mauro - Programação e Fomento 2018 Pronac: 17.8919 - (16185,3), referente a Guia de GPS (autônomo) do mês 02/2022.</t>
  </si>
  <si>
    <t>Reembolso realizado pela conta do Termo de Parceria 50/2020 - Iepha referente ao pagamento da guia de GPS (autônomo) do mês 02/2022</t>
  </si>
  <si>
    <t>Reembolso realizado pela conta do Termo de Parceria 50/2020 - Iepha referente ao pagamento da guia de GPS (funcionários) INSS retido sob folha do mês 02/2022</t>
  </si>
  <si>
    <t>Reembolso realizado pelo Termo de Parceria 50/2020 - IEPHA referente ao percentual (26,41% do valor total ) consumo de água da sede da Appa- mês 02/2022</t>
  </si>
  <si>
    <t>Reembolso realizado pelo Termo de Parceria 50/2020 - IEPHA referente ao percentual 26,41% do valor total ) ao consumo de internet da Appa do mês 02/2022</t>
  </si>
  <si>
    <t>Reembolso realizado pela conta do projeto Programa de Artes Visuais da Fundação Clóvis Salgado Pronac: 17.7912- (16375-9), referente a Guia de GPS (autônomo) do mês 02/2022.</t>
  </si>
  <si>
    <t>Reembolso realizado pela conta do projeto Cinquentenário Operístico da Fundação Clóvis Salgado - Pronac: 20.3579 - (16376-7), Guia de GPS (autônomo) do mês 02/2022</t>
  </si>
  <si>
    <t>Reembolso realizado pela conta do projeto Requalrevanglogold - (16391-0), referente a Guia de GPS (autônomo) do mês 02/2022</t>
  </si>
  <si>
    <t>Reembolso realizado pela conta do projeto Requalrevanglogold - (16476-3), referente a Guia de GPS (autônomo) do mês 02/2022</t>
  </si>
  <si>
    <t>Reembolso realizado pela conta Área Meio - Projetos Meta do Contrato de Gestão  (16517-4) referente ao pagamento da guia de GPS (autônomo) do mês 02/2022</t>
  </si>
  <si>
    <t>Reembolso realizado pela conta Projeto Modernismo  (16821-1) referente ao pagamento da guia de GPS (autônomo) do mês 02/2022</t>
  </si>
  <si>
    <t>Wagner Sander Delmondes</t>
  </si>
  <si>
    <t>ISSQN referente ao RPA 1636 - Wagner Sander Delmondes</t>
  </si>
  <si>
    <t>INSS e INSS Patronal referente ao RPA 1589 - Alberto Gusmão Da Silva</t>
  </si>
  <si>
    <t>INSS Patronal referente a folha do mês 02/2022</t>
  </si>
  <si>
    <t xml:space="preserve"> Camila Lacerda Lopes 07900541675</t>
  </si>
  <si>
    <t>Compra de 3kg (três quilos) de café solúvel para tingimento de tecido.</t>
  </si>
  <si>
    <t>064.619.606-51</t>
  </si>
  <si>
    <t xml:space="preserve">Contratação de Iluminadora para a montagem da formatura do teatro. </t>
  </si>
  <si>
    <t>Contratação de 4 profissionais aderecistas para Ópera Aleijadinho.-&amp;gt; Período do trabalho - Dia 23/03 a 29/04/2022</t>
  </si>
  <si>
    <t>Contratação de transfer com receptivo no aeroporto para solista pianista francês convidado Théo Fouchenneret, Aeroporto confins/ hotel Cheverny /aeroporto de confins.</t>
  </si>
  <si>
    <t>35.652.093/0001-13</t>
  </si>
  <si>
    <t>IR retido em folha do mês 12/2021</t>
  </si>
  <si>
    <t>IR retido férias - Montador</t>
  </si>
  <si>
    <t>DARF/PCC referente a nota fiscal 2270 - Ongsys Sistema Ltda</t>
  </si>
  <si>
    <t>Água e Esgoto da Sede da Appa mês 02/2022</t>
  </si>
  <si>
    <t>001.22.13444223-4</t>
  </si>
  <si>
    <t>13615453-MG</t>
  </si>
  <si>
    <t>IR referente a conta fiscal 2022/81349 - Unimed Cooperativa Médica</t>
  </si>
  <si>
    <t>PCC referente a conta fiscal 2022/81349 - Unimed Cooperativa Médica</t>
  </si>
  <si>
    <t>Tarifa Bancária referente a transferência eletrônica pagamento fornecedor:    Camila Lacerda Lopes 07900541675 - Processo 2808</t>
  </si>
  <si>
    <t>DARF/IR referente ao RPA 1562 - Rodrigo César Gomes de Freitas</t>
  </si>
  <si>
    <t>Reembolso realizado pela conta da Appa referente ao juros guia de PCC referente a nota fiscal 2270 - Ongsys Sistema Ltda</t>
  </si>
  <si>
    <t>2022/22555</t>
  </si>
  <si>
    <t>000.002.103</t>
  </si>
  <si>
    <t>2022/40862</t>
  </si>
  <si>
    <t>Artes Gráficas Formato Ltda</t>
  </si>
  <si>
    <t>Fabricio Eduardo De Brito</t>
  </si>
  <si>
    <t>Analista Financeiro Pleno , referente ao mês 12/2021</t>
  </si>
  <si>
    <t xml:space="preserve">Processo 3094 - 
Instituto Integridade E Compliance Consultoria De Negocios Ltda
</t>
  </si>
  <si>
    <t>25.275.483/0001-68</t>
  </si>
  <si>
    <t>Contratação de prestação de serviços especializados de desenvolvimento gerencial para a implantação dos mecanismos de integridade.</t>
  </si>
  <si>
    <t>2022/73</t>
  </si>
  <si>
    <t>ISSQN referente a nota fiscal 2022/73 -  Softwares De Gestão Ltda</t>
  </si>
  <si>
    <t>Luciana Candida Gomes 90489179649</t>
  </si>
  <si>
    <t>Tarifa Bancária referente a transferência eletrônica pagamento fornecedor:    Luciana Candida Gomes 90489179649 - Processo 2857</t>
  </si>
  <si>
    <t>ISSQN referente ao RPA 1642 - Bheatriz Alexsandra Rocha De Souza</t>
  </si>
  <si>
    <t>INSS e INSS Patronal referente ao RPA 1642 - Bheatriz Alexsandra Rocha De Souza</t>
  </si>
  <si>
    <t>Magalu Pagamentos Ltda</t>
  </si>
  <si>
    <t>Tarifa Bancária referente a transferência eletrônica pagamento fornecedor:    Bheatriz Alexsandra Rocha De Souza - Processo 2739</t>
  </si>
  <si>
    <t>02 Serviço l Compras de passagens aéreas nacionais com bagagem despachada, para convidados da equipe técnica artística do espetáculo</t>
  </si>
  <si>
    <t>Processo 3187 - Javali Do Mar Experimentações Artisticas Ltda</t>
  </si>
  <si>
    <t>:Contratação de profissional responsável pela Coordenação de logística, produção e atividades artísticas e formativas do 24º FestCurtasBH, como shows, exposições, oficinas, entre outros eventos.</t>
  </si>
  <si>
    <t>41.521.334/0001-98</t>
  </si>
  <si>
    <t xml:space="preserve">Processo 3185 - Rosa De Areia Produções Ltda </t>
  </si>
  <si>
    <t>Contratação de profissional responsável pela Produção de Programação e Cópias do 24º FestCurtasBH, desenvolvendo trabalhos relativos ao suporte na criação e definição de programação de filmes, gestão e tráfego de cópias para exibição, e suporte intensivo durante os processos de inscrição e seleção das obras no festival.</t>
  </si>
  <si>
    <t>26.306.390/0001-16</t>
  </si>
  <si>
    <t>Contratação de 03 Diárias de hotel com café da manhã para solista pianista convidado Théo Fouchenneret, no período de 28 à 31 de março de 2022.</t>
  </si>
  <si>
    <t xml:space="preserve">Contratação de prestação de serviços de desenvolvimento de sistemas e soluções para plataformas desktop/win, web e mobile, com foco na transformação digital da APPA. Aprestação de serviços será de reescrever o sistema nos modelos de desenvolvimento atuais, corrigindo os erros e evoluindo automações no sistema. </t>
  </si>
  <si>
    <t>03.594.723/0001-54</t>
  </si>
  <si>
    <t>Repasse restante  referente a parcela de fevereiro 2022</t>
  </si>
  <si>
    <t>Vg Frames Ltda</t>
  </si>
  <si>
    <t>Raquel Alves Goncalves 04961486647</t>
  </si>
  <si>
    <t>Tarifa Bancária referente a transferência eletrônica pagamento fornecedor:   Raquel Alves Goncalves 04961486647 - Processo 2932</t>
  </si>
  <si>
    <t>Rodrigo Ferreira Do Nascimento Ltda</t>
  </si>
  <si>
    <t>000.016.207</t>
  </si>
  <si>
    <t>Contratação de fornecedor de serviços administrativo para a Fundação Clóvis Salgado.</t>
  </si>
  <si>
    <t>Maria Izabel Correa De Oliveira 06085003641</t>
  </si>
  <si>
    <t>Contratação de um designer gráficovcom experiência comprovada na área</t>
  </si>
  <si>
    <t>Angela Peres De Oliveira</t>
  </si>
  <si>
    <t>ISSQN referente ao RPA 1514 - Angela Peres De Oliveira</t>
  </si>
  <si>
    <t>Cofins referente aos rendimentos de aplicações financeiras do mês 12/2021</t>
  </si>
  <si>
    <t xml:space="preserve">0222027167090
</t>
  </si>
  <si>
    <t>Aquisição de materiais para atender primeiros socorros e manutenção física dos bailarinos</t>
  </si>
  <si>
    <t xml:space="preserve">Drogaria Araújo S.a
</t>
  </si>
  <si>
    <t>Reembolso a conta do Contrato de Gestão 05/2019 referente ao pagamento INSS e INSS Patronal referente ao RPA 1514 - Angela Peres De Oliveira</t>
  </si>
  <si>
    <t>Ccj Comercio Importacao E Exportacao Ltda</t>
  </si>
  <si>
    <t>Aquisição de materiais para atender primeiros socorros e manutenção física dos bailarinos.01 pote de creme de massagem ( Neutro)- 01 pacote de agulhas BK (pacote com 1000 agulhas)- 02 esparadrapos grande da cor beje</t>
  </si>
  <si>
    <t>18.587.125/0001-25</t>
  </si>
  <si>
    <t>Compra de material para pesquisa e criação para o processo de Intervenção da Cia de Dança</t>
  </si>
  <si>
    <t xml:space="preserve"> Rh Papelaria Ltda</t>
  </si>
  <si>
    <t>Cofins referente aos rendimentos de aplicações financeiras do mês 01/2022</t>
  </si>
  <si>
    <t>Direito de Exibição do Filme:"Ficções Sônicas", de Grace Passô (19', 2020)</t>
  </si>
  <si>
    <t>Grace Anne Paes De Souza</t>
  </si>
  <si>
    <t>054.402.106-10</t>
  </si>
  <si>
    <t>COFINS ref. 12/2021</t>
  </si>
  <si>
    <t>Revisor de textos</t>
  </si>
  <si>
    <t>Rodrigo César Gomes De Freitas</t>
  </si>
  <si>
    <t>5739 - 9820</t>
  </si>
  <si>
    <t>Via S.a</t>
  </si>
  <si>
    <t xml:space="preserve"> DVD CINEMA EM DOBRO PROCURA-SE SUSAN DESESPERADAMENTE E LUA-DE-MEL A TRES</t>
  </si>
  <si>
    <t>Desenvolvimento, criação de layout, gerenciamento e adaptação constante de Plataforma Virtual</t>
  </si>
  <si>
    <t>Leben 108 Produtora De Filmes Ltda</t>
  </si>
  <si>
    <t>12.709.052/0001-10</t>
  </si>
  <si>
    <t>Serviço de Produção de Programação para atender as demandas relativas às mostras de cinema produzidas no Cine Humberto Mauro - FCS durante o período de vigência do contrato</t>
  </si>
  <si>
    <t>IOF a Recolher ref. Pagamento via Câmbio - Park Circus Limited</t>
  </si>
  <si>
    <t>Processo 2909 - Direitos de exibição do filme Filhas do Pó (Daughters of the Dust, de Julie Dash Estados Unidos, 1991) - Câmbio</t>
  </si>
  <si>
    <t>Tarifa Envio OPE ref. Pagamento via Câmbio - Park Circus Limited</t>
  </si>
  <si>
    <t>IRRF ref. Pagamento via Câmbio - Park Circus Limited</t>
  </si>
  <si>
    <t xml:space="preserve"> Park Circus Limited</t>
  </si>
  <si>
    <t>Câmbio</t>
  </si>
  <si>
    <t>Invoice</t>
  </si>
  <si>
    <t>COFINS ref. 01/2022</t>
  </si>
  <si>
    <t>Compra de passagens aéreas nacionais, para atender as necessidades dos solistas convidados e equipe de criação do espetáculo, considerando bagagem despachada</t>
  </si>
  <si>
    <t>Contratação de pianista acompanhador para as aulas de técnica clássica dos bailarinos da Cia de Dança Palácio da Artes, sendo 12 aulas mensais em um período de 3 meses, com horários a serem definidos pela direção da companhia.</t>
  </si>
  <si>
    <t>Ana Caroline De Almeida 02697779469</t>
  </si>
  <si>
    <t>Aluguel da partitura e material de orquestra completo das obras Momoprecoce e Magnificat Alleluia, de Heitor Villa-Lobos para os Concerto Sinfônica ao Meio Dia e Sinfônica em Concerto dias 15 e 16/03/22 no Grande Teatro Cemig Palácio das Artes.</t>
  </si>
  <si>
    <t>Compra de tecido: 1 metro deSuedine e 1 metro deVelusoft</t>
  </si>
  <si>
    <t>Contratação de serviço de contramestra para modelagem e confecção de figurinos.</t>
  </si>
  <si>
    <t>Contratação de costureira para confecção de figurinos da ópera conforme croquis, modelagens e orientações do figurinista e assistente de figurinos</t>
  </si>
  <si>
    <t>34.723.962/0001-90</t>
  </si>
  <si>
    <t>Contratação de profissional para apoio as atividades no setor de Contratos.</t>
  </si>
  <si>
    <t>Alexander Teixeira Souza</t>
  </si>
  <si>
    <t>120.710.936-31</t>
  </si>
  <si>
    <t>Contratação de designer gráfico para atuação na divulgação das atividades da Fundação Clóvis Salgado - ano 2021.</t>
  </si>
  <si>
    <t>Cintya Juliana Souza Santos Dias</t>
  </si>
  <si>
    <t>Sinara Araujo Costa Sociedade Individual De Advocacia</t>
  </si>
  <si>
    <t>Marcela De Oliveira Rodrigues 08714767627</t>
  </si>
  <si>
    <t>Contratação de Apoio na preparação de documentos e serviços de apoio administrativo para promoção</t>
  </si>
  <si>
    <t>Heider Carlo Rezende 07184223683</t>
  </si>
  <si>
    <t xml:space="preserve">Arte Livre Produção E Comunicação Ltda
</t>
  </si>
  <si>
    <t>04.161.336/0001-97</t>
  </si>
  <si>
    <t xml:space="preserve">0222007867003
</t>
  </si>
  <si>
    <t xml:space="preserve">
Neoway Tecnologia Integrada Assessoria E Negócios S.a</t>
  </si>
  <si>
    <t xml:space="preserve">Contratação de plataforma digital para utilização no setor de Compliance - </t>
  </si>
  <si>
    <t>05.337.875/0001-05</t>
  </si>
  <si>
    <t>Pagar.me Instituição De Pagamentos S.a</t>
  </si>
  <si>
    <t>Reembolso a conta do Contrato de Gestão referente ao pagamento da guia de INSS e INSS Patronal referente ao RPA 1466 - Cintya Juliana Souza Santos Dias</t>
  </si>
  <si>
    <t>Reembolso a conta do Contrato de Gestão referente ao pagamento da guia de INSS e INSS Patronal referente ao RPA 1500 - Cleber José Leão</t>
  </si>
  <si>
    <t>Compra de tecido: 12 metros de tecido sigma</t>
  </si>
  <si>
    <t>Compra de tecido: 8 metros de tecido rústico</t>
  </si>
  <si>
    <t>07.335.612/0001-84</t>
  </si>
  <si>
    <t>13.105.743/0001-78</t>
  </si>
  <si>
    <t>Compra de 31 metros de borracha EVA</t>
  </si>
  <si>
    <t>Compra de botas de segurança e luvas de proteção, conforme fotos em anexo.2 pares de botas: número 40 | número 44 e 2 pares de luvas:tamanho G - PU preta.</t>
  </si>
  <si>
    <t>36.837.413/0001-72</t>
  </si>
  <si>
    <t>Contratação de transfer para Marcelo Marques e Angélica de CarvalhoMarcelo Marques da SilveiraAeroporto x hotel Cheverny: 27/03 desembarque 11:40hs - voo G3 2054Angelica Maria Alves de Carvalho1) Aeroporto x hotel Cheverny: 28/03 desembarque 17:35hs - voo LA 38202) Hotel Cheverny x hotel: 02/04 embarque 08:10hs (combinar com a convidada horário de saída do hotel)</t>
  </si>
  <si>
    <t>23.444.923/0001-38</t>
  </si>
  <si>
    <t>Reembolso referente ao pagamento indevido pela conta do Contrato de Gestão - DARF/IR referente ao RPA 1562 - Rodrigo César Gomes de Freitas</t>
  </si>
  <si>
    <t>Reembolso realizado pelo Termo de Parceria 50/2020 - IEPHA referente ao percentual (26,41% do valor total), referente ao telefone móvel da sede da Appa- mês 02/2022</t>
  </si>
  <si>
    <t>Reembolso realizado pelo Termo de Parceria 50/2020 - IEPHA referente ao percentual (26,41% do valor total ) locação de PABX da sede da Appa referente ao mês 02/2022</t>
  </si>
  <si>
    <t>Transferência para conta Reserva referente aos rendimentos do mês 02/2022</t>
  </si>
  <si>
    <t>PIS referente a folha 02/2022</t>
  </si>
  <si>
    <t>Cofins referente aos rendimentos de aplicações financeiras de 02/2022</t>
  </si>
  <si>
    <t>001.22.15469827-7</t>
  </si>
  <si>
    <t>03.250.858/0001-00</t>
  </si>
  <si>
    <t>Compra de 4 rolos de fio de malha vermelho.</t>
  </si>
  <si>
    <t>Coordenação Administrativo-Financeira - Cinquentenário Operístico (16376-7)</t>
  </si>
  <si>
    <t xml:space="preserve">Associação Pró-Cultura e Promoção das Artes </t>
  </si>
  <si>
    <t>Coordenação Geral - Complemento da Programação Artística (15949-2)</t>
  </si>
  <si>
    <t>Coordenação Técnica - Complemento da Programação Artística (15949-2)</t>
  </si>
  <si>
    <t>Coordenação Financeira - Complemento da Programação Artística (15949-2)</t>
  </si>
  <si>
    <t>Coordenação Geral - Programa de Artes Visuais (16375-9)</t>
  </si>
  <si>
    <t>Coordenação Técnica - Programa de Artes Visuais (16375-9)</t>
  </si>
  <si>
    <t>Reembolso recebido referente juros/multa do pagamento em atraso do DRAM 0222024549766 - ISSQN da NF 20211736 - Artes Gráficas</t>
  </si>
  <si>
    <t>Reembolso recebido referente pagamento triplicado do DRAM 0221253695401, em 09/12/2021 - ISSQN da NF 202147 - Arco Cultural</t>
  </si>
  <si>
    <t>17.583.196/0001-97</t>
  </si>
  <si>
    <t>Compra de 16 metros de crepe italiano</t>
  </si>
  <si>
    <t>07.833.383/0001-28</t>
  </si>
  <si>
    <t>44.536.923/0001-38</t>
  </si>
  <si>
    <t>Sociedade Total De Comercio Ltda</t>
  </si>
  <si>
    <t xml:space="preserve"> 000.013.120</t>
  </si>
  <si>
    <t>Tarifa Bancária referente a transferência eletrônica pagamento fornecedor:  Sociedade Total De Comercio Ltda - Processo 3260</t>
  </si>
  <si>
    <t>Tarifa Bancária referente a transferência eletrônica pagamento fornecedor:   BH Notebooks Ltda - Processo 2842</t>
  </si>
  <si>
    <t>Contratação de professor para ministrar o Curso Complementar "Novas Mídias na Arte Contemporânea - Módulo II"na modalidade virtual.</t>
  </si>
  <si>
    <t>Paola Samora De Faria Campos 08817435694</t>
  </si>
  <si>
    <t>Paulo Henrique Monferrari 06758087662</t>
  </si>
  <si>
    <t>43.213.819/0001-40</t>
  </si>
  <si>
    <t>Arte Livre Produção E Comunicação Ltda</t>
  </si>
  <si>
    <t>Tarifa Bancária referente a transferência eletrônica pagamento fornecedor: Arco Cultural Ltda - Processo 1134</t>
  </si>
  <si>
    <t>Contratação de professor para ministrar o CursoComplementar"Corpo Móvel: experiências em movimento - módulo II"na modalidadePresencial.</t>
  </si>
  <si>
    <t>Contratação de seguro saúde e contrata acidentes para artistas e equipe de criação artística que vem de fora de BH</t>
  </si>
  <si>
    <t>Contratação de Professor para ministrar o Curso Complementar "Estudos de Imagens -Mod. II - Módulo II"na modalidade virtual.</t>
  </si>
  <si>
    <t>ISSQN - ARTES GRAFICAS FORMATO LTDA NF: 20211736</t>
  </si>
  <si>
    <t>Reembolso recebido referente juros/multa do pagamento em atraso do DRAM 0222025532069 - ISSQN da NF 2021163 - DOLABELLA ADVOCACIA</t>
  </si>
  <si>
    <t>Bd Servicos E Consultoria Ltda</t>
  </si>
  <si>
    <t>Thales Henrique Vieira Sabino 09440374616</t>
  </si>
  <si>
    <t>Cleber Jose Leao De Almeida 01199122602</t>
  </si>
  <si>
    <t>ISSQN - DOLABELLA ADVOCACIA E CONSULTORIA NF: 2021163</t>
  </si>
  <si>
    <t>Maria Luiza Luz Alves Mendonca 14841323600</t>
  </si>
  <si>
    <t>Tarifa DOC/TED Eletrônico</t>
  </si>
  <si>
    <t>ISSQN - CINTYA JULIANA SOUZA SANTOS DIAS NF: 1515</t>
  </si>
  <si>
    <t>ISSQN - ALEXANDRE TEIXEIRA SOUZA NF: 1516</t>
  </si>
  <si>
    <t>ISSQN - ARTELIVRE PRODUCAO E COMUNICACAO LTDA NF: 20222</t>
  </si>
  <si>
    <t>ISSQN - SINARA ARAUJO COSTA SOCIEDADE INDIVIDUAL DE ADVOCACIA NF: 20221</t>
  </si>
  <si>
    <t xml:space="preserve"> Apoio na Produção Executiva e supervisão de ações e projetos da APPA</t>
  </si>
  <si>
    <t>ARREDA PRODUCOES E EVENTOS LTDA</t>
  </si>
  <si>
    <t>Cleber Jesus Da Silva 10058348654</t>
  </si>
  <si>
    <t>42.848.212/0001-73</t>
  </si>
  <si>
    <t xml:space="preserve">Reembolso a conta do Contrato de Gestão 05/2019 referente ao pagamento  INSS e INSS Patronal ref. RPA 1515 - CINTYA JULIANA SOUZA SANTOS DIAS </t>
  </si>
  <si>
    <t xml:space="preserve">Reembolso a conta do Contrato de Gestão 05/2019 referente ao pagamento INSS e INSS Patronal ref. RPA 1516 - ALEXANDER TEIXEIRA SOUZA </t>
  </si>
  <si>
    <t xml:space="preserve">IRRF ref. RPA 1515 - CINTYA JULIANA SOUZA SANTOS DIAS </t>
  </si>
  <si>
    <t xml:space="preserve">IRRF ref. RPA 1516 - ALEXANDER TEIXEIRA SOUZA </t>
  </si>
  <si>
    <t>Laryssa Pereira Martins</t>
  </si>
  <si>
    <t>Inventário Produções Artísticas E Culturais Ltda</t>
  </si>
  <si>
    <t xml:space="preserve"> Assistente de Projetos na assessoria em
planejamento e implantação de projetos para a FCS</t>
  </si>
  <si>
    <t>JULIANA DE SOUSA MARTINS PEREIRA</t>
  </si>
  <si>
    <t>059.290.536-50</t>
  </si>
  <si>
    <t xml:space="preserve">Produtor Cultural - contratação de profissional na área de produção cultural, </t>
  </si>
  <si>
    <t>Assistente de Projetos na assessoria em
planejamento e implantação de projetos da FCS</t>
  </si>
  <si>
    <t>ALLAN FERREIRA CALISTO</t>
  </si>
  <si>
    <t>064.282.066-09</t>
  </si>
  <si>
    <t>Assessoria de Imprensa</t>
  </si>
  <si>
    <t>Movimento Comunicacao Integrada Ltda</t>
  </si>
  <si>
    <t>ISSQN - CHRISTOFFER PRODUCOES ARTISTICAS LTDA NF: 199</t>
  </si>
  <si>
    <t>ISSQN - MICHELLE APARECIDA DA SILVA BARRETO NF: 1474</t>
  </si>
  <si>
    <t>ISSQN - EWELYN FELICE DA SILVA NF: 1469</t>
  </si>
  <si>
    <t>ISSQN - JULIANA DE SOUSA MARTINS PEREIRA NF: 1479</t>
  </si>
  <si>
    <t>ISSQN - RENATA FONSECA FELICISSIMO 10665267614 NF: 202112</t>
  </si>
  <si>
    <t>ISSQN - RAFAEL BRUNO DE OLIVEIRA FERREIRA EIRELI NF: 202120</t>
  </si>
  <si>
    <t>ISSQN - TETRIS LAB PROJETOS LTDA NF: 20219</t>
  </si>
  <si>
    <t>ISSQN - CAMERA WORK PRODUCOES FOTOGRAFICAS E CULTURAIS LTDA NF: 202125</t>
  </si>
  <si>
    <t>ISSQN - ALLAN FERREIRA CALISTO NF: 1480</t>
  </si>
  <si>
    <t>ISSQN - HATARI FILMES LTDA NF: 202138</t>
  </si>
  <si>
    <t>ISSQN - PONTA DE ANZOL PRODUCOES LTDA NF: 202156</t>
  </si>
  <si>
    <t>ISSQN - PONTA DE ANZOL PRODUCOES LTDA NF: 202161</t>
  </si>
  <si>
    <t>ISSQN - MYLENE YOUSSEF A VIEIRA - PRODUCOES E EVENTOS NF: 202128</t>
  </si>
  <si>
    <t>ISSQN - PONTA DE ANZOL PRODUCOES LTDA NF: 202151</t>
  </si>
  <si>
    <t>ISSQN - GIRASSOLINA PRODUCOES LTDA NF: 202152</t>
  </si>
  <si>
    <t>ISSQN - MOVIMENTO COMUNICACAO INTEGRADA LTDA NF: 2021117</t>
  </si>
  <si>
    <t>contratação de profissional para a organização e suporte para as demandas relativas à logística de produção, das mostras especiais de cinema produzidas ao longo do ano de 2021 no Cine Humberto Mauro - FCS, acompanhando as execuções das mostras em todas as etapas de realização,incluindo finalização e pós-evento.</t>
  </si>
  <si>
    <t>Girassolina Produções Ltda</t>
  </si>
  <si>
    <t>Contratação de assistente de produção para atuar durante as etapas de pré-produção, produção e pós produção das exposições de artes visuais que ocorrerão ao longo do ano de 2021 nos espaços expositivos da FCSs</t>
  </si>
  <si>
    <t>Renata Fonseca Felicissimo 10665267614</t>
  </si>
  <si>
    <t>Contratação de fornecedor que execute ou disponibilize profissional especialista em TI capacitado no sistema Moodle e outras ferramentas de ensino a distância para auxiliar os professores do Cefart na gestão das aulas virtuais; elaboração de relatórios</t>
  </si>
  <si>
    <t>Programação e autoração pra atender as demandas relativas às mostras especiais de cinema produzidas ao longo do ano de 2021 no Cine Humberto Mauro - FCS. As mostras especiais de cinema compõem a programação anual do Cine Humberto Mauro - FCS</t>
  </si>
  <si>
    <t xml:space="preserve">Montador do Cefart -Atividades: Atender as demandas diárias das montagens de sala de aula para os professores, como: montagem de equipamentos, mesas de som, </t>
  </si>
  <si>
    <t>Eduardo Muller Carvalho dos Reis 09247861675</t>
  </si>
  <si>
    <t>TETRIS LAB PROJETOS LTDA</t>
  </si>
  <si>
    <t>24.711.232/0001-16</t>
  </si>
  <si>
    <t>Coordenação de projetos educativos de arte e educação integrados do Cefart</t>
  </si>
  <si>
    <t>Reembolso ref. INSS e INSS Patronal do RPA 1474 - MICHELLE APARECIDA DA SILVA BARRETO</t>
  </si>
  <si>
    <t>Reembolso ref. INSS e INSS Patronal do RPA 1480 - ALLAN FERREIRA CALISTO</t>
  </si>
  <si>
    <t>Reembolso ref. INSS e INSS Patronal do RPA 1469 - EWELYN FELICE DA SILVA</t>
  </si>
  <si>
    <t>Reembolso ref. INSS e INSS Patronal do RPA 1479 - JULIANA DE SOUSA MARTINS PEREIRA</t>
  </si>
  <si>
    <t>IRRF ref. RPA 1480 - ALLAN FERREIRA CALISTO</t>
  </si>
  <si>
    <t>IRRF ref. RPA 1469 - EWELYN FELICE DA SILVA</t>
  </si>
  <si>
    <t>IRRF ref. RPA 1479 - JULIANA DE SOUSA MARTINS PEREIRA</t>
  </si>
  <si>
    <t>IRRF REF. NFS 2021117 - MOVIMENTO COMUNICACAO</t>
  </si>
  <si>
    <t>PCC REF. NFS 2021117 - MOVIMENTO COMUNICACAO</t>
  </si>
  <si>
    <t>Yannick Falisse</t>
  </si>
  <si>
    <t>Compra de 4 novelos de linha vermelha para bordado e 2 agulhas de costura nº 20. A linha é da espessura que caiba na agulha</t>
  </si>
  <si>
    <t>18.060.525/0001-88</t>
  </si>
  <si>
    <t>Compra de 1 pacote de carvão .</t>
  </si>
  <si>
    <t>Suporte de TVs - Criação de projeto e detalhamento técnico</t>
  </si>
  <si>
    <t>Objeto Design Ltda</t>
  </si>
  <si>
    <t>07.069.725/0001-85</t>
  </si>
  <si>
    <t>Romano Comunicação Ltda.</t>
  </si>
  <si>
    <t xml:space="preserve">Contratação de agência de comunicação para gestão das mídias digitais </t>
  </si>
  <si>
    <t>36.368.476/0001-27</t>
  </si>
  <si>
    <t>Contratação de serviço profissional para filmagem e transmissão do Sinfônica em Concerto no Grande Teatro Cemig Palácio das Artes dias 15 e 16/02. Aditivo</t>
  </si>
  <si>
    <t xml:space="preserve">Compra de materias diversos </t>
  </si>
  <si>
    <t>Compra de 600 gramas de búzios que serão usados nos adereços dos figurinos.</t>
  </si>
  <si>
    <t>Contratação de seguro, na modalidade “All Risks”, para proteção do acervo integrado à exposição “Órbita Gráfica” a ser apresentada na Galeria Genesco Murta</t>
  </si>
  <si>
    <t>61.550.141/0001-72</t>
  </si>
  <si>
    <t>Serviço de produtor assistente para execução do projeto na cidade de Ouro Preto com acompanhamento de logística, intermediação com as instituições públicas e igrejas locais, solicitação de alvará na prefeitura e planejamento de fechamento de ruas na cidade de Ouro Preto</t>
  </si>
  <si>
    <t>074.006.216-61</t>
  </si>
  <si>
    <t>Contratação de Mar de Oliveira, cantor solista para interpretar o personagem Manuel Francisco na Ópera Aleijadinho.</t>
  </si>
  <si>
    <t>Contratação de Camila Amaral profissional capacitada com expertise em leitura de partituras para produção de legendas das partituras e também para operar as legendas dos espetáculos</t>
  </si>
  <si>
    <t>Contratação de Ney Bonfante, profissional para desenho de iluminação cênica do espetáculo e criação de rider técnico de luz para o espetáculo, acompanhamento de montagem de iluminação durante os ensaios e apresentação dos espetáculos.</t>
  </si>
  <si>
    <t>55.067.201/0001-06</t>
  </si>
  <si>
    <t>Serviço de assessoria de imprensa nacional, para trabalhar a comunicação em estados fora de MG nas ações do projeto da ópera com apresentações previstas na cidade de Ouro Preto e Belo Horizonte, para levantamento de informações sobre todas as iniciativas a serem divulgadas para estruturação de plano de comunicação/divulgação.</t>
  </si>
  <si>
    <t>68.328.061/0001-16</t>
  </si>
  <si>
    <t>Contratação de serviço de filmagem para gravação de conteúdo artístico que será usado no espetáculo. Equipe de filmagem para gravação de imagens de bailarinos, coro e orquestra, para aplicar o conteúdo de imagens na plasticidade do espetáculo. A equipe será dirigida pela Curadora artística de imagens Angélica de Carvalho a filmagem irá acontecer em local externo no CTP Marzagão e Palácio das Artes.</t>
  </si>
  <si>
    <t>31.375.606/0001-35</t>
  </si>
  <si>
    <t>Impressão de banner Formato: 100 x 150 cmcom acabamento com cabo de madeira,ilhóse cordão</t>
  </si>
  <si>
    <t xml:space="preserve"> 000.013.138</t>
  </si>
  <si>
    <t>Mercantil Bastos Ltda</t>
  </si>
  <si>
    <t>Javali Do Mar Experimentações Artisticas Ltda</t>
  </si>
  <si>
    <t>ISSQN referente a nota fiscal 2022/6  - Javali Do Mar Experimentações Artisticas Ltda</t>
  </si>
  <si>
    <t>Maria De Lourdes T Herrmann - ME</t>
  </si>
  <si>
    <t>ISSQN referente a nota fiscal 2022/3 -  Maria De Lourdes T Herrmann - ME</t>
  </si>
  <si>
    <t>Tarifa Bancária referente a transferência eletrônica pagamento fornecedor: Javali Do Mar Experimentações Artisticas Ltda - Processo 1486</t>
  </si>
  <si>
    <t>Tarifa Bancária referente a transferência eletrônica pagamento fornecedor: Sociedade Total De Comercio Ltda - Processo 3282</t>
  </si>
  <si>
    <t>Tarifa Bancária referente a transferência eletrônica pagamento fornecedor:  Maria De Lourdes T Herrmann - ME - Processo 2998</t>
  </si>
  <si>
    <t xml:space="preserve">Contratação de fornecedor que disponibilize profissional ou atue diretamente como especialistaem Tecnologia da Informação com conhecimento em sistemas acadêmicos, sistema Moodle e outrasferramentas de ensino a distância para auxiliar os professores do CEFART na gestão das aulasvirtuais; auxiliar os alunos em relação a acessos e cadastros, facilidade na digitação e na elaboraçãode relatórios. </t>
  </si>
  <si>
    <t>Compra de 2 cintas ergonômica IPI conforme fotos em anexo. 2 cintas ergonômicas</t>
  </si>
  <si>
    <t>ISSQN - JULIANA DE SOUSA MARTINS PEREIRA NF: 1510</t>
  </si>
  <si>
    <t>ISSQN - ALLAN FERREIRA CALISTO NF: 1511</t>
  </si>
  <si>
    <t>ISSQN - EWELYN FELICE DA SILVA NF: 1540</t>
  </si>
  <si>
    <t>ISSQN - YANNICK FALISSE NF: 1546</t>
  </si>
  <si>
    <t>ISSQN - TETRIS LAB PROJETOS LTDA NF: 20221</t>
  </si>
  <si>
    <t>ISSQN - GIRASSOLINA PRODUCOES LTDA NF: 20221</t>
  </si>
  <si>
    <t>ISSQN - RENATA FONSECA FELICISSIMO 10665267614 NF: 20221</t>
  </si>
  <si>
    <t>ISSQN - MYLENE YOUSSEF A VIEIRA - PRODUCOES E EVENTOS NF: 20221</t>
  </si>
  <si>
    <t>ISSQN - HATARI FILMES LTDA NF: 20222</t>
  </si>
  <si>
    <t>ISSQN - MOVIMENTO COMUNICACAO INTEGRADA LTDA NF: 20222</t>
  </si>
  <si>
    <t>Aloltech Telecom Ltda</t>
  </si>
  <si>
    <t>Contratação de fornecedor de serviços de Assessoria de Imprensa, para atuar nos projetos da Appa junto à Assessoria de Comunicação da Fundação Clóvis Salgado.</t>
  </si>
  <si>
    <t>Daniel Helvécio Nunes Torres Drumond</t>
  </si>
  <si>
    <t>012.969.836-92</t>
  </si>
  <si>
    <t>Reembolso do INSS e INSS Patronal ref. RPA 1546 - YANNICK FALISSE</t>
  </si>
  <si>
    <t>Reembolso do INSS e INSS Patronal ref. RPA 1510 - JULIANA DE SOUSA MARTINS PEREIRA</t>
  </si>
  <si>
    <t>Reembolso do INSS e INSS Patronal ref. RPA 1511 - ALLAN FERREIRA CALISTO</t>
  </si>
  <si>
    <t>Reembolso do INSS e INSS Patronal ref. RPA 1540 - EWELYN FELICE DA SILVA</t>
  </si>
  <si>
    <t>IRRF ref. RPA 1546 - YANNICK FALISSE</t>
  </si>
  <si>
    <t>IRRF ref. RPA 1510 - JULIANA DE SOUSA MARTINS PEREIRA</t>
  </si>
  <si>
    <t>IRRF ref. RPA 1511 - ALLAN FERREIRA CALISTO</t>
  </si>
  <si>
    <t>IRRF ref. RPA 1540 - EWELYN FELICE DA SILVA</t>
  </si>
  <si>
    <t>IRRF REF. NFS 2022/02 - MOVIMENTO COMUNICACAO</t>
  </si>
  <si>
    <t>IR referente ao RPA 1514 - Angela Peres De Oliveira</t>
  </si>
  <si>
    <t>Contratação de profissional encarregado de dar assistência à secretaria escolar</t>
  </si>
  <si>
    <t>Michelle Aparecida Silva Barreto</t>
  </si>
  <si>
    <t>Contratação de cachês artísticos de Maestro titular Silvio Viegas na Direção e desenvolvimento dos repertórios artísticos para os eventos da OSMG sendo presenciais ou virtuais.</t>
  </si>
  <si>
    <t>João Angelini Mota Campos 71019715120</t>
  </si>
  <si>
    <t>21.170.553/0001-62</t>
  </si>
  <si>
    <t>Pagamento de prêmio ao artista João Angelini Mota Campos selecionado no edital do 2º Prêmio Décio Noviello de Artes Visuais e Fotografia - edição 2021, com a exposição “Do que fomos feitos e o que deixamos”.</t>
  </si>
  <si>
    <t>23.874.365/0001-40</t>
  </si>
  <si>
    <t>Compra de 1 rolo de etiqueta de preço conforme foto;4 rolos de fita crepe, espessura 2 a 3 cm; 16 papeis cartão cor preta (tamanho de cartolina).</t>
  </si>
  <si>
    <t xml:space="preserve">Compra de materiais diversos </t>
  </si>
  <si>
    <t>05.032.857/0001-07</t>
  </si>
  <si>
    <t>09.565.838/0001-05</t>
  </si>
  <si>
    <t>27.207.610/0001-17</t>
  </si>
  <si>
    <t>37.922.363/0001-94</t>
  </si>
  <si>
    <t>Contratação de conservador/restaurador para emissão de laudos técnicos das obras que integram a exposição Órbita Gráfica. Acompanhamento de montagem e desmontagem na Galeria Genesco Murta no Palácio das Artes, em datas a serem acordadas com a equipe de produção da exposição. Tipologia de acervo: pinturas, gravuras, impressos, fotografias, esculturas e objetos.</t>
  </si>
  <si>
    <t>42.738.313/0001-91</t>
  </si>
  <si>
    <t>Processo 3020 - Carolina Nascimento Valadares Santana 07016003655</t>
  </si>
  <si>
    <t>É necessário realizar a manutenção e atualizações do Portal "50 Anos do Palácio das Artes" e posteriormente a migração para o site da FCS.</t>
  </si>
  <si>
    <t>Dac Comercial Ltda</t>
  </si>
  <si>
    <t xml:space="preserve">000.032.775 </t>
  </si>
  <si>
    <t>Tarifa Bancária referente a transferência eletrônica pagamento fornecedor:  Dac Comercial Ltda - Processo 3261</t>
  </si>
  <si>
    <t>Contratação do monitor Guilherme Henrique da Silva para acompanhamento do público durante a visitação na exposição "Nemer - Aquarelas Recentes” na Grande Galeria Alberto da Veiga Guignard</t>
  </si>
  <si>
    <t>433.926.148-31</t>
  </si>
  <si>
    <t>Contratação do monitor Brenno Theotônio De Castro para acompanhamento do público durante a visitação na exposição "Nemer - Aquarelas Recentes” na Grande Galeria Alberto da Veiga Guignard,</t>
  </si>
  <si>
    <t>Contratação do monitor Yuri Ricardo Ferreira Cruz para acompanhamento do público durante a visitação na exposição "Nemer - Aquarelas Recentes” na Grande Galeria Alberto da Veiga Guignard</t>
  </si>
  <si>
    <t>018.598.396-06</t>
  </si>
  <si>
    <t>Júri Oficial - Competitiva Internacional:Integrante do corpo de jurados oficiais para a competitiva internacional, que irá avaliar os 20 filmes apresentados nesta seleção, escolhendo ao final do evento, o melhor filme da competitiva</t>
  </si>
  <si>
    <t>Cartografia Atividades De Produção Cinematográfica Ltda</t>
  </si>
  <si>
    <t>40.691.090/0001-29</t>
  </si>
  <si>
    <t>2022/340</t>
  </si>
  <si>
    <t>2022/21</t>
  </si>
  <si>
    <t>Compra de material de montagem: 6 chapas de madeira cortadas no tamanho: 88X55 cm de 15mm. As chapas servirão de suporte para a plotagem dos textos da exposição do 2º Prêmio Décio Noviello de Fotografia e Artes Visuais.</t>
  </si>
  <si>
    <t xml:space="preserve">Amg Group, Madeiras, Máquinas E Ferragens Ltda
</t>
  </si>
  <si>
    <t>31.119.213/0001-60</t>
  </si>
  <si>
    <t>Férias Analista Financeiro</t>
  </si>
  <si>
    <t>Prêmio de Melhor Filme da Competitiva Minas escolhido pelo Júri Oficial da Competitiva Minas, composto porDenise da Costa,Gabriel Araújo eGraciela Guarani. Nome do filme premiado:“Para as Gerações que Vieram Antes de Mim”, dirigido por Filipe Bretas Lucas (Belo Horizonte, 13’, 2020)</t>
  </si>
  <si>
    <t>Filipe Bretas Lucas</t>
  </si>
  <si>
    <t>133.743.926-60</t>
  </si>
  <si>
    <t xml:space="preserve"> Atena Arte E Cultura Ltda</t>
  </si>
  <si>
    <t>Tetris Lab Projetos Ltda</t>
  </si>
  <si>
    <t>ISSQN - CARTOGRAFIA ATIVIDADES DE PRODUCAO CINEMATOGRAFICA LTDA NF: 45</t>
  </si>
  <si>
    <t>ISSQN - CHRISTOFFER PRODUCOES ARTISTICAS LTDA NF: 201</t>
  </si>
  <si>
    <t>ISSQN - MICHELLE APARECIDA DA SILVA BARRETO NF: 1512</t>
  </si>
  <si>
    <t>ISSQN - CTRL P IMPRESSAO DIGITAL LTDA NF: 202221</t>
  </si>
  <si>
    <t>ISSQN - CTRL P IMPRESSAO DIGITAL LTDA NF: 202224</t>
  </si>
  <si>
    <t>ISSQN - CTRL P IMPRESSAO DIGITAL LTDA NF: 202225</t>
  </si>
  <si>
    <t>ISSQN - F6 SISTEMAS DE INFORMATICA LTDA NF: 2022340</t>
  </si>
  <si>
    <t>Contratação de fornecedor que disponibilize profissional ou atue diretamente como encarregado em prestar apoio administrativo à coordenação executiva da secretaria escolar</t>
  </si>
  <si>
    <t>Férias do Montador</t>
  </si>
  <si>
    <t>Reembolso ref. INSS e INSS Patronal ref. RPA 1512 - MICHELLE APARECIDA DA SILVA BARRETO</t>
  </si>
  <si>
    <t>IRRF PRÊMIO REF. 01/2022 - FILIPE BRETAS LUCAS</t>
  </si>
  <si>
    <t>Central Lâmpadas Ltda</t>
  </si>
  <si>
    <t xml:space="preserve">Compra de equipamentos de luz (lâmpadas) para a iluminação de obras do artista João Angelini, na galeria Arlinda Correa Lima, parte do 2° Prêmio Décio Noviello de Artes Visuais. </t>
  </si>
  <si>
    <t>17.646.970/0001-61</t>
  </si>
  <si>
    <t xml:space="preserve">Nota  Fiscal </t>
  </si>
  <si>
    <t>Amg Group, Madeiras, Máquinas E Ferragens Ltda</t>
  </si>
  <si>
    <t>IOF a Recolher ref. Pagamento via Câmbio - Claire Lasolle</t>
  </si>
  <si>
    <t>Tarifa Envio OPE ref. Pagamento via Câmbio - Claire Lasolle</t>
  </si>
  <si>
    <t>IR ref. Pagamento via Câmbio - Claire Lasolle</t>
  </si>
  <si>
    <t>COFINS Importação ref. Pagamento via Câmbio - Claire Lasolle</t>
  </si>
  <si>
    <t>PIS Importação ref. Pagamento via Câmbio - Claire Lasolle</t>
  </si>
  <si>
    <t>Cachê de participação como membro do Júri Internacional - 23ª FestCurtas BH - Câmbio</t>
  </si>
  <si>
    <t>Claire Lisolle</t>
  </si>
  <si>
    <t>648.931.893-87</t>
  </si>
  <si>
    <t>Compra de 5 pacotes de papel A4 para impressão de partituras para as duas pianistas durante os ensaios.</t>
  </si>
  <si>
    <t>Serviço de confecção e execução da cenografia de acordo com projeto cenográfico da ópera, com empresa especializada em construção de cenários para espetáculo.</t>
  </si>
  <si>
    <t>Contratação de serviço de transporte terrestre executivo os solistas sem receptivo, todos com bagagem de mão e despachada: Aeroporto Confins x Cheverny Apart HotelChegada em Confins 03/04:</t>
  </si>
  <si>
    <t xml:space="preserve">Locação de 90 unidades (sendo divididos em três datas) de rádio portátil MOTOROLA </t>
  </si>
  <si>
    <t>07.327.529/0001-63</t>
  </si>
  <si>
    <t xml:space="preserve"> HB Audiovisual Ltda</t>
  </si>
  <si>
    <t>2022/48</t>
  </si>
  <si>
    <t>ISSQN referente a nota fiscal 2022/48 -  HB Audiovisual Ltda</t>
  </si>
  <si>
    <t>2022/49</t>
  </si>
  <si>
    <t>Contratação de Matheus Antunes, Figurinista assistente para acompanhamento junto ao Figurinista das criações dos trajes, peças e elementos que compõe o figurinos, realiza provas de roupas no elenco, orienta a equipe de camareiras nos ensaios e realização dos espetáculos. Executa os figurinos junto a equipe de costureiras e supervisiona moldes e formas da confecção dos figurinos da ópera.</t>
  </si>
  <si>
    <t>020.163.236-55</t>
  </si>
  <si>
    <t>Contratação do monitor FERNANDO CESAR CALDEIRA PACHECO BARBOSA para acompanhamento do público durante a visitação na exposição "Nemer - Aquarelas Recentes” na Grande Galeria Alberto da Veiga Guignard,</t>
  </si>
  <si>
    <t>034.213.666-67</t>
  </si>
  <si>
    <t>Contratação de pianista correpetidor Patrícia Valadão para realizar as correpetições nos ensaios conforme partituras e cronograma da Temporada de Ópera. *Partituras inéditas.</t>
  </si>
  <si>
    <t>Compra de materiais de iluminação para cenográfica da exposição "Órbita Gráfica", seguindo o projeto expositivo da mesma.</t>
  </si>
  <si>
    <t>17.155.342/0011-55</t>
  </si>
  <si>
    <t>Rendimentos de aplicações financeiras do mês 03/2022</t>
  </si>
  <si>
    <t>Imposto de Renda referente aos rendimentos de aplicações financeiras do mês 03/2022</t>
  </si>
  <si>
    <t>IOF  referente aos rendimentos de aplicações financeiras do mês 03/2022</t>
  </si>
  <si>
    <t>Rendimentos de aplicações financeiras do mês 01/2022 - Modernismo</t>
  </si>
  <si>
    <t>Rendimentos de aplicações financeiras do mês 02/2022 - Modernismo</t>
  </si>
  <si>
    <t>Loja Dos Parafusos Ltda</t>
  </si>
  <si>
    <t>Contratação de empresa, para a divulgação da programação dos 50 anos do Palácio das Artes e da Fundação Clóvis Salgado nos veículos de comunicação nacional.</t>
  </si>
  <si>
    <t>Junqueira E Pelisson Assessoria De Imprensa Ltda</t>
  </si>
  <si>
    <t>11.950.989/0001-10</t>
  </si>
  <si>
    <t>Coordenação Técnica - Programa de Artes Visuais da FCS</t>
  </si>
  <si>
    <t>Coordenação Geral - Programa de Artes Visuais da FCS</t>
  </si>
  <si>
    <t>Impressão, plotagem e retirada de adesivo da programaçãoda exposição Foto em Pauta, Luz do Norte</t>
  </si>
  <si>
    <t>2022/23</t>
  </si>
  <si>
    <t xml:space="preserve"> Atacadao Das Tintas Ltda</t>
  </si>
  <si>
    <t>Materiais diversos para montagem das quatro exposições selecionadas pelo edital "2º Prêmio Décio Noviello de Artes Visuais e de Fotografia"</t>
  </si>
  <si>
    <t>Reembolso referente pagamento da NF 2021/25 - CAMERA WORK PRODUÇÕES - paga equivocadamente pela conta 15845-3, do projeto Programação Artística.</t>
  </si>
  <si>
    <t>ISSQN - CTRL P IMPRESSAO DIGITAL LTDA NF: 202223</t>
  </si>
  <si>
    <t xml:space="preserve">Berkley International Do Brasil Seguros S.a.
</t>
  </si>
  <si>
    <t xml:space="preserve">Geferson Moreira Magalhães 08691579650
</t>
  </si>
  <si>
    <t>44.702.661/0001-34</t>
  </si>
  <si>
    <t xml:space="preserve"> Natália Fernandes De Azevedo Barbosa</t>
  </si>
  <si>
    <t xml:space="preserve"> Diogo Vieira De Melo</t>
  </si>
  <si>
    <t>Dominick Lattuada Abreu Barbosa</t>
  </si>
  <si>
    <t>Bianca Furtado Penha</t>
  </si>
  <si>
    <t>Brenno Theotonio De Castro</t>
  </si>
  <si>
    <t xml:space="preserve"> Daniela Coelho Brandão</t>
  </si>
  <si>
    <t xml:space="preserve">750740
</t>
  </si>
  <si>
    <t>Compra de materiais para reforma e construção do cenário</t>
  </si>
  <si>
    <t>Hospedagem para solistas</t>
  </si>
  <si>
    <t>01 Cartaz Gloss Paper 30x40 - Adereço de cena</t>
  </si>
  <si>
    <t xml:space="preserve"> Compra de materiais para reforma e construção do cenário</t>
  </si>
  <si>
    <t>Loja dos Parafusos Ltda.</t>
  </si>
  <si>
    <t>ADMINISTRADORA DE HOTEIS CHEVERNY LTDA.</t>
  </si>
  <si>
    <t>FLAG IMPRESSAO DIGITAL LTDA</t>
  </si>
  <si>
    <t>LOJA ELÉTRICA LTDA</t>
  </si>
  <si>
    <t xml:space="preserve"> 20215894
 20215895
 20215896
 20215897 
 20215900 </t>
  </si>
  <si>
    <t>ATACADAO DAS TINTAS LTDA</t>
  </si>
  <si>
    <t>DUISA PAPELARIA, LIVRARIA E UNIFORM - PAPELARIA BIKAS</t>
  </si>
  <si>
    <t>MARCO TULIO DE SOUSA ULHOA 06283026656</t>
  </si>
  <si>
    <t>LUCIANA MONTEIRO CAMPELLO</t>
  </si>
  <si>
    <t>25.289.804/0001-83</t>
  </si>
  <si>
    <t xml:space="preserve"> Impressão de 2 Banners de Lona QRCODE Programa e Impressão e instalação de 1 placão</t>
  </si>
  <si>
    <t xml:space="preserve"> Edição de vídeos, realização de lives e webinários - Custos de Divulgação</t>
  </si>
  <si>
    <t>Design Gráfico - Custo de Divulgação</t>
  </si>
  <si>
    <t>Fita clear floor tape</t>
  </si>
  <si>
    <t>ACROPOLUZ COMERCIAL LTDA</t>
  </si>
  <si>
    <t>UNICUSTO LIMPEZA EM EVENTOS LTDA</t>
  </si>
  <si>
    <t>PAULO RICARDO BOLELHO CORDEIRO</t>
  </si>
  <si>
    <t>Maquinista encarregado de operar os maquinismos do palco do Grande Teatro</t>
  </si>
  <si>
    <t xml:space="preserve"> Carregadores para atender as demandas de produção do espetáculo Viramundo</t>
  </si>
  <si>
    <t>TULIO MARCIO CARVALHO DE REZENDE</t>
  </si>
  <si>
    <t>PEDRO CORTES LOUREIRO</t>
  </si>
  <si>
    <t>TIA VIVI BUFFET SAUDAVEL LTDA</t>
  </si>
  <si>
    <t>FABIO SILVA MARTINS DE JESUS</t>
  </si>
  <si>
    <t>GOLD SERVICE ORGANIZACAO DE EVENTOS LTDA</t>
  </si>
  <si>
    <t>379.186.498-00</t>
  </si>
  <si>
    <t>Cantor / Solista - Atuação como cantor lírico</t>
  </si>
  <si>
    <t>Compra de materiais para uso no palco na composição do cenário</t>
  </si>
  <si>
    <t xml:space="preserve"> Kits lanches</t>
  </si>
  <si>
    <t>Carregadores para atender as demandas de produção do espetáculo Viramundo</t>
  </si>
  <si>
    <t xml:space="preserve"> Impressão papel vinil fosco 36x90 - Placa Rio Acima - Material necessário para adereço de cena</t>
  </si>
  <si>
    <t>Equipe de 4 profissionais para realização da contrarregragem que irão acompanhar os ensaios e apresentações de toda a Temporada. Os profissionais irão atuar conforme as marcações e definições de cenas realizadas pela Direção artística a partir do dia 04/04 onde começarão os ensaios na sala de ensaios da Orquestra, nos ensaios e apresentação em Ouro Preto e nos ensaios e apresentações no Grande Teatro.</t>
  </si>
  <si>
    <t>7 unidades - Galões de água mineral, 20 litros.</t>
  </si>
  <si>
    <t>Contratação do monitor Flávio von Randow Teixeira para acompanhamento do público durante a visitação na exposição "Órbita Gráfica" na Galeria Genesco Murta, no turno da tarde, 15h às 21h, durante o período expositivo, no período de 09 de abril de 2022 a 05 de junho de 2022, no Palácio das Artes.</t>
  </si>
  <si>
    <t>Contratação de dramaturgo para a segunda montagem da formatura do teatro - 3º ano do turno da Noite, turma de 2021. O profissional iráelaborar, desenvolver e criar a dramaturgia para a montagem de formatura do 3ª ano da escola de teatro - noite, durante todo o mês de abril.Local de atuação: CEFART e João Ceschiatti</t>
  </si>
  <si>
    <t>072.246.946-22</t>
  </si>
  <si>
    <t>Água e Esgoto da Sede da Appa mês 03/2022</t>
  </si>
  <si>
    <t>RPA 1528</t>
  </si>
  <si>
    <t>ISSQN - ADMINISTRADORA DE HOTEIS CHEVERNY LTDA NF: 20215894</t>
  </si>
  <si>
    <t>ISSQN - ADMINISTRADORA DE HOTEIS CHEVERNY LTDA NF: 20215895</t>
  </si>
  <si>
    <t>ISSQN - ADMINISTRADORA DE HOTEIS CHEVERNY LTDA NF: 20215896</t>
  </si>
  <si>
    <t>ISSQN - ADMINISTRADORA DE HOTEIS CHEVERNY LTDA NF: 20215897</t>
  </si>
  <si>
    <t>ISSQN - ADMINISTRADORA DE HOTEIS CHEVERNY LTDA NF: 20215900</t>
  </si>
  <si>
    <t>ISSQN - ADMINISTRADORA DE HOTEIS CHEVERNY LTDA NF: 20216116</t>
  </si>
  <si>
    <t>ISSQN - ADMINISTRADORA DE HOTEIS CHEVERNY LTDA NF: 20216122</t>
  </si>
  <si>
    <t>ISSQN - ADMINISTRADORA DE HOTEIS CHEVERNY LTDA NF: 20216124</t>
  </si>
  <si>
    <t>ISSQN - ADMINISTRADORA DE HOTEIS CHEVERNY LTDA NF: 20216126</t>
  </si>
  <si>
    <t>ISSQN - ADMINISTRADORA DE HOTEIS CHEVERNY LTDA NF: 20216129</t>
  </si>
  <si>
    <t>ASSOCIACAO BALLET JOVEM MINAS GERAIS</t>
  </si>
  <si>
    <t>MURILLO CORREA E CIA SOM E LUZ LTDA</t>
  </si>
  <si>
    <t>MR TELECOM LTDA</t>
  </si>
  <si>
    <t>PEDRO LUCAS VIANA DA SILVA TAVARES 09461376685</t>
  </si>
  <si>
    <t>HELVECIO ALVES IZABEL</t>
  </si>
  <si>
    <t>Prefeitura Municipal de Belo Horizonte</t>
  </si>
  <si>
    <t xml:space="preserve"> Cachê Artístico de grupo de dança Associação Ballet Jovem Minas Gerais</t>
  </si>
  <si>
    <t xml:space="preserve"> 20216116
 20216122
 20216124
 20216126
 20216129 </t>
  </si>
  <si>
    <t xml:space="preserve"> Parafusos</t>
  </si>
  <si>
    <t>Maquiador - Equipe técnica de produção para montagem da ópera Tolomeu e Alessandro</t>
  </si>
  <si>
    <t xml:space="preserve"> Cenotécnico - Equipe técnica de produção para montagem da ópera Tolomeu e Alessandro</t>
  </si>
  <si>
    <t>Camareira - Equipe técnica de produção para montagem da ópera Tolomeu e Alessandro</t>
  </si>
  <si>
    <t xml:space="preserve"> Locação e equipamento de som para captação e sonorização de áudios</t>
  </si>
  <si>
    <t>Locação de rádio comunicador para atender as necessidades técnicas de produção e logistica de bastidores</t>
  </si>
  <si>
    <t>Atuação como cantor solista no evento Temporada de Ópera on-line de 2021</t>
  </si>
  <si>
    <t>Maquinista encarregado de operar os
maquinismos do palco do Grande Teatro</t>
  </si>
  <si>
    <t>RENATA MACHADO ALVES</t>
  </si>
  <si>
    <t>REGELLES TADEU QUEIROZ DA SILVA 10092467636</t>
  </si>
  <si>
    <t>ATENA CRIACOES ARTISTICAS LTDA</t>
  </si>
  <si>
    <t>TRANSMIDIA COMUNICAÇÃO E SERVIÇOS LTDA - ME</t>
  </si>
  <si>
    <t>Marcelo Cordeiro</t>
  </si>
  <si>
    <t>050.303.336-73</t>
  </si>
  <si>
    <t>43.037.476/0001-00</t>
  </si>
  <si>
    <t>Assessoria de Imprensa Local</t>
  </si>
  <si>
    <t>Iluminador para criação do mapa de luz e operação nos ensaios e apresentações</t>
  </si>
  <si>
    <t xml:space="preserve"> Figurinista para elaborar os figurinos que encerram a Temporadas de Óperas Online 2021</t>
  </si>
  <si>
    <t xml:space="preserve"> Assessoria de imprensa nacional</t>
  </si>
  <si>
    <t>Direção de Palco da produção do espetáculo Viramundo</t>
  </si>
  <si>
    <t>Cenografia, aderecista, cenotécnico e contrarregra para Ópera Viramundo</t>
  </si>
  <si>
    <t>RITA CLEMENTE PRODUCOES ARTISTICAS LTDA</t>
  </si>
  <si>
    <t>RF LOCACAO &amp; FILMAGEM LTDA</t>
  </si>
  <si>
    <t>GIOVANI TRISTACCI 00550746005</t>
  </si>
  <si>
    <t>VITOR DE AGUIAR PHILOMENO GOMES</t>
  </si>
  <si>
    <t>13.317.317/0001-06</t>
  </si>
  <si>
    <t>16.816.762/0001-09</t>
  </si>
  <si>
    <t>NF 182</t>
  </si>
  <si>
    <t xml:space="preserve"> Direção Cênica para montagem do espetáculo</t>
  </si>
  <si>
    <t>Cantor/Solista no evento Temporada de Óperas on-line</t>
  </si>
  <si>
    <t>Kathleen Karine Ferreira Poncio</t>
  </si>
  <si>
    <t>Camila Correa</t>
  </si>
  <si>
    <t>Loja Elétrica LTDA</t>
  </si>
  <si>
    <t>TAIRES BORZANI SCATOLIN SANTANA 00131469630</t>
  </si>
  <si>
    <t>IDALEIA DO CARMO DIAS 70391726668</t>
  </si>
  <si>
    <t xml:space="preserve"> Luminárias led de emergência e pilhas</t>
  </si>
  <si>
    <t>Camareiras para produção do espetáculo Viramundo</t>
  </si>
  <si>
    <t xml:space="preserve"> Maquiadores para produção do espetáculo Viramundo</t>
  </si>
  <si>
    <t xml:space="preserve"> Cabelereiros para produção do espetáculo Viramundo</t>
  </si>
  <si>
    <t xml:space="preserve"> Chefe de costura para produção do espetáculo Viramundo</t>
  </si>
  <si>
    <t xml:space="preserve"> Costureira para produção do espetáculo Viramundo</t>
  </si>
  <si>
    <t>MARIA DAS GRACAS DE SOUSA MORAIS
02621402682</t>
  </si>
  <si>
    <t>ELIAS DO CARMO ME</t>
  </si>
  <si>
    <t>Costureira para produção do espetáculo Viramundo</t>
  </si>
  <si>
    <t xml:space="preserve"> Locação de equipamento de iluminação</t>
  </si>
  <si>
    <t>MARIA VIEIRA LIMA 01196915660</t>
  </si>
  <si>
    <t>MARIA ANTONIA FERREIRA SANTOS 67263909634</t>
  </si>
  <si>
    <t>Chefe de costura para produção do espetáculo Viramundo</t>
  </si>
  <si>
    <t>Fábio De Paula Fiorini 48373214615</t>
  </si>
  <si>
    <t>Cs</t>
  </si>
  <si>
    <t>Contratação de transporte executivo - aeroporto Confins / Belo Horizonte / Aeroporto Confins. Previsão de ser 22/11, 23/11 e 22/12 e 23/12 a definir. Cotar por trecho.</t>
  </si>
  <si>
    <t xml:space="preserve"> Translevar Mudanças Ltda</t>
  </si>
  <si>
    <t>Renata Machado Alves</t>
  </si>
  <si>
    <t>38.046.863/0001-72</t>
  </si>
  <si>
    <t xml:space="preserve"> Sylvia De Barros Klein 77940580663</t>
  </si>
  <si>
    <t>Cantor / Solista no evento Temporada de Óperas on-line 2021</t>
  </si>
  <si>
    <t>Produtora Executiva da Temporada de Ópera on-line 2021</t>
  </si>
  <si>
    <t>Simone Gallo Pimenta 81396716653 - Me</t>
  </si>
  <si>
    <t>Designer Gráfico - Custo de Divulgação</t>
  </si>
  <si>
    <t>Márcio Massiere Carneiro</t>
  </si>
  <si>
    <t>012.993.136-55</t>
  </si>
  <si>
    <t>Jordane Morais Messias 08125649603</t>
  </si>
  <si>
    <t>Contratação da monitora Luiza Poeiras Amorim para acompanhamento do público durante a visitação na exposição "Recostura", durante o período expositivo,no período de 20 de janeiro de 2022 a 12 de março de 2022, na CâmeraSete – Casa da Fotografia de Minas Gerais.</t>
  </si>
  <si>
    <t>Suellen Silva Araújo Magalhães</t>
  </si>
  <si>
    <t>ISSQN referente ao RPA 1578 - Suellen Silva Araújo Magalhães</t>
  </si>
  <si>
    <t>ISSQN referente ao RPA 1579 - Natália Fernandes de Azevedo Barbosa</t>
  </si>
  <si>
    <t>ISSQN referente ao RPA 1590 - Diogo Vieira de Melo</t>
  </si>
  <si>
    <t>ISSQN referente ao RPA 1593 - Dominick Lattuada Abreu Barbosa</t>
  </si>
  <si>
    <t>ISSQN referente ao RPA 1594 - Luiza Poeiras Amorim</t>
  </si>
  <si>
    <t>ISSQN referente ao RPA 1595 - Brenno Theotonio de Castro</t>
  </si>
  <si>
    <t>ISSQN referente ao RPA 1596 - Bianca Furtado Penha</t>
  </si>
  <si>
    <t>ISSQN referente ao RPA 1597 - Daniela Coelho Brandão</t>
  </si>
  <si>
    <t>Nathalia Araújo Marques</t>
  </si>
  <si>
    <t>Jonathan Serafim Dos Santos</t>
  </si>
  <si>
    <t>Fernando Cesar Caldeira Pacheco Barbosa</t>
  </si>
  <si>
    <t xml:space="preserve">Flávio Von Randow Teixeira </t>
  </si>
  <si>
    <t>Geferson Moreira Magalhães 08691579650</t>
  </si>
  <si>
    <t>Contratação da monitora Daniela Coelho Brandão para acompanhamento do público durante a visitação na exposição "Erre e Erre e João Angelini", durante o período expositivo, no período de 25 de janeiro de 2022 a 13 de março de 2022, no Palácio das Artes.</t>
  </si>
  <si>
    <t>Contratação da monitoraDominick Abreu para acompanhamento do público durante a visitação na exposição "Recostura", durante o período expositivo,no período de 20 de janeiro de 2022 a 13 de março de 2022, na CâmeraSete – Casa da Fotografia de Minas Gerais.</t>
  </si>
  <si>
    <t>Diogo Vieira De Melo</t>
  </si>
  <si>
    <t>Contratação da monitora Luiza Poeiras AMORIMpara acompanhamento do público durante a visitação na exposição "Recostura", durante o período expositivo,no período de 20 de janeiro de 2022 a 12 de março de 2022, na CâmeraSete – Casa da Fotografia de Minas Gerais.</t>
  </si>
  <si>
    <t>Aloc Locação E Comércio De Equipamentos De Informática Eireli</t>
  </si>
  <si>
    <t>Transporte especializado em obras de arte para montagem da exposição "Nemer - Aquarelas recentes", que será realizada de 19 de abril a 05 de junho de 2022 na Grande Galeria Alberto da Veiga Guignard</t>
  </si>
  <si>
    <t>910.475.286-49</t>
  </si>
  <si>
    <t>Serviço de Montagem e Desmontagem da exposição Órbita Gráfica, que acontecerá na Galeria Gensco Murta</t>
  </si>
  <si>
    <t>04.526.924/0001-87</t>
  </si>
  <si>
    <t>Compra de tintas para preparação do espaço expositivo da exposição Nemer - Aquarelas Recentes que ficará em cartaz do dia 19 de abril de 2022 a 5 de junho de 2022, na Grande Galeria, Alberto da Veiga Guignard</t>
  </si>
  <si>
    <t>Contratação de 02 ambulância para atendimento ao público em Ouro Preto, contendo um médico socorrista, enfermeiro e motorista em cada uma e 01 UTI Móvel com equipamentos para possível remoção de paciente presente no público do evento</t>
  </si>
  <si>
    <t>11.263.858/0001-65</t>
  </si>
  <si>
    <t>Gabriel Rhein Schirato - Me</t>
  </si>
  <si>
    <t xml:space="preserve"> Artes Gráficas Formato Ltda</t>
  </si>
  <si>
    <t xml:space="preserve">Reembolso realizado referente pagamento de título protestado - NF 1911 - JR INDUSTRIA E COMERCIO - Processo 2559 </t>
  </si>
  <si>
    <t>Edilene Pucinni Cunha 70685681653</t>
  </si>
  <si>
    <t>Marco Tulio De Sousa Ulhoa 06283026656</t>
  </si>
  <si>
    <t>Profissional designer gráfico:Habilidades mínimas nos programas Adobe Illustrator e Photoshop e outras relacionadas à função.Trabalho exclusivamente on-line, home-office. É necessário ter seus próprios equipamentos e recursos para o trabalho, computador e programas, celular e internet.laboração das peças digitais para site, para as redes sociais, templates para transmissão on-line, cartelas de chancelaria para vídeos, fichas técnicas, programas, placa de sinalização, editoração do relatório e alimentação do hotsite da Temporada de Ópera de 2021 e aprovações das artes internamente e externamente (leis de incentivo, patrocinadores).</t>
  </si>
  <si>
    <t xml:space="preserve"> Luciana Monteiro Campello</t>
  </si>
  <si>
    <t>ISSQN - GABRIEL RHEIN SCHIRATO NF: 35</t>
  </si>
  <si>
    <t>ISSQN - VITOR DE AGUIAR PHILOMENO GOMES NF: 182</t>
  </si>
  <si>
    <t>ISSQN - LUCIANA MONTEIRO CAMPELLO NF: 1513</t>
  </si>
  <si>
    <t>ISSQN - PAULO RICARDO BOLELHO CORDEIRO NF: 1522</t>
  </si>
  <si>
    <t>ISSQN - FABIO SILVA MARTINS DE JESUS NF: 1523</t>
  </si>
  <si>
    <t>ISSQN - PEDRO CORTES LOUREIRO NF: 1526</t>
  </si>
  <si>
    <t>ISSQN - TULIO MARCIO CARVALHO DE REZENDE NF: 1527</t>
  </si>
  <si>
    <t>ISSQN - HELVECIO ALVES IZABEL NF: 1528</t>
  </si>
  <si>
    <t>ISSQN - RENATA MACHADO ALVES NF: 1530</t>
  </si>
  <si>
    <t>ISSQN - KATHLEEN KARINE FERREIRA PONCIO NF: 1531</t>
  </si>
  <si>
    <t>ISSQN - MARCELO CORDEIRO NF: 1532</t>
  </si>
  <si>
    <t>ISSQN - RENATA MACHADO ALVES NF: 1542</t>
  </si>
  <si>
    <t>ISSQN - MARCIO MASSIERE CARNEIRO NF: 1543</t>
  </si>
  <si>
    <t>ISSQN - ASSOCIACAO BALLET JOVEM MINAS GERAIS NF: 20221</t>
  </si>
  <si>
    <t>ISSQN - ATENA CRIACOES ARTISTICAS LTDA NF: 20221</t>
  </si>
  <si>
    <t>ISSQN - MURILLO CORREA E CIA SOM E LUZ LTDA NF: 20221</t>
  </si>
  <si>
    <t>ISSQN - RITA CLEMENTE PRODUCOES ARTISTICAS LTDA NF: 20221</t>
  </si>
  <si>
    <t>ISSQN - SIMONE GALLO PIMENTA 81396716653 NF: 20221</t>
  </si>
  <si>
    <t>ISSQN - RF LOCACAO &amp; FILMAGEM LTDA NF: 20222</t>
  </si>
  <si>
    <t>ISSQN - UNICUSTO LIMPEZA EM EVENTOS LTDA NF: 20222</t>
  </si>
  <si>
    <t>ISSQN - DAMASCO COMUNICACAO EIRELI NF: 20225</t>
  </si>
  <si>
    <t>ISSQN - FLAG IMPRESSAO DIGITAL LTDA NF: 20225</t>
  </si>
  <si>
    <t>ISSQN - DAMASCO COMUNICACAO EIRELI NF: 20226</t>
  </si>
  <si>
    <t>ISSQN - DAMASCO COMUNICACAO EIRELI NF: 20227</t>
  </si>
  <si>
    <t>ISSQN - GOLD SERVICE ORGANIZACAO DE EVENTOS LTDA NF: 20227</t>
  </si>
  <si>
    <t>ISSQN - DAMASCO COMUNICACAO EIRELI NF: 20228</t>
  </si>
  <si>
    <t>ISSQN - FLAG IMPRESSAO DIGITAL LTDA NF: 20228</t>
  </si>
  <si>
    <t>ISSQN - DAMASCO COMUNICACAO EIRELI NF: 20229</t>
  </si>
  <si>
    <t>ISSQN - DAMASCO COMUNICACAO EIRELI NF: 202210</t>
  </si>
  <si>
    <t>ISSQN - ARTES GRAFICAS FORMATO LTDA NF: 202216</t>
  </si>
  <si>
    <t>ISSQN - HB AUDIOVISUAL LTDA NF: 202218</t>
  </si>
  <si>
    <t>Ramon Nascimento Mundin</t>
  </si>
  <si>
    <t>Compra de 6 malas cenográficas para composição de adereço de cena.</t>
  </si>
  <si>
    <t xml:space="preserve">Contratação de empresa responsável pelo serviço de manutenção e gerenciamento das atividades virtuais da Temporada de Ópera On-line 2021 :* Gerenciamento dos eventos online de 25 de agosto até dezembro de 2021 *Gerenciamento, registro videográfico e transmissão de 3 eventos (agosto, setembro ou outubro e dezembro) </t>
  </si>
  <si>
    <t>Hb Audiovisual Ltda</t>
  </si>
  <si>
    <t>Tradusom Ltda.</t>
  </si>
  <si>
    <t>Marcus Santos</t>
  </si>
  <si>
    <t>MW VIAGENS INTELIGENTES OPERADORA E AGENCIA DIGITAL EIRELI</t>
  </si>
  <si>
    <t>Iluminuras</t>
  </si>
  <si>
    <t>86.825.973/0001-85</t>
  </si>
  <si>
    <t>480.433.461-00</t>
  </si>
  <si>
    <t>CR Jornalismo</t>
  </si>
  <si>
    <t>Gabriela Geluda</t>
  </si>
  <si>
    <t>Paulo Roberto</t>
  </si>
  <si>
    <t>João Luiz</t>
  </si>
  <si>
    <t>S P Bizetti</t>
  </si>
  <si>
    <t>14.476.804/0001-61</t>
  </si>
  <si>
    <t>18.217.233/0001-06</t>
  </si>
  <si>
    <t>134.844.758-38</t>
  </si>
  <si>
    <t>288.384.558-13</t>
  </si>
  <si>
    <t>15.026.314/00001-30</t>
  </si>
  <si>
    <t>Tradução simultanêa.</t>
  </si>
  <si>
    <t>Serviço de professor.</t>
  </si>
  <si>
    <t xml:space="preserve"> passagens aéreas</t>
  </si>
  <si>
    <t>passagens aéreas</t>
  </si>
  <si>
    <t>Iluminuras Produções Artístico-culturais Ltda</t>
  </si>
  <si>
    <t>Serviço de mediador.</t>
  </si>
  <si>
    <t xml:space="preserve"> Serviço de mediador</t>
  </si>
  <si>
    <t>Serviço de palestrante.</t>
  </si>
  <si>
    <t xml:space="preserve"> Serviço de professor</t>
  </si>
  <si>
    <t xml:space="preserve"> Serviço de mediador.</t>
  </si>
  <si>
    <t xml:space="preserve">11.281.555/0001-75
</t>
  </si>
  <si>
    <t>Marcello Amalfi - Serviços - Me</t>
  </si>
  <si>
    <t>137.664.358-84</t>
  </si>
  <si>
    <t>664.515.747-91</t>
  </si>
  <si>
    <t>02.697.264/0001-71</t>
  </si>
  <si>
    <t>29.274.164/0001-99</t>
  </si>
  <si>
    <t>418.594.078-54</t>
  </si>
  <si>
    <t>LIVIA SABBAG DA SILVA RAMOS</t>
  </si>
  <si>
    <t>João G R</t>
  </si>
  <si>
    <t>Franco Perpetuo</t>
  </si>
  <si>
    <t>BOLERO PRODUÇÕES ARTISTICAS LTDA</t>
  </si>
  <si>
    <t>Yuri Radtke</t>
  </si>
  <si>
    <t>Serviço de mediador</t>
  </si>
  <si>
    <t xml:space="preserve">Professor/Orientador </t>
  </si>
  <si>
    <t>Serviço de sonorização</t>
  </si>
  <si>
    <t>P Proj Cult</t>
  </si>
  <si>
    <t>Girassolina</t>
  </si>
  <si>
    <t>Secretaria da Receita Federal do Brasil</t>
  </si>
  <si>
    <t>Borogodo</t>
  </si>
  <si>
    <t>Ligiana Costa</t>
  </si>
  <si>
    <t>09.014.966/0001-52</t>
  </si>
  <si>
    <t>16.757.524/00001-61</t>
  </si>
  <si>
    <t>00.447.697/0001-43</t>
  </si>
  <si>
    <t>32.036.976/0001-96</t>
  </si>
  <si>
    <t>COFINS 01/2022 - MINC PRONAC 20.3579</t>
  </si>
  <si>
    <t>Serviço de legendagem e traduçãp.</t>
  </si>
  <si>
    <t>direção cênica</t>
  </si>
  <si>
    <t>ISSQN referente a nota fiscal 2022/14 - Arco Cultural Ltda</t>
  </si>
  <si>
    <t xml:space="preserve"> Arte Livre Produção E Comunicação Ltda</t>
  </si>
  <si>
    <t>Contratação de profissional para apoio na digitação e edição de processos de compras e contratações, de cadastros para base de dados e controles do projeto</t>
  </si>
  <si>
    <t>ISSQN referente ao RPA 1600 - Cintya Juliana Souza Santos Dias</t>
  </si>
  <si>
    <t>IR  referente ao RPA 1600 - Cintya Juliana Souza Santos Dias</t>
  </si>
  <si>
    <t xml:space="preserve"> Thales Henrique Vieira Sabino 09440374616</t>
  </si>
  <si>
    <t xml:space="preserve"> Patrícia Cláudia Pereira Lima Bernardi 03978862689</t>
  </si>
  <si>
    <t>ISSQN referente a nota fiscal 2022/3 -  Sinara Araujo Costa Sociedade Individual De Advocacia</t>
  </si>
  <si>
    <t>Contratação de plataforma digital para utilização no setor de Compliance - Search Diligência - Basic - 50 dossiês mensais.</t>
  </si>
  <si>
    <t>Neoway Tecnologia Integrada Assessoria E Negócios S.a</t>
  </si>
  <si>
    <t>ISSQN referente a nota fiscal 2022/3 - Bd Servicos E Consultoria Ltda</t>
  </si>
  <si>
    <t>ISSQN - REF: 0757085/001-8 - INVENTARIO PRODUCOES ARTISTICAS E CULTURAIS LTDA - NF:20221</t>
  </si>
  <si>
    <t>ISSQN - REF 1164076/001-0 - BD SERVICOS E CONSULTORIA LTDA - NF: 20222</t>
  </si>
  <si>
    <t>ISSQN - REF 1293569/001-1 SINARA ARAUJO COSTA SOCIEDADE INDIVIDUAL DE ADVOCACIA - NF: 20222</t>
  </si>
  <si>
    <t xml:space="preserve">ISSQN - REF - 0162694/001-8 ARTELIVRE PRODUCAO E COMUNICACAO LTDA - NF: 20223 </t>
  </si>
  <si>
    <t>ISSQN - REF 1267900/001-5 ARREDA PRODUCOES E EVENTOS LTDA NF: 20225</t>
  </si>
  <si>
    <t xml:space="preserve">ISSQN - REF 0291131/001-7 ARCO CULTURAL E LTDA - NF:20229 </t>
  </si>
  <si>
    <t>ISSQN - REF: CINTYA JULIANA SOUZA SANTOS DIAS - NF: 1551</t>
  </si>
  <si>
    <t>ISSQN - REF: LARYSSA PEREIRA MARTINS - NF 1584</t>
  </si>
  <si>
    <t>Cobrança ted/doc</t>
  </si>
  <si>
    <t>Coordenação Técnica - Cine Humberto Mauro - Programação e Fomento</t>
  </si>
  <si>
    <t>Coordenação Geral - Cine Humberto Mauro - Programação e Fomento</t>
  </si>
  <si>
    <t>ISSQN referente ao NF 20221 - Leben 108 Produtora de Fiilmes Ltda</t>
  </si>
  <si>
    <t>ISSQN referente ao NF 20227 - Hatari Filmes Ltda</t>
  </si>
  <si>
    <t>ISSQN referente ao RPA 1562 - Rodrigo César Gomes de Freitas</t>
  </si>
  <si>
    <t>Kabum Comércio Eletrônico S.A.</t>
  </si>
  <si>
    <t>05.570.714/0008-25</t>
  </si>
  <si>
    <t>Lita Stantic Producciones AS</t>
  </si>
  <si>
    <t>Crystal Cinematográfica Ltda</t>
  </si>
  <si>
    <t>Remessa Câmbio</t>
  </si>
  <si>
    <t>IOF a Recolher ref. Pagamento via Câmbio - Lita Stantic Producciones</t>
  </si>
  <si>
    <t>Tarifa Envio OPE ref. Pagamento via Câmbio - Lita Stantic Producciones</t>
  </si>
  <si>
    <t>IRRF ref. Pagamento via Câmbio- Lita Stantic Producciones</t>
  </si>
  <si>
    <t>Kalunga S.A.</t>
  </si>
  <si>
    <t>Boleto</t>
  </si>
  <si>
    <t>Conceito A em Audiovisual S.A.</t>
  </si>
  <si>
    <t>73.560.195/0001-05</t>
  </si>
  <si>
    <t>Zeta Filmes Ltda</t>
  </si>
  <si>
    <t>02.469.676/0001-98</t>
  </si>
  <si>
    <t>34.611.163/0001-22</t>
  </si>
  <si>
    <t>Elimar Produções Artísticas Ltda</t>
  </si>
  <si>
    <t>Real Câmbio Turismo Ltda</t>
  </si>
  <si>
    <t>2022/50</t>
  </si>
  <si>
    <t>INSS e INSS Patronal referente ao RPA 1562 de Rodrigo César Gomes de Freitas</t>
  </si>
  <si>
    <t>IRRF referente ao RPA 1562 de Rodrigo César Gomes de Freitas</t>
  </si>
  <si>
    <t xml:space="preserve"> Produtor - Produção Cultural Executiva para execução da pós-produção do 23º FestcurtasBH</t>
  </si>
  <si>
    <t>JAVALI DO MAR EXPERIMENTACOES ARTISTICAS LTDA</t>
  </si>
  <si>
    <t>F.A, Martins Comércio de DVD e Livros Ltda</t>
  </si>
  <si>
    <t>Coordenação Técnica - CHM -  Programação e Fomento (16185-3)</t>
  </si>
  <si>
    <t>Coordenação Geral - CHM -  Programação e Fomento (16185-3)</t>
  </si>
  <si>
    <t xml:space="preserve"> Cleber Jesus Da Silva 10058348654</t>
  </si>
  <si>
    <t xml:space="preserve"> Laryssa Pereira Martins</t>
  </si>
  <si>
    <t>ISSQN referente ao RPA 1637 - Laryssa Pereira Martins</t>
  </si>
  <si>
    <t>IR  referente ao RPA 1637 - Laryssa Pereira Martins</t>
  </si>
  <si>
    <t xml:space="preserve">Comunique-se S/a
</t>
  </si>
  <si>
    <t>04.558.476/0001-01</t>
  </si>
  <si>
    <t>Contratação do serviço de Vigilância Noturna Local, para Casa de Fotografia Câmera Sete, durante a exposição do 2º Prêmio Décio Noviello. Aditivo</t>
  </si>
  <si>
    <t xml:space="preserve"> Inventário Produções Artísticas E Culturais Ltda</t>
  </si>
  <si>
    <t>ISSQN referente a nota fiscal 2022/4 - Inventário Produções Artísticas E Culturais Ltda</t>
  </si>
  <si>
    <t xml:space="preserve">2022/53476 </t>
  </si>
  <si>
    <t>ISSQN referente a nota fiscal 2022/53476 - Consórcio Ótimo de Bilhetagem Eletrônica</t>
  </si>
  <si>
    <t>2022/60733</t>
  </si>
  <si>
    <t>ISSQN referente a nota fiscal 2022/60733 - Cons Operacional de Transporte Coletivo</t>
  </si>
  <si>
    <t>2022/70914</t>
  </si>
  <si>
    <t>ISSQN referente a nota fiscal 2022/70914 - Cons Operacional de Transporte Coletivo</t>
  </si>
  <si>
    <t>2022/73948</t>
  </si>
  <si>
    <t>ISSQN referente a nota fiscal 2022/73948 - Cons Operacional de Transporte Coletivo</t>
  </si>
  <si>
    <t>ISSQN - ANGELA PERES DE OLIVEIRA - NF: 1553</t>
  </si>
  <si>
    <t>ISSQN - 0762604/001-5 - TETRIS LAB PROJETOS LTDA - NF: 20225</t>
  </si>
  <si>
    <t>ISSQN - 0210748/001-4 - MYLENE YOUSSEF A VIEIRA - PRDUCOES E EVENTOS NF: 20226</t>
  </si>
  <si>
    <t>ISSQN - 1207287/001-3 ROMANO COMUNICACAO LTDA - NF:202221</t>
  </si>
  <si>
    <t>ISSQN - 0987750/001-4 - HATARI FILMES LTDA - NF: 20224</t>
  </si>
  <si>
    <t>ISSQN - 0273049/001-3 LEBEN 108 PRODUTORA DE FILMES LTDA - NF: 20222</t>
  </si>
  <si>
    <t>ISSQN - 1359294/001-4 ATENA ARTE E CULTURA LTDA - NF:202223</t>
  </si>
  <si>
    <t>ISSQN - CLAIRE LASOLLE - NF: 23022022</t>
  </si>
  <si>
    <t>ISSQN referente ao RPA 1610 - Angela Peres De Oliveira</t>
  </si>
  <si>
    <t>IR referente ao RPA 1610 - Angela Peres De Oliveira</t>
  </si>
  <si>
    <t>ISSQN referente a nota fiscal 2022/5 - Atena Arte E Cultura Ltda</t>
  </si>
  <si>
    <t>ISSQN referente a nota fiscal 2022/6- Atena Arte E Cultura Ltda</t>
  </si>
  <si>
    <t>Oliveira Andrade Serviços De Monitoramento De Informações Ltda</t>
  </si>
  <si>
    <t>07.290.137/0001-77</t>
  </si>
  <si>
    <t>2022/132</t>
  </si>
  <si>
    <t xml:space="preserve"> Serviços de clipping de mídia impressa. </t>
  </si>
  <si>
    <t>ISSQN referente a nota fiscal 2022/132 - Oliveira Andrade Serviços De Monitoramento De Informações Ltda</t>
  </si>
  <si>
    <t>ISSQN referente ao RPA 1609 -  Daniel Helvécio Nunes Torres Drumond</t>
  </si>
  <si>
    <t>IR referente ao RPA 1609 -  Daniel Helvécio Nunes Torres Drumond</t>
  </si>
  <si>
    <t>ANGELA PERES DE OLIVEIRA</t>
  </si>
  <si>
    <t>Sergio Arruda Felicio</t>
  </si>
  <si>
    <t>ISSQN referente a nota fiscal 2022/6 -Sergio Arruda Felicio</t>
  </si>
  <si>
    <t>ISSQN referente a nota fiscal 2022/15 - Girassolina Produções Ltda</t>
  </si>
  <si>
    <t>Vlaanderen Ltda</t>
  </si>
  <si>
    <t>Associação Pró-Cultura e Promoção das Artes</t>
  </si>
  <si>
    <t>Bruna Gomes Leite</t>
  </si>
  <si>
    <t>CLÁSSICOS EDITORIAL LTDA.</t>
  </si>
  <si>
    <t>BERNARDO BRANDAO DE OLIVEIRA 05319440693</t>
  </si>
  <si>
    <t>Iluminuras Produções Artístico-Culturais Ltda</t>
  </si>
  <si>
    <t>Alpino Linhas e Aviamentos Ltda</t>
  </si>
  <si>
    <t>Modista Têxtil Ltda</t>
  </si>
  <si>
    <t>João Pedro Barbosa Gonçalves Cachopo</t>
  </si>
  <si>
    <t>Royal Têxtil Comércio de Malhas Eireli</t>
  </si>
  <si>
    <t>E. Tecidos Goitacazes Ltda</t>
  </si>
  <si>
    <t>Praxinoscopio Produções Cenográficas Ltda</t>
  </si>
  <si>
    <t>Lucas Ferreira Nogueira 02065538031</t>
  </si>
  <si>
    <t xml:space="preserve">Kaio Cesar Figueiredo Minardi </t>
  </si>
  <si>
    <t>Maurão Couros e Plásticos Ltda</t>
  </si>
  <si>
    <t>Martins Comercio de Tapecaria Ltda</t>
  </si>
  <si>
    <t>Plaspluma Comercial Ltda</t>
  </si>
  <si>
    <t>Cláudia Helena Azevedo Alvarenga</t>
  </si>
  <si>
    <t>Miracle Comércio de Tecidos Ltda</t>
  </si>
  <si>
    <t>Vieira Couro Ltda</t>
  </si>
  <si>
    <t>Mourão Couros e Plásticos Ltda</t>
  </si>
  <si>
    <t>Luminar Comércio de  Tecido Ltda</t>
  </si>
  <si>
    <t>Associação Belas Artes de Prestadores de Serviços Artísiticos Esportivos</t>
  </si>
  <si>
    <t>Sos Dos Fogões Ltda - EPP</t>
  </si>
  <si>
    <t>Plasticos &amp; Company Ltda</t>
  </si>
  <si>
    <t>Ideia Fixa Bijoux</t>
  </si>
  <si>
    <t>Juliana  de Fátima Rodrigues Lisboa Ltda</t>
  </si>
  <si>
    <t>Almac Máquinas de Costuras ltda</t>
  </si>
  <si>
    <t>29.501.000/00001-57</t>
  </si>
  <si>
    <t>08.290.149/0001-64</t>
  </si>
  <si>
    <t>073.214.557-00</t>
  </si>
  <si>
    <t>19.179.475/0001-09</t>
  </si>
  <si>
    <t>18.314.609/0001-09</t>
  </si>
  <si>
    <t>17.583.196/0001-03</t>
  </si>
  <si>
    <t>35.445.973/0001-19</t>
  </si>
  <si>
    <t>37.751.080/0001-27</t>
  </si>
  <si>
    <t>29.618.465/0001-92</t>
  </si>
  <si>
    <t>011.182.957-73</t>
  </si>
  <si>
    <t>289.177.388.85</t>
  </si>
  <si>
    <t>19.197.454/00001-22</t>
  </si>
  <si>
    <t>16.614.265/0001-10</t>
  </si>
  <si>
    <t>08.038.525/0001-28</t>
  </si>
  <si>
    <t>04.151.319/0001-79</t>
  </si>
  <si>
    <t>27.282.282/0001-23</t>
  </si>
  <si>
    <t>Extrato</t>
  </si>
  <si>
    <t>2022/56</t>
  </si>
  <si>
    <t>2022/35</t>
  </si>
  <si>
    <t>2022/894</t>
  </si>
  <si>
    <t>Transferência enviada</t>
  </si>
  <si>
    <t>Compra de 6 kilos de miçangas diversas para figurinos</t>
  </si>
  <si>
    <t>Contratação do profissional Ricardo Appezzato como debatedor para participar da mesa redondaNovos tempos, novas práticas:programação, gestão de equipes e processos colaborativos nas instituições culturais,que acontecerá no dia 6 de novembro das 15h às 17h</t>
  </si>
  <si>
    <t>Ricardo Appezzato</t>
  </si>
  <si>
    <t>Cide importação - Claire Lasolle</t>
  </si>
  <si>
    <t xml:space="preserve">Bruno Gonçalves </t>
  </si>
  <si>
    <t>RENATA FONSECA FELICISSIMO 10665267614</t>
  </si>
  <si>
    <t>091.167.466-78</t>
  </si>
  <si>
    <t>41.515.577/0001-06</t>
  </si>
  <si>
    <t>Serviço de assistente de produção e curadoria</t>
  </si>
  <si>
    <t xml:space="preserve"> Produtor de galerias.</t>
  </si>
  <si>
    <t>ISSQN referente a nota fiscal2022/2 -  Renata Fonseca Felicissimo 10665267614</t>
  </si>
  <si>
    <t>Produtor de galerias.</t>
  </si>
  <si>
    <t>ISSQN referente a nota fiscal2022/3 -  Renata Fonseca Felicissimo 10665267614</t>
  </si>
  <si>
    <t>Chão Da Feira Ltda</t>
  </si>
  <si>
    <t>ISSQN referente a Nota Fiscal 2022/9 - Chão Da Feira Ltda</t>
  </si>
  <si>
    <t>Plotacad Impressão Digital Ltda. - ME</t>
  </si>
  <si>
    <t xml:space="preserve">Confis 02/2022 </t>
  </si>
  <si>
    <t>Reemboldo referente ao INSS Retido e Patronal de RPAs 1551 - Cyntia Juliana e 1584 - Laryssa Martins</t>
  </si>
  <si>
    <t>IRRF de RPAs 1551 - Cyntia Juliana e 1584 - Laryssa Martins</t>
  </si>
  <si>
    <t>Coordenação Artística - Cinquentenário Operístico (16376-7)</t>
  </si>
  <si>
    <t>Coordenação Geral - Cinquentenário Operístico (16376-7)</t>
  </si>
  <si>
    <t>Coordenação Técnica - Cinquentenário Operístico (16376-7)</t>
  </si>
  <si>
    <t>Contratação de empresa responsável pelo serviço de manutenção e gerenciamento das atividades virtuais da Temporada de Ópera On-line 2021 :* Gerenciamento dos eventos online de 25 de agosto até dezembro de 2021 *Gerenciamento, registro videográfico e transmissão de 3 eventos (agosto, setembro ou outubro e dezembro) *Veiculação de 5 episódios de podcast * Monstra de Cinema e Ópera -4 mesas de debates que acontecerão na plataforma do Cine Humberto Mauro + e que deverão ser embedadas no site da Temporada de Ópera, onde a operação da transmissão não será de responsabilidade da empresa contratada, apenas colocar o link no site da Temporada com datas a serem definidas entre setembro e dezembro.</t>
  </si>
  <si>
    <t>Contratação de Mediador / Debatedora Flavia Furtado para integrar a Mesa 1 – Ópera, Cinema e cultura popular Que fará parte da programação da mostra Cinema e Ópera que acontece entre os dias 05 e 25 de outubro, transmitida pelo Youtube da Fundação Clóvis Salgado e retransmitido pela plataforma Cine Humberto Mauro Mais.</t>
  </si>
  <si>
    <t>Contratação da Mediadora/Debatedora Bruna Leite para integrar a Mesa 2 – Diversidade, reconhecimento - Os trabalhadores e o público da ópera na programação da mostra Cinema e Ópera que acontece entre os dias 05 e 25 de outubro. O debate da História Permanente do Cinema Especial Cinema e Ópera acontecerá no dia 13/10, às 19h e será transmitido pelo Youtube da Fundação Clóvis Salgado e retransmitido pela plataforma Cine Humberto Mauro Mais - com, em média, 1h30 de duração.</t>
  </si>
  <si>
    <t>Contratação do profissional Nelson Kunze como Mediador dia 23 de Outubro | 15 às 17h -Conversa 2 com João Guilherme Ripper</t>
  </si>
  <si>
    <t>ISS NF 2022/13 - Girassolina Produções Ltda</t>
  </si>
  <si>
    <t>ISS NF 2022/35 - HB Audiovisual Ltda</t>
  </si>
  <si>
    <t>ISS NF 2022/5 - Tradusom Tradução e Sonorização Ltda</t>
  </si>
  <si>
    <t>ISS NF 2022/44 - MW Viagens Inteligentes e Operadora e Agência Digital Ltda</t>
  </si>
  <si>
    <t>ISS NF 2022/45 - MW Viagens Inteligentes e Operadora e Agência Digital Ltda</t>
  </si>
  <si>
    <t>ISS NF 2022/46 - MW Viagens Inteligentes e Operadora e Agência Digital Ltda</t>
  </si>
  <si>
    <t>ISS NF 2022/894 - Administradora de Hoteis Cheverny Ltda</t>
  </si>
  <si>
    <t>ISS NF 2022/895 - Administradora de Hoteis Cheverny Ltda</t>
  </si>
  <si>
    <t>ISS NF 2022/10 - Murillo Corrêa e Cia Som e Luz Ltda</t>
  </si>
  <si>
    <t>ISS RPA 1554 - Márcio Massiere Carneiro</t>
  </si>
  <si>
    <t>ISS RPA 1561 - Luciana Monteiro Campelo</t>
  </si>
  <si>
    <t>ISS RPA 1569 - Ramon Nascimento Mundin</t>
  </si>
  <si>
    <t>ISS RPA 1585 - Joao Guilherme Ripper Vianna</t>
  </si>
  <si>
    <t>ISS RPA 1586 - João Luiz de Abreu Sampaio</t>
  </si>
  <si>
    <t>ISS RPA 1588 - Paulo Roberto Ferraz Von Zuben</t>
  </si>
  <si>
    <t>ISS RPA 1591 - Yuri Radtke Colossale</t>
  </si>
  <si>
    <t>ISS RPA 1592 - Livia Sabbag da Silva Ramos</t>
  </si>
  <si>
    <t>ISS NF 273 - Vlaanderen Produções Culturais</t>
  </si>
  <si>
    <t>ISS NF 315 - Iluminuras Produções Artistico-Culturais Ltda</t>
  </si>
  <si>
    <t>ISS NF 317 - Iluminuras Produções Artistico-Culturais Ltda</t>
  </si>
  <si>
    <t>ISS NF 371 - S P Bizzeti Produções Culturais Ltda</t>
  </si>
  <si>
    <t>2 serviços de afinação de piano para os concertos dos dias 22 e 23/02,‘’Sinfônica e Lírico em Concerto’’ em homenagem a Villa-Lobos no grande teatro cemig Palácio das Artes.</t>
  </si>
  <si>
    <t>Profissional Nelson Kunze - Revista Concerto para criação de Série de 5 episódios de podcast (conteúdo em áudio) para ser disponibilizado durante a Temporada, com cerca de 45 minutos de duração cada.</t>
  </si>
  <si>
    <t>Contratação do Mediador / Debatedor Joao Cachopo para integrar a mesa 3 – Ópera: Arte Viva! Arte integrada! Que fará parte da programação da mostra Cinema e Ópera que acontece entre os dias 05 e 25 de outubro, transmitida pelo Youtube da Fundação Clóvis Salgado e retransmitido pela plataforma Cine Humberto Mauro Mais.</t>
  </si>
  <si>
    <t>IOF a Recolher ref. Pagamento via Câmbio - João Pedro B. G. Cachopo</t>
  </si>
  <si>
    <t>IRRF ref. Pagamento via Câmbio - João Pedro B. G. Cachopo</t>
  </si>
  <si>
    <t>Tarifa remessa ref.  Pagamento via Câmbio - João Pedro B. G. Cachopo</t>
  </si>
  <si>
    <t>Contratação de Lucas Nogueira como solista.</t>
  </si>
  <si>
    <t>Cofins ref. Pagamento via Câmbio - João Pedro B. G. Cachopo</t>
  </si>
  <si>
    <t>Compra de materiais diversos de aviamento conforme lista em anexo.</t>
  </si>
  <si>
    <t xml:space="preserve">Contratação de 1 assistente de produção, 1 assistente de compras e 1 assistente de elenco. </t>
  </si>
  <si>
    <t>Compra de Caldeirão 40:Altura: 37cmDiâmetro: 40cmLargura: 42 cmComprimento: 51cmCapacidade: 45 Litros (modelo na foto em anexo) 1 Registro e 1 mangueira para gás para o fogão das fotos em anexo.</t>
  </si>
  <si>
    <t>Coordenação Artística - Cinquentenário Operístico</t>
  </si>
  <si>
    <t xml:space="preserve">Coordenação Geral - Cinquentenário Operístico </t>
  </si>
  <si>
    <t>Coordenação Técnica - Cinquentenário Operístico</t>
  </si>
  <si>
    <t>Contratação de assistente de produção, período de 21/02 a 21/06/2022, remoto e presencial de acordo com a necessidade da Gerência de Produção da FCS.</t>
  </si>
  <si>
    <t>Contratação da profissional Cláudia Alvarenga para participar como mediadorado evento realizado no dia 27de novembro das 15h às 16h30.</t>
  </si>
  <si>
    <t>INSS retido em folha do mês 03/2022</t>
  </si>
  <si>
    <t>2022/78560</t>
  </si>
  <si>
    <t>ISSQN referente a nota fiscal 2022/78560 - Cons Operacional de Transporte Coletivo</t>
  </si>
  <si>
    <t>2022/77118</t>
  </si>
  <si>
    <t>ISSQN referente a nota fiscal 2022/77118- Consórcio Ótimo de Bilhetagem Eletrônica</t>
  </si>
  <si>
    <t>2022/89010</t>
  </si>
  <si>
    <t>ISSQN referente a nota fiscal 2022/89010 - Cons Operacional de Transporte Coletivo</t>
  </si>
  <si>
    <t>IR retido férias Gerente de Projetos</t>
  </si>
  <si>
    <t>IR retido férias Diretor Financeiro</t>
  </si>
  <si>
    <t>IR retido férias Presidente</t>
  </si>
  <si>
    <t>Contratação de um sistema de gestão acadêmica com, hospedagem em nuvem, para monitoramento e acompanhamento das atividades complementares e demais atividades de Secretaria Acadêmica do CEFART no ano de 2021.  Aditivo</t>
  </si>
  <si>
    <t>Processo 1501 - Softwares De Gestão Ltda</t>
  </si>
  <si>
    <t>Tabela 11 - Lista de Trabalhadores e Estagiários com Vínculo ao Contrato de Gestão em 2022</t>
  </si>
  <si>
    <t>Superintendente de Auditoria</t>
  </si>
  <si>
    <t xml:space="preserve">Presidente </t>
  </si>
  <si>
    <t xml:space="preserve">40 hs </t>
  </si>
  <si>
    <t>Appa</t>
  </si>
  <si>
    <t>Diretor Financeiro</t>
  </si>
  <si>
    <t>Coordenador Administrativo</t>
  </si>
  <si>
    <t>Analista Financeiro Pleno</t>
  </si>
  <si>
    <t>Auxiliar de Serviços Gerais</t>
  </si>
  <si>
    <t>Produtor Cultural: Produção Artística</t>
  </si>
  <si>
    <t>Montador DIART</t>
  </si>
  <si>
    <t>Gerente de Projetos: Programação Artística</t>
  </si>
  <si>
    <t>Montador DIPRO</t>
  </si>
  <si>
    <t>Assessor Pedagógico: Formação Artística e Tecnológica</t>
  </si>
  <si>
    <t xml:space="preserve">Regente Assistente </t>
  </si>
  <si>
    <t>Pianista</t>
  </si>
  <si>
    <t>Arquivista</t>
  </si>
  <si>
    <t>Músico Cantor</t>
  </si>
  <si>
    <t>Analista de RH</t>
  </si>
  <si>
    <t>Bailarina</t>
  </si>
  <si>
    <t>Bailarino</t>
  </si>
  <si>
    <t>Andréia Aparecida de Paula</t>
  </si>
  <si>
    <t>Ariadna Fernandes</t>
  </si>
  <si>
    <t>Cristiano Gomes da Rocha</t>
  </si>
  <si>
    <t xml:space="preserve">Elias Magalhães Moreira </t>
  </si>
  <si>
    <t>Indaiara Silva Santos Patrocínio</t>
  </si>
  <si>
    <t>Maria da Penha Vasconcelos Batista Sabeti</t>
  </si>
  <si>
    <t>Mariana Correa de Oliveira</t>
  </si>
  <si>
    <t>Silvia Maurício de Souza Neves</t>
  </si>
  <si>
    <t>Anahi poty Corteletti Jimenez</t>
  </si>
  <si>
    <t>Eliatrice Gisschewski Souza</t>
  </si>
  <si>
    <t>Maira Campos de Freitas Lucas</t>
  </si>
  <si>
    <t xml:space="preserve">014.275.836-17 </t>
  </si>
  <si>
    <t>102.562.506-42</t>
  </si>
  <si>
    <t>954.757.026-91</t>
  </si>
  <si>
    <t>694.430.171-72</t>
  </si>
  <si>
    <t>30 hs</t>
  </si>
  <si>
    <t>20 hs</t>
  </si>
  <si>
    <t>FCS</t>
  </si>
  <si>
    <t>Bárbara Cristina de Sousa Maia</t>
  </si>
  <si>
    <t>107.034.856-28</t>
  </si>
  <si>
    <t>Coordenadora de Comunicação</t>
  </si>
  <si>
    <t>Ludmilla Ferrara Moraes</t>
  </si>
  <si>
    <t>108.344.466-26</t>
  </si>
  <si>
    <t>Renzo Albierre da Costa</t>
  </si>
  <si>
    <t>085.709.626-57</t>
  </si>
  <si>
    <t>ISSQN referente a nota fiscal 2022/1240 - F6 Sistemas De Informatica Ltda</t>
  </si>
  <si>
    <t>Reembolso do INSS e INSS Patronal ref.  RPA 1554 - Márcio Massiere Carneiro</t>
  </si>
  <si>
    <t>Reembolso do INSS e INSS Patronal ref.  RPA 1561 - Luciana Monteiro Campelo</t>
  </si>
  <si>
    <t>Reembolso do INSS e INSS Patronal ref. RPA 1569 - Ramon Nascimento Mundin</t>
  </si>
  <si>
    <t>Reembolso do INSS e INSS Patronal ref. RPA 1585 - Joao Guilherme Ripper Vianna</t>
  </si>
  <si>
    <t>Reembolso do INSS e INSS Patronal ref. RPA 1586 - João Luiz de Abreu Sampaio</t>
  </si>
  <si>
    <t>Reembolso do INSS e INSS Patronal ref. RPA 1588 - Paulo Roberto Ferraz Von Zuben</t>
  </si>
  <si>
    <t>Reembolso do INSS e INSS Patronal ref.  RPA 1591 - Yuri Radtke Colossale</t>
  </si>
  <si>
    <t>Reembolso do INSS e INSS Patronal ref. RPA 1592 - Livia Sabbag da Silva Ramos</t>
  </si>
  <si>
    <t>Curadoria e Pesquisa da Mostra de Cinema e Ópera da Temporada de Ópera online 2021. Descrição completa na proposta</t>
  </si>
  <si>
    <t>Reembolso do INSS e INSS Patronal ref. RPA 1587 - Marcos Santos Mota</t>
  </si>
  <si>
    <t>Reembolso do IRRF ref.  RPA 1561 - Luciana Monteiro Campelo</t>
  </si>
  <si>
    <t>Reembolso do IRRF ref. RPA 1569 - Ramon Nascimento Mundin</t>
  </si>
  <si>
    <t>Reembolso do IRRF ref. RPA 1586 - João Luiz de Abreu Sampaio</t>
  </si>
  <si>
    <t>Reembolso do IRRF ref.  RPA 1554 - Márcio Massiere Carneiro</t>
  </si>
  <si>
    <t>PCC ref. NF 2022/5 - Tradusom Tradução e Sonorização Ltda</t>
  </si>
  <si>
    <t>IRRF ref. NF 2022/5 - Tradusom Tradução e Sonorização Ltda</t>
  </si>
  <si>
    <t>Reemboldo referente ao INSS Retido e Patronal de RPAs 1578 - Suellen Silva Araújo Magalhães</t>
  </si>
  <si>
    <t>Reemboldo referente ao INSS Retido e Patronal de RPAs 1579 - Natália Fernandes Azevedo Barbosa</t>
  </si>
  <si>
    <t>Reemboldo referente ao INSS Retido e Patronal de RPAs 1590 - Diogo Veira de Melo</t>
  </si>
  <si>
    <t>Reemboldo referente ao INSS Retido e Patronal de RPAs 1593 - Dominick Lattuada</t>
  </si>
  <si>
    <t xml:space="preserve">Reemboldo referente ao INSS Retido e Patronal de RPAs 1594 - Luiza Poeiras </t>
  </si>
  <si>
    <t>Reemboldo referente ao INSS Retido e Patronal de RPAs 1594 - Brenno Theotonio</t>
  </si>
  <si>
    <t>Reemboldo referente ao INSS Retido e Patronal de RPAs 1596 - Bianca Furtado Penha</t>
  </si>
  <si>
    <t>Reemboldo referente ao INSS Retido e Patronal de RPAs 1597 - Daniela Coelho Brandão</t>
  </si>
  <si>
    <t>IRRF de RPA 1579 - Natália Fernandes Azevedo Barbosa</t>
  </si>
  <si>
    <t>IRRF de RPA 1590 - Diogo Veira de Melo</t>
  </si>
  <si>
    <t>IRRF de RPAs 1593 - Dominick Lattuada</t>
  </si>
  <si>
    <t xml:space="preserve">IRRF de RPAs 1594 - Luiza Poeiras </t>
  </si>
  <si>
    <t>IRRF de RPAs 1594 - Brenno Theotonio</t>
  </si>
  <si>
    <t>IRRF  de RPAs 1596 - Bianca Furtado Penha</t>
  </si>
  <si>
    <t>IRRF de RPAs 1597 - Daniela Coelho Brandão</t>
  </si>
  <si>
    <t>Reembolso do INSS e INSS Patronal ref.  RPA 1553 - Angela Peres de Oliveira</t>
  </si>
  <si>
    <t>IRRF ref.  RPA 1553 - Angela Peres de Oliveira</t>
  </si>
  <si>
    <t>Compra de 10 pacotes de pró pé e05 rolos de 15 cm de largura de atadura.</t>
  </si>
  <si>
    <t>13.612.214/0001-60</t>
  </si>
  <si>
    <t>Compra de 3 camisa branca básica de malha com manga curta - tamanho médio</t>
  </si>
  <si>
    <t>12.408.713/0001-78</t>
  </si>
  <si>
    <t>Serviço de impressão digital em Fine Art das obras que compõem a exposição Órbita Gráfica, que acontece na Galeria Genesco Murta, no Palácio das Artes, de abril a junho de 2022.</t>
  </si>
  <si>
    <t>15.376.792/0001-70</t>
  </si>
  <si>
    <t>Contratação de Marcelo Cordeiro, Diretor de palco para o espetáculo. Contratação de Profissional para direção de palco mediante as necessidade técnicas do espetáculo, liderando as equipes de maquinistas, contrarregras e demais assistentes, informando as deixas marcadas em partitura com os movimentos cênicos e ações de cada cena da ópera. Faz-se necessária contratação do profissional em apoio as ações nos ensaios e apresentações a serem realizadas nas cidades de Ouro Preto e Belo Horizonte/MG.</t>
  </si>
  <si>
    <t>19.627.596/0001-82</t>
  </si>
  <si>
    <t>Contratação de profissional para elaboração de tradução e roteiro audiodescritivo para as duas obras do artista Jarbas Juares para a Chama Mostra da Escola de artes Visuais / Cefart. (material produzido para faixa narrativa adicional para pessoas com deficiência visual, intelectual, dislexia e idosos, consumidores de meios de comunicação.)</t>
  </si>
  <si>
    <t>Contratação de profissionalconservador/restaurador,responsável pela feitura e conferência dos laudos de estado de conservação das obras da exposição Nemer - Aquarelas Recentes, que estará em exposição da grande galeria, Alberto da Veiga Guignard, do Palácio das Artes/ Fundação Clóvis Salgado de 19 de abril a 5 de junho de 2022.3 diárias - (2 para a montagem e 1 para a conferência na desmontagem)</t>
  </si>
  <si>
    <t>Presidente</t>
  </si>
  <si>
    <t>CPF 067.186.996-59</t>
  </si>
  <si>
    <t>Contratação de carro executivo para visita técnica e reconhecimento de campo do novo lugar de montagem do espetáculo da ópera, considerando trecho BH x Ouro Preto x BH dia 07/04 - Saída Palácio das Artes às 7 hs chegada na Igreja São Francisco em Ouro Preto e retorno entre 12:30 e 13h30 no mesmo dia.</t>
  </si>
  <si>
    <t>Serviços administrativos em apoio ao setor de comunicação da APPA</t>
  </si>
  <si>
    <t>Confecção de 24 camisas pretas (malha penteado) com silk em sublimação atrás e logomarca na frente. As camisetas serão utilizadas como uniforme pelos monitores das galerias da Fundação Clóvis Salgado que fazem o atendimento ao público visitante.</t>
  </si>
  <si>
    <t>Água e Esgoto da Sede da Appa mês 04/2022</t>
  </si>
  <si>
    <t>Compra de 8,6 metros de couro napa.</t>
  </si>
  <si>
    <t>25.175.027/0001-46</t>
  </si>
  <si>
    <t>Compra de 5 metros de veludo</t>
  </si>
  <si>
    <t>Compra de 2 placas de isopor.</t>
  </si>
  <si>
    <t>17.439.795/0001-31</t>
  </si>
  <si>
    <t>Compra de 2 peças de esteiras e 4 chapeis para composição de figurino e adereço.</t>
  </si>
  <si>
    <t>17.464.553/0001-06</t>
  </si>
  <si>
    <t>04.125.446/0001-01</t>
  </si>
  <si>
    <t>Compra de 2 peças de entretela cavalinha.</t>
  </si>
  <si>
    <t>Compras de material para atender demanda de manutenção física dos bailarinos.</t>
  </si>
  <si>
    <t>29.893.037/0001-78</t>
  </si>
  <si>
    <t>Contratação de profissional responsável pela Coordenação de ações de programação e curadoria do FestCurtasBH,</t>
  </si>
  <si>
    <t>Contratação de Reinaldo Oliveira, ator figurante da Ópera Aleijadinho.</t>
  </si>
  <si>
    <t>Compra de 15 metros de tecido Prada, 3 metros de jacquard e 3,5 kilos de viscose para composição de figurino e adereço.</t>
  </si>
  <si>
    <t xml:space="preserve">07.833.383/0001-28
</t>
  </si>
  <si>
    <t>Compra de 5 chapeis para composição de figurino e adereço.</t>
  </si>
  <si>
    <t>Contratação de Renan Oliveira, ator figurante da Ópera Aleijadinho.</t>
  </si>
  <si>
    <t>Contratação de serviço de Júnia Bertolino, profissional para criação coreográfica de dança afro-brasileiro para a Ópera Aleijadinho</t>
  </si>
  <si>
    <t>366.056.895-34</t>
  </si>
  <si>
    <t>34.934.909/0001-39</t>
  </si>
  <si>
    <t>Contratação de fornecedor para confecção de elementos cenográficos.</t>
  </si>
  <si>
    <t>30 cordões pretos com presilha de jacaré. Os cordões servirão para sustentar o crachá dos monitores das exposições das galerias da Fundação Clóvis Salgado.</t>
  </si>
  <si>
    <t>43.283.811/0001-50</t>
  </si>
  <si>
    <t>Compra de tecido: 30 metros de tecido tropical e 45 metros de tecido plush</t>
  </si>
  <si>
    <t>Compra de40 Lâmpadas bolinha de 40W/127V Incandescente E27 luz amarela ou 40 lâmpadas bolinha de Led 7W/127v, luz quente E27 e 40 kits abajour (Rabicho 1,5 metros para abajour, soquete coluna E27, Niple M10-25 mm, porca M10, 2 fitas isolantes líquida para eletricidade)</t>
  </si>
  <si>
    <t>Nível a laser para auxiliar nas montagens de exposições do Palácio das Artes e da Câmera Sete. Modelo do nível a ser comprado: Nível a Laser 2 Linhas Vermelho 12m com Bolsa GLL 2-12 - BOSCH-0601063BG0-000</t>
  </si>
  <si>
    <t>29.302.348/0001-15</t>
  </si>
  <si>
    <t>Contratação de empresa do ramo de transporte para carga e descarga de cenários, instrumentos musicais, materiais de figurinos, adereços e afins - Ópera Aleijadinho</t>
  </si>
  <si>
    <t xml:space="preserve">Contratação de 20 agentes de limpeza para o dia do espetáculo (29/04) e 2 agentes para o dia do ensaio geral (27/04) em atendimento a todas as áreas do espetáculo: palco, espaço dos convidados, espaço do público, camarins, área para lanche e etc. </t>
  </si>
  <si>
    <t>10.552.942/0001-36</t>
  </si>
  <si>
    <t>Compra de 178 tubos de fixador/tingicor e 1 caixa de alfinetes .</t>
  </si>
  <si>
    <t>Compra de tintas para preparação do espaço expositivo da exposição Nemer - Aquarelas Recentes que ficará em cartaz do dia 19 de abril de 2022 a 5 de junho de 2022, na Grande Galeria, Alberto da Veiga Guignard no Palácio das Artes/ Fundação Clóvis Salgado.Cor:cor “Nevoa da manhã” da Suvinil.2 galões de 18L</t>
  </si>
  <si>
    <t>Instalação de "27 cantoneiras de 20cm de comprimento" para suporte dos quadros, conforme especificações de montagem, para a exposição "Nemer - Aquarelas Recentes" que estará na grande galeria do Palácio das Artes, Alberto da Veiga Guignard/ Fundação Clóvis Salgado</t>
  </si>
  <si>
    <t>35.810.363/0001-77</t>
  </si>
  <si>
    <t xml:space="preserve">Debatedor para História Permanente do Cinema, dia 25/04/2022 às 19h, sobre o filmeDuas Vidas, de Leo McCarey.O evento será online, transmitido pelo canal do youtube da FCS. </t>
  </si>
  <si>
    <t>013.693.896-55</t>
  </si>
  <si>
    <t xml:space="preserve">Contratação de agentes de segurança desarmados </t>
  </si>
  <si>
    <t>Contratação de equipe de carregadores para carga e descarga de cenários, montagem de palco e auxílio em transportar instrumentos e materiais de figurinos, adereços e iluminação em Ouro Preto/MG</t>
  </si>
  <si>
    <t>Contratação de transfer sem receptivo para chegada de solista e equipe de Direção:Confins para hotel Cheverny em Belo Horizonte 17/04</t>
  </si>
  <si>
    <t>13.925.242/0001-38</t>
  </si>
  <si>
    <t>Contratação de serviço de locação de banheiros químicos, para atender as necessidades da ópera</t>
  </si>
  <si>
    <t>Contratação de Kiandewane, ator figurante da Ópera Aleijadinho.</t>
  </si>
  <si>
    <t>40.747.780/0001-52</t>
  </si>
  <si>
    <t>Compra de tecido: 81 metros de tecidos</t>
  </si>
  <si>
    <t xml:space="preserve">26.252.213/0001-02
</t>
  </si>
  <si>
    <t xml:space="preserve">Serviço de Impressão digital de legendas expositivas para as obras da exposição Órbita Gráfica, que acontece na Galeria Genesco Murta do Palácio das Artes </t>
  </si>
  <si>
    <t>Compra de tecido: 46 metros de linho | 5 metros de viscose | 8,9 metros de paramount | 6 metros de tecido bordado | 5 metros de renda | 3 metros de americano crú e 1 peça de tira bordada.</t>
  </si>
  <si>
    <t>07.943.881/0001-23</t>
  </si>
  <si>
    <t>Impressões gráficas</t>
  </si>
  <si>
    <t>Contratação de 2 carregadores para atender as demandas do CLMG relacionada a montagem e desmontagem dos ensaios e apresentações dia 01/04/2022.</t>
  </si>
  <si>
    <t>Contratação de Assistente de Iuminação para apoiar as demandas relativas ao mês de Abril no Grande Teatro/ Fundação Clóvis Salgado e as apresentações do CLMG e OSMG.</t>
  </si>
  <si>
    <t>Compra de 1 kilo de arame, 12 fitas crepe e pacotes de cola de contato.</t>
  </si>
  <si>
    <t>Contratação de Nando Freitas convidado como Iluminador assistente, com expertise em apoio na montagem e operação para atender as demandas da ópera inédita "Aleijadinho" nas ações em Ouro Preto e Belo Horizonte.</t>
  </si>
  <si>
    <t>43.938.027/0001-32</t>
  </si>
  <si>
    <t>Serviço de impressão digital e plotagem do material gráfico que compõe a exposição Órbita Gráfica:painéis expositivos, textos, legendas de identificação de acervo e adesivos de sinalização. A lista com a quantidade e dimensões de impressões está em anexo. Serviço deve prever a instalação e retirada dos adesivos.</t>
  </si>
  <si>
    <t>Contratação de serviço de sonorização e captação de áudio, conforme descritivo em anexo em atendimento a Ópera Aleijadinho na cidade de Ouro Preto</t>
  </si>
  <si>
    <t>Plotagem de sinalização da Grande Galeria e da fachada do Palácio das Artes:Contratação de serviço de comunicação visual, instalação de plotagem para os textos da exposição "Nemer - Aquarelas Recentes". A instalação deverá ser realizada na Grande Galeria Alberto da Veiga Guignard/ Fundação Clóvis Salgado, que ficará em cartaz do dia 19 de Abril a 05 e Junho/2022. A plotagem deve ser realizada nos dias 18 e 19 de abril, e a retirada dos adesivo a partir do dia a acordar com a produção da exposição.</t>
  </si>
  <si>
    <t xml:space="preserve">Locação de 2 estruturas de piso de palco + mesa pranchão: * 01 Piso de palco </t>
  </si>
  <si>
    <t>42.071.051/0001-54</t>
  </si>
  <si>
    <t>Contratação da monitora Amanda Luize Pontes para acompanhamento do público durante a visitação na exposição "Órbita Gráfica" na Galeria Genesco Murta, no turno da manhã, 09h, às 15h durante o período expositivo, no período de 09 de abril de 2022 a 05 de junho de 2022, no Palácio das Artes.</t>
  </si>
  <si>
    <t>080.815.466-42</t>
  </si>
  <si>
    <t>Contratação de Assistente de Iluminação para apoiar as demandas relativas ao mês de Abril no Grande Teatro/ Fundação Clóvis Salgado e as apresentações do CLMG e OSMG.</t>
  </si>
  <si>
    <t>Locação de estrutura de arquibancada e plataforma para apresentação da Ópera Aleijadinho em Ouro Preto/MG - Montagem dia 18/04.* 01 Piso de palco para arquibancada público medindo 12,00x10,00M, estruturado em andaime, revestido em mdf compensado, acabamento em carpete preto.* 02 Pisos de palco para arquibancada público medindo 15,00x3,00M, estruturado em andaime, revestido em mdf compensado, acabamento em carpete preto.</t>
  </si>
  <si>
    <t>Compra de 1 metro de tecido especial bordado, 1 metro de renda nice, 1 metro de tecido elegance e 1 metro de renda london</t>
  </si>
  <si>
    <t>Compra de 2 chapéus.</t>
  </si>
  <si>
    <t>00.266.501/0001-14</t>
  </si>
  <si>
    <t>Frete das telas plotadas (processo 3287) parte do cenário que será utilizado na apresentação da Ópera Aleijadinho em Ouro Preto.</t>
  </si>
  <si>
    <t xml:space="preserve">03.395.341/0001-00
</t>
  </si>
  <si>
    <t>Contratação de operador de luz como técnico de palco - Assistente de Iluminação - para apoiar as demandas relativas ao mês de Abril no Grande Teatro/ Fundação Clóvis Salgado e as apresentações do CLMG e OSMG.</t>
  </si>
  <si>
    <t xml:space="preserve">
040.066.516-60</t>
  </si>
  <si>
    <t>25.369.828/0001-42</t>
  </si>
  <si>
    <t>Compra de 1 máquina de pressão para pregar botões ilhós</t>
  </si>
  <si>
    <t>Contratação de ferramenta para impulsionamento em mídias sociais - Instagram na divulgação da Ópera Aleijadinho em Ouro Preto e Belo Horizonte.</t>
  </si>
  <si>
    <t>25.021.356/0001-32</t>
  </si>
  <si>
    <t>063.300.756-03</t>
  </si>
  <si>
    <t>Compra de 4 chapéus.</t>
  </si>
  <si>
    <t>Contratação de equipe Brigada de Incêndio para evento em Ouro Preto. Brigadistas equipados. 18/04/22 à 28/04/2022 - -2 profissionais por dia (12 horas), 1 homem e 1 mulher 29/04/2022 - 2 profissionais para cada 100 pessoas (previsão de público: 2000)</t>
  </si>
  <si>
    <t>Locação de 18 refletores de luz fresnel de 2K com técnicos operadores para iluminação do palco do Grande Teatro Palácio das Artes.</t>
  </si>
  <si>
    <t>Compra de 1 metro de renda pedraria.</t>
  </si>
  <si>
    <t>Contratação de uma empresa para produção de VT de divulgação da Ópera para veiculação na mídia. Tempo de VT 0'30; Produção de Spot com divulgação da ópera nas rádios de BH e Ouro Preto;. Produção de Teaser com chamada para a Ópera, tempo de 0'30 para ser veiculado na internet e wpp.Gravação de áudio de abertura e agradecimentos que será passado na hora da abertura da estreia em O.P. Necessitamos de gravação para um áudio de até 3 minutos.</t>
  </si>
  <si>
    <t>16.481.402/0001-95</t>
  </si>
  <si>
    <t>Contratação de Raquel Carneiropara a participação como fagotista junto a Orquestra Sinfônica de Minas Gerais.19 e 20/04 no Grande Teatro Cemig Palácio das Artes27 e 29/04 na Cidade de Ouro Preto - MG08/05 no Parque Municipal Américo Renné Giannetti12, 14, 16, 18 e 20/05 no Grande Teatro Cemig Palácio das Artes 28/05 em Concerto Externo a definir02/06 no Grande Teatro Cemig Palácio das Artes12/06 no Parque Municipal Américo Renné Giannetti15, 28 e 29/06 no Grande Teatro Cemig Palácio das Art</t>
  </si>
  <si>
    <t>22.412.356/0001-75</t>
  </si>
  <si>
    <t>Compra de 68 metros de foi cordão paralelo (fio) e 40 peças plug macho 10A para utilização na parte de iluminação do espetáculo.</t>
  </si>
  <si>
    <t>090.657.266-59</t>
  </si>
  <si>
    <t>Compra de botões, colchetes, tesouras, fitas de veludo, fitas gorgurão e sintexcor</t>
  </si>
  <si>
    <t>Impressões gráficas: FLYER – 15cm x 21cm. QUANTIDADE: 1.000 exemplares. Especificações: 4X4 cores / papel couchê fosco de 90 - Ouro Preto</t>
  </si>
  <si>
    <t>Contratação de agência de comunicação para gestão das mídias digitais (Facebook e Instagram) da Fundação Clóvis Salgado</t>
  </si>
  <si>
    <t>Contratação do montador Ronaldo Braz da Silva para a montagem da exposição"Nemer - Aquarelas Recentes ",que ficará na grande galeria Alberto da Veiga Guignard / Fundação Clóvis Salgado do dia 19 de abril a 5 de junho de 2022</t>
  </si>
  <si>
    <t>Contratação da montadora Morgana Fonseca de Alvarenga Mafra para a montagem da exposição"Nemer - Aquarelas Recentes ",que ficará na grande galeria Alberto da Veiga Guignard / Fundação Clóvis Salgado do dia 19 de abril a 5 de junho de 2022.</t>
  </si>
  <si>
    <t>Contratação do montador Jaider Laerdson da Silva Miranda para a montagem da exposição"Nemer - Aquarelas Recentes ",que ficará na grande galeria Alberto da Veiga Guignard / Fundação Clóvis Salgado do dia 19 de abril a 5 de junho de 2022.</t>
  </si>
  <si>
    <t>Tipo de Processo</t>
  </si>
  <si>
    <t>Reembolso proporcional realizado pela conta da Appa referente ao pagamento Seguro de Vida do mês 03/2022</t>
  </si>
  <si>
    <t>Reembolso proporcional realizado pela conta do projeto Anglo referente ao pagamento Medicina do Trabalho do mês 03/2022</t>
  </si>
  <si>
    <t>Reembolso proporcional realizado pela conta do TP 50/2020 IEPHA  referente ao pagamento Medicina do Trabalho do mês 03/2022</t>
  </si>
  <si>
    <t>Reembolso referente ao estorno da compra de roupas/uniforme para os montadores da OSMG, conforme descrição: Alexandre: calça 42 | camisa social manga cumprida nº 3 - 2 unidades de cada, cor preta Carlos: calça 42 | camisa social manga cumprida nº 4 - 2 unidades de cada - cor preta</t>
  </si>
  <si>
    <t>Férias  do Diretor Financeiro</t>
  </si>
  <si>
    <t>Valor referente a Medicina do Trabalho do mês 03/2022 - PPRA</t>
  </si>
  <si>
    <t>2022/4897</t>
  </si>
  <si>
    <t>ISSQN referente a nota fiscal 2022/4897 -  Ocupacional Medicina do Trabalho Ltda</t>
  </si>
  <si>
    <t>PCC referente a nota fiscal 2022/4897 -  Ocupacional Medicina do Trabalho Ltda</t>
  </si>
  <si>
    <t>2022/4898</t>
  </si>
  <si>
    <t>ISSQN referente a nota fiscal 2022/4898 -  Ocupacional Medicina do Trabalho Ltda</t>
  </si>
  <si>
    <t xml:space="preserve">Reembolso parcial da conta do Termo de Parceria 50/2020 - IEPHA, referente contratação de empresa de setor administrativo especializada em entidades do terceiro setor  para o Contrato de Gestão 05/2019 e Termo de Parceria 50/2020 (mês 03/2022) - 26,41% do valor total </t>
  </si>
  <si>
    <t>2022/97406</t>
  </si>
  <si>
    <t xml:space="preserve">ISSQN referente a nota fiscal 2022/97406 - Cons Operacional de Transporte </t>
  </si>
  <si>
    <t>2022/97461</t>
  </si>
  <si>
    <t xml:space="preserve">ISSQN referente a nota fiscal 2022/97461 - Cons Operacional de Transporte </t>
  </si>
  <si>
    <t>Americanas S.a.</t>
  </si>
  <si>
    <t>ISSQN referente a nota fiscal 2022/20 - Arco Cultural Ltda</t>
  </si>
  <si>
    <t>ISSQN referente a nota fiscal 2022/2 - Oficina Cc Ltda</t>
  </si>
  <si>
    <t>Férias da Gerente de Projetos Dipro</t>
  </si>
  <si>
    <t>Reembolso realizado pelo Termo de Parceria 50/2020 - IEPHA  referente ao percentual (26,41% do valor total), assessoria contábil para o Contrato de Gestão 05/2019 e Termo de Parceria referente ao mês 03/2022</t>
  </si>
  <si>
    <t>Reembolso realizado pelo Termo de Parceria 50/2020 - IEPHA referente ao percentual (26,41% do valor total), Contratação de prestação de serviços de desenvolvimento de sistemas e soluções para plataformas desktop/win, web e mobile, com foco na transformação digital da APPA</t>
  </si>
  <si>
    <t>2022/435</t>
  </si>
  <si>
    <t xml:space="preserve">IR  referente a nota fiscal 2022/435- Krypton Serviços Contábeis S. S. </t>
  </si>
  <si>
    <t xml:space="preserve">PCC referente a nota fiscal 2022/435- Krypton Serviços Contábeis S. S. </t>
  </si>
  <si>
    <t>Mcr Computadores E Rede Ltda</t>
  </si>
  <si>
    <t>Gerente de Projetos , referente ao mês 03/2022</t>
  </si>
  <si>
    <t>Salário do Músico Instrumentista, referente ao mês 03/2022</t>
  </si>
  <si>
    <t>Salário do Pianista, referente ao mês 03/2022</t>
  </si>
  <si>
    <t>Salário Gerente de Projetos Dipro, referente ao mês 03/2022</t>
  </si>
  <si>
    <t>Salário do Montador Diart, referente ao mês 03/2022</t>
  </si>
  <si>
    <t>Salário do Músico Cantora, referente ao mês 03/2022</t>
  </si>
  <si>
    <t>Salário do Músico Instrumentista, referente ao mês03/2022</t>
  </si>
  <si>
    <t>2022/98</t>
  </si>
  <si>
    <t xml:space="preserve">ISSQN referente a nota fiscal 2022/98 - Dolabella Advocacia e Consultoria </t>
  </si>
  <si>
    <t>Salário Bailarina, referente ao mês 03/2022</t>
  </si>
  <si>
    <t>Salário do Presidente referente ao mês 03/2022</t>
  </si>
  <si>
    <t>Salário do Coordenador Administrativo referente ao mês 03/2022</t>
  </si>
  <si>
    <t>Salário do Gerente de Projetos: Programação Artística referente ao mês 03/2022</t>
  </si>
  <si>
    <t>Salário do Superintendente de Auditoria, referente ao mês 03/2022</t>
  </si>
  <si>
    <t>Salário de Bailarina, referente ao mês 03/2022</t>
  </si>
  <si>
    <t>Salário de Músico Cantora, referente ao mês 03/2022</t>
  </si>
  <si>
    <t>Salário da Analista Financeiro Pleno, referente ao mês 03/2022</t>
  </si>
  <si>
    <t>Analista de RH , referente ao mês 03/2022</t>
  </si>
  <si>
    <t>Salário de Músico, referente ao mês 03/2022</t>
  </si>
  <si>
    <t>Salário do Regente Assistente, referente ao mês 03/2022</t>
  </si>
  <si>
    <t>Salário do Bailarino, referente ao mês 03/2022</t>
  </si>
  <si>
    <t>Salário da Músico Cantor, referente ao mês 03/2022</t>
  </si>
  <si>
    <t>Salário da Assessora Pedagógica, referente ao mês 03/2022</t>
  </si>
  <si>
    <t>Salário do Diretor Financeiro, referente ao mês 03/2022</t>
  </si>
  <si>
    <t>Salário da Produtora Cultural: Produção Artística, referente ao mês 03/2022</t>
  </si>
  <si>
    <t>Salário do Bailarina, referente ao mês 03/2022</t>
  </si>
  <si>
    <t>Salário do Produtora Cultural da Dipro, referente ao mês 03/2022</t>
  </si>
  <si>
    <t>Salário do Músico, referente ao mês 03/2022</t>
  </si>
  <si>
    <t>Salário da Coordenadora de Comunicação, referente ao mês 03/2022</t>
  </si>
  <si>
    <t xml:space="preserve"> Salário   Auxiliar de serviços Gerais, referente ao mês 03/2022</t>
  </si>
  <si>
    <t xml:space="preserve"> Salário  Arquivista, referente ao mês 03/2022</t>
  </si>
  <si>
    <t xml:space="preserve"> Salário  Músico Instrumentista, referente ao mês 03/2022</t>
  </si>
  <si>
    <t>Salário Músico Instrumentista, referente ao mês 03/2022</t>
  </si>
  <si>
    <t>Salário  Músico Cantor, referente ao mês 03/2022</t>
  </si>
  <si>
    <t>Salário  Músico Instrumentista, referente ao mês 03/2022</t>
  </si>
  <si>
    <t>Salário Montador Dipro, referente ao mês 03/2022</t>
  </si>
  <si>
    <t>Locação de espaço Igreja São Francisco de Assisna cidade de Ouro Preto, para montagem, ensaio, apresentação e desmontagem do espetáculo.</t>
  </si>
  <si>
    <t>Compra de 6 buquês de flores artificiais.</t>
  </si>
  <si>
    <t>16.834.005/0001-50</t>
  </si>
  <si>
    <t xml:space="preserve">29.332.712/0001-90
</t>
  </si>
  <si>
    <t>Projeto de prevenção contra incêndio e pânico (Plano de Intervenção contra incêndio; Controle de materiais de acabamento e revestimento; Aprovação do processo junto ao corpo de bombeiros; Acompanhamento da vistoria, Emissão de ART)</t>
  </si>
  <si>
    <t>1 caixa de Fósforo com 10 und cada;5 galões de Desinfetante com 5 litros cada;6 galões de Amaciante da marca Confort com 5 litros cada;5 galões de Água Sanitária com 5 litros cada;5 galões de Lisoform com 5 litros cada;5 galões de ÁlcoolLíquido com 5 litros cada;3 pacotes de Esponja de Aço (tipo Bombril).</t>
  </si>
  <si>
    <t>1000 und - Cabides de aço cromado REFORÇADO, com cava tintureiro; tamanho roupa adulto.</t>
  </si>
  <si>
    <t>Marcela de Oliveira</t>
  </si>
  <si>
    <t>Luciana Monteiro De Castro Silva E Dutra</t>
  </si>
  <si>
    <t>ISSQN referente ao RPA 1686 - Luciana Monteiro De Castro Silva E Dutra</t>
  </si>
  <si>
    <t>INSS e INSS Patronal referente ao RPA 1686 - Luciana Monteiro De Castro Silva E Dutra</t>
  </si>
  <si>
    <t>FGTS referente a folha de pagamento do mês 03/2022</t>
  </si>
  <si>
    <t>INSS e INSS Patronal referente ao RPA 1680 -  Alex Dias Mendes Moreira</t>
  </si>
  <si>
    <t>Lorenna Rocha Da Silva 08697548403</t>
  </si>
  <si>
    <t>Tarifa Bancária referente a transferência eletrônica referente ao pagamento do fornecedor: Alex Dias Mendes Moreira - Processo 3237</t>
  </si>
  <si>
    <t>Carlos De Sousa Correa 03044401593</t>
  </si>
  <si>
    <t>Tarifa Bancária referente a transferência eletrônica referente ao pagamento do fornecedor: Carlos De Sousa Correa 03044401593 - Processo 3151</t>
  </si>
  <si>
    <t>Tarifa Bancária referente a transferência eletrônica referente ao pagamento do fornecedor: Lorenna Rocha Da Silva 08697548403 - Processo 2965</t>
  </si>
  <si>
    <t>Tarifa Bancária referente a transferência eletrônica referente ao pagamento do fornecedor: Rf Locação &amp; Filmagem Ltda - Processo 3067</t>
  </si>
  <si>
    <t xml:space="preserve">ISSQN referente a Nota Fiscal 2022/9 - Rf Locação &amp; Filmagem Ltda </t>
  </si>
  <si>
    <t>Tarifa Bancária referente a transferência eletrônica referente ao pagamento do fornecedor: Mude Se Mude Arquitetura Cenografica Ltda - Processo 3142</t>
  </si>
  <si>
    <t>Mude Se Mude Arquitetura Cenografica Ltda</t>
  </si>
  <si>
    <t>ISSQN referente a nota fiscal 2022/2 - Mude Se Mude Arquitetura Cenografica Ltda</t>
  </si>
  <si>
    <t>Reembolso realizado pelo Termo de Parceria 50/2020 - IEPHA referente ao percentual (26,41% do valor total). Aquisição de sistema de ponto para utilização pelos colaboradores.</t>
  </si>
  <si>
    <t>Reembolso realizado pela Appa - Projeto Pronac  a conta do Contrato de Gestão referente ao pagamento de guia de FGTS  - 03/2022</t>
  </si>
  <si>
    <t>Reembolso realizado pelo Termo de Parceria 50/2020 - Iepha a conta do Contra de Gestão 005/2019 referente ao pagamento de guia de FGTS - Valor proporcional aos funcionários a serviço do TP 50/2020 - 03/2022</t>
  </si>
  <si>
    <t>Compra de materiais para composição de objetos cênicos</t>
  </si>
  <si>
    <t>13.482.024/0001-76</t>
  </si>
  <si>
    <t>Contratação de um montador para o CEFART paraAtender as demandas diárias das montagens de sala de aula para os professores, como: montagem de equipamentos, mesas de som, desmontagem e montagem de instrumentos musicais, barras de dança, equipamentos multimídia, etc.</t>
  </si>
  <si>
    <t>Empresa para locação de 2 geradores que deverá ser responsável pela emissão de ART, necessário técnico full time, mobilização e desmobilização, 50 m de cabo por fase, 30 m de passa cabo para espetáculo a ser realizado na cidade de Ouro Preto. Público estimado: 2.000 pessoas. 2 geradores de 150 kva ligado &amp;gt; Período: 24 a 29/04 Local:Largo de Coimbra, s/n - Centro, Ouro Preto - MG, 35400-000</t>
  </si>
  <si>
    <t>10.506.281/0001-02</t>
  </si>
  <si>
    <t>Testeira para impressão. 4 cores. Lona. Tamanho 2x2. Não tem acabamento, pois tem um espaço de sangria na arte. ( É necessário haver o espaço de sangria no produtor final).</t>
  </si>
  <si>
    <t>Reservas de hospedagens na cidade de Ouro Preto para atender a equipe de produção e parte da direção do espetáculo. Necessário hotel mais próximo à Igreja São Francisco de AssisLargo de Coimbra, s/n - Centro, Ouro Preto - MGpara a acompanhamento da montagem da Temporada de Ópera,</t>
  </si>
  <si>
    <t>07.823.833/0001-00</t>
  </si>
  <si>
    <t>Locação de 6 mesas de plástico goyana branca (sem as cadeiras, somente mesa para compor os ensaios).Período: 07/04 a 22/04/2022</t>
  </si>
  <si>
    <t>Contratação de equipe de carregadores para carga e descarga de cenários, montagem de palco e auxílio em transportar instrumentos e materiais de figurinos, adereços e iluminação em Belo Horizonte.</t>
  </si>
  <si>
    <t>Aquisição de 45 camisas de algodão, com estampa colorida para uso da equipe de produção da Ópera Aleijadinho,ópera inédita com estreia mundial na cidade de Ouro Preto no dia29 de Abril e nos dia 14, 16, 18 e 20 de Maio em Belo Horizonte, envolvendo os Corpos Artísticos da Fundação Clóvis Salgado, Orquestra Sinfônica de Minas Gerais, Coral Lírico de Minas Gerais, Cia de Dança Palácio das Artes, grande elenco de cantores solistas convidados e atores figurantes, concepção musical e Regência é do Maestro Silvio Viegas e Direção e Concepção cênica da Juliana Santos.</t>
  </si>
  <si>
    <t>10.644.604/0001-24</t>
  </si>
  <si>
    <t xml:space="preserve">Necessário contratação de ônibus e micro-ônibus para transporte de pessoal (equipe artística, corpos artísticos, equipe de produção) em função da apresentação da Ópera na cidade de Ouro Preto. De 26/04 a 30/04 </t>
  </si>
  <si>
    <t>30.910.834/0001-03</t>
  </si>
  <si>
    <t>Guia de ISSQN</t>
  </si>
  <si>
    <t>Carla Alice Apolinário</t>
  </si>
  <si>
    <t>ISSQN referente ao RPA 1688 - Carla Alice Apolinário</t>
  </si>
  <si>
    <t>INSS e INSS Patronal  referente ao RPA 1688 - Carla Alice Apolinário</t>
  </si>
  <si>
    <t xml:space="preserve">000.016.294
</t>
  </si>
  <si>
    <t xml:space="preserve">0222070362770
</t>
  </si>
  <si>
    <t xml:space="preserve">0222070363319
</t>
  </si>
  <si>
    <t xml:space="preserve">0222070369279
</t>
  </si>
  <si>
    <t xml:space="preserve">0222070369511
</t>
  </si>
  <si>
    <t xml:space="preserve">0222070369864
</t>
  </si>
  <si>
    <t xml:space="preserve">0222070370609
</t>
  </si>
  <si>
    <t>ISSQN referente a nota fiscal 2022/69  - Plotacad Impressão Digital Ltda. - ME</t>
  </si>
  <si>
    <t xml:space="preserve">222070372571
</t>
  </si>
  <si>
    <t xml:space="preserve">0222070373110
</t>
  </si>
  <si>
    <t>ISSQN referente a nota fiscal 2022/12 - Arco Cultural Ltda</t>
  </si>
  <si>
    <t xml:space="preserve">0222070373462
</t>
  </si>
  <si>
    <t xml:space="preserve">222070375163
</t>
  </si>
  <si>
    <t xml:space="preserve">0222070377700
</t>
  </si>
  <si>
    <t xml:space="preserve">0222070378774
</t>
  </si>
  <si>
    <t>ISSQN referente a nota fiscal 2022/74 - Atalho Produção Gráfica Ltda</t>
  </si>
  <si>
    <t xml:space="preserve">0222070381058
</t>
  </si>
  <si>
    <t xml:space="preserve">0222070384154
</t>
  </si>
  <si>
    <t xml:space="preserve">0222070384405
</t>
  </si>
  <si>
    <t>ISSQN referente a nota fiscal  2022/147520 - UNIMED BELO HORIZONTE COOPERATIVA DE TRABALHO MEDICO</t>
  </si>
  <si>
    <t>ISSQN referente a nota fiscal   2022/144092
- UNIMED BELO HORIZONTE COOPERATIVA DE TRABALHO MEDICO</t>
  </si>
  <si>
    <t xml:space="preserve">0222070385479
</t>
  </si>
  <si>
    <t xml:space="preserve">ISSQN referente a nota fiscal 202/2397 - PATRULHA ELETRONICA LTDA
</t>
  </si>
  <si>
    <t>Reembolso realizado pelo Termo de Parceria 50/2020 - IEPHA referente ao percentual (26,41% do valor total), Manutenção de hardware e redes, preventiva, preditiva e corretiva da sede da Appa - mês 03/2022</t>
  </si>
  <si>
    <t>Reembolso realizado pelo Termo de Parceria 50/2020 - IEPHA referente ao percentual (26,41% do valor total ) do aluguel/IPTU da sede da Appa referente ao mês 03/2022</t>
  </si>
  <si>
    <t>Reembolso realizado pelo Termo de Parceria 50/2020 - IEPHA referente a guia de IPTU - 3º parcela</t>
  </si>
  <si>
    <t>Reembolso realizado pelo Termo de Parceria 50/2020 - IEPHA referente ao percentual (26,41% do valor total), Segurança Eletrônica da Sede da APPA - mês 03/2022</t>
  </si>
  <si>
    <t>Reembolso realizado pelo Termo de Parceria 50/2020 - IEPHA referente ao percentual (26,41% do valor total) uso de táxi pelos funcionários a serviço do TP</t>
  </si>
  <si>
    <t>Aluguel da sede da Appa referente ao período de 10/04 a 09/05/2022</t>
  </si>
  <si>
    <t>Guia de IPTU 04/11</t>
  </si>
  <si>
    <t>Aluguel da sede da Appa referente ao período de 10/06 a 09/07/2022</t>
  </si>
  <si>
    <t>Guia de IPTU 06/11</t>
  </si>
  <si>
    <t>2022/673</t>
  </si>
  <si>
    <t>Fisiocare Comercio De Produtos Para Fisioterapia, Estetica E Home Care Eireli</t>
  </si>
  <si>
    <t>000.000.831</t>
  </si>
  <si>
    <t xml:space="preserve">2022/397 </t>
  </si>
  <si>
    <t xml:space="preserve"> Ponto Do Eletricista Ltda</t>
  </si>
  <si>
    <t>17.192.774/0005-98</t>
  </si>
  <si>
    <t xml:space="preserve">179243
</t>
  </si>
  <si>
    <t>M&amp;m Suprimentos Para Informática Ltda</t>
  </si>
  <si>
    <t>2022/38</t>
  </si>
  <si>
    <t>Gutielle Ribeiro Costa 12029219657</t>
  </si>
  <si>
    <t>Tarifa Bancária referente a transferência eletrônica pagamento fornecedor:   Gutielle Ribeiro Costa 12029219657 -  Processo 2931</t>
  </si>
  <si>
    <t xml:space="preserve">Reembolso parcial da conta do Termo de Parceria 50/2020 - IEPHA, referenteao uso de telefone fixo (mês 03/2022) - 26,41% do valor total </t>
  </si>
  <si>
    <t xml:space="preserve">Reembolso a conta do Contrato de Gestão 05/2019 referente a aquisição de materias de limpeza - 26,41% do valor total </t>
  </si>
  <si>
    <t>Telefone Fixo da sede da Appa referente ao mês03/2022</t>
  </si>
  <si>
    <t>13797282-MG</t>
  </si>
  <si>
    <t>Atacadão Material De Limpeza Ltda</t>
  </si>
  <si>
    <t>000.029.245</t>
  </si>
  <si>
    <t xml:space="preserve">ATALHO PRODUCAO GRAFICA LTDA
</t>
  </si>
  <si>
    <t>12.878.758/0001-06</t>
  </si>
  <si>
    <t>2022/74</t>
  </si>
  <si>
    <t>Tarifa Bancária referente a transferência eletrônica pagamento fornecedor:  ATALHO PRODUCAO GRAFICA LTDA - Processo 2179</t>
  </si>
  <si>
    <t>Tarifa Bancária referente a transferência eletrônica pagamento fornecedor:   Michelle Aparecida Da Silva Barreto 08651559682 - Processo 2711</t>
  </si>
  <si>
    <t xml:space="preserve"> Gurgelmix Máquinas E Ferramentas S.a.</t>
  </si>
  <si>
    <t>Compra de materiais para composição de objetos cênicos.</t>
  </si>
  <si>
    <t>COMERCIAL DAHANA LIMITADA</t>
  </si>
  <si>
    <t>00.070.509/0011-82</t>
  </si>
  <si>
    <t>Rita Venus Cordeiro Vieira 09741665458</t>
  </si>
  <si>
    <t xml:space="preserve"> Rf Locação &amp; Filmagem Ltda</t>
  </si>
  <si>
    <t>ISSQN referente a nota fiscal 2022/10 -  Rf Locação &amp; Filmagem Ltda</t>
  </si>
  <si>
    <t>2022/27</t>
  </si>
  <si>
    <t>ISSQN referente a nota fiscal 2022/27 - Mylene Youssef A Vieira - Produções E Eventos Epp</t>
  </si>
  <si>
    <t>Marise Dinis Sousa</t>
  </si>
  <si>
    <t>INSS e INSS Patronal referente ao RPA 1694 - Marise Dinis Sousa</t>
  </si>
  <si>
    <t>Tarifa Bancária referente a transferência eletrônica pagamento fornecedor:   COMERCIAL DAHANA LIMITADA - Processo 3359</t>
  </si>
  <si>
    <t>Tarifa Bancária referente a transferência eletrônica pagamento fornecedor:   Rita Venus Cordeiro Vieira 09741665458 - Processo 2959</t>
  </si>
  <si>
    <t>Tarifa Bancária referente a transferência eletrônica pagamento fornecedor:   Lucas Alexandre Teixeira 13035532605 - Processo 2712</t>
  </si>
  <si>
    <t>Tarifa Bancária referente a transferência eletrônica pagamento fornecedor:    Rf Locação &amp; Filmagem Ltda - Processo 3353</t>
  </si>
  <si>
    <t>Tarifa Bancária referente a transferência eletrônica pagamento fornecedor:  Mylene Youssef A Vieira - Produções E Eventos Epp - Processo 2710</t>
  </si>
  <si>
    <t>Tarifa Bancária referente a transferência eletrônica pagamento fornecedor:   Marise Dinis Sousa - Processo 3048</t>
  </si>
  <si>
    <t>108.344.466-23</t>
  </si>
  <si>
    <t>Fellip Matheus dos Santos Lopes</t>
  </si>
  <si>
    <t xml:space="preserve">Taxas de Fiscalização de Localização e Funcionamento e Taxa de Fiscalização Sanitária . Favorecido: Prefeitura Muncipal de Belo Horizonte - 01ª Parcela </t>
  </si>
  <si>
    <t xml:space="preserve">Taxas de Fiscalização de Localização e Funcionamento e Taxa de Fiscalização Sanitária . Favorecido: Prefeitura Muncipal de Belo Horizonte - 02ª Parcela </t>
  </si>
  <si>
    <t>Compra de 1 bandeira de MG.</t>
  </si>
  <si>
    <t>02.671.101/0001-10</t>
  </si>
  <si>
    <t>Compra de 1 lata de spray verniz Fosco</t>
  </si>
  <si>
    <t>43.283.811/0034-18</t>
  </si>
  <si>
    <t>Reservas de hospedagens na cidade de Ouro Preto para atender a equipe de produção - Kênia Perdigão e Priscila Fiorini, próximo à Igreja São Francisco de Assis no Largo de Coimbra, s/n - Centro, Ouro Preto - MG para a acompanhamento da montagem da Temporada de Ópera. Dias 27 a 30/04/2022</t>
  </si>
  <si>
    <t>Compra de 1 bandeira do Brasil</t>
  </si>
  <si>
    <t>Compra de diversos itens para adereço de figurino: brincos, pulseiras, rabicos e anéis.</t>
  </si>
  <si>
    <t>32.844.259/0001-05</t>
  </si>
  <si>
    <t>Compra de 1 Tapeçaria gobelin , 7 blasers e 1 xale em lã de franjas para composição dos figurinos da Ópera Aleijadinho.</t>
  </si>
  <si>
    <t>Compra de material de maquiagem e cabelo para caracterização dos personagens nos ensaios e apresentação do espetáculo da Ópera Aleijadinho em Ouro Preto dias 26, 27 e 29/04. Materiais: 2 spray de tinta de cabelo || 4 caixas de lenço de papel || 10 pacotes de algodão em disco || 1 lápis delineador.</t>
  </si>
  <si>
    <t>17.256.512/0065-80</t>
  </si>
  <si>
    <t>BANNER O.P:banners para impressão. São 3 cópias da primeira página e 1 cópia das outras páginas (2 e 3)Está com marca de corte e no formato 95cm x 195cm. (arquivo encaminhado via email) acabamento em bastão e cordinha</t>
  </si>
  <si>
    <t>Locação de equipamentos de iluminação conforme especificações técnicas para atender as necessidades de criação de iluminação do projeto da ópera Aleijadinho da apresentação em Ouro Preto dia 29/04/2022.</t>
  </si>
  <si>
    <t>12.521.553/0001-79</t>
  </si>
  <si>
    <t>Compra de material de maquiagem e cabelo para caracterização dos personagens nos ensaios e apresentação do espetáculo da Ópera Aleijadinho em Ouro Preto dias 26, 27 e 29/04 - 1 colodium Krylan</t>
  </si>
  <si>
    <t>33.102.597/0001-34</t>
  </si>
  <si>
    <t>Compra dos seguintes materiais abaixo: Papel Glassine 500 unds 38x40cm Terpell</t>
  </si>
  <si>
    <t>VOUCHER DE KIT LANCHE: 5x5. QUANTIDADE: 250 cópias para cada página do arquivo, referente a uma data. (total de 2.000 cópias) Impressão frente. Supremo 300. Preto e branco. Acabamento corte reto com plastificação</t>
  </si>
  <si>
    <t>Contratação de serviço de montagem e desmontagem de catering para camarins do elenco principal e fornecimento de Kit lanches para equipe do Coral Lírico, Músicos da Orquestra Sinfônica, Bailarinos da Cida de Dança</t>
  </si>
  <si>
    <t>08.594.554/0001-76</t>
  </si>
  <si>
    <t>Compra de material de maquiagem e cabelo para caracterização dos personagens nos ensaios e apresentação do espetáculo da Ópera Aleijadinho em Ouro Preto dias 26, 27 e 29/04. Materiais:04 lapis delineadores, 04 caixas de lenço de papel, 03 pacotes de discos de algodão.</t>
  </si>
  <si>
    <t>10.981.068/0001-52</t>
  </si>
  <si>
    <t>Contratação de Mirian Menezes, Cenógrafa assistentepara acompanhamento da execução de cenários, adereços e elementos cênicos de acordo com projeto cenográfico e orientações do cenógrafo nas duas cidades de apresentação da ópera.Acompanha também montagem e desmontagem do cenário junto a equipe de cenotécnicos, além de verificar e analisar juntoa produção as propostas de orçamentos recebidas de fornecedores para execução do serviço.-&amp;gt; Data do início do trabalho - 03/03 à 21/05/2022. Período de 03 meses.</t>
  </si>
  <si>
    <t>Compra de Rolo Atlas Pele Carneiro Extra R 322 22 23cm Sem Cabo - Pinceis Atlas (2 rolos)</t>
  </si>
  <si>
    <t>Contratação de prestador de serviço para avaliação técnica do maquinário, equipamentos e ferramentas que compõem as oficinas de serralheria e marcenaria do CTPF e que encontram-se albergados nos edifícios da av. Andradas e no Mazagão em Sabará.</t>
  </si>
  <si>
    <t xml:space="preserve">Necessário contratação de carro executivo e Van para transporte de pessoal (equipe artística, corpos artísticos, equipe de produção) em função da apresentação da Ópera na cidade de Ouro Preto. </t>
  </si>
  <si>
    <t xml:space="preserve">Compra de tintas e outros materiais de pintura para manutenção do palco, salas e camarins do Grande Teatro e das salas Juvenal Dias e João Ceschiatti. </t>
  </si>
  <si>
    <t>Cartão QRCode : TAMANHO: 12X18. GRAMATURA: papel supremo 300 gramas. QUANTIDADE: 1.500 cartões. Impressão frente e verso</t>
  </si>
  <si>
    <t>Compra roupas para compor figurinos da Ópera Aleijadinho. 1 terno (calça e paletó) calça 42 + 1 calça | 2 camisa social manga comprida nº 3 - todos cores pretas e 1 terno (calça e paletó) calça 42 + 1 calça | 2 camisa social manga comprida nº 4 - todos cores pretas.</t>
  </si>
  <si>
    <t>20.758.306/0058-54</t>
  </si>
  <si>
    <t>Diretor autor - Criação e licenciamento de música composta para a Ópera Aleijadinho, uma criação inédita em 3 atos, que será produzida pela Fundação Clóvis Salgado e apresentada em abril e maio de 2022.</t>
  </si>
  <si>
    <t>447.032.527-91</t>
  </si>
  <si>
    <t>Compra de máscaras pretas cirúrgicas para apresentação do Coral em Ouro Preto (26 e 2704) e Belo Horizonte (06, 09, 10, 11, 12, 14, 16, 18 e 20/05), sendo 170 máscaras por dia de apresentação.11 apresentações x 170 máscaras pretas cirúrgicas por apresentação totalizando 1.870 máscaras.</t>
  </si>
  <si>
    <t>Compra de 20 litros de amacianteDowny, 9 litros do amacianteComfort e 12Borrifadores</t>
  </si>
  <si>
    <t>1 unidade Backdrop: 3,3x2m. Lona 4 cores. Acabamento - acabamento Ilhós.</t>
  </si>
  <si>
    <t>Gabriela Dos Santos Domingues 05913207971</t>
  </si>
  <si>
    <t>Elias Do Carmo - Me</t>
  </si>
  <si>
    <t>ISSQN referente a nota fiscal 2022/55-  HB Audiovisual Ltda</t>
  </si>
  <si>
    <t>2022/55</t>
  </si>
  <si>
    <t>Tarifa Bancária referente a transferência eletrônica pagamento fornecedor:   Gabriela Dos Santos Domingues 05913207971 - Processo 3143</t>
  </si>
  <si>
    <t>Tarifa Bancária referente a transferência eletrônica pagamento fornecedor:   Elias Do Carmo - Me - Processo 2796</t>
  </si>
  <si>
    <t>Tarifa Bancária referente a transferência eletrônica pagamento fornecedor:    HB Audiovisual Ltda - Processo 2952</t>
  </si>
  <si>
    <t>Reembolso realizado pelo Termo de Parceria 50/2020 - IEPHA referente ao percentual (26,41% do valor total), referente ao telefone móvel da sede da Appa- mês 03/2022</t>
  </si>
  <si>
    <t>Reembolso realizado pelo Termo de Parceria 50/2020 - IEPHA referente ao percentual (26,41% do valor total ) consumo de água da sede da Appa- mês 03/2022</t>
  </si>
  <si>
    <t>Reembolso realizado pelo Termo de Parceria 50/2020 - IEPHA referente ao percentual (26,41% do valor total) consumo de energia elétrica da sede da Appa- mês 03/2022</t>
  </si>
  <si>
    <t>Reembolso realizado pelo Termo de Parceria 50/2020 - IEPHA referente ao percentual (26,41% do valor total) despesas com cartório do mês 03/2022</t>
  </si>
  <si>
    <t>Reembolso realizado pelo Termo de Parceria 50/2020 - IEPHA referente ao percentual (26,41% do valor total ) locação de impressoras da sede da Appa referente ao mês 03/2022</t>
  </si>
  <si>
    <t>Pagamento de ISBN e Ficha Catalográfica para Catálogo Nemer, referente aexposição Nemer - Aquarelas Recentes, que estará em exposição da grande galeria, Alberto da Veiga Guignard, do Palácio das Artes/ Fundação Clóvis Salgado de 19 de abril a 5 de junho de 2022.</t>
  </si>
  <si>
    <t>Câmara Brasileira Do Livro - Demais</t>
  </si>
  <si>
    <t>60.792.942/0001-81</t>
  </si>
  <si>
    <t>U05454</t>
  </si>
  <si>
    <t>2022/144902</t>
  </si>
  <si>
    <t>IR referente a conta fiscal 2022/144092 - Unimed Cooperativa Médica</t>
  </si>
  <si>
    <t>PCC referente a conta fiscal 2022/144092 - Unimed Cooperativa Médica</t>
  </si>
  <si>
    <t>2022/147520</t>
  </si>
  <si>
    <t>2022/1569</t>
  </si>
  <si>
    <t>ISSQN referente a nota fiscal 2022/1569 -  F6 Sistemas De Informatica Ltda</t>
  </si>
  <si>
    <t>Energia Elétrica da Sede da Appa, referente ao mês 06/2022</t>
  </si>
  <si>
    <t>001.22.20115717-6</t>
  </si>
  <si>
    <t>Água e Esgoto da Sede da Appa mês 06/2022</t>
  </si>
  <si>
    <t>Reembolso realizado pelo Termo de Parceria 50/2020 - IEPHA referente ao pagamento de Auditoria Externa</t>
  </si>
  <si>
    <t xml:space="preserve"> Alessandra Filgueiras</t>
  </si>
  <si>
    <t>ISSQN referente ao RPA 1696 -  Alessandra Filgueiras</t>
  </si>
  <si>
    <t>IR referente ao RPA 1696 -  Alessandra Filgueiras</t>
  </si>
  <si>
    <t>INSS e INSS Patronal referente ao RPA 1696 -  Alessandra Filgueiras</t>
  </si>
  <si>
    <t>Sheila Fernanda Oliveira Da Silva</t>
  </si>
  <si>
    <t>ISSQN referente ao RPA 1697 -  Sheila Fernanda Oliveira Da Silva</t>
  </si>
  <si>
    <t>IR  referente ao RPA 1697 -  Sheila Fernanda Oliveira Da Silva</t>
  </si>
  <si>
    <t>INSS e INSS Patronal referente ao RPA 1697 -  Sheila Fernanda Oliveira Da Silva</t>
  </si>
  <si>
    <t>Bianca Baptista Arenque Moreira Dos Santos</t>
  </si>
  <si>
    <t>INSS e INSS Patronal referente ao RPA 1708 - Bianca Baptista Arenque Moreira Dos Santos</t>
  </si>
  <si>
    <t xml:space="preserve"> Maria Martha Ibraim Coelho</t>
  </si>
  <si>
    <t>160.640.706-68</t>
  </si>
  <si>
    <t>ISSQN referente ao RPA 1707 -  Maria Martha Ibraim Coelho</t>
  </si>
  <si>
    <t>INSS e INSS Patronal referente ao RPA 1707 -  Maria Martha Ibraim Coelho</t>
  </si>
  <si>
    <t>Luiz Rodrigo Cerqueira De Sousa</t>
  </si>
  <si>
    <t>2022/67</t>
  </si>
  <si>
    <t>ISSQN referente a nota fiscal 2022/67 - Luiz Rodrigo Cerqueira De Sousa</t>
  </si>
  <si>
    <t>Logus Protection Patrimonial Ltda</t>
  </si>
  <si>
    <t>2022/36</t>
  </si>
  <si>
    <t>ISSQN referente a nota fiscal 2022/36 - Logus Protection Patrimonial Ltda</t>
  </si>
  <si>
    <t xml:space="preserve"> Orplan Auditores Independentes</t>
  </si>
  <si>
    <t>17.171.307/0001-58</t>
  </si>
  <si>
    <t>2022/120</t>
  </si>
  <si>
    <t>ISSQN referente a nota fiscal 2022/120 -  Orplan Auditores Independentes</t>
  </si>
  <si>
    <t>Tarifa Bancária referente a transferência eletrônica pagamento fornecedor:    Alessandra Filgueiras - Processo 3009</t>
  </si>
  <si>
    <t>Tarifa Bancária referente a transferência eletrônica pagamento fornecedor:    Sheila Fernanda Oliveira Da Silva - Processo 3018</t>
  </si>
  <si>
    <t>Tarifa Bancária referente a transferência eletrônica pagamento fornecedor:    Bianca Baptista Arenque Moreira Dos Santos- Processo 2860</t>
  </si>
  <si>
    <t>Tarifa Bancária referente a transferência eletrônica pagamento fornecedor:     Maria Martha Ibraim Coelho  - Processo 3076</t>
  </si>
  <si>
    <t>Tarifa Bancária referente a transferência eletrônica pagamento fornecedor:    Luiz Rodrigo Cerqueira De Sousa - Processo 3354</t>
  </si>
  <si>
    <t>Tarifa Bancária referente a transferência eletrônica pagamento fornecedor:    Logus Protection Patrimonial Ltda - Processo 2806</t>
  </si>
  <si>
    <t>Tarifa Bancária referente a transferência eletrônica pagamento fornecedor:     Orplan Auditores Independentes - Processo 2473</t>
  </si>
  <si>
    <t>18.244.356/0001-36</t>
  </si>
  <si>
    <t>Contratação de consultoria artística com o artista Jarbas, onde o mesmo irá orientar os alunos acerca das obras selecionadas por eles,relatando seus processos de criação artísticae detalhes sobre as obras. Além disso, será feito uma entrevista com o artista pela coordenadora Mariana Rodriguez com as perguntas desenvolvidas pelos alunos dos 4(quatro) módulos dos cursos de artes visuais.</t>
  </si>
  <si>
    <t>006.532.926-00</t>
  </si>
  <si>
    <t>Eletricista para montagem elétrica das composições cenográficas sendo, operação, deslocamento e alimentação de elétric parede elétrica incluindo material elétrico como cabos, quadro de proteção e tomadas se necessários da parte elétrica do projeto em Ouro Preto | Período da Contratação: 24/04 a 01/05 de 2022.</t>
  </si>
  <si>
    <t>Reembolso realizado pela conta Recusos Próprios (11407-3) referente ao pagamento da guia de GPS do mês 03/2022</t>
  </si>
  <si>
    <t>Reembolso realizado pela conta Programa Artístico da Fundação Clóvis Salgado - CA  (15845-3 ) referente ao pagamento da guia de GPS do mês 03/2022</t>
  </si>
  <si>
    <t>Reembolso realizado pela conta Programa Artístico da Fundação Clóvis Salgado - CA  (15949-2 ) referente ao pagamento da guia de GPS do mês 03/2022</t>
  </si>
  <si>
    <t>Reembolso realizado pelo Termo de Parceria 50/2020 - IEPHA referente ao percentual 26,41% do valor total ) ao consumo de internet da Appa do mês 03/2022</t>
  </si>
  <si>
    <t>Reembolso realizado pela conta do Termo de Parceria 50/2020 - Iepha referente ao pagamento da guia de GPS (funcionários) INSS retido sob folha do mês 03/2022</t>
  </si>
  <si>
    <t>Reembolso realizado pela conta do Termo de Parceria 50/2020 - Iepha referente ao pagamento da guia de GPS (funcionários) INSS Patronal do mês 03/2022</t>
  </si>
  <si>
    <t>Reembolso realizado pela conta do Termo de Parceria 50/2020 - Iepha referente ao pagamento da guia de GPS (autônomo) do mês 03/2022</t>
  </si>
  <si>
    <t>Reembolso realizado pela conta Programa de Artes Visuais da Fundação Clóvis Salgado (16375-9) referente ao pagamento da guia de GPS do mês 03/2022</t>
  </si>
  <si>
    <t>Reembolso realizado pela conta Cinquentenário Operístico da Fundação Clóvis Salgado - Pronac: 20.3579 (16376-7) referente ao pagamento da guia de GPS do mês 03/2022</t>
  </si>
  <si>
    <t>Reembolso realizado pela conta do projeto Requalrevanglogold - (16391-0), referente a Guia de GPS (autônomo) do mês 03/2022</t>
  </si>
  <si>
    <t>Reembolso realizado pela conta do projeto Requalrevanglogold - (16476-3), referente a Guia de GPS (autônomo) do mês 03/2022</t>
  </si>
  <si>
    <t>Reembolso realizado pela conta Área Meio - Projetos Meta do Contrato de Gestão  (16517-4) referente ao pagamento da guia de GPS (autônomo) do mês 03/2022</t>
  </si>
  <si>
    <t>Reembolso realizado pela conta Projeto Modernismo  (16821-1) referente ao pagamento da guia de GPS (autônomo) do mês 03/2022</t>
  </si>
  <si>
    <t>Ronaldo Braz Da Silva</t>
  </si>
  <si>
    <t>ISSQN referente ao RPA 1702 - Ronaldo Braz Da Silva</t>
  </si>
  <si>
    <t>INSS e INSS Patronal referente ao RPA 1702 - Ronaldo Braz Da Silva</t>
  </si>
  <si>
    <t>Associação Pró-Cultura e Promoção das Artes (Modernismo)</t>
  </si>
  <si>
    <t>Reembolso a conta do Aditivo Modernismo referente ao pagamento indevido de despesa de energia elétrica do CTP Marzagão</t>
  </si>
  <si>
    <t>Consumo de energia elétrica do mês 04/2022</t>
  </si>
  <si>
    <t>Consumo de energia elétrica do mês 05/2022</t>
  </si>
  <si>
    <t>Consumo de energia elétrica do mês 06/2022</t>
  </si>
  <si>
    <t xml:space="preserve"> Andrezza Conde Araújo 07317095605</t>
  </si>
  <si>
    <t>INSS e INSS Patronal referente ao RPA 1706 - Waneska Torres De Oliveira Cezar</t>
  </si>
  <si>
    <t>14016500-MG</t>
  </si>
  <si>
    <t>Internet para sede da Appa referente ao mês 04/2022</t>
  </si>
  <si>
    <t>Internet para sede da Appa referente ao mês 06/2022</t>
  </si>
  <si>
    <t>INSS Patronal referente a folha do mês 03/2022</t>
  </si>
  <si>
    <t>Comercial Festas E Festas Ltda</t>
  </si>
  <si>
    <t>000.000.099</t>
  </si>
  <si>
    <t>Tarifa Bancária referente a transferência eletrônica pagamento fornecedor:     Waneska Torres De Oliveira Cezar - Processo 2837</t>
  </si>
  <si>
    <t>Tarifa Bancária referente a transferência eletrônica pagamento fornecedor:     Comercial Festas E Festas Ltda - Processo 3453</t>
  </si>
  <si>
    <t>Compra dos seguintes materiais: Plastico bolha 1,30x100mts (1 rolo)Bobina Papel Semi Kraft p/ Mascaramento 60cm X 50mt - Sertintas ( 1 unidade)2 rolos Fita Banana Dupla Face Mimo - 10 Metros</t>
  </si>
  <si>
    <t>Cachê do músico Roberto Duarte para redução da partitura de voz e piano da Ópera Aleijadinho.</t>
  </si>
  <si>
    <t>30.169.940/0001-70</t>
  </si>
  <si>
    <t>Reembolso realizado pelo Termo de Parceria 50/2020 - IEPHA referente ao percentual (26,41% do valor total ) locação de PABX da sede da Appa referente ao mês 03/2022</t>
  </si>
  <si>
    <t>Ápice Dos Epi's Ltda</t>
  </si>
  <si>
    <t>000.000.967</t>
  </si>
  <si>
    <t>Diárias Viagem - Ópera Aleijadinho (Ouro Preto)</t>
  </si>
  <si>
    <t>001.22.22130573-1</t>
  </si>
  <si>
    <t>Cub3 Inteligência Web Ltda</t>
  </si>
  <si>
    <t>ISSQN referente a nota fiscal 2022/10 -  Cub3 Inteligência Web Ltda</t>
  </si>
  <si>
    <t>IR  referente a nota fiscal 2022/10 -  Cub3 Inteligência Web Ltda</t>
  </si>
  <si>
    <t>PCC referente a nota fiscal 2022/10 -  Cub3 Inteligência Web Ltda</t>
  </si>
  <si>
    <t xml:space="preserve">4698035463
</t>
  </si>
  <si>
    <t>Cofins referente aos rendimentos de aplicações financeiras de 03/2022</t>
  </si>
  <si>
    <t>PIS referente a folha 03/2022</t>
  </si>
  <si>
    <t>Tarifa Bancária referente a transferência eletrônica pagamento diárias Ópera Aleijadinho (Ouro Preto)</t>
  </si>
  <si>
    <t>Bárbara Cristina de Sousa  Maia</t>
  </si>
  <si>
    <t>Contratação de empresa do ramo de transporte para carga e descarga de cenários e materiais de figurinos, adereços e afins - Ópera Aleijadinho. De Ouro Preto para Belo Horizonte, dia 30/04/2022 de manhã cedo com horário a ser alinhado.01 caminhão Baú de 47 metros cúbicos com 02 AJUDANTES (O Baú do caminhão tem que ser Ripado)01 caminhão Baú de 27 metros cúbicos, para fazer baldeação da carga entre a rodoviária até a Igreja de São Francisco de Assis. (O Baú do caminhão tem que ser. Ripado).</t>
  </si>
  <si>
    <t>Transferência para conta Reserva referente aos rendimentos do mês 03/2022</t>
  </si>
  <si>
    <t xml:space="preserve"> Hatari Filmes Ltda</t>
  </si>
  <si>
    <t>ISSQN referente a nota fiscal 2022/16 -  Hatari Filmes Ltda</t>
  </si>
  <si>
    <t>ISSQN referente a nota fiscal 2022/11 - Cenario Oscar 2019 Serviços De Montagem Eireli</t>
  </si>
  <si>
    <t>Cenario Oscar 2019 Serviços De Montagem Eireli</t>
  </si>
  <si>
    <t>2022/11</t>
  </si>
  <si>
    <t>Tarifa Bancária referente a transferência eletrônica pagamento fornecedor:    Hatari Filmes Ltda - Processo 3384</t>
  </si>
  <si>
    <t>Tarifa Bancária referente a transferência eletrônica pagamento fornecedor:   Cenario Oscar 2019 Serviços De Montagem Eireli - Processo 3327</t>
  </si>
  <si>
    <t>Ouromed Servico Movel De Saude Ltda</t>
  </si>
  <si>
    <t>2022/442</t>
  </si>
  <si>
    <t>ISSQN referente a nota fiscal 2022/442- Ouromed Servico Movel De Saude Ltda</t>
  </si>
  <si>
    <t>Príncipe Da Paz Produções E Eventos Ltda</t>
  </si>
  <si>
    <t>2022/29</t>
  </si>
  <si>
    <t>Tarifa Bancária referente a transferência eletrônica pagamento fornecedor:   Príncipe Da Paz Produções E Eventos Ltda - Processo 3411</t>
  </si>
  <si>
    <t>Tarifa Bancária referente a transferência eletrônica pagamento fornecedor:   Ouromed Servico Movel De Saude Ltda - Processo 3333</t>
  </si>
  <si>
    <t>Tarifa Bancária referente a transferência eletrônica pagamento fornecedor:    Raise Engenharia Projetos E Eventos Ltda
 - Processo 3392</t>
  </si>
  <si>
    <t>Reembolso realizado pelo fornecedor pelo pagamento em duplicidade .HB Audiovisual Ltda -  29.501.000/0001-57 - Processo 2952</t>
  </si>
  <si>
    <t>Jaider Laerdson Da Silva Miranda</t>
  </si>
  <si>
    <t>815.547.614-68</t>
  </si>
  <si>
    <t>ISSQN referente ao RPA 1718 - Jaider Laerdson Da Silva Miranda</t>
  </si>
  <si>
    <t>INSS e INSS Patronal referente ao RPA 1718 - Jaider Laerdson Da Silva Miranda</t>
  </si>
  <si>
    <t xml:space="preserve"> Rodrigo Ferreira Do Nascimento Ltda - Me</t>
  </si>
  <si>
    <t>000.016.472</t>
  </si>
  <si>
    <t>Carla Lima Cattabriga</t>
  </si>
  <si>
    <t>ISSQN referente ao RPA 1695 - Carla Lima Cattabriga</t>
  </si>
  <si>
    <t>IR referente ao RPA 1695 - Carla Lima Cattabriga</t>
  </si>
  <si>
    <t>INSS e INSS Patronal referente ao RPA 1695 - Carla Lima Cattabriga</t>
  </si>
  <si>
    <t>Tarifa Bancária referente a transferência eletrônica pagamento fornecedor:   Jaider Laerdson Da Silva Miranda - Processo 3442</t>
  </si>
  <si>
    <t>Tarifa Bancária referente a transferência eletrônica pagamento fornecedor:   Carla Lima Cattabriga - Processo 3009</t>
  </si>
  <si>
    <t>2022/91425</t>
  </si>
  <si>
    <t>ISSQN referente a nota fiscal 2022/91425 - Consórcio Ótimo de Bilhetagem Eletrônica</t>
  </si>
  <si>
    <t>2022/105573</t>
  </si>
  <si>
    <t xml:space="preserve">ISSQN referente a nota fiscal 2022/105573 - Cons Operacional de Transporte </t>
  </si>
  <si>
    <t>PCC referente a nota fiscal 2022/4898 -  Ocupacional Medicina do Trabalho Ltda</t>
  </si>
  <si>
    <t>PCC referente a nota fiscal 2022/8010 -  Ocupacional Medicina do Trabalho Ltda</t>
  </si>
  <si>
    <t>ISSQN referente a nota fiscal 2022/8009 -  Ocupacional Medicina do Trabalho Ltda</t>
  </si>
  <si>
    <t>PCC referente a nota fiscal 2022/8009 -  Ocupacional Medicina do Trabalho Ltda</t>
  </si>
  <si>
    <t>ISSQN referente ao RPA 1685 - Alessandra Pereira Brito</t>
  </si>
  <si>
    <t>INSS e INSS Patronal referente ao RPA 1685 - Alessandra Pereira Brito</t>
  </si>
  <si>
    <t>ISSQN referente a nota fiscal 2022/112 - Softwares De Gestão Ltda</t>
  </si>
  <si>
    <t>ISSQN referente ao RPA 1720 - Morgana Fonseca De Alvarenga Mafra Ferreira</t>
  </si>
  <si>
    <t>INSS e INSS Patronal referente ao RPA 1720 - Morgana Fonseca De Alvarenga Mafra Ferreira</t>
  </si>
  <si>
    <t>INSS referente a CTE - 000.000.855</t>
  </si>
  <si>
    <t>Compra de 10 chuveiros, que fazem parte da reforma dos camarins do Grande Teatro e das salas Juvenal Dias e João Ceschiatti. Especificações do chuveiro: Lorenzetti Bella Ducha 4T 220V - 6800W 32A 4MM².</t>
  </si>
  <si>
    <t>Compra de3 fitas linóleo preta fosco (50 metros) - Rosco ou Cremmer e 6 fitas crepes preta largura de 48 mm</t>
  </si>
  <si>
    <t>Reservas de hospedagens na cidade de Ouro Preto para atender a equipe de produção e Comunicação próximo à Igreja São Francisco de Assis no Largo de Coimbra, s/n - Centro, Ouro Preto - MG para acompanhamento da montagem da Temporada de Ópera.Irene do Carmo - 24/04 a 02/05 Márcio Angelo - 24/04 a 01/05Flávia Braga- 24/04 a 01/05Ágatha Nascimento - 24/04 a 01/05Bruno Righi - 26/04 a 01/05Yany Mabel Nunes e Sousa- 26 a 30/04</t>
  </si>
  <si>
    <t>21.637.938/0001-97</t>
  </si>
  <si>
    <t>Compra de 200 pulseiras brancas de papel lisa, para controle de público da Ópera Aleijadinho em Ouro Preto dia 29/04</t>
  </si>
  <si>
    <t>43.283.811/0123-28</t>
  </si>
  <si>
    <t>Contratar fotógrafo para registrar a Ópera Aleijadinho,Registro dia 29.04 em Ouro Preto. Registar fotos de elenco nos bastidores e registrar arecita desse dia.As fotos tiradas no dia 29/04 deverão ser entregues tratadas no dia 30/04 e serão usadas na imprensa e em demais espaços escolhidos pela FCS. Registro de uma recita em BH, dia 16/05. Todas as fotos devem ser artísticas e deverão ser entregues tratadas e entregues em um pen drive para a FCS até o dia 18/05. 2 diárias</t>
  </si>
  <si>
    <t>22.310.922/0001-38</t>
  </si>
  <si>
    <t>Aquisição de 1000 assinaturas virtuais (link assinador virtual).</t>
  </si>
  <si>
    <t>Contratação de professor para ministrar o Curso Complementar Produção Cultural - Módulo I, a fim de atender a demanda da Escola de Tecnologia da Cena do Cefart.</t>
  </si>
  <si>
    <t>23.570.386/0001-72</t>
  </si>
  <si>
    <t>Contratação de professor para ministrar o Curso Complementar Arte Pública ou Arte em Espaço Público, a fim de atender a demanda da Escola de Artes Visuais do Cefart.</t>
  </si>
  <si>
    <t>075.937.887-84</t>
  </si>
  <si>
    <t>Ambulância UTI móvel simples - A ambulância deve chegar no local do evento as 09:00 horas do dia 08 de maio de 2022 e permanecer até o final do evento.</t>
  </si>
  <si>
    <t>Para a realização do Concerto no Parque, com trechos da Orquestra Sinfônica de Minas Gerais, que será realizado dentro do Parque MunicipalAmérico Renné Giannettidia 08 de Maio as 09h, com realização da Fundação Clóvis Salgado, faz-se necessária a contratação de segurança para apresentação da Orquestra Sinfônica</t>
  </si>
  <si>
    <t>Para a realização do Concerto no Parque, com trechos da Orquestra Sinfônica de Minas Gerais, que será realizado dentro do Parque Municipal dia 08 de Maio as 09h, com realização da Fundação Clóvis Salgado, faz-se necessária a contratação de empresa de sonorização, para montagem e desmontagem além da operação da mesa durante a apresentação.</t>
  </si>
  <si>
    <t>FLYER – 15cm x 21cm. QUANTIDADE: 2.000 exemplares. Especificações: 4X4 cores / papel couchê fosco de 120CARTAZ FORMATO: A2. GRAMATURA: 170 COUCHÊ. QUANTIDADE: 250</t>
  </si>
  <si>
    <t>Rendimentos de aplicações financeiras do mês 04/2022</t>
  </si>
  <si>
    <t>Contratação de profissional para tratamento dos figurinos na higienização, lavagem e passagem de todas as roupas após os ensaios e apresentações das récitas em Belo Horizonte.</t>
  </si>
  <si>
    <t>Para a realização do Concerto no Parque, com trechos da Orquestra Sinfônica de Minas Gerais, que será realizado dentro do Parque MunicipalAmérico Renné Giannettidia 08 de Maio as 09h, com realização da Fundação Clóvis Salgado, faz-se necessária a contratação de empresa de para instalação de banheiros químicos.</t>
  </si>
  <si>
    <t>10.225.028/0001-80</t>
  </si>
  <si>
    <t>Reembolso realizado pela Appa referente ao pagamento de juros processo 1551 -  Locaweb Serviços De Internet S.A</t>
  </si>
  <si>
    <t>Tarifa Bancária referente a transferência eletrônica pagamento fornecedor:    Pampulha Viagens E Turismos Eireli - Processo 3471</t>
  </si>
  <si>
    <t>Imposto de Renda referente aos rendimentos de aplicações financeiras do mês 04/2022</t>
  </si>
  <si>
    <t>IOF  referente aos rendimentos de aplicações financeiras do mês 04/2022</t>
  </si>
  <si>
    <t>Reembolso proporcional realizado pela conta do projeto Anglo referente ao pagamento Medicina do Trabalho do mês 04/2022</t>
  </si>
  <si>
    <t>Reembolso proporcional realizado pela conta do projeto Anglo referente ao pagamento Seguro de Vida do mês 04/2022</t>
  </si>
  <si>
    <t>Reembolso proporcional realizado pela conta da Appa referente ao pagamento Seguro de Vida do mês 04/2022</t>
  </si>
  <si>
    <t>Reembolso proporcional realizado pela conta do TP 50/2020 IEPHA  referente ao pagamento Medicina do Trabalho do mês 04/2022</t>
  </si>
  <si>
    <t>Alessandra Pereira Brito</t>
  </si>
  <si>
    <t>Softwares De Gestão Ltda</t>
  </si>
  <si>
    <t>2022/112</t>
  </si>
  <si>
    <t>Pampulha Viagens E Turismos Eireli</t>
  </si>
  <si>
    <t>CTE</t>
  </si>
  <si>
    <t>000.000.855</t>
  </si>
  <si>
    <t>Morgana Fonseca De Alvarenga Mafra Ferreira</t>
  </si>
  <si>
    <t>Loja Elétrica Limitada</t>
  </si>
  <si>
    <t>000.378.981</t>
  </si>
  <si>
    <t>2022/8009</t>
  </si>
  <si>
    <t>08.314.044/0001-06</t>
  </si>
  <si>
    <t>2022/8010</t>
  </si>
  <si>
    <t>Pagamento de taxa ECAD,tributo pago ao Escritório Central de Arrecadação e Distribuição de Direitos Autorais, órgão responsável pela fiscalização e controle das músicas executadas em público em todo o território brasileiro para música que será utilizada na apresentação em Ouro Preto, dia 29/04</t>
  </si>
  <si>
    <t>00.474.973/0001-62</t>
  </si>
  <si>
    <t>CRACHÁS:TAMANHO:10cm x 15cm - 4X0 cores. GRAMATURA:PVC 250 gramas, com corda lisa com corte especial pra corda.QUANTIDADE:300 unidadesPULSEIRA: 400 unidadesFormato 24,5x3cm - 4x0 - Papel TyvekAcabamento: corte especial, montagem da faca</t>
  </si>
  <si>
    <t>Impressão de programas para portfólio dos formandos da escola de teatro e envio de prestação de contas.Quantidade: 200 unidadesO arquivo encontra-se anexado.Formato: 36x56cmCor:4x4Suporte: Offset 120gAcabamento: 4 dobras</t>
  </si>
  <si>
    <t xml:space="preserve">Reembolso parcial da conta do Termo de Parceria 50/2020 - IEPHA, referente contratação de empresa de setor administrativo especializada em entidades do terceiro setor  para o Contrato de Gestão 05/2019 e Termo de Parceria 50/2020 (mês 04/2022) - 26,41% do valor total </t>
  </si>
  <si>
    <t>ISSQN referente a nota fiscal 2022/24 -  Arco Cultural Ltda</t>
  </si>
  <si>
    <t>Rodrigo Jeronimo De Lima</t>
  </si>
  <si>
    <t>ISSQN referente ao RPA 1712 - Rodrigo Jeronimo De Lima</t>
  </si>
  <si>
    <t>INSS e INSS Patronal referente ao RPA 1712 - Rodrigo Jeronimo De Lima</t>
  </si>
  <si>
    <t>Capatção Projeto: Programação Artística da Fundação Clóvis Salgado - Ano 50. Usiminas</t>
  </si>
  <si>
    <t>Associação Pró-Cultura e Promoção das Artes (Contrato de Gestão 005/2019)</t>
  </si>
  <si>
    <t>16888-2 - Programação Artística da Fundação Clóvis Salgado - Ano 50</t>
  </si>
  <si>
    <t>2022/19</t>
  </si>
  <si>
    <t>Contratação de ferramenta para transmissão lives.</t>
  </si>
  <si>
    <t>Streamyard</t>
  </si>
  <si>
    <t>Para a realização do Concerto no Parque, com trechos da Orquestra Sinfônica de Minas Gerais, que será realizado dentro do Parque MunicipalAmérico Renné Giannettidia 08 de Maio as 09h, com realização da Fundação Clóvis Salgado, faz-se necessária a contratação de empresa de estrutura, para montagem e desmontagem de palco .</t>
  </si>
  <si>
    <t>01 Despachante para para providenciar a liberação (Alvará) junto a prefeitura de Belo Horizonte.</t>
  </si>
  <si>
    <t>22.244.708/0001-20</t>
  </si>
  <si>
    <t xml:space="preserve">Prestação de serviços de Higienização: prestação de serviços na lavanderia do Centro Técnico de Produção e Formação (CTPF) para higienização dos figurinos e acondicionamento do acervo da Fundação. </t>
  </si>
  <si>
    <t>C Manequins Comercio Ltda</t>
  </si>
  <si>
    <t>08.587.836/0001-46</t>
  </si>
  <si>
    <t>000.001.207</t>
  </si>
  <si>
    <t>Liberty Seguros S/a</t>
  </si>
  <si>
    <t xml:space="preserve"> 71.93.2022.0000736</t>
  </si>
  <si>
    <t>Josué Sales Barbosa 06756282611</t>
  </si>
  <si>
    <t>Irene Do Carmo</t>
  </si>
  <si>
    <t>ISSQN referente ao RPA 1727 - Irene Do Carmo</t>
  </si>
  <si>
    <t>IR referente ao RPA 1727 - Irene Do Carmo</t>
  </si>
  <si>
    <t>INSS e INSS Patronal  referente ao RPA 1727 - Irene Do Carmo</t>
  </si>
  <si>
    <t>Cenario Engenharia Ltda</t>
  </si>
  <si>
    <t>ISSQN referente a nota fiscal 121 - Cenario Engenharia Ltda</t>
  </si>
  <si>
    <t>Fabiana Oliveira De Jesus 06426632627</t>
  </si>
  <si>
    <t>32.675.823/0001-03</t>
  </si>
  <si>
    <t>Escritório Central De Arrecadação E Distribuição - Ecad</t>
  </si>
  <si>
    <t xml:space="preserve">0222069904069
</t>
  </si>
  <si>
    <t xml:space="preserve">0222069905464
</t>
  </si>
  <si>
    <t xml:space="preserve">0222069906193
</t>
  </si>
  <si>
    <t xml:space="preserve">0222069906789
</t>
  </si>
  <si>
    <t xml:space="preserve">0222069908056
</t>
  </si>
  <si>
    <t xml:space="preserve">0222069908560
</t>
  </si>
  <si>
    <t>Para a realização do Concerto no Parque, com trechos da Orquestra Sinfônica de Minas Gerais, que será realizado dentro do Parque MunicipalAmérico Renné Giannettidia 08 de Maio as 09h, com realização da Fundação Clóvis Salgado, faz-se necessária a contratação de empresa para aluguel de cadeiras de PVC.</t>
  </si>
  <si>
    <t>Compra de 4000 pulseiras de identificação personalizadas para o credenciamento em eventos da OSMG e CLMG para ópera Aleijadinho</t>
  </si>
  <si>
    <t>11.480.841/0001-60</t>
  </si>
  <si>
    <t xml:space="preserve">Contratação de revisor de texto para trabalhar com o material da Mostra Chama </t>
  </si>
  <si>
    <t>Compra de 25 velas de led para ser usadas em adereços de cena nas récitas da Ópera Aleijadinho</t>
  </si>
  <si>
    <t>10.363.795/0001-56</t>
  </si>
  <si>
    <t>2022/643</t>
  </si>
  <si>
    <t xml:space="preserve">IR referente a nota fiscal 2022/643 - Krypton Serviços Contábeis S. S. </t>
  </si>
  <si>
    <t xml:space="preserve">PCC  referente a nota fiscal 2022/643 - Krypton Serviços Contábeis S. S. </t>
  </si>
  <si>
    <t>Nairza Santana De Almeida Silva 78696755553</t>
  </si>
  <si>
    <t>Debatedor para História Permanente do Cinema, dia 28/04/2022 às 17h, sobre o filme Rio Vermelho, de Howard Hawks</t>
  </si>
  <si>
    <t>José Ricardo Da Costa Miranda Júnior</t>
  </si>
  <si>
    <t>ISSQN referente ao RPA 1731 - José Ricardo Da Costa Miranda Júnior</t>
  </si>
  <si>
    <t>INSS e INSS Patronal referente ao RPA 1731 - José Ricardo Da Costa Miranda Júnior</t>
  </si>
  <si>
    <t>2022/39</t>
  </si>
  <si>
    <t>ISSQN referente a nota fiscal 2022/39 -  Romano Comunicação Ltda.</t>
  </si>
  <si>
    <t>Tarifa Bancária referente a transferência eletrônica pagamento fornecedor:   Krypton Serviços Contábeis S. S.  - Processo 1114</t>
  </si>
  <si>
    <t>Tarifa Bancária referente a transferência eletrônica pagamento fornecedor:    Camila Lacerda Lopes 07900541675 - Processo 2976</t>
  </si>
  <si>
    <t>Tarifa Bancária referente a transferência eletrônica pagamento fornecedor:   Nairza Santana De Almeida Silva 78696755553 - Processo 2971</t>
  </si>
  <si>
    <t>Tarifa Bancária referente a transferência eletrônica pagamento fornecedor:   José Ricardo Da Costa Miranda Júnior - Processo 3385</t>
  </si>
  <si>
    <t>Tarifa Bancária referente a transferência eletrônica pagamento fornecedor:    Romano Comunicação Ltda. - Processo 2292</t>
  </si>
  <si>
    <t>Reembolso realizado pelo Termo de Parceria 50/2020 - IEPHA  referente ao percentual (26,41% do valor total), assessoria contábil para o Contrato de Gestão 05/2019 e Termo de Parceria referente ao mês 04/2022</t>
  </si>
  <si>
    <t>39.799.708/0001-90</t>
  </si>
  <si>
    <t>Compra deFrutas de plástico: 1 cacho de bananas e + 10 frutas podendo ser laranjas, maçãs ou mangas, variadas para ser usadas emadereços de cena nas récitas da Ópera Aleijadinho.</t>
  </si>
  <si>
    <t>Locação de 01 Cobertura em Box Q30 Medindo 27,00x10,00M para o espetáculo da Ópera Aleijadinho</t>
  </si>
  <si>
    <t>46.176.183/0001-00</t>
  </si>
  <si>
    <t>Para a realização do Concerto no Parque, com trechos da Orquestra Sinfônica de Minas Gerais, que será realizado dentro do Parque MunicipalAmérico Renné Giannettidia 08 de Maio as 09h, com realização da Fundação Clóvis Salgado, faz-se necessária a contratação de Projeto Prevenção e combate a incêndio e ao Pânico.</t>
  </si>
  <si>
    <t>06.085.636/0001-60</t>
  </si>
  <si>
    <t>Licenciamento dos direitos de exibição do filme "Aleijadinho - Paixão, Glória e Suplício" (de Geraldo Pereira dos Santos, 2000) para a realização de duas exibições presenciais no período de 20 a 26 de maio de 2022; e para a exibição durante 6 meses na plataforma cineHumbertoMauro/MAIS, no período de 20 de maio a 20 de novembro de 2022.</t>
  </si>
  <si>
    <t>091.356.116-93</t>
  </si>
  <si>
    <t>25.662.511/0001-08</t>
  </si>
  <si>
    <t>Licenciamento dos direitos de exibição do filme "Rebelião em Vila Rica" (de Geraldo Pereira dos Santos, 1957) para a realização de duas exibições presenciais no período de 20 a 26 de maio de 2022; e para a exibição durante 6 meses na plataforma cineHumbertoMauro/MAIS, no período de 20 de maio a 20 de novembro de 2022.</t>
  </si>
  <si>
    <t>Locação de equipamentos para projeção da cenografia do espetáculo na Temporada de Ópera em Belo Horizonte.</t>
  </si>
  <si>
    <t>24.013.135/0001-50</t>
  </si>
  <si>
    <t>Locação de equipamentos de iluminação para atender as necessidades de criação de iluminação do projeto da ópera Aleijadinho da Temporada de Ópera em BHTE</t>
  </si>
  <si>
    <t>25.694.142/0001-27</t>
  </si>
  <si>
    <t>Para a realização do Concerto no Parque, com trechos da Orquestra Sinfônica de Minas Gerais, que será realizado dentro do Parque MunicipalAmérico Renné Giannettidia 08 de Maio as 09h, com realização da Fundação Clóvis Salgado, faz-se necessária a impressão de banners para compor material de comunicação.</t>
  </si>
  <si>
    <t>Faz-se necessária a contratação de vigilância noturna para salvaguarda predial - Camerasete pelo período de 3 meses, para cobrir a exposição "Foto em Pauta - Cosmopolíticas".</t>
  </si>
  <si>
    <t>Compra de 6 gelatinas : Difusor Lee #119 Light. hamburg Frost , material quem compõe o projeto de luz da Ópera Aleijadinho.</t>
  </si>
  <si>
    <t>Para a realização do Concerto no Parque, com trechos da Orquestra Sinfônica de Minas Gerais, que será realizado dentro do Parque MunicipalAmérico Renné Giannettidia 08 de Maio as 09h, com realização da Fundação Clóvis Salgado, faz-se necessária a contratação de 2 brigadistas para apoio durante o evento .</t>
  </si>
  <si>
    <t>15.705.688/0001-82</t>
  </si>
  <si>
    <t>Compra de 2 mangueiras de LED lâmpada amarela de 26 metros cada.</t>
  </si>
  <si>
    <t>Para a realização do Concerto no Parque, com trechos da Orquestra Sinfônica de Minas Gerais, que será realizado dentro do Parque MunicipalAmérico Renné Giannettidia 08 de Maio as 09h, com realização da Fundação Clóvis Salgado, faz-se necessária a contratação de empresa para aluguel de gradil, para cercamento do espaço onde irá acontecer a apresentação .</t>
  </si>
  <si>
    <t>Reservas de hospedagem para Jhonny França solista da Ópera Aleijadinho para a Temporada de Ópera em Belo Horizonte, de 02/05 a 21/05/2022.</t>
  </si>
  <si>
    <t>04.509.250/0003-74</t>
  </si>
  <si>
    <t>Contratação de professor para ministrar o Curso Complementar Produção Cultural - Módulo II, a fim de atender a demanda da Escola de Tecnologia da Cena do Cefart.</t>
  </si>
  <si>
    <t>Reembolso realizado pelo Termo de Parceria 50/2020 - Iepha a conta do Contra de Gestão 005/2019 referente ao pagamento de guia de FGTS - Valor proporcional aos funcionários a serviço do TP 50/2020 - 04/2022</t>
  </si>
  <si>
    <t>Reembolso realizado pela Appa - Projeto Pronac  a conta do Contrato de Gestão referente ao pagamento de guia de FGTS  - 04/2022</t>
  </si>
  <si>
    <t>FGTS referente a folha de pagamento do mês 04/2022</t>
  </si>
  <si>
    <t>Gerente de Projetos , referente ao mês 04/2022</t>
  </si>
  <si>
    <t>Salário do Músico Instrumentista, referente ao mês 04/2022</t>
  </si>
  <si>
    <t>Salário do Pianista, referente ao mês 04/2022</t>
  </si>
  <si>
    <t>Salário Gerente de Projetos Dipro, referente ao mês 04/2022</t>
  </si>
  <si>
    <t>Salário do Montador Diart, referente ao mês 04/2022</t>
  </si>
  <si>
    <t>Salário do Músico Cantora, referente ao mês 04/2022</t>
  </si>
  <si>
    <t>Salário do Músico Instrumentista, referente ao mês04/2022</t>
  </si>
  <si>
    <t>Salário Bailarina, referente ao mês 04/2022</t>
  </si>
  <si>
    <t>Salário do Presidente referente ao mês 04/2022</t>
  </si>
  <si>
    <t>Salário do Coordenador Administrativo referente ao mês 04/2022</t>
  </si>
  <si>
    <t>Salário do Gerente de Projetos: Programação Artística referente ao mês 04/2022</t>
  </si>
  <si>
    <t>Salário do Superintendente de Auditoria, referente ao mês 04/2022</t>
  </si>
  <si>
    <t>Salário de Bailarina, referente ao mês 04/2022</t>
  </si>
  <si>
    <t>Salário de Músico Cantora, referente ao mês 04/2022</t>
  </si>
  <si>
    <t>Analista de RH , referente ao mês 04/2022</t>
  </si>
  <si>
    <t>Salário de Músico, referente ao mês 04/2022</t>
  </si>
  <si>
    <t>Salário do Regente Assistente, referente ao mês 04/2022</t>
  </si>
  <si>
    <t>Salário do Bailarina, referente ao mês 04/2022</t>
  </si>
  <si>
    <t>Salário do Bailarino, referente ao mês 04/2022</t>
  </si>
  <si>
    <t>Salário da Músico Cantor, referente ao mês 04/2022</t>
  </si>
  <si>
    <t>Salário da Assessora Pedagógica, referente ao mês 04/2022</t>
  </si>
  <si>
    <t>Salário do Diretor Financeiro, referente ao mês 04/2022</t>
  </si>
  <si>
    <t>Salário da Produtora Cultural: Produção Artística, referente ao mês 04/2022</t>
  </si>
  <si>
    <t>Salário do Produtora Cultural da Dipro, referente ao mês 04/2022</t>
  </si>
  <si>
    <t>Salário do Músico, referente ao mês 04/2022</t>
  </si>
  <si>
    <t>Salário da Coordenadora de Comunicação, referente ao mês 04/2022</t>
  </si>
  <si>
    <t xml:space="preserve"> Salário   Auxiliar de serviços Gerais, referente ao mês 04/2022</t>
  </si>
  <si>
    <t xml:space="preserve"> Salário  Arquivista, referente ao mês 04/2022</t>
  </si>
  <si>
    <t xml:space="preserve"> Salário  Músico Instrumentista, referente ao mês 04/2022</t>
  </si>
  <si>
    <t>Salário Músico Instrumentista, referente ao mês 04/2022</t>
  </si>
  <si>
    <t>Salário  Músico Cantor, referente ao mês 04/2022</t>
  </si>
  <si>
    <t>Salário  Músico Instrumentista, referente ao mês 04/2022</t>
  </si>
  <si>
    <t>Salário Montador Dipro, referente ao mês 04/2022</t>
  </si>
  <si>
    <t xml:space="preserve">FGTS rescisório Andreza Silva Nunes </t>
  </si>
  <si>
    <t>Compra de material de maquiagem para caracterização dos personagens nos ensaios e apresentação do espetáculo da Ópera Aleijadinho em Belo Horizonte. Materiais:05 caixas de cílios.</t>
  </si>
  <si>
    <t>31.742.952/0001-04</t>
  </si>
  <si>
    <t>Compra de material de maquiagem para caracterização dos personagens nos ensaios e apresentação do espetáculo da Ópera Aleijadinho em Belo Horizonte. Materiais:05 sombras tom dourado.</t>
  </si>
  <si>
    <t>37.675.726/0001-34</t>
  </si>
  <si>
    <t>Contratação de maquiador (a) para executar a caracterização cênica da Ópera Aleijadinho em Ouro Preto e Belo Horizonte.</t>
  </si>
  <si>
    <t>17.801.735/0001-17</t>
  </si>
  <si>
    <t>Contratação de maquiador (a) para executar a caracterização cênica da Ópera Aleijadinho em Ouro Preto e Belo Horizonte. Necessário para o período entre 26 de Abril a 20 de Maio de 2022, com cronograma a ser definido.</t>
  </si>
  <si>
    <t>Locação de equipamentos de iluminação com técnico programador e operação para atender as necessidades de criação de iluminação do projeto da ópera Aleijadinho da Temporada de Ópera em BHTE.</t>
  </si>
  <si>
    <t>Contratação de maquiadora para executar a caracterização cênica da Ópera Aleijadinho em Ouro Preto e Belo Horizonte. Necessário para o período entre 26 de Abril a 20 de Maio de 2022, com cronograma a ser definido.</t>
  </si>
  <si>
    <t>46.100.973/0001-01</t>
  </si>
  <si>
    <t>Compra de 40 caixas de copos de água para apresentação do Concerto no parque</t>
  </si>
  <si>
    <t>Licenciamento dos direitos de exibição do filme "A Madona de Cedro" (de Carlos Coimbra, 1968) para a realização de duas exibições presenciais no período de 20 a 26 de maio de 2022; e para a exibição durante 3 meses na plataforma cineHumbertoMauro/MAIS, no período de 20 de maio a 20 de agosto de 2022.</t>
  </si>
  <si>
    <t>05.283.625/0001-21</t>
  </si>
  <si>
    <t>Para a realização do Concerto no Parque, com trechos da Orquestra Sinfônica de Minas Gerais, que será realizado dentro do Parque MunicipalAmérico Renné Giannettidia 08 de Maio as 09h, com realização da Fundação Clóvis Salgado, faz-se necessária a contratação de empresa de limpeza para manutenção do espaço.</t>
  </si>
  <si>
    <t>03.232.988/0001-02</t>
  </si>
  <si>
    <t>Licenciamento dos direitos de exibição do filme "Vinho de Rosas" (de Elza Cataldo, 2005) para a realização de duas exibições presenciais no período de 20 a 26 de maio de 2022; e para a exibição durante 6 meses na plataforma cineHumbertoMauro/MAIS, no período de 20 de maio a 20 de novembro de 2022.</t>
  </si>
  <si>
    <t>02.501.714/0001-09</t>
  </si>
  <si>
    <t>Licenciamento dos direitos de exibição do filme "Os Inconfidentes" (de Joaquim Pedro de Andrade, 1972) para a realização de duas exibições presenciais no período de 20 a 26 de maio de 2022; e para a exibição durante 1 mês na plataforma cineHumbertoMauro/MAIS, no período de 20 de maio a 20 de junho de 2022.</t>
  </si>
  <si>
    <t>Para a realização do Concerto no Parque, com trechos da Orquestra Sinfônica de Minas Gerais, que será realizado dentro do Parque MunicipalAmérico Renné Giannettidia 08 de Maio as 09h, com realização da Fundação Clóvis Salgado, faz-se necessária a contratação de carregadores para apoio durante montagem e desmontagem da Orquestra Sinfônica.</t>
  </si>
  <si>
    <t>Compra de 100 caixas de copo d´água (cada caixa com 48 copos de 200 ml) para serem entregue à FCS (Avenida Afonso Pena 1537 - A/C Bruno Righi ou Cristina Domingos</t>
  </si>
  <si>
    <t>Capa/Envelope do VoucherFormato aberto 42 x 9 cm -- papel Ap 180 gramasUma dobra no meio. 1100 exemplares</t>
  </si>
  <si>
    <t>17.175.993/0001-35</t>
  </si>
  <si>
    <t>Serviço de Produção de Programação para atender as demandas relativas às mostras de cinema produzidas no Cine Humberto Mauro - FCS durante o período de vigência do contrato (05/05 a 05/09).</t>
  </si>
  <si>
    <t>Serviço de Produção Técnica, Autoração e Legendagem para atender as demandas relativas às mostras de cinema produzidas no Cine Humberto Mauro - FCS durante o período de vigência do contrato (maio a s detembroe 2022).</t>
  </si>
  <si>
    <t>Serviço de Produção Geral para atender as demandas relativas às mostras de cinema produzidas no Cine Humberto Mauro - FCS durante o período de vigência do contrato (maio a setembro de 2022).</t>
  </si>
  <si>
    <t>075.281.446-06</t>
  </si>
  <si>
    <t>Contratação de um professor para ministrar o Curso Complementar Interpretação da música dos séculos XVII e XVIII, e da música Colonial, presencialmente, a fim de atender a demanda da Escola de Música do Cefart.</t>
  </si>
  <si>
    <t>27.197.186/0001-77</t>
  </si>
  <si>
    <t>Fotógrafo para fazer fotos panorâmicas da Exposição "Nemer Aquarelas Recentes" . As fotos servirão para compor o catálogo da exposição. O contrato deve prever a cessão destas imagens para este fim.</t>
  </si>
  <si>
    <t>35.467.348/0001-78</t>
  </si>
  <si>
    <t>INSS retido em folha do mês 04/2022</t>
  </si>
  <si>
    <t>IR retido em folha do mês 04/2022</t>
  </si>
  <si>
    <t>IR retido em folha do mês 03/2022</t>
  </si>
  <si>
    <t>Reembolso realizado pelo APPA referente a aquisição de sistema de ponto para utilização pelos colaboradores.</t>
  </si>
  <si>
    <t>Reembolso realizado pelo Projeto Anglo-  referente a aquisição de sistema de ponto para utilização pelos colaboradores.</t>
  </si>
  <si>
    <t>Reembolso realizado pelo Projeto ANGLO referente a aquisição de sistema de ponto para utilização pelos colaboradores.</t>
  </si>
  <si>
    <t>Reembolso realizado pelo Termo de Parceria 50/2020 - IEPHA referente ao percentual (26,41% do valor total ) do aluguel/IPTU da sede da Appa referente ao mês 04/2022</t>
  </si>
  <si>
    <t>Reembolso realizado pelo Termo de Parceria 50/2020 - IEPHA referente a guia de IPTU - 4º parcela</t>
  </si>
  <si>
    <t>ISSQN referente ao RPA 1739 -  Ronaldo Braz Da Silva</t>
  </si>
  <si>
    <t>INSS e INSS Patronal referente ao RPA 1739 - Ronaldo Braz Da Silva</t>
  </si>
  <si>
    <t xml:space="preserve">Rescisão Contratual Analista de RH </t>
  </si>
  <si>
    <t>Rescisão de Trabalho</t>
  </si>
  <si>
    <t>ISSQN referente ao RPA 1737 - Dominick Lattuada Abreu Barbosa</t>
  </si>
  <si>
    <t>INSS e INSS Patronal referente ao RPA 1737 - Dominick Lattuada Abreu Barbosa</t>
  </si>
  <si>
    <t>Fabio Silvia Martins De Jesus</t>
  </si>
  <si>
    <t>ISSQN referente ao RPA 1733 - Fabio Silvia Martins De Jesus</t>
  </si>
  <si>
    <t>INSS e INSS Patronal referente ao RPA 1733 - Fabio Silvia Martins De Jesus</t>
  </si>
  <si>
    <t>Luisa Cunha Machala</t>
  </si>
  <si>
    <t>ISSQN referente ao RPA 1742 - Luisa Cunha Machala</t>
  </si>
  <si>
    <t>INSS e INSS Patronal referente ao RPA 1742 - Luisa Cunha Machala</t>
  </si>
  <si>
    <t>ISSQN referente ao RPA1738 - Marise Dinis Sousa</t>
  </si>
  <si>
    <t>Aquisição de sistema de ponto para utilização pelos colaboradores.Faz-se necessário a aquisição da licença de uso de um aplicativo chamado "PontoTel" que possibilitará o acompanhamento mais próximo do ponto dos funcionários, além da localização de trabalho do mesmo. Atualmente, a Appa possui vários pontos de trabalho e um ponto fixo de marcação dificultaria o controle do ponto colaboradores da Appa - ano 2022</t>
  </si>
  <si>
    <t>Flávio Von Randow Teixeira</t>
  </si>
  <si>
    <t>IR referente ao RPA 1745 - Flávio Von Randow Teixeira</t>
  </si>
  <si>
    <t>INSS e INSS Patronal referente ao RPA 1745 - Flávio Von Randow Teixeira</t>
  </si>
  <si>
    <t xml:space="preserve"> Claudia Maria De Souza</t>
  </si>
  <si>
    <t>ISSQN referente ao RPA 1741 -  Claudia Maria De Souza</t>
  </si>
  <si>
    <t>INSS e INSS Patronal referente ao RPA 1741 -  Claudia Maria De Souza</t>
  </si>
  <si>
    <t>Amanda Luíze Pontes Homem</t>
  </si>
  <si>
    <t>IR referente ao RPA 1744 -  Amanda Luíze Pontes Homem</t>
  </si>
  <si>
    <t>ISSQN referente ao RPA 1744 -  Amanda Luíze Pontes Homem</t>
  </si>
  <si>
    <t>INSS e INSS Patronal  referente ao RPA 1744 -  Amanda Luíze Pontes Homem</t>
  </si>
  <si>
    <t xml:space="preserve">0222106679590
</t>
  </si>
  <si>
    <t>ISSQN referente a nota fiscal 2022/121368 - Cosns Operacional Transporte Coletivo</t>
  </si>
  <si>
    <t xml:space="preserve">0222106681226
</t>
  </si>
  <si>
    <t>ISSQN  referente a nota fiscal 2022/8010 -  Ocupacional Medicina do Trabalho Ltda</t>
  </si>
  <si>
    <t xml:space="preserve">ISSQN  referente a nota fiscal 2022/210735 - Unimed Cooperativa Médica
</t>
  </si>
  <si>
    <t xml:space="preserve">0222106695790
</t>
  </si>
  <si>
    <t xml:space="preserve">0222106655900
</t>
  </si>
  <si>
    <t xml:space="preserve">ISSQN  referente a nota fiscal  2022207118 - Unimed Cooperativa Médica
</t>
  </si>
  <si>
    <t xml:space="preserve">0222106671425
</t>
  </si>
  <si>
    <t xml:space="preserve">0222106650932
</t>
  </si>
  <si>
    <t xml:space="preserve">0222106651904
</t>
  </si>
  <si>
    <t xml:space="preserve">0222106681811
</t>
  </si>
  <si>
    <t xml:space="preserve">0222106682893
</t>
  </si>
  <si>
    <t xml:space="preserve">0222106688662
</t>
  </si>
  <si>
    <t xml:space="preserve">0222106675250
</t>
  </si>
  <si>
    <t>ISSQN referente a nota fiscal  2022/582 - Patrulha Eletrônica Ltda</t>
  </si>
  <si>
    <t xml:space="preserve">0222106688158
</t>
  </si>
  <si>
    <t xml:space="preserve">0222106650185
</t>
  </si>
  <si>
    <t xml:space="preserve">0222106648954
</t>
  </si>
  <si>
    <t>Tarifa Bancária referente a transferência eletrônica pagamento rescisão contratual Andreza Nunes</t>
  </si>
  <si>
    <t>Tarifa Bancária referente a transferência eletrônica pagamento fornecedor:   Dominick Lattuada Abreu Barbosa - Processo 2968</t>
  </si>
  <si>
    <t>Tarifa Bancária referente a transferência eletrônica pagamento fornecedor:    Fabio Silvia Martins De Jesus -  Processo 3378</t>
  </si>
  <si>
    <t>Tarifa Bancária referente a transferência eletrônica pagamento fornecedor:    Luisa Cunha Machala - Processo 3099</t>
  </si>
  <si>
    <t>Tarifa Bancária referente a transferência eletrônica pagamento fornecedor:    Marise Dinis Sousa - Processo 2939</t>
  </si>
  <si>
    <t>Tarifa Bancária referente a transferência eletrônica pagamento fornecedor:     Claudia Maria De Souza - Processo 3105</t>
  </si>
  <si>
    <t>Tarifa Bancária referente a transferência eletrônica pagamento fornecedor:   Amanda Luíze Pontes Homem  - Processo 3321</t>
  </si>
  <si>
    <t>Tarifa Bancária referente a transferência eletrônica pagamento fornecedor:   Flávio Von Randow Teixeira - Processo 3319</t>
  </si>
  <si>
    <t>45.418.949/0001-44</t>
  </si>
  <si>
    <t>Contratação de prestador de serviço em Técnico (a) de Acervo e Higienização para acompanhamento das atividades e acondicionamento do acervo do Centro Técnico de Produção e Formação – CTPF.</t>
  </si>
  <si>
    <t>ISSQN referente a Nota Fiscal 2022/106581  - Consórcio Ótimo de Bilhetagem Eletrônica</t>
  </si>
  <si>
    <t>Reembolso realizado pelo Termo de Parceria 50/2020 - IEPHA referente ao percentual (26,41% do valor total), Segurança Eletrônica da Sede da APPA - mês 04/2022</t>
  </si>
  <si>
    <t>Reembolso realizado pelo Termo de Parceria 50/2020 - IEPHA referente ao percentual (26,41% do valor total), Manutenção de hardware e redes, preventiva, preditiva e corretiva da sede da Appa - mês 04/2022</t>
  </si>
  <si>
    <t xml:space="preserve">Reembolso realizado pelo Termo de Parceria 50/2020 - IEPHA referente ao percentual (26,41% do valor total), Taxas de Fiscalização de Localização e Funcionamento e Taxa de Fiscalização Sanitária . Favorecido: Prefeitura Muncipal de Belo Horizonte - 01ª Parcela </t>
  </si>
  <si>
    <t>Reembolso realizado pelo Termo de Parceria 50/2020 - IEPHA referente ao percentual (26,41% do valor total), Aquisição de 1000 assinaturas virtuais (link assinador virtual).</t>
  </si>
  <si>
    <t>2022/582</t>
  </si>
  <si>
    <t>2022/53</t>
  </si>
  <si>
    <t xml:space="preserve">02.22.0937546.08
</t>
  </si>
  <si>
    <t>TFLF</t>
  </si>
  <si>
    <t>ISSQN referente a nota fiscal 2022/4 - Maria De Lourdes T Herrmann - ME</t>
  </si>
  <si>
    <t>Estúdio 739 De Publicidade E Propaganda Ltda</t>
  </si>
  <si>
    <t>ISSQN referente a nota fiscal 2022/1 - Estúdio 739 De Publicidade E Propaganda Ltda</t>
  </si>
  <si>
    <t>ISSQN referente a nota fiscal 2022/2 - Estúdio 739 De Publicidade E Propaganda Ltda</t>
  </si>
  <si>
    <t>Manassés Morais De Arruda 01188938665</t>
  </si>
  <si>
    <t>Michelle Sabrina Da Silva 07243837603</t>
  </si>
  <si>
    <t>Krypton Tech Desenvolvimento De Software Ltda</t>
  </si>
  <si>
    <t>40.569.411/0001-17</t>
  </si>
  <si>
    <t>2022/527</t>
  </si>
  <si>
    <t>ISSQN referente a nota fiscal 2022/527 - Krypton Tech Desenvolvimento De Software Ltda</t>
  </si>
  <si>
    <t>Tarifa Bancária referente a transferência eletrônica pagamento fornecedor:   Pampulha Viagens E Turismos Eireli  - Processo 3471</t>
  </si>
  <si>
    <t>Tarifa Bancária referente a transferência eletrônica pagamento fornecedor:   Maria De Lourdes T Herrmann - ME  - Processo 2998</t>
  </si>
  <si>
    <t>Tarifa Bancária referente a transferência eletrônica pagamento fornecedor:   Estúdio 739 De Publicidade E Propaganda Ltda  - Processo 2978</t>
  </si>
  <si>
    <t>Tarifa Bancária referente a transferência eletrônica pagamento fornecedor:   Luciana Candida Gomes 90489179649  - Processo 2936</t>
  </si>
  <si>
    <t>Tarifa Bancária referente a transferência eletrônica pagamento fornecedor:   Estúdio 739 De Publicidade E Propaganda Ltda - Processo 2977</t>
  </si>
  <si>
    <t>Tarifa Bancária referente a transferência eletrônica pagamento fornecedor:   Manassés Morais De Arruda 01188938665  - Processo 2933</t>
  </si>
  <si>
    <t>Tarifa Bancária referente a transferência eletrônica pagamento fornecedor:   Michelle Sabrina Da Silva 07243837603  - Processo 2987</t>
  </si>
  <si>
    <t xml:space="preserve"> Wallace Andrioli Guedes</t>
  </si>
  <si>
    <t>015.748.226-08</t>
  </si>
  <si>
    <t>ISSQN referente ao RPA 1750 -  Wallace Andrioli Guedes</t>
  </si>
  <si>
    <t>INSS e INSS Patronal referente ao RPA 1750 -  Wallace Andrioli Guedes</t>
  </si>
  <si>
    <t>Lidernet Comércio E Decorações Ltda</t>
  </si>
  <si>
    <t>000.006.506</t>
  </si>
  <si>
    <t>INSS e INSS Patronal referente ao  RPA1738 - Marise Dinis Sousa</t>
  </si>
  <si>
    <t>Tenison Santana Dos Santos</t>
  </si>
  <si>
    <t>ISSQN referente ao RPA 1743 - Tenison Santana Dos Santos</t>
  </si>
  <si>
    <t>INSS e INSS Patronal referente ao RPA 1743 - Tenison Santana Dos Santos</t>
  </si>
  <si>
    <t>ISSQN referente a nota fiscal 2022/260 - Flag Impressao Digital Ltda</t>
  </si>
  <si>
    <t>2022/260</t>
  </si>
  <si>
    <t>Cristiane Moreira Pinto</t>
  </si>
  <si>
    <t>ISSQN referente ao RPA 1755 - Cristiane Moreira Pinto</t>
  </si>
  <si>
    <t>IR referente ao RPA 1755 - Cristiane Moreira Pinto</t>
  </si>
  <si>
    <t>INSS e INSS Patronal referente ao RPA 1755 - Cristiane Moreira Pinto</t>
  </si>
  <si>
    <t>IR referente ao RPA 1753 - Marise Dinis Sousa</t>
  </si>
  <si>
    <t>INSS e INSS Patronal referente ao RPA 1753 - Marise Dinis Sousa</t>
  </si>
  <si>
    <t>Elaboração de laudo geológico-geotécnico do terreno que compõe oadro da Igreja São Francisco de Assis, referente a área de montagem daestrutura do evento Ópera Aleijadinho.</t>
  </si>
  <si>
    <t>08.056.320/0001-75</t>
  </si>
  <si>
    <t>Contratação de serviço de montagem e desmontagem de catering para camarins do elenco principal e fornecimento de Kit lanches para equipe do Coral Lírico, Músicos da Orquestra Sinfônica, Bailarinos da Cida de Dança, Equipe Técnica Artística e Produção da Temporada de Ópera Aleijadinho em Belo Horizonte.</t>
  </si>
  <si>
    <t>Licenciamento dos direitos de exibição do filme "Nos Passos de Aleijadinho" (de Leonardo Good God, 2015) para a realização de duas exibições presenciais no período de 20 a 26 de maio de 2022; e para a exibição durante 1 mês na plataforma cineHumbertoMauro/MAIS, no período de 20 de maio a 20 de junho de 2022.</t>
  </si>
  <si>
    <t>051.016.396-30</t>
  </si>
  <si>
    <t xml:space="preserve">Contratação de maquiadora para executar a caracterização cênica da Ópera Aleijadinho em Ouro Preto e Belo Horizonte. Necessário para o período entre 26 de Abril a 20 de Maio de 2022, </t>
  </si>
  <si>
    <t>19.920.427/0001-36</t>
  </si>
  <si>
    <t>Contratação de maquiador para executar a caracterização cênica da Ópera Aleijadinho em Ouro Preto e Belo Horizonte. Necessário para o período entre 26 de Abril a 20 de Maio de 2022</t>
  </si>
  <si>
    <t>36.220.984/0001-63</t>
  </si>
  <si>
    <t>Contratação de recepcionista para trabalhar dando suporte ao atendimento do público do Grande Teatro do Palácio das Artes nos eventos que acontecem entre os dias 23 de abril e 31 de maio. A recepcionista trabalhará 13 diárias dentro do período indicado.</t>
  </si>
  <si>
    <t>Contratação de Cenotécnico para apoiar as demandas relativas ao mês de maio no Grande Teatro/ Fundação Clóvis Salgado, especialmente as apresentações do CLMG e OSMG.</t>
  </si>
  <si>
    <t>Compra de passagens aéreas para Ernani Aguiar e André Cardoso.</t>
  </si>
  <si>
    <t>Compra de carregador de bateria para furadeiras e parafusadeiras utilizadas pela equipe de manutenção das galerias do Palácio das Artes.</t>
  </si>
  <si>
    <t>Tarifa Bancária referente a transferência eletrônica pagamento fornecedor:    Atacadao Das Tintas Ltda - Processo 3409</t>
  </si>
  <si>
    <t>Tarifa Bancária referente a transferência eletrônica pagamento fornecedor:   Lidernet Comércio E Decorações Ltda  - Processo 3602</t>
  </si>
  <si>
    <t>Tarifa Bancária referente a transferência eletrônica pagamento fornecedor:   Tenison Santana Dos Santos - Processo 2934</t>
  </si>
  <si>
    <t>Tarifa Bancária referente a transferência eletrônica pagamento fornecedor:    Camila Lacerda Lopes 07900541675 - Processo 3247</t>
  </si>
  <si>
    <t>Tarifa Bancária referente a transferência eletrônica pagamento fornecedor:   Moncalvo Comunicacao Ltdai  - Processo 1586</t>
  </si>
  <si>
    <t>Tarifa Bancária referente a transferência eletrônica pagamento fornecedor:   Cristiane Moreira Pinto - Processo 3139</t>
  </si>
  <si>
    <t>Tarifa Bancária referente a transferência eletrônica pagamento fornecedor:   Marise Dinis Sousa  - Processo 3355</t>
  </si>
  <si>
    <t>Tarifa Bancária referente a transferência eletrônica pagamento fornecedor:   Michele Costa Bernardino 11479891681 - Processo 2986</t>
  </si>
  <si>
    <t>000.012.297</t>
  </si>
  <si>
    <t>2022/121368</t>
  </si>
  <si>
    <t>2022/106581</t>
  </si>
  <si>
    <t xml:space="preserve">Reembolso parcial da conta do Termo de Parceria 50/2020 - IEPHA, referenteao uso de telefone fixo (mês 04/2022) - 26,41% do valor total </t>
  </si>
  <si>
    <t xml:space="preserve"> Marina Arthuzzi Rodrigues</t>
  </si>
  <si>
    <t>ISSQN referente ao RPA 1754 -  Marina Arthuzzi Rodrigues</t>
  </si>
  <si>
    <t>INSS referente ao RPA 1754 -  Marina Arthuzzi Rodrigues</t>
  </si>
  <si>
    <t>Yuri Ricardo Ferreira Cruz</t>
  </si>
  <si>
    <t>ISSQN referente ao RPA 1756 - Yuri Ricardo Ferreira Cruz</t>
  </si>
  <si>
    <t>INSS e INSS Patronal referente ao RPA 1756 - Yuri Ricardo Ferreira Cruz</t>
  </si>
  <si>
    <t>Telefone Fixo da sede da Appa referente ao mês 04/2022</t>
  </si>
  <si>
    <t>14137913-MG</t>
  </si>
  <si>
    <t>ISSQN referente ao RPA 1752 - Maria Martha Ibraim Coelho</t>
  </si>
  <si>
    <t>INSS e INSS Patronal referente ao RPA 1752 - Maria Martha Ibraim Coelho</t>
  </si>
  <si>
    <t>ISSQN referente ao RPA 1757 - Brenno Theotonio De Castro</t>
  </si>
  <si>
    <t>INSS e INSS Patronal referente ao RPA 1757 - Brenno Theotonio De Castro</t>
  </si>
  <si>
    <t>ISSQN referente ao RPA 1758 -  Fernando Cesar Caldeira Pacheco Barbosa</t>
  </si>
  <si>
    <t>INSS e INSS Patronal referente ao RPA 1758 -  Fernando Cesar Caldeira Pacheco Barbosa</t>
  </si>
  <si>
    <t>ISSQN referente a nota fiscal 2022/7 - Mude Se Mude Arquitetura Cenografica Ltda</t>
  </si>
  <si>
    <t xml:space="preserve"> Carlos De Sousa Correa 03044401593</t>
  </si>
  <si>
    <t>Tarifa Bancária referente a transferência eletrônica pagamento fornecedor:    Maria Martha Ibraim Coelho - Processo 3076</t>
  </si>
  <si>
    <t>Tarifa Bancária referente a transferência eletrônica pagamento fornecedor:   Brenno Theotonio De Castro - Processo 3311</t>
  </si>
  <si>
    <t>Tarifa Bancária referente a transferência eletrônica pagamento fornecedor:   Fernando Cesar Caldeira Pacheco Barbosa - 3309</t>
  </si>
  <si>
    <t>Tarifa Bancária referente a transferência eletrônica pagamento fornecedor:   Mude Se Mude Arquitetura Cenografica Ltda - Processo 3142</t>
  </si>
  <si>
    <t>Tarifa Bancária referente a transferência eletrônica pagamento fornecedor:    Carlos De Sousa Correa 03044401593  - Processo 3151</t>
  </si>
  <si>
    <t>Tarifa Bancária referente a transferência eletrônica pagamento fornecedor:    Patricia Bizzotto Pinto 07914074624 - Processo 3146</t>
  </si>
  <si>
    <t>Tarifa Bancária referente a transferência eletrônica pagamento fornecedor:   Michele Costa Bernardino 11479891681 - Processo 2686</t>
  </si>
  <si>
    <t>Contratação de serviço de carregador por diária</t>
  </si>
  <si>
    <t>Contratação de Henrique Passini para realizar a direção de filmagem do registro da Ópera Aleijadinho na estreia em Ouro Preto dia 29 de abril e no dia 14 de maio, estreia da Temporada em Belo Horizonte no Grande Teatro Cemig Palácio das Artes. O profissional deverá acompanhar os ensaios, direcionar a equipe de TV e direção de pós edição.</t>
  </si>
  <si>
    <t>054.697.646-80</t>
  </si>
  <si>
    <t>Contratação de empresa ou profissional para o acompanhamento dos estudos estratégicos da parceria entre Appa e FCS, ano 2022.</t>
  </si>
  <si>
    <t xml:space="preserve">24.711.232/0001-16
</t>
  </si>
  <si>
    <t>Contratação de empresa para catering dos camarins dos Corpos Artísticos</t>
  </si>
  <si>
    <t>34.272.027/0001-55</t>
  </si>
  <si>
    <t>1 Banner tamanho 80X200. Deve ser impresso em roll up (é um tecido) . Não é necessário o suporte, pois já temos na FCS. 4 cores.1 banner100cm X 150 com. Impressão em lona. Acabamento com cordinha e bastão. 4 cores.</t>
  </si>
  <si>
    <t>Necessário compra de 4 pacotes de pulseiras de identificação de papel.</t>
  </si>
  <si>
    <t>02 seguranças armados No sábado no horário das 18:00H até as 06:00H do dia seguinte (Domingo) Local Parque Municipal Américo Renné Giannetti. Av Afonso Pena 1.377. Entrada pelo Palácio das Artes, procurar a Gerencia da Orquestra Sinfônica de Minas Gerais.</t>
  </si>
  <si>
    <t>Processo 3559 - Orplan Auditores Independentes</t>
  </si>
  <si>
    <t>Contratação de auditoria externa independente para o exercício de 2022</t>
  </si>
  <si>
    <t>Reservas de hospedagens na cidade de Ouro Preto para Ernani Aguiar, compositor da Ópera Aleijadinho, dia 29/04/2022.</t>
  </si>
  <si>
    <t>07.500.172/0001-73</t>
  </si>
  <si>
    <t>Jarbas Juarez Antunes</t>
  </si>
  <si>
    <t>ISSQN referente ao RPA 1759 - Jarbas Juarez Antunes</t>
  </si>
  <si>
    <t>IR referente ao RPA 1759 - Jarbas Juarez Antunes</t>
  </si>
  <si>
    <t>INSS e INSS Patronal  referente ao RPA 1759 - Jarbas Juarez Antunes</t>
  </si>
  <si>
    <t>Tropicália Ltda</t>
  </si>
  <si>
    <t>000.000.001</t>
  </si>
  <si>
    <t>000.000.863</t>
  </si>
  <si>
    <t>INSS referente a DACTE - 000.000.863 - Pampulha Viagens E Turismos Eireli</t>
  </si>
  <si>
    <t xml:space="preserve">Foco In Cena Produção Fotográfica Ltda
</t>
  </si>
  <si>
    <t xml:space="preserve"> Helbert Amaral Militani 03723448607</t>
  </si>
  <si>
    <t>Gurgelmix Máquinas E Ferramentas S.a.</t>
  </si>
  <si>
    <t>Duetto Atividades Artisticas Eireli</t>
  </si>
  <si>
    <t>ISSQN referente a nota fiscal 2022/08 - Duetto Atividades Artisticas Eireli</t>
  </si>
  <si>
    <t>ISSQN referente a nota fiscal 2022/10 - Duetto Atividades Artisticas Eireli</t>
  </si>
  <si>
    <t>Alexsandro Agostinho Ferreira - Me</t>
  </si>
  <si>
    <t>INSS referente a nota fiscal 129 - Alexsandro Agostinho Ferreira - Me</t>
  </si>
  <si>
    <t>Tarifa Bancária referente a transferência eletrônica pagamento fornecedor:   Tropicália Ltda - Processo 2122</t>
  </si>
  <si>
    <t>Tarifa Bancária referente a transferência eletrônica pagamento fornecedor:   Pampulha Viagens E Turismos Eireli - Processo 3471</t>
  </si>
  <si>
    <t>Tarifa Bancária referente a transferência eletrônica pagamento fornecedor:   Foco In Cena Produção Fotográfica Ltda - Processo 3149</t>
  </si>
  <si>
    <t>Tarifa Bancária referente a transferência eletrônica pagamento fornecedor:    Helbert Amaral Militani 03723448607 - Processo 3145</t>
  </si>
  <si>
    <t>Tarifa Bancária referente a transferência eletrônica pagamento fornecedor:   Duetto Atividades Artisticas Eireli - Processo 2794</t>
  </si>
  <si>
    <t>Tarifa Bancária referente a transferência eletrônica pagamento fornecedor:  Alexsandro Agostinho Ferreira - Me - Processo 3413</t>
  </si>
  <si>
    <t>Contratação de 1 promotora/recepcionista para distribuição de programas na entrada do foyer do Grande Teatro Cemig Palácio das Artes para os espectadores das récitas da Ópera Aleijadinho, nos dias 14,16,18 e 20/05 das 18h30 às 20h00</t>
  </si>
  <si>
    <t>099.245.086-10</t>
  </si>
  <si>
    <t xml:space="preserve">0222106658836
</t>
  </si>
  <si>
    <t>000.106.238  - 000.779.409</t>
  </si>
  <si>
    <t>30/04/2022 -03/05/2022</t>
  </si>
  <si>
    <t>Processo 3699 - Cristiane Moreira Pinto Gestão Cultural - Me</t>
  </si>
  <si>
    <t>Contratações para prestação de serviços de Gerência de Projetos.</t>
  </si>
  <si>
    <t>39.785.818/0001-00</t>
  </si>
  <si>
    <t>Processo 3697 - Hera Gestão E Produção Cultural Ltda</t>
  </si>
  <si>
    <t>Contratação para prestação de serviços de Coordenação de Projetos.</t>
  </si>
  <si>
    <t>46.229.685/0001-43</t>
  </si>
  <si>
    <t>Debatedor para comentar o filme Aleijadinho - Paixão, Glória e Suplício, de Geraldo Santos Pereira.O comentário será transmitido ao vivo no canal da FCS no youtube.</t>
  </si>
  <si>
    <t>631.558.936-72</t>
  </si>
  <si>
    <t>Contratações para prestação de serviços de Gestão de Projetos, com foco em prestação de contas de cumprimento do objeto.</t>
  </si>
  <si>
    <t>047.583.046-61</t>
  </si>
  <si>
    <t>Contratação de van para atender as demandas da produçãoem Ouro Preto das 08:00/18:40 do dia 28/04 e carro executivo para Ney Bonfante do centro de Ouro Preto até o aeroporto de Confins.</t>
  </si>
  <si>
    <t>Contratação de fornecedor que disponibilize profissional ou atue diretamente na área de produção cultural, encarregado de viabilizar e acompanhar a pré-produção e produção de todas as mostras, recitais, espetáculos, ensaios e demais apresentações artísticas do CEFART. Será de responsabilidade do produtor providenciar os espaços de ensaio e sua infraestrutura, gerir a montagem e desmontagem de apresentações; acompanhar e atuar como interlocutor entre todos os profissionais envolvidos, como iluminador, cenógrafo, assistente de direção e todo o restante da equipe de criação; acompanhar todas as instâncias que envolvam a realização cênica.</t>
  </si>
  <si>
    <t>Reembolso realizado pelo Termo de Parceria 50/2020 - IEPHA referente ao percentual (26,41% do valor total ) consumo de água da sede da Appa- mês 04/2022</t>
  </si>
  <si>
    <t>Reembolso realizado pelo Termo de Parceria 50/2020 - IEPHA referente ao percentual (26,41% do valor total ) locação de impressoras da sede da Appa referente ao mês 04/2022</t>
  </si>
  <si>
    <t>Reembolso a conta do Contrato de Gestão - 05/2019, referente  plano de saúde dos funcionários a serviço  do Projeto Anglo</t>
  </si>
  <si>
    <t>U05586</t>
  </si>
  <si>
    <t>2022/210735</t>
  </si>
  <si>
    <t>2022/207118</t>
  </si>
  <si>
    <t>IR referente a nota fiscal 2022/207118 - Unimed Cooperativa Médica</t>
  </si>
  <si>
    <t>Co- Participação Plano de saúde funcionários a serviço do CG</t>
  </si>
  <si>
    <t>001.22.26784361-2</t>
  </si>
  <si>
    <t xml:space="preserve">Stephanie Joyce Correa Cunha 09712424618
</t>
  </si>
  <si>
    <t>Tarifa Bancária referente a transferência eletrônica pagamento fornecedor:    Alexsandro Agostinho Ferreira - Me - Processo 3362</t>
  </si>
  <si>
    <t>Tarifa Bancária referente a transferência eletrônica pagamento fornecedor:  Stephanie Joyce Correa Cunha 09712424618 - Processo 2972</t>
  </si>
  <si>
    <t>Jessica Leonardo Alves Silva 10381420671</t>
  </si>
  <si>
    <t>Ouvex Tecnologia Para Compliance Ltda.</t>
  </si>
  <si>
    <t>Contratação de serviço de clipping, mailing e disparador de e-mail marketing.</t>
  </si>
  <si>
    <t xml:space="preserve">Instituto Integridade E Compliance Consultoria De Negocios Ltda
</t>
  </si>
  <si>
    <t>Contratação de transporte van para atender viagem da Cia de Dança na Apresentação da Intervenção de Dança - "In- Tensões". na cidade de Tiradentes dia 28/05/2022 - Saída dia 28 entre 7 às 8 horas da manhã do Palácio das Artes e volta no dia 29/05 no período da manhã, antes das 12 horas.</t>
  </si>
  <si>
    <t>112.747.426-09</t>
  </si>
  <si>
    <t xml:space="preserve">Contratação de fornecedor que disponibilize profissional ou atue diretamente como especialista em Tecnologia da Informação com conhecimento em sistemas acadêmicos, sistema Moodle e outras ferramentas de ensino a distância para auxiliar os professores do CEFART na gestão das aulas virtuais; auxiliar os alunos em relação a acessos e cadastros, facilidade na digitação e na elaboração de relatórios. </t>
  </si>
  <si>
    <t>Necessário compra de material elétrico (20 metros de fio, 1 plug femea e 50 abraçadeiras) para ligação de parte elétrica das arandelas do maestro assistente, Iluminador, operador de legenda durante a récita de Ouro Preto, dia 29/04.</t>
  </si>
  <si>
    <t>25.368.663/0001-94</t>
  </si>
  <si>
    <t>Passagem aérea para Hernan Sanchez - Argentina/Brasil (09/06) | Brasil/Argentina (21/06)</t>
  </si>
  <si>
    <t>Uaua Estudio Ltda</t>
  </si>
  <si>
    <t>Reembolso realizado pelo Termo de Parceria 50/2020 - IEPHA referente ao percentual (26,41% do valor total), referente ao telefone móvel da sede da Appa- mês 04/2022</t>
  </si>
  <si>
    <t>Reembolso realizado pelo Termo de Parceria 50/2020 - IEPHA referente ao percentual (26,41% do valor total) consumo de energia elétrica da sede da Appa- mês 04/2022</t>
  </si>
  <si>
    <t>Junia Bertolina Da Silva</t>
  </si>
  <si>
    <t>IR referente ao RPA 1717 - Junia Bertolina Da Silva</t>
  </si>
  <si>
    <t>INSS e INSS Patronal referente ao RPA 1717 - Junia Bertolina Da Silva</t>
  </si>
  <si>
    <t>Complemento Salário Gerente de Projetos Dipro, referente ao mês 05/2022</t>
  </si>
  <si>
    <t>Complemento Salário do Músico Instrumentista, referente ao mês 04/2022</t>
  </si>
  <si>
    <t>Complemento Salário Bailarina, referente ao mês 04/2022</t>
  </si>
  <si>
    <t>Complemento Salário do Presidente referente ao mês 04/2022</t>
  </si>
  <si>
    <t>Complemento Salário do Gerente de Projetos: Programação Artística referente ao mês 04/2022</t>
  </si>
  <si>
    <t>Complemento Salário de Bailarina, referente ao mês 04/2022</t>
  </si>
  <si>
    <t>Complemento Salário de Músico, referente ao mês 04/2022</t>
  </si>
  <si>
    <t>Complemento Salário do Bailarino, referente ao mês 04/2022</t>
  </si>
  <si>
    <t>Complemento Salário do Bailarina, referente ao mês 04/2022</t>
  </si>
  <si>
    <t>Complemento Salário do Músico Cantora, referente ao mês 04/2022</t>
  </si>
  <si>
    <t>Complemento Salário da Produtora Cultural: Produção Artística, referente ao mês 04/2022</t>
  </si>
  <si>
    <t xml:space="preserve"> Complemento Salário  Músico Instrumentista, referente ao mês 04/2022</t>
  </si>
  <si>
    <t>Jet Pack Express Cargas Aereas E Rodoviarias Ltda</t>
  </si>
  <si>
    <t xml:space="preserve"> Juan Ferreira Queiroz 14610367637</t>
  </si>
  <si>
    <t>ISSQN referente a nota fiscal 2022/8 -  Juan Ferreira Queiroz 14610367637</t>
  </si>
  <si>
    <t>Michele Costa Bernardino 11479891681</t>
  </si>
  <si>
    <t>Stage Cenografias E Eventos Ltda</t>
  </si>
  <si>
    <t>ISSQN referente a nota fiscal 2022/5 -Stage Cenografias E Eventos Ltda</t>
  </si>
  <si>
    <t>Tarifa Bancária complementação salário</t>
  </si>
  <si>
    <t>Tarifa Bancária referente a transferência eletrônica pagamento fornecedor:   Juan Ferreira Queiroz 14610367637 - Processo 3140</t>
  </si>
  <si>
    <t>Tarifa Bancária referente a transferência eletrônica pagamento fornecedor:  Michelle Sabrina Da Silva 07243837603 - Processo 2987</t>
  </si>
  <si>
    <t>Tarifa Bancária referente a transferência eletrônica pagamento fornecedor:  Stage Cenografias E Eventos Ltda- Processo 3391</t>
  </si>
  <si>
    <t>Compra de 05 pares de tênis para manutenção da CDPA.</t>
  </si>
  <si>
    <t>17.170.416/0001-50</t>
  </si>
  <si>
    <t>Contratação de fornecedor que disponibilize profissional ou atue diretamente como encarregado em prestar apoio administrativo à coordenação executiva da secretaria escolar.</t>
  </si>
  <si>
    <t>Contratação de fornecedor que disponibilize profissional ou atue diretamente como montador/carregador para acompanhamento das atividades complementares e regulares do CEFART.</t>
  </si>
  <si>
    <t>Debatedor para comentar o filme Adorável Vagabundo de Frank Capra .O debate será transmitido ao vivo no canal de youtube da FCS. A programação faz parte da História Permanente do Cinema, do Cine Humberto Mauro.</t>
  </si>
  <si>
    <t>470.305.208-31</t>
  </si>
  <si>
    <t>07 und - Galão de Lava Roupa com 7 litros cada (especificação: "lavagem perfeita");10 und - Pacote de Café Tradicional em pó com 500g cada;05 und - Galão Sabonete líquido com 5 litros cada;02 und - Pacote de Açúcarcom 5 kg cada.</t>
  </si>
  <si>
    <t xml:space="preserve">Reembolso realizado pelo fornecedor:Magalu Pagamentos Ltda referente a entrega parcial dos materiais comprados no processo 3505 ( plásticos bolha) </t>
  </si>
  <si>
    <t>Repasse referente a parcela de maio 2022</t>
  </si>
  <si>
    <t xml:space="preserve">Valor recebido Débora de Oliveira Samarino  - CPF: 095.607.716-12, referente à locação de figurinos </t>
  </si>
  <si>
    <t xml:space="preserve"> Elmo Calçados S/a</t>
  </si>
  <si>
    <t>000.003.354</t>
  </si>
  <si>
    <t>ISSQN referente a nota fiscal 2022/14 - Rf Locação &amp; Filmagem Ltda</t>
  </si>
  <si>
    <t xml:space="preserve">Contratação de produtor artístico para a montagem da formatura do teatro. O produtor seráresponsável por viabilizar toda a estrutura material necessária para a realização de uma obra artística, possibilitando que ela ganhe forma. </t>
  </si>
  <si>
    <t xml:space="preserve">Luiz Felipe Valério Alves </t>
  </si>
  <si>
    <t xml:space="preserve">ISSQN referente ao RPA 1762 - Luiz Felipe Valério Alves </t>
  </si>
  <si>
    <t xml:space="preserve">IR referente ao RPA 1762 - Luiz Felipe Valério Alves </t>
  </si>
  <si>
    <t xml:space="preserve">INSS e INSS Patronal  referente ao RPA 1762 - Luiz Felipe Valério Alves </t>
  </si>
  <si>
    <t>Empresa para locação de 2 geradores que deverá ser responsável pela emissão de ART, necessário técnico full time, mobilização e desmobilização, 50 m de cabo por fase, 30 m de passa cabo para espetáculo a ser realizado na cidade de Ouro Preto</t>
  </si>
  <si>
    <t xml:space="preserve"> Príncipe Da Paz Produções E Eventos Ltda</t>
  </si>
  <si>
    <t>Tarifa Bancária referente a transferência eletrônica pagamento fornecedor:   Elmo Calçados S/a - Processo 3708</t>
  </si>
  <si>
    <t>Tarifa Bancária referente a transferência eletrônica pagamento fornecedor:  Moncalvo Comunicacao Ltda  - Processo 1586</t>
  </si>
  <si>
    <t>Tarifa Bancária referente a transferência eletrônica pagamento fornecedor:  Rf Locação &amp; Filmagem Ltda - Processo 3514</t>
  </si>
  <si>
    <t>100 mts de cabo PP 06mm com 3 vias;02 und de chaves trifásicas/tripolar de 90GE;01 und de fita de auto fusão com 10mts;02 und de fita isolante.</t>
  </si>
  <si>
    <t>17.185.679/0001-33</t>
  </si>
  <si>
    <t>Registro vídeográfico para a exposição “ÓRBITA”: Marcelo &amp;amp; Marconi Drummond que acontece na Galeria Genesco Murta / FCS, incluindo captação de som e imagem, montagem e finalização para a produção de três vídeos teasers a serem entregues a partir do dia 23/05 conforme cronograma a ser acordado com a produção da exposição.</t>
  </si>
  <si>
    <t>22.819.901/0001-42</t>
  </si>
  <si>
    <t>Contratação de 1 assistente de produção para auxiliar a Gerente Celme Valeiras nas atividades da Ópera Aleijadinho. Período 14, 16, 18 e 20/05. Os horários serão alinhados com a Gerente do CLMG</t>
  </si>
  <si>
    <t>050.775.606-17</t>
  </si>
  <si>
    <t>Compra de 02 pares de tênis para manutenção da CDPA.</t>
  </si>
  <si>
    <t>Tarifa Bancária referente a transferência eletrônica pagamento fornecedor:   Calçados Itapuã S/a - Processo 3707</t>
  </si>
  <si>
    <t>Reembolso a conta do Contrato de Gestão referente ao pagamento INSS e INSS Patronal  referente ao RPA 1600 - Cintya Juliana Souza Santos Dias</t>
  </si>
  <si>
    <t>Reembolso a conta do Contrato de Gestão referente ao pagamento INSS e INSS Patronal  referente ao RPA 1637 - Laryssa Pereira Martins</t>
  </si>
  <si>
    <t>Contratação de Sonoplasta para a montagem da formatura do teatro.</t>
  </si>
  <si>
    <t xml:space="preserve"> Patricia Bizzotto Pinto 07914074624</t>
  </si>
  <si>
    <t>Guilherme Henrique Da Silva</t>
  </si>
  <si>
    <t>ISSQN referente ao RPA 1772 - Guilherme Henrique Da Silva</t>
  </si>
  <si>
    <t>Thiago Jose Santos De Alcantara</t>
  </si>
  <si>
    <t>INSS e INSS Patronal referente ao RPA 1773 - Thiago Jose Santos De Alcantara</t>
  </si>
  <si>
    <t xml:space="preserve"> Calçados Itapuã S/a</t>
  </si>
  <si>
    <t xml:space="preserve">27.177.096/0108-53
</t>
  </si>
  <si>
    <t>ISSQN referente a nota fiscal 2022/5 - Estúdio 739 De Publicidade E Propaganda Ltda</t>
  </si>
  <si>
    <t>000.000.308</t>
  </si>
  <si>
    <t>Instalação de "27 cantoneiras de 20cm de comprimento" para suporte dos quadros, conforme especificações de montagem, para a exposição "Nemer - Aquarelas Recentes" que estará na grande galeria do Palácio das Artes, Alberto da Veiga Guignard/ Fundação Clóvis Salgado - Aditivo</t>
  </si>
  <si>
    <t>ISSQN referente a nota fiscal 2022/10 - Cenario Oscar 2019 Serviços De Montagem Eireli</t>
  </si>
  <si>
    <t>ISSQN referente a nota fiscal 2022/6 - Estúdio 739 De Publicidade E Propaganda Ltda</t>
  </si>
  <si>
    <t>Tarifa Bancária referente a transferência eletrônica pagamento fornecedor:   Estúdio 739 De Publicidade E Propaganda Ltda - Processo 3336</t>
  </si>
  <si>
    <t>Tarifa Bancária referente a transferência eletrônica pagamento fornecedor:   Calçados Itapuã S/a - Estúdio 739 De Publicidade E Propaganda Ltda - Processo 3332</t>
  </si>
  <si>
    <t>Seguro de permanência para as obras que integram a exposição "Nemer - Aquarelas Recentes" em cartas na Grande Galeria do Palácio das Artes.</t>
  </si>
  <si>
    <t xml:space="preserve"> Christoffer Produções Artísticas Ltda</t>
  </si>
  <si>
    <t>ISSQN referente a nota fiscal 204 - Christoffer Produções Artísticas Ltda</t>
  </si>
  <si>
    <t xml:space="preserve"> Paulo Ricardo Botelho Cordeiro</t>
  </si>
  <si>
    <t>L2 Papeis Ltda</t>
  </si>
  <si>
    <t>Compra de 12 folhas de papel vergê-creme</t>
  </si>
  <si>
    <t>03.488.474/0001-12</t>
  </si>
  <si>
    <t>Luciana Monteiro Campello</t>
  </si>
  <si>
    <t>Miracle Comércio De Tecidos Ltda</t>
  </si>
  <si>
    <t>Ramiro Comercio De Couros Ltda</t>
  </si>
  <si>
    <t xml:space="preserve">Quantity Servicos E Comercio De Produtos Para Saude S.a.
</t>
  </si>
  <si>
    <t>Aquisição de materiais para adereços de cena do espetáculo"Lalangue" : concha do mar grande.</t>
  </si>
  <si>
    <t>37.990.202/0001-38</t>
  </si>
  <si>
    <t>Aquisição de materiais para adereços de cena do espetáculo"Lalangue" : jarra conforme link.</t>
  </si>
  <si>
    <t>Confecção de lona fosca para backdrop tamanho 3,30x2m com acabamento ilhos</t>
  </si>
  <si>
    <t>Aquisição de materiais para adereços/figurino de cena do espetáculo"Lalangue" : 1 par de sapatos, conforme modelo.</t>
  </si>
  <si>
    <t>27.177.096/0108-53</t>
  </si>
  <si>
    <t>Compra de tinta para pintura das galerias que receberão a exposição. Foto em Pauta: Cosmopolíticas. Quantidade: 01 galão de 18 litros.</t>
  </si>
  <si>
    <t>Contratação de um profissional para edição de vídeos, realização de lives e webinários. Serviços previstos para 04 meses.</t>
  </si>
  <si>
    <t>Reembolso realizado pela conta 11407-3 referente ao pagamento da guia de GPS do mês 04/2022</t>
  </si>
  <si>
    <t>Reembolso realizado pela conta 15949-2 referente ao pagamento da guia de GPS do mês 04/2022</t>
  </si>
  <si>
    <t>Reembolso realizado pela conta 16173-X referente ao pagamento da guia de GPS do mês 04/2022</t>
  </si>
  <si>
    <t>Reembolso realizado pela conta 16185-3 referente ao pagamento da guia de GPS do mês 04/2022</t>
  </si>
  <si>
    <t>Reembolso realizado pela conta do Termo de Parceria 50/2020 - Iepha referente ao pagamento da guia de GPS (funcionários) INSS retido sob folha do mês 04/2022</t>
  </si>
  <si>
    <t>Reembolso realizado pela conta do Termo de Parceria 50/2020 - Iepha referente ao pagamento da guia de GPS (funcionários) INSS Patronal do mês 04/2022</t>
  </si>
  <si>
    <t>Reembolso realizado pelo Termo de Parceria 50/2020 - IEPHA referente ao percentual 26,41% do valor total ) ao consumo de internet da Appa do mês 04/2022</t>
  </si>
  <si>
    <t>Reembolso realizado pela conta do Termo de Parceria 50/2020 - Iepha referente ao pagamento da guia de GPS (autônomo) do mês 04/2022</t>
  </si>
  <si>
    <t>Reembolso realizado pela conta 16375-9  referente ao pagamento da guia de GPS do mês 04/2022</t>
  </si>
  <si>
    <t>Reembolso realizado pela conta 16376-7  referente ao pagamento da guia de GPS do mês 04/2022</t>
  </si>
  <si>
    <t>Reembolso realizado pela conta 16391-0  referente ao pagamento da guia de GPS do mês 04/2022</t>
  </si>
  <si>
    <t>Reembolso realizado pela conta 16476-3  referente ao pagamento da guia de GPS do mês 04/2022</t>
  </si>
  <si>
    <t>Reembolso realizado pela conta  16821-1  referente ao pagamento da guia de GPS do mês 04/2022</t>
  </si>
  <si>
    <t>Oficina De Criação De Filmes Eireli</t>
  </si>
  <si>
    <t>ISSQN referente a nota fiscal 2022/7 -  Oficina De Criação De Filmes Eireli</t>
  </si>
  <si>
    <t>Miguel Ricardo Aun 11047542668</t>
  </si>
  <si>
    <t>ISSQN referente a nota fiscal 2022/132  - Softwares De Gestão Ltda</t>
  </si>
  <si>
    <t>14329758-MG</t>
  </si>
  <si>
    <t>PCC referente a nota fiscal  2022/207118 - Unimed Cooperativa Médica</t>
  </si>
  <si>
    <t>ISSQN referente a nota fiscal 2022/29 - Raise Engenharia Projetos E Eventos Ltda</t>
  </si>
  <si>
    <t>Prefeitura Municipal de Ouro Preto</t>
  </si>
  <si>
    <t>9001992/2022</t>
  </si>
  <si>
    <t>PCC referente a nota fiscal 2404 - Ongsys Sistema Ltda</t>
  </si>
  <si>
    <t>Reembolso realizado pela conta 16375-9  referente ao pagamento da guia de GPS do mês 04/2022 NF Logus 2022/37</t>
  </si>
  <si>
    <t>INSS referente a NF Logus 2022/37</t>
  </si>
  <si>
    <t>NSS  referente a nota fiscal 2022/36 - Logus Protection Patrimonial Ltda</t>
  </si>
  <si>
    <t>INSS Patronal referente a folha do mês 04/2022</t>
  </si>
  <si>
    <t>Tarifa Bancária referente a transferência eletrônica pagamento fornecedor:   Miguel Ricardo Aun 11047542668 - Processo 3586</t>
  </si>
  <si>
    <t>Contratação de coordenação de produção para a montagem da formatura do teatro</t>
  </si>
  <si>
    <t>064.266.326-27</t>
  </si>
  <si>
    <t>Contratação de uma dramaturgo para a montagem da formatura do teatro, que será responsável por criar textos para a montagem do teatro desenvolvendo um enredo, com um conflito como base, para depois ser interpretado por atores no trabalho.</t>
  </si>
  <si>
    <t>051.650.526-21</t>
  </si>
  <si>
    <t>Aquisição de materiais para adereços de cena e figurino do espetáculo"Lalangue" : peruca</t>
  </si>
  <si>
    <t>pagamento da guia de GPS do mês 04/2022 - conta 11407-3</t>
  </si>
  <si>
    <t xml:space="preserve"> pagamento da guia de GPS do mês 04/2022 - conta 15949-</t>
  </si>
  <si>
    <t xml:space="preserve"> pagamento da guia de GPS do mês 04/2022 - conta 16173-X </t>
  </si>
  <si>
    <t>pagamento da guia de GPS do mês 04/2022 - conta 16185-3</t>
  </si>
  <si>
    <t xml:space="preserve"> pagamento da guia de GPS (funcionários) INSS retido sob folha do mês 04/2022 - TP 50/2020 Iepha </t>
  </si>
  <si>
    <t xml:space="preserve"> pagamento da guia de GPS (funcionários) INSS Patronal do mês 04/2022 - TP 50/2020 Iepha </t>
  </si>
  <si>
    <t xml:space="preserve"> pagamento da guia de GPS (autônomo) do mês 04/2022 -TP 50/2020 Iepha </t>
  </si>
  <si>
    <t xml:space="preserve">pagamento da guia de GPS do mês 04/2022 - conta 16375-9 </t>
  </si>
  <si>
    <t xml:space="preserve"> pagamento da guia de GPS do mês 04/2022 -  conta 16376-7</t>
  </si>
  <si>
    <t>pagamento da guia de GPS do mês 04/2022 - conta 16391-0</t>
  </si>
  <si>
    <t>pagamento da guia de GPS do mês 04/2022 - conta 16476-3</t>
  </si>
  <si>
    <t xml:space="preserve"> pagamento da guia de GPS do mês 04/2022 - conta  16821-1 </t>
  </si>
  <si>
    <t>pagamento da guia de GPS do mês 04/2022 - conta 16517-4</t>
  </si>
  <si>
    <t>Contratação de conta do Zoom para realização de aulas virtuais no Cefart - atividades regulares - Plano anual.</t>
  </si>
  <si>
    <t>Debatedor para comentar o filmeUmberto D, de Vittorio De Sica.O comentário acontecerá no Cine Humberto Mauro após a exibição do filme, programado para às 17h do dia 02/06.</t>
  </si>
  <si>
    <t>36.552.662/0001-11</t>
  </si>
  <si>
    <t>Contratação deprestação de serviço para treinamento e assessoria na sistematização e aperfeiçoamento do processo de monitoramento das atividades da Fundação Clóvis Salgado – FCS.</t>
  </si>
  <si>
    <t>42.882.919/0001-04</t>
  </si>
  <si>
    <t>Contratação de conta do Zoom para realização de aulas virtuais no Cefart - Escola de Artes Visuais - Plano anual.</t>
  </si>
  <si>
    <t>Contratação de conta do Zoom para realização de aulas virtuais no Cefart - Escola Tecnologias da Cena - Plano anual.</t>
  </si>
  <si>
    <t>Contratação de dramaturgia para a montagem da formatura do teatro, que seráresponsável por criar textos para a montagem do teatro desenvolvendo um enredo, com um conflito como base, para depois ser interpretado por atores no trabalho.</t>
  </si>
  <si>
    <t>005.079.786-76</t>
  </si>
  <si>
    <t>Manutenção e recuperação de um HD com arquivos de documentos do Cefart que estão apresentando problemas de acesso. O HD tem arquivos importantes que precisam ser resgatados.</t>
  </si>
  <si>
    <t>04.646.588/0001-06</t>
  </si>
  <si>
    <t>Necessário contratação de carregadores para auxiliar na montagem e desmontagem dos eventos do CLMG de junho de acordo com cronograma da gerência do Coral.</t>
  </si>
  <si>
    <t xml:space="preserve">Debatedor para comentar o filme Viver- Ikiru, de Akira Kurosawa .O debate será presencial e acontecerá no Cine Humberto Mauro após a exibição do filme, </t>
  </si>
  <si>
    <t>41.746.752/0001-83</t>
  </si>
  <si>
    <t>Reembolso referente ao pagamento da guia de GPS do mês 04/2022 - conta 16517-4</t>
  </si>
  <si>
    <t>Contratação de professor para ministrar o Curso Complementar Iniciação ao Trabalho Vocal e Corporal, a fim de atender a demanda da Escola de Teatro do Cefar</t>
  </si>
  <si>
    <t>Graziele Tatiane Sena Da Silva 06718942693</t>
  </si>
  <si>
    <t>001.22.28811291-9</t>
  </si>
  <si>
    <t>Millenium Fine Arts Serviços E Transportes Ltda</t>
  </si>
  <si>
    <t>Nota Fiscal - CTE</t>
  </si>
  <si>
    <t>1543 - 845</t>
  </si>
  <si>
    <t>23/03/2022 - 02/03/2022</t>
  </si>
  <si>
    <t>Tarifa Bancária referente a transferência eletrônica pagamento fornecedor:   Millenium Fine Arts Serviços E Transportes Ltda - Processo 3265</t>
  </si>
  <si>
    <t>Reembolso realizado pelo Termo de Parceria 50/2020 - IEPHA referente ao percentual (26,41% do valor total ) locação de PABX da sede da Appa referente ao mês 04/2022</t>
  </si>
  <si>
    <t>Transferência para conta Reserva referente aos rendimentos do mês 04/2022</t>
  </si>
  <si>
    <t>ISSQN referente ao RPA 1789 - Rodrigo César Gomes De Freitas</t>
  </si>
  <si>
    <t>INSS e INS Patronal  referente ao RPA 1789 - Rodrigo César Gomes De Freitas</t>
  </si>
  <si>
    <t xml:space="preserve">4718169061
</t>
  </si>
  <si>
    <t>PIS referente a folha 04/2022</t>
  </si>
  <si>
    <t>Cofins referente aos rendimentos de aplicações financeiras de 04/2022</t>
  </si>
  <si>
    <t>Tecsol Equipamentos Ltda</t>
  </si>
  <si>
    <t>Tarifa Bancária referente a transferência eletrônica pagamento fornecedor:   Tecsol Equipamentos Ltda  - Processo 3090</t>
  </si>
  <si>
    <t xml:space="preserve">Valor recebido Persona Filmes Eireli  - CNPJ: 02.501.714/0001-09 referente à locação de figurinos </t>
  </si>
  <si>
    <t>Contratação de professor para ministrar o Curso Complementar "'Ressonâncias Poéticas do Butô nos Processos de Criação em Teatrodança.", com carga horária de 10 horas, a fim de atender a demanda da Escola de Teatro do Cefart.</t>
  </si>
  <si>
    <t>27.104.782/0001-65</t>
  </si>
  <si>
    <t>Contratação de um profissional para ministrar um Workshop sobre as temáticas (classe trabalhadora, funk, cultura de periferia), a fim decomplementar e auxiliar o processo de montagem do espetáculo de formatura da Escola de Teatro.</t>
  </si>
  <si>
    <t>079.188.166-09</t>
  </si>
  <si>
    <t xml:space="preserve">Reembolso de transporte por aplicativo para retirada de lona para backdrop na gráfica Flag, rua Dom Cavanti,13 - bairro Providência e entrega da Fundação Clóvis Salgado no dia 13/05. </t>
  </si>
  <si>
    <t>Contratação de editor de vídeo para realizar a produção e edição de conteúdos audiovisuais, criação de trilhas, diálogos, imagens, animações, efeitos e demais elementos/recursos necessários, entre outras atividades correlatas.</t>
  </si>
  <si>
    <t>43.857.862/0001-48</t>
  </si>
  <si>
    <t>Compra de 1 blaser para composição dos figurinos da Ópera Aleijadinho.</t>
  </si>
  <si>
    <t>Contratação de Pablo para readaptação/acabamentos das peças dos figurinos existentes do espetáculo Lalangue- Carta à Mãe.</t>
  </si>
  <si>
    <t>15.662.379/0001-72</t>
  </si>
  <si>
    <t>303.250.638-77</t>
  </si>
  <si>
    <t>Contratação de Morena Nascimento, coreógrafa da remontagem do espetáculoLALANGUE - Carta à Mãe.</t>
  </si>
  <si>
    <t>Contratação de serviço de transporte terrestre executivo dos solistas e equipe artística sem receptivo, todos com bagagem de mão e despachada</t>
  </si>
  <si>
    <t>Aquisição de mini moden de internet solicitado para sala de imprensa a ser montada em Ouro Preto para a cobertura da Ópera Aleijadinho.</t>
  </si>
  <si>
    <t xml:space="preserve">311.889
</t>
  </si>
  <si>
    <t xml:space="preserve">Reembolso ao fornecedor :Foco In Cena Produção Fotográfica Ltda - CNPJ:00.731.178/0001-02 - NF 75   referente ao valor do tributo ISSQN retido indevidamente para o município de Belo Horizonte </t>
  </si>
  <si>
    <t>Locacao De Sanitarios Alves &amp; Cia Ltda</t>
  </si>
  <si>
    <t>2022/233</t>
  </si>
  <si>
    <t>Tarifa Bancária referente a transferência eletrônica pagamento fornecedor:   Atacadao Das Tintas Ltda - Processo 3506</t>
  </si>
  <si>
    <t>Tarifa Bancária referente a transferência eletrônica pagamento fornecedor:   Locacao De Sanitarios Alves &amp; Cia Ltda  - Processo 3335</t>
  </si>
  <si>
    <t>Tarifa Bancária referente a transferência eletrônica pagamento fornecedor:   Foco In Cena Produção Fotográfica Ltda  - Processo 3149</t>
  </si>
  <si>
    <t>Plastico bolha 1,30x100mts (1 rolo)</t>
  </si>
  <si>
    <t>Contratação de empresa especializada para reorganização do espaço do Centro Técnico de Produção e Formação - CTPF Marzagão - para receber o acervo (Cenário e Adereços) da Ópera Aleijadinho.</t>
  </si>
  <si>
    <t>Telefone Fixo da sede da Appa referente ao mês 06/2022</t>
  </si>
  <si>
    <t>Kênia Regina De Mendonça Perdigão</t>
  </si>
  <si>
    <t>Tarifa Bancária referente a transferência eletrônica pagamento fornecedor:  Kênia Regina De Mendonça Perdigão  - Processo 3690</t>
  </si>
  <si>
    <t>Contratação de professor para ministrar o curso complementar ABC do NFT: impactos artísticos, culturais e ambientais, a fim de atender a a demanda da Escola de Artes Visuais do Cefart.</t>
  </si>
  <si>
    <t>Curadoria da exposição "Cosmopolíticas", que integra o projeto Foto em Pauta. A exposição acontece nas galerias da CâmeraSete, de 31 de maio a 13 de agosto.</t>
  </si>
  <si>
    <t>02.860.030/0001-01</t>
  </si>
  <si>
    <t>Locação de equipamentos audiovisuais para exibição de obras que integram a exposição Cosmopolíticas no CâmeraSete. 01 projetos com resolução mínima de 3000 lumens e suporte, 02 caixas de som estéreo pequenas ou médias, 01 media player com entrada para pendrive e saída HDMI. O fornecedor deve realizar a instalação e desinstalação dos equipamentos</t>
  </si>
  <si>
    <t>Contratação Editor de Vídeo para trabalhar com as seguintes demandas:Edição dos vídeos das aulas abertas, recitais, mostras e demais projetos audiovisuais do Cefart. Listagem de vídeos: - 24 vídeos para mostra chama - Recital de Música - Camerata de Violões - Teaser do Espetáculo de formatura da Dança - Áudio descrição de duas obras de Jarbas Juarez - Dossiê da Residência</t>
  </si>
  <si>
    <t>35.521.164/0001-49</t>
  </si>
  <si>
    <t>Contratação de fornecedores que estejam aptos a contribuir com as atividades estratégicas da APPA, em especial, na prestação de serviços de Apoio Administrativo.</t>
  </si>
  <si>
    <t>Contratação de de um profissional para ministrar o Workshop de técnicas circenses para auxiliar os alunos e alunas no processo de montagem do Espetáculo de Teatro.</t>
  </si>
  <si>
    <t>27.088.534/0001-78</t>
  </si>
  <si>
    <t>2022/190</t>
  </si>
  <si>
    <t>Contratação de preparador corporal para a montagem da formatura do teatro. A principal função de um preparador corporal consiste em auxiliar os atores no processo de criação de um corpo para o seu personagem. Para atingir este objetivo, inúmeros exercícios são desenvolvidos, passando por alongamentos, técnicas de caminhada e relaxamentos.</t>
  </si>
  <si>
    <t>137.112.006-48</t>
  </si>
  <si>
    <t>ISSQN referene ao RPA 1673 - Rodrigo César Gomes De Freitas</t>
  </si>
  <si>
    <t>IR referene ao RPA 1673 - Rodrigo César Gomes De Freitas</t>
  </si>
  <si>
    <t>Contratação de dramaturgo para a montagem do espetáculo de formatura da turma do 3º ano Técnico da Escola de Teatro do Cefart.</t>
  </si>
  <si>
    <t>016.001.346-10</t>
  </si>
  <si>
    <t xml:space="preserve">0222070348786
</t>
  </si>
  <si>
    <t xml:space="preserve">0222070349324
</t>
  </si>
  <si>
    <t xml:space="preserve">ISSQN referente ao RPA 1623 - Bruno Gonçalves </t>
  </si>
  <si>
    <t xml:space="preserve">0222070349910
</t>
  </si>
  <si>
    <t>ISSQN referente a nota fiscal 2022/6 - TETRIS LAB PROJETOS LTDA</t>
  </si>
  <si>
    <t xml:space="preserve">0222070351060
</t>
  </si>
  <si>
    <t xml:space="preserve">0222070351221
</t>
  </si>
  <si>
    <t xml:space="preserve">0222070351817
</t>
  </si>
  <si>
    <t xml:space="preserve"> 0222070352031
</t>
  </si>
  <si>
    <t xml:space="preserve">0222070352627
</t>
  </si>
  <si>
    <t xml:space="preserve">0222070353275
</t>
  </si>
  <si>
    <t>ISSQN referente a Nota Fiscal 2022/111 - Plotacad Impressão Digital Ltda. - ME</t>
  </si>
  <si>
    <t xml:space="preserve">0222070354328
</t>
  </si>
  <si>
    <t xml:space="preserve">0222070354751
</t>
  </si>
  <si>
    <t xml:space="preserve">0222070355057
</t>
  </si>
  <si>
    <t xml:space="preserve">0222070355804
</t>
  </si>
  <si>
    <t xml:space="preserve"> 0222070356452
</t>
  </si>
  <si>
    <t xml:space="preserve">Reembolso realizado pelo fornecedor :Foco In Cena Produção Fotográfica Ltda - CNPJ:00.731.178/0001-02 - NF 75   referente a devolução indevida quanto valor do tributo ISSQN </t>
  </si>
  <si>
    <t>Lourdes Isabel Miranda</t>
  </si>
  <si>
    <t>ISSQN referente ao RPA 1740 - Lourdes Isabel Miranda</t>
  </si>
  <si>
    <t>INSS e INSS Patronal referente ao RPA 1740 - Lourdes Isabel Miranda</t>
  </si>
  <si>
    <t>Tarifa Bancária referente a transferência eletrônica pagamento fornecedor:  Museu Aleijadinho - Processo 3428</t>
  </si>
  <si>
    <t>Tarifa Bancária referente a transferência eletrônica pagamento fornecedor:  Atacadao Das Tintas Ltda - Processo 3383</t>
  </si>
  <si>
    <t>Tarifa Bancária referente a transferência eletrônica pagamento fornecedor:  Maria Luiza Vilhena Falabella Von Randow  - Processo 3148</t>
  </si>
  <si>
    <t>Contratação de um Preparador Vocal para a preparação vocal, desenvolvimento e treinamento cênico dos atores durante a montagem e ensaios do espetáculo de formatura da Turma do Técnico - Manhã da Escola de Teatro do Cefart.</t>
  </si>
  <si>
    <t xml:space="preserve">42.236.925/0001-86
</t>
  </si>
  <si>
    <t>ISSQN referente ao RPA 1607 - Nathalia Araújo Marques</t>
  </si>
  <si>
    <t xml:space="preserve">02220704819
</t>
  </si>
  <si>
    <t>ISSQN referente ao RPA 1608 - Sitaram Márcio Costa Custódio</t>
  </si>
  <si>
    <t xml:space="preserve">0222070428461
</t>
  </si>
  <si>
    <t>ISSQN referente ao RPA 1611 - Jonathan Serafim Dos Santos</t>
  </si>
  <si>
    <t xml:space="preserve">0222070428895
</t>
  </si>
  <si>
    <t>ISSQN referente ao RPA 1626 - Fernando Cesar Caldeira Pacheco Barbosa</t>
  </si>
  <si>
    <t xml:space="preserve">0222070429352
</t>
  </si>
  <si>
    <t xml:space="preserve">ISSQN referente ao RPA 1627 - Flávio Von Randow Teixeira </t>
  </si>
  <si>
    <t xml:space="preserve">0222070429514
</t>
  </si>
  <si>
    <t>ISSQN referente ao RPA 1628 - DOMINICK LATTUADA ABREU BARBOSA NF 1628</t>
  </si>
  <si>
    <t xml:space="preserve">0222070429786
</t>
  </si>
  <si>
    <t>ISSQN referente ao RPA 1629  - Brenno Theotonio De Castro</t>
  </si>
  <si>
    <t xml:space="preserve">02220700430288
</t>
  </si>
  <si>
    <t>ISSQN referente ao RPA 1630  -  Daniela Coelho Brandão</t>
  </si>
  <si>
    <t xml:space="preserve">0222070430520
</t>
  </si>
  <si>
    <t>ISSQN referente ao RPA 1631  -  Diogo Vieira De Melo</t>
  </si>
  <si>
    <t xml:space="preserve">0222070431179
</t>
  </si>
  <si>
    <t>ISSQN referente ao RPA 1634  -  Luiza Poeiras Amorim</t>
  </si>
  <si>
    <t xml:space="preserve"> 0222070431683
</t>
  </si>
  <si>
    <t>ISSQN referente ao RPA 1635  -  Bianca Furtado Penha</t>
  </si>
  <si>
    <t xml:space="preserve">0222070431926
</t>
  </si>
  <si>
    <t>ISSQN referente a nota fiscal 2022/7  -  JAVALI DO MAR EXPERIMENTACOES ARTISTICAS LTDA</t>
  </si>
  <si>
    <t>ISSQN referente a nota fiscal 2022/50  -  REAL CAMBIO TURISMO LTDA</t>
  </si>
  <si>
    <t xml:space="preserve">022207033088
</t>
  </si>
  <si>
    <t>Luminar Comércio De Tecidos Ltda</t>
  </si>
  <si>
    <t>ISSQN - João Pedro Barbosa Gonçalves Cachopo NF: 140322</t>
  </si>
  <si>
    <t xml:space="preserve">0222062679680
</t>
  </si>
  <si>
    <t>Alpino Linhas E Aviamentos Ltda</t>
  </si>
  <si>
    <t>17.583.196/0001-97Ted</t>
  </si>
  <si>
    <t>Isoporlândia Ltda</t>
  </si>
  <si>
    <t xml:space="preserve"> V M Confecções Ltda</t>
  </si>
  <si>
    <t>71.173.744/0001-56</t>
  </si>
  <si>
    <t>Neusa Da Costa Ferreira</t>
  </si>
  <si>
    <t>Matheus Augusto Alves Antunes</t>
  </si>
  <si>
    <t>Compra dos seguintes materiais:. 1 kilo deCola quente Bastão, 1Lâmina estilete larga e 1Placa Isopor.</t>
  </si>
  <si>
    <t>Rh Papelaria Ltda</t>
  </si>
  <si>
    <t>Serviço de confecção e execução da cenografia de acordo com projeto cenográfico da ópera, com empresa especializada em construção de cenários para espetáculo</t>
  </si>
  <si>
    <t xml:space="preserve"> Br2 Produções Cenográficas Ltda</t>
  </si>
  <si>
    <t>08.347.068/0001-53</t>
  </si>
  <si>
    <t>Atena Arte E Cultura Ltda</t>
  </si>
  <si>
    <t>ISSQN - BRUNA GOMES LEITE DE CARVALHO NF: 1598</t>
  </si>
  <si>
    <t>ISSQN - URI RADTKE COLOSSALE NF : 1601</t>
  </si>
  <si>
    <t>077.437.246-03</t>
  </si>
  <si>
    <t xml:space="preserve">Contratação de Assistente de Produção - Produção de peças e eventos no teatro e suporte nas atividades diárias do Cefart. Atendimento aos alunos. </t>
  </si>
  <si>
    <t>Contratação de produtor artístico para prestação de serviços de concepção artística, produção teatral, coordenação e acompanhamento da montagem do espetáculo de teatro dos alunos do Cefart.</t>
  </si>
  <si>
    <t>03.171.270/0001-92</t>
  </si>
  <si>
    <t>Rendimentos de aplicações financeiras do mês 03/2022 - Modernismo</t>
  </si>
  <si>
    <t>Rendimentos de aplicações financeiras do mês 04/2022 - Modernismo</t>
  </si>
  <si>
    <t>Rendimentos de aplicações financeiras do mês 05/2022</t>
  </si>
  <si>
    <t>Aquisição de cabos para ligação de celular nas caixas de som, adaptador de rede para notebook, réguas, extensões e benjamim.</t>
  </si>
  <si>
    <t>Imposto de Renda referente aos rendimentos de aplicações financeiras do mês 05/2022</t>
  </si>
  <si>
    <t>Monitor(a) para acompanhamento do público durante a exposição "Cosmopolíticas" do projeto Foto em Pauta na CâmeraSete - Casa da Fotografia de Minas Gerais.</t>
  </si>
  <si>
    <t>Plotagem na CâmeraSete - Casa da Fotografia de Minas Gerais:</t>
  </si>
  <si>
    <t>Compra de 20 caixas de carvão vegetal para desenho com 5 unidades ( marca corfix) - médio.</t>
  </si>
  <si>
    <t>Contratação de Apoio Administrativo para trabalhar com contratação de fornecedor, pessoa física ou jurídica</t>
  </si>
  <si>
    <t>Contratação de um dramaturgo para montagem da formatura do 3º ano técnico em Teatro - manhã do Cefart.</t>
  </si>
  <si>
    <t>111.270.546-51</t>
  </si>
  <si>
    <t>Reembolso proporcional realizado pela conta do projeto Anglo referente ao pagamento Seguro de Vida do mês 05/2022</t>
  </si>
  <si>
    <t>Reembolso proporcional realizado pela conta da Appa referente ao pagamento Seguro de Vida do mês 05/2022</t>
  </si>
  <si>
    <t>Reembolso proporcional realizado pela conta do projeto Anglo referente ao pagamento Medicina do Trabalho do mês 05/2022</t>
  </si>
  <si>
    <t>Reembolso proporcional realizado pela conta do TP 50/2020 IEPHA  referente ao pagamento Medicina do Trabalho do mês 05/2022</t>
  </si>
  <si>
    <t>Valor referente a Medicina do Trabalho do mês 05/2022 - PCMSO</t>
  </si>
  <si>
    <t>Valor referente a Medicina do Trabalho do mês 05/2022 - PPRA</t>
  </si>
  <si>
    <t>Valor referente a Medicina do Trabalho do mês 04/2022 - PCMSO</t>
  </si>
  <si>
    <t>Valor referente a Medicina do Trabalho do mês 04/2022 - PPRA</t>
  </si>
  <si>
    <t>2022/8480</t>
  </si>
  <si>
    <t>ISSQN referente a nota fiscal 2022/8480 - Ocupacional Medicina do Trabalho Ltda</t>
  </si>
  <si>
    <t>PCC referente a nota fiscal 2022/8480 - Ocupacional Medicina do Trabalho Ltda</t>
  </si>
  <si>
    <t>2022/8479</t>
  </si>
  <si>
    <t>ISSQN referente a nota fiscal 2022/8479 - Ocupacional Medicina do Trabalho Ltda</t>
  </si>
  <si>
    <t>PCC referente a nota fiscal 2022/8479 - Ocupacional Medicina do Trabalho Ltda</t>
  </si>
  <si>
    <t>Curso de ferramentas de Tecnologia da Informação em sistemas acadêmicos, sistema Moodle e outras ferramentas de ensino a distância para auxiliar o CEFART na gestão das aulas virtuais; auxiliar os alunos em relação a acessos e cadastros, facilidade na digitação e na elaboração de relatórios.</t>
  </si>
  <si>
    <t>Processo 3837 - Ewelyn Felice Da Silva</t>
  </si>
  <si>
    <t>Contratação de um profissional para o Receptivo, que atue como suporte técnico para os cursos de extensão, complementares, mediação e educativo</t>
  </si>
  <si>
    <t>015.903.256-30</t>
  </si>
  <si>
    <t>Contratação de serviços de diretor teatral para elaborar criar e dirigir a formatura da Escola Técnica em Teatro</t>
  </si>
  <si>
    <t xml:space="preserve">00.064.866/0001-66
</t>
  </si>
  <si>
    <t>Locação de 5 unidades de caçambas.</t>
  </si>
  <si>
    <t>28.476.052/0001-58</t>
  </si>
  <si>
    <t>Compra de extensão elétrica fio duplo 10 metros de 20 A, com 03 entradas de tomadas,na cor preta para ser utilizado nos ensaios e apresentações a Cia de Dança nos espetáculos, vídeos, Intervenções e encontros.</t>
  </si>
  <si>
    <t>05.156.806/0001-97</t>
  </si>
  <si>
    <t>Aulas de preparação corporal para desenvolvimento e treinamento cênico do ator durante a montagem e ensaios do espetáculo de formatura do teatro/manhã do Cefart.</t>
  </si>
  <si>
    <t>30.327.650/0001-07</t>
  </si>
  <si>
    <t xml:space="preserve"> Gladston Da Costa Almeida 04368862600</t>
  </si>
  <si>
    <t>Maria Luiza Vilhena Falabella Von Randow</t>
  </si>
  <si>
    <t>ISSQN referente ao RPA 1763 - Maria Luiza Vilhena Falabella Von Randow</t>
  </si>
  <si>
    <t>INSS e INSS Patronal referente ao RPA 1763 - Maria Luiza Vilhena Falabella Von Randow</t>
  </si>
  <si>
    <t>Cme Comercial Material Elétrico Ltda</t>
  </si>
  <si>
    <t>000.003.519</t>
  </si>
  <si>
    <t>Ambulância simples para acompanhamento do evento concerto no parque. horario: de 9h as 13h</t>
  </si>
  <si>
    <t>Locação de grades de contenção para o evento Concerto no Parque.</t>
  </si>
  <si>
    <t>Contratação de 02 profissionais brigadistas Bombeiro Civil para o evento Concerto no Parque, no dia 12 de junho</t>
  </si>
  <si>
    <t>36.605.507/0001-16</t>
  </si>
  <si>
    <t>A mostra Minas em Cartaz será a primeira mostra especial do contrato de gestão, com o conceito de mineiridade - tema central das políticas públicas da SECULT. Além de resgatar clássicos da filmografia do Cinema Mineiro, a mostra trará uma obra clássica do cinema mineiro digitalizada e restaurada</t>
  </si>
  <si>
    <t xml:space="preserve">25.298.459/0001-44
</t>
  </si>
  <si>
    <t>Contratação de fornecedor que será responsável pela digitação e preenchimentos de planilhas; digitação de documentos; auxílio na verificação das atividades diárias desenvolvidas, mantendo o gestor informado e tomando providências por este determinadas para o bom andamento da programação do CLMG; acompanhamento de contratações e pagamentos de prestadores de serviços; participar, sempre que solicitado, em todas as atividades voltadas para o desenvolvimento e aprimoramento da parceria, visando garantir a qualidade de suas atividades diárias a partir da orientação da gerente do CLMG.</t>
  </si>
  <si>
    <t xml:space="preserve">
050.775.606-17</t>
  </si>
  <si>
    <t>Impressão de 50 cartazes em formato A2 420 x 594 mm, , 4x4 cores, 90 a 120 gramas para divulgação do edital do 3° Prêmio Décio Noviello.</t>
  </si>
  <si>
    <t>05.784.116/0001-82</t>
  </si>
  <si>
    <t>Serviço de desenvolvimento, criação de layout e adaptação constante de Plataforma Virtual CineHumbertoMauroMais, para realização de mostras e festivais criados e/ou abrigados pela Gerência de Cinema da Fundação Clóvis Salgado e APPA, a partir de diretrizes específicas encaminhadas pelas mesmas; para abrigar e realizar a transmissão via streaming direto, de obras audiovisuais, performances, debates ao vivo, em diversos formatos e duração, pelo período de 9 meses</t>
  </si>
  <si>
    <t>Monitor(a) para acompanhamento do público durante a exposição "Cosmopolíticas" do projeto Foto em Pauta na CâmeraSete - Casa da Fotografia de Minas Gerais.
Justificativa (Motivação para realização da despesa)</t>
  </si>
  <si>
    <t>087.429.886-59</t>
  </si>
  <si>
    <t>Contratação de prestador de serviços para digitação, preenchimento de planilhas, elaboração de relatórios bem como auxiliar o manuseio e preparo de documentos para o setor de Comunicação</t>
  </si>
  <si>
    <t>18.347.921/0001-90</t>
  </si>
  <si>
    <t>Contratação de Produtor Executivo para atuar durante as etapas de pré-produção, produção e pós produção das exposições de artes visuais que ocorrerão nos espaços expositivos da FCS de junho a setembro de 2022.</t>
  </si>
  <si>
    <t>Contratação do montadorEloi Salvador Schembri Juniorpara a desmontagem da exposição"Nemer - Aquarelas Recentes ",que ficará na grande galeria Alberto da Veiga Guignard / Fundação Clóvis Salgado do dia 19 de abril a 5 de junho de 2022.</t>
  </si>
  <si>
    <t>057.793.476-70</t>
  </si>
  <si>
    <t>Contratação de um profissional para ministrar o curso complementar "Danças Urbanas", a fim de atender a demanda da Escola de Dança do Cefart.</t>
  </si>
  <si>
    <t>087.568.716-43</t>
  </si>
  <si>
    <t xml:space="preserve">Reembolso parcial da conta do Termo de Parceria 50/2020 - IEPHA, referente contratação de empresa de setor administrativo especializada em entidades do terceiro setor  para o Contrato de Gestão 05/2019 e Termo de Parceria 50/2020 (mês 05/2022) - 26,41% do valor total </t>
  </si>
  <si>
    <t>Eletrica Ipiranga Ltda</t>
  </si>
  <si>
    <t>71.93.2022.0000839</t>
  </si>
  <si>
    <t>ISSQN referente a nota fiscal 2022/35 - Arco Cultural Ltda</t>
  </si>
  <si>
    <t xml:space="preserve"> Hr - Lanches, Promoções E Eventos Eireli - Me</t>
  </si>
  <si>
    <t>Peroni Produções Culturais Ltda</t>
  </si>
  <si>
    <t>ISSQN referente a nta fiscal 2022/17 - Peroni Produções Culturais Ltda</t>
  </si>
  <si>
    <t>Compra de bananas para adereço de cena.</t>
  </si>
  <si>
    <t>Serviço de Curadoria para a Mostra Especial dedicada ao Cinema Mineiroirá acontecer do dia 24/06 a 07/07 no Cine Humberto Mauro no Palácio das Artes/ FCS, traçando um panorama histórico das ultimas décadas.</t>
  </si>
  <si>
    <t xml:space="preserve">
17.514.860/0001-46</t>
  </si>
  <si>
    <t>Projeto de prevenção e combate a incêndio e ao pânico (PPCIP)para o Concerto no Parque às 10:00 horas, no dia 12 de junho</t>
  </si>
  <si>
    <t>ISSQN LUIZ OTAVIO PEREIRA FARIA NF: 1625</t>
  </si>
  <si>
    <t>ISSQN CLAUDIA HELENA AZEVEDO ALVARENGA NF: 1639</t>
  </si>
  <si>
    <t>ISSQN RICARDO APPEZZATO NF: 1640</t>
  </si>
  <si>
    <t>ISSQN -ASSOCIAÇÃO BELAS ARTES DE PRESTADORES DE SERVIÇOS ARTÍSTICOS E ESPERTIVOS E CULTURAL NF: 9746</t>
  </si>
  <si>
    <t>ISSQN - 0207793/001-7 - ADMINISTRADORA DE HOTEIS CHEVERNY LTDA - NF: 20221753</t>
  </si>
  <si>
    <t>ISSQN -1088042-001-1 DAMASCO COMUNICAÇÃO EIRELI NF: 202227</t>
  </si>
  <si>
    <t>ISSQN -1019020/001-1 MW VIAGENS INTELIGENTES OPERADORA E AGENCIA DIGITAL LTDA: 202256</t>
  </si>
  <si>
    <t>ISSQN -1088042/001-1 DAMASCO COMUNICAÇÃO EIRELI NF: 202225</t>
  </si>
  <si>
    <t>ISSQN -0115198/001-0 MURILLO CORREA E CIA SOM E LUZ LTDA NF: 202212</t>
  </si>
  <si>
    <t>ISSQN - ILUMINURAS PRODUÇÕES ARTISTICO-CULTURAIS LTDA - ME NF: 318</t>
  </si>
  <si>
    <t>ISSQN ALMAC MAQUINAS DE COSTURAR LTDA NF: 74</t>
  </si>
  <si>
    <t>Pacote de seviços</t>
  </si>
  <si>
    <t>Contratação de seguro saúde e contra acidentes para Marcelo Marques e Angélica, equipe de criação artística que vem de fora de BH</t>
  </si>
  <si>
    <t>Assist Card Do Brasil Ltda</t>
  </si>
  <si>
    <t>00.027.571/0001-10</t>
  </si>
  <si>
    <t>Compra de passagens aéreas para Ney Bonfante, Iluminador integrante da equipe de criação do espetáculo, considerando bagagem despachada</t>
  </si>
  <si>
    <t xml:space="preserve">Mw Viagens Inteligentes Operadora E Agência Digital Eireli - Me
</t>
  </si>
  <si>
    <t>2022/64</t>
  </si>
  <si>
    <t>2022/263</t>
  </si>
  <si>
    <t xml:space="preserve"> Sergio Arruda Felicio</t>
  </si>
  <si>
    <t>Montagem especializada em exposições artísticas para montagem e desmontagem das quatro 4 exposições selecionadas pelo edital "2º Prêmio Décio Noviello de Fotografia e de Artes Visuais", que acontecerão nas galerias Genesco Murta e Arlinda Correa Lima (Palácio das Artes) e no CâmaraSete - Casa da Fotografia de Minas Gerais no período de 11 de janeiro a 13 de março de 2022</t>
  </si>
  <si>
    <t xml:space="preserve">Confecção de 2 suportes para os acrílicos:02 hastes reguláveis ( tipo estante de partituras)02 bases - 50 cmespessura - 01 Metalon 25cm/25cm - 01 Metalon 30cm/cm
</t>
  </si>
  <si>
    <t>Industria E Comercio De Instrumentos Musicais Dyorman Ltda</t>
  </si>
  <si>
    <t>13.810.194/0001-32</t>
  </si>
  <si>
    <t>Impressão de adesivos para sinalização das galerias do Palácio das Artes e CâmeraSete - Casa da Fotografia de Minas Gerais para a realização das exposições contempladas pelo 2º Prêmio Décio Noviello de Artes Visuais e Fotografia.</t>
  </si>
  <si>
    <t>2022/111</t>
  </si>
  <si>
    <t>Locação de estrutura de palco, piso, cobertura e correlacionados conforme descrição detalhada em anexo, para evento Concerto no Parque dia 12/6 no Parque Municipal.</t>
  </si>
  <si>
    <t>30.347.716/0001-20</t>
  </si>
  <si>
    <t xml:space="preserve"> Guilherme Henrique Da Silva</t>
  </si>
  <si>
    <t>ISSQN referente ao RPA 1798 - Guilherme Henrique Da Silva</t>
  </si>
  <si>
    <t>INSS referente ao RPA 1798 - Guilherme Henrique Da Silva</t>
  </si>
  <si>
    <t>Salário do Bailarina, referente ao mês 05/2022</t>
  </si>
  <si>
    <t>Salário do Músico Instrumentista, referente ao mês 05/2022</t>
  </si>
  <si>
    <t>Salário da Coordenadora de Comunicação, referente ao mês 05/2022</t>
  </si>
  <si>
    <t>Salário do Bailarino, referente ao mês 05/2022</t>
  </si>
  <si>
    <t>Salário  Músico Cantor, referente ao mês 05/2022</t>
  </si>
  <si>
    <t>Salário da Músico Cantor, referente ao mês 05/2022</t>
  </si>
  <si>
    <t>Salário do Montador Diart, referente ao mês 05/2022</t>
  </si>
  <si>
    <t>Salário de Bailarina, referente ao mês 05/2022</t>
  </si>
  <si>
    <t>Salário do Regente Assistente, referente ao mês 05/2022</t>
  </si>
  <si>
    <t>Salário de Músico Cantora, referente ao mês 05/2022</t>
  </si>
  <si>
    <t>Salário do Músico, referente ao mês 05/2022</t>
  </si>
  <si>
    <t>Salário da Analista Financeiro Pleno, referente ao mês 05/2022</t>
  </si>
  <si>
    <t>Salário Músico Instrumentista, referente ao mês 05/2022</t>
  </si>
  <si>
    <t xml:space="preserve"> Salário  Músico Instrumentista, referente ao mês 05/2022</t>
  </si>
  <si>
    <t>Salário do Músico Cantora, referente ao mês 05/2022</t>
  </si>
  <si>
    <t>Salário Montador Dipro, referente ao mês 05/2022</t>
  </si>
  <si>
    <t>Salário do Diretor Financeiro, referente ao mês 05/2022</t>
  </si>
  <si>
    <t>Salário da Assessora Pedagógica, referente ao mês 05/20222</t>
  </si>
  <si>
    <t>Salário  Músico Instrumentista, referente ao mês 05/2022</t>
  </si>
  <si>
    <t>Salário de Músico, referente ao mês 05/2022</t>
  </si>
  <si>
    <t>Salário do Produtora Cultural da Dipro, referente ao mês 05/2022</t>
  </si>
  <si>
    <t>Salário da Produtora Cultural: Produção Artística, referente ao mês 05/2022</t>
  </si>
  <si>
    <t>T T Factory Thinks Tanks Estratégia E Impacto Ltda</t>
  </si>
  <si>
    <t>ISSQN referente a nota fiscal 2022/13 - T T Factory Thinks Tanks Estratégia E Impacto Ltda</t>
  </si>
  <si>
    <t>Transporte para devolução das obras da exposição "Nemer - Aquarelas recentes"</t>
  </si>
  <si>
    <t>Contratação de profissional para criação e concepção artística dos figurinos do elenco, roupas e acessórios de acordo com perfil de cada personagem e contextos propostos pelas diretoras Ana Haddad e Raquel Pedras - professoras e diretoras da montagem de formatura da escola de teatro do Cefart.</t>
  </si>
  <si>
    <t>903.900.321-15</t>
  </si>
  <si>
    <t>Aquisição de materiais para adereços de cena e figurino do espetáculo"Lalangue - Carta à Mãe" : 1 kilo de breu e 1 kilo de magnésio em pó.</t>
  </si>
  <si>
    <t>16.631.103/0001-90</t>
  </si>
  <si>
    <t>Aquisição de materiais para atender primeiros socorros e manutenção física dos bailarinos da CDPA.</t>
  </si>
  <si>
    <t>Montagem de sistema de iluminação para espetáculo Lalangue - Carta à Mãe. Pochete de luz para fazer parte de adereço de cena.</t>
  </si>
  <si>
    <t>27.526.937/0001-51</t>
  </si>
  <si>
    <t>Contratação de preparador musical para desenvolvimento e treinamento cênico do ator durante a montagem e ensaios do espetáculo de formatura dos alunos do teatro 3º ano - manhã. Letícia Ângelo (preparadora musicada) é atriz, musicista, mulher negra e desenvolve trabalho de trilha sonora a partir da percussão corporal e através da composição musical com o som extraído de objetos do cotidiano.</t>
  </si>
  <si>
    <t>46.331.445/0001-55</t>
  </si>
  <si>
    <t>Contratação de profissional para operação a mesa de som durante os ensaios e temporada do espetáculo de formatura da escola de teatro - manhã com direção das professoras Ana Hadad e Raquel Pedras</t>
  </si>
  <si>
    <t>Contratação do monitor Brenno Theotônio De Castro para acompanhamento do público durante a visitação na exposição "Nemer - Aquarelas Recentes” na Grande Galeria Alberto da Veiga Guignard</t>
  </si>
  <si>
    <t>ISSQN referente ao RPA 1799 - Brenno Theotonio De Castro</t>
  </si>
  <si>
    <t>INSS e INSS Patronal referente ao RPA 1799 - Brenno Theotonio De Castro</t>
  </si>
  <si>
    <t xml:space="preserve"> Flávio Von Randow Teixeira</t>
  </si>
  <si>
    <t>ISSQN referente ao RPA 1807 -  Flávio Von Randow Teixeira</t>
  </si>
  <si>
    <t>IR  referente ao RPA 1807 -  Flávio Von Randow Teixeira</t>
  </si>
  <si>
    <t>INSS e INSS Patronal referente ao RPA 1807 -  Flávio Von Randow Teixeira</t>
  </si>
  <si>
    <t>Gerente de Projetos , referente ao mês 05/2022</t>
  </si>
  <si>
    <t>Salário do Pianista, referente ao mês 05/2022</t>
  </si>
  <si>
    <t>Salário Gerente de Projetos Dipro, referente ao mês 05/2022</t>
  </si>
  <si>
    <t>Salário do Presidente referente ao mês 05/2022</t>
  </si>
  <si>
    <t>Salário do Coordenador Administrativo referente ao mês 05/2022</t>
  </si>
  <si>
    <t>Salário do Gerente de Projetos: Programação Artística referente ao mês 05/2022</t>
  </si>
  <si>
    <t>Salário Bailarina, referente ao mês 05/2022</t>
  </si>
  <si>
    <t>Reembolso realizado pelo Termo de Parceria 50/2020 - Iepha a conta do Contra de Gestão 005/2019 referente ao pagamento de guia de FGTS - Valor proporcional aos funcionários a serviço do TP 50/2020 - 05/2022</t>
  </si>
  <si>
    <t>Reembolso realizado pela Appa - Projeto Pronac  a conta do Contrato de Gestão referente ao pagamento de guia de FGTS  - 05/2022</t>
  </si>
  <si>
    <t>ISSQN referente ao RPA 1800 - Yuri Ricardo Ferreira Cruz</t>
  </si>
  <si>
    <t>INSS e INSS Patronal referente ao RPA 1800 - Yuri Ricardo Ferreira Cruz</t>
  </si>
  <si>
    <t>FGTS referente a folha de pagamento do mês 05/2022</t>
  </si>
  <si>
    <t xml:space="preserve"> Amanda Luíze Pontes Homem</t>
  </si>
  <si>
    <t>ISSQN referente ao RPA 1808 -  Amanda Luíze Pontes Homem</t>
  </si>
  <si>
    <t>IR referente ao RPA 1808 -  Amanda Luíze Pontes Homem</t>
  </si>
  <si>
    <t>INSS e INSS Patronal referente ao RPA 1808 -  Amanda Luíze Pontes Homem</t>
  </si>
  <si>
    <t>Emissão de ISBN do Catálogo Chama Arvoredos Plurais de 2021.A Requisição deve feita no site da Câmera Brasileira do Livro.</t>
  </si>
  <si>
    <t>IR retido em folha do mês 05/2022</t>
  </si>
  <si>
    <t>INSS retido em folha do mês 05/2022</t>
  </si>
  <si>
    <t>Contratação de profissional para criação e execução da trilha sonora para estreia do espetáculo de formatura da escola de teatro do Cefart - manhã com direção das Professoras Ana Hadad e Raquel Pedras</t>
  </si>
  <si>
    <t xml:space="preserve"> Eduardo Muller Carvalho Dos Reis 09247861675</t>
  </si>
  <si>
    <t>Casa Cabana Ltda</t>
  </si>
  <si>
    <t>Casa Macena Tecidos Eireli</t>
  </si>
  <si>
    <t>35.019.486/0001-94</t>
  </si>
  <si>
    <t>Maria Vieira Lima 01196915660</t>
  </si>
  <si>
    <t>Contratação da Mediadora / Debatedora Angélica de Carvalho para integrar a mesa 3 – Ópera: Arte Viva! Arte integrada! Que fará parte da programação da mostra Cinema e Ópera que acontece entre os dias 05 e 25 de outubro, transmitida pelo Youtube da Fundação Clóvis Salgado e retransmitido pela plataforma Cine Humberto Mauro Mais.</t>
  </si>
  <si>
    <t>Angélica Maria Alves De Carvalho 01423734785</t>
  </si>
  <si>
    <t xml:space="preserve">40.890.506/0001-38
</t>
  </si>
  <si>
    <t xml:space="preserve"> Luminar Comércio De Tecidos Ltda</t>
  </si>
  <si>
    <t>Contratação de uma van de 15 lugares ou mais pra ir no CTP Marzagão, rua do Cartório, 120 - Marzagão em Sabará. Saindo da Fundação às 13 horas, passando pelo CTP Andradas para pegar um material e passageiros, indo para Sabará e retornando às 18 hs. A necessidade da van de 15 lugares ou mais é pra levar uns materiais pra gravação de um vídeo</t>
  </si>
  <si>
    <t>Thiago Antonini Mares Santos Ltda</t>
  </si>
  <si>
    <t xml:space="preserve">Angélica Maria Alves De Carvalho 01423734785
</t>
  </si>
  <si>
    <t>04 baterias para notebook Dell Inc. modelo Inspiron 5458 | Bateria BB 11-DE120 14.8V-2200mAh (modelo atual).</t>
  </si>
  <si>
    <t>11.027.350/0001-68</t>
  </si>
  <si>
    <t>Processo 3868 - Audio Tec Ltda</t>
  </si>
  <si>
    <t>04.134.616/0001-06</t>
  </si>
  <si>
    <t>Aquisição de materiais para adereços de cena do espetáculo "Lalangue": espuma de 16 cm ou 18 cm de espessura x 2 metros de comprimento x 70 cm de largura, cor cinza conforme fotos encaminhadas +4 metrosde tecido water Black 67/ALG - 33% /PES.</t>
  </si>
  <si>
    <t>17.330.903/0001-33</t>
  </si>
  <si>
    <t xml:space="preserve">Contratação de Assistente de Produção e Curadoria para integrar a equipe da Gerência de Artes Visuais do Palácio das Artes, atuando durante todas as etapas de pré-produção, produção e pós produção das exposições de artes visuais que ocorrerão nos espaços expositivos da FCS durante o período de trabalho. </t>
  </si>
  <si>
    <t xml:space="preserve">08.159.985/0001-04
</t>
  </si>
  <si>
    <t>33.812.929/0001-74</t>
  </si>
  <si>
    <t>Rizzia Soares Rocha</t>
  </si>
  <si>
    <t>INSS e INSS Patronal referente ao RPA 1818 - Rizzia Soares Rocha</t>
  </si>
  <si>
    <t>ISSQN referente a nota fiscal 20222/68851 - Unimed Coopertiva Médica</t>
  </si>
  <si>
    <t>Troca de 17 placas de SSD 240 GB SATA, para os notebooks dos colaboradores da APPA</t>
  </si>
  <si>
    <t>Professor para ministrar curso dentro da programação da Mostra Especial Cinema Mineiro que acontece no período de 24 a 30 de junho de 2022 no Cine Humberto Mauro</t>
  </si>
  <si>
    <t>156.067.406-72</t>
  </si>
  <si>
    <t>344.367.156-04</t>
  </si>
  <si>
    <t>Contratação de professor para ministrar o Curso Complementar "Dança Afro", a fim de atender a demanda da Escola de Dança do Cefart..</t>
  </si>
  <si>
    <t xml:space="preserve">222132179540
</t>
  </si>
  <si>
    <t xml:space="preserve">222132178900
</t>
  </si>
  <si>
    <t xml:space="preserve">222132177840
</t>
  </si>
  <si>
    <t xml:space="preserve">0222132181103
</t>
  </si>
  <si>
    <t xml:space="preserve">0222132181448
</t>
  </si>
  <si>
    <t xml:space="preserve">0222132181790
</t>
  </si>
  <si>
    <t xml:space="preserve">0222132181952
</t>
  </si>
  <si>
    <t>ISSQN referente ao RPA 1745 - Flávio Von Randow Teixeira</t>
  </si>
  <si>
    <t xml:space="preserve">0222132182258
</t>
  </si>
  <si>
    <t>ISSQN referente a nota fiscal 2022/6 - Maria De Lourdes T Herrmann - ME</t>
  </si>
  <si>
    <t>ISSQN referente a nota fiscal 2022/643 - Artes Gráficas Formato Ltda</t>
  </si>
  <si>
    <t>ISSQN referente a nota fiscal  2022/272448 - Unimed Cooperativa Médica</t>
  </si>
  <si>
    <t xml:space="preserve">0222132183068
</t>
  </si>
  <si>
    <t xml:space="preserve">ISSQN referente a nota fiscal  2022/762 - Patrulha Eletrônica Ltda
</t>
  </si>
  <si>
    <t xml:space="preserve">0222132183300
</t>
  </si>
  <si>
    <t xml:space="preserve">222132185516
</t>
  </si>
  <si>
    <t xml:space="preserve">222132185788
</t>
  </si>
  <si>
    <t xml:space="preserve">222132186598
</t>
  </si>
  <si>
    <t xml:space="preserve">222132188701
</t>
  </si>
  <si>
    <t xml:space="preserve">222132188965
</t>
  </si>
  <si>
    <t xml:space="preserve">222132189937
</t>
  </si>
  <si>
    <t xml:space="preserve">222132192210
</t>
  </si>
  <si>
    <t xml:space="preserve">0222132192644
</t>
  </si>
  <si>
    <t xml:space="preserve">222132193373
</t>
  </si>
  <si>
    <t xml:space="preserve">222132193020
</t>
  </si>
  <si>
    <t xml:space="preserve">222132193705
</t>
  </si>
  <si>
    <t>ISSQN referente a nota fiscal 2022/132022 - Consórcio Ótimo de Bilhetagem Eletrônica</t>
  </si>
  <si>
    <t xml:space="preserve">222132194264
</t>
  </si>
  <si>
    <t xml:space="preserve">ISSQN referente a nota fiscal 2022152548 - Cons Ioper Transporte Coletivo
 </t>
  </si>
  <si>
    <t>Impressão 1000 catálogos referentes a exposição Nemer- Aquarelas Recentes que estará na grande galeria Alberto da Veiga Guignard</t>
  </si>
  <si>
    <t>Futura Express Solucoes Digitais Ltda</t>
  </si>
  <si>
    <t>2022/1388</t>
  </si>
  <si>
    <t>ISSQN referente a nota fiscal 2022/1388 - Futura Express Solucoes Digitais Ltda</t>
  </si>
  <si>
    <t>Contratação do monitor FERNANDO CESAR CALDEIRA PACHECO BARBOSA para acompanhamento do público durante a visitação na exposição "Nemer - Aquarelas Recentes” na Grande Galeria Alberto da Veiga Guignard</t>
  </si>
  <si>
    <t>ISSQN referente ao RPA 1797 - Fernando Cesar Caldeira Pacheco Barbosa</t>
  </si>
  <si>
    <t>INSS e INSS Patronal referente ao RPA 1797 - Fernando Cesar Caldeira Pacheco Barbosa</t>
  </si>
  <si>
    <t>Tarifa Bancária referente a transferência eletrônica pagamento fornecedor:  Fernando Cesar Caldeira Pacheco Barbosa  - Processo 3309</t>
  </si>
  <si>
    <t>Tarifa Bancária referente a transferência eletrônica pagamento fornecedor:   Ivete Maria De Oliveira 76363481600  - Processo 3527</t>
  </si>
  <si>
    <t>Reembolso referente a diárias Viagem - Ópera Aleijadinho (Ouro Preto) paga indevidamente a funcionária: Eliatrice Gischewski Souza</t>
  </si>
  <si>
    <t>Nicolly Rejaira Magalhães Resende 09457602641</t>
  </si>
  <si>
    <t xml:space="preserve"> Leite Filmes Ltda</t>
  </si>
  <si>
    <t>ISSQN referente a Nota Fiscal 2022/9 -  Leite Filmes Ltda</t>
  </si>
  <si>
    <t>Paróquia Nossa Senhora da Conceição</t>
  </si>
  <si>
    <t>05.031.095/0001-24</t>
  </si>
  <si>
    <t>Robson Bessa Costa</t>
  </si>
  <si>
    <t>Tarifa Bancária referente a transferência eletrônica pagamento fornecedor:   Nicolly Rejaira Magalhães Resende 09457602641  - Processo 3721</t>
  </si>
  <si>
    <t>Tarifa Bancária referente a transferência eletrônica pagamento fornecedor:    Leite Filmes Ltda  - Processo 2471</t>
  </si>
  <si>
    <t>Tarifa Bancária referente a transferência eletrônica pagamento fornecedor:   Paróquia Nossa Senhora da Conceição  - Processo 3428</t>
  </si>
  <si>
    <t>Tarifa Bancária referente a transferência eletrônica pagamento fornecedor:   Robson Bessa Costa  - Processo 3567</t>
  </si>
  <si>
    <t>Reembolso realizado pelo Termo de Parceria 50/2020 - IEPHA referente ao percentual (26,41% do valor total), Segurança Eletrônica da Sede da APPA - mês 05/2022</t>
  </si>
  <si>
    <t xml:space="preserve">Reembolso realizado pelo Termo de Parceria 50/2020 - IEPHA referente ao percentual (26,41% do valor total), Taxas de Fiscalização de Localização e Funcionamento e Taxa de Fiscalização Sanitária . Favorecido: Prefeitura Muncipal de Belo Horizonte - 02ª Parcela </t>
  </si>
  <si>
    <t xml:space="preserve">Necessário reposição de desembolso feito pela bailarina para a compra de material que foi utilizado na 2º apresentação das 20hs do dia 01/04 </t>
  </si>
  <si>
    <t>Eliatrice Gschewski Sousa</t>
  </si>
  <si>
    <t>2022/762</t>
  </si>
  <si>
    <t xml:space="preserve">02.22.1378768.86
</t>
  </si>
  <si>
    <t>Proxys Comércio Eletrônico Ltda</t>
  </si>
  <si>
    <t>Tarifa Bancária referente a transferência eletrônica pagamento fornecedor:   Gilberto De Lima Goulart 08401043670  - Processo 3520</t>
  </si>
  <si>
    <t>Pesquisa de Cópias para localização e negociação da liberação das obras selecionadas e pensadas pela curadoria para integrarem a programação da mostra Cinema Mineiro em Cartaz que irá acontecer do dia 24/06 a 07/07 no Cine Humberto Mauro no Palácio das Artes/ FCS. As obras serão exibidas em sessões presenciais, além de serem licenciadas para exibições virtuais na plataforma cineHumbertoMauro/MAIS.</t>
  </si>
  <si>
    <t>Licenciamento para uso de imagens de trechos dos filmesfilmesJurassic Park , Raider's March "Indiana Jones" e A Lista de Schindler, da Universal Filmes, para a realização do Música de Cinema, tributo a John Williams, no palco do Cine Theatro Brasil, às 20 horas, no dia 15 de junho.</t>
  </si>
  <si>
    <t>21.056.980/0001-14</t>
  </si>
  <si>
    <t>Maurão Couros E Plásticos Ltda</t>
  </si>
  <si>
    <t>Cide Importação - João Pedro Barbosa G. Cachopo</t>
  </si>
  <si>
    <t>Chubb Seguros Brasil S.A</t>
  </si>
  <si>
    <t>03.502.099/0001-18</t>
  </si>
  <si>
    <t>Pro Disk Distribuidora Eireli</t>
  </si>
  <si>
    <t>Maria Das Graças De Sousa Morais 02621402682</t>
  </si>
  <si>
    <t>eservas de hospedagens na cidade de Ouro Preto para atender a equipe de produção - Márcio Angelo, Flávia Braga e Irene do Carmo. Necessário hotel mais próximo à Igreja São Francisco de Assis no Largo de Coimbra, s/n - Centro, Ouro Preto - MG para a acompanhamento da montagem da Temporada de Ópera. Dias 17 a 21/04/2021,</t>
  </si>
  <si>
    <t>Cecilia Versiani Passos &amp; Filhos Ltda</t>
  </si>
  <si>
    <t>Autêntica Bandeiras E Confecções Ltda</t>
  </si>
  <si>
    <t>Plásticos &amp; Company Ltda Me</t>
  </si>
  <si>
    <t>Comercial Obradec Materiais Para Construção Ltda.</t>
  </si>
  <si>
    <t>Raise Engenharia Projetos E Eventos Ltda</t>
  </si>
  <si>
    <t xml:space="preserve"> Casa Cabana Ltda</t>
  </si>
  <si>
    <t>Dlocal Brasil Instituicao De Pagamento S.a.</t>
  </si>
  <si>
    <t>Administradora De Hotéis Cheverny Ltda</t>
  </si>
  <si>
    <t>2022/1753</t>
  </si>
  <si>
    <t>Br2 Produções Cenográficas Ltda</t>
  </si>
  <si>
    <t xml:space="preserve"> Iury Rodrigues Roque 12337662608</t>
  </si>
  <si>
    <t>45.582.689/0001-48</t>
  </si>
  <si>
    <t>Maria De Lourdes T Herrmann-me</t>
  </si>
  <si>
    <t xml:space="preserve"> Marise Dinis Sousa</t>
  </si>
  <si>
    <t>IR referente ao RPA 1835 -  Marise Dinis Sousa</t>
  </si>
  <si>
    <t>INSS e INSS Patronal referente ao RPA 1835 -  Marise Dinis Sousa</t>
  </si>
  <si>
    <t>Contratação de pianista acompanhador para as aulas de técnica clássica dos bailarinos da Cia de Dança Palácio da Artes com horários a serem definidos pela direção da CDPA. Aditivo</t>
  </si>
  <si>
    <t>ISSQN referente ao RPA 1836 - Maria Martha Ibraim Coelho</t>
  </si>
  <si>
    <t>INSS e INSS Patronal referente ao RPA 1836 - Maria Martha Ibraim Coelho</t>
  </si>
  <si>
    <t>IR referente ao RPA 1834 - Waneska Torres De Oliveira Cezar</t>
  </si>
  <si>
    <t>INSS e INSS Patronal referente ao RPA 1834 - Waneska Torres De Oliveira Cezar</t>
  </si>
  <si>
    <t>Tarifa Bancária referente a transferência eletrônica pagamento fornecedor:   Maria De Lourdes T Herrmann-me  - Processo 2785</t>
  </si>
  <si>
    <t>Tarifa Bancária referente a transferência eletrônica pagamento fornecedor:   Marise Dinis Sousa  - Processo 3759</t>
  </si>
  <si>
    <t>Tarifa Bancária referente a transferência eletrônica pagamento fornecedor:    Maria Martha Ibraim Coelho  - Processo 3705</t>
  </si>
  <si>
    <t>Tarifa Bancária referente a transferência eletrônica pagamento fornecedor:   Waneska Torres De Oliveira Cezar  - Processo 2837</t>
  </si>
  <si>
    <t>D.f Produções E Prestação De Serviços - Eireli</t>
  </si>
  <si>
    <t>Krw Atlantis Transportes E Mudanças Ltda</t>
  </si>
  <si>
    <t xml:space="preserve">1060                                               1071   </t>
  </si>
  <si>
    <t>22/03/2022  13/04/2022</t>
  </si>
  <si>
    <t>Coordenador Administrativo - Financeira</t>
  </si>
  <si>
    <t xml:space="preserve">Coordenador Técnico </t>
  </si>
  <si>
    <t>Robson Miguel Saquett Chagas</t>
  </si>
  <si>
    <t xml:space="preserve">Reteção IOF </t>
  </si>
  <si>
    <t>Contratação do profissional Peter Sellars para participar como professor no Módulo 3: Conversa com artistas convidados, dia 17 de setembro, às 17h30.</t>
  </si>
  <si>
    <t>Peter Mark Sellars</t>
  </si>
  <si>
    <t>Tarifa Envio Câmbio</t>
  </si>
  <si>
    <t>Retenção Imposto de Renda</t>
  </si>
  <si>
    <t>Contratação do profissional Johannes Blum para participar como palestrante no painel de discussão “Dramaturgia: Colaboração Além da Escrita” e também como mentor em uma aula sobre “Dramaturgia e Encenação”. Dia 2 de outubro e dia 6 de outubro de 2021.</t>
  </si>
  <si>
    <t>Johannes Fritz Blum</t>
  </si>
  <si>
    <t>Compra de tintas e materiais de pintura para a preparação de galerias e execução de projeto expográfico da 34 Bienal de São Paulo.Especificações tinta:10 latas de Tinta látex fosca cor branco neve 18 L;4 latas de Tinta látex fosca cor grafite lapiseira 18L;1 lata pequena Tinta Crômio fosca;Demais materiais: 3 latas de massa corrida (18 L cada);1 fardo de lixa fechado 150 ;4 rolos 23cm de lã completo (com cabo original vermelho)1 Gesso Rápido (embalagem de 1kg).</t>
  </si>
  <si>
    <t xml:space="preserve">O filme "Pampulha ou a Invenção do Mar de Minas" (2005) de Oswaldo Caldeira,será exibido de forma presencial em duas sessões no Cine Humberto Mauro na Mostra Cinema Mineiro em Cartaz, que ocorrerá entre os dias 24/06/22 - 07/07/22. </t>
  </si>
  <si>
    <t>005.559.677-00</t>
  </si>
  <si>
    <t>Direito de exibição / licenciamento de filme para exibição na Mostra Especial - Cinema Mineiro em Cartaz. O curta-metragem "Castelos de Vento" (1998) de Tania Anaya, filmado em 35 mm, representa uma importante aquisição para a mostra Cinema Mineiro em Cartaz pois se enquadra nos filmes de cineastas mineiros que refletem sobre questões relativas "a mineiridade", englobando um conjunto de obras que reforçam uma importância da preservação de filmes realizados no estado.</t>
  </si>
  <si>
    <t>370.310.071-00</t>
  </si>
  <si>
    <t>Contratação de monitor pelo periodo de 2 meses - 36h semanais - para atendimento ao publico durante o periodo expositivo da exposição Foto em Pauta - Cosmopolíticas.</t>
  </si>
  <si>
    <t>Direitos de exibição para duas exibições presenciais dos filmes "A Praga" (1980) de José Mojica Marins e "A Última Praga de Mojica" de Cédric Fanti, Eugenio Puppo, Matheus Sundfeld, Pedro Junqueira, (2021), durante a Mostra As Origens de Tim Burton que ocorrerá nos dias 07/07 a 04/08</t>
  </si>
  <si>
    <t>00.205.194/0001-61</t>
  </si>
  <si>
    <t xml:space="preserve">Carreto para recolhimento da material de cena: espuma do espetáculo "Lalangue - Carta à Mãe".Local de recolhimento: Pedrosa Couros , rua Guarani, 439 / 447 - CENTRO - BHTE Entrega: na Cia de Dança, Palácio das Artes. </t>
  </si>
  <si>
    <t>Compra de kits lanche(Sanduiche, suco, fruta e bombom) embalados individualmente, que serão distribuídos aos integrantes da Banda Sinfônica do Cefart e equipe que irão se apresentar em Guaxupé.</t>
  </si>
  <si>
    <t>V M Confecções Ltda</t>
  </si>
  <si>
    <t>Comercial Brasil Flores Ltda</t>
  </si>
  <si>
    <t>Cofins importação - Peter Mark Sellars</t>
  </si>
  <si>
    <t>Pis Importação - Peter Mark Sellars</t>
  </si>
  <si>
    <t>Cofins Importação - Johannes Fritz Blum</t>
  </si>
  <si>
    <t>Pis Importação - Johannes Fritz Blum</t>
  </si>
  <si>
    <t xml:space="preserve"> Patrick Hermany Ferreira Souza 06224225613</t>
  </si>
  <si>
    <t>Romano Comunicação Ltda</t>
  </si>
  <si>
    <t>2022/54</t>
  </si>
  <si>
    <t>ISSQN referente a nota fiscal 2022/54 - Romano Comunicação Ltda</t>
  </si>
  <si>
    <t>Compra de tintas e outros materiais de pintura para a manutenção das galerias do palácio dos artes:-Compra de seis galões de tinta branca de 18 L- 4 espátulas de pedreiro.</t>
  </si>
  <si>
    <t>Tarifa Bancária referente a transferência eletrônica pagamento fornecedor:    Patrick Hermany Ferreira Souza 06224225613  - Processo 3859</t>
  </si>
  <si>
    <t>Tarifa Bancária referente a transferência eletrônica pagamento fornecedor:   Romano Comunicação Ltda - Processo 2292</t>
  </si>
  <si>
    <t>Tarifa Bancária referente a transferência eletrônica pagamento fornecedor:    Atacadao Das Tintas Ltda - Processo 3656</t>
  </si>
  <si>
    <t>Reembolso a conta do Contrato de Gestão referente ao pagamento da guia de INSS e INSS Patronal do RPA 1610 - Angela Peres De Oliveira</t>
  </si>
  <si>
    <t xml:space="preserve">Reembolso a conta do Contrato de Gestão referente ao pagamento da guia de INSS e INSS Patronal do RPA 1623 - Bruno Gonçalves </t>
  </si>
  <si>
    <t>Reembolso a conta do Contrato de Gestão referente ao pagamento da guia de INSS e INSS Patronal do RPA 1609 -  Daniel Helvécio Nunes Torres Drumond</t>
  </si>
  <si>
    <t xml:space="preserve">IR referente ao  RPA 1623 - Bruno Gonçalves </t>
  </si>
  <si>
    <t>Contratação de Kenia Dias convidada para dar oficinas / aulas de dança contemporânea para CDPA preparando o Corpo dos bailarinos fisicamente e artisticamente para os novos Encontros e Intervenções da CDPA e alinhando de preparação para montagem do novo espetáculo da CDPA.</t>
  </si>
  <si>
    <t>07.818.952/0001-66</t>
  </si>
  <si>
    <t>Direito de exibição / licenciamento de filme para exibição na Mostra Especial - Cinema Mineiro em Cartaz. O curta-metragem "Interregno" (1966) de Flávio Werneck, filmado em 16 mm,será exibido de forma presencial em duas sessões no Cine Humberto Mauro na Mostra Cinema Mineiro em Cartaz, que ocorrerá entre os dias 24/06/22 - 07/07/22</t>
  </si>
  <si>
    <t>009.543.146-20</t>
  </si>
  <si>
    <t>O longa-metragem "Batismo de Sangue" (2006) de Helvécio Ratton, será exibido de forma presencial em duas sessões no Cine Humberto Mauro na Mostra Cinema Mineiro em Cartaz, que ocorrerá entre os dias 24/06/22 - 07/07/22.</t>
  </si>
  <si>
    <t>22.331.409/0001-23</t>
  </si>
  <si>
    <t>27.239.249/0001-00</t>
  </si>
  <si>
    <t>"Famigerado" (1991) de Aluízio Salles Jr será exibido de forma presencial em duas sessões no Cine Humberto Mauro na Mostra Cinema Mineiro em Cartaz, que ocorrerá entre os dias 24/06/22 - 07/07/22</t>
  </si>
  <si>
    <t>416.564.906-68</t>
  </si>
  <si>
    <t>Reembolso a conta do Contrato de Gestão referente ao pagamento da guia INSS e INSS Patronal do RPA 1635  -  Bianca Furtado Penha</t>
  </si>
  <si>
    <t>Reembolso a conta do Contrato de Gestão referente ao pagamento da guia INSS e INSS do RPA 1629  - Brenno Theotonio De Castro</t>
  </si>
  <si>
    <t>Reembolso a conta do Contrato de Gestão referente ao pagamento da guia INSS e INSS do RPA 1630  -  Daniela Coelho Brandão</t>
  </si>
  <si>
    <t>Reembolso a conta do Contrato de Gestão referente ao pagamento da guia INSS e INSS do RPA 1631  -  Diogo Vieira De Melo</t>
  </si>
  <si>
    <t xml:space="preserve">Reembolso a conta do Contrato de Gestão referente ao pagamento da guia INSS e INSS do RPA 1628 - DOMINICK LATTUADA ABREU BARBOSA </t>
  </si>
  <si>
    <t>Reembolso a conta do Contrato de Gestão referente ao pagamento da guia INSS e INSS do RPA 1611 - Jonathan Serafim Dos Santos</t>
  </si>
  <si>
    <t xml:space="preserve">Reembolso a conta do Contrato de Gestão referente ao pagamento da guia INSS e INSS do  RPA 1627 - Flávio Von Randow Teixeira </t>
  </si>
  <si>
    <t>Reembolso a conta do Contrato de Gestão referente ao pagamento da guia INSS e INSS do RPA 1626 - Fernando Cesar Caldeira Pacheco Barbosa</t>
  </si>
  <si>
    <t>Reembolso a conta do Contrato de Gestão referente ao pagamento da guia INSS e INSS do RPA  1634  -  Luiza Poeiras Amorim</t>
  </si>
  <si>
    <t>Reembolso a conta do Contrato de Gestão referente ao pagamento da guia INSS e INSS do RPA 1607 - Nathalia Araújo Marques</t>
  </si>
  <si>
    <t xml:space="preserve">Reembolso a conta do Contrato de Gestão referente ao pagamento da guia INSS e INSS do RPA 1608 - Sitaram Márcio Costa Custódio </t>
  </si>
  <si>
    <t>IR referente ao RPA 1626 - Fernando Cesar Caldeira Pacheco Barbosa</t>
  </si>
  <si>
    <t xml:space="preserve">IR referente ao  RPA 1627 - Flávio Von Randow Teixeira </t>
  </si>
  <si>
    <t xml:space="preserve"> Autêntica - Bandeiras E Confecções Ltda</t>
  </si>
  <si>
    <t>Reembolso a conta do Contrato de Gestão referente ao pagamento da guia INSS e INSS do RPA 1598 BRUNA GOMES LEITE DE CARVALHO</t>
  </si>
  <si>
    <t>Reembolso a conta do Contrato de Gestão referente ao pagamento da guia INSS e INSS do RPA 1639 - CLAUDIA HELENA AZEVEDO ALVARENGA</t>
  </si>
  <si>
    <t>ISSQN KAIO CESAR FIGUEIREDO MINARDI NF: 1624</t>
  </si>
  <si>
    <t>Reembolso a conta do Contrato de Gestão referente ao pagamento da guia INSS e INSS do RPA 1624  KAIO CESAR FIGUEIREDO MINARDI NF</t>
  </si>
  <si>
    <t>Reembolso a conta do Contrato de Gestão referente ao pagamento da guia INSS e INSS do RPA1625 LUIZ OTAVIO PEREIRA FARIA</t>
  </si>
  <si>
    <t xml:space="preserve">Reembolso a conta do Contrato de Gestão referente ao pagamento da guia INSS e INSS do RPA 1625 - RICARDO APPEZZATO </t>
  </si>
  <si>
    <t>Luiz Otavio Pereira Faria</t>
  </si>
  <si>
    <t>595.993.167-20</t>
  </si>
  <si>
    <t>Contratação do debatedor/ mediador Luiz Otavio Faria para integrar a Mesa 2 – Diversidade, reconhecimento - Os trabalhadores e o público da ópera na programação da mostra Cinema e Ópera que acontece entre os dias 05 e 25 de outubro.</t>
  </si>
  <si>
    <t xml:space="preserve"> Renan Santos De Oliveira</t>
  </si>
  <si>
    <t>084.855.106-07</t>
  </si>
  <si>
    <t>Impact Bijus Bijuterias E Presentes Eireli</t>
  </si>
  <si>
    <t>Contratação de Raquel Carneiro, fagotista para ensaios e apresentações dos Concertos da OSMG.</t>
  </si>
  <si>
    <t>Elisete Gomes Joaquim De Oliveira-me</t>
  </si>
  <si>
    <t>Serviço de plotagem para as exposições do 2º Prêmio Décio Noviello de Artes Visuais e Fotografia. O serviço deve incluir a impressão, instalação e remoção de todos os adesivos</t>
  </si>
  <si>
    <t>Plotacad Impressão Digital Ltda. - Me</t>
  </si>
  <si>
    <t xml:space="preserve">04.099.931/0001-40
</t>
  </si>
  <si>
    <t>2022/128</t>
  </si>
  <si>
    <t>Disk Palcos Locacoes E Estruturas Ltda</t>
  </si>
  <si>
    <t>Reservas de hospedagens na cidade de Ouro Preto para atender a equipe de produção e parte da direção do espetáculo. Necessário hotel mais próximo à Igreja São Francisco de AssisLargo de Coimbra, s/n - Centro, Ouro Preto - MGpara a acompanhamento da montagem da Temporada de Ópera, considerando a planilha anexa.</t>
  </si>
  <si>
    <t>Hospedaria Antiga Ltda</t>
  </si>
  <si>
    <t xml:space="preserve"> Camila Amaral Correa 06899605651</t>
  </si>
  <si>
    <t>We Make Comércio De Cosméticos Ltda</t>
  </si>
  <si>
    <t xml:space="preserve">Cupom Fiscal </t>
  </si>
  <si>
    <t>2022/1798</t>
  </si>
  <si>
    <t>Tarifa Bancária</t>
  </si>
  <si>
    <t>Fama Distr. De Cosméticos Eireli</t>
  </si>
  <si>
    <t>Transmídia Comunicação E Serviços Ltda</t>
  </si>
  <si>
    <t>Cofins referente aos rendimentos do mês 03/2022</t>
  </si>
  <si>
    <t>Reservas de hospedagens para atender as necessidades dos contratados para a montagem da Temporada de Ópera</t>
  </si>
  <si>
    <t xml:space="preserve">08.569.258/0001-15
</t>
  </si>
  <si>
    <t>2022/1858</t>
  </si>
  <si>
    <t xml:space="preserve">Girassolina Produções Ltda
</t>
  </si>
  <si>
    <t xml:space="preserve">ISSQN referente a nota fiscal 2022/25 - Girassolina Produções Ltda
</t>
  </si>
  <si>
    <t>Natália Fernandes De Azevedo Barbosa</t>
  </si>
  <si>
    <t xml:space="preserve"> Atalho Produção Gráfica Ltda</t>
  </si>
  <si>
    <t>2022/211</t>
  </si>
  <si>
    <t>Celso Silveira Faria 03926259620</t>
  </si>
  <si>
    <t xml:space="preserve">
28.817.968/0001-24</t>
  </si>
  <si>
    <t>Contratação do Mediador/debatedor Sávio Faschet para integrar a mesa 2 – Diversidade, reconhecimento - Os trabalhadores e o público da ópera na programação da mostra Cinema e Ópera que acontece entre os dias 05 e 25 de outubro</t>
  </si>
  <si>
    <t>Sávio Alves Oliveira 12045391620</t>
  </si>
  <si>
    <t>43.227.117/0001-15</t>
  </si>
  <si>
    <t xml:space="preserve"> Turqueza Tecidos E Vestuarios S/a</t>
  </si>
  <si>
    <t xml:space="preserve"> Damasco Comunicação Eirelli</t>
  </si>
  <si>
    <t>Bonfante Iluminação Cênica Ltda</t>
  </si>
  <si>
    <t xml:space="preserve"> Kalunga S.a</t>
  </si>
  <si>
    <t xml:space="preserve"> Reinaldo Santos De Oliveira</t>
  </si>
  <si>
    <t>2022/441</t>
  </si>
  <si>
    <t>202/2231</t>
  </si>
  <si>
    <t xml:space="preserve"> Fernando Reis De Freitas 01485493650</t>
  </si>
  <si>
    <t>2022/1953 - 2022/1954 -2022/1955 - 2022/1956 - 2022/1968-2022/2001</t>
  </si>
  <si>
    <t>10/04/2022 - 11/04/2022 - 13/04/2022</t>
  </si>
  <si>
    <t>2022/201</t>
  </si>
  <si>
    <t>ATALHO PRODUCAO GRAFICA LTDA</t>
  </si>
  <si>
    <t xml:space="preserve"> Maurilio José De Matos</t>
  </si>
  <si>
    <t>Atalho Produção Gráfica Ltda</t>
  </si>
  <si>
    <t>2022/213</t>
  </si>
  <si>
    <t>Pousada Nossa Senhora Das Merces Ltda</t>
  </si>
  <si>
    <t>Othon De Carvalho E Cia Ltda</t>
  </si>
  <si>
    <t>Distribuidora Triangulo Ltda</t>
  </si>
  <si>
    <t>2022/268851</t>
  </si>
  <si>
    <t>2022/272448</t>
  </si>
  <si>
    <t>Férias do Superintendente de Auditoria</t>
  </si>
  <si>
    <t>Entidade De Gestao De Direitos Sobre Obras Audiovisuais Da Republica Federativa Do Brasil - Egeda</t>
  </si>
  <si>
    <t>Tarifa Bancária referente a transferência eletrônica pagamento fornecedor:    Stage Cenografias E Eventos Ltda - Processo 3846</t>
  </si>
  <si>
    <t>Tarifa Bancária referente a transferência eletrônica pagamento férias Diretor Financeiro</t>
  </si>
  <si>
    <t>Tarifa Bancária referente a transferência eletrônica pagamento férias Superintendente de Auditoria</t>
  </si>
  <si>
    <t>Tarifa Bancária referente a transferência eletrônica pagamento fornecedor:    Entidade De Gestao De Direitos Sobre Obras Audiovisuais Da Republica Federativa Do Brasil - Egeda - Processo 3898</t>
  </si>
  <si>
    <t xml:space="preserve"> Arte Group Ltda</t>
  </si>
  <si>
    <t>Reembolso realizado pela conta 11407-3 referente ao pagamento da guia de GPS do mês 05/2022</t>
  </si>
  <si>
    <t>Reembolso realizado pela conta 15949-2 referente ao pagamento da guia de GPS do mês 05/2022</t>
  </si>
  <si>
    <t>Reembolso realizado pela conta 16173-X referente ao pagamento da guia de GPS do mês 05/2022</t>
  </si>
  <si>
    <t>Reembolso realizado pela conta do Termo de Parceria 50/2020 - Iepha referente ao pagamento da guia de GPS (funcionários) INSS retido sob folha do mês 05/2022</t>
  </si>
  <si>
    <t>Reembolso realizado pela conta do Termo de Parceria 50/2020 - Iepha referente ao pagamento da guia de GPS (funcionários) INSS Patronal do mês 05/2022</t>
  </si>
  <si>
    <t>Reembolso realizado pela conta do Termo de Parceria 50/2020 - Iepha referente ao pagamento da guia de GPS (autônomo) do mês 05/2022</t>
  </si>
  <si>
    <t xml:space="preserve"> Reembolso realizado pelo Termo de Parceria 50/2020 - IEPHA referente ao percentual (26,41% do valor total)  contratação de auditoria externa independente para o exercício de 2022</t>
  </si>
  <si>
    <t>Reembolso realizado pela conta 16375-9  referente ao pagamento da guia de GPS do mês 05/2022</t>
  </si>
  <si>
    <t>Reembolso realizado pela conta 16376-7  referente ao pagamento da guia de GPS do mês 05/2022</t>
  </si>
  <si>
    <t>Reembolso realizado pela conta 16391-0  referente ao pagamento da guia de GPS do mês 05/2022</t>
  </si>
  <si>
    <t>Reembolso realizado pela conta 16476-3  referente ao pagamento da guia de GPS do mês 05/2022</t>
  </si>
  <si>
    <t>Reembolso realizado pela conta  16821-1  referente ao pagamento da guia de GPS do mês 05/2022</t>
  </si>
  <si>
    <t>Contratação de auditoria externa independente para o exercício de 2022 - 1º parcela</t>
  </si>
  <si>
    <t>Orplan Auditores Independentes</t>
  </si>
  <si>
    <t>2022/229</t>
  </si>
  <si>
    <t>INSS referente a nota fiscal 132 - Alexsandro Agostinho Ferreira - Me</t>
  </si>
  <si>
    <t>INSS referente a notas fiscais 130 e 131 - Alexsandro Agostinho Ferreira - Me</t>
  </si>
  <si>
    <t>IR referente a nota fiscal 2022/268851 - Unimed Belo Horizonte Cooperativa de Trabalho Médico</t>
  </si>
  <si>
    <t xml:space="preserve">guia de GPS do mês 05/2022 - conta 11407-3 </t>
  </si>
  <si>
    <t xml:space="preserve">guia de GPS do mês 05/2022 -  conta 15949-2 </t>
  </si>
  <si>
    <t xml:space="preserve"> guia de GPS do mês 05/2022 - conta 16173-X</t>
  </si>
  <si>
    <t xml:space="preserve">a guia de GPS (funcionários) INSS retido sob folha do mês 05/2022 -  Termo de Parceria 50/2020 - Iepha </t>
  </si>
  <si>
    <t xml:space="preserve">a guia de GPS (funcionários) INSS Patronal sob folha do mês 05/2022 -  Termo de Parceria 50/2020 - Iepha </t>
  </si>
  <si>
    <t xml:space="preserve"> guia de GPS (autônomo) do mês 05/2022 - Termo de Parceria 50/2020 -</t>
  </si>
  <si>
    <t>guia de GPS do mês 05/2022 - conta 16375-9</t>
  </si>
  <si>
    <t xml:space="preserve"> guia de GPS do mês 05/2022 - conta 16376-7 </t>
  </si>
  <si>
    <t>guia de GPS do mês 05/2022 -  conta 16391-0</t>
  </si>
  <si>
    <t>guia de GPS do mês 05/2022- conta 16476-3</t>
  </si>
  <si>
    <t xml:space="preserve"> guia de GPS do mês 05/2022 - conta  16821-1</t>
  </si>
  <si>
    <t>INSS Patronal referente a folha do mês 05/2022</t>
  </si>
  <si>
    <t>Aquisição de 10 camisas uniformes na Cor CinzaSendo 5 Camisas Polo Masculinas tamanho M, 2 Camisas Polo Masculina tamanho GG e 3 camisas gola V masculina tamanho GG</t>
  </si>
  <si>
    <t>Dobra Camisetas Personalizadas Eireli</t>
  </si>
  <si>
    <t>30.152.838/0001-61</t>
  </si>
  <si>
    <t>000.001.639</t>
  </si>
  <si>
    <t>Compra de Canudo para formatura em camurça - Preto - 50 unidades.Rubrica: Canudos (aba Colação de grau, linha 62)</t>
  </si>
  <si>
    <t>Papelaria Orion Ltda</t>
  </si>
  <si>
    <t>17.283.904/0001-74</t>
  </si>
  <si>
    <t>9002739/2022</t>
  </si>
  <si>
    <t>ISSQN referente a nota fiscal 2022/33 - Raise Engenharia Projetos E Eventos Ltda</t>
  </si>
  <si>
    <t>9002740/2022</t>
  </si>
  <si>
    <t>Tarifa Bancária referente a transferência eletrônica pagamento fornecedor:    SDobra Camisetas Personalizadas Eireli - Processo 3908</t>
  </si>
  <si>
    <t>Tarifa Bancária referente a transferência eletrônica pagamento fornecedor:    Papelaria Orion Ltda - Processo 3926</t>
  </si>
  <si>
    <t>PCC referente a nota fiscal 2022/268851 - Unimed Belo Horizonte Cooperativa de Trabalho Médico</t>
  </si>
  <si>
    <t>IR retido férias Superintendente de Auditoria</t>
  </si>
  <si>
    <t>ISSQN referente a nota fiscal 2022/229 - Orplan Auditores Independentes</t>
  </si>
  <si>
    <t>ISSQN referente a nota fiscal 2022/11 - Stage Cenografias E Eventos Ltda</t>
  </si>
  <si>
    <t>Contratação de pacote de serviço de diária de caminhão munck + carregadores para transporte do maquinário de serralheria e marcenaria do CTPF Andradas para o CTPF Marzagão em Sabará.</t>
  </si>
  <si>
    <t xml:space="preserve">04.826.601/0001-09
</t>
  </si>
  <si>
    <t xml:space="preserve">Contratação de Designer para desenvolver as peças gráficas de divulgação e sinalização da Itnierância da 34° Bienal de SP seguindo a identidade visual do evento. </t>
  </si>
  <si>
    <t>Serviço de execução de projeto cenográfico para a exposição de itinerância da 34ª Bienal de São Paulo que acontece nas galerias do Palácio das Artes de julho a setembro de 2022.O escopo do projeto a ser executado está anexado à pasta do processo.</t>
  </si>
  <si>
    <t>Contratação de Welcome coffee para os dias 22 de junho e 23 de junho. Buffet simples, com pão de queijo, bolo, suco café, para 30 pessoas cada dia.</t>
  </si>
  <si>
    <t>Profissional para colaborar e criar a iluminação para montagem do espetáculo de formatura do 3º ano da escola de teatro do CEFART.Contratação de iluminadora para a montagem da formatura do teatro.</t>
  </si>
  <si>
    <t>Compra de 7 buques pequenos de flores para homenagear funcionários e professores e1 arranjo de flores de mesa grande.</t>
  </si>
  <si>
    <t>Contratação de 02 carregadores para atender as demandas do CLMG relacionada a montagem e desmontagem dos ensaios e apresentações.Data: 20 de junho/2022</t>
  </si>
  <si>
    <t>02 unidades de fusível Nh00, 125a, 500V/120Ka; 25 unidades de etiqueta adesiva de identificação de voltagem, 127V;25 unidades de etiqueta adesiva de identificação de voltagem, 220V.</t>
  </si>
  <si>
    <t>17.155.342/0010-74</t>
  </si>
  <si>
    <t>ISSQN referente a nota fiscal 2022/14 - Oficina Cc Ltda</t>
  </si>
  <si>
    <t>Ataídes Freitas Braga</t>
  </si>
  <si>
    <t>ISSQN referente ao RPA 1814 - Ataídes Freitas Braga</t>
  </si>
  <si>
    <t>INSS e INSS Patronal referente ao RPA 1814 - Ataídes Freitas Braga</t>
  </si>
  <si>
    <t>Paulo Martins Filho</t>
  </si>
  <si>
    <t>ISSQN referente ao RPA 1843 - Paulo Martins Filho</t>
  </si>
  <si>
    <t>INSS e INSS Patronal referente ao RPA 1843 - Paulo Martins Filho</t>
  </si>
  <si>
    <t>Google Brasil Internet Ltda</t>
  </si>
  <si>
    <t>ISSQN referente a nota fiscal 2022/19 - Peroni Produções Culturais Ltda</t>
  </si>
  <si>
    <t>Orsil Organizacoes Reunidas Silvestre Ltda</t>
  </si>
  <si>
    <t>16.502.304/0001-97</t>
  </si>
  <si>
    <t>Academia Brasileira De Música</t>
  </si>
  <si>
    <t>Tarifa Bancária referente a transferência eletrônica pagamento fornecedor:    Oficina Cc Ltda - Processo 2901</t>
  </si>
  <si>
    <t>Tarifa Bancária referente a transferência eletrônica pagamento fornecedor:    Ataídes Freitas Braga - Processo 3668</t>
  </si>
  <si>
    <t>Tarifa Bancária referente a transferência eletrônica pagamento fornecedor:    Paulo Martins Filho - Processo 3722</t>
  </si>
  <si>
    <t>Tarifa Bancária referente a transferência eletrônica pagamento fornecedor:    Peroni Produções Culturais Ltda
 - Processo 3614</t>
  </si>
  <si>
    <t>Tarifa Bancária referente a transferência eletrônica pagamento fornecedor:    Orsil Organizacoes Reunidas Silvestre Ltda - Processo 3925</t>
  </si>
  <si>
    <t>Tarifa Bancária referente a transferência eletrônica pagamento fornecedor:    Academia Brasileira De Música - Processo 3248</t>
  </si>
  <si>
    <t>Tarifa Bancária referente a transferência eletrônica pagamento fornecedor:    BH Notebooks Ltda - Processo 2842</t>
  </si>
  <si>
    <t>Contratação de laudista para confecção e conferência de laudos técnicos atestando o estado de conservação das obras na montagem e desmontagem da exposição de itinerância da 34a Bienal de São Paulo no Palácio das Artes. A profissional poderá ainda ser chamada para eventuais laudos e reparos durante o período expositivo quando houver necessidade. Orçamento por diária.</t>
  </si>
  <si>
    <t xml:space="preserve"> Ronaldo Braz Da Silva</t>
  </si>
  <si>
    <t>ISSQN referente ao RPA 1845 -  Ronaldo Braz Da Silva</t>
  </si>
  <si>
    <t>INSS e INSS Patronal referente ao RPA 1845 -  Ronaldo Braz Da Silva</t>
  </si>
  <si>
    <t xml:space="preserve"> Fabiana Oliveira De Jesus</t>
  </si>
  <si>
    <t>ISSQN referente ao RPA 1846 - Fabiana Oliveira De Jesus</t>
  </si>
  <si>
    <t>INSS e INSS Patronal eferente ao RPA 1846 - Fabiana Oliveira De Jesus</t>
  </si>
  <si>
    <t>Geraldo De Castro 22703950691</t>
  </si>
  <si>
    <t>001.22.35755050-9</t>
  </si>
  <si>
    <t>ISSQN referente a nota fiscal 2022/18 -  Rf Locação &amp; Filmagem Ltda</t>
  </si>
  <si>
    <t>compra de água mineral para consumo da equipe do CTPF, alunos e professores dos cursos ofertados pelo Cefart, além dos demais colaboradores e visitantes.</t>
  </si>
  <si>
    <t>000.017.080</t>
  </si>
  <si>
    <t>Contratação de conservador/restaurador para emissão de laudos técnicos de desmontagem das obras que integram a exposição Órbita Gráfica na Galeria Genesco Murta no Palácio das Artes</t>
  </si>
  <si>
    <t>IR referente ao RPA 1847 - Dadier Aguilera Ramos</t>
  </si>
  <si>
    <t>INSS e INSS Patronal referente ao RPA 1847 - Dadier Aguilera Ramos</t>
  </si>
  <si>
    <t xml:space="preserve"> Tia Vivi Buffet Saudável Ltda</t>
  </si>
  <si>
    <t>Tarifa Bancária referente a transferência eletrônica pagamento fornecedor:    Rf Locação &amp; Filmagem Ltda - Processo 3811</t>
  </si>
  <si>
    <t>Tarifa Bancária referente a transferência eletrônica pagamento fornecedor:   Daniel Zuim Mussi 06889216636 - Processo 3861</t>
  </si>
  <si>
    <t xml:space="preserve">Tarifa Bancária referente a transferência eletrônica pagamento fornecedor:    Geraldo De Castro 22703950691 - Processo 3758
</t>
  </si>
  <si>
    <t>Tarifa Bancária referente a transferência eletrônica pagamento fornecedor:    Tia Vivi Buffet Saudável Ltda - Processo 3911</t>
  </si>
  <si>
    <t>990.734.126-68</t>
  </si>
  <si>
    <t xml:space="preserve">Direito de exibição / licenciamento de filme para exibição na Mostra Especial - Cinema Mineiro em Cartaz. O filme "José Aparecido de Oliveira – O Maior Mineiro do Mundo" </t>
  </si>
  <si>
    <t>Direito de exibição / licenciamento de filme para exibição na Mostra Especial - Cinema Mineiro em Cartaz. O filme "O General"</t>
  </si>
  <si>
    <t>560.519.566-20</t>
  </si>
  <si>
    <t xml:space="preserve">Direito de exibição / licenciamento de filme para exibição na Mostra Especial - Cinema Mineiro em Cartaz. O filme "Fronteira" (2008) </t>
  </si>
  <si>
    <t>494.043.346-34</t>
  </si>
  <si>
    <t>Direito de exibição / licenciamento de filme para exibição na Mostra Especial - Cinema Mineiro em Cartaz. O filme "A Casa das Minas - Nunes Pereira" (1978)</t>
  </si>
  <si>
    <t>266.055.037-91</t>
  </si>
  <si>
    <t>Reembolso de compra de kits lanche(Sanduiche, suco, fruta e bombom) que foram distribuídos aos integrantes da Banda Sinfônica do Cefart que se apresentaram em Guaxupé.</t>
  </si>
  <si>
    <t>Compra de material de cozinha e limpeza para sede da Appa</t>
  </si>
  <si>
    <t>Compra de 15 pacotes de café, para complementar o material de cozinha da sede administrativa da APPA.</t>
  </si>
  <si>
    <t xml:space="preserve">03.922.845/0001-22
</t>
  </si>
  <si>
    <t>Direito de exibição / licenciamento de filme para exibição na Mostra Especial - Cinema Mineiro em Cartaz. O filme "Thesouro Perdido" (1927</t>
  </si>
  <si>
    <t>384.634.077-49</t>
  </si>
  <si>
    <t>Direito de exibição / licenciamento de filme para exibição na Mostra Especial - Cinema Mineiro em Cartaz. O curta-metragem "Veredas Mortas" (1977)</t>
  </si>
  <si>
    <t>063.904.636-34</t>
  </si>
  <si>
    <t>Contratação de 02 profissionais de segurança para a maratona que ocorrerá na Mostra "As Origens de Tim Burton",acontecerá no Palácio das Artes no Cine Humberto Mauro</t>
  </si>
  <si>
    <t>23.520.482/0001-06</t>
  </si>
  <si>
    <t xml:space="preserve">Contratação de Pedro Vaz Perez como debatedor na sessão do História Permanente do Cinema que acontecerá dentro da programação da Mostra Especial - Cinema Mineiro em Cartaz. </t>
  </si>
  <si>
    <t>064.071.836-18</t>
  </si>
  <si>
    <t xml:space="preserve">Direitos de exibição para duas exibições presenciais do filme "À Meia Noite Levarei sua Alma" (1964) </t>
  </si>
  <si>
    <t>08.580.579/0001-10</t>
  </si>
  <si>
    <t>2022/152548</t>
  </si>
  <si>
    <t>2022/132022</t>
  </si>
  <si>
    <t>Reembolso a conta 11407-3 pelo pagamento indevido da guia de ISSQN referente a nota fiscal 2022/9 - Mylene Youssef A Vieira - Produções E Eventos Epp - Processo 2710</t>
  </si>
  <si>
    <t>Reembolso a conta 15949-2 pelo pagamento indevido da guia de ISSQN referente a nota fiscal 2022/25 - Ctrl P Impressão Digital Ltda - Processo 1866</t>
  </si>
  <si>
    <t>Rescisão Contratual</t>
  </si>
  <si>
    <t xml:space="preserve">Daniel Zuim Mussi 06889216636 </t>
  </si>
  <si>
    <t>Agentz Produções Culturais Eireli</t>
  </si>
  <si>
    <t>ISSQN referente a  nota fiscal 2022/7 - Agentz Produções Culturais Eireli</t>
  </si>
  <si>
    <t>Tarifa Bancária referente a transferência eletrônica pagamento rescisão contratual Amanda Pessoa</t>
  </si>
  <si>
    <t>Tarifa Bancária referente a transferência eletrônica pagamento fornecedor:    Daniel Zuim Mussi 06889216636  - Processo 3861</t>
  </si>
  <si>
    <t>Tarifa Bancária referente a transferência eletrônica pagamento fornecedor:    Dobra Camisetas Personalizadas Eireli - Processo 3908</t>
  </si>
  <si>
    <t>Tarifa Bancária referente a transferência eletrônica pagamento fornecedor:    Agentz Produções Culturais Eireli- Processo 3875</t>
  </si>
  <si>
    <t>Tarifa Bancária referente a transferência eletrônica pagamento fornecedor:   Helvécio Alves Izabel - Processo 3473</t>
  </si>
  <si>
    <t>Contratação de 02 profissionais de limpeza para a maratona que ocorrerá na Mostra "As Origens de Tim Burton",acontecerá no Palácio das Artes no Cine Humberto Mauro</t>
  </si>
  <si>
    <t>direitos de publicação do texto - De"Tesouro Perdido" a "Mauro, Humberto"</t>
  </si>
  <si>
    <t>Contratação de laudista para confecção e conferência de laudos técnicos atestando o estado de conservação das obras na montagem e desmontagem da exposição de itinerância da 34a Bienal de São Paulo no Palácio das Artes</t>
  </si>
  <si>
    <t>39.688.310/0001-86</t>
  </si>
  <si>
    <t xml:space="preserve">Transporte especializado de obras da34ª Bienal-SP - incluindo embalagem em soft packing, desembalagem e seguro das obras durante os trajetos. IDA: São Paulo x Belo Horizonte + VOLTA: Belo Horizonte x São Paulo. </t>
  </si>
  <si>
    <t>09.227.702/0001-87</t>
  </si>
  <si>
    <t>Contratação do profissional Sthepen Place como debatedor em uma conversa com Nicholas McNair no dia 16 de outubro às 10h no MÓDULO 3: Conversas com Artistas.</t>
  </si>
  <si>
    <t>IR referente ao câmbio - Stephen James Plaice</t>
  </si>
  <si>
    <t>Compra de 6 fitas crepes larga branca e 6 fitas crepes fina branca para marcação no palco do Grande Teatro Cemig Palácio das Artes para identificação de equipamentos para a Temporada de Ópera Aleijadinho.</t>
  </si>
  <si>
    <t>Cofins Importação - Stephen James Plaice</t>
  </si>
  <si>
    <t>Compra de 2 pacotes de abraçadeiras e 4 kilos de arame recozido grosso para utilização nos adereços de cena na montagem do espetáculo no palco do Grande Teatro.</t>
  </si>
  <si>
    <t>Serviços de gráfica: 1 banner premium, 2 encadernações em espiral de 14mm / 90 fl, 3 encadernações em espiral de 29mm /200fls, 4 impressões A4 colorida sulfite, 5 impressões A4 p/b sulfite e 6 impressões A4 vinil c/ corte, em atendimento à Ópera Aleijadinho.</t>
  </si>
  <si>
    <t>Locação de 200 cadeiras pretas de plástico (Goyana), para serem entregue no local da montagem, frente a Igreja São Francisco em Ouro Preto, no dia 29/04 às 10h00 HS da manhã, para atendimento de parte do público.</t>
  </si>
  <si>
    <t>Pis Importação - Stephen James Plaice</t>
  </si>
  <si>
    <t>Stephen James Plaice</t>
  </si>
  <si>
    <t>Willian Rozalino De Araujo 12042199664</t>
  </si>
  <si>
    <t xml:space="preserve">Cdr Comercio E Importacao De Artigos De Papelaria Ltda
</t>
  </si>
  <si>
    <t>09.400.918/0001-00</t>
  </si>
  <si>
    <t xml:space="preserve"> Loja Do Paulo Comercio Ltda</t>
  </si>
  <si>
    <t>16.515.454/0001-35</t>
  </si>
  <si>
    <t>Copiadora Objetiva Ltda</t>
  </si>
  <si>
    <t>2022/948</t>
  </si>
  <si>
    <t xml:space="preserve">C&amp;t Locações, Produções E Eventos Ltda
</t>
  </si>
  <si>
    <t>35.998.423/0001-27</t>
  </si>
  <si>
    <t>Contratação de carro executivo para transporte do Gerente de Produção Márcio Angelo e Flávia Braga para apoio à produção, domingo dia 17/04 partindo de Belo Horizonte para Ouro Preto às 15h00 ao hotel Colonial para acompanhamento do início da montagem do espetáculo.</t>
  </si>
  <si>
    <t>Jairo Dos Santos Braga 01460303628</t>
  </si>
  <si>
    <t>2022/2041 -2022/2042 -  2022/2043 - 2022/2044 -  2022/2064</t>
  </si>
  <si>
    <t>2022/2040</t>
  </si>
  <si>
    <t xml:space="preserve"> Marco Tulio De Sousa Ulhoa 06283026656</t>
  </si>
  <si>
    <t>Locação de impressora colorida e preto e branco com 01 pacote de folhas A4 para ser utilizada no escritório base da produção, na cidade de Ouro Preto durante a montagem, espetáculo e desmontagem da ópera. Entregar a impressora e folhas na Casa Gonzaga -Rua Cláudio Manoel, 61 - Ouro Preto, MG, 35400-000 - Aos cuidados de Irene do Carmo - 31 99821-3884 -&amp;gt; Período da Contratação: imediato até 01/05/2022.</t>
  </si>
  <si>
    <t>Compra de papel adesivo para impressão das identificações dos crachás na cidade de Ouro Preto durante a montagem, espetáculo e desmontagem da ópera.</t>
  </si>
  <si>
    <t>Compra de5 Tubos meia polegada de 6 metros cada com luvas para serem utilizados na montagem de cenário espetáculo no palco do Grande Teatro.</t>
  </si>
  <si>
    <t>Contratação inserção de publicidade na revista Concerto para divulgação da Ópera Aleijadinho, ópera inédita com estreia mundial na cidade de Ouro Preto no dia 29 de Abril e nos dia 14, 16, 18 e 20 de Maio em Belo Horizonte, envolvendo os Corpos Artísticos da Fundação Clóvis Salgado, Orquestra Sinfônica de Minas Gerais, Coral Lírico de Minas Gerais, Cia de Dança Palácio das Artes, grande elenco de cantores solistas convidados e atores figurantes, concepção musical e Regência é do Maestro Silvio Viegas e Direção e Concepção cênica da Juliana Santos. Formato página inteira: 21,0 x 27,5 cm (largura x altura; marcas de corte; acrescentar 5 mm de sangria de todos os lados).</t>
  </si>
  <si>
    <t>Compra de pistola De Pintura Pulverizador de Tinta 650 W - 110V.</t>
  </si>
  <si>
    <t>Contratação de caminhão baú grande com carregador para serviço de transporte de cenários, adereços cênicos, figurinos ou instrumentos de acordo com as necessidades do projeto. O veículo tem que estar no Marzagão dia 25/03 às 11hs - Buscar adereços no Marzagão e entregar os materiais já previamente selecionados pela assistente de cenografia no CTP Andradas acompanhado pela Marcela Moreira.</t>
  </si>
  <si>
    <t>Compra de 3 litros de aguarráz.</t>
  </si>
  <si>
    <t>Liberino Lopes Valente Junior</t>
  </si>
  <si>
    <t xml:space="preserve">02.904.254/0001-60
</t>
  </si>
  <si>
    <t>02.904.254/0001-60</t>
  </si>
  <si>
    <t>Pb-ponto Do Bombeiro Materiais Hidráulicos Ltda</t>
  </si>
  <si>
    <t>01.263.303/0001-60</t>
  </si>
  <si>
    <t xml:space="preserve"> Clássicos Editorial Ltda</t>
  </si>
  <si>
    <t>Confermeta As</t>
  </si>
  <si>
    <t>17.281.973/0013-82</t>
  </si>
  <si>
    <t>Contratação de técnico de palco diarista para atender as demandas dos eventos do Grande Teatro do Palácio das Artes durante a temporada de 04/03/22 a 31/03/22, dando suporte na parte de som e iluminação. Estimativa de 10 diárias.</t>
  </si>
  <si>
    <t>Elias Do Carmo</t>
  </si>
  <si>
    <t>Compra de 01 rolo de fita crepe larga - bege ;01 rolo de fita de etiqueta de preço 304- 0.5 ( média) ;30 folhas papel cartão preto (não é cartolina) ; 3 caixas de carvão para desenho; 2 caixas de máscaras descartáveis na cor preta.</t>
  </si>
  <si>
    <t>Branco E Cores Comercio De Roupas Ltda</t>
  </si>
  <si>
    <t>Compra de 2 caixas de máscara descartáveis na cor preta.</t>
  </si>
  <si>
    <t>Kalunga S.a</t>
  </si>
  <si>
    <t>Coordenação Administrativo-Financeira</t>
  </si>
  <si>
    <t xml:space="preserve"> Sey Distribuidora Eireli - Epp</t>
  </si>
  <si>
    <t>ISSQN - Johannes Fritz Blum NF: 19042022</t>
  </si>
  <si>
    <t>ISSQN - Peter Mark Sellars NF: 19042022</t>
  </si>
  <si>
    <t xml:space="preserve"> Isabella E Pedro Comércio De Maquiagens Ltda</t>
  </si>
  <si>
    <t>ISSQN - 0207793/001-7 Administradora de Hóteis Chevermy Ltda NF: 20222168</t>
  </si>
  <si>
    <t>ISSQN - 0207793/001-7 Administradora de Hotéis Cheverny Ltda NF: 20221816</t>
  </si>
  <si>
    <t>ISSQN - 1359294/001-4 Atena Arte e Cultura Ltda NF: 202210</t>
  </si>
  <si>
    <t>ISSQN - 0207793/001-7 Administradora de Hotéis Chevermu Ltda NF: 20222170</t>
  </si>
  <si>
    <t>ISSQN - 027793/001-7 Administradora de Hotéis Chevermu Ltda NF: 20221953</t>
  </si>
  <si>
    <t>ISSQN - Luciana Monteiro Campello NF: 1672</t>
  </si>
  <si>
    <t>ISSQN - 0207793/001-7 Administradora de Hotéis Cheverny Ltda NF: 20221954</t>
  </si>
  <si>
    <t>ISSQN - 1193004/001-0 - Thiago Antonini Mares Santos Ltda NF: 202214</t>
  </si>
  <si>
    <t>ISSQN - 0207793/001-7 Administradora de Hotéis Chevermy Ltda NF: 20221955</t>
  </si>
  <si>
    <t>ISSQN - Renan Santos de Oliveira NF: 1710</t>
  </si>
  <si>
    <t>ISSQN - 0207793/001-7 Administradora de Hotéis Cheverny Ltda NF: 20221956</t>
  </si>
  <si>
    <t>ISSQN - 0207793/001-7 Administradora de Hoteis Cheverny Ltda NF: 20221798</t>
  </si>
  <si>
    <t>ISSQN - Bonfante Iluminação Cenica Ltda - Epp NF: 1726</t>
  </si>
  <si>
    <t>ISSQN - 0207793/001-7 Administradora de Hotéis Cheverny Ltda NF: 20221951</t>
  </si>
  <si>
    <t>ISSQN - 1068042/001-1 Damasco Comunicação Eireli NF: 202235</t>
  </si>
  <si>
    <t>ISSQN - 0207793/001-7 Administradora de Hotéis Cheverny Ltda NF: 2022124</t>
  </si>
  <si>
    <t>ISSQN - Matheus Augusto Alves Antunes NF: 1689</t>
  </si>
  <si>
    <t>ISSQN - 0207793/001-7 Administradora de Hoteis Cheverny Ltda NF: 20221968</t>
  </si>
  <si>
    <t>ISSQN - 0207793/001-7 Administradora de Hoteis Cheverny Ltda NF: 20222001</t>
  </si>
  <si>
    <t>ISSQN - 0207793/001-7 Administradora de Hoteis Cheverny Ltda NF: 20222041</t>
  </si>
  <si>
    <t>ISSQN - Christoffer Produções Artísticas LTDA NF: 204</t>
  </si>
  <si>
    <t>ISSQN - 0207793/001-7 Administradora de HoteisLtda 20222042</t>
  </si>
  <si>
    <t>ISSQN - 0276065/001-9 Atalho Produção Gráfica Ltda NF 2022201</t>
  </si>
  <si>
    <t>ISSQN -0207793/001-7 Administradora de Hoteis Cheverny Ltda NF: 2022121</t>
  </si>
  <si>
    <t>ISSQN - 0207793/001-7 Administradora de Hoteis Cheverny Ltda NF: 20222141</t>
  </si>
  <si>
    <t>ISSQN 0781315/001-6 Futura Convites Industri e Comércio Ltda NF : 2022558</t>
  </si>
  <si>
    <t>ISSQN - 0203626/001-7 Copiadora Objetiva Ltda NF: 2022948</t>
  </si>
  <si>
    <t>ISSQN 0203626/001-7 Copiadora Objetiva Ltda NF: 2022948</t>
  </si>
  <si>
    <t>ISSQN - 1019020/001-1 - MW VIAGENS INTELIGENTES OPERADORA E AGENCIA DIGITAL EIRELI - NF: 202264</t>
  </si>
  <si>
    <t>ISSQN 0207793/001-7 Administradora de Hoteis Cheverny Ltda NF: 2022192</t>
  </si>
  <si>
    <t>ISSQN - 1359294/001-4 Atena Arte e Cultura Ltda NF: 202228</t>
  </si>
  <si>
    <t>ISSQN - 0207793/001-7 Administradora de Hoteis Cheverny Ltda NF 202222044</t>
  </si>
  <si>
    <t>ISSQN - Reinaldo Santos de Oliveira NF: 1711</t>
  </si>
  <si>
    <t>ISSQN - Paulo Ricardo BOLELHO CORDEIRO NF: 1661</t>
  </si>
  <si>
    <t>ISSQN - 0207793/001-7 Administradora de Hoteis Cheverny Ltda NF: 20222064</t>
  </si>
  <si>
    <t>ISSQN - 0207793/001-7 Administradora de Hoteis Cheverny Ltda NF: 20222085</t>
  </si>
  <si>
    <t>ISSQN - 0222106843498 - Atalho Produção Gráfica Ltda NF: 2022213</t>
  </si>
  <si>
    <t>ISSQN - 0207793/001-7 Administradora de Hoteis Cheverny Ltda NF: 20222142</t>
  </si>
  <si>
    <t>ISSQN - Robson Miguel Saquett Chagas NF: 1700</t>
  </si>
  <si>
    <t>ISSQN - 0207793/001-7 Administradora de Hoteis Cheverny Ltda NF: 20222171</t>
  </si>
  <si>
    <t>ISSQN - 0207793/001-7 - Administradora de Hoteis Cheverny Ltda NF: 20222040</t>
  </si>
  <si>
    <t>ISSQN - 0207793/001-7 Administradora de Hoteis Cheverny Ltda NF: 20222143</t>
  </si>
  <si>
    <t>ISSQN - 0207793/001-7 Administradora de Hoteis Cheverny Ltda NF: 20222144</t>
  </si>
  <si>
    <t>ISSQN - 1019020/001-1 Mw Viagens Inteligentes Operadora e Agencia Digital Ltda NF 202263</t>
  </si>
  <si>
    <t>ISSQN - 0230876/001-4 Flag Impressão Digital Ltda NF: 2022217</t>
  </si>
  <si>
    <t>ISSQN - 097647/001-3 Celso Silveira Faria 03926259620 NF: 20225</t>
  </si>
  <si>
    <t>ISSQN - 0207793/001-7 Administradora de Hoteis Cheverny Ltda NF 20222173</t>
  </si>
  <si>
    <t>ISSQN - 0230876/001-4 Flag Impressão Digital Ltda NF: 2022231</t>
  </si>
  <si>
    <t>ISSQN - 1088042/001-1 Damasco Comunicação Eireli NF: 202236</t>
  </si>
  <si>
    <t>ISSQN - 0207793/001-7 Administradora de Hoteis Chverny Ltda NF: 20222125</t>
  </si>
  <si>
    <t>ISSQN - Administradora de Hoteis Cheverny Ltda NF: 20222094</t>
  </si>
  <si>
    <t>ISSQN - 1114654/001-3 Elisete Gomes Joaquim de Oliveira NF 20228</t>
  </si>
  <si>
    <t>ISSQN - 0207793/001-7 Administradora de Hoteis Cheverny Ltda NF: 20222154</t>
  </si>
  <si>
    <t>203626/001-7</t>
  </si>
  <si>
    <t>ISSQN - 0207793/001-7 Administradora de Hóteis Chevermy Ltda NF: 20221858</t>
  </si>
  <si>
    <t>ISSQN - Ouromed Serviço Movel de Saúde Ltda NF: 2022441</t>
  </si>
  <si>
    <t>Reembolso realizado pelo Termo de Parceria 50/2020 - IEPHA referente ao percentual (26,41% do valor total ) locação de PABX da sede da Appa referente ao mês 05/2022</t>
  </si>
  <si>
    <t>PIS referente a folha 05/2022</t>
  </si>
  <si>
    <t>Cofins referente aos rendimentos de aplicações financeiras de 05/2022</t>
  </si>
  <si>
    <t>ISSQN referente a nota fiscal 2022/14 - Cenario Oscar 2019 Serviços De Montagem Eireli</t>
  </si>
  <si>
    <t>Transferência para conta Reserva referente aos rendimentos do mês 05/2022</t>
  </si>
  <si>
    <t>Tarifa Bancária referente a transferência eletrônica pagamento fornecedor:   Cenario Oscar 2019 Serviços De Montagem Eireli - Processo 3913</t>
  </si>
  <si>
    <t>Tarifa Bancária referente a transferência eletrônica pagamento fornecedor:   Guilherme Domingos De Oliveira - Processo 3912</t>
  </si>
  <si>
    <t>Apm Maquiagem E Perfumaria Eireli</t>
  </si>
  <si>
    <t>S R M Pereira - Festas E Locações</t>
  </si>
  <si>
    <t>34.952.850/0001-01</t>
  </si>
  <si>
    <t>2022/143</t>
  </si>
  <si>
    <t>Debatedor para HISTÓRIA PERMANENTE DO CINEMA ON-LINE, no dia 02 de Maio de 2022</t>
  </si>
  <si>
    <t>Estalo Criativo Ltda</t>
  </si>
  <si>
    <t>Dupla Iluminação Ltda</t>
  </si>
  <si>
    <t>Contratação de equipe de camareiras para atender as necessidades do espetáculo durante os ensaios e apresentações auxiliando as trocas de roupas dos artistas, controles dos itens de figurinos no camarins, higienização básica e passagem das peças de roupas do elenco.Ouro Preto 4 camareiras dias 25,26,27 e 29 de abril - total de 16 diárias12 camareiras dias 26,27 e 29 de abril - total de 36 diáriasBelo Horizonte 12 camareiras dias 11, 12, 14, 16,18 e 20 de maio - total de 72 diárias</t>
  </si>
  <si>
    <t xml:space="preserve"> Marluz Indústria E Comércio Ltda</t>
  </si>
  <si>
    <t>Duarte Producoes De Arte Ltda</t>
  </si>
  <si>
    <t xml:space="preserve">Morais E Morais Festas E Eventos Ltda
</t>
  </si>
  <si>
    <t xml:space="preserve">20222154 / 20222168 / 20222170 / 20222171 / 20222173 / </t>
  </si>
  <si>
    <t>Cide Importação - Johannes Fritz Blum</t>
  </si>
  <si>
    <t>Cide Importação  - Peter Mark Sellars</t>
  </si>
  <si>
    <t>Joselio Socorro Teixeira 73125997615</t>
  </si>
  <si>
    <t xml:space="preserve">2022/2 </t>
  </si>
  <si>
    <t>Priscila Lima De Castro</t>
  </si>
  <si>
    <t>2022/80</t>
  </si>
  <si>
    <t>Locação de equipamentos de projeção, legendagem e referência audiovisual para utilização na cenografia do espetáculo na cidade de Ouro Preto/MG</t>
  </si>
  <si>
    <t>Contratação de serviço de Coordenação Geral de Comunicação da ópera. Profissional para realização de estratégia de comunicação com o público interno e externo, realizar interfase de briefings e validação dos planejamentos apresentados pelos fornecedores de designer gráfico, redes sociais e assessoria de imprensa (Local e Nacional), alinhados a estratégia macro do setor de Comunicação da FCS. Produzir conteúdo a serem inseridos na programação, peças gráficas, programa artístico e suporte nos conteúdos de redes sociais.</t>
  </si>
  <si>
    <t>Yany Mabel Nunes E Sousa</t>
  </si>
  <si>
    <t>015.183.606-02</t>
  </si>
  <si>
    <t xml:space="preserve">Locação de notebook. </t>
  </si>
  <si>
    <t>Banho De Brilho Limpezas Especiais Ltda</t>
  </si>
  <si>
    <t>2022/22</t>
  </si>
  <si>
    <t xml:space="preserve"> Maria Da Conceicao Astrogilda Silva54061423649</t>
  </si>
  <si>
    <t>Welton Pereira De Azevedo</t>
  </si>
  <si>
    <t>Praxinoscópio Produções Cenográficas Ltda - Me</t>
  </si>
  <si>
    <t>Murillo Correa E Cia Som E Luz Ltda</t>
  </si>
  <si>
    <t xml:space="preserve">2022/2291 </t>
  </si>
  <si>
    <t>2022/2271</t>
  </si>
  <si>
    <t>Tamoios Koloro Editora Grafica Ltda</t>
  </si>
  <si>
    <t>2022/355</t>
  </si>
  <si>
    <t>Pollyanna Brito De Oliveira 05519002614</t>
  </si>
  <si>
    <t xml:space="preserve"> Denise Kelli Alves Dos Reis Gonçalves 07224612677 </t>
  </si>
  <si>
    <t>2022/356</t>
  </si>
  <si>
    <t xml:space="preserve"> Luanda Marlice Siqueira Da Silva</t>
  </si>
  <si>
    <t>Reembolso a conta do Contrato de Gestão referente ao pagamento da guia INSS e INSS Patronal referente ao RPA 1672 - Luciana Monteiro Campello</t>
  </si>
  <si>
    <t>Reembolso a conta do Contrato de Gestão referente ao pagamento da guia de INSS e INSS Patronal  referente ao RPA 1689 - MATHEUS AUGUSTO ALVES ANTUNES</t>
  </si>
  <si>
    <t>Reembolso a conta do Contrato de Gestão referente ao pagamento da guia de INSS e INSS Patronal  referente ao RPA 1661 -  Paulo Ricardo Botelho Cordeiro</t>
  </si>
  <si>
    <t>Reembolso a conta do Contrato de Gestão referente ao pagamento da guia de INSS e INSS Patronal  referente ao RPA 1711 - REINALDO SANTOS DE OLIVEIRA</t>
  </si>
  <si>
    <t>Reembolso a conta do Contrato de Gestão referente ao pagamento da guia de INSS e INSS Patronal ao RPA 1710 - Renan Santos De Oliveira</t>
  </si>
  <si>
    <t>Reembolso a conta do Contrato de Gestão referente ao pagamento da guia de INSS e INSS Patronal ao RPA 1700 - ROBSON MIGUEL SAQUETT CHAGAS</t>
  </si>
  <si>
    <t>PCC REF NFS 1726 - BONFANTE ILUMINAÇÃO CENICA LTDA</t>
  </si>
  <si>
    <t>PCC REF. NFS 2022/14 - THIAGO ANTONINI MARES</t>
  </si>
  <si>
    <t xml:space="preserve"> Maria Vieira Lima 01196915660</t>
  </si>
  <si>
    <t>Taires Borzani Scatolin Santana 00131469630</t>
  </si>
  <si>
    <t>Drogaria Araújo S.a</t>
  </si>
  <si>
    <t>ISSQN referente nota fiscal 2022/9 -  Disk Palcos Locações e Estruturas Eireli</t>
  </si>
  <si>
    <t>IR retido RPA 1672 - Luciana Monteiro Campello</t>
  </si>
  <si>
    <t>IR retido  RPA 1689 - MATHEUS AUGUSTO ALVES ANTUNES</t>
  </si>
  <si>
    <t>IR retido  RPA 1661 -  Paulo Ricardo Botelho Cordeiro</t>
  </si>
  <si>
    <t>IRRF REF NFS 1726 - BONFANTE ILUMINAÇÃO CENICA</t>
  </si>
  <si>
    <t>Compra de material de montagem para execução do projeto expográfico da 34° Bienal de SP - no Palácio das Artes. Materiais:6 latas de tinta spray multiuso branco fosco 400ml.</t>
  </si>
  <si>
    <t>Compra de material de montagem para execução do projeto expográfico da 34° Binel de SP - Iitnerancia Palácio das Artes. Lista dos materiais:- 50m de Cabo de aço 03.2 1/8,- 50 unidades Clips para cabo de aço 1/8 -3,2.</t>
  </si>
  <si>
    <t>Processo 3973 - Nevile Duarte Almeida</t>
  </si>
  <si>
    <t>Direito de exibição / licenciamento de filme para exibição na Mostra Especial - Cinema Mineiro em Cartaz. O filme "Rio Babilônia" (1982)</t>
  </si>
  <si>
    <t>161.291.217-68</t>
  </si>
  <si>
    <t xml:space="preserve">Compra de material de montagem para execução do projeto expográfico da 34° Binel de SP - Iitnerancia Palácio das Artes. </t>
  </si>
  <si>
    <t>Compra de material de montagem para execução do projeto expográfico da 34° Binel de SP - Iitnerancia Palácio das Artes.</t>
  </si>
  <si>
    <t>17.581.836/0006-34</t>
  </si>
  <si>
    <t>Direito de exibição / licenciamento de filme para exibição na Mostra Especial - Cinema Mineiro em Cartaz. O filme "Perdidos e Malditos" (1970) de Geraldo Veloso</t>
  </si>
  <si>
    <t>038.082.216-40</t>
  </si>
  <si>
    <t>Direito de exibição / licenciamento de filme para exibição na Mostra Especial - Cinema Mineiro em Cartaz. O curta-metragem "Tampinha" (2004) de João Batista Melo</t>
  </si>
  <si>
    <t>355.203.536-20</t>
  </si>
  <si>
    <t>Direito de exibição / licenciamento de filme para exibição na Mostra Especial - Cinema Mineiro em Cartaz.O curta-metragem "Nova pasta. Antigo baú." (2022) de Sylvio Lanna</t>
  </si>
  <si>
    <t>161.301.467-87</t>
  </si>
  <si>
    <t>Aquisição de direitos autorais para puiblicação irrestrita do texto"Domingo de graça: celebração ou condenação?" do pesquisador, históriador e diretor de Cinema Mário Alves Coutinho.</t>
  </si>
  <si>
    <t>009.279.886-15</t>
  </si>
  <si>
    <t>Aquisição de direitos autorais para puiblicação irrestrita do texto"O cinema em Minas Gerais: uma introdução" do pesquisador, históriador e diretor de Cinema Paulo Augusto Gomes.</t>
  </si>
  <si>
    <t>Aquisição de direitos autorais para puiblicação irrestrita do texto"A Animação Mineira" do pesquisador e diretor de Cinema Sávio Leite.</t>
  </si>
  <si>
    <t>730.159.036-91</t>
  </si>
  <si>
    <t xml:space="preserve">INSS PERFIL APOIO E SERVIÇOS </t>
  </si>
  <si>
    <t>INSS NF 1726 BONFANTE ILUMINAÇÃO</t>
  </si>
  <si>
    <t xml:space="preserve">Valor recebido SOCIEDADE ARTÍSTICA BRASILEIRA -
SABRA,  - CNPJ: 19.442.344/0001-89, referente à locação de figurinos </t>
  </si>
  <si>
    <t>Reembolso a conta do Contrato de Gestão referente ao pagamento da guia de INSS NF 202214 - THIAGO ANTONINI MARES</t>
  </si>
  <si>
    <t xml:space="preserve">2022/2337 </t>
  </si>
  <si>
    <t>Guilherme Moreira Da Silva</t>
  </si>
  <si>
    <t xml:space="preserve">Pedro Lucas Viana Da Silva Tavares 09461376685
</t>
  </si>
  <si>
    <t xml:space="preserve"> Idaléia Do Carmo Dias 70391726668</t>
  </si>
  <si>
    <t>Johnny De Lima França 31217716807</t>
  </si>
  <si>
    <t>Reservas de hospedagens na cidade de Ouro Preto para atender as necessidades dos contratados solistas, equipe técnica, corpos artísticos para a montagem da Temporada de Ópera</t>
  </si>
  <si>
    <t xml:space="preserve">
Servico Social Do Comercio - Administracao Regional No Estado De Minas Gerais</t>
  </si>
  <si>
    <t>03.643.856/0016-50</t>
  </si>
  <si>
    <t xml:space="preserve"> Thais Karen Da Silva 10556547632</t>
  </si>
  <si>
    <t>43.458.466/0001-48</t>
  </si>
  <si>
    <t xml:space="preserve"> Ernani Henrique Chaves Aguiar</t>
  </si>
  <si>
    <t>23/05/82022</t>
  </si>
  <si>
    <t>Junior Festas Eireli</t>
  </si>
  <si>
    <t>legendagem e retorno visual/referência de maestro.Equipamentos:1) 16 Tv’s CRT específicas para retorno de Solistas01 Splitter de Vídeo específicos de CRT02 Câmeras com cabo de sinalCabos de AC e Cabos de SinalTécnico para montagem, desmontagem e operação durante os ensaios e os espetáculos eLogística1) 01 Painel de Led P3 medindo 6x1Cabos de AC e Cabos de SinalTécnico para montagem, desmontagem e operação durante os ensaios e os espetáculos elLogísticaCabos blindados para o funcionamento das Tv'CRT</t>
  </si>
  <si>
    <t xml:space="preserve"> D.f Produções E Prestação De Serviços - Eireli</t>
  </si>
  <si>
    <t>Cofins 04/2022</t>
  </si>
  <si>
    <t xml:space="preserve">Cofins 04/2022 </t>
  </si>
  <si>
    <t>Fernando Reis De Freitas 01485493650</t>
  </si>
  <si>
    <t>2022/45</t>
  </si>
  <si>
    <t>Kalunga Comércio E Indústria Gráfica Ltda</t>
  </si>
  <si>
    <t xml:space="preserve"> Futura Express Solucoes Digitais Ltda</t>
  </si>
  <si>
    <t>2022/558</t>
  </si>
  <si>
    <t>Zemlya Consultoria E Serviços De Saúde E Geologicos Ltda</t>
  </si>
  <si>
    <t xml:space="preserve"> 20222361 / 20222362 / 20222363 / 20222365 / 20222366 </t>
  </si>
  <si>
    <t xml:space="preserve"> Mw Viagens Inteligentes Operadora E Agência Digital Eireli - Me
</t>
  </si>
  <si>
    <t>Reinaldo Santos De Oliveira</t>
  </si>
  <si>
    <t>2022/2364</t>
  </si>
  <si>
    <t xml:space="preserve"> I &amp; T Tecnologia E Servicos Ltda</t>
  </si>
  <si>
    <t xml:space="preserve"> Patrícia Valadão Almeida De Oliveira</t>
  </si>
  <si>
    <t>Contratação de Lício Bruno, cantor solista para interpretar personagem José Joaquim Emerico Lobo de Mesquita na ópera Aleijadinho.</t>
  </si>
  <si>
    <t>Lício Bruno Ramos De Araújo 78490413720</t>
  </si>
  <si>
    <t>24.401.163/0001-44</t>
  </si>
  <si>
    <t>2022/2394</t>
  </si>
  <si>
    <t>Anevston Magalhães Lima 00079895638</t>
  </si>
  <si>
    <t>Henrique Passini</t>
  </si>
  <si>
    <t xml:space="preserve"> Elisete Gomes Joaquim De Oliveira-me</t>
  </si>
  <si>
    <t xml:space="preserve"> Locacao De Sanitarios Alves &amp; Cia Ltda</t>
  </si>
  <si>
    <t>2022/232</t>
  </si>
  <si>
    <t>Elka Tais Nascimento Silva</t>
  </si>
  <si>
    <t xml:space="preserve">Contratação de Ana Vanessa como Diretora cênica assistente.Profissional para execução de assistência de direção onde irá acompanhar os ensaios, definições, marcações e ajustes de cena junto a Diretora de elenco do espetáculo. </t>
  </si>
  <si>
    <t>Ana Vanessa Silva Santos</t>
  </si>
  <si>
    <t>Equipe1 Sonorização Ltda</t>
  </si>
  <si>
    <t>Mauro Camilo De Chantal Santos</t>
  </si>
  <si>
    <t>2022/46</t>
  </si>
  <si>
    <t>2022/47</t>
  </si>
  <si>
    <t xml:space="preserve">2022/2406 </t>
  </si>
  <si>
    <t>000.010.069</t>
  </si>
  <si>
    <t>Coordenação artística</t>
  </si>
  <si>
    <t>Coordenação Geral</t>
  </si>
  <si>
    <t>Coordenação Técnica</t>
  </si>
  <si>
    <t>Gráfica Central Editora E Digital Ltda</t>
  </si>
  <si>
    <t>2022/1717</t>
  </si>
  <si>
    <t xml:space="preserve"> Gráfica Central Editora E Digital Ltda</t>
  </si>
  <si>
    <t>2022/1715</t>
  </si>
  <si>
    <t>2022/1713</t>
  </si>
  <si>
    <t>Acropoluz Lampadas Especiais E Iluminação Ltda</t>
  </si>
  <si>
    <t xml:space="preserve"> Rodrigo Chaves Frois 07093165699</t>
  </si>
  <si>
    <t>NF 20222474 / 20222482 / 20222484 / 20222506/ 20222507</t>
  </si>
  <si>
    <t>ISSQN referente a nota fiscal 2022/16 - RF Locação e Filmagem Ltda</t>
  </si>
  <si>
    <t>2022/297</t>
  </si>
  <si>
    <t>ISSQN referente a nota fiscal 2022/297 - Flag Impressão Digital Ltda</t>
  </si>
  <si>
    <t xml:space="preserve"> Elen Lucia Abraao 80620159634</t>
  </si>
  <si>
    <t>ISSQN referente a nota fiscal 2022/34 - Murillo Correa E Cia Som E Luz Ltda</t>
  </si>
  <si>
    <t>Carolina Teixeira Viveiros Soares 07994740618</t>
  </si>
  <si>
    <t xml:space="preserve"> 20222472 / 20222473 / 20222475 / 20222476 / 20222477</t>
  </si>
  <si>
    <t>ISSQN referente a nota fiscal 2022/303 - Flag Impressao Digital Ltda</t>
  </si>
  <si>
    <t>2022/298</t>
  </si>
  <si>
    <t>ISSQN referente a nota fiscal 2022/298 -  Flag Impressao Digital Ltda</t>
  </si>
  <si>
    <t>2022/1716</t>
  </si>
  <si>
    <t>ontratação do profissional Allex Aguilera para participar como debatedor conforme o cronograma enviado pela curadoria: Mesa-redonda: 02 de outubro Dramaturgia além da Escrita: Reflexões sobre Dramaturgismo na Ópera (sábado) das 15h às 17h em apoio às ações externas que integram a Temporada de Óperas de 2021.</t>
  </si>
  <si>
    <t xml:space="preserve">Câmbio </t>
  </si>
  <si>
    <t>Cofins - Importação - Allex Francisco Aguilera</t>
  </si>
  <si>
    <t>IR - Importação - Allex Francisco Aguilera</t>
  </si>
  <si>
    <t>20222544/ 20222548</t>
  </si>
  <si>
    <t>Fornecimento de 13.000 pulseiras de identificação</t>
  </si>
  <si>
    <t>P.v Estamparia E Comércio Ltda.</t>
  </si>
  <si>
    <t>11.504.682/0001-96</t>
  </si>
  <si>
    <t>ISSQN referente a nota fiscal 2022/16 -  Elisete Gomes Joaquim De Oliveira-me</t>
  </si>
  <si>
    <t>Hr - Lanches, Promoções E Eventos Eireli - Me</t>
  </si>
  <si>
    <t>Krypton Serviços Contábeis S. S</t>
  </si>
  <si>
    <t>2022/808</t>
  </si>
  <si>
    <t>ISSQN referente a nota fiscal 2022/11 -  Mude Se Mude Arquitetura Cenografica Ltda</t>
  </si>
  <si>
    <t>Royal Towers S/a</t>
  </si>
  <si>
    <t xml:space="preserve"> Simone Lemos 02468791657</t>
  </si>
  <si>
    <t>Rafael Bruno De Oliveira Ferreira</t>
  </si>
  <si>
    <t>ISSQN referente ao RPA 1813 - Rafael Bruno De Oliveira Ferreira</t>
  </si>
  <si>
    <t>INSS e INSS Patronal referente ao RPA 1813 - Rafael Bruno De Oliveira Ferreira</t>
  </si>
  <si>
    <t>ISSQN referente a nota fiscal 206 - Christoffer Produções Artísticas Ltda</t>
  </si>
  <si>
    <t xml:space="preserve"> Larissa Cristina Dos Santos De Jesus 13447549610
</t>
  </si>
  <si>
    <t xml:space="preserve">PCC referente a nota fiscal 2022/808 - Krypton Serviços Contábeis S. S.  </t>
  </si>
  <si>
    <t>ISSQN - 0207793/001-7 ADMINISTRADORA DE HOTEIS CHEVERNY LTDA NF: 20222361</t>
  </si>
  <si>
    <t>ISSQN - DUARTE PRODUCOES DE ARTE LTDA - ME NF: 20224</t>
  </si>
  <si>
    <t>ISSQN - MORAIS &amp;AMP; MORAIS FESTAS E EVENTOS LTDA - ME NF: 146</t>
  </si>
  <si>
    <t>ISSQN - 1088042/001-1 DAMASCO COMUNICACAO EIRELI NF: 202246</t>
  </si>
  <si>
    <t>ISSQN - TAMOIOS EDITORA GRAFICA LTDA NF: 2022356</t>
  </si>
  <si>
    <t>ISSQN - 0291131/001-7 ARCO CULTURAL LTDA NF: 202228</t>
  </si>
  <si>
    <t>ISSQN - 0239631/001-6 D.F PRODUCOES E PRESTACAO DE SERVICOS - EIRELI NF: 202213</t>
  </si>
  <si>
    <t>ISSQN - 0207793/001-7 ADMINISTRADORA DE HOTEIS CHEVERNY LTDA NF: 20222271</t>
  </si>
  <si>
    <t>ISSQN - 1088042/001-1 DAMASCO COMUNICACAO EIRELI NF: 202249</t>
  </si>
  <si>
    <t>ISSQN - 0204644/001-8 GRAFICA CENTRAL EDITORA E DIGITAL LTDA NF: 20221713</t>
  </si>
  <si>
    <t>ISSQN - CHRISTOFFER PRODUCOES ARTISTICAS LTDA NF: 205</t>
  </si>
  <si>
    <t>ISSQN - PATRÍCIA VALADÃO ALMEIDA DE OLIVEIRA NF: 1788</t>
  </si>
  <si>
    <t>ISSQN - ILUMINURAS PRODUCOES ARTISTICO-CULTURAIS LTDA - ME NF: 339</t>
  </si>
  <si>
    <t>ISSQN - 1088042/001-1 DAMASCO COMUNICACAO EIRELI NF: 202248</t>
  </si>
  <si>
    <t>ISSQN - ANA VANESSA SILVA SANTOS NF: 1785</t>
  </si>
  <si>
    <t>ISSQN - ILUMINURAS PRODUCOES ARTISTICO-CULTURAIS LTDA - ME NF: 344</t>
  </si>
  <si>
    <t>ISSQN - Reinaldo Santos de Oliveira NF: 1781</t>
  </si>
  <si>
    <t>ISSQN - JUNIA BERTOLINA DA SILVA NF: 1784</t>
  </si>
  <si>
    <t>ISSQN - 0207793/001-7 ADMINISTRADORA DE HOTEIS CHEVERNY LTDA NF: 20222506</t>
  </si>
  <si>
    <t>ISSQN - GUILHERME MOREIRA DA SILVA NF: 1775</t>
  </si>
  <si>
    <t>ISSQN - 0207793/001-7 ADMINISTRADORA DE HOTEIS CHEVERNY LTDA NF: 20222507</t>
  </si>
  <si>
    <t>ISSQN - 0204669/001-4 DOLABELLA ADVOCACIA E CONSULTORIA NF: 2022143</t>
  </si>
  <si>
    <t>ISSQN - 0207793/001-7 ADMINISTRADORA DE HOTEIS CHEVERNY LTDA NF: 20222365</t>
  </si>
  <si>
    <t>ISSQN - 0207793/001-7 ADMINISTRADORA DE HOTEIS CHEVERNY LTDA NF: 20222366</t>
  </si>
  <si>
    <t>ISSQN - BANHO DE BRILHO LIMPEZAS ESPECIAIS LTDA. NF: 202222</t>
  </si>
  <si>
    <t>ISSQN - 0207793/001-7 ADMINISTRADORA DE HOTEIS CHEVERNY LTDA NF: 20222394</t>
  </si>
  <si>
    <t>ISSQN - TAMOIOS EDITORA GRAFICA LTDA NF: 2022355</t>
  </si>
  <si>
    <t>ISSQN - 0204644/001-8 GRAFICA CENTRAL EDITORA E DIGITAL LTDA NF: 20221716</t>
  </si>
  <si>
    <t>ISSQN - 0207793/001-7 ADMINISTRADORA DE HOTEIS CHEVERNY LTDA NF: 20222472</t>
  </si>
  <si>
    <t>ISSQN - LUANDA MARLICE SIQUEIRA DA SILVA NF: 1780</t>
  </si>
  <si>
    <t>ISSQN - 0381247/001-4 EQUIPE 1 SONORIZACAO LTDA. NF: 202210</t>
  </si>
  <si>
    <t>ISSQN - 0781315/001-6 FUTURA CONVITES INDUSTRIA E COMERCIO LTDA NF: 2022562</t>
  </si>
  <si>
    <t>ISSQN - 0207793/001-7 ADMINISTRADORA DE HOTEIS CHEVERNY LTDA NF: 20222482</t>
  </si>
  <si>
    <t>ISSQN - 1114654/001-3 ELISETE GOMES JOAQUIM DE OLIVEIRA NF: 202215</t>
  </si>
  <si>
    <t>ISSQN - 0236902/001-0 ZEMLYA CONSULTORIA E SERVICOS DE SAUDE E GEOLOGICOS LTDA NF: 202220</t>
  </si>
  <si>
    <t>ISSQN - 0269923/001-9 DUPLA ILUMINACAO LTDA NF: 202215</t>
  </si>
  <si>
    <t>ISSQN - PAULO RICARDO BOLELHO CORDEIRO NF: 1767</t>
  </si>
  <si>
    <t>ISSQN - RENAN SANTOS DE OLIVEIRA NF: 1782</t>
  </si>
  <si>
    <t>ISSQN - 0207793/001-7 ADMINISTRADORA DE HOTEIS CHEVERNY LTDA NF: 20222474</t>
  </si>
  <si>
    <t>ISSQN - 0207793/001-7 ADMINISTRADORA DE HOTEIS CHEVERNY LTDA NF: 20222473</t>
  </si>
  <si>
    <t>ISSQN - 1114654/001-3 ELISETE GOMES JOAQUIM DE OLIVEIRA NF: 202213</t>
  </si>
  <si>
    <t>ISSQN - 0207793/001-7 ADMINISTRADORA DE HOTEIS CHEVERNY LTDA NF: 20222475</t>
  </si>
  <si>
    <t>ISSQN - I0207793/001-7 ADMINISTRADORA DE HOTEIS CHEVERNY LTDA NF: 20222484</t>
  </si>
  <si>
    <t>ISSQN - 0207793/001-7 ADMINISTRADORA DE HOTEIS CHEVERNY LTDA NF: 20222476</t>
  </si>
  <si>
    <t>ISSQN - HENRIQUE PASSINI NF: 1783</t>
  </si>
  <si>
    <t>ISSQN - 0115198/001-0 MURILLO CORREA E CIA SOM E LUZ LTDA NF: 202229</t>
  </si>
  <si>
    <t>ISSQN - 1088042/001-1 DAMASCO COMUNICACAO EIRELI NF: 202241</t>
  </si>
  <si>
    <t>ISSQN - 1088042/001-1 DAMASCO COMUNICACAO EIRELI NF: 202245</t>
  </si>
  <si>
    <t>0207793/001-7 ADMINISTRADORA DE HOTEIS CHEVERNY LTDA NF: 20222364</t>
  </si>
  <si>
    <t>ISSQN - 0207793/001-7 ADMINISTRADORA DE HOTEIS CHEVERNY LTDA NF: 20222291</t>
  </si>
  <si>
    <t>ISSQN - 0207793/001-7 ADMINISTRADORA DE HOTEIS CHEVERNY LTDA NF: 20222337</t>
  </si>
  <si>
    <t>ISSQN - 1088042/001-1 DAMASCO COMUNICACAO EIRELI NF: 202240</t>
  </si>
  <si>
    <t>ISSQN - BONFANTE ILUMINACAO CENICA LTDA - EPP NF: 1732</t>
  </si>
  <si>
    <t>ISSQN - 1114654/001-3 ELISETE GOMES JOAQUIM DE OLIVEIRA NF: 202212</t>
  </si>
  <si>
    <t>ISSQN - 0204644/001-8 GRAFICA CENTRAL EDITORA E DIGITAL LTDA NF: 20221715</t>
  </si>
  <si>
    <t>ISSQN - 0204644/001-8 GRAFICA CENTRAL EDITORA E DIGITAL LTDA NF: 20221717</t>
  </si>
  <si>
    <t>ISSQN - MAURO CAMILO DE CHANTAL SANTOS NF: 1776</t>
  </si>
  <si>
    <t>ISSQN - 0269923/001-9 DUPLA ILUMINACAO LTDA NF: 202213</t>
  </si>
  <si>
    <t>ISSQN - 1019020/001-1 MW VIAGENS INTELIGENTES OPERADORA E AGENCIA DIGITAL LTDA NF: 202280</t>
  </si>
  <si>
    <t>ISSQN - LUCIANA MONTEIRO CAMPELLO NF: 1734</t>
  </si>
  <si>
    <t>ISSQN - 0207793/001-7 ADMINISTRADORA DE HOTEIS CHEVERNY LTDA NF: 20222548</t>
  </si>
  <si>
    <t>ISSQN - ELKA TAIS NASCIMENTO SILVA NF: 1790</t>
  </si>
  <si>
    <t>ISSQN - YANY MABEL NUNES E SOUSA NF: 1761</t>
  </si>
  <si>
    <t>ISSQN - WELTON PEREIRA DE AZEVEDO NF: 1769</t>
  </si>
  <si>
    <t>ISSQN - 0207793/001-7 ADMINISTRADORA DE HOTEIS CHEVERNY LTDA NF: 20222593</t>
  </si>
  <si>
    <t>ISSQN - 0167716/005-2 ROYAL TOWERS S/A NF: 20224880</t>
  </si>
  <si>
    <t>Passe Vip - Sistemas De Identificação Ltda</t>
  </si>
  <si>
    <t>ISSQN - 0207793/001-7 ADMINISTRADORA DE HOTEIS CHEVERNY LTDA NF: 20222544</t>
  </si>
  <si>
    <t>ISSQN - 0207793/001-7 ADMINISTRADORA DE HOTEIS CHEVERNY LTDA NF: 20222598</t>
  </si>
  <si>
    <t>ISSQN - MATHEUS AUGUSTO ALVES ANTUNES NF: 1786</t>
  </si>
  <si>
    <t>ISSQN - 0207793/001-7 ADMINISTRADORA DE HOTEIS CHEVERNY LTDA NF: 20222588</t>
  </si>
  <si>
    <t>ISSQN - 0207793/001-7 ADMINISTRADORA DE HOTEIS CHEVERNY LTDA NF: 20222595</t>
  </si>
  <si>
    <t>ISSQN - 0207793/001-7 ADMINISTRADORA DE HOTEIS CHEVERNY LTDA NF: 20222597</t>
  </si>
  <si>
    <t>ISSQN - 1019020/001-1 MW VIAGENS INTELIGENTES OPERADORA E AGENCIA DIGITAL LTDA NF: 202283</t>
  </si>
  <si>
    <t>ISSQN - 0239631/001-6 D.F PRODUCOES E PRESTACAO DE SERVICOS - EIRELI NF: 202212</t>
  </si>
  <si>
    <t>ISSQN - 0457459/001-6 ESTALO CRIATIVO LTDA NF: 202211</t>
  </si>
  <si>
    <t>ISSQN - 1167302/001-6 RF LOCACAO &amp; FILMAGEM LTDA NF: 202211</t>
  </si>
  <si>
    <t>ISSQN - 0239631/001-6 D.F PRODUCOES E PRESTACAO DE SERVICOS - EIRELI NF: 202211</t>
  </si>
  <si>
    <t>Reembolso a conta do Contrato de Gestão referente ao pagamento da guia de INSS e INSS Patronal ao RPA de Ana Vanessa Silva Santos</t>
  </si>
  <si>
    <t>Reembolso a conta do Contrato de Gestão referente ao pagamento da guia de INSS e INSS Patronal ao RPA de Elka tais Nascimento Silva</t>
  </si>
  <si>
    <t>Reembolso a conta do Contrato de Gestão referente ao pagamento da guia de INSS e INSS Patronal ao RPA de Guilherme Moreira da Silva</t>
  </si>
  <si>
    <t>Reembolso a conta do Contrato de Gestão referente ao pagamento da guia de INSS e INSS Patronal ao RPA de Henrique Passini</t>
  </si>
  <si>
    <t>Reembolso a conta do Contrato de Gestão referente ao pagamento da guia de INSS e INSS Patronal ao RPA de Junia Bertolina da Silva</t>
  </si>
  <si>
    <t>Reembolso a conta do Contrato de Gestão referente ao pagamento da guia de INSS e INSS Patronal ao RPA de Launda Marlice Siqueira da Silva</t>
  </si>
  <si>
    <t>Reembolso a conta do Contrato de Gestão referente ao pagamento da guia de INSS e INSS Patronal ao RPA de Luciana Monteiro Campello</t>
  </si>
  <si>
    <t>Reembolso a conta do Contrato de Gestão referente ao pagamento da guia de INSS e INSS Patronal ao RPA de Matheus Augusto Alves Antunes</t>
  </si>
  <si>
    <t>Reembolso a conta do Contrato de Gestão referente ao pagamento da guia de INSS e INSS Patronal ao RPA de Mauro Camilo Chantal Santos</t>
  </si>
  <si>
    <t>Reembolso a conta do Contrato de Gestão referente ao pagamento da guia de INSS e INSS Patronal ao RPA de Patrícia Valadão Almeida de Oliveira</t>
  </si>
  <si>
    <t>Reembolso a conta do Contrato de Gestão referente ao pagamento da guia de INSS e INSS Patronal ao RPA de Paulo Ricardo Botelho Cordeiro</t>
  </si>
  <si>
    <t>Reembolso a conta do Contrato de Gestão referente ao pagamento da guia de INSS e INSS Patronal ao RPA de Reinaldo Santos de Oliveira</t>
  </si>
  <si>
    <t>Reembolso a conta do Contrato de Gestão referente ao pagamento da guia de INSS e INSS Patronal ao RPA de Renan Santos de Oliveira</t>
  </si>
  <si>
    <t>Reembolso a conta do Contrato de Gestão referente ao pagamento da guia  INSS Patronal ao MEI de Thais Karen da Silva</t>
  </si>
  <si>
    <t>Reembolso a conta do Contrato de Gestão referente ao pagamento da guia de INSS e INSS Patronal ao RPA de Welton Pereira de Azevedo</t>
  </si>
  <si>
    <t>Reembolso a conta do Contrato de Gestão referente ao pagamento da guia de INSS e INSS Patronal ao RPA de Yany Mabel Nunes e Sousa</t>
  </si>
  <si>
    <t>IR referente RPA de Ana Vanessa Silva Santos</t>
  </si>
  <si>
    <t>IR referente RPA de Guilherme Moreira da Silva</t>
  </si>
  <si>
    <t>IR referente RPA de Henrique Passini</t>
  </si>
  <si>
    <t>IR referente RPA deJunia Bertolina da Silva</t>
  </si>
  <si>
    <t>IR referente RPA de Launda Marlice Siqueira da Silva</t>
  </si>
  <si>
    <t>IR referente RPA de Luciana Monteiro Campello</t>
  </si>
  <si>
    <t>IR referente RPA de Matheus Augusto Alves Antunes</t>
  </si>
  <si>
    <t>IR referente RPA de Mauro Camilo Chantal Santos</t>
  </si>
  <si>
    <t>IR referente RPA de Patrícia Valadão Almeida de Oliveira</t>
  </si>
  <si>
    <t>IR referente RPA de Paulo Ricardo Botelho Cordeiro</t>
  </si>
  <si>
    <t>IR referente RPA de Reinaldo Santos de Oliveira</t>
  </si>
  <si>
    <t>IR referente RPA de Renan Santos de Oliveira</t>
  </si>
  <si>
    <t>IR referente RPA de  Welton Pereira de Azevedo</t>
  </si>
  <si>
    <t>IR referente RPA de Yany Mabel Nunes e Sousa</t>
  </si>
  <si>
    <t>Allex Francisco Aguilera Cabrera</t>
  </si>
  <si>
    <t>Marcela Rodrigues Cirino 11536459631</t>
  </si>
  <si>
    <t xml:space="preserve"> Rf Locação &amp; Filmagem Ltda </t>
  </si>
  <si>
    <t>Contratação de transfer aeroporto Confins x hotel (em BH à defenir) x aeroporto (Confins) para o maestro Hernan Sanches.</t>
  </si>
  <si>
    <t xml:space="preserve"> Arco Cultural Ltda</t>
  </si>
  <si>
    <t>Tarifa Bancári</t>
  </si>
  <si>
    <t>ISSQN - Cintya Juliana Souza Santos Dias NF 1674</t>
  </si>
  <si>
    <t>ISSQN 1293569/001-1 Sinara Araujo Costa Sociedade Individual de Advocacia NF: 20224</t>
  </si>
  <si>
    <t>ISSQN 0757085/001-8 Inventario Produções Artisticas e Culturasi Ltda NF: 20225</t>
  </si>
  <si>
    <t>ISSQN - Laryssa pereira Martins NF: 1709</t>
  </si>
  <si>
    <t>0291131/001-7 Arco Cultural Ltda NF 202219</t>
  </si>
  <si>
    <t>ISSQN - 0162694/001-8 Artelivre Produção e Comunicação Ltda NF: 20227</t>
  </si>
  <si>
    <t>ISSQN 0772841/001-7 Instituto Integridade e Compliance Consultoria de Negocios Ltda NF: 202212</t>
  </si>
  <si>
    <t>ISSQN - 1164076/001-0 BD Serviços e Consultoria Ltda NF: 20224</t>
  </si>
  <si>
    <t>ISSQN 1253284/001-5 Ouvex Tecnologia para Compliance Ltda</t>
  </si>
  <si>
    <t>Pacote Tarifa</t>
  </si>
  <si>
    <t>Arreda Producoes E Eventos Ltda</t>
  </si>
  <si>
    <t>Contratação de serviços de apoio à produção executiva e supervisão de ações e projetos, em especial os captados com a Fundação Clóvis Salgado.</t>
  </si>
  <si>
    <t>IRRF - REND TRAB SEM VINC EMPREGATÍCIO</t>
  </si>
  <si>
    <t xml:space="preserve"> Bd Servicos E Consultoria Ltda</t>
  </si>
  <si>
    <t>ISSQN referente a nota fiscal 2022/7 - Bd Servicos E Consultoria Ltda</t>
  </si>
  <si>
    <t xml:space="preserve"> Cleber Jose Leao De Almeida 01199122602</t>
  </si>
  <si>
    <t xml:space="preserve"> Marcela De Oliveira Rodrigues 08714767627</t>
  </si>
  <si>
    <t xml:space="preserve"> Cintya Juliana Souza Santos Dias</t>
  </si>
  <si>
    <t>ISSQN referente ao RPA 1795 - Cintya Juliana Souza Santos Dias</t>
  </si>
  <si>
    <t>IR  referente ao RPA 1795 - Cintya Juliana Souza Santos Dias</t>
  </si>
  <si>
    <t>Aquisição de direitos autorais para puiblicação irrestrita do texto"Nossa desmemória nossa história" do pesquisador e diretor de Alexandre Pimenta.</t>
  </si>
  <si>
    <t>328.239.326-15</t>
  </si>
  <si>
    <t>Dinizpachante Eireli</t>
  </si>
  <si>
    <t>Vale Alimentação para nova Analista de RH</t>
  </si>
  <si>
    <t>Contratação de montador para a executar a montagem e desmontagem da itinerância da 34ª Bienal de SP que acontece nas galerias do palácio das artes de 5 de julho a 25 de setembro.</t>
  </si>
  <si>
    <t>Contratação de profissional para revisão de textos e conteúdos gráficos de peças web, em atendimento às demandas institucionais da Fundação Clóvis Salgado - FCS, durante 04 meses.</t>
  </si>
  <si>
    <t>Compra de material para montagem da expografia da 34ª Bienal de São Paulo em sua itinerância no Palácio das Artes. Lista dos materiais: 15abraçadeiras RSF 2.1/2 X 3.</t>
  </si>
  <si>
    <t xml:space="preserve">Valor recebido CAROLINA DE FREITAS GOMES  - CPF: 054.615.366-62,referente à locação de figurinos </t>
  </si>
  <si>
    <t>2022/42</t>
  </si>
  <si>
    <t>2022/540</t>
  </si>
  <si>
    <t>Rhino Vigilância Patrimonial Ltda</t>
  </si>
  <si>
    <t>21.709.515/0001-35</t>
  </si>
  <si>
    <t>2022/86</t>
  </si>
  <si>
    <t xml:space="preserve">Tarifa Bancária </t>
  </si>
  <si>
    <t>Músico saxofonista para o período de 06 a 12 de junho, com ensaios até o dia 10 e concerto no dia 12 de junho no Parque Municipal Américo Renée Giannetti, às 10h00.</t>
  </si>
  <si>
    <t>Locação de equipamentos audiovisuais para projeções de obras da itinerância da 34a Bienal de São Paulo no Palácio das Artes. A prestação de serviços deve prever, além da locação, a instalação e desinstalação dos equipamentos, técnico plantonista diário para ligar e desligar os equipamentos; transporte e seguro dos equipamentos</t>
  </si>
  <si>
    <t>02.513.238/0001-46</t>
  </si>
  <si>
    <t xml:space="preserve"> Planto Arte Botânica Plantas Especiais Ltda</t>
  </si>
  <si>
    <t>Calçados Itapuã S/a</t>
  </si>
  <si>
    <t xml:space="preserve"> Le Romarin Comércio De Produtos Ltda</t>
  </si>
  <si>
    <t>43.620.213/0001-29</t>
  </si>
  <si>
    <t>Jb Cabelos Comercial Ltda</t>
  </si>
  <si>
    <t>15.380.043/0001-17</t>
  </si>
  <si>
    <t>Hz Solucoes Em Eventos Ltda</t>
  </si>
  <si>
    <t>Sulfal Química Ltda</t>
  </si>
  <si>
    <t>ISSQN referente ao RPA 1804 - Carla Lima Cattabriga</t>
  </si>
  <si>
    <t>ISSQN referente ao RPA 1805 - Sheila Fernanda Oliveira Da Silva</t>
  </si>
  <si>
    <t>IR referente ao RPA 1805 - Sheila Fernanda Oliveira Da Silva</t>
  </si>
  <si>
    <t>ISSQN - 0749110/001-6 HZ SOLUCOES EM EVENTOS LTDA NF: 20227</t>
  </si>
  <si>
    <t>ISSQN - 1167302/001-6 RF LOCACAO &amp; FILMAGEM LTDA NF: 202215</t>
  </si>
  <si>
    <t>ISSQN - 0248461/001-1 OUROMED SERVICO MOVEL DE SAUDE LTDA NF: 2022540</t>
  </si>
  <si>
    <t>ISSQN - 0978359/001-X RHINO VIGILANCIA PATRIMONIAL EIRELI NF: 202286</t>
  </si>
  <si>
    <t>ISSQN - MORAIS &amp;AMP; MORAIS FESTAS E EVENTOS LTDA - ME NF: 145</t>
  </si>
  <si>
    <t>ISSQN - 0988447/001-X DINIZPACHANTE EIRELI NF: 20227</t>
  </si>
  <si>
    <t>ISSQN - 1177847/001-1 RAISE ENGENHARIA PROJETOS E EVENTOS LTDA NF: 202242</t>
  </si>
  <si>
    <t>ISSQN - 0978359/001-X RHINO VIGILANCIA PATRIMONIAL EIRELI NF: 202288</t>
  </si>
  <si>
    <t>Alesandra Filgueiras</t>
  </si>
  <si>
    <t>ISSQN referente ao RPA 1817 - Alesandra Filgueiras</t>
  </si>
  <si>
    <t>IR  referente ao RPA 1817 - Alesandra Filgueiras</t>
  </si>
  <si>
    <t>ISSQN referenre a nota fiscal 2022/27 - Hatari Filmes Ltda</t>
  </si>
  <si>
    <t xml:space="preserve"> Pedrosa Couros Ltda</t>
  </si>
  <si>
    <t>Pablo Ramon Freire De Melo 07021010443</t>
  </si>
  <si>
    <t>Brigada Camarão Ltda</t>
  </si>
  <si>
    <t xml:space="preserve"> Rafael Bruno De Oliveira Ferreira</t>
  </si>
  <si>
    <t>ISSQN referente ao RPA 1838 -  Rafael Bruno De Oliveira Ferreira</t>
  </si>
  <si>
    <t>Rendimentos de aplicações financeiras do mês 06/2022</t>
  </si>
  <si>
    <t>Imposto de Renda referente aos rendimentos de aplicações financeiras do mês 06/2022</t>
  </si>
  <si>
    <t>IOF  referente aos rendimentos de aplicações financeiras do mês 06/2022</t>
  </si>
  <si>
    <t>Dadyer Rangit Aguilera Ramos</t>
  </si>
  <si>
    <t>Tarifa Bancária referente a transferência eletrônica pagamento fornecedor:    Dadyer Rangit Aguilera Ramos - Processo 2836</t>
  </si>
  <si>
    <t>IR referente ao RPA 1719 - Dadyer Rangit Aguilera Ramos</t>
  </si>
  <si>
    <t>INSS e INSS Patronal  referente ao RPA 1719 - Dadyer Rangit Aguilera Ramos</t>
  </si>
  <si>
    <t>IR referente ao RPA 1751 - Dadyer Rangit Aguilera Ramos</t>
  </si>
  <si>
    <t>INSS e INSS Patronal  referente ao RPA 1751 - Dadyer Rangit Aguilera Ramos</t>
  </si>
  <si>
    <t xml:space="preserve">Tarifa Bancária referente a transferência eletrônica pagamento fornecedor:    Dadyer Rangit Aguilera Ramos  - Processo 2836
 </t>
  </si>
  <si>
    <t>IR referente ao RPA 1606 - Dadyer Rangit Aguilera Ramos</t>
  </si>
  <si>
    <t>INSS e INSS Patronal referente ao RPA 1606 -  Dadyer Rangit Aguilera Ramos</t>
  </si>
  <si>
    <t>Kalunga AS</t>
  </si>
  <si>
    <t>Marluz Indústria E Comércio Ltda</t>
  </si>
  <si>
    <t>ISSQN 0276065/001-9 Atalho Produção Gráfica Ltda NF: 2022211</t>
  </si>
  <si>
    <t>ISSQN - Natalia Fernandes de Azevedo Barbosa NF: 1721</t>
  </si>
  <si>
    <t>ISSQN - 0230876/001-4 Flag Impressão Digital Ltda NF: 2022190</t>
  </si>
  <si>
    <t>ISSQN 0276065/001-9 Atalho Produção Gráfica Ltda NF: 2022212</t>
  </si>
  <si>
    <t>ISSQN - 0484200/001-4 Logus Protection Patrimonial Eireli NF: 202237</t>
  </si>
  <si>
    <t>ISSQN - 0239631/001-6 Produções e Prestação de Serviço - Eireli NF: 20223</t>
  </si>
  <si>
    <t xml:space="preserve">Reembolso a conta do Contrato de Gestão referente ao pagamento da guia de INSS NF 202237 Logus Protection Patrimonial </t>
  </si>
  <si>
    <t>IR referente ao RPA 1721 - NATALIA FERNANDES DE AZEVEDO BARBOSA</t>
  </si>
  <si>
    <t xml:space="preserve">Reembolso a conta do Contrato de Gestão referente ao pagamento da guia de INSS e INSS Patronal referente ao RPA 1721 - NATALIA FERNANDES DE AZEVEDO BARBOSA </t>
  </si>
  <si>
    <t>2022/302</t>
  </si>
  <si>
    <t>ISSQN referente a nota fiscal 2022/302 - Flag Impressão Digital</t>
  </si>
  <si>
    <t>2022/307</t>
  </si>
  <si>
    <t>ISSQN referente a nota fiscal 2022/307 - Flag Impressao Digital Ltda</t>
  </si>
  <si>
    <t>ISSQN referente ao RPA 1764 - NATALIA FERNANDES DE AZEVEDO BARBOSA</t>
  </si>
  <si>
    <t>Bruno Gonçalves Oliveira Rios</t>
  </si>
  <si>
    <t>Contratação de Assistente de Produção e Curadoria para atuar durante todas as etapas de pré-produção, produção e pós produção das exposições de artes visuais que ocorrerão nos espaços expositivos da FCS durante o período de trabalho.</t>
  </si>
  <si>
    <t>ISSQN referente ao RPA 1830 - Bruno Gonçalves Oliveira Rios</t>
  </si>
  <si>
    <t>IR referente ao RPA 1830 - Bruno Gonçalves Oliveira Rios</t>
  </si>
  <si>
    <t xml:space="preserve">Reembolso a conta do Contrato de Gestão referente ao pagamento da guia de INSS e INSS Patronal referente ao RPA 1764 - NATALIA FERNANDES DE AZEVEDO BARBOSA </t>
  </si>
  <si>
    <t xml:space="preserve">IR referente ao RPA 1764 - NATALIA FERNANDES DE AZEVEDO BARBOSA </t>
  </si>
  <si>
    <t xml:space="preserve">Rosa De Areia Produções Ltda </t>
  </si>
  <si>
    <t>Laura Corrêa Santos Pereira</t>
  </si>
  <si>
    <t xml:space="preserve">Cinedistri Produção E Distribuição Audiovisual Ltda
</t>
  </si>
  <si>
    <t>Reembolso a conta do Contrato de Gestão referente ao pagamento da guia de INSS e INSS Patronal referene ao RPA 1673 - Rodrigo César Gomes De Freitas</t>
  </si>
  <si>
    <t>Contratação de profissional responsável pela Coordenação de logística, produção e atividades artísticas e formativas do 24º FestCurtasBH, como shows, exposições, oficinas, entre outros eventos.</t>
  </si>
  <si>
    <t>Compra de folha branca A4 para necessidades do CLMG. 02 caixas com 10 pacotes de folha em cada caixa</t>
  </si>
  <si>
    <t>65.097.156/0001-88</t>
  </si>
  <si>
    <t>Compra de material para montagem da expografia da 34ª Bienal de São Paulo em sua itinerância no Palácio das Artes.</t>
  </si>
  <si>
    <t>Transporte equipamento OSMG em dois caminhões com 04 ajudantes</t>
  </si>
  <si>
    <t>Rendimentos de aplicações financeiras do mês 05/2022 - Modernismo</t>
  </si>
  <si>
    <t>Serviço de impressão digital e plotagem do material gráfico que compõe a itinerância da 34ª Bienal de São Paulo no Palácio das Artes: painéis expositivos, textos, legendas de identificação de acervo e adesivos de sinalização.</t>
  </si>
  <si>
    <t>2022/187</t>
  </si>
  <si>
    <t>ISSQN referente ao RPA 1811 -Rodrigo César Gomes De Freitas</t>
  </si>
  <si>
    <t>IR referente ao RPA 1811 -Rodrigo César Gomes De Freitas</t>
  </si>
  <si>
    <t>ISSQN - 0273049/001-3 LEBEN 108 PRODUTORA DE FILMES LTDA NF: 20225</t>
  </si>
  <si>
    <t>ISSQN - 0782088/001-6 ROSA DE AREIA PRODUCOES LTDA NF: 20225</t>
  </si>
  <si>
    <t>ISSQN - 1297807/001-5 JAVALI DO MAR EXPERIMENTACOES ARTISTICAS LTDA NF: 20229</t>
  </si>
  <si>
    <t>ISSQN - 0469235/001-5 CHAO DA FEIRA LTDA NF: 202214</t>
  </si>
  <si>
    <t>ISSQN - 0469235/001-5 CHAO DA FEIRA LTDA NF: 202213</t>
  </si>
  <si>
    <t>ISSQN - 0987750/001-4 HATARI FILMES LTDA NF: 202218</t>
  </si>
  <si>
    <t>Persona Filmes Eireli</t>
  </si>
  <si>
    <t xml:space="preserve">ISSQN referente a nota fiscal 2022/6 - Rosa De Areia Produções Ltda </t>
  </si>
  <si>
    <t>2022/28</t>
  </si>
  <si>
    <t>ISSQN referente a nota fiscal 2022/28 - Hatari Filmes Ltda</t>
  </si>
  <si>
    <t>Sara De Oliveira Paoliello</t>
  </si>
  <si>
    <t>ISSQN referente ao RPA 1825 -  Sara De Oliveira Paoliello</t>
  </si>
  <si>
    <t>IR referente ao RPA 1825 -  Sara De Oliveira Paoliello</t>
  </si>
  <si>
    <t>ISSQN referente a nota fiscal 2022/16 - Chão Da Feira Ltda</t>
  </si>
  <si>
    <t>ISSQN referente a nota fiscal 2022/7 - Leben 108 Produtora De Filmes Ltda</t>
  </si>
  <si>
    <t>ISSQN referente a nota fiscal 2022/10 - Javali Do Mar Experimentações Artisticas Ltda</t>
  </si>
  <si>
    <t>IRRF DIREITOS AUTORAIS REF. 05/2022 - LAURA CORREA</t>
  </si>
  <si>
    <t>Impressão e instalação de 01 adesivo, vinil fosco para alteração de acordo com a vedação eleitoral dos patrocinadores no placão do Foyer</t>
  </si>
  <si>
    <t>Coordenação de projetos educativos de arte e educação integrados do Cefart. O profissional coordenará e orientará as atividades dos projetos integrados com as demais áreas de produção da Fundação Clóvis Salgado.</t>
  </si>
  <si>
    <t>ISSQN - Ewelyn Felice da Silva NF: 1691</t>
  </si>
  <si>
    <t>ISSQN - 0924691/001-5 Uaua Estudio Ltda NF: 20229</t>
  </si>
  <si>
    <t>ISSQN - 0162877/001-2 Plotacad Impressão Digital Ltda NF: 2022128</t>
  </si>
  <si>
    <t>ISSQN - Daniel Helvécio Nunes Torres Drumond NF: 1659</t>
  </si>
  <si>
    <t>ISSQN - 0987750/001-4 Hatari Filmes Ltda NF: 202210</t>
  </si>
  <si>
    <t>ISSQN - 1143776/001-x Sérgio Arruda Felicio NF: 202211</t>
  </si>
  <si>
    <t>ISSQN - 0987750/001-4 Hatari Filmes Ltda NF: 202211</t>
  </si>
  <si>
    <t>ISSQN - Angêla Peres de Oliveira NF: 1660</t>
  </si>
  <si>
    <t xml:space="preserve"> Carolina Nascimento Valadares Santana 07016003655</t>
  </si>
  <si>
    <t>Pacote de Serviços</t>
  </si>
  <si>
    <t>2022/258</t>
  </si>
  <si>
    <t>2022/2213</t>
  </si>
  <si>
    <t>Contratação de fornecedor de serviços de Assessoria de Imprensa, para atuar nos projetos da Appa junto à Assessoria de Comunicação da Fundação Clóvis Salgado</t>
  </si>
  <si>
    <t xml:space="preserve"> Daniel Helvécio Nunes Torres Drumond</t>
  </si>
  <si>
    <t>Associação Pró-Cultura e Promoção das Artes ( Contrato de Gestão 05/2019)</t>
  </si>
  <si>
    <t>Reembolso a conta do Contrato de Gestão referente ao pagamento da guia de INSS e INSS Patronal do RPA de Angela Peres de Oliveira</t>
  </si>
  <si>
    <t>Reembolso a conta do Contrato de Gestão referente ao pagamento da guia de INSS e INSS Patronal do RPA de Danie Helvecio Nunes</t>
  </si>
  <si>
    <t>Reembolso a conta do Contrato de Gestão referente ao pagamento da guia de INSS e INSS Patronal do RPA de Ewelyn Felice da Silva</t>
  </si>
  <si>
    <t>IR do RPA de Angela Peres de Oliveira</t>
  </si>
  <si>
    <t>IR do RPA de Danie Helvecio Nunes</t>
  </si>
  <si>
    <t>IR do RPA de Ewelyn Felice da Silva</t>
  </si>
  <si>
    <t>ISSQN referente ao RPA 1793 - Fabio Silvia Martins De Jesus</t>
  </si>
  <si>
    <t>INSS e INSS Patronal referente ao RPA 1793 - Fabio Silvia Martins De Jesus</t>
  </si>
  <si>
    <t>ISSQN referente a nota fiscal 2022/7 - Sinara Araujo Costa Sociedade Individual De Advocacia</t>
  </si>
  <si>
    <t>ISSQN referente ao RPA 1794 - Angela Peres De Oliveira</t>
  </si>
  <si>
    <t>IR referente ao RPA 1794 - Angela Peres De Oliveira</t>
  </si>
  <si>
    <t>INSS e INSS Patronal referente ao RPA 1794 - Angela Peres De Oliveira</t>
  </si>
  <si>
    <t>ISSQN referente a nota fiscal 2022/33 - Mylene Youssef A Vieira - Produções E Eventos Epp</t>
  </si>
  <si>
    <t xml:space="preserve"> Michelle Aparecida Da Silva Barreto 08651559682</t>
  </si>
  <si>
    <t>ISSQN referente a nota fiscal 2022/5 - Renata Fonseca Felicissimo 10665267614</t>
  </si>
  <si>
    <t>ISSQN referente a nota fiscal 2022/14 -  Atena Arte E Cultura Ltda</t>
  </si>
  <si>
    <t>ISSQN referente a nota fiscal 2022/15 -  Atena Arte E Cultura Ltda</t>
  </si>
  <si>
    <t>ISSQN - 1291676/001-8 RENATA FONSECA FELICISSIMO 106635267614 - NF 20224</t>
  </si>
  <si>
    <t>ISSQN 0762304/001-5 TETRIS LAB PROJETOS LTDA NF: 202210</t>
  </si>
  <si>
    <t>ISSQN - EWELYN FELICE DA SILVA NF: 1728</t>
  </si>
  <si>
    <t>ISSQN - ANGELA PERES DE OLIVEIRA NF: 1730</t>
  </si>
  <si>
    <t>ISSQN - DANIEL HELVECIO NUNES TORRES DRUMOND NF: 1732</t>
  </si>
  <si>
    <t>ISSQN - 0210748/001-4 MYLENE YOUSSEF A VIEIRA - PRODUÇÕES E EVENTOS NF: 202230</t>
  </si>
  <si>
    <t>ISSQN - 1293569/001-1 SINARA ARAUJO COSTA SOCIEDADE INDIVIDUAL DE ADVOCACIA NF: 20226</t>
  </si>
  <si>
    <t>ISSQN - 1359294/001-4 Atena Arte e Cultura Ltda Nf: 202211</t>
  </si>
  <si>
    <t>ISSQN - 1148409/001-7 Carolina Nascimento Valadares Santana 07016003655 NF: 202211</t>
  </si>
  <si>
    <t>ISSQN - 0967750/001-4 Hatari Filmes Ltda NF: 202217</t>
  </si>
  <si>
    <t>ISSQN - 0230876/001-4 FLAG IMPRESSÃO DIGITAL LTDA NF : 2022258</t>
  </si>
  <si>
    <t>ISSQN - 0191554/001-9 F6 Sistemas Informática Ltda NF: 20222313</t>
  </si>
  <si>
    <t>ISSQN - 1359294/001-4 Atena Arte e Cultura Ltda Nf: 202213</t>
  </si>
  <si>
    <t>ISSQN - 0273049/001-3 Leben 108 Produtora de Filmes Ltda NF: 20223</t>
  </si>
  <si>
    <t>ISSQN - 0273049/001-3 Leben 108 Produtora de Filmes Ltda NF: 20226</t>
  </si>
  <si>
    <t>ISSQN - Bruno Gonçalves Oliveira Rios NF: 1777</t>
  </si>
  <si>
    <t>ISSQN referente ao RPA 1829 - Daniel Helvécio Nunes Torres Drumond</t>
  </si>
  <si>
    <t>IR referente ao RPA 1829 - Daniel Helvécio Nunes Torres Drumond</t>
  </si>
  <si>
    <t>INSS e INSS Patronal referente ao RPA 1829 - Daniel Helvécio Nunes Torres Drumond</t>
  </si>
  <si>
    <t xml:space="preserve"> Alan Wender Rodrigues Dias</t>
  </si>
  <si>
    <t>ISSQN referente ao RPA 1839 - Alan Wender Rodrigues Dias</t>
  </si>
  <si>
    <t>IR referente ao RPA 1839 - Alan Wender Rodrigues Dias</t>
  </si>
  <si>
    <t xml:space="preserve"> Stage Cenografias E Eventos Ltda</t>
  </si>
  <si>
    <t>ISSQN referente a nota fiscal 2022/2575 - F6 Sistemas De Informatica Ltda</t>
  </si>
  <si>
    <t>Ir referente ao RPA de ANGELA PERES DE OLIVEIRA</t>
  </si>
  <si>
    <t>Ir referente ao RPA de  BRUNO GONCALVES OLIVEIRA RIOS</t>
  </si>
  <si>
    <t>Ir referente ao RPA de DANIEL HELVECIO NUNES TORRES DRUMOND</t>
  </si>
  <si>
    <t>Ir referente ao RPA de EWELYN FELICE DA SILVA</t>
  </si>
  <si>
    <t>Reembolso a conta do Contrato de Gestão  referente  ao pagamento da guia de INSS e INSS Patronal do RPA de ANGELA PERES DE OLIVEIRA</t>
  </si>
  <si>
    <t>Reembolso a conta do Contrato de Gestão  referente  ao pagamento da guia de INSS e INSS Patronal do  BRUNO GONCALVES OLIVEIRA RIOS</t>
  </si>
  <si>
    <t>Reembolso a conta do Contrato de Gestão  referente  ao pagamento da guia de INSS e INSS Patronal do RPA de DANIEL HELVECIO NUNES TORRES DRUMOND</t>
  </si>
  <si>
    <t>Reembolso a conta do Contrato de Gestão  referente  ao pagamento da guia de INSS e INSS Patronal do  RPA de EWELYN FELICE DA SILVA</t>
  </si>
  <si>
    <t>ISSQN referente a nota fiscal 2022/680 - Ouromed Servico Movel De Saude Ltda</t>
  </si>
  <si>
    <t xml:space="preserve"> 20222094 / 20222124 / 20222142 / 20222141 / 20222143 / 20222144 </t>
  </si>
  <si>
    <t xml:space="preserve">20222121 / 20222125 </t>
  </si>
  <si>
    <t>2022/161193</t>
  </si>
  <si>
    <t>2022/172477</t>
  </si>
  <si>
    <t>ISSQN referente a nota fiscal 2022/172477 - Cons Operacional de Transporte Coletivo</t>
  </si>
  <si>
    <t>2022/179840</t>
  </si>
  <si>
    <t>ISSQN referente a nota fiscal 2022/179840 - Cons Operacional de Transporte Coletivo</t>
  </si>
  <si>
    <t>2022/155010</t>
  </si>
  <si>
    <t>ISSQN referente a nota fiscal 2022/155010 - Consórcio Ótimo de Bilhetagem Eletrônica</t>
  </si>
  <si>
    <t xml:space="preserve">ISSQN referente a nota fiscal 2022/6  - Arte Livre Produção E Comunicação Ltda </t>
  </si>
  <si>
    <t>Coordenação Administrativa-Financeira - CHM -  Programação e Fomento (16185-3)</t>
  </si>
  <si>
    <t>Reembolso a conta do Contrato de Gestão referente ao pagamento INSS e INSS Patronal  referente ao RPA 1723 - Cintya Juliana Souza Santos Dias</t>
  </si>
  <si>
    <t>Reembolso a conta do Contrato de Gestão referente ao pagamento INSS e INSS Patronal  referente ao RPA 1766 - Laryssa Pereira Martins</t>
  </si>
  <si>
    <t>Coordenação Técnica - Programação Artística da FCS Ano 50 (16888-2)</t>
  </si>
  <si>
    <t>Coordenação Geral - Programação Artística da FCS Ano 50 (16888-2)</t>
  </si>
  <si>
    <t>Coordenação Financeira - Programação Artística da FCS Ano 50 (16888-2)</t>
  </si>
  <si>
    <t>Coordenação Financeira</t>
  </si>
  <si>
    <t xml:space="preserve">Coordenação Técnica </t>
  </si>
  <si>
    <t xml:space="preserve">Coordenação Geral </t>
  </si>
  <si>
    <t>Salário   Auxiliar de serviços Gerais, referente ao mês 05/2022</t>
  </si>
  <si>
    <t>Pagamento feito indevidamente por essa conta. Foi reembolsado para a conta bloqueada em junho 07/06</t>
  </si>
  <si>
    <t>Pagamento feito indevidamente por outra conta. Foi reembolsado nessa data.</t>
  </si>
  <si>
    <t>ISSQN - Recibo Stephen James Plaice</t>
  </si>
  <si>
    <t>Reembolso referente ao pagamento da guia de INSS retido em conjunto das NFs 2022/86 e 2022/88 da empresa Rhino Vigilância Patrimonial</t>
  </si>
  <si>
    <t>COOPERATIVA MISTA DE TRANSPORTE DE PASSAGEIROS TAXI B H LTDA CORPERTAXI</t>
  </si>
  <si>
    <t>Uso de táxi pelos funcionários a serviço do CG 05/2019  referente ao mês 06/2022</t>
  </si>
  <si>
    <t>ISSQN referente a nota fiscal 2022/34 - Arco Cultural Ltda</t>
  </si>
  <si>
    <t>ISSQN referente a nota fiscal 2022/11 - Arte Livre Produção E Comunicação Ltda</t>
  </si>
  <si>
    <t>ISSQN -CINTYA JULIANA SOUZA SANTOS DIAS NF: 1723</t>
  </si>
  <si>
    <t>ISSQN - LARYSSA PEREIRA MARTINS NF: 1766</t>
  </si>
  <si>
    <t>ISSQN -1164076/001-0 BD SERVICOS E CONSULTORIA LTDA NF: 20225</t>
  </si>
  <si>
    <t>ISSQN - 0162694/001-8 ARTELIVRE PRODUCAO E COMUNICACAO LTDA NF: 20228</t>
  </si>
  <si>
    <t>ISSQN - 1267900/001-5 ARREDA PRODUCOES E EVENTOS LTDA NF: 20229</t>
  </si>
  <si>
    <t>ISSQN - 0772841/001-7 INSTITUTO INTEGRIDADE E COMPLIANCE CONSULTORIA DE NEGOCIOS LTDA NF: 202214</t>
  </si>
  <si>
    <t>ISSQN - 1253284/001-5 OUVEX TECNOLOGIA PARA COMPLIANCE LTDA. NF: 202224</t>
  </si>
  <si>
    <t>ISSQN - 0291131/001-7 ARCO CULTURAL LTDA NF: 202227</t>
  </si>
  <si>
    <t xml:space="preserve"> Ana Cristina Pereira Lima</t>
  </si>
  <si>
    <t>ISSQN referente ao RPA 1840 - Ana Cristina Pereira Lima</t>
  </si>
  <si>
    <t>IR  referente ao RPA 1840 - Ana Cristina Pereira Lima</t>
  </si>
  <si>
    <t>Aquisição de Equipamento de EPI´s para Renivalda.Bota 39/40, Luva, Avental impermeável</t>
  </si>
  <si>
    <t xml:space="preserve"> Jessica Leonardo Alves Silva 10381420671</t>
  </si>
  <si>
    <t>ISSQN referente a nota fiscal 2022/9 - Inventário Produções Artísticas E Culturais Ltda</t>
  </si>
  <si>
    <t>Paulo Henrique Monferrrari 06758087662</t>
  </si>
  <si>
    <t>Cristiane Moreira Pinto Gestão Cultural - Me</t>
  </si>
  <si>
    <t>ISSQN referente a nota fiscal 2022/4 - Cristiane Moreira Pinto Gestão Cultural - Me</t>
  </si>
  <si>
    <t>Reembolso a conta do Contrato de Gestão 05/2019 referente ao pagamento da guia de INSS e INSS Patronal do RPA de CINTYA JULIANA SOUZA SANTOS DIAS</t>
  </si>
  <si>
    <t>Reembolso a conta do Contrato de Gestão 05/2019 referente ao pagamento da guia de INSS e INSS Patronal do RPA de LARYSSA PEREIRA MARTINS</t>
  </si>
  <si>
    <t>IR do  RPA de CINTYA JULIANA SOUZA SANTOS DIAS</t>
  </si>
  <si>
    <t>IR do RPA de LARYSSA PEREIRA MARTINS</t>
  </si>
  <si>
    <t>ISSQN referente ao RPA 1844 -  Laryssa Pereira Martins</t>
  </si>
  <si>
    <t>IR referente ao RPA 1844 -  Laryssa Pereira Martins</t>
  </si>
  <si>
    <t>Hera Gestão E Produção Cultural Ltda</t>
  </si>
  <si>
    <t>ISSQN referente a nota fiscal 2022/4 - Hera Gestão E Produção Cultural Ltda</t>
  </si>
  <si>
    <t xml:space="preserve"> Fênix Brigada De Incêndio E Pânico E Treinamentos Ltda
</t>
  </si>
  <si>
    <t xml:space="preserve">ISSQN referente a nota fiscal 2022/42 -  Fênix Brigada De Incêndio E Pânico E Treinamentos Ltda
</t>
  </si>
  <si>
    <t xml:space="preserve">Debatedor: Contratação de profissional com amplo conhecimento nos temas a serem debatidos para cada mesa e/ou evento do festival. </t>
  </si>
  <si>
    <t>Marboeuf Olivier</t>
  </si>
  <si>
    <t>IOF  referente ao câmbio processo 2436</t>
  </si>
  <si>
    <t>IR referente  ao câmbio processo 2436</t>
  </si>
  <si>
    <t>Pis - Importação - Marboeuf Olivier Moama Paul</t>
  </si>
  <si>
    <t>Cofins Importação - Marboeuf Olivier Moama Paul</t>
  </si>
  <si>
    <t>Cofins 05/2022 - Comp Prog Artitiscas FCS</t>
  </si>
  <si>
    <t xml:space="preserve">Cofins 05/2022 - Prog. De Artes Vis Fund. Clovis </t>
  </si>
  <si>
    <t>Ferragens Dourada Ltda</t>
  </si>
  <si>
    <t>IOF referente ao câmbio processo 2396</t>
  </si>
  <si>
    <t>Direito de Exibição do Filme"Lafwa", de Yannins Sainte-Rose (3', 2015)</t>
  </si>
  <si>
    <t>Yannis Sainte-rose</t>
  </si>
  <si>
    <t xml:space="preserve">1288234
</t>
  </si>
  <si>
    <t xml:space="preserve">Tarifa OPE </t>
  </si>
  <si>
    <t>IR referente ao câmbio processo 2396</t>
  </si>
  <si>
    <t>Cofins 05/2022 - Minc Pronac 178919</t>
  </si>
  <si>
    <t>Tania Cristina Cancado Anaya</t>
  </si>
  <si>
    <t>Leonardo Hermont Good God</t>
  </si>
  <si>
    <t>Flávio Lopes Werneck</t>
  </si>
  <si>
    <t>Cofins 05/2022 - prog fcs ano 50 leic 16.888-2</t>
  </si>
  <si>
    <t>202/187900</t>
  </si>
  <si>
    <t>ISSQN referente a nota fiscal 2022/187900 -  Cons Operacional de Transporte Coletivo</t>
  </si>
  <si>
    <t>Coordenação Geral - Complemento da Programação Artística (15949-2)</t>
  </si>
  <si>
    <t>Coordenação Técnica - Complemento da Programação Artística (15949-2)</t>
  </si>
  <si>
    <t>Coordenador Administrativo - Financeira - Cine Humbero Mauro (16.185-3)</t>
  </si>
  <si>
    <t>Coordenador Técnica - Cine Humbero Mauro (16.185-3)</t>
  </si>
  <si>
    <t>Coordenador Geral - Cine Humbero Mauro (16.185-3)</t>
  </si>
  <si>
    <t>Coordenador de Comunicação - Cine Humbero Mauro (16.185-3)</t>
  </si>
  <si>
    <t>Coordenação Administrativa-Financeira - Cinquentenário Operístico (16376-7)</t>
  </si>
  <si>
    <t>Coordenação Técnica - Programação Artística FCS - Ano 50 (16888-2)</t>
  </si>
  <si>
    <t>Coordenação Geral - Programação Artística FCS - Ano 50 (16888-2)</t>
  </si>
  <si>
    <t>Coordenação Financeira - Programação Artística FCS - Ano 50 (16888-2)</t>
  </si>
  <si>
    <t>Coordenação Financeira - Complemento da Programação Artística (15949-2)</t>
  </si>
  <si>
    <t>Confecção de estrutura de madeira com acabamento com pintura preta para composição do cenário do palco do Grande Teatro Cemig Palácio das Artes.</t>
  </si>
  <si>
    <t>ISSQN referente a Nota Fiscal 2022/12 -Stage Cenografias E Eventos Ltda</t>
  </si>
  <si>
    <t>Aporte Captação  - USIMINAS Siderúrgica de Minas Gerais S.A</t>
  </si>
  <si>
    <t>Aporte Captação  - USIMINAS Siderúrgica de Minas Gerais S.A.</t>
  </si>
  <si>
    <t>Coordenação Administrativo - Financeira do projeto</t>
  </si>
  <si>
    <t>Coordenação Técnica do projeto</t>
  </si>
  <si>
    <t xml:space="preserve">
Coordenação Geral do projeto</t>
  </si>
  <si>
    <t>Coordenação de Comunicação do projeto</t>
  </si>
  <si>
    <t xml:space="preserve">17.283.904/0001-74
</t>
  </si>
  <si>
    <t xml:space="preserve">Contratação de uma van de 15 lugares ou mais pra ir no CTP Marzagão, rua do Cartório, 120 - Marzagão em Sabará. Saindo da Fundação às 13 horas, passando pelo CTP Andradas para pegar um material e passageiros, indo para Sabará e retornando às 18 hs. A necessidade da van de 15 lugares ou mais é pra levar uns materiais pra gravação de um vídeo - Completo valor </t>
  </si>
  <si>
    <t>Aluguel do mês de 07/2022 do CTP</t>
  </si>
  <si>
    <t>Aluguel do mês de 08/2022 do CTP</t>
  </si>
  <si>
    <t>Aluguel do mês de 09/2022 do CTP</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</si>
  <si>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07</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</si>
  <si>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08</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</si>
  <si>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09</t>
  </si>
  <si>
    <t xml:space="preserve">Taxas de Fiscalização de Localização e Funcionamento e Taxa de Fiscalização Sanitária . Favorecido: Prefeitura Muncipal de Belo Horizonte - 03ª Parcela </t>
  </si>
  <si>
    <t xml:space="preserve">Taxas de Fiscalização de Localização e Funcionamento e Taxa de Fiscalização Sanitária . Favorecido: Prefeitura Muncipal de Belo Horizonte - 04ª Parcela </t>
  </si>
  <si>
    <t>A contratação da debatedora Soraia Nogueira Garabinirepresenta uma importante aquisição para a mostra Cinema Mineiro em Cartaz, pois sua formação vai de encontro as discussões propostas na Mostra, enfatizando a "mineiridade", com um conjunto de obras que reforçam uma importância da preservação de filmes realizados no estado.</t>
  </si>
  <si>
    <t>031.098.716-45</t>
  </si>
  <si>
    <t>Contratação de profissional para apoio ao setor financeiro na digitação e edição de processos e controles administrativo financeiros nos controles do projeto e contratos.</t>
  </si>
  <si>
    <t>34.132.550/0001-86</t>
  </si>
  <si>
    <t>ContrataçãoValdir Rodrigues dos Santos,para acompanhamento do público durante a visitação na exposição</t>
  </si>
  <si>
    <t>990.636.116-68</t>
  </si>
  <si>
    <t>Processo 3953 - Locaweb Serviços De Internet S/a</t>
  </si>
  <si>
    <t>Contratação de serviço de e-mail marketing para envio de 250mil e-mails mensais.</t>
  </si>
  <si>
    <t>Montagem e operação de equipamentos de som e gravação de áudio para Recital da Escola de música, conforme programa anexado.É o operador será responsável pelo controle de som durante os ensaios e Recital da Escola</t>
  </si>
  <si>
    <t>39.410.380/0001-78</t>
  </si>
  <si>
    <t>Compra de 20 pacotes com 50 unidades de Sapatilhas descartáveis de proteção aos sapatos para os ensaios na sala da CDPA devido ao linóleo. Entrega no Coral Lírico, aos cuidados de Celme ou Rafael, prédio administrativo no Palácio das Artes</t>
  </si>
  <si>
    <t>Contratação de Produtor de Galerias para atuar durante as etapas de pré-produção, produção e pós produção das exposições de artes visuais que ocorrerão nos espaços expositivos da FCS</t>
  </si>
  <si>
    <t>Processo 4014- Jordânia Reis Gomes De Oliveira 08657830639</t>
  </si>
  <si>
    <t>Contratação de profissional para apoio na digitação e edição de processos e controles, de compras e contratações, de cadastros para base de dados, controles do projeto e contratos.</t>
  </si>
  <si>
    <t>39.468.193/0001-45</t>
  </si>
  <si>
    <t>Compra de materiais para execução do projeto expográfico da 34ª Bienal de SP. Lista de materiais: Tinta Acrílica Fosca Branca 18 Litros (2 galões),Tinta látex fosca cor grafite lapiseira 18 litros(1 galão).</t>
  </si>
  <si>
    <t>direitos autorais para puiblicação irrestrita do texto"Interregno, um intervalo temporário entre dois reinos" da professora Lea Souki.</t>
  </si>
  <si>
    <t>108.574.786-72</t>
  </si>
  <si>
    <t>497.951.806-06</t>
  </si>
  <si>
    <t xml:space="preserve">Contratação de Marise Diniz para dar aulas de dança contemporânea, aqui representado por seu empresário Ailtom </t>
  </si>
  <si>
    <t>Transporte de Cenário das apresentações "Enquanto houver Vida", "é o que trem para hoje" e outras apresentações.</t>
  </si>
  <si>
    <t>24.307.581/0001-77</t>
  </si>
  <si>
    <t>Contratação de Maria Martha, pianista, para ensaios da CDPA.</t>
  </si>
  <si>
    <t>Contratação de Desenvolvedor de software com conhecimento em programação PHP e banco de dados MYSQL, além de habilidade com sistemas Workcontrol, WC Ecommerce e plataforma Locaweb, para implementar melhorias de design e funcionamento ao website do CTPF</t>
  </si>
  <si>
    <t>46.813.154/0001-01</t>
  </si>
  <si>
    <t>658.649.806-68</t>
  </si>
  <si>
    <t>Compra de 1 unidade de bebedouro de mesa para galão de água de 20litros, água natural/fria ou gelada, bivolt e em qualquer cor, além de micro-ondas com capacidade para 20 litros, bivolt ou 110 volts, em qualquer cor, para viabilizar e compor estrutura base de apoio e permanência para a equipe interna, colaboradores e visitantes no CTPF em Marzagão, Sabará.</t>
  </si>
  <si>
    <t>Valor referente a Medicina do Trabalho do mês 08/2022 - PCMSO e PPRA</t>
  </si>
  <si>
    <t>Valor referente a Medicina do Trabalho do mês 09/2022 - PCMSO e PPRA</t>
  </si>
  <si>
    <t>Aluguel da sede da Appa referente ao período de 10/07 a 09/08/2022</t>
  </si>
  <si>
    <t>Guia de IPTU 07/11</t>
  </si>
  <si>
    <t>Aluguel da sede da Appa referente ao período de 10/08 a 09/09/2022</t>
  </si>
  <si>
    <t>Guia de IPTU 08/11</t>
  </si>
  <si>
    <t>Aluguel da sede da Appa referente ao período de 10/09 a 09/10/2022</t>
  </si>
  <si>
    <t>Água e Esgoto da Sede da Appa mês 07/2022</t>
  </si>
  <si>
    <t>Água e Esgoto da Sede da Appa mês 08/2022</t>
  </si>
  <si>
    <t>Água e Esgoto da Sede da Appa mês 09/2022</t>
  </si>
  <si>
    <t>Energia Elétrica da Sede da Appa, referente ao mês 07/2022</t>
  </si>
  <si>
    <t>Energia Elétrica da Sede da Appa, referente ao mês 08/2022</t>
  </si>
  <si>
    <t>Energia Elétrica da Sede da Appa, referente ao mês 09/2022</t>
  </si>
  <si>
    <t>Consumo de energia elétrica do mês 07/2022</t>
  </si>
  <si>
    <t>Consumo de energia elétrica do mês 08/2022</t>
  </si>
  <si>
    <t>Consumo de energia elétrica do mês 09/2022</t>
  </si>
  <si>
    <t>Internet para sede da Appa referente ao mês 07/2022</t>
  </si>
  <si>
    <t>Internet para sede da Appa referente ao mês 08/2022</t>
  </si>
  <si>
    <t>Internet para sede da Appa referente ao mês 09/2022</t>
  </si>
  <si>
    <t>Telefone Fixo da sede da Appa referente ao mês 07/2022</t>
  </si>
  <si>
    <t>Telefone Fixo da sede da Appa referente ao mês 08//2022</t>
  </si>
  <si>
    <t>Telefone Fixo da sede da Appa referente ao mês 09/2022</t>
  </si>
  <si>
    <t xml:space="preserve">Valor recebido GUILHERME DOMINGOS DE OLIVEIRA  - CPF:030.761.766-17 ,referente à locação de figurinos </t>
  </si>
  <si>
    <t>Reembolso proporcional realizado pela conta do projeto Iepha referente ao pagamento Medicina do Trabalho do mês 06/2022</t>
  </si>
  <si>
    <t>Valor referente a Medicina do Trabalho do mês 06/2022 - PCMSO</t>
  </si>
  <si>
    <t>Valor referente a Medicina do Trabalho do mês 06/2022 - PPRA</t>
  </si>
  <si>
    <t>Férias  Auxiliar de serviços Gerais</t>
  </si>
  <si>
    <t xml:space="preserve">Reembolso parcial da conta do Termo de Parceria 50/2020 - IEPHA, referente contratação de empresa de setor administrativo especializada em entidades do terceiro setor  para o Contrato de Gestão 05/2019 e Termo de Parceria 50/2020 (mês 06/2022) - 26,41% do valor total </t>
  </si>
  <si>
    <t xml:space="preserve">Valor recebido Agatha Pamela Nascimento  - CPF:  014.562.526-58, referente à locação de figurinos </t>
  </si>
  <si>
    <t>Contratação Editor de Vídeo para trabalhar com as seguintes demandas:Edição dos vídeos das aulas abertas, recitais, mostras e demais projetos audiovisuais do Cefart. Listagem de vídeos: - 24 vídeos para mostra chama - Recital de Música - Camerata de Violões - Teaser do Espetáculo de formatura da Dança - Áudio descrição de duas obras de Jarbas Juarez - Dossiê da Residência - Parcela 02</t>
  </si>
  <si>
    <t>Reembolso realizado pelo Termo de Parceria 50/2020 - IEPHA  referente ao percentual (26,41% do valor total), assessoria contábil para o Contrato de Gestão 05/2019 e Termo de Parceria referente ao mês 06/2022</t>
  </si>
  <si>
    <t xml:space="preserve">Valor recebido Erika Fabiola Aniceto Marques  - CPF: 075.296.18-10, referente à locação de figurinos </t>
  </si>
  <si>
    <t xml:space="preserve">Valor recebido Laryssa Pereira Martins  - CPF:  047.121.789-14, referente à locação de figurinos </t>
  </si>
  <si>
    <t xml:space="preserve">Valor recebido Lucia Maria de Paiva Vieira  - CPF:  746.060.696-00, referente à locação de figurinos </t>
  </si>
  <si>
    <t>2022/11240</t>
  </si>
  <si>
    <t>2022/11241</t>
  </si>
  <si>
    <t>Ted Credito em Conta</t>
  </si>
  <si>
    <t>Mario Alves Coutinho</t>
  </si>
  <si>
    <t>2022/189</t>
  </si>
  <si>
    <t>Abadia Projetos Contra Incêndio Ltda</t>
  </si>
  <si>
    <t xml:space="preserve"> Marcela Silva Moreira 06326086680</t>
  </si>
  <si>
    <t>Paulo Augusto De Mello Gomes</t>
  </si>
  <si>
    <t>Recibo de Direitos Autorais</t>
  </si>
  <si>
    <t>2022/957</t>
  </si>
  <si>
    <t>ISSQN referente a nota fiscal 2022/11240 - Ocupacional Medicina do Trabalho Ltda</t>
  </si>
  <si>
    <t>PCC referente a nota fiscal 2022/11240 - Ocupacional Medicina do Trabalho Ltda</t>
  </si>
  <si>
    <t>ISSQN referente a nota fiscal 2022/11241 - Ocupacional Medicina do Trabalho Ltda</t>
  </si>
  <si>
    <t>PCC referente a nota fiscal 2022/11241 - Ocupacional Medicina do Trabalho Ltda</t>
  </si>
  <si>
    <t xml:space="preserve">Câmara Brasileira Do Livro </t>
  </si>
  <si>
    <t>ISSQN referente a nota fiscal 2022/189 - Softwares De Gestão Ltda</t>
  </si>
  <si>
    <t>ISSQN referente a nota fiscal 2022/19 - RF Locação &amp; Filmagem Ltda</t>
  </si>
  <si>
    <t>ISSQN referente a nota fiscal 2022/45 - Arco Cultural Ltda</t>
  </si>
  <si>
    <t xml:space="preserve">IR referente a nota fiscal  2022/957 - Krypton Serviços Contábeis S. S.  </t>
  </si>
  <si>
    <t xml:space="preserve">PCC referente a nota fiscal  2022/957 - Krypton Serviços Contábeis S. S.  </t>
  </si>
  <si>
    <t>Debate do Cleiton Lopes para Mostra Especial " As Origens de Tim Burton" na sessão do filme "Frankenstein".</t>
  </si>
  <si>
    <t>095.795.226-00</t>
  </si>
  <si>
    <t>Serviços de cópias, impressões e encadernações de documentos de prestação de contas do projeto Programação Artística da Fundação Clóvis Salgado da Lei Estadual de Incentivo à Cultura.</t>
  </si>
  <si>
    <t>Compra dos itens para uso no processo entrega da prestação de contas do projeto Programação Artística da Fundação Clóvis Salgado da Lei Estadual de Incentivo à Cultura.</t>
  </si>
  <si>
    <t xml:space="preserve"> Instrutor/monitor para realizar o processo educativo com o público durante a visitação da exposição "34 Bienal SP", na galeria Genesco Murta, no Palácio das Artes.</t>
  </si>
  <si>
    <t>076.648.246-48</t>
  </si>
  <si>
    <t xml:space="preserve"> instrutor/monitor para realizar o processo educativo com o público durante a visitação da exposição "34 Bienal SP", galeria Mari Stella Tristão, no Palácio das Artes.</t>
  </si>
  <si>
    <t xml:space="preserve"> Instrutor/monitor para realizar o processo educativo com o público durante a visitação da exposição "34 Bienal SP", galeria Mari Stella Tristão, no Palácio das Artes.</t>
  </si>
  <si>
    <t>Instrutor/monitor para realizar o processo educativo com o público durante a visitação da exposição "34 Bienal SP", para galeria Arlinha Corrêa Lima, no Palácio das Artes.</t>
  </si>
  <si>
    <t>037.912.376-24</t>
  </si>
  <si>
    <t>Instrutor/monitor para realizar o processo educativo com o público durante a visitação da exposição "34 Bienal SP", na galeria Alberto da Veiga Guignard, no Palácio das Artes.</t>
  </si>
  <si>
    <t>Instrutor/monitor para realizar o processo educativo com o público durante a visitação da exposição "34 Bienal SP", na galeria Alberto Veiga Guignard, no Palácio das Artes.</t>
  </si>
  <si>
    <t>Instrutor/monitor para realizar o processo educativo com o público durante a visitação da exposição "34 Bienal SP", na galeria Arlinda Corrêa Lima, no Palácio das Artes.</t>
  </si>
  <si>
    <t>017.912.026-32</t>
  </si>
  <si>
    <t>Instrutor/monitor para realizar o processo educativo com o público durante a visitação da exposição "34 Bienal SP", galeria Mari Stella Tristão, no Palácio das Artes.</t>
  </si>
  <si>
    <t>Instrutor/monitor para realizar o processo educativo com o público durante a visitação da exposição "34 Bienal SP", na galeria Genesco Murta, no Palácio das Artes.</t>
  </si>
  <si>
    <t>956.946.766-53</t>
  </si>
  <si>
    <t>Direito de exibição / licenciamento de filme para exibição na Mostra Especial - Cinema Mineiro em Cartaz. O curta-metragem "Morte Branca" (1968), de José Américo Ribeiro, para a  mostra Cinema Mineiro em Cartaz no Cine Humberto Mauro.</t>
  </si>
  <si>
    <t>327.451.766-68</t>
  </si>
  <si>
    <t>076.417.486-00</t>
  </si>
  <si>
    <t>23.452.196/0001-50</t>
  </si>
  <si>
    <t>Contratação para debate na Mostra Especial " As Origens de Tim Burton" na sessão do filme "Blácula", no Cine Humberto Mauro.</t>
  </si>
  <si>
    <t>025.474.026-02</t>
  </si>
  <si>
    <t>068.729.186-08</t>
  </si>
  <si>
    <t>Contratação de empresa ou profissional para acompanhamento e gestão do Centro Técnico de Produção e Formação.</t>
  </si>
  <si>
    <t>Processo: 4045 - Pulsar Cultura Ltda</t>
  </si>
  <si>
    <t>46.640.189/0001-88</t>
  </si>
  <si>
    <t>Compra de 01 unidade de smartphone, 32 GB, dual chip, 4G, a partir de 2GB de RAM, câmera a partir de 8.0MP, em qualquer cor, para auxiliar a gestão dos canais de atendimento do CTPF.</t>
  </si>
  <si>
    <t>Cenografia e cenotécnica para a construção de todo cenário do espetáculo, incluindo o fornecimento de elementos cênicos de linguagem cinematográfica, contratação de equipe de cenógrafos e montagem e desmontagem da  turma de formandos do Curso Técnico em Teatro da Escola de Teatro do Centro de Formação Artística e Tecnológica (Cefart).</t>
  </si>
  <si>
    <t>36.669.238/0001-51</t>
  </si>
  <si>
    <t>Professora convidada para preparação corporal dos bailarinos da CDPA, no mês de julho</t>
  </si>
  <si>
    <t>Compra de moldura para preservação de fotografia da exposição "Foto em Pauta - Cosmopolíticas".</t>
  </si>
  <si>
    <t>Impressão de fotografia em fine art para a exposição Cosmopolíticas - Foto em Pauta.</t>
  </si>
  <si>
    <t>Designer gráfico para criação e desenvolvimento de peças gráficas, para atuação na divulgação das atividades da Fundação Clóvis Salgado - ano 2022.</t>
  </si>
  <si>
    <t>053.848.656-28</t>
  </si>
  <si>
    <t>Compra de máscaras de proteção tripla, descartável, com clipe nasal, cor preta, para os músicos cantores - 20 pacotes com 50 unidades cada</t>
  </si>
  <si>
    <t>Compra de materiais(3 tomadas de 10 amperes.) para execução do projeto expográfico da 34ª Bienal de SP.</t>
  </si>
  <si>
    <t>Contratação de seguro de obras de arte para a salvaguarda das obras que compõem a exposição Foto em Pauta - Cosmopolíticas, em cartaz nas galerias da Câmera Sete, equipamento cultural da Fundação Clóvis Salgado, Belo Horizonte-MG.</t>
  </si>
  <si>
    <t>Contratação de van SEM bancos para transporte de: teclado, suporte do teclado, estante, pódio, extensões, cabos, microfones para apresentação do CLMG no Cine Theatro Brasil</t>
  </si>
  <si>
    <t>46.139.656/0001-90</t>
  </si>
  <si>
    <t>Contratação de pianista para ensaios e apresentações da CLMG na Sala do Coro e no Grande Teatro Cemig Palácio das Artes.</t>
  </si>
  <si>
    <t>18.178.444/0001-87</t>
  </si>
  <si>
    <t> Impressão de banner lona formato 100 x 150 cm em atendimento ao Concerto dos dias 12 e 13 de julho no Grande Teatro Cemig Palácio das Artes.</t>
  </si>
  <si>
    <t xml:space="preserve">Sonorização para o espetáculo Lalangue - Carta à Mãe. Equipamento, operação, montagem, desmontagem para ensaios e apresentações. Grande Teatro Palácio das Artes </t>
  </si>
  <si>
    <t>Contratação para debate doMatheus Antunespara Mostra Especial " As Origens de Tim Burton" na sessão do filme "Veludo Azul"- A Mostra acontece os dias8 de julho a 4 de agosto de 2022</t>
  </si>
  <si>
    <t>Compra de material de montagem para execução do projeto expográfico da 34° Bienal de SP no Palácio das Artes. Materiais:- 01 lata de 18 litros de tinta látex branco neve; 01 lata de 18 litros de massa corrida, 10 pacotes de 01 kg de gesso rápido.</t>
  </si>
  <si>
    <t>Contratação de costureira que irá ajudar na produção, consertos e ajustes dos figurinos dos alunos da turma de formatura.</t>
  </si>
  <si>
    <t>15.494.103/0001-22</t>
  </si>
  <si>
    <t>Assistente de produção - O assistente de produção cultural atua como suporte do produtor, e dos diretores e ajuda em todas as tarefas para o planejamento e execução da montagem.</t>
  </si>
  <si>
    <t>117.258.436-25</t>
  </si>
  <si>
    <t>Contratação de transfer aeroporto Confins x hotel Cheverny x aeroporto (Confins) para os solistas Denise de Freitas e Marly Montoni.Aeroporto de Confins x Cheverny Apart Hotel. De 26/07 a 04/08.Verificar porta mala no caso de 1 mesmo carro buscar e levar pro aeroporto.</t>
  </si>
  <si>
    <t>Iluminador e operador de luz"Proposta inclui:- mapa de luz;- acompanhamento de ensaios para criação de iluminação; - Operação de luz (10 apresentações + ensaios gerais)"Profissional para colaborar e criar a iluminação para montagem do espetáculo de formatura do 3º ano da escola de teatro do CEFART.</t>
  </si>
  <si>
    <t>47.071.130/0001-89</t>
  </si>
  <si>
    <t>Aluguel e montagem de tela de projeção inflável (de 05x08metros); equipamentos de sonorização e reprodução de filmes em formato digitalpara a maratona da mostra As Origens de Tim Burton.</t>
  </si>
  <si>
    <t>14.972.422/0001-33</t>
  </si>
  <si>
    <t>Aluguel de 200 cadeiras de plástico goyana branca sem braço,para a maratona que ocorrerá na Mostra "As Origens de Tim Burton",acontecerá no Palácio das Artes,</t>
  </si>
  <si>
    <t>Impressão de camisetas de uniforme com a logo da Fundação Clóvis Salgado para serem utilizadas pelos monitores nos atendimentos ao público durante a 34a Bienal de SP.</t>
  </si>
  <si>
    <t>19.433.996/0001-57</t>
  </si>
  <si>
    <t>Aquisição de materiais para iluminação do espetáculo "Lalangue":4 folhas de gelatinas rosa Lee 192 //04 folhas a de gelatinas verde lee 122 //04 folhas de gelatinas azul Lee 118 //04 folhas de gelatinas amarela rosco 015</t>
  </si>
  <si>
    <t>Aquisição de materiais para adereços/figurino de cena do espetáculo"Lalangue" : 1 par de sapatos</t>
  </si>
  <si>
    <t>Contratação de profissional para gravação e edição de vídeo da remontagem do espetáculo Lalangue e Nuvem de Barro para divulgação e 50 cópias de Dvd's (incluindo 50 cópias em DVD (25 para cada espetáculo).Informações para contratação de gravação.Local:Os dois espetáculos serão gravados no Grande Teatro do Palácio das Artes, um dia antes das apresentações agendadas</t>
  </si>
  <si>
    <t>Aquisição de materiais para adereços/figurino de cena do espetáculo "Lalangue": 6 balões de gás hélio. BUBBLES 24'' transparente e sem brilho</t>
  </si>
  <si>
    <t>34.967.152/0001-80</t>
  </si>
  <si>
    <t>Aquisição de materiais para iluminação do espetáculo "Lalangue":6 rolos de 50 m de fita de linóleo transparente.</t>
  </si>
  <si>
    <t xml:space="preserve">Contratação para debate na Mostra Especial " As Origens de Tim Burton" que ocorrerá dos dias 8 de julho a 4 de agosto de 2022. A mostra As Origens de Tim Burton vai exibir os principais e mais aclamados filmes do cineasta que conquistou o mundo com seu estilo gótico e excêntrico. </t>
  </si>
  <si>
    <t>Locação de projetor, para a maratona que ocorrerá na Mostra "As Origens de Tim Burton", acontecerá no Palácio das Artes</t>
  </si>
  <si>
    <t>Contratação de 02 carregadores para atender as demandas da CDPA relacionada a montagem e desmontagem do espetáculo Lalangue, para filmagem e apresentações no período de 19/07 a 23/07, considerar a diária.</t>
  </si>
  <si>
    <t>Contratação de serviço montagem de catering para 01 camarim (30 pessoas) no dia 21/07 e fornecimento de Kit lanches de19 a 23/07 para equipe da CPDA, equipe Técnica e Artística do Espetáculo Lalangue</t>
  </si>
  <si>
    <t>Contratação de camareira para atender as necessidades dos bailarinos do espetáculo Lalangue durante as apresentações auxiliando as trocas de roupas dos artistas, controles dos itens de figurinos no camarins, higienização básica e passagem das peças de roupas. De 19 a 23/07/2022</t>
  </si>
  <si>
    <t>763.634.816-00</t>
  </si>
  <si>
    <t>Contratação do serviço especializado em reparo dos instrumentos (2 Harpas) da OSMG, fazendo a troca de feltros, verificação do pedal de afinação, Tarrachas e engrenagens.</t>
  </si>
  <si>
    <t>Compra de copos descartáveis de 200 ml para utilização dos prestadores de serviço que trabalham nas galerias do Palácio das Artes durante o período expositivo da itinerância da 34 Bienal de São Paulo</t>
  </si>
  <si>
    <t>123.681.616-19</t>
  </si>
  <si>
    <t>Contratação de Jussan Meireles, montador de orquestra, para acompanhar a rotina da OSMG, sob supervisão do Gerente Flávio Tadeu.</t>
  </si>
  <si>
    <t>Contratação da debatedoraYasmine Evaristo, paraMostra Especial " As Origens de Tim Burton" na sessão do filme "Plano 9 do Espaço Sideral"- A Mostra acontece os dias8 de julho a 4 de agosto de 2022.</t>
  </si>
  <si>
    <t>Contratação de profissional para criação e execução da trilha sonora para estreia do espetáculo de formatura da escola de teatro do Cefart - manhã -Profissional responsável pelos Arranjos e Trilhas -Criação epreparação de uma composição musical para a montagem, com criações originaisou trilhas e sons já existentes.</t>
  </si>
  <si>
    <t>43.056.961/0001-20</t>
  </si>
  <si>
    <t>Contratação de profissional externo para compor a banca examinadora dos editais do 2º semestre de 2022 da Escola de Artes Visuais.</t>
  </si>
  <si>
    <t>Salário do Músico Instrumentista, referente ao mês 06/2022</t>
  </si>
  <si>
    <t>Salário do Pianista, referente ao mês 06/2022</t>
  </si>
  <si>
    <t>Salário Gerente de Projetos Dipro, referente ao mês 06/2022</t>
  </si>
  <si>
    <t>Salário do Montador Diart, referente ao mês 06/2022</t>
  </si>
  <si>
    <t>Salário do Músico Cantora, referente ao mês 06/2022</t>
  </si>
  <si>
    <t>Salário Bailarina, referente ao mês 06/2022</t>
  </si>
  <si>
    <t>Salário do Presidente referente ao mês 06/2022</t>
  </si>
  <si>
    <t>Salário do Coordenador Administrativo referente ao mês 06/2022</t>
  </si>
  <si>
    <t>Salário do Gerente de Projetos: Programação Artística referente ao mês 06/2022</t>
  </si>
  <si>
    <t>Salário do Superintendente de Auditoria, referente ao mês 06/2022</t>
  </si>
  <si>
    <t>Salário de Bailarina, referente ao mês 06/2022</t>
  </si>
  <si>
    <t>Salário de Músico Cantora, referente ao mês 06/2022</t>
  </si>
  <si>
    <t>Salário da Analista Financeiro Pleno, referente ao mês 06/2022</t>
  </si>
  <si>
    <t>Salário de Músico, referente ao mês 06/2022</t>
  </si>
  <si>
    <t>Salário do Regente Assistente, referente ao mês 06/2022</t>
  </si>
  <si>
    <t>Salário do Bailarina, referente ao mês 06/2022</t>
  </si>
  <si>
    <t>Salário do Bailarino, referente ao mês 06/2022</t>
  </si>
  <si>
    <t>Salário da Músico Cantor, referente ao mês 06/2022</t>
  </si>
  <si>
    <t>Salário da Assessora Pedagógica, referente ao mês 06/20222</t>
  </si>
  <si>
    <t>Salário Músico Instrumentista, referente ao mês 06/2022</t>
  </si>
  <si>
    <t>Salário do Diretor Financeiro, referente ao mês 06/2022</t>
  </si>
  <si>
    <t>Salário da Produtora Cultural: Produção Artística, referente ao mês 06/2022</t>
  </si>
  <si>
    <t>Salário do Produtora Cultural da Dipro, referente ao mês 06/2022</t>
  </si>
  <si>
    <t>Salário do Músico, referente ao mês 06/2022</t>
  </si>
  <si>
    <t>Salário da Coordenadora de Comunicação, referente ao mês 06/2022</t>
  </si>
  <si>
    <t>Salário   Auxiliar de serviços Gerais, referente ao mês 06/2022</t>
  </si>
  <si>
    <t xml:space="preserve"> Salário  Arquivista, referente ao mês 06/2022</t>
  </si>
  <si>
    <t>Salário  Músico Cantor, referente ao mês 06/2022</t>
  </si>
  <si>
    <t>Salário  Músico Instrumentista, referente ao mês 06/2022</t>
  </si>
  <si>
    <t>Contratação de profissional externo para compor as bancas examinadoras do edital de novos alunos do 2º semestre de 2022 da Escola Artes Visuais.</t>
  </si>
  <si>
    <t>Salário Montador Dipro, referente ao mês 06/2022</t>
  </si>
  <si>
    <t>Thabata Rosa Dias</t>
  </si>
  <si>
    <t>085.101.716-96</t>
  </si>
  <si>
    <t>Pedro Vaz Perez</t>
  </si>
  <si>
    <t>Ágatha Pâmela Do Nascimento 01456252658</t>
  </si>
  <si>
    <t>ISSQN referenre a nota fiscal 2022/13 - Tetris Lab Projetos Ltda</t>
  </si>
  <si>
    <t>Tarifa Bancária referente a transferência eletrônica salário de Bailarina</t>
  </si>
  <si>
    <t>Tarifa Bancária referente a transferência eletrônica salário de Músico Cantora</t>
  </si>
  <si>
    <t>Tarifa Bancária referente a transferência eletrônica salário da Analista Financeiro Pleno</t>
  </si>
  <si>
    <t>Tarifa Bancária referente a transferência eletrônica salário de Músico</t>
  </si>
  <si>
    <t>Tarifa Bancária referente a transferência eletrônica salário do Regente Assistente</t>
  </si>
  <si>
    <t>Tarifa Bancária referente a transferência eletrônica salário do Músico Cantora</t>
  </si>
  <si>
    <t>Tarifa Bancária referente a transferência eletrônica salário do Bailarina</t>
  </si>
  <si>
    <t>Tarifa Bancária referente a transferência eletrônica salário do Montador Diart</t>
  </si>
  <si>
    <t>Tarifa Bancária referente a transferência eletrônica salário do Bailarino</t>
  </si>
  <si>
    <t>Tarifa Bancária referente a transferência eletrônica salário da Músico Cantor</t>
  </si>
  <si>
    <t>Tarifa Bancária referente a transferência eletrônica salário da Assessora Pedagógica</t>
  </si>
  <si>
    <t>Tarifa Bancária referente a transferência eletrônica salário Músico Instrumentista</t>
  </si>
  <si>
    <t>Tarifa Bancária referente a transferência eletrônica salário do Diretor Financeiro</t>
  </si>
  <si>
    <t>Tarifa Bancária referente a transferência eletrônica salário do Músico Instrumentista</t>
  </si>
  <si>
    <t>Tarifa Bancária referente a transferência eletrônica salário da Produtora Cultural: Produção Artística</t>
  </si>
  <si>
    <t>Tarifa Bancária referente a transferência eletrônica salário do Produtora Cultural da Dipro</t>
  </si>
  <si>
    <t>Tarifa Bancária referente a transferência eletrônica salário do Músico</t>
  </si>
  <si>
    <t>Tarifa Bancária referente a transferência eletrônica salário   Auxiliar de serviços Gerais</t>
  </si>
  <si>
    <t>Tarifa Bancária referente a transferência eletrônica salário  Arquivista</t>
  </si>
  <si>
    <t>Tarifa Bancária referente a transferência eletrônica salário  Músico Instrumentista</t>
  </si>
  <si>
    <t>Tarifa Bancária referente a transferência eletrônica salário  Músico Cantor</t>
  </si>
  <si>
    <t xml:space="preserve">Tarifa Bancária referente a transferência eletrônica pagamento fornecedor: Pedro Vaz Perez - Processo 3950 </t>
  </si>
  <si>
    <t>Tarifa Bancária referente a transferência eletrônica pagamento fornecedor: Ágatha Pâmela Do Nascimento 01456252658  - Processo 3767</t>
  </si>
  <si>
    <t>Tarifa Bancária referente a transferência eletrônica pagamento fornecedor: Tetris Lab Projetos Ltda - Processo 3568</t>
  </si>
  <si>
    <t>Salário Analista de RH, referente ao mês 06/2022</t>
  </si>
  <si>
    <t>Contratação de profissional externo para compor a banca examinadora do edital de novos alunos do 2º semestre de 2022 da Escola de Artes Visuais.</t>
  </si>
  <si>
    <t>Musicista para criação e execução de trilha sonora ao vivo durante a temporada de teatro no Chico Nunes, do 3o ano da Escola de Teatro.</t>
  </si>
  <si>
    <t>47.187.606/0001-41</t>
  </si>
  <si>
    <t>Montador de orquestra, para acompanhar a rotina da OSMG, sob supervisão do Gerente Flávio Tadeu.</t>
  </si>
  <si>
    <t>Cachê Profissional de notório saber, com experiência em realização cinematográfica, crítica cinematográfica, curadoria, programação e realização de eventos destinados à difusão e exibição de obras cinematográficas do 24º FestCurtasBH.</t>
  </si>
  <si>
    <t>28.601.770/0001-09</t>
  </si>
  <si>
    <t>Assessoria de imprensa para a redação de textos, realização de entrevistas, apuração de informações, envio de conteúdo e atendimento às demandas de veículos de comunicação / mídia, registro de eventos, entre outras atividades ligadas aos projetos da Appa junto à FCS.</t>
  </si>
  <si>
    <t>45.843.955/0001-49</t>
  </si>
  <si>
    <t>Recepcionista para atuação nas áreas expositivas, formativas, bem como em todo o Complexo do Palácio das Artes.</t>
  </si>
  <si>
    <t>Cenotécnico  responsável pela carga e descarga, montagem e desmontagem de piso de linóleo no palco do Grande Teatro Cemig Palácio das Artes</t>
  </si>
  <si>
    <t>530.275.829-68</t>
  </si>
  <si>
    <t>Contratação de monitora para acompanhamento do público durante a visitação na exposição da itinerância da 34 Bienal-SP, do dia 19 de julho até 25 de setembro de 2022</t>
  </si>
  <si>
    <t xml:space="preserve"> Cachê de Profissional de notório saber para COMISSÃO DE SELEÇÃO INTERNACIONAL, com experiência em realização cinematográfica, crítica cinematográfica, curadoria, programação e realização de eventos destinados à difusão e exibição de obras cinematográficas do 24º FestCurtasBH.</t>
  </si>
  <si>
    <t>Cachê de Profissional de notório saber para COMISSÃO DE SELEÇÃO INTERNACIONAL, com experiência em realização cinematográfica, crítica cinematográfica, curadoria, programação e realização de eventos destinados à difusão e exibição de obras cinematográficas do 24º FestCurtasBH.</t>
  </si>
  <si>
    <t>41.154.078/0001-48</t>
  </si>
  <si>
    <t>Licenciamento e direitos para uso de imagens de trechos dos filmes:Raider’s March,Adventures On Eart,Theme from JURASSIC PARK,Schindler’s List; para a realização do Música de Cinema, no palco do Cine Theatro Brasil.</t>
  </si>
  <si>
    <t>Reembolso realizado pelo Termo de Parceria 50/2020 - Iepha a conta do Contra de Gestão 005/2019 referente ao pagamento de guia de FGTS - Valor proporcional aos funcionários a serviço do TP 50/2020 - 06/2022</t>
  </si>
  <si>
    <t>Reembolso realizado pela Appa - Projeto Pronac  a conta do Contrato de Gestão referente ao pagamento de guia de FGTS  - 06/2022</t>
  </si>
  <si>
    <t>2022/216</t>
  </si>
  <si>
    <t>ISSQN referente a nota fiscal 2022/216 -  Dollabela Advocacia E Consultoria</t>
  </si>
  <si>
    <t>Contratação de profissionalconservador/restaurador, responsável pela feitura e conferência dos laudos de estado de conservação das obras da exposição Nemer - Aquarelas Recentes, que estará em exposição da grande galeria, Alberto da Veiga Guignard, do Palácio das Artes/ Fundação Clóvis Salgado de 19 de abril a 5 de junho de 2022.3 diárias - (2 para a montagem e 1 para a conferência na desmontagem)</t>
  </si>
  <si>
    <t>FGTS referente a folha de pagamento do mês 06/2022</t>
  </si>
  <si>
    <t>2022/26</t>
  </si>
  <si>
    <t>ISSQN referente a nota fiscal 2022/26 - Carolina Nascimento Valadares Santana 07016003655</t>
  </si>
  <si>
    <t>Alan Wender Rodrigues Dias</t>
  </si>
  <si>
    <t>ISSQN referente ao RPA 1872 - Alan Wender Rodrigues Dias</t>
  </si>
  <si>
    <t>INSS e INSS Patronal  referente ao RPA 1872 - Alan Wender Rodrigues Dias</t>
  </si>
  <si>
    <t>IR referente ao RPA 1872 - Alan Wender Rodrigues Dias</t>
  </si>
  <si>
    <t>Melina Sousa Da Rocha</t>
  </si>
  <si>
    <t>ISSQN referente RPA 1874 - Melina Sousa Da Rocha</t>
  </si>
  <si>
    <t>INSS e INSS Patronal eferente ao RPA 1874 - Melina Sousa Da Rocha</t>
  </si>
  <si>
    <t>Tia Vivi Buffet Saudavel Ltda</t>
  </si>
  <si>
    <t>ISSQN referente a nota fiscal 2022/4 -  Tia Vivi Buffet Saudavel Ltda</t>
  </si>
  <si>
    <t>2022/43</t>
  </si>
  <si>
    <t xml:space="preserve"> ISSQN referente a nota fiscal 2022/43 - Mylene Youssef A Vieira - Produções E Eventos Epp</t>
  </si>
  <si>
    <t>Carolina Nascimento Valadares Santana 07016003655</t>
  </si>
  <si>
    <t>Tarifa Bancária referente a transferência eletrônica pagamento fornecedor: Mcr Computadores E Rede Ltda - Processo 3106</t>
  </si>
  <si>
    <t>Tarifa Bancária referente a transferência eletrônica pagamento fornecedor: Carolina Nascimento Valadares Santana 07016003655 - Processo 3020</t>
  </si>
  <si>
    <t>Tarifa Bancária referente a transferência eletrônica pagamento fornecedor: Alan Wender Rodrigues Dias - Processo 3718</t>
  </si>
  <si>
    <t>Tarifa Bancária referente a transferência eletrônica pagamento fornecedor: Melina Sousa Da Rocha  - Processo 3788</t>
  </si>
  <si>
    <t>Tarifa Bancária referente a transferência eletrônica pagamento fornecedor: Tia Vivi Buffet Saudavel Ltda - Processo 3929</t>
  </si>
  <si>
    <t>Tarifa Bancária referente a transferência eletrônica pagamento fornecedor: Mylene Youssef A Vieira - Produções E Eventos Epp  - Processo 3609</t>
  </si>
  <si>
    <t xml:space="preserve">Danfe </t>
  </si>
  <si>
    <t xml:space="preserve">CS </t>
  </si>
  <si>
    <t>Sávio Leite E Silva</t>
  </si>
  <si>
    <t>Maria Martha Ibraim Coelho</t>
  </si>
  <si>
    <t>INSS e INSS Patronal referente ao RPA 1881 - Maria Martha Ibraim Coelho</t>
  </si>
  <si>
    <t>ISSQN referente ao RPA 1881 - Maria Martha Ibraim Coelho</t>
  </si>
  <si>
    <t xml:space="preserve"> Vinícius Tadeu Da Silva Cunha</t>
  </si>
  <si>
    <t>Ailtom A. Gobira - Arte E Cultura</t>
  </si>
  <si>
    <t>ISSQN referente a nota fiscal 2022/8 -  Ailtom A. Gobira - Arte E Cultura</t>
  </si>
  <si>
    <t>Conserto do instrumento CLAVINOVA da OSMG - assistência técnica autorizada da YAMAHA.Assistência técnica Yamaha para o Instrumento CLAVINOVA da OSMG (Instrumento deve ser consertado URGENTE para o uso da programação artística do mês de Junho nos dias 12, 15, 28 e 29/06 - 50%</t>
  </si>
  <si>
    <t>Audio Tec Ltda</t>
  </si>
  <si>
    <t>2022/44</t>
  </si>
  <si>
    <t>ISSQN refentente a NF 2022/44 -  Audio Tec Ltda</t>
  </si>
  <si>
    <t>Reembolso do pagamento da despesa da contratação de uma Conta Business Standard para o Cefart - Google Cloud Platform, Workplace para os processos seletivos regulares (duas vezes por ano) e cursos de extensão (ao longo de todo o ano).</t>
  </si>
  <si>
    <t>Reembolso despesa da contratação de ferramenta servidor de nuvem - Google Cloud Platform. - mês de maio/22,  para hospedar o Sistema de Gestão da Appa.</t>
  </si>
  <si>
    <t>Aline Vieira Viana</t>
  </si>
  <si>
    <t>1880</t>
  </si>
  <si>
    <t>ISSQN referente a RPA 1880 - Aline Vieira Viana</t>
  </si>
  <si>
    <t>INSS e INSS Patronal referente a RPA 1880 - Aline Vieira Viana</t>
  </si>
  <si>
    <t>0222158714060</t>
  </si>
  <si>
    <t>Reembolso proporcional realizado pela conta da Appa referente ao pagamento Seguro de Vida do mês 06/2022</t>
  </si>
  <si>
    <t>Reembolso realizado pelo Projeto DESCUBRA
O PALÁCIO  referente a aquisição de sistema de ponto para utilização pelos colaboradores.</t>
  </si>
  <si>
    <t>Reembolso proporcional realizado pela conta do projeto Anglo referente ao pagamento Seguro de Vida do mês 06/2022</t>
  </si>
  <si>
    <t xml:space="preserve">ISSQN  referente a nota fiscal 2022370150 - Unimed Cooperativa Médica
</t>
  </si>
  <si>
    <t>ISSQN referente a nota fiscal 2022332180 - Unimed Coopertiva Médica</t>
  </si>
  <si>
    <t xml:space="preserve">ISSQN referente a nota fiscal  2022/946 - Patrulha Eletrônica Ltda
</t>
  </si>
  <si>
    <t xml:space="preserve">ISSQN referente a nota fiscal 2022161193 - Cons Ioper Transporte Coletivo
 </t>
  </si>
  <si>
    <t xml:space="preserve">Reembolso realizado pelo Termo de Parceria 50/2020 - IEPHA referente ao percentual (26,41% do valor total), Taxas de Fiscalização de Localização e Funcionamento e Taxa de Fiscalização Sanitária . Favorecido: Prefeitura Muncipal de Belo Horizonte - 03ª Parcela </t>
  </si>
  <si>
    <t>Reembolso realizado pelo Termo de Parceria 50/2020 - IEPHA referente ao percentual (26,41% do valor total), Contratação de espaço para a guarda de documentos da sede administrativos ref. ao 1o semestre de 2022. TP 50/2020 IEPHA e CG 05/2019 - Favorecido: Guard - Gerenciamento de Documentos Ltda.</t>
  </si>
  <si>
    <t>Reembolso realizado pelo Termo de Parceria 50/2020 - IEPHA referente ao percentual (26,41% do valor total), Segurança Eletrônica da Sede da APPA - mês 06/2022</t>
  </si>
  <si>
    <t xml:space="preserve"> Alice Almeida Gontijo 09331535627</t>
  </si>
  <si>
    <t>Guard - Gerenciamento De Documentos Ltda</t>
  </si>
  <si>
    <t>2022/946</t>
  </si>
  <si>
    <t>Up Print Comercio E Locacao De Equipamentos Eireli</t>
  </si>
  <si>
    <t>U05843</t>
  </si>
  <si>
    <t>02.22.1615392.23</t>
  </si>
  <si>
    <t xml:space="preserve"> Camilla Ayla Oliveira Dos Anjos 09998582628</t>
  </si>
  <si>
    <t>Matheus Roberto De Queiroz Fleming 077.925.436-84</t>
  </si>
  <si>
    <t xml:space="preserve">Direitos autorais para publicação irrestrita do texto "Perdida" do professor Cássio Starling. </t>
  </si>
  <si>
    <t xml:space="preserve"> Cássio Henrique Starling Carlos</t>
  </si>
  <si>
    <t>ISSQN de nota fiscal 2022/15 - T T Factory Thinks Tanks Estratégia E Impacto Ltda</t>
  </si>
  <si>
    <t>Contratação de prestação de serviço para treinamento e assessoria na sistematização e aperfeiçoamento do processo de monitoramento das atividades da Fundação Clóvis Salgado – FCS.</t>
  </si>
  <si>
    <t>2022/1459</t>
  </si>
  <si>
    <t>Adiantamento de salário Montador Dipro, referente ao mês 07/2022</t>
  </si>
  <si>
    <t>Eloi Salvador Schembri Junior</t>
  </si>
  <si>
    <t>ISSQN de RPA 1884 - Eloi Salvador Schembri Junior</t>
  </si>
  <si>
    <t>Grupo De Teatro Armatrux-demais</t>
  </si>
  <si>
    <t>ISSQN de nota fiscal 2022/6 - Grupo De Teatro Armatrux-demais</t>
  </si>
  <si>
    <t>Pedro Ivo Abreu Pereira 11410478610</t>
  </si>
  <si>
    <t>Lucas Fernando Morais Ferreira</t>
  </si>
  <si>
    <t>ISSQN RPA 1888 -  Lucas Fernando Morais Ferreira</t>
  </si>
  <si>
    <t>IR RPA 1888 -  Lucas Fernando Morais Ferreira</t>
  </si>
  <si>
    <t>INSS e INSS Patronal referente ao  RPA 1873 - Waneska Torres De Oliveira Cezar</t>
  </si>
  <si>
    <t>INSS e INSS Patronal referente ao RPA 1875 - Vinícius Tadeu Da Silva Cunha</t>
  </si>
  <si>
    <t>INSS e INSS Patronal referente ao RPA 1884 - Eloi Salvador Schembri Junior</t>
  </si>
  <si>
    <t>Reembolso realizado pelo Termo de Parceria 50/2020 - IEPHA referente ao percentual (26,41% do valor total), Troca de 17 Placas de SSD 240 GB SATA para os notebooks dos colaboradores da APPA - TP 50/2020 e CG 05/2019. Favorecido: G.E Duarte (Maxi TI)</t>
  </si>
  <si>
    <t>INSS e INSS Patronal referente ao RPA 1892 - Thiago Jose Santos De Alcantara</t>
  </si>
  <si>
    <t>Ge Duarte - Me</t>
  </si>
  <si>
    <t>2022/97</t>
  </si>
  <si>
    <t>ISSQN referente a nota fiscal 2022/15 - Cenario Oscar 2019 Serviços De Montagem Eireli</t>
  </si>
  <si>
    <t>Férias da Gerente de Projeto</t>
  </si>
  <si>
    <t>2022/332180</t>
  </si>
  <si>
    <t>IR referente a nota fiscal 2022/332180 - Unimed Belo Horizonte Cooperativa de Trabalho Médico</t>
  </si>
  <si>
    <t>PCC referente a nota fiscal 2022/332180 - Unimed Belo Horizonte Cooperativa de Trabalho Médico</t>
  </si>
  <si>
    <t>2022/370150</t>
  </si>
  <si>
    <t>2022/409</t>
  </si>
  <si>
    <t>ISSQN referente a nota fiscal 2022/409 -  Flag Impressao Digital Ltda</t>
  </si>
  <si>
    <t>Carregadores para realizar a mudança de local de armazenamento dos acervos de figurinos do Cefart e ópera Aleijadinho no CTPF Andradas.</t>
  </si>
  <si>
    <t>ISSQN referente a nota fiscal 2022/59 - Unicusto Limpeza Em Eventos Ltda</t>
  </si>
  <si>
    <t>NA</t>
  </si>
  <si>
    <t>Reembolso realizado pelo Termo de Parceria 50/2020 - IEPHA referente ao percentual (26,41% do valor total), referente ao telefone móvel da sede da Appa- mês 06/2022</t>
  </si>
  <si>
    <t>Reembolso realizado pelo Termo de Parceria 50/2020 - IEPHA referente ao percentual (26,41% do valor total) consumo de energia elétrica da sede da Appa- mês 06/2022</t>
  </si>
  <si>
    <t>Reembolso realizado pelo Termo de Parceria 50/2020 - IEPHA referente ao percentual (26,41% do valor total ) consumo de água da sede da Appa- mês 06/2022</t>
  </si>
  <si>
    <t>Retirada de um cartão ótimo para nova colaboradora Sônia Aparecida da Conceição.</t>
  </si>
  <si>
    <t>001.22.40464349-1</t>
  </si>
  <si>
    <t>Lea Guimarães Souki</t>
  </si>
  <si>
    <t>31.940.933/0001-92</t>
  </si>
  <si>
    <t>Alexandre Pimenta Marques</t>
  </si>
  <si>
    <t>2022/402</t>
  </si>
  <si>
    <t>ISSQN referente a nota fiscal 2022/402 - Flag Impressao Digital Ltda</t>
  </si>
  <si>
    <t xml:space="preserve">Valor recebido  Cleber Jesus da Silva - CPF:100.583.486-54, , referente à locação de figurinos </t>
  </si>
  <si>
    <t xml:space="preserve">Valor recebido  Carolina de Freitas Gomes - CPF:054.615.366-62, , referente à locação de figurinos </t>
  </si>
  <si>
    <t xml:space="preserve">Valor recebido  Priscila Fiorini Maia Bittencourt  - CPF:014.275.836-17, , referente à locação de figurinos </t>
  </si>
  <si>
    <t>Isadora de Souza</t>
  </si>
  <si>
    <t>Tarifa Bancária referente a transferência eletrônica salário da Coordenadora de Comunicação</t>
  </si>
  <si>
    <t>Musicista Contratação de musicista para criação e execução de trilha sonora ao vivo durante a temporada de teatro no Chico Nunes, do 3o ano da Escola de Teatro.</t>
  </si>
  <si>
    <t>083.819.966-60</t>
  </si>
  <si>
    <t>DJ para mixagem e execução de trilha sonora ao vivo durante a temporada de teatro no Chico Nunes, do 3o ano da Escola de Teatro.</t>
  </si>
  <si>
    <t xml:space="preserve">Compra de material(10 Lâmpadas JC Teclight, 24v, 250W) de montagem para execução do projeto expográfico da Itinerância da 34ª Bienal de SP no Palácio das Artes. </t>
  </si>
  <si>
    <t>11.120.062/0001-53</t>
  </si>
  <si>
    <t>Contratação de transfer aeroporto Confins x hotel Cheverny x aeroporto (Confins) para os solistas Luiz Feliz Souza. Aeroporto de Confins x Cheverny Apart Hotel.</t>
  </si>
  <si>
    <t>Aluguel de Andaime tubular:- 4 torres de 1,5m de comprimento e 4m de altura com plataforma (piso) a 2m de altura, com rodinhas.- 2 escadas.Obs: sem guarda-corpo na parte superior (estrutura superior ao piso igual estrutura inferior).Cor preto (preferencialmente),  a ser usado no cenário do espetáculo Ópera Operária - Espetáculo de formatura do 3° ano cefart/noite.</t>
  </si>
  <si>
    <t>14.672.087/0001-58</t>
  </si>
  <si>
    <t>Montador do Cefart Atividadespara atender as demandas diárias das montagens de sala de aula para os professores, como: montagem de equipamentos, mesas de som, desmontagem e montagem de instrumentos musicais, barras de dança, equipamentos multimídia, etc</t>
  </si>
  <si>
    <t>105.034.936-94</t>
  </si>
  <si>
    <t>Coffee Break para duzentas pessoas, integrando a maratona que ocorrerá na Mostra "As Origens de Tim Burton", para o público que ficar até a parte da manhã.(300 coxinhas de frango300 pao de queijo200 empadinhas de alho poró300 kibes30 bolos redondos (sabores variados)15 refrigerantes de 2l15 sucos 1l tetra pak15 garrafas de café com e sem açucar10 kit lanches contendo (sanduiche, fruta e bebida)Incluir mobiliário, vasilhames e descartáveis, além de serviço de apoio para reposição)</t>
  </si>
  <si>
    <t>71.216.204/0001-02</t>
  </si>
  <si>
    <t>Profissional externo  com expertise em Música e experiência em educação para compor a banca examinadora junto aos professores e coordenadores da escola da Escola de Música do Cefart.</t>
  </si>
  <si>
    <t xml:space="preserve">Reembolso parcial da conta do Termo de Parceria 50/2020 - IEPHA, referenteao uso de telefone fixo (mês 06/2022) - 26,41% do valor total </t>
  </si>
  <si>
    <t>Lourenço Rodrigues Pereira Veloso 0380822164</t>
  </si>
  <si>
    <t>ISSQN referente a nota fiscal 2022/6 -  Renata Fonseca Felicissimo 10665267614</t>
  </si>
  <si>
    <t>14809215-MG</t>
  </si>
  <si>
    <t>Telefone móvel para os funcionários a serviço do Contrato de Gestão, referente ao mês 06/2022</t>
  </si>
  <si>
    <t xml:space="preserve"> BH Notebooks Ltda</t>
  </si>
  <si>
    <t>Reembolso realizado pela conta 11407-3 referente ao pagamento da guia de GPS do mês 06/2022</t>
  </si>
  <si>
    <t>Reembolso realizado pela conta 1556-x referente ao pagamento da guia de GPS do mês 06/2022</t>
  </si>
  <si>
    <t>Reembolso realizado pela conta 15949-2 referente ao pagamento da guia de GPS do mês 06/2022</t>
  </si>
  <si>
    <t>Reembolso realizado pela conta 16391-0  referente ao pagamento da guia de GPS do mês 06/2022</t>
  </si>
  <si>
    <t>Reembolso realizado pelo Termo de Parceria 50/2020 - IEPHA referente ao percentual 26,41% do valor total ) ao consumo de internet da Appa do mês 06/2022</t>
  </si>
  <si>
    <t>Reembolso realizado pela conta do Termo de Parceria 50/2020 - Iepha referente ao pagamento da guia de GPS (funcionários) INSS Patronal do mês 06/2022</t>
  </si>
  <si>
    <t>Reembolso realizado pela conta do Termo de Parceria 50/2020 - Iepha referente ao pagamento da guia de GPS (autônomo) do mês 06/2022</t>
  </si>
  <si>
    <t>Reembolso realizado pela conta 16376-7  referente ao pagamento da guia de GPS do mês 06/2022</t>
  </si>
  <si>
    <t>Reembolso realizado pela conta 16476-3  referente ao pagamento da guia de GPS do mês 06/2022</t>
  </si>
  <si>
    <t>Reembolso realizado pela conta 16517-4 referente ao pagamento da guia de GPS do mês 06/2022</t>
  </si>
  <si>
    <t>Reembolso realizado pela conta  16821-1  referente ao pagamento da guia de GPS do mês 06/2022</t>
  </si>
  <si>
    <t>Reembolso realizado pela conta  16888-2  referente ao pagamento da guia de GPS do mês 06/2022</t>
  </si>
  <si>
    <t>Vinícius Amorim Alimendros 33751280880</t>
  </si>
  <si>
    <t>Contratação de auditoria externa independente para o exercício de 2022 - 2º parcela</t>
  </si>
  <si>
    <t>2022/245</t>
  </si>
  <si>
    <t>ISSQN referente a nota fiscal 2022/245 -  Orplan Auditores Independentes</t>
  </si>
  <si>
    <t>2022/222</t>
  </si>
  <si>
    <t>ISSQN referente a notas fiscal 2022/222 - Softwares De Gestão Ltda</t>
  </si>
  <si>
    <t>14893127-MG</t>
  </si>
  <si>
    <t>IR retido em folha do mês 06/2022</t>
  </si>
  <si>
    <t>INSS retido em folha do mês 06/2022</t>
  </si>
  <si>
    <t>INSS Patronal referente a folha do mês 06/2022</t>
  </si>
  <si>
    <t>Guia de GPS do mês 06/2022 -  conta 16391-0</t>
  </si>
  <si>
    <t xml:space="preserve">a guia de GPS (funcionários) INSS Patronal sob folha do mês 06/2022 -  Termo de Parceria 50/2020 - Iepha </t>
  </si>
  <si>
    <t xml:space="preserve">Reembolso a conta do Contrato de Gestão 05/2019 referente a Materiais de limpeza/copa/cozinha necessários para a manutenção da sede administrativa e apoio aos colaboradores do Termo de Parceria e Contrato de Gestão. - Favorecido: Arte
Group Ltda. 26,41% do valor total </t>
  </si>
  <si>
    <t xml:space="preserve">Reembolso a conta do Contrato de Gestão 05/2019 referente a materiais de limpeza/copa/cozinha necessários para a manutenção da sede administrativa e apoio aos colaboradores do Termo de Parceria e Contrato de Gestão. - Favorecido: Atacadão Material de Limpeza Ltda. 26,41% do valor total </t>
  </si>
  <si>
    <t xml:space="preserve"> Loja Elétrica Ltda</t>
  </si>
  <si>
    <t>Associação Cultural Corpo Rastreado</t>
  </si>
  <si>
    <t xml:space="preserve"> Renata Mendes Matias 04019080623</t>
  </si>
  <si>
    <t>Compra de 06 und de plugue macho tripolar de 20A em qualquer cor; 06 und de caixa com tomada dupla de 20A na cor branco; 02 unid de lâmpadas fluorescente tubular, com 120cm, luz branca e de 40W; 02 und de conjunto com campainha externa, do tipo cigarra, bivolt, em qualquer cor + interruptor campainha; 01 und de saco de gesso com 5kg, na cor branco, para diferentes intervenções elétricas e de melhoria estrutural, a serem realizadas nas unidades do CTPF Andradas e em Marzagão.</t>
  </si>
  <si>
    <t xml:space="preserve">
24.153.707/0001-04</t>
  </si>
  <si>
    <t>Jeiza Lucia Rodrigues Fernandes 08540996626</t>
  </si>
  <si>
    <t>Profissional externo para compor as bancas do processo seletivo de novos alunos dos editais do 2º semestre de 2022 da Escola de Artes Visuais.</t>
  </si>
  <si>
    <t>13.369.112/0001-66</t>
  </si>
  <si>
    <t>Preparador corporal que consiste em auxiliar os atores no processo de criação de um corpo para o seu personagem, criando e acompanhando o elenco em inúmeros exercícios, alongamentos, técnicas de preparação do corpo e outras para a turma de formandos do Curso Técnico em Teatro da Escola de Teatro do Centro de Formação Artística e Tecnológica (Cefart).</t>
  </si>
  <si>
    <t xml:space="preserve"> Profissional de notório saber, com experiência em realização cinematográfica, crítica cinematográfica, curadoria, programação e realização de eventos destinados à difusão e exibição de obras cinematográficas para o FestCurtasBH.</t>
  </si>
  <si>
    <t>42.370.217/0001-33</t>
  </si>
  <si>
    <t>Profissional de notório saber, com experiência em realização cinematográfica, crítica cinematográfica, curadoria, programação e realização de eventos destinados à difusão e exibição de obras cinematográficas para o FestCurtasBH.</t>
  </si>
  <si>
    <t>Iluminação para o espetáculo Lalangue - Carta à Mãe  da Cia de Dança Palácio das Artes.</t>
  </si>
  <si>
    <t>Musicista Contratação de musicista para criação e execução de trilha sonora ao vivo durante a temporada de teatro no Chico Nunes, do 3º ano da Escola de Teatro do Centro de Formação Artística e Tecnológica (Cefart),.</t>
  </si>
  <si>
    <t>47.017.378/0001-61</t>
  </si>
  <si>
    <t>Impressão de banner CR para acesso ao programa do espetáculo lalangue-carta à mãe.</t>
  </si>
  <si>
    <t>Profissional para apoio de produção no processo seletivo de todas as escolas do CEFART, dando suporte aos professores das bancas, alunos e profissionais envolvidos.</t>
  </si>
  <si>
    <t>Direito de exibição / licenciamento de filme para exibição na Mostra Especial - Cinema Mineiro em Cartaz, para o  filme DONA OLÍMPIA DE OURO PRETO, representa uma importante aquisição para a mostra Cinema Mineiro em Cartaz pois se enquadra nos filmes de cineastas mineiros que refletem sobre questões relativas "a mineiridade", englobando um conjunto de obras que reforçam uma importância da preservação de filmes realizados no Estado.</t>
  </si>
  <si>
    <t>125.064.866-15</t>
  </si>
  <si>
    <t>Processo 4174 - Audio Tec Ltda</t>
  </si>
  <si>
    <t>Contratação do serviço de troca da placa mãe do instrumento Clavinova da OSMG pela assistência técnica autorizada da YAMAHA.(50%)</t>
  </si>
  <si>
    <t>guia de GPS do mês 06/2022 - conta 16476-3</t>
  </si>
  <si>
    <t>guia de GPS do mês 06/2022 - conta 16185-3</t>
  </si>
  <si>
    <t xml:space="preserve"> guia de GPS do mês 06/2022 - conta 16376-7 </t>
  </si>
  <si>
    <t>guia de GPS do mês 06/2022 - conta 15949-2</t>
  </si>
  <si>
    <t>guia de GPS do mês 06/2022 - conta 16357-0</t>
  </si>
  <si>
    <t>guia de GPS do mês 06/2022 - conta 1555-6</t>
  </si>
  <si>
    <t>guia de GPS do mês 06/2022 - conta 16821-1</t>
  </si>
  <si>
    <t>guia de GPS do mês 06/2022 - conta 16888-2</t>
  </si>
  <si>
    <t>guia de GPS do mês 06/2022 - conta 16375-9</t>
  </si>
  <si>
    <t>guia de GPS do mês 06/2022 - conta 11407-3</t>
  </si>
  <si>
    <t>guia de GPS do mês 06/2022 - conta 16391-0</t>
  </si>
  <si>
    <t>Fotografa responsável pelas fotos e videos, montagem e edição de imagens utilizadas no espetáculo, além de acompanhar os ensaios e fazer registro durante a temporada da peça dos formandos do Curso Técnico em Teatro da Escola de Teatro do Centro de Formação Artística e Tecnológica (Cefart)</t>
  </si>
  <si>
    <t>34.680.621/0001-85</t>
  </si>
  <si>
    <t>000.031.202</t>
  </si>
  <si>
    <t>Vale Alimentação para os funcionários a serviço do Contrato de Gestão</t>
  </si>
  <si>
    <t>Vale Refeição para os funcionários a serviço do Contrato de Gestão</t>
  </si>
  <si>
    <t>Reembolso realizado pelo Termo de Parceria 50/2020 - IEPHA referente ao percentual (26,41% do valor total ) locação de PABX da sede da Appa referente ao mês 06/2022</t>
  </si>
  <si>
    <t>Transferência para conta Reserva referente aos rendimentos do mês 06/2022</t>
  </si>
  <si>
    <t>PIS referente a folha 06/2022</t>
  </si>
  <si>
    <t>Par Espacos Criativos Ltda</t>
  </si>
  <si>
    <t>ISSQN referente a nota fiscal 2022/47 - Par Espacos Criativos Ltda</t>
  </si>
  <si>
    <t>Diego Souza Gomes Da Cruz Costa 02377317545</t>
  </si>
  <si>
    <t>001.22.42559452-9</t>
  </si>
  <si>
    <t xml:space="preserve">4755498602
</t>
  </si>
  <si>
    <t>Victor Silva Dos Santos 12137338637</t>
  </si>
  <si>
    <t>Tarifa Bancária referente a transferência eletrônica pagamento fornecedor:   Victor Silva Dos Santos 12137338637 - Processo 4053</t>
  </si>
  <si>
    <t>Tarifa Bancária referente a transferência eletrônica pagamento fornecedor:   Diego Souza Gomes Da Cruz Costa 02377317545  - Processo 4089</t>
  </si>
  <si>
    <t>Tarifa Bancária referente a transferência eletrônica pagamento fornecedor:  Par Espacos Criativos Ltda  - Processo 4055</t>
  </si>
  <si>
    <t>Cofins referente aos rendimentos de aplicações financeiras de 06/2022</t>
  </si>
  <si>
    <t>229.909.878-00</t>
  </si>
  <si>
    <t>277.685.706-34</t>
  </si>
  <si>
    <t>Contratação para debate na Mostra "O cinema segundo Pasolini" da sessão do filme Édipo Rei.</t>
  </si>
  <si>
    <t>Tarifa Bancária referente a transferência eletrônica pagamento fornecedor: Maria Martha Ibraim Coelho - Processo 3705</t>
  </si>
  <si>
    <t xml:space="preserve"> Tarifa Bancária referente a transferência eletrônica pagamento fornecedor: Vinícius Tadeu Da Silva Cunha - Processo 3841</t>
  </si>
  <si>
    <t>Tarifa Bancária referente a transferência eletrônica pagamento fornecedor: Ailtom A. Gobira - Arte E Cultura  - Processo 3895</t>
  </si>
  <si>
    <t>Tarifa Bancária referente a transferência eletrônica pagamento fornecedor: Audio Tec Ltda - Processo 3868</t>
  </si>
  <si>
    <t>Tarifa Bancária referente a transferência eletrônica pagamento fornecedor: Guilherme Domingos De Oliveira - Processo 2768</t>
  </si>
  <si>
    <t>Tarifa Bancária referente a transferência eletrônica pagamento fornecedor:Guilherme Domingos De Oliveira - Processo 4076</t>
  </si>
  <si>
    <t>Tarifa Bancária referente a transferência eletrônica pagamento fornecedor: Aline Vieira Viana - Processo 3824</t>
  </si>
  <si>
    <t>Tarifa Bancária referente a transferência eletrônica pagamento fornecedor: Camilla Ayla Oliveira Dos Anjos 09998582628 - Processo 3938</t>
  </si>
  <si>
    <t>Tarifa Bancária referente a transferência eletrônica pagamento fornecedor: Waneska Torres De Oliveira Ceza - Processo 4077</t>
  </si>
  <si>
    <t>Tarifa Bancária referente a transferência eletrônica pagamento fornecedor: Matheus Roberto De Queiroz Fleming 077.925.436-84 - Processo 4004</t>
  </si>
  <si>
    <t>Tarifa Bancária referente a transferência eletrônica pagamento fornecedor: Cássio Henrique Starling Carlos - Processo 4038</t>
  </si>
  <si>
    <t>Tarifa Bancária referente a transferência eletrônica pagamento fornecedor: T T Factory Thinks Tanks Estratégia E Impacto Ltda - Processo 3658</t>
  </si>
  <si>
    <t>Tarifa Bancária referente a transferência eletrônica pagamento fornecedor: Eloi Salvador Schembri Junior - Processo 3854</t>
  </si>
  <si>
    <t>Tarifa Bancária referente a transferência eletrônica pagamento fornecedor: Grupo De Teatro Armatrux-demais - Processo 3772</t>
  </si>
  <si>
    <t>Tarifa Bancária referente a transferência eletrônica pagamento fornecedor: Pedro Ivo Abreu Pereira 11410478610 - Processo 4036</t>
  </si>
  <si>
    <t>Tarifa Bancária referente a transferência eletrônica pagamento fornecedor: Wilton Bernardino Marques</t>
  </si>
  <si>
    <t xml:space="preserve">Tarifa Bancária referente a transferência eletrônica pagamento fornecedor: Vg Frames Ltda - Processo 4078 </t>
  </si>
  <si>
    <t>Tarifa Bancária referente a transferência eletrônica pagamento fornecedor: Cenario Oscar 2019 Serviços De Montagem Eireli - Processo 3913</t>
  </si>
  <si>
    <t>Tarifa Bancária referente a transferência eletrônica pagamento fornecedor: Flag Impressao Digital Ltda - Processo 4011</t>
  </si>
  <si>
    <t>Tarifa Bancária referente a transferência eletrônica pagamento fornecedor: Unicusto Limpeza Em Eventos Ltda - Processo 4087</t>
  </si>
  <si>
    <t>Tarifa Bancária referente a transferência eletrônica pagamento fornecedor: Translevar Mudanças Ltda - Processo 3768</t>
  </si>
  <si>
    <t xml:space="preserve">Tarifa Bancária referente a transferência eletrônica pagamento fornecedor: Consórcio Ótimo de Bilhetagem Eletrônica </t>
  </si>
  <si>
    <t>Tarifa Bancária referente a transferência eletrônica pagamento fornecedor: Lourenço Rodrigues Pereira Veloso 0380822164 - Processo 3830</t>
  </si>
  <si>
    <t>Tarifa Bancária referente a transferência eletrônica pagamento fornecedor: Lea Guimarães Souki - Processo 4049</t>
  </si>
  <si>
    <t>Tarifa Bancária referente a transferência eletrônica pagamento fornecedor:  Alexandre Pimenta Marques - Processo 4023</t>
  </si>
  <si>
    <t>Tarifa Bancária referente a transferência eletrônica pagamento fornecedor: Flag Impressao Digital Ltda - Processo 4100</t>
  </si>
  <si>
    <t>Tarifa Bancária referente a transferência eletrônica pagamento fornecedor: Vinícius Amorim Alimendros 33751280880 - Processo: 3781</t>
  </si>
  <si>
    <t>Tarifa Bancária referente a transferência eletrônica pagamento fornecedor: Renata Fonseca Felicissimo 10665267614 - Processo 3942</t>
  </si>
  <si>
    <t>Tarifa Bancária referente a transferência eletrônica pagamento fornecedor:  BH Notebooks Ltda - Processo 2842</t>
  </si>
  <si>
    <t>Tarifa Bancária referente a transferência eletrônica pagamento fornecedor: Jeiza Lucia Rodrigues Fernandes 08540996626 - Processo 3803</t>
  </si>
  <si>
    <t>Tarifa Bancária referente a transferência eletrônica pagamento fornecedor: Associação Cultural Corpo Rastreado - Processo 3844</t>
  </si>
  <si>
    <t>Tarifa Bancária referente a transferência eletrônica pagamento fornecedor:  Renata Mendes Matias 04019080623 - Processo 4051</t>
  </si>
  <si>
    <t>Tarifa Bancária referente a transferência eletrônica pagamento fornecedor: DepÓsito Savassi Materiais De ConstruÇÃo Ltda - Processo 4159</t>
  </si>
  <si>
    <t>Tarifa Bancária referente a transferência eletrônica pagamento fornecedor:  Jeiza Lucia Rodrigues Fernandes 08540996626 - Processo 3803</t>
  </si>
  <si>
    <t>Reembolso realizado pelo Termo de Parceria 50/2020 - IEPHA referente ao percentual (26,41% do valor total), Manutenção de hardware e redes, preventiva, preditiva e corretiva da sede da Appa - mês 06/2022</t>
  </si>
  <si>
    <t>Jussan Meireles Fernandes</t>
  </si>
  <si>
    <t>ISSQN referente  ao RPA 1899 - Jussan Meireles Fernandes</t>
  </si>
  <si>
    <t>INSS e INSS Patronal referente  ao RPA 1899 - Jussan Meireles Fernandes</t>
  </si>
  <si>
    <t>Tarifa Bancária referente a transferência eletrônica pagamento fornecedor: Jussan Meireles Fernandes - Processo 4155</t>
  </si>
  <si>
    <t>Processo 4185 - Javali Do Mar Experimentações Artisticas Ltda</t>
  </si>
  <si>
    <t>Contratação de produtor(a) responsável pela produção e desenvolvimento dos trabalhos de logística e suporte de execução geral do 24o FestCurtasBH. Produção e negociação de conteúdo e direitos de exibição das obras convidadas para a composição das Mostras Especiais, bem como, produção das demais atividades paralelas como oficinas, seminários, debates, e atrações artísticas que compõe a programação do evento. Responsável pela adaptação e viabilização das atividades em formato virtual e presencial, de acordo com os protocolos internos estabelecidos e acordados pelas entidades e instituições responsáveis.</t>
  </si>
  <si>
    <t>Contratação de maquiadora para a montagem da formatura do teatro. A maquiadora será responsável pela pintura do rosto ou do corpo dos atores e atrizes, com maquiagem artística compondo o espetáculo, sendo um instrumento fundamental que auxilia na criação do personagem e na transformação estética dos atores. Maquiadora Responsável pela criação da maquiagem do espetáculo.</t>
  </si>
  <si>
    <t>31.930.481/0001-68</t>
  </si>
  <si>
    <t xml:space="preserve">Valor recebido de ADELAINE SCALCO AGUIAR  - CPF: 009.154.696-69 ,referente à locação de figurinos </t>
  </si>
  <si>
    <t>Evandro Dos Passos Xavier</t>
  </si>
  <si>
    <t>INSS e INSS Patronal referente a RPA 1901 -  Evandro Dos Passos Xavier</t>
  </si>
  <si>
    <t>ISSQN referente ao RPA 1902 - Natália Fernandes De Azevedo Barbosa</t>
  </si>
  <si>
    <t>IR referente ao RPA 1902 - Natália Fernandes De Azevedo Barbosa</t>
  </si>
  <si>
    <t>INSS e INSS Patronal referente ao RPA 1902 -  Natália Fernandes De Azevedo Barbosa</t>
  </si>
  <si>
    <t>ISSQN referente a nota fiscal 2022/47 - Banho De Brilho Limpezas Especiais Ltda</t>
  </si>
  <si>
    <t>INSS referente a nota fiscal 2022/47 - Banho De Brilho Limpezas Especiais Ltda</t>
  </si>
  <si>
    <t>Tarifa Bancária referente a transferência eletrônica pagamento fornecedor: Entidade De Gestao De Direitos Sobre Obras Audiovisuais Da Republica Federativa Do Brasil - Egeda - Processo 4125</t>
  </si>
  <si>
    <t>Tarifa Bancária referente a transferência eletrônica pagamento fornecedor: Natália Fernandes De Azevedo Barbosa - Processo 3834</t>
  </si>
  <si>
    <t>Tarifa Bancária referente a transferência eletrônica pagamento fornecedor: Banho De Brilho Limpezas Especiais Ltda - Processo 3927</t>
  </si>
  <si>
    <t>Assistente de Coreografia - O serviço de assistente de coreografia deve incluir: supervisionar equipe de adereços e figurinos; orientar o aquecimento do elenco; participar de ensaios gerais; experimentar ações, passos, gestos e movimentos; e gerir projeto em conjunto com produção executiva e direção artística.</t>
  </si>
  <si>
    <t>108.126.136-60</t>
  </si>
  <si>
    <t>132.361.666-73</t>
  </si>
  <si>
    <t>Contratação para debatedor na Mostra "O cinema segundo Pasolini" da sessão do filme Accattone.</t>
  </si>
  <si>
    <t>2022/428</t>
  </si>
  <si>
    <t>ISSQN referente a nota fiscal 2022/428 - Flag Impressao Digital Ltda</t>
  </si>
  <si>
    <t>Tarifa Bancária referente a transferência eletrônica pagamento fornecedor: Flag Impressao Digital Ltda - Processo 2532</t>
  </si>
  <si>
    <t>Lanche (tipo coffe Break - Suco, Pão de Queijo e Sanduiche) para camarim para 25 pessoas nos dias 03, 04, 05, 06, 07, 10,11, 12, 13, 14 de agosto, às 17 horas, no teatro Francisco Nunes.</t>
  </si>
  <si>
    <t>Processo 4186 - Uaua Estudio Ltda</t>
  </si>
  <si>
    <t>Design Artístico para o 24º FestCurtasBH.O serviço de deisgn artístico se divide entre a concepção e idealização de identidade visual para a edição deste ano, considerando toda a pesquisa editorial, apontamentos da curadoria e direcionamentos de coordenação do evento; como posteriormente, a confecção e disponibilização de peças gráficas com formatos diversos, para garantir uma ampla divulgação em ambiente virtual e presencial, se desdobrando na criação de peças como Cartazes, Folhetos de Programação, Placão.</t>
  </si>
  <si>
    <t>Processo 4188 - Maíra Nassif Passos</t>
  </si>
  <si>
    <t>Transcrição e Tradução de Textos.Tradução de textos originais para português e inglês para o catálogo do 24º FestCurtasBH, considerando os trabalhos de tradução e revisão de tradução, bem como a transcrição de textos quando necessário</t>
  </si>
  <si>
    <t>17.615.842/0001-50</t>
  </si>
  <si>
    <t>Contratação de Assistente de Prgramação e Cópias para o 24ºFestcurtas BH.Assistência de acompanhamento geral e organizacional para os trabalhos de Produção de Programação e Cópias. Auxílio no recebimento do alto volume de cópias para exibição; catalogação, organização e conferência das fichas técnicas, sinopses e demais materiais destinados à programação do festival</t>
  </si>
  <si>
    <t>29.971.612/0001-03</t>
  </si>
  <si>
    <t>Processo 4187 - Maíra Nassif Passos</t>
  </si>
  <si>
    <t>Serviço de revisão de texto em português.Preparação e Revisão Gramatical / Ortográfica de textos do catálogo do 24º FestCurtasBH, considerando os trabalhos de revisão em português e revisão de provas.</t>
  </si>
  <si>
    <t>Impressão de camisetas para identificar equipe técnica e de apoio em suporte à programação da Fundação Clóvis Salgado.</t>
  </si>
  <si>
    <t>Rendimentos de aplicações financeiras do mês 07/2022</t>
  </si>
  <si>
    <t>Imposto de Renda referente aos rendimentos de aplicações financeiras do mês 07/2022</t>
  </si>
  <si>
    <t>Profissional de notório saber, com experiência em realização cinematográfica, crítica cinematográfica, curadoria, programação e realização de eventos destinados à difusão e exibição de obras cinematográficas. O profissional irá integrar a comissão composta por 6 membros, devido ao alto número de obras recebidas, que durante os meses irão realizar reuniões pontuais, determinadas pela Coordenação do FestCurtasBH, para desenvolvimento e discussões das análises das obras inscritas e assistidas por eles</t>
  </si>
  <si>
    <t>42.438.552/0001-26</t>
  </si>
  <si>
    <t>Profissional de notório saber, com experiência em realização cinematográfica, crítica cinematográfica, curadoria, programação e realização de eventos destinados à difusão e exibição de obras cinematográficas. O profissional irá integrar a comissão composta por 6 membros, devido ao alto número de obras recebidas, que durante os meses irão realizar reuniões pontuais, determinadas pela Coordenação do FestCurtasBH, para desenvolvimento e discussões das análises das obras inscritas e assistidas por eles. </t>
  </si>
  <si>
    <t>19.880.00</t>
  </si>
  <si>
    <t>Aluguel de Andaime a ser usado no cenáriodurante as apresentações oficiais no Teatro Francisco Nunes, do espetáculo Ópera Operária - Espetáculo de formatura do 3° ano cefart/noite.</t>
  </si>
  <si>
    <t>17.556.962/0001-24</t>
  </si>
  <si>
    <t>Rendimentos de aplicações financeiras do mês 06/2022 - Modernismo</t>
  </si>
  <si>
    <t>Reembolso proporcional realizado pela conta do projeto Anglo referente ao pagamento Medicina do Trabalho do mês 06/2022</t>
  </si>
  <si>
    <t>Valor referente a Medicina do Trabalho do mês 07/2022 - PCMSO</t>
  </si>
  <si>
    <t>Valor referente a Medicina do Trabalho do mês 07/2022 - PPRA</t>
  </si>
  <si>
    <t>2022/13419</t>
  </si>
  <si>
    <t>2022/13418</t>
  </si>
  <si>
    <t>Reembolso proporcional realizado pela conta do projeto Anglo referente ao pagamento Medicina do Trabalho do mês 07/2022</t>
  </si>
  <si>
    <t>Reembolso proporcional realizado pela conta do projeto Anglo referente ao pagamento Seguro de Vida do mês 07/2022</t>
  </si>
  <si>
    <t>Reembolso proporcional realizado pela conta do TP 50/2020 IEPHA  referente ao pagamento Medicina do Trabalho do mês 07/2022</t>
  </si>
  <si>
    <t>Reembolso proporcional realizado pela conta do TP 50/2020 IEPHA  referente ao pagamento Seguro de Vida do mês 07/2022</t>
  </si>
  <si>
    <t>Reembolso proporcional realizado pela conta da Appa referente ao pagamento Seguro de Vida do mês 07/2022</t>
  </si>
  <si>
    <t>ISSQN referente a nota fiscal 2022/13418 - Ocupacional Medicina do Trabalho Ltda</t>
  </si>
  <si>
    <t>PCC referente a nota fiscal 2022/13418 - Ocupacional Medicina do Trabalho Ltda</t>
  </si>
  <si>
    <t>ISSQN referente a nota fiscal 2022/13419 - Ocupacional Medicina do Trabalho Ltda</t>
  </si>
  <si>
    <t>PCC referente a nota fiscal 2022/13419 - Ocupacional Medicina do Trabalho Ltda</t>
  </si>
  <si>
    <t>Tainá Aparecida De Oliveira Rosa 07018374626</t>
  </si>
  <si>
    <t>Técnico de Som Profissional responsável pela montagem e operação da mesa de som nos dias de apresentação (de 04 à 14 de agosto)</t>
  </si>
  <si>
    <t>33.494.786/0001-08</t>
  </si>
  <si>
    <t>Impressão de programas para a montagem do Teatro</t>
  </si>
  <si>
    <t>Workshop de caracterização e adereços, para que os alunos participem ativamente dessa etapa final. na montagem do Espetáculo de Teatro.</t>
  </si>
  <si>
    <t>413.336.818-52</t>
  </si>
  <si>
    <t xml:space="preserve">Contratação de costureira, profissional para confecção de figurinos, adereços bem como a realização de restauração e reparos em figurinos que estarão disponíveis para o espetáculo de formatura da escola de teatro do Cefart. </t>
  </si>
  <si>
    <t>18.471.025/0001-39</t>
  </si>
  <si>
    <t xml:space="preserve"> Locdaime Locadora De Andaimes E Maquinas Ltda</t>
  </si>
  <si>
    <t>ISSQN referente ao RPA 1915 - Alan Wender Rodrigues Dias</t>
  </si>
  <si>
    <t>IR referente ao RPA 1915 - Alan Wender Rodrigues Dias</t>
  </si>
  <si>
    <t>INSS e INSS Patronal  referente ao RPA 1915 - Alan Wender Rodrigues Dias</t>
  </si>
  <si>
    <t>Cofins referente aos rendimentos do mês 07/2022</t>
  </si>
  <si>
    <t>Transferência para conta Reserva referente aos rendimentos do mês 07/2022</t>
  </si>
  <si>
    <t>Uso de táxi pelos funcionários a serviço do CG 05/2019  referente ao mês 07/2022</t>
  </si>
  <si>
    <t xml:space="preserve">Reembolso parcial da conta do Termo de Parceria 50/2020 - IEPHA, referente contratação de empresa de setor administrativo especializada em entidades do terceiro setor  para o Contrato de Gestão 05/2019 e Termo de Parceria 50/2020 (mês 07/2022) - 27,41% do valor total </t>
  </si>
  <si>
    <t>ISSQN referente a nota fiscal 2022/55 -  Arco Cultural Ltda</t>
  </si>
  <si>
    <t>Alexandre Lisboa - Desenvolvimento De Software Ltda</t>
  </si>
  <si>
    <t>ISSQN referente a nota fiscal 2022/4 - Alexandre Lisboa - Desenvolvimento De Software Ltda</t>
  </si>
  <si>
    <t>19.492.316/0001-76</t>
  </si>
  <si>
    <t>Impressão de programas para a montagem do TeatroQuantidade: 780 Formato: 36x56cmCor:4x4Suporte: Offset 120gAcabamento: 4 dobras - Fosco</t>
  </si>
  <si>
    <t>2022/198526</t>
  </si>
  <si>
    <t>ISSQN referente a nota fiscal 2022/198526 - Cons Operacional do Transporte Coletivo</t>
  </si>
  <si>
    <t>2022/200618</t>
  </si>
  <si>
    <t>ISSQN referente a nota fiscal 2022/200618 - Cons Operacional do Transporte Coletivo</t>
  </si>
  <si>
    <t>2022/181292</t>
  </si>
  <si>
    <t xml:space="preserve">ISSQN referente a nota fiscal No:2022/181292 - Consórcio Ótimo </t>
  </si>
  <si>
    <t>2022/209110</t>
  </si>
  <si>
    <t>ISSQN referente a nota fiscal 2022/209110 - Cons Operacional do Transporte Coletivo</t>
  </si>
  <si>
    <t>Reembolso referente a compra de micro-ondas com capacidade para 20 litros, bivolt ou 110 volts, em qualquer cor, para viabilizar e compor estrutura base de apoio e permanência para a equipe interna, colaboradores e visitantes no CTPF em Marzagão, Sabará.  Processo 3771</t>
  </si>
  <si>
    <t xml:space="preserve"> guia de GPS (funcionários) INSS retido sob folha do mês 06/2022 -  Termo de Parceria 50/2020 - Iepha </t>
  </si>
  <si>
    <t>Reembolso realizado pela conta do Termo de Parceria 50/2020 - Iepha referente ao pagamento da guia de GPS (funcionários) INSS retido sob folha do mês 06/2022</t>
  </si>
  <si>
    <t>COMISSÃO DE SELEÇÃO NACIONALProfissional de notório saber, com experiência em realização cinematográfica, crítica cinematográfica, curadoria, programação e realização de eventos destinados à difusão e exibição de obras cinematográficas</t>
  </si>
  <si>
    <t>46.036.774/0001-73</t>
  </si>
  <si>
    <t>Leonardo Bittencourt Silva 08927164601</t>
  </si>
  <si>
    <t>30.477.801/0001-03</t>
  </si>
  <si>
    <t>ISSQN referente a nota fiscal 2022/260 -  Dollabela Advocacia E Consultoria</t>
  </si>
  <si>
    <t>I &amp; T Tecnologia E Servicos Ltda</t>
  </si>
  <si>
    <t>ISSQN referente a nota fiscal 2022/441 - I &amp; T Tecnologia E Servicos Ltda</t>
  </si>
  <si>
    <t xml:space="preserve"> ISSQN referente a nota fiscal 2022/48 - Mylene Youssef A Vieira - Produções E Eventos Epp</t>
  </si>
  <si>
    <t>2022/452</t>
  </si>
  <si>
    <t xml:space="preserve">ISSQN referente a nota fiscal 2022/452 - Flag Impressão Digital </t>
  </si>
  <si>
    <t>ISSQN referente a nota fiscal 2022/48 - Audio Tec Ltda</t>
  </si>
  <si>
    <t>Direitos autorais para puiblicação irrestrita do texto"Morte Branca: A melancolia de uma modernidade que o vento levou." de Eulalia Jorda</t>
  </si>
  <si>
    <t xml:space="preserve"> Eulalia Cristina Ferrer Jorda-boblet</t>
  </si>
  <si>
    <t>Tarifa Bancária referente a transferência eletrônica pagamento fornecedor: I &amp; T Tecnologia E Servicos Ltda - Processo 3522</t>
  </si>
  <si>
    <t>Tarifa Bancária referente a transferência eletrônica pagamento fornecedor: Mylene Youssef A Vieira - Produções E Eventos Epp - Processo 3609</t>
  </si>
  <si>
    <t>20 lampadas: 64655 HLX, 250 W. 24V G6.35 Preferencialmente da marca "OSRAM" - não encontrando a "OSRAM" precisamos daJC Teclight , 10lampadas: 64655 HLX, 250 W. 24V G6.35 marca quality</t>
  </si>
  <si>
    <t>Contratação de Debatedor para História Permanente do Cinema, na mostra " A Estrela Judy", que acontecerá presencialmente no Cine Humberto Mauro.</t>
  </si>
  <si>
    <t xml:space="preserve">22.204.920/0001-64
</t>
  </si>
  <si>
    <t>Processo 4210 - Rosa De Areia Produções Ltda</t>
  </si>
  <si>
    <t>Coordenação editorial para acompanhamento, gerenciamento e coordenação da execução de trabalhos editoriais relativos ao 24º FestCurtasBH, pesquisa de conteúdo textual e imagético, de autores e teóricos com obras e trabalhos publicados no campo do cinema e das artes, que estejam em consonância com as propostas e diretrizes de pesquisa de programação da edição deste ano do festival.</t>
  </si>
  <si>
    <t>Reembolso realizado pelo Termo de Parceria 50/2020 - Iepha a conta do Contra de Gestão 005/2019 referente ao pagamento de guia de FGTS - Valor proporcional aos funcionários a serviço do TP 50/2020 - 07/2022</t>
  </si>
  <si>
    <t>Reembolso realizado pela Appa - Projeto Pronac  a conta do Contrato de Gestão referente ao pagamento de guia de FGTS  - 07/2022</t>
  </si>
  <si>
    <t>Salário Gerente de Projetos , referente ao mês 06/2022</t>
  </si>
  <si>
    <t xml:space="preserve">Férias Gerente de Projetos </t>
  </si>
  <si>
    <t>Salário do Músico Instrumentista, referente ao mês 07/2022</t>
  </si>
  <si>
    <t>ISSQN referente ao RPA 1931 - Lucas Fernando Morais Ferreira</t>
  </si>
  <si>
    <t>IR referente ao RPA 1931 - Lucas Fernando Morais Ferreira</t>
  </si>
  <si>
    <t>INSS e INSS Patronal referente ao RPA 1931 - Lucas Fernando Morais Ferreira</t>
  </si>
  <si>
    <t>Elisa Nunes Monteiro 10446174629</t>
  </si>
  <si>
    <t>Salário Bailarina, referente ao mês 07/2022</t>
  </si>
  <si>
    <t>Salário do Coordenador Administrativo referente ao mês 07/2022</t>
  </si>
  <si>
    <t>Salário do Gerente de Projetos: Programação Artística referente ao mês 07/2022</t>
  </si>
  <si>
    <t>Salário do Montador Diart, referente ao mês 07/2022</t>
  </si>
  <si>
    <t>Salário do Superintendente de Auditoria, referente ao mês 07/2022</t>
  </si>
  <si>
    <t>Salário do Regente Assistente, referente ao mês 07/2022</t>
  </si>
  <si>
    <t>Salário da Analista Financeiro Pleno, referente ao mês 07/2022</t>
  </si>
  <si>
    <t>Salário do Diretor Financeiro, referente ao mês 07/2022</t>
  </si>
  <si>
    <t>Salário do Presidente referente ao mês 07/2022</t>
  </si>
  <si>
    <t>Salário do Pianista, referente ao mês 07/2022</t>
  </si>
  <si>
    <t>Salário do Músico Cantora, referente ao mês 07/2022</t>
  </si>
  <si>
    <t>Salário do Bailarina, referente ao mês 07/2022</t>
  </si>
  <si>
    <t>Salário da Produtora Cultural: Produção Artística, referente ao mês 07/2022</t>
  </si>
  <si>
    <t>Salário Gerente de Projetos Dipro, referente ao mês 07/2022</t>
  </si>
  <si>
    <t>Salário do Produtora Cultural da Dipro, referente ao mês 07/2022</t>
  </si>
  <si>
    <t>Salário do Músico, referente ao mês 07/2022</t>
  </si>
  <si>
    <t>Salário do Bailarino, referente ao mês 07/2022</t>
  </si>
  <si>
    <t>Salário do Músico Cantor, referente ao mês 07/2022</t>
  </si>
  <si>
    <t>Salário Gerente de Projetos , referente ao mês 07/2022</t>
  </si>
  <si>
    <t xml:space="preserve"> Salário  Arquivista, referente ao mês 07/2022</t>
  </si>
  <si>
    <t>Salário   Auxiliar de serviços Gerais, referente ao mês 07/2022</t>
  </si>
  <si>
    <t>Salário Montador Dipro, referente ao mês 07/2022</t>
  </si>
  <si>
    <t xml:space="preserve">Danielle da Conceição Marques Pimenta </t>
  </si>
  <si>
    <t>066.153.226-76</t>
  </si>
  <si>
    <t>FGTS referente a folha de pagamento do mês 07/2022</t>
  </si>
  <si>
    <t>Contratação Editor de Vídeo para trabalhar com as seguintes demandas:Edição dos vídeos das aulas abertas, recitais, mostras e demais projetos audiovisuais do Cefart. Listagem de vídeos: - 24 vídeos para mostra chama - Recital de Música - Camerata de Violões - Teaser do Espetáculo de formatura da Dança - Áudio descrição de duas obras de Jarbas Juarez - Dossiê da Residência - Parcela 03</t>
  </si>
  <si>
    <t>ISSQN referente a RPA 1923 - Aline Vieira Viana</t>
  </si>
  <si>
    <t>INSS e INSS Patronal referente a RPA 1923 - Aline Vieira Viana</t>
  </si>
  <si>
    <t>Ernesto Guevara Starling Ribeiro</t>
  </si>
  <si>
    <t>ISSQN referente ao RPA 1933 -  Ernesto Guevara Starling Ribeiro</t>
  </si>
  <si>
    <t>INSS e INSS Patronal referente ao RPA 1933 -  Ernesto Guevara Starling Ribeiro</t>
  </si>
  <si>
    <t>Salário de Músico, referente ao mês 07/2022</t>
  </si>
  <si>
    <t>Salário da Músico Cantor, referente ao mês 07/2022</t>
  </si>
  <si>
    <t>Salário Músico Instrumentista, referente ao mês 08/2022</t>
  </si>
  <si>
    <t>Salário da Coordenadora de Comunicação, referente ao mês 07/2022</t>
  </si>
  <si>
    <t>Sarh Reis Campos Moreira</t>
  </si>
  <si>
    <t>119.095.936-48</t>
  </si>
  <si>
    <t>Salário Músico Instrumentista, referente ao mês 07/2022</t>
  </si>
  <si>
    <t>Salário Analista de RH, referente ao mês 07/2022</t>
  </si>
  <si>
    <t>Salário de Bailarina, referente ao mês 07/2022</t>
  </si>
  <si>
    <t>Salário de Músico Cantora, referente ao mês 07/2022</t>
  </si>
  <si>
    <t>Salário  Músico Instrumentista, referente ao mês 07/2022</t>
  </si>
  <si>
    <t xml:space="preserve">Sônia Aparecida da Conceição </t>
  </si>
  <si>
    <t>881.875.946-91</t>
  </si>
  <si>
    <t>Salário  Músico Cantora, referente ao mês 07/2022</t>
  </si>
  <si>
    <t>Salário da Assessora Pedagógica, referente ao mês 07/20222</t>
  </si>
  <si>
    <t>Tarifa Bancária - Pacote Pix pagamento salário do mês 072022</t>
  </si>
  <si>
    <t>IR retido em folha do mês 07/2022</t>
  </si>
  <si>
    <t>Processo 4205 - Fábio Silva Martins De Jesus</t>
  </si>
  <si>
    <t>Contratação de técnico diarista para atender às demandas de iluminação, sonorização e cenotécnica da Sala Juveal Dias, no Palácio das Artes, durante os meses de julho e agosto.</t>
  </si>
  <si>
    <t>Reembolso realizado a conta do Termo de Parceria 50/2020 - IEPHA,  referente Salário do Bailarino mês 07/2022</t>
  </si>
  <si>
    <t>Salário  Músico Cantor, referente ao mês 07/2022</t>
  </si>
  <si>
    <t>Pix Enviado</t>
  </si>
  <si>
    <t>Filipe Silva dos Santos</t>
  </si>
  <si>
    <t>ISSQN referente a nota fiscal 2022/1130 - patrulha Eletronica LTDA</t>
  </si>
  <si>
    <t xml:space="preserve">ISSQN  referente a nota fiscal 2022396846 - Unimed Cooperativa Médica
</t>
  </si>
  <si>
    <t xml:space="preserve">ISSQN  referente a nota fiscal 2022400367 - Unimed Cooperativa Médica
</t>
  </si>
  <si>
    <t>ISSQN referente a nota fiscal 2022/197769 - Consórcio Ótimo de Bilhetagem Eletrônica</t>
  </si>
  <si>
    <t>ISSQN referente a nota fiscal 2022175448 - Consórcio Ótimo de Bilhetagem Eletrônica</t>
  </si>
  <si>
    <t>Contratação de professora convidada Waneska Cezar para preparação corporal dos bailarinos da CDPA no mês de julho, com horários a serem definidos pela direção artística.</t>
  </si>
  <si>
    <t>INSS e INSS Patronal referente ao RPA 1916 - Waneska Torres De Oliveira Cezar</t>
  </si>
  <si>
    <t>Drogaria Araújo S.A</t>
  </si>
  <si>
    <t>Cooperativa Mista De Transporte De Passageiros Taxi B H Ltda Corpertaxi</t>
  </si>
  <si>
    <t>Pagamento Boleto</t>
  </si>
  <si>
    <t>2022/1706</t>
  </si>
  <si>
    <t>Tarifa Bancária referente a transferência eletrônica pagamento fornecedor:Waneska Torres De Oliveira Cezar - Processo 4077</t>
  </si>
  <si>
    <t>Tarifa Bancária referente a transferência eletrônica pagamento fornecedor: Drogaria Araújo S.A - Processo 3870</t>
  </si>
  <si>
    <t>Despesa Bancária referente ao envio de PIX Enviado de salarios</t>
  </si>
  <si>
    <t>Montador do CefartAtividades: Atender as demandas diárias das montagens de sala de aula para os professores, como: montagem de equipamentos, mesas de som, desmontagem e montagem de instrumentos musicais, barras de dança, equipamentos multimídia, etc.</t>
  </si>
  <si>
    <t>Contratação de produtor(a) de convidados.Responsável pela produção e desenvolvimento dos trabalhos de logística, receptivo (presencial e/ou virtual), organização de agenda e acompanhamento de ações, atividades e eventos com a presença de convidados nacionais e internacionais do FestCurtasBH.</t>
  </si>
  <si>
    <t>Reembolso realizado pelo PROJETO DESCUBRA O PALÁCIO - referente a aquisição de sistema de ponto para utilização pelos colaboradores.</t>
  </si>
  <si>
    <t>Tarifa Bancária referente a transferência eletrônica pagamento fornecedor:Guilherme Domingos De Oliveira - Processo 2768</t>
  </si>
  <si>
    <t>Guia de IPTU 09/11</t>
  </si>
  <si>
    <t xml:space="preserve">Reembolso realizado pelo Termo de Parceria 50/2020 - IEPHA referente ao percentual (26,41% do valor total), Aluguel da sede da Appa referente ao mês de julho de 2022. </t>
  </si>
  <si>
    <t xml:space="preserve">Reembolso realizado pelo Termo de Parceria 50/2020 - IEPHA referente ao percentual (26,41% do valor total), Aluguel da sede da Appa referente ao mês de junho de 2022. </t>
  </si>
  <si>
    <t>Contratação de professor para ministrar o curso complementar Curadoria atendendo a demanda da Escola de Artes Visuais do Cefart.</t>
  </si>
  <si>
    <t>Raquel Dornelas da Costa</t>
  </si>
  <si>
    <t>Gerente de Projetos - Dipro</t>
  </si>
  <si>
    <t>Músico Instrumentista</t>
  </si>
  <si>
    <t>129.091.426-55</t>
  </si>
  <si>
    <t>Isadora Souza Sodré</t>
  </si>
  <si>
    <t>Produtora Cultural  Dipro</t>
  </si>
  <si>
    <t>Pedro Lucas Vianna da Silva Tavares</t>
  </si>
  <si>
    <t>094.613.766-85</t>
  </si>
  <si>
    <t>Sarah Reis Campos Moreira</t>
  </si>
  <si>
    <t>Sônia Aparecida da Conceição</t>
  </si>
  <si>
    <t>Gerente de Projetos : Cefart</t>
  </si>
  <si>
    <t>Reembolso realizado pelo Termo de Parceria 50/2020 - IEPHA referente ao percentual (26,41% do valor total), Segurança Eletrônica da Sede da APPA - mês 07/2022</t>
  </si>
  <si>
    <t>Reembolso realizado pelo Termo de Parceria 50/2020 - IEPHA referente ao percentual (26,41% do valor total), Manutenção de hardware e redes, preventiva, preditiva e corretiva da sede da Appa - mês 07/2022</t>
  </si>
  <si>
    <t>2022/1130</t>
  </si>
  <si>
    <t>2022/100</t>
  </si>
  <si>
    <t xml:space="preserve"> Claro S.A</t>
  </si>
  <si>
    <t>ISSQN referente a nota fiscal 2022/16 - Tetris Lab Projetos Ltda</t>
  </si>
  <si>
    <t xml:space="preserve">Valor recebido Polyanne Acerbi de Olveira  - CPF:  092.243.646-08, referente à locação de figurinos </t>
  </si>
  <si>
    <t>Compra de 07 galões de água mineral de 20 litros cada para consumo e atendimento da equipe de produção da ópera 'A Flauta Mágica'</t>
  </si>
  <si>
    <t xml:space="preserve">Marcela de Oliveira Rodrigues 08714767627
</t>
  </si>
  <si>
    <t>Anelise Rodriges Pepe 45591519890</t>
  </si>
  <si>
    <t>Patricia Claudia Pereira Lima Bertnardi 03978862689</t>
  </si>
  <si>
    <t>Reembolso referente ao valor de ISSQN da nota fiscal 2022/46 -  Arco Cultural Ltda - Processo 2776</t>
  </si>
  <si>
    <t>ISSQN referente a RPA 1854 - Cintya Juliana Souza Santos Dias</t>
  </si>
  <si>
    <t>IR referente a RPA 1854 - Cintya Juliana Souza Santos Dias</t>
  </si>
  <si>
    <t>INSS e INSS Patronal referente a RPA 1854 - Cintya Juliana Souza Santos Dias</t>
  </si>
  <si>
    <t>Paola Samora de Faria Campos 08817435694</t>
  </si>
  <si>
    <t>Contratação de profissional para ministrar o curso complementar "Rítmica e Percussão Corporal" para atender a demanda da Escola de Teatro do Cefart.</t>
  </si>
  <si>
    <t>644.558.586-87</t>
  </si>
  <si>
    <t>Fita adesiva para Linóleo - Gaffertape - 48mm x 50m - black - RoscotapeFita adesiva para Linóleo - Gaffertape - 48mm x 50m - greyFitas adesiva para linóleo roscotape - nas cores preto fosco e cinza. Sendo: 5 cinza e o restante preto fosco.</t>
  </si>
  <si>
    <t>04.340.334/0001-65</t>
  </si>
  <si>
    <t>Contratação de carregadores conforme cronograma do CLMG.</t>
  </si>
  <si>
    <t xml:space="preserve">
10.451.580/0001-97</t>
  </si>
  <si>
    <t>02.22.1851649.63</t>
  </si>
  <si>
    <t>ISSQN referente ao RPA 1927 - Maria Martha Ibraim Coelho</t>
  </si>
  <si>
    <t>INSS e INSS Patronal referente ao RPA 1927  - Maria Martha Ibraim Coelho</t>
  </si>
  <si>
    <t>Renata Mendes Matias 04019080623</t>
  </si>
  <si>
    <t>Tarifa Bancária referente a transferência eletrônica pagamento fornecedor: Maria Martha Ibraim Coelho - Processo 4069</t>
  </si>
  <si>
    <t>Tarifa Bancária referente a transferência eletrônica pagamento fornecedor: Renata Mendes Matias 04019080623 - Processo 4051</t>
  </si>
  <si>
    <t>Reembolso realizado de  juros/multa da guia  da Prefeitura de Belo Horizonte referente a taxas de Fiscalização de Localização e Funcionamento e Taxa de Fiscalização Sanitária .</t>
  </si>
  <si>
    <t xml:space="preserve">Reembolso realizado pelo Termo de Parceria 50/2020 - IEPHA referente ao percentual (26,41% do valor total), Taxas de Fiscalização de Localização e Funcionamento e Taxa de Fiscalização Sanitária . Favorecido: Prefeitura Muncipal de Belo Horizonte - 04ª Parcela </t>
  </si>
  <si>
    <t xml:space="preserve">BD Serviços e Consultoria LTDA </t>
  </si>
  <si>
    <t>ISSQN referente a nota fiscal 2022/8 - Bd Servicos E Consultoria Ltda</t>
  </si>
  <si>
    <t>Artelivre Produção e Comunicação LTDA</t>
  </si>
  <si>
    <t>ISSQN referente a nota fiscal 2022/13 - Arte Livre Produção E Comunicação Ltda</t>
  </si>
  <si>
    <t>Cleber Jose Leao de Almeida 01199122602</t>
  </si>
  <si>
    <t>Paulo Henrique Monferrari 067580087662</t>
  </si>
  <si>
    <t>Arco Cultural LTDA</t>
  </si>
  <si>
    <t>ISSQN referente a nota fiscal 2022/46 - Arco Cultural Ltda</t>
  </si>
  <si>
    <t>Maria Luiza Alves Mendonça 14841323600</t>
  </si>
  <si>
    <t>Queila Sabina Benfica 05787809688</t>
  </si>
  <si>
    <t>Sinara Araujo Costa Sociedade Individual de Advocacia</t>
  </si>
  <si>
    <t>ISSQN referente de nota fiscal 2022/8 - Sinara Araujo Costa Sociedade Individual De Advocacia</t>
  </si>
  <si>
    <t>Reembolso do pagamento  de contratação de ferramenta para transmissão lives.</t>
  </si>
  <si>
    <t>ISSQN referente a nota fiscal 2022/3 - Hera Gestão E Produção Cultural Ltda</t>
  </si>
  <si>
    <t>ISSQN referente a nota fiscal 2022/30 - Ouvex Tecnologia Para Compliance Ltda</t>
  </si>
  <si>
    <t>ISSQN referente a nota fiscal 2022/17 - Instituto Integridade E Compliance Consultoria De Negocios Ltda</t>
  </si>
  <si>
    <t xml:space="preserve"> BH Fotocópias Digital Ltda</t>
  </si>
  <si>
    <t>Nota fiscal</t>
  </si>
  <si>
    <t>2022/758</t>
  </si>
  <si>
    <t>ISSQN referente de nota fiscal 2022/758 - BH Fotocópias Digital Ltda</t>
  </si>
  <si>
    <t>ISSQN referente a nota fiscal 2022/5 - Cristiane Moreira Pinto Gestão Cultural - Me</t>
  </si>
  <si>
    <t xml:space="preserve"> Hera Gestão E Produção Cultural Ltda</t>
  </si>
  <si>
    <t>ISSQN referente a nota fiscal 2022/5 - Hera Gestão E Produção Cultural Ltda</t>
  </si>
  <si>
    <t>ISSQN referente a nota fiscal 2022/11- Inventário Produções Artísticas E Culturais Ltda</t>
  </si>
  <si>
    <t>ISSQN referente ao RPA 1896 - Laryssa Pereira Martins</t>
  </si>
  <si>
    <t>IR referente ao RPA 1896 - Laryssa Pereira Martins</t>
  </si>
  <si>
    <t>INSS e INSS Patronal referente ao RPA 1896 - Laryssa Pereira Martins</t>
  </si>
  <si>
    <t xml:space="preserve"> ISSQN referente a nota fiscal 2022/6 - Hera Gestão E Produção Cultural Ltda</t>
  </si>
  <si>
    <t>Reembolso a conta do Contrato de Gestão 05/2019 referente ao pagamento da guia de INSS e INSS Patronal referente ao RPA 1840 - Ana Cristina Pereira Lima</t>
  </si>
  <si>
    <t>Comunique-se S/a</t>
  </si>
  <si>
    <t>Instituto Integridade E Compliance Consultoria De Negocios Ltda</t>
  </si>
  <si>
    <t>ISSQN referente a nota fiscal 2022/35 - Ouvex Tecnologia Para Compliance Ltda.</t>
  </si>
  <si>
    <t>Ana Cristina Pereira Lima</t>
  </si>
  <si>
    <t>ISSQN referente a RPA 1894 - Ana Cristina Pereira Lima</t>
  </si>
  <si>
    <t>IR referente a RPA 1894 - Ana Cristina Pereira Lima</t>
  </si>
  <si>
    <t>INSS e INSS Patronal referente a RPA 1894 - Ana Cristina Pereira Lima</t>
  </si>
  <si>
    <t>Anelise Rodrigues Pepe 45591519890</t>
  </si>
  <si>
    <t>Coordenação Geral  - Programação Artística FCS - Ano 50 (16888-2)</t>
  </si>
  <si>
    <t>Coordenação Técnica  - Programação Artística FCS - Ano 50 (16888-2)</t>
  </si>
  <si>
    <t>Coordenação Financeira  - Programação Artística FCS - Ano 50 (16888-2)</t>
  </si>
  <si>
    <t>Quantity Servicos E Comercio De Produtos Para Saude S.a.</t>
  </si>
  <si>
    <t>Morena Nascimento Oliveira</t>
  </si>
  <si>
    <t>ISSQN  referente a RPA 1865  - Morena Nascimento Oliveira</t>
  </si>
  <si>
    <t>IR referente a RPA 1865  - Morena Nascimento Oliveira</t>
  </si>
  <si>
    <t>Reembolso pagamento de guia de INSS e INSS Patronal  referente ao RPA 1795 - Cintya Juliana Souza Santos Dias</t>
  </si>
  <si>
    <t>Reembolso pagamento de guia  INSS e INSS Patronal referente ao RPA 1844 -  Laryssa Pereira Martins</t>
  </si>
  <si>
    <t>Reembolso realizado pelo Termo de Parceria 50/2020 - IEPHA referente ao percentual (26,41% do valor total ) consumo de água da sede da Appa- mês 07/2022</t>
  </si>
  <si>
    <t>001.22.47234560-2</t>
  </si>
  <si>
    <t xml:space="preserve"> Lcm Ltda</t>
  </si>
  <si>
    <t>U06003</t>
  </si>
  <si>
    <t>15140576-MG</t>
  </si>
  <si>
    <t>Tarifa Bancária referente a transferência eletrônica pagamento fornecedor:  Lcm Ltda - Processo 4193</t>
  </si>
  <si>
    <t>Reembolso realizado pelo Termo de Parceria 50/2020 - IEPHA referente ao percentual (26,41% do valor total ) locação de impressoras da sede da Appa referente ao mês 07/2022</t>
  </si>
  <si>
    <t>Reembolso realizado pelo Termo de Parceria 50/2020 - IEPHA referente ao percentual 26,41% do valor total ) ao consumo de internet da Appa do mês 07/2022</t>
  </si>
  <si>
    <t>Repasse referente a parcela de Agosto 2022</t>
  </si>
  <si>
    <t>Reembolso realizado pelo Termo de Parceria 50/2020 - IEPHA referente a guia de IPTU -  6º Parcela</t>
  </si>
  <si>
    <t>Reembolso realizado pelo Termo de Parceria 50/2020 - IEPHA referente a guia de IPTU - 7º Parcela</t>
  </si>
  <si>
    <t>ISSQN referente ao RPA 1871 - Fabio Silvia Martins De Jesus</t>
  </si>
  <si>
    <t>Rafael Bruno De Oliveira Ferreira Eireli</t>
  </si>
  <si>
    <t xml:space="preserve">Valor recebido Leandro Cesar  - CPF: 062.439.076-43,  referente à locação de figurinos </t>
  </si>
  <si>
    <t>ISSQN referente a nota fiscal 2022/31 - Hatari Filmes Ltda</t>
  </si>
  <si>
    <t>Serviço de execução de projeto cenográfico para a exposição de itinerância da 34ª Bienal de São Paulo que acontece nas galerias do Palácio das Artes de julho a setembro de 2022</t>
  </si>
  <si>
    <t>Rodrigo Marçal De Souza E Silva 05273554616</t>
  </si>
  <si>
    <t xml:space="preserve">ISSQN referente ao RPA 1893 - Bruno Gonçalves Oliveira Rios
</t>
  </si>
  <si>
    <t xml:space="preserve">IR referente ao RPA 1893 - Bruno Gonçalves Oliveira Rios
</t>
  </si>
  <si>
    <t>Film Center Supply Comercio, Importacao, Exportacao E Locacao De Equipamentos Ltda</t>
  </si>
  <si>
    <t>Sonhar Balões E Festas Ltda</t>
  </si>
  <si>
    <t>RH Papelaria Ltda</t>
  </si>
  <si>
    <t>CDR Comercio E Importacao De Artigos De Papelaria Ltda</t>
  </si>
  <si>
    <t>ISSQN referente a nota fiscal 2022/14 - Sergio Arruda Felicio</t>
  </si>
  <si>
    <t>Contratação de aderecista,para envelhecimento de 1 jarra e de facas cenográficas para ensaios e apresentações da CDPA, espetáculo Lalangue.</t>
  </si>
  <si>
    <t>Raimundo Pereira Da Silva Neto 71523472472</t>
  </si>
  <si>
    <t>14.459.889/0001-84</t>
  </si>
  <si>
    <t>IR referente ao RPA 1804 - Carla Lima Cattabriga</t>
  </si>
  <si>
    <t xml:space="preserve"> Jussan Meireles Fernandes</t>
  </si>
  <si>
    <t>ISSQN referente a RPA 1897 - Jussan Meireles Fernandes</t>
  </si>
  <si>
    <t>Marcus Vinicius S. Borges Ltda</t>
  </si>
  <si>
    <t>ISSQN referente a nota fiscal 2022/9 - Marcus Vinicius S. Borges Ltda</t>
  </si>
  <si>
    <t>IR referente a nota fiscal 2022/9 - Marcus Vinicius S. Borges Ltda</t>
  </si>
  <si>
    <t>PCC referente a nota fiscal 2022/9 - Marcus Vinicius S. Borges Ltda</t>
  </si>
  <si>
    <t xml:space="preserve"> Bruno Gonçalves Oliveira Rios</t>
  </si>
  <si>
    <t xml:space="preserve">ISSQN referente ao RPA 1903 - Bruno Gonçalves Oliveira Rios
</t>
  </si>
  <si>
    <t xml:space="preserve">IR referente ao RPA 1903 - Bruno Gonçalves Oliveira Rios
</t>
  </si>
  <si>
    <t xml:space="preserve">Sheila Fernanda Oliveira Da Silva </t>
  </si>
  <si>
    <t xml:space="preserve">ISSQN referente ao RPA 1904 - Sheila Fernanda Oliveira Da Silva </t>
  </si>
  <si>
    <t xml:space="preserve">IR referente ao RPA 1904 - Sheila Fernanda Oliveira Da Silva </t>
  </si>
  <si>
    <t>Márcio Tadeu Alves</t>
  </si>
  <si>
    <t>ISSQN referente ao RPA 1900 - Márcio Tadeu Alves</t>
  </si>
  <si>
    <t>ISSQN referente ao RPA 1906 - Alesandra Filgueiras</t>
  </si>
  <si>
    <t>IR referente ao RPA 1906 - Alesandra Filgueiras</t>
  </si>
  <si>
    <t>Transfêrencia Agendada</t>
  </si>
  <si>
    <t>Cofins 06/2022 - prog fcs ano 50 leic 16.888-2</t>
  </si>
  <si>
    <t xml:space="preserve"> Loggi Tecnologia LTDA</t>
  </si>
  <si>
    <t>2022/400367</t>
  </si>
  <si>
    <t>2022/396846</t>
  </si>
  <si>
    <t>IR referente a nota fiscal 2022/396846 - Unimed Belo Horizonte Cooperativa de Trabalho Médico</t>
  </si>
  <si>
    <t>PCC referente a nota fiscal 2022/396846 - Unimed Belo Horizonte Cooperativa de Trabalho Médico</t>
  </si>
  <si>
    <t>ISSQN referente a nota fiscal 2022/10 - Bd Servicos E Consultoria Ltda</t>
  </si>
  <si>
    <t xml:space="preserve">222181903885
</t>
  </si>
  <si>
    <t xml:space="preserve">222181897206
</t>
  </si>
  <si>
    <t xml:space="preserve"> 222181895335
</t>
  </si>
  <si>
    <t>ISSQN referente a nota fiscal 2022/22 - 
Instituto Integridade E Compliance Consultoria De Negocios Ltda</t>
  </si>
  <si>
    <t>Compra de um par de sapato social ortopédico preto para Carlos Natanael (número 40) e Alexandre de Oliveira (número 42).</t>
  </si>
  <si>
    <t xml:space="preserve">04.951.909/0001-86
</t>
  </si>
  <si>
    <t>Contratação de ferramenta servidor de nuvem - Google Cloud Platform.</t>
  </si>
  <si>
    <t>ISSQN referente ao RPA 1905 -  Carla Lima Cattabriga</t>
  </si>
  <si>
    <t>IR referente ao RPA 1905 -  Carla Lima Cattabriga</t>
  </si>
  <si>
    <t>Reembolso ref. pagamento realizado a maior para Arte Group, NF 70012.</t>
  </si>
  <si>
    <t>Reembolso recebido ref. devolução troca de item da nota fiscal 7497. Pagamento realizado em 20/05/2022, processo 3751, NF 7583.</t>
  </si>
  <si>
    <t>2022/445</t>
  </si>
  <si>
    <t>ISSQN referente a nota fiscal 2022/445 -  Flag Impressao Digital Ltda</t>
  </si>
  <si>
    <t xml:space="preserve"> Unicusto Limpeza Em Eventos Ltda</t>
  </si>
  <si>
    <t>2022/65</t>
  </si>
  <si>
    <t>ISSQN referente a nota fiscal 2022/65 -  Unicusto Limpeza Em Eventos Ltda</t>
  </si>
  <si>
    <t>INSS referente a nota fiscal 2022/65 -  Unicusto Limpeza Em Eventos Ltda</t>
  </si>
  <si>
    <t xml:space="preserve"> Rafael Bruno De Oliveira Ferreira Eireli</t>
  </si>
  <si>
    <t>ISSSQN referente a nota fiscal 2022/2 -  Rafael Bruno De Oliveira Ferreira Eireli</t>
  </si>
  <si>
    <t>ISSQN referente ao RPA 1914 - Fabio Silvia Martins De Jesus</t>
  </si>
  <si>
    <t xml:space="preserve"> Emer-som Ltda</t>
  </si>
  <si>
    <t>ISSQN referente a nota fiscal 2022/80 -  Emer-som Ltda</t>
  </si>
  <si>
    <t xml:space="preserve"> Thiago Antonini Mares Santos Ltda</t>
  </si>
  <si>
    <t>ISSQN referente a nota fiscal 2022/53 -  Thiago Antonini Mares Santos Ltda</t>
  </si>
  <si>
    <t>INSS referente a nota fiscal 2022/53 -  Thiago Antonini Mares Santos Ltda</t>
  </si>
  <si>
    <t>PCC referente a nota fiscal 2022/53 -  Thiago Antonini Mares Santos Ltda</t>
  </si>
  <si>
    <t>Tar DOC/TED Eletrônico</t>
  </si>
  <si>
    <t>ISSQN referente a nota fiscal 2022/33 - Hatari Filmes Ltda</t>
  </si>
  <si>
    <t>2022/31</t>
  </si>
  <si>
    <t>ISSQN referente ao RPA 1928 - Ivete Maria De Oliveira 76363481600</t>
  </si>
  <si>
    <t>Onibus para transporte do CLMG, aproximadamente 45 passageiros, para apresentação na Igreja São Sebastião</t>
  </si>
  <si>
    <t>Expresso Unir Ltda</t>
  </si>
  <si>
    <t>ISSQN referente a nota fiscal 883 - Expresso Unir Ltda</t>
  </si>
  <si>
    <t>Reembolso realizado pelo Termo de Parceria 50/2020 - IEPHA referente ao percentual (26,41% do valor total) consumo de energia elétrica da sede da Appa- mês 07/2022</t>
  </si>
  <si>
    <t>Reembolso realizado pelo Termo de Parceria 50/2020 - IEPHA referente ao percentual (26,41% do valor total), referente ao telefone móvel da sede da Appa- mês 07/2022</t>
  </si>
  <si>
    <t>Rogério Meira Coelho</t>
  </si>
  <si>
    <t>ISSQN referente ao RPA 1950 - Rogério Meira Coelho</t>
  </si>
  <si>
    <t>INSS e INSS Patronal referente ao RPA 1950 - Rogério Meira Coelho</t>
  </si>
  <si>
    <t>Telefone móvel para os funcionários a serviço do Contrato de Gestão, referente ao mês 07/2022</t>
  </si>
  <si>
    <t>Compasso Comércio De Calçados E Confecções Ilimitada</t>
  </si>
  <si>
    <t>ISSQN referente a nota fiscal 2022/7 - Renata Fonseca Felicissimo 10665267614</t>
  </si>
  <si>
    <t>ISSQN referente a nota fiscal 2022/50 - Mylene Youssef A Vieira - Produções E Eventos Epp</t>
  </si>
  <si>
    <t>Tarifa Bancária referente a transferência eletrônica pagamento fornecedor: Compasso Comércio De Calçados E Confecções Ilimitada  - Processo 4267</t>
  </si>
  <si>
    <t>Tarifa Bancária referente a transferência eletrônica pagamento fornecedor: Renata Fonseca Felicissimo 10665267614  - Processo 3942</t>
  </si>
  <si>
    <t>Tarifa Bancária referente a transferência eletrônica pagamento fornecedor: Mylene Youssef A Vieira - Produções E Eventos Epp  - Processo 4168</t>
  </si>
  <si>
    <t>ISSQN referente a nota fiscal 2022/55 -  Damasco Comunicação Eirelli</t>
  </si>
  <si>
    <t>Contratação de 01 diária de prestador de serviço para limpeza fina e organização dos ambientes cozinha, lavanderia e banheiros do 2° piso do CTPF Andradas para atendimento da equipe da produção da ópera A Flauta Mágica.</t>
  </si>
  <si>
    <t xml:space="preserve">10.451.580/0001-97
</t>
  </si>
  <si>
    <t>Reembolso referente a compra de insumos para costura, necessários ao processo inicial de confecção dos figurinos da Ópera A Flauta Mágica que circulará em apresentação na cidade de Belo Horizonte na segunda quinzena de setembro. Os itens adquiridos são: 04 pcts com 10 und cada de agulhas pé fino; 01 cartela com 20 und de agulhas de mão; 01 cartela com 20 und de agulhas extra longa; 01 caixa com 25g de alfinetes niquelados; 01 pacote de alfinetes com cabeça de vidro.</t>
  </si>
  <si>
    <t xml:space="preserve">A aquisição de 24 metros de corda sisal 10mm se faz necessária para a apresentação dos alunos na terça da dança no teatro Marília que acontecerá no dia 23/08/2022 </t>
  </si>
  <si>
    <t>17.278.169/0001-00</t>
  </si>
  <si>
    <t>Compra de material de iluminação para compor a cenografia da 34 Bienal de São Paulo.</t>
  </si>
  <si>
    <t>17.155.342/0001-83</t>
  </si>
  <si>
    <t>Reembolso de despesa de projeto paga com
Recursos diversos - Programa De Artes Visuais
Da Fundação Clóvis Salgado 2018 - Pronac
177912, referente ao fornecimento de
equipamentos para projeção de vídeo para atender as demandas de montagem da
exposição comemorativa de 50 anos do Palácio das Artes, denominada “50 anos em 5 atos” - Fornecedor: On Projetos Audiovisuais Eireli Epp</t>
  </si>
  <si>
    <t>ISSQN referente ao RPA 1849 - Dominick Lattuada Abreu Barbosa</t>
  </si>
  <si>
    <t>IR referente ao RPA 1849 - Dominick Lattuada Abreu Barbosa</t>
  </si>
  <si>
    <t>INSS e INSS Patronal referente ao RPA 1849 - Dominick Lattuada Abreu Barbosa</t>
  </si>
  <si>
    <t>Silvia Maria Nascimento Amarante</t>
  </si>
  <si>
    <t>ISSQN referente ao RPA 1850 -Silvia Maria Nascimento Amarante</t>
  </si>
  <si>
    <t>IR referente ao RPA 1850 -Silvia Maria Nascimento Amarante</t>
  </si>
  <si>
    <t>INSS e INSS Patronal referente ao RPA 1850 -Silvia Maria Nascimento Amarante</t>
  </si>
  <si>
    <t>Lucas Antonio Pereira Morais 08013007626</t>
  </si>
  <si>
    <t>ISSQN referente ao RPA 1864 - Natália Fernandes De Azevedo Barbosa</t>
  </si>
  <si>
    <t>IR referente ao RPA 1864 - Natália Fernandes De Azevedo Barbosa</t>
  </si>
  <si>
    <t>INSS e INSS Patrobal referente ao RPA 1864 - Natália Fernandes De Azevedo Barbosa</t>
  </si>
  <si>
    <t xml:space="preserve"> A Criação Gráfica Eireli</t>
  </si>
  <si>
    <t>2022/1223</t>
  </si>
  <si>
    <t>ISSQN referente a nota fiscal 2022/1223 - A Criação Gráfica Eireli</t>
  </si>
  <si>
    <t>Iury Rodrigues Roque 12337662608</t>
  </si>
  <si>
    <t>ISSQN referente ao RPA 1895 - Fernando Cesar Caldeira Pacheco Barbosa</t>
  </si>
  <si>
    <t>IR referente ao RPA 1895 - Fernando Cesar Caldeira Pacheco Barbosa</t>
  </si>
  <si>
    <t>INSS e INSS Patronal referente ao RPA 1895 - Fernando Cesar Caldeira Pacheco Barbosa</t>
  </si>
  <si>
    <t>Reembolso a conta do Contrato de Gestão 05/2019 referente ao INSS e INSS Patronal referente ao RPA 1830 - Bruno Gonçalves Oliveira Rios</t>
  </si>
  <si>
    <t xml:space="preserve">Cofins 06/2022 - Prog. De Artes Vis Fund. Clovis </t>
  </si>
  <si>
    <t>Loja Do Paulo Comercio Ltda</t>
  </si>
  <si>
    <t>Sociedade Irmãos Barros Andrade Ltda</t>
  </si>
  <si>
    <t>Bh Lampadas Especiais E Iluminação Ltda</t>
  </si>
  <si>
    <t>Andrea De Azevedo Anhaia 02174881454</t>
  </si>
  <si>
    <t>Instituto Mano Down - Demais</t>
  </si>
  <si>
    <t>Welleton Carlos Beato André</t>
  </si>
  <si>
    <t>ISSQN referente ao RPA 1949 - Welleton Carlos Beato André</t>
  </si>
  <si>
    <t>INSS e INSS Patronal referente ao RPA 1949 - Welleton Carlos Beato André</t>
  </si>
  <si>
    <t>Tarifa Bancária referente a transferência eletrônica pagamento fornecedor: Andrea De Azevedo Anhaia 02174881454 -  Processo 4142</t>
  </si>
  <si>
    <t>Tarifa Bancária referente a transferência eletrônica pagamento fornecedor: Instituto Mano Down - Demais - Processo 2357</t>
  </si>
  <si>
    <t>Tarifa Bancária referente a transferência eletrônica pagamento fornecedor: Welleton Carlos Beato André - Processo 3749</t>
  </si>
  <si>
    <t>Nívea Thaís Sabino</t>
  </si>
  <si>
    <t>ISSQN referente ao RPA 1948 - Nívea Thaís Sabino</t>
  </si>
  <si>
    <t>INSS e INSS Patronal referente ao RPA 1948 - Nívea Thaís Sabino</t>
  </si>
  <si>
    <t xml:space="preserve"> Victor Hugo De Almeida</t>
  </si>
  <si>
    <t>Isabel Furtado De Lacerda</t>
  </si>
  <si>
    <t>IR referente ao recibo de Isabel Furtado De Lacerda</t>
  </si>
  <si>
    <t>Gustavo Menezes Brandão</t>
  </si>
  <si>
    <t>Quimera Filmes Ltda</t>
  </si>
  <si>
    <t>ISSQN referente ao RPA 1853 - Pedro Vaz Perez</t>
  </si>
  <si>
    <t>ISSQN referente ao RPA 1866 - Sara De Oliveira Paoliello</t>
  </si>
  <si>
    <t>IR referente ao RPA 1866 - Sara De Oliveira Paoliello</t>
  </si>
  <si>
    <t>INSS e INSS Patronal referente ao RPA 1866 - Sara De Oliveira Paoliello</t>
  </si>
  <si>
    <t>IR referente ao RPA 1863 - Paulo Augusto De Mello Gomes</t>
  </si>
  <si>
    <t>INSS e INSS Patronal referente ao RPA 1863 - Paulo Augusto De Mello Gomes</t>
  </si>
  <si>
    <t>ISSQN referente ao RPA 1867 - Angela Peres De Oliveira</t>
  </si>
  <si>
    <t>IR referente ao RPA 1867 - Angela Peres De Oliveira</t>
  </si>
  <si>
    <t>INSS e INSS Patronal referente ao RPA 1867 - Angela Peres De Oliveira</t>
  </si>
  <si>
    <t>Aluizio De Paula Salles Júnior</t>
  </si>
  <si>
    <t xml:space="preserve">ISSQN referente a nota fiscal 2022/7 - Rosa De Areia Produções Ltda </t>
  </si>
  <si>
    <t xml:space="preserve"> Entrecampo Design Ltda</t>
  </si>
  <si>
    <t>ISSQN referente a nota fiscal 2022/56 - Entrecampo Design Ltda</t>
  </si>
  <si>
    <t>ISSQN referente a nota fiscal 2022/30 - Hatari Filmes Ltda</t>
  </si>
  <si>
    <t xml:space="preserve"> Oswaldo Caldeira Correa Da Silva</t>
  </si>
  <si>
    <t>IR referente a recibo de Oswaldo Caldeira Correa Da Silva</t>
  </si>
  <si>
    <t>ISSQN referente a nota fiscal 2022/187 -  Dollabela Advocacia E Consultoria</t>
  </si>
  <si>
    <t>ISSQN referente ao RPA 1885 - Rodrigo César Gomes De Freitas</t>
  </si>
  <si>
    <t>IR referente ao RPA 1885 - Rodrigo César Gomes De Freitas</t>
  </si>
  <si>
    <t>INSS e INSS Patronal referente ao RPA 1885 - Rodrigo César Gomes De Freitas</t>
  </si>
  <si>
    <t>Soraia Nogueira Carabini</t>
  </si>
  <si>
    <t>ISSQN referente ao RPA 1882 - Soraia Nogueira Carabini</t>
  </si>
  <si>
    <t>INSS e INSS Patronal referente ao RPA 1882 - Soraia Nogueira Carabini</t>
  </si>
  <si>
    <t>Lourenço Rodrigues Pereira Veloso</t>
  </si>
  <si>
    <t>IR referente ao recibo de Lourenço Rodrigues Pereira Veloso</t>
  </si>
  <si>
    <t>Valéria Mauro De Lima</t>
  </si>
  <si>
    <t>IR referente ao recibo de Valéria Mauro De Lima</t>
  </si>
  <si>
    <t>Sylvio Gomes Lanna</t>
  </si>
  <si>
    <t xml:space="preserve"> José Sette De Barros Filho</t>
  </si>
  <si>
    <t>IR referente ao recibo de José Sette De Barros Filho</t>
  </si>
  <si>
    <t>Maria Stella Mendes Ribeiro</t>
  </si>
  <si>
    <t xml:space="preserve"> João Batista Melo Dos Santos</t>
  </si>
  <si>
    <t>ISSQN referente a nota fiscal 2022/19 - Chão Da Feira Ltda</t>
  </si>
  <si>
    <t>ISSQN referente a nota fiscal 2022/11 - Javali Do Mar Experimentações Artisticas Ltda</t>
  </si>
  <si>
    <t xml:space="preserve"> Heco Produções Ltda</t>
  </si>
  <si>
    <t>Reembolso a conta do Contrato de Gestão 05/2019 refrente a INSS e INSS Patronal referente ao RPA 1811 -Rodrigo César Gomes De Freitas</t>
  </si>
  <si>
    <t>Reembolso a conta do Contrato de Gestão 05/2019 refrente ao INSS e INSS  Patronal referente ao RPA 1825 -  Sara De Oliveira Paoliello</t>
  </si>
  <si>
    <t>Reza Brava Produção E Comunicação Audiovisual Ltda</t>
  </si>
  <si>
    <t>Cofins 06/2022 - Minc Pronac 178919</t>
  </si>
  <si>
    <t>Rafael Conde De Resende</t>
  </si>
  <si>
    <t>Oderval Rodrigues De Oliveira Junior 01354958659</t>
  </si>
  <si>
    <t>ISSQN referente a nota fiscal 2022/32 - Oderval Rodrigues De Oliveira Junior 01354958659</t>
  </si>
  <si>
    <t xml:space="preserve"> Ajg Vigilância Ltda</t>
  </si>
  <si>
    <t>2022/105</t>
  </si>
  <si>
    <t>ISSQN referente a nota 2022/105 - Ajg Vigilância Ltda</t>
  </si>
  <si>
    <t>INSS referente a nota 2022/105 - Ajg Vigilância Ltda</t>
  </si>
  <si>
    <t>PCC referente a nota 2022/105 - Ajg Vigilância Ltda</t>
  </si>
  <si>
    <t>ISSQN referente a nota fiscal2022/33 - Oderval Rodrigues De Oliveira Junior 01354958659</t>
  </si>
  <si>
    <t>Panificadora Silva Magalhães Ltda</t>
  </si>
  <si>
    <t xml:space="preserve"> Oderval Rodrigues De Oliveira Junior 01354958659</t>
  </si>
  <si>
    <t xml:space="preserve">Reembolso de despesa de projeto paga com
Recursos diversos - Cine Humberto Mauro -
Programação E Fomento 2018 - Pronac 178919 - Despesa paga equivocadamente por conta de outro
projeto. </t>
  </si>
  <si>
    <t>Contratação de 02 seguranças desarmados para Domingo dia 21/08 no horário das 07:00H as 13:00H e02 seguranças armados, de sábado dia 20/08 no horário das 18:00H até as 06:00H</t>
  </si>
  <si>
    <t>Processo 4207 - Guard - Gerenciamento De Documentos Ltda</t>
  </si>
  <si>
    <t>Serviço para contratação de espaço para a guarda de documentos da sede administrativos - 2º semestre de 2022.</t>
  </si>
  <si>
    <t>2022/68</t>
  </si>
  <si>
    <t>ISSQN referente a nota fiscal 2022/68 - Unicusto Limpeza Em Eventos Ltda</t>
  </si>
  <si>
    <t>INSS referente a nota fiscal 2022/68 - Unicusto Limpeza Em Eventos Ltda</t>
  </si>
  <si>
    <t>Contratação de profissional para ministrar o curso complementar Violino, a fim de atender a demanda da Escola de Música do Cefart.</t>
  </si>
  <si>
    <t xml:space="preserve">
47.635.062/0001-33</t>
  </si>
  <si>
    <t>ISSQN referente a RPA 1912 - Angela Peres De Oliveira</t>
  </si>
  <si>
    <t>IR referente a RPA 1912 - Angela Peres De Oliveira</t>
  </si>
  <si>
    <t>INSS e INSS Patronal referente a RPA 1912 - Angela Peres De Oliveira</t>
  </si>
  <si>
    <t>36.587.471/0001-95</t>
  </si>
  <si>
    <t>Filmes Do Serro Ltda.</t>
  </si>
  <si>
    <t>Yasmine Paula Evaristo</t>
  </si>
  <si>
    <t>ISSQN referente ao RPA 1920 - Yasmine Paula Evaristo</t>
  </si>
  <si>
    <t>INSS e INSS Patronal referente ao RPA 1920 - Yasmine Paula Evaristo</t>
  </si>
  <si>
    <t>ISSQN referente ao RPA 1921 - José Ricardo Da Costa Miranda Júnior</t>
  </si>
  <si>
    <t>INSS e INSS Patronal referente ao RPA 1921 - José Ricardo Da Costa Miranda Júnior</t>
  </si>
  <si>
    <t>ISSQN referente a nota fsical 2022/22 - Atena Arte E Cultura Ltda</t>
  </si>
  <si>
    <t xml:space="preserve"> Rosa De Areia Produções Ltda </t>
  </si>
  <si>
    <t xml:space="preserve">ISSQN referente a nota fiscal 2022/10 - Rosa De Areia Produções Ltda </t>
  </si>
  <si>
    <t xml:space="preserve"> Cleiton Rafael Ferreira Lopes</t>
  </si>
  <si>
    <t>ISSQN referente ao RPA 1932 -  Cleiton Rafael Ferreira Lopes</t>
  </si>
  <si>
    <t>INSS e INSS Patronal referente ao RPA 1932 -  Cleiton Rafael Ferreira Lopes</t>
  </si>
  <si>
    <t>ISSQN referente ao RPA 1934 - Sara De Oliveira Paoliello</t>
  </si>
  <si>
    <t>IR referente ao RPA 1934 - Sara De Oliveira Paoliello</t>
  </si>
  <si>
    <t>INSS e INSS Patronal referente ao RPA 1934 - Sara De Oliveira Paoliello</t>
  </si>
  <si>
    <t>Instituto Humberto Mauro</t>
  </si>
  <si>
    <t>ISSQN referente a Nota fiscal 2022/2 - Instituto Humberto Mauro</t>
  </si>
  <si>
    <t>ISSQN referente a nota fiscal 2022/34 - Hatari Filmes Ltda</t>
  </si>
  <si>
    <t>ISSQN referente ao RPA 1935 - Rodrigo César Gomes De Freitas</t>
  </si>
  <si>
    <t>INSS e INSS Patronal referente ao RPA 1935 - Rodrigo César Gomes De Freitas</t>
  </si>
  <si>
    <t xml:space="preserve"> Luiz Paixão Lima Borges</t>
  </si>
  <si>
    <t>ISSQN referente ao RPA 1946 - Luiz Paixão Lima Borges</t>
  </si>
  <si>
    <t>INSS e INSS Patronal referente ao RPA 1946 - Luiz Paixão Lima Borges</t>
  </si>
  <si>
    <t>Gabriel Augusto Reis De Araújo</t>
  </si>
  <si>
    <t>ISSQN referente ao RPA 1945 - Gabriel Augusto Reis De Araújo</t>
  </si>
  <si>
    <t>INSS e INSS Patronal referente ao RPA 1945 - Gabriel Augusto Reis De Araújo</t>
  </si>
  <si>
    <t>Reembolso realizado pela conta 11407-3 referente ao pagamento da guia de GPS do mês 07/2022</t>
  </si>
  <si>
    <t>Reembolso realizado pela conta 15949-2 referente ao pagamento da guia de GPS do mês 07/2022</t>
  </si>
  <si>
    <t>Reembolso realizado pela conta 16173-X referente ao pagamento da guia de GPS do mês 07/2022</t>
  </si>
  <si>
    <t>Reembolso realizado pela conta 16185-3 referente ao pagamento da guia de GPS do mês 07/2022</t>
  </si>
  <si>
    <t>Reembolso realizado pela conta do Termo de Parceria 50/2020 - Iepha referente ao pagamento da guia de GPS (autônomo) do mês 07/2022</t>
  </si>
  <si>
    <t xml:space="preserve"> guia de GPS (funcionários) INSS retido sob folha do mês 07/2022 -  Termo de Parceria 50/2020 - Iepha </t>
  </si>
  <si>
    <t xml:space="preserve">a guia de GPS (funcionários) INSS Patronal sob folha do mês 07/2022 -  Termo de Parceria 50/2020 - Iepha </t>
  </si>
  <si>
    <t>Reembolso realizado pela conta 16376-7  referente ao pagamento da guia de GPS do mês 07/2022</t>
  </si>
  <si>
    <t>Reembolso realizado pela conta 16375-9  referente ao pagamento da guia de GPS do mês 07/2022</t>
  </si>
  <si>
    <t>Reembolso realizado pela conta 16391-0  referente ao pagamento da guia de GPS do mês 07/2022</t>
  </si>
  <si>
    <t>Reembolso realizado pela conta 16476-3  referente ao pagamento da guia de GPS do mês 07/2022</t>
  </si>
  <si>
    <t>Reembolso realizado pela conta 16517-4 referente ao pagamento da guia de GPS do mês 07/2022</t>
  </si>
  <si>
    <t>Reembolso realizado pela conta  16821-1  referente ao pagamento da guia de GPS do mês 07/2022</t>
  </si>
  <si>
    <t>Reembolso realizado pela conta  16888-2  referente ao pagamento da guia de GPS do mês 07/2022</t>
  </si>
  <si>
    <t xml:space="preserve"> Fábio De Paula Fiorini 48373214615</t>
  </si>
  <si>
    <t>Marília Cristina Abreu De Souza 09006541630</t>
  </si>
  <si>
    <t>INSS e INSS Patronal referente ao RPA 1888 - Lucas Fernando Morais Ferreira</t>
  </si>
  <si>
    <t>Reembolso realizado pela conta do Termo de Parceria 50/2020 - Iepha referente ao pagamento da guia de GPS (funcionários) INSS retido sob folha do mês 07/2022</t>
  </si>
  <si>
    <t>Reembolso realizado pela conta do Termo de Parceria 50/2020 - Iepha referente ao pagamento da guia de GPS (funcionários) INSS Patronal do mês 07/2022</t>
  </si>
  <si>
    <t>Guia de GPS do mês 07/2022 -  conta 16391-0</t>
  </si>
  <si>
    <t>INSS retido em folha do mês 07/2022</t>
  </si>
  <si>
    <t>INSS Patronal referente a folha do mês 07/2022</t>
  </si>
  <si>
    <t xml:space="preserve">guia de GPS do mês 07/2022 - conta 11407-3 </t>
  </si>
  <si>
    <t xml:space="preserve">guia de GPS do mês 07/2022 -  conta 15949-2 </t>
  </si>
  <si>
    <t>guia de GPS do mês 07/2022 - conta 16173-X</t>
  </si>
  <si>
    <t>guia de GPS do mês 07/2022 - conta 16185-3</t>
  </si>
  <si>
    <t xml:space="preserve"> guia de GPS do mês 07/2022 - conta 16376-7 </t>
  </si>
  <si>
    <t>guia de GPS do mês 07/2022 - conta 16476-3</t>
  </si>
  <si>
    <t>guia de GPS do mês 06/2022 - conta 16517-4</t>
  </si>
  <si>
    <t>guia de GPS do mês 07/2022 - conta 16517-4</t>
  </si>
  <si>
    <t>guia de GPS do mês 07/2022 - conta 16821-1</t>
  </si>
  <si>
    <t>guia de GPS do mês 07/2022 - conta 16888-2</t>
  </si>
  <si>
    <t>Tarifa Bancária referente a transferência eletrônica pagamento fornecedor: Marília Cristina Abreu De Souza 09006541630 -  Processo 3794</t>
  </si>
  <si>
    <t>Tarifa Bancária referente a transferência eletrônica pagamento fornecedor: Laryssa Pereira Martins -  Processo 4271</t>
  </si>
  <si>
    <t>guia de GPS do mês 07/2022 - conta 16357-0</t>
  </si>
  <si>
    <t>guia de GPS do mês 07/2022 - conta 16375-9</t>
  </si>
  <si>
    <t>Reembolso realizado pela conta Área Meio - referente a guia de GPS folha de pagamento do mês 01/2022 - Anglo Goldi Ashanti</t>
  </si>
  <si>
    <t>Contratação debatedor para o História Permanente do Cinema na mostra "Philippe Vallois:Cartografias do desejo".Filme a ser comentado:"Um perfume chamado Said" de Philippe Vallois, 2006</t>
  </si>
  <si>
    <t>009.469.496-62</t>
  </si>
  <si>
    <t>Contratação de profissional para ministrar o Curso Complementar Dança contemporânea sob uma perspectiva afro-atlântica, a fim de atender a demanda da Escola de Dança do Cefart</t>
  </si>
  <si>
    <t>079.192.576-54</t>
  </si>
  <si>
    <t>INSS referente a nota fiscal 2022/59 - Unicusto Limpeza Em Eventos Ltda</t>
  </si>
  <si>
    <t>Contratação de profissional para ministrar o curso complementar Musicalidade e Corpo, a fim de atender a demanda da Escola de Dança do Cefart.</t>
  </si>
  <si>
    <t>205.768.466-00</t>
  </si>
  <si>
    <t>2022/30</t>
  </si>
  <si>
    <t xml:space="preserve">Reembolso parcial da conta do Termo de Parceria 50/2020 - IEPHA, referenteao uso de telefone fixo (mês 07/2022) - 26,41% do valor total </t>
  </si>
  <si>
    <t xml:space="preserve"> Ibere Sansara Alves 08717018633</t>
  </si>
  <si>
    <t>Fabiana Oliveira De Jesus</t>
  </si>
  <si>
    <t>ISSQN referente ao RPA 1957 - Fabiana Oliveira De Jesus</t>
  </si>
  <si>
    <t>IR referente ao RPA 1957 - Fabiana Oliveira De Jesus</t>
  </si>
  <si>
    <t>INSS e INSS Patronal referente ao RPA 1957 - Fabiana Oliveira De Jesus</t>
  </si>
  <si>
    <t>ISSQN referente ao RPA 1956 - Robson Miguel Saquett Chagas</t>
  </si>
  <si>
    <t>INSS e INSS Patronal referente ao RPA 1956 - Robson Miguel Saquett Chagas</t>
  </si>
  <si>
    <t>15294563-MG</t>
  </si>
  <si>
    <t>Contratação de auditoria externa independente para o exercício de 2022 - 3º parcela</t>
  </si>
  <si>
    <t>2022/288</t>
  </si>
  <si>
    <t>ISSQN referente a nota fiscal 2022/288 - Orplan Auditores Independentes</t>
  </si>
  <si>
    <t>ISSQN referente a nota fiscal 2022/258 - Softwares De Gestão Ltda</t>
  </si>
  <si>
    <t>Rescisão de Músico Instrumentista</t>
  </si>
  <si>
    <t>Recibo de Pagamento de Rescisão</t>
  </si>
  <si>
    <t>Tarifa Bancária referente a transferência eletrônica pagamento fornecedor: Laryssa Pereira Martins  -  Processo 4271</t>
  </si>
  <si>
    <t>Tarifa Bancária referente a transferência eletrônica pagamento fornecedor: Brenda Jorgeanne Vieira 11853951641 -  Processo 4161</t>
  </si>
  <si>
    <t>Reembolso referente a compra de 03 pacotes de pó de café com 500g cada necessários ao atendimento inicial da equipe de produção da Ópera A Flauta Mágica que está fará uso da infraestrutura do CTPF até a segunda quinzena de setembro.</t>
  </si>
  <si>
    <t>Patricia Bizzotto Pinto 07914074624</t>
  </si>
  <si>
    <t>001.22.49335925-4</t>
  </si>
  <si>
    <t xml:space="preserve">Laryssa Pereira Martins </t>
  </si>
  <si>
    <t>Suelen Gabriel Sampaio</t>
  </si>
  <si>
    <t>ISSQN referente ao RPA 1958 - Suelen Gabriel Sampaio</t>
  </si>
  <si>
    <t>INSS e INSS Patronal referente ao RPA 1958 - Suelen Gabriel Sampaio</t>
  </si>
  <si>
    <t>Brisa Ramos Marques</t>
  </si>
  <si>
    <t>ISSQN referente ao RPA 1854 - Brisa Ramos Marques</t>
  </si>
  <si>
    <t>INSS e INSS Patronal referente ao RPA 1854 - Brisa Ramos Marques</t>
  </si>
  <si>
    <t>Brenda Jorgeanne Vieira 11853951641</t>
  </si>
  <si>
    <t>Isabella Tymburiba Elian 0897097262</t>
  </si>
  <si>
    <t>Marina Oliveira Barros 13913392661</t>
  </si>
  <si>
    <t>2022/151</t>
  </si>
  <si>
    <t>ISSQN referente a nota fiscal 2022/151 - Luiz Rodrigo Cerqueira De Sousa</t>
  </si>
  <si>
    <t>Tarifa Bancária referente a transferência eletrônica pagamento fornecedor: Laryssa Pereira Martins  -  Processo 4284</t>
  </si>
  <si>
    <t>Tarifa Bancária referente a transferência eletrônica pagamento fornecedor: Suelen Gabriel Sampaio -  Processo 4044</t>
  </si>
  <si>
    <t>Tarifa Bancária referente a transferência eletrônica pagamento fornecedor: Brisa Ramos Marques -  Processo 3791</t>
  </si>
  <si>
    <t>Tarifa Bancária referente a transferência eletrônica pagamento fornecedor: Brenda Jorgeanne Vieira 11853951641  -  Processo 4161</t>
  </si>
  <si>
    <t>Tarifa Bancária referente a transferência eletrônica pagamento fornecedor: Victor Silva Dos Santos 12137338637 -  Processo 4053</t>
  </si>
  <si>
    <t>Tarifa Bancária referente a transferência eletrônica pagamento fornecedor: Isabella Tymburiba Elian 0897097262 -  Processo 4128</t>
  </si>
  <si>
    <t>Tarifa Bancária referente a transferência eletrônica pagamento fornecedor: Marina Oliveira Barros 13913392661 -  Processo 3857</t>
  </si>
  <si>
    <t>Tarifa Bancária referente a transferência eletrônica pagamento fornecedor: Luiz Rodrigo Cerqueira De Sousa -  Processo 4081</t>
  </si>
  <si>
    <t>Tarifa Bancária referente a transferência eletrônica pagamento fornecedor: Letícia Angelo Rocha 14093764603  -  Processo 3835</t>
  </si>
  <si>
    <t xml:space="preserve">Contratação de profissional para edição, projeção de vídeo e captação de imagens (filmagem) para projeção no espetáculo de formatura da escola de teatro - manhã com direção das professoras Ana Hadad e Raquel Pedras. </t>
  </si>
  <si>
    <t>Camila Morena Da Luz Gomes</t>
  </si>
  <si>
    <t>ISSQN referente a RPA 1962 - Camila Morena Da Luz Gomes</t>
  </si>
  <si>
    <t>IR referente a RPA 1962 - Camila Morena Da Luz Gomes</t>
  </si>
  <si>
    <t>INSS e INSS Patronal referente a RPA 1962 - Camila Morena Da Luz Gomes</t>
  </si>
  <si>
    <t>Juliana Marcia Brito</t>
  </si>
  <si>
    <t>ISSQN referente ao RPA 1960 - Juliana Marcia Brito</t>
  </si>
  <si>
    <t>INSS e INSS Patronal referente ao RPA 1960 - Juliana Marcia Brito</t>
  </si>
  <si>
    <t>Pamela Vieira Bernardo 08248464601</t>
  </si>
  <si>
    <t>Paulo Sergio Silva De Oliveira 04432514604</t>
  </si>
  <si>
    <t>Thelma Cristina Nascimento De Sousa Lander</t>
  </si>
  <si>
    <t>Lira Bastos Moreira Ribas 04649944627</t>
  </si>
  <si>
    <t>ISSQN referente a nota fiscal 2022/6 - Tia Vivi Buffet Saudavel Ltda</t>
  </si>
  <si>
    <t>Tarifa Bancária referente a transferência eletrônica pagamento fornecedor: Pamela Vieira Bernardo 08248464601 -  Processo 4162</t>
  </si>
  <si>
    <t>Tarifa Bancária referente a transferência eletrônica pagamento fornecedor: Paulo Sergio Silva De Oliveira 04432514604 -  Processo 4200</t>
  </si>
  <si>
    <t>Tarifa Bancária referente a transferência eletrônica pagamento fornecedor: Thelma Cristina Nascimento De Sousa Lander -  Processo 4092</t>
  </si>
  <si>
    <t>Tarifa Bancária referente a transferência eletrônica pagamento fornecedor: Lira Bastos Moreira Ribas 04649944627 -  Processo 4040</t>
  </si>
  <si>
    <t>Tarifa Bancária referente a transferência eletrônica pagamento fornecedor: Tia Vivi Buffet Saudavel Ltda -  Processo 4178</t>
  </si>
  <si>
    <t>ISSQN referente a RPA 1925 - Silvia Maria Nascimento Amarante</t>
  </si>
  <si>
    <t>IR referente a RPA 1925 - Silvia Maria Nascimento Amarante</t>
  </si>
  <si>
    <t>INSS e INSS Patronal referente a RPA 1925 - Silvia Maria Nascimento Amarante</t>
  </si>
  <si>
    <t>ISSQN referente ao RPA 1926 - Dominick Lattuada Abreu Barbosa</t>
  </si>
  <si>
    <t>IR referente ao RPA 1926 - Dominick Lattuada Abreu Barbosa</t>
  </si>
  <si>
    <t>Comercial Obradec Materiais Para Construção Eireli</t>
  </si>
  <si>
    <t>Paula Lemos Vilaça Faria</t>
  </si>
  <si>
    <t>ISSQN referente ao RPA 1940 - Paula Lemos Vilaça Faria</t>
  </si>
  <si>
    <t>IR referente ao RPA 1940 - Paula Lemos Vilaça Faria</t>
  </si>
  <si>
    <t>Lucas Loureiro Cardoso</t>
  </si>
  <si>
    <t>ISSQN referente ao RPA 1942 - Lucas Loureiro Cardoso</t>
  </si>
  <si>
    <t>IR referente ao RPA 1942 - Lucas Loureiro Cardoso</t>
  </si>
  <si>
    <t xml:space="preserve"> Ederson De Sousa</t>
  </si>
  <si>
    <t>ISSQN referente ao RPA 1936 - Ederson De Sousa</t>
  </si>
  <si>
    <t>IR referente ao RPA 1936 - Ederson De Sousa</t>
  </si>
  <si>
    <t>ISSQN referente ao RPA 1943 - Diogo Vieira De Melo</t>
  </si>
  <si>
    <t>IR referente ao RPA 1943 - Diogo Vieira De Melo</t>
  </si>
  <si>
    <t>ISSQN referente ao RPA 1941 - Victória Sofia Lúcio Silva</t>
  </si>
  <si>
    <t>IR referente ao RPA 1941 - Victória Sofia Lúcio Silva</t>
  </si>
  <si>
    <t>Heloísa Helena Rosa Vitalino</t>
  </si>
  <si>
    <t>ISSQN referente ao RPA 1938 - Heloísa Helena Rosa Vitalino</t>
  </si>
  <si>
    <t>IR referente ao RPA 1938 - Heloísa Helena Rosa Vitalino</t>
  </si>
  <si>
    <t>ISSQN referente ao RPA 1937  - Flávio Von Randow Teixeira</t>
  </si>
  <si>
    <t>IR referente ao RPA 1937  - Flávio Von Randow Teixeira</t>
  </si>
  <si>
    <t>ISSQN referente ao RPA 1939 - Luciana Campos Horta</t>
  </si>
  <si>
    <t>IR referente ao RPA 1939 - Luciana Campos Horta</t>
  </si>
  <si>
    <t>BH Lampadas Especiais E Iluminação Ltda</t>
  </si>
  <si>
    <t>Compra de 20 lampadas para manutenção da obra "Educação pela Noite" da artista Clara Ianni que compõe a curadoria da itinerancia da 34° Bienal de SP que está no Palacio das Artes até 25 Setembro</t>
  </si>
  <si>
    <t>71.93.2022.0000945</t>
  </si>
  <si>
    <t>Artquality Embalagens Especiais E Transporte - Ltda</t>
  </si>
  <si>
    <t xml:space="preserve">ISSQN referente a nota fiscal 1442 - Artquality Embalagens Especiais E Transporte - Ltda
</t>
  </si>
  <si>
    <t>Reembolso realizado pelo Termo de Parceria 50/2020 - IEPHA referente ao percentual (26,41% do valor total ) locação de PABX da sede da Appa referente ao mês 07/2022</t>
  </si>
  <si>
    <t>Marina Arthuzzi Rodrigues</t>
  </si>
  <si>
    <t>ISSQN referente ao RPA 1959 - Marina Arthuzzi Rodrigues</t>
  </si>
  <si>
    <t>IR referente ao RPA 1959 - Marina Arthuzzi Rodrigues</t>
  </si>
  <si>
    <t>INSS e INSS Patronal referente ao RPA 1959 - Marina Arthuzzi Rodrigues</t>
  </si>
  <si>
    <t>PIS referente a folha 07/2022</t>
  </si>
  <si>
    <t>Letícia Angelo Rocha 14093764603</t>
  </si>
  <si>
    <t>ISSQN referente a nota fiscal 2022/18 - T T Factory Thinks Tanks Estratégia E Impacto Ltda</t>
  </si>
  <si>
    <t>ISSQN referente a nota fiscal 2022/10 - Agentz Produções Culturais Eireli</t>
  </si>
  <si>
    <t>2022/52</t>
  </si>
  <si>
    <t>ISSQN referente a nota fiscal 2022/52 - Par Espacos Criativos Ltda</t>
  </si>
  <si>
    <t>Tarifa Bancária referente a transferência eletrônica pagamento fornecedor: BH Notebooks Ltda  -  Processo 2842</t>
  </si>
  <si>
    <t>Tarifa Bancária referente a transferência eletrônica pagamento fornecedor: TMS Telecomunicações Ltda  -  Processo 2667</t>
  </si>
  <si>
    <t>Tarifa Bancária referente a transferência eletrônica pagamento fornecedor: Luciana Candida Gomes 90489179649  -  Processo 4135</t>
  </si>
  <si>
    <t>Tarifa Bancária referente a transferência eletrônica pagamento fornecedor: T T Factory Thinks Tanks Estratégia E Impacto Ltda  -  Processo 3658</t>
  </si>
  <si>
    <t>Tarifa Bancária referente a transferência eletrônica pagamento fornecedor: Agentz Produções Culturais Eireli -  Processo 3785</t>
  </si>
  <si>
    <t>Tarifa Bancária referente a transferência eletrônica pagamento fornecedor: Par Espacos Criativos Ltda -  Processo 4055</t>
  </si>
  <si>
    <t>Tarifa Bancária referente a transferência eletrônica pagamento fornecedor: Pâmella De Oliveira Rosa 07909467699  -  Processo 4141</t>
  </si>
  <si>
    <t xml:space="preserve">Valor recebido Maria Magdalena Rodrigues da Silva - CPF: 203.173.956-53, referente à locação de figurinos </t>
  </si>
  <si>
    <t>Contratação do profissional Rafael Perpetuo para compor a banca de seleção dos projetos inscritos no 3º Prêmio Décio Noviello.</t>
  </si>
  <si>
    <t>45.098.971/0001-54</t>
  </si>
  <si>
    <t>Salário do Superintendente de Auditoria, referente ao mês 05/2022</t>
  </si>
  <si>
    <t xml:space="preserve"> Cristiane Moreira Pinto Gestão Cultural - Me</t>
  </si>
  <si>
    <t>ISSQN referente a nota fiscal 2022/6 - Cristiane Moreira Pinto Gestão Cultural - Me</t>
  </si>
  <si>
    <t xml:space="preserve"> Pulsar Cultura Ltda</t>
  </si>
  <si>
    <t>ISSQN referente a nota fiscal 2022/1 - Pulsar Cultura Ltda</t>
  </si>
  <si>
    <t>Prestação de serviços de assessoria em planejamento e implantação de projetos para a Fundação Clóvis Salgado</t>
  </si>
  <si>
    <t>Processo 4292 - Atena Arte E Cultura Ltda</t>
  </si>
  <si>
    <t xml:space="preserve">Contratação de um designer gráfico com experiência comprovada na área. </t>
  </si>
  <si>
    <t>Contratação de um profissional para edição de vídeos, realização de lives e webinários</t>
  </si>
  <si>
    <t>Anderson Ferreira Do Nascimento</t>
  </si>
  <si>
    <t>ISSQN referente ao RPA 1961 - Anderson Ferreira Do Nascimento</t>
  </si>
  <si>
    <t>INSS e INSS Patronal referente ao RPA 1961 - Anderson Ferreira Do Nascimento</t>
  </si>
  <si>
    <t>Diego Silva Souza 13617304630</t>
  </si>
  <si>
    <t>Operação de Luz O Contrato inclui a operação de luz durante as apresentações da montagem nos dias 04 à 21.</t>
  </si>
  <si>
    <t>Pâmella De Oliveira Rosa 07909467699</t>
  </si>
  <si>
    <t>30.367.309/0001-85</t>
  </si>
  <si>
    <t>ISSQN referente a nota fiscal 2022/17 - Cenario Oscar 2019 Serviços De Montagem Eireli</t>
  </si>
  <si>
    <t>ISSQN referente a nota fiscal 2022/98 - Emer-som Ltda</t>
  </si>
  <si>
    <t>Tarifa Bancária referente a transferência eletrônica pagamento fornecedor: Anderson Ferreira Do Nascimento  -  Processo 4194</t>
  </si>
  <si>
    <t>Tarifa Bancária referente a transferência eletrônica pagamento fornecedor:  Letícia Angelo Rocha 14093764603  -  Processo 3865</t>
  </si>
  <si>
    <t>Tarifa Bancária referente a transferência eletrônica pagamento fornecedor: Diego Silva Souza 13617304630  -  Processo 3720</t>
  </si>
  <si>
    <t>Tarifa Bancária referente a transferência eletrônica pagamento fornecedor: Cenario Oscar 2019 Serviços De Montagem Eireli  -  Processo 3327</t>
  </si>
  <si>
    <t>Tarifa Bancária referente a transferência eletrônica pagamento fornecedor:  Michele Costa Bernardino 11479891681  -  Processo 3787</t>
  </si>
  <si>
    <t>Tarifa Bancária referente a transferência eletrônica pagamento fornecedor: Emer-som Ltda   -  Processo 2534</t>
  </si>
  <si>
    <t>Acrópoluz Comercial Ltda</t>
  </si>
  <si>
    <t>Compra de 1 joelheira e1 cotoveleira tipo tensor de compressão, de cor bege ou branca, tamanho PP ou P.</t>
  </si>
  <si>
    <t>Aline L. De Souza Epp</t>
  </si>
  <si>
    <t>10.476.210/0001-04</t>
  </si>
  <si>
    <t>Tarifa Bancária referente a transferência eletrônica pagamento fornecedor: Acrópoluz Comercial Ltda   -  Processo 1939</t>
  </si>
  <si>
    <t>Processo 4303 - Ivete Maria De Oliveira 76363481600</t>
  </si>
  <si>
    <t>Processo 4302- Marcela Silva Moreira 06326086680</t>
  </si>
  <si>
    <t>Compra de 1 rolo de corda de sisal 8 mm com 25 metros, sisal natural.</t>
  </si>
  <si>
    <t>31.095.761/0001-06</t>
  </si>
  <si>
    <t>Locação de equipamentos de iluminação e som, que serão instalados na fachada externa do Palácio das Artes e nas Salas / ambientes internos da Grande Galeria Alberto da Veiga Guignard em exposição comemorativa aos 50 anos do Palácio das Artes denominada "50 anos em 5 atos"</t>
  </si>
  <si>
    <t>Global Sight Ltda</t>
  </si>
  <si>
    <t>05.305.048/0001-21</t>
  </si>
  <si>
    <t xml:space="preserve">ISSQN referente a nota fiscal 118 - Global Sight Ltda
</t>
  </si>
  <si>
    <t>2022/484</t>
  </si>
  <si>
    <t>ISSQN referente a nota fiscal 2022/484 - Flag Impressao Digital Ltda</t>
  </si>
  <si>
    <t>Câmera Work Produções Fotográficas E Culturais Ltda</t>
  </si>
  <si>
    <t xml:space="preserve">ISSQN referente a nota fiscal 2022/16 - Câmera Work Produções Fotográficas E Culturais Ltda
</t>
  </si>
  <si>
    <t>ISSQN referente ao RPA 1966 - Fernando Cesar Caldeira Pacheco Barbosa</t>
  </si>
  <si>
    <t>IR referente ao RPA 1966 - Fernando Cesar Caldeira Pacheco Barbosa</t>
  </si>
  <si>
    <t>ISSQN referente a RPA 1967 - Silvia Maria Nascimento Amarante</t>
  </si>
  <si>
    <t>IR Patronal referente a RPA 1967 - Silvia Maria Nascimento Amarante</t>
  </si>
  <si>
    <t xml:space="preserve">Cofins 07/2022 - Prog. De Artes Vis Fund. Clovis </t>
  </si>
  <si>
    <t xml:space="preserve"> Dominick Lattuada Abreu Barbosa</t>
  </si>
  <si>
    <t>ISSQN referente ao RPA 1968 - Dominick Lattuada Abreu Barbosa</t>
  </si>
  <si>
    <t>IR referente ao RPA 1968 - Dominick Lattuada Abreu Barbosa</t>
  </si>
  <si>
    <t>ISSQN referente a nota fiscal 2022/34 - Uaua Estudio Ltda</t>
  </si>
  <si>
    <t>2022/95</t>
  </si>
  <si>
    <t>ISSQN referente a nota fiscal 2022/95 - Logus Protection Patrimonial Ltda</t>
  </si>
  <si>
    <t>INSS referente a nota fiscal 2022/95 - Logus Protection Patrimonial Ltda</t>
  </si>
  <si>
    <t>Concepção de Projeto Educativo para a exposição comemorativa de 50 anos do Palácio das Artes "50 anos em 5 atos" que acontecerá na Grande Galeria Alberto da Veiga Guignard / FCS, de 12 de agosto de 2021 a 14 de novembro de 2021.</t>
  </si>
  <si>
    <t xml:space="preserve">
Carolina Nascimento Valadares Santana 07016003655</t>
  </si>
  <si>
    <t>ISSQN referente a nota fiscal 2022/31 - Carolina Nascimento Valadares Santana 07016003655</t>
  </si>
  <si>
    <t>Coordenação e supervisão de programa educativo durante 3 meses para a exposição comemorativa de 50 anos do Palácio das Artes “50 anos em 5 atos”, que acontecerá na Grande Galeria Alberto da Veiga Guignard / FCS, de 12 de agosto a 14 de novembro de 2021.</t>
  </si>
  <si>
    <t>ISSQN referente a nota fiscal 2022/32 - Carolina Nascimento Valadares Santana 07016003655</t>
  </si>
  <si>
    <t>Valdir Rodrigues Dos Santos</t>
  </si>
  <si>
    <t>ISSQN referente ao RPA 1970 - Valdir Rodrigues Dos Santos</t>
  </si>
  <si>
    <t>IR referente ao RPA 1970 - Valdir Rodrigues Dos Santos</t>
  </si>
  <si>
    <t>ISSQN referente a nota fiscal 2022/18 - Cenario Oscar 2019 Serviços De Montagem Eireli</t>
  </si>
  <si>
    <t xml:space="preserve">ISSQN referente a nota fiscal 2022/23 - Instituto Integridade E Compliance Consultoria De Negocios Ltda
</t>
  </si>
  <si>
    <t>ISSQN referente a nota fiscal 22/40 - Ouvex Tecnologia Para Compliance Ltda.</t>
  </si>
  <si>
    <t>ISSQN referente a nota fiscal 195 - Morais E Morais Festas E Eventos Ltda</t>
  </si>
  <si>
    <t>Reembolso a conta do Contrato de Gestão referente ao pagamento da guia de INSS e INSS Patronal  referente ao RPA 1839 - Alan Wender Rodrigues Dias</t>
  </si>
  <si>
    <t>Cofins 06/2022 - Comp Prog Artitiscas FCS</t>
  </si>
  <si>
    <t>Cofins 07/2022 - Comp Prog Artitiscas FCS</t>
  </si>
  <si>
    <t>2022/122</t>
  </si>
  <si>
    <t>ISSQN referente a nota fiscal 2022/122 - Rhino Vigilância Patrimonial Ltda</t>
  </si>
  <si>
    <t>INSS e INSS Patronal referente ao RPA 1853 - Pedro Vaz Perez</t>
  </si>
  <si>
    <t>Luiz Alberto Sartori Inchausti</t>
  </si>
  <si>
    <t>ISSQN referente a nota fiscal 2022/8 - Leben 108 Produtora De Filmes Ltda</t>
  </si>
  <si>
    <t>ISSQN referente a nota fiscal 2022/12 Javali Do Mar Experimentações Artisticas Ltda</t>
  </si>
  <si>
    <t>ISSQN referente a nota fiscal 2022/14 - Javali Do Mar Experimentações Artisticas Ltda</t>
  </si>
  <si>
    <t>Casa Paiva Comercio Cordas Ltda</t>
  </si>
  <si>
    <t>Cofins 07/2022 - prog fcs ano 50 leic 16.888-2</t>
  </si>
  <si>
    <t xml:space="preserve">ISSQN referente ao RPA 1964 - Sheila Fernanda Oliveira Da Silva </t>
  </si>
  <si>
    <t xml:space="preserve">IR referente ao RPA 1964 - Sheila Fernanda Oliveira Da Silva </t>
  </si>
  <si>
    <t xml:space="preserve"> Carla Lima Cattabriga</t>
  </si>
  <si>
    <t>ISSQN referente ao RPA 1963  - Carla Lima Cattabriga</t>
  </si>
  <si>
    <t>IR referente ao RPA 1963  - Carla Lima Cattabriga</t>
  </si>
  <si>
    <t xml:space="preserve"> Alesandra Filgueiras</t>
  </si>
  <si>
    <t>ISSQN referente ao RPA 1965 - Alesandra Filgueiras</t>
  </si>
  <si>
    <t>IR referente ao RPA 1965 - Alesandra Filgueiras</t>
  </si>
  <si>
    <t>Complementação de pagamento referente a recepcionista para atuação nas áreas expositivas, formativas, bem como em todo o Complexo do Palácio das Artes.</t>
  </si>
  <si>
    <t>Processo 4297 - Qinetwork Solucoes Tecnologicas Ltda</t>
  </si>
  <si>
    <t>Contratação de suporte TI para utilização das ferramentas do G Suite.</t>
  </si>
  <si>
    <t>Artesanatos Bibelô Eireli</t>
  </si>
  <si>
    <t>Marcos Ribeiro</t>
  </si>
  <si>
    <t>ISSQN referente a RPA 1955 - Marcos Ribeiro</t>
  </si>
  <si>
    <t>INSS e INSS Patronal referente a RPA 1955 - Marcos Ribeiro</t>
  </si>
  <si>
    <t>Tarifa Bancária referente a transferência eletrônica pagamento fornecedor: Artesanatos Bibelô Eireli  -  Processo 4299</t>
  </si>
  <si>
    <t xml:space="preserve">Tarifa Bancária referente a transferência eletrônica pagamento fornecedor: Marcos Ribeiro   -  Processo 3790 </t>
  </si>
  <si>
    <t>Processo 4211 - Fernanda Santos Rossi 12404008617</t>
  </si>
  <si>
    <t>Contratação de Editor de Livro Assistente, responsável pela assistência de acompanhamento geral e organizacional para os trabalhos de editorial. Auxílio na revisão, checklist e preparo da versão final de catálogo para diagramação dos manuscritos; auxílio e assistência na leitura de provas e revisão final; preparação de conteúdo; controle, atualização e manutenção de mailing para envios de material promocional para colaboradores e apoiadores.</t>
  </si>
  <si>
    <t>47.334.580/0001-17</t>
  </si>
  <si>
    <t>Faz-se necessária a compra de um par de tênis para bailarina Maíra, tamanho 34, para apresentação do espetáculo Uma Perda Súbita de Flores e (In)tensões.</t>
  </si>
  <si>
    <t>36.519.848/0001-79</t>
  </si>
  <si>
    <t>Contratação de laudista para confecção e conferência de laudos técnicos atestando o estado de conservação das obras na montagem e desmontagem da exposição de itinerância da 34a Bienal de São Paulo no Palácio das Artes. A profissional poderá ainda ser chamada para eventuais laudos e reparos durante o período expositivo quando houver necessidade</t>
  </si>
  <si>
    <t>ontratação de laudista para confecção e conferência de laudos técnicos atestando o estado de conservação das obras na montagem e desmontagem da exposição de itinerância da 34a Bienal de São Paulo no Palácio das Artes</t>
  </si>
  <si>
    <t>Contratação de serviços de diretor teatral para elaborar criar e dirigir a formatura da Escola Técnica em Teatro, turno da manhã. Período de atuação: Junho a Agosto/2022</t>
  </si>
  <si>
    <t>00.064.866/0001-66</t>
  </si>
  <si>
    <t>Faz-se necessária a compra de 1 par de tênis para os bailarinos da Cia de Dança, para apresentação do espetáculo Uma Perda Súbita de Flores e (In)tensões.</t>
  </si>
  <si>
    <t>Rendimentos de aplicações financeiras do mês 08/2022</t>
  </si>
  <si>
    <t>Imposto de Renda referente aos rendimentos de aplicações financeiras do mês 08/2022</t>
  </si>
  <si>
    <t>Rendimentos de aplicações financeiras do mês 07/2022 - Modernismo</t>
  </si>
  <si>
    <t>Cofins referente aos rendimentos de aplicações financeiras do mês 08/2022</t>
  </si>
  <si>
    <t>Serviço de Produção de Programação para atender as demandas relativas às mostras de cinema produzidas no Cine Humberto Mauro - FCS</t>
  </si>
  <si>
    <t>Processo 4312 - Sara De Oliveira Paoliello</t>
  </si>
  <si>
    <t xml:space="preserve">Serviço de Produção Geral para atender as demandas relativas às mostras de cinema produzidas no Cine Humberto Mauro </t>
  </si>
  <si>
    <t xml:space="preserve">ontratação de fornecedor que disponibilize profissional ou atue diretamente na área de produção cultural, encarregado de viabilizar e acompanhar a pré-produção e produção de todas as mostras, recitais, espetáculos, ensaios e demais apresentações artísticas do CEFART. </t>
  </si>
  <si>
    <t>Processo 4295 - Paulo Vítor Magalhães Mendonça</t>
  </si>
  <si>
    <t>128.605.976-38</t>
  </si>
  <si>
    <t>Gastos_com_Pessoal</t>
  </si>
  <si>
    <t>Reembolso proporcional realizado pela conta do projeto Anglo referente ao pagamento Seguro de Vida do mês 08/2022</t>
  </si>
  <si>
    <t>Reembolso proporcional realizado pela conta do TP 50/2020 IEPHA  referente ao pagamento Seguro de Vida do mês 08/2022</t>
  </si>
  <si>
    <t>Reembolso proporcional realizado pela conta do projeto Anglo referente ao pagamento Medicina do Trabalho do mês 08/2022</t>
  </si>
  <si>
    <t>Reembolso proporcional realizado pela conta da Appa referente ao pagamento Seguro de Vida do mês 08/2022</t>
  </si>
  <si>
    <t>Reembolso proporcional realizado pela conta do TP 50/2020 IEPHA  referente ao pagamento Medicina do Trabalho do mês 08/2022</t>
  </si>
  <si>
    <t>Maria Clara Torres Costa</t>
  </si>
  <si>
    <t>ISSQN referente ao RPA 1971 - Maria Clara Torres Costa</t>
  </si>
  <si>
    <t>IR referente ao RPA 1971 - Maria Clara Torres Costa</t>
  </si>
  <si>
    <t>INSS e INSS Patronal referente ao RPA 1971 - Maria Clara Torres Costa</t>
  </si>
  <si>
    <t>Franca Comercio De Calçados Ltda</t>
  </si>
  <si>
    <t xml:space="preserve">ISSQN referente a nota fiscal 202215121 - Ocupacional Medicina do Trabalho Ltda </t>
  </si>
  <si>
    <t xml:space="preserve">PCC referente a nota fiscal 202215121 - Ocupacional Medicina do Trabalho Ltda </t>
  </si>
  <si>
    <t xml:space="preserve">ISSQN referente a nota fiscal 202215122 - Ocupacional Medicina do Trabalho Ltda </t>
  </si>
  <si>
    <t xml:space="preserve">PCC referente a nota fiscal 202215122 - Ocupacional Medicina do Trabalho Ltda </t>
  </si>
  <si>
    <t>09.316.105/0016-05</t>
  </si>
  <si>
    <t>Coordenador Técnico</t>
  </si>
  <si>
    <t>Coordenador Geral</t>
  </si>
  <si>
    <t xml:space="preserve">
Coordenador Geral</t>
  </si>
  <si>
    <t>Coordenador Comunicação</t>
  </si>
  <si>
    <t>Coordenação Geral - Complemento da Programação Artística (15949-2</t>
  </si>
  <si>
    <t>Coordenação Técnica - Complemento da Programação Artística (15949-2</t>
  </si>
  <si>
    <t xml:space="preserve">Coordenação Financeira </t>
  </si>
  <si>
    <t>Processo 4318 - Michelle Aparecida Da Silva Barreto 08651559682</t>
  </si>
  <si>
    <t>Contratação de fornecedor que disponibilize profissional ou atue diretamente como encarregado em prestar apoio administrativo à coordenação executiva da secretaria escolar .</t>
  </si>
  <si>
    <t xml:space="preserve">Reembolso parcial da conta do Termo de Parceria 50/2020 - IEPHA, referente contratação de empresa de setor administrativo especializada em entidades do terceiro setor  para o Contrato de Gestão 05/2019 e Termo de Parceria 50/2020 (mês 08/2022) - 27,41% do valor total </t>
  </si>
  <si>
    <t>Friovix Comercio De Refrigeracao Ltda</t>
  </si>
  <si>
    <t>Compra de 1 unidade de micro-ondas com capacidade a partir de 20 litros, bivolt ou 127 volts, em qualquer cor, para viabilizar e compor estrutura base de apoio e permanência para a equipe interna, colaboradores e visitantes no CTPF em Marzagão, Sabará.</t>
  </si>
  <si>
    <t>ISSQN referente ao RPA 1974 - Lucas Fernando Morais Ferreira</t>
  </si>
  <si>
    <t>IR referente ao RPA 1974 - Lucas Fernando Morais Ferreira</t>
  </si>
  <si>
    <t>INSS e INSS Patronal referente ao RPA 1974 - Lucas Fernando Morais Ferreira</t>
  </si>
  <si>
    <t xml:space="preserve"> Franca Comercio De Calçados Ltda</t>
  </si>
  <si>
    <t>ISSQN referente ao RPA 1972 - Ernesto Guevara Starling Ribeiro</t>
  </si>
  <si>
    <t>INSS e INSS Patronal referente ao RPA 1972 - Ernesto Guevara Starling Ribeiro</t>
  </si>
  <si>
    <t xml:space="preserve"> Ivete Maria De Oliveira 76363481600</t>
  </si>
  <si>
    <t>ISSQN referente ao RPA 1973 - Aline Vieira Viana</t>
  </si>
  <si>
    <t>INSS e INSS Patronal referente ao RPA 1973 - Aline Vieira Viana</t>
  </si>
  <si>
    <t>Camila Lacerda Lopes 07900541675</t>
  </si>
  <si>
    <t xml:space="preserve"> Lucas Alexandre Teixeira 13035532605</t>
  </si>
  <si>
    <t>2022/66</t>
  </si>
  <si>
    <t>ISSQN referente a nota fiscal 2022/66 - Arco Cultural Ltda</t>
  </si>
  <si>
    <t>2022/51</t>
  </si>
  <si>
    <t>ISSQN referente a nota fiscal 2022/51 - Mylene Youssef A Vieira - Produções E Eventos Epp</t>
  </si>
  <si>
    <t>ISSQN referente a nota fiscal 2022/18 - Tetris Lab Projetos Ltda</t>
  </si>
  <si>
    <t>Contratação Editor de Vídeo para trabalhar com as seguintes demandas:Edição dos vídeos das aulas abertas, recitais, mostras e demais projetos audiovisuais do Cefart. Listagem de vídeos: - 24 vídeos para mostra chama - Recital de Música - Camerata de Violões - Teaser do Espetáculo de formatura da Dança - Áudio descrição de duas obras de Jarbas Juarez - Dossiê da Residência - Parcela 04</t>
  </si>
  <si>
    <t>Tarifa Bancária referente a transferência eletrônica pagamento fornecedor: Mylene Youssef A Vieira - Produções E Eventos Epp  -  Processo 3609</t>
  </si>
  <si>
    <t>Tarifa Bancária referente a transferência eletrônica pagamento fornecedor: Tetris Lab Projetos Ltda   -  Processo 3568</t>
  </si>
  <si>
    <t>Tarifa Bancária referente a transferência eletrônica pagamento fornecedor: Gilberto De Lima Goulart 08401043670  -  Processo 3520</t>
  </si>
  <si>
    <t>Compra de 2 pares de tênis para apresentação do espetáculo Uma Perda Súbita de Flores e (In)tensões.</t>
  </si>
  <si>
    <t>Contratação de profissional para ministrar o Curso Complementar Camerata de Vilões, a fim de atender a demanda da Escola de Música do Cefart.</t>
  </si>
  <si>
    <t>028.490.446-52</t>
  </si>
  <si>
    <t>Processo 4281 - Verona Campos Segantin</t>
  </si>
  <si>
    <t>Contratação da professoraVerona Segantinipara compor a banca de seleção dos projetos inscritos no 3º Prêmio Décio Noviello.</t>
  </si>
  <si>
    <t>072.223.236-51</t>
  </si>
  <si>
    <t>Reembolso realizado pelo Termo de Parceria 50/2020 - IEPHA  referente ao percentual (26,41% do valor total), assessoria contábil para o Contrato de Gestão 05/2019 e Termo de Parceria referente ao mês 08/2022</t>
  </si>
  <si>
    <t>2022/294</t>
  </si>
  <si>
    <t>ISSQN referente a nota fiscal 2022/294-  Dollabela Advocacia E Consultoria</t>
  </si>
  <si>
    <t xml:space="preserve">Associação Cultural Corpo Rastreado
</t>
  </si>
  <si>
    <t>ISSQN referente ao RPA 1981 - Alan Wender Rodrigues Dias</t>
  </si>
  <si>
    <t>IR referente ao RPA 1981 - Alan Wender Rodrigues Dias</t>
  </si>
  <si>
    <t>INSS e INSS Patronal  referente ao RPA 1981 - Alan Wender Rodrigues Dias</t>
  </si>
  <si>
    <t xml:space="preserve"> Gláucia Marilia Ferreira Da Silva</t>
  </si>
  <si>
    <t>INSS e INSS Patronal referente ao RPA 1984 -  Gláucia Marilia Ferreira Da Silva</t>
  </si>
  <si>
    <t>2022/1184</t>
  </si>
  <si>
    <t xml:space="preserve">IR referente a nota fiscal 2022/1184 - Krypton Serviços Contábeis S. S.  </t>
  </si>
  <si>
    <t xml:space="preserve">PCC referente a nota fiscal 2022/1184 - Krypton Serviços Contábeis S. S.  </t>
  </si>
  <si>
    <t>ISSQN referente a nota fiscal 2022/11 - Grupo De Teatro Armatrux-demais</t>
  </si>
  <si>
    <t xml:space="preserve">Tarifa Bancária referente a transferência eletrônica pagamento fornecedor: Associação Cultural Corpo Rastreado -  Processo 3844
  </t>
  </si>
  <si>
    <t>Tarifa Bancária referente a transferência eletrônica pagamento fornecedor: Alan Wender Rodrigues Dias  -  Processo 3718</t>
  </si>
  <si>
    <t>Tarifa Bancária referente a transferência eletrônica pagamento fornecedor: Gláucia Marilia Ferreira Da Silva  -  Processo 4248</t>
  </si>
  <si>
    <t>Tarifa Bancária referente a transferência eletrônica pagamento fornecedor: Krypton Serviços Contábeis S. S -  Processo 1114</t>
  </si>
  <si>
    <t>Tarifa Bancária referente a transferência eletrônica pagamento fornecedor: Grupo De Teatro Armatrux-demais -  Processo 3772</t>
  </si>
  <si>
    <t>Contratação de profissional para ministrar o curso complementarOs cem anos da Semana de Arte Moderna e os modernismosa fim de atender a demanda da Escola de Artes Visuais do Cefart.</t>
  </si>
  <si>
    <t>047.659.196-17</t>
  </si>
  <si>
    <t>Encordoamento Para Cavaquinho Giannini Acustico Bronze 65/35 Gescla (.010 - .025) Leve - 2 unidades</t>
  </si>
  <si>
    <t>05.431.067/0001-02</t>
  </si>
  <si>
    <t>Reembolso realizado pelo Projeto ANGLO para a conta do Contrato de Gestão referente ao pagamento de guia de FGTS  - 08/2022</t>
  </si>
  <si>
    <t>Reembolso realizado pelo Termo de Parceria 50/2020 - Iepha a conta do Contra de Gestão 005/2019 referente ao pagamento de guia de FGTS - Valor proporcional aos funcionários a serviço do TP 50/2020 - 08/2022</t>
  </si>
  <si>
    <t>Salário Gerente de Projetos , referente ao mês 08/2022</t>
  </si>
  <si>
    <t>Salário do Pianista, referente ao mês 08/2022</t>
  </si>
  <si>
    <t>Salário do Músico Instrumentista, referente ao mês 08/2022</t>
  </si>
  <si>
    <t>Salário do Montador Diart, referente ao mês 08/2022</t>
  </si>
  <si>
    <t>Salário do Músico Cantora, referente ao mês 08/2022</t>
  </si>
  <si>
    <t>Salário Bailarina, referente ao mês 08/2022</t>
  </si>
  <si>
    <t>Salário do Presidente referente ao mês 08/2022</t>
  </si>
  <si>
    <t>Salário do Coordenador Administrativo referente ao mês 08/2022</t>
  </si>
  <si>
    <t>Salário do Gerente de Projetos: Programação Artística referente ao mês 08/2022</t>
  </si>
  <si>
    <t>Salário do Produtora Cultural da Dipro, referente ao mês 08/2022</t>
  </si>
  <si>
    <t>Salário do Músico, referente ao mês 08/2022</t>
  </si>
  <si>
    <t>Salário da Analista Financeiro Pleno, referente ao mês 08/2022</t>
  </si>
  <si>
    <t>Salário de Bailarina, referente ao mês 08/2022</t>
  </si>
  <si>
    <t>Salário do Regente Assistente, referente ao mês 08/2022</t>
  </si>
  <si>
    <t>Salário   Auxiliar de serviços Gerais, referente ao mês 08/2022</t>
  </si>
  <si>
    <t>Salário do Bailarina, referente ao mês 08/2022</t>
  </si>
  <si>
    <t>Salário da Produtora Cultural: Produção Artística, referente ao mês 08/2022</t>
  </si>
  <si>
    <t>Salário de Músico, referente ao mês 08/2022</t>
  </si>
  <si>
    <t>Salário da Coordenadora de Comunicação, referente ao mês 08/2022</t>
  </si>
  <si>
    <t>Salário da Músico Cantor, referente ao mês 08/2022</t>
  </si>
  <si>
    <t>Pedro Lucas Viana Da Silva Tavares</t>
  </si>
  <si>
    <t>Salário do Bailarino, referente ao mês 08/2022</t>
  </si>
  <si>
    <t>Salário de Músico Cantora, referente ao mês 08/2022</t>
  </si>
  <si>
    <t xml:space="preserve"> Salário  Músico Instrumentista, referente ao mês 08/2022</t>
  </si>
  <si>
    <t>Salário do Diretor Financeiro, referente ao mês 08/2022</t>
  </si>
  <si>
    <t xml:space="preserve"> Salário  Arquivista, referente ao mês 08/2022</t>
  </si>
  <si>
    <t>Salário da Assessora Pedagógica, referente ao mês 08/20222</t>
  </si>
  <si>
    <t>Salário do Superintendente de Auditoria, referente ao mês 08/2022</t>
  </si>
  <si>
    <t>Salário  Músico Cantor, referente ao mês 08/2022</t>
  </si>
  <si>
    <t>Salário  Músico Instrumentista, referente ao mês 08/2022</t>
  </si>
  <si>
    <t>Pensão Alimentícia (DANIELLE DA CONCEICAO MARQUES PIMENtA) Montador Dipro, referente ao mês 07/2022</t>
  </si>
  <si>
    <t>Pensão Alimentícia (DANIELLE DA CONCEICAO MARQUES PIMENtA) Montador Dipro, referente ao mês 08/2022</t>
  </si>
  <si>
    <t>FGTS referente a folha de pagamento do mês 08/2022</t>
  </si>
  <si>
    <t>A Cor Do Som Comércio De Instrumentos Musicais Eireli</t>
  </si>
  <si>
    <t>Salário  Músico Cantora, referente ao mês 08/2022</t>
  </si>
  <si>
    <t>Salário Analista de RH, referente ao mês 08/2022</t>
  </si>
  <si>
    <t>Salário Montador Dipro, referente ao mês 08/2022</t>
  </si>
  <si>
    <t>Tarifa Bancária referente a transferência eletrônica  do salário de Bailarina</t>
  </si>
  <si>
    <t>Tarifa Bancária referente a transferência eletrônica do salário da Analista Financeiro Pleno</t>
  </si>
  <si>
    <t>Tarifa Bancária referente a transferência eletrônica do salário do Músico</t>
  </si>
  <si>
    <t>Tarifa Bancária referente a transferência eletrônica do salário da Produtora Cultural da Dipro</t>
  </si>
  <si>
    <t>Tarifa Bancária referente a transferência eletrônicado  salário do Regente Assistente,</t>
  </si>
  <si>
    <t>Tarifa Bancária referente a transferência eletrônica  do salário   Auxiliar de serviços Gerais</t>
  </si>
  <si>
    <t>Tarifa Bancária referente a transferência eletrônica  do salário Músico Instrumentista</t>
  </si>
  <si>
    <t>Tarifa Bancária referente a transferência eletrônica  do salário do Bailarina</t>
  </si>
  <si>
    <t>Tarifa Bancária referente a transferência eletrônica  do salário do Músico Instrumentista</t>
  </si>
  <si>
    <t>Tarifa Bancária referente a transferência eletrônica  do salário da Produtora Cultural: Produção Artística</t>
  </si>
  <si>
    <t>Tarifa Bancária referente a transferência eletrônica  do salário de Músico</t>
  </si>
  <si>
    <t>Tarifa Bancária referente a transferência eletrônica  do salário do Músico Cantora</t>
  </si>
  <si>
    <t>Tarifa Bancária referente a transferência eletrônica  do salário da Coordenadora de Comunicação</t>
  </si>
  <si>
    <t>Tarifa Bancária referente a transferência eletrônica  do salário da Músico Cantor</t>
  </si>
  <si>
    <t>Tarifa Bancária referente a transferência eletrônica  do salário do Bailarino</t>
  </si>
  <si>
    <t>Tarifa Bancária referente a transferência eletrônica  do salário de Músico Cantora</t>
  </si>
  <si>
    <t xml:space="preserve"> Tarifa Bancária referente a transferência eletrônica  do salário  Arquivista</t>
  </si>
  <si>
    <t xml:space="preserve"> Tarifa Bancária referente a transferência eletrônica  do salário  Músico Instrumentista</t>
  </si>
  <si>
    <t>Tarifa Bancária referente a transferência eletrônica  do salário do Diretor Financeiro</t>
  </si>
  <si>
    <t>Tarifa Bancária referente a transferência eletrônica  do salário da Assessora Pedagógica</t>
  </si>
  <si>
    <t>Tarifa Bancária referente a transferência eletrônica  do salário do Superintendente de Auditoria</t>
  </si>
  <si>
    <t>Tarifa Bancária referente a transferência eletrônica  do salário do Montador Diart</t>
  </si>
  <si>
    <t>Tarifa Bancária referente a transferência eletrônica  do salário  Músico Cantor</t>
  </si>
  <si>
    <t>Tarifa Bancária referente a transferência eletrônica  do salário  Músico Instrumentista</t>
  </si>
  <si>
    <t>Tarifa Bancária referente a transferência eletrônica  da Pensão Alimentícia (DANIELLE DA CONCEICAO MARQUES PIMENtA) Montador Dipro.</t>
  </si>
  <si>
    <t>Tarifa Bancária referente a transferência eletrônica  do salário  Músico Cantora</t>
  </si>
  <si>
    <t>Tarifa Bancária referente a transferência eletrônica  do Salário Analista de RH</t>
  </si>
  <si>
    <t xml:space="preserve">Tarifa Bancária referente a transferência eletrônica  do salário  Músico Cantor </t>
  </si>
  <si>
    <t>Tarifa Bancária referente a transferência eletrônica  do salário Montador Dipro</t>
  </si>
  <si>
    <t>Tarifa Bancária referente a transferência eletrônica do salário Montador Dipro</t>
  </si>
  <si>
    <t>Processo 4321 - Alan Wender Rodrigues Dias</t>
  </si>
  <si>
    <t>IR retido em folha do mês 08/2022</t>
  </si>
  <si>
    <t>INSS retido em folha do mês 08/2022</t>
  </si>
  <si>
    <t>Salário Gerente de Projetos Dipro, referente ao mês 08/2022</t>
  </si>
  <si>
    <t>Contratação de 02 seguranças armados: sábado dia 10/09 no horário das 18:00H até as 06:00H do dia seguinte (Domingo).Local Parque Municipal Américo Renee Gianethe. Av Afonso Pena 1.377. Entrada pelo Palácio das Artes, procurar a Gerencia da Orquestra Sinfônica de Minas Gerais.</t>
  </si>
  <si>
    <t>Processo 1371 - F6 Sistemas De Informatica Ltda</t>
  </si>
  <si>
    <t>Fábio Silva Martins De Jesus</t>
  </si>
  <si>
    <t>ISSQN referente ao RPA 1991 - Fábio Silva Martins De Jesus</t>
  </si>
  <si>
    <t>IR referente ao RPA 1991 - Fábio Silva Martins De Jesus</t>
  </si>
  <si>
    <t>INSS e INSS Patronal referente ao RPA 1991 - Fábio Silva Martins De Jesus</t>
  </si>
  <si>
    <t>ISSQN referente a nota fiscal 2022/1308 - Patrulha Eletronica LTDA</t>
  </si>
  <si>
    <t>ISSQN referente a nota 2022/11 - Ailtom A. Gobira - Arte E Cultura</t>
  </si>
  <si>
    <t xml:space="preserve">ISSQN referente a nota fiscal 2022/229559 - Consórcio Ótimo </t>
  </si>
  <si>
    <t>ISSQN refreente a nota 2022/1291 - Artes Gráficas Formato Ltda</t>
  </si>
  <si>
    <t xml:space="preserve">ISSQN  referente a nota fiscal 2022460126 - Unimed Cooperativa Médica
</t>
  </si>
  <si>
    <t>ISSQN referente a nota fiscal 2022241201 - Cons Operacional do Transporte Coletivo</t>
  </si>
  <si>
    <t>ISSQN referente a nota fiscal 2022221194 - Cons Operacional do Transporte Coletivo</t>
  </si>
  <si>
    <t xml:space="preserve">ISSQN referente a nota fiscal 2022208461 - Consórcio Ótimo </t>
  </si>
  <si>
    <t xml:space="preserve">ISSQN  referente a nota fiscal 2022499052 - Unimed Cooperativa Médica
</t>
  </si>
  <si>
    <t>Tarifa Bancária referente a transferência eletrônica pagamento fornecedor: Fábio Silva Martins De Jesus   -  Processo 4205</t>
  </si>
  <si>
    <t>Tarifa Bancária referente a transferência eletrônica  do salário de Músico Cantor</t>
  </si>
  <si>
    <t>Despesa Bancária referente ao envio de PIX Enviado de salarios em 06/09</t>
  </si>
  <si>
    <t>Processo 4345 -  Fábio Silva Martins De Jesus</t>
  </si>
  <si>
    <t>Contratação de Técnico de Assistente para atendimento às demandas de iluminação, sonorização e/ou cenotécnica nos teatros da Fundação Clóvis Salgado.</t>
  </si>
  <si>
    <t>ISSQN referete a nota fiscal de 2022/46 - Instituto Mano Down - Demais</t>
  </si>
  <si>
    <t>Contratação de profissional para ministrar o Curso Complementar "Caracterização Cênica" a fim de atender a demanda da Escola de Teatro do Cefart com a carga horária de 10 horas.</t>
  </si>
  <si>
    <t>Processo 4341 - Alesandra Filgueiras</t>
  </si>
  <si>
    <t>Contratação de Recepcionista para suporte ao atendimento ao público nos teatros da Fundação Clóvis Salgado. Vigência do contrato: 08 de setembro a 08 de janeiro.</t>
  </si>
  <si>
    <t>Processo 3182 - Sauve Qui Peut Le Court Métrage</t>
  </si>
  <si>
    <t>013.238.740-40</t>
  </si>
  <si>
    <t>Utilização da plataforma internacional de inscrição e gerenciamento de inscrições online.A plataforma online ShortFilmDepot oferece o serviço de gerenciamento e recebimento de inscrições online para festivais e mostras de cinema dedicados ao curta-metragem em todo o mundo</t>
  </si>
  <si>
    <t>Processo 4342 - Carla Lima Cattabriga</t>
  </si>
  <si>
    <t>Contratação de Recepcionista para suporte ao atendimento ao público nos teatros da Fundação Clóvis Salgado.</t>
  </si>
  <si>
    <t>Processo 4343 - Sheila Fernanda Oliveira Da Silva</t>
  </si>
  <si>
    <t>Contratação de Recepcionista para suporte ao atendimento ao público nos teatros da Fundação Clóvis Salgado</t>
  </si>
  <si>
    <t>Processo 4346 - Lisander Antônio Willmore Herasme</t>
  </si>
  <si>
    <t>085.422.641-93</t>
  </si>
  <si>
    <t>Processo 4310 - Hatari Filmes Ltda</t>
  </si>
  <si>
    <t xml:space="preserve">Serviço de Produção Técnica, Autoração e Legendagem para atender as demandas relativas às mostras de cinema produzidas no Cine Humberto Mauro - FCS </t>
  </si>
  <si>
    <t>Processo 4301 - Anderson Filipe Gonçalves Moreira</t>
  </si>
  <si>
    <t>Contratação de Produtor de Galerias para atuar durante as etapas de pré-produção, produção e pós produção das exposições de artes visuais que ocorrerão nos espaços expositivos da FCS de 05 de setembro até 05 de janeiro de 2023</t>
  </si>
  <si>
    <t>111.095.206-62</t>
  </si>
  <si>
    <t>Aquisição de 15 blusas de uniforme na cor preta (semelhantes as camisas adquiridas no processo #3908) para os montadores (Alexandre, Carlos e Wilton) do Palácio das Artes sendo :Tamanho G - 6 camisas gola poloTamanho G - 4 camisas gola comumTamanho M - 3 camisas gola polotamanho M - 2 camisas gola comum</t>
  </si>
  <si>
    <t xml:space="preserve">Reembolso realizado pelo Termo de Parceria 50/2020 - IEPHA referente ao percentual (26,41% do valor total), Aluguel da sede da Appa referente ao mês de Agosto de 2022. </t>
  </si>
  <si>
    <t>Reembolso realizado pelo Termo de Parceria 50/2020 - IEPHA referente a guia de IPTU -  8º Parcela</t>
  </si>
  <si>
    <t>Valor recebido Sabrina da Cunha Peixoto Ladeira - CPF: 048.797.196-50, referente à locação de figurino</t>
  </si>
  <si>
    <t>Flaviane Angelica Lopes De Oliveira</t>
  </si>
  <si>
    <t>ISSQN referente a RPA 2007 - Flaviane Angelica Lopes De Oliveira</t>
  </si>
  <si>
    <t>INSS e INSS Patronal referente a RPA 2007 - Flaviane Angelica Lopes De Oliveira</t>
  </si>
  <si>
    <t>Contratação de profissional externo para compor banca examinadora do processo seletivo de novos alunos do edital do 2º semestre de 2022 da Escola de Música.Contratação de profissionais externos para as bancas examinadoras dos editais de 2023 de Música.</t>
  </si>
  <si>
    <t>ISSQN referente ao RPA 1996 - Tenison Santana Dos Santos</t>
  </si>
  <si>
    <t>INSS e INSS Patronal referente ao RPA 1996 - Tenison Santana Dos Santos</t>
  </si>
  <si>
    <t>2022/1291</t>
  </si>
  <si>
    <t>ISSQN referente a nota fiscal 2022/1291 - Artes Gráficas Formato Ltda</t>
  </si>
  <si>
    <t xml:space="preserve"> Manassés Morais De Arruda 01188938665</t>
  </si>
  <si>
    <t>Contratação de profissional externo para compor a banca examinadora do processo seletivo de novos alunos dos editais do 2º semestre de 2022 da Escola de Artes Visuais.</t>
  </si>
  <si>
    <t>Stephanie Joyce Correa Cunha 09712424618</t>
  </si>
  <si>
    <t>ISSQN referente a RPA 1995 - Dominick Lattuada Abreu Barbosa</t>
  </si>
  <si>
    <t>INSS e INSS Patronal referente a RPA 1995 - Dominick Lattuada Abreu Barbosa</t>
  </si>
  <si>
    <t>Tarifa Bancária referente a transferência eletrônica pagamento fornecedor: Tenison Santana Dos Santos  -  Processo 4144</t>
  </si>
  <si>
    <t>Tarifa Bancária referente a transferência eletrônica pagamento fornecedor: Mcr Computadores E Rede Ltda  -  Processo 3106</t>
  </si>
  <si>
    <t>Tarifa Bancária referente a transferência eletrônica pagamento fornecedor: Artes Gráficas Formato Ltda   -  Processo 4220</t>
  </si>
  <si>
    <t>Tarifa Bancária referente a transferência eletrônica pagamento fornecedor: Nairza Santana De Almeida Silva 78696755553  -  Processo 4126</t>
  </si>
  <si>
    <t>Tarifa Bancária referente a transferência eletrônica pagamento fornecedor:  Manassés Morais De Arruda 01188938665  -  Processo 4133</t>
  </si>
  <si>
    <t>Tarifa Bancária referente a transferência eletrônica pagamento fornecedor: Stephanie Joyce Correa Cunha 09712424618   -  Processo 4166</t>
  </si>
  <si>
    <t>Tarifa Bancária referente a transferência eletrônica pagamento fornecedor: Dominick Lattuada Abreu Barbosa  -  Processo 4139</t>
  </si>
  <si>
    <t>2022/208461</t>
  </si>
  <si>
    <t>2022/241201</t>
  </si>
  <si>
    <t>2022/253659</t>
  </si>
  <si>
    <t>Reembolso realizado pelo Termo de Parceria 50/2020 - IEPHA referente uso de táxi pelos funcionários a serviço do CG 05/2019  referente ao mês 08/2022</t>
  </si>
  <si>
    <t>Reembolso realizado pelo Termo de Parceria 50/2020 - IEPHA referente ao percentual (26,41% do valor total), Segurança Eletrônica da Sede da APPA - mês 08/2022</t>
  </si>
  <si>
    <t xml:space="preserve">Reembolso realizado pelo Termo de Parceria 50/2020 - IEPHA referente ao percentual (26,41% do valor total), Taxas de Fiscalização de Localização e Funcionamento e Taxa de Fiscalização Sanitária . Favorecido: Prefeitura Muncipal de Belo Horizonte - 05ª Parcela </t>
  </si>
  <si>
    <t>Reembolso realizado pelo Termo de Parceria 50/2020 - IEPHA referente ao percentual 26,41% do valor total ) ao consumo de internet da Appa do mês 08/2022</t>
  </si>
  <si>
    <t>Reembolso realizado pelo Termo de Parceria 50/2020 - IEPHA referente ao percentual (26,41% do valor total ) locação de impressoras da sede da Appa referente ao mês 08/2022</t>
  </si>
  <si>
    <t>Reembolso realizado pelo Termo de Parceria 50/2020 - IEPHA referente ao percentual (26,41% do valor total), Manutenção de hardware e redes, preventiva, preditiva e corretiva da sede da Appa - mês 08/2022</t>
  </si>
  <si>
    <t>Contratação de profissional para ministrar o Curso Complementar Dança contemporânea sob uma perspectiva afro-atlântica, a fim de atender a demanda da Escola de Dança do Cefart.</t>
  </si>
  <si>
    <t>Victória Silveira Magalhães Mota Santos</t>
  </si>
  <si>
    <t>ISSQN referente ao RPA 2006 - Victória Silveira Magalhães Mota Santos</t>
  </si>
  <si>
    <t>INSS e INSS Patronal referente ao RPA 2006 - Victória Silveira Magalhães Mota Santos</t>
  </si>
  <si>
    <t xml:space="preserve">Taxas de Fiscalização de Localização e Funcionamento e Taxa de Fiscalização Sanitária . Favorecido: Prefeitura Muncipal de Belo Horizonte - 05ª Parcela </t>
  </si>
  <si>
    <t>02.22.2072415.74</t>
  </si>
  <si>
    <t>Uso de táxi pelos funcionários a serviço do CG 05/2019  referente ao mês 08/2022</t>
  </si>
  <si>
    <t>2022/1979</t>
  </si>
  <si>
    <t>ISSQN referente a nota fiscal 2022/8 - Estúdio 739 de Publicidade E Propaganda Ltda</t>
  </si>
  <si>
    <t>U06131</t>
  </si>
  <si>
    <t>15467114-MG</t>
  </si>
  <si>
    <t>2022/1308</t>
  </si>
  <si>
    <t>2022/117</t>
  </si>
  <si>
    <t>Tarifa Bancária referente a transferência eletrônica pagamento fornecedor: Estúdio 739 De Publicidade E Propaganda Ltda   -  Processo 4137</t>
  </si>
  <si>
    <t>Tarifa Bancária referente a transferência eletrônica pagamento fornecedor :Dobra Camisetas Personalizadas Eireli   -  Processo 4348</t>
  </si>
  <si>
    <t>Contratação de profissional externo para compor as bancas examinadoras do edital de novos alunos do 2 semestre de 2022 da Escola Artes Visuais.</t>
  </si>
  <si>
    <t>ISSQN referente a nota fiscal 2022/7 - Estúdio 739 De Publicidade E Propaganda Ltda</t>
  </si>
  <si>
    <t>Tarifa Bancária referente a transferência eletrônica pagamento fornecedor : Estúdio 739 De Publicidade E Propaganda Ltda  -  Processo 4127</t>
  </si>
  <si>
    <t>Tarifa Bancária referente a transferência eletrônica pagamento fornecedor: Camila Lacerda Lopes 07900541675  -  Processo 4140</t>
  </si>
  <si>
    <t xml:space="preserve"> Chão Da Feira Ltda</t>
  </si>
  <si>
    <t>ISSQN referente a nota fiscal 2022/24 - Chão Da Feira Ltda</t>
  </si>
  <si>
    <t>ISSQN referente a nota fiscal 2022/26 - Atena Arte E Cultura Ltda</t>
  </si>
  <si>
    <t>ISSQN referente ao RPA 1979 - Angela Peres De Oliveira</t>
  </si>
  <si>
    <t>IR referente ao RPA 1979 - Angela Peres De Oliveira</t>
  </si>
  <si>
    <t xml:space="preserve">ISSQN referente nota fiscal 2022/13 - Rosa De Areia Produções Ltda </t>
  </si>
  <si>
    <t>ISSQN referente ao RPA 1919 - Tatiana Alves De Carvalho Costa</t>
  </si>
  <si>
    <t>ISSQN referente a nota fiscal 2022/38 - Hatari Filmes Ltda</t>
  </si>
  <si>
    <t>ISSQN referente ao RPA 1990 - Sara De Oliveira Paoliello</t>
  </si>
  <si>
    <t>IR referente ao RPA 1990 - Sara De Oliveira Paoliello</t>
  </si>
  <si>
    <t>ISSQN referente a nota fiscal 2022/40 - Hatari Filmes Ltda</t>
  </si>
  <si>
    <t>Paulo Roberto Maia Figueiredo</t>
  </si>
  <si>
    <t>ISSQN referente ao RPA 1997 - Paulo Roberto Maia Figueiredo</t>
  </si>
  <si>
    <t>Almanaque Filmes Ltda</t>
  </si>
  <si>
    <t>ISSQN referente a nota fiscal 2022/23 - Almanaque Filmes Ltda</t>
  </si>
  <si>
    <t>Processo 4351 - Tairine Pena Ladislau</t>
  </si>
  <si>
    <t xml:space="preserve">ontratação de Assistente de Produção para atuar durante todas as etapas de pré-produção, produção e pós produção das exposições de artes visuais que ocorrerão nos espaços expositivos da FCS durante o período de trabalho. </t>
  </si>
  <si>
    <t xml:space="preserve">
105.585.976-45</t>
  </si>
  <si>
    <t>Contratação de profissional externo para compor as bancas examinadoras do processo seletivo do edital do 2º semestre de 2022 da Escola de Artes Visuais.</t>
  </si>
  <si>
    <t xml:space="preserve"> Josué Sales Barbosa 06756282611</t>
  </si>
  <si>
    <t>Contratação de profissional externo para compor as Bancas examinadoras para o processo seletivo de novos alunos do edital do 2 semestre de 2022 da Escola de teatro.</t>
  </si>
  <si>
    <t xml:space="preserve">
42.236.925/0001-86</t>
  </si>
  <si>
    <t>Tarifa Bancária referente a transferência eletrônica pagamento fornecedor:  Josué Sales Barbosa 06756282611  -  Processo 4153</t>
  </si>
  <si>
    <t>Tarifa Bancária referente a transferência eletrônica pagamento fornecedor: Michele Costa Bernardino 11479891681  -  Processo 4152</t>
  </si>
  <si>
    <t>ISSQN referente a nota fiscal 2022/11 - Marcus Vinicius S. Borges Ltda</t>
  </si>
  <si>
    <t>IR referente a nota fiscal 2022/11 - Marcus Vinicius S. Borges Ltda</t>
  </si>
  <si>
    <t>PCC  referente a nota fiscal 2022/11 - Marcus Vinicius S. Borges Ltda</t>
  </si>
  <si>
    <t xml:space="preserve"> Paula Lemos Vilaça Faria</t>
  </si>
  <si>
    <t>ISSQN referente ao RPA 2001 - Paula Lemos Vilaça Faria</t>
  </si>
  <si>
    <t>IR referente ao RPA 2001 - Paula Lemos Vilaça Faria</t>
  </si>
  <si>
    <t xml:space="preserve"> Lucas Loureiro Cardoso</t>
  </si>
  <si>
    <t>ISSQN referente ao RPA 1999 - Lucas Loureiro Cardoso</t>
  </si>
  <si>
    <t>IR referente ao RPA 1999 - Lucas Loureiro Cardoso</t>
  </si>
  <si>
    <t>Ederson De Sousa</t>
  </si>
  <si>
    <t>ISSQN referente ao RPA 2005 - Ederson De Sousa</t>
  </si>
  <si>
    <t>IR referente ao RPA 2005 - Ederson De Sousa</t>
  </si>
  <si>
    <t>ISSQN referente ao RPA 1998 - Diogo Vieira De Melo</t>
  </si>
  <si>
    <t>IR referente ao RPA 1998 - Diogo Vieira De Melo</t>
  </si>
  <si>
    <t>ISSQN referente ao RPA 2000 - Victória Sofia Lúcio Silva</t>
  </si>
  <si>
    <t>IR referente ao RPA 2000 - Victória Sofia Lúcio Silva</t>
  </si>
  <si>
    <t>2022/559</t>
  </si>
  <si>
    <t>ISSQN referente a nota fiscal 2022/559 - Flag Impressao Digital Ltda</t>
  </si>
  <si>
    <t>ISSQN referente ao RPA 2003 - Heloísa Helena Rosa Vitalino</t>
  </si>
  <si>
    <t>IR referente ao RPA 2003 - Heloísa Helena Rosa Vitalino</t>
  </si>
  <si>
    <t xml:space="preserve"> Flag Impressão Digital Ltda</t>
  </si>
  <si>
    <t>2022/560</t>
  </si>
  <si>
    <t>ISSQN referente a nota fiscal 2022/560 - Flag Impressão Digital Ltda</t>
  </si>
  <si>
    <t>ISSQN referente a nota fiscal 2022/558 - Flag Impressao Digital Ltda</t>
  </si>
  <si>
    <t>ISSQN referente ao RPA 2002 - Luciana Campos Horta</t>
  </si>
  <si>
    <t>IR referente ao RPA 2002 - Luciana Campos Horta</t>
  </si>
  <si>
    <t>ISSQN referente ao RPA 2004 - Flávio Von Randow Teixeira</t>
  </si>
  <si>
    <t>IR referente ao RPA 2004 - Flávio Von Randow Teixeira</t>
  </si>
  <si>
    <t>Reembolso realizado pelo Termo de Parceria 50/2020 - IEPHA referente ao percentual (26,41% do valor total ) consumo de água da sede da Appa- mês 08/2022</t>
  </si>
  <si>
    <t>Reembolso recebido ref. a devolução do pagamento duplicado. Fornecedor: Flaviane Angelica Lopes de Oliveira - CPF: 079.192.576-54   Pagamento realizado em 09/09/2022 -  Processo 4263 , RPA 2007</t>
  </si>
  <si>
    <t>001.22.54176966-6</t>
  </si>
  <si>
    <t>Acesso Equipamentos Ltda</t>
  </si>
  <si>
    <t>ND-023510</t>
  </si>
  <si>
    <t>Fatura de Locação</t>
  </si>
  <si>
    <t>Tarifa Bancária referente a transferência eletrônica pagamento fornecedor: Acesso Equipamentos Ltda  -  Processo 4206</t>
  </si>
  <si>
    <t xml:space="preserve"> Sinara Araujo Costa Sociedade Individual De Advocacia</t>
  </si>
  <si>
    <t>ISSQN referente a nota fiscal 2022/11 - Sinara Araujo Costa Sociedade Individual De Advocacia</t>
  </si>
  <si>
    <t xml:space="preserve"> Paola Samora De Faria Campos 08817435694</t>
  </si>
  <si>
    <t>ISSQN referente a nota fiscal 2022/11 - Bd Servicos E Consultoria Ltda</t>
  </si>
  <si>
    <t>Adriana Santana Salgado 03506458680</t>
  </si>
  <si>
    <t>ISSQN referente a nota fiscal 2022/3 - Rafael Bruno De Oliveira Ferreira Eireli</t>
  </si>
  <si>
    <t>ISSQN referente a nota fiscal 2022/39 - Hatari Filmes Ltda</t>
  </si>
  <si>
    <t>2022/81</t>
  </si>
  <si>
    <t>ISSQN referente a nota fiscal 2022/81 - Unicusto Limpeza Em Eventos Ltda</t>
  </si>
  <si>
    <t>INSS referente a nota fiscal 2022/81 - Unicusto Limpeza Em Eventos Ltda</t>
  </si>
  <si>
    <t>Diárias Viagem - Ópera  (Ouro Preto)</t>
  </si>
  <si>
    <t>2022/460126</t>
  </si>
  <si>
    <t>2022/499052</t>
  </si>
  <si>
    <t>Descrição (Serviço, produto, quantidades, etc.)
Contratação de plataforma digital para utilização no setor de Compliance - Search Diligência - Basic - 50 dossiês mensais.</t>
  </si>
  <si>
    <t xml:space="preserve"> Rosa De Areia Produções Ltda</t>
  </si>
  <si>
    <t>ISSQN referente a nota fiscal 2022/14 - Rosa De Areia Produções Ltda</t>
  </si>
  <si>
    <t xml:space="preserve">ISSQN referente ao RPA 2010 - Sheila Fernanda Oliveira Da Silva </t>
  </si>
  <si>
    <t>ISSQN referente ao RPA 2011  - Carla Lima Cattabriga</t>
  </si>
  <si>
    <t>22.626.441/0001-36</t>
  </si>
  <si>
    <t>Transporte e embalagem das obras que compõem a exposição Foto em Pauta - Cosmopolíticas. Trajeto do transporte: retirada no CâmeraSete (Avenida Afonso Pena, 737) e entrega no Palácio das Artes (Avenida Afonso Pena, 1537).Embalagem em softpack (preferencialmente uma camada de plástico bolha e uma camada de papel craft).</t>
  </si>
  <si>
    <t>Contratação de Produtor Executivo para atuar durante as etapas de pré-produção, produção e pós produção das exposições de artes visuais que ocorrerão nos espaços expositivos da FCS durante o período do contrato.</t>
  </si>
  <si>
    <t>Reembolso recebido ref. a devolução do pagamento duplicado. Fornecedor: Victória Silveira Magalhães Mota Santos - CPF: 108.126.136-60 - Pagamento realizado em 13/09/2022 -  RPA 2006 - Processo 4060</t>
  </si>
  <si>
    <t>2022/131</t>
  </si>
  <si>
    <t>ISSQN referente a nota fiscal 2022/131 - Rhino Vigilância Patrimonial Ltda</t>
  </si>
  <si>
    <t>INSS referente a nota fiscal 2022/131 - Rhino Vigilância Patrimonial Ltda</t>
  </si>
  <si>
    <t xml:space="preserve">Tarifa Bancária referente a transferência eletrônica pagamento fornecedor:   Maria da Penha Vasconcelos Batista Sabeti </t>
  </si>
  <si>
    <t>Tarifa Bancária referente a transferência eletrônica pagamento fornecedor:   Fellip Matheus dos Santos Lopes</t>
  </si>
  <si>
    <t>Tarifa Bancária referente a transferência eletrônica pagamento fornecedor: Leise Rodrigues Toledo Renhe</t>
  </si>
  <si>
    <t>Tarifa Bancária referente a transferência eletrônica pagamento fornecedor: Isadora de Souza</t>
  </si>
  <si>
    <t xml:space="preserve">Tarifa Bancária referente a transferência eletrônica pagamento fornecedor: Simone Poliana de Jeses Martins e Silva </t>
  </si>
  <si>
    <t>Tarifa Bancária referente a transferência eletrônica pagamento fornecedor: Carlos Natanael Brito da Silva</t>
  </si>
  <si>
    <t>Tarifa Bancária referente a transferência eletrônica pagamento fornecedor: Vitor Dutra Oliveira</t>
  </si>
  <si>
    <t>Tarifa Bancária referente a transferência eletrônica pagamento fornecedor: Rafael Ribeiro</t>
  </si>
  <si>
    <t>Tarifa Bancária referente a transferência eletrônica pagamento fornecedor: Elias Magalhães Moreira</t>
  </si>
  <si>
    <t xml:space="preserve">Tarifa Bancária referente a transferência eletrônica pagamento fornecedor: Augusto Mário Goulart Pimenta  </t>
  </si>
  <si>
    <t xml:space="preserve">Tarifa Bancária referente a transferência eletrônica pagamento fornecedor: Leonardo Brasilino Rodrigues da Cunha </t>
  </si>
  <si>
    <t>Tarifa Bancária referente a transferência eletrônica pagamento fornecedor: Filipe Silva dos Santos</t>
  </si>
  <si>
    <t>Tarifa Bancária referente a transferência eletrônica pagamento fornecedor: Sarah Reis Campos Moreira</t>
  </si>
  <si>
    <t xml:space="preserve">Tarifa Bancária referente a transferência eletrônica pagamento fornecedor: Thiago Roussin Borges   </t>
  </si>
  <si>
    <t xml:space="preserve">Tarifa Bancária referente a transferência eletrônica pagamento fornecedor: Sônia Aparecida da Conceição </t>
  </si>
  <si>
    <t xml:space="preserve">Tarifa Bancária referente a transferência eletrônica pagamento fornecedor: Ariadna Fernandes  </t>
  </si>
  <si>
    <t>Contratação de profissional para ministrar o Curso Complementar de Mixagem, a fim de atender a demanda da Escola de Tecnologia da Cena na modalidade presencial.</t>
  </si>
  <si>
    <t>32.281.764/0001-99</t>
  </si>
  <si>
    <t xml:space="preserve">Valor recebido  CAROLINA DE FREITAS GOMES (ALDEIA PRODUÇÕES) - CPF:054.615.366-62, , referente à locação de figurinos </t>
  </si>
  <si>
    <t xml:space="preserve">Valor recebido  CAROLINA DE FREITAS GOMES (ADELAINE SCALCO) - CPF:054.615.366-62 , referente à locação de figurinos </t>
  </si>
  <si>
    <t>2022/221194</t>
  </si>
  <si>
    <t>Reembolso realizado pelo Termo de Parceria 50/2020 - IEPHA referente ao percentual (26,41% do valor total) consumo de energia elétrica da sede da Appa- mês 08/2022</t>
  </si>
  <si>
    <t>Reembolso realizado pelo Termo de Parceria 50/2020 - IEPHA referente ao percentual (26,41% do valor total), referente ao telefone móvel da sede da Appa- mês 08/2022</t>
  </si>
  <si>
    <t>Reembolso recebido de complementação de valor referente a devolução do pagamento duplicado. Fornecedor: Victória Silveira Magalhães Mota Santos - CPF: 108.126.136-60 - Pagamento realizado em 13/09/2022 -  RPA 2006 - Processo 4060</t>
  </si>
  <si>
    <t>Telefone móvel para os funcionários a serviço do Contrato de Gestão, referente ao mês 08/2022</t>
  </si>
  <si>
    <t>ISSQN referente a nota fiscal 2022/27 - Chão Da Feira Ltda</t>
  </si>
  <si>
    <t xml:space="preserve"> Maxi Áudio Locação De Equipamentos Ltda</t>
  </si>
  <si>
    <t>ISSQN referente a nota fiscal 290- Maxi Áudio Locação De Equipamentos Ltda.</t>
  </si>
  <si>
    <t>Valor recebido  ANGELO SERRA AGOSTINHO  - CPF:060.267.506-57, , referente à locação Locação de material (01 barril madeira avulso).</t>
  </si>
  <si>
    <t>Reembolso realizado pela conta 2462-7 referente ao pagamento da guia de GPS do mês 08/2022</t>
  </si>
  <si>
    <t>Reembolso realizado pela conta 16.113-6 referente ao pagamento da guia de GPS do mês 08/2022</t>
  </si>
  <si>
    <t>Reembolso realizado pela conta 16173-X referente ao pagamento da guia de GPS do mês 08/2022</t>
  </si>
  <si>
    <t>Reembolso realizado pela conta 16185-3 referente ao pagamento da guia de GPS do mês 08/2022</t>
  </si>
  <si>
    <t>Reembolso realizado pela conta do Termo de Parceria 50/2020 - Iepha referente ao pagamento da guia de GPS (funcionários) INSS retido sob folha do mês 08/2022</t>
  </si>
  <si>
    <t>Reembolso realizado pela conta do Termo de Parceria 50/2020 - Iepha referente ao pagamento da guia de GPS (funcionários) INSS Patronal do mês 08/2022</t>
  </si>
  <si>
    <t>Reembolso realizado pela conta do Termo de Parceria 50/2020 - Iepha referente ao pagamento da guia de GPS (autônomo) do mês 08/2022</t>
  </si>
  <si>
    <t>Reembolso realizado pela conta 16375-9  referente ao pagamento da guia de GPS do mês 08/2022</t>
  </si>
  <si>
    <t>Reembolso realizado pela conta 16376-7  referente ao pagamento da guia de GPS do mês 08/2022</t>
  </si>
  <si>
    <t>Reembolso realizado pela conta 16391-0  referente ao pagamento da guia de GPS do mês 08/2022</t>
  </si>
  <si>
    <t>Reembolso realizado pela conta 16476-3  referente ao pagamento da guia de GPS do mês 08/2022</t>
  </si>
  <si>
    <t>Reembolso realizado pela conta  16821-1  referente ao pagamento da guia de GPS do mês 08/2022</t>
  </si>
  <si>
    <t>Reembolso realizado pela conta  16888-2  referente ao pagamento da guia de GPS do mês 08/2022</t>
  </si>
  <si>
    <t xml:space="preserve">Reembolso parcial da conta do Termo de Parceria 50/2020 - IEPHA, referenteao uso de telefone fixo (mês 08/2022) - 26,41% do valor total </t>
  </si>
  <si>
    <t>Contratação de auditoria externa independente para o exercício de 2022 - 4º parcela</t>
  </si>
  <si>
    <t>2022/334</t>
  </si>
  <si>
    <t>ISSQN referente a nota fiscal 2022/334 - Orplan Auditores Independentes</t>
  </si>
  <si>
    <t>15618910-MG</t>
  </si>
  <si>
    <t xml:space="preserve">Guia de GPS do mês 08/2022 - conta 2462-7 </t>
  </si>
  <si>
    <t>Guia de GPS do mês 08/2022 - conta 16476-3</t>
  </si>
  <si>
    <t>Guia de GPS do mês 08/2022 - conta 16185-3</t>
  </si>
  <si>
    <t xml:space="preserve"> Guia de GPS do mês 08/2022 - conta 16376-7 </t>
  </si>
  <si>
    <t>Guia de GPS do mês 08/2022 - conta 16173-X</t>
  </si>
  <si>
    <t>Guia de GPS do mês 08/2022 - conta 16357-0</t>
  </si>
  <si>
    <t>Guia de GPS do mês 08/2022 - conta 16821-1</t>
  </si>
  <si>
    <t>Guia de GPS do mês 08/2022 - conta 16888-2</t>
  </si>
  <si>
    <t>Guia de GPS do mês 08/2022 - conta 16375-9</t>
  </si>
  <si>
    <t xml:space="preserve"> guia de GPS (funcionários) INSS retido sob folha do mês 08/2022 -  Termo de Parceria 50/2020 - Iepha </t>
  </si>
  <si>
    <t xml:space="preserve">a guia de GPS (funcionários) INSS Patronal sob folha do mês 08/2022 -  Termo de Parceria 50/2020 - Iepha </t>
  </si>
  <si>
    <t>Guia de GPS do mês 08/2022 -  conta 16391-0</t>
  </si>
  <si>
    <t>INSS Patronal referente a folha do mês 08/2022</t>
  </si>
  <si>
    <t>Guia de GPS do mês 08/2022 -  conta 16.113-6</t>
  </si>
  <si>
    <t>IR referente a nota fiscal 2022/460126 - Unimed Belo Horizonte Cooperativa de Trabalho Médico</t>
  </si>
  <si>
    <t>Valor recebido DORA M B TORRE, CPF:  referente à locação de figurino</t>
  </si>
  <si>
    <t>2 Conjunto de tintas faciais coloridas (preto, branco, vermelho, amarelo, azul e verde) -3 Colas Bastão grossas1 conjunto de tintas faciais neon (verde, amarelo, laranja, rosa e azul) -2 pacote de Sacos de Lixo grande com 25 (100L)4 pincéis nº0 de cerdas macias</t>
  </si>
  <si>
    <t>Compra de materiais para que o cursos complementar "Caracterização Cênica", ministrado pelo Eli Nunes, ocorra com excelência.</t>
  </si>
  <si>
    <t>Reembolso a conta do TP 50/2020 Iepha  referente ao pagamento da guia de INSS referente a nota fiscal 2022/122 - Rhino Vigilância Patrimonial Ltda</t>
  </si>
  <si>
    <t>Associação Pró-Cultura e Promoção das Artes -  TP 50/2020 - IEPHA</t>
  </si>
  <si>
    <t>ISSQN - 0191554/001-9 F6 SISTEMAS DE INFORMATICA LTDA NF: 20223076</t>
  </si>
  <si>
    <t>Associação Pró-Cultura e Promoção das Artes -  Projeto Programação Artística FCS</t>
  </si>
  <si>
    <t>ISSQN - UPGRADE BH LOCACAO DE ESTRUTURAS PARA CORRIDA EIRELI NF: 280</t>
  </si>
  <si>
    <t>ISSQN - 1114654/001-3 ELISETE GOMES JOAQUIM DE OLIVEIRA NF: 202227</t>
  </si>
  <si>
    <t>ISSQN - 1019020/001-1 MW VIAGENS INTELIGENTES OPERADORA E AGENCIA DIGITAL LTDA NF: 2022108</t>
  </si>
  <si>
    <t>Contratação de profissional externo para compor as Bancas Examinadoras do processo seletivo do 2º semestre de 2022 da Escola de Artes Visuais do Cefart.</t>
  </si>
  <si>
    <t>ISSQN referente ao RPA 2008 - Lourdes Isabel Miranda</t>
  </si>
  <si>
    <t>INSS e INS Patronal referente ao RPA 2008 - Lourdes Isabel Miranda</t>
  </si>
  <si>
    <t xml:space="preserve"> Gestão de redes sociais - Facebook e Instagram</t>
  </si>
  <si>
    <t>ROMANO COMUNICACAO LTDA</t>
  </si>
  <si>
    <t>3 Água micelar 200ml15 Cílios postiços pretos grandes3 colas de cílios postiços branca3 delineadores pretos1 paleta de sombras de cores diversas (24 cores)2 corretivos faciais de cor clara (bege)</t>
  </si>
  <si>
    <t>46.783.611/0001-54</t>
  </si>
  <si>
    <t>INSS e INSS Patronal referente a RPA 1919- Tatiana Alves de Carvalho Costa</t>
  </si>
  <si>
    <t>Pincel Condor 484-02 - 2 unidadesPincel Condor 484-04 - 2 unidadesPincel Condor 484-06 - 2 unidades</t>
  </si>
  <si>
    <t>Contratação de 2 recepcionistas.</t>
  </si>
  <si>
    <t xml:space="preserve">08.769.496/0001-74
</t>
  </si>
  <si>
    <t>Loja Eletrica Limitada</t>
  </si>
  <si>
    <t>Nota Fidcal</t>
  </si>
  <si>
    <t>Rafael Perpétuo De Souza 01465157654</t>
  </si>
  <si>
    <t>ISSQN referente a nota fiscal 2022/45 - Ouvex Tecnologia Para Compliance Ltda.</t>
  </si>
  <si>
    <t xml:space="preserve">
Instituto Integridade E Compliance Consultoria De Negocios Ltda</t>
  </si>
  <si>
    <t>ISSQN referente a nota fiscal 2022/10 - Renata Fonseca Felicissimo 10665267614</t>
  </si>
  <si>
    <t>Fernanda Santos Rossi 12404008617</t>
  </si>
  <si>
    <t>INSS referente a nota fiscal 883 - Expresso Unir Ltda</t>
  </si>
  <si>
    <t>Guia de GPS do mês 08/2022 - conta 16376-7</t>
  </si>
  <si>
    <t xml:space="preserve">
31.742.952/0001-04</t>
  </si>
  <si>
    <t>Pancake - 3 unidades - Compra de materiais para que o cursos complementar "Caracterização Cênica", ministrado pelo Eli Nunes, ocorra com excelência.</t>
  </si>
  <si>
    <t>Transferência para conta Reserva referente aos rendimentos do mês 08/2022</t>
  </si>
  <si>
    <t>New Era Bijuterias E Presentes Ltda</t>
  </si>
  <si>
    <t>Férias de Produtora Cultural: Produção Artística</t>
  </si>
  <si>
    <t>PIS referente a folha 08/2022</t>
  </si>
  <si>
    <t>Contratação de serviços de veiculação de anúncios nas redes sociais Facebook e Instagram.</t>
  </si>
  <si>
    <t>Facebook Serviços Online Do Brasil Ltda.</t>
  </si>
  <si>
    <t xml:space="preserve">
13.347.016/0001-17</t>
  </si>
  <si>
    <t>Tarifa Bancária referente a transferência eletrônica pagamento fornecedor: Dobra Camisetas Personalizadas Eireli  -  Processo 4348</t>
  </si>
  <si>
    <t>Tarifa Bancária referente a transferência eletrônica pagamento fornecedor: New Era Bijuterias E Presentes Ltda  -  Processo 4385</t>
  </si>
  <si>
    <t>Tarifa Bancária referente a transferência eletrônica pagamento  de Produtora Cultural: Produção Artística</t>
  </si>
  <si>
    <t>Tarifa Bancária referente a transferência eletrônica pagamento fornecedor: Artesanatos Bibelô Eireli  -  Processo 4389</t>
  </si>
  <si>
    <t>Tarifa Bancária referente a transferência eletrônica pagamento fornecedor: BH Notebooks Ltda -  Processo 2842</t>
  </si>
  <si>
    <t>ISSQN referente a RPA 2019 - Dominick Lattuada Abreu Barbosa</t>
  </si>
  <si>
    <t>ISSQN referente a nota fiscal 2022/120 - Emer-som Ltda</t>
  </si>
  <si>
    <t>COFINS 08/2022</t>
  </si>
  <si>
    <t>Contratação Valdir Rodrigues dos Santos,para acompanhamento do público durante a visitação na exposição</t>
  </si>
  <si>
    <t>ISSQN referente ao RPA 2020 - Valdir Rodrigues Dos Santos</t>
  </si>
  <si>
    <t>IR referente ao RPA 2020 - Valdir Rodrigues Dos Santos</t>
  </si>
  <si>
    <t>ISSQN referente ao RPA 2021 - Fernando Cesar Caldeira Pacheco Barbosa</t>
  </si>
  <si>
    <t>IR referente ao RPA 2021 - Fernando Cesar Caldeira Pacheco Barbosa</t>
  </si>
  <si>
    <t>INSS referente a nota fiscal 2022/111 - Logus Protection Patrimonial Ltda</t>
  </si>
  <si>
    <t>ISSQN  referente a nota fiscal 2022/111 - Logus Protection Patrimonial Ltda</t>
  </si>
  <si>
    <t>ISSQN referente ao RPA 2018  - Silvia Maria Nascimento Amarante</t>
  </si>
  <si>
    <t>IR  referente ao RPA 2018  - Silvia Maria Nascimento Amarante</t>
  </si>
  <si>
    <t>ISSQN referente a nota fiscal 2022/3 - Pulsar Cultura Ltda</t>
  </si>
  <si>
    <t>Contratação de um profissional para atuar como Apoio Administrativo na digitação de informações para os cursos de extensão, complementares, mediação e educativo. Será responsável pela digitação de informações a partir do contato com o público alvo das atividades desenvolvidas no Cefart, envio de e-mails, contato com alunos e escolas, orientações gerais e demais demandas definidas pela direção do CEFART.</t>
  </si>
  <si>
    <t>34.255.397/0001-84</t>
  </si>
  <si>
    <t>Reembolso realizado pelo Termo de Parceria 50/2020 - IEPHA referente ao percentual (26,41% do valor total ) locação de PABX da sede da Appa referente ao mês 08/2022</t>
  </si>
  <si>
    <t>Isabella E Pedro Comércio De Maquiagens Ltda</t>
  </si>
  <si>
    <t>001.22.56611497-3</t>
  </si>
  <si>
    <t>2022/281</t>
  </si>
  <si>
    <t>ISSQN referente a nota fiscal 2022/281 - Softwares De Gestão Ltda</t>
  </si>
  <si>
    <t>Tarifa Bancária referente a transferência eletrônica pagamento fornecedor: Isabella E Pedro Comércio De Maquiagens Ltda -  Processo 4390</t>
  </si>
  <si>
    <t>Compra de 02 microfones com fio, de plástico, M1800B, preto, cabo 3 metros para composição de cenário do novo espetáculo da Cia de Dança.</t>
  </si>
  <si>
    <t>Contratação de profissional para ministrar o Curso Complementar"Estruturas Metálicas", a fim de atender a demanda da Escola de Tecnologia da Cena do Cefart.</t>
  </si>
  <si>
    <t>30.400.770/0001-92</t>
  </si>
  <si>
    <t>000.009</t>
  </si>
  <si>
    <t>000.010</t>
  </si>
  <si>
    <t>000.011</t>
  </si>
  <si>
    <t>BEBEDOURO ELECTROLUX BE11B BRANCO -
BIVOLTRecebido na NF 661995-1.</t>
  </si>
  <si>
    <t>SMARTPHONE SAMSUNG GALAXY A03 CORE 32GB
4G WI-FI TELA 6.5'' DUAL CHIP 2GB RAM CAMERA
8MP * SELFIE 5MP -</t>
  </si>
  <si>
    <t>MICROONDAS MIDEA 27L BR MXSA27E1 127V</t>
  </si>
  <si>
    <t>CTP MARZAGÃO</t>
  </si>
  <si>
    <t>CTP MARZAGÃO (LARYSSA)</t>
  </si>
  <si>
    <t>Compra de 1 unidade de bebedouro de mesa para galão de água de 20litros, água natural/fria ou gelada, bivolt  em qualquer cor, para viabilizar e compor estrutura base de apoio e permanência para a equipe interna, colaboradores e visitantes no CTPF em Marzagão, Sabará.</t>
  </si>
  <si>
    <t>Compra de 20 esponjas mágicas para limpar o linóleo devido às tintas que estão sendo usadas no processo de criação do espetáculo novo.</t>
  </si>
  <si>
    <t>40.763.222/0001-80</t>
  </si>
  <si>
    <t>Férias de Gerente de Projetos</t>
  </si>
  <si>
    <t>Reembolso da despesa referente ao pagamento da Nota Fiscal 20229 - MOTRIX PRODUCOES CULTURAIS LTDA e ISSQN.</t>
  </si>
  <si>
    <t xml:space="preserve"> Anevston Magalhães Lima 00079895638</t>
  </si>
  <si>
    <t>2022/84</t>
  </si>
  <si>
    <t>IR retido férias - Produtora Cultural</t>
  </si>
  <si>
    <t>IR retido férias - Gerente de Projetos Cefart</t>
  </si>
  <si>
    <t>Contratação de profissional para ministrar oCursoComplementar "Corte e Costura", a fim de atender a demanda da Escola de Tecnologia da cena do Cefart..</t>
  </si>
  <si>
    <t>34.729.310/0001-63</t>
  </si>
  <si>
    <t>Fc Útil E Elétrica Comercial Ltda</t>
  </si>
  <si>
    <t>Hospedagem Anual</t>
  </si>
  <si>
    <t>Tarifa Bancária referente a transferência eletrônica pagamento fornecedor: Fc Útil E Elétrica Comercial Ltda  -  Processo 4378</t>
  </si>
  <si>
    <t>Complementação de Refeição dos funcionários a serviço do Contrato de Gestão</t>
  </si>
  <si>
    <t>Complementação de vale alimentação dos funcionários a serviço do Contrato de Gestão</t>
  </si>
  <si>
    <t>Complementação de vale transporte para os funcionários a serviço do Contrato de Gestão</t>
  </si>
  <si>
    <t xml:space="preserve">
Depósito Savassi Materiais De ConstruÇÃo Ltda</t>
  </si>
  <si>
    <t xml:space="preserve">716571
</t>
  </si>
  <si>
    <t>2022/1413</t>
  </si>
  <si>
    <t>ISSQN referente a nota fiscal 2022/1413 - Artes Gráficas Formato Ltda</t>
  </si>
  <si>
    <t>Tarifa Bancária referente a transferência eletrônica pagamento fornecedor: Artes Gráficas Formato Ltda  -  Processo 4213</t>
  </si>
  <si>
    <t>Rendimentos de aplicações financeiras do mês 09/2022</t>
  </si>
  <si>
    <t>Imposto de Renda referente aos rendimentos de aplicações financeiras do mês 09/2022</t>
  </si>
  <si>
    <t>Rendimentos de aplicações financeiras do mês 08/2022 - Modernismo</t>
  </si>
  <si>
    <t>Cofins referente aos rendimentos de aplicações financeiras do mês 09/2022</t>
  </si>
  <si>
    <t>Associação Pró-Cultura e Promoção das Artes (Conta Reserva 05/2019)</t>
  </si>
  <si>
    <t>2022/287450</t>
  </si>
  <si>
    <t>ISSQN referente a nota fiscal 2022/287450 - Cons Operacional Transporte Coletivo</t>
  </si>
  <si>
    <t>000.093.555</t>
  </si>
  <si>
    <t>2022/239907</t>
  </si>
  <si>
    <t>ISSQN referente a nota fiscal 2022/239907 - Consórcio Ótimo de Bilhetagem Eletrônica</t>
  </si>
  <si>
    <t>2022/282241</t>
  </si>
  <si>
    <t>ISSQN referente a nota fiscal 2022/282241 - Cons Operacional Transporte Coletivo</t>
  </si>
  <si>
    <t>Aporte Captação  - Cemig Distribuidora</t>
  </si>
  <si>
    <t>Uso de táxi pelos funcionários a serviço do CG 05/2019  referente ao mês 09/2022</t>
  </si>
  <si>
    <t>IR retido em folha do mês 09/2022</t>
  </si>
  <si>
    <t>INSS retido em folha do mês 09/2022</t>
  </si>
  <si>
    <t>Gutielle Ribeiro Costa</t>
  </si>
  <si>
    <t>120.292.196-57</t>
  </si>
  <si>
    <t xml:space="preserve">Lançamento para acerto e encerramento do registro de saldo da conta  do projeto 15949-2 - Complemento da Programação Artística da Fundação Clóvis Salgado - CA 2018.13609.0068. Esse projeto teve execução financeira de recurso que compôs a meta de captação e recurso que não compôs. </t>
  </si>
  <si>
    <t xml:space="preserve">Lançamento para acerto e encerramento do saldo da conta  do projeto 16376-7 - Cinquentenário Operístico da Fundação Clóvis Salgado - Pronac: 20.3579. Esse projeto teve execução financeira de recurso que compôs a meta de captação e recurso que não compôs. </t>
  </si>
  <si>
    <t xml:space="preserve">Lançamento para acerto e encerramento do saldo da conta  do projeto 15845-3  - Programação Artística da Fundação Clóvis Salgado - CA 2018.13609.0061. Esse projeto teve execução financeira de recurso que compôs a meta de captação e recurso que não compôs. </t>
  </si>
  <si>
    <t>Reembolso da despesa referente ao pagamento da Nota Fiscal 202216 - CENARIO OSCAR 2019 SERVICOS DE MONTAGEM EIRELI e ISSQN.</t>
  </si>
  <si>
    <t>Rendimentos de aplicações financeiras acumulada referente a  conta de projetos 16517-4 - Área Meio - Projetos Meta do Contrato de Gestão</t>
  </si>
  <si>
    <t>Rendimentos de aplicações financeiras acumulada referente a  conta de projetos 16888-2 - Programação Artística da Fundação Clóvis Salgado - Ano 50</t>
  </si>
  <si>
    <t>COFINS 07/2022</t>
  </si>
  <si>
    <t>Tarifa Bancária referente ao dia 06/06 da conta 16888-2 - Programação Artística da Fundação Clóvis Salgado - Ano 50</t>
  </si>
  <si>
    <t>Reembolso proporcional realizado pela conta do TP 50/2020 IEPHA  referente ao pagamento Medicina do Trabalho do mês 09/2022</t>
  </si>
  <si>
    <t>Reembolso proporcional realizado pela conta do projeto Anglo referente ao pagamento Medicina do Trabalho do mês 09/2022</t>
  </si>
  <si>
    <t>Reembolso realizado pelo Termo de Parceria 50/2020 - IEPHA referente ao percentual (26,41% do valor total) consumo de energia elétrica da sede da Appa- mês 09/2022</t>
  </si>
  <si>
    <t>Encerramento de Contrato de energia Elétrica da Sede da Appa</t>
  </si>
  <si>
    <t>2022/337</t>
  </si>
  <si>
    <t>Contratação Editor de Vídeo para trabalhar com as seguintes demandas:Edição dos vídeos das aulas abertas, recitais, mostras e demais projetos audiovisuais do Cefart. Listagem de vídeos: - 24 vídeos para mostra chama - Recital de Música - Camerata de Violões - Teaser do Espetáculo de formatura da Dança - Áudio descrição de duas obras de Jarbas Juarez - Dossiê da Residência - Parcela 05</t>
  </si>
  <si>
    <t>Reembolso realizado pelo Termo de Parceria 50/2020 - IEPHA  referente ao percentual (26,41% do valor total), assessoria contábil para o Contrato de Gestão 05/2019 e Termo de Parceria referente ao mês 09/2022</t>
  </si>
  <si>
    <t xml:space="preserve">Reembolso parcial da conta do Termo de Parceria 50/2020 - IEPHA, referente contratação de empresa de setor administrativo especializada em entidades do terceiro setor  para o Contrato de Gestão 05/2019 e Termo de Parceria 50/2020 (mês 09/2022) - 27,41% do valor total </t>
  </si>
  <si>
    <t>2022/1474</t>
  </si>
  <si>
    <t>Reembolso do pagamento da despesa da contratação de ferramenta servidor de nuvem - Google Cloud Platform. - mês de setembro 2022.</t>
  </si>
  <si>
    <t>Reembolso referente inscrição (licença) no ISBN do Catálogo Chama Arvoredos Plurais de 2021.A Requisição deve feita no site da Câmera Brasileira do Livro.</t>
  </si>
  <si>
    <t>Tarifa Bancária referente a transferência eletrônica pagamento fornecedor: Alexandre Lisboa - Desenvolvimento De Software Ltda  -  Processo 3933</t>
  </si>
  <si>
    <t>Salário Gerente de Projetos , referente ao mês 09/2022</t>
  </si>
  <si>
    <t>Salário do Pianista, referente ao mês 09/2022</t>
  </si>
  <si>
    <t>Salário do Músico Instrumentista, referente ao mês 09/2022</t>
  </si>
  <si>
    <t>Salário Gerente de Projetos Dipro, referente ao mês 09/2022</t>
  </si>
  <si>
    <t>Salário do Montador Diart, referente ao mês 09/2022</t>
  </si>
  <si>
    <t>Salário do Músico Cantora, referente ao mês 09/2022</t>
  </si>
  <si>
    <t>Salário Bailarina, referente ao mês 09/2022</t>
  </si>
  <si>
    <t>Salário do Presidente referente ao mês 09/2022</t>
  </si>
  <si>
    <t>Salário do Coordenador Administrativo referente ao mês 09/2022</t>
  </si>
  <si>
    <t>Salário do Gerente de Projetos: Programação Artística referente ao mês 09/2022</t>
  </si>
  <si>
    <t>Salário do Superintendente de Auditoria, referente ao mês 09/2022</t>
  </si>
  <si>
    <t>Salário de Bailarina, referente ao mês 09/2022</t>
  </si>
  <si>
    <t>Salário de Músico Cantora, referente ao mês 09/2022</t>
  </si>
  <si>
    <t>Salário da Analista Financeiro Pleno, referente ao mês 09/2022</t>
  </si>
  <si>
    <t>Salário de Músico, referente ao mês 09/2022</t>
  </si>
  <si>
    <t>Salário do Regente Assistente, referente ao mês 09/2022</t>
  </si>
  <si>
    <t>Salário do Bailarina, referente ao mês 09/2022</t>
  </si>
  <si>
    <t>Salário do Bailarino, referente ao mês 09/2022</t>
  </si>
  <si>
    <t>Salário da Músico Cantor, referente ao mês 09/2022</t>
  </si>
  <si>
    <t>Salário da Assessora Pedagógica, referente ao mês 09/20222</t>
  </si>
  <si>
    <t>Salário Músico Instrumentista, referente ao mês 09/2022</t>
  </si>
  <si>
    <t>Salário  Músico Cantor, referente ao mês 09/2022</t>
  </si>
  <si>
    <t>Salário do Diretor Financeiro, referente ao mês 09/2022</t>
  </si>
  <si>
    <t xml:space="preserve">Gutielle Ribeiro Costa </t>
  </si>
  <si>
    <t>Salário da Produtora Cultural: Produção Artística, referente ao mês 09/2022</t>
  </si>
  <si>
    <t>Salário do Produtora Cultural da Dipro, referente ao mês 09/2022</t>
  </si>
  <si>
    <t>Salário do Músico, referente ao mês 09/2022</t>
  </si>
  <si>
    <t>Salário da Coordenadora de Comunicação, referente ao mês 09/2022</t>
  </si>
  <si>
    <t>Salário   Auxiliar de serviços Gerais, referente ao mês 09/2022</t>
  </si>
  <si>
    <t xml:space="preserve"> Salário  Arquivista, referente ao mês 09/2022</t>
  </si>
  <si>
    <t xml:space="preserve"> Salário  Músico Instrumentista, referente ao mês 09/2022</t>
  </si>
  <si>
    <t>Salário  Músico Cantora, referente ao mês 09/2022</t>
  </si>
  <si>
    <t>Salário Montador Dipro, referente ao mês 09/2022</t>
  </si>
  <si>
    <t>Pensão Alimentícia (DANIELLE DA CONCEICAO MARQUES PIMENtA) Montador Dipro, referente ao mês 09/2022</t>
  </si>
  <si>
    <t>Salário Analista de RH, referente ao mês 09/2022</t>
  </si>
  <si>
    <t>Salário  Músico Instrumentista, referente ao mês 09/2022</t>
  </si>
  <si>
    <t>Despesa Bancária referente ao envio de PIX Enviado de salarios em 06/10</t>
  </si>
  <si>
    <t>Despesa Bancária referente ao envio de PIX Enviado de Alan Wender Rodrigues Dias - Processo 4321</t>
  </si>
  <si>
    <t>Reembolso proporcional realizado pela conta do projeto Anglo referente ao pagamento Seguro de Vida do mês 09/2022</t>
  </si>
  <si>
    <t>Reembolso realizado pelo PROJETO DESCUBRA O PALÁCIO referente ao pagamento de guia de FGTS  - 09/2022</t>
  </si>
  <si>
    <t>Reembolso proporcional realizado pelo PROJETO DESCUBRA O PALÁCIO  referente ao pagamento Seguro de Vida do mês 09/2022</t>
  </si>
  <si>
    <t>Reembolso realizado pelo Termo de Parceria 50/2020 - Iepha a conta do Contra de Gestão 005/2019 referente ao pagamento de guia de FGTS - Valor proporcional aos funcionários a serviço do TP 50/2020 - 09/2022</t>
  </si>
  <si>
    <t>Reembolso realizado pelo Termo de Parceria 50/2020 - IEPHA referente ao pagamento Seguro de Vida do mês 09/2022</t>
  </si>
  <si>
    <t>Reembolso realizado pelo Projeto ANGLO para a conta do Contrato de Gestão referente ao pagamento de guia de FGTS  - 09/2022</t>
  </si>
  <si>
    <t>FGTS referente a folha de pagamento do mês 09/2022</t>
  </si>
  <si>
    <t>Aline Vieira Viana 01590325630</t>
  </si>
  <si>
    <t>Tarifa Bancária referente a transferência eletrônica pagamento fornecedor:  Aline Vieira Viana 01590325630 - Processo 4313</t>
  </si>
  <si>
    <t xml:space="preserve">Reembolso realizado pelo Termo de Parceria 50/2020 - IEPHA referente ao percentual (26,41% do valor total), Taxas de Fiscalização de Localização e Funcionamento e Taxa de Fiscalização Sanitária . Favorecido: Prefeitura Muncipal de Belo Horizonte - 06ª Parcela </t>
  </si>
  <si>
    <t>Reembolso realizado pelo Termo de Parceria 50/2020 - IEPHA referente ao percentual (26,41% do valor total), Manutenção de hardware e redes, preventiva, preditiva e corretiva da sede da Appa - mês 09/2022</t>
  </si>
  <si>
    <t>Reembolso realizado pelo Termo de Parceria 50/2020 - IEPHA referente ao percentual (26,41% do valor total), Segurança Eletrônica da Sede da APPA - mês 09/2022</t>
  </si>
  <si>
    <t>Reembolso realizado pelo Termo de Parceria 50/2020 - IEPHA referente uso de táxi pelos funcionários a serviço do CG 05/2019  referente ao mês 09/2022</t>
  </si>
  <si>
    <t xml:space="preserve">Reembolso realizado pelo Termo de Parceria 50/2020 - IEPHA referente ao percentual (26,41% do valor total), Aluguel da sede da Appa referente ao mês de Setembro de 2022. </t>
  </si>
  <si>
    <t>Reembolso realizado pelo Termo de Parceria 50/2020 - IEPHA referente a guia de IPTU -  9º Parcela</t>
  </si>
  <si>
    <t>Gilberto Amâncio De Almeida</t>
  </si>
  <si>
    <t>ISSQN referente a nota fiscal 2022/253659- Cons Operacional Transporte Coletivo</t>
  </si>
  <si>
    <t>2022/2302</t>
  </si>
  <si>
    <t>2022/134</t>
  </si>
  <si>
    <t>ISSQN referente a nota fiscal 2022172 - Ctrl P Impressão Digital Ltda</t>
  </si>
  <si>
    <t xml:space="preserve">ISSQN  referente a nota fiscal 2022526062 - Unimed Cooperativa Médica
</t>
  </si>
  <si>
    <t>2022/1629</t>
  </si>
  <si>
    <t xml:space="preserve">ISSQN referente a nota fiscal 202217693 - Ocupacional Medicina do Trabalho Ltda </t>
  </si>
  <si>
    <t xml:space="preserve">ISSQN referente a nota fiscal 202217692 -Ocupacional Medicina do Trabalho Ltda </t>
  </si>
  <si>
    <t>ISSQN referente a nota fiscal 2022/1629 - Patrulha Eletrônica Ltda</t>
  </si>
  <si>
    <t xml:space="preserve">Taxas de Fiscalização de Localização e Funcionamento e Taxa de Fiscalização Sanitária . Favorecido: Prefeitura Muncipal de Belo Horizonte - 06ª Parcela </t>
  </si>
  <si>
    <t>02.22.2321191.67</t>
  </si>
  <si>
    <t xml:space="preserve">PCC referente a nota fiscal 202217692 - Ocupacional Medicina do Trabalho Ltda </t>
  </si>
  <si>
    <t xml:space="preserve">PCC referente a nota fiscal 202217693- Ocupacional Medicina do Trabalho Ltda </t>
  </si>
  <si>
    <t>Vale Cultura para os funcionários a serviço do CG</t>
  </si>
  <si>
    <t>Aluguel do mês de 10/2022 do CTP</t>
  </si>
  <si>
    <t>Aluguel do mês de 11/2022 do CTP</t>
  </si>
  <si>
    <t>Aluguel do mês de 12/2022 do CTP</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</si>
  <si>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10</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</si>
  <si>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11</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</si>
  <si>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12</t>
  </si>
  <si>
    <t>ISSQN referente a nota fiscal 2022/74 - Arco Cultural Ltda</t>
  </si>
  <si>
    <t>ISSQN referente a nota fiscal 2022/337 - Dollabela Advocacia E Consultoria</t>
  </si>
  <si>
    <t xml:space="preserve">IR referente a nota fiscal 2022/1474  - Krypton Serviços Contábeis S. S.  </t>
  </si>
  <si>
    <t xml:space="preserve">PCC referente a nota fiscal 2022/1474  - Krypton Serviços Contábeis S. S.  </t>
  </si>
  <si>
    <t>Processo 3047 -  Jessica Leonardo Alves Silva 10381420671</t>
  </si>
  <si>
    <t>Processo 3295 - Chão Da Feira Ltda</t>
  </si>
  <si>
    <t xml:space="preserve">Taxas de Fiscalização de Localização e Funcionamento e Taxa de Fiscalização Sanitária . Favorecido: Prefeitura Muncipal de Belo Horizonte - 07ª Parcela </t>
  </si>
  <si>
    <t xml:space="preserve">Taxas de Fiscalização de Localização e Funcionamento e Taxa de Fiscalização Sanitária . Favorecido: Prefeitura Muncipal de Belo Horizonte - 08ª Parcela </t>
  </si>
  <si>
    <t>ISSQN referente a RPA 2053 - Lucas Fernando Morais Ferreira</t>
  </si>
  <si>
    <t>IR referente a RPA 2053 - Lucas Fernando Morais Ferreira</t>
  </si>
  <si>
    <t>INSS e INSS Patronal referente a RPA 2053 - Lucas Fernando Morais Ferreira</t>
  </si>
  <si>
    <t>Processo 4019 - Adriana Santana Salgado 03506458680</t>
  </si>
  <si>
    <t>ISSQN referente a nota fiscal 2022/6 - Alexandre Lisboa - Desenvolvimento De Software Ltda</t>
  </si>
  <si>
    <t xml:space="preserve"> ISSQN referente a RPA 2034 - Maria Clara Torres Costa</t>
  </si>
  <si>
    <t>INSS e INSS Patronal referente a RPA 2034 - Maria Clara Torres Costa</t>
  </si>
  <si>
    <t>ISSQN referente a RPA 2052 - Gilberto Amâncio De Almeida</t>
  </si>
  <si>
    <t>INSS e INSS Patronal referente a RPA 2052 - Gilberto Amâncio De Almeida</t>
  </si>
  <si>
    <t>ISSQN referente a nota fiscal 2022/55 - Mylene Youssef A Vieira - Produções E Eventos Epp</t>
  </si>
  <si>
    <t>Montador de cenografias e expografias, em apoio as ações educativas do Cefart. Atividades: Atender as demandas diárias das montagens de sala de aula para os professores, como: montagem de equipamentos, mesas de som, desmontagem e montagem de instrumentos musicais, barras de dança, equipamentos multimídia, etc.</t>
  </si>
  <si>
    <t>47.315.240/0001-49</t>
  </si>
  <si>
    <t>ISSQN referente a RPA 2033 - Alan Wender Rodrigues Dias</t>
  </si>
  <si>
    <t>IR referente a RPA 2033 - Alan Wender Rodrigues Dias</t>
  </si>
  <si>
    <t>INSS e INSS Patronal referente a RPA 2033 - Alan Wender Rodrigues Dias</t>
  </si>
  <si>
    <t xml:space="preserve">Contratação de Recepcionista para suporte ao atendimento ao público nos teatros da Fundação Clóvis Salgado. </t>
  </si>
  <si>
    <t>Contratação de Debatedor para História Permanente do Cinema, na mostra "100 Anos de Blake Edwards ", que acontecerá presencialmente no Cine Humberto Mauro.Data e hora: 06/10, Quinta-feira, 16h.Sessão: Filme - "Se Meu Apartamento Falasse"</t>
  </si>
  <si>
    <t>060.876.276-85</t>
  </si>
  <si>
    <t>Contratação de Debatedor para História Permanente do Cinema, na mostra "100 Anos de Blake Edwards ", que acontecerá presencialmente no Cine Humberto Mauro.Data e hora: 11/10</t>
  </si>
  <si>
    <t>ISSQN referente a nota fiscal 2022/52 - Mylene Youssef A Vieira - Produções E Eventos Epp</t>
  </si>
  <si>
    <t>Processo 4374 - Atlântica Negócios Imobiliários Eireli</t>
  </si>
  <si>
    <t>Locação de imóvel para a sede administrativa da Appa.</t>
  </si>
  <si>
    <t>20.446.217/0001-37</t>
  </si>
  <si>
    <t>Processo 4364 - Tms Telecomunicações Ltda</t>
  </si>
  <si>
    <t>Contratação de empresa de Telecomunicação para locação e suporte em PABX virtual utilizado pelos colaboradores da Appa em atendimento às demandas.</t>
  </si>
  <si>
    <t>Contratação de 02 seguranças armados: sábado dia 15/10 no horário das 18:00H até as 06:00H do dia seguinte (Domingo).Local Parque Municipal Américo Reneé Giannetti. Av Afonso Pena 1.377.</t>
  </si>
  <si>
    <t>Processo 4411 - Dominick Lattuada Abreu Barbosa</t>
  </si>
  <si>
    <t>Monitor(a) para acompanhamento do público durante a exposição "Retratos de Limercy Forlin" na CâmeraSete - Casa da Fotografia de Minas Gerais. Vigência do contrato: 27 de outubro a 4 de fevereiro.</t>
  </si>
  <si>
    <t>Processo 4417 - Panificadora Pao Santo Ltda</t>
  </si>
  <si>
    <t>Fornecimento de pães, leite e café para sede da APPA. Sendo: 2ª feira - 1 litro de leite e 1 manteiga e segunda a sexta-feira 7 pães de sal.Endereço: Rua Gonçalves dias 1762 sala 701 Lourdes.</t>
  </si>
  <si>
    <t>01.272.069/0001-37</t>
  </si>
  <si>
    <t>Processo 4412 - Luciana Campos Horta</t>
  </si>
  <si>
    <t>Contratação de carregadores para atender demanda no CTP Marzagão.</t>
  </si>
  <si>
    <t>Contratação de carregadores</t>
  </si>
  <si>
    <t>Compra de tinta branca para retoques e reparos nas galerias, sobretudo as galerias da Câmera Sete para preparação para a exposição "Retratos de Limercy Forlin"</t>
  </si>
  <si>
    <t>Contratação de profissional para ministrar o Curso Complementar"Cabaré, Teatro de Revista e Modernismo", a fim de atender a demanda da escola de Teatro do Cefart.</t>
  </si>
  <si>
    <t>16.916.962/0001-25</t>
  </si>
  <si>
    <t>Compra de 02 latas de tinta 18 litros, cor Tarde em Paris(Cód: 90RR51/191 -RGB:#D5A8AA), acrílica fosca; e 02 latas de tinta 18 litros, cor Branco, acrílica fosca para pintura de galeria da Fundação Clóvis Salgado para realização de exposição que acontecem nos meses de outubro a dezembro de 202</t>
  </si>
  <si>
    <t>Compra de materiais a sede:01 caixa de pó de café de 500grs cada05 kg de açucar05 filtros de café nº 10303 adoçantes03 manteigas de 500grs cada04 litros de leite02 panos de prato01 caixa de papel A4</t>
  </si>
  <si>
    <t>ISSQN referente - UNIMED BELO HORIZONTE COOPERATIVA DE TRABALHO MEDICO NF: 2022552365</t>
  </si>
  <si>
    <t>Contratação de empresa para ambientação do Dia do Pequeno Artista.A contratada será responsável pelo desenvolvimento de atividade planejamento, logística e o fornecimento de materiais de decoração e ambientação dos espaços de acordo com a Programação e Conceito do Evento. A decoração deve constar de balões, puffs, cadeiras, mesas, Origamis e luzes.</t>
  </si>
  <si>
    <t>33.204.937/8000-67</t>
  </si>
  <si>
    <t>Processo 4433 - Bruno Righi Marco Cardoso 01306212693</t>
  </si>
  <si>
    <t>16.961.459/0001-91</t>
  </si>
  <si>
    <t>Processo 4454 - Valdir Rodrigues Dos Santos</t>
  </si>
  <si>
    <t xml:space="preserve">Monitor(a) para acompanhamento do público durante a exposição "Retratos de Limercy Forlin" na CâmeraSete - Casa da Fotografia de Minas Gerais. </t>
  </si>
  <si>
    <t>Processo 4455 - Maria Clara Torres Costa</t>
  </si>
  <si>
    <t>Monitor(a) para acompanhamento do público durante a exposição "Retratos de Limercy Forlin" na CâmeraSete - Casa da Fotografia de Minas Gerais.</t>
  </si>
  <si>
    <t>Transporte do HD para exibição de filmes selecionado na mostra 24 FESTCURTAS</t>
  </si>
  <si>
    <t>07.577.114/0001-48</t>
  </si>
  <si>
    <t>Boo é um espetáculo inspirador para todas as idades. Nessa história divertida, engraçada e surpreendente, as palhaças Brisa e Tecla caem de paraquedas no meio de uma floresta inóspita e perigosa. Lá, encontram seus maiores e piores medos, descobrem como sobreviver, enfrentar e superar suas dificuldades com muita coragem! Mulheres... Super heroínas, ativar!</t>
  </si>
  <si>
    <t>18.924.270/0001-54</t>
  </si>
  <si>
    <t>Peça Musical AVOAR - Brisa e Tecla, brincadeiras musicadas, participativas, ludicidade emovimento, instauram uma atmosfera de poesia, sensações, imagens emuita diversão. No “Show Avoar” as músicas são executadas comviolão, pequenos instrumentos e uma controladora; instrumentoeletrônico traz timbres divertidos e diferentes, contribuindo para aconstrução de paisagens sonoras contemporâneas para o universoinfantil. O roteiro cênico e o repertório permeados pela interatividade,flexíveis no encontro e na relação com o público criam um espetáculovivo, exclusivo e único.</t>
  </si>
  <si>
    <t>As palhaças brincantes, interagem com o público com muito humor e convida as crianças e as famílias para brincarem . Com resgate das brincadeiras tradicionais e muita palhaçada.</t>
  </si>
  <si>
    <t>33.702.798/0001-72</t>
  </si>
  <si>
    <t>Contratação de profissional para 01 afinação do piano da sala de ensaio do CLMG .Datas e horários das afinações a combinar com a Gerente da área CLMG.</t>
  </si>
  <si>
    <t>Compra de 01 lata de tinta 18 litros, cor Tarde em Paris, acrílica fosca, para pintura do Espaço Mari'Stella Tristão,para realização de exposição que acontecem nos meses de outubro a dezembro de 2022.</t>
  </si>
  <si>
    <t>Contratação de empresa para fornecimento de mão de obra especializada em atendimento às demandas do dia do pequeno artistas sendo: 03 produtores, 06 monitores e 04 montadores. Que serão alocados no local Palácio das Artes - Jardim Externo no horário de 08h às 19h no dia 29/10/2022. Todos os custos por conta da empresa contratada.</t>
  </si>
  <si>
    <t>Contratação de profissional para elaboração de tradução e roteiro audiodescritivo para as duas obras do artista Marina Nazareth para a Chama Mostra da Escola de artes Visuais / Cefart. (material produzido para faixa narrativa adicional para pessoas com deficiência visual, intelectual, dislexia e idosos, consumidores de meios de comunicação.)</t>
  </si>
  <si>
    <t>Contratação de empresa que será responsável em ofertar eventos de mini- oficinas de pintura durante todo o Dia do Pequeno Artista e vários locais do Palácio das Artes no dia 29/10/2022. Será de responsabilidade da mesma contratar equipe para trabalhar com as crianças e disponibilizar os materiais para a realização das mesmas.</t>
  </si>
  <si>
    <t>Serviço de impressão para ambientação e plotagem de sinalização de identidade visual para o 24 FESTCurtas.</t>
  </si>
  <si>
    <t xml:space="preserve">10.356.504/0001-00
</t>
  </si>
  <si>
    <t>Impressão e Instalação de Placão Duplo, colorido, 335cm x 500cm, em lona e ilhós</t>
  </si>
  <si>
    <t>Aquisição de passagens aereas nacionais para convidados que integram o juri oficial, membros da comissão de seleção, realizadores e representantes de filmes selecionados para o 24 Fest Curtas.</t>
  </si>
  <si>
    <t xml:space="preserve">32.584.996/0001-16
</t>
  </si>
  <si>
    <t>Aquisição de 50 Kit lanches para equipe de produção, montadores e oficineiros que irão trabalhar no Dia do Pequeno Artista.Kit deve conter: sanduiche, suco e um bombom.45 kits normais05 kits vegetarianos</t>
  </si>
  <si>
    <t>Processo 4443 - Tia Vivi Buffet Saudavel Ltda</t>
  </si>
  <si>
    <t>Aquisição de 20 refeições para equipe de produção, montadores e carregadores que irão trabalhar no Dia do Pequeno Artista. Necessidades de 5 refeições serem para vegetarianos.</t>
  </si>
  <si>
    <t>Serviço de Áudio Descrição Gravação da voz por obra e aluguel do estúdio. Material produzido para faixa narrativa adicional para pessoas com deficiência visual, intelectual, dislexia e idosos, consumidores de meios de comunicação visual,</t>
  </si>
  <si>
    <t>Espetáculo brincante "Brincadeira Séria" com os palhaços Príncipe e Demonstração.Neste espetáculo interativo, os palhaços apresentam uma palestra onde ensinam como inventar brincadeiras totalmente novas, utilizando objetos do dia a dia, tudo isso com muito humor e brincadeiras, ao fim do espetáculo eles convidam as crianças e as famílias para demonstrarem o que aprenderam com a palestra, com o objetivo de para ganhar o certificado de "Maior Inventor de Brincadeiras de Todos os Tempos".Duração: 50 minutos
Justificativa (Motivação para realização da despesa)</t>
  </si>
  <si>
    <t>Contratação de uma empresa para ministrar uma oficina de criação e customização de instrumento (chocalho), com material reciclado, que poderão ser reproduzidas facilmente em casa. Com essa oficina pretendemos instigar a criatividade, a imaginação e a ludicidade. Tempo da ação : 2 horas (oficina realizada de 20 em 20 min) e a empresa irá arcar com o material e profissional para monitorar. Oficina para o dia do pequeno artista, que acontecerá no dia 29/10/2022 no Palácio das Artes.</t>
  </si>
  <si>
    <t>Contratação de profissional para afinação de 7 pianos.</t>
  </si>
  <si>
    <t>Processo 4431 - Bernardo Brandão De Oliveira 05319440693</t>
  </si>
  <si>
    <t>2022/172</t>
  </si>
  <si>
    <t>Tarifa Bancária referente a transferência eletrônica pagamento fornecedor:  Ctrl P Impressão Digital Ltda - Processo 2604</t>
  </si>
  <si>
    <t>Reembolso realizado pelo Termo de Parceria 50/2020 - IEPHA referente ao percentual 26,41% do valor total ) ao consumo de internet da Appa do mês 09/2022</t>
  </si>
  <si>
    <t xml:space="preserve"> Izabela Cristina Alves Cordeiro 08528116670</t>
  </si>
  <si>
    <t>15788926-MG</t>
  </si>
  <si>
    <t>Tarifa Bancária referente a transferência eletrônica pagamento fornecedor:  Izabela Cristina Alves Cordeiro 08528116670  - Processo 4386</t>
  </si>
  <si>
    <t>Contratação de serviços de sonorização, iluminação e estrutura de palco para a abertura do 24ª FestCurtas, dia 14/10.</t>
  </si>
  <si>
    <t>Contratação direito de exibição/ Licenciamento de FilmeDireito de Exibição do filme de curta-metragem "Bardo do Sonho", de Letícia Barros (2018, 4min.)Licenciamento para 3 exibições presenciais:14/10 - Sessão de Abertura - 20h14/10 - Reprise da Sessão de Abertura - 21h3023/10 - Sessão da Mostra Especial "De olhos abertos tem alguém que sonha" - 17h</t>
  </si>
  <si>
    <t>107.068.484-89</t>
  </si>
  <si>
    <t>INTÉRPRETE PARA TRADUÇÃO SIMULTÂNEA- 01 intérprete para tradução simultânea Francês x Português</t>
  </si>
  <si>
    <t xml:space="preserve">64.295.074/0001-85
</t>
  </si>
  <si>
    <t>Impressão de 4mil folhetos de programação com dobrasEspecificações para impressão:Formato 42x59,4cmPapel offset 120g cores4 dobras</t>
  </si>
  <si>
    <t>Contratação de carro e van para traslado entre aeroporto e hotel (ida e volta) para convidados do FestCurtasBH 2022</t>
  </si>
  <si>
    <t>HOSPEDAGEM PARA CONVIDADOS E REALIZADORESSamba Hotéis //Período de Hospedagem: 13 a 22 de outubro6 Quarto Twin - 19 a 22 de outubro (3 diárias cada)1 Quarto Twin - 19 a 21 de outubro (2 diárias)1 Quarto Twin - 18 a 19 de outubro (1 diária)2 Quarto Single - 19 a 22 de outubro (3 diárias cada)1 Quarto Single - 18 a 19 de outubro (1 diária)3 Quarto Single - 14 a 22 de outubro (8 diárias cada)1 Quarto Single - 14 a 21 de outubro (7 diárias cada)1 Quarto Single - 13 a 20 de outubro (7 diárias cada)</t>
  </si>
  <si>
    <t xml:space="preserve">19.566.020/0001-52
</t>
  </si>
  <si>
    <t>Serviço de plotagem da exposição do Centenário de Fernando Sabino, que acontece PQNA Galeria Pedro Moraleda no Palácio das Artes. O serviço deve incluir, além da impressão dos adesivos, a instalação e retirada dos mesmos. Itens para impressão:Testeira da PQNA Galeria 157x100 cm /Plotagem de texto - Curatorial, institucional e ficha técnica.</t>
  </si>
  <si>
    <t>Hospedagem para convidados e realizadoresVivenzo //Período de Hospedagem: 22 a 24 de outubro5 Quartos Twin - 22 a 23 de outubro (1 diária cada)2 Quarto Single - 22 a 23 de outubro (1 diária cada)4 Quarto Single - 22 a 24 de outubro (2 diárias cada)</t>
  </si>
  <si>
    <t>06.950.173/0002-38</t>
  </si>
  <si>
    <t>Serviço de montagem e desmontagem da exposição "Retratos de Limercy Forlin", que acontecerá em parceria com o Instituto Moreira Salles nas galerias do CâmeraSete. O orçamento deve ser com valor por diária. Início da montagem no dia 17/10/2022 e da desmontagem em 06/02/2023.</t>
  </si>
  <si>
    <t>Compra material para figurino:camiseta oversized para Pablo - cor offwhite - tamanho GG</t>
  </si>
  <si>
    <t xml:space="preserve">21.224.538/0001-50
</t>
  </si>
  <si>
    <t>Necessária compra de blusas para novo espetáculo da Cia de Dança.blusa túnica para Ariane - cor vermelho - tamanho P regata tricot para peças coringas - cor vermelho - tamanho P</t>
  </si>
  <si>
    <t>07.429.818/0003-35</t>
  </si>
  <si>
    <t>Impressão de flyers e cartaz para divulgação do processo seletivo, conforme especificações:1) Cartaz A2 - 420 x 594 mm - 120 gramas - 4x0 cor 100 cartazes2) Flyer 10x15 cm: papel couchê fosco 90 gramas - 4x0 cor. 1.000 flyers</t>
  </si>
  <si>
    <t>Compra de acessório para composição de figurino para novo espetáculo:capacete oxelo MF500 para Tice - cor branco - tamanho 52-55cm</t>
  </si>
  <si>
    <t>02.314.041/0021-21</t>
  </si>
  <si>
    <t>Serviços de van para deslocamento local:Diárias de 10h (16h as 2h)KM total de 100km/diaPeríodo de serviço - 15 a 23 de outubro</t>
  </si>
  <si>
    <t>Compra de joelheira e cotoveleira para proteção para apresentação do novo espetáculo da cia de dança.Joelheira Oxer OR42B para Tice - cor preto - tamanho P</t>
  </si>
  <si>
    <t xml:space="preserve">Compra de roupas para compor figurino do novo espetáculo da CDPA:vestido para Mari - cor azul - tamanho P </t>
  </si>
  <si>
    <t>05.027.195/0152-90</t>
  </si>
  <si>
    <t>Locação de equipamentos para tradução simultânea, apoio para programação do 24º FestCurtas</t>
  </si>
  <si>
    <t>64.295.074/0001-85</t>
  </si>
  <si>
    <t>Actum Industrial E Comércio Ltda</t>
  </si>
  <si>
    <t>Zinzane Comércio E Confecção De Vestuário Ltda</t>
  </si>
  <si>
    <t>Vale transporte para o funcionário a serviço do Contrato de Gestão</t>
  </si>
  <si>
    <t>Férias de Superintendente de Auditoria</t>
  </si>
  <si>
    <t>IR retido férias - Superintendente de Auditoria</t>
  </si>
  <si>
    <t>Lab 77 Comércio E Serviços Ltda</t>
  </si>
  <si>
    <t>ISSQN referente a nota fiscal 2022/59 - Mylene Youssef A Vieira - Produções E Eventos Epp</t>
  </si>
  <si>
    <t>Iguasport Ltda</t>
  </si>
  <si>
    <t>Tarifa Bancária referente a transferência eletrônica pagamento fornecedor: Mylene Youssef A Vieira - Produções E Eventos Epp    - Processo 4460</t>
  </si>
  <si>
    <t>Tarifa Bancária referente a transferência eletrônica pagamento de Férias de Superintendente de Auditoria</t>
  </si>
  <si>
    <t xml:space="preserve">Consumo de energia elétrica </t>
  </si>
  <si>
    <t>Processo 2842 - BH Notebooks Ltda</t>
  </si>
  <si>
    <t>Telefone Fixo da sede da Appa referente ao mês 10/2022</t>
  </si>
  <si>
    <t>Telefone Fixo da sede da Appa referente ao mês 11/2022</t>
  </si>
  <si>
    <t>Internet para sede da Appa referente ao mês 10/2022</t>
  </si>
  <si>
    <t>Internet para sede da Appa referente ao mês 11/2022</t>
  </si>
  <si>
    <t>Internet para sede da Appa referente ao mês 12/2022</t>
  </si>
  <si>
    <t>Compra de esteira de palha - 170 x 60 cm para compor figurino para o novo espetáculo da CDPA.</t>
  </si>
  <si>
    <t>68.422.419/0001-75</t>
  </si>
  <si>
    <t>Salário do mês 12/2022</t>
  </si>
  <si>
    <t xml:space="preserve">Valor recebido de CRISTIANE GONÇALVES DOS SANTOS ALVES - CPF: 030.102.276-39, referente à locação de figurinos </t>
  </si>
  <si>
    <t xml:space="preserve">Reembolso a conta do Contrato de Gestão - 05/2019, referente a CO-Participação plano de saúde - mensalidade dos funcionários a serviço do Projeto Anlgo </t>
  </si>
  <si>
    <t>Reembolso realizado pelo Termo de Parceria 50/2020 - IEPHA referente ao percentual (26,41% do valor total), referente ao telefone móvel da sede da Appa- mês 09/2022</t>
  </si>
  <si>
    <t>Reembolso realizado pelo Termo de Parceria 50/2020 - IEPHA referente ao percentual (26,41% do valor total ) locação de impressoras da sede da Appa referente ao mês 09/2022</t>
  </si>
  <si>
    <t>2022/552365</t>
  </si>
  <si>
    <t>U06283</t>
  </si>
  <si>
    <t>2022/526062</t>
  </si>
  <si>
    <t>Telefone móvel para os funcionários a serviço do Contrato de Gestão, referente ao mês 09/2022</t>
  </si>
  <si>
    <t>2022/4675</t>
  </si>
  <si>
    <t>ISSQN referente a nota fiscal 2022/4675 - F6 Sistemas De Informatica Ltda</t>
  </si>
  <si>
    <t>2022/60</t>
  </si>
  <si>
    <t xml:space="preserve">ISSQN referente a nota fiscal 2022/60 - Mylene Youssef A Vieira - Produções E Eventos Epp
</t>
  </si>
  <si>
    <t>Palácio Das Ferramentas E Parafusos Ltda</t>
  </si>
  <si>
    <t>Tarifa Bancária referente a transferência eletrônica pagamento fornecedor: Mylene Youssef A Vieira - Produções E Eventos Epp - Processo 4439</t>
  </si>
  <si>
    <t>ISSQN referente a nota fiscal 2022/13 - Sinara Araujo Costa Sociedade Individual De Advocacia</t>
  </si>
  <si>
    <t>Jordânia Reis Gomes De Oliveira 08657830639</t>
  </si>
  <si>
    <t>ISSQN referente a nota fiscal 2022/12 - Bd Servicos E Consultoria Ltda</t>
  </si>
  <si>
    <t>ISSQN referente a nota fsical 2022/29 - Arte Livre Produção E Comunicação Ltda</t>
  </si>
  <si>
    <t>Contratação de empresa que forneça 1 carrinho de pipoca e 1 de algodão doce para o dia do pequeno artista, no dia 29/10/2022 no Palácio das Artes no período de 10h às 17h</t>
  </si>
  <si>
    <t>43.825.424/0001-06</t>
  </si>
  <si>
    <t>Contratação do artista Alberto Ouziel que fará uma apresentação musical contando estórias dos grandes mestres da música. Uma performance envolvendo contos, música e encenação, levando ouvintes curiosos a uma viagem ao tempo.</t>
  </si>
  <si>
    <t>24.400.899/0001-06</t>
  </si>
  <si>
    <t>Processo 4496 - Ana Paula Clemente De Souza</t>
  </si>
  <si>
    <t>ontratação de monitora para acompanhamento diário da exposição A Afirmação Modernista, no Palácio das Artes. Os monitores são responsáveis pela orientação ao público visitante e apoio nas ações educativas propostas pela Gerencia de extensão. Período expositivo: 20/10/2022 a 05/02/2023</t>
  </si>
  <si>
    <t>644.156.276-68</t>
  </si>
  <si>
    <t>Processo 4495 - Erika Rosana Alves Gonçalves</t>
  </si>
  <si>
    <t>127.068.216-47</t>
  </si>
  <si>
    <t>Contratação de monitora para acompanhamento diário da exposição A Afirmação Modernista, no Palácio das Artes. Os monitores são responsáveis pela orientação ao público visitante e apoio nas ações educativas propostas pela Gerencia de extensão. Período expositivo: 20/10/2022 a 05/02/2023.</t>
  </si>
  <si>
    <t>Contratação de monitora para acompanhamento diário da exposição A Afirmação Modernista, no Palácio das Artes. Os monitores são responsáveis pela orientação ao público visitante e apoio nas ações educativas propostas pela Gerencia de extensão. Período expositivo: 20/10/2022 a 05/02/2023</t>
  </si>
  <si>
    <t>093.645.096-76</t>
  </si>
  <si>
    <t>Processo 4515 - Ana Paula Miranda Sydney De Souza</t>
  </si>
  <si>
    <t>108.725.976-286</t>
  </si>
  <si>
    <t>Processo 4513 -Marina Oliveira Dos Santos</t>
  </si>
  <si>
    <t>Processo 4514 - Laura Amaral Parreiras</t>
  </si>
  <si>
    <t>149.510.096-09</t>
  </si>
  <si>
    <t>Processo 4494 - Lidiane Gomes Da Silva</t>
  </si>
  <si>
    <t>095.341.816-25</t>
  </si>
  <si>
    <t>35 camisas coloridas em PV (gola careca)para apresentação do Coral InfantoJuvenil do no dia do pequeno artista, no dia 29/10/2022, que acontecerá no Palácio das Artes.Quantidades e cores: 6 camisas laranjas:1P, 2M e 3G6 camisas azuis:1P, 2M e 3G6 camisas pink:1P, 2M e 3G6 camisas amarelas:1P, 2M e 3G5 camisas vermelhas: 1P, 2M e 2G</t>
  </si>
  <si>
    <t>21.324.983/0001-91</t>
  </si>
  <si>
    <t>Compra de 02 shorts de cetim (azul e verde) e 01 blusa onça tamanho G ou GG para compor figurino para o novo espetáculo da CDPA.</t>
  </si>
  <si>
    <t xml:space="preserve">07.007.275/0001-04
</t>
  </si>
  <si>
    <t>Contratação de empresa para fornecer kit lanche para a Cia de Dança na Fundação Clóvis Salgado, sendo 35 lanches por dia:Entrega nos dias 04, 05 e 06/11</t>
  </si>
  <si>
    <t>Processo 4506 - Hr - Lanches, Promoções E Eventos Eireli - Me</t>
  </si>
  <si>
    <t>William Da Silva Augusto</t>
  </si>
  <si>
    <t>ISSQN referente ao RPA 2029 - William Da Silva Augusto</t>
  </si>
  <si>
    <t>IR referente ao RPA 2029 - William Da Silva Augusto</t>
  </si>
  <si>
    <t>ISSQN referente a nota fiscal 2022/24 - 
Instituto Integridade E Compliance Consultoria De Negocios Ltda</t>
  </si>
  <si>
    <t>ISSQN referente a nota fiscal 2022/12 - Hera Gestão E Produção Cultural Ltda</t>
  </si>
  <si>
    <t>Compra de Papel Passepartout standard: Duas unidades no tamanho de102 X 152 CM com miolo branco, para ser usado na montagem da exposição "Retratos de Limercy Forlin" no CâmeraSete.</t>
  </si>
  <si>
    <t>09.344.025/0001-87</t>
  </si>
  <si>
    <t>Compra de diversas peças de roupas para composição de figurinos.</t>
  </si>
  <si>
    <t xml:space="preserve">19.907.682/0001-49
</t>
  </si>
  <si>
    <t>Compra de calça cargo Nephew 23 marrom para composição de figurino , numeração 42.</t>
  </si>
  <si>
    <t>16.947.462/0001-50</t>
  </si>
  <si>
    <t>Helaine Nolasco Queiroz</t>
  </si>
  <si>
    <t>ISSQN referente ao RPA 2060 - Helaine Nolasco Queiroz</t>
  </si>
  <si>
    <t>INSS e INSS Patronal referente ao RPA 2060 - Helaine Nolasco Queiroz</t>
  </si>
  <si>
    <t>Gustavo Frederico Bracher E Silva</t>
  </si>
  <si>
    <t>ISSQN referente ao RPA 2061 - Gustavo Frederico Bracher E Silva</t>
  </si>
  <si>
    <t>INSS e INSS Patronal referente ao RPA 2061 - Gustavo Frederico Bracher E Silva</t>
  </si>
  <si>
    <t>Mil Cores Comercial Ltda</t>
  </si>
  <si>
    <t>Bela Casa Ltda</t>
  </si>
  <si>
    <t>Compra de chinelo para compor figurino do novo espetáculo da CDPA.Chinelo Havaianas modelo top, com tira regular, na cor vermelha, tamanho 37/38 (1 unidade)Chinelo Havaianas modelo animals top, com tira regular, na cor bege palha (estampa de onça), tamanho 41/42 (1 unidade)Chinelo Havaianas modelo tradicional, solado branco e tira regular na cor azul, tamanho 41/42 (1 unidade)Chinelo Havaianas modelo tradicional, solado branco e tira regular na cor amarela, tamanho 37/38 (1 unidade)Chinelo Havaianas modelo tradicional, solado branco e tira regular na cor amarela, tamanho 39/40 (1 unidade)</t>
  </si>
  <si>
    <t xml:space="preserve">
Lopes Comércio De Armarinhos E Calçados Eireli</t>
  </si>
  <si>
    <t>11.175.952/0001-62</t>
  </si>
  <si>
    <t>Tarifa Bancária referente a transferência eletrônica pagamento fornecedor: Mil Cores Comercial Ltda - Processo 4545</t>
  </si>
  <si>
    <t>Tarifa Bancária referente a transferência eletrônica pagamento fornecedor: Bela Casa Ltda - Processo 4543</t>
  </si>
  <si>
    <t>Tarifa Bancária referente a transferência eletrônica pagamento fornecedor: Lopes Comércio De Armarinhos E Calçados Eireli - Processo 4538</t>
  </si>
  <si>
    <t xml:space="preserve">Fábio Rodrigues Da Silva Filho 04562142596 </t>
  </si>
  <si>
    <t>Luiz Fernando Coutinho De Oliveira</t>
  </si>
  <si>
    <t>ISSQN referente a RPA 2025 - Luiz Fernando Coutinho De Oliveira</t>
  </si>
  <si>
    <t>IR referente a RPA 2025 - Luiz Fernando Coutinho De Oliveira</t>
  </si>
  <si>
    <t>ISSQN referente a nota fiscal 2022/42 - Hatari Filmes Ltda</t>
  </si>
  <si>
    <t>Gabriel Augusto Reis De Araújo 13236166673</t>
  </si>
  <si>
    <t>ISSQN referente a nota fiscal  2022/30 - Atena Arte E Cultura Ltda</t>
  </si>
  <si>
    <t>Daniel Ribeiro Duarte 01349919667</t>
  </si>
  <si>
    <t>Reembolso do pagamento de IR descontado sobre a nota 2022/105,  o valor não atingiu a retenção do minimo de R$ 10,00 -  Ajg Vigilância Ltda</t>
  </si>
  <si>
    <t>ISSQN referente ao RPA 2048 - Sara De Oliveira Paoliello</t>
  </si>
  <si>
    <t>IR referente ao RPA 2048 - Sara De Oliveira Paoliello</t>
  </si>
  <si>
    <t>Vanessa Sonia Santos</t>
  </si>
  <si>
    <t>ISSQN referente a nota fiscal 2022/16 - Javali Do Mar Experimentações Artisticas Ltda</t>
  </si>
  <si>
    <t>ISSQN referente a nota fiscal 2022/18 - Javali Do Mar Experimentações Artisticas Ltda</t>
  </si>
  <si>
    <t>ISSQN referente a nota fiscal 2022/10 - Leben 108 Produtora De Filmes Ltda</t>
  </si>
  <si>
    <t>ISSQN referente a nota fiscal 2022/44 - Hatari Filmes Ltda</t>
  </si>
  <si>
    <t>Mariana Queen Ifeyinwaze Nwabasili 410195526807</t>
  </si>
  <si>
    <t>ISSQN referente a nota fiscal 2022/29 - Chão Da Feira Ltda</t>
  </si>
  <si>
    <t>ISSQN referente a nota fiscal 2022/59 - Girassolina Produções Ltda</t>
  </si>
  <si>
    <t xml:space="preserve">ISSQN referente a nota fiscal 2022/16 - Rosa De Areia Produções Ltda </t>
  </si>
  <si>
    <t>ISSQN refente a nota fiscal 2022/28 - Almanaque Filmes Ltda</t>
  </si>
  <si>
    <t>João Paulo De Freitas Campos 09793123702</t>
  </si>
  <si>
    <t>Mw Viagens Inteligentes Operadora E Agência Digital Eireli - Me</t>
  </si>
  <si>
    <t xml:space="preserve">ISSQN referente a nota fiscal 2022/134 - Mw Viagens Inteligentes Operadora E Agência Digital Eireli - Me
</t>
  </si>
  <si>
    <t>COMISSÃO DE SELEÇÃO NACIONAL Cachê de Profissional de notório saber, com experiência em realização cinematográfica, crítica cinematográfica, curadoria, programação e realização de eventos destinados à difusão e exibição de obras cinematográficas.</t>
  </si>
  <si>
    <t xml:space="preserve">
Alessandra Pereira Brito</t>
  </si>
  <si>
    <t>ISSQN referente a RPA 2024 - Alessandra Pereira Brito</t>
  </si>
  <si>
    <t>IR referente a RPA 2024 - Alessandra Pereira Brito</t>
  </si>
  <si>
    <t>2022/144</t>
  </si>
  <si>
    <t>ISSQN referente a nota fiscal 2022/144 - Rhino Vigilância Patrimonial Ltda</t>
  </si>
  <si>
    <t>INSS referente a nota fiscal 2022/144 - Rhino Vigilância Patrimonial Ltda</t>
  </si>
  <si>
    <t>Varejo De Confecções Da Moda Eireli</t>
  </si>
  <si>
    <t>Sobrinho Industria E Comércio De Roupas Ltda</t>
  </si>
  <si>
    <t>Compra de 2 pares de meias.</t>
  </si>
  <si>
    <t>Hold Up Roupas E Acessórios Esportivos Eireli</t>
  </si>
  <si>
    <t>33.149.074/0001-43</t>
  </si>
  <si>
    <t>Tarifa Bancária referente a transferência eletrônica pagamento fornecedor: Rhino Vigilância Patrimonial Ltda - Processo 4401</t>
  </si>
  <si>
    <t>Tarifa Bancária referente a transferência eletrônica pagamento fornecedor: Varejo De Confecções Da Moda Eireli - Processo 4566</t>
  </si>
  <si>
    <t>Contratação de integrante do jurí oficial da competitiva internacionalperíodo de avaliação das obras: 15 a 17 de outubrodivulgação do resultado: 22 de outubro</t>
  </si>
  <si>
    <t>35.846.486/0001-68</t>
  </si>
  <si>
    <t>Contratação de curador para mostra especialCuradoria para a Mostra Especial que encerrará a programação no último fim de semana. O trabalho engloba o pensamento e proposição de filmes para a composição dos programas que serão exibidos nos dias 21, 22 e 23 de outubro.</t>
  </si>
  <si>
    <t>35.796.136/0001-34</t>
  </si>
  <si>
    <t>Contratação do integrante do júri oficial da competitiva Internacionalperíodo de avaliação das obras: 15 a 17 de outubrodivulgação do resultado: 22 de outubro</t>
  </si>
  <si>
    <t>27.666.183/0001-35</t>
  </si>
  <si>
    <t>Contratação de curador para mostra especialCuradoria para a Mostra Especial que abrirá a programação do primeiro fim de semana. O trabalho engloba o pensamento e proposição de filmes para a composição dos programas que serão exibidos nos dias 15 e 16 de outubro.</t>
  </si>
  <si>
    <t>Contratação do integrante do júri oficial da competitiva Brasilperíodo de avaliação das obras: 19 a 21 de outubrodivulgação do resultado: 22 de outubro</t>
  </si>
  <si>
    <t>38.028.508/0001-70</t>
  </si>
  <si>
    <t>Contratação do integrante do júri oficial da competitiva Minasperíodo de avaliação das obras: 17 a 18 de outubrodivulgação do resultado: 22 de outubro</t>
  </si>
  <si>
    <t>47.787.264/0001-09</t>
  </si>
  <si>
    <t>011.805.156-33</t>
  </si>
  <si>
    <t>077.107.996-63</t>
  </si>
  <si>
    <t>Troca de hardwares (teclado) de duas máquinas da APPA e expansão de memória (4GB) em um dispositivo.</t>
  </si>
  <si>
    <t>ISSQN referente ao RPA 2031 - Angela Peres De Oliveira</t>
  </si>
  <si>
    <t>IR referente ao RPA 2031 - Angela Peres De Oliveira</t>
  </si>
  <si>
    <t>ISSQN referente a nota fiscal 2022/655 - Flag Impressao Digital Ltda</t>
  </si>
  <si>
    <t>2022/655</t>
  </si>
  <si>
    <t>ISSQN referente ao RPA 2032 - Ernesto Guevara Starling Ribeiro</t>
  </si>
  <si>
    <t>Camilla Ayla Oliveira Dos Anjos 09998582628</t>
  </si>
  <si>
    <t>ISSQN referente a nota fiscal 2022/15 - Marcus Vinicius S. Borges Ltda</t>
  </si>
  <si>
    <t>IR referente a nota fiscal 2022/15 - Marcus Vinicius S. Borges Ltda</t>
  </si>
  <si>
    <t>PCC referente a nota fiscal 2022/15 - Marcus Vinicius S. Borges Ltda</t>
  </si>
  <si>
    <t>ISSQN referente a nota fiscal 2022/19 -  Cenario Oscar 2019 Serviços De Montagem Eireli</t>
  </si>
  <si>
    <t>ISSQN referente ao RPA 2041 - Paula Lemos Vilaça Faria</t>
  </si>
  <si>
    <t>ISSQN referente ao RPA 2039 - Lucas Loureiro Cardoso</t>
  </si>
  <si>
    <t>ISSQN referente ao RPA 2045 - Ederson De Sousa</t>
  </si>
  <si>
    <t>ISSQN referente ao RPA 2038 - Diogo Vieira De Melo</t>
  </si>
  <si>
    <t>ISSQN referente ao RPA 2040 - Victória Sofia Lúcio Silva</t>
  </si>
  <si>
    <t>ISSQN referente ao RPA 2044 - Flávio Von Randow Teixeira</t>
  </si>
  <si>
    <t xml:space="preserve">ISSQN referente a nota fiscal 1525 - Artquality Embalagens Especiais E Transporte - Ltda
</t>
  </si>
  <si>
    <t>Reembolso realizado pela conta 2462-7 referente ao pagamento da guia de GPS do mês 09/2022</t>
  </si>
  <si>
    <t>Reembolso realizado pela conta 15949-2 referente ao pagamento da guia de GPS do mês 09/2022</t>
  </si>
  <si>
    <t>Reembolso realizado pela conta 16.113-6 referente ao pagamento da guia de GPS do mês 09/2022</t>
  </si>
  <si>
    <t>Reembolso realizado pela conta 16173-X referente ao pagamento da guia de GPS do mês 09/2022</t>
  </si>
  <si>
    <t>Reembolso realizado pela conta 16185-3 referente ao pagamento da guia de GPS do mês 09/2022</t>
  </si>
  <si>
    <t>Reembolso realizado pela conta do Termo de Parceria 50/2020 - Iepha referente ao pagamento da guia de GPS (funcionários) INSS retido sob folha do mês 09/2022</t>
  </si>
  <si>
    <t>Reembolso realizado pela conta do Termo de Parceria 50/2020 - Iepha referente ao pagamento da guia de GPS (funcionários) INSS Patronal do mês 09/2022</t>
  </si>
  <si>
    <t>Reembolso realizado pela conta do Termo de Parceria 50/2020 - Iepha referente ao pagamento do INSS sobre a nota 2022128 - Rhino Vigilancia Patrimonial Eireli</t>
  </si>
  <si>
    <t>Reembolso realizado pela conta do Termo de Parceria 50/2020 - Iepha referente ao pagamento da guia de GPS (autônomo) do mês 09/2022</t>
  </si>
  <si>
    <t xml:space="preserve">Reembolso parcial da conta do Termo de Parceria 50/2020 - IEPHA, referenteao uso de telefone fixo (mês 09/2022) - 26,41% do valor total </t>
  </si>
  <si>
    <t>Reembolso realizado pela conta 16375-9  referente ao pagamento da guia de GPS do mês 09/2022</t>
  </si>
  <si>
    <t>Reembolso realizado pela conta 16376-7  referente ao pagamento da guia de GPS do mês 09/2022</t>
  </si>
  <si>
    <t>Reembolso realizado pela conta 16391-0  referente ao pagamento da guia de GPS do mês 09/2022</t>
  </si>
  <si>
    <t>Reembolso realizado pela conta 16476-3  referente ao pagamento da guia de GPS do mês 09/2022</t>
  </si>
  <si>
    <t>Reembolso realizado pela conta  16821-1  referente ao pagamento da guia de GPS do mês 09/2022</t>
  </si>
  <si>
    <t>Reembolso realizado pela conta  16888-2  referente ao pagamento da guia de GPS do mês 09/2022</t>
  </si>
  <si>
    <t>2022/368</t>
  </si>
  <si>
    <t>ISSQN referente a nta fiscal 2022/368 - Orplan Auditores Independentes</t>
  </si>
  <si>
    <t>IR referente a nota fiscal 202252606 - Unimed Belo Horizonte Cooperativa de Trabalho Médico</t>
  </si>
  <si>
    <t>PCC referente a nota fiscal 202252606 - Unimed Belo Horizonte Cooperativa de Trabalho Médico</t>
  </si>
  <si>
    <t xml:space="preserve">Pagamento referente a  INSS sobre a nota 2022128 - Rhino Vigilancia Patrimonial Eireli -  Termo de Parceria 50/2020 - Iepha </t>
  </si>
  <si>
    <t>2022/304</t>
  </si>
  <si>
    <t>ISSQN referente a nota fiscal 2022/304 - Softwares De Gestão Ltda</t>
  </si>
  <si>
    <t>15937144-MG</t>
  </si>
  <si>
    <t xml:space="preserve">Guia de GPS do mês 09/2022 - conta 2462-7 </t>
  </si>
  <si>
    <t>Guia de GPS do mês 09/2022 - conta 16476-3</t>
  </si>
  <si>
    <t>Guia de GPS do mês 09/2022 - conta 16185-3</t>
  </si>
  <si>
    <t xml:space="preserve"> Guia de GPS do mês 09/2022 - conta 16376-7 </t>
  </si>
  <si>
    <t xml:space="preserve"> Guia de GPS do mês 09/2022 - conta 15949-2</t>
  </si>
  <si>
    <t>Guia de GPS do mês 09/2022 - conta 16173-X</t>
  </si>
  <si>
    <t>Guia de GPS do mês 09/2022 - conta 16357-0</t>
  </si>
  <si>
    <t>Guia de GPS do mês 09/2022 - conta 16821-1</t>
  </si>
  <si>
    <t xml:space="preserve"> guia de GPS (funcionários) INSS retido sob folha do mês 09/2022 -  Termo de Parceria 50/2020 - Iepha </t>
  </si>
  <si>
    <t xml:space="preserve">a guia de GPS (funcionários) INSS Patronal sob folha do mês 09/2022 -  Termo de Parceria 50/2020 - Iepha </t>
  </si>
  <si>
    <t>Guia de GPS do mês 09/2022 - conta 16375-9</t>
  </si>
  <si>
    <t>Guia de GPS do mês 09/2022 - conta 16888-2</t>
  </si>
  <si>
    <t>Guia de GPS do mês 09/2022 -  conta 16391-0</t>
  </si>
  <si>
    <t>INSS Patronal referente a folha do mês 09/2022</t>
  </si>
  <si>
    <t>Guia de GPS do mês 09/2022 -  conta 16.113-6</t>
  </si>
  <si>
    <t>Tarifa Bancária referente a transferência eletrônica pagamento fornecedor: Edgard Fernando Souza Sales 07028982602 - Processo 4357</t>
  </si>
  <si>
    <t>Processo 4585 - Bruno Nascimento Huyer</t>
  </si>
  <si>
    <t>018.443.970-17</t>
  </si>
  <si>
    <t>120.732.696-80</t>
  </si>
  <si>
    <t>064.709.494-01</t>
  </si>
  <si>
    <t xml:space="preserve"> direito de exibição/licenciamento de filmeDireito de Exibição do filme de curta-metragem "Nossos Espíritos Seguem Chegando - Nhe'? Kuery Jogueru Teri", de Kuaray Poty (Ariel Ortega) e Bruno Huyer(2021, 15min.)Licenciamento para 1 exibição presencial e 1 exibição online (24h) na Mostra Especial "de olhos abertos tem alguém que sonha"21/10 | 14h00 (Presencial)21/10 | 12h00 a 22/10 | 11h59 (Online)</t>
  </si>
  <si>
    <t>direito de exibição/ Licenciamento de filmeDireito de Exibição do filme de curta-metragem "Ocupar, Resistir e Construir", de Dayanne Naessa, Edinho Vieira, Juliano Vitral, Roberta Von Randow (2016, 15min.)Licenciamento para 1 exibição presencial e 1 exibição online (24h) na Mostra Especial "de olhos abertos tem alguém que sonha"22/10 | 15h00 (Presencial)22/10 | 12h00 a 23/10 | 11h59 (Online)</t>
  </si>
  <si>
    <t>direito de exibição/ licenciamento de filmeDireito de Exibição do filme de curta-metragem "Viver Distrai", de Ayla de Oliveira (2021, 6min.)Licenciamento para 1 exibição presencial e 1 exibição online (24h) na Mostra Especial "de olhos abertos tem alguém que sonha"23/10 | 17h00 (Presencial)23/10 | 12h00 a 24/10 | 11h59 (Online)</t>
  </si>
  <si>
    <t>direito de exibição/ licenciamento de filmeDireito de Exibição do filme de curta-metragem "Per Capita", de Lia Letícia (2021, 15min.)Licenciamento para 1 exibição presencial e 1 exibição online (24h) na Mostra Especial "de olhos abertos tem alguém que sonha"23/10 | 17h00 (Presencial)23/10 | 12h00 a 24/10 | 11h59 (Online)</t>
  </si>
  <si>
    <t>15.349.374/0001-94</t>
  </si>
  <si>
    <t>direito de exibição/licenciamento de filmeDireito de Exibição do filme de curta-metragem "Ponte Vladimir Herzog", de Rodrigo Paiva (2013, 3min.)Licenciamento para 1 exibição presencial e 1 exibição online (24h) na Mostra Especial "de olhos abertos tem alguém que sonha"22/10 | 15h00 (Presencial)22/10 | 12h00 a 23/10 | 11h59 (Online)</t>
  </si>
  <si>
    <t>268.013.628-44</t>
  </si>
  <si>
    <t>Contratação do integrante do júri oficial da competitiva internacionalperíodo de avaliação das obras: 15 a 17 de outubrodivulgação do resultado: 22 de outubro</t>
  </si>
  <si>
    <t>33.306.510/0001-40</t>
  </si>
  <si>
    <t>Necessário compra de peças de roupas paracompor figurino novo espetáculo da Cia de Dança M.a.n.i.f.e.s.t.a dias 05 e 06/11/2022.</t>
  </si>
  <si>
    <t>Processo 4520 - Laís Villela Penna</t>
  </si>
  <si>
    <t>Contratação de um produtor na Mostra Chama para organização dos materiais, acompanhamento das reuniões e entrevistas, execução das tarefas da mostra e da curadoria e articulação com a ASCOM. A mostra ocorre no formato virtual</t>
  </si>
  <si>
    <t>Impressão de Flyer 10x15 cm: papel couchê fosco 75 gramas - 4x4 cores. 3000 flyers</t>
  </si>
  <si>
    <t>Aluguel de Brinquedos infláveis, pula-pula para animação das crianças no Dia do Pequeno Artistta</t>
  </si>
  <si>
    <t>43.000.708/0001-55</t>
  </si>
  <si>
    <t>Cobertura fotográfica das ações, atividades, debates, shows, exposição, performance e área de convivência do FestCurtasBH</t>
  </si>
  <si>
    <t>45.851.873/0001-46</t>
  </si>
  <si>
    <t>Impressão deBanner em lona formato: 100 x 150 cm, para que o público tenha acesso ao conteúdo do programa do Concerto "Sinfônica e Lírico em Concerto - Marcus Viana acústico", a ser realizado dia 19/10/2022, no Grande Teatro Cemig Palácio das Artes.</t>
  </si>
  <si>
    <t xml:space="preserve">Contratação da Espaço CircoLar para ministrar uma oficina de Circo, compondo a grade de atrações para o dia do pequeno artista, que irá acontecer dia 29/10/2022 no Palácio das Artes. </t>
  </si>
  <si>
    <t>18.003.551/0001-74</t>
  </si>
  <si>
    <t>Contratação de criação de vinheta artística/ Vídeo conceito para divulgação do 24º festcurtasCriação e execução de vídeo artístico-conceito para divulgação das ações do 24º FestCurtasBH</t>
  </si>
  <si>
    <t>20.607.508/0001-60</t>
  </si>
  <si>
    <t>Contratação de direito de exibição/licenciamento de filmeDireito de Exibição do filme de curta-metragem "Não fique triste, menino", de Clebson Francisco (2018, 8min.)Licenciamento para 1 exibição presencial e 1 exibição online (24h) na Mostra Especial "de olhos abertos tem alguém que sonha"22/10 | 15h00 (Presencial)22/10 | 12h00 a 23/10 | 11h59 (Online</t>
  </si>
  <si>
    <t xml:space="preserve">27.420.472/0001-50
</t>
  </si>
  <si>
    <t>Contratação de direito de exibição/ licenciamento de filmeDireito de Exibição do filme de curta-metragem "Filme de Domingo", de Lincoln Péricles (2021, 28min.)Licenciamento para 1 exibição presencial e 1 exibição online (24h) na Mostra Especial "de olhos abertos tem alguém que sonha"21/10 | 14h00 (Presencial)21/10 | 12h00 a 22/10 | 11h59 (Online)</t>
  </si>
  <si>
    <t>35.558.921/0001-59</t>
  </si>
  <si>
    <t>Contratação de direito de exibição/ licenciamento de filmeDireito de Exibição do filme de curta-metragem "CorpoStyleDanceMachine", de Ulisses Arthur (2017, 7min.)Licenciamento para 1 exibição presencial e 1 exibição online (24h) na Mostra Especial "de olhos abertos tem alguém que sonha"22/10 | 15h00 (Presencial)22/10 | 12h00 a 23/10 | 11h59 (Online)</t>
  </si>
  <si>
    <t>092.279.674-27</t>
  </si>
  <si>
    <t>contratação direito de exibição/ licenciamento de filmeDireito de Exibição do filme de curta-metragem "O Último Sonho", de Alberto Alvares(2021, 60min.)Licenciamento para 1 exibição presencial e 1 exibição online (24h) naMostra Especial "de olhos abertos tem alguém que sonha"21/10 | 14h00 (Presencial)21/10 | 12h00 a 22/10 | 11h59 (Online)</t>
  </si>
  <si>
    <t>32.207.228/0001-43</t>
  </si>
  <si>
    <t>2022/148</t>
  </si>
  <si>
    <t xml:space="preserve"> Kalunga S.A</t>
  </si>
  <si>
    <t>Edgard Fernando Souza Sales 07028982602</t>
  </si>
  <si>
    <t>Tarifa Bancária referente a transferência eletrônica pagamento fornecedor: Edgard Fernando Souza Sales 07028982602  - Processo 4357</t>
  </si>
  <si>
    <t xml:space="preserve">Tarifa Bancária referente a transferência eletrônica pagamento fornecedor: Ge Duarte - Me - Processo 4559 </t>
  </si>
  <si>
    <t>ISSQN referente ao RPA 2043 - Heloísa Helena Rosa Vitalino</t>
  </si>
  <si>
    <t>ISSQN referente ao RPA 2042 - Luciana Campos Horta</t>
  </si>
  <si>
    <t>Tairine Pena Ladislau</t>
  </si>
  <si>
    <t>ISSQN referente ao RPA 2058 - 4351 - Tairine Pena Ladislau</t>
  </si>
  <si>
    <t>IR referente ao RPA 2058 - 4351 - Tairine Pena Ladislau</t>
  </si>
  <si>
    <t>Contratação de empresa para realizar a ambientação dos eventos que acontecerão durante o Dia do Pequeno artista. Será de responsabilidade da contratada fornecer serviços de sonorização e iluminação incluindo a operação e a locação dos equipamentos necessários.</t>
  </si>
  <si>
    <t>32.658.618/0001-30</t>
  </si>
  <si>
    <t>Necessário compra de calçados para compor figurino novo espetáculo da Cia de Dança M.a.n.i.f.e.s.t.a dias 05 e 06/11/2022.</t>
  </si>
  <si>
    <t>44.190.126/0001-41</t>
  </si>
  <si>
    <t>Necessária contratação de carregadores para auxiliar na montagem e desmontagem dos eventos do CLMG de acordo com cronograma da gerência do Coral.</t>
  </si>
  <si>
    <t xml:space="preserve">Necessário compra de peças de roupas paracompor figurino novo espetáculo da Cia de Dança M.a.n.i.f.e.s.t.a dias 05 e 06/11/2022.
</t>
  </si>
  <si>
    <t>37.397.786/0001-32</t>
  </si>
  <si>
    <t>Criação e concepção artística do Troféu CapivaraSerão desenvolvidos 8 exemplares do Troféu Capivara, para a edição de 2022, nas seguintes especificações:13 x 7 x 9,5 cmem acrílico de 3mm rosa + base de acrílico de 10 mm azul escurocapivara: VT-ABS</t>
  </si>
  <si>
    <t>71.335.731/0001-36</t>
  </si>
  <si>
    <t>Composição de adereço para o espetáculo .m.a.n.i.f.e.s.t.a. da Cia. de Dança do Palácio das Artes, nos dia 05 e 06 de novembro de 2022.</t>
  </si>
  <si>
    <t>Aquisição de passagens aéreasnacionais para convidados que integram o júri oficial, membros da comissão de seleção, realizadores e representantes de filmes selecionados para o 24º Festcurtasbh.</t>
  </si>
  <si>
    <t>Duna Comércio Varejista De Calçados Ltda</t>
  </si>
  <si>
    <t>Askner Comercial Eireli</t>
  </si>
  <si>
    <t>Express Praia Central Roupas E Acessórios Ltda-Me</t>
  </si>
  <si>
    <t>Tarifa Bancária referente a transferência eletrônica pagamento fornecedor: Duna Comércio Varejista De Calçados Ltda - Processo 4613</t>
  </si>
  <si>
    <t>Tarifa Bancária referente a transferência eletrônica pagamento fornecedor: Askner Comercial Eireli - Processo 4532</t>
  </si>
  <si>
    <t>Tarifa Bancária referente a transferência eletrônica pagamento fornecedor:Express Praia Central Roupas E Acessórios Ltda-Me  - Processo 4542</t>
  </si>
  <si>
    <t>Tarifa Bancária referente a transferência eletrônica pagamento fornecedor: Distribuidora Triângulo Ltda - Processo 4622</t>
  </si>
  <si>
    <t>ISSQN referente ao RPA 2062 - Ana Cristina Pereira Lima</t>
  </si>
  <si>
    <t>IR referente ao RPA 2062 - Ana Cristina Pereira Lima</t>
  </si>
  <si>
    <t>Processo 4552 - Mare Áudio Criativo Ltda - Me</t>
  </si>
  <si>
    <t>Contratação de profissional para criação e execução da trilha sonora para o espetáculo da escola de dança do Cefart, operação de som e edição de áudios - com direção da Professora Júnia Bertolino, que acontecerá no Grande Teatro Cemig Palácio das Artes,fechando o ciclo de aprendizados do ano de 2022, com espetáculo em homenagem a Marlene Silva - a percusora da dança Afro em Minas e no Brasil.</t>
  </si>
  <si>
    <t>21.960.461/0001-86</t>
  </si>
  <si>
    <t>Contratação de um diretor geral para dirigir a apresentação do Espetáculo de Dança, feito por alunos da Escola de Dança do Cefart. O evento irá acontecer no Grande Teatro Cemig Palácio das Artes com data prevista entre os dias 04/12/2022 a 06/12/2022.</t>
  </si>
  <si>
    <t>Processo 4522 - Junia Bertolina Da Silva</t>
  </si>
  <si>
    <t>Compra de peças (body vermelho e cropped floral) para figurino do novo espetáculo de dança da Cia. de Dança</t>
  </si>
  <si>
    <t>Shopping Ypslon Comércio De Vestuário E Acessórios Ltda</t>
  </si>
  <si>
    <t xml:space="preserve">
32.488.133/0001-45</t>
  </si>
  <si>
    <t>PIS referente a folha 09/2022</t>
  </si>
  <si>
    <t>Laís Villela Penna 112.598.776-63</t>
  </si>
  <si>
    <t>Giro Trade, Marketing E Eventos Eireli</t>
  </si>
  <si>
    <t>Tarifa Bancária referente a transferência eletrônica pagamento fornecedor: Shopping Ypslon Comércio De Vestuário E Acessórios Ltda - Processo 4625</t>
  </si>
  <si>
    <t>Tarifa Bancária referente a transferência eletrônica pagamento fornecedor: Laís Villela Penna 112.598.776-63 - Processo 4614</t>
  </si>
  <si>
    <t>Tarifa Bancária referente a transferência eletrônica pagamento fornecedor: Giro Trade, Marketing E Eventos Eireli - Processo 4368</t>
  </si>
  <si>
    <t>ISSQN referente a nota fiscal 2022/21 - Giro Trade, Marketing E Eventos Eireli</t>
  </si>
  <si>
    <t>ISSQN referente a nota fiscal 2022/21 - Sergio Arruda Felicio</t>
  </si>
  <si>
    <t>Maxi Áudio Locação De Equipamentos Ltda.</t>
  </si>
  <si>
    <t>ISSQN referente a nota fiscal 292 - Maxi Áudio Locação De Equipamentos Ltda.</t>
  </si>
  <si>
    <t>ISSQN referente a nota fiscal 2022/11 - Renata Fonseca Felicissimo 10665267614</t>
  </si>
  <si>
    <t>ISSQN referente ao RPA 2047 - Carla Lima Cattabriga</t>
  </si>
  <si>
    <t>ontratação de Técnico de Assistente para atendimento às demandas de iluminação, sonorização e/ou cenotécnica nos teatros da Fundação Clóvis Salgado.</t>
  </si>
  <si>
    <t>Caio Buono Torres</t>
  </si>
  <si>
    <t>121.131.006-06</t>
  </si>
  <si>
    <t>ISSQN referente ao RPA 2055 - Caio Buono Torres</t>
  </si>
  <si>
    <t>IR referente ao RPA 2055 - Caio Buono Torres</t>
  </si>
  <si>
    <t>ISSQN referente a RPA 2046 - Sheila Fernanda Oliveira Da Silva</t>
  </si>
  <si>
    <t>Anderson Filipe Gonçalves Moreira</t>
  </si>
  <si>
    <t>ISSQN referente ao RPA 2054 - Anderson Filipe Gonçalves Moreira</t>
  </si>
  <si>
    <t>IR referente ao RPA 2054 - Anderson Filipe Gonçalves Moreira</t>
  </si>
  <si>
    <t>ISSQN referente ao RPA 2012 - Alesandra Filgueiras</t>
  </si>
  <si>
    <t>ISSQN referente ao RPA 2050 -  Fábio Silva Martins De Jesus</t>
  </si>
  <si>
    <t>IR referente ao RPA 2050 -  Fábio Silva Martins De Jesus</t>
  </si>
  <si>
    <t>Lisander Antônio Willmore Herasme</t>
  </si>
  <si>
    <t>ISSQN referente a RPA 2056 - Lisander Antônio Willmore Herasme</t>
  </si>
  <si>
    <t>IR referente a RPA 2056 - Lisander Antônio Willmore Herasme</t>
  </si>
  <si>
    <t xml:space="preserve">Processo 4344 - Caio Buono Torres </t>
  </si>
  <si>
    <t>ISSQN refeente a nota fiscal 2022/23 - RF Locação &amp; Filmagem Ltda</t>
  </si>
  <si>
    <t>ISSQN referente ao RPA 2049 - Alesandra Filgueiras</t>
  </si>
  <si>
    <t>2022/90</t>
  </si>
  <si>
    <t>ISSQN referente a nota fiscal 2022/90 - Unicusto Limpeza Em Eventos Ltda</t>
  </si>
  <si>
    <t>INSS referente a nota fiscal 2022/90 - Unicusto Limpeza Em Eventos Ltda</t>
  </si>
  <si>
    <t>Rosa De Areia Produções Ltda</t>
  </si>
  <si>
    <t>ISSQN referente a nota fiscal 2022/17 - Rosa De Areia Produções Ltda</t>
  </si>
  <si>
    <t>2022/133</t>
  </si>
  <si>
    <t xml:space="preserve">ISSQN referente a nota fiscal 2022/133 - Mw Viagens Inteligentes Operadora E Agência Digital Eireli - Me
</t>
  </si>
  <si>
    <t>Mmn Serviços De Hospedagem Eireli</t>
  </si>
  <si>
    <t xml:space="preserve">Pix Enviado </t>
  </si>
  <si>
    <t>2022/7832</t>
  </si>
  <si>
    <t>ISSQN refente a nota fiscal 2022/7832- Mmn Serviços De Hospedagem Eireli</t>
  </si>
  <si>
    <t>Tarifa Pix Enviado</t>
  </si>
  <si>
    <t>Carla Ludmila Maia Martins 04344876601</t>
  </si>
  <si>
    <t>Processo 4540 - Hr - Lanches, Promoções E Eventos Eireli - Me</t>
  </si>
  <si>
    <t>Alimentação para convidados - realizadores e representantes de filmes selecionados para as mostras competitivas brasileira e mineira - do 24º Festcurtasbh, durante o período de realização do festival, de 14 a 23 de outubro de 2022. Estão previstas 127 refeições durante o período de 17 a 23/10 e a cotação deve ser em restaurantes próximos ao Palácio das Artes, por refeição (1 prato executivo + 1 bebida não alcoólica) para adulto - opção com carne, vegetariana e vegana.</t>
  </si>
  <si>
    <t>2022/145</t>
  </si>
  <si>
    <t xml:space="preserve">ISSQN referente a nota fiscal 2022/145 - 
Mw Viagens Inteligentes Operadora E Agência Digital Eireli - Me
</t>
  </si>
  <si>
    <t>ISSQN referente a nota fiscal 2022/10 - Estúdio 739 De Publicidade E Propaganda Ltda</t>
  </si>
  <si>
    <t>Tarifa Bancária referente a transferência eletrônica pagamento fornecedor: Mw Viagens Inteligentes Operadora E Agência Digital Eireli - Me - Processo 4491</t>
  </si>
  <si>
    <t>Tarifa Bancária referente a transferência eletrônica pagamento fornecedor: Estúdio 739 De Publicidade E Propaganda Ltda  - Processo 4427</t>
  </si>
  <si>
    <t>IR referente a RPA 2019 - Dominick Lattuada Abreu Barbosa</t>
  </si>
  <si>
    <t>Reembolso a conta do Contrato de Gestão 05/2019 referente ao INSS e INSS Patronal referente ao RPA 1998 - Diogo Vieira De Melo</t>
  </si>
  <si>
    <t>Reembolso a conta do Contrato de Gestão 05/2019 referente ao INSS e INSS Patronal referente ao RPA 1999 - Lucas Loureiro Cardoso</t>
  </si>
  <si>
    <t>Reembolso a conta do Contrato de Gestão 05/2019 referente ao INSS e INSS Patronal referente ao RPA 2000 - Victória Sofia Lúcio Silva</t>
  </si>
  <si>
    <t>Reembolso a conta do Contrato de Gestão 05/2019 referente ao INSS e INSS Patronal referente ao RPA 2001 - Paula Lemos Vilaça Faria</t>
  </si>
  <si>
    <t>Reembolso a conta do Contrato de Gestão 05/2019 referente ao INSS e INSS Patronal referente ao RPA 2002 - Luciana Campos Horta</t>
  </si>
  <si>
    <t>Reembolso a conta do Contrato de Gestão 05/2019 referente ao INSS e INSS Patronal referente ao RPA 2003 - Heloísa Helena Rosa Vitalino</t>
  </si>
  <si>
    <t>Reembolso a conta do Contrato de Gestão 05/2019 referente ao INSS e INSS Patronal referente ao RPA 2004 - Flávio Von Randow Teixeira</t>
  </si>
  <si>
    <t>Reembolso a conta do Contrato de Gestão 05/2019 referente ao INSS e INSS Patronal referente ao RPA 2005 - Ederson De Sousa</t>
  </si>
  <si>
    <t>Reembolso a conta do Contrato de Gestão 05/2019 referente ao INSS e INSS Patronal referente ao RPA 2018  - Silvia Maria Nascimento Amarante</t>
  </si>
  <si>
    <t>Reembolso a conta do Contrato de Gestão 05/2019 referente ao INSS e INSS Patronal referente a RPA 2019 - Dominick Lattuada Abreu Barbosa</t>
  </si>
  <si>
    <t>Reembolso a conta do Contrato de Gestão 05/2019 referente ao INSS e INSS Patrona referente ao RPA 2020 - Valdir Rodrigues Dos Santos</t>
  </si>
  <si>
    <t>Reembolso a conta do Contrato de Gestão 05/2019 referente ao INSS e INSS  Patronal referente ao RPA 2021 - Fernando Cesar Caldeira Pacheco Barbosa</t>
  </si>
  <si>
    <t>Confecção de 2 banners com as medidas (formato 80x120cm) para o Dia do Pequeno Artista</t>
  </si>
  <si>
    <t>Contratação de profissional para ministrar a oficina"Mini-zine",na modalidade Híbrido,colaborando no processo de formação do Centro de Formação Artística e Tecnológica (CEFART).</t>
  </si>
  <si>
    <t>126.493.706-70</t>
  </si>
  <si>
    <t>Contratação de profissional para ministrar a oficina"Verbete e Individualidade",na modalidade Virtual,colaborando no processo de formação do Centro de Formação Artística e Tecnológica (CEFART).</t>
  </si>
  <si>
    <t>023.293.156-94</t>
  </si>
  <si>
    <t>Letícia Beatriz Barros De Oliveira</t>
  </si>
  <si>
    <t>Ingá Maria Lima Patriota 11770365419</t>
  </si>
  <si>
    <t>Gesani Poggianella Transporte De Cargas Ltda</t>
  </si>
  <si>
    <t>Compra de gelo para a cerimônia de abertura da exposição "Retratos de Limercy Forlin", no dia 27/10 no CâmeraSete. 2 pacotes de 20kg de gelo em escama +2 pacotes de 4kg de gelo em cubos.</t>
  </si>
  <si>
    <t>17.462.474/0002-39</t>
  </si>
  <si>
    <t>Contratação de serviços de masterização para a trilha sonora criada para o novo espetáculo da Cia. de Dança do Palácio das Artes(.m.a.n.i.f.e.s.t.a.), a ser apresentado nos dias 05 e 06 de novembro dentro da programação do Mondernismo em Minas, no Grande Teatro Cemig. A masterização deverá ser entregue finalizada até o dia 04 de novembro.</t>
  </si>
  <si>
    <t>071.481.826-70</t>
  </si>
  <si>
    <t>Posto Tocantins Ltda</t>
  </si>
  <si>
    <t>Tarifa Bancária referente a transferência eletrônica pagamento fornecedor: Posto Tocantins Ltda  - Processo 4658</t>
  </si>
  <si>
    <t>2022/708</t>
  </si>
  <si>
    <t>ISSQN referente a nota fiscal 2022/708 - Flag Impressao Digital Ltda</t>
  </si>
  <si>
    <t>2022/709</t>
  </si>
  <si>
    <t>ISSQN referente a nota fiscal 2022/709 - Flag Impressao Digital Ltda</t>
  </si>
  <si>
    <t>ISSQN referente a nota fiscal 2022/13 - Leben 108 Produtora De Filmes Ltda</t>
  </si>
  <si>
    <t>ISSQN referente a nota fiscal 2022/21 - Javali Do Mar Experimentações Artisticas Ltda</t>
  </si>
  <si>
    <t>ISSQN referente a nota fiscal 2022/22 - Javali Do Mar Experimentações Artisticas Ltda</t>
  </si>
  <si>
    <t>ISSQN referente ao RPA 2067- José Ricardo Da Costa Miranda Júnior</t>
  </si>
  <si>
    <t>Compra de 03 tênis para composição do novo espetáculo da Cia. de Dança do Palácio das Artes.</t>
  </si>
  <si>
    <t>Processo 1977 -  Claro S.A</t>
  </si>
  <si>
    <t>Tarifa Bancária referente a transferência eletrônica pagamento fornecedor: Duna Comércio Varejista De Calçados Ltda  - Processo 4669</t>
  </si>
  <si>
    <t>ISSQN referente a nota fiscal 2022/5 - Pulsar Cultura Ltda</t>
  </si>
  <si>
    <t>ISSQN referente a nota fiscal 2022/49 - Ouvex Tecnologia Para Compliance Ltda.</t>
  </si>
  <si>
    <t>Cofins 08/2022 - prog fcs ano 50 leic 16.888-2</t>
  </si>
  <si>
    <t>ISSQN referente a nota fiscal 2022/132 - Emer-som Ltda</t>
  </si>
  <si>
    <t xml:space="preserve">ISSQN referente a nota fiscal 2022/144 - 
Mw Viagens Inteligentes Operadora E Agência Digital Eireli - Me
</t>
  </si>
  <si>
    <t>Transporte de cópia de exibiçãoDIMENSÕES DO PACOTE:01 pacote, com peso total de 2kg, e medidas totais de 21cm x 22cm x 7cmCONTEÚDO DO PACOTE:01 HD Externo / DCP do filme</t>
  </si>
  <si>
    <t>Processo 4612 - Layla Caroline Braz</t>
  </si>
  <si>
    <t>Serviço de Produção de Programação para atender as demandas relativas às mostras de cinema produzidas no Cine Humberto Mauro - FCS durante o período de novembro e dezembro de 2022.</t>
  </si>
  <si>
    <t>112.648.416-47</t>
  </si>
  <si>
    <t>Reembolso realizado pelo Termo de Parceria 50/2020 - IEPHA referente ao percentual (26,41% do valor total ) consumo de água da sede da Appa- mês 09/2022</t>
  </si>
  <si>
    <t>001.22.61217754-5</t>
  </si>
  <si>
    <t>Ornata Fivelas e Acessorios Eireli</t>
  </si>
  <si>
    <t>23.195.423/0001-00</t>
  </si>
  <si>
    <t xml:space="preserve">Tarifa Bancária referente a transferência eletrônica pagamento fornecedor: Ornata Fivelas e Acessorios Eireli - Processo </t>
  </si>
  <si>
    <t>Rendimentos de aplicações financeiras do mês 10/2022</t>
  </si>
  <si>
    <t>Imposto de Renda referente aos rendimentos de aplicações financeiras do mês 10/2022</t>
  </si>
  <si>
    <t>Fabricação de gobos específicos para criação de efeitos cenográficos para o novo espetáculo da Cia. de Dança.</t>
  </si>
  <si>
    <t xml:space="preserve"> Lucas De Castro Murari 04707898912</t>
  </si>
  <si>
    <t xml:space="preserve"> Júlia Gonçalves Declie Fagioli</t>
  </si>
  <si>
    <t>ISSQN referente ao RPA 2068 - Júlia Gonçalves Declie Fagioli</t>
  </si>
  <si>
    <t>ISSQN referente ao RPA 2069 - Yasmine Paula Evaristo</t>
  </si>
  <si>
    <t>Kênia Cardoso Vilaça De Freitas 09774680707</t>
  </si>
  <si>
    <t xml:space="preserve"> Fábio Feldman Dos Santos Freitas</t>
  </si>
  <si>
    <t>ISSQN referente ao RPA 2065 - Fábio Feldman Dos Santos Freitas</t>
  </si>
  <si>
    <t>Prodel Locação De Equipamentos Para Eventos Ltda</t>
  </si>
  <si>
    <t>2022/179</t>
  </si>
  <si>
    <t xml:space="preserve">ISSQN referente a nota fiscal 2022/179 - Prodel Locação De Equipamentos Para Eventos Ltda
</t>
  </si>
  <si>
    <t>Arte De Minas Quadros E Molduras Ltda</t>
  </si>
  <si>
    <t>Paulo Vítor Magalhães Mendonça</t>
  </si>
  <si>
    <t>ISSQN referente ao RPA 2037 - Paulo Vítor Magalhães Mendonça</t>
  </si>
  <si>
    <t>Marina Luisa Franca Reis 12031148699</t>
  </si>
  <si>
    <t>ISSQN referente a nota fiscal 2022/24 - RF Locação &amp; Filmagem Ltda</t>
  </si>
  <si>
    <t>Serviço de Filmagem para o recital de música - Lendas do Rock que acontecerá dia 16/11/2022 no Grande Teatro do Palácio das Artes - o serviço deverá incluir neste cache o fornecimento de todo material, a equipe e diárias.</t>
  </si>
  <si>
    <t>Rendimentos de aplicações financeiras do mês 10/2022 da conta 16517-4 - Área Meio - Projetos Meta do Contrato de Gestão</t>
  </si>
  <si>
    <t>Rendimentos de aplicações financeiras do mês 10/2022 da conta 16888-2 - Programação Artística da Fundação Clóvis Salgado - Ano 50</t>
  </si>
  <si>
    <t>contratação de direito de exibição de filme/ LicenciamentoDireito de Exibição do filme de curta-metragem "FATAUREX", de Cleyton Xavier (2017, 8min.)Licenciamento para 1 exibição presencial e 1 exibição online (24h) na Mostra Especial "de olhos abertos tem alguém que sonha"23/10 | 17h00 (Presencial)23/10 | 12h00 a 24/10 | 11h59 (Online)</t>
  </si>
  <si>
    <t>47.393.023/0001-77</t>
  </si>
  <si>
    <t>Contratação direito de exibição/ licenciamento de filmeDireito de Exibição do filme de curta-metragem "Aracá", de Abiniel João Nascimento (2022, 12min.)Licenciamento para 1 exibição presencial e 1 exibição online (24h) na Mostra Especial "de olhos abertos tem alguém que sonha"23/10 | 17h00 (Presencial)23/10 | 12h00 a 24/10 | 11h59 (Online)</t>
  </si>
  <si>
    <t>43.203.102/0001-17</t>
  </si>
  <si>
    <t>Contratação do serviço de Vigilância Noturna Local, para Casa de Fotografia Câmera Sete, durante a Retratos de Limercy Forlin. Carga horária: 12h por dia. Horário: de 21h às 09h.Local: Casa de Fotografia Câmera Sete localizada à Av. Afonso Pena, 737, Centro - Belo Horizonte-MG.Local: Casa de Fotografia Câmera Sete localizada à Av. Afonso Pena, 737, Centro - BeloHorizonte-MGPeríodo: Início imediato (assim que o contrato for assinado) com a data de fim prevista para o dia 06 de fevereiro de 2023.</t>
  </si>
  <si>
    <t>Processo 4667 - Logus Protection Patrimonial Ltda</t>
  </si>
  <si>
    <t>Reembolso proporcional realizado pela conta do projeto Anglo referente ao pagamento Seguro de Vida do mês 10/2022</t>
  </si>
  <si>
    <t>Reembolso proporcional realizado pelo PROJETO DESCUBRA O PALÁCIO  referente ao pagamento Seguro de Vida do mês 10/2022</t>
  </si>
  <si>
    <t>Reembolso proporcional realizado pela PROJETO DESCUBRA O PALÁCIO referente ao pagamento Medicina do Trabalho do mês 10/2022</t>
  </si>
  <si>
    <t>Reembolso realizado pelo Termo de Parceria 50/2020 - IEPHA referente ao pagamento Seguro de Vida do mês 10/2022</t>
  </si>
  <si>
    <t>Reembolso proporcional realizado pela conta do TP 50/2020 IEPHA  referente ao pagamento Medicina do Trabalho do mês 10/2022</t>
  </si>
  <si>
    <t>2022/369</t>
  </si>
  <si>
    <t>ISSQN referente a nota fiscal 2022/369 - Dollabela Advocacia E Consultoria</t>
  </si>
  <si>
    <t>Valor referente a Medicina do Trabalho do mês 10/2022 - PCMSO e PPRA</t>
  </si>
  <si>
    <t xml:space="preserve">PCC referente a nota fiscal 2022/19768- Ocupacional Medicina do Trabalho Ltda </t>
  </si>
  <si>
    <t xml:space="preserve">ISS referente a nota fiscal 202219769 - Ocupacional Medicina do Trabalho Ltda </t>
  </si>
  <si>
    <t xml:space="preserve">PCC referente a nota fiscal 202219769- Ocupacional Medicina do Trabalho Ltda </t>
  </si>
  <si>
    <t xml:space="preserve">IR referente a nota fiscal 202219769- Ocupacional Medicina do Trabalho Ltda </t>
  </si>
  <si>
    <t>ISSQN referente a nota fiscal 2022/64 - Mylene Youssef A Vieira - Produções E Eventos Epp</t>
  </si>
  <si>
    <t>Gis Eventos LTDA</t>
  </si>
  <si>
    <t>2022/115</t>
  </si>
  <si>
    <t>ISSQN referente a nota fiscal 2022/115 - Gis Eventos LTDA</t>
  </si>
  <si>
    <t>ISSQN referente a nota fiscal 2022/67 - Mylene Youssef A Vieira - Produções E Eventos Epp</t>
  </si>
  <si>
    <t>Luisa Helena Do Carmo Araujo 11489941657</t>
  </si>
  <si>
    <t>2022/85</t>
  </si>
  <si>
    <t>ISSQN referente a nota fiscal 2022/85 - Arco Cultural Ltda</t>
  </si>
  <si>
    <t>Reembolso do pagamento da despesa da compra de camisa para figurino do novo espetáculo da cia de dança.Camisa para ivan - cor laranja - tamanho M</t>
  </si>
  <si>
    <t>Kellen Pâmela M. Perdigão</t>
  </si>
  <si>
    <t>014.712.856-00</t>
  </si>
  <si>
    <t>Reembolso para Diretor Financeiro, referente a contratação de ferramenta servidor de nuvem - Google Cloud Platform. - mês de outubro/2022.</t>
  </si>
  <si>
    <t>Contratação de profissional de notório saber para composição de mesa de debate referente à mostra especial "De olhos abertos tem alguém que sonha" no dia 21/10.</t>
  </si>
  <si>
    <t>232.261.616-87</t>
  </si>
  <si>
    <t>Contratação de profissional de notório saber para composição de mesa de debate referente à mostra especial "De olhos abertos tem alguém que sonha" no dia 22/10.</t>
  </si>
  <si>
    <t>084.320.566-00</t>
  </si>
  <si>
    <t xml:space="preserve"> Micheline De Paula Monteiro 11434413624</t>
  </si>
  <si>
    <t>Micheline De Paula Monteiro 11434413624</t>
  </si>
  <si>
    <t>Maria Tereza Da Costa Pereira</t>
  </si>
  <si>
    <t>ISSQN referente a nota fiscal 2022/51 - Maria Tereza Da Costa Pereira</t>
  </si>
  <si>
    <t>ISSQN referente ao RPA 2073 - Alan Wender Rodrigues Dias</t>
  </si>
  <si>
    <t>IR referente ao RPA 2073 - Alan Wender Rodrigues Dias</t>
  </si>
  <si>
    <t>INSS e INSS Patronal referente ao RPA 2073 - Alan Wender Rodrigues Dias</t>
  </si>
  <si>
    <t>ISSQN referente a nota fiscal 2022/52 - Maria Tereza Da Costa Pereira</t>
  </si>
  <si>
    <t>Tarifa Bancária referente a transferência eletrônica pagamento fornecedor: Guilherme Domingos De Oliveira - Processo 4690</t>
  </si>
  <si>
    <t>Tarifa Bancária referente a transferência eletrônica pagamento fornecedor: Micheline De Paula Monteiro 11434413624 - Processo 4436</t>
  </si>
  <si>
    <t>Tarifa Bancária referente a transferência eletrônica pagamento fornecedor: Micheline De Paula Monteiro 11434413624 - Processo 4435</t>
  </si>
  <si>
    <t>Tarifa Bancária referente a transferência eletrônica pagamento fornecedor: Micheline De Paula Monteiro 11434413624 - Processo 4437</t>
  </si>
  <si>
    <t>Tarifa Bancária referente a transferência eletrônica pagamento fornecedor: Maria Tereza Da Costa Pereira - Processo 4449</t>
  </si>
  <si>
    <t>Tarifa Bancária referente a transferência eletrônica pagamento fornecedor: Alan Wender Rodrigues Dias - Processo 4321</t>
  </si>
  <si>
    <t>Tarifa Bancária referente a transferência eletrônica pagamento fornecedor: Maria Tereza Da Costa Pereira - Processo 4448</t>
  </si>
  <si>
    <t>Tarifa Bancária referente a transferência eletrônica pagamento fornecedor: Aline Vieira Viana 01590325630 - Processo 4313</t>
  </si>
  <si>
    <t>Editora Felipe Carnevalli Ltda</t>
  </si>
  <si>
    <t>ISSQN referente a nota fiscal 2022/6 - Editora Felipe Carnevalli Ltda</t>
  </si>
  <si>
    <t>Curso de um dia in loco para colaboradora Renivalda no dia 03/11 as 10h.</t>
  </si>
  <si>
    <t xml:space="preserve">
19.968.954/0001-10</t>
  </si>
  <si>
    <t>Compra de materiais de limpeza para a nova sede: 05 flanelas laranjas; 05 flanelas brancas; 05 litros de desinfetante floral; 05 litros desinfetante eucalipto; 01 vassoura de ; vassoura de piaçava; 10 pacotes c/ 04 papel higiênico folha dupla ; 05 multiuso; 05 litros de água sanitária;10 panos de chão;</t>
  </si>
  <si>
    <t xml:space="preserve"> Atlântica Negócios Imobiliários Eireli</t>
  </si>
  <si>
    <t>Atlântica Negócios Imobiliários Eireli</t>
  </si>
  <si>
    <t>Locação de imóvel para a sede administrativa da Appa referente ao período de 26/09/2022 a 31/10/2022</t>
  </si>
  <si>
    <t>Tarifa Bancária referente a transferência eletrônica pagamento fornecedor: Tia Vivi Buffet Saudavel Ltda  - Processo 4444</t>
  </si>
  <si>
    <t xml:space="preserve">Condominio do imovel da sede da Appa </t>
  </si>
  <si>
    <t>Rendimentos de aplicações financeiras do mês 09/2022 - Modernismo</t>
  </si>
  <si>
    <t>Transporte de cópias e materiais de exibiçãoDimensões do pacote:01 pacote, com peso total de 22kg, e medidas totais de 50cm x 50cm x 30cmConteúdo do pacote:05 rolos de película em 16mm05 rolos de película em 35mm04 catálogos do FestCurtasBH (2018, 2019, 2020, 2021)</t>
  </si>
  <si>
    <t>00.676.486/0001-82</t>
  </si>
  <si>
    <t>Compra de 4 rodas malucas - Rodízios Giratórios com trava de 2 polegadas - 80kg, para uma mesa que será usada em cena, no espetáculo de formatura de dança da Escola de Dança do Cefart.</t>
  </si>
  <si>
    <t>02.807.255/0001-96</t>
  </si>
  <si>
    <t>Contratação de um profissional responsável pela criação e projeção de imagens que irão compor a apresentação dos alunos da escola de dança do Cefart</t>
  </si>
  <si>
    <t>Contratação de profissional de notório saber para composição de ciclo de debates referente à mostra especial "De olhos abertos tem alguém que sonha" nos dias 21, 22 e 23/10.</t>
  </si>
  <si>
    <t>Processo 4680 - Marisia Do Prado</t>
  </si>
  <si>
    <t>Contratação de Produtor Executivo para atuar durante as etapas de pré-produção, produção e pós produção das exposições de artes visuais que ocorrerão nos espaços expositivos vinculados à Fundação Clóvis Salgado durante o período do contrato: novembro e dezembro de 2022.</t>
  </si>
  <si>
    <t>473.959.586-91</t>
  </si>
  <si>
    <t>Contratação de 1 diária de 8h de trabalho de 4 carregadores, fundamentais a execução do armazenamento e acondicionamento, em reserva técnica, dos adereços e peças que compõem o cenário e figurino da ópera A Flauta Mágica, direcionados recentemente ao CTPF Marzagão.</t>
  </si>
  <si>
    <t xml:space="preserve">Estudos Estratégicos </t>
  </si>
  <si>
    <t>Processo 4686 - Baanko Solucoes Ltda</t>
  </si>
  <si>
    <t>Contratação de prestador de serviços para elaborar Estudo de impacto econômico na cadeia produtiva dos projetos executados por meio das leis de incentivo pela OS em parceria com a FCS, baseado na análise dos dados das seguintes atividades: 24° Festcurtas, exposição Afirmação Modernista, ópera Viramundo e mostra de formatura da Escola de Dança do Cefart.</t>
  </si>
  <si>
    <t>45.734.584/0001-67</t>
  </si>
  <si>
    <t>Processo 4575 - Ocupacional - Medicina Do Trabalho Ltda</t>
  </si>
  <si>
    <t>Contratação de empresa de medicina e segurança do trabalho.</t>
  </si>
  <si>
    <t>Boleto Bancário</t>
  </si>
  <si>
    <t>IR retido em folha do mês 10/2022</t>
  </si>
  <si>
    <t>INSS retido em folha do mês 10/2022</t>
  </si>
  <si>
    <t>Reembolso realizado pelo PROJETO DESCUBRA O PALÁCIO referente ao pagamento de guia de FGTS  - 10/2022</t>
  </si>
  <si>
    <t>Reembolso realizado pelo Termo de Parceria 50/2020 - Iepha a conta do Contra de Gestão 005/2019 referente ao pagamento de guia de FGTS - Valor proporcional aos funcionários a serviço do TP 50/2020 - 10/2022</t>
  </si>
  <si>
    <t>Reembolso realizado pelo Projeto ANGLO para a conta do Contrato de Gestão referente ao pagamento de guia de FGTS  - 10/2022</t>
  </si>
  <si>
    <t>Salário Gerente de Projetos , referente ao mês 10/2022</t>
  </si>
  <si>
    <t>Salário do Pianista, referente ao mês 10/2022</t>
  </si>
  <si>
    <t>Salário do Músico Instrumentista, referente ao mês 10/2022</t>
  </si>
  <si>
    <t>Salário Gerente de Projetos Dipro, referente ao mês 10/2022</t>
  </si>
  <si>
    <t xml:space="preserve"> Mateus Silveira Figueiredo 12508448605</t>
  </si>
  <si>
    <t>Salário do Músico Cantora, referente ao mês 10/2022</t>
  </si>
  <si>
    <t>Salário Bailarina, referente ao mês 10/2022</t>
  </si>
  <si>
    <t>Salário do Presidente referente ao mês 10/2022</t>
  </si>
  <si>
    <t>Salário do Gerente de Projetos: Programação Artística referente ao mês 10/2022</t>
  </si>
  <si>
    <t>Pensão Alimentícia (DANIELLE DA CONCEICAO MARQUES PIMENtA) Montador Dipro, referente ao mês 10/2022</t>
  </si>
  <si>
    <t>Salário Montador Dipro, referente ao mês 10/2022</t>
  </si>
  <si>
    <t>Salário  Músico Instrumentista, referente ao mês 10/2022</t>
  </si>
  <si>
    <t>Salário  Músico Cantor, referente ao mês 10/2022</t>
  </si>
  <si>
    <t>Salário Analista de RH, referente ao mês 10/2022</t>
  </si>
  <si>
    <t>Salário  Músico Cantora, referente ao mês 10/2022</t>
  </si>
  <si>
    <t>Salário Músico Instrumentista, referente ao mês 10/2022</t>
  </si>
  <si>
    <t xml:space="preserve"> Salário  Músico Instrumentista, referente ao mês 10/2022</t>
  </si>
  <si>
    <t xml:space="preserve"> Salário  Arquivista, referente ao mês 10/2022</t>
  </si>
  <si>
    <t>Salário   Auxiliar de serviços Gerais, referente ao mês 10/2022</t>
  </si>
  <si>
    <t>Salário do Bailarino, referente ao mês 10/2022</t>
  </si>
  <si>
    <t>Salário da Coordenadora de Comunicação, referente ao mês 10/2022</t>
  </si>
  <si>
    <t>Salário da Músico Cantor, referente ao mês 10/2022</t>
  </si>
  <si>
    <t>Salário do Músico, referente ao mês 10/2022</t>
  </si>
  <si>
    <t>Salário do Bailarina, referente ao mês 10/2022</t>
  </si>
  <si>
    <t>Salário do Produtora Cultural da Dipro, referente ao mês 10/2022</t>
  </si>
  <si>
    <t>Salário da Produtora Cultural: Produção Artística, referente ao mês 10/2022</t>
  </si>
  <si>
    <t>Salário do Diretor Financeiro, referente ao mês 10/2022</t>
  </si>
  <si>
    <t>Salário do Coordenador Administrativo referente ao mês 10/2022</t>
  </si>
  <si>
    <t>Salário da Assessora Pedagógica, referente ao mês 10/20222</t>
  </si>
  <si>
    <t>Salário do Montador Diart, referente ao mês 10/2022</t>
  </si>
  <si>
    <t>Salário do Regente Assistente, referente ao mês 10/2022</t>
  </si>
  <si>
    <t>Salário de Músico, referente ao mês 10/2022</t>
  </si>
  <si>
    <t>Salário da Analista Financeiro Pleno, referente ao mês 10/2022</t>
  </si>
  <si>
    <t>Salário de Músico Cantora, referente ao mês 10/2022</t>
  </si>
  <si>
    <t>Salário de Bailarina, referente ao mês 10/2022</t>
  </si>
  <si>
    <t>Salário do Superintendente de Auditoria, referente ao mês 10/2022</t>
  </si>
  <si>
    <t>FGTS referente a folha de pagamento do mês 10/2022</t>
  </si>
  <si>
    <t>Alberto Fernandes Ouziel 01563705656</t>
  </si>
  <si>
    <t>Tarifa Bancária referente a transferência eletrônica pagamento fornecedor: Alberto Fernandes Ouziel 01563705656 - Processo 4544</t>
  </si>
  <si>
    <t>000.220.912</t>
  </si>
  <si>
    <t>000.001.049   000.146.338</t>
  </si>
  <si>
    <t>2022/302282</t>
  </si>
  <si>
    <t>2022/317941</t>
  </si>
  <si>
    <t>2022/270406</t>
  </si>
  <si>
    <t>000.005.046</t>
  </si>
  <si>
    <t>Contratação de Iluminador e operador de luz na qual a proposta inclui: mapa de luz; acompanhamento de ensaios para criação de iluminação; Operação de luz ". Profissional para colaborar e criar a iluminação para montagem do espetáculo de formatura do 3º ano da escola de dança do CEFART.</t>
  </si>
  <si>
    <t>06.161.231/0001-63</t>
  </si>
  <si>
    <t>Contratação de profissional de referência nacional para ministrar a Aula Aberta "O Ensino das Artes nos Dias Atuais", no formato presencial a fim de atender a demanda de contrapartida do Projeto "Programa de Artes Visuais" da FCS.</t>
  </si>
  <si>
    <t>053.595.928-18</t>
  </si>
  <si>
    <t>Contratação de profissional especializado para criação da coreografia para a montagem de formatura dos alunos da escola de dança do Cefart, que acontecerá em Dezembro.</t>
  </si>
  <si>
    <t>112.207.516-26</t>
  </si>
  <si>
    <t>ISSQN refreente a nota fiscal 2022/4317 - Gráfica Central Editora E Digital Ltda</t>
  </si>
  <si>
    <t>2022/4317</t>
  </si>
  <si>
    <t>2022/4318</t>
  </si>
  <si>
    <t>ISSQN refreente a nota fiscal 2022/4318 - Gráfica Central Editora E Digital Ltda</t>
  </si>
  <si>
    <t>Consumo de energia elétrica do mês 10/2022</t>
  </si>
  <si>
    <t>2022/738</t>
  </si>
  <si>
    <t>ISSQN referente a nota fiscal 2022/738- Flag Impressao Digital Ltda</t>
  </si>
  <si>
    <t>ISSQN referente a nota fiscal 2022591824 -  Unimed Belo Horizonte Cooperativa de Trabalho Médico</t>
  </si>
  <si>
    <t>ISSQN referente a nota fiscal 2022595442 -  Unimed Belo Horizonte Cooperativa de Trabalho Médico</t>
  </si>
  <si>
    <t>ISSQN referente a nota fiscal 2022317941 - Cons Operacional de Transporte Coletivo</t>
  </si>
  <si>
    <t>ISSQN referente a nota fiscal 2022302282 - Cons Operacional de Transporte Coletivo</t>
  </si>
  <si>
    <t>ISSQN referente a nota fiscal 2022270406 - Consórcio Ótimo de Bilhetagem Eletrônica</t>
  </si>
  <si>
    <t>Tarifa Bancária referente a transferência eletrônica pagamento fornecedor: Flag Impressao Digital Ltda  - Processo 4605</t>
  </si>
  <si>
    <t>Serviços de impressão de 1.000 livretos para distribuição durante o espetáculo .m.a.n.i.f.e.s.t.a. no Grande Teatro Cemig Palácio das Artes, no formato Livreto, 15xx21 cm , colorido, capa couchê 210 gramas e miolo, couchê 150 gramas, grampeado. Prova xerox. Entrega deverá ser feita até dia 04 de novembro na Fundação Clóvis Salgado.</t>
  </si>
  <si>
    <t>06.914.474/0001-25</t>
  </si>
  <si>
    <t>2022/4566</t>
  </si>
  <si>
    <t>ISSQN referente a nota fiscal 2022/4566 - Gráfica Central Editora E Digital Ltda</t>
  </si>
  <si>
    <t>Reembolso do pagamento da despesa de compra de peças de roupas para compor figurino novo espetáculo da Cia de Dança M.a.n.i.f.e.s.t.a dias 05 e 06/11/2022.</t>
  </si>
  <si>
    <t>Reembolso do pagamento da despesa de compra de peças de roupas paracompor figurino novo espetáculo da Cia de Dança M.a.n.i.f.e.s.t.a dias 05 e 06/11/2022.</t>
  </si>
  <si>
    <t xml:space="preserve">ISSQN referente a nota fiscal 2022/19768 - Ocupacional Medicina do Trabalho Ltda </t>
  </si>
  <si>
    <t>Tarifa Bancária referente a transferência eletrônica pagamento fornecedor: Guilherme Domingos De Oliveira - Processo 4604</t>
  </si>
  <si>
    <t>Tarifa Bancária referente a transferência eletrônica pagamento fornecedor: Guilherme Domingos De Oliveira - Processo 4533</t>
  </si>
  <si>
    <t>Tarifa Bancária referente a transferência eletrônica pagamento fornecedor: Guilherme Domingos De Oliveira - Processo 4530</t>
  </si>
  <si>
    <t>Tarifa Bancária referente a transferência eletrônica pagamento fornecedor: Guilherme Domingos De Oliveira - Processo 4531</t>
  </si>
  <si>
    <t>Tarifa Bancária referente a transferência eletrônica pagamento fornecedor: Guilherme Domingos De Oliveira - Processo 4526</t>
  </si>
  <si>
    <t>Tarifa Bancária referente a transferência eletrônica pagamento fornecedor: Guilherme Domingos De Oliveira - Processo 4603</t>
  </si>
  <si>
    <t>Macna Administradora Hoteleira Ltda</t>
  </si>
  <si>
    <t>2022/29615</t>
  </si>
  <si>
    <t>ISSQN referente a nota fiscal 2022/29615 - Macna Administradora Hoteleira Ltda</t>
  </si>
  <si>
    <t>ISSQN referente a nota fiscal 2022/33 - Atena Arte E Cultura Ltda</t>
  </si>
  <si>
    <t>Edgar Nunes Correa 10813595606</t>
  </si>
  <si>
    <t>IOF sobre cambio de invoice 2209023-2 - “light Cone - Non Profit Organization</t>
  </si>
  <si>
    <t>“light Cone - Non Profit Organization</t>
  </si>
  <si>
    <t>2209023-2</t>
  </si>
  <si>
    <t>DIREITOS DE EXIBIÇÃO/LICENCIAMENTO PARA EXIBIÇÕES PRESENCIAIS DOS FILMES:BLACK AND WHITE TRYPPS NUMBER THREE" (Ben RUSSELL,2007,12', 35mm)3 exibições, sendo 2 em 14/10 (sexta-feira), e 1 em 15/10"LE RÊVE"(de Peter Conrad BEYER, 2020, 8', DCP)"I DON'T THINK I CAN SEE AN ISLAND" (Christopher BECKS &amp;amp; Emmanuel LEFRANT,2016,4', 35mm)"DREAMACHINE" (Stanley SCHTINTER,2018,5', 35mm)"GETTING INTO BED + DREAM OF A RAY FISH + WAVE + WHEELS + THE HORSE OF THE PROPHET" (João Maria GUSMAO &amp;amp; Pedro PAIVA,2011,3', 16mm)"CANDOMBLÉ NO TOGO - MÃE DE SANTO DJATASSI" (José AGRIPPINO DE PAULA,1972,20', Arquivo Digital)"DREAM WORK" (Peter TSCHERKASSKY,2001,11', 35mm)"PRIMA MATERIA" (Charlotte PRYCE,2015,3', 16mm)"BOUQUETS 1-10" (Rose LOWDER,1994-1995,12', 16mm)"CHRYSALIS" (COLECTIVO LOS INGRÁVIDOS,2020,6', Arquivo Digital)"THE MULCH SPIDER'S DREAM" (Karel DOING,2018,14', 16mm)"PARTIES VISIBLE ET INVISIBLE D'UN ENSEMBLE SOUS TENSION" (Emmanuel LEFRANT,2009,7', 35mm)"AVANT L’EFFONDREMENT DU MONT BLANC" (Jacques PERCONTE,2020,16', DCP)1 exibição cada, sendo todas em 15/10"MESHES OF THE AFTERNOON" (Maya DEREN, 1943, 14', 16mm)"SOFT FICTION" (Chick STRAND,1979,56', 16mm)1 exibição cada, sendo todas em 16/10*</t>
  </si>
  <si>
    <t>IR sobre cambio de invoice 2209023-2 - “light Cone - Non Profit Organization</t>
  </si>
  <si>
    <t>ISSQN referente ao RPA 2082 - Sara De Oliveira Paoliello</t>
  </si>
  <si>
    <t>IR referente ao RPA 2082 - Sara De Oliveira Paoliello</t>
  </si>
  <si>
    <t>INSS e INSS Patronal  referente ao RPA 2082 - Sara De Oliveira Paoliello</t>
  </si>
  <si>
    <t>Contratação de carro executivo para transfer e receptivo do pianista francêsClément Lefebvre.Chegada: RJ/BH voo G3 2056 27/11 às 20:05hs /// Partida BH/SP: LA 3069 01/12 às 10:20hs</t>
  </si>
  <si>
    <t>Reembolso realizado pelo Termo de Parceria 50/2020 - IEPHA referente ao percentual (26,41% do valor total), Manutenção de hardware e redes, preventiva, preditiva e corretiva da sede da Appa - mês 10/2022</t>
  </si>
  <si>
    <t xml:space="preserve">Reembolso realizado pelo Termo de Parceria 50/2020 - IEPHA referente ao percentual (26,41% do valor total), Taxas de Fiscalização de Localização e Funcionamento e Taxa de Fiscalização Sanitária . Favorecido: Prefeitura Muncipal de Belo Horizonte - 07ª Parcela </t>
  </si>
  <si>
    <t>02.22.2563137.88</t>
  </si>
  <si>
    <t>Panificadora Pao Santo Ltda</t>
  </si>
  <si>
    <t>2022/150</t>
  </si>
  <si>
    <t>ISSQN referente a nota fiscal 2022/11 - Estúdio 739 De Publicidade E Propaganda Ltda</t>
  </si>
  <si>
    <t>Tarifa Bancária referente a transferência eletrônica pagamento fornecedor: Estúdio 739 De Publicidade E Propaganda Ltda - Processo 4426</t>
  </si>
  <si>
    <t xml:space="preserve">ISSQN referente a nota fiscal 2022/19 - Rosa De Areia Produções Ltda </t>
  </si>
  <si>
    <t>Casamata Cultura Ltda</t>
  </si>
  <si>
    <t>Ulisses Arthur Bomfim Macedo</t>
  </si>
  <si>
    <t>Alberto Alvares 11825084726</t>
  </si>
  <si>
    <t>ISSQN referente a nota fiscal 2022/47 - Uaua Estudio Ltda</t>
  </si>
  <si>
    <t>ISSQN referente a nota fiscal 2022/64 - Girassolina Produções Ltda</t>
  </si>
  <si>
    <t>Ayla Cristina Alencar De Oliveira</t>
  </si>
  <si>
    <t>ISSQN referente ao RPA 2072 - Ernesto Guevara Starling Ribeiro</t>
  </si>
  <si>
    <t>INSS e INSS Patronal referente ao RPA 2072 - Ernesto Guevara Starling Ribeiro</t>
  </si>
  <si>
    <t>ISSQN referente ao RPA 2070 - Angela Peres De Oliveira</t>
  </si>
  <si>
    <t>IR referente ao RPA 2070 - Angela Peres De Oliveira</t>
  </si>
  <si>
    <t xml:space="preserve">Matheus Luiz Ferreira 07459160660 </t>
  </si>
  <si>
    <t>ISSQN referente a nota fiscal 2022/16 - Marcus Vinicius S. Borges Ltda</t>
  </si>
  <si>
    <t>IR referente a nota fiscal 2022/16 - Marcus Vinicius S. Borges Ltda</t>
  </si>
  <si>
    <t>PCC referente a nota fiscal 2022/16 - Marcus Vinicius S. Borges Ltda</t>
  </si>
  <si>
    <t>Reembolso de valor pago a menor, Fornecedor: Artquality Embalagens Especiais E Transporte - Ltda - CNPJ: 09.227.702/0001-87</t>
  </si>
  <si>
    <t xml:space="preserve">Valor recebido  Instituto Odeon,  - CNPJ: 02.612.590/0001-39, referente à locação de figurinos </t>
  </si>
  <si>
    <t>Rescisão de Gerente de Projetos: Programação Artística</t>
  </si>
  <si>
    <t>FGTS rescisório Priscila Fiorini Maia Bittencourt</t>
  </si>
  <si>
    <t>Lucas Henrique Da Silva Castro 10561445648</t>
  </si>
  <si>
    <t>ISSQN referente a nota fiscal 352 - Lucas Henrique Da Silva Castro 10561445648</t>
  </si>
  <si>
    <t>ISSQN referente a nota fiscal 2022/105 - Unicusto Limpeza Em Eventos Ltda</t>
  </si>
  <si>
    <t>INSS referente a nota fiscal 2022/105 - Unicusto Limpeza Em Eventos Ltda</t>
  </si>
  <si>
    <t>Baanko Solucoes Ltda</t>
  </si>
  <si>
    <t>ISSQN referente a nota fiscal 2022/6 - Baanko Solucoes Ltda</t>
  </si>
  <si>
    <t>PCC referente a nota fiscal 2022/6 - Baanko Solucoes Ltda</t>
  </si>
  <si>
    <t>IR referente a nota fiscal 2022/6 - Baanko Solucoes Ltda</t>
  </si>
  <si>
    <t>Tarifa Bancária referente a transferência eletrônica pagamento fornecedor: Lucas Henrique Da Silva Castro 10561445648  - Processo 4438</t>
  </si>
  <si>
    <t>Tarifa Bancária referente a transferência eletrônica pagamento fornecedor: Gilberto De Lima Goulart 08401043670  - Processo 3520</t>
  </si>
  <si>
    <t>Tarifa Bancária referente a transferência eletrônica pagamento fornecedor: Bernardo Brandão De Oliveira 05319440693 - Processo 4469</t>
  </si>
  <si>
    <t>Tarifa Bancária referente a transferência eletrônica pagamento fornecedor: Unicusto Limpeza Em Eventos Ltda  - Processo 4512</t>
  </si>
  <si>
    <t>Tarifa Bancária referente a transferência eletrônica pagamento fornecedor: Baanko Solucoes Ltda - Processo 4686</t>
  </si>
  <si>
    <t>Reembolso realizado pelo Termo de Parceria 50/2020 - IEPHA referente ao percentual (26,41% do valor total ) locação de impressoras da sede da Appa referente ao mês 10/2022</t>
  </si>
  <si>
    <t>U06422</t>
  </si>
  <si>
    <t>Uso de táxi pelos funcionários a serviço do CG 05/2019  referente ao mês 10/2022</t>
  </si>
  <si>
    <t>2022/2644</t>
  </si>
  <si>
    <t>Contratação de direito de exibição/licenciamento de filmeDireito de Exibição do filme de curta-metragem "Poeira", de Alisson Severino (2021, 9min.)Licenciamento para 1 exibição presencial e 1 exibição online (24h) na Mostra Especial "de olhos abertos tem alguém que sonha"21/10 | 14h00 (Presencial)21/10 | 12h00 a 22/10 | 11h59 (Online)</t>
  </si>
  <si>
    <t>042.996.333-50</t>
  </si>
  <si>
    <t>Contratação direito de exibição/licenciamento de filmeDireito de Exibição do filme de curta-metragem "1968", de Glauber Rocha e Affonso Beatto (1968, 21min.)Licenciamento para 1 exibição presencial e 1 exibição online (24h) na Mostra Especial "de olhos abertos tem alguém que sonha"23/10 | 17h00 (Presencial)23/10 | 12h00 a 24/10 | 11h59 (Online)</t>
  </si>
  <si>
    <t>00.888.900/0001-17</t>
  </si>
  <si>
    <t>Contratação de profissional especializado, um ensaiador para auxiliar o coreógrafo nos ensaios para a montagem de formatura dos alunos da escola de dança do Cefart, que acontecerá em Dezembro.</t>
  </si>
  <si>
    <t>107.852.676-11</t>
  </si>
  <si>
    <t>Contratação de costureira, profissional para confecção de figurinos, adereços bem como a realização de restauração e reparos em figurinos que estarão disponíveis para o espetáculo de formatura da escola de dança do Cefart. Será de responsabilidade do contratado disponibilizar todo o material utilizado para confecção de todos os figurinos e reparos e ajustes.</t>
  </si>
  <si>
    <t>13.606.597/0001-64</t>
  </si>
  <si>
    <t>Contratação de revisor de texto para trabalhar com o material da Mostra Chama na quantidade de Páginas: 31</t>
  </si>
  <si>
    <t>26.288.618/0001-92</t>
  </si>
  <si>
    <t>Contratação de profissional para ministrar o Curso Complementar "Éticas e Estéticas Contra-hegemônicas", no formato virtual a fim de atender a demanda da escola de Artes Visuais do Cefart com carga horário de 10hs.</t>
  </si>
  <si>
    <t>44.744.882/0001-75</t>
  </si>
  <si>
    <t>Graziella De Souza Pereira</t>
  </si>
  <si>
    <t>ISSQN referente a RPA 2084 - Graziella De Souza Pereira</t>
  </si>
  <si>
    <t>INSS e INSS Patronal referente a RPA 2084 - Graziella De Souza Pereira</t>
  </si>
  <si>
    <t>2022/4316</t>
  </si>
  <si>
    <t>ISSQN referente a nota fiscal 2022/4316 - Gráfica Central Editora E Digital Ltda</t>
  </si>
  <si>
    <t>Manoel Inácio Moreira Vieira</t>
  </si>
  <si>
    <t>ISSQN referente ao RPA 2083 - Manoel Inácio Moreira Vieira</t>
  </si>
  <si>
    <t>INSS e INSS Patronal referente ao RPA 2083 - Manoel Inácio Moreira Vieira</t>
  </si>
  <si>
    <t>Rodrigo Alexandre Paiva</t>
  </si>
  <si>
    <t>Lincoln Pericles Maximiano Pinto 36565635862</t>
  </si>
  <si>
    <t>ISSQN referente a nota fiscal 2022/65 - Girassolina Produções Ltda</t>
  </si>
  <si>
    <t>Contratação de profissional para ministrar o Curso Complementar "Vídeo em Cena", no formato presencial a fim de atender a demanda da escola de Tecnologia da Cena do Cefart.</t>
  </si>
  <si>
    <t>2022/5205</t>
  </si>
  <si>
    <t>ISSQN referente a nota fiscal 2022/5205 - F6 Sistemas De Informatica Ltda</t>
  </si>
  <si>
    <t>2022/591824</t>
  </si>
  <si>
    <t>2022/595442</t>
  </si>
  <si>
    <t>Reembolso realizado pela conta  vinculado ao  Termo de  Parceria 50/2020 - IEPHA referente ao pagamento  do Plano de Saúde dos Funcionários alocados neste centro de custo</t>
  </si>
  <si>
    <t>2022/108</t>
  </si>
  <si>
    <t>ISSQN referente a nota fiscal  - Thiago Antonini Mares Santos Ltda</t>
  </si>
  <si>
    <t>Natalie Matos De Moura 11371990670</t>
  </si>
  <si>
    <t>Efe Nogueira Godoy 10259267651</t>
  </si>
  <si>
    <t>Lia Letícia Ferreira Leite</t>
  </si>
  <si>
    <t>Reembolso realizado para a conta 16821-1 pelo serviço de Produção Técnica, Autoração e Legendagem para atender as demandas relativas às mostras de cinema produzidas no Cine Humberto Mauro - FCS  - Fornecedor: Hatari Filmes LTDA - CNPJ: 22.204.920/0001-64</t>
  </si>
  <si>
    <t>ISSQN referente a nota fiscal 2022/46 - Hatari Filmes Ltda</t>
  </si>
  <si>
    <t>ISSQN referente a nota fiscal 2022/15 - Sinara Araujo Costa Sociedade Individual De Advocacia</t>
  </si>
  <si>
    <t xml:space="preserve">Reembolso realizado pela conta  16113-6 projeto vinculado ao  Termo de  Parceria 50/2020 - IEPHA referente ao pagamento do Plano de Saúde dos Funcionários a serviço do Termo </t>
  </si>
  <si>
    <t xml:space="preserve">Reembolso realizado pela conta  16113-6 projeto vinculado ao  Termo de  Parceria 50/2020 - IEPHA referente ao CO-Participação plano de saúde dos funcionários a serviço  do Termo </t>
  </si>
  <si>
    <t>Reembolso realizado pelo Termo de Parceria 50/2020 - IEPHA referente ao percentual (26,41% do valor total), referente ao telefone móvel da sede da Appa- mês 10/2022</t>
  </si>
  <si>
    <t xml:space="preserve">Valor recebido  Mateus Assis  - CPF: , referente à locação de figurinos </t>
  </si>
  <si>
    <t>Luiz Gabriel Lopes Camporez</t>
  </si>
  <si>
    <t>ISSQN referente ao RPA 2102 - Luiz Gabriel Lopes Camporez</t>
  </si>
  <si>
    <t>INSS e INSS Patronal referente ao RPA 2102 - Luiz Gabriel Lopes Camporez</t>
  </si>
  <si>
    <t xml:space="preserve">Devolução de valor a conta 2462-7 ,  referente plano de saúde - mensalidade dos funcionários a serviço do Projeto Anlgo </t>
  </si>
  <si>
    <t>ISSQN referente ao RPA 2093 -  Victória Silveira Magalhães Mota Santos</t>
  </si>
  <si>
    <t>INSS e INSS Patronal referente ao RPA 2093 -  Victória Silveira Magalhães Mota Santos</t>
  </si>
  <si>
    <t>Telefone móvel para os funcionários a serviço do Contrato de Gestão, referente ao mês 10/2022</t>
  </si>
  <si>
    <t>001.22.63503641-7</t>
  </si>
  <si>
    <t>Contratação de um cantor para apresentação no recital de música - lendas do rock. O cantor ficará responsável pelos ensaios junto ao coral e a orquestra em dias definidos pelo Cefart e pela apresentação oficial.</t>
  </si>
  <si>
    <t>25.009.740/0001-10</t>
  </si>
  <si>
    <t>ISSQN referente a nota fiscal 2022/13 - Bd Servicos E Consultoria Ltda</t>
  </si>
  <si>
    <t xml:space="preserve">ISSQN referente a nota fiscal 2022/31 - Instituto Integridade E Compliance Consultoria De Negocios Ltda
</t>
  </si>
  <si>
    <t>Aquisição de 6 rolos de fita para linóleo preta - fosca48mm x 50mpara a Montagem de formatura da turma da escola de dança do Cefart com apresentação em Dezembro.</t>
  </si>
  <si>
    <t>Reembolso realizado pela conta 2462-7 referente ao pagamento da guia de GPS do mês 10/2022</t>
  </si>
  <si>
    <t>Reembolso realizado pela conta 16.113-6 referente ao pagamento da guia de GPS do mês 10/2022</t>
  </si>
  <si>
    <t>Reembolso realizado pela conta 16.113-6  referente ao pagamento do INSS sobre a nota 2022141 - Rhino Vigilancia Patrimonial Eireli</t>
  </si>
  <si>
    <t>Reembolso realizado pela conta 16173-X referente ao pagamento da guia de GPS do mês 10/2022</t>
  </si>
  <si>
    <t>Reembolso realizado pela conta 16185-3 referente ao pagamento da guia de GPS do mês 10/2022</t>
  </si>
  <si>
    <t>Reembolso realizado pela conta do Termo de Parceria 50/2020 - Iepha referente ao pagamento do INSS sobre a nota 2022140 - Rhino Vigilancia Patrimonial Eireli</t>
  </si>
  <si>
    <t>Reembolso realizado pela conta 16375-9  referente ao pagamento da guia de GPS do mês 10/2022</t>
  </si>
  <si>
    <t>Reembolso realizado pela conta do Termo de Parceria 50/2020 - Iepha referente ao pagamento da guia de GPS (funcionários) INSS retido sob folha do mês 10/2022</t>
  </si>
  <si>
    <t>Reembolso realizado pela conta do Termo de Parceria 50/2020 - Iepha referente ao pagamento da guia de GPS (funcionários) INSS Patronal do mês 10/2022</t>
  </si>
  <si>
    <t>Reembolso realizado pela conta do Termo de Parceria 50/2020 - Iepha referente ao pagamento da guia de GPS (autônomo) do mês 10/2022</t>
  </si>
  <si>
    <t>Reembolso realizado pela conta 16391-0  referente ao pagamento da guia de GPS do mês 10/2022</t>
  </si>
  <si>
    <t>Reembolso realizado pela conta 16476-3  referente ao pagamento da guia de GPS do mês 10/2022</t>
  </si>
  <si>
    <t>Reembolso realizado pela conta  16517-4  referente ao pagamento da guia de GPS do mês 10/2022</t>
  </si>
  <si>
    <t>Reembolso realizado pela conta  16821-1  referente ao pagamento da guia de GPS do mês 10/2022</t>
  </si>
  <si>
    <t>Reembolso realizado pela conta  16888-2  referente ao pagamento da guia de GPS do mês 10/2022</t>
  </si>
  <si>
    <t>PCC referente a nota fiscal 2022/526062 - Unimed Belo Horizonte Cooperativa De Trabalho Medico</t>
  </si>
  <si>
    <t>IR referente a nota fiscal 2022/526062 - Unimed Belo Horizonte Cooperativa De Trabalho Medico</t>
  </si>
  <si>
    <t>INSS sobre a nota 2022141 - Rhino Vigilancia Patrimonial Eireli - conta 16.113-6</t>
  </si>
  <si>
    <t xml:space="preserve"> INSS sobre a nota 2022140 - Rhino Vigilancia Patrimonial Eireli  -  Termo de Parceria 50/2020 - Iepha </t>
  </si>
  <si>
    <t xml:space="preserve">Guia de GPS do mês 10/2022 - conta 2462-7 </t>
  </si>
  <si>
    <t>IR referente ao RPA 2034 - Maria Clara Torres Costa</t>
  </si>
  <si>
    <t>Guia de GPS do mês 10/2022 - conta 16517-4</t>
  </si>
  <si>
    <t xml:space="preserve">Guia de GPS do mês 10/2022 - conta  16476-3  </t>
  </si>
  <si>
    <t>Guia de GPS do mês 10/2022 - conta  16185-3</t>
  </si>
  <si>
    <t>Guia de GPS do mês 10/2022 - conta  16173-X</t>
  </si>
  <si>
    <t>Guia de GPS do mês 10/2022 - conta 16821-1</t>
  </si>
  <si>
    <t>Guia de GPS do mês 10/2022 - conta 16888-2</t>
  </si>
  <si>
    <t>Guia de GPS do mês 10/2022 - conta 16375-9</t>
  </si>
  <si>
    <t xml:space="preserve"> guia de GPS (funcionários) INSS retido sob folha do mês 10/2022 -  Termo de Parceria 50/2020 - Iepha </t>
  </si>
  <si>
    <t xml:space="preserve">a guia de GPS (funcionários) INSS Patronal sob folha do mês 10/2022 -  Termo de Parceria 50/2020 - Iepha </t>
  </si>
  <si>
    <t>INSS Patronal referente a folha do mês 10/2022</t>
  </si>
  <si>
    <t>Guia de GPS do mês 10/2022 -  conta 16391-0</t>
  </si>
  <si>
    <t>Guia de GPS do mês 10/2022 -  conta 16.113-6</t>
  </si>
  <si>
    <t>Compra de 06 unidades de galões de água mineral com capacidade para 20 litros cada.</t>
  </si>
  <si>
    <t>ISSQN referente ao RPA 2095 -  Manoel Inácio Moreira Vieira</t>
  </si>
  <si>
    <t>INSS e INSS Patronal referente ao RPA 2095 -  Manoel Inácio Moreira Vieira</t>
  </si>
  <si>
    <t>ISSQN referente ao RPA 2096 -   Larissa Shayanna Ferreira Costa</t>
  </si>
  <si>
    <t>INSS e INSS Patronal referente ao RPA 2096 -   Larissa Shayanna Ferreira Costa</t>
  </si>
  <si>
    <t>contratação de direito de exibição/ licenciamento de filmeDireito de Exibição do filme de curta-metragem "Blue", de Apichatpong Weerasethakul(2018, 13min.)Licenciamento para 1 exibição presencial e 1 exibição online (24h) na Mostra Especial "de olhos abertos tem alguém que sonha"21/10 | 14h00 (Presencial)21/10 | 12h00 a 22/10 | 11h59 (Online)*valor negociado de 130 EUROS, considerando a cotação de 1 BRL para 5,50 EUR</t>
  </si>
  <si>
    <t>32.785.198/6000-23</t>
  </si>
  <si>
    <t>Serviço de Áudio Descrição Gravação da voz por obra e aluguel do estúdio. Material produzido para faixa narrativa adicional para pessoas com deficiência visual, intelectual, dislexia e idosos, consumidores de meios de comunicação visual.</t>
  </si>
  <si>
    <t xml:space="preserve">Vale alimentação para a nova Produtora Cultural </t>
  </si>
  <si>
    <t>??</t>
  </si>
  <si>
    <t>ISSQN referente a nota fiscal 2022/409 - Orplan Auditores Independentes</t>
  </si>
  <si>
    <t>2022/347</t>
  </si>
  <si>
    <t>ISSQN referente a nota fiscal 2022/347 - Softwares De Gestão Ltda</t>
  </si>
  <si>
    <t>Processo 4618 - Marilia De Souza Roque</t>
  </si>
  <si>
    <t>Contratação de profissional para ministrar a oficina "Criatividade Arte e Educação: fazeres e trocas", na modalidade Virtual, colaborando no processo de formação do Centro de Formação Artística e Tecnológica (CEFART).</t>
  </si>
  <si>
    <t>367.710.948-55</t>
  </si>
  <si>
    <t>Contratação de um profissional para fazer edição da trilha sonora que compõe a montagem da apresentação de formatura dos alunos da escola de dança do Cefart, que ocorrerá em dezembro.</t>
  </si>
  <si>
    <t>29.346.953/0001-98</t>
  </si>
  <si>
    <t>Contratação de profissional para elaboração de tradução e roteiro audiodescritivo para a obra do artista Éder Oliveira para a Chama Mostra da Escola de artes Visuais / Cefart. (material produzido para faixa narrativa adicional para pessoas com deficiência visual, intelectual, dislexia e idosos, consumidores de meios de comunicação.)</t>
  </si>
  <si>
    <t>Retenção IOF a Recolher ref. câmbio Elizabeth Ann Povinelli</t>
  </si>
  <si>
    <t>Direito de exibição/licenciamento de filmeDireito de Exibição do filme de curta-metragem "Wutharr, Salwater Dreams", de Elizabeth A. Povinelli (2016, 28min.)Licenciamento para 1 exibição presencial e 1 exibição online (24h) na Mostra Especial "de olhos abertos tem alguém que sonha"23/10 | 17h00 (Presencial)23/10 | 12h00 a 24/10 | 11h59 (Online</t>
  </si>
  <si>
    <t>Retenção Imposto de Renda, ref. câmbio Elizabeth Ann Povinelli.</t>
  </si>
  <si>
    <t xml:space="preserve">Retenção IOF a Recolher ref. câmbio Veronica Alexandra Calvopiña Panchi </t>
  </si>
  <si>
    <t>Direito de exibição/ licenciamento de filmeDireito de Exibição do filme de curta-metragem "Ella Vendrá - La Presidenta", de Ana Maria Acosta Buenaño (2018, 10min.)Licenciamento para 1 exibição presencial e 1 exibição online (24h) na Mostra Especial "de olhos abertos tem alguém que sonha"22/10 | 15h00 (Presencial)22/10 | 12h00 a 23/10 | 11h59 (Online</t>
  </si>
  <si>
    <t xml:space="preserve">Retenção Imposto de Renda, ref. câmbio Veronica Alexandra Calvopiña Panchi </t>
  </si>
  <si>
    <t>Retenção IOF a Recolher ref. câmbio Emmanuel Dominique Martial</t>
  </si>
  <si>
    <t>Retenção Imposto de Renda, ref. câmbio Emmanuel Dominique Martial</t>
  </si>
  <si>
    <t xml:space="preserve"> Almanaque Filmes Ltda</t>
  </si>
  <si>
    <t>ISSQN referente a nota fiscal 2022/32 - Almanaque Filmes Ltda</t>
  </si>
  <si>
    <t>COFINS IMPORTAÇÃO - EMMANUEL DOMINIQUE MARTIAL</t>
  </si>
  <si>
    <t>PIS IMPORTAÇÃO - EMMANUEL DOMINIQUE MARTIAL</t>
  </si>
  <si>
    <t>Marina Oliveira Dos Santos</t>
  </si>
  <si>
    <t>ISSQN referente ao RPA 2105 - Marina Oliveira Dos Santos</t>
  </si>
  <si>
    <t>IR referente ao RPA 2105 - Marina Oliveira Dos Santos</t>
  </si>
  <si>
    <t>Reembolso a conta do Contrato de Gestão 05/2019 referente a guia de INSS e INSS Patronal referente ao RPA 1979 - Angela Peres De Oliveira</t>
  </si>
  <si>
    <t>Reembolso a conta do Contrato de Gestão 05/2019 referente a guia de INSS e INSS Patronal referente ao RPA 1990 - Sara De Oliveira Paoliello</t>
  </si>
  <si>
    <t>Reembolso a conta do Contrato de Gestão 05/2019 referente a guia de INSS e INSS Patronal referente ao RPA 1997 - Paulo Roberto Maia Figueiredo</t>
  </si>
  <si>
    <t>Reembolso a conta do Contrato de Gestão 05/2019 referente a guia de INSS e INSS Patronal  referente a RPA 2024 - Alessandra Pereira Brito</t>
  </si>
  <si>
    <t>Reembolso a conta do Contrato de Gestão 05/2019 referente a guia de INSS e INSS Patronal referente a RPA 2025 - Luiz Fernando Coutinho De Oliveira</t>
  </si>
  <si>
    <t>Reembolso a conta do Contrato de Gestão 05/2019 referente a guia de INSS e INSS Patronal referente ao RPA 2048 - Sara De Oliveira Paoliello</t>
  </si>
  <si>
    <t>Reembolso a conta do Contrato de Gestão 05/2019 referente a guia de INSS e INSS Patronal referente ao RPA 2065 - Fábio Feldman Dos Santos Freitas</t>
  </si>
  <si>
    <t>Reembolso a conta do Contrato de Gestão 05/2019 referente a guia de INSS e INSS Patronal referente ao RPA 2067- José Ricardo Da Costa Miranda Júnior</t>
  </si>
  <si>
    <t>Reembolso a conta do Contrato de Gestão 05/2019 referente a guia de INSS e INSS Patronal referente ao RPA 2068 - Júlia Gonçalves Declie Fagioli</t>
  </si>
  <si>
    <t>Reembolso a conta do Contrato de Gestão 05/2019 referente a guia de INSS e INSS Patronal referente ao RPA 2069 - Yasmine Paula Evaristo</t>
  </si>
  <si>
    <t>Alisson Da Silva</t>
  </si>
  <si>
    <t>Abiniel João Do Nascimento 11558289410</t>
  </si>
  <si>
    <t>Reembolso a conta do Contrato de Gestão referente ao pagamento da guia de INSS e INSS Patronal referente ao RPA 1926 - Dominick Lattuada Abreu Barbosa+G1797</t>
  </si>
  <si>
    <t>Reembolso a conta do Contrato de Gestão referente ao pagamento da guia de INSS e INSS Patronal referente ao RPA 1936 - Ederson De Sousa</t>
  </si>
  <si>
    <t>Reembolso a conta do Contrato de Gestão referente ao pagamento da guia de INSS e INSS Patronal referente ao RPA 1937  - Flávio Von Randow Teixeira</t>
  </si>
  <si>
    <t>Reembolso a conta do Contrato de Gestão referente ao pagamento da guia de INSS e INSS Patronal referente ao RPA 1938 - Heloísa Helena Rosa Vitalino</t>
  </si>
  <si>
    <t>Reembolso a conta do Contrato de Gestão referente ao pagamento da guia de INSS e INSS Patronal referente ao RPA 1939 - Luciana Campos Horta</t>
  </si>
  <si>
    <t>Reembolso a conta do Contrato de Gestão referente ao pagamento da guia de INSS e INSS Patronal referente ao RPA 1940 - Paula Lemos Vilaça Faria</t>
  </si>
  <si>
    <t>Reembolso a conta do Contrato de Gestão referente ao pagamento da guia de INSS e INSS Patronal referente ao RPA 1941 - Victória Sofia Lúcio Silva</t>
  </si>
  <si>
    <t>Reembolso a conta do Contrato de Gestão referente ao pagamento da guia de INSS e INSS Patronal referente ao RPA 1942 - Lucas Loureiro Cardoso</t>
  </si>
  <si>
    <t>Reembolso a conta do Contrato de Gestão referente ao pagamento da guia de INSS e INSS Patronal referente ao RPA 1943 - Diogo Vieira De Melo</t>
  </si>
  <si>
    <t>Reembolso a conta do Contrato de Gestão referente ao pagamento da guia de INSS e INSS Patronal referente ao RPA 1966 - Fernando Cesar Caldeira Pacheco Barbosa</t>
  </si>
  <si>
    <t>Reembolso a conta do Contrato de Gestão referente ao pagamento da guia de INSS e INSS Patronal referente a RPA 1967 - Silvia Maria Nascimento Amarante</t>
  </si>
  <si>
    <t>Reembolso a conta do Contrato de Gestão referente ao pagamento da guia de INSS e INSS Patronal referente ao RPA 1968 - Dominick Lattuada Abreu Barbosa</t>
  </si>
  <si>
    <t>Reembolso a conta do Contrato de Gestão referente ao pagamento da guia de INSS e INSS Patronal referente ao RPA 1970 - Valdir Rodrigues Dos Santos</t>
  </si>
  <si>
    <t>Reembolso a conta do Contrato de Gestão 05/2019 referente a guia de INSS e INSS Patronal  referente ao RPA 2031 - Angela Peres De Oliveira</t>
  </si>
  <si>
    <t>Reembolso a conta do Contrato de Gestão 05/2019 referente a guia de INSS e INSS Patronal ao RPA 2032 - Ernesto Guevara Starling Ribeiro</t>
  </si>
  <si>
    <t>Reembolso a conta do Contrato de Gestão 05/2019 referente a guia de INSS e INSS Patronal referente ao RPA 2038 - Diogo Vieira De Melo</t>
  </si>
  <si>
    <t>Reembolso a conta do Contrato de Gestão 05/2019 referente a guia de INSS e INSS Patronal referente ao RPA 2039 - Lucas Loureiro Cardoso</t>
  </si>
  <si>
    <t>Reembolso a conta do Contrato de Gestão 05/2019 referente a guia de INSS e INSS Patronal referente ao RPA 2040 - Victória Sofia Lúcio Silva</t>
  </si>
  <si>
    <t>Reembolso a conta do Contrato de Gestão 05/2019 referente a guia de INSS e INSS Patronal referente ao RPA 2041 - Paula Lemos Vilaça Faria</t>
  </si>
  <si>
    <t>Reembolso a conta do Contrato de Gestão 05/2019 referente a guia de INSS e INSS Patronal referente ao RPA 2042 - Luciana Campos Horta</t>
  </si>
  <si>
    <t>Reembolso a conta do Contrato de Gestão 05/2019 referente a guia de INSS e INSS Patronal referente ao RPA 2043 - Heloísa Helena Rosa Vitalino</t>
  </si>
  <si>
    <t>Reembolso a conta do Contrato de Gestão 05/2019 referente a guia de INSS e INSS Patronal referente ao RPA 2044 - Flávio Von Randow Teixeira</t>
  </si>
  <si>
    <t>Reembolso a conta do Contrato de Gestão 05/2019 referente a guia de INSS e INSS Patronal referente ao RPA 2045 - Ederson De Sousa</t>
  </si>
  <si>
    <t>Reembolso a conta do Contrato de Gestão 05/2019 referente a guia de INSS e INSS Patronal referente ao RPA 2058 - 4351 - Tairine Pena Ladislau</t>
  </si>
  <si>
    <t xml:space="preserve">Contratação de Assistente de Produção para atuar durante todas as etapas de pré-produção, produção e pós produção das exposições de artes visuais que ocorrerão nos espaços expositivos da FCS durante o período de trabalho. </t>
  </si>
  <si>
    <t>ISSQN referente ao RPA 2106 - Tairine Pena Ladislau</t>
  </si>
  <si>
    <t>IR referente ao RPA 2106 - Tairine Pena Ladislau</t>
  </si>
  <si>
    <t>ISSQN referente ao RPA 2100 - Ana Cristina Pereira Lima</t>
  </si>
  <si>
    <t>IR referente ao RPA 2100 - Ana Cristina Pereira Lima</t>
  </si>
  <si>
    <t>INSS e INSS Patronal referente ao RPA 2100 - Ana Cristina Pereira Lima</t>
  </si>
  <si>
    <t>ISSQN referente a nota fiscal 2022/10 - Cristiane Moreira Pinto Gestão Cultural - Me</t>
  </si>
  <si>
    <t>ISSQN referente a nota fiscal 2022/15 - Hera Gestão E Produção Cultural Ltda</t>
  </si>
  <si>
    <t>ISSQN referente a nota fiscal 2022/14 - Hera Gestão E Produção Cultural Ltda</t>
  </si>
  <si>
    <t>Reembolso a conta do Contrato de Gestão 05/2019 referente a guia de INSS e INSS Patronal referente ao RPA 2029 - William Da Silva Augusto</t>
  </si>
  <si>
    <t>Reembolso a conta do Contrato de Gestão 05/2019 referente a guia de INSS e INSS Patronal referente ao RPA 2062 - Ana Cristina Pereira Lima</t>
  </si>
  <si>
    <t>Repasse referente a parcela de Novembro/ 2022</t>
  </si>
  <si>
    <t>Compra de 3 unidades de rolo de plástico bolha com 1,30 metros de largura e 100 metros de comprimento cada, além de 15 unidades de fita adesiva para empacotamento, necessários ao acondicionamento adequado em reserva técnica dos cenários e adereços da ópera A Flauta Mágica</t>
  </si>
  <si>
    <t>Rodrigo Ferreira Do Nascimento - Me</t>
  </si>
  <si>
    <t>000.018.237</t>
  </si>
  <si>
    <t>Tarifa Bancária referente a transferência eletrônica pagamento fornecedor :Rodrigo Ferreira Do Nascimento - Me -  Processo 4780</t>
  </si>
  <si>
    <t>ISSQN refreente ao RPA 2071 -  Paulo Vítor Magalhães Mendonça</t>
  </si>
  <si>
    <t>IR refreente ao RPA 2071 -  Paulo Vítor Magalhães Mendonça</t>
  </si>
  <si>
    <t>INSS e INSS Patronal refreente ao RPA 2071 -  Paulo Vítor Magalhães Mendonça</t>
  </si>
  <si>
    <t>Rod-klaf Carrinhos E Acessorios Ltda</t>
  </si>
  <si>
    <t>2022/186</t>
  </si>
  <si>
    <t>ISSQN referente a nota fiscal 2022/186 - Prodel Locação De Equipamentos Para Eventos Ltda</t>
  </si>
  <si>
    <t>ISSQN referente a nota fiscal 2022/18 - Rosa De Areia Produções Ltda</t>
  </si>
  <si>
    <t xml:space="preserve"> Nota Fiscal</t>
  </si>
  <si>
    <t>ISSQN referente a nota fiscal 2022/12 - Renata Fonseca Felicissimo 10665267614</t>
  </si>
  <si>
    <t>Contratação da intervenção artística multilinguagem "Para Sonhar Imagens de Transformação" para ocupação do Espaço Mari'Stella Tristão, no período de 14 a 30 de outubro, como programação integrante do 24º Festcurtasbh. A exposição / instalação artística terá entrada gratuita e será desenvolvida pela artista convidada Efe Gody.</t>
  </si>
  <si>
    <t xml:space="preserve">
Efe Nogueira Godoy 10259267651</t>
  </si>
  <si>
    <t xml:space="preserve">
20.607.508/0001-60</t>
  </si>
  <si>
    <t>ISSQN referente ao RPA 2085 - Anderson Filipe Gonçalves Moreira</t>
  </si>
  <si>
    <t>IR referente ao RPA 2085 - Anderson Filipe Gonçalves Moreira</t>
  </si>
  <si>
    <t>INSS e INSS Patronal referente ao RPA 2085 - Anderson Filipe Gonçalves Moreira</t>
  </si>
  <si>
    <t>ISSQN referente a nota fiscal 2022/7- Rafael Bruno De Oliveira Ferreira Eireli</t>
  </si>
  <si>
    <t xml:space="preserve">Caio Buono Torres </t>
  </si>
  <si>
    <t xml:space="preserve">ISSQN referente ao RPA 2087 - Caio Buono Torres </t>
  </si>
  <si>
    <t xml:space="preserve">IR referente ao RPA 2087 - Caio Buono Torres </t>
  </si>
  <si>
    <t xml:space="preserve">INSS e INSS Patronal referente ao RPA 2087 - Caio Buono Torres </t>
  </si>
  <si>
    <t>ISSQN referente ao RPA 2088 - Sheila Fernanda Oliveira Da Silva</t>
  </si>
  <si>
    <t>INSS e INSS Patronal referente ao RPA 2088 - Sheila Fernanda Oliveira Da Silva</t>
  </si>
  <si>
    <t>ISSQN referente ao RPA 2090 - Alesandra Filgueiras</t>
  </si>
  <si>
    <t>INSS e INSS Patronal referente ao RPA 2090 - Alesandra Filgueiras</t>
  </si>
  <si>
    <t>ISSQN referente ao RPA 2092 - Lisander Antônio Willmore Herasme</t>
  </si>
  <si>
    <t>IR referente ao RPA 2092 - Lisander Antônio Willmore Herasme</t>
  </si>
  <si>
    <t>INSS e INSS Patronal referente ao RPA 2092 - Lisander Antônio Willmore Herasme</t>
  </si>
  <si>
    <t>ISSQN referente ao RPA 2089 - Carla Lima Cattabriga</t>
  </si>
  <si>
    <t>INSS e INSS Patronal referente ao RPA 2089 - Carla Lima Cattabriga</t>
  </si>
  <si>
    <t>ISSQN referente ao RPA 2091-  Fábio Silva Martins De Jesus</t>
  </si>
  <si>
    <t>IR referente ao RPA 2091-  Fábio Silva Martins De Jesus</t>
  </si>
  <si>
    <t>INSS e INSS Patronal referente ao RPA 2091-  Fábio Silva Martins De Jesus</t>
  </si>
  <si>
    <t>Bruno Righi Marco Cardoso 01306212693</t>
  </si>
  <si>
    <t xml:space="preserve">Reembolso a conta do Contrato de Gestão 05/2019 referente a guia de INSS e INSS Patronal referente ao RPA 2010 - Sheila Fernanda Oliveira Da Silva </t>
  </si>
  <si>
    <t>Reembolso a conta do Contrato de Gestão 05/2019 referente a guia de INSS e INSS Patronal referente ao RPA 2011  - Carla Lima Cattabriga</t>
  </si>
  <si>
    <t>Reembolso a conta do Contrato de Gestão 05/2019 referente a guia de INSS e INSS Patronal referente ao RPA 2012 - Alesandra Filgueiras</t>
  </si>
  <si>
    <t>Reembolso a conta do Contrato de Gestão 05/2019 referente a guia de INSS e INSS Patronal referente ao RPA 1817 - Alesandra Filgueiras</t>
  </si>
  <si>
    <t>Reembolso a conta do Contrato de Gestão 05/2019 referente a guia de INSS e INSS Patronal referente ao RPA 1804 - Carla Lima Cattabriga</t>
  </si>
  <si>
    <t>Reembolso a conta do Contrato de Gestão 05/2019 referente a guia de  INSS e INSS Patronal referente ao RPA 1838 -  Rafael Bruno De Oliveira Ferreira</t>
  </si>
  <si>
    <t>Reembolso a conta do Contrato de Gestão 05/2019 referente a guia de INSS e INSS Patronal referente ao RPA 1805 - Sheila Fernanda Oliveira Da Silva</t>
  </si>
  <si>
    <t>Reembolso a conta do Contrato de Gestão 05/2019 referente a guia de INSS e INSS Patronal referente ao RPA 1906 - Alesandra Filgueiras</t>
  </si>
  <si>
    <t xml:space="preserve">Reembolso a conta do Contrato de Gestão 05/2019 referente a guia de INSS e INSS Patronal referente ao RPA 1893 - Bruno Gonçalves Oliveira Rios
</t>
  </si>
  <si>
    <t xml:space="preserve">Reembolso a conta do Contrato de Gestão 05/2019 referente a guia de INSS e INSS Patronal referente ao RPA 1903 - Bruno Gonçalves Oliveira Rios
</t>
  </si>
  <si>
    <t>Reembolso a conta do Contrato de Gestão 05/2019 referente a guia de INSS referente ao RPA 1905 -  Carla Lima Cattabriga</t>
  </si>
  <si>
    <t>Reembolso a conta do Contrato de Gestão 05/2019 referente a guia de INSS e INSS Patronal referente ao RPA 1871 - Fabio Silvia Martins De Jesus</t>
  </si>
  <si>
    <t>Reembolso a conta do Contrato de Gestão 05/2019 referente a guia de INSS e INSS Patronal referente a RPA 1897 - Jussan Meireles Fernandes</t>
  </si>
  <si>
    <t>Reembolso a conta do Contrato de Gestão 05/2019 referente a guia de INSS e INSS Patronal referente ao RPA 1900 - Márcio Tadeu Alves</t>
  </si>
  <si>
    <t>Reembolso a conta do Contrato de Gestão 05/2019 referente a guia de INSS e INSS Patronal referente a RPA 1865  - Morena Nascimento Oliveira</t>
  </si>
  <si>
    <t xml:space="preserve">Reembolso a conta do Contrato de Gestão 05/2019 referente a guia de INSS e INSS Patronal referente ao RPA 1904 - Sheila Fernanda Oliveira Da Silva </t>
  </si>
  <si>
    <t>Reembolso a conta do Contrato de Gestão 05/2019 referente a guia de INSS e INSS Patronal referente ao RPA 1914 - Fabio Silvia Martins De Jesus</t>
  </si>
  <si>
    <t>Reembolso a conta do Contrato de Gestão 05/2019 referente a guia de INSS e INSS Patronal referente ao RPA 1928 - Ivete Maria De Oliveira 76363481600</t>
  </si>
  <si>
    <t>Reembolso a conta do Contrato de Gestão 05/2019 referente a guia de INSS e INSS Patronal referente ao RPA 1963  - Carla Lima Cattabriga</t>
  </si>
  <si>
    <t xml:space="preserve">Reembolso a conta do Contrato de Gestão 05/2019 referente a guia de INSS e INSS Patronal referente ao RPA 1964 - Sheila Fernanda Oliveira Da Silva </t>
  </si>
  <si>
    <t>Reembolso a conta do Contrato de Gestão 05/2019 referente a guia de INSS e INSS Patronal referente ao RPA 1965 - Alesandra Filgueiras</t>
  </si>
  <si>
    <t>Reembolso a conta do Contrato de Gestão 05/2019 referente a guia de INSS e INSS Patronal referente ao RPA 2037 - Paulo Vítor Magalhães Mendonça</t>
  </si>
  <si>
    <t>Reembolso a conta do Contrato de Gestão 05/2019 referente a guia de INSS e INSS Patronal referente a RPA 2046 - Sheila Fernanda Oliveira Da Silva</t>
  </si>
  <si>
    <t>Reembolso a conta do Contrato de Gestão 05/2019 referente a guia de INSS e INSS Patronal referente ao RPA 2047 - Carla Lima Cattabriga</t>
  </si>
  <si>
    <t>Reembolso a conta do Contrato de Gestão 05/2019 referente a guia de INSS e INSS Patronal referente ao RPA 2049 - Alesandra Filgueiras</t>
  </si>
  <si>
    <t>Reembolso a conta do Contrato de Gestão 05/2019 referente a guia de INSS e INSS Patronal referente ao RPA 2050 -  Fábio Silva Martins De Jesus</t>
  </si>
  <si>
    <t>Reembolso a conta do Contrato de Gestão 05/2019 referente a guia de INSS e INSS Patronal referente ao RPA 2054 - Anderson Filipe Gonçalves Moreira</t>
  </si>
  <si>
    <t>Reembolso a conta do Contrato de Gestão 05/2019 referente a guia de INSS e INSS Patronal referente ao RPA 2055 - Caio Buono Torres</t>
  </si>
  <si>
    <t>Reembolso a conta do Contrato de Gestão 05/2019 referente a guia de INSS e INSS Patronal referente a RPA 2056 - Lisander Antônio Willmore Herasme</t>
  </si>
  <si>
    <t>Leda Maria Martins</t>
  </si>
  <si>
    <t>ISSQN referente ao RPA 2112 - Leda Maria Martins</t>
  </si>
  <si>
    <t>INSS e INSS Patronal referente ao RPA 2112 - Leda Maria Martins</t>
  </si>
  <si>
    <t>ISSQN referente a nota fsical 2022/27 - Javali Do Mar Experimentações Artisticas Ltda</t>
  </si>
  <si>
    <t>Lidiane Gomes Da Silva</t>
  </si>
  <si>
    <t>ISSQN referente ao RPA 2108 - Lidiane Gomes Da Silva</t>
  </si>
  <si>
    <t>IR referente ao RPA 2108 - Lidiane Gomes Da Silva</t>
  </si>
  <si>
    <t>Erika Rosana Alves Gonçalves</t>
  </si>
  <si>
    <t>ISSQN referente ao RPA 2107 - Erika Rosana Alves Gonçalves</t>
  </si>
  <si>
    <t>IR referente ao RPA 2107 - Erika Rosana Alves Gonçalves</t>
  </si>
  <si>
    <t>Ana Paula Clemente De Souza</t>
  </si>
  <si>
    <t>ISSQN referente ao RPA 2110 - Ana Paula Clemente De Souza</t>
  </si>
  <si>
    <t>IR referente ao RPA 2110 - Ana Paula Clemente De Souza</t>
  </si>
  <si>
    <t>Ana Paula Miranda Sydney De Souza</t>
  </si>
  <si>
    <t>ISSQN referente ao RPA 2113 - Ana Paula Miranda Sydney De Souza</t>
  </si>
  <si>
    <t>IR referente ao RPA 2113 - Ana Paula Miranda Sydney De Souza</t>
  </si>
  <si>
    <t>Laura Amaral Parreiras</t>
  </si>
  <si>
    <t>ISSQN referente ao RPA 2109 - Laura Amaral Parreiras</t>
  </si>
  <si>
    <t>IR referente ao RPA 2109 - Laura Amaral Parreiras</t>
  </si>
  <si>
    <t>Contratação de Debatedor para História Permanente do Cinema, na mostra "Festival do Cinema Italiano no Brasil"", que acontecerá presencialmente no Cine Humberto Mauro.Data e hora: 23/11, Quarta-feira, 19h30.Sessão: Filme - "A Moça com a Valise"</t>
  </si>
  <si>
    <t>097.546.826-07</t>
  </si>
  <si>
    <t>001.22.70581816-8</t>
  </si>
  <si>
    <t>Reembolso realizado pela Appa referente ao pagamento de juros fatura da Copasa - 001.22.70581816-8</t>
  </si>
  <si>
    <t>Processo 4745 - Artes Gráficas Formato Ltda</t>
  </si>
  <si>
    <t>Impressão da Publicação do Programa de Residência para Pesquisas Artisticas - 500 cópiasCapa: 328x230mm, 4x0 cores em Cartão Supremo 250g. Prova Xerox.Miolo: 236 pgs, 157x230mm, 4 cores em Off Set LD 90g. Prova Xerox.Pré Impressão, Laminado Fosco, Número de lados 1(Capa), Colagem PUR(Miolo)Link do Documentohttps://drive.google.com/file/d/1FnfFCpWBgXT3W4HYjwmlKI0Z_XzS-E8a/view?usp=share_link</t>
  </si>
  <si>
    <t>9002730/2022</t>
  </si>
  <si>
    <t xml:space="preserve">Valor recebido  Mateus Assis  - CPF: ,056.299.196-44  referente à locação de figurinos </t>
  </si>
  <si>
    <t>Marina Viana Pereira05396068639</t>
  </si>
  <si>
    <t>Tarifa Bancária referente a transferência eletrônica pagamento fornecedor :BH Notebooks Ltda -  Processo 2842</t>
  </si>
  <si>
    <t>Tarifa Bancária referente a transferência eletrônica pagamento fornecedor :Marina Viana Pereira05396068639 -  Processo 4424</t>
  </si>
  <si>
    <t>ISSQN referente as notas fiscais: 20222/32 - Transalves
2022/12 - Disk Palcos</t>
  </si>
  <si>
    <t>Reembolso realizado pela Prefeitura de Ouro Preto referente ao pagamento indevido pela conta do Contrato de Gestão  da guia de ISSQN - Nº 9002730/2022 em 20/06/2022 -</t>
  </si>
  <si>
    <t>Compra de 4 Franja de Pluma - Branca 1 metro cada e mais rala para composição do figurino da montagem de formatura da escola de dança do Cefart com montagem em dezembro.</t>
  </si>
  <si>
    <t>41.865.221/0001-00</t>
  </si>
  <si>
    <t>Renovação do domínio: ctpfcs.com.br,site oficial Centro Técnico de Produção e Formação – CTPF, pelo período de 2 anos.</t>
  </si>
  <si>
    <t>05.506.560/0001-36</t>
  </si>
  <si>
    <t>Rafael Mendes 43646779810</t>
  </si>
  <si>
    <t>ISSQN referente a nota fiscal 2022/14 - Leben 108 Produtora De Filmes Ltda</t>
  </si>
  <si>
    <t>ISSQN referente a nota fiscal 2022/31 - Chão Da Feira Ltda</t>
  </si>
  <si>
    <t xml:space="preserve"> Camila Diniz Bastos</t>
  </si>
  <si>
    <t>ISSQN referente ao RPA 2111 - Camila Diniz Bastos</t>
  </si>
  <si>
    <t>INSS e INSS Patronal referente ao RPA 2111 - Camila Diniz Bastos</t>
  </si>
  <si>
    <t>ISSQN referente a nota fiscal 2022/30 - Sergio Arruda Felicio</t>
  </si>
  <si>
    <t>Contratação de profissional para ministrar a oficina"Outros Modos de Ver uma Imagem",na modalidade Virtual,colaborando no processo de formação do Centro de Formação Artísticae Tecnológica (CEFART).</t>
  </si>
  <si>
    <t>079.018.747-75</t>
  </si>
  <si>
    <t>Contratação de profissional para ministrar a oficina"Visualidades para além: pensando o trabalho com pessoas do Espectro Autista",na modalidade Virtual,colaborando no processo de formação do Centro de Formação Artística e Tecnológica (CEFART).</t>
  </si>
  <si>
    <t>104.041.174-65</t>
  </si>
  <si>
    <t>PIS referente a folha 10/2022</t>
  </si>
  <si>
    <t>Férias do Produtora Cultural da Dipro</t>
  </si>
  <si>
    <t>IR retido em férias de Produtora Cultural</t>
  </si>
  <si>
    <t>Fernanda Cristina Campos 40979477883</t>
  </si>
  <si>
    <t>Cofins referente aos rendimentos de aplicações financeiras do mês 10/2022</t>
  </si>
  <si>
    <t xml:space="preserve"> Núcleo De Informação E Coordenação Do Ponto Br - Nic Br</t>
  </si>
  <si>
    <t>Tarifa Bancária referente a transferência eletrônica pagamento férias Produtora Cultural</t>
  </si>
  <si>
    <t>Tarifa Bancária referente a transferência eletrônica pagamento fornecedor :Fernanda Cristina Campos 40979477883 -  Processo 4731</t>
  </si>
  <si>
    <t>Contratação de músico para performance e apresentações ao vivo durante a apresentação do espetáculo de dança dos alunos da escola de dança do Cefart, com temporada em Dezembro.</t>
  </si>
  <si>
    <t>13.379.077/0001-66</t>
  </si>
  <si>
    <t>Processo 4795 - Yasmine Paula Evaristo</t>
  </si>
  <si>
    <t>Contratação de Debatedor para História Permanente do Cinema, na mostra "Especial Senhor dos Anéis", que acontecerá presencialmente no Cine Humberto Mauro.Data e hora: 27/12, Terça-feira, 15h.Sessão: Filme - "O Senhor dos Anéis: A Sociedade do Anel"</t>
  </si>
  <si>
    <t xml:space="preserve">Reembolso parcial da conta do Termo de Parceria 50/2020 - IEPHA, referenteao uso de telefone fixo (mês 10/2022) - 26,41% do valor total </t>
  </si>
  <si>
    <t>16103761-MG</t>
  </si>
  <si>
    <t>Carlos Eduardo Marotta Capanema 02927435642</t>
  </si>
  <si>
    <t>Tarifa Bancária referente a transferência eletrônica pagamento fornecedor :Carlos Eduardo Marotta Capanema 02927435642-  Processo 4750</t>
  </si>
  <si>
    <t xml:space="preserve">Cofins 08/2022 - Prog. De Artes Vis Fund. Clovis </t>
  </si>
  <si>
    <t xml:space="preserve">Cofins 09/2022 - Prog. De Artes Vis Fund. Clovis </t>
  </si>
  <si>
    <t xml:space="preserve">Cofins10/2022 - Prog. De Artes Vis Fund. Clovis </t>
  </si>
  <si>
    <t>Gismac Comercio De Armarinhos - Eireli</t>
  </si>
  <si>
    <t>Cofins 09/2022 - prog fcs ano 50 leic 16.888-2</t>
  </si>
  <si>
    <t>Cofins 10/2022 - prog fcs ano 50 leic 16.888-2</t>
  </si>
  <si>
    <t>COFINS 10/2022</t>
  </si>
  <si>
    <t>COFINS 09/2022</t>
  </si>
  <si>
    <t>Processo 4813 - Tia Vivi Buffet Saudavel Ltda</t>
  </si>
  <si>
    <t>Pedido de 40 kits lanches para a equipe organizadora e equipe aplicadora da prova do processo seletivo de cursos regulares do Cefart no dia 03/12 na Utramig</t>
  </si>
  <si>
    <t>112.332.686-00</t>
  </si>
  <si>
    <t>Compra de 3 plumas brancas para composição do figurino da montagem de formatura da escola de dança do Cefart.</t>
  </si>
  <si>
    <t>37.266.666/0001-04</t>
  </si>
  <si>
    <t>Silma Dornas De Abreu Mooren 54175330682</t>
  </si>
  <si>
    <t>Tarifa Bancária referente a transferência eletrônica pagamento fornecedor :Silma Dornas De Abreu Mooren 54175330682-  Processo 4684</t>
  </si>
  <si>
    <t>Processo 4812 - Artes Gráficas Formato Ltda</t>
  </si>
  <si>
    <t>Impressão do caderno e provas e folha resposta para o processo seletivo de cursos regulares do Cefart que acontecerá na Utramig</t>
  </si>
  <si>
    <t>1º parcela do 13º da Gerente de Projetos: Produção Artística</t>
  </si>
  <si>
    <t>1º parcela do 13º do Bailarino</t>
  </si>
  <si>
    <t>1º parcela do 13º do Músico</t>
  </si>
  <si>
    <t>1º parcela do 13º do Bailarina</t>
  </si>
  <si>
    <t>1º parcela do 13º do Produtora Cultural da Dipro</t>
  </si>
  <si>
    <t>1º parcela do 13º do Músico Instrumentista</t>
  </si>
  <si>
    <t>1º parcela do 13º do Músico Cantora</t>
  </si>
  <si>
    <t>1º parcela do 13º do Diretor Financeiro</t>
  </si>
  <si>
    <t>1º parcela do 13º do  Músico Instrumentista</t>
  </si>
  <si>
    <t>1º parcela do 13º da Assessora Pedagógica</t>
  </si>
  <si>
    <t>1º parcela do 13º do Músico Cantor</t>
  </si>
  <si>
    <t>1º parcela do 13º da Músico Cantor</t>
  </si>
  <si>
    <t>1º parcela do 13º do Montador Diart</t>
  </si>
  <si>
    <t>1º parcela do 13º do Regente Assistente</t>
  </si>
  <si>
    <t>1º parcela do 13º de Músico</t>
  </si>
  <si>
    <t>1º parcela do 13º da Analista Financeiro Pleno</t>
  </si>
  <si>
    <t>1º parcela do 13º de Músico Cantora</t>
  </si>
  <si>
    <t>1º parcela do 13º de Bailarina</t>
  </si>
  <si>
    <t>1º parcela do 13º salário do Montador Diart</t>
  </si>
  <si>
    <t>1º parcela do 13º salário do Músico Instrumentista</t>
  </si>
  <si>
    <t>1º parcela do 13º salário do Superintendente de Auditoria</t>
  </si>
  <si>
    <t>1º parcela do 13º  do Músico Instrumentista</t>
  </si>
  <si>
    <t>1º parcela do 13º  da Coordenadora de Comunicação</t>
  </si>
  <si>
    <t>1º parcela do 13º o do Bailarino</t>
  </si>
  <si>
    <t>1º parcela do 13º    Auxiliar de serviços Gerais</t>
  </si>
  <si>
    <t>1º parcela do 13º   Arquivista</t>
  </si>
  <si>
    <t>1º parcela do 13º   Músico Instrumentista</t>
  </si>
  <si>
    <t>1º parcela do 13º   Músico Cantora</t>
  </si>
  <si>
    <t>1º parcela do 13º  Instrumentista</t>
  </si>
  <si>
    <t>1º parcela do 13º  Músico Cantora</t>
  </si>
  <si>
    <t>1º parcela do 13º  Analista de RH</t>
  </si>
  <si>
    <t>1º parcela do 13º  Músico Cantor</t>
  </si>
  <si>
    <t>1º parcela do 13º  Músico Instrumentista</t>
  </si>
  <si>
    <t>1º parcela do 13º Montador Dipro</t>
  </si>
  <si>
    <t>Josiane Duarte da Silva</t>
  </si>
  <si>
    <t>087.499.346-60</t>
  </si>
  <si>
    <t xml:space="preserve">1º parcela do 13º  Produtora Cultural </t>
  </si>
  <si>
    <t>1º parcela do 13º  do  Músico Cantor</t>
  </si>
  <si>
    <t xml:space="preserve">1º parcela do 13º do Coordenador Administrativo </t>
  </si>
  <si>
    <t xml:space="preserve">1º parcela do 13º  Gerente de Projetos </t>
  </si>
  <si>
    <t>1º parcela do 13º do Pianista</t>
  </si>
  <si>
    <t>1º parcela do 13º  Gerente de Projetos Dipro</t>
  </si>
  <si>
    <t>1º parcela do 13º Bailarina</t>
  </si>
  <si>
    <t xml:space="preserve">1º parcela do 13º do Presidente </t>
  </si>
  <si>
    <t>Rendimentos de aplicações financeiras do mês 11/2022</t>
  </si>
  <si>
    <t>Imposto de Renda referente aos rendimentos de aplicações financeiras do mês 11/2022</t>
  </si>
  <si>
    <t>Rendimentos de aplicações financeiras do mês 11/2022 da conta 16517-4 - Área Meio - Projetos Meta do Contrato de Gestão</t>
  </si>
  <si>
    <t>Rendimentos de aplicações financeiras do mês 11/2022 da conta 16888-2 - Programação Artística da Fundação Clóvis Salgado - Ano 50</t>
  </si>
  <si>
    <t>Rendimentos de aplicações financeiras do mês 10/2022 - Modernismo</t>
  </si>
  <si>
    <t>Cofins referente aos rendimentos de aplicações financeiras do mês 11/2022</t>
  </si>
  <si>
    <t>Contratação de Paulo Borges como pianista acompanhador, para o ensaio do Coral Lírico de Minas Gerais, dia 02/12/2022, no Grande Teatro do Palácio das Artes.</t>
  </si>
  <si>
    <t>121.864.016-22</t>
  </si>
  <si>
    <t xml:space="preserve">Contratação de revisor de texto para trabalhar com o material da Mostra Chama na quantidade de Páginas: 22 / Palavras: 5.867 / Caracteres: 38.275 / Caracteres excluindo espaços: 32.698 </t>
  </si>
  <si>
    <t>Processo 4679 - Aldo Clécius Neris Da Silva 95062114500</t>
  </si>
  <si>
    <t xml:space="preserve">Contratação de costureiro, profissional para confecção de figurinos, adereços bem como a realização de restauração e reparos em figurinos que estarão disponíveis para o espetáculo de fim de ano dos alunos da escola de dança do Cefart. </t>
  </si>
  <si>
    <t>43.740.270/0001-41</t>
  </si>
  <si>
    <t>Solicitação de compra de produtos paracomposição e montagem do cenário do espetáculo de dança dos alunos do Cefart.20 Lâmpada Led Vint.A60 4W 220k E27 127V DIM.AVA, 20porta-lampada c/rabicho p/tempo e27 benwatts, 40 conector e.reta 2p 32a fl.0,50-4,0mm 2212411 w, 2 conector scotchlok idc560 az c/10p.hb004289672, 100 mts cordao paralelo 300v 2x1,50mm2 pr, 6 plug macho pr 10a-250v 2p 57403002 tra, 1 fita isolante imperial 18mmx20mts preta 3m£</t>
  </si>
  <si>
    <t>Aquisição de bouquet, para homenagem ao maestro da Orquestra Sinfônica de Minas Gerais - OSMG.Formato do maralhete, masculino.</t>
  </si>
  <si>
    <t>18.835.881/0001-26</t>
  </si>
  <si>
    <t>Reembolso proporcional realizado pela conta do projeto Anglo referente ao pagamento Medicina do Trabalho do mês 11/2022</t>
  </si>
  <si>
    <t>Reembolso proporcional realizado pela PROJETO DESCUBRA O PALÁCIO referente ao pagamento Medicina do Trabalho do mês 112022</t>
  </si>
  <si>
    <t>Reembolso proporcional realizado pela conta do TP 50/2020 IEPHA  referente ao pagamento Medicina do Trabalho do mês 11/2022</t>
  </si>
  <si>
    <t>Valor referente a Medicina do Trabalho do mês 11/2022 - PCMSO e PPRA</t>
  </si>
  <si>
    <t>2022/21947</t>
  </si>
  <si>
    <t xml:space="preserve">ISSQN referente a nota fiscal 2022/21947 - Ocupacional Medicina do Trabalho Ltda </t>
  </si>
  <si>
    <t xml:space="preserve">PCC referente a nota fiscal 2022/21947 - Ocupacional Medicina do Trabalho Ltda </t>
  </si>
  <si>
    <t>Locação de imóvel para a sede administrativa da Appa referente ao período de 01/11 a 30/11/2022</t>
  </si>
  <si>
    <t>2022/21948</t>
  </si>
  <si>
    <t xml:space="preserve">ISSQN referente a nota fiscal 2022/21948 - Ocupacional Medicina do Trabalho Ltda </t>
  </si>
  <si>
    <t xml:space="preserve">PCC referente a nota fiscal 2022/21948 - Ocupacional Medicina do Trabalho Ltda </t>
  </si>
  <si>
    <t>Contratação de profissional para operação de Luz: O Contrato inclui a operação de luz durante as apresentações da montagem do espetáculo de fim de ano dos alunos da escola de dança Cefart em Dezembro.</t>
  </si>
  <si>
    <t>45.603.515/0001-14</t>
  </si>
  <si>
    <t>Serviço de filmagem para Espetáculo de Formatura dos alunos da Escola de Dança do Cefartque acontecerá nos dias 04, 05 e 06 de dezembro no Grande Teatro do Palácio das Artes - o serviço deverá incluir neste cache o fornecimento de todo material e equipe.</t>
  </si>
  <si>
    <t>Contratação de ferramenta de gerenciamento de mídias sociais (Mlabs) com o seguinte escopo: - Agendamento de posts com customizações- Gestão de mensagens - SAC social- Workflow- Interação com seguidores- Relatórios de redes sociais- Insights para otimização- Monitoramento de concorrentes- Múltiplos usuários- Calendário de posts. Plano anual, pacote completo: 1 perfil profissional</t>
  </si>
  <si>
    <t>23.465.964/0001-00</t>
  </si>
  <si>
    <t>Alimentação  da equipe técnica, produção e alunos envolvidos no espetáculo de dança da escola de dança do Cefart</t>
  </si>
  <si>
    <t>Processo 4824 - Hr - Lanches, Promoções E Eventos Eireli - Me</t>
  </si>
  <si>
    <t>Processo 4825 - Hr - Lanches, Promoções E Eventos Eireli - Me</t>
  </si>
  <si>
    <t>Contratação de coreógrafo que será responsável pela orientação coreográfica dos formandos da escola de dança no Espetáculo de Formatura.</t>
  </si>
  <si>
    <t>Processo 4831 - Junia Bertolina Da Silva</t>
  </si>
  <si>
    <t>Contratação do profissional que irá fazer a criação do projeto de sonorização para o espetáculo de final de ano dos alunos da escola de dança do Cefart que acontece em dezembro</t>
  </si>
  <si>
    <t>Contratação de profissional que será o responsável pelas composições musicais, ensaios e performance durante os ensaios e também na apresentação do Espetáculo de Final de Ano da Escola de Dança.</t>
  </si>
  <si>
    <t>2022/406</t>
  </si>
  <si>
    <t>ISSQN referente a nota fiscal 2022/406 - Dollabela Advocacia E Consultoria</t>
  </si>
  <si>
    <t>Férias   Auxiliar de serviços Gerais</t>
  </si>
  <si>
    <t xml:space="preserve"> Estúdio 739 De Publicidade E Propaganda Ltda</t>
  </si>
  <si>
    <t>ISSQN referente a nota fiscal 2022/12 -  Estúdio 739 De Publicidade E Propaganda Ltda</t>
  </si>
  <si>
    <t>Renovação do domínio:www.cdabrumadinho.com.br,site oficial do Programa Caminhos da Arte criado pela Fundação Clóvis Salgado por meio do Palácio das Artes e do Centro de Formação Artística e Tecnológica – Cefart, pelo período de 1 ano. Processo 4800</t>
  </si>
  <si>
    <t>Reembolso para Diretor Financeiro, referente a contratação de ferramenta servidor de nuvem - Google Cloud Platform. - mês de novembro/2022.</t>
  </si>
  <si>
    <t xml:space="preserve">Reembolso parcial da conta do Termo de Parceria 50/2020 - IEPHA, referente contratação de empresa de setor administrativo especializada em entidades do terceiro setor  para o Contrato de Gestão 05/2019 e Termo de Parceria 50/2020 (mês 11/2022) - 27,41% do valor total </t>
  </si>
  <si>
    <t>ISSQN referente a nota fiscal 2022/13 - Estúdio 739 De Publicidade E Propaganda Ltda</t>
  </si>
  <si>
    <t>2022/96</t>
  </si>
  <si>
    <t>ISSQN referente a nota fiscal 2022/96 - Arco Cultural Ltda</t>
  </si>
  <si>
    <t>Processo 1134 - Arco Cultural Ltda</t>
  </si>
  <si>
    <t>2022/76</t>
  </si>
  <si>
    <t>ISSQN referente a nota fiscal 2022/76 - Mylene Youssef A Vieira - Produções E Eventos Epp</t>
  </si>
  <si>
    <t>Faz-se necessária a impressão de um banner para divulgação dos concertos gratuítos ao Meio-Dia, da Orquestra Sinfônica de Minas Gerais e Coral Lírico de Minas Gerais, ambos Corpos Artísticos da Fundação Clóvis Salgado.</t>
  </si>
  <si>
    <t>Contratação de serviços gerais, sem material, para limpeza da sede da APPA ( Rua Gonçalves Dias 1762 sala 701 funcionarios) nos dias 07,13 e 16/12.Diária de 8h almoço e transporte por conta da contratada bem como os encargos.Serviços a serem executados: limpeza de 3 banheiros, limpeza (varrer, tirar poeira, passar pano úmido no chão e tirar o lixo) de 5 salas individuais, 1 sala de reunião, 1 recepção, 1 sala grande compartilhada e 1 cozinha.</t>
  </si>
  <si>
    <t xml:space="preserve">Reembolso realizado pela empresa  Estúdio 739 De Publicidade E Propaganda Ltda - CNPJ: 13.606.139/0001-25 - Processo 4774 pelo pagamento realizado indevidamente em duplicidade. </t>
  </si>
  <si>
    <t>Salário Gerente de Projetos , referente ao mês 11/2022</t>
  </si>
  <si>
    <t>Salário do Pianista, referente ao mês 11/2022</t>
  </si>
  <si>
    <t>Salário do Músico Instrumentista, referente ao mês 11/2022</t>
  </si>
  <si>
    <t>Salário Gerente de Projetos Dipro, referente ao mês 11/2022</t>
  </si>
  <si>
    <t>Salário do Músico Cantora, referente ao mês 11/2022</t>
  </si>
  <si>
    <t>Salário Bailarina, referente ao mês11/2022</t>
  </si>
  <si>
    <t>Salário do Presidente referente ao mês11/2022</t>
  </si>
  <si>
    <t>Salário  Músico Cantora, referente ao mês 11/2022</t>
  </si>
  <si>
    <t>Salário do Diretor Financeiro, referente ao mês 11/2022</t>
  </si>
  <si>
    <t>Salário de Músico, referente ao mês 11/2022</t>
  </si>
  <si>
    <t>Salário Bailarina, referente ao mês 11/2022</t>
  </si>
  <si>
    <t>Salário da Analista Financeiro Pleno, referente ao mês 11/2022</t>
  </si>
  <si>
    <t>Salário do Coordenador Administrativo referente ao mês 11/2022</t>
  </si>
  <si>
    <t>Salário Analista de RH, referente ao mês 11/2022</t>
  </si>
  <si>
    <t>Salário do Bailarino, referente ao mês 11/2022</t>
  </si>
  <si>
    <t>Salário  Músico Cantor, referente ao mês 11/2022</t>
  </si>
  <si>
    <t>Salário do Bailarina, referente ao mês 11/2022</t>
  </si>
  <si>
    <t>Salário da Assessora Pedagógica, referente ao mês 11/2022</t>
  </si>
  <si>
    <t>Salário da Músico Cantor, referente ao mês 11/2022</t>
  </si>
  <si>
    <t>Salário da Coordenadora de Comunicação, referente ao mês11/2022</t>
  </si>
  <si>
    <t>Salário do Produtora Cultural da Dipro, referente ao mês 11/2022</t>
  </si>
  <si>
    <t>Salário Músico Instrumentista, referente ao mês 11/2022</t>
  </si>
  <si>
    <t xml:space="preserve"> Salário  Arquivista, referente ao mês 11/2022</t>
  </si>
  <si>
    <t>Salário do Montador Diart, referente ao mês 11/2022</t>
  </si>
  <si>
    <t>Salário do Superintendente de Auditoria, referente ao mês 11/2022</t>
  </si>
  <si>
    <t>Salário   Auxiliar de serviços Gerais, referente ao mês 11/2022</t>
  </si>
  <si>
    <t>Salário Montador Dipro, referente ao mês 11/2022</t>
  </si>
  <si>
    <t xml:space="preserve"> Salário  Músico Instrumentista, referente ao mês 11/2022</t>
  </si>
  <si>
    <t>Salário  Músico Instrumentista, referente ao mês 11/2022</t>
  </si>
  <si>
    <t>Pensão Alimentícia (DANIELLE DA CONCEICAO MARQUES PIMENtA) Montador Dipro, referente ao mês 11/2022</t>
  </si>
  <si>
    <t>Salário da  Produtora Cultural, referente ao mês 11/2022</t>
  </si>
  <si>
    <t>Salário de Bailarina, referente ao mês 11/2022</t>
  </si>
  <si>
    <t>Salário da Gerente de Projetos: Produção Artística</t>
  </si>
  <si>
    <t>Salário do Músico, referente ao mês 11/2022</t>
  </si>
  <si>
    <t>Salário de Músico Cantora, referente ao mês 11/2022</t>
  </si>
  <si>
    <t>Salário do Regente Assistente, referente ao mês 11/2022</t>
  </si>
  <si>
    <t>Tarifa TED/DOC pagamento de salário</t>
  </si>
  <si>
    <t>Contratação de costureiro, profissional para confecção de figurinos, adereços bem como a realização de restauração e reparos em figurinos que estarão disponíveis para o espetáculo de fim de ano dos alunos da escola de dança do Cefart.</t>
  </si>
  <si>
    <t>IR retido em folha do mês 11/2022</t>
  </si>
  <si>
    <t>IR Retido em rescisão</t>
  </si>
  <si>
    <t>INSS retido em folha do mês 11/2022</t>
  </si>
  <si>
    <t>Tatiana Alves De Carvalho Costa</t>
  </si>
  <si>
    <t>INSS e INSS Patronal referente ao RPA 1919 - Tatiana Alves De Carvalho Costa</t>
  </si>
  <si>
    <t>Retenção IOF a Recolher ref. câmbio L'Agence du Court Métrage</t>
  </si>
  <si>
    <t>L'agence Du Court Métrage</t>
  </si>
  <si>
    <t>FL2201340</t>
  </si>
  <si>
    <t xml:space="preserve">Invoice </t>
  </si>
  <si>
    <t>Retenção Imposto de Renda ref. câmbio L'Agence du Court Métrage</t>
  </si>
  <si>
    <t>Reembolso referente ao pagamento indevido  pela conta do CG 05/2019 do fornecedor:  Núcleo De Informação E Coordenação Do Ponto Br - Nic Br - CNPJ: 05.506.560/0001-36 - Processo 4800</t>
  </si>
  <si>
    <t>Reembolso realizado pelo PROJETO DESCUBRA O PALÁCIO referente ao pagamento de guia de FGTS  - 11/2022</t>
  </si>
  <si>
    <t xml:space="preserve">Reembolso realizado pelo PROJETO DESCUBRA O PALÁCIO referente ao pagamento de guia de FGTS  - 1º parcela do 13º salário </t>
  </si>
  <si>
    <t>Reembolso realizado pelo Projeto ANGLO para a conta do Contrato de Gestão referente ao pagamento de guia de FGTS  - 11/2022</t>
  </si>
  <si>
    <t>Reembolso realizado pelo Projeto ANGLO para a conta do Contrato de Gestão referente ao pagamento de guia de FGTS   - 1º parcela do 13º salário</t>
  </si>
  <si>
    <t xml:space="preserve"> Tia Vivi Buffet Saudavel Ltda</t>
  </si>
  <si>
    <t>Rede Editora Grafica Ltda</t>
  </si>
  <si>
    <t>2022/1771</t>
  </si>
  <si>
    <t>Dec Flores &amp; Adornos Ltda</t>
  </si>
  <si>
    <t>IR referente ao RPA 2141 - Alan Wender Rodrigues Dias</t>
  </si>
  <si>
    <t>ISSQN referente ao RPA 2141 - Alan Wender Rodrigues Dias</t>
  </si>
  <si>
    <t>INSS e INSS Patronal referente ao RPA 2141 - Alan Wender Rodrigues Dias</t>
  </si>
  <si>
    <t>Consumo de energia elétrica do mês 11/2022</t>
  </si>
  <si>
    <t>FGTS referente a folha de pagamento do mês 11/2022</t>
  </si>
  <si>
    <t>FGTS referente a folha 1º parcela do 13º salário</t>
  </si>
  <si>
    <t>Tarifa Bancária referente a transferência eletrônica pagamento fornecedor :Marcela Silva Moreira 06326086680 -  Processo 4302</t>
  </si>
  <si>
    <t>Tarifa Bancária referente a transferência eletrônica pagamento fornecedor : Tia Vivi Buffet Saudavel Ltda-  Processo 4813</t>
  </si>
  <si>
    <t>Tarifa Bancária referente a transferência eletrônica pagamento fornecedor :Guilherme Domingos de Oliveira -  Processo 4848</t>
  </si>
  <si>
    <t>Tarifa Bancária referente a transferência eletrônica pagamento fornecedor :Dec Flores &amp; Adornos Ltda -  Processo 4836</t>
  </si>
  <si>
    <t>Tarifa Bancária referente a transferência eletrônica pagamento fornecedor :Alan Wender Rodrigues Dias-  Processo 4321</t>
  </si>
  <si>
    <t>ISSQN referente a nota fiscal 2022/356249 - Cons Operacional de Transporte Coletivo</t>
  </si>
  <si>
    <t>ISSQN referente a nota fiscal 202280 - K C B O CRUZ</t>
  </si>
  <si>
    <t>ISSQN referente a nota fiscal 2022/340732 - Cons Operacional de Transporte Coletivo</t>
  </si>
  <si>
    <t>ISSQN referente a nota fiscal 2022/65 - Mylene Youssef A Vieira - Produções E Eventos Epp</t>
  </si>
  <si>
    <t>ISSQN referente a nota fiscal 2022/66 - Mylene Youssef A Vieira - Produções E Eventos Epp</t>
  </si>
  <si>
    <t>ISSQN referente a nota fiscal 2022/1237 - Tms Telecomunicações Ltda</t>
  </si>
  <si>
    <t>ISSQN referente a nota fiscal 2022/297358- Consórico Ótimo de Bilhetagem Eletrônica</t>
  </si>
  <si>
    <t>ISSQN referente a nota fisca l 2022/660965 - Unimed Belo Horizonte</t>
  </si>
  <si>
    <t>ISSQN referente a nota fiscal 2022/657254 - Unimed Belo Horizonte</t>
  </si>
  <si>
    <t>Processo 4852 - Nl Ce &amp; Importação Ltda</t>
  </si>
  <si>
    <t>Tinta e materiais para pintura, sendo: 4 (quatro) latas de 18 lts de tinta a base de água na cor preto fosco; 6 (seis) rolos de pintura de 23 cm - kits completos; 3 (três) pincéis para pintura no tamanho 1 polegada; 3 (três) pincéis para pintura no tamanho 2,5 polegadas; 4 (quatro) pincéis para pintura no tamanho 3 polegadas.</t>
  </si>
  <si>
    <t>37.727.772/0004-82</t>
  </si>
  <si>
    <t>Compra de itens para manutenção da sede da APPA:10 pacotes (com 4 rolos cada) de papel higiênico branco folha dupla05 limpadores multiuso (500 ml cada )01 caixa de pó de café (500grs cada)04 potes de manteiga com 500grs cada5 embalagens filtros de papel n. 103 05 detergentes (500ml cada) 03 caixas de macara cirúrgica tripla descartável (50 unidades cada)02 panos de chão01 caixa com 50 pastas suspensas arquivo kraft 180gm</t>
  </si>
  <si>
    <t>Processo 4882 - B&amp;c Produtos De Limpeza E Embalagens</t>
  </si>
  <si>
    <t xml:space="preserve">Reembolso parcial da conta do Termo de Parceria 50/2020 - IEPHA, referenteao uso de telefone fixo (mês 11/2022) - 26,41% do valor total </t>
  </si>
  <si>
    <t>Reembolso realizado pelo Termo de Parceria 50/2020 - IEPHA referente ao percentual (26,41% do valor total), Manutenção de hardware e redes, preventiva, preditiva e corretiva da sede da Appa - mês 11/2022</t>
  </si>
  <si>
    <t>Reembolso realizado pelo Termo de Parceria 50/2020 - IEPHA referente ao percentual (26,41% do valor total ) locação de impressoras da sede da Appa referente ao mês 11/2022</t>
  </si>
  <si>
    <t>Reeembolso para a conta 16821-1 referente ao pagamento do ISSQN da nota fiscal 2022/1771 - Rede Editora Grafica Ltda</t>
  </si>
  <si>
    <t>16411594-MG</t>
  </si>
  <si>
    <t>Compra de 01 caixa de papel A4 e 20 caixas "arquivo morto de papelão reciclado"</t>
  </si>
  <si>
    <t>B&amp;c Produtos De Limpeza E Embalagens</t>
  </si>
  <si>
    <t>U06568</t>
  </si>
  <si>
    <t>Uso de táxi pelos funcionários a serviço do CG 05/2019  referente ao mês 11/2022</t>
  </si>
  <si>
    <t>2022/3017</t>
  </si>
  <si>
    <t>2022/837</t>
  </si>
  <si>
    <t>ISSQN referente a nota fiscal 2022/837 - Flag Impressao Digital Ltda</t>
  </si>
  <si>
    <t>Tarifa Bancária referente a transferência eletrônica pagamento fornecedor : Flag Impressao Digital Ltda -  Processo 4855</t>
  </si>
  <si>
    <t>3 diárias de aluguel de 01 Projetor 16000 Lumens – Resolução 1024x768i,01 Técnico,Cabos de AC,Cabos de Sinal para a apresentação de formatura dos alunos da escola de dança do Cefart.</t>
  </si>
  <si>
    <t>Contratação de Debatedor para História Permanente do Cinema, na mostra "Especial de Natal", que acontecerá presencialmente no Cine Humberto Mauro.Data e hora: 21/12, Quarta-feira,17h30.Sessão: Filme - "Duro de Matar"</t>
  </si>
  <si>
    <t>019.820.406-02</t>
  </si>
  <si>
    <t>Processo 4886 - Arte De Minas Quadros E Molduras Ltda</t>
  </si>
  <si>
    <t>Contratação do profissional que irá fazer a criação do projeto de sonorização para a montagem de formatura dos alunos da escola de dança do Cefart que acontece em dezembro.</t>
  </si>
  <si>
    <t>39.535.306/0001-88</t>
  </si>
  <si>
    <t>Reembolso realizado pela conta do TP 50/2020 -Iepha pelo pagamento indevido do processo 4728 pela conta do CG</t>
  </si>
  <si>
    <t xml:space="preserve"> Samuel De Oliveira Marotta</t>
  </si>
  <si>
    <t>ISSQN referente ao RPA 2142 - Samuel De Oliveira Marotta</t>
  </si>
  <si>
    <t>INSS e INSS Patronal referente ao RPA 2142 - Samuel De Oliveira Marotta</t>
  </si>
  <si>
    <t>Paulo Augusto Borges</t>
  </si>
  <si>
    <t>ISSQN referente ao RPA 2149 - Paulo Augusto Borges</t>
  </si>
  <si>
    <t>INSS e INSS Patronal referente ao RPA 2149 - Paulo Augusto Borges</t>
  </si>
  <si>
    <t>Contratação de 01 diária de 8h de trabalho de prestador de serviços para apoio às atividades necessárias ao recebimento do acervo da Anglogold doado ao acervo do CTPF</t>
  </si>
  <si>
    <t>Josianne Caroline Ferreira Ribeiro</t>
  </si>
  <si>
    <t>ISSQN referente ao RPA 2148 - Josianne Caroline Ferreira Ribeiro</t>
  </si>
  <si>
    <t>INSS e INSS Patronal referente ao RPA 2148 - Josianne Caroline Ferreira Ribeiro</t>
  </si>
  <si>
    <t>Aldo Clécius Neris Da Silva 95062114500</t>
  </si>
  <si>
    <t>Tarifa Bancária referente a transferência eletrônica pagamento fornecedor: Paulo Augusto Borges-  Processo 4844</t>
  </si>
  <si>
    <t>Tarifa Bancária referente a transferência eletrônica pagamento fornecedor: Josianne Caroline Ferreira Ribeiro-  Processo 4802</t>
  </si>
  <si>
    <t>Tarifa Bancária referente a transferência eletrônica pagamento fornecedor :Aldo Clécius Neris Da Silva 95062114500 -  Processo 4679</t>
  </si>
  <si>
    <t>Compra de Kit 10 Capas Protetora Para Terno 98CmX58Cm para a mostra "Acaba Mundo" Mostra da Escola de Tecnologia da Cena que acontecerá na sala Juvenal Dias nos dias 15 a 17 de dezembro.</t>
  </si>
  <si>
    <t xml:space="preserve">Compra de maquiagens para composição na mostra "Acaba Mundo" da escola de tecnologia da cena do Cefart </t>
  </si>
  <si>
    <t>Aluguel de 100 cadeiras de plástico pretas, com montagem e desmontagem das mesmas,para a exibição de "Natal Branco" no Palácio da Liberdade, dia 14/12, ás 19h30.</t>
  </si>
  <si>
    <t>ISSQN referente ao RPA 2128 - Sara De Oliveira Paoliello</t>
  </si>
  <si>
    <t>IR referente ao RPA 2128 - Sara De Oliveira Paoliello</t>
  </si>
  <si>
    <t>INSS e INSS Patronal referente ao RPA 2128 - Sara De Oliveira Paoliello</t>
  </si>
  <si>
    <t>Layla Caroline Braz</t>
  </si>
  <si>
    <t>ISSQN referente ao RPA 2132 - Layla Caroline Braz</t>
  </si>
  <si>
    <t>IR referente ao RPA 2132 - Layla Caroline Braz</t>
  </si>
  <si>
    <t>INSS e INSS Patronal referente ao RPA 2132 - Layla Caroline Braz</t>
  </si>
  <si>
    <t>Processo 4901 - Pedro Ivo Abreu Pereira 11410478610</t>
  </si>
  <si>
    <t>Contratação caminhão baú 3m para transporte de cenário e materiais, CTP Marzagão (Rua do Cartório 120 - Vila Marzagão - Sabará) para Fudação Clóvis Salgado</t>
  </si>
  <si>
    <t>Compra de maquiagens para composição na mostra "Acaba Mundo" da escola de tecnologia da cena do Cefart.Glitter para pele - 4 KIT - com 10 potes cada Glitter para pele em pó com 10 cores - BT 1 KT</t>
  </si>
  <si>
    <t>Processo 4900 - Kalunga As</t>
  </si>
  <si>
    <t>Compra de materiais para o figurinopara o"Acaba Mundo"Mostra da Escola de Tecnologia da Cena que acontecerá na sala Juvenal Dias nos dias 15 a 17 de dezembro. 3 Cola para artesanato Acrilex 37g / 3 Cola para tecido 3 37g / 1 Cola branca escolar vidro 1 litro / 1 Cola de contato Brascolplast ou Amazonas lata de 200 g</t>
  </si>
  <si>
    <t>21.711.122/0001-66</t>
  </si>
  <si>
    <t>Contratação do domínio do portal 50 Anos da FCS: www.palaciodasartes50.com,criado pela Fundação Clóvis Salgado por meio do Palácio das Artes, pelo período de 1 ano.</t>
  </si>
  <si>
    <t>2022/340732</t>
  </si>
  <si>
    <t>2022/297358</t>
  </si>
  <si>
    <t>2022/356249</t>
  </si>
  <si>
    <t xml:space="preserve"> Gismac Comercio De Armarinhos - Eireli</t>
  </si>
  <si>
    <t>000.001.276</t>
  </si>
  <si>
    <t>Tulio Presentes Ltda</t>
  </si>
  <si>
    <t>Tarifa Bancária referente a transferência eletrônica pagamento fornecedor :Tulio Presentes Ltda -  Processo 4894</t>
  </si>
  <si>
    <t>Tarifa Bancária referente a transferência eletrônica pagamento fornecedor :C Manequins Comercio Ltda -  Processo 4880</t>
  </si>
  <si>
    <t>Tarifa Bancária referente a transferência eletrônica pagamento fornecedor :Isabella E Pedro Comércio De Maquiagens Ltda-  Processo 4895</t>
  </si>
  <si>
    <t>Larissa Shayanna Ferreira Costa</t>
  </si>
  <si>
    <t>Elizabeth Povinelli</t>
  </si>
  <si>
    <t>Veronica Alexandra Calvopiña Panchi</t>
  </si>
  <si>
    <t>Emmanuel Lefrant</t>
  </si>
  <si>
    <t>ISSQN referente ao recibo de cambio - Emmanuel Lefrant</t>
  </si>
  <si>
    <t>ISSQN referente a nota fiscal 202228 - Javali Do Mar Experimentações Artisticas Ltda</t>
  </si>
  <si>
    <t>ISSQN referente anota fiscal 2022/34 - Atena Arte E Cultura Ltda</t>
  </si>
  <si>
    <t>ISSQN referente a nota fiscal 2022/51- Hatari Filmes Ltda</t>
  </si>
  <si>
    <t>ISSQN referente a nota fiscal 2022/20 - Marcus Vinicius S. Borges Ltda</t>
  </si>
  <si>
    <t>IR referente a nota fiscal 2022/20 - Marcus Vinicius S. Borges Ltda</t>
  </si>
  <si>
    <t>PCC referente a nota fiscal 2022/20 - Marcus Vinicius S. Borges Ltda</t>
  </si>
  <si>
    <t>ISSQN referente ao RPA 2123 - Maria Clara Torres Costa</t>
  </si>
  <si>
    <t>IR referente ao RPA 2123 - Maria Clara Torres Costa</t>
  </si>
  <si>
    <t>INSS e INSS Patronal referente ao RPA 2123 - Maria Clara Torres Costa</t>
  </si>
  <si>
    <t>Maria Elisa Martins Campos Do Amaral</t>
  </si>
  <si>
    <t>ISSQN referente ao RPA 2144 - Maria Elisa Martins Campos Do Amaral</t>
  </si>
  <si>
    <t>IR referente ao RPA 2144 - Maria Elisa Martins Campos Do Amaral</t>
  </si>
  <si>
    <t>Rosana Pereira Oliveira</t>
  </si>
  <si>
    <t>ISSQN referente ao RPA 2146 - Rosana Pereira Oliveira</t>
  </si>
  <si>
    <t>INSS e INSS Patronal referente ao RPA 2146 - Rosana Pereira Oliveira</t>
  </si>
  <si>
    <t>ISSQN referente ao RPA 2133 - Tairine Pena Ladislau</t>
  </si>
  <si>
    <t>IR referente ao RPA 2133 - Tairine Pena Ladislau</t>
  </si>
  <si>
    <t>INSS e INSS Patronal referente ao RPA 2133 - Tairine Pena Ladislau</t>
  </si>
  <si>
    <t>ISSQN referente ao RPA 2138 - Angela Peres De Oliveira</t>
  </si>
  <si>
    <t>IR referente ao RPA 2138 - Angela Peres De Oliveira</t>
  </si>
  <si>
    <t>INSS e INSS Patronal referente ao RPA 2138 - Angela Peres De Oliveira</t>
  </si>
  <si>
    <t>ISSQN referente ao RPA 2140 - Ernesto Guevara Starling Ribeiro</t>
  </si>
  <si>
    <t>INSS e INSS Patronal referente ao RPA 2140 - Ernesto Guevara Starling Ribeiro</t>
  </si>
  <si>
    <t>ISSQN referente ao RPA 2121 - Luciana Campos Horta</t>
  </si>
  <si>
    <t>IR referente ao RPA 2121 - Luciana Campos Horta</t>
  </si>
  <si>
    <t>INSS e |INSS Patronal referente ao RPA 2121 - Luciana Campos Horta</t>
  </si>
  <si>
    <t>Ana Luisa Siqueira Guerra</t>
  </si>
  <si>
    <t>ISSQN referente ao RPA  - Ana Luisa Siqueira Guerra</t>
  </si>
  <si>
    <t>2022/167</t>
  </si>
  <si>
    <t>ISSQN referente a nota fiscal 2022/167 - Logus Protection Patrimonial Ltda</t>
  </si>
  <si>
    <t>INSS e INSS Patronal referente a nota fiscal 2022/167 - Logus Protection Patrimonial Ltda</t>
  </si>
  <si>
    <t>ISSQN referente ao RPA 2124 - Valdir Rodrigues Dos Santos</t>
  </si>
  <si>
    <t>IR referente ao RPA 2124 - Valdir Rodrigues Dos Santos</t>
  </si>
  <si>
    <t>INSS e INSS Patronal referente ao RPA 2124 - Valdir Rodrigues Dos Santos</t>
  </si>
  <si>
    <t>ISSQN referente ao RPA 2122 - Dominick Lattuada Abreu Barbosa</t>
  </si>
  <si>
    <t>IR referente ao RPA 2122 - Dominick Lattuada Abreu Barbosa</t>
  </si>
  <si>
    <t>INSS e INSS Patronal referente ao RPA 2122 - Dominick Lattuada Abreu Barbosa</t>
  </si>
  <si>
    <t>ISSQN refreente ao RPA 2114 - Fernanda Carla Da Silva Costa</t>
  </si>
  <si>
    <t>ISSQN referente ao RPA 2115 - Mozileide Neri Barbosa</t>
  </si>
  <si>
    <t>ISSQN referente a nota fiscal 2022/667 - Atalho Produção Gráfica Ltda</t>
  </si>
  <si>
    <t>Contratação de profissional para ministrar a oficina"Desenvolvimento do Pensamento Crítico Através da Arte",na modalidade Presencial,colaborando no processo de formação do Centro de Formação Artística e Tecnológica (CEFART).</t>
  </si>
  <si>
    <t>Debora Mariz</t>
  </si>
  <si>
    <t xml:space="preserve">
034.664.546-89</t>
  </si>
  <si>
    <t>ISSQN referente ao RPA 2145 - Debora Mariz</t>
  </si>
  <si>
    <t>INSS e INSS Patronal referente ao RPA 2145 - Debora Mariz</t>
  </si>
  <si>
    <t>ISSQN referente a nota fsical 2022/54  - Ouvex Tecnologia Para Compliance Ltda.</t>
  </si>
  <si>
    <t>Mlabs Software Ltda</t>
  </si>
  <si>
    <t>Contratação de ferramenta de gerenciamento (Mlabs) de um perfil profissional, no LinkedIn, com o seguinte escopo: - Agendamento de posts com customizações- Gestão de mensagens - SAC social- Workflow- Interação com seguidores- Relatórios de redes sociais- Insights para otimização- Monitoramento de concorrentes- Múltiplos usuários- Calendário de posts. Plano anual, pacote completo: 1 perfil profissional.</t>
  </si>
  <si>
    <t xml:space="preserve">Contratação de empresa para exames complementares da saúde ocupacional. </t>
  </si>
  <si>
    <t>44.645.381/0001-31</t>
  </si>
  <si>
    <t>G3 Ayoub Comercio E Confeccao De Vestuario Ltda</t>
  </si>
  <si>
    <t>Compra de 01 Galão de 3,6ml de esmalte a base de água na cor preto fosco para utilização no cenário da montagem da formatura da escola de dança do Cefart com temporada em dezembro.</t>
  </si>
  <si>
    <t>Real Comercio Ltda</t>
  </si>
  <si>
    <t xml:space="preserve">
19.972.249/0010-88</t>
  </si>
  <si>
    <t>Reembolso realizado pela conta  16113-6 projeto vinculado ao  Termo de  Parceria 50/2020 - IEPHA  referente ao pagamento Seguro de Vida do mês 11/2022</t>
  </si>
  <si>
    <t xml:space="preserve">Reembolso a conta do Contrato de Gestão - 05/2019 referente ao pagamento do Plano de Saúde dos Funcionários a serviço do Projeto Anlgo </t>
  </si>
  <si>
    <t>Reembolso realizado pelo APPA referente ao pagamento Seguro de Vida do mês 11/2022</t>
  </si>
  <si>
    <t>Reembolso proporcional realizado pela conta do projeto Anglo referente ao pagamento Seguro de Vida do mês 11/2022</t>
  </si>
  <si>
    <t>Reembolso referente ao juros/multa do pagamento Seguro de Vida do mês 11/2022</t>
  </si>
  <si>
    <t>Reembolso realizado pelo Termo de Parceria 50/2020 - IEPHA referente ao pagamento Seguro de Vida do mês 11/2022</t>
  </si>
  <si>
    <t xml:space="preserve">Reembolso realizado pelo Termo de Parceria 50/2020 - IEPHA referente ao pagamento de locação e suporte em PABX virtual (mês 10/2022) - 26,41% do valor total </t>
  </si>
  <si>
    <t>Reembolso realizado pelo Termo de Parceria 50/2020 - IEPHA referente ao percentual 26,41% do valor total ) ao consumo de internet da Appa do mês 10/2022</t>
  </si>
  <si>
    <t xml:space="preserve">Reembolso realizado pelo Termo de Parceria 50/2020 - IEPHA referente ao pagamento de locação e suporte em PABX virtual (mês 09/2022) - 26,41% do valor total </t>
  </si>
  <si>
    <t>16249257-MG</t>
  </si>
  <si>
    <t>2022/657254</t>
  </si>
  <si>
    <t>2022/660965</t>
  </si>
  <si>
    <t>2022/6021</t>
  </si>
  <si>
    <t>ISSQN referente a nota fiscal 2022/6021 - F6 Sistemas De Informatica Ltda</t>
  </si>
  <si>
    <t>Tms Telecomunicações Ltda</t>
  </si>
  <si>
    <t>2022/1237</t>
  </si>
  <si>
    <t>2022/854</t>
  </si>
  <si>
    <t>ISSQN referente a nota fiscal 2022/854 - Flag Impressao Digital Ltda</t>
  </si>
  <si>
    <t>2022/855</t>
  </si>
  <si>
    <t>ISSQN referente a nota fsical 2022/855 - Flag Impressao Digital Ltda</t>
  </si>
  <si>
    <t>Tarifa Bancária referente a transferência eletrônica pagamento fornecedor : Flag Impressao Digital Ltda -  Processo 4635</t>
  </si>
  <si>
    <t>Tarifa Bancária referente a transferência eletrônica pagamento fornecedor : Flag Impressao Digital Ltda-  Processo 4498</t>
  </si>
  <si>
    <t>Tarifa Bancária referente a transferência eletrônica pagamento fornecedor : Gilberto De Lima Goulart 08401043670 -  Processo 4497</t>
  </si>
  <si>
    <t xml:space="preserve">Reembolso a conta 16357-0 refrente ao pagamento Indevido do Plano de Saúde dos Funcionários a serviço do Termo Termo de Parceria 50/2020 - IEPHA </t>
  </si>
  <si>
    <t xml:space="preserve">ISSQN referente ao RPA 2136 - Caio Buono Torres </t>
  </si>
  <si>
    <t xml:space="preserve">IR  referente ao RPA 2136 - Caio Buono Torres </t>
  </si>
  <si>
    <t xml:space="preserve">INSS e INSS Patronal referente ao RPA 2136 - Caio Buono Torres </t>
  </si>
  <si>
    <t>ISSQN referente ao RPA 2134 - Lisander Antônio Willmore Herasme</t>
  </si>
  <si>
    <t>IR referente ao RPA 2134 - Lisander Antônio Willmore Herasme</t>
  </si>
  <si>
    <t>INSS e INSS Patronal referente ao RPA 2134 - Lisander Antônio Willmore Herasme</t>
  </si>
  <si>
    <t>ISSQN referente ao RPA 2125 - Sheila Fernanda Oliveira Da Silva</t>
  </si>
  <si>
    <t>ISSQN referente ao RPA 2126 - Carla Lima Cattabriga</t>
  </si>
  <si>
    <t>INSS e INSS Patronal referente ao RPA 2126 - Carla Lima Cattabriga</t>
  </si>
  <si>
    <t>ISSQN referente ao RPA 2139 - Paulo Vítor Magalhães Mendonça</t>
  </si>
  <si>
    <t>IR referente ao RPA 2139 - Paulo Vítor Magalhães Mendonça</t>
  </si>
  <si>
    <t>INSS e INSS Patronal referente ao RPA 2139 - Paulo Vítor Magalhães Mendonça</t>
  </si>
  <si>
    <t>ISSQN referente ao RPA 2130 - Anderson Filipe Gonçalves Moreira</t>
  </si>
  <si>
    <t>IR referente ao RPA 2130 - Anderson Filipe Gonçalves Moreira</t>
  </si>
  <si>
    <t>INSS e INSS Patronal referente ao RPA 2130 - Anderson Filipe Gonçalves Moreira</t>
  </si>
  <si>
    <t>ISSQN referente ao RPA 2127 - Alesandra Filgueiras</t>
  </si>
  <si>
    <t>INSS e INSS Patronal referente ao RPA 2127 - Alesandra Filgueiras</t>
  </si>
  <si>
    <t>ISSQN referente ao RPA 2135 -  Fábio Silva Martins De Jesus</t>
  </si>
  <si>
    <t>IR referente ao RPA 2135 -  Fábio Silva Martins De Jesus</t>
  </si>
  <si>
    <t>INSS E INSS Patronal referente ao RPA 2135 -  Fábio Silva Martins De Jesus</t>
  </si>
  <si>
    <t>07.278.874/0001-54</t>
  </si>
  <si>
    <t>Compra de itens para manutenção da sede da APPA: 03 manteigas de 500grs cada e 6 pacotes de guardanapo tipo coquetel .</t>
  </si>
  <si>
    <t xml:space="preserve">
Processo 4877 - Ocp Exames Ocupacionais - Ltda</t>
  </si>
  <si>
    <t xml:space="preserve">Contratação de profissional para iluminação e sonorização. Iluminador e operador de luz "Proposta inclui: mapa de luz; criação de iluminação. Profissional para colaborar e criar a iluminação para a mostra da tecnologia da cena do CEFART. </t>
  </si>
  <si>
    <t>Processo 4879 - Nathalia Salgado Azevedo</t>
  </si>
  <si>
    <t>Cenografia e cenotécnica - Contratação de cenógrafa que será responsável por toda construção de todo cenário da mostra"Acaba Mundo", da escola de tecnologia do espetáculo do Cefart que acontece entre 15 e 17 de dezembro, incluindo o fornecimento de elementos cênicos, contratação de equipe de cenógrafos e montagem e desmontagem.</t>
  </si>
  <si>
    <t>118.949.806-54</t>
  </si>
  <si>
    <t xml:space="preserve">Valor recebido Camarero Soluções em Eventos Ltda - CNPJ: 05.086.106/0001-73, referente à locação de figurinos </t>
  </si>
  <si>
    <t xml:space="preserve">Valor recebido Mateus Assis Carvalho  - CPF:056.299.196-44,  referente à locação de figurinos </t>
  </si>
  <si>
    <t>Reembolso realizado pelo Termo de Parceria 50/2020 - IEPHA referente ao percentual (26,41% do valor total), referente ao telefone móvel da sede da Appa- mês 11/2022</t>
  </si>
  <si>
    <t>ISSQN referente a  nota fiscal 2022/14 - Pulsar Cultura Ltda</t>
  </si>
  <si>
    <t>Dlocal Brasil Instituicao De Pagamento S.A</t>
  </si>
  <si>
    <t>Tarifa Bancária referente a transferência eletrônica pagamento do Músico Cantor</t>
  </si>
  <si>
    <t>2º parcela do 13º do Músico Cantor</t>
  </si>
  <si>
    <t>Diferença de valor pago a menor referente a 1º parcela do 13º  Gerente de Projetos Dipro</t>
  </si>
  <si>
    <t>2º parcela do 13º do Músico Cantora</t>
  </si>
  <si>
    <t>2º parcela do 13º o do Bailarino</t>
  </si>
  <si>
    <t>2º parcela do 13º salário do Músico Instrumentista</t>
  </si>
  <si>
    <t>2º parcela do 13º do Montador Diart</t>
  </si>
  <si>
    <t>2º parcela do 13º  Músico Instrumentista</t>
  </si>
  <si>
    <t>2º parcela do 13º  Analista de RH</t>
  </si>
  <si>
    <t>2º parcela do 13º  Músico Cantor</t>
  </si>
  <si>
    <t>2º parcela do 13º do Bailarino</t>
  </si>
  <si>
    <t>2º parcela do 13º  do Músico Instrumentista</t>
  </si>
  <si>
    <t>2º parcela do 13º  Instrumentista</t>
  </si>
  <si>
    <t>2º parcela do 13º  Músico Cantora</t>
  </si>
  <si>
    <t>2º parcela do 13º da Gerente de Projetos: Produção Artística</t>
  </si>
  <si>
    <t>2º parcela do 13º do Produtora Cultural da Dipro</t>
  </si>
  <si>
    <t>2º parcela do 13º de Bailarina</t>
  </si>
  <si>
    <t>Pensão Alimentícia (DANIELLE DA CONCEICAO MARQUES PIMENtA) Montador Dipro, referente ao mês 13º salário</t>
  </si>
  <si>
    <t>2022/366</t>
  </si>
  <si>
    <t>ISSQN referente a nota fiscal 2022/366 - Softwares De Gestão Ltda</t>
  </si>
  <si>
    <t>2º parcela do 13º do Regente Assistente</t>
  </si>
  <si>
    <t>2º parcela do 13º da Analista Financeiro Pleno</t>
  </si>
  <si>
    <t>2º parcela do 13º    Auxiliar de serviços Gerais</t>
  </si>
  <si>
    <t>IR referente a nota fiscal 2022/657254 - Unimed Belo Horizonte</t>
  </si>
  <si>
    <t>2º parcela do 13º salário do Superintendente de Auditoria</t>
  </si>
  <si>
    <t>IR referente a nota fiscal 2022/591824 - Unimed Belo Horizonte</t>
  </si>
  <si>
    <t>2º parcela do 13º do Músico Instrumentista</t>
  </si>
  <si>
    <t>2º parcela do 13º  do  Músico Cantor</t>
  </si>
  <si>
    <t>2º parcela do 13º do Diretor Financeiro</t>
  </si>
  <si>
    <t>2º parcela do 13º do Bailarina</t>
  </si>
  <si>
    <t>2º parcela do 13º   Arquivista</t>
  </si>
  <si>
    <t>2º parcela do 13º Montador Dipro</t>
  </si>
  <si>
    <t xml:space="preserve">2º parcela do 13º do Coordenador Administrativo </t>
  </si>
  <si>
    <t>INSS referente ao 13º salário</t>
  </si>
  <si>
    <t>ISSQN referente a nota fiscal 2022/492 - Orplan Auditores Independentes</t>
  </si>
  <si>
    <t>2º parcela do 13º do Músico</t>
  </si>
  <si>
    <t>2º parcela do 13º do do Músico Instrumentista</t>
  </si>
  <si>
    <t>2º parcela do 13º de Músico</t>
  </si>
  <si>
    <t>2º parcela do 13º do  Músico Instrumentista</t>
  </si>
  <si>
    <t>2º parcela do 13º da Assessora Pedagógica</t>
  </si>
  <si>
    <t>2º parcela do 13º de Músico Cantora</t>
  </si>
  <si>
    <t>2º parcela do 13º   Músico Cantora</t>
  </si>
  <si>
    <t>16553076-MG</t>
  </si>
  <si>
    <t>2º parcela do 13º  da Coordenadora de Comunicação</t>
  </si>
  <si>
    <t>2º parcela do 13º   Músico Instrumentista</t>
  </si>
  <si>
    <t xml:space="preserve">2º parcela do 13º  Produtora Cultural </t>
  </si>
  <si>
    <t>2º parcela do 13º salário do Montador Diart</t>
  </si>
  <si>
    <t>INSS Patronal do mês 11/2022</t>
  </si>
  <si>
    <t>INSS retido em folha do mês 11/2022 referente ao TP 50/2020 Iepha</t>
  </si>
  <si>
    <t>INSS Patronal do mês 11/2022 referente ao TP 50/2020 Iepha</t>
  </si>
  <si>
    <t>INSS retido em folha do mês 11/2022 referente ao Projeto Anglo</t>
  </si>
  <si>
    <t>INSS Patronal do mês 11/2022 referente ao Projeto Anlgo</t>
  </si>
  <si>
    <t>INSS retido em folha do mês 11/2022 referente ao Projeto Descubra o Palácio</t>
  </si>
  <si>
    <t>INSS Patronal do mês 11/2022 referente ao Projeto Descubra o Palácio</t>
  </si>
  <si>
    <t xml:space="preserve">2º parcela do 13º  Gerente de Projetos </t>
  </si>
  <si>
    <t>2º parcela do 13º do Pianista</t>
  </si>
  <si>
    <t>2º parcela do 13º  Gerente de Projetos Dipro</t>
  </si>
  <si>
    <t>2º parcela do 13º Bailarina</t>
  </si>
  <si>
    <t xml:space="preserve">2º parcela do 13º do Presidente </t>
  </si>
  <si>
    <t>Reembolso realizado pela conta  2462-2  referente ao pagamento da guia de GPS do mês 11/2022</t>
  </si>
  <si>
    <t xml:space="preserve">Reembolso realizado pela conta 16113-6  referente ao pagamento da guia de GPS 13 salário </t>
  </si>
  <si>
    <t>Reembolso realizado pela conta  16357-0 referente ao pagamento da guia de GPS do mês 11/2022</t>
  </si>
  <si>
    <t>Reembolso realizado pela conta  16375-9 referente ao pagamento da guia de GPS do mês 11/2022</t>
  </si>
  <si>
    <t>Reembolso realizado pela conta  16391-0 referente ao pagamento da guia de GPS do mês 11/2022</t>
  </si>
  <si>
    <t xml:space="preserve">Reembolso realizado pela conta 16391-0  referente ao pagamento da guia de GPS 13 salário </t>
  </si>
  <si>
    <t>Reembolso realizado pela conta  16517-4  referente ao pagamento da guia de GPS do mês 11/2022</t>
  </si>
  <si>
    <t>Reembolso realizado pela conta  16476-3 referente ao pagamento da guia de GPS do mês 11/2022</t>
  </si>
  <si>
    <t>Reembolso realizado pela conta  16821-1  referente ao pagamento da guia de GPS do mês 11/2022</t>
  </si>
  <si>
    <t>Reembolso realizado pela conta  16888-2  referente ao pagamento da guia de GPS do mês 11/2022</t>
  </si>
  <si>
    <t>guia de GPS do mês 11/2022 da conta  2462-2</t>
  </si>
  <si>
    <t>guia de GPS do mês 11/2022 da conta  16517-4</t>
  </si>
  <si>
    <t>guia de GPS do mês 11/2022 da conta  164763</t>
  </si>
  <si>
    <t xml:space="preserve">guia de GPS do mês 11/2022 da conta 16476-3 </t>
  </si>
  <si>
    <t>guia de GPS do mês 11/2022 da conta 16173-X</t>
  </si>
  <si>
    <t>guia de GPS do mês 11/2022 da conta  16357-0</t>
  </si>
  <si>
    <t>guia de GPS do mês 11/2022 da conta  16821-1</t>
  </si>
  <si>
    <t xml:space="preserve">guia de GPS do mês 11/2022 da conta  16888-2 </t>
  </si>
  <si>
    <t>guia de GPS do mês 11/2022 da conta  16375-9</t>
  </si>
  <si>
    <t>Reembolso realizado pela conta  16173-X referente ao pagamento da guia de GPS do mês 11/2022</t>
  </si>
  <si>
    <t xml:space="preserve">Valor recebido Débora de Oliveira Samarino  - CPF: 095.607.716-12  referente à locação de figurinos </t>
  </si>
  <si>
    <t xml:space="preserve">Valor recebido Bruno Righi Marco Cardoso - CPF: 013.062.126-93 referente à locação de figurinos </t>
  </si>
  <si>
    <t xml:space="preserve">Valor recebido Katheleen Karine Ferreira Poncio  - CPF: 126.855.286-01  referente à locação de figurinos </t>
  </si>
  <si>
    <t xml:space="preserve"> Instituto 0101 Art Platform </t>
  </si>
  <si>
    <t>Locaweb Serviços De Internet S/A</t>
  </si>
  <si>
    <t>Andre Veloso Junqueira 04504427648</t>
  </si>
  <si>
    <t>Tarifa Bancária referente a transferência eletrônica pagamento fornecedor :Andre Veloso Junqueira 04504427648 -  Processo 4678</t>
  </si>
  <si>
    <t>Tarifa Bancária referente a transferência eletrônica pagamento fornecedor : Fernanda Cristina Campos 40979477883 -  Processo 4828</t>
  </si>
  <si>
    <t>Tarifa Bancária referente a transferência eletrônica pagamento fornecedor :Mcr Computadores E Rede Ltda -  Processo 3106</t>
  </si>
  <si>
    <t>Retenção de CIDE Importação, ref. câmbio Emmanuel Dominique Martial</t>
  </si>
  <si>
    <t>Federal Express Corporation</t>
  </si>
  <si>
    <t>5-397-38981</t>
  </si>
  <si>
    <t>INSS referente a nota fiscal 2022/108 - Thiago Antonini Mares Santos Ltda</t>
  </si>
  <si>
    <t>IR referente a nota fiscal 2022/108 - Thiago Antonini Mares Santos Ltda</t>
  </si>
  <si>
    <t>PCC referente a nota fiscal 2022/108 - Thiago Antonini Mares Santos Ltda</t>
  </si>
  <si>
    <t>Processo 4923 - Adriano Rodrigues Da Silva</t>
  </si>
  <si>
    <t>Contratação de maquinista para o palco do Grande Teatro Cemig Palácio das Artes.</t>
  </si>
  <si>
    <t>105.172.896-79</t>
  </si>
  <si>
    <t>Contratação de 1 técnico de luz para o palco do Grande Teatro Cemig Palácio das Artes.</t>
  </si>
  <si>
    <t>076.681.426-22</t>
  </si>
  <si>
    <t>Contratação de Debatedor para História Permanente do Cinema, na mostra "Ciclo Robert Bresson", que acontecerá presencialmente no Cine Humberto Mauro.Data e hora:15/12, Quinta-feira,17h.Sessão: Filme - "O Batedor de Carteiras"</t>
  </si>
  <si>
    <t>Processo 4891 - Luiz Fernando Coutinho De Oliveira</t>
  </si>
  <si>
    <t>Processo 3804 - Paulo Henrique Monferrrari 06758087662</t>
  </si>
  <si>
    <t>Reembolso realizado pela conta 16185-3 referente ao pagamento da guia de GPS do mês 11/2022</t>
  </si>
  <si>
    <t>Reembolso a conta do Contrato de Gestão 05/2019 referente a guia de GPS do mês 11/2022</t>
  </si>
  <si>
    <t>Copyrights Consultoria Ltda</t>
  </si>
  <si>
    <t>Serviço de Impressão digital de legendas expositivas para as obras da exposição Órbita Gráfica, que acontece na Galeria Genesco Murta do Palácio das Artes de 09 de abril a 05 de junho de 2022. Dimensão da impressão:200x160mm, 4x0 cores em 300g.</t>
  </si>
  <si>
    <t>2022/667</t>
  </si>
  <si>
    <t>IR retido 13º salário</t>
  </si>
  <si>
    <t>Reembolso a conta do Contrato de Gestão 05/2019 referente a guia de  INSS e INSS Patronal referente ao RPA 2105 - Marina Oliveira Dos Santos</t>
  </si>
  <si>
    <t>Reembolso a conta do Contrato de Gestão 05/2019 referente a guia de INSS e INSS Patronal referente ao RPA 2106 - Tairine Pena Ladislau</t>
  </si>
  <si>
    <t>Reembolso a conta do Contrato de Gestão 05/2019 referente a guia de INSS e INSS Patronal referente ao RPA 2107 - Erika Rosana Alves Gonçalves</t>
  </si>
  <si>
    <t>Reembolso a conta do Contrato de Gestão 05/2019 referente a guia de INSS e INSS Patronal referente ao RPA 2108 - Lidiane Gomes Da Silva</t>
  </si>
  <si>
    <t>Reembolso a conta do Contrato de Gestão 05/2019 referente a guia de INSS e INSS Patronal referente ao RPA 2109 - Laura Amaral Parreiras</t>
  </si>
  <si>
    <t>Reembolso a conta do Contrato de Gestão 05/2019 referente a guia de INSS e INSS Patronal referente ao RPA 2110 - Ana Paula Clemente De Souza</t>
  </si>
  <si>
    <t>Reembolso a conta do Contrato de Gestão 05/2019 referente a guia de INSS e INSS Patronal referente ao RPA 2113 - Ana Paula Miranda Sydney De Souza</t>
  </si>
  <si>
    <t>INSS e INSS Patronal referente ao RPA 2147 - Ana Luisa Siqueira Guerra</t>
  </si>
  <si>
    <t>Reembolso a conta do Contrato de Gestão 05/2019 referente a guia de INSS E INSS Patronal referente ao RPA 2114 - Fernanda Carla Da Silva Costa</t>
  </si>
  <si>
    <t>Reembolso a conta do Contrato de Gestão 05/2019 referente a guia de INSS E INSS Patronal referente ao 2115 -  Mozileide Neri Barbosa</t>
  </si>
  <si>
    <t>Reembolso a conta do Contrato de Gestão 05/2019 referente a guia de INSS e INSS Patronal referente ao RPA 2070 - Angela Peres De Oliveira</t>
  </si>
  <si>
    <t>Reembolso a conta do Contrato de Gestão 05/2019 referente a guia de INSS e INSS Patronal referente ao RPA 2072 - Ernesto Guevara Starling Ribeiro</t>
  </si>
  <si>
    <t>Processo 4937 - Atacadao Das Tintas Ltda</t>
  </si>
  <si>
    <t>Compra de 2 latas de tintas acrílica fosca branca para parede de 18 litros.</t>
  </si>
  <si>
    <t>Compra de um carimbo automático tamanho 4x6cm de cor preta ou azul contendo o CNPJ da APPA e o novo endereço da sede.</t>
  </si>
  <si>
    <t>08.112.572/0001-74</t>
  </si>
  <si>
    <t>PIS referente a folha 11/2022</t>
  </si>
  <si>
    <t>Maillana Lameira 10960777792 - Me</t>
  </si>
  <si>
    <t>30.380.358/0001-58</t>
  </si>
  <si>
    <t>Tarifa Bancária referente a transferência eletrônica pagamento fornecedor: Maillana Lameira 10960777792 - Me-  Processo 4854</t>
  </si>
  <si>
    <t>ISSQN referente a nota fiscal 2022/133 -MAILLANA LAMEIRA 10960777792</t>
  </si>
  <si>
    <t>COFINS 11/2022</t>
  </si>
  <si>
    <t>ISSQN referente a nota fiscal 2022/38 - Almanaque Filmes Ltda</t>
  </si>
  <si>
    <t>ISSQN referente a nota fiscal 2022/32 - Javali Do Mar Experimentações Artisticas Ltda</t>
  </si>
  <si>
    <t>ISSQN referente a nota fiscal 2022/30 - Javali Do Mar Experimentações Artisticas Ltda</t>
  </si>
  <si>
    <t xml:space="preserve">ISSQN referente a nota fiscal 2022/26 - Rosa De Areia Produções Ltda </t>
  </si>
  <si>
    <t>ISSQN referente a nota fiscal 2022/16 - Leben 108 Produtora De Filmes Ltda</t>
  </si>
  <si>
    <t>ISSQN referente ao RPA 2162  - Marina Oliveira Dos Santos</t>
  </si>
  <si>
    <t>IR referente ao RPA 2162  - Marina Oliveira Dos Santos</t>
  </si>
  <si>
    <t>INSS e INSS Patronal  referente ao RPA 2162  - Marina Oliveira Dos Santos</t>
  </si>
  <si>
    <t>ISSQN referente ao RPA 2159 - Lidiane Gomes Da Silva</t>
  </si>
  <si>
    <t>IR referente ao RPA 2159 - Lidiane Gomes Da Silva</t>
  </si>
  <si>
    <t>INSS e INSS Patronal referente ao RPA 2159 - Lidiane Gomes Da Silva</t>
  </si>
  <si>
    <t xml:space="preserve">Cofins11/2022 - Prog. De Artes Vis Fund. Clovis </t>
  </si>
  <si>
    <t>ISSQN referente ao RPA 2161 - Ana Paula Miranda Sydney De Souza</t>
  </si>
  <si>
    <t>IR referente ao RPA 2161 - Ana Paula Miranda Sydney De Souza</t>
  </si>
  <si>
    <t>INSS e INSS Patronal referente ao RPA 2161 - Ana Paula Miranda Sydney De Souza</t>
  </si>
  <si>
    <t xml:space="preserve"> Laura Amaral Parreiras</t>
  </si>
  <si>
    <t>ISSQN referente ao RPA 2163 - Laura Amaral Parreiras</t>
  </si>
  <si>
    <t>IR referente ao RPA 2163 - Laura Amaral Parreiras</t>
  </si>
  <si>
    <t>INSS e INSS Patronal referente ao RPA 2163 - Laura Amaral Parreiras</t>
  </si>
  <si>
    <t>ISSQN referente ao RPA 2164 - Ana Paula Clemente De Souza</t>
  </si>
  <si>
    <t>IR referente ao RPA 2164 - Ana Paula Clemente De Souza</t>
  </si>
  <si>
    <t>INSS e INSS Patronal referente ao RPA 2164 - Ana Paula Clemente De Souza</t>
  </si>
  <si>
    <t>ISSQN referente ao RPA 2160 - Erika Rosana Alves Gonçalves</t>
  </si>
  <si>
    <t>IR referente ao RPA 2160 - Erika Rosana Alves Gonçalves</t>
  </si>
  <si>
    <t>INSS e INSS Patronal referente ao RPA 2160 - Erika Rosana Alves Gonçalves</t>
  </si>
  <si>
    <t>ISSQN referente a nota fiscal 2022/12 - Cristiane Moreira Pinto Gestão Cultural - Me</t>
  </si>
  <si>
    <t>ISSQN referente ao RPA 2151 - Ana Cristina Pereira Lima</t>
  </si>
  <si>
    <t>IR referente ao RPA 2151 - Ana Cristina Pereira Lima</t>
  </si>
  <si>
    <t>INSS e INSS Patronal  referente ao RPA 2151 - Ana Cristina Pereira Lima</t>
  </si>
  <si>
    <t>ISSQN referente a nota fiscal 2022/18 - Hera Gestão E Produção Cultural Ltda</t>
  </si>
  <si>
    <t>Marisia Do Prado</t>
  </si>
  <si>
    <t>ISSQN referente ao RPA 2143 - Marisia Do Prado</t>
  </si>
  <si>
    <t>IR referente ao RPA 2143 - Marisia Do Prado</t>
  </si>
  <si>
    <t>INSS e INSS Patronal referente ao RPA 2143 - Marisia Do Prado</t>
  </si>
  <si>
    <t>Silas Henrique Dos Santos</t>
  </si>
  <si>
    <t>ISSQN referente ao RPA2153 - Silas Henrique Dos Santos</t>
  </si>
  <si>
    <t>INSS e INSS Patronal referente ao RPA2153 - Silas Henrique Dos Santos</t>
  </si>
  <si>
    <t>Pavanello Projetos Ltda</t>
  </si>
  <si>
    <t>ISSQN referente a nota fiscal 2022/12 - Pavanello Projetos Ltda</t>
  </si>
  <si>
    <t>ISSQN referente a nota fiscal 2022/143 - Murillo Correa E Cia Som E Luz Ltda</t>
  </si>
  <si>
    <t>Wellerson De Castro Coelho 49068040634</t>
  </si>
  <si>
    <t>Frederico Veiga Santos Souza</t>
  </si>
  <si>
    <t>ISSQN referente ao RPA 2154 - Frederico Veiga Santos Souza</t>
  </si>
  <si>
    <t>IR referente ao RPA 2154 - Frederico Veiga Santos Souza</t>
  </si>
  <si>
    <t>INSS e INSS Patronal referente ao RPA 2154 - Frederico Veiga Santos Souza</t>
  </si>
  <si>
    <t>ISSQN referente a nota fiscal 2022/84 - D.f Produções E Prestação De Serviços - Eireli</t>
  </si>
  <si>
    <t>Airon Gischewski Souza 13530955680</t>
  </si>
  <si>
    <t>Cofins 11/2022 - prog fcs ano 50 leic 16.888-2</t>
  </si>
  <si>
    <t>ISSQN referente a nota fiscal 2022/25 - Rosa De Areia Produções Ltda</t>
  </si>
  <si>
    <t>Tarifa PIX Enviado</t>
  </si>
  <si>
    <t>Férias de Coordenador Administrativo</t>
  </si>
  <si>
    <t>Férias de Gerente de Projetos Dipro</t>
  </si>
  <si>
    <t>Transferência Agendada</t>
  </si>
  <si>
    <t>Tarifa Bancária referente a transferência eletrônica pagamento de Férias de Coordenador Administrativo</t>
  </si>
  <si>
    <t>Tarifa Bancária referente a PIX Enviado de Fornecedor: Bruno Righi Marco Cardoso 01306212693 - Processo 4878</t>
  </si>
  <si>
    <t>Metilife</t>
  </si>
  <si>
    <t>Seguro de vida dos funcionários alocados no CG</t>
  </si>
  <si>
    <t>IR retido férias da Gerente de Projetos - Luciana Soares</t>
  </si>
  <si>
    <t>IR retido férias da Coordenador Administrativo - Flávio Pereira</t>
  </si>
  <si>
    <t>Compra plástico cristal para repor o que foram usadas para a mostra "Acaba Mundo" da escola de tecnologia da cena do Cefart.</t>
  </si>
  <si>
    <t>Compra de materiais para o encerramento da Mostra da Escola de Tecnologia da Cena - alguns itens são de reposição de outras áreas que foram emprestadas devido ao tempo do evento e outros itens são para conserto, recuperação de itens utilizados na mostra.</t>
  </si>
  <si>
    <t>Unimed Belo Horizonte</t>
  </si>
  <si>
    <t>Co-participação do mês 12/2022</t>
  </si>
  <si>
    <t>Nota Fisal</t>
  </si>
  <si>
    <t>Lider Mineiro Comercio De Alimentos Ltda</t>
  </si>
  <si>
    <t>17276-6 - Plano anual da Fundação Clóvis Salgado - 2023 Pronac 22.2382</t>
  </si>
  <si>
    <t xml:space="preserve">Aporte Captação  - ANGLOGOLD ASHANTI Córrego do Sítio Mineração S.A.	    </t>
  </si>
  <si>
    <t>Aporte Captação  - Vale S.A.</t>
  </si>
  <si>
    <t>Adilson Henrique Lucas</t>
  </si>
  <si>
    <t>ISSQN referente ao RPA 2175 - Adilson Henrique Lucas</t>
  </si>
  <si>
    <t>INSS e INSS Patronal referente ao RPA 2175 - Adilson Henrique Lucas</t>
  </si>
  <si>
    <t>Renan Eduardo Neres Silva</t>
  </si>
  <si>
    <t>ISSQN referente ao RPA 2176 - Renan Eduardo Neres Silva</t>
  </si>
  <si>
    <t>INSS e INSS Patronal referente ao RPA 2176 - Renan Eduardo Neres Silva</t>
  </si>
  <si>
    <t>Carimbos Tupinambás Ltda</t>
  </si>
  <si>
    <t xml:space="preserve">Reembolso de pagamento referente a aquisição de baterias elétricas. </t>
  </si>
  <si>
    <t>2022/723130</t>
  </si>
  <si>
    <t>Martins Comercio De Tapecaria Ltda</t>
  </si>
  <si>
    <t>2022/726820</t>
  </si>
  <si>
    <t>Tarifa Bancária referente a transferência eletrônica pagamento fornecedor : Nathalia Salgado Azevedo -  Processo 4879</t>
  </si>
  <si>
    <t>Tarifa Bancária referente a transferência eletrônica pagamento fornecedor : Adilson Henrique Lucas  -  Processo 4924</t>
  </si>
  <si>
    <t>Tarifa Bancária referente a transferência eletrônica pagamento fornecedor : Renan Eduardo Neres Silva -  Processo 4884</t>
  </si>
  <si>
    <t>Tarifa Bancária referente a transferência eletrônica pagamento fornecedor : Carimbos Tupinambás Ltda -  Processo 4938</t>
  </si>
  <si>
    <t>Tarifa Bancária referente a transferência eletrônica pagamento fornecedor : Kênia Regina de Mendonça Perdigão -  Processo 4930</t>
  </si>
  <si>
    <t>Tarifa Bancária referente a transferência eletrônica pagamento fornecedor : BH Notebooks Ltda  -  Processo 2842</t>
  </si>
  <si>
    <t>Tarifa Bancária referente a transferência eletrônica pagamento fornecedor : Martins Comercio De Tapecaria Ltda  -  Processo 4946</t>
  </si>
  <si>
    <t>Reembolso a conta do projeto vinculado ao  Termo de  Parceria 50/2020 - IEPHA  refrente ao pagamento Indevido do Plano de Saúde dos Funcionários do Termo</t>
  </si>
  <si>
    <t>Uso de táxi pelos funcionários a serviço do CG 05/2019  referente ao mês 12/2022</t>
  </si>
  <si>
    <t>Contratação aderecista para restauração de peças do acervo do CTPF utilizados nas apresentações dos espetáculos da FCS.</t>
  </si>
  <si>
    <t>Processo 4944 - Antônio Arildo Martins Lima 05641058645</t>
  </si>
  <si>
    <t>30.327.187/0001-01</t>
  </si>
  <si>
    <t xml:space="preserve"> K C B O Cruz</t>
  </si>
  <si>
    <t>Tarifa Bancária referente a transferência eletrônica pagamento fornecedor :  K C B O Cruz -  Processo 4666</t>
  </si>
  <si>
    <t>Ima Conteudo E Estrategia Ltda</t>
  </si>
  <si>
    <t>ISSQN referente a nota fiscal 2022/35 - Ima Conteudo E Estrategia Ltda</t>
  </si>
  <si>
    <t>ISSQN referente ao RPA 2114 - Fernanda Carla Da Silva Costa</t>
  </si>
  <si>
    <t>INSS e INSS Patronal referente ao RPA 2114 - Fernanda Carla Da Silva Costa</t>
  </si>
  <si>
    <t>Fernanda Carla Da Silva Costa</t>
  </si>
  <si>
    <t>Mozileide Neri Barbosa</t>
  </si>
  <si>
    <t>INSS e INSS Patronal referente ao RPA 2115 - Mozileide Neri Barbosa</t>
  </si>
  <si>
    <t xml:space="preserve">Sindicato dos Músicos </t>
  </si>
  <si>
    <t>Taxa Assistencial</t>
  </si>
  <si>
    <t>Férias da Gerente de Projetos: Produção Artística</t>
  </si>
  <si>
    <t>IR retido férias Gerente de Projetos: Produção Artística</t>
  </si>
  <si>
    <t>Férias do Bailarino</t>
  </si>
  <si>
    <t xml:space="preserve">IR retido férias Bailarino </t>
  </si>
  <si>
    <t xml:space="preserve">Férias  Músico Cantora </t>
  </si>
  <si>
    <t xml:space="preserve">IR retido férias Férias  Músico Cantora  </t>
  </si>
  <si>
    <t>Férias Músico Instrumentista</t>
  </si>
  <si>
    <t>Férias Músico</t>
  </si>
  <si>
    <t xml:space="preserve">IR retido férias Férias  Músico </t>
  </si>
  <si>
    <t>Férias  Músico Instrumentista</t>
  </si>
  <si>
    <t>IR retido férias Férias  Músico Instrumentista</t>
  </si>
  <si>
    <t>Férias  Músico Cantor</t>
  </si>
  <si>
    <t>IR retido férias Férias  Músico Cantor</t>
  </si>
  <si>
    <t>Férias Montador Diart</t>
  </si>
  <si>
    <t>IR retido férias Férias Montador</t>
  </si>
  <si>
    <t>Férias Músico Cantora</t>
  </si>
  <si>
    <t>Férias  Arquivista</t>
  </si>
  <si>
    <t>IR retido férias Férias   Arquivista</t>
  </si>
  <si>
    <t>IR retido férias Férias   Superintendente de Auditoria</t>
  </si>
  <si>
    <t>Férias Bailarino</t>
  </si>
  <si>
    <t>Férias Bailarina</t>
  </si>
  <si>
    <t>IR retido férias Bailarina</t>
  </si>
  <si>
    <t>Férias Assessora Pedagógica</t>
  </si>
  <si>
    <t>IR retido férias Férias  Assessora Pedagógica</t>
  </si>
  <si>
    <t>IR retido férias Músico</t>
  </si>
  <si>
    <t>Pensão Alimentícia (DANIELLE DA CONCEICAO MARQUES PIMENtA) Montador Dipro, referente ao férias</t>
  </si>
  <si>
    <t>IR retido férias Músico Instrumentista</t>
  </si>
  <si>
    <t>Férias  Bailarino</t>
  </si>
  <si>
    <t>Férias Músico Cantor</t>
  </si>
  <si>
    <t>IR retido férias Músico Cantor</t>
  </si>
  <si>
    <t>IR retido férias Músico Cantora</t>
  </si>
  <si>
    <t xml:space="preserve">IR retido férias Bailarina </t>
  </si>
  <si>
    <t>Férias Regente Assistente</t>
  </si>
  <si>
    <t>IR retido férias Regente Assistente</t>
  </si>
  <si>
    <t>Férias Montador Dipro</t>
  </si>
  <si>
    <t>Férias Pianista</t>
  </si>
  <si>
    <t>IR retido férias Músico Pianista</t>
  </si>
  <si>
    <t>Tarifa TED/DOC pagamento de férias</t>
  </si>
  <si>
    <t xml:space="preserve">8º Cartório de Notas </t>
  </si>
  <si>
    <t>Despesas com cartório</t>
  </si>
  <si>
    <t>IR retido em folha do mês 12/2022</t>
  </si>
  <si>
    <t>PIS referente 13º salário</t>
  </si>
  <si>
    <t>Rendimentos de aplicações financeiras do mês 12/2022</t>
  </si>
  <si>
    <t>Imposto de Renda referente aos rendimentos de aplicações financeiras do mês 12/2022</t>
  </si>
  <si>
    <t>Cofins referente aos rendimentos de aplicações financeiras do mês 12/2022</t>
  </si>
  <si>
    <t>70.945209/000103</t>
  </si>
  <si>
    <t>Rendimentos de aplicações financeiras do mês 11/2022 - Modernismo</t>
  </si>
  <si>
    <t>Maria Clara De Oliveira Mariano 12920555618</t>
  </si>
  <si>
    <t>Rendimentos de aplicações financeiras do mês 12/2022 da conta 16888-2 - Programação Artística da Fundação Clóvis Salgado - Ano 50</t>
  </si>
  <si>
    <t>2022/58</t>
  </si>
  <si>
    <t>ISSQN referente a nota fiscal 2022/58 - Ouvex Tecnologia Para Compliance Ltda.</t>
  </si>
  <si>
    <t xml:space="preserve">Prefeitura de Belo Horizonte
</t>
  </si>
  <si>
    <t>ISSQN referente a nota fiscal 2022/33 - Instituto Integridade E Compliance Consultoria De Negocios Ltda</t>
  </si>
  <si>
    <t>1044992 / E</t>
  </si>
  <si>
    <t>000.022.839</t>
  </si>
  <si>
    <t>Aporte Captação  - 	Cemig Distribuição S.A.</t>
  </si>
  <si>
    <t>Aporte Captação  - 	CSN Mineração S.A.</t>
  </si>
  <si>
    <t>Aporte Captação  - Companhia de Saneamento de Minas Gerais - COPASA</t>
  </si>
  <si>
    <t>Aporte Captação  - Telefônica Brasil S.A.</t>
  </si>
  <si>
    <t>17234-0 - Programação de Artes Visuais e Audiovisual da Fundação Clóvis Salgado</t>
  </si>
  <si>
    <t>Compra de 8 tubos de pvc de 75 mm de espessura, 1,70m cada tubo.</t>
  </si>
  <si>
    <t>Parada Do Pvc Materiais De Construção Ltda</t>
  </si>
  <si>
    <t>03.808.628/0001-06</t>
  </si>
  <si>
    <t>COFINS - 10/2022</t>
  </si>
  <si>
    <t>Aquisição de materiais diversos para ensaios da Cia de dança Palácio das Artes, sendo:-&amp;gt; 02 caixas de Curativos Band Aid -&amp;gt; 01 rolo de microporo tamanho médio -&amp;gt; Salonpas adesivos: -&amp;gt; tamanhos: pequeno (5 envelopes) , médio (4 envelopes) e grande (4 envelopes)</t>
  </si>
  <si>
    <t>Drogamaxi Drogaria Eireli</t>
  </si>
  <si>
    <t>17.588.146/0001-00</t>
  </si>
  <si>
    <t>Aquisição de fitas de linóleo para a manutenção da sala de ensaios da Cia de Dança Palácio das Artes.05 unidades (rolo) deFitas de linóleo preta</t>
  </si>
  <si>
    <t>Cdr Comercio E Importacao De Artigos De Papelaria Ltda</t>
  </si>
  <si>
    <t>Compra de 2 tubos de pvc de 100mm de espessura, 1,70m cada tubo.</t>
  </si>
  <si>
    <t>Contratação de profissional para 04 afinações dos Pianos do palco e da OSMG.</t>
  </si>
  <si>
    <t>Contratação de serviço de profissional para 1 (uma) afinação do piano da sala de ensaio da OSMG.</t>
  </si>
  <si>
    <t xml:space="preserve">
44.783.540/0001-64</t>
  </si>
  <si>
    <t>090.537.106-20</t>
  </si>
  <si>
    <t xml:space="preserve">Belo Horizonte, 09 de janeiro de  2023   </t>
  </si>
  <si>
    <t xml:space="preserve"> </t>
  </si>
  <si>
    <t xml:space="preserve">Para este 3º ano do Programa de Trabalho Contrato de Gestão 05/2019 está previsto desembolsos que totalizam R$ 7.639.859,74 (sete milhões, seiscentos e trinta e nove mil, oitocentos e cinquenta e nove reais e setenta e quatro centavos. 
Recebemos este ano o montante no valor R$ 7.120.905,73 (sete milhões, cento e vinte mil, novecentos e cinco reais e setenta e três centavos. Tivemos uma dedução do valor repassado quanto a 04º parcela do desembolso; no valor de R$ 518.954,01( quinhentos e dezoito mil, novecentos e cinquenta e quatro reais e um centavo) referente ao valor previsto e não utilizado para contração de novos funcionários para o Corpos Artísticos. Do rendimentos das aplicações financeiras quanto ao valor bruto mensal são deduzidos todos os impostos incidentes - IRRF, IOF, COFINS sobre aplicações financeiras - e o valor líquido é transferido, posteriormente, para Conta Reserva  vinculada ao Contrato de Gestão 05/2019.  A transferência dos rendimentos apurados em função da aplicação financeira dos recusos referente ao III aditivo - Modernismo em Minas, foram realizadas, para a mesma conta Reserva vinculada ao Contrato de Gestão, afim de economizar as despesas de tarifas de manunteção cobradas pelo banco. O valor transferido até o momento é de  R$ 37.065,71, ainda haverá um valor de R$ 1.518,09 a ser transferido em janeiro de 2023. Totalizando assim, o momento de rendimentos referente ao ano de 2022 no valor de R$ 38.583,80 .O saldo da conta reserva até o fim deste período avaliatório é de R$  251.177,92. Os gastos realizados neste trimestre, ficaram dentro do esperado para as metas estipuladas. As equipes de profissionais que atuam diretamente na parte finalística das áreas da Fundação, tais como montadores, produtores, iluminadores, técnica em Acervo e técnica em Higienização dentre outros, foram mantidas. Contratação de prestadores de serviços, aquisição de diversos produtos e insumos, para realização das atividades em atendimento aos indicadores e metas foram realizados e integram esse relatório de acordo com os lançamentos do Diário e Comprometido. Todas as metas estipuladas para este ano foram atingidas. </t>
  </si>
  <si>
    <t>Relatório Anual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</si>
</sst>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dd/mm/yy;@"/>
    <numFmt numFmtId="167" formatCode="[$-416]mmm\-yy;@"/>
    <numFmt numFmtId="168" formatCode="_-* #,##0.00_-;\-* #,##0.00_-;_-* &quot;-&quot;??_-;_-@"/>
  </numFmts>
  <fonts count="48"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sz val="10"/>
      <color rgb="FFFF0000"/>
      <name val="Arial"/>
      <family val="2"/>
    </font>
    <font>
      <sz val="9"/>
      <color theme="1"/>
      <name val="Arial"/>
      <family val="2"/>
    </font>
    <font>
      <sz val="9"/>
      <color theme="1" tint="4.9989318521683403E-2"/>
      <name val="Arial"/>
      <family val="2"/>
    </font>
    <font>
      <sz val="9"/>
      <color rgb="FF000000"/>
      <name val="Arial"/>
      <family val="2"/>
    </font>
    <font>
      <b/>
      <sz val="11"/>
      <color theme="1"/>
      <name val="Arial"/>
      <family val="2"/>
    </font>
    <font>
      <b/>
      <sz val="9"/>
      <color theme="0"/>
      <name val="Arial"/>
      <family val="2"/>
    </font>
    <font>
      <sz val="8"/>
      <name val="Arial"/>
      <family val="2"/>
    </font>
    <font>
      <sz val="10"/>
      <color theme="1"/>
      <name val="Arial"/>
      <family val="2"/>
    </font>
    <font>
      <b/>
      <sz val="10"/>
      <color theme="1"/>
      <name val="Arial"/>
      <family val="2"/>
    </font>
    <font>
      <sz val="7"/>
      <color theme="1"/>
      <name val="Arial"/>
      <family val="2"/>
    </font>
    <font>
      <b/>
      <sz val="17"/>
      <color theme="1"/>
      <name val="Arial"/>
      <family val="2"/>
    </font>
    <font>
      <b/>
      <sz val="8"/>
      <color theme="1"/>
      <name val="Arial"/>
      <family val="2"/>
    </font>
    <font>
      <sz val="11"/>
      <color indexed="8"/>
      <name val="Calibri"/>
      <family val="2"/>
      <scheme val="minor"/>
    </font>
    <font>
      <sz val="11"/>
      <color theme="1"/>
      <name val="Arial"/>
      <family val="2"/>
    </font>
    <font>
      <sz val="11"/>
      <color theme="1"/>
      <name val="Calibri"/>
      <family val="2"/>
      <scheme val="minor"/>
    </font>
    <font>
      <sz val="9"/>
      <color rgb="FFFF0000"/>
      <name val="Arial"/>
      <family val="2"/>
    </font>
  </fonts>
  <fills count="2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rgb="FFFFFFFF"/>
      </patternFill>
    </fill>
    <fill>
      <patternFill patternType="solid">
        <fgColor theme="0"/>
        <bgColor theme="0"/>
      </patternFill>
    </fill>
    <fill>
      <patternFill patternType="solid">
        <fgColor theme="0"/>
        <bgColor rgb="FFBFBFBF"/>
      </patternFill>
    </fill>
    <fill>
      <patternFill patternType="solid">
        <fgColor theme="0"/>
        <bgColor rgb="FFFFFFFF"/>
      </patternFill>
    </fill>
    <fill>
      <patternFill patternType="solid">
        <fgColor theme="0" tint="-0.499984740745262"/>
        <bgColor indexed="64"/>
      </patternFill>
    </fill>
    <fill>
      <patternFill patternType="solid">
        <fgColor rgb="FFFFFFFF"/>
        <bgColor indexed="64"/>
      </patternFill>
    </fill>
    <fill>
      <patternFill patternType="solid">
        <fgColor rgb="FF92D050"/>
        <bgColor indexed="64"/>
      </patternFill>
    </fill>
    <fill>
      <patternFill patternType="solid">
        <fgColor theme="0"/>
        <bgColor rgb="FFFFFF00"/>
      </patternFill>
    </fill>
    <fill>
      <patternFill patternType="solid">
        <fgColor theme="0" tint="-0.34998626667073579"/>
        <bgColor indexed="64"/>
      </patternFill>
    </fill>
    <fill>
      <patternFill patternType="solid">
        <fgColor theme="6" tint="0.59999389629810485"/>
        <bgColor theme="0"/>
      </patternFill>
    </fill>
    <fill>
      <patternFill patternType="solid">
        <fgColor theme="6" tint="0.59999389629810485"/>
        <bgColor indexed="64"/>
      </patternFill>
    </fill>
    <fill>
      <patternFill patternType="solid">
        <fgColor theme="6" tint="0.79998168889431442"/>
        <bgColor theme="0"/>
      </patternFill>
    </fill>
    <fill>
      <patternFill patternType="solid">
        <fgColor theme="6" tint="0.79998168889431442"/>
        <bgColor indexed="64"/>
      </patternFill>
    </fill>
  </fills>
  <borders count="67">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bottom style="double">
        <color rgb="FF000000"/>
      </bottom>
      <diagonal/>
    </border>
    <border>
      <left/>
      <right/>
      <top style="double">
        <color rgb="FF000000"/>
      </top>
      <bottom style="double">
        <color rgb="FF000000"/>
      </bottom>
      <diagonal/>
    </border>
    <border>
      <left/>
      <right style="hair">
        <color rgb="FF000000"/>
      </right>
      <top style="double">
        <color rgb="FF000000"/>
      </top>
      <bottom style="double">
        <color rgb="FF000000"/>
      </bottom>
      <diagonal/>
    </border>
    <border>
      <left/>
      <right/>
      <top style="double">
        <color rgb="FF000000"/>
      </top>
      <bottom style="thin">
        <color rgb="FF000000"/>
      </bottom>
      <diagonal/>
    </border>
    <border>
      <left/>
      <right style="hair">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dotted">
        <color indexed="64"/>
      </left>
      <right style="dotted">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auto="1"/>
      </top>
      <bottom style="medium">
        <color rgb="FF000000"/>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s>
  <cellStyleXfs count="24">
    <xf numFmtId="0" fontId="0"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28" fillId="0" borderId="0"/>
    <xf numFmtId="0" fontId="3" fillId="0" borderId="0"/>
    <xf numFmtId="0" fontId="29"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43" fontId="31" fillId="0" borderId="0" applyFont="0" applyFill="0" applyBorder="0" applyAlignment="0" applyProtection="0"/>
    <xf numFmtId="0" fontId="44" fillId="0" borderId="0"/>
    <xf numFmtId="0" fontId="45" fillId="0" borderId="0"/>
    <xf numFmtId="43" fontId="31" fillId="0" borderId="0" applyFont="0" applyFill="0" applyBorder="0" applyAlignment="0" applyProtection="0"/>
    <xf numFmtId="44" fontId="31" fillId="0" borderId="0" applyFont="0" applyFill="0" applyBorder="0" applyAlignment="0" applyProtection="0"/>
    <xf numFmtId="0" fontId="46" fillId="0" borderId="0"/>
    <xf numFmtId="0" fontId="1" fillId="0" borderId="0"/>
  </cellStyleXfs>
  <cellXfs count="816">
    <xf numFmtId="0" fontId="0" fillId="0" borderId="0" xfId="0"/>
    <xf numFmtId="0" fontId="0" fillId="2" borderId="0" xfId="0" applyFill="1"/>
    <xf numFmtId="0" fontId="4" fillId="2" borderId="0" xfId="0" applyFont="1" applyFill="1"/>
    <xf numFmtId="0" fontId="11" fillId="2" borderId="0" xfId="0" applyFont="1" applyFill="1" applyAlignment="1">
      <alignment horizontal="left" vertical="center"/>
    </xf>
    <xf numFmtId="0" fontId="8" fillId="2" borderId="0" xfId="0" applyFont="1" applyFill="1" applyAlignment="1">
      <alignment horizontal="center"/>
    </xf>
    <xf numFmtId="0" fontId="10" fillId="2" borderId="0" xfId="0" applyFont="1" applyFill="1"/>
    <xf numFmtId="0" fontId="10" fillId="2" borderId="0" xfId="0" applyFont="1" applyFill="1" applyAlignment="1">
      <alignment horizontal="center"/>
    </xf>
    <xf numFmtId="0" fontId="3" fillId="2" borderId="0" xfId="0" applyFont="1" applyFill="1"/>
    <xf numFmtId="4" fontId="11" fillId="2" borderId="0" xfId="0" applyNumberFormat="1" applyFont="1" applyFill="1" applyAlignment="1">
      <alignment horizontal="center" vertical="center"/>
    </xf>
    <xf numFmtId="165" fontId="3" fillId="2" borderId="0" xfId="12" applyFont="1" applyFill="1" applyBorder="1"/>
    <xf numFmtId="165" fontId="11" fillId="2" borderId="0" xfId="12" applyFont="1" applyFill="1" applyBorder="1" applyAlignment="1">
      <alignment horizontal="right" vertical="center"/>
    </xf>
    <xf numFmtId="0" fontId="6" fillId="2" borderId="0" xfId="0" applyFont="1" applyFill="1" applyAlignment="1">
      <alignment horizontal="center" vertical="center"/>
    </xf>
    <xf numFmtId="165" fontId="14" fillId="2" borderId="0" xfId="12" applyFont="1" applyFill="1" applyBorder="1" applyAlignment="1">
      <alignment horizontal="right" vertical="center"/>
    </xf>
    <xf numFmtId="165" fontId="15" fillId="2" borderId="0" xfId="12" applyFont="1" applyFill="1" applyBorder="1" applyAlignment="1">
      <alignment horizontal="right" vertical="center"/>
    </xf>
    <xf numFmtId="165" fontId="15" fillId="2" borderId="1" xfId="12" applyFont="1" applyFill="1" applyBorder="1" applyAlignment="1">
      <alignment horizontal="right" vertical="center"/>
    </xf>
    <xf numFmtId="165" fontId="15" fillId="2" borderId="2" xfId="12" applyFont="1" applyFill="1" applyBorder="1" applyAlignment="1">
      <alignment horizontal="right" vertical="center"/>
    </xf>
    <xf numFmtId="165" fontId="15" fillId="2" borderId="3" xfId="12" applyFont="1" applyFill="1" applyBorder="1" applyAlignment="1">
      <alignment horizontal="right" vertical="center"/>
    </xf>
    <xf numFmtId="165" fontId="15" fillId="2" borderId="4" xfId="12" applyFont="1" applyFill="1" applyBorder="1" applyAlignment="1">
      <alignment horizontal="right" vertical="center"/>
    </xf>
    <xf numFmtId="165" fontId="15" fillId="2" borderId="5" xfId="12" applyFont="1" applyFill="1" applyBorder="1" applyAlignment="1">
      <alignment horizontal="right" vertical="center"/>
    </xf>
    <xf numFmtId="0" fontId="0" fillId="2" borderId="0" xfId="0" applyFill="1" applyAlignment="1">
      <alignment vertical="center"/>
    </xf>
    <xf numFmtId="0" fontId="15" fillId="2" borderId="5" xfId="0" applyFont="1" applyFill="1" applyBorder="1" applyAlignment="1">
      <alignment horizontal="left" vertical="center" wrapText="1"/>
    </xf>
    <xf numFmtId="0" fontId="15" fillId="2" borderId="0" xfId="0" applyFont="1" applyFill="1" applyAlignment="1">
      <alignment horizontal="left" vertical="center" wrapText="1"/>
    </xf>
    <xf numFmtId="0" fontId="14" fillId="2" borderId="0" xfId="0" applyFont="1" applyFill="1" applyAlignment="1">
      <alignment horizontal="left" vertical="center"/>
    </xf>
    <xf numFmtId="0" fontId="14" fillId="2" borderId="1" xfId="0" applyFont="1" applyFill="1" applyBorder="1" applyAlignment="1">
      <alignment vertical="center"/>
    </xf>
    <xf numFmtId="0" fontId="15" fillId="2" borderId="1" xfId="0" applyFont="1" applyFill="1" applyBorder="1" applyAlignment="1">
      <alignment horizontal="right" vertical="center" wrapText="1"/>
    </xf>
    <xf numFmtId="0" fontId="14" fillId="2" borderId="2" xfId="0" applyFont="1" applyFill="1" applyBorder="1" applyAlignment="1">
      <alignment vertical="center"/>
    </xf>
    <xf numFmtId="0" fontId="15" fillId="2" borderId="2" xfId="0" applyFont="1" applyFill="1" applyBorder="1" applyAlignment="1">
      <alignment horizontal="right" vertical="center" wrapText="1"/>
    </xf>
    <xf numFmtId="0" fontId="15" fillId="2" borderId="3" xfId="0" applyFont="1" applyFill="1" applyBorder="1" applyAlignment="1">
      <alignment horizontal="left" vertical="center"/>
    </xf>
    <xf numFmtId="0" fontId="15" fillId="2" borderId="3" xfId="0" applyFont="1" applyFill="1" applyBorder="1" applyAlignment="1">
      <alignment vertical="center" wrapText="1"/>
    </xf>
    <xf numFmtId="0" fontId="14" fillId="2" borderId="5" xfId="0" applyFont="1" applyFill="1" applyBorder="1" applyAlignment="1">
      <alignment vertical="center"/>
    </xf>
    <xf numFmtId="4" fontId="15" fillId="2" borderId="5" xfId="0" applyNumberFormat="1" applyFont="1" applyFill="1" applyBorder="1" applyAlignment="1">
      <alignment horizontal="right" vertical="center"/>
    </xf>
    <xf numFmtId="0" fontId="15" fillId="2" borderId="5" xfId="0" applyFont="1" applyFill="1" applyBorder="1" applyAlignment="1">
      <alignment horizontal="left" vertical="center"/>
    </xf>
    <xf numFmtId="0" fontId="15" fillId="2" borderId="0" xfId="0" applyFont="1" applyFill="1" applyAlignment="1">
      <alignment vertical="center"/>
    </xf>
    <xf numFmtId="0" fontId="23" fillId="2" borderId="0" xfId="0" applyFont="1" applyFill="1" applyAlignment="1">
      <alignment vertical="center" wrapText="1"/>
    </xf>
    <xf numFmtId="0" fontId="11" fillId="2" borderId="0" xfId="0" applyFont="1" applyFill="1" applyAlignment="1">
      <alignment vertical="center"/>
    </xf>
    <xf numFmtId="0" fontId="15" fillId="2" borderId="5" xfId="0" applyFont="1" applyFill="1" applyBorder="1" applyAlignment="1">
      <alignment horizontal="right" vertical="center" wrapText="1"/>
    </xf>
    <xf numFmtId="0" fontId="15" fillId="2" borderId="5" xfId="0" applyFont="1" applyFill="1" applyBorder="1" applyAlignment="1">
      <alignment vertical="center"/>
    </xf>
    <xf numFmtId="0" fontId="15" fillId="2" borderId="3" xfId="0" applyFont="1" applyFill="1" applyBorder="1" applyAlignment="1">
      <alignment horizontal="left" vertical="center" wrapText="1"/>
    </xf>
    <xf numFmtId="0" fontId="9" fillId="2" borderId="0" xfId="0" applyFont="1" applyFill="1" applyAlignment="1">
      <alignment horizontal="center" vertical="center" wrapText="1"/>
    </xf>
    <xf numFmtId="0" fontId="5" fillId="2" borderId="0" xfId="0" applyFont="1" applyFill="1" applyAlignment="1">
      <alignment vertical="center"/>
    </xf>
    <xf numFmtId="0" fontId="13" fillId="2" borderId="0" xfId="0" applyFont="1" applyFill="1"/>
    <xf numFmtId="0" fontId="13" fillId="2" borderId="0" xfId="0" applyFont="1" applyFill="1" applyAlignment="1">
      <alignment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4" fontId="6" fillId="2" borderId="6" xfId="0" applyNumberFormat="1" applyFont="1" applyFill="1" applyBorder="1" applyAlignment="1">
      <alignment horizontal="right" vertical="center"/>
    </xf>
    <xf numFmtId="0" fontId="4" fillId="2" borderId="0" xfId="0" applyFont="1" applyFill="1" applyProtection="1">
      <protection locked="0"/>
    </xf>
    <xf numFmtId="0" fontId="4" fillId="2" borderId="0" xfId="0" applyFont="1" applyFill="1" applyAlignment="1" applyProtection="1">
      <alignment horizontal="left" vertical="center"/>
      <protection locked="0"/>
    </xf>
    <xf numFmtId="165" fontId="4" fillId="2" borderId="0" xfId="12" applyFont="1" applyFill="1" applyProtection="1">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5" fillId="2" borderId="0" xfId="0" applyFont="1" applyFill="1"/>
    <xf numFmtId="0" fontId="6" fillId="2" borderId="0" xfId="0" applyFont="1" applyFill="1"/>
    <xf numFmtId="0" fontId="10" fillId="2" borderId="0" xfId="0" applyFont="1" applyFill="1" applyAlignment="1" applyProtection="1">
      <alignment horizontal="center"/>
      <protection locked="0"/>
    </xf>
    <xf numFmtId="165" fontId="21"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7" fillId="2" borderId="0" xfId="0" applyFont="1" applyFill="1" applyAlignment="1" applyProtection="1">
      <alignment horizontal="left" vertical="center" wrapText="1"/>
      <protection locked="0"/>
    </xf>
    <xf numFmtId="0" fontId="3" fillId="3" borderId="0" xfId="0" applyFont="1" applyFill="1" applyAlignment="1" applyProtection="1">
      <alignment horizontal="left" vertical="center"/>
      <protection locked="0"/>
    </xf>
    <xf numFmtId="0" fontId="14" fillId="3" borderId="0" xfId="0" applyFont="1" applyFill="1" applyAlignment="1">
      <alignment vertical="center" wrapText="1"/>
    </xf>
    <xf numFmtId="0" fontId="14" fillId="3" borderId="0" xfId="0" applyFont="1" applyFill="1" applyAlignment="1">
      <alignment horizontal="left" vertical="center" wrapText="1"/>
    </xf>
    <xf numFmtId="0" fontId="14" fillId="3" borderId="0" xfId="0" applyFont="1" applyFill="1" applyAlignment="1">
      <alignment vertical="center"/>
    </xf>
    <xf numFmtId="0" fontId="14" fillId="3" borderId="0" xfId="0" applyFont="1" applyFill="1" applyAlignment="1">
      <alignment horizontal="left" vertical="center"/>
    </xf>
    <xf numFmtId="0" fontId="14" fillId="3" borderId="4" xfId="0" applyFont="1" applyFill="1" applyBorder="1" applyAlignment="1">
      <alignment vertical="center" wrapText="1"/>
    </xf>
    <xf numFmtId="165" fontId="15" fillId="2" borderId="3" xfId="12" applyFont="1" applyFill="1" applyBorder="1" applyAlignment="1">
      <alignment horizontal="center" vertical="center"/>
    </xf>
    <xf numFmtId="165" fontId="14" fillId="2" borderId="0" xfId="12" applyFont="1" applyFill="1" applyBorder="1" applyAlignment="1">
      <alignment horizontal="center" vertical="center"/>
    </xf>
    <xf numFmtId="165" fontId="14" fillId="2" borderId="10" xfId="12" applyFont="1" applyFill="1" applyBorder="1" applyAlignment="1">
      <alignment horizontal="center" vertical="center"/>
    </xf>
    <xf numFmtId="0" fontId="15" fillId="2" borderId="6" xfId="0" applyFont="1" applyFill="1" applyBorder="1" applyAlignment="1">
      <alignment horizontal="center" vertical="center"/>
    </xf>
    <xf numFmtId="4" fontId="15" fillId="2" borderId="3" xfId="0" applyNumberFormat="1" applyFont="1" applyFill="1" applyBorder="1" applyAlignment="1">
      <alignment horizontal="center" vertical="center"/>
    </xf>
    <xf numFmtId="0" fontId="15" fillId="3" borderId="5" xfId="0" applyFont="1" applyFill="1" applyBorder="1" applyAlignment="1">
      <alignment horizontal="left" vertical="center"/>
    </xf>
    <xf numFmtId="0" fontId="15" fillId="3" borderId="5" xfId="0" applyFont="1" applyFill="1" applyBorder="1" applyAlignment="1">
      <alignment vertical="center"/>
    </xf>
    <xf numFmtId="1" fontId="13" fillId="0" borderId="11" xfId="0" applyNumberFormat="1" applyFont="1" applyBorder="1" applyAlignment="1" applyProtection="1">
      <alignment horizontal="right" vertical="center" wrapText="1"/>
      <protection locked="0"/>
    </xf>
    <xf numFmtId="165" fontId="3" fillId="2" borderId="10" xfId="12" applyFont="1" applyFill="1" applyBorder="1" applyAlignment="1" applyProtection="1">
      <alignment horizontal="right" vertical="center"/>
      <protection locked="0"/>
    </xf>
    <xf numFmtId="165" fontId="3" fillId="2" borderId="12" xfId="12" applyFont="1" applyFill="1" applyBorder="1" applyAlignment="1">
      <alignment horizontal="right" vertical="center"/>
    </xf>
    <xf numFmtId="165" fontId="11" fillId="2" borderId="13" xfId="12" applyFont="1" applyFill="1" applyBorder="1" applyAlignment="1">
      <alignment horizontal="right" vertical="center"/>
    </xf>
    <xf numFmtId="165" fontId="7" fillId="2" borderId="0" xfId="12" applyFont="1" applyFill="1" applyBorder="1" applyAlignment="1">
      <alignment horizontal="right" vertical="center"/>
    </xf>
    <xf numFmtId="165" fontId="11" fillId="2" borderId="7" xfId="12" applyFont="1" applyFill="1" applyBorder="1" applyAlignment="1">
      <alignment horizontal="right" vertical="center"/>
    </xf>
    <xf numFmtId="165" fontId="11" fillId="2" borderId="8" xfId="12" applyFont="1" applyFill="1" applyBorder="1" applyAlignment="1">
      <alignment horizontal="right" vertical="center"/>
    </xf>
    <xf numFmtId="165" fontId="11" fillId="2" borderId="13" xfId="12" applyFont="1" applyFill="1" applyBorder="1" applyAlignment="1" applyProtection="1">
      <alignment horizontal="right" vertical="center"/>
      <protection locked="0"/>
    </xf>
    <xf numFmtId="0" fontId="3" fillId="2" borderId="0" xfId="0" applyFont="1" applyFill="1" applyAlignment="1">
      <alignment vertical="center"/>
    </xf>
    <xf numFmtId="165" fontId="3" fillId="2" borderId="0" xfId="12" applyFont="1" applyFill="1" applyBorder="1" applyAlignment="1">
      <alignment vertical="center"/>
    </xf>
    <xf numFmtId="165" fontId="3" fillId="2" borderId="12" xfId="12" applyFont="1" applyFill="1" applyBorder="1" applyAlignment="1">
      <alignment vertical="center"/>
    </xf>
    <xf numFmtId="0" fontId="11" fillId="2" borderId="10" xfId="0" applyFont="1" applyFill="1" applyBorder="1" applyAlignment="1">
      <alignment horizontal="left" vertical="center"/>
    </xf>
    <xf numFmtId="0" fontId="11" fillId="2" borderId="12" xfId="0" applyFont="1" applyFill="1" applyBorder="1" applyAlignment="1">
      <alignment horizontal="left" vertical="center"/>
    </xf>
    <xf numFmtId="0" fontId="11" fillId="2" borderId="13" xfId="0" applyFont="1" applyFill="1" applyBorder="1" applyAlignment="1">
      <alignment horizontal="left" vertical="center"/>
    </xf>
    <xf numFmtId="0" fontId="7" fillId="2" borderId="0" xfId="0" applyFont="1" applyFill="1" applyAlignment="1">
      <alignment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0" fillId="2" borderId="0" xfId="0" applyFill="1" applyAlignment="1" applyProtection="1">
      <alignment wrapText="1"/>
      <protection locked="0"/>
    </xf>
    <xf numFmtId="0" fontId="17" fillId="2" borderId="0" xfId="0" applyFont="1" applyFill="1" applyAlignment="1" applyProtection="1">
      <alignment horizontal="right" vertical="center" wrapText="1"/>
      <protection locked="0"/>
    </xf>
    <xf numFmtId="1" fontId="6"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7"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3" fillId="2" borderId="15" xfId="0" applyNumberFormat="1" applyFont="1" applyFill="1" applyBorder="1" applyAlignment="1" applyProtection="1">
      <alignment horizontal="right" vertical="center" wrapText="1"/>
      <protection locked="0"/>
    </xf>
    <xf numFmtId="0" fontId="13" fillId="2" borderId="15" xfId="0" applyFont="1" applyFill="1" applyBorder="1" applyAlignment="1" applyProtection="1">
      <alignment horizontal="left" vertical="center" wrapText="1"/>
      <protection locked="0"/>
    </xf>
    <xf numFmtId="165" fontId="13" fillId="2" borderId="15" xfId="12" applyFont="1" applyFill="1" applyBorder="1" applyAlignment="1" applyProtection="1">
      <alignment horizontal="right" vertical="center" wrapText="1"/>
      <protection locked="0"/>
    </xf>
    <xf numFmtId="0" fontId="13"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5" fillId="3" borderId="0" xfId="0" applyFont="1" applyFill="1" applyAlignment="1">
      <alignment vertical="center"/>
    </xf>
    <xf numFmtId="0" fontId="23" fillId="3" borderId="0" xfId="0" applyFont="1" applyFill="1" applyAlignment="1">
      <alignment vertical="center" wrapText="1"/>
    </xf>
    <xf numFmtId="0" fontId="15" fillId="3" borderId="0" xfId="0" applyFont="1" applyFill="1" applyAlignment="1">
      <alignment vertical="center" wrapText="1"/>
    </xf>
    <xf numFmtId="0" fontId="14" fillId="3" borderId="0" xfId="6" applyFont="1" applyFill="1" applyAlignment="1">
      <alignment horizontal="left" vertical="center" wrapText="1"/>
    </xf>
    <xf numFmtId="0" fontId="14" fillId="3" borderId="0" xfId="3" applyFont="1" applyFill="1" applyAlignment="1">
      <alignment horizontal="left" vertical="center" wrapText="1"/>
    </xf>
    <xf numFmtId="0" fontId="14" fillId="3" borderId="0" xfId="3" applyFont="1" applyFill="1" applyAlignment="1">
      <alignment vertical="center" wrapText="1"/>
    </xf>
    <xf numFmtId="0" fontId="30" fillId="3" borderId="0" xfId="6" applyFont="1" applyFill="1" applyAlignment="1">
      <alignment horizontal="left" vertical="center" wrapText="1"/>
    </xf>
    <xf numFmtId="0" fontId="17" fillId="2" borderId="0" xfId="0" applyFont="1" applyFill="1" applyAlignment="1">
      <alignment horizontal="right" vertical="center" wrapText="1"/>
    </xf>
    <xf numFmtId="0" fontId="6" fillId="2" borderId="3" xfId="0" applyFont="1" applyFill="1" applyBorder="1" applyAlignment="1">
      <alignment horizontal="center" vertical="center" wrapText="1"/>
    </xf>
    <xf numFmtId="4" fontId="15" fillId="2" borderId="0" xfId="4" applyNumberFormat="1" applyFont="1" applyFill="1" applyAlignment="1">
      <alignment horizontal="right" vertical="center" wrapText="1"/>
    </xf>
    <xf numFmtId="0" fontId="15" fillId="2" borderId="0" xfId="4" applyFont="1" applyFill="1" applyAlignment="1">
      <alignment horizontal="center" vertical="center" wrapText="1"/>
    </xf>
    <xf numFmtId="0" fontId="19" fillId="2" borderId="5" xfId="4" applyFont="1" applyFill="1" applyBorder="1" applyAlignment="1">
      <alignment horizontal="left" vertical="center" wrapText="1"/>
    </xf>
    <xf numFmtId="0" fontId="15" fillId="2" borderId="5" xfId="4" applyFont="1" applyFill="1" applyBorder="1" applyAlignment="1">
      <alignment horizontal="left" vertical="center" wrapText="1"/>
    </xf>
    <xf numFmtId="0" fontId="20" fillId="2" borderId="0" xfId="4" applyFont="1" applyFill="1" applyAlignment="1">
      <alignment horizontal="left" vertical="center"/>
    </xf>
    <xf numFmtId="0" fontId="14" fillId="3" borderId="0" xfId="4" applyFont="1" applyFill="1" applyAlignment="1">
      <alignment horizontal="left" vertical="center" wrapText="1"/>
    </xf>
    <xf numFmtId="165" fontId="21" fillId="3" borderId="0" xfId="12" applyFont="1" applyFill="1" applyBorder="1" applyAlignment="1" applyProtection="1">
      <alignment horizontal="right" vertical="center" wrapText="1"/>
    </xf>
    <xf numFmtId="0" fontId="20" fillId="2" borderId="0" xfId="0" applyFont="1" applyFill="1" applyAlignment="1">
      <alignment horizontal="left" vertical="center"/>
    </xf>
    <xf numFmtId="165" fontId="22" fillId="2" borderId="0" xfId="12" applyFont="1" applyFill="1" applyBorder="1" applyAlignment="1" applyProtection="1">
      <alignment horizontal="right" vertical="center" wrapText="1"/>
    </xf>
    <xf numFmtId="165" fontId="21" fillId="3" borderId="4" xfId="12" applyFont="1" applyFill="1" applyBorder="1" applyAlignment="1" applyProtection="1">
      <alignment horizontal="right" vertical="center" wrapText="1"/>
    </xf>
    <xf numFmtId="165" fontId="22" fillId="2" borderId="3" xfId="12" applyFont="1" applyFill="1" applyBorder="1" applyAlignment="1" applyProtection="1">
      <alignment horizontal="right" vertical="center" wrapText="1"/>
    </xf>
    <xf numFmtId="0" fontId="15" fillId="2" borderId="3" xfId="4" applyFont="1" applyFill="1" applyBorder="1" applyAlignment="1">
      <alignment horizontal="left" vertical="center"/>
    </xf>
    <xf numFmtId="0" fontId="15" fillId="2" borderId="3" xfId="4" applyFont="1" applyFill="1" applyBorder="1" applyAlignment="1">
      <alignment horizontal="right" vertical="center" wrapText="1"/>
    </xf>
    <xf numFmtId="165" fontId="15" fillId="2" borderId="3" xfId="12" applyFont="1" applyFill="1" applyBorder="1" applyAlignment="1" applyProtection="1">
      <alignment horizontal="right" vertical="center" wrapText="1"/>
    </xf>
    <xf numFmtId="4" fontId="15" fillId="2" borderId="5" xfId="4" applyNumberFormat="1" applyFont="1" applyFill="1" applyBorder="1" applyAlignment="1">
      <alignment horizontal="right" vertical="center" wrapText="1"/>
    </xf>
    <xf numFmtId="4" fontId="15" fillId="2" borderId="5" xfId="4" applyNumberFormat="1" applyFont="1" applyFill="1" applyBorder="1" applyAlignment="1">
      <alignment horizontal="center" vertical="center" wrapText="1"/>
    </xf>
    <xf numFmtId="0" fontId="14" fillId="2" borderId="0" xfId="4" applyFont="1" applyFill="1" applyAlignment="1">
      <alignment horizontal="right" vertical="center"/>
    </xf>
    <xf numFmtId="0" fontId="20" fillId="2" borderId="0" xfId="4" applyFont="1" applyFill="1" applyAlignment="1">
      <alignment horizontal="right" vertical="center"/>
    </xf>
    <xf numFmtId="165" fontId="22" fillId="2" borderId="1" xfId="12" applyFont="1" applyFill="1" applyBorder="1" applyAlignment="1" applyProtection="1">
      <alignment horizontal="right" vertical="center" wrapText="1"/>
    </xf>
    <xf numFmtId="165" fontId="22" fillId="3" borderId="1" xfId="12" applyFont="1" applyFill="1" applyBorder="1" applyAlignment="1" applyProtection="1">
      <alignment horizontal="right" vertical="center" wrapText="1"/>
    </xf>
    <xf numFmtId="0" fontId="15" fillId="3" borderId="3" xfId="4" applyFont="1" applyFill="1" applyBorder="1" applyAlignment="1">
      <alignment horizontal="left" vertical="center"/>
    </xf>
    <xf numFmtId="0" fontId="15" fillId="3" borderId="3" xfId="4" applyFont="1" applyFill="1" applyBorder="1" applyAlignment="1">
      <alignment horizontal="right" vertical="center" wrapText="1"/>
    </xf>
    <xf numFmtId="165" fontId="21" fillId="3" borderId="0" xfId="12" applyFont="1" applyFill="1" applyBorder="1" applyAlignment="1" applyProtection="1">
      <alignment horizontal="right" vertical="center" wrapText="1"/>
      <protection locked="0"/>
    </xf>
    <xf numFmtId="0" fontId="15" fillId="3" borderId="5" xfId="0" applyFont="1" applyFill="1" applyBorder="1" applyAlignment="1">
      <alignment horizontal="left" vertical="center" wrapText="1"/>
    </xf>
    <xf numFmtId="0" fontId="6" fillId="3" borderId="0" xfId="0" applyFont="1" applyFill="1" applyAlignment="1">
      <alignment horizontal="center" vertical="center" wrapText="1"/>
    </xf>
    <xf numFmtId="165" fontId="15"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3" fillId="3" borderId="0" xfId="0" applyFont="1" applyFill="1" applyAlignment="1">
      <alignment vertical="center"/>
    </xf>
    <xf numFmtId="0" fontId="13" fillId="3" borderId="0" xfId="0" applyFont="1" applyFill="1" applyAlignment="1">
      <alignment horizontal="left" vertical="center" wrapText="1"/>
    </xf>
    <xf numFmtId="165" fontId="13" fillId="2" borderId="0" xfId="12" applyFont="1" applyFill="1" applyBorder="1" applyAlignment="1" applyProtection="1">
      <alignment horizontal="right" vertical="center"/>
      <protection locked="0"/>
    </xf>
    <xf numFmtId="0" fontId="12" fillId="2" borderId="0" xfId="0" applyFont="1" applyFill="1" applyAlignment="1">
      <alignment horizontal="left" vertical="center"/>
    </xf>
    <xf numFmtId="0" fontId="13" fillId="3" borderId="0" xfId="0" applyFont="1" applyFill="1" applyAlignment="1">
      <alignment horizontal="right" vertical="center" wrapText="1"/>
    </xf>
    <xf numFmtId="10" fontId="22" fillId="3" borderId="1" xfId="9" applyNumberFormat="1" applyFont="1" applyFill="1" applyBorder="1" applyAlignment="1" applyProtection="1">
      <alignment horizontal="right" vertical="center" wrapText="1"/>
    </xf>
    <xf numFmtId="10" fontId="22" fillId="2" borderId="3" xfId="9" applyNumberFormat="1" applyFont="1" applyFill="1" applyBorder="1" applyAlignment="1" applyProtection="1">
      <alignment horizontal="right" vertical="center" wrapText="1"/>
    </xf>
    <xf numFmtId="10" fontId="21" fillId="2" borderId="0" xfId="9" applyNumberFormat="1" applyFont="1" applyFill="1" applyBorder="1" applyAlignment="1" applyProtection="1">
      <alignment horizontal="right" vertical="center" wrapText="1"/>
    </xf>
    <xf numFmtId="10" fontId="21" fillId="2" borderId="4" xfId="9" applyNumberFormat="1" applyFont="1" applyFill="1" applyBorder="1" applyAlignment="1" applyProtection="1">
      <alignment horizontal="right" vertical="center" wrapText="1"/>
    </xf>
    <xf numFmtId="10" fontId="21" fillId="3" borderId="0" xfId="9" applyNumberFormat="1" applyFont="1" applyFill="1" applyBorder="1" applyAlignment="1" applyProtection="1">
      <alignment horizontal="right" vertical="center" wrapText="1"/>
    </xf>
    <xf numFmtId="0" fontId="11" fillId="2" borderId="6" xfId="0" applyFont="1" applyFill="1" applyBorder="1" applyAlignment="1">
      <alignment horizontal="left" vertical="center"/>
    </xf>
    <xf numFmtId="0" fontId="11" fillId="2" borderId="6" xfId="0" applyFont="1" applyFill="1" applyBorder="1" applyAlignment="1">
      <alignment horizontal="center" vertical="center"/>
    </xf>
    <xf numFmtId="0" fontId="11" fillId="2" borderId="5" xfId="0" applyFont="1" applyFill="1" applyBorder="1" applyAlignment="1">
      <alignment horizontal="left" vertical="center"/>
    </xf>
    <xf numFmtId="0" fontId="11" fillId="2" borderId="5" xfId="0" applyFont="1" applyFill="1" applyBorder="1" applyAlignment="1">
      <alignment horizontal="center" vertical="center"/>
    </xf>
    <xf numFmtId="0" fontId="12" fillId="2" borderId="3" xfId="0" applyFont="1" applyFill="1" applyBorder="1" applyAlignment="1">
      <alignment horizontal="left" vertical="center"/>
    </xf>
    <xf numFmtId="0" fontId="12" fillId="2" borderId="3" xfId="0" applyFont="1" applyFill="1" applyBorder="1" applyAlignment="1">
      <alignment horizontal="center" vertical="center"/>
    </xf>
    <xf numFmtId="165" fontId="12" fillId="2" borderId="3" xfId="12" applyFont="1" applyFill="1" applyBorder="1" applyAlignment="1" applyProtection="1">
      <alignment horizontal="center" vertical="center"/>
    </xf>
    <xf numFmtId="0" fontId="12" fillId="3" borderId="2" xfId="0" applyFont="1" applyFill="1" applyBorder="1" applyAlignment="1">
      <alignment vertical="center"/>
    </xf>
    <xf numFmtId="0" fontId="12" fillId="3" borderId="2" xfId="0" applyFont="1" applyFill="1" applyBorder="1" applyAlignment="1">
      <alignment horizontal="left" vertical="center" wrapText="1"/>
    </xf>
    <xf numFmtId="4" fontId="12" fillId="2" borderId="6" xfId="0" applyNumberFormat="1" applyFont="1" applyFill="1" applyBorder="1" applyAlignment="1">
      <alignment horizontal="right" vertical="center"/>
    </xf>
    <xf numFmtId="165" fontId="13" fillId="2" borderId="0" xfId="12" applyFont="1" applyFill="1" applyBorder="1" applyAlignment="1" applyProtection="1">
      <alignment horizontal="right" vertical="center"/>
    </xf>
    <xf numFmtId="165" fontId="12" fillId="2" borderId="2" xfId="12" applyFont="1" applyFill="1" applyBorder="1" applyAlignment="1" applyProtection="1">
      <alignment horizontal="right" vertical="center"/>
    </xf>
    <xf numFmtId="165" fontId="13" fillId="2" borderId="3" xfId="12" applyFont="1" applyFill="1" applyBorder="1" applyAlignment="1" applyProtection="1">
      <alignment horizontal="right" vertical="center"/>
      <protection locked="0"/>
    </xf>
    <xf numFmtId="165" fontId="13" fillId="2" borderId="3" xfId="12" applyFont="1" applyFill="1" applyBorder="1" applyAlignment="1" applyProtection="1">
      <alignment horizontal="right" vertical="center"/>
    </xf>
    <xf numFmtId="165" fontId="12" fillId="2" borderId="3" xfId="12" applyFont="1" applyFill="1" applyBorder="1" applyAlignment="1" applyProtection="1">
      <alignment horizontal="right" vertical="center"/>
    </xf>
    <xf numFmtId="165" fontId="22" fillId="2" borderId="4" xfId="12" applyFont="1" applyFill="1" applyBorder="1" applyAlignment="1" applyProtection="1">
      <alignment horizontal="right" vertical="center" wrapText="1"/>
    </xf>
    <xf numFmtId="165" fontId="14" fillId="2" borderId="3" xfId="12" applyFont="1" applyFill="1" applyBorder="1" applyAlignment="1" applyProtection="1">
      <alignment horizontal="right" vertical="center"/>
    </xf>
    <xf numFmtId="0" fontId="15" fillId="3" borderId="0" xfId="0" applyFont="1" applyFill="1" applyAlignment="1">
      <alignment horizontal="left" vertical="center"/>
    </xf>
    <xf numFmtId="0" fontId="15" fillId="3" borderId="0" xfId="0" applyFont="1" applyFill="1" applyAlignment="1">
      <alignment horizontal="left" vertical="center" wrapText="1"/>
    </xf>
    <xf numFmtId="10" fontId="15" fillId="3" borderId="3" xfId="9" applyNumberFormat="1" applyFont="1" applyFill="1" applyBorder="1" applyAlignment="1" applyProtection="1">
      <alignment horizontal="right" vertical="center"/>
    </xf>
    <xf numFmtId="10" fontId="15" fillId="3" borderId="3" xfId="9" applyNumberFormat="1" applyFont="1" applyFill="1" applyBorder="1" applyAlignment="1" applyProtection="1">
      <alignment horizontal="center" vertical="center"/>
    </xf>
    <xf numFmtId="10" fontId="14" fillId="3" borderId="6" xfId="9" applyNumberFormat="1" applyFont="1" applyFill="1" applyBorder="1" applyAlignment="1" applyProtection="1">
      <alignment horizontal="center" vertical="center"/>
    </xf>
    <xf numFmtId="10" fontId="14" fillId="3" borderId="0"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10" fontId="15" fillId="3" borderId="6" xfId="9" applyNumberFormat="1" applyFont="1" applyFill="1" applyBorder="1" applyAlignment="1" applyProtection="1">
      <alignment horizontal="center" vertical="center"/>
    </xf>
    <xf numFmtId="10" fontId="14" fillId="3" borderId="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4" fillId="3" borderId="10" xfId="9" applyNumberFormat="1" applyFont="1" applyFill="1" applyBorder="1" applyAlignment="1" applyProtection="1">
      <alignment horizontal="center" vertical="center"/>
    </xf>
    <xf numFmtId="10" fontId="14" fillId="3" borderId="1" xfId="9" applyNumberFormat="1"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65" fontId="15" fillId="2" borderId="3" xfId="12" applyFont="1" applyFill="1" applyBorder="1" applyAlignment="1" applyProtection="1">
      <alignment horizontal="right" vertical="center" wrapText="1"/>
      <protection locked="0"/>
    </xf>
    <xf numFmtId="0" fontId="14" fillId="2" borderId="0" xfId="4" applyFont="1" applyFill="1" applyAlignment="1" applyProtection="1">
      <alignment horizontal="right" vertical="center"/>
      <protection locked="0"/>
    </xf>
    <xf numFmtId="0" fontId="11" fillId="2" borderId="3" xfId="0" applyFont="1" applyFill="1" applyBorder="1" applyAlignment="1">
      <alignment horizontal="left" vertical="center"/>
    </xf>
    <xf numFmtId="0" fontId="15" fillId="2" borderId="3" xfId="0" applyFont="1" applyFill="1" applyBorder="1" applyAlignment="1">
      <alignment horizontal="center" vertical="center"/>
    </xf>
    <xf numFmtId="0" fontId="15" fillId="3" borderId="3" xfId="4" applyFont="1" applyFill="1" applyBorder="1" applyAlignment="1">
      <alignment horizontal="left" vertical="center" wrapText="1"/>
    </xf>
    <xf numFmtId="4" fontId="11" fillId="2" borderId="0" xfId="0" applyNumberFormat="1" applyFont="1" applyFill="1" applyAlignment="1">
      <alignment horizontal="right" vertical="center"/>
    </xf>
    <xf numFmtId="4" fontId="11" fillId="2" borderId="0" xfId="0" applyNumberFormat="1" applyFont="1" applyFill="1" applyAlignment="1">
      <alignment horizontal="right" vertical="center" wrapText="1"/>
    </xf>
    <xf numFmtId="165" fontId="14" fillId="2" borderId="0" xfId="12" applyFont="1" applyFill="1" applyBorder="1" applyAlignment="1" applyProtection="1">
      <alignment horizontal="center" vertical="center"/>
    </xf>
    <xf numFmtId="165" fontId="14" fillId="2" borderId="0" xfId="12" applyFont="1" applyFill="1" applyBorder="1" applyAlignment="1" applyProtection="1">
      <alignment horizontal="right" vertical="center"/>
    </xf>
    <xf numFmtId="165" fontId="15" fillId="2" borderId="0" xfId="12" applyFont="1" applyFill="1" applyBorder="1" applyAlignment="1" applyProtection="1">
      <alignment horizontal="right" vertical="center"/>
    </xf>
    <xf numFmtId="165" fontId="15" fillId="2" borderId="3" xfId="12" applyFont="1" applyFill="1" applyBorder="1" applyAlignment="1" applyProtection="1">
      <alignment horizontal="right" vertical="center"/>
    </xf>
    <xf numFmtId="165" fontId="15" fillId="2" borderId="1" xfId="12" applyFont="1" applyFill="1" applyBorder="1" applyAlignment="1" applyProtection="1">
      <alignment horizontal="right" vertical="center"/>
    </xf>
    <xf numFmtId="165" fontId="14" fillId="2" borderId="10" xfId="12" applyFont="1" applyFill="1" applyBorder="1" applyAlignment="1" applyProtection="1">
      <alignment horizontal="center" vertical="center"/>
    </xf>
    <xf numFmtId="165" fontId="15" fillId="2" borderId="5" xfId="12" applyFont="1" applyFill="1" applyBorder="1" applyAlignment="1" applyProtection="1">
      <alignment horizontal="right" vertical="center"/>
    </xf>
    <xf numFmtId="165" fontId="15" fillId="2" borderId="3" xfId="12" applyFont="1" applyFill="1" applyBorder="1" applyAlignment="1" applyProtection="1">
      <alignment horizontal="center" vertical="center"/>
    </xf>
    <xf numFmtId="165" fontId="15" fillId="2" borderId="2" xfId="12" applyFont="1" applyFill="1" applyBorder="1" applyAlignment="1" applyProtection="1">
      <alignment horizontal="right" vertical="center"/>
    </xf>
    <xf numFmtId="0" fontId="6" fillId="3" borderId="14"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14" xfId="6" applyFont="1" applyFill="1" applyBorder="1" applyAlignment="1">
      <alignment horizontal="left" vertical="center" wrapText="1"/>
    </xf>
    <xf numFmtId="0" fontId="10" fillId="3" borderId="14" xfId="3" applyFont="1" applyFill="1" applyBorder="1" applyAlignment="1">
      <alignment horizontal="left" vertical="center" wrapText="1"/>
    </xf>
    <xf numFmtId="0" fontId="31" fillId="3" borderId="14" xfId="6" applyFont="1" applyFill="1" applyBorder="1" applyAlignment="1">
      <alignment horizontal="left" vertical="center" wrapText="1"/>
    </xf>
    <xf numFmtId="0" fontId="3" fillId="3" borderId="0" xfId="0" applyFont="1" applyFill="1" applyAlignment="1">
      <alignment vertical="center" wrapText="1"/>
    </xf>
    <xf numFmtId="0" fontId="3" fillId="3" borderId="0" xfId="0" applyFont="1" applyFill="1" applyAlignment="1">
      <alignment wrapText="1"/>
    </xf>
    <xf numFmtId="0" fontId="3" fillId="3" borderId="0" xfId="0" applyFont="1" applyFill="1" applyAlignment="1">
      <alignment horizontal="left" vertical="center" wrapText="1"/>
    </xf>
    <xf numFmtId="0" fontId="0" fillId="3" borderId="0" xfId="0" applyFill="1"/>
    <xf numFmtId="0" fontId="25" fillId="3" borderId="0" xfId="0" applyFont="1" applyFill="1" applyAlignment="1" applyProtection="1">
      <alignment horizontal="center" vertical="center"/>
      <protection locked="0"/>
    </xf>
    <xf numFmtId="0" fontId="16" fillId="3" borderId="0" xfId="0" applyFont="1" applyFill="1" applyAlignment="1">
      <alignment horizontal="center"/>
    </xf>
    <xf numFmtId="0" fontId="18" fillId="3" borderId="0" xfId="0" applyFont="1" applyFill="1" applyAlignment="1" applyProtection="1">
      <alignment horizontal="center" vertical="center" wrapText="1"/>
      <protection locked="0"/>
    </xf>
    <xf numFmtId="0" fontId="5" fillId="3" borderId="0" xfId="0" applyFont="1" applyFill="1" applyAlignment="1">
      <alignment horizontal="center"/>
    </xf>
    <xf numFmtId="0" fontId="26" fillId="3" borderId="0" xfId="0" applyFont="1" applyFill="1" applyAlignment="1">
      <alignment horizontal="center"/>
    </xf>
    <xf numFmtId="0" fontId="5" fillId="3" borderId="0" xfId="0" applyFont="1" applyFill="1"/>
    <xf numFmtId="0" fontId="5" fillId="3" borderId="0" xfId="0" applyFont="1" applyFill="1" applyAlignment="1">
      <alignment horizontal="left" vertical="top"/>
    </xf>
    <xf numFmtId="0" fontId="0" fillId="3" borderId="0" xfId="0" applyFill="1" applyAlignment="1">
      <alignment horizontal="left" vertical="top"/>
    </xf>
    <xf numFmtId="0" fontId="5" fillId="3" borderId="1" xfId="0" applyFont="1" applyFill="1" applyBorder="1" applyAlignment="1">
      <alignment horizontal="center" vertical="center"/>
    </xf>
    <xf numFmtId="0" fontId="0" fillId="3" borderId="0" xfId="0" applyFill="1" applyProtection="1">
      <protection locked="0"/>
    </xf>
    <xf numFmtId="0" fontId="11" fillId="3" borderId="3" xfId="0" applyFont="1" applyFill="1" applyBorder="1" applyAlignment="1">
      <alignment horizontal="center" vertical="center" wrapText="1"/>
    </xf>
    <xf numFmtId="4" fontId="11" fillId="3" borderId="3" xfId="0" applyNumberFormat="1" applyFont="1" applyFill="1" applyBorder="1" applyAlignment="1">
      <alignment horizontal="center" vertical="center" wrapText="1"/>
    </xf>
    <xf numFmtId="0" fontId="0" fillId="3" borderId="0" xfId="0" applyFill="1" applyAlignment="1">
      <alignment horizontal="center"/>
    </xf>
    <xf numFmtId="0" fontId="4" fillId="3" borderId="0" xfId="0" applyFont="1" applyFill="1" applyAlignment="1" applyProtection="1">
      <alignment horizontal="left" vertical="center" wrapText="1"/>
      <protection locked="0"/>
    </xf>
    <xf numFmtId="165" fontId="4" fillId="3" borderId="0" xfId="12" applyFont="1" applyFill="1" applyBorder="1" applyAlignment="1" applyProtection="1">
      <alignment horizontal="right" vertical="center" wrapText="1"/>
      <protection locked="0"/>
    </xf>
    <xf numFmtId="166" fontId="4" fillId="3" borderId="0" xfId="0" applyNumberFormat="1" applyFont="1" applyFill="1" applyAlignment="1" applyProtection="1">
      <alignment horizontal="left" vertical="center" wrapText="1"/>
      <protection locked="0"/>
    </xf>
    <xf numFmtId="0" fontId="11" fillId="3" borderId="3" xfId="0" applyFont="1" applyFill="1" applyBorder="1" applyAlignment="1">
      <alignment horizontal="left" vertical="center" wrapText="1"/>
    </xf>
    <xf numFmtId="0" fontId="11" fillId="3" borderId="3" xfId="0" applyFont="1" applyFill="1" applyBorder="1" applyAlignment="1">
      <alignment horizontal="right" vertical="center" wrapText="1"/>
    </xf>
    <xf numFmtId="165" fontId="14" fillId="3" borderId="3" xfId="12" applyFont="1" applyFill="1" applyBorder="1" applyAlignment="1">
      <alignment horizontal="right" vertical="center"/>
    </xf>
    <xf numFmtId="165" fontId="24"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3" fillId="3" borderId="14" xfId="0" applyNumberFormat="1" applyFont="1" applyFill="1" applyBorder="1" applyAlignment="1" applyProtection="1">
      <alignment horizontal="right" vertical="center" wrapText="1"/>
      <protection locked="0"/>
    </xf>
    <xf numFmtId="0" fontId="3" fillId="3" borderId="0" xfId="0" applyFont="1" applyFill="1" applyProtection="1">
      <protection locked="0"/>
    </xf>
    <xf numFmtId="165" fontId="3" fillId="3" borderId="0" xfId="12" applyFont="1" applyFill="1" applyProtection="1">
      <protection locked="0"/>
    </xf>
    <xf numFmtId="165" fontId="22" fillId="2" borderId="0" xfId="12" applyFont="1" applyFill="1" applyBorder="1" applyAlignment="1" applyProtection="1">
      <alignment horizontal="right" vertical="center" wrapText="1"/>
      <protection locked="0"/>
    </xf>
    <xf numFmtId="0" fontId="11" fillId="3" borderId="26" xfId="0" applyFont="1" applyFill="1" applyBorder="1" applyAlignment="1">
      <alignment vertical="center"/>
    </xf>
    <xf numFmtId="10" fontId="3" fillId="3" borderId="21" xfId="12" applyNumberFormat="1" applyFont="1" applyFill="1" applyBorder="1" applyAlignment="1" applyProtection="1">
      <alignment horizontal="right" vertical="center"/>
      <protection locked="0"/>
    </xf>
    <xf numFmtId="10" fontId="3" fillId="3" borderId="29" xfId="12" applyNumberFormat="1" applyFont="1" applyFill="1" applyBorder="1" applyAlignment="1" applyProtection="1">
      <alignment horizontal="right" vertical="center"/>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1" fillId="3" borderId="27" xfId="0" applyFont="1" applyFill="1" applyBorder="1" applyAlignment="1">
      <alignment horizontal="center"/>
    </xf>
    <xf numFmtId="0" fontId="3" fillId="3" borderId="22" xfId="0" applyFont="1" applyFill="1" applyBorder="1" applyAlignment="1">
      <alignment vertical="center"/>
    </xf>
    <xf numFmtId="165" fontId="3" fillId="3" borderId="21" xfId="12" applyFont="1" applyFill="1" applyBorder="1" applyAlignment="1" applyProtection="1">
      <alignment horizontal="right" vertical="center"/>
    </xf>
    <xf numFmtId="0" fontId="3" fillId="3" borderId="28" xfId="0" applyFont="1" applyFill="1" applyBorder="1" applyAlignment="1">
      <alignment vertical="center"/>
    </xf>
    <xf numFmtId="0" fontId="15" fillId="3" borderId="0" xfId="4" applyFont="1" applyFill="1" applyAlignment="1" applyProtection="1">
      <alignment horizontal="left" vertical="center"/>
      <protection locked="0"/>
    </xf>
    <xf numFmtId="0" fontId="15" fillId="3" borderId="0" xfId="4" applyFont="1" applyFill="1" applyAlignment="1" applyProtection="1">
      <alignment horizontal="right" vertical="center" wrapText="1"/>
      <protection locked="0"/>
    </xf>
    <xf numFmtId="10" fontId="22" fillId="2" borderId="0" xfId="9" applyNumberFormat="1" applyFont="1" applyFill="1" applyBorder="1" applyAlignment="1" applyProtection="1">
      <alignment horizontal="right" vertical="center" wrapText="1"/>
      <protection locked="0"/>
    </xf>
    <xf numFmtId="0" fontId="14" fillId="0" borderId="0" xfId="4" applyFont="1" applyAlignment="1" applyProtection="1">
      <alignment vertical="center"/>
      <protection locked="0"/>
    </xf>
    <xf numFmtId="0" fontId="5" fillId="0" borderId="0" xfId="4" applyFont="1" applyAlignment="1" applyProtection="1">
      <alignment horizontal="left" vertical="center"/>
      <protection locked="0"/>
    </xf>
    <xf numFmtId="0" fontId="14" fillId="2" borderId="0" xfId="4" applyFont="1" applyFill="1" applyAlignment="1" applyProtection="1">
      <alignment vertical="center"/>
      <protection locked="0"/>
    </xf>
    <xf numFmtId="0" fontId="6" fillId="2" borderId="0" xfId="4" applyFont="1" applyFill="1" applyAlignment="1" applyProtection="1">
      <alignment vertical="center"/>
      <protection locked="0"/>
    </xf>
    <xf numFmtId="4" fontId="6" fillId="2" borderId="0" xfId="4" applyNumberFormat="1" applyFont="1" applyFill="1" applyAlignment="1" applyProtection="1">
      <alignment vertical="center"/>
      <protection locked="0"/>
    </xf>
    <xf numFmtId="0" fontId="15" fillId="0" borderId="0" xfId="4" applyFont="1" applyAlignment="1" applyProtection="1">
      <alignment vertical="center"/>
      <protection locked="0"/>
    </xf>
    <xf numFmtId="4" fontId="14"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4" fillId="2" borderId="0" xfId="4" applyNumberFormat="1" applyFont="1" applyFill="1" applyAlignment="1" applyProtection="1">
      <alignment vertical="center"/>
      <protection locked="0"/>
    </xf>
    <xf numFmtId="0" fontId="16" fillId="0" borderId="0" xfId="4" applyFont="1" applyAlignment="1" applyProtection="1">
      <alignment horizontal="justify" vertical="center"/>
      <protection locked="0"/>
    </xf>
    <xf numFmtId="0" fontId="0" fillId="3" borderId="24" xfId="0" applyFill="1" applyBorder="1" applyAlignment="1">
      <alignment horizontal="left" vertical="center" wrapText="1"/>
    </xf>
    <xf numFmtId="0" fontId="3" fillId="3" borderId="15" xfId="0" applyFont="1" applyFill="1" applyBorder="1" applyAlignment="1" applyProtection="1">
      <alignment horizontal="left" vertical="center" wrapText="1"/>
      <protection locked="0"/>
    </xf>
    <xf numFmtId="165" fontId="21" fillId="2" borderId="0" xfId="12" applyFont="1" applyFill="1" applyBorder="1" applyAlignment="1" applyProtection="1">
      <alignment horizontal="right" vertical="center" wrapText="1"/>
    </xf>
    <xf numFmtId="165" fontId="22" fillId="2" borderId="2" xfId="12" applyFont="1" applyFill="1" applyBorder="1" applyAlignment="1" applyProtection="1">
      <alignment horizontal="right" vertical="center" wrapText="1"/>
    </xf>
    <xf numFmtId="0" fontId="20" fillId="2" borderId="2" xfId="0" applyFont="1" applyFill="1" applyBorder="1" applyAlignment="1">
      <alignment horizontal="left" vertical="center"/>
    </xf>
    <xf numFmtId="0" fontId="14" fillId="3" borderId="2" xfId="0" applyFont="1" applyFill="1" applyBorder="1" applyAlignment="1">
      <alignment horizontal="left" vertical="center" wrapText="1"/>
    </xf>
    <xf numFmtId="165" fontId="14" fillId="2" borderId="2" xfId="12" applyFont="1" applyFill="1" applyBorder="1" applyAlignment="1" applyProtection="1">
      <alignment horizontal="right" vertical="center"/>
    </xf>
    <xf numFmtId="10" fontId="14" fillId="3" borderId="2" xfId="9" applyNumberFormat="1" applyFont="1" applyFill="1" applyBorder="1" applyAlignment="1" applyProtection="1">
      <alignment horizontal="right" vertical="center"/>
    </xf>
    <xf numFmtId="10" fontId="14" fillId="3" borderId="5" xfId="9" applyNumberFormat="1" applyFont="1" applyFill="1" applyBorder="1" applyAlignment="1" applyProtection="1">
      <alignment horizontal="right" vertical="center"/>
    </xf>
    <xf numFmtId="0" fontId="15"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0" fontId="14" fillId="2" borderId="2" xfId="0" applyFont="1" applyFill="1" applyBorder="1" applyAlignment="1">
      <alignment horizontal="left" vertical="center"/>
    </xf>
    <xf numFmtId="165" fontId="14" fillId="2" borderId="2" xfId="12" applyFont="1" applyFill="1" applyBorder="1" applyAlignment="1">
      <alignment horizontal="right" vertical="center"/>
    </xf>
    <xf numFmtId="165" fontId="14" fillId="2" borderId="5" xfId="12" applyFont="1" applyFill="1" applyBorder="1" applyAlignment="1">
      <alignment horizontal="right" vertical="center"/>
    </xf>
    <xf numFmtId="0" fontId="10" fillId="3" borderId="0" xfId="0" applyFont="1" applyFill="1" applyAlignment="1">
      <alignment horizontal="left" vertical="center" wrapText="1"/>
    </xf>
    <xf numFmtId="0" fontId="11" fillId="2" borderId="1" xfId="0" applyFont="1" applyFill="1" applyBorder="1" applyAlignment="1">
      <alignment horizontal="left" vertical="center"/>
    </xf>
    <xf numFmtId="165" fontId="3" fillId="2" borderId="30" xfId="12" applyFont="1" applyFill="1" applyBorder="1" applyAlignment="1" applyProtection="1">
      <alignment horizontal="right" vertical="center"/>
      <protection locked="0"/>
    </xf>
    <xf numFmtId="165" fontId="3" fillId="2" borderId="10" xfId="12" applyFont="1" applyFill="1" applyBorder="1" applyAlignment="1" applyProtection="1">
      <alignment horizontal="right" vertical="center"/>
    </xf>
    <xf numFmtId="165" fontId="3" fillId="2" borderId="12" xfId="12" applyFont="1" applyFill="1" applyBorder="1" applyAlignment="1" applyProtection="1">
      <alignment horizontal="right" vertical="center"/>
    </xf>
    <xf numFmtId="0" fontId="11" fillId="2" borderId="1" xfId="0"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3" fillId="0" borderId="0" xfId="0" applyFont="1" applyAlignment="1" applyProtection="1">
      <alignment horizontal="justify" vertical="center" wrapText="1"/>
      <protection locked="0"/>
    </xf>
    <xf numFmtId="0" fontId="0" fillId="0" borderId="0" xfId="0" applyProtection="1">
      <protection locked="0"/>
    </xf>
    <xf numFmtId="0" fontId="10" fillId="2" borderId="0" xfId="0" applyFont="1" applyFill="1" applyAlignment="1" applyProtection="1">
      <alignment horizontal="justify"/>
      <protection locked="0"/>
    </xf>
    <xf numFmtId="0" fontId="10"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8" xfId="0" applyNumberFormat="1" applyFill="1" applyBorder="1" applyAlignment="1">
      <alignment horizontal="right" vertical="center"/>
    </xf>
    <xf numFmtId="165" fontId="0" fillId="3" borderId="9" xfId="0" applyNumberFormat="1" applyFill="1" applyBorder="1"/>
    <xf numFmtId="0" fontId="5" fillId="3" borderId="0" xfId="0" applyFont="1" applyFill="1" applyAlignment="1">
      <alignment vertical="center" wrapText="1"/>
    </xf>
    <xf numFmtId="0" fontId="6" fillId="3" borderId="0" xfId="0" applyFont="1" applyFill="1" applyAlignment="1">
      <alignment vertical="center" wrapText="1"/>
    </xf>
    <xf numFmtId="4" fontId="15" fillId="2" borderId="3" xfId="0" applyNumberFormat="1" applyFont="1" applyFill="1" applyBorder="1" applyAlignment="1">
      <alignment horizontal="right" vertical="center"/>
    </xf>
    <xf numFmtId="10" fontId="14" fillId="3" borderId="3" xfId="9" applyNumberFormat="1" applyFont="1" applyFill="1" applyBorder="1" applyAlignment="1" applyProtection="1">
      <alignment horizontal="right" vertical="center"/>
    </xf>
    <xf numFmtId="14" fontId="6" fillId="2" borderId="0" xfId="0" applyNumberFormat="1" applyFont="1" applyFill="1" applyAlignment="1" applyProtection="1">
      <alignment horizontal="right" vertical="center"/>
      <protection locked="0"/>
    </xf>
    <xf numFmtId="14" fontId="14" fillId="2" borderId="0" xfId="4" applyNumberFormat="1" applyFont="1" applyFill="1" applyAlignment="1">
      <alignment horizontal="right" vertical="center" wrapText="1"/>
    </xf>
    <xf numFmtId="14" fontId="14" fillId="0" borderId="5" xfId="4" applyNumberFormat="1" applyFont="1" applyBorder="1" applyAlignment="1">
      <alignment horizontal="right" vertical="center" wrapText="1"/>
    </xf>
    <xf numFmtId="14" fontId="11" fillId="2" borderId="0" xfId="0" applyNumberFormat="1" applyFont="1" applyFill="1" applyAlignment="1">
      <alignment horizontal="right" vertical="center"/>
    </xf>
    <xf numFmtId="14" fontId="11" fillId="2" borderId="5" xfId="0" applyNumberFormat="1" applyFont="1" applyFill="1" applyBorder="1" applyAlignment="1">
      <alignment horizontal="right" vertical="center" wrapText="1"/>
    </xf>
    <xf numFmtId="0" fontId="11" fillId="2" borderId="0" xfId="0" applyFont="1" applyFill="1" applyAlignment="1">
      <alignment horizontal="right" vertical="center"/>
    </xf>
    <xf numFmtId="0" fontId="14" fillId="2" borderId="0" xfId="4" applyFont="1" applyFill="1" applyAlignment="1">
      <alignment horizontal="right" vertical="center" wrapText="1"/>
    </xf>
    <xf numFmtId="0" fontId="11" fillId="2" borderId="0" xfId="0" applyFont="1" applyFill="1" applyAlignment="1">
      <alignment horizontal="center" vertical="center"/>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6" fillId="2" borderId="0" xfId="0" applyFont="1" applyFill="1" applyAlignment="1">
      <alignment horizontal="right" vertical="center"/>
    </xf>
    <xf numFmtId="165" fontId="14" fillId="2" borderId="0" xfId="12" quotePrefix="1" applyFont="1" applyFill="1" applyBorder="1" applyAlignment="1">
      <alignment horizontal="right" vertical="center"/>
    </xf>
    <xf numFmtId="0" fontId="11" fillId="3" borderId="32" xfId="0" applyFont="1" applyFill="1" applyBorder="1" applyAlignment="1">
      <alignment horizontal="center" vertical="center" wrapText="1"/>
    </xf>
    <xf numFmtId="1" fontId="13" fillId="0" borderId="14" xfId="0" applyNumberFormat="1" applyFont="1" applyBorder="1" applyAlignment="1" applyProtection="1">
      <alignment horizontal="right" vertical="center" wrapText="1"/>
      <protection locked="0"/>
    </xf>
    <xf numFmtId="165" fontId="3" fillId="3" borderId="6" xfId="0" applyNumberFormat="1" applyFont="1" applyFill="1" applyBorder="1" applyAlignment="1" applyProtection="1">
      <alignment horizontal="right" vertical="center"/>
      <protection locked="0"/>
    </xf>
    <xf numFmtId="165" fontId="3" fillId="3" borderId="0" xfId="0" applyNumberFormat="1" applyFont="1" applyFill="1" applyAlignment="1" applyProtection="1">
      <alignment horizontal="right" vertical="center"/>
      <protection locked="0"/>
    </xf>
    <xf numFmtId="0" fontId="13" fillId="2" borderId="15" xfId="0" applyFont="1" applyFill="1" applyBorder="1" applyAlignment="1" applyProtection="1">
      <alignment horizontal="center" vertical="center" wrapText="1"/>
      <protection locked="0"/>
    </xf>
    <xf numFmtId="0" fontId="13"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0" fillId="4" borderId="0" xfId="0" applyFill="1" applyAlignment="1" applyProtection="1">
      <alignment wrapText="1"/>
      <protection locked="0"/>
    </xf>
    <xf numFmtId="0" fontId="32"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0" fillId="11" borderId="0" xfId="0" applyFill="1" applyAlignment="1" applyProtection="1">
      <alignment wrapText="1"/>
      <protection locked="0"/>
    </xf>
    <xf numFmtId="166" fontId="11" fillId="3" borderId="32" xfId="0" applyNumberFormat="1" applyFont="1" applyFill="1" applyBorder="1" applyAlignment="1">
      <alignment horizontal="center" vertical="center" wrapText="1"/>
    </xf>
    <xf numFmtId="17" fontId="3" fillId="3" borderId="0" xfId="0" applyNumberFormat="1" applyFont="1" applyFill="1" applyAlignment="1" applyProtection="1">
      <alignment horizontal="left" vertical="center" wrapText="1"/>
      <protection locked="0"/>
    </xf>
    <xf numFmtId="0" fontId="3" fillId="3" borderId="0" xfId="0" applyFont="1" applyFill="1" applyAlignment="1" applyProtection="1">
      <alignment horizontal="left" vertical="center" wrapText="1"/>
      <protection locked="0"/>
    </xf>
    <xf numFmtId="0" fontId="3" fillId="2" borderId="0" xfId="0" applyFont="1" applyFill="1" applyAlignment="1" applyProtection="1">
      <alignment wrapText="1"/>
      <protection locked="0"/>
    </xf>
    <xf numFmtId="0" fontId="5" fillId="2" borderId="0" xfId="0" applyFont="1" applyFill="1" applyAlignment="1" applyProtection="1">
      <alignment horizontal="center" vertical="center"/>
      <protection locked="0"/>
    </xf>
    <xf numFmtId="165" fontId="3" fillId="3" borderId="0" xfId="12" applyFont="1" applyFill="1" applyBorder="1" applyAlignment="1" applyProtection="1">
      <alignment horizontal="right" vertical="center" wrapText="1"/>
      <protection locked="0"/>
    </xf>
    <xf numFmtId="166" fontId="3" fillId="3" borderId="0" xfId="0" applyNumberFormat="1" applyFont="1" applyFill="1" applyAlignment="1" applyProtection="1">
      <alignment horizontal="left" vertical="center" wrapText="1"/>
      <protection locked="0"/>
    </xf>
    <xf numFmtId="0" fontId="5" fillId="2" borderId="0" xfId="0" applyFont="1" applyFill="1" applyAlignment="1">
      <alignment vertical="center" wrapText="1"/>
    </xf>
    <xf numFmtId="0" fontId="2" fillId="3" borderId="0" xfId="14" applyFill="1"/>
    <xf numFmtId="165" fontId="37" fillId="3" borderId="0" xfId="15" applyFont="1" applyFill="1" applyBorder="1" applyAlignment="1" applyProtection="1">
      <alignment horizontal="left" wrapText="1"/>
    </xf>
    <xf numFmtId="0" fontId="12" fillId="3" borderId="9" xfId="14" applyFont="1" applyFill="1" applyBorder="1" applyAlignment="1">
      <alignment horizontal="center" vertical="center" wrapText="1"/>
    </xf>
    <xf numFmtId="165" fontId="12" fillId="3" borderId="9" xfId="15" applyFont="1" applyFill="1" applyBorder="1" applyAlignment="1" applyProtection="1">
      <alignment horizontal="center" vertical="center" wrapText="1"/>
    </xf>
    <xf numFmtId="0" fontId="33" fillId="3" borderId="11" xfId="14" applyFont="1" applyFill="1" applyBorder="1" applyAlignment="1">
      <alignment horizontal="center"/>
    </xf>
    <xf numFmtId="14" fontId="33" fillId="3" borderId="11" xfId="14" applyNumberFormat="1" applyFont="1" applyFill="1" applyBorder="1" applyAlignment="1">
      <alignment horizontal="left" vertical="center"/>
    </xf>
    <xf numFmtId="0" fontId="33" fillId="3" borderId="14" xfId="14" applyFont="1" applyFill="1" applyBorder="1" applyAlignment="1">
      <alignment horizontal="left" vertical="center" wrapText="1"/>
    </xf>
    <xf numFmtId="4" fontId="33" fillId="3" borderId="14" xfId="14" applyNumberFormat="1" applyFont="1" applyFill="1" applyBorder="1" applyAlignment="1">
      <alignment horizontal="right" vertical="center" wrapText="1"/>
    </xf>
    <xf numFmtId="0" fontId="33" fillId="3" borderId="14" xfId="14" applyFont="1" applyFill="1" applyBorder="1" applyAlignment="1">
      <alignment horizontal="right" vertical="center" wrapText="1"/>
    </xf>
    <xf numFmtId="14" fontId="33" fillId="3" borderId="14" xfId="14" applyNumberFormat="1" applyFont="1" applyFill="1" applyBorder="1" applyAlignment="1">
      <alignment horizontal="left" vertical="center"/>
    </xf>
    <xf numFmtId="0" fontId="2" fillId="3" borderId="0" xfId="14" applyFill="1" applyAlignment="1">
      <alignment horizontal="center"/>
    </xf>
    <xf numFmtId="0" fontId="27" fillId="2" borderId="0" xfId="0" applyFont="1" applyFill="1" applyAlignment="1" applyProtection="1">
      <alignment horizontal="center"/>
      <protection locked="0"/>
    </xf>
    <xf numFmtId="0" fontId="3" fillId="3" borderId="0" xfId="0" applyFont="1" applyFill="1"/>
    <xf numFmtId="0" fontId="6" fillId="3" borderId="19" xfId="0" applyFont="1" applyFill="1" applyBorder="1" applyAlignment="1">
      <alignment horizontal="center" vertical="center" wrapText="1"/>
    </xf>
    <xf numFmtId="14" fontId="6" fillId="2" borderId="8" xfId="0" applyNumberFormat="1" applyFont="1" applyFill="1" applyBorder="1" applyAlignment="1">
      <alignment horizontal="right" vertical="center" wrapText="1"/>
    </xf>
    <xf numFmtId="4" fontId="6" fillId="2" borderId="7" xfId="0" applyNumberFormat="1" applyFont="1" applyFill="1" applyBorder="1" applyAlignment="1">
      <alignment horizontal="right" vertical="center"/>
    </xf>
    <xf numFmtId="14" fontId="6" fillId="2" borderId="0" xfId="0" applyNumberFormat="1" applyFont="1" applyFill="1" applyAlignment="1">
      <alignment horizontal="right" vertical="center"/>
    </xf>
    <xf numFmtId="1" fontId="13" fillId="0" borderId="33" xfId="0" applyNumberFormat="1" applyFont="1" applyBorder="1" applyAlignment="1" applyProtection="1">
      <alignment horizontal="right" vertical="center" wrapText="1"/>
      <protection locked="0"/>
    </xf>
    <xf numFmtId="14" fontId="13" fillId="2" borderId="34" xfId="0" applyNumberFormat="1" applyFont="1" applyFill="1" applyBorder="1" applyAlignment="1" applyProtection="1">
      <alignment horizontal="right" vertical="center" wrapText="1"/>
      <protection locked="0"/>
    </xf>
    <xf numFmtId="0" fontId="13" fillId="2" borderId="34" xfId="0" applyFont="1" applyFill="1" applyBorder="1" applyAlignment="1" applyProtection="1">
      <alignment horizontal="left" vertical="center" wrapText="1"/>
      <protection locked="0"/>
    </xf>
    <xf numFmtId="165" fontId="13" fillId="2" borderId="34" xfId="12" applyFont="1" applyFill="1" applyBorder="1" applyAlignment="1" applyProtection="1">
      <alignment horizontal="right" vertical="center" wrapText="1"/>
      <protection locked="0"/>
    </xf>
    <xf numFmtId="0" fontId="13" fillId="3" borderId="34" xfId="0" applyFont="1" applyFill="1" applyBorder="1" applyAlignment="1" applyProtection="1">
      <alignment horizontal="left" vertical="center" wrapText="1"/>
      <protection locked="0"/>
    </xf>
    <xf numFmtId="0" fontId="13" fillId="2" borderId="34" xfId="0" applyFont="1" applyFill="1" applyBorder="1" applyAlignment="1" applyProtection="1">
      <alignment horizontal="center" vertical="center" wrapText="1"/>
      <protection locked="0"/>
    </xf>
    <xf numFmtId="0" fontId="13" fillId="3" borderId="34" xfId="0" applyFont="1" applyFill="1" applyBorder="1" applyAlignment="1" applyProtection="1">
      <alignment horizontal="center" vertical="center" wrapText="1"/>
      <protection locked="0"/>
    </xf>
    <xf numFmtId="0" fontId="13" fillId="3" borderId="35" xfId="0" applyFont="1" applyFill="1" applyBorder="1" applyAlignment="1">
      <alignment horizontal="right" vertical="center" wrapText="1"/>
    </xf>
    <xf numFmtId="14" fontId="13" fillId="3" borderId="34" xfId="0" applyNumberFormat="1" applyFont="1" applyFill="1" applyBorder="1" applyAlignment="1" applyProtection="1">
      <alignment horizontal="right" vertical="center" wrapText="1"/>
      <protection locked="0"/>
    </xf>
    <xf numFmtId="165" fontId="13" fillId="3" borderId="34" xfId="12" applyFont="1" applyFill="1" applyBorder="1" applyAlignment="1" applyProtection="1">
      <alignment horizontal="right" vertical="center" wrapText="1"/>
      <protection locked="0"/>
    </xf>
    <xf numFmtId="14" fontId="13" fillId="3" borderId="36" xfId="0" applyNumberFormat="1" applyFont="1" applyFill="1" applyBorder="1" applyAlignment="1" applyProtection="1">
      <alignment horizontal="right" vertical="center" wrapText="1"/>
      <protection locked="0"/>
    </xf>
    <xf numFmtId="0" fontId="13" fillId="2" borderId="35" xfId="0" applyFont="1" applyFill="1" applyBorder="1" applyAlignment="1">
      <alignment horizontal="right" vertical="center" wrapText="1"/>
    </xf>
    <xf numFmtId="14" fontId="13" fillId="2" borderId="36" xfId="0" applyNumberFormat="1" applyFont="1" applyFill="1" applyBorder="1" applyAlignment="1" applyProtection="1">
      <alignment horizontal="right" vertical="center" wrapText="1"/>
      <protection locked="0"/>
    </xf>
    <xf numFmtId="17" fontId="13" fillId="2" borderId="34" xfId="0" applyNumberFormat="1" applyFont="1" applyFill="1" applyBorder="1" applyAlignment="1" applyProtection="1">
      <alignment horizontal="right" vertical="center" wrapText="1"/>
      <protection locked="0"/>
    </xf>
    <xf numFmtId="0" fontId="13" fillId="3" borderId="34" xfId="0" applyFont="1" applyFill="1" applyBorder="1" applyAlignment="1" applyProtection="1">
      <alignment vertical="center" wrapText="1"/>
      <protection locked="0"/>
    </xf>
    <xf numFmtId="17" fontId="13" fillId="2" borderId="34" xfId="0" applyNumberFormat="1" applyFont="1" applyFill="1" applyBorder="1" applyAlignment="1" applyProtection="1">
      <alignment horizontal="center" vertical="center" wrapText="1"/>
      <protection locked="0"/>
    </xf>
    <xf numFmtId="0" fontId="13" fillId="3" borderId="37" xfId="0" applyFont="1" applyFill="1" applyBorder="1" applyAlignment="1" applyProtection="1">
      <alignment horizontal="left" vertical="center" wrapText="1"/>
      <protection locked="0"/>
    </xf>
    <xf numFmtId="0" fontId="3" fillId="3" borderId="3" xfId="0" applyFont="1" applyFill="1" applyBorder="1" applyAlignment="1">
      <alignment horizontal="center" vertical="center"/>
    </xf>
    <xf numFmtId="0" fontId="11" fillId="3" borderId="18" xfId="0" applyFont="1" applyFill="1" applyBorder="1" applyAlignment="1">
      <alignment horizontal="center" vertical="center" wrapText="1"/>
    </xf>
    <xf numFmtId="0" fontId="3" fillId="0" borderId="18" xfId="0" applyFont="1" applyBorder="1"/>
    <xf numFmtId="0" fontId="16" fillId="3" borderId="0" xfId="0" applyFont="1" applyFill="1" applyAlignment="1" applyProtection="1">
      <alignment horizontal="left" vertical="top"/>
      <protection locked="0"/>
    </xf>
    <xf numFmtId="0" fontId="6" fillId="3" borderId="38" xfId="0" applyFont="1" applyFill="1" applyBorder="1" applyAlignment="1">
      <alignment horizontal="center" vertical="center" wrapText="1"/>
    </xf>
    <xf numFmtId="0" fontId="11" fillId="3" borderId="38" xfId="0" applyFont="1" applyFill="1" applyBorder="1" applyAlignment="1">
      <alignment horizontal="center" vertical="center"/>
    </xf>
    <xf numFmtId="0" fontId="15" fillId="3" borderId="19" xfId="4" applyFont="1" applyFill="1" applyBorder="1" applyAlignment="1">
      <alignment vertical="center" wrapText="1"/>
    </xf>
    <xf numFmtId="165" fontId="0" fillId="3" borderId="39" xfId="0" applyNumberFormat="1" applyFill="1" applyBorder="1" applyAlignment="1">
      <alignment horizontal="right" vertical="center"/>
    </xf>
    <xf numFmtId="10" fontId="3" fillId="3" borderId="23" xfId="9" applyNumberFormat="1" applyFont="1" applyFill="1" applyBorder="1" applyAlignment="1" applyProtection="1">
      <alignment horizontal="right" vertical="center"/>
    </xf>
    <xf numFmtId="165" fontId="0" fillId="3" borderId="40" xfId="0" applyNumberFormat="1" applyFill="1" applyBorder="1" applyAlignment="1">
      <alignment horizontal="right" vertical="center"/>
    </xf>
    <xf numFmtId="10" fontId="3" fillId="3" borderId="41" xfId="9" applyNumberFormat="1" applyFont="1" applyFill="1" applyBorder="1" applyAlignment="1" applyProtection="1">
      <alignment horizontal="right" vertical="center"/>
    </xf>
    <xf numFmtId="10" fontId="3" fillId="3" borderId="42" xfId="9" applyNumberFormat="1" applyFont="1" applyFill="1" applyBorder="1" applyAlignment="1" applyProtection="1">
      <alignment horizontal="right" vertical="center"/>
    </xf>
    <xf numFmtId="0" fontId="6" fillId="3" borderId="19" xfId="4" applyFont="1" applyFill="1" applyBorder="1" applyAlignment="1">
      <alignment horizontal="center" vertical="center" wrapText="1"/>
    </xf>
    <xf numFmtId="0" fontId="11" fillId="2" borderId="13" xfId="0" applyFont="1" applyFill="1" applyBorder="1" applyAlignment="1">
      <alignment horizontal="left" vertical="center" wrapText="1"/>
    </xf>
    <xf numFmtId="165" fontId="39" fillId="12" borderId="48" xfId="0" applyNumberFormat="1" applyFont="1" applyFill="1" applyBorder="1" applyAlignment="1" applyProtection="1">
      <alignment horizontal="right" vertical="center"/>
      <protection locked="0"/>
    </xf>
    <xf numFmtId="0" fontId="36" fillId="12" borderId="43" xfId="0" applyFont="1" applyFill="1" applyBorder="1" applyAlignment="1" applyProtection="1">
      <alignment horizontal="center" vertical="center"/>
      <protection locked="0"/>
    </xf>
    <xf numFmtId="0" fontId="39" fillId="12" borderId="0" xfId="0" applyFont="1" applyFill="1" applyProtection="1">
      <protection locked="0"/>
    </xf>
    <xf numFmtId="0" fontId="40" fillId="12" borderId="43" xfId="0" applyFont="1" applyFill="1" applyBorder="1" applyAlignment="1" applyProtection="1">
      <alignment vertical="center"/>
      <protection locked="0"/>
    </xf>
    <xf numFmtId="0" fontId="40" fillId="12" borderId="43" xfId="0" applyFont="1" applyFill="1" applyBorder="1" applyAlignment="1" applyProtection="1">
      <alignment horizontal="center" vertical="center"/>
      <protection locked="0"/>
    </xf>
    <xf numFmtId="0" fontId="40" fillId="12" borderId="44" xfId="0" applyFont="1" applyFill="1" applyBorder="1" applyAlignment="1" applyProtection="1">
      <alignment horizontal="center" vertical="center"/>
      <protection locked="0"/>
    </xf>
    <xf numFmtId="0" fontId="40" fillId="12" borderId="45" xfId="0" applyFont="1" applyFill="1" applyBorder="1" applyAlignment="1" applyProtection="1">
      <alignment horizontal="center" vertical="center"/>
      <protection locked="0"/>
    </xf>
    <xf numFmtId="0" fontId="40" fillId="12" borderId="46" xfId="0" applyFont="1" applyFill="1" applyBorder="1" applyAlignment="1" applyProtection="1">
      <alignment vertical="center"/>
      <protection locked="0"/>
    </xf>
    <xf numFmtId="165" fontId="39" fillId="12" borderId="47" xfId="0" applyNumberFormat="1" applyFont="1" applyFill="1" applyBorder="1" applyAlignment="1" applyProtection="1">
      <alignment horizontal="right" vertical="center"/>
      <protection locked="0"/>
    </xf>
    <xf numFmtId="165" fontId="39" fillId="12" borderId="49" xfId="0" applyNumberFormat="1" applyFont="1" applyFill="1" applyBorder="1" applyAlignment="1" applyProtection="1">
      <alignment horizontal="right" vertical="center"/>
      <protection locked="0"/>
    </xf>
    <xf numFmtId="0" fontId="40" fillId="12" borderId="49" xfId="0" applyFont="1" applyFill="1" applyBorder="1" applyAlignment="1" applyProtection="1">
      <alignment vertical="center"/>
      <protection locked="0"/>
    </xf>
    <xf numFmtId="0" fontId="40" fillId="12" borderId="48" xfId="0" applyFont="1" applyFill="1" applyBorder="1" applyAlignment="1" applyProtection="1">
      <alignment vertical="center"/>
      <protection locked="0"/>
    </xf>
    <xf numFmtId="0" fontId="40" fillId="12" borderId="44" xfId="0" applyFont="1" applyFill="1" applyBorder="1" applyAlignment="1" applyProtection="1">
      <alignment vertical="center"/>
      <protection locked="0"/>
    </xf>
    <xf numFmtId="165" fontId="39" fillId="12" borderId="44" xfId="0" applyNumberFormat="1" applyFont="1" applyFill="1" applyBorder="1" applyAlignment="1" applyProtection="1">
      <alignment horizontal="right" vertical="center"/>
      <protection locked="0"/>
    </xf>
    <xf numFmtId="0" fontId="40" fillId="12" borderId="44" xfId="0" applyFont="1" applyFill="1" applyBorder="1" applyAlignment="1" applyProtection="1">
      <alignment horizontal="center" vertical="center" wrapText="1"/>
      <protection locked="0"/>
    </xf>
    <xf numFmtId="0" fontId="30" fillId="13" borderId="0" xfId="0" applyFont="1" applyFill="1" applyAlignment="1">
      <alignment horizontal="left" vertical="center" wrapText="1"/>
    </xf>
    <xf numFmtId="0" fontId="39" fillId="13" borderId="50" xfId="0" applyFont="1" applyFill="1" applyBorder="1" applyAlignment="1" applyProtection="1">
      <alignment horizontal="left" vertical="center" wrapText="1"/>
      <protection locked="0"/>
    </xf>
    <xf numFmtId="49" fontId="39" fillId="13" borderId="51" xfId="0" applyNumberFormat="1" applyFont="1" applyFill="1" applyBorder="1" applyAlignment="1" applyProtection="1">
      <alignment horizontal="left" wrapText="1"/>
      <protection locked="0"/>
    </xf>
    <xf numFmtId="165" fontId="41" fillId="13" borderId="0" xfId="0" applyNumberFormat="1" applyFont="1" applyFill="1" applyAlignment="1" applyProtection="1">
      <alignment horizontal="right" vertical="center" wrapText="1"/>
      <protection locked="0"/>
    </xf>
    <xf numFmtId="165" fontId="41" fillId="13" borderId="49" xfId="0" applyNumberFormat="1" applyFont="1" applyFill="1" applyBorder="1" applyAlignment="1" applyProtection="1">
      <alignment horizontal="right" vertical="center" wrapText="1"/>
      <protection locked="0"/>
    </xf>
    <xf numFmtId="165" fontId="41" fillId="12" borderId="0" xfId="0" applyNumberFormat="1" applyFont="1" applyFill="1" applyAlignment="1" applyProtection="1">
      <alignment horizontal="right" vertical="center" wrapText="1"/>
      <protection locked="0"/>
    </xf>
    <xf numFmtId="0" fontId="3" fillId="3" borderId="14" xfId="0" applyFont="1" applyFill="1" applyBorder="1" applyAlignment="1" applyProtection="1">
      <alignment horizontal="left" vertical="center" wrapText="1"/>
      <protection locked="0"/>
    </xf>
    <xf numFmtId="0" fontId="42" fillId="3" borderId="0" xfId="0" applyFont="1" applyFill="1" applyAlignment="1" applyProtection="1">
      <alignment horizontal="center" vertical="center" wrapText="1"/>
      <protection locked="0"/>
    </xf>
    <xf numFmtId="0" fontId="13" fillId="3" borderId="22" xfId="0" applyFont="1" applyFill="1" applyBorder="1" applyAlignment="1" applyProtection="1">
      <alignment horizontal="left" vertical="center" wrapText="1"/>
      <protection locked="0"/>
    </xf>
    <xf numFmtId="0" fontId="12" fillId="3" borderId="14" xfId="0" applyFont="1" applyFill="1" applyBorder="1" applyAlignment="1">
      <alignment horizontal="center" vertical="center" wrapText="1"/>
    </xf>
    <xf numFmtId="0" fontId="5" fillId="3" borderId="0" xfId="0" applyFont="1" applyFill="1" applyAlignment="1">
      <alignment horizontal="center" vertical="center" wrapText="1"/>
    </xf>
    <xf numFmtId="0" fontId="33" fillId="13" borderId="14" xfId="0" applyFont="1" applyFill="1" applyBorder="1" applyAlignment="1">
      <alignment vertical="center" wrapText="1"/>
    </xf>
    <xf numFmtId="0" fontId="33" fillId="13" borderId="14" xfId="0" applyFont="1" applyFill="1" applyBorder="1" applyAlignment="1">
      <alignment horizontal="left" vertical="center" wrapText="1"/>
    </xf>
    <xf numFmtId="0" fontId="33" fillId="12" borderId="14" xfId="0" applyFont="1" applyFill="1" applyBorder="1" applyAlignment="1">
      <alignment horizontal="left" vertical="center" wrapText="1"/>
    </xf>
    <xf numFmtId="0" fontId="13" fillId="2" borderId="14" xfId="0" applyFont="1" applyFill="1" applyBorder="1" applyAlignment="1" applyProtection="1">
      <alignment horizontal="center" vertical="center" wrapText="1"/>
      <protection locked="0"/>
    </xf>
    <xf numFmtId="1" fontId="33" fillId="12" borderId="14" xfId="0" applyNumberFormat="1" applyFont="1" applyFill="1" applyBorder="1" applyAlignment="1">
      <alignment horizontal="left" vertical="center" wrapText="1"/>
    </xf>
    <xf numFmtId="0" fontId="36" fillId="13" borderId="53" xfId="0" applyFont="1" applyFill="1" applyBorder="1" applyAlignment="1">
      <alignment horizontal="left" vertical="center" wrapText="1"/>
    </xf>
    <xf numFmtId="0" fontId="31" fillId="13" borderId="53" xfId="0" applyFont="1" applyFill="1" applyBorder="1" applyAlignment="1">
      <alignment horizontal="left" vertical="center" wrapText="1"/>
    </xf>
    <xf numFmtId="0" fontId="39" fillId="13" borderId="0" xfId="0" applyFont="1" applyFill="1" applyAlignment="1">
      <alignment wrapText="1"/>
    </xf>
    <xf numFmtId="0" fontId="43" fillId="12" borderId="54" xfId="0" applyFont="1" applyFill="1" applyBorder="1" applyAlignment="1">
      <alignment vertical="center"/>
    </xf>
    <xf numFmtId="0" fontId="43" fillId="13" borderId="55" xfId="0" applyFont="1" applyFill="1" applyBorder="1" applyAlignment="1">
      <alignment vertical="center" wrapText="1"/>
    </xf>
    <xf numFmtId="0" fontId="15" fillId="2" borderId="3" xfId="0" applyFont="1" applyFill="1" applyBorder="1" applyAlignment="1">
      <alignment vertical="center"/>
    </xf>
    <xf numFmtId="0" fontId="43" fillId="13" borderId="56" xfId="0" applyFont="1" applyFill="1" applyBorder="1" applyAlignment="1">
      <alignment vertical="center" wrapText="1"/>
    </xf>
    <xf numFmtId="165" fontId="14" fillId="2" borderId="6" xfId="12" applyFont="1" applyFill="1" applyBorder="1" applyAlignment="1" applyProtection="1">
      <alignment horizontal="right" vertical="center"/>
    </xf>
    <xf numFmtId="165" fontId="3" fillId="3" borderId="29" xfId="12" applyFont="1" applyFill="1" applyBorder="1" applyAlignment="1" applyProtection="1">
      <alignment horizontal="right" vertical="center"/>
    </xf>
    <xf numFmtId="0" fontId="33" fillId="14" borderId="14" xfId="0" applyFont="1" applyFill="1" applyBorder="1" applyAlignment="1">
      <alignment horizontal="left" vertical="center" wrapText="1"/>
    </xf>
    <xf numFmtId="14" fontId="13" fillId="2" borderId="14" xfId="0" applyNumberFormat="1" applyFont="1" applyFill="1" applyBorder="1" applyAlignment="1" applyProtection="1">
      <alignment horizontal="left" vertical="center" wrapText="1"/>
      <protection locked="0"/>
    </xf>
    <xf numFmtId="14" fontId="13" fillId="3" borderId="14" xfId="0" applyNumberFormat="1" applyFont="1" applyFill="1" applyBorder="1" applyAlignment="1" applyProtection="1">
      <alignment horizontal="left" vertical="center" wrapText="1"/>
      <protection locked="0"/>
    </xf>
    <xf numFmtId="0" fontId="13" fillId="3" borderId="14" xfId="0" applyFont="1" applyFill="1" applyBorder="1" applyAlignment="1" applyProtection="1">
      <alignment horizontal="left" vertical="center" wrapText="1"/>
      <protection locked="0"/>
    </xf>
    <xf numFmtId="167" fontId="33" fillId="3" borderId="57" xfId="0" applyNumberFormat="1" applyFont="1" applyFill="1" applyBorder="1" applyAlignment="1" applyProtection="1">
      <alignment horizontal="right" vertical="center" wrapText="1"/>
      <protection locked="0"/>
    </xf>
    <xf numFmtId="0" fontId="13" fillId="3" borderId="14" xfId="0" applyFont="1" applyFill="1" applyBorder="1" applyAlignment="1" applyProtection="1">
      <alignment horizontal="left" vertical="center"/>
      <protection locked="0"/>
    </xf>
    <xf numFmtId="0" fontId="33" fillId="15" borderId="14" xfId="0" applyFont="1" applyFill="1" applyBorder="1" applyAlignment="1">
      <alignment horizontal="left" vertical="center" wrapText="1"/>
    </xf>
    <xf numFmtId="0" fontId="13" fillId="2" borderId="14" xfId="0" applyFont="1" applyFill="1" applyBorder="1" applyAlignment="1" applyProtection="1">
      <alignment horizontal="left" vertical="center" wrapText="1"/>
      <protection locked="0"/>
    </xf>
    <xf numFmtId="14" fontId="13" fillId="2" borderId="14" xfId="0" applyNumberFormat="1" applyFont="1" applyFill="1" applyBorder="1" applyAlignment="1" applyProtection="1">
      <alignment horizontal="right" vertical="center" wrapText="1"/>
      <protection locked="0"/>
    </xf>
    <xf numFmtId="17" fontId="13" fillId="2" borderId="14" xfId="0" applyNumberFormat="1" applyFont="1" applyFill="1" applyBorder="1" applyAlignment="1" applyProtection="1">
      <alignment horizontal="right" vertical="center" wrapText="1"/>
      <protection locked="0"/>
    </xf>
    <xf numFmtId="165" fontId="13" fillId="2" borderId="14" xfId="12" applyFont="1" applyFill="1" applyBorder="1" applyAlignment="1" applyProtection="1">
      <alignment horizontal="right" vertical="center" wrapText="1"/>
      <protection locked="0"/>
    </xf>
    <xf numFmtId="0" fontId="13" fillId="2" borderId="14" xfId="0" applyFont="1" applyFill="1" applyBorder="1" applyAlignment="1" applyProtection="1">
      <alignment horizontal="justify" vertical="center" wrapText="1"/>
      <protection locked="0"/>
    </xf>
    <xf numFmtId="17" fontId="13" fillId="3" borderId="14" xfId="0" applyNumberFormat="1" applyFont="1" applyFill="1" applyBorder="1" applyAlignment="1" applyProtection="1">
      <alignment horizontal="right" vertical="center" wrapText="1"/>
      <protection locked="0"/>
    </xf>
    <xf numFmtId="165" fontId="13" fillId="3" borderId="14" xfId="12" applyFont="1" applyFill="1" applyBorder="1" applyAlignment="1" applyProtection="1">
      <alignment horizontal="right" vertical="center" wrapText="1"/>
      <protection locked="0"/>
    </xf>
    <xf numFmtId="0" fontId="33" fillId="2" borderId="14" xfId="0" applyFont="1" applyFill="1" applyBorder="1" applyAlignment="1" applyProtection="1">
      <alignment horizontal="left" vertical="center" wrapText="1"/>
      <protection locked="0"/>
    </xf>
    <xf numFmtId="0" fontId="13" fillId="3" borderId="14" xfId="0" applyFont="1" applyFill="1" applyBorder="1" applyAlignment="1" applyProtection="1">
      <alignment horizontal="justify" vertical="center" wrapText="1"/>
      <protection locked="0"/>
    </xf>
    <xf numFmtId="14" fontId="13" fillId="3" borderId="14" xfId="0" applyNumberFormat="1" applyFont="1" applyFill="1" applyBorder="1" applyAlignment="1" applyProtection="1">
      <alignment horizontal="right" vertical="center" wrapText="1"/>
      <protection locked="0"/>
    </xf>
    <xf numFmtId="165" fontId="13" fillId="0" borderId="14" xfId="12" applyFont="1" applyFill="1" applyBorder="1" applyAlignment="1" applyProtection="1">
      <alignment horizontal="right" vertical="center" wrapText="1"/>
      <protection locked="0"/>
    </xf>
    <xf numFmtId="0" fontId="13" fillId="0" borderId="14" xfId="0" applyFont="1" applyBorder="1" applyAlignment="1" applyProtection="1">
      <alignment horizontal="left" vertical="center" wrapText="1"/>
      <protection locked="0"/>
    </xf>
    <xf numFmtId="167" fontId="13" fillId="3" borderId="14" xfId="0" applyNumberFormat="1" applyFont="1" applyFill="1" applyBorder="1" applyAlignment="1" applyProtection="1">
      <alignment horizontal="right" vertical="center" wrapText="1"/>
      <protection locked="0"/>
    </xf>
    <xf numFmtId="0" fontId="13" fillId="2" borderId="14" xfId="0" applyFont="1" applyFill="1" applyBorder="1" applyAlignment="1">
      <alignment horizontal="right" vertical="center" wrapText="1"/>
    </xf>
    <xf numFmtId="167" fontId="33" fillId="3" borderId="14" xfId="0" applyNumberFormat="1" applyFont="1" applyFill="1" applyBorder="1" applyAlignment="1" applyProtection="1">
      <alignment horizontal="right" vertical="center" wrapText="1"/>
      <protection locked="0"/>
    </xf>
    <xf numFmtId="0" fontId="33" fillId="3" borderId="14" xfId="0" applyFont="1" applyFill="1" applyBorder="1" applyAlignment="1" applyProtection="1">
      <alignment horizontal="left" vertical="center" wrapText="1"/>
      <protection locked="0"/>
    </xf>
    <xf numFmtId="165" fontId="33" fillId="3" borderId="14" xfId="12" applyFont="1" applyFill="1" applyBorder="1" applyAlignment="1" applyProtection="1">
      <alignment horizontal="right" vertical="center" wrapText="1"/>
      <protection locked="0"/>
    </xf>
    <xf numFmtId="49" fontId="33" fillId="3" borderId="14" xfId="0" applyNumberFormat="1" applyFont="1" applyFill="1" applyBorder="1" applyAlignment="1" applyProtection="1">
      <alignment horizontal="left" vertical="center" wrapText="1"/>
      <protection locked="0"/>
    </xf>
    <xf numFmtId="0" fontId="33" fillId="3" borderId="14" xfId="0" applyFont="1" applyFill="1" applyBorder="1" applyAlignment="1" applyProtection="1">
      <alignment horizontal="justify" vertical="center" wrapText="1"/>
      <protection locked="0"/>
    </xf>
    <xf numFmtId="2" fontId="33" fillId="3" borderId="14" xfId="0" applyNumberFormat="1" applyFont="1" applyFill="1" applyBorder="1" applyAlignment="1" applyProtection="1">
      <alignment horizontal="left" vertical="center" wrapText="1"/>
      <protection locked="0"/>
    </xf>
    <xf numFmtId="1" fontId="33" fillId="3" borderId="14" xfId="0" applyNumberFormat="1" applyFont="1" applyFill="1" applyBorder="1" applyAlignment="1" applyProtection="1">
      <alignment horizontal="left" vertical="center" wrapText="1"/>
      <protection locked="0"/>
    </xf>
    <xf numFmtId="0" fontId="33" fillId="15" borderId="14" xfId="0" applyFont="1" applyFill="1" applyBorder="1" applyAlignment="1">
      <alignment horizontal="justify" vertical="center" wrapText="1"/>
    </xf>
    <xf numFmtId="0" fontId="20" fillId="2" borderId="5" xfId="4" applyFont="1" applyFill="1" applyBorder="1" applyAlignment="1">
      <alignment horizontal="left" vertical="center"/>
    </xf>
    <xf numFmtId="0" fontId="14" fillId="3" borderId="5" xfId="4" applyFont="1" applyFill="1" applyBorder="1" applyAlignment="1">
      <alignment horizontal="left" vertical="center" wrapText="1"/>
    </xf>
    <xf numFmtId="165" fontId="21" fillId="2" borderId="5" xfId="12" applyFont="1" applyFill="1" applyBorder="1" applyAlignment="1" applyProtection="1">
      <alignment horizontal="right" vertical="center" wrapText="1"/>
      <protection locked="0"/>
    </xf>
    <xf numFmtId="165" fontId="22" fillId="2" borderId="5" xfId="12" applyFont="1" applyFill="1" applyBorder="1" applyAlignment="1" applyProtection="1">
      <alignment horizontal="right" vertical="center" wrapText="1"/>
    </xf>
    <xf numFmtId="0" fontId="20" fillId="2" borderId="1" xfId="4" applyFont="1" applyFill="1" applyBorder="1" applyAlignment="1">
      <alignment horizontal="left" vertical="center"/>
    </xf>
    <xf numFmtId="0" fontId="14" fillId="3" borderId="1" xfId="4" applyFont="1" applyFill="1" applyBorder="1" applyAlignment="1">
      <alignment horizontal="left" vertical="center" wrapText="1"/>
    </xf>
    <xf numFmtId="165" fontId="21" fillId="2" borderId="1" xfId="12" applyFont="1" applyFill="1" applyBorder="1" applyAlignment="1" applyProtection="1">
      <alignment horizontal="right" vertical="center" wrapText="1"/>
      <protection locked="0"/>
    </xf>
    <xf numFmtId="10" fontId="21" fillId="3" borderId="5" xfId="9" applyNumberFormat="1" applyFont="1" applyFill="1" applyBorder="1" applyAlignment="1" applyProtection="1">
      <alignment horizontal="right" vertical="center" wrapText="1"/>
    </xf>
    <xf numFmtId="165" fontId="21" fillId="3" borderId="5" xfId="12" applyFont="1" applyFill="1" applyBorder="1" applyAlignment="1" applyProtection="1">
      <alignment horizontal="right" vertical="center" wrapText="1"/>
    </xf>
    <xf numFmtId="165" fontId="21" fillId="2" borderId="5" xfId="12" applyFont="1" applyFill="1" applyBorder="1" applyAlignment="1" applyProtection="1">
      <alignment horizontal="right" vertical="center" wrapText="1"/>
    </xf>
    <xf numFmtId="10" fontId="21" fillId="3" borderId="1" xfId="9" applyNumberFormat="1" applyFont="1" applyFill="1" applyBorder="1" applyAlignment="1" applyProtection="1">
      <alignment horizontal="right" vertical="center" wrapText="1"/>
    </xf>
    <xf numFmtId="165" fontId="21" fillId="3" borderId="1" xfId="12" applyFont="1" applyFill="1" applyBorder="1" applyAlignment="1" applyProtection="1">
      <alignment horizontal="right" vertical="center" wrapText="1"/>
    </xf>
    <xf numFmtId="165" fontId="21" fillId="2" borderId="1" xfId="12" applyFont="1" applyFill="1" applyBorder="1" applyAlignment="1" applyProtection="1">
      <alignment horizontal="right" vertical="center" wrapText="1"/>
    </xf>
    <xf numFmtId="14" fontId="13" fillId="3" borderId="14" xfId="0" applyNumberFormat="1" applyFont="1" applyFill="1" applyBorder="1" applyAlignment="1" applyProtection="1">
      <alignment horizontal="left" vertical="top" wrapText="1"/>
      <protection locked="0"/>
    </xf>
    <xf numFmtId="14" fontId="33" fillId="3" borderId="14" xfId="0" applyNumberFormat="1" applyFont="1" applyFill="1" applyBorder="1" applyAlignment="1" applyProtection="1">
      <alignment horizontal="left" vertical="center" wrapText="1"/>
      <protection locked="0"/>
    </xf>
    <xf numFmtId="0" fontId="33" fillId="3" borderId="14" xfId="0" applyFont="1" applyFill="1" applyBorder="1" applyAlignment="1">
      <alignment horizontal="justify" vertical="center" wrapText="1"/>
    </xf>
    <xf numFmtId="165" fontId="12" fillId="3" borderId="14" xfId="12" applyFont="1" applyFill="1" applyBorder="1" applyAlignment="1" applyProtection="1">
      <alignment horizontal="center" vertical="center"/>
    </xf>
    <xf numFmtId="165" fontId="12" fillId="3" borderId="14" xfId="12" applyFont="1" applyFill="1" applyBorder="1" applyAlignment="1" applyProtection="1">
      <alignment horizontal="center" vertical="center" wrapText="1"/>
    </xf>
    <xf numFmtId="165" fontId="33" fillId="3" borderId="14" xfId="0" applyNumberFormat="1" applyFont="1" applyFill="1" applyBorder="1" applyAlignment="1">
      <alignment horizontal="center" vertical="center" wrapText="1"/>
    </xf>
    <xf numFmtId="0" fontId="33" fillId="3" borderId="14" xfId="0" applyFont="1" applyFill="1" applyBorder="1" applyAlignment="1">
      <alignment vertical="center" wrapText="1"/>
    </xf>
    <xf numFmtId="0" fontId="33" fillId="3" borderId="14" xfId="0" applyFont="1" applyFill="1" applyBorder="1" applyAlignment="1">
      <alignment horizontal="left" vertical="center" wrapText="1"/>
    </xf>
    <xf numFmtId="0" fontId="13" fillId="3" borderId="52" xfId="0" applyFont="1" applyFill="1" applyBorder="1" applyAlignment="1" applyProtection="1">
      <alignment horizontal="left" vertical="center" wrapText="1"/>
      <protection locked="0"/>
    </xf>
    <xf numFmtId="14" fontId="13" fillId="3" borderId="60" xfId="0" applyNumberFormat="1" applyFont="1" applyFill="1" applyBorder="1" applyAlignment="1" applyProtection="1">
      <alignment horizontal="right" vertical="center" wrapText="1"/>
      <protection locked="0"/>
    </xf>
    <xf numFmtId="1" fontId="33" fillId="13" borderId="14" xfId="0" applyNumberFormat="1" applyFont="1" applyFill="1" applyBorder="1" applyAlignment="1">
      <alignment horizontal="left" vertical="center" wrapText="1"/>
    </xf>
    <xf numFmtId="14" fontId="33" fillId="3" borderId="14" xfId="0" applyNumberFormat="1" applyFont="1" applyFill="1" applyBorder="1" applyAlignment="1" applyProtection="1">
      <alignment horizontal="right" vertical="center" wrapText="1"/>
      <protection locked="0"/>
    </xf>
    <xf numFmtId="17" fontId="33" fillId="3" borderId="14" xfId="0" applyNumberFormat="1" applyFont="1" applyFill="1" applyBorder="1" applyAlignment="1" applyProtection="1">
      <alignment horizontal="right" vertical="center" wrapText="1"/>
      <protection locked="0"/>
    </xf>
    <xf numFmtId="0" fontId="13" fillId="3" borderId="14" xfId="0" applyFont="1" applyFill="1" applyBorder="1" applyAlignment="1" applyProtection="1">
      <alignment horizontal="center" vertical="center" wrapText="1"/>
      <protection locked="0"/>
    </xf>
    <xf numFmtId="165" fontId="33" fillId="13" borderId="14" xfId="0" applyNumberFormat="1" applyFont="1" applyFill="1" applyBorder="1" applyAlignment="1">
      <alignment horizontal="left" vertical="center" wrapText="1"/>
    </xf>
    <xf numFmtId="14" fontId="33" fillId="13" borderId="14" xfId="0" applyNumberFormat="1" applyFont="1" applyFill="1" applyBorder="1" applyAlignment="1">
      <alignment horizontal="left" vertical="center" wrapText="1"/>
    </xf>
    <xf numFmtId="165" fontId="33" fillId="3" borderId="14" xfId="12" applyFont="1" applyFill="1" applyBorder="1" applyAlignment="1">
      <alignment horizontal="left" vertical="center" wrapText="1"/>
    </xf>
    <xf numFmtId="14" fontId="33" fillId="13" borderId="14" xfId="0" applyNumberFormat="1" applyFont="1" applyFill="1" applyBorder="1" applyAlignment="1">
      <alignment horizontal="center" vertical="center" wrapText="1"/>
    </xf>
    <xf numFmtId="0" fontId="11" fillId="3" borderId="32" xfId="0" applyFont="1" applyFill="1" applyBorder="1" applyAlignment="1">
      <alignment vertical="center" wrapText="1"/>
    </xf>
    <xf numFmtId="0" fontId="13" fillId="3" borderId="14" xfId="0" applyFont="1" applyFill="1" applyBorder="1" applyAlignment="1" applyProtection="1">
      <alignment vertical="center" wrapText="1"/>
      <protection locked="0"/>
    </xf>
    <xf numFmtId="0" fontId="33" fillId="3" borderId="14" xfId="0" applyFont="1" applyFill="1" applyBorder="1" applyAlignment="1" applyProtection="1">
      <alignment vertical="center" wrapText="1"/>
      <protection locked="0"/>
    </xf>
    <xf numFmtId="0" fontId="33" fillId="15" borderId="14" xfId="0" applyFont="1" applyFill="1" applyBorder="1" applyAlignment="1">
      <alignment vertical="center" wrapText="1"/>
    </xf>
    <xf numFmtId="0" fontId="13" fillId="3" borderId="52" xfId="0" applyFont="1"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13" fillId="2" borderId="0" xfId="0" applyFont="1" applyFill="1" applyAlignment="1" applyProtection="1">
      <alignment wrapText="1"/>
      <protection locked="0"/>
    </xf>
    <xf numFmtId="0" fontId="13" fillId="3" borderId="53" xfId="0" applyFont="1" applyFill="1" applyBorder="1" applyAlignment="1" applyProtection="1">
      <alignment vertical="center" wrapText="1"/>
      <protection locked="0"/>
    </xf>
    <xf numFmtId="1" fontId="33" fillId="13" borderId="14" xfId="0" applyNumberFormat="1" applyFont="1" applyFill="1" applyBorder="1" applyAlignment="1">
      <alignment horizontal="right" vertical="center" wrapText="1"/>
    </xf>
    <xf numFmtId="165" fontId="13" fillId="3" borderId="53" xfId="12" applyFont="1" applyFill="1" applyBorder="1" applyAlignment="1" applyProtection="1">
      <alignment horizontal="right" vertical="center" wrapText="1"/>
      <protection locked="0"/>
    </xf>
    <xf numFmtId="0" fontId="13" fillId="3" borderId="53" xfId="0" applyFont="1" applyFill="1" applyBorder="1" applyAlignment="1" applyProtection="1">
      <alignment horizontal="justify" vertical="center" wrapText="1"/>
      <protection locked="0"/>
    </xf>
    <xf numFmtId="165" fontId="33" fillId="3" borderId="53" xfId="12" applyFont="1" applyFill="1" applyBorder="1" applyAlignment="1">
      <alignment horizontal="left" vertical="center" wrapText="1"/>
    </xf>
    <xf numFmtId="165" fontId="33" fillId="13" borderId="53" xfId="0" applyNumberFormat="1" applyFont="1" applyFill="1" applyBorder="1" applyAlignment="1">
      <alignment horizontal="left" vertical="center" wrapText="1"/>
    </xf>
    <xf numFmtId="1" fontId="33" fillId="13" borderId="53" xfId="0" applyNumberFormat="1" applyFont="1" applyFill="1" applyBorder="1" applyAlignment="1">
      <alignment horizontal="left" vertical="center" wrapText="1"/>
    </xf>
    <xf numFmtId="0" fontId="13" fillId="3" borderId="62" xfId="0" applyFont="1" applyFill="1" applyBorder="1" applyAlignment="1" applyProtection="1">
      <alignment horizontal="justify" vertical="center" wrapText="1"/>
      <protection locked="0"/>
    </xf>
    <xf numFmtId="14" fontId="33" fillId="13" borderId="53" xfId="0" applyNumberFormat="1" applyFont="1" applyFill="1" applyBorder="1" applyAlignment="1">
      <alignment horizontal="left" vertical="center" wrapText="1"/>
    </xf>
    <xf numFmtId="0" fontId="33" fillId="13" borderId="53" xfId="0" applyFont="1" applyFill="1" applyBorder="1" applyAlignment="1">
      <alignment horizontal="left" vertical="center" wrapText="1"/>
    </xf>
    <xf numFmtId="0" fontId="33" fillId="3" borderId="14" xfId="0" applyFont="1" applyFill="1" applyBorder="1" applyAlignment="1" applyProtection="1">
      <alignment horizontal="center" vertical="center" wrapText="1"/>
      <protection locked="0"/>
    </xf>
    <xf numFmtId="0" fontId="13" fillId="4" borderId="0" xfId="0" applyFont="1" applyFill="1" applyAlignment="1" applyProtection="1">
      <alignment wrapText="1"/>
      <protection locked="0"/>
    </xf>
    <xf numFmtId="49" fontId="33" fillId="13" borderId="53" xfId="0" applyNumberFormat="1" applyFont="1" applyFill="1" applyBorder="1" applyAlignment="1">
      <alignment horizontal="left" vertical="center" wrapText="1"/>
    </xf>
    <xf numFmtId="165" fontId="33" fillId="13" borderId="62" xfId="0" applyNumberFormat="1" applyFont="1" applyFill="1" applyBorder="1" applyAlignment="1">
      <alignment horizontal="left" vertical="center" wrapText="1"/>
    </xf>
    <xf numFmtId="1" fontId="33" fillId="13" borderId="62" xfId="0" applyNumberFormat="1" applyFont="1" applyFill="1" applyBorder="1" applyAlignment="1">
      <alignment horizontal="left" vertical="center" wrapText="1"/>
    </xf>
    <xf numFmtId="14" fontId="33" fillId="13" borderId="62" xfId="0" applyNumberFormat="1" applyFont="1" applyFill="1" applyBorder="1" applyAlignment="1">
      <alignment horizontal="left" vertical="center" wrapText="1"/>
    </xf>
    <xf numFmtId="0" fontId="33" fillId="13" borderId="62" xfId="0" applyFont="1" applyFill="1" applyBorder="1" applyAlignment="1">
      <alignment horizontal="left" vertical="center" wrapText="1"/>
    </xf>
    <xf numFmtId="0" fontId="0" fillId="3" borderId="0" xfId="0" applyFill="1" applyAlignment="1" applyProtection="1">
      <alignment wrapText="1"/>
      <protection locked="0"/>
    </xf>
    <xf numFmtId="0" fontId="13" fillId="3" borderId="0" xfId="0" applyFont="1" applyFill="1" applyAlignment="1" applyProtection="1">
      <alignment wrapText="1"/>
      <protection locked="0"/>
    </xf>
    <xf numFmtId="165" fontId="33" fillId="3" borderId="53" xfId="0" applyNumberFormat="1" applyFont="1" applyFill="1" applyBorder="1" applyAlignment="1">
      <alignment horizontal="center" vertical="center" wrapText="1"/>
    </xf>
    <xf numFmtId="166" fontId="11" fillId="2" borderId="14" xfId="0" applyNumberFormat="1"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3" borderId="14" xfId="0" applyFont="1" applyFill="1" applyBorder="1" applyAlignment="1">
      <alignment horizontal="center" vertical="center" wrapText="1"/>
    </xf>
    <xf numFmtId="1" fontId="11" fillId="2" borderId="14" xfId="0" applyNumberFormat="1" applyFont="1" applyFill="1" applyBorder="1" applyAlignment="1">
      <alignment horizontal="center" vertical="center" wrapText="1"/>
    </xf>
    <xf numFmtId="0" fontId="33" fillId="13" borderId="63" xfId="0" applyFont="1" applyFill="1" applyBorder="1" applyAlignment="1">
      <alignment horizontal="left" vertical="center" wrapText="1"/>
    </xf>
    <xf numFmtId="4" fontId="33" fillId="13" borderId="63" xfId="0" applyNumberFormat="1" applyFont="1" applyFill="1" applyBorder="1" applyAlignment="1">
      <alignment horizontal="right" vertical="center" wrapText="1"/>
    </xf>
    <xf numFmtId="0" fontId="33" fillId="13" borderId="63" xfId="0" applyFont="1" applyFill="1" applyBorder="1" applyAlignment="1">
      <alignment horizontal="right" vertical="center" wrapText="1"/>
    </xf>
    <xf numFmtId="14" fontId="33" fillId="13" borderId="63" xfId="0" applyNumberFormat="1" applyFont="1" applyFill="1" applyBorder="1" applyAlignment="1">
      <alignment horizontal="left" vertical="center"/>
    </xf>
    <xf numFmtId="4" fontId="33" fillId="13" borderId="53" xfId="0" applyNumberFormat="1" applyFont="1" applyFill="1" applyBorder="1" applyAlignment="1">
      <alignment horizontal="right" vertical="center" wrapText="1"/>
    </xf>
    <xf numFmtId="0" fontId="33" fillId="13" borderId="53" xfId="0" applyFont="1" applyFill="1" applyBorder="1" applyAlignment="1">
      <alignment horizontal="right" vertical="center" wrapText="1"/>
    </xf>
    <xf numFmtId="14" fontId="33" fillId="13" borderId="53" xfId="0" applyNumberFormat="1" applyFont="1" applyFill="1" applyBorder="1" applyAlignment="1">
      <alignment horizontal="left" vertical="center"/>
    </xf>
    <xf numFmtId="0" fontId="13" fillId="3" borderId="14" xfId="0" applyFont="1" applyFill="1" applyBorder="1" applyAlignment="1">
      <alignment horizontal="right" vertical="center" wrapText="1"/>
    </xf>
    <xf numFmtId="165" fontId="33" fillId="3" borderId="62" xfId="0" applyNumberFormat="1" applyFont="1" applyFill="1" applyBorder="1" applyAlignment="1">
      <alignment horizontal="center" vertical="center" wrapText="1"/>
    </xf>
    <xf numFmtId="14" fontId="13" fillId="3" borderId="53" xfId="0" applyNumberFormat="1" applyFont="1" applyFill="1" applyBorder="1" applyAlignment="1" applyProtection="1">
      <alignment horizontal="right" vertical="center" wrapText="1"/>
      <protection locked="0"/>
    </xf>
    <xf numFmtId="0" fontId="33" fillId="3" borderId="0" xfId="0" applyFont="1" applyFill="1" applyAlignment="1" applyProtection="1">
      <alignment horizontal="justify" vertical="center" wrapText="1"/>
      <protection locked="0"/>
    </xf>
    <xf numFmtId="0" fontId="13" fillId="3" borderId="0" xfId="0" applyFont="1" applyFill="1" applyAlignment="1" applyProtection="1">
      <alignment horizontal="justify" vertical="center" wrapText="1"/>
      <protection locked="0"/>
    </xf>
    <xf numFmtId="0" fontId="13" fillId="3" borderId="21" xfId="0" applyFont="1" applyFill="1" applyBorder="1" applyAlignment="1" applyProtection="1">
      <alignment horizontal="justify" vertical="center" wrapText="1"/>
      <protection locked="0"/>
    </xf>
    <xf numFmtId="0" fontId="33" fillId="13" borderId="0" xfId="0" applyFont="1" applyFill="1" applyAlignment="1">
      <alignment horizontal="left" vertical="center" wrapText="1"/>
    </xf>
    <xf numFmtId="0" fontId="33" fillId="3" borderId="53" xfId="0" applyFont="1" applyFill="1" applyBorder="1" applyAlignment="1" applyProtection="1">
      <alignment vertical="center" wrapText="1"/>
      <protection locked="0"/>
    </xf>
    <xf numFmtId="0" fontId="33" fillId="13" borderId="62" xfId="0" applyFont="1" applyFill="1" applyBorder="1" applyAlignment="1">
      <alignment vertical="center" wrapText="1"/>
    </xf>
    <xf numFmtId="0" fontId="33" fillId="13" borderId="53" xfId="0" applyFont="1" applyFill="1" applyBorder="1" applyAlignment="1">
      <alignment vertical="center" wrapText="1"/>
    </xf>
    <xf numFmtId="0" fontId="13" fillId="3" borderId="62" xfId="0" applyFont="1" applyFill="1" applyBorder="1" applyAlignment="1" applyProtection="1">
      <alignment vertical="center" wrapText="1"/>
      <protection locked="0"/>
    </xf>
    <xf numFmtId="0" fontId="13" fillId="3" borderId="62" xfId="0" applyFont="1" applyFill="1" applyBorder="1" applyAlignment="1" applyProtection="1">
      <alignment horizontal="left" vertical="center" wrapText="1"/>
      <protection locked="0"/>
    </xf>
    <xf numFmtId="0" fontId="33" fillId="3" borderId="62" xfId="0" applyFont="1" applyFill="1" applyBorder="1" applyAlignment="1" applyProtection="1">
      <alignment horizontal="left" vertical="center" wrapText="1"/>
      <protection locked="0"/>
    </xf>
    <xf numFmtId="0" fontId="33" fillId="15" borderId="62" xfId="0" applyFont="1" applyFill="1" applyBorder="1" applyAlignment="1">
      <alignment horizontal="left" vertical="center" wrapText="1"/>
    </xf>
    <xf numFmtId="165" fontId="33" fillId="13" borderId="14" xfId="0" applyNumberFormat="1" applyFont="1" applyFill="1" applyBorder="1" applyAlignment="1">
      <alignment horizontal="right" vertical="center" wrapText="1"/>
    </xf>
    <xf numFmtId="0" fontId="13" fillId="3" borderId="53" xfId="0" applyFont="1" applyFill="1" applyBorder="1" applyAlignment="1" applyProtection="1">
      <alignment horizontal="left" vertical="center" wrapText="1"/>
      <protection locked="0"/>
    </xf>
    <xf numFmtId="0" fontId="33" fillId="15" borderId="53" xfId="0" applyFont="1" applyFill="1" applyBorder="1" applyAlignment="1">
      <alignment horizontal="left" vertical="center" wrapText="1"/>
    </xf>
    <xf numFmtId="49" fontId="33" fillId="3" borderId="53" xfId="0" applyNumberFormat="1" applyFont="1" applyFill="1" applyBorder="1" applyAlignment="1" applyProtection="1">
      <alignment horizontal="left" vertical="center" wrapText="1"/>
      <protection locked="0"/>
    </xf>
    <xf numFmtId="49" fontId="33" fillId="13" borderId="14" xfId="0" applyNumberFormat="1" applyFont="1" applyFill="1" applyBorder="1" applyAlignment="1">
      <alignment horizontal="left" vertical="center" wrapText="1"/>
    </xf>
    <xf numFmtId="165" fontId="13" fillId="3" borderId="62" xfId="12" applyFont="1" applyFill="1" applyBorder="1" applyAlignment="1" applyProtection="1">
      <alignment horizontal="right" vertical="center" wrapText="1"/>
      <protection locked="0"/>
    </xf>
    <xf numFmtId="43" fontId="33" fillId="3" borderId="14" xfId="19" applyNumberFormat="1" applyFont="1" applyFill="1" applyBorder="1" applyAlignment="1">
      <alignment horizontal="center" vertical="center" wrapText="1"/>
    </xf>
    <xf numFmtId="0" fontId="31" fillId="2" borderId="0" xfId="0" applyFont="1" applyFill="1" applyAlignment="1" applyProtection="1">
      <alignment horizontal="center"/>
      <protection locked="0"/>
    </xf>
    <xf numFmtId="0" fontId="13" fillId="3" borderId="14" xfId="0" applyFont="1" applyFill="1" applyBorder="1" applyAlignment="1" applyProtection="1">
      <alignment wrapText="1"/>
      <protection locked="0"/>
    </xf>
    <xf numFmtId="0" fontId="0" fillId="3" borderId="14" xfId="0" applyFill="1" applyBorder="1" applyAlignment="1" applyProtection="1">
      <alignment wrapText="1"/>
      <protection locked="0"/>
    </xf>
    <xf numFmtId="0" fontId="32" fillId="3" borderId="14" xfId="0" applyFont="1" applyFill="1" applyBorder="1" applyAlignment="1" applyProtection="1">
      <alignment wrapText="1"/>
      <protection locked="0"/>
    </xf>
    <xf numFmtId="0" fontId="32" fillId="3" borderId="0" xfId="0" applyFont="1" applyFill="1" applyAlignment="1" applyProtection="1">
      <alignment wrapText="1"/>
      <protection locked="0"/>
    </xf>
    <xf numFmtId="0" fontId="17" fillId="3" borderId="0" xfId="0" applyFont="1" applyFill="1" applyAlignment="1" applyProtection="1">
      <alignment horizontal="right" vertical="center" wrapText="1"/>
      <protection locked="0"/>
    </xf>
    <xf numFmtId="1" fontId="6" fillId="3" borderId="0" xfId="0" applyNumberFormat="1" applyFont="1" applyFill="1" applyAlignment="1">
      <alignment horizontal="right" vertical="center" wrapText="1"/>
    </xf>
    <xf numFmtId="1" fontId="11" fillId="3" borderId="32" xfId="0" applyNumberFormat="1" applyFont="1" applyFill="1" applyBorder="1" applyAlignment="1">
      <alignment horizontal="center" vertical="center" wrapText="1"/>
    </xf>
    <xf numFmtId="0" fontId="3" fillId="3" borderId="58" xfId="0" applyFont="1" applyFill="1" applyBorder="1" applyAlignment="1" applyProtection="1">
      <alignment horizontal="center" vertical="center" wrapText="1"/>
      <protection locked="0"/>
    </xf>
    <xf numFmtId="0" fontId="0" fillId="3" borderId="0" xfId="0" applyFill="1" applyAlignment="1" applyProtection="1">
      <alignment horizontal="center" wrapText="1"/>
      <protection locked="0"/>
    </xf>
    <xf numFmtId="165" fontId="33" fillId="3" borderId="14" xfId="12" applyFont="1" applyFill="1" applyBorder="1" applyAlignment="1">
      <alignment horizontal="center" vertical="center" wrapText="1"/>
    </xf>
    <xf numFmtId="43" fontId="33" fillId="3" borderId="14" xfId="16" applyNumberFormat="1" applyFont="1" applyFill="1" applyBorder="1" applyAlignment="1">
      <alignment horizontal="center" vertical="center" wrapText="1"/>
    </xf>
    <xf numFmtId="14" fontId="33" fillId="15" borderId="14" xfId="0" applyNumberFormat="1" applyFont="1" applyFill="1" applyBorder="1" applyAlignment="1">
      <alignment horizontal="left" vertical="center" wrapText="1"/>
    </xf>
    <xf numFmtId="1" fontId="33" fillId="15" borderId="14" xfId="0" applyNumberFormat="1" applyFont="1" applyFill="1" applyBorder="1" applyAlignment="1">
      <alignment horizontal="left" vertical="center" wrapText="1"/>
    </xf>
    <xf numFmtId="4" fontId="13" fillId="3" borderId="14" xfId="0" applyNumberFormat="1" applyFont="1" applyFill="1" applyBorder="1" applyAlignment="1" applyProtection="1">
      <alignment horizontal="left" vertical="center" wrapText="1"/>
      <protection locked="0"/>
    </xf>
    <xf numFmtId="1" fontId="13" fillId="3" borderId="14" xfId="0" applyNumberFormat="1" applyFont="1" applyFill="1" applyBorder="1" applyAlignment="1" applyProtection="1">
      <alignment horizontal="left" vertical="center" wrapText="1"/>
      <protection locked="0"/>
    </xf>
    <xf numFmtId="16" fontId="13" fillId="3" borderId="14" xfId="0" applyNumberFormat="1" applyFont="1" applyFill="1" applyBorder="1" applyAlignment="1" applyProtection="1">
      <alignment horizontal="justify" vertical="center" wrapText="1"/>
      <protection locked="0"/>
    </xf>
    <xf numFmtId="3" fontId="13" fillId="3" borderId="14" xfId="0" applyNumberFormat="1" applyFont="1" applyFill="1" applyBorder="1" applyAlignment="1" applyProtection="1">
      <alignment horizontal="left" vertical="center" wrapText="1"/>
      <protection locked="0"/>
    </xf>
    <xf numFmtId="1" fontId="33" fillId="3" borderId="14" xfId="0" applyNumberFormat="1" applyFont="1" applyFill="1" applyBorder="1" applyAlignment="1">
      <alignment horizontal="left" vertical="center" wrapText="1"/>
    </xf>
    <xf numFmtId="0" fontId="13" fillId="3" borderId="14" xfId="0" applyFont="1" applyFill="1" applyBorder="1" applyAlignment="1" applyProtection="1">
      <alignment horizontal="justify" vertical="distributed" wrapText="1"/>
      <protection locked="0"/>
    </xf>
    <xf numFmtId="49" fontId="33" fillId="15" borderId="14" xfId="0" applyNumberFormat="1" applyFont="1" applyFill="1" applyBorder="1" applyAlignment="1">
      <alignment horizontal="left" vertical="center" wrapText="1"/>
    </xf>
    <xf numFmtId="0" fontId="13" fillId="3" borderId="14" xfId="0" applyFont="1" applyFill="1" applyBorder="1" applyAlignment="1">
      <alignment vertical="center" wrapText="1"/>
    </xf>
    <xf numFmtId="0" fontId="35" fillId="3" borderId="14" xfId="0" applyFont="1" applyFill="1" applyBorder="1" applyAlignment="1">
      <alignment wrapText="1"/>
    </xf>
    <xf numFmtId="0" fontId="33" fillId="3" borderId="14" xfId="0" applyFont="1" applyFill="1" applyBorder="1" applyAlignment="1">
      <alignment vertical="center"/>
    </xf>
    <xf numFmtId="165" fontId="13" fillId="3" borderId="61" xfId="12" applyFont="1" applyFill="1" applyBorder="1" applyAlignment="1" applyProtection="1">
      <alignment horizontal="right" vertical="center" wrapText="1"/>
      <protection locked="0"/>
    </xf>
    <xf numFmtId="165" fontId="33" fillId="3" borderId="61" xfId="0" applyNumberFormat="1" applyFont="1" applyFill="1" applyBorder="1" applyAlignment="1">
      <alignment horizontal="center" vertical="center" wrapText="1"/>
    </xf>
    <xf numFmtId="1" fontId="33" fillId="15" borderId="53" xfId="0" applyNumberFormat="1" applyFont="1" applyFill="1" applyBorder="1" applyAlignment="1">
      <alignment horizontal="left" vertical="center" wrapText="1"/>
    </xf>
    <xf numFmtId="14" fontId="13" fillId="3" borderId="53" xfId="0" applyNumberFormat="1" applyFont="1" applyFill="1" applyBorder="1" applyAlignment="1" applyProtection="1">
      <alignment horizontal="left" vertical="center" wrapText="1"/>
      <protection locked="0"/>
    </xf>
    <xf numFmtId="17" fontId="13" fillId="3" borderId="57" xfId="0" applyNumberFormat="1" applyFont="1" applyFill="1" applyBorder="1" applyAlignment="1" applyProtection="1">
      <alignment horizontal="right" vertical="center" wrapText="1"/>
      <protection locked="0"/>
    </xf>
    <xf numFmtId="1" fontId="13" fillId="3" borderId="53" xfId="0" applyNumberFormat="1" applyFont="1" applyFill="1" applyBorder="1" applyAlignment="1" applyProtection="1">
      <alignment horizontal="left" vertical="center" wrapText="1"/>
      <protection locked="0"/>
    </xf>
    <xf numFmtId="0" fontId="33" fillId="15" borderId="58" xfId="0" applyFont="1" applyFill="1" applyBorder="1" applyAlignment="1">
      <alignment horizontal="justify" vertical="center" wrapText="1"/>
    </xf>
    <xf numFmtId="0" fontId="13" fillId="3" borderId="14" xfId="0" applyFont="1" applyFill="1" applyBorder="1" applyAlignment="1">
      <alignment horizontal="left" vertical="center" wrapText="1"/>
    </xf>
    <xf numFmtId="14" fontId="33" fillId="3" borderId="53" xfId="0" applyNumberFormat="1" applyFont="1" applyFill="1" applyBorder="1" applyAlignment="1">
      <alignment horizontal="right" vertical="center" wrapText="1"/>
    </xf>
    <xf numFmtId="0" fontId="33" fillId="3" borderId="53" xfId="0" applyFont="1" applyFill="1" applyBorder="1" applyAlignment="1">
      <alignment horizontal="left" vertical="center" wrapText="1"/>
    </xf>
    <xf numFmtId="165" fontId="33" fillId="3" borderId="53" xfId="12" applyFont="1" applyFill="1" applyBorder="1" applyAlignment="1" applyProtection="1">
      <alignment horizontal="right" vertical="center" wrapText="1"/>
      <protection locked="0"/>
    </xf>
    <xf numFmtId="0" fontId="33" fillId="3" borderId="53" xfId="0" applyFont="1" applyFill="1" applyBorder="1" applyAlignment="1" applyProtection="1">
      <alignment horizontal="left" vertical="center" wrapText="1"/>
      <protection locked="0"/>
    </xf>
    <xf numFmtId="0" fontId="33" fillId="3" borderId="53" xfId="0" applyFont="1" applyFill="1" applyBorder="1" applyAlignment="1">
      <alignment vertical="center" wrapText="1"/>
    </xf>
    <xf numFmtId="0" fontId="13" fillId="3" borderId="14" xfId="0" applyFont="1" applyFill="1" applyBorder="1" applyAlignment="1" applyProtection="1">
      <alignment horizontal="left" wrapText="1"/>
      <protection locked="0"/>
    </xf>
    <xf numFmtId="14" fontId="13" fillId="3" borderId="62" xfId="0" applyNumberFormat="1" applyFont="1" applyFill="1" applyBorder="1" applyAlignment="1" applyProtection="1">
      <alignment horizontal="left" vertical="center" wrapText="1"/>
      <protection locked="0"/>
    </xf>
    <xf numFmtId="165" fontId="13" fillId="3" borderId="64" xfId="12" applyFont="1" applyFill="1" applyBorder="1" applyAlignment="1" applyProtection="1">
      <alignment horizontal="right" vertical="center" wrapText="1"/>
      <protection locked="0"/>
    </xf>
    <xf numFmtId="1" fontId="33" fillId="15" borderId="62" xfId="0" applyNumberFormat="1" applyFont="1" applyFill="1" applyBorder="1" applyAlignment="1">
      <alignment horizontal="left" vertical="center" wrapText="1"/>
    </xf>
    <xf numFmtId="0" fontId="33" fillId="3" borderId="62" xfId="0" applyFont="1" applyFill="1" applyBorder="1" applyAlignment="1">
      <alignment horizontal="left" vertical="center" wrapText="1"/>
    </xf>
    <xf numFmtId="14" fontId="13" fillId="3" borderId="62" xfId="0" applyNumberFormat="1" applyFont="1" applyFill="1" applyBorder="1" applyAlignment="1" applyProtection="1">
      <alignment horizontal="right" vertical="center" wrapText="1"/>
      <protection locked="0"/>
    </xf>
    <xf numFmtId="0" fontId="33" fillId="3" borderId="53" xfId="0" applyFont="1" applyFill="1" applyBorder="1" applyAlignment="1">
      <alignment horizontal="justify" vertical="center" wrapText="1"/>
    </xf>
    <xf numFmtId="1" fontId="33" fillId="3" borderId="53" xfId="0" applyNumberFormat="1" applyFont="1" applyFill="1" applyBorder="1" applyAlignment="1">
      <alignment horizontal="left" vertical="center" wrapText="1"/>
    </xf>
    <xf numFmtId="49" fontId="13" fillId="3" borderId="14" xfId="0" applyNumberFormat="1" applyFont="1" applyFill="1" applyBorder="1" applyAlignment="1" applyProtection="1">
      <alignment horizontal="left" vertical="center" wrapText="1"/>
      <protection locked="0"/>
    </xf>
    <xf numFmtId="0" fontId="13" fillId="3" borderId="59" xfId="0" applyFont="1" applyFill="1" applyBorder="1" applyAlignment="1">
      <alignment horizontal="right" vertical="center" wrapText="1"/>
    </xf>
    <xf numFmtId="14" fontId="13" fillId="3" borderId="52" xfId="0" applyNumberFormat="1" applyFont="1" applyFill="1" applyBorder="1" applyAlignment="1" applyProtection="1">
      <alignment horizontal="right" vertical="center" wrapText="1"/>
      <protection locked="0"/>
    </xf>
    <xf numFmtId="17" fontId="13" fillId="3" borderId="52" xfId="0" applyNumberFormat="1" applyFont="1" applyFill="1" applyBorder="1" applyAlignment="1" applyProtection="1">
      <alignment horizontal="right" vertical="center" wrapText="1"/>
      <protection locked="0"/>
    </xf>
    <xf numFmtId="165" fontId="13" fillId="3" borderId="52" xfId="12" applyFont="1" applyFill="1" applyBorder="1" applyAlignment="1" applyProtection="1">
      <alignment horizontal="right" vertical="center" wrapText="1"/>
      <protection locked="0"/>
    </xf>
    <xf numFmtId="14" fontId="13" fillId="3" borderId="60" xfId="0" applyNumberFormat="1" applyFont="1" applyFill="1" applyBorder="1" applyAlignment="1" applyProtection="1">
      <alignment horizontal="left" vertical="center" wrapText="1"/>
      <protection locked="0"/>
    </xf>
    <xf numFmtId="1" fontId="13" fillId="3" borderId="11" xfId="0" applyNumberFormat="1" applyFont="1" applyFill="1" applyBorder="1" applyAlignment="1" applyProtection="1">
      <alignment horizontal="right" vertical="center" wrapText="1"/>
      <protection locked="0"/>
    </xf>
    <xf numFmtId="0" fontId="13" fillId="3" borderId="11" xfId="0" applyFont="1" applyFill="1" applyBorder="1" applyAlignment="1" applyProtection="1">
      <alignment wrapText="1"/>
      <protection locked="0"/>
    </xf>
    <xf numFmtId="17" fontId="13" fillId="3" borderId="34" xfId="0" applyNumberFormat="1" applyFont="1" applyFill="1" applyBorder="1" applyAlignment="1" applyProtection="1">
      <alignment horizontal="right" vertical="center" wrapText="1"/>
      <protection locked="0"/>
    </xf>
    <xf numFmtId="14" fontId="13" fillId="3" borderId="36" xfId="0" applyNumberFormat="1" applyFont="1" applyFill="1" applyBorder="1" applyAlignment="1" applyProtection="1">
      <alignment horizontal="left" vertical="center" wrapText="1"/>
      <protection locked="0"/>
    </xf>
    <xf numFmtId="0" fontId="13" fillId="3" borderId="36" xfId="0" applyFont="1" applyFill="1" applyBorder="1" applyAlignment="1" applyProtection="1">
      <alignment horizontal="left" vertical="center" wrapText="1"/>
      <protection locked="0"/>
    </xf>
    <xf numFmtId="0" fontId="35" fillId="3" borderId="14" xfId="0" applyFont="1" applyFill="1" applyBorder="1" applyAlignment="1">
      <alignment horizontal="left" vertical="center" wrapText="1"/>
    </xf>
    <xf numFmtId="0" fontId="35" fillId="3" borderId="14" xfId="0" applyFont="1" applyFill="1" applyBorder="1"/>
    <xf numFmtId="0" fontId="35" fillId="3" borderId="14" xfId="0" applyFont="1" applyFill="1" applyBorder="1" applyAlignment="1">
      <alignment horizontal="left" vertical="center"/>
    </xf>
    <xf numFmtId="14" fontId="33" fillId="3" borderId="14" xfId="0" applyNumberFormat="1" applyFont="1" applyFill="1" applyBorder="1" applyAlignment="1">
      <alignment horizontal="right" vertical="center" wrapText="1"/>
    </xf>
    <xf numFmtId="14" fontId="33" fillId="3" borderId="62" xfId="0" applyNumberFormat="1" applyFont="1" applyFill="1" applyBorder="1" applyAlignment="1">
      <alignment horizontal="right" vertical="center" wrapText="1"/>
    </xf>
    <xf numFmtId="17" fontId="13" fillId="3" borderId="14" xfId="0" applyNumberFormat="1" applyFont="1" applyFill="1" applyBorder="1" applyAlignment="1" applyProtection="1">
      <alignment horizontal="center" vertical="center" wrapText="1"/>
      <protection locked="0"/>
    </xf>
    <xf numFmtId="17" fontId="13" fillId="0" borderId="14" xfId="0" applyNumberFormat="1" applyFont="1" applyBorder="1" applyAlignment="1" applyProtection="1">
      <alignment horizontal="right" vertical="center" wrapText="1"/>
      <protection locked="0"/>
    </xf>
    <xf numFmtId="0" fontId="33" fillId="0" borderId="14" xfId="0" applyFont="1" applyBorder="1" applyAlignment="1" applyProtection="1">
      <alignment horizontal="left" vertical="center" wrapText="1"/>
      <protection locked="0"/>
    </xf>
    <xf numFmtId="165" fontId="34" fillId="3" borderId="14" xfId="12" applyFont="1" applyFill="1" applyBorder="1" applyAlignment="1" applyProtection="1">
      <alignment horizontal="right" vertical="center" wrapText="1"/>
      <protection locked="0"/>
    </xf>
    <xf numFmtId="0" fontId="33" fillId="0" borderId="14" xfId="0" applyFont="1" applyBorder="1" applyAlignment="1">
      <alignment horizontal="left" vertical="center" wrapText="1"/>
    </xf>
    <xf numFmtId="1" fontId="13" fillId="2" borderId="14" xfId="0" applyNumberFormat="1" applyFont="1" applyFill="1" applyBorder="1" applyAlignment="1" applyProtection="1">
      <alignment horizontal="left" vertical="center" wrapText="1"/>
      <protection locked="0"/>
    </xf>
    <xf numFmtId="0" fontId="13" fillId="2" borderId="36" xfId="0" applyFont="1" applyFill="1" applyBorder="1" applyAlignment="1" applyProtection="1">
      <alignment horizontal="left" vertical="center" wrapText="1"/>
      <protection locked="0"/>
    </xf>
    <xf numFmtId="14" fontId="13" fillId="0" borderId="14" xfId="0" applyNumberFormat="1" applyFont="1" applyBorder="1" applyAlignment="1" applyProtection="1">
      <alignment horizontal="left" vertical="center" wrapText="1"/>
      <protection locked="0"/>
    </xf>
    <xf numFmtId="14" fontId="13" fillId="2" borderId="34" xfId="0" applyNumberFormat="1" applyFont="1" applyFill="1" applyBorder="1" applyAlignment="1" applyProtection="1">
      <alignment horizontal="left" vertical="center" wrapText="1"/>
      <protection locked="0"/>
    </xf>
    <xf numFmtId="0" fontId="13" fillId="0" borderId="14" xfId="0" applyFont="1" applyBorder="1" applyAlignment="1">
      <alignment horizontal="left" vertical="center"/>
    </xf>
    <xf numFmtId="0" fontId="0" fillId="16" borderId="0" xfId="0" applyFill="1" applyAlignment="1" applyProtection="1">
      <alignment horizontal="center" vertical="center" wrapText="1"/>
      <protection locked="0"/>
    </xf>
    <xf numFmtId="1" fontId="13" fillId="16" borderId="14" xfId="0" applyNumberFormat="1" applyFont="1" applyFill="1" applyBorder="1" applyAlignment="1" applyProtection="1">
      <alignment horizontal="right" vertical="center" wrapText="1"/>
      <protection locked="0"/>
    </xf>
    <xf numFmtId="0" fontId="13" fillId="16" borderId="14" xfId="0" applyFont="1" applyFill="1" applyBorder="1" applyAlignment="1" applyProtection="1">
      <alignment wrapText="1"/>
      <protection locked="0"/>
    </xf>
    <xf numFmtId="0" fontId="13" fillId="16" borderId="14" xfId="0" applyFont="1" applyFill="1" applyBorder="1" applyAlignment="1" applyProtection="1">
      <alignment horizontal="center" vertical="center" wrapText="1"/>
      <protection locked="0"/>
    </xf>
    <xf numFmtId="0" fontId="33" fillId="16" borderId="14" xfId="0" applyFont="1" applyFill="1" applyBorder="1" applyAlignment="1" applyProtection="1">
      <alignment horizontal="center" vertical="center" wrapText="1"/>
      <protection locked="0"/>
    </xf>
    <xf numFmtId="0" fontId="13" fillId="16" borderId="14" xfId="0" applyFont="1" applyFill="1" applyBorder="1" applyAlignment="1" applyProtection="1">
      <alignment horizontal="left" wrapText="1"/>
      <protection locked="0"/>
    </xf>
    <xf numFmtId="1" fontId="13" fillId="16" borderId="11" xfId="0" applyNumberFormat="1" applyFont="1" applyFill="1" applyBorder="1" applyAlignment="1" applyProtection="1">
      <alignment horizontal="right" vertical="center" wrapText="1"/>
      <protection locked="0"/>
    </xf>
    <xf numFmtId="0" fontId="0" fillId="16" borderId="11" xfId="0" applyFill="1" applyBorder="1" applyAlignment="1" applyProtection="1">
      <alignment wrapText="1"/>
      <protection locked="0"/>
    </xf>
    <xf numFmtId="0" fontId="0" fillId="16" borderId="14" xfId="0" applyFill="1" applyBorder="1" applyAlignment="1" applyProtection="1">
      <alignment wrapText="1"/>
      <protection locked="0"/>
    </xf>
    <xf numFmtId="0" fontId="0" fillId="16" borderId="14" xfId="0" applyFill="1" applyBorder="1" applyAlignment="1" applyProtection="1">
      <alignment horizontal="center" vertical="center" wrapText="1"/>
      <protection locked="0"/>
    </xf>
    <xf numFmtId="0" fontId="13" fillId="16" borderId="14" xfId="0" quotePrefix="1" applyFont="1" applyFill="1" applyBorder="1" applyAlignment="1" applyProtection="1">
      <alignment horizontal="center" vertical="center" wrapText="1"/>
      <protection locked="0"/>
    </xf>
    <xf numFmtId="1" fontId="13" fillId="17" borderId="14" xfId="0" applyNumberFormat="1" applyFont="1" applyFill="1" applyBorder="1" applyAlignment="1">
      <alignment horizontal="left" vertical="center" wrapText="1"/>
    </xf>
    <xf numFmtId="0" fontId="13" fillId="0" borderId="14" xfId="0" applyFont="1" applyBorder="1" applyAlignment="1">
      <alignment horizontal="right" vertical="center" wrapText="1"/>
    </xf>
    <xf numFmtId="2" fontId="0" fillId="0" borderId="14" xfId="0" applyNumberFormat="1" applyBorder="1" applyAlignment="1">
      <alignment vertical="center"/>
    </xf>
    <xf numFmtId="0" fontId="13" fillId="17" borderId="14" xfId="0" applyFont="1" applyFill="1" applyBorder="1" applyAlignment="1">
      <alignment horizontal="left" vertical="center" wrapText="1"/>
    </xf>
    <xf numFmtId="0" fontId="13" fillId="2" borderId="59" xfId="0" applyFont="1" applyFill="1" applyBorder="1" applyAlignment="1">
      <alignment horizontal="right" vertical="center" wrapText="1"/>
    </xf>
    <xf numFmtId="14" fontId="13" fillId="2" borderId="52" xfId="0" applyNumberFormat="1" applyFont="1" applyFill="1" applyBorder="1" applyAlignment="1" applyProtection="1">
      <alignment horizontal="left" vertical="center" wrapText="1"/>
      <protection locked="0"/>
    </xf>
    <xf numFmtId="17" fontId="13" fillId="2" borderId="52" xfId="0" applyNumberFormat="1" applyFont="1" applyFill="1" applyBorder="1" applyAlignment="1" applyProtection="1">
      <alignment horizontal="center" vertical="center" wrapText="1"/>
      <protection locked="0"/>
    </xf>
    <xf numFmtId="0" fontId="13" fillId="2" borderId="52" xfId="0" applyFont="1" applyFill="1" applyBorder="1" applyAlignment="1" applyProtection="1">
      <alignment horizontal="left" vertical="center" wrapText="1"/>
      <protection locked="0"/>
    </xf>
    <xf numFmtId="165" fontId="13" fillId="2" borderId="52" xfId="12" applyFont="1" applyFill="1" applyBorder="1" applyAlignment="1" applyProtection="1">
      <alignment horizontal="right" vertical="center" wrapText="1"/>
      <protection locked="0"/>
    </xf>
    <xf numFmtId="0" fontId="13" fillId="2" borderId="60" xfId="0" applyFont="1" applyFill="1" applyBorder="1" applyAlignment="1" applyProtection="1">
      <alignment horizontal="left" vertical="center" wrapText="1"/>
      <protection locked="0"/>
    </xf>
    <xf numFmtId="1" fontId="33" fillId="13" borderId="14" xfId="23" applyNumberFormat="1" applyFont="1" applyFill="1" applyBorder="1" applyAlignment="1">
      <alignment horizontal="left" vertical="center" wrapText="1"/>
    </xf>
    <xf numFmtId="1" fontId="33" fillId="13" borderId="14" xfId="22" applyNumberFormat="1" applyFont="1" applyFill="1" applyBorder="1" applyAlignment="1">
      <alignment horizontal="left" vertical="center" wrapText="1"/>
    </xf>
    <xf numFmtId="165" fontId="33" fillId="0" borderId="14" xfId="0" applyNumberFormat="1" applyFont="1" applyBorder="1" applyAlignment="1">
      <alignment horizontal="center" vertical="center" wrapText="1"/>
    </xf>
    <xf numFmtId="17" fontId="13" fillId="2" borderId="14" xfId="0" applyNumberFormat="1" applyFont="1" applyFill="1" applyBorder="1" applyAlignment="1" applyProtection="1">
      <alignment horizontal="center" vertical="center" wrapText="1"/>
      <protection locked="0"/>
    </xf>
    <xf numFmtId="0" fontId="32" fillId="18" borderId="0" xfId="0" applyFont="1" applyFill="1" applyAlignment="1" applyProtection="1">
      <alignment wrapText="1"/>
      <protection locked="0"/>
    </xf>
    <xf numFmtId="165" fontId="33" fillId="0" borderId="53" xfId="0" applyNumberFormat="1" applyFont="1" applyBorder="1" applyAlignment="1">
      <alignment horizontal="center" vertical="center" wrapText="1"/>
    </xf>
    <xf numFmtId="1" fontId="13" fillId="16" borderId="58" xfId="0" applyNumberFormat="1" applyFont="1" applyFill="1" applyBorder="1" applyAlignment="1" applyProtection="1">
      <alignment horizontal="right" vertical="center" wrapText="1"/>
      <protection locked="0"/>
    </xf>
    <xf numFmtId="0" fontId="13" fillId="16" borderId="58" xfId="0" applyFont="1" applyFill="1" applyBorder="1" applyAlignment="1" applyProtection="1">
      <alignment wrapText="1"/>
      <protection locked="0"/>
    </xf>
    <xf numFmtId="0" fontId="13" fillId="16" borderId="58" xfId="0" applyFont="1" applyFill="1" applyBorder="1" applyAlignment="1" applyProtection="1">
      <alignment horizontal="center" vertical="center" wrapText="1"/>
      <protection locked="0"/>
    </xf>
    <xf numFmtId="0" fontId="13" fillId="3" borderId="58" xfId="0" applyFont="1" applyFill="1" applyBorder="1" applyAlignment="1">
      <alignment horizontal="right" vertical="center" wrapText="1"/>
    </xf>
    <xf numFmtId="14" fontId="13" fillId="3" borderId="58" xfId="0" applyNumberFormat="1" applyFont="1" applyFill="1" applyBorder="1" applyAlignment="1" applyProtection="1">
      <alignment horizontal="left" vertical="center" wrapText="1"/>
      <protection locked="0"/>
    </xf>
    <xf numFmtId="1" fontId="33" fillId="19" borderId="53" xfId="0" applyNumberFormat="1" applyFont="1" applyFill="1" applyBorder="1" applyAlignment="1">
      <alignment horizontal="left" vertical="center" wrapText="1"/>
    </xf>
    <xf numFmtId="0" fontId="13" fillId="3" borderId="58" xfId="0" applyFont="1" applyFill="1" applyBorder="1" applyAlignment="1" applyProtection="1">
      <alignment horizontal="left" vertical="center" wrapText="1"/>
      <protection locked="0"/>
    </xf>
    <xf numFmtId="167" fontId="13" fillId="3" borderId="58" xfId="0" applyNumberFormat="1" applyFont="1" applyFill="1" applyBorder="1" applyAlignment="1" applyProtection="1">
      <alignment horizontal="right" vertical="center" wrapText="1"/>
      <protection locked="0"/>
    </xf>
    <xf numFmtId="165" fontId="33" fillId="3" borderId="64" xfId="0" applyNumberFormat="1" applyFont="1" applyFill="1" applyBorder="1" applyAlignment="1">
      <alignment horizontal="center" vertical="center" wrapText="1"/>
    </xf>
    <xf numFmtId="0" fontId="13" fillId="3" borderId="65" xfId="0" applyFont="1" applyFill="1" applyBorder="1" applyAlignment="1" applyProtection="1">
      <alignment horizontal="left" vertical="center" wrapText="1"/>
      <protection locked="0"/>
    </xf>
    <xf numFmtId="0" fontId="33" fillId="13" borderId="14" xfId="0" applyFont="1" applyFill="1" applyBorder="1" applyAlignment="1">
      <alignment horizontal="justify" vertical="center" wrapText="1"/>
    </xf>
    <xf numFmtId="0" fontId="13" fillId="17" borderId="14" xfId="0" applyFont="1" applyFill="1" applyBorder="1" applyAlignment="1">
      <alignment horizontal="justify" vertical="center" wrapText="1"/>
    </xf>
    <xf numFmtId="0" fontId="33" fillId="13" borderId="14" xfId="23" applyFont="1" applyFill="1" applyBorder="1" applyAlignment="1">
      <alignment horizontal="justify" vertical="center" wrapText="1"/>
    </xf>
    <xf numFmtId="0" fontId="33" fillId="2" borderId="14" xfId="0" applyFont="1" applyFill="1" applyBorder="1" applyAlignment="1" applyProtection="1">
      <alignment horizontal="justify" vertical="center" wrapText="1"/>
      <protection locked="0"/>
    </xf>
    <xf numFmtId="0" fontId="33" fillId="17" borderId="14" xfId="0" applyFont="1" applyFill="1" applyBorder="1" applyAlignment="1">
      <alignment horizontal="justify" vertical="center" wrapText="1"/>
    </xf>
    <xf numFmtId="0" fontId="33" fillId="17" borderId="14" xfId="0" applyFont="1" applyFill="1" applyBorder="1" applyAlignment="1">
      <alignment horizontal="justify" vertical="center"/>
    </xf>
    <xf numFmtId="0" fontId="33" fillId="13" borderId="53" xfId="0" applyFont="1" applyFill="1" applyBorder="1" applyAlignment="1">
      <alignment horizontal="justify" vertical="center" wrapText="1"/>
    </xf>
    <xf numFmtId="0" fontId="13" fillId="3" borderId="14" xfId="0" applyFont="1" applyFill="1" applyBorder="1" applyAlignment="1">
      <alignment horizontal="justify" vertical="center" wrapText="1"/>
    </xf>
    <xf numFmtId="0" fontId="13" fillId="2" borderId="52" xfId="0" applyFont="1" applyFill="1" applyBorder="1" applyAlignment="1" applyProtection="1">
      <alignment horizontal="justify" vertical="center" wrapText="1"/>
      <protection locked="0"/>
    </xf>
    <xf numFmtId="0" fontId="13" fillId="2" borderId="34" xfId="0" applyFont="1" applyFill="1" applyBorder="1" applyAlignment="1" applyProtection="1">
      <alignment horizontal="justify" vertical="center" wrapText="1"/>
      <protection locked="0"/>
    </xf>
    <xf numFmtId="14" fontId="33" fillId="13" borderId="14" xfId="23" applyNumberFormat="1" applyFont="1" applyFill="1" applyBorder="1" applyAlignment="1">
      <alignment horizontal="left" vertical="center" wrapText="1"/>
    </xf>
    <xf numFmtId="165" fontId="33" fillId="3" borderId="21" xfId="0" applyNumberFormat="1" applyFont="1" applyFill="1" applyBorder="1" applyAlignment="1">
      <alignment horizontal="center" vertical="center" wrapText="1"/>
    </xf>
    <xf numFmtId="0" fontId="13" fillId="3" borderId="58" xfId="0" applyFont="1" applyFill="1" applyBorder="1" applyAlignment="1">
      <alignment horizontal="justify" vertical="center" wrapText="1"/>
    </xf>
    <xf numFmtId="0" fontId="13" fillId="3" borderId="58" xfId="0" applyFont="1" applyFill="1" applyBorder="1" applyAlignment="1" applyProtection="1">
      <alignment horizontal="justify" vertical="center" wrapText="1"/>
      <protection locked="0"/>
    </xf>
    <xf numFmtId="0" fontId="13" fillId="3" borderId="11" xfId="0" applyFont="1" applyFill="1" applyBorder="1" applyAlignment="1" applyProtection="1">
      <alignment horizontal="justify" vertical="center" wrapText="1"/>
      <protection locked="0"/>
    </xf>
    <xf numFmtId="0" fontId="13" fillId="20" borderId="14" xfId="0" applyFont="1" applyFill="1" applyBorder="1" applyProtection="1">
      <protection locked="0"/>
    </xf>
    <xf numFmtId="1" fontId="13" fillId="20" borderId="14" xfId="0" applyNumberFormat="1" applyFont="1" applyFill="1" applyBorder="1" applyAlignment="1" applyProtection="1">
      <alignment horizontal="right" vertical="center" wrapText="1"/>
      <protection locked="0"/>
    </xf>
    <xf numFmtId="43" fontId="14" fillId="0" borderId="0" xfId="4" applyNumberFormat="1" applyFont="1" applyAlignment="1" applyProtection="1">
      <alignment vertical="center"/>
      <protection locked="0"/>
    </xf>
    <xf numFmtId="165" fontId="33" fillId="3" borderId="63" xfId="0" applyNumberFormat="1" applyFont="1" applyFill="1" applyBorder="1" applyAlignment="1">
      <alignment horizontal="center" vertical="center" wrapText="1"/>
    </xf>
    <xf numFmtId="165" fontId="33" fillId="0" borderId="66" xfId="0" applyNumberFormat="1" applyFont="1" applyBorder="1" applyAlignment="1">
      <alignment horizontal="center" vertical="center" wrapText="1"/>
    </xf>
    <xf numFmtId="0" fontId="12" fillId="3" borderId="0" xfId="0" applyFont="1" applyFill="1" applyAlignment="1">
      <alignment horizontal="left" vertical="center" wrapText="1"/>
    </xf>
    <xf numFmtId="0" fontId="13" fillId="16" borderId="0" xfId="0" applyFont="1" applyFill="1" applyAlignment="1" applyProtection="1">
      <alignment horizontal="right" vertical="center" wrapText="1"/>
      <protection locked="0"/>
    </xf>
    <xf numFmtId="0" fontId="13" fillId="16" borderId="0" xfId="0" applyFont="1" applyFill="1" applyAlignment="1" applyProtection="1">
      <alignment wrapText="1"/>
      <protection locked="0"/>
    </xf>
    <xf numFmtId="0" fontId="13" fillId="16" borderId="0" xfId="0" applyFont="1" applyFill="1" applyAlignment="1" applyProtection="1">
      <alignment horizontal="center" vertical="center" wrapText="1"/>
      <protection locked="0"/>
    </xf>
    <xf numFmtId="0" fontId="12" fillId="2" borderId="0" xfId="0" applyFont="1" applyFill="1" applyAlignment="1">
      <alignment horizontal="left" vertical="center" wrapText="1"/>
    </xf>
    <xf numFmtId="1" fontId="12" fillId="16" borderId="0" xfId="0" applyNumberFormat="1" applyFont="1" applyFill="1" applyAlignment="1">
      <alignment horizontal="right" vertical="center" wrapText="1"/>
    </xf>
    <xf numFmtId="166" fontId="12" fillId="3" borderId="32" xfId="0" applyNumberFormat="1" applyFont="1" applyFill="1" applyBorder="1" applyAlignment="1">
      <alignment horizontal="center" vertical="center" wrapText="1"/>
    </xf>
    <xf numFmtId="166" fontId="12" fillId="3" borderId="32" xfId="0" applyNumberFormat="1" applyFont="1" applyFill="1" applyBorder="1" applyAlignment="1">
      <alignment horizontal="left" wrapText="1"/>
    </xf>
    <xf numFmtId="0" fontId="12" fillId="3" borderId="32" xfId="0" applyFont="1" applyFill="1" applyBorder="1" applyAlignment="1">
      <alignment horizontal="center" vertical="center" wrapText="1"/>
    </xf>
    <xf numFmtId="0" fontId="12" fillId="3" borderId="32" xfId="0" applyFont="1" applyFill="1" applyBorder="1" applyAlignment="1">
      <alignment horizontal="left" vertical="center" wrapText="1"/>
    </xf>
    <xf numFmtId="0" fontId="12" fillId="2" borderId="32" xfId="0" applyFont="1" applyFill="1" applyBorder="1" applyAlignment="1">
      <alignment horizontal="center" vertical="center" wrapText="1"/>
    </xf>
    <xf numFmtId="1" fontId="12" fillId="16" borderId="32" xfId="0" applyNumberFormat="1" applyFont="1" applyFill="1" applyBorder="1" applyAlignment="1">
      <alignment horizontal="center" vertical="center" wrapText="1"/>
    </xf>
    <xf numFmtId="0" fontId="12" fillId="16" borderId="58" xfId="0" applyFont="1" applyFill="1" applyBorder="1" applyAlignment="1" applyProtection="1">
      <alignment horizontal="center" vertical="center" wrapText="1"/>
      <protection locked="0"/>
    </xf>
    <xf numFmtId="0" fontId="13" fillId="2" borderId="0" xfId="0" applyFont="1" applyFill="1" applyAlignment="1" applyProtection="1">
      <alignment horizontal="center" wrapText="1"/>
      <protection locked="0"/>
    </xf>
    <xf numFmtId="2" fontId="13" fillId="0" borderId="14" xfId="0" applyNumberFormat="1" applyFont="1" applyBorder="1" applyAlignment="1">
      <alignment vertical="center"/>
    </xf>
    <xf numFmtId="0" fontId="47" fillId="18" borderId="0" xfId="0" applyFont="1" applyFill="1" applyAlignment="1" applyProtection="1">
      <alignment wrapText="1"/>
      <protection locked="0"/>
    </xf>
    <xf numFmtId="0" fontId="13" fillId="2" borderId="0" xfId="0" applyFont="1" applyFill="1" applyAlignment="1">
      <alignment horizontal="right" vertical="center" wrapText="1"/>
    </xf>
    <xf numFmtId="0" fontId="13" fillId="2" borderId="0" xfId="0" applyFont="1" applyFill="1" applyAlignment="1" applyProtection="1">
      <alignment horizontal="left" vertical="center" wrapText="1"/>
      <protection locked="0"/>
    </xf>
    <xf numFmtId="0" fontId="13" fillId="2" borderId="0" xfId="0" applyFont="1" applyFill="1" applyAlignment="1" applyProtection="1">
      <alignment horizontal="center" vertical="center" wrapText="1"/>
      <protection locked="0"/>
    </xf>
    <xf numFmtId="0" fontId="13" fillId="2" borderId="0" xfId="0" applyFont="1" applyFill="1" applyAlignment="1" applyProtection="1">
      <alignment horizontal="right" vertical="center" wrapText="1"/>
      <protection locked="0"/>
    </xf>
    <xf numFmtId="0" fontId="13" fillId="2" borderId="0" xfId="0" applyFont="1" applyFill="1" applyAlignment="1" applyProtection="1">
      <alignment horizontal="justify" vertical="center" wrapText="1"/>
      <protection locked="0"/>
    </xf>
    <xf numFmtId="0" fontId="13" fillId="3" borderId="0" xfId="0" applyFont="1" applyFill="1" applyAlignment="1" applyProtection="1">
      <alignment horizontal="left" vertical="center" wrapText="1"/>
      <protection locked="0"/>
    </xf>
    <xf numFmtId="1" fontId="13" fillId="16" borderId="0" xfId="0" applyNumberFormat="1" applyFont="1" applyFill="1" applyAlignment="1" applyProtection="1">
      <alignment horizontal="right" vertical="center" wrapText="1"/>
      <protection locked="0"/>
    </xf>
    <xf numFmtId="3" fontId="13" fillId="3" borderId="62" xfId="0" applyNumberFormat="1" applyFont="1" applyFill="1" applyBorder="1" applyAlignment="1" applyProtection="1">
      <alignment horizontal="left" vertical="center" wrapText="1"/>
      <protection locked="0"/>
    </xf>
    <xf numFmtId="0" fontId="5" fillId="3" borderId="0" xfId="0" applyFont="1" applyFill="1" applyAlignment="1">
      <alignment horizontal="left" vertical="center" wrapText="1"/>
    </xf>
    <xf numFmtId="0" fontId="6" fillId="2" borderId="0" xfId="0" applyFont="1" applyFill="1" applyAlignment="1">
      <alignment horizontal="left" vertical="center" wrapText="1"/>
    </xf>
    <xf numFmtId="14" fontId="33" fillId="2" borderId="14" xfId="0" applyNumberFormat="1" applyFont="1" applyFill="1" applyBorder="1" applyAlignment="1" applyProtection="1">
      <alignment horizontal="left" vertical="center" wrapText="1"/>
      <protection locked="0"/>
    </xf>
    <xf numFmtId="165" fontId="33" fillId="2" borderId="14" xfId="12" applyFont="1" applyFill="1" applyBorder="1" applyAlignment="1" applyProtection="1">
      <alignment horizontal="right" vertical="center" wrapText="1"/>
      <protection locked="0"/>
    </xf>
    <xf numFmtId="49" fontId="13" fillId="2" borderId="14" xfId="0" applyNumberFormat="1" applyFont="1" applyFill="1" applyBorder="1" applyAlignment="1" applyProtection="1">
      <alignment horizontal="left" vertical="center" wrapText="1"/>
      <protection locked="0"/>
    </xf>
    <xf numFmtId="1" fontId="33" fillId="2" borderId="14" xfId="0" applyNumberFormat="1" applyFont="1" applyFill="1" applyBorder="1" applyAlignment="1" applyProtection="1">
      <alignment horizontal="left" vertical="center" wrapText="1"/>
      <protection locked="0"/>
    </xf>
    <xf numFmtId="166" fontId="11" fillId="2" borderId="14" xfId="0" applyNumberFormat="1" applyFont="1" applyFill="1" applyBorder="1" applyAlignment="1">
      <alignment horizontal="left" vertical="center" wrapText="1"/>
    </xf>
    <xf numFmtId="0" fontId="11" fillId="2" borderId="14" xfId="0" applyFont="1" applyFill="1" applyBorder="1" applyAlignment="1">
      <alignment horizontal="right" vertical="center" wrapText="1"/>
    </xf>
    <xf numFmtId="0" fontId="11" fillId="2" borderId="14" xfId="0" applyFont="1" applyFill="1" applyBorder="1" applyAlignment="1">
      <alignment horizontal="left" vertical="center" wrapText="1"/>
    </xf>
    <xf numFmtId="0" fontId="11" fillId="3" borderId="14" xfId="0" applyFont="1" applyFill="1" applyBorder="1" applyAlignment="1">
      <alignment horizontal="left" vertical="center" wrapText="1"/>
    </xf>
    <xf numFmtId="1" fontId="11" fillId="20" borderId="14" xfId="0" applyNumberFormat="1" applyFont="1" applyFill="1" applyBorder="1" applyAlignment="1">
      <alignment horizontal="center" vertical="center" wrapText="1"/>
    </xf>
    <xf numFmtId="0" fontId="11" fillId="20" borderId="14" xfId="0" applyFont="1" applyFill="1" applyBorder="1" applyAlignment="1" applyProtection="1">
      <alignment horizontal="center" vertical="center" wrapText="1"/>
      <protection locked="0"/>
    </xf>
    <xf numFmtId="0" fontId="0" fillId="20" borderId="14" xfId="0" applyFill="1" applyBorder="1" applyAlignment="1" applyProtection="1">
      <alignment wrapText="1"/>
      <protection locked="0"/>
    </xf>
    <xf numFmtId="0" fontId="0" fillId="20" borderId="14" xfId="0" applyFill="1" applyBorder="1" applyAlignment="1" applyProtection="1">
      <alignment horizontal="center" vertical="center" wrapText="1"/>
      <protection locked="0"/>
    </xf>
    <xf numFmtId="0" fontId="13" fillId="20" borderId="14" xfId="0" applyFont="1" applyFill="1" applyBorder="1" applyAlignment="1" applyProtection="1">
      <alignment horizontal="center" vertical="center" wrapText="1"/>
      <protection locked="0"/>
    </xf>
    <xf numFmtId="0" fontId="3" fillId="20" borderId="14" xfId="0" applyFont="1" applyFill="1" applyBorder="1" applyAlignment="1" applyProtection="1">
      <alignment horizontal="center" vertical="center" wrapText="1"/>
      <protection locked="0"/>
    </xf>
    <xf numFmtId="0" fontId="13" fillId="20" borderId="14" xfId="0" quotePrefix="1" applyFont="1" applyFill="1" applyBorder="1" applyAlignment="1" applyProtection="1">
      <alignment horizontal="center" vertical="center" wrapText="1"/>
      <protection locked="0"/>
    </xf>
    <xf numFmtId="0" fontId="3" fillId="3" borderId="0" xfId="0" applyFont="1" applyFill="1" applyAlignment="1" applyProtection="1">
      <alignment horizontal="justify" vertical="center"/>
      <protection locked="0"/>
    </xf>
    <xf numFmtId="0" fontId="12" fillId="3" borderId="32" xfId="0" applyFont="1" applyFill="1" applyBorder="1" applyAlignment="1">
      <alignment horizontal="justify" vertical="center" wrapText="1"/>
    </xf>
    <xf numFmtId="0" fontId="35" fillId="3" borderId="14" xfId="0" applyFont="1" applyFill="1" applyBorder="1" applyAlignment="1">
      <alignment horizontal="justify" vertical="center"/>
    </xf>
    <xf numFmtId="0" fontId="33" fillId="0" borderId="14" xfId="0" applyFont="1" applyBorder="1" applyAlignment="1">
      <alignment horizontal="justify" vertical="center" wrapText="1"/>
    </xf>
    <xf numFmtId="0" fontId="13" fillId="3" borderId="52" xfId="0" applyFont="1" applyFill="1" applyBorder="1" applyAlignment="1" applyProtection="1">
      <alignment horizontal="justify" vertical="center" wrapText="1"/>
      <protection locked="0"/>
    </xf>
    <xf numFmtId="0" fontId="13" fillId="3" borderId="34" xfId="0" applyFont="1" applyFill="1" applyBorder="1" applyAlignment="1" applyProtection="1">
      <alignment horizontal="justify" vertical="center" wrapText="1"/>
      <protection locked="0"/>
    </xf>
    <xf numFmtId="0" fontId="33" fillId="21" borderId="53" xfId="0" applyFont="1" applyFill="1" applyBorder="1" applyAlignment="1">
      <alignment horizontal="left" vertical="center" wrapText="1"/>
    </xf>
    <xf numFmtId="4" fontId="33" fillId="21" borderId="53" xfId="0" applyNumberFormat="1" applyFont="1" applyFill="1" applyBorder="1" applyAlignment="1">
      <alignment horizontal="right" vertical="center" wrapText="1"/>
    </xf>
    <xf numFmtId="0" fontId="33" fillId="21" borderId="63" xfId="0" applyFont="1" applyFill="1" applyBorder="1" applyAlignment="1">
      <alignment horizontal="right" vertical="center" wrapText="1"/>
    </xf>
    <xf numFmtId="14" fontId="33" fillId="21" borderId="53" xfId="0" applyNumberFormat="1" applyFont="1" applyFill="1" applyBorder="1" applyAlignment="1">
      <alignment horizontal="left" vertical="center"/>
    </xf>
    <xf numFmtId="14" fontId="33" fillId="22" borderId="14" xfId="14" applyNumberFormat="1" applyFont="1" applyFill="1" applyBorder="1" applyAlignment="1">
      <alignment horizontal="left" vertical="center"/>
    </xf>
    <xf numFmtId="0" fontId="33" fillId="21" borderId="53" xfId="0" applyFont="1" applyFill="1" applyBorder="1" applyAlignment="1">
      <alignment horizontal="right" vertical="center" wrapText="1"/>
    </xf>
    <xf numFmtId="0" fontId="33" fillId="22" borderId="11" xfId="14" applyFont="1" applyFill="1" applyBorder="1" applyAlignment="1">
      <alignment horizontal="center"/>
    </xf>
    <xf numFmtId="0" fontId="6" fillId="3" borderId="0" xfId="0" applyFont="1" applyFill="1" applyAlignment="1">
      <alignment horizontal="center" vertical="center"/>
    </xf>
    <xf numFmtId="1" fontId="13" fillId="17" borderId="14" xfId="0" applyNumberFormat="1" applyFont="1" applyFill="1" applyBorder="1" applyAlignment="1">
      <alignment horizontal="justify" vertical="center" wrapText="1"/>
    </xf>
    <xf numFmtId="168" fontId="33" fillId="3" borderId="14" xfId="0" applyNumberFormat="1" applyFont="1" applyFill="1" applyBorder="1" applyAlignment="1">
      <alignment vertical="center"/>
    </xf>
    <xf numFmtId="165" fontId="33" fillId="3" borderId="14" xfId="0" applyNumberFormat="1" applyFont="1" applyFill="1" applyBorder="1" applyAlignment="1">
      <alignment vertical="center"/>
    </xf>
    <xf numFmtId="17" fontId="33" fillId="12" borderId="14" xfId="0" applyNumberFormat="1" applyFont="1" applyFill="1" applyBorder="1" applyAlignment="1">
      <alignment horizontal="right" vertical="center" wrapText="1"/>
    </xf>
    <xf numFmtId="1" fontId="13" fillId="17" borderId="14" xfId="0" applyNumberFormat="1" applyFont="1" applyFill="1" applyBorder="1" applyAlignment="1">
      <alignment vertical="center" wrapText="1"/>
    </xf>
    <xf numFmtId="17" fontId="13" fillId="2" borderId="52" xfId="0" applyNumberFormat="1" applyFont="1" applyFill="1" applyBorder="1" applyAlignment="1" applyProtection="1">
      <alignment horizontal="right" vertical="center" wrapText="1"/>
      <protection locked="0"/>
    </xf>
    <xf numFmtId="0" fontId="33" fillId="0" borderId="14" xfId="0" applyFont="1" applyBorder="1" applyAlignment="1">
      <alignment vertical="center"/>
    </xf>
    <xf numFmtId="0" fontId="0" fillId="2" borderId="14" xfId="0" applyFill="1" applyBorder="1" applyAlignment="1" applyProtection="1">
      <alignment horizontal="center" vertical="center" wrapText="1"/>
      <protection locked="0"/>
    </xf>
    <xf numFmtId="0" fontId="13" fillId="3" borderId="14" xfId="0" applyFont="1" applyFill="1" applyBorder="1" applyAlignment="1" applyProtection="1">
      <alignment vertical="center"/>
      <protection locked="0"/>
    </xf>
    <xf numFmtId="0" fontId="13" fillId="2" borderId="11" xfId="0" applyFont="1" applyFill="1" applyBorder="1" applyAlignment="1">
      <alignment horizontal="right" vertical="center" wrapText="1"/>
    </xf>
    <xf numFmtId="0" fontId="13" fillId="0" borderId="14" xfId="0" applyFont="1" applyBorder="1" applyAlignment="1">
      <alignment vertical="center"/>
    </xf>
    <xf numFmtId="2" fontId="13" fillId="3" borderId="14" xfId="0" applyNumberFormat="1" applyFont="1" applyFill="1" applyBorder="1" applyAlignment="1" applyProtection="1">
      <alignment horizontal="left" vertical="center" wrapText="1"/>
      <protection locked="0"/>
    </xf>
    <xf numFmtId="1" fontId="13" fillId="3" borderId="14" xfId="0" applyNumberFormat="1" applyFont="1" applyFill="1" applyBorder="1" applyAlignment="1" applyProtection="1">
      <alignment horizontal="justify" vertical="center" wrapText="1"/>
      <protection locked="0"/>
    </xf>
    <xf numFmtId="0" fontId="0" fillId="3" borderId="0" xfId="0" applyFill="1" applyAlignment="1" applyProtection="1">
      <alignment horizontal="right" vertical="center" wrapText="1"/>
      <protection locked="0"/>
    </xf>
    <xf numFmtId="0" fontId="5" fillId="20" borderId="0" xfId="0" applyFont="1" applyFill="1" applyProtection="1">
      <protection locked="0"/>
    </xf>
    <xf numFmtId="0" fontId="6" fillId="20" borderId="0" xfId="0" applyFont="1" applyFill="1" applyProtection="1">
      <protection locked="0"/>
    </xf>
    <xf numFmtId="0" fontId="3" fillId="20" borderId="14" xfId="0" applyFont="1" applyFill="1" applyBorder="1" applyAlignment="1" applyProtection="1">
      <alignment horizontal="center" vertical="center"/>
      <protection locked="0"/>
    </xf>
    <xf numFmtId="0" fontId="3" fillId="20" borderId="0" xfId="0" applyFont="1" applyFill="1" applyProtection="1">
      <protection locked="0"/>
    </xf>
    <xf numFmtId="165" fontId="13" fillId="4" borderId="14" xfId="12" applyFont="1" applyFill="1" applyBorder="1" applyAlignment="1" applyProtection="1">
      <alignment horizontal="right" vertical="center" wrapText="1"/>
      <protection locked="0"/>
    </xf>
    <xf numFmtId="0" fontId="13" fillId="4" borderId="14" xfId="0" applyFont="1" applyFill="1" applyBorder="1" applyAlignment="1" applyProtection="1">
      <alignment horizontal="left" vertical="center" wrapText="1"/>
      <protection locked="0"/>
    </xf>
    <xf numFmtId="3" fontId="13" fillId="2" borderId="14" xfId="0" applyNumberFormat="1" applyFont="1" applyFill="1" applyBorder="1" applyAlignment="1" applyProtection="1">
      <alignment horizontal="left" vertical="center" wrapText="1"/>
      <protection locked="0"/>
    </xf>
    <xf numFmtId="4" fontId="13" fillId="2" borderId="14" xfId="0" applyNumberFormat="1" applyFont="1" applyFill="1" applyBorder="1" applyAlignment="1" applyProtection="1">
      <alignment horizontal="left" vertical="center" wrapText="1"/>
      <protection locked="0"/>
    </xf>
    <xf numFmtId="0" fontId="13" fillId="4" borderId="14" xfId="0" applyFont="1" applyFill="1" applyBorder="1" applyAlignment="1" applyProtection="1">
      <alignment horizontal="left" vertical="center"/>
      <protection locked="0"/>
    </xf>
    <xf numFmtId="167" fontId="13" fillId="4" borderId="14" xfId="0" applyNumberFormat="1" applyFont="1" applyFill="1" applyBorder="1" applyAlignment="1" applyProtection="1">
      <alignment horizontal="right" vertical="center" wrapText="1"/>
      <protection locked="0"/>
    </xf>
    <xf numFmtId="0" fontId="13" fillId="4" borderId="14" xfId="0" applyFont="1" applyFill="1" applyBorder="1" applyAlignment="1" applyProtection="1">
      <alignment horizontal="justify" vertical="center" wrapText="1"/>
      <protection locked="0"/>
    </xf>
    <xf numFmtId="0" fontId="33" fillId="4" borderId="14" xfId="0" applyFont="1" applyFill="1" applyBorder="1" applyAlignment="1" applyProtection="1">
      <alignment horizontal="justify" vertical="center" wrapText="1"/>
      <protection locked="0"/>
    </xf>
    <xf numFmtId="0" fontId="33" fillId="4" borderId="14" xfId="0" applyFont="1" applyFill="1" applyBorder="1" applyAlignment="1" applyProtection="1">
      <alignment horizontal="left" vertical="center" wrapText="1"/>
      <protection locked="0"/>
    </xf>
    <xf numFmtId="0" fontId="13" fillId="4" borderId="14" xfId="0" applyFont="1" applyFill="1" applyBorder="1" applyProtection="1">
      <protection locked="0"/>
    </xf>
    <xf numFmtId="1" fontId="13" fillId="4" borderId="14" xfId="0" applyNumberFormat="1" applyFont="1" applyFill="1" applyBorder="1" applyAlignment="1" applyProtection="1">
      <alignment horizontal="right" vertical="center" wrapText="1"/>
      <protection locked="0"/>
    </xf>
    <xf numFmtId="0" fontId="3" fillId="4" borderId="14" xfId="0" applyFont="1" applyFill="1" applyBorder="1" applyAlignment="1" applyProtection="1">
      <alignment horizontal="left" vertical="center" wrapText="1"/>
      <protection locked="0"/>
    </xf>
    <xf numFmtId="14" fontId="13" fillId="2" borderId="14" xfId="0" applyNumberFormat="1" applyFont="1" applyFill="1" applyBorder="1" applyAlignment="1" applyProtection="1">
      <alignment horizontal="justify" vertical="center" wrapText="1"/>
      <protection locked="0"/>
    </xf>
    <xf numFmtId="167" fontId="13" fillId="3" borderId="14" xfId="0" applyNumberFormat="1" applyFont="1" applyFill="1" applyBorder="1" applyAlignment="1" applyProtection="1">
      <alignment horizontal="center" vertical="center" wrapText="1"/>
      <protection locked="0"/>
    </xf>
    <xf numFmtId="167" fontId="13" fillId="20" borderId="14" xfId="0" applyNumberFormat="1" applyFont="1" applyFill="1" applyBorder="1" applyAlignment="1" applyProtection="1">
      <alignment horizontal="right" vertical="center" wrapText="1"/>
      <protection locked="0"/>
    </xf>
    <xf numFmtId="1" fontId="13" fillId="20" borderId="33" xfId="0" applyNumberFormat="1" applyFont="1" applyFill="1" applyBorder="1" applyAlignment="1" applyProtection="1">
      <alignment horizontal="right" vertical="center" wrapText="1"/>
      <protection locked="0"/>
    </xf>
    <xf numFmtId="1" fontId="13" fillId="20" borderId="11" xfId="0" applyNumberFormat="1" applyFont="1" applyFill="1" applyBorder="1" applyAlignment="1" applyProtection="1">
      <alignment horizontal="right" vertical="center" wrapText="1"/>
      <protection locked="0"/>
    </xf>
    <xf numFmtId="14" fontId="13" fillId="2" borderId="14" xfId="0" applyNumberFormat="1" applyFont="1" applyFill="1" applyBorder="1" applyAlignment="1" applyProtection="1">
      <alignment horizontal="left" vertical="center" wrapText="1" indent="1"/>
      <protection locked="0"/>
    </xf>
    <xf numFmtId="43" fontId="0" fillId="3" borderId="0" xfId="0" applyNumberFormat="1" applyFill="1" applyProtection="1">
      <protection locked="0"/>
    </xf>
    <xf numFmtId="0" fontId="33" fillId="23" borderId="53" xfId="0" applyFont="1" applyFill="1" applyBorder="1" applyAlignment="1">
      <alignment horizontal="left" vertical="center" wrapText="1"/>
    </xf>
    <xf numFmtId="4" fontId="33" fillId="23" borderId="53" xfId="0" applyNumberFormat="1" applyFont="1" applyFill="1" applyBorder="1" applyAlignment="1">
      <alignment horizontal="right" vertical="center" wrapText="1"/>
    </xf>
    <xf numFmtId="0" fontId="33" fillId="23" borderId="63" xfId="0" applyFont="1" applyFill="1" applyBorder="1" applyAlignment="1">
      <alignment horizontal="right" vertical="center" wrapText="1"/>
    </xf>
    <xf numFmtId="14" fontId="33" fillId="23" borderId="53" xfId="0" applyNumberFormat="1" applyFont="1" applyFill="1" applyBorder="1" applyAlignment="1">
      <alignment horizontal="left" vertical="center"/>
    </xf>
    <xf numFmtId="14" fontId="33" fillId="24" borderId="14" xfId="14" applyNumberFormat="1" applyFont="1" applyFill="1" applyBorder="1" applyAlignment="1">
      <alignment horizontal="left" vertical="center"/>
    </xf>
    <xf numFmtId="14" fontId="13" fillId="2" borderId="36" xfId="0" applyNumberFormat="1" applyFont="1" applyFill="1" applyBorder="1" applyAlignment="1" applyProtection="1">
      <alignment horizontal="left" vertical="center" wrapText="1"/>
      <protection locked="0"/>
    </xf>
    <xf numFmtId="0" fontId="13" fillId="3" borderId="14" xfId="0" applyFont="1" applyFill="1" applyBorder="1" applyAlignment="1" applyProtection="1">
      <alignment horizontal="justify" vertical="center"/>
      <protection locked="0"/>
    </xf>
    <xf numFmtId="0" fontId="13" fillId="20" borderId="14" xfId="0" applyFont="1" applyFill="1" applyBorder="1" applyAlignment="1" applyProtection="1">
      <alignment wrapText="1"/>
      <protection locked="0"/>
    </xf>
    <xf numFmtId="17" fontId="13" fillId="3" borderId="14" xfId="0" applyNumberFormat="1" applyFont="1" applyFill="1" applyBorder="1" applyAlignment="1" applyProtection="1">
      <alignment horizontal="center" vertical="center"/>
      <protection locked="0"/>
    </xf>
    <xf numFmtId="17" fontId="13" fillId="3" borderId="14" xfId="0" applyNumberFormat="1" applyFont="1" applyFill="1" applyBorder="1" applyAlignment="1" applyProtection="1">
      <alignment horizontal="right" vertical="center"/>
      <protection locked="0"/>
    </xf>
    <xf numFmtId="0" fontId="13" fillId="20" borderId="11" xfId="0" applyFont="1" applyFill="1" applyBorder="1" applyAlignment="1" applyProtection="1">
      <alignment wrapText="1"/>
      <protection locked="0"/>
    </xf>
    <xf numFmtId="0" fontId="13" fillId="20" borderId="0" xfId="0" applyFont="1" applyFill="1" applyAlignment="1" applyProtection="1">
      <alignment horizontal="center" vertical="center" wrapText="1"/>
      <protection locked="0"/>
    </xf>
    <xf numFmtId="0" fontId="13" fillId="2" borderId="14" xfId="0" applyFont="1" applyFill="1" applyBorder="1" applyAlignment="1" applyProtection="1">
      <alignment wrapText="1"/>
      <protection locked="0"/>
    </xf>
    <xf numFmtId="3" fontId="13" fillId="3" borderId="14" xfId="0" applyNumberFormat="1" applyFont="1" applyFill="1" applyBorder="1" applyAlignment="1" applyProtection="1">
      <alignment horizontal="left" vertical="center"/>
      <protection locked="0"/>
    </xf>
    <xf numFmtId="17" fontId="13" fillId="3" borderId="14" xfId="0" applyNumberFormat="1" applyFont="1" applyFill="1" applyBorder="1" applyAlignment="1" applyProtection="1">
      <alignment horizontal="left" vertical="center"/>
      <protection locked="0"/>
    </xf>
    <xf numFmtId="165" fontId="13" fillId="3" borderId="14" xfId="12" applyFont="1" applyFill="1" applyBorder="1" applyAlignment="1" applyProtection="1">
      <alignment horizontal="left" vertical="center" wrapText="1"/>
      <protection locked="0"/>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36" fillId="12" borderId="0" xfId="0" applyFont="1" applyFill="1" applyAlignment="1" applyProtection="1">
      <alignment horizontal="center" vertical="center"/>
      <protection locked="0"/>
    </xf>
    <xf numFmtId="0" fontId="3" fillId="0" borderId="0" xfId="0" applyFont="1" applyProtection="1">
      <protection locked="0"/>
    </xf>
    <xf numFmtId="0" fontId="36" fillId="12" borderId="43" xfId="0" applyFont="1" applyFill="1" applyBorder="1" applyAlignment="1" applyProtection="1">
      <alignment horizontal="center" vertical="center"/>
      <protection locked="0"/>
    </xf>
    <xf numFmtId="0" fontId="3" fillId="0" borderId="43" xfId="0" applyFont="1" applyBorder="1" applyProtection="1">
      <protection locked="0"/>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0" xfId="0" applyFont="1" applyFill="1" applyAlignment="1">
      <alignment horizontal="center" vertical="center"/>
    </xf>
    <xf numFmtId="0" fontId="5" fillId="3" borderId="0" xfId="0" applyFont="1" applyFill="1" applyAlignment="1">
      <alignment horizontal="center" vertical="center" wrapText="1"/>
    </xf>
    <xf numFmtId="0" fontId="15" fillId="2" borderId="31" xfId="4" applyFont="1" applyFill="1" applyBorder="1" applyAlignment="1">
      <alignment horizontal="left" vertical="center" wrapText="1"/>
    </xf>
    <xf numFmtId="0" fontId="15" fillId="2" borderId="16" xfId="4" applyFont="1" applyFill="1" applyBorder="1" applyAlignment="1">
      <alignment horizontal="left" vertical="center" wrapText="1"/>
    </xf>
    <xf numFmtId="0" fontId="15" fillId="2" borderId="17" xfId="4"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2" borderId="1" xfId="4" applyFont="1" applyFill="1" applyBorder="1" applyAlignment="1">
      <alignment horizontal="center" vertical="center" wrapText="1"/>
    </xf>
    <xf numFmtId="0" fontId="6" fillId="3" borderId="5" xfId="0" applyFont="1" applyFill="1" applyBorder="1" applyAlignment="1">
      <alignment horizontal="center" vertical="center" wrapText="1"/>
    </xf>
    <xf numFmtId="0" fontId="19" fillId="2" borderId="0" xfId="4" applyFont="1" applyFill="1" applyAlignment="1">
      <alignment horizontal="left" vertical="center" wrapText="1"/>
    </xf>
    <xf numFmtId="0" fontId="19" fillId="2" borderId="5" xfId="4" applyFont="1" applyFill="1" applyBorder="1" applyAlignment="1">
      <alignment horizontal="left" vertical="center" wrapText="1"/>
    </xf>
    <xf numFmtId="0" fontId="15" fillId="2" borderId="6" xfId="4" applyFont="1" applyFill="1" applyBorder="1" applyAlignment="1">
      <alignment horizontal="left" vertical="center" wrapText="1"/>
    </xf>
    <xf numFmtId="0" fontId="15" fillId="2" borderId="0" xfId="4" applyFont="1" applyFill="1" applyAlignment="1">
      <alignment horizontal="left" vertical="center" wrapText="1"/>
    </xf>
    <xf numFmtId="0" fontId="15" fillId="2" borderId="5" xfId="4" applyFont="1" applyFill="1" applyBorder="1" applyAlignment="1">
      <alignment horizontal="left" vertical="center" wrapText="1"/>
    </xf>
    <xf numFmtId="0" fontId="19" fillId="2" borderId="6" xfId="4" applyFont="1" applyFill="1" applyBorder="1" applyAlignment="1">
      <alignment horizontal="left" vertical="center" wrapText="1"/>
    </xf>
    <xf numFmtId="0" fontId="15" fillId="2" borderId="6" xfId="4" applyFont="1" applyFill="1" applyBorder="1" applyAlignment="1">
      <alignment horizontal="center" vertical="center" wrapText="1"/>
    </xf>
    <xf numFmtId="0" fontId="15" fillId="2" borderId="0" xfId="4" applyFont="1" applyFill="1" applyAlignment="1">
      <alignment horizontal="center" vertical="center" wrapText="1"/>
    </xf>
    <xf numFmtId="0" fontId="15" fillId="2" borderId="5" xfId="4"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3" borderId="5" xfId="0" applyFont="1" applyFill="1" applyBorder="1" applyAlignment="1">
      <alignment horizontal="center"/>
    </xf>
    <xf numFmtId="0" fontId="6" fillId="3" borderId="0" xfId="0" applyFont="1" applyFill="1" applyAlignment="1">
      <alignment horizontal="center" vertical="center" wrapText="1"/>
    </xf>
    <xf numFmtId="4" fontId="11" fillId="2" borderId="6" xfId="0" applyNumberFormat="1" applyFont="1" applyFill="1" applyBorder="1" applyAlignment="1">
      <alignment horizontal="center" vertical="center"/>
    </xf>
    <xf numFmtId="4" fontId="11" fillId="2" borderId="0" xfId="0" applyNumberFormat="1" applyFont="1" applyFill="1" applyAlignment="1">
      <alignment horizontal="center" vertical="center"/>
    </xf>
    <xf numFmtId="4" fontId="11" fillId="2" borderId="5" xfId="0" applyNumberFormat="1" applyFont="1" applyFill="1" applyBorder="1" applyAlignment="1">
      <alignment horizontal="center" vertical="center"/>
    </xf>
    <xf numFmtId="4" fontId="11" fillId="2" borderId="6" xfId="0" applyNumberFormat="1" applyFont="1" applyFill="1" applyBorder="1" applyAlignment="1">
      <alignment horizontal="center" vertical="center" wrapText="1"/>
    </xf>
    <xf numFmtId="4" fontId="11" fillId="2" borderId="0" xfId="0" applyNumberFormat="1" applyFont="1" applyFill="1" applyAlignment="1">
      <alignment horizontal="center" vertical="center" wrapText="1"/>
    </xf>
    <xf numFmtId="4" fontId="11"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165" fontId="12" fillId="2" borderId="6" xfId="12" applyFont="1" applyFill="1" applyBorder="1" applyAlignment="1" applyProtection="1">
      <alignment horizontal="center" vertical="center"/>
    </xf>
    <xf numFmtId="165" fontId="12" fillId="2" borderId="0" xfId="12" applyFont="1" applyFill="1" applyBorder="1" applyAlignment="1" applyProtection="1">
      <alignment horizontal="center" vertical="center"/>
    </xf>
    <xf numFmtId="165" fontId="12" fillId="2" borderId="5" xfId="12" applyFont="1" applyFill="1" applyBorder="1" applyAlignment="1" applyProtection="1">
      <alignment horizontal="center" vertical="center"/>
    </xf>
    <xf numFmtId="0" fontId="12" fillId="2" borderId="0" xfId="0" applyFont="1" applyFill="1" applyAlignment="1">
      <alignment horizontal="left" vertical="center"/>
    </xf>
    <xf numFmtId="0" fontId="12" fillId="3" borderId="3" xfId="0" applyFont="1" applyFill="1" applyBorder="1" applyAlignment="1">
      <alignment horizontal="left" vertical="center"/>
    </xf>
    <xf numFmtId="0" fontId="6" fillId="3" borderId="5" xfId="0" applyFont="1" applyFill="1" applyBorder="1" applyAlignment="1">
      <alignment horizontal="center" vertical="center"/>
    </xf>
    <xf numFmtId="0" fontId="5" fillId="3" borderId="20" xfId="0" applyFont="1" applyFill="1" applyBorder="1" applyAlignment="1">
      <alignment horizontal="center" vertical="center" wrapText="1"/>
    </xf>
    <xf numFmtId="0" fontId="6" fillId="3" borderId="0" xfId="0" applyFont="1" applyFill="1" applyAlignment="1">
      <alignment horizontal="center" vertical="center"/>
    </xf>
    <xf numFmtId="0" fontId="6" fillId="3" borderId="20" xfId="0" applyFont="1" applyFill="1" applyBorder="1" applyAlignment="1">
      <alignment horizontal="center" vertical="center"/>
    </xf>
    <xf numFmtId="0" fontId="12" fillId="3" borderId="0" xfId="0" applyFont="1" applyFill="1" applyAlignment="1">
      <alignment horizontal="center" vertical="center" wrapText="1"/>
    </xf>
    <xf numFmtId="0" fontId="12" fillId="3" borderId="5" xfId="0" applyFont="1" applyFill="1" applyBorder="1" applyAlignment="1">
      <alignment horizontal="center" vertical="center" wrapText="1"/>
    </xf>
    <xf numFmtId="0" fontId="6" fillId="2" borderId="0" xfId="0" applyFont="1" applyFill="1" applyAlignment="1">
      <alignment horizontal="center" vertical="center" wrapText="1"/>
    </xf>
    <xf numFmtId="0" fontId="36" fillId="3" borderId="0" xfId="14" applyFont="1" applyFill="1" applyAlignment="1" applyProtection="1">
      <alignment horizontal="center" vertical="center"/>
      <protection locked="0"/>
    </xf>
    <xf numFmtId="0" fontId="0" fillId="4" borderId="0" xfId="0" applyFill="1" applyAlignment="1">
      <alignment horizontal="center" vertical="center"/>
    </xf>
  </cellXfs>
  <cellStyles count="24">
    <cellStyle name="Moeda 2" xfId="1" xr:uid="{00000000-0005-0000-0000-000000000000}"/>
    <cellStyle name="Moeda 2 2" xfId="13" xr:uid="{00000000-0005-0000-0000-000001000000}"/>
    <cellStyle name="Moeda 3" xfId="2" xr:uid="{00000000-0005-0000-0000-000002000000}"/>
    <cellStyle name="Moeda 4" xfId="21" xr:uid="{00000000-0005-0000-0000-000003000000}"/>
    <cellStyle name="Normal" xfId="0" builtinId="0"/>
    <cellStyle name="Normal 10" xfId="3" xr:uid="{00000000-0005-0000-0000-000005000000}"/>
    <cellStyle name="Normal 11" xfId="23" xr:uid="{00000000-0005-0000-0000-000006000000}"/>
    <cellStyle name="Normal 2" xfId="4" xr:uid="{00000000-0005-0000-0000-000007000000}"/>
    <cellStyle name="Normal 2 2" xfId="18" xr:uid="{00000000-0005-0000-0000-000008000000}"/>
    <cellStyle name="Normal 3" xfId="5" xr:uid="{00000000-0005-0000-0000-000009000000}"/>
    <cellStyle name="Normal 3 3" xfId="6" xr:uid="{00000000-0005-0000-0000-00000A000000}"/>
    <cellStyle name="Normal 4" xfId="7" xr:uid="{00000000-0005-0000-0000-00000B000000}"/>
    <cellStyle name="Normal 5" xfId="8" xr:uid="{00000000-0005-0000-0000-00000C000000}"/>
    <cellStyle name="Normal 6" xfId="14" xr:uid="{00000000-0005-0000-0000-00000D000000}"/>
    <cellStyle name="Normal 7" xfId="16" xr:uid="{00000000-0005-0000-0000-00000E000000}"/>
    <cellStyle name="Normal 8" xfId="19" xr:uid="{00000000-0005-0000-0000-00000F000000}"/>
    <cellStyle name="Normal 9" xfId="22" xr:uid="{00000000-0005-0000-0000-000010000000}"/>
    <cellStyle name="Porcentagem" xfId="9" builtinId="5"/>
    <cellStyle name="Porcentagem 2" xfId="10" xr:uid="{00000000-0005-0000-0000-000012000000}"/>
    <cellStyle name="Separador de milhares 2" xfId="11" xr:uid="{00000000-0005-0000-0000-000013000000}"/>
    <cellStyle name="Vírgula" xfId="12" builtinId="3"/>
    <cellStyle name="Vírgula 2" xfId="15" xr:uid="{00000000-0005-0000-0000-000015000000}"/>
    <cellStyle name="Vírgula 3" xfId="17" xr:uid="{00000000-0005-0000-0000-000016000000}"/>
    <cellStyle name="Vírgula 4" xfId="20" xr:uid="{00000000-0005-0000-0000-00001700000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FF"/>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FFFF"/>
      <color rgb="FFFF99FF"/>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6019800</xdr:colOff>
      <xdr:row>6</xdr:row>
      <xdr:rowOff>381000</xdr:rowOff>
    </xdr:from>
    <xdr:ext cx="2085975" cy="552450"/>
    <xdr:pic>
      <xdr:nvPicPr>
        <xdr:cNvPr id="3" name="image2.png" descr="Descrição: https://ci6.googleusercontent.com/proxy/td5-8mfYmuDyClpwjvKtLjTKYWoy2mEZ8pJBiNfvh4S24FB6ZjzwyTNVmtld3sVzFpnNyNTQkSAs2cy8I7UfLUweCPwMq-aWEJYD2UiiSUdTuxM6rMqOS0Zck2vJ3waYQzaHfWTMPfA2Xa231YPQqM033ehuGeQrZ1PexSO7-WE8agLa=s0-d-e1-ft#https://drive.google.com/a/appa.art.br/uc?id=0B_OLNVRqH9o1X25rVG5ZLWVZYXFkQnVnU3RDTDB1T3BHRXR3&amp;export=download">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6019800" y="3209925"/>
          <a:ext cx="2085975" cy="552450"/>
        </a:xfrm>
        <a:prstGeom prst="rect">
          <a:avLst/>
        </a:prstGeom>
        <a:noFill/>
      </xdr:spPr>
    </xdr:pic>
    <xdr:clientData fLocksWithSheet="0"/>
  </xdr:oneCellAnchor>
  <xdr:twoCellAnchor editAs="oneCell">
    <xdr:from>
      <xdr:col>0</xdr:col>
      <xdr:colOff>2190750</xdr:colOff>
      <xdr:row>6</xdr:row>
      <xdr:rowOff>114300</xdr:rowOff>
    </xdr:from>
    <xdr:to>
      <xdr:col>0</xdr:col>
      <xdr:colOff>5562600</xdr:colOff>
      <xdr:row>8</xdr:row>
      <xdr:rowOff>211454</xdr:rowOff>
    </xdr:to>
    <xdr:pic>
      <xdr:nvPicPr>
        <xdr:cNvPr id="4" name="Imagem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0" y="2943225"/>
          <a:ext cx="3371850" cy="88772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pageSetUpPr fitToPage="1"/>
  </sheetPr>
  <dimension ref="A1:D44"/>
  <sheetViews>
    <sheetView tabSelected="1" zoomScaleSheetLayoutView="100" zoomScalePageLayoutView="85" workbookViewId="0">
      <selection activeCell="A5" sqref="A5"/>
    </sheetView>
  </sheetViews>
  <sheetFormatPr defaultColWidth="9.140625" defaultRowHeight="12.75" x14ac:dyDescent="0.2"/>
  <cols>
    <col min="1" max="1" width="159.85546875" style="199" customWidth="1"/>
    <col min="2" max="16384" width="9.140625" style="199"/>
  </cols>
  <sheetData>
    <row r="1" spans="1:4" ht="60" customHeight="1" x14ac:dyDescent="0.2">
      <c r="A1" s="394" t="s">
        <v>1003</v>
      </c>
    </row>
    <row r="2" spans="1:4" ht="69.75" customHeight="1" x14ac:dyDescent="0.2">
      <c r="A2" s="201"/>
    </row>
    <row r="3" spans="1:4" ht="41.25" customHeight="1" x14ac:dyDescent="0.2">
      <c r="A3" s="202"/>
    </row>
    <row r="4" spans="1:4" ht="15.75" x14ac:dyDescent="0.25">
      <c r="A4" s="203"/>
    </row>
    <row r="5" spans="1:4" ht="18" x14ac:dyDescent="0.25">
      <c r="A5" s="204" t="s">
        <v>22</v>
      </c>
    </row>
    <row r="6" spans="1:4" ht="18" x14ac:dyDescent="0.25">
      <c r="A6" s="335" t="s">
        <v>9239</v>
      </c>
    </row>
    <row r="7" spans="1:4" ht="42" customHeight="1" x14ac:dyDescent="0.25">
      <c r="A7" s="205"/>
    </row>
    <row r="8" spans="1:4" ht="20.25" x14ac:dyDescent="0.2">
      <c r="A8" s="200"/>
    </row>
    <row r="9" spans="1:4" s="207" customFormat="1" ht="43.5" customHeight="1" x14ac:dyDescent="0.2">
      <c r="A9" s="206"/>
    </row>
    <row r="10" spans="1:4" s="207" customFormat="1" ht="24.75" customHeight="1" x14ac:dyDescent="0.2">
      <c r="A10" s="206" t="s">
        <v>329</v>
      </c>
    </row>
    <row r="11" spans="1:4" ht="30" customHeight="1" x14ac:dyDescent="0.2">
      <c r="A11" s="208" t="s">
        <v>390</v>
      </c>
    </row>
    <row r="13" spans="1:4" ht="15.75" x14ac:dyDescent="0.2">
      <c r="A13" s="206" t="s">
        <v>388</v>
      </c>
    </row>
    <row r="14" spans="1:4" ht="15" x14ac:dyDescent="0.2">
      <c r="A14" s="361" t="s">
        <v>373</v>
      </c>
    </row>
    <row r="16" spans="1:4" hidden="1" x14ac:dyDescent="0.2">
      <c r="A16" s="336" t="s">
        <v>363</v>
      </c>
      <c r="C16" s="199">
        <v>1</v>
      </c>
      <c r="D16" s="199" t="s">
        <v>349</v>
      </c>
    </row>
    <row r="17" spans="1:4" hidden="1" x14ac:dyDescent="0.2">
      <c r="A17" s="336" t="s">
        <v>364</v>
      </c>
      <c r="C17" s="199">
        <v>2</v>
      </c>
      <c r="D17" s="199" t="s">
        <v>350</v>
      </c>
    </row>
    <row r="18" spans="1:4" hidden="1" x14ac:dyDescent="0.2">
      <c r="A18" s="336" t="s">
        <v>365</v>
      </c>
      <c r="C18" s="199">
        <v>3</v>
      </c>
      <c r="D18" s="199" t="s">
        <v>339</v>
      </c>
    </row>
    <row r="19" spans="1:4" hidden="1" x14ac:dyDescent="0.2">
      <c r="A19" s="336" t="s">
        <v>366</v>
      </c>
      <c r="C19" s="199">
        <v>4</v>
      </c>
      <c r="D19" s="199" t="s">
        <v>340</v>
      </c>
    </row>
    <row r="20" spans="1:4" hidden="1" x14ac:dyDescent="0.2">
      <c r="A20" s="336" t="s">
        <v>368</v>
      </c>
      <c r="C20" s="199">
        <v>5</v>
      </c>
      <c r="D20" s="199" t="s">
        <v>341</v>
      </c>
    </row>
    <row r="21" spans="1:4" hidden="1" x14ac:dyDescent="0.2">
      <c r="A21" s="336" t="s">
        <v>369</v>
      </c>
      <c r="C21" s="199">
        <v>6</v>
      </c>
      <c r="D21" s="199" t="s">
        <v>342</v>
      </c>
    </row>
    <row r="22" spans="1:4" hidden="1" x14ac:dyDescent="0.2">
      <c r="A22" s="336" t="s">
        <v>370</v>
      </c>
      <c r="C22" s="199">
        <v>7</v>
      </c>
      <c r="D22" s="199" t="s">
        <v>343</v>
      </c>
    </row>
    <row r="23" spans="1:4" hidden="1" x14ac:dyDescent="0.2">
      <c r="A23" s="336" t="s">
        <v>371</v>
      </c>
      <c r="C23" s="199">
        <v>8</v>
      </c>
      <c r="D23" s="199" t="s">
        <v>344</v>
      </c>
    </row>
    <row r="24" spans="1:4" hidden="1" x14ac:dyDescent="0.2">
      <c r="A24" s="336" t="s">
        <v>372</v>
      </c>
      <c r="C24" s="199">
        <v>9</v>
      </c>
      <c r="D24" s="199" t="s">
        <v>345</v>
      </c>
    </row>
    <row r="25" spans="1:4" hidden="1" x14ac:dyDescent="0.2">
      <c r="A25" s="336" t="s">
        <v>373</v>
      </c>
      <c r="C25" s="199">
        <v>10</v>
      </c>
      <c r="D25" s="199" t="s">
        <v>346</v>
      </c>
    </row>
    <row r="26" spans="1:4" hidden="1" x14ac:dyDescent="0.2">
      <c r="A26" s="336" t="s">
        <v>374</v>
      </c>
      <c r="C26" s="199">
        <v>11</v>
      </c>
      <c r="D26" s="199" t="s">
        <v>347</v>
      </c>
    </row>
    <row r="27" spans="1:4" hidden="1" x14ac:dyDescent="0.2">
      <c r="A27" s="336" t="s">
        <v>375</v>
      </c>
      <c r="C27" s="199">
        <v>12</v>
      </c>
      <c r="D27" s="199" t="s">
        <v>348</v>
      </c>
    </row>
    <row r="28" spans="1:4" hidden="1" x14ac:dyDescent="0.2">
      <c r="A28" s="336" t="s">
        <v>376</v>
      </c>
    </row>
    <row r="29" spans="1:4" hidden="1" x14ac:dyDescent="0.2">
      <c r="A29" s="336" t="s">
        <v>377</v>
      </c>
    </row>
    <row r="30" spans="1:4" hidden="1" x14ac:dyDescent="0.2">
      <c r="A30" s="336" t="s">
        <v>378</v>
      </c>
    </row>
    <row r="31" spans="1:4" hidden="1" x14ac:dyDescent="0.2">
      <c r="A31" s="336" t="s">
        <v>379</v>
      </c>
    </row>
    <row r="32" spans="1:4" hidden="1" x14ac:dyDescent="0.2">
      <c r="A32" s="336" t="s">
        <v>380</v>
      </c>
    </row>
    <row r="33" spans="1:1" hidden="1" x14ac:dyDescent="0.2">
      <c r="A33" s="336" t="s">
        <v>381</v>
      </c>
    </row>
    <row r="34" spans="1:1" hidden="1" x14ac:dyDescent="0.2">
      <c r="A34" s="336" t="s">
        <v>382</v>
      </c>
    </row>
    <row r="35" spans="1:1" hidden="1" x14ac:dyDescent="0.2">
      <c r="A35" s="336" t="s">
        <v>383</v>
      </c>
    </row>
    <row r="36" spans="1:1" hidden="1" x14ac:dyDescent="0.2">
      <c r="A36" s="336" t="s">
        <v>384</v>
      </c>
    </row>
    <row r="37" spans="1:1" hidden="1" x14ac:dyDescent="0.2">
      <c r="A37" s="336" t="s">
        <v>385</v>
      </c>
    </row>
    <row r="38" spans="1:1" hidden="1" x14ac:dyDescent="0.2">
      <c r="A38" s="336" t="s">
        <v>386</v>
      </c>
    </row>
    <row r="39" spans="1:1" hidden="1" x14ac:dyDescent="0.2">
      <c r="A39" s="336" t="s">
        <v>387</v>
      </c>
    </row>
    <row r="40" spans="1:1" x14ac:dyDescent="0.2">
      <c r="A40" s="336"/>
    </row>
    <row r="41" spans="1:1" x14ac:dyDescent="0.2">
      <c r="A41" s="336"/>
    </row>
    <row r="42" spans="1:1" x14ac:dyDescent="0.2">
      <c r="A42" s="336"/>
    </row>
    <row r="43" spans="1:1" x14ac:dyDescent="0.2">
      <c r="A43" s="336"/>
    </row>
    <row r="44" spans="1:1" x14ac:dyDescent="0.2">
      <c r="A44" s="336"/>
    </row>
  </sheetData>
  <sheetProtection sheet="1" scenarios="1" formatCells="0"/>
  <phoneticPr fontId="0" type="noConversion"/>
  <dataValidations count="1">
    <dataValidation type="list" allowBlank="1" showInputMessage="1" showErrorMessage="1" error="Selecionar número do RGF na lista suspensa." sqref="A3 A14"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349"/>
  <sheetViews>
    <sheetView showGridLines="0" view="pageBreakPreview" zoomScaleSheetLayoutView="100" workbookViewId="0">
      <pane ySplit="4" topLeftCell="A5" activePane="bottomLeft" state="frozen"/>
      <selection activeCell="G29" sqref="G29"/>
      <selection pane="bottomLeft" activeCell="A5" sqref="A5:XFD5"/>
    </sheetView>
  </sheetViews>
  <sheetFormatPr defaultColWidth="9.140625" defaultRowHeight="12.75" x14ac:dyDescent="0.2"/>
  <cols>
    <col min="1" max="1" width="5.42578125" style="223" customWidth="1"/>
    <col min="2" max="2" width="7.7109375" style="58" customWidth="1"/>
    <col min="3" max="3" width="15.42578125" style="223" customWidth="1"/>
    <col min="4" max="4" width="23.5703125" style="58" customWidth="1"/>
    <col min="5" max="5" width="14.5703125" style="224" customWidth="1"/>
    <col min="6" max="6" width="24.42578125" style="224" customWidth="1"/>
    <col min="7" max="7" width="27" style="700" customWidth="1"/>
    <col min="8" max="8" width="46.7109375" style="700" customWidth="1"/>
    <col min="9" max="9" width="24.28515625" style="58" customWidth="1"/>
    <col min="10" max="11" width="9.140625" style="731" hidden="1" customWidth="1"/>
    <col min="12" max="12" width="18" style="223" customWidth="1"/>
    <col min="13" max="16384" width="9.140625" style="223"/>
  </cols>
  <sheetData>
    <row r="1" spans="1:12" ht="15.75" x14ac:dyDescent="0.25">
      <c r="A1" s="776" t="str">
        <f>Capa!A1</f>
        <v>Contrato de Gestão nº. 05/20 celebrado entre a Fundação Clóvis Salgado e a Associação Pró-Cultura e Promoção das Artes</v>
      </c>
      <c r="B1" s="776"/>
      <c r="C1" s="776"/>
      <c r="D1" s="776"/>
      <c r="E1" s="776"/>
      <c r="F1" s="776"/>
      <c r="G1" s="776"/>
      <c r="H1" s="808"/>
      <c r="I1" s="397"/>
      <c r="J1" s="728"/>
      <c r="K1" s="728"/>
    </row>
    <row r="2" spans="1:12" ht="15.75" x14ac:dyDescent="0.25">
      <c r="A2" s="776">
        <f>Capa!A3</f>
        <v>0</v>
      </c>
      <c r="B2" s="776"/>
      <c r="C2" s="776"/>
      <c r="D2" s="776"/>
      <c r="E2" s="776"/>
      <c r="F2" s="776"/>
      <c r="G2" s="776"/>
      <c r="H2" s="808"/>
      <c r="I2" s="397"/>
      <c r="J2" s="728"/>
      <c r="K2" s="728"/>
    </row>
    <row r="3" spans="1:12" ht="15" x14ac:dyDescent="0.25">
      <c r="A3" s="809" t="s">
        <v>362</v>
      </c>
      <c r="B3" s="809"/>
      <c r="C3" s="809"/>
      <c r="D3" s="809"/>
      <c r="E3" s="809"/>
      <c r="F3" s="809"/>
      <c r="G3" s="809"/>
      <c r="H3" s="810"/>
      <c r="I3" s="713"/>
      <c r="J3" s="729"/>
      <c r="K3" s="729"/>
    </row>
    <row r="4" spans="1:12" ht="25.5" x14ac:dyDescent="0.2">
      <c r="A4" s="396" t="s">
        <v>284</v>
      </c>
      <c r="B4" s="396" t="s">
        <v>285</v>
      </c>
      <c r="C4" s="396" t="s">
        <v>35</v>
      </c>
      <c r="D4" s="396" t="s">
        <v>44</v>
      </c>
      <c r="E4" s="457" t="s">
        <v>162</v>
      </c>
      <c r="F4" s="458" t="s">
        <v>305</v>
      </c>
      <c r="G4" s="396" t="s">
        <v>54</v>
      </c>
      <c r="H4" s="396" t="s">
        <v>55</v>
      </c>
      <c r="I4" s="396" t="s">
        <v>1005</v>
      </c>
      <c r="J4" s="730" t="s">
        <v>35</v>
      </c>
      <c r="K4" s="698" t="s">
        <v>283</v>
      </c>
      <c r="L4" s="396" t="s">
        <v>409</v>
      </c>
    </row>
    <row r="5" spans="1:12" ht="28.5" hidden="1" customHeight="1" x14ac:dyDescent="0.2">
      <c r="A5" s="736"/>
      <c r="B5" s="737"/>
      <c r="C5" s="733"/>
      <c r="D5" s="733"/>
      <c r="E5" s="732"/>
      <c r="F5" s="733"/>
      <c r="G5" s="738"/>
      <c r="H5" s="739"/>
      <c r="I5" s="740"/>
      <c r="J5" s="741" t="str">
        <f>SUBSTITUTE(C5," ","_")</f>
        <v/>
      </c>
      <c r="K5" s="742" t="str">
        <f>IF(B5="","",IF(YEAR(B5)='Diário 1º PA'!$Q$1,MONTH(B5)-'Diário 1º PA'!$P$1+1,(YEAR(B5)-'Diário 1º PA'!$Q$1)*12-'Diário 1º PA'!$P$1+1+MONTH(B5)))</f>
        <v/>
      </c>
      <c r="L5" s="743"/>
    </row>
    <row r="6" spans="1:12" ht="48" x14ac:dyDescent="0.2">
      <c r="A6" s="722">
        <v>1</v>
      </c>
      <c r="B6" s="431">
        <v>44896</v>
      </c>
      <c r="C6" s="434" t="s">
        <v>271</v>
      </c>
      <c r="D6" s="434" t="s">
        <v>91</v>
      </c>
      <c r="E6" s="435">
        <v>276.22000000000003</v>
      </c>
      <c r="F6" s="434" t="s">
        <v>309</v>
      </c>
      <c r="G6" s="437" t="s">
        <v>763</v>
      </c>
      <c r="H6" s="437" t="s">
        <v>471</v>
      </c>
      <c r="I6" s="434" t="s">
        <v>1009</v>
      </c>
      <c r="J6" s="654" t="str">
        <f t="shared" ref="J6" si="0">SUBSTITUTE(C6," ","_")</f>
        <v>Gastos_Gerais</v>
      </c>
      <c r="K6" s="655">
        <f>IF(B6="","",IF(YEAR(B6)='Diário 1º PA'!$Q$1,MONTH(B6)-'Diário 1º PA'!$P$1+1,(YEAR(B6)-'Diário 1º PA'!$Q$1)*12-'Diário 1º PA'!$P$1+1+MONTH(B6)))</f>
        <v>12</v>
      </c>
      <c r="L6" s="415" t="s">
        <v>400</v>
      </c>
    </row>
    <row r="7" spans="1:12" ht="24" x14ac:dyDescent="0.2">
      <c r="A7" s="722">
        <v>2</v>
      </c>
      <c r="B7" s="431">
        <v>44896</v>
      </c>
      <c r="C7" s="434" t="s">
        <v>271</v>
      </c>
      <c r="D7" s="434" t="s">
        <v>84</v>
      </c>
      <c r="E7" s="435">
        <v>80</v>
      </c>
      <c r="F7" s="434" t="s">
        <v>750</v>
      </c>
      <c r="G7" s="437" t="s">
        <v>766</v>
      </c>
      <c r="H7" s="437" t="s">
        <v>1479</v>
      </c>
      <c r="I7" s="434" t="s">
        <v>1019</v>
      </c>
      <c r="J7" s="654" t="str">
        <f t="shared" ref="J7:J36" si="1">SUBSTITUTE(C7," ","_")</f>
        <v>Gastos_Gerais</v>
      </c>
      <c r="K7" s="655">
        <f>IF(B7="","",IF(YEAR(B7)='Diário 1º PA'!$Q$1,MONTH(B7)-'Diário 1º PA'!$P$1+1,(YEAR(B7)-'Diário 1º PA'!$Q$1)*12-'Diário 1º PA'!$P$1+1+MONTH(B7)))</f>
        <v>12</v>
      </c>
      <c r="L7" s="415" t="s">
        <v>400</v>
      </c>
    </row>
    <row r="8" spans="1:12" ht="24" x14ac:dyDescent="0.2">
      <c r="A8" s="722">
        <v>3</v>
      </c>
      <c r="B8" s="431">
        <v>44896</v>
      </c>
      <c r="C8" s="434" t="s">
        <v>271</v>
      </c>
      <c r="D8" s="434" t="s">
        <v>85</v>
      </c>
      <c r="E8" s="435">
        <v>453.46</v>
      </c>
      <c r="F8" s="434" t="s">
        <v>750</v>
      </c>
      <c r="G8" s="437" t="s">
        <v>765</v>
      </c>
      <c r="H8" s="437" t="s">
        <v>7660</v>
      </c>
      <c r="I8" s="434"/>
      <c r="J8" s="654" t="str">
        <f t="shared" si="1"/>
        <v>Gastos_Gerais</v>
      </c>
      <c r="K8" s="655">
        <f>IF(B8="","",IF(YEAR(B8)='Diário 1º PA'!$Q$1,MONTH(B8)-'Diário 1º PA'!$P$1+1,(YEAR(B8)-'Diário 1º PA'!$Q$1)*12-'Diário 1º PA'!$P$1+1+MONTH(B8)))</f>
        <v>12</v>
      </c>
      <c r="L8" s="415" t="s">
        <v>400</v>
      </c>
    </row>
    <row r="9" spans="1:12" ht="24" x14ac:dyDescent="0.2">
      <c r="A9" s="722">
        <v>4</v>
      </c>
      <c r="B9" s="431">
        <v>44896</v>
      </c>
      <c r="C9" s="434" t="s">
        <v>271</v>
      </c>
      <c r="D9" s="434" t="s">
        <v>85</v>
      </c>
      <c r="E9" s="435">
        <v>762.24</v>
      </c>
      <c r="F9" s="434" t="s">
        <v>309</v>
      </c>
      <c r="G9" s="437" t="s">
        <v>765</v>
      </c>
      <c r="H9" s="437" t="s">
        <v>7660</v>
      </c>
      <c r="I9" s="434"/>
      <c r="J9" s="654" t="str">
        <f t="shared" si="1"/>
        <v>Gastos_Gerais</v>
      </c>
      <c r="K9" s="655">
        <f>IF(B9="","",IF(YEAR(B9)='Diário 1º PA'!$Q$1,MONTH(B9)-'Diário 1º PA'!$P$1+1,(YEAR(B9)-'Diário 1º PA'!$Q$1)*12-'Diário 1º PA'!$P$1+1+MONTH(B9)))</f>
        <v>12</v>
      </c>
      <c r="L9" s="415" t="s">
        <v>400</v>
      </c>
    </row>
    <row r="10" spans="1:12" ht="24" x14ac:dyDescent="0.2">
      <c r="A10" s="722">
        <v>5</v>
      </c>
      <c r="B10" s="433">
        <v>44896</v>
      </c>
      <c r="C10" s="434" t="s">
        <v>271</v>
      </c>
      <c r="D10" s="434" t="s">
        <v>183</v>
      </c>
      <c r="E10" s="435">
        <v>300</v>
      </c>
      <c r="F10" s="434" t="s">
        <v>309</v>
      </c>
      <c r="G10" s="437" t="s">
        <v>768</v>
      </c>
      <c r="H10" s="437" t="s">
        <v>7666</v>
      </c>
      <c r="I10" s="415" t="s">
        <v>1021</v>
      </c>
      <c r="J10" s="654" t="str">
        <f t="shared" si="1"/>
        <v>Gastos_Gerais</v>
      </c>
      <c r="K10" s="655">
        <f>IF(B10="","",IF(YEAR(B10)='Diário 1º PA'!$Q$1,MONTH(B10)-'Diário 1º PA'!$P$1+1,(YEAR(B10)-'Diário 1º PA'!$Q$1)*12-'Diário 1º PA'!$P$1+1+MONTH(B10)))</f>
        <v>12</v>
      </c>
      <c r="L10" s="415" t="s">
        <v>400</v>
      </c>
    </row>
    <row r="11" spans="1:12" ht="24" x14ac:dyDescent="0.2">
      <c r="A11" s="722">
        <v>6</v>
      </c>
      <c r="B11" s="433">
        <v>44896</v>
      </c>
      <c r="C11" s="434" t="s">
        <v>271</v>
      </c>
      <c r="D11" s="434" t="s">
        <v>164</v>
      </c>
      <c r="E11" s="435">
        <v>773.13</v>
      </c>
      <c r="F11" s="434" t="s">
        <v>309</v>
      </c>
      <c r="G11" s="437" t="s">
        <v>769</v>
      </c>
      <c r="H11" s="437" t="s">
        <v>502</v>
      </c>
      <c r="I11" s="434"/>
      <c r="J11" s="654" t="str">
        <f t="shared" si="1"/>
        <v>Gastos_Gerais</v>
      </c>
      <c r="K11" s="655">
        <f>IF(B11="","",IF(YEAR(B11)='Diário 1º PA'!$Q$1,MONTH(B11)-'Diário 1º PA'!$P$1+1,(YEAR(B11)-'Diário 1º PA'!$Q$1)*12-'Diário 1º PA'!$P$1+1+MONTH(B11)))</f>
        <v>12</v>
      </c>
      <c r="L11" s="415" t="s">
        <v>400</v>
      </c>
    </row>
    <row r="12" spans="1:12" ht="24" x14ac:dyDescent="0.2">
      <c r="A12" s="722">
        <v>7</v>
      </c>
      <c r="B12" s="433">
        <v>44896</v>
      </c>
      <c r="C12" s="434" t="s">
        <v>271</v>
      </c>
      <c r="D12" s="434" t="s">
        <v>164</v>
      </c>
      <c r="E12" s="435">
        <v>423.36</v>
      </c>
      <c r="F12" s="434" t="s">
        <v>309</v>
      </c>
      <c r="G12" s="437" t="s">
        <v>768</v>
      </c>
      <c r="H12" s="437" t="s">
        <v>502</v>
      </c>
      <c r="I12" s="434"/>
      <c r="J12" s="654" t="str">
        <f t="shared" si="1"/>
        <v>Gastos_Gerais</v>
      </c>
      <c r="K12" s="655">
        <f>IF(B12="","",IF(YEAR(B12)='Diário 1º PA'!$Q$1,MONTH(B12)-'Diário 1º PA'!$P$1+1,(YEAR(B12)-'Diário 1º PA'!$Q$1)*12-'Diário 1º PA'!$P$1+1+MONTH(B12)))</f>
        <v>12</v>
      </c>
      <c r="L12" s="415" t="s">
        <v>400</v>
      </c>
    </row>
    <row r="13" spans="1:12" ht="24" x14ac:dyDescent="0.2">
      <c r="A13" s="722">
        <v>8</v>
      </c>
      <c r="B13" s="433">
        <v>44866</v>
      </c>
      <c r="C13" s="434" t="s">
        <v>182</v>
      </c>
      <c r="D13" s="434" t="s">
        <v>1</v>
      </c>
      <c r="E13" s="435">
        <v>15708.79</v>
      </c>
      <c r="F13" s="434" t="s">
        <v>310</v>
      </c>
      <c r="G13" s="437" t="s">
        <v>1461</v>
      </c>
      <c r="H13" s="437" t="s">
        <v>8711</v>
      </c>
      <c r="I13" s="434"/>
      <c r="J13" s="654" t="str">
        <f t="shared" si="1"/>
        <v>Gastos_com_Pessoal</v>
      </c>
      <c r="K13" s="655">
        <f>IF(B13="","",IF(YEAR(B13)='Diário 1º PA'!$Q$1,MONTH(B13)-'Diário 1º PA'!$P$1+1,(YEAR(B13)-'Diário 1º PA'!$Q$1)*12-'Diário 1º PA'!$P$1+1+MONTH(B13)))</f>
        <v>11</v>
      </c>
      <c r="L13" s="415" t="s">
        <v>400</v>
      </c>
    </row>
    <row r="14" spans="1:12" ht="24" x14ac:dyDescent="0.2">
      <c r="A14" s="722">
        <v>9</v>
      </c>
      <c r="B14" s="433">
        <v>44896</v>
      </c>
      <c r="C14" s="434" t="s">
        <v>182</v>
      </c>
      <c r="D14" s="434" t="s">
        <v>268</v>
      </c>
      <c r="E14" s="435">
        <v>15195.64</v>
      </c>
      <c r="F14" s="434" t="s">
        <v>310</v>
      </c>
      <c r="G14" s="437" t="s">
        <v>1461</v>
      </c>
      <c r="H14" s="437" t="s">
        <v>9037</v>
      </c>
      <c r="I14" s="434"/>
      <c r="J14" s="654" t="str">
        <f t="shared" si="1"/>
        <v>Gastos_com_Pessoal</v>
      </c>
      <c r="K14" s="655">
        <f>IF(B14="","",IF(YEAR(B14)='Diário 1º PA'!$Q$1,MONTH(B14)-'Diário 1º PA'!$P$1+1,(YEAR(B14)-'Diário 1º PA'!$Q$1)*12-'Diário 1º PA'!$P$1+1+MONTH(B14)))</f>
        <v>12</v>
      </c>
      <c r="L14" s="415" t="s">
        <v>400</v>
      </c>
    </row>
    <row r="15" spans="1:12" ht="24" x14ac:dyDescent="0.2">
      <c r="A15" s="722">
        <v>10</v>
      </c>
      <c r="B15" s="433">
        <v>44896</v>
      </c>
      <c r="C15" s="434" t="s">
        <v>182</v>
      </c>
      <c r="D15" s="434" t="s">
        <v>268</v>
      </c>
      <c r="E15" s="435">
        <v>1093.94</v>
      </c>
      <c r="F15" s="434" t="s">
        <v>310</v>
      </c>
      <c r="G15" s="437" t="s">
        <v>1461</v>
      </c>
      <c r="H15" s="437" t="s">
        <v>9203</v>
      </c>
      <c r="I15" s="434"/>
      <c r="J15" s="654" t="str">
        <f t="shared" si="1"/>
        <v>Gastos_com_Pessoal</v>
      </c>
      <c r="K15" s="655">
        <f>IF(B15="","",IF(YEAR(B15)='Diário 1º PA'!$Q$1,MONTH(B15)-'Diário 1º PA'!$P$1+1,(YEAR(B15)-'Diário 1º PA'!$Q$1)*12-'Diário 1º PA'!$P$1+1+MONTH(B15)))</f>
        <v>12</v>
      </c>
      <c r="L15" s="415" t="s">
        <v>400</v>
      </c>
    </row>
    <row r="16" spans="1:12" ht="24" x14ac:dyDescent="0.2">
      <c r="A16" s="722">
        <v>11</v>
      </c>
      <c r="B16" s="433">
        <v>44896</v>
      </c>
      <c r="C16" s="434" t="s">
        <v>182</v>
      </c>
      <c r="D16" s="434" t="s">
        <v>1</v>
      </c>
      <c r="E16" s="435">
        <v>187199.81</v>
      </c>
      <c r="F16" s="434" t="s">
        <v>310</v>
      </c>
      <c r="G16" s="437"/>
      <c r="H16" s="437" t="s">
        <v>7669</v>
      </c>
      <c r="I16" s="434"/>
      <c r="J16" s="654" t="str">
        <f t="shared" si="1"/>
        <v>Gastos_com_Pessoal</v>
      </c>
      <c r="K16" s="655">
        <f>IF(B16="","",IF(YEAR(B16)='Diário 1º PA'!$Q$1,MONTH(B16)-'Diário 1º PA'!$P$1+1,(YEAR(B16)-'Diário 1º PA'!$Q$1)*12-'Diário 1º PA'!$P$1+1+MONTH(B16)))</f>
        <v>12</v>
      </c>
      <c r="L16" s="415" t="s">
        <v>400</v>
      </c>
    </row>
    <row r="17" spans="1:12" ht="24" x14ac:dyDescent="0.2">
      <c r="A17" s="722">
        <v>12</v>
      </c>
      <c r="B17" s="433">
        <v>44896</v>
      </c>
      <c r="C17" s="434" t="s">
        <v>182</v>
      </c>
      <c r="D17" s="434" t="s">
        <v>1</v>
      </c>
      <c r="E17" s="435">
        <v>15505.88</v>
      </c>
      <c r="F17" s="434" t="s">
        <v>310</v>
      </c>
      <c r="G17" s="437" t="s">
        <v>1461</v>
      </c>
      <c r="H17" s="437" t="s">
        <v>9202</v>
      </c>
      <c r="I17" s="434"/>
      <c r="J17" s="654" t="str">
        <f t="shared" si="1"/>
        <v>Gastos_com_Pessoal</v>
      </c>
      <c r="K17" s="655">
        <f>IF(B17="","",IF(YEAR(B17)='Diário 1º PA'!$Q$1,MONTH(B17)-'Diário 1º PA'!$P$1+1,(YEAR(B17)-'Diário 1º PA'!$Q$1)*12-'Diário 1º PA'!$P$1+1+MONTH(B17)))</f>
        <v>12</v>
      </c>
      <c r="L17" s="415" t="s">
        <v>400</v>
      </c>
    </row>
    <row r="18" spans="1:12" ht="24" x14ac:dyDescent="0.2">
      <c r="A18" s="722">
        <v>13</v>
      </c>
      <c r="B18" s="433">
        <v>44896</v>
      </c>
      <c r="C18" s="434" t="s">
        <v>182</v>
      </c>
      <c r="D18" s="434" t="s">
        <v>1</v>
      </c>
      <c r="E18" s="435">
        <v>19269.61</v>
      </c>
      <c r="F18" s="434" t="s">
        <v>310</v>
      </c>
      <c r="G18" s="437" t="s">
        <v>1461</v>
      </c>
      <c r="H18" s="437" t="s">
        <v>9202</v>
      </c>
      <c r="I18" s="434"/>
      <c r="J18" s="654" t="str">
        <f t="shared" si="1"/>
        <v>Gastos_com_Pessoal</v>
      </c>
      <c r="K18" s="655">
        <f>IF(B18="","",IF(YEAR(B18)='Diário 1º PA'!$Q$1,MONTH(B18)-'Diário 1º PA'!$P$1+1,(YEAR(B18)-'Diário 1º PA'!$Q$1)*12-'Diário 1º PA'!$P$1+1+MONTH(B18)))</f>
        <v>12</v>
      </c>
      <c r="L18" s="415" t="s">
        <v>400</v>
      </c>
    </row>
    <row r="19" spans="1:12" ht="24" x14ac:dyDescent="0.2">
      <c r="A19" s="722">
        <v>14</v>
      </c>
      <c r="B19" s="433">
        <v>44896</v>
      </c>
      <c r="C19" s="434" t="s">
        <v>182</v>
      </c>
      <c r="D19" s="434" t="s">
        <v>8</v>
      </c>
      <c r="E19" s="435">
        <v>1658.88</v>
      </c>
      <c r="F19" s="434" t="s">
        <v>310</v>
      </c>
      <c r="G19" s="437" t="s">
        <v>9115</v>
      </c>
      <c r="H19" s="437" t="s">
        <v>9116</v>
      </c>
      <c r="I19" s="434" t="s">
        <v>825</v>
      </c>
      <c r="J19" s="654" t="str">
        <f t="shared" si="1"/>
        <v>Gastos_com_Pessoal</v>
      </c>
      <c r="K19" s="655">
        <f>IF(B19="","",IF(YEAR(B19)='Diário 1º PA'!$Q$1,MONTH(B19)-'Diário 1º PA'!$P$1+1,(YEAR(B19)-'Diário 1º PA'!$Q$1)*12-'Diário 1º PA'!$P$1+1+MONTH(B19)))</f>
        <v>12</v>
      </c>
      <c r="L19" s="415" t="s">
        <v>400</v>
      </c>
    </row>
    <row r="20" spans="1:12" ht="24" x14ac:dyDescent="0.2">
      <c r="A20" s="722">
        <v>15</v>
      </c>
      <c r="B20" s="433">
        <v>44866</v>
      </c>
      <c r="C20" s="434" t="s">
        <v>182</v>
      </c>
      <c r="D20" s="434" t="s">
        <v>179</v>
      </c>
      <c r="E20" s="435">
        <v>20.91</v>
      </c>
      <c r="F20" s="434" t="s">
        <v>310</v>
      </c>
      <c r="G20" s="437" t="s">
        <v>764</v>
      </c>
      <c r="H20" s="437" t="s">
        <v>8639</v>
      </c>
      <c r="I20" s="434" t="s">
        <v>310</v>
      </c>
      <c r="J20" s="654" t="str">
        <f t="shared" si="1"/>
        <v>Gastos_com_Pessoal</v>
      </c>
      <c r="K20" s="655">
        <f>IF(B20="","",IF(YEAR(B20)='Diário 1º PA'!$Q$1,MONTH(B20)-'Diário 1º PA'!$P$1+1,(YEAR(B20)-'Diário 1º PA'!$Q$1)*12-'Diário 1º PA'!$P$1+1+MONTH(B20)))</f>
        <v>11</v>
      </c>
      <c r="L20" s="415" t="s">
        <v>400</v>
      </c>
    </row>
    <row r="21" spans="1:12" ht="24" x14ac:dyDescent="0.2">
      <c r="A21" s="722">
        <v>16</v>
      </c>
      <c r="B21" s="433">
        <v>44866</v>
      </c>
      <c r="C21" s="434" t="s">
        <v>182</v>
      </c>
      <c r="D21" s="434" t="s">
        <v>179</v>
      </c>
      <c r="E21" s="435">
        <v>30.41</v>
      </c>
      <c r="F21" s="434" t="s">
        <v>310</v>
      </c>
      <c r="G21" s="437" t="s">
        <v>764</v>
      </c>
      <c r="H21" s="437" t="s">
        <v>8643</v>
      </c>
      <c r="I21" s="434" t="s">
        <v>310</v>
      </c>
      <c r="J21" s="654" t="str">
        <f t="shared" si="1"/>
        <v>Gastos_com_Pessoal</v>
      </c>
      <c r="K21" s="655">
        <f>IF(B21="","",IF(YEAR(B21)='Diário 1º PA'!$Q$1,MONTH(B21)-'Diário 1º PA'!$P$1+1,(YEAR(B21)-'Diário 1º PA'!$Q$1)*12-'Diário 1º PA'!$P$1+1+MONTH(B21)))</f>
        <v>11</v>
      </c>
      <c r="L21" s="415" t="s">
        <v>400</v>
      </c>
    </row>
    <row r="22" spans="1:12" ht="24" x14ac:dyDescent="0.2">
      <c r="A22" s="722">
        <v>17</v>
      </c>
      <c r="B22" s="433">
        <v>44896</v>
      </c>
      <c r="C22" s="434" t="s">
        <v>182</v>
      </c>
      <c r="D22" s="434" t="s">
        <v>179</v>
      </c>
      <c r="E22" s="435">
        <v>997.92</v>
      </c>
      <c r="F22" s="434" t="s">
        <v>310</v>
      </c>
      <c r="G22" s="437" t="s">
        <v>8117</v>
      </c>
      <c r="H22" s="437" t="s">
        <v>8118</v>
      </c>
      <c r="I22" s="434" t="s">
        <v>819</v>
      </c>
      <c r="J22" s="654" t="str">
        <f t="shared" si="1"/>
        <v>Gastos_com_Pessoal</v>
      </c>
      <c r="K22" s="655">
        <f>IF(B22="","",IF(YEAR(B22)='Diário 1º PA'!$Q$1,MONTH(B22)-'Diário 1º PA'!$P$1+1,(YEAR(B22)-'Diário 1º PA'!$Q$1)*12-'Diário 1º PA'!$P$1+1+MONTH(B22)))</f>
        <v>12</v>
      </c>
      <c r="L22" s="415" t="s">
        <v>400</v>
      </c>
    </row>
    <row r="23" spans="1:12" ht="24" x14ac:dyDescent="0.2">
      <c r="A23" s="722">
        <v>18</v>
      </c>
      <c r="B23" s="431">
        <v>44896</v>
      </c>
      <c r="C23" s="415" t="s">
        <v>182</v>
      </c>
      <c r="D23" s="415" t="s">
        <v>161</v>
      </c>
      <c r="E23" s="425">
        <v>138.75</v>
      </c>
      <c r="F23" s="415" t="s">
        <v>310</v>
      </c>
      <c r="G23" s="427"/>
      <c r="H23" s="427" t="s">
        <v>161</v>
      </c>
      <c r="I23" s="415"/>
      <c r="J23" s="654" t="str">
        <f t="shared" si="1"/>
        <v>Gastos_com_Pessoal</v>
      </c>
      <c r="K23" s="655">
        <f>IF(B23="","",IF(YEAR(B23)='Diário 1º PA'!$Q$1,MONTH(B23)-'Diário 1º PA'!$P$1+1,(YEAR(B23)-'Diário 1º PA'!$Q$1)*12-'Diário 1º PA'!$P$1+1+MONTH(B23)))</f>
        <v>12</v>
      </c>
      <c r="L23" s="415" t="s">
        <v>400</v>
      </c>
    </row>
    <row r="24" spans="1:12" ht="24" x14ac:dyDescent="0.2">
      <c r="A24" s="722">
        <v>19</v>
      </c>
      <c r="B24" s="431">
        <v>44896</v>
      </c>
      <c r="C24" s="415" t="s">
        <v>182</v>
      </c>
      <c r="D24" s="415" t="s">
        <v>1</v>
      </c>
      <c r="E24" s="425">
        <v>2000</v>
      </c>
      <c r="F24" s="415" t="s">
        <v>310</v>
      </c>
      <c r="G24" s="427" t="s">
        <v>9121</v>
      </c>
      <c r="H24" s="427" t="s">
        <v>9122</v>
      </c>
      <c r="I24" s="415"/>
      <c r="J24" s="654" t="str">
        <f t="shared" si="1"/>
        <v>Gastos_com_Pessoal</v>
      </c>
      <c r="K24" s="655">
        <f>IF(B24="","",IF(YEAR(B24)='Diário 1º PA'!$Q$1,MONTH(B24)-'Diário 1º PA'!$P$1+1,(YEAR(B24)-'Diário 1º PA'!$Q$1)*12-'Diário 1º PA'!$P$1+1+MONTH(B24)))</f>
        <v>12</v>
      </c>
      <c r="L24" s="415" t="s">
        <v>400</v>
      </c>
    </row>
    <row r="25" spans="1:12" ht="24" x14ac:dyDescent="0.2">
      <c r="A25" s="722">
        <v>20</v>
      </c>
      <c r="B25" s="431">
        <v>44896</v>
      </c>
      <c r="C25" s="415" t="s">
        <v>182</v>
      </c>
      <c r="D25" s="415" t="s">
        <v>176</v>
      </c>
      <c r="E25" s="425">
        <v>1020</v>
      </c>
      <c r="F25" s="415" t="s">
        <v>310</v>
      </c>
      <c r="G25" s="427" t="s">
        <v>9160</v>
      </c>
      <c r="H25" s="427" t="s">
        <v>9161</v>
      </c>
      <c r="I25" s="415"/>
      <c r="J25" s="654" t="str">
        <f t="shared" ref="J25" si="2">SUBSTITUTE(C25," ","_")</f>
        <v>Gastos_com_Pessoal</v>
      </c>
      <c r="K25" s="655">
        <f>IF(B25="","",IF(YEAR(B25)='Diário 1º PA'!$Q$1,MONTH(B25)-'Diário 1º PA'!$P$1+1,(YEAR(B25)-'Diário 1º PA'!$Q$1)*12-'Diário 1º PA'!$P$1+1+MONTH(B25)))</f>
        <v>12</v>
      </c>
      <c r="L25" s="415" t="s">
        <v>400</v>
      </c>
    </row>
    <row r="26" spans="1:12" ht="24" x14ac:dyDescent="0.2">
      <c r="A26" s="722">
        <v>21</v>
      </c>
      <c r="B26" s="431">
        <v>44896</v>
      </c>
      <c r="C26" s="415" t="s">
        <v>271</v>
      </c>
      <c r="D26" s="415" t="s">
        <v>297</v>
      </c>
      <c r="E26" s="425">
        <v>21908.73</v>
      </c>
      <c r="F26" s="415" t="s">
        <v>750</v>
      </c>
      <c r="G26" s="427" t="s">
        <v>774</v>
      </c>
      <c r="H26" s="427" t="s">
        <v>7533</v>
      </c>
      <c r="I26" s="415" t="s">
        <v>844</v>
      </c>
      <c r="J26" s="654" t="str">
        <f t="shared" si="1"/>
        <v>Gastos_Gerais</v>
      </c>
      <c r="K26" s="655">
        <f>IF(B26="","",IF(YEAR(B26)='Diário 1º PA'!$Q$1,MONTH(B26)-'Diário 1º PA'!$P$1+1,(YEAR(B26)-'Diário 1º PA'!$Q$1)*12-'Diário 1º PA'!$P$1+1+MONTH(B26)))</f>
        <v>12</v>
      </c>
      <c r="L26" s="415" t="s">
        <v>400</v>
      </c>
    </row>
    <row r="27" spans="1:12" ht="144" x14ac:dyDescent="0.2">
      <c r="A27" s="722">
        <v>22</v>
      </c>
      <c r="B27" s="431">
        <v>44348</v>
      </c>
      <c r="C27" s="415" t="s">
        <v>271</v>
      </c>
      <c r="D27" s="415" t="s">
        <v>453</v>
      </c>
      <c r="E27" s="425">
        <v>1700</v>
      </c>
      <c r="F27" s="415" t="s">
        <v>754</v>
      </c>
      <c r="G27" s="427" t="s">
        <v>775</v>
      </c>
      <c r="H27" s="427" t="s">
        <v>537</v>
      </c>
      <c r="I27" s="415" t="s">
        <v>1034</v>
      </c>
      <c r="J27" s="654" t="str">
        <f t="shared" si="1"/>
        <v>Gastos_Gerais</v>
      </c>
      <c r="K27" s="655">
        <f>IF(B27="","",IF(YEAR(B27)='Diário 1º PA'!$Q$1,MONTH(B27)-'Diário 1º PA'!$P$1+1,(YEAR(B27)-'Diário 1º PA'!$Q$1)*12-'Diário 1º PA'!$P$1+1+MONTH(B27)))</f>
        <v>-6</v>
      </c>
      <c r="L27" s="415" t="s">
        <v>400</v>
      </c>
    </row>
    <row r="28" spans="1:12" ht="84" x14ac:dyDescent="0.2">
      <c r="A28" s="722">
        <v>23</v>
      </c>
      <c r="B28" s="431">
        <v>44409</v>
      </c>
      <c r="C28" s="415" t="s">
        <v>271</v>
      </c>
      <c r="D28" s="415" t="s">
        <v>449</v>
      </c>
      <c r="E28" s="425">
        <v>2500</v>
      </c>
      <c r="F28" s="415" t="s">
        <v>756</v>
      </c>
      <c r="G28" s="427" t="s">
        <v>777</v>
      </c>
      <c r="H28" s="427" t="s">
        <v>550</v>
      </c>
      <c r="I28" s="415" t="s">
        <v>1043</v>
      </c>
      <c r="J28" s="654" t="str">
        <f t="shared" si="1"/>
        <v>Gastos_Gerais</v>
      </c>
      <c r="K28" s="655">
        <f>IF(B28="","",IF(YEAR(B28)='Diário 1º PA'!$Q$1,MONTH(B28)-'Diário 1º PA'!$P$1+1,(YEAR(B28)-'Diário 1º PA'!$Q$1)*12-'Diário 1º PA'!$P$1+1+MONTH(B28)))</f>
        <v>-4</v>
      </c>
      <c r="L28" s="415" t="s">
        <v>400</v>
      </c>
    </row>
    <row r="29" spans="1:12" ht="84" x14ac:dyDescent="0.2">
      <c r="A29" s="722">
        <v>24</v>
      </c>
      <c r="B29" s="431">
        <v>44896</v>
      </c>
      <c r="C29" s="415" t="s">
        <v>271</v>
      </c>
      <c r="D29" s="415" t="s">
        <v>187</v>
      </c>
      <c r="E29" s="425">
        <v>700</v>
      </c>
      <c r="F29" s="415" t="s">
        <v>309</v>
      </c>
      <c r="G29" s="427" t="s">
        <v>778</v>
      </c>
      <c r="H29" s="427" t="s">
        <v>7536</v>
      </c>
      <c r="I29" s="415" t="s">
        <v>1071</v>
      </c>
      <c r="J29" s="654" t="str">
        <f t="shared" si="1"/>
        <v>Gastos_Gerais</v>
      </c>
      <c r="K29" s="655">
        <f>IF(B29="","",IF(YEAR(B29)='Diário 1º PA'!$Q$1,MONTH(B29)-'Diário 1º PA'!$P$1+1,(YEAR(B29)-'Diário 1º PA'!$Q$1)*12-'Diário 1º PA'!$P$1+1+MONTH(B29)))</f>
        <v>12</v>
      </c>
      <c r="L29" s="415" t="s">
        <v>400</v>
      </c>
    </row>
    <row r="30" spans="1:12" ht="72" x14ac:dyDescent="0.2">
      <c r="A30" s="722">
        <v>25</v>
      </c>
      <c r="B30" s="431">
        <v>44562</v>
      </c>
      <c r="C30" s="415" t="s">
        <v>271</v>
      </c>
      <c r="D30" s="415" t="s">
        <v>465</v>
      </c>
      <c r="E30" s="425">
        <v>3390</v>
      </c>
      <c r="F30" s="415" t="s">
        <v>752</v>
      </c>
      <c r="G30" s="427" t="s">
        <v>779</v>
      </c>
      <c r="H30" s="427" t="s">
        <v>674</v>
      </c>
      <c r="I30" s="415" t="s">
        <v>1010</v>
      </c>
      <c r="J30" s="654" t="str">
        <f t="shared" si="1"/>
        <v>Gastos_Gerais</v>
      </c>
      <c r="K30" s="655">
        <f>IF(B30="","",IF(YEAR(B30)='Diário 1º PA'!$Q$1,MONTH(B30)-'Diário 1º PA'!$P$1+1,(YEAR(B30)-'Diário 1º PA'!$Q$1)*12-'Diário 1º PA'!$P$1+1+MONTH(B30)))</f>
        <v>1</v>
      </c>
      <c r="L30" s="415" t="s">
        <v>400</v>
      </c>
    </row>
    <row r="31" spans="1:12" ht="36" x14ac:dyDescent="0.2">
      <c r="A31" s="722">
        <v>26</v>
      </c>
      <c r="B31" s="431">
        <v>44896</v>
      </c>
      <c r="C31" s="415" t="s">
        <v>271</v>
      </c>
      <c r="D31" s="415" t="s">
        <v>92</v>
      </c>
      <c r="E31" s="425">
        <v>500</v>
      </c>
      <c r="F31" s="415" t="s">
        <v>309</v>
      </c>
      <c r="G31" s="427" t="s">
        <v>781</v>
      </c>
      <c r="H31" s="427" t="s">
        <v>692</v>
      </c>
      <c r="I31" s="415" t="s">
        <v>1123</v>
      </c>
      <c r="J31" s="654" t="str">
        <f t="shared" si="1"/>
        <v>Gastos_Gerais</v>
      </c>
      <c r="K31" s="655">
        <f>IF(B31="","",IF(YEAR(B31)='Diário 1º PA'!$Q$1,MONTH(B31)-'Diário 1º PA'!$P$1+1,(YEAR(B31)-'Diário 1º PA'!$Q$1)*12-'Diário 1º PA'!$P$1+1+MONTH(B31)))</f>
        <v>12</v>
      </c>
      <c r="L31" s="415" t="s">
        <v>400</v>
      </c>
    </row>
    <row r="32" spans="1:12" ht="36" x14ac:dyDescent="0.2">
      <c r="A32" s="722">
        <v>27</v>
      </c>
      <c r="B32" s="431">
        <v>44896</v>
      </c>
      <c r="C32" s="415" t="s">
        <v>468</v>
      </c>
      <c r="D32" s="415" t="s">
        <v>468</v>
      </c>
      <c r="E32" s="425">
        <v>4400</v>
      </c>
      <c r="F32" s="415" t="s">
        <v>468</v>
      </c>
      <c r="G32" s="427" t="s">
        <v>782</v>
      </c>
      <c r="H32" s="427" t="s">
        <v>693</v>
      </c>
      <c r="I32" s="415" t="s">
        <v>1124</v>
      </c>
      <c r="J32" s="654" t="str">
        <f t="shared" si="1"/>
        <v>Gastos_custeados_por_captação</v>
      </c>
      <c r="K32" s="655">
        <f>IF(B32="","",IF(YEAR(B32)='Diário 1º PA'!$Q$1,MONTH(B32)-'Diário 1º PA'!$P$1+1,(YEAR(B32)-'Diário 1º PA'!$Q$1)*12-'Diário 1º PA'!$P$1+1+MONTH(B32)))</f>
        <v>12</v>
      </c>
      <c r="L32" s="415" t="s">
        <v>408</v>
      </c>
    </row>
    <row r="33" spans="1:12" ht="36" x14ac:dyDescent="0.2">
      <c r="A33" s="722">
        <v>28</v>
      </c>
      <c r="B33" s="431">
        <v>44896</v>
      </c>
      <c r="C33" s="415" t="s">
        <v>468</v>
      </c>
      <c r="D33" s="415" t="s">
        <v>468</v>
      </c>
      <c r="E33" s="425">
        <v>2750</v>
      </c>
      <c r="F33" s="415" t="s">
        <v>468</v>
      </c>
      <c r="G33" s="427" t="s">
        <v>783</v>
      </c>
      <c r="H33" s="427" t="s">
        <v>694</v>
      </c>
      <c r="I33" s="415" t="s">
        <v>1120</v>
      </c>
      <c r="J33" s="654" t="str">
        <f t="shared" si="1"/>
        <v>Gastos_custeados_por_captação</v>
      </c>
      <c r="K33" s="655">
        <f>IF(B33="","",IF(YEAR(B33)='Diário 1º PA'!$Q$1,MONTH(B33)-'Diário 1º PA'!$P$1+1,(YEAR(B33)-'Diário 1º PA'!$Q$1)*12-'Diário 1º PA'!$P$1+1+MONTH(B33)))</f>
        <v>12</v>
      </c>
      <c r="L33" s="415" t="s">
        <v>408</v>
      </c>
    </row>
    <row r="34" spans="1:12" ht="36" x14ac:dyDescent="0.2">
      <c r="A34" s="722">
        <v>29</v>
      </c>
      <c r="B34" s="431">
        <v>44896</v>
      </c>
      <c r="C34" s="415" t="s">
        <v>468</v>
      </c>
      <c r="D34" s="415" t="s">
        <v>468</v>
      </c>
      <c r="E34" s="425">
        <v>4000</v>
      </c>
      <c r="F34" s="415" t="s">
        <v>468</v>
      </c>
      <c r="G34" s="427" t="s">
        <v>784</v>
      </c>
      <c r="H34" s="427" t="s">
        <v>695</v>
      </c>
      <c r="I34" s="415" t="s">
        <v>1125</v>
      </c>
      <c r="J34" s="654" t="str">
        <f t="shared" si="1"/>
        <v>Gastos_custeados_por_captação</v>
      </c>
      <c r="K34" s="655">
        <f>IF(B34="","",IF(YEAR(B34)='Diário 1º PA'!$Q$1,MONTH(B34)-'Diário 1º PA'!$P$1+1,(YEAR(B34)-'Diário 1º PA'!$Q$1)*12-'Diário 1º PA'!$P$1+1+MONTH(B34)))</f>
        <v>12</v>
      </c>
      <c r="L34" s="415" t="s">
        <v>408</v>
      </c>
    </row>
    <row r="35" spans="1:12" ht="36" x14ac:dyDescent="0.2">
      <c r="A35" s="722">
        <v>30</v>
      </c>
      <c r="B35" s="431">
        <v>44896</v>
      </c>
      <c r="C35" s="415" t="s">
        <v>468</v>
      </c>
      <c r="D35" s="415" t="s">
        <v>468</v>
      </c>
      <c r="E35" s="425">
        <v>2750</v>
      </c>
      <c r="F35" s="415" t="s">
        <v>468</v>
      </c>
      <c r="G35" s="427" t="s">
        <v>786</v>
      </c>
      <c r="H35" s="427" t="s">
        <v>694</v>
      </c>
      <c r="I35" s="415" t="s">
        <v>1127</v>
      </c>
      <c r="J35" s="654" t="str">
        <f t="shared" si="1"/>
        <v>Gastos_custeados_por_captação</v>
      </c>
      <c r="K35" s="655">
        <f>IF(B35="","",IF(YEAR(B35)='Diário 1º PA'!$Q$1,MONTH(B35)-'Diário 1º PA'!$P$1+1,(YEAR(B35)-'Diário 1º PA'!$Q$1)*12-'Diário 1º PA'!$P$1+1+MONTH(B35)))</f>
        <v>12</v>
      </c>
      <c r="L35" s="415" t="s">
        <v>408</v>
      </c>
    </row>
    <row r="36" spans="1:12" ht="36" x14ac:dyDescent="0.2">
      <c r="A36" s="722">
        <v>31</v>
      </c>
      <c r="B36" s="431">
        <v>44896</v>
      </c>
      <c r="C36" s="415" t="s">
        <v>468</v>
      </c>
      <c r="D36" s="415" t="s">
        <v>468</v>
      </c>
      <c r="E36" s="425">
        <v>2650</v>
      </c>
      <c r="F36" s="415" t="s">
        <v>468</v>
      </c>
      <c r="G36" s="427" t="s">
        <v>787</v>
      </c>
      <c r="H36" s="427" t="s">
        <v>697</v>
      </c>
      <c r="I36" s="415" t="s">
        <v>1128</v>
      </c>
      <c r="J36" s="654" t="str">
        <f t="shared" si="1"/>
        <v>Gastos_custeados_por_captação</v>
      </c>
      <c r="K36" s="655">
        <f>IF(B36="","",IF(YEAR(B36)='Diário 1º PA'!$Q$1,MONTH(B36)-'Diário 1º PA'!$P$1+1,(YEAR(B36)-'Diário 1º PA'!$Q$1)*12-'Diário 1º PA'!$P$1+1+MONTH(B36)))</f>
        <v>12</v>
      </c>
      <c r="L36" s="415" t="s">
        <v>408</v>
      </c>
    </row>
    <row r="37" spans="1:12" ht="48" x14ac:dyDescent="0.2">
      <c r="A37" s="722">
        <v>32</v>
      </c>
      <c r="B37" s="431">
        <v>44896</v>
      </c>
      <c r="C37" s="415" t="s">
        <v>468</v>
      </c>
      <c r="D37" s="415" t="s">
        <v>468</v>
      </c>
      <c r="E37" s="425">
        <v>4400</v>
      </c>
      <c r="F37" s="415" t="s">
        <v>468</v>
      </c>
      <c r="G37" s="427" t="s">
        <v>788</v>
      </c>
      <c r="H37" s="427" t="s">
        <v>701</v>
      </c>
      <c r="I37" s="415" t="s">
        <v>1131</v>
      </c>
      <c r="J37" s="654" t="str">
        <f t="shared" ref="J37:J66" si="3">SUBSTITUTE(C37," ","_")</f>
        <v>Gastos_custeados_por_captação</v>
      </c>
      <c r="K37" s="655">
        <f>IF(B37="","",IF(YEAR(B37)='Diário 1º PA'!$Q$1,MONTH(B37)-'Diário 1º PA'!$P$1+1,(YEAR(B37)-'Diário 1º PA'!$Q$1)*12-'Diário 1º PA'!$P$1+1+MONTH(B37)))</f>
        <v>12</v>
      </c>
      <c r="L37" s="415" t="s">
        <v>408</v>
      </c>
    </row>
    <row r="38" spans="1:12" ht="24" x14ac:dyDescent="0.2">
      <c r="A38" s="722">
        <v>33</v>
      </c>
      <c r="B38" s="431">
        <v>44866</v>
      </c>
      <c r="C38" s="415" t="s">
        <v>271</v>
      </c>
      <c r="D38" s="415" t="s">
        <v>90</v>
      </c>
      <c r="E38" s="425">
        <v>229.5</v>
      </c>
      <c r="F38" s="415" t="s">
        <v>309</v>
      </c>
      <c r="G38" s="427" t="s">
        <v>764</v>
      </c>
      <c r="H38" s="427" t="s">
        <v>8666</v>
      </c>
      <c r="I38" s="415" t="s">
        <v>310</v>
      </c>
      <c r="J38" s="654" t="str">
        <f t="shared" si="3"/>
        <v>Gastos_Gerais</v>
      </c>
      <c r="K38" s="655">
        <f>IF(B38="","",IF(YEAR(B38)='Diário 1º PA'!$Q$1,MONTH(B38)-'Diário 1º PA'!$P$1+1,(YEAR(B38)-'Diário 1º PA'!$Q$1)*12-'Diário 1º PA'!$P$1+1+MONTH(B38)))</f>
        <v>11</v>
      </c>
      <c r="L38" s="415" t="s">
        <v>400</v>
      </c>
    </row>
    <row r="39" spans="1:12" ht="96" x14ac:dyDescent="0.2">
      <c r="A39" s="722">
        <v>34</v>
      </c>
      <c r="B39" s="431">
        <v>44896</v>
      </c>
      <c r="C39" s="415" t="s">
        <v>271</v>
      </c>
      <c r="D39" s="415" t="s">
        <v>90</v>
      </c>
      <c r="E39" s="425">
        <v>7500</v>
      </c>
      <c r="F39" s="415" t="s">
        <v>309</v>
      </c>
      <c r="G39" s="427" t="s">
        <v>8667</v>
      </c>
      <c r="H39" s="427" t="s">
        <v>862</v>
      </c>
      <c r="I39" s="415" t="s">
        <v>863</v>
      </c>
      <c r="J39" s="654" t="str">
        <f t="shared" si="3"/>
        <v>Gastos_Gerais</v>
      </c>
      <c r="K39" s="655">
        <f>IF(B39="","",IF(YEAR(B39)='Diário 1º PA'!$Q$1,MONTH(B39)-'Diário 1º PA'!$P$1+1,(YEAR(B39)-'Diário 1º PA'!$Q$1)*12-'Diário 1º PA'!$P$1+1+MONTH(B39)))</f>
        <v>12</v>
      </c>
      <c r="L39" s="415" t="s">
        <v>400</v>
      </c>
    </row>
    <row r="40" spans="1:12" ht="36" x14ac:dyDescent="0.2">
      <c r="A40" s="722">
        <v>35</v>
      </c>
      <c r="B40" s="431">
        <v>44896</v>
      </c>
      <c r="C40" s="415" t="s">
        <v>468</v>
      </c>
      <c r="D40" s="415" t="s">
        <v>468</v>
      </c>
      <c r="E40" s="425">
        <v>2750</v>
      </c>
      <c r="F40" s="415" t="s">
        <v>468</v>
      </c>
      <c r="G40" s="427" t="s">
        <v>789</v>
      </c>
      <c r="H40" s="427" t="s">
        <v>694</v>
      </c>
      <c r="I40" s="415" t="s">
        <v>1148</v>
      </c>
      <c r="J40" s="654" t="str">
        <f t="shared" si="3"/>
        <v>Gastos_custeados_por_captação</v>
      </c>
      <c r="K40" s="655">
        <f>IF(B40="","",IF(YEAR(B40)='Diário 1º PA'!$Q$1,MONTH(B40)-'Diário 1º PA'!$P$1+1,(YEAR(B40)-'Diário 1º PA'!$Q$1)*12-'Diário 1º PA'!$P$1+1+MONTH(B40)))</f>
        <v>12</v>
      </c>
      <c r="L40" s="415" t="s">
        <v>408</v>
      </c>
    </row>
    <row r="41" spans="1:12" ht="36" x14ac:dyDescent="0.2">
      <c r="A41" s="722">
        <v>36</v>
      </c>
      <c r="B41" s="431">
        <v>44621</v>
      </c>
      <c r="C41" s="415" t="s">
        <v>468</v>
      </c>
      <c r="D41" s="415" t="s">
        <v>468</v>
      </c>
      <c r="E41" s="425">
        <v>2750</v>
      </c>
      <c r="F41" s="415" t="s">
        <v>468</v>
      </c>
      <c r="G41" s="427" t="s">
        <v>789</v>
      </c>
      <c r="H41" s="427" t="s">
        <v>694</v>
      </c>
      <c r="I41" s="415" t="s">
        <v>1148</v>
      </c>
      <c r="J41" s="654" t="str">
        <f t="shared" si="3"/>
        <v>Gastos_custeados_por_captação</v>
      </c>
      <c r="K41" s="655">
        <f>IF(B41="","",IF(YEAR(B41)='Diário 1º PA'!$Q$1,MONTH(B41)-'Diário 1º PA'!$P$1+1,(YEAR(B41)-'Diário 1º PA'!$Q$1)*12-'Diário 1º PA'!$P$1+1+MONTH(B41)))</f>
        <v>3</v>
      </c>
      <c r="L41" s="415" t="s">
        <v>408</v>
      </c>
    </row>
    <row r="42" spans="1:12" ht="24" x14ac:dyDescent="0.2">
      <c r="A42" s="722">
        <v>37</v>
      </c>
      <c r="B42" s="431">
        <v>44866</v>
      </c>
      <c r="C42" s="415" t="s">
        <v>271</v>
      </c>
      <c r="D42" s="415" t="s">
        <v>9</v>
      </c>
      <c r="E42" s="425">
        <v>294.13</v>
      </c>
      <c r="F42" s="415" t="s">
        <v>309</v>
      </c>
      <c r="G42" s="427" t="s">
        <v>764</v>
      </c>
      <c r="H42" s="427" t="s">
        <v>8657</v>
      </c>
      <c r="I42" s="415" t="s">
        <v>310</v>
      </c>
      <c r="J42" s="654" t="str">
        <f t="shared" si="3"/>
        <v>Gastos_Gerais</v>
      </c>
      <c r="K42" s="655">
        <f>IF(B42="","",IF(YEAR(B42)='Diário 1º PA'!$Q$1,MONTH(B42)-'Diário 1º PA'!$P$1+1,(YEAR(B42)-'Diário 1º PA'!$Q$1)*12-'Diário 1º PA'!$P$1+1+MONTH(B42)))</f>
        <v>11</v>
      </c>
      <c r="L42" s="415" t="s">
        <v>400</v>
      </c>
    </row>
    <row r="43" spans="1:12" ht="72" x14ac:dyDescent="0.2">
      <c r="A43" s="722">
        <v>38</v>
      </c>
      <c r="B43" s="431">
        <v>44593</v>
      </c>
      <c r="C43" s="415" t="s">
        <v>271</v>
      </c>
      <c r="D43" s="415" t="s">
        <v>253</v>
      </c>
      <c r="E43" s="425">
        <v>500</v>
      </c>
      <c r="F43" s="415" t="s">
        <v>752</v>
      </c>
      <c r="G43" s="427" t="s">
        <v>1737</v>
      </c>
      <c r="H43" s="427" t="s">
        <v>1739</v>
      </c>
      <c r="I43" s="415" t="s">
        <v>1738</v>
      </c>
      <c r="J43" s="654" t="str">
        <f t="shared" si="3"/>
        <v>Gastos_Gerais</v>
      </c>
      <c r="K43" s="655">
        <f>IF(B43="","",IF(YEAR(B43)='Diário 1º PA'!$Q$1,MONTH(B43)-'Diário 1º PA'!$P$1+1,(YEAR(B43)-'Diário 1º PA'!$Q$1)*12-'Diário 1º PA'!$P$1+1+MONTH(B43)))</f>
        <v>2</v>
      </c>
      <c r="L43" s="415" t="s">
        <v>400</v>
      </c>
    </row>
    <row r="44" spans="1:12" ht="60" x14ac:dyDescent="0.2">
      <c r="A44" s="722">
        <v>39</v>
      </c>
      <c r="B44" s="431">
        <v>44896</v>
      </c>
      <c r="C44" s="415" t="s">
        <v>468</v>
      </c>
      <c r="D44" s="415" t="s">
        <v>468</v>
      </c>
      <c r="E44" s="425">
        <v>3500</v>
      </c>
      <c r="F44" s="415" t="s">
        <v>468</v>
      </c>
      <c r="G44" s="427" t="s">
        <v>7541</v>
      </c>
      <c r="H44" s="427" t="s">
        <v>1974</v>
      </c>
      <c r="I44" s="415" t="s">
        <v>1975</v>
      </c>
      <c r="J44" s="654" t="str">
        <f t="shared" si="3"/>
        <v>Gastos_custeados_por_captação</v>
      </c>
      <c r="K44" s="655">
        <f>IF(B44="","",IF(YEAR(B44)='Diário 1º PA'!$Q$1,MONTH(B44)-'Diário 1º PA'!$P$1+1,(YEAR(B44)-'Diário 1º PA'!$Q$1)*12-'Diário 1º PA'!$P$1+1+MONTH(B44)))</f>
        <v>12</v>
      </c>
      <c r="L44" s="415" t="s">
        <v>408</v>
      </c>
    </row>
    <row r="45" spans="1:12" ht="36" x14ac:dyDescent="0.2">
      <c r="A45" s="722">
        <v>40</v>
      </c>
      <c r="B45" s="431">
        <v>44866</v>
      </c>
      <c r="C45" s="415" t="s">
        <v>468</v>
      </c>
      <c r="D45" s="415" t="s">
        <v>468</v>
      </c>
      <c r="E45" s="425">
        <v>12.06</v>
      </c>
      <c r="F45" s="415" t="s">
        <v>468</v>
      </c>
      <c r="G45" s="427" t="s">
        <v>764</v>
      </c>
      <c r="H45" s="427" t="s">
        <v>9212</v>
      </c>
      <c r="I45" s="415" t="s">
        <v>310</v>
      </c>
      <c r="J45" s="654" t="str">
        <f t="shared" si="3"/>
        <v>Gastos_custeados_por_captação</v>
      </c>
      <c r="K45" s="655">
        <f>IF(B45="","",IF(YEAR(B45)='Diário 1º PA'!$Q$1,MONTH(B45)-'Diário 1º PA'!$P$1+1,(YEAR(B45)-'Diário 1º PA'!$Q$1)*12-'Diário 1º PA'!$P$1+1+MONTH(B45)))</f>
        <v>11</v>
      </c>
      <c r="L45" s="415" t="s">
        <v>408</v>
      </c>
    </row>
    <row r="46" spans="1:12" ht="36" x14ac:dyDescent="0.2">
      <c r="A46" s="722">
        <v>41</v>
      </c>
      <c r="B46" s="431">
        <v>44896</v>
      </c>
      <c r="C46" s="415" t="s">
        <v>468</v>
      </c>
      <c r="D46" s="415" t="s">
        <v>468</v>
      </c>
      <c r="E46" s="425">
        <v>600</v>
      </c>
      <c r="F46" s="415" t="s">
        <v>468</v>
      </c>
      <c r="G46" s="427" t="s">
        <v>2267</v>
      </c>
      <c r="H46" s="427" t="s">
        <v>2268</v>
      </c>
      <c r="I46" s="415" t="s">
        <v>2269</v>
      </c>
      <c r="J46" s="654" t="str">
        <f t="shared" si="3"/>
        <v>Gastos_custeados_por_captação</v>
      </c>
      <c r="K46" s="655">
        <f>IF(B46="","",IF(YEAR(B46)='Diário 1º PA'!$Q$1,MONTH(B46)-'Diário 1º PA'!$P$1+1,(YEAR(B46)-'Diário 1º PA'!$Q$1)*12-'Diário 1º PA'!$P$1+1+MONTH(B46)))</f>
        <v>12</v>
      </c>
      <c r="L46" s="415" t="s">
        <v>408</v>
      </c>
    </row>
    <row r="47" spans="1:12" ht="36" x14ac:dyDescent="0.2">
      <c r="A47" s="722">
        <v>42</v>
      </c>
      <c r="B47" s="431">
        <v>44866</v>
      </c>
      <c r="C47" s="415" t="s">
        <v>468</v>
      </c>
      <c r="D47" s="415" t="s">
        <v>468</v>
      </c>
      <c r="E47" s="425">
        <v>163.15</v>
      </c>
      <c r="F47" s="415" t="s">
        <v>468</v>
      </c>
      <c r="G47" s="427" t="s">
        <v>9213</v>
      </c>
      <c r="H47" s="427" t="s">
        <v>9214</v>
      </c>
      <c r="I47" s="415" t="s">
        <v>310</v>
      </c>
      <c r="J47" s="654" t="str">
        <f t="shared" si="3"/>
        <v>Gastos_custeados_por_captação</v>
      </c>
      <c r="K47" s="655">
        <f>IF(B47="","",IF(YEAR(B47)='Diário 1º PA'!$Q$1,MONTH(B47)-'Diário 1º PA'!$P$1+1,(YEAR(B47)-'Diário 1º PA'!$Q$1)*12-'Diário 1º PA'!$P$1+1+MONTH(B47)))</f>
        <v>11</v>
      </c>
      <c r="L47" s="415" t="s">
        <v>408</v>
      </c>
    </row>
    <row r="48" spans="1:12" ht="60" x14ac:dyDescent="0.2">
      <c r="A48" s="722">
        <v>43</v>
      </c>
      <c r="B48" s="431">
        <v>44896</v>
      </c>
      <c r="C48" s="415" t="s">
        <v>468</v>
      </c>
      <c r="D48" s="415" t="s">
        <v>468</v>
      </c>
      <c r="E48" s="425">
        <v>6500</v>
      </c>
      <c r="F48" s="415" t="s">
        <v>468</v>
      </c>
      <c r="G48" s="427" t="s">
        <v>2328</v>
      </c>
      <c r="H48" s="427" t="s">
        <v>2330</v>
      </c>
      <c r="I48" s="415" t="s">
        <v>2329</v>
      </c>
      <c r="J48" s="654" t="str">
        <f t="shared" si="3"/>
        <v>Gastos_custeados_por_captação</v>
      </c>
      <c r="K48" s="655">
        <f>IF(B48="","",IF(YEAR(B48)='Diário 1º PA'!$Q$1,MONTH(B48)-'Diário 1º PA'!$P$1+1,(YEAR(B48)-'Diário 1º PA'!$Q$1)*12-'Diário 1º PA'!$P$1+1+MONTH(B48)))</f>
        <v>12</v>
      </c>
      <c r="L48" s="415" t="s">
        <v>408</v>
      </c>
    </row>
    <row r="49" spans="1:12" ht="60" x14ac:dyDescent="0.2">
      <c r="A49" s="722">
        <v>44</v>
      </c>
      <c r="B49" s="431">
        <v>44866</v>
      </c>
      <c r="C49" s="415" t="s">
        <v>468</v>
      </c>
      <c r="D49" s="415" t="s">
        <v>468</v>
      </c>
      <c r="E49" s="425">
        <v>66.33</v>
      </c>
      <c r="F49" s="415" t="s">
        <v>468</v>
      </c>
      <c r="G49" s="427" t="s">
        <v>764</v>
      </c>
      <c r="H49" s="427" t="s">
        <v>9062</v>
      </c>
      <c r="I49" s="415" t="s">
        <v>310</v>
      </c>
      <c r="J49" s="654" t="str">
        <f t="shared" si="3"/>
        <v>Gastos_custeados_por_captação</v>
      </c>
      <c r="K49" s="655">
        <f>IF(B49="","",IF(YEAR(B49)='Diário 1º PA'!$Q$1,MONTH(B49)-'Diário 1º PA'!$P$1+1,(YEAR(B49)-'Diário 1º PA'!$Q$1)*12-'Diário 1º PA'!$P$1+1+MONTH(B49)))</f>
        <v>11</v>
      </c>
      <c r="L49" s="415" t="s">
        <v>405</v>
      </c>
    </row>
    <row r="50" spans="1:12" ht="60" x14ac:dyDescent="0.2">
      <c r="A50" s="722">
        <v>45</v>
      </c>
      <c r="B50" s="431">
        <v>44896</v>
      </c>
      <c r="C50" s="415" t="s">
        <v>468</v>
      </c>
      <c r="D50" s="415" t="s">
        <v>468</v>
      </c>
      <c r="E50" s="425">
        <v>3300</v>
      </c>
      <c r="F50" s="415" t="s">
        <v>468</v>
      </c>
      <c r="G50" s="427" t="s">
        <v>2340</v>
      </c>
      <c r="H50" s="427" t="s">
        <v>2341</v>
      </c>
      <c r="I50" s="415" t="s">
        <v>2342</v>
      </c>
      <c r="J50" s="654" t="str">
        <f t="shared" si="3"/>
        <v>Gastos_custeados_por_captação</v>
      </c>
      <c r="K50" s="655">
        <f>IF(B50="","",IF(YEAR(B50)='Diário 1º PA'!$Q$1,MONTH(B50)-'Diário 1º PA'!$P$1+1,(YEAR(B50)-'Diário 1º PA'!$Q$1)*12-'Diário 1º PA'!$P$1+1+MONTH(B50)))</f>
        <v>12</v>
      </c>
      <c r="L50" s="415" t="s">
        <v>405</v>
      </c>
    </row>
    <row r="51" spans="1:12" ht="72" x14ac:dyDescent="0.2">
      <c r="A51" s="722">
        <v>46</v>
      </c>
      <c r="B51" s="431">
        <v>44896</v>
      </c>
      <c r="C51" s="415" t="s">
        <v>468</v>
      </c>
      <c r="D51" s="415" t="s">
        <v>468</v>
      </c>
      <c r="E51" s="425">
        <v>3500</v>
      </c>
      <c r="F51" s="415" t="s">
        <v>468</v>
      </c>
      <c r="G51" s="427" t="s">
        <v>2343</v>
      </c>
      <c r="H51" s="427" t="s">
        <v>2344</v>
      </c>
      <c r="I51" s="415" t="s">
        <v>2345</v>
      </c>
      <c r="J51" s="654" t="str">
        <f t="shared" si="3"/>
        <v>Gastos_custeados_por_captação</v>
      </c>
      <c r="K51" s="655">
        <f>IF(B51="","",IF(YEAR(B51)='Diário 1º PA'!$Q$1,MONTH(B51)-'Diário 1º PA'!$P$1+1,(YEAR(B51)-'Diário 1º PA'!$Q$1)*12-'Diário 1º PA'!$P$1+1+MONTH(B51)))</f>
        <v>12</v>
      </c>
      <c r="L51" s="415" t="s">
        <v>405</v>
      </c>
    </row>
    <row r="52" spans="1:12" ht="60" x14ac:dyDescent="0.2">
      <c r="A52" s="722">
        <v>47</v>
      </c>
      <c r="B52" s="431">
        <v>44866</v>
      </c>
      <c r="C52" s="415" t="s">
        <v>468</v>
      </c>
      <c r="D52" s="415" t="s">
        <v>468</v>
      </c>
      <c r="E52" s="425">
        <v>60.3</v>
      </c>
      <c r="F52" s="415" t="s">
        <v>468</v>
      </c>
      <c r="G52" s="427" t="s">
        <v>764</v>
      </c>
      <c r="H52" s="427" t="s">
        <v>9063</v>
      </c>
      <c r="I52" s="415" t="s">
        <v>310</v>
      </c>
      <c r="J52" s="654" t="str">
        <f t="shared" si="3"/>
        <v>Gastos_custeados_por_captação</v>
      </c>
      <c r="K52" s="655">
        <f>IF(B52="","",IF(YEAR(B52)='Diário 1º PA'!$Q$1,MONTH(B52)-'Diário 1º PA'!$P$1+1,(YEAR(B52)-'Diário 1º PA'!$Q$1)*12-'Diário 1º PA'!$P$1+1+MONTH(B52)))</f>
        <v>11</v>
      </c>
      <c r="L52" s="415" t="s">
        <v>405</v>
      </c>
    </row>
    <row r="53" spans="1:12" ht="72" x14ac:dyDescent="0.2">
      <c r="A53" s="722">
        <v>48</v>
      </c>
      <c r="B53" s="431">
        <v>44896</v>
      </c>
      <c r="C53" s="415" t="s">
        <v>468</v>
      </c>
      <c r="D53" s="415" t="s">
        <v>468</v>
      </c>
      <c r="E53" s="425">
        <v>2750</v>
      </c>
      <c r="F53" s="415" t="s">
        <v>468</v>
      </c>
      <c r="G53" s="427" t="s">
        <v>2343</v>
      </c>
      <c r="H53" s="427" t="s">
        <v>2344</v>
      </c>
      <c r="I53" s="415" t="s">
        <v>2345</v>
      </c>
      <c r="J53" s="654" t="str">
        <f t="shared" si="3"/>
        <v>Gastos_custeados_por_captação</v>
      </c>
      <c r="K53" s="655">
        <f>IF(B53="","",IF(YEAR(B53)='Diário 1º PA'!$Q$1,MONTH(B53)-'Diário 1º PA'!$P$1+1,(YEAR(B53)-'Diário 1º PA'!$Q$1)*12-'Diário 1º PA'!$P$1+1+MONTH(B53)))</f>
        <v>12</v>
      </c>
      <c r="L53" s="415" t="s">
        <v>405</v>
      </c>
    </row>
    <row r="54" spans="1:12" ht="36" x14ac:dyDescent="0.2">
      <c r="A54" s="722">
        <v>49</v>
      </c>
      <c r="B54" s="431">
        <v>44621</v>
      </c>
      <c r="C54" s="415" t="s">
        <v>271</v>
      </c>
      <c r="D54" s="415" t="s">
        <v>456</v>
      </c>
      <c r="E54" s="425">
        <v>3134</v>
      </c>
      <c r="F54" s="415" t="s">
        <v>790</v>
      </c>
      <c r="G54" s="427" t="s">
        <v>2605</v>
      </c>
      <c r="H54" s="427" t="s">
        <v>2606</v>
      </c>
      <c r="I54" s="415" t="s">
        <v>1038</v>
      </c>
      <c r="J54" s="654" t="str">
        <f t="shared" si="3"/>
        <v>Gastos_Gerais</v>
      </c>
      <c r="K54" s="655">
        <f>IF(B54="","",IF(YEAR(B54)='Diário 1º PA'!$Q$1,MONTH(B54)-'Diário 1º PA'!$P$1+1,(YEAR(B54)-'Diário 1º PA'!$Q$1)*12-'Diário 1º PA'!$P$1+1+MONTH(B54)))</f>
        <v>3</v>
      </c>
      <c r="L54" s="415" t="s">
        <v>400</v>
      </c>
    </row>
    <row r="55" spans="1:12" ht="39" customHeight="1" x14ac:dyDescent="0.2">
      <c r="A55" s="722">
        <v>50</v>
      </c>
      <c r="B55" s="431">
        <v>44866</v>
      </c>
      <c r="C55" s="415" t="s">
        <v>271</v>
      </c>
      <c r="D55" s="415" t="s">
        <v>186</v>
      </c>
      <c r="E55" s="425">
        <v>75.7</v>
      </c>
      <c r="F55" s="415" t="s">
        <v>751</v>
      </c>
      <c r="G55" s="427" t="s">
        <v>764</v>
      </c>
      <c r="H55" s="427" t="s">
        <v>8949</v>
      </c>
      <c r="I55" s="415" t="s">
        <v>310</v>
      </c>
      <c r="J55" s="654" t="str">
        <f t="shared" si="3"/>
        <v>Gastos_Gerais</v>
      </c>
      <c r="K55" s="655">
        <f>IF(B55="","",IF(YEAR(B55)='Diário 1º PA'!$Q$1,MONTH(B55)-'Diário 1º PA'!$P$1+1,(YEAR(B55)-'Diário 1º PA'!$Q$1)*12-'Diário 1º PA'!$P$1+1+MONTH(B55)))</f>
        <v>11</v>
      </c>
      <c r="L55" s="415" t="s">
        <v>400</v>
      </c>
    </row>
    <row r="56" spans="1:12" ht="60" x14ac:dyDescent="0.2">
      <c r="A56" s="722">
        <v>51</v>
      </c>
      <c r="B56" s="431">
        <v>44896</v>
      </c>
      <c r="C56" s="415" t="s">
        <v>271</v>
      </c>
      <c r="D56" s="415" t="s">
        <v>186</v>
      </c>
      <c r="E56" s="425">
        <v>3028.17</v>
      </c>
      <c r="F56" s="415" t="s">
        <v>751</v>
      </c>
      <c r="G56" s="427" t="s">
        <v>3152</v>
      </c>
      <c r="H56" s="427" t="s">
        <v>3151</v>
      </c>
      <c r="I56" s="415" t="s">
        <v>1029</v>
      </c>
      <c r="J56" s="654" t="str">
        <f t="shared" si="3"/>
        <v>Gastos_Gerais</v>
      </c>
      <c r="K56" s="655">
        <f>IF(B56="","",IF(YEAR(B56)='Diário 1º PA'!$Q$1,MONTH(B56)-'Diário 1º PA'!$P$1+1,(YEAR(B56)-'Diário 1º PA'!$Q$1)*12-'Diário 1º PA'!$P$1+1+MONTH(B56)))</f>
        <v>12</v>
      </c>
      <c r="L56" s="415" t="s">
        <v>400</v>
      </c>
    </row>
    <row r="57" spans="1:12" ht="60" x14ac:dyDescent="0.2">
      <c r="A57" s="722">
        <v>52</v>
      </c>
      <c r="B57" s="431">
        <v>44896</v>
      </c>
      <c r="C57" s="415" t="s">
        <v>468</v>
      </c>
      <c r="D57" s="415" t="s">
        <v>468</v>
      </c>
      <c r="E57" s="425">
        <v>5000</v>
      </c>
      <c r="F57" s="415" t="s">
        <v>468</v>
      </c>
      <c r="G57" s="427" t="s">
        <v>7542</v>
      </c>
      <c r="H57" s="427" t="s">
        <v>3260</v>
      </c>
      <c r="I57" s="415" t="s">
        <v>1141</v>
      </c>
      <c r="J57" s="654" t="str">
        <f t="shared" si="3"/>
        <v>Gastos_custeados_por_captação</v>
      </c>
      <c r="K57" s="655">
        <f>IF(B57="","",IF(YEAR(B57)='Diário 1º PA'!$Q$1,MONTH(B57)-'Diário 1º PA'!$P$1+1,(YEAR(B57)-'Diário 1º PA'!$Q$1)*12-'Diário 1º PA'!$P$1+1+MONTH(B57)))</f>
        <v>12</v>
      </c>
      <c r="L57" s="415" t="s">
        <v>405</v>
      </c>
    </row>
    <row r="58" spans="1:12" ht="36" x14ac:dyDescent="0.2">
      <c r="A58" s="722">
        <v>53</v>
      </c>
      <c r="B58" s="431">
        <v>44896</v>
      </c>
      <c r="C58" s="415" t="s">
        <v>271</v>
      </c>
      <c r="D58" s="415" t="s">
        <v>67</v>
      </c>
      <c r="E58" s="425">
        <v>378.25</v>
      </c>
      <c r="F58" s="415" t="s">
        <v>309</v>
      </c>
      <c r="G58" s="427" t="s">
        <v>764</v>
      </c>
      <c r="H58" s="427" t="s">
        <v>7544</v>
      </c>
      <c r="I58" s="415" t="s">
        <v>310</v>
      </c>
      <c r="J58" s="654" t="str">
        <f t="shared" si="3"/>
        <v>Gastos_Gerais</v>
      </c>
      <c r="K58" s="655">
        <f>IF(B58="","",IF(YEAR(B58)='Diário 1º PA'!$Q$1,MONTH(B58)-'Diário 1º PA'!$P$1+1,(YEAR(B58)-'Diário 1º PA'!$Q$1)*12-'Diário 1º PA'!$P$1+1+MONTH(B58)))</f>
        <v>12</v>
      </c>
      <c r="L58" s="415" t="s">
        <v>400</v>
      </c>
    </row>
    <row r="59" spans="1:12" ht="24" x14ac:dyDescent="0.2">
      <c r="A59" s="722">
        <v>54</v>
      </c>
      <c r="B59" s="431">
        <v>44866</v>
      </c>
      <c r="C59" s="415" t="s">
        <v>271</v>
      </c>
      <c r="D59" s="415" t="s">
        <v>326</v>
      </c>
      <c r="E59" s="425">
        <v>65.55</v>
      </c>
      <c r="F59" s="415" t="s">
        <v>309</v>
      </c>
      <c r="G59" s="427" t="s">
        <v>764</v>
      </c>
      <c r="H59" s="427" t="s">
        <v>8964</v>
      </c>
      <c r="I59" s="415" t="s">
        <v>310</v>
      </c>
      <c r="J59" s="654" t="str">
        <f t="shared" si="3"/>
        <v>Gastos_Gerais</v>
      </c>
      <c r="K59" s="655">
        <f>IF(B59="","",IF(YEAR(B59)='Diário 1º PA'!$Q$1,MONTH(B59)-'Diário 1º PA'!$P$1+1,(YEAR(B59)-'Diário 1º PA'!$Q$1)*12-'Diário 1º PA'!$P$1+1+MONTH(B59)))</f>
        <v>11</v>
      </c>
      <c r="L59" s="415" t="s">
        <v>400</v>
      </c>
    </row>
    <row r="60" spans="1:12" ht="24" x14ac:dyDescent="0.2">
      <c r="A60" s="722">
        <v>55</v>
      </c>
      <c r="B60" s="431">
        <v>44896</v>
      </c>
      <c r="C60" s="415" t="s">
        <v>271</v>
      </c>
      <c r="D60" s="415" t="s">
        <v>326</v>
      </c>
      <c r="E60" s="425">
        <v>1500</v>
      </c>
      <c r="F60" s="415" t="s">
        <v>309</v>
      </c>
      <c r="G60" s="427" t="s">
        <v>4067</v>
      </c>
      <c r="H60" s="427" t="s">
        <v>4068</v>
      </c>
      <c r="I60" s="415" t="s">
        <v>3604</v>
      </c>
      <c r="J60" s="654" t="str">
        <f t="shared" si="3"/>
        <v>Gastos_Gerais</v>
      </c>
      <c r="K60" s="655">
        <f>IF(B60="","",IF(YEAR(B60)='Diário 1º PA'!$Q$1,MONTH(B60)-'Diário 1º PA'!$P$1+1,(YEAR(B60)-'Diário 1º PA'!$Q$1)*12-'Diário 1º PA'!$P$1+1+MONTH(B60)))</f>
        <v>12</v>
      </c>
      <c r="L60" s="415" t="s">
        <v>400</v>
      </c>
    </row>
    <row r="61" spans="1:12" ht="24" x14ac:dyDescent="0.2">
      <c r="A61" s="722">
        <v>56</v>
      </c>
      <c r="B61" s="431">
        <v>44896</v>
      </c>
      <c r="C61" s="415" t="s">
        <v>271</v>
      </c>
      <c r="D61" s="415" t="s">
        <v>326</v>
      </c>
      <c r="E61" s="425">
        <v>1500</v>
      </c>
      <c r="F61" s="415" t="s">
        <v>309</v>
      </c>
      <c r="G61" s="427" t="s">
        <v>4067</v>
      </c>
      <c r="H61" s="427" t="s">
        <v>4068</v>
      </c>
      <c r="I61" s="415" t="s">
        <v>3604</v>
      </c>
      <c r="J61" s="654" t="str">
        <f t="shared" si="3"/>
        <v>Gastos_Gerais</v>
      </c>
      <c r="K61" s="655">
        <f>IF(B61="","",IF(YEAR(B61)='Diário 1º PA'!$Q$1,MONTH(B61)-'Diário 1º PA'!$P$1+1,(YEAR(B61)-'Diário 1º PA'!$Q$1)*12-'Diário 1º PA'!$P$1+1+MONTH(B61)))</f>
        <v>12</v>
      </c>
      <c r="L61" s="415" t="s">
        <v>400</v>
      </c>
    </row>
    <row r="62" spans="1:12" ht="38.25" customHeight="1" x14ac:dyDescent="0.2">
      <c r="A62" s="722">
        <v>57</v>
      </c>
      <c r="B62" s="431">
        <v>44896</v>
      </c>
      <c r="C62" s="415" t="s">
        <v>271</v>
      </c>
      <c r="D62" s="415" t="s">
        <v>326</v>
      </c>
      <c r="E62" s="425">
        <v>1500</v>
      </c>
      <c r="F62" s="415" t="s">
        <v>309</v>
      </c>
      <c r="G62" s="427" t="s">
        <v>4067</v>
      </c>
      <c r="H62" s="427" t="s">
        <v>4068</v>
      </c>
      <c r="I62" s="415" t="s">
        <v>3604</v>
      </c>
      <c r="J62" s="654" t="str">
        <f t="shared" si="3"/>
        <v>Gastos_Gerais</v>
      </c>
      <c r="K62" s="655">
        <f>IF(B62="","",IF(YEAR(B62)='Diário 1º PA'!$Q$1,MONTH(B62)-'Diário 1º PA'!$P$1+1,(YEAR(B62)-'Diário 1º PA'!$Q$1)*12-'Diário 1º PA'!$P$1+1+MONTH(B62)))</f>
        <v>12</v>
      </c>
      <c r="L62" s="415" t="s">
        <v>400</v>
      </c>
    </row>
    <row r="63" spans="1:12" ht="36" x14ac:dyDescent="0.2">
      <c r="A63" s="722">
        <v>58</v>
      </c>
      <c r="B63" s="431">
        <v>44866</v>
      </c>
      <c r="C63" s="415" t="s">
        <v>468</v>
      </c>
      <c r="D63" s="415" t="s">
        <v>468</v>
      </c>
      <c r="E63" s="425">
        <v>114.57</v>
      </c>
      <c r="F63" s="415" t="s">
        <v>468</v>
      </c>
      <c r="G63" s="427" t="s">
        <v>764</v>
      </c>
      <c r="H63" s="427" t="s">
        <v>9085</v>
      </c>
      <c r="I63" s="415" t="s">
        <v>310</v>
      </c>
      <c r="J63" s="654" t="str">
        <f t="shared" si="3"/>
        <v>Gastos_custeados_por_captação</v>
      </c>
      <c r="K63" s="655">
        <f>IF(B63="","",IF(YEAR(B63)='Diário 1º PA'!$Q$1,MONTH(B63)-'Diário 1º PA'!$P$1+1,(YEAR(B63)-'Diário 1º PA'!$Q$1)*12-'Diário 1º PA'!$P$1+1+MONTH(B63)))</f>
        <v>11</v>
      </c>
      <c r="L63" s="415" t="s">
        <v>408</v>
      </c>
    </row>
    <row r="64" spans="1:12" ht="45" customHeight="1" x14ac:dyDescent="0.2">
      <c r="A64" s="722">
        <v>59</v>
      </c>
      <c r="B64" s="431">
        <v>44896</v>
      </c>
      <c r="C64" s="415" t="s">
        <v>468</v>
      </c>
      <c r="D64" s="415" t="s">
        <v>468</v>
      </c>
      <c r="E64" s="425">
        <v>5700</v>
      </c>
      <c r="F64" s="415" t="s">
        <v>468</v>
      </c>
      <c r="G64" s="427" t="s">
        <v>4098</v>
      </c>
      <c r="H64" s="427" t="s">
        <v>4099</v>
      </c>
      <c r="I64" s="415" t="s">
        <v>4100</v>
      </c>
      <c r="J64" s="654" t="str">
        <f t="shared" si="3"/>
        <v>Gastos_custeados_por_captação</v>
      </c>
      <c r="K64" s="655">
        <f>IF(B64="","",IF(YEAR(B64)='Diário 1º PA'!$Q$1,MONTH(B64)-'Diário 1º PA'!$P$1+1,(YEAR(B64)-'Diário 1º PA'!$Q$1)*12-'Diário 1º PA'!$P$1+1+MONTH(B64)))</f>
        <v>12</v>
      </c>
      <c r="L64" s="415" t="s">
        <v>408</v>
      </c>
    </row>
    <row r="65" spans="1:12" ht="36" x14ac:dyDescent="0.2">
      <c r="A65" s="722">
        <v>60</v>
      </c>
      <c r="B65" s="431">
        <v>44866</v>
      </c>
      <c r="C65" s="415" t="s">
        <v>468</v>
      </c>
      <c r="D65" s="415" t="s">
        <v>468</v>
      </c>
      <c r="E65" s="425">
        <v>180.9</v>
      </c>
      <c r="F65" s="415" t="s">
        <v>468</v>
      </c>
      <c r="G65" s="427" t="s">
        <v>764</v>
      </c>
      <c r="H65" s="427" t="s">
        <v>9089</v>
      </c>
      <c r="I65" s="415" t="s">
        <v>310</v>
      </c>
      <c r="J65" s="654" t="str">
        <f t="shared" si="3"/>
        <v>Gastos_custeados_por_captação</v>
      </c>
      <c r="K65" s="655">
        <f>IF(B65="","",IF(YEAR(B65)='Diário 1º PA'!$Q$1,MONTH(B65)-'Diário 1º PA'!$P$1+1,(YEAR(B65)-'Diário 1º PA'!$Q$1)*12-'Diário 1º PA'!$P$1+1+MONTH(B65)))</f>
        <v>11</v>
      </c>
      <c r="L65" s="415" t="s">
        <v>408</v>
      </c>
    </row>
    <row r="66" spans="1:12" ht="47.25" customHeight="1" x14ac:dyDescent="0.2">
      <c r="A66" s="722">
        <v>61</v>
      </c>
      <c r="B66" s="431">
        <v>44896</v>
      </c>
      <c r="C66" s="415" t="s">
        <v>468</v>
      </c>
      <c r="D66" s="415" t="s">
        <v>468</v>
      </c>
      <c r="E66" s="425">
        <v>9000</v>
      </c>
      <c r="F66" s="415" t="s">
        <v>468</v>
      </c>
      <c r="G66" s="427" t="s">
        <v>4101</v>
      </c>
      <c r="H66" s="427" t="s">
        <v>4102</v>
      </c>
      <c r="I66" s="415" t="s">
        <v>4103</v>
      </c>
      <c r="J66" s="654" t="str">
        <f t="shared" si="3"/>
        <v>Gastos_custeados_por_captação</v>
      </c>
      <c r="K66" s="655">
        <f>IF(B66="","",IF(YEAR(B66)='Diário 1º PA'!$Q$1,MONTH(B66)-'Diário 1º PA'!$P$1+1,(YEAR(B66)-'Diário 1º PA'!$Q$1)*12-'Diário 1º PA'!$P$1+1+MONTH(B66)))</f>
        <v>12</v>
      </c>
      <c r="L66" s="415" t="s">
        <v>408</v>
      </c>
    </row>
    <row r="67" spans="1:12" ht="47.25" customHeight="1" x14ac:dyDescent="0.2">
      <c r="A67" s="722">
        <v>62</v>
      </c>
      <c r="B67" s="431">
        <v>44866</v>
      </c>
      <c r="C67" s="415" t="s">
        <v>468</v>
      </c>
      <c r="D67" s="415" t="s">
        <v>468</v>
      </c>
      <c r="E67" s="425">
        <v>112.45</v>
      </c>
      <c r="F67" s="415" t="s">
        <v>468</v>
      </c>
      <c r="G67" s="427" t="s">
        <v>1461</v>
      </c>
      <c r="H67" s="427" t="s">
        <v>9087</v>
      </c>
      <c r="I67" s="415" t="s">
        <v>310</v>
      </c>
      <c r="J67" s="654" t="str">
        <f t="shared" ref="J67:J101" si="4">SUBSTITUTE(C67," ","_")</f>
        <v>Gastos_custeados_por_captação</v>
      </c>
      <c r="K67" s="655">
        <f>IF(B67="","",IF(YEAR(B67)='Diário 1º PA'!$Q$1,MONTH(B67)-'Diário 1º PA'!$P$1+1,(YEAR(B67)-'Diário 1º PA'!$Q$1)*12-'Diário 1º PA'!$P$1+1+MONTH(B67)))</f>
        <v>11</v>
      </c>
      <c r="L67" s="415" t="s">
        <v>408</v>
      </c>
    </row>
    <row r="68" spans="1:12" ht="36" x14ac:dyDescent="0.2">
      <c r="A68" s="722">
        <v>63</v>
      </c>
      <c r="B68" s="431">
        <v>44866</v>
      </c>
      <c r="C68" s="415" t="s">
        <v>468</v>
      </c>
      <c r="D68" s="415" t="s">
        <v>468</v>
      </c>
      <c r="E68" s="425">
        <v>175</v>
      </c>
      <c r="F68" s="415" t="s">
        <v>468</v>
      </c>
      <c r="G68" s="427" t="s">
        <v>764</v>
      </c>
      <c r="H68" s="427" t="s">
        <v>9086</v>
      </c>
      <c r="I68" s="415" t="s">
        <v>310</v>
      </c>
      <c r="J68" s="654" t="str">
        <f t="shared" si="4"/>
        <v>Gastos_custeados_por_captação</v>
      </c>
      <c r="K68" s="655">
        <f>IF(B68="","",IF(YEAR(B68)='Diário 1º PA'!$Q$1,MONTH(B68)-'Diário 1º PA'!$P$1+1,(YEAR(B68)-'Diário 1º PA'!$Q$1)*12-'Diário 1º PA'!$P$1+1+MONTH(B68)))</f>
        <v>11</v>
      </c>
      <c r="L68" s="415" t="s">
        <v>408</v>
      </c>
    </row>
    <row r="69" spans="1:12" ht="36" x14ac:dyDescent="0.2">
      <c r="A69" s="722">
        <v>64</v>
      </c>
      <c r="B69" s="431">
        <v>44866</v>
      </c>
      <c r="C69" s="415" t="s">
        <v>468</v>
      </c>
      <c r="D69" s="415" t="s">
        <v>468</v>
      </c>
      <c r="E69" s="425">
        <v>1085</v>
      </c>
      <c r="F69" s="415" t="s">
        <v>468</v>
      </c>
      <c r="G69" s="427" t="s">
        <v>1461</v>
      </c>
      <c r="H69" s="427" t="s">
        <v>9088</v>
      </c>
      <c r="I69" s="415" t="s">
        <v>310</v>
      </c>
      <c r="J69" s="654" t="str">
        <f t="shared" si="4"/>
        <v>Gastos_custeados_por_captação</v>
      </c>
      <c r="K69" s="655">
        <f>IF(B69="","",IF(YEAR(B69)='Diário 1º PA'!$Q$1,MONTH(B69)-'Diário 1º PA'!$P$1+1,(YEAR(B69)-'Diário 1º PA'!$Q$1)*12-'Diário 1º PA'!$P$1+1+MONTH(B69)))</f>
        <v>11</v>
      </c>
      <c r="L69" s="415" t="s">
        <v>408</v>
      </c>
    </row>
    <row r="70" spans="1:12" ht="72" x14ac:dyDescent="0.2">
      <c r="A70" s="722">
        <v>65</v>
      </c>
      <c r="B70" s="431">
        <v>44713</v>
      </c>
      <c r="C70" s="415" t="s">
        <v>271</v>
      </c>
      <c r="D70" s="415" t="s">
        <v>456</v>
      </c>
      <c r="E70" s="425">
        <v>540</v>
      </c>
      <c r="F70" s="415" t="s">
        <v>759</v>
      </c>
      <c r="G70" s="427" t="s">
        <v>4447</v>
      </c>
      <c r="H70" s="427" t="s">
        <v>4446</v>
      </c>
      <c r="I70" s="415" t="s">
        <v>1027</v>
      </c>
      <c r="J70" s="654" t="str">
        <f t="shared" si="4"/>
        <v>Gastos_Gerais</v>
      </c>
      <c r="K70" s="655">
        <f>IF(B70="","",IF(YEAR(B70)='Diário 1º PA'!$Q$1,MONTH(B70)-'Diário 1º PA'!$P$1+1,(YEAR(B70)-'Diário 1º PA'!$Q$1)*12-'Diário 1º PA'!$P$1+1+MONTH(B70)))</f>
        <v>6</v>
      </c>
      <c r="L70" s="415" t="s">
        <v>400</v>
      </c>
    </row>
    <row r="71" spans="1:12" ht="60" x14ac:dyDescent="0.2">
      <c r="A71" s="722">
        <v>66</v>
      </c>
      <c r="B71" s="431">
        <v>44866</v>
      </c>
      <c r="C71" s="415" t="s">
        <v>468</v>
      </c>
      <c r="D71" s="415" t="s">
        <v>468</v>
      </c>
      <c r="E71" s="425">
        <v>260.39999999999998</v>
      </c>
      <c r="F71" s="415" t="s">
        <v>468</v>
      </c>
      <c r="G71" s="427" t="s">
        <v>764</v>
      </c>
      <c r="H71" s="427" t="s">
        <v>9064</v>
      </c>
      <c r="I71" s="415" t="s">
        <v>310</v>
      </c>
      <c r="J71" s="654" t="str">
        <f t="shared" si="4"/>
        <v>Gastos_custeados_por_captação</v>
      </c>
      <c r="K71" s="655">
        <f>IF(B71="","",IF(YEAR(B71)='Diário 1º PA'!$Q$1,MONTH(B71)-'Diário 1º PA'!$P$1+1,(YEAR(B71)-'Diário 1º PA'!$Q$1)*12-'Diário 1º PA'!$P$1+1+MONTH(B71)))</f>
        <v>11</v>
      </c>
      <c r="L71" s="415" t="s">
        <v>405</v>
      </c>
    </row>
    <row r="72" spans="1:12" ht="72" x14ac:dyDescent="0.2">
      <c r="A72" s="722">
        <v>67</v>
      </c>
      <c r="B72" s="431">
        <v>44713</v>
      </c>
      <c r="C72" s="415" t="s">
        <v>271</v>
      </c>
      <c r="D72" s="415" t="s">
        <v>461</v>
      </c>
      <c r="E72" s="425">
        <v>936</v>
      </c>
      <c r="F72" s="415" t="s">
        <v>755</v>
      </c>
      <c r="G72" s="427" t="s">
        <v>4602</v>
      </c>
      <c r="H72" s="427" t="s">
        <v>5945</v>
      </c>
      <c r="I72" s="415" t="s">
        <v>4603</v>
      </c>
      <c r="J72" s="654" t="str">
        <f t="shared" si="4"/>
        <v>Gastos_Gerais</v>
      </c>
      <c r="K72" s="655">
        <f>IF(B72="","",IF(YEAR(B72)='Diário 1º PA'!$Q$1,MONTH(B72)-'Diário 1º PA'!$P$1+1,(YEAR(B72)-'Diário 1º PA'!$Q$1)*12-'Diário 1º PA'!$P$1+1+MONTH(B72)))</f>
        <v>6</v>
      </c>
      <c r="L72" s="415" t="s">
        <v>400</v>
      </c>
    </row>
    <row r="73" spans="1:12" ht="60" x14ac:dyDescent="0.2">
      <c r="A73" s="722">
        <v>68</v>
      </c>
      <c r="B73" s="431">
        <v>44713</v>
      </c>
      <c r="C73" s="415" t="s">
        <v>468</v>
      </c>
      <c r="D73" s="415" t="s">
        <v>468</v>
      </c>
      <c r="E73" s="425">
        <v>2000</v>
      </c>
      <c r="F73" s="415" t="s">
        <v>468</v>
      </c>
      <c r="G73" s="427" t="s">
        <v>5146</v>
      </c>
      <c r="H73" s="427" t="s">
        <v>5147</v>
      </c>
      <c r="I73" s="415" t="s">
        <v>5148</v>
      </c>
      <c r="J73" s="654" t="str">
        <f t="shared" si="4"/>
        <v>Gastos_custeados_por_captação</v>
      </c>
      <c r="K73" s="655">
        <f>IF(B73="","",IF(YEAR(B73)='Diário 1º PA'!$Q$1,MONTH(B73)-'Diário 1º PA'!$P$1+1,(YEAR(B73)-'Diário 1º PA'!$Q$1)*12-'Diário 1º PA'!$P$1+1+MONTH(B73)))</f>
        <v>6</v>
      </c>
      <c r="L73" s="415" t="s">
        <v>405</v>
      </c>
    </row>
    <row r="74" spans="1:12" ht="48" x14ac:dyDescent="0.2">
      <c r="A74" s="722">
        <v>69</v>
      </c>
      <c r="B74" s="431">
        <v>44896</v>
      </c>
      <c r="C74" s="415" t="s">
        <v>468</v>
      </c>
      <c r="D74" s="415" t="s">
        <v>468</v>
      </c>
      <c r="E74" s="425">
        <v>3500</v>
      </c>
      <c r="F74" s="415" t="s">
        <v>468</v>
      </c>
      <c r="G74" s="427" t="s">
        <v>7548</v>
      </c>
      <c r="H74" s="427" t="s">
        <v>5676</v>
      </c>
      <c r="I74" s="415" t="s">
        <v>5677</v>
      </c>
      <c r="J74" s="654" t="str">
        <f t="shared" si="4"/>
        <v>Gastos_custeados_por_captação</v>
      </c>
      <c r="K74" s="655">
        <f>IF(B74="","",IF(YEAR(B74)='Diário 1º PA'!$Q$1,MONTH(B74)-'Diário 1º PA'!$P$1+1,(YEAR(B74)-'Diário 1º PA'!$Q$1)*12-'Diário 1º PA'!$P$1+1+MONTH(B74)))</f>
        <v>12</v>
      </c>
      <c r="L74" s="415" t="s">
        <v>408</v>
      </c>
    </row>
    <row r="75" spans="1:12" ht="24" x14ac:dyDescent="0.2">
      <c r="A75" s="722">
        <v>70</v>
      </c>
      <c r="B75" s="431">
        <v>44805</v>
      </c>
      <c r="C75" s="415" t="s">
        <v>271</v>
      </c>
      <c r="D75" s="415" t="s">
        <v>297</v>
      </c>
      <c r="E75" s="425">
        <f>3258-830.63-600-600</f>
        <v>1227.3699999999999</v>
      </c>
      <c r="F75" s="415" t="s">
        <v>309</v>
      </c>
      <c r="G75" s="427" t="s">
        <v>5680</v>
      </c>
      <c r="H75" s="427" t="s">
        <v>5681</v>
      </c>
      <c r="I75" s="415" t="s">
        <v>1483</v>
      </c>
      <c r="J75" s="654" t="str">
        <f t="shared" si="4"/>
        <v>Gastos_Gerais</v>
      </c>
      <c r="K75" s="655">
        <f>IF(B75="","",IF(YEAR(B75)='Diário 1º PA'!$Q$1,MONTH(B75)-'Diário 1º PA'!$P$1+1,(YEAR(B75)-'Diário 1º PA'!$Q$1)*12-'Diário 1º PA'!$P$1+1+MONTH(B75)))</f>
        <v>9</v>
      </c>
      <c r="L75" s="415" t="s">
        <v>400</v>
      </c>
    </row>
    <row r="76" spans="1:12" ht="48" x14ac:dyDescent="0.2">
      <c r="A76" s="722">
        <v>71</v>
      </c>
      <c r="B76" s="431">
        <v>44896</v>
      </c>
      <c r="C76" s="415" t="s">
        <v>468</v>
      </c>
      <c r="D76" s="415" t="s">
        <v>468</v>
      </c>
      <c r="E76" s="425">
        <v>2750</v>
      </c>
      <c r="F76" s="415" t="s">
        <v>468</v>
      </c>
      <c r="G76" s="427" t="s">
        <v>5686</v>
      </c>
      <c r="H76" s="427" t="s">
        <v>5687</v>
      </c>
      <c r="I76" s="415" t="s">
        <v>5688</v>
      </c>
      <c r="J76" s="654" t="str">
        <f t="shared" si="4"/>
        <v>Gastos_custeados_por_captação</v>
      </c>
      <c r="K76" s="655">
        <f>IF(B76="","",IF(YEAR(B76)='Diário 1º PA'!$Q$1,MONTH(B76)-'Diário 1º PA'!$P$1+1,(YEAR(B76)-'Diário 1º PA'!$Q$1)*12-'Diário 1º PA'!$P$1+1+MONTH(B76)))</f>
        <v>12</v>
      </c>
      <c r="L76" s="415" t="s">
        <v>408</v>
      </c>
    </row>
    <row r="77" spans="1:12" ht="60" x14ac:dyDescent="0.2">
      <c r="A77" s="722">
        <v>72</v>
      </c>
      <c r="B77" s="431">
        <v>44743</v>
      </c>
      <c r="C77" s="415" t="s">
        <v>468</v>
      </c>
      <c r="D77" s="415" t="s">
        <v>468</v>
      </c>
      <c r="E77" s="425">
        <v>600</v>
      </c>
      <c r="F77" s="415" t="s">
        <v>468</v>
      </c>
      <c r="G77" s="427" t="s">
        <v>764</v>
      </c>
      <c r="H77" s="427" t="s">
        <v>7187</v>
      </c>
      <c r="I77" s="415" t="s">
        <v>310</v>
      </c>
      <c r="J77" s="654" t="str">
        <f t="shared" si="4"/>
        <v>Gastos_custeados_por_captação</v>
      </c>
      <c r="K77" s="655">
        <f>IF(B77="","",IF(YEAR(B77)='Diário 1º PA'!$Q$1,MONTH(B77)-'Diário 1º PA'!$P$1+1,(YEAR(B77)-'Diário 1º PA'!$Q$1)*12-'Diário 1º PA'!$P$1+1+MONTH(B77)))</f>
        <v>7</v>
      </c>
      <c r="L77" s="415" t="s">
        <v>405</v>
      </c>
    </row>
    <row r="78" spans="1:12" ht="60" x14ac:dyDescent="0.2">
      <c r="A78" s="722">
        <v>73</v>
      </c>
      <c r="B78" s="431">
        <v>44743</v>
      </c>
      <c r="C78" s="415" t="s">
        <v>468</v>
      </c>
      <c r="D78" s="415" t="s">
        <v>468</v>
      </c>
      <c r="E78" s="425">
        <v>600</v>
      </c>
      <c r="F78" s="415" t="s">
        <v>468</v>
      </c>
      <c r="G78" s="427" t="s">
        <v>1461</v>
      </c>
      <c r="H78" s="427" t="s">
        <v>8715</v>
      </c>
      <c r="I78" s="415" t="s">
        <v>310</v>
      </c>
      <c r="J78" s="654" t="str">
        <f t="shared" si="4"/>
        <v>Gastos_custeados_por_captação</v>
      </c>
      <c r="K78" s="655">
        <f>IF(B78="","",IF(YEAR(B78)='Diário 1º PA'!$Q$1,MONTH(B78)-'Diário 1º PA'!$P$1+1,(YEAR(B78)-'Diário 1º PA'!$Q$1)*12-'Diário 1º PA'!$P$1+1+MONTH(B78)))</f>
        <v>7</v>
      </c>
      <c r="L78" s="415" t="s">
        <v>405</v>
      </c>
    </row>
    <row r="79" spans="1:12" ht="36" x14ac:dyDescent="0.2">
      <c r="A79" s="722">
        <v>74</v>
      </c>
      <c r="B79" s="424">
        <v>44835</v>
      </c>
      <c r="C79" s="415" t="s">
        <v>271</v>
      </c>
      <c r="D79" s="415" t="s">
        <v>90</v>
      </c>
      <c r="E79" s="425">
        <v>220</v>
      </c>
      <c r="F79" s="419" t="s">
        <v>753</v>
      </c>
      <c r="G79" s="427" t="s">
        <v>764</v>
      </c>
      <c r="H79" s="427" t="s">
        <v>8928</v>
      </c>
      <c r="I79" s="415" t="s">
        <v>310</v>
      </c>
      <c r="J79" s="654" t="str">
        <f t="shared" si="4"/>
        <v>Gastos_Gerais</v>
      </c>
      <c r="K79" s="655">
        <f>IF(B79="","",IF(YEAR(B79)='Diário 1º PA'!$Q$1,MONTH(B79)-'Diário 1º PA'!$P$1+1,(YEAR(B79)-'Diário 1º PA'!$Q$1)*12-'Diário 1º PA'!$P$1+1+MONTH(B79)))</f>
        <v>10</v>
      </c>
      <c r="L79" s="415" t="s">
        <v>408</v>
      </c>
    </row>
    <row r="80" spans="1:12" ht="36" x14ac:dyDescent="0.2">
      <c r="A80" s="722">
        <v>75</v>
      </c>
      <c r="B80" s="431">
        <v>44896</v>
      </c>
      <c r="C80" s="415" t="s">
        <v>468</v>
      </c>
      <c r="D80" s="415" t="s">
        <v>468</v>
      </c>
      <c r="E80" s="425">
        <v>4400</v>
      </c>
      <c r="F80" s="419" t="s">
        <v>468</v>
      </c>
      <c r="G80" s="427" t="s">
        <v>5780</v>
      </c>
      <c r="H80" s="427" t="s">
        <v>5779</v>
      </c>
      <c r="I80" s="415" t="s">
        <v>5781</v>
      </c>
      <c r="J80" s="654" t="str">
        <f t="shared" si="4"/>
        <v>Gastos_custeados_por_captação</v>
      </c>
      <c r="K80" s="655">
        <f>IF(B80="","",IF(YEAR(B80)='Diário 1º PA'!$Q$1,MONTH(B80)-'Diário 1º PA'!$P$1+1,(YEAR(B80)-'Diário 1º PA'!$Q$1)*12-'Diário 1º PA'!$P$1+1+MONTH(B80)))</f>
        <v>12</v>
      </c>
      <c r="L80" s="415" t="s">
        <v>408</v>
      </c>
    </row>
    <row r="81" spans="1:12" ht="60" x14ac:dyDescent="0.2">
      <c r="A81" s="722">
        <v>76</v>
      </c>
      <c r="B81" s="431">
        <v>44866</v>
      </c>
      <c r="C81" s="415" t="s">
        <v>468</v>
      </c>
      <c r="D81" s="415" t="s">
        <v>468</v>
      </c>
      <c r="E81" s="425">
        <v>120</v>
      </c>
      <c r="F81" s="419" t="s">
        <v>468</v>
      </c>
      <c r="G81" s="427" t="s">
        <v>764</v>
      </c>
      <c r="H81" s="427" t="s">
        <v>8823</v>
      </c>
      <c r="I81" s="415" t="s">
        <v>310</v>
      </c>
      <c r="J81" s="654" t="str">
        <f t="shared" si="4"/>
        <v>Gastos_custeados_por_captação</v>
      </c>
      <c r="K81" s="655">
        <f>IF(B81="","",IF(YEAR(B81)='Diário 1º PA'!$Q$1,MONTH(B81)-'Diário 1º PA'!$P$1+1,(YEAR(B81)-'Diário 1º PA'!$Q$1)*12-'Diário 1º PA'!$P$1+1+MONTH(B81)))</f>
        <v>11</v>
      </c>
      <c r="L81" s="415" t="s">
        <v>404</v>
      </c>
    </row>
    <row r="82" spans="1:12" ht="60" x14ac:dyDescent="0.2">
      <c r="A82" s="722">
        <v>77</v>
      </c>
      <c r="B82" s="431">
        <v>44866</v>
      </c>
      <c r="C82" s="415" t="s">
        <v>468</v>
      </c>
      <c r="D82" s="415" t="s">
        <v>468</v>
      </c>
      <c r="E82" s="425">
        <v>60</v>
      </c>
      <c r="F82" s="419" t="s">
        <v>468</v>
      </c>
      <c r="G82" s="427" t="s">
        <v>1461</v>
      </c>
      <c r="H82" s="427" t="s">
        <v>8824</v>
      </c>
      <c r="I82" s="415" t="s">
        <v>310</v>
      </c>
      <c r="J82" s="654" t="str">
        <f t="shared" si="4"/>
        <v>Gastos_custeados_por_captação</v>
      </c>
      <c r="K82" s="655">
        <f>IF(B82="","",IF(YEAR(B82)='Diário 1º PA'!$Q$1,MONTH(B82)-'Diário 1º PA'!$P$1+1,(YEAR(B82)-'Diário 1º PA'!$Q$1)*12-'Diário 1º PA'!$P$1+1+MONTH(B82)))</f>
        <v>11</v>
      </c>
      <c r="L82" s="415" t="s">
        <v>404</v>
      </c>
    </row>
    <row r="83" spans="1:12" ht="60" x14ac:dyDescent="0.2">
      <c r="A83" s="722">
        <v>78</v>
      </c>
      <c r="B83" s="431">
        <v>44866</v>
      </c>
      <c r="C83" s="415" t="s">
        <v>468</v>
      </c>
      <c r="D83" s="415" t="s">
        <v>468</v>
      </c>
      <c r="E83" s="425">
        <v>186</v>
      </c>
      <c r="F83" s="419" t="s">
        <v>468</v>
      </c>
      <c r="G83" s="427" t="s">
        <v>1461</v>
      </c>
      <c r="H83" s="427" t="s">
        <v>8825</v>
      </c>
      <c r="I83" s="415" t="s">
        <v>310</v>
      </c>
      <c r="J83" s="654" t="str">
        <f t="shared" si="4"/>
        <v>Gastos_custeados_por_captação</v>
      </c>
      <c r="K83" s="655">
        <f>IF(B83="","",IF(YEAR(B83)='Diário 1º PA'!$Q$1,MONTH(B83)-'Diário 1º PA'!$P$1+1,(YEAR(B83)-'Diário 1º PA'!$Q$1)*12-'Diário 1º PA'!$P$1+1+MONTH(B83)))</f>
        <v>11</v>
      </c>
      <c r="L83" s="415" t="s">
        <v>404</v>
      </c>
    </row>
    <row r="84" spans="1:12" ht="36" x14ac:dyDescent="0.2">
      <c r="A84" s="722">
        <v>79</v>
      </c>
      <c r="B84" s="431">
        <v>44743</v>
      </c>
      <c r="C84" s="415" t="s">
        <v>271</v>
      </c>
      <c r="D84" s="415" t="s">
        <v>90</v>
      </c>
      <c r="E84" s="425">
        <v>2149.15</v>
      </c>
      <c r="F84" s="419" t="s">
        <v>755</v>
      </c>
      <c r="G84" s="427" t="s">
        <v>6085</v>
      </c>
      <c r="H84" s="427" t="s">
        <v>6086</v>
      </c>
      <c r="I84" s="415" t="s">
        <v>4603</v>
      </c>
      <c r="J84" s="654" t="str">
        <f t="shared" si="4"/>
        <v>Gastos_Gerais</v>
      </c>
      <c r="K84" s="655">
        <f>IF(B84="","",IF(YEAR(B84)='Diário 1º PA'!$Q$1,MONTH(B84)-'Diário 1º PA'!$P$1+1,(YEAR(B84)-'Diário 1º PA'!$Q$1)*12-'Diário 1º PA'!$P$1+1+MONTH(B84)))</f>
        <v>7</v>
      </c>
      <c r="L84" s="415" t="s">
        <v>400</v>
      </c>
    </row>
    <row r="85" spans="1:12" ht="60" x14ac:dyDescent="0.2">
      <c r="A85" s="722">
        <v>80</v>
      </c>
      <c r="B85" s="431">
        <v>44866</v>
      </c>
      <c r="C85" s="415" t="s">
        <v>468</v>
      </c>
      <c r="D85" s="415" t="s">
        <v>468</v>
      </c>
      <c r="E85" s="425">
        <v>72.36</v>
      </c>
      <c r="F85" s="419" t="s">
        <v>468</v>
      </c>
      <c r="G85" s="427" t="s">
        <v>764</v>
      </c>
      <c r="H85" s="427" t="s">
        <v>9061</v>
      </c>
      <c r="I85" s="415" t="s">
        <v>310</v>
      </c>
      <c r="J85" s="654" t="str">
        <f t="shared" si="4"/>
        <v>Gastos_custeados_por_captação</v>
      </c>
      <c r="K85" s="655">
        <f>IF(B85="","",IF(YEAR(B85)='Diário 1º PA'!$Q$1,MONTH(B85)-'Diário 1º PA'!$P$1+1,(YEAR(B85)-'Diário 1º PA'!$Q$1)*12-'Diário 1º PA'!$P$1+1+MONTH(B85)))</f>
        <v>11</v>
      </c>
      <c r="L85" s="415" t="s">
        <v>405</v>
      </c>
    </row>
    <row r="86" spans="1:12" ht="144" x14ac:dyDescent="0.2">
      <c r="A86" s="722">
        <v>81</v>
      </c>
      <c r="B86" s="431">
        <v>44896</v>
      </c>
      <c r="C86" s="415" t="s">
        <v>468</v>
      </c>
      <c r="D86" s="415" t="s">
        <v>468</v>
      </c>
      <c r="E86" s="425">
        <v>3600</v>
      </c>
      <c r="F86" s="419" t="s">
        <v>468</v>
      </c>
      <c r="G86" s="427" t="s">
        <v>6158</v>
      </c>
      <c r="H86" s="427" t="s">
        <v>6159</v>
      </c>
      <c r="I86" s="415" t="s">
        <v>2342</v>
      </c>
      <c r="J86" s="654" t="str">
        <f t="shared" si="4"/>
        <v>Gastos_custeados_por_captação</v>
      </c>
      <c r="K86" s="655">
        <f>IF(B86="","",IF(YEAR(B86)='Diário 1º PA'!$Q$1,MONTH(B86)-'Diário 1º PA'!$P$1+1,(YEAR(B86)-'Diário 1º PA'!$Q$1)*12-'Diário 1º PA'!$P$1+1+MONTH(B86)))</f>
        <v>12</v>
      </c>
      <c r="L86" s="415" t="s">
        <v>405</v>
      </c>
    </row>
    <row r="87" spans="1:12" ht="132" x14ac:dyDescent="0.2">
      <c r="A87" s="722">
        <v>82</v>
      </c>
      <c r="B87" s="431">
        <v>44743</v>
      </c>
      <c r="C87" s="415" t="s">
        <v>468</v>
      </c>
      <c r="D87" s="415" t="s">
        <v>468</v>
      </c>
      <c r="E87" s="425">
        <v>20000</v>
      </c>
      <c r="F87" s="419" t="s">
        <v>468</v>
      </c>
      <c r="G87" s="427" t="s">
        <v>6181</v>
      </c>
      <c r="H87" s="427" t="s">
        <v>6182</v>
      </c>
      <c r="I87" s="415" t="s">
        <v>1089</v>
      </c>
      <c r="J87" s="654" t="str">
        <f t="shared" si="4"/>
        <v>Gastos_custeados_por_captação</v>
      </c>
      <c r="K87" s="655">
        <f>IF(B87="","",IF(YEAR(B87)='Diário 1º PA'!$Q$1,MONTH(B87)-'Diário 1º PA'!$P$1+1,(YEAR(B87)-'Diário 1º PA'!$Q$1)*12-'Diário 1º PA'!$P$1+1+MONTH(B87)))</f>
        <v>7</v>
      </c>
      <c r="L87" s="415" t="s">
        <v>405</v>
      </c>
    </row>
    <row r="88" spans="1:12" ht="60" x14ac:dyDescent="0.2">
      <c r="A88" s="722">
        <v>83</v>
      </c>
      <c r="B88" s="431">
        <v>44743</v>
      </c>
      <c r="C88" s="415" t="s">
        <v>468</v>
      </c>
      <c r="D88" s="415" t="s">
        <v>468</v>
      </c>
      <c r="E88" s="425" t="s">
        <v>6196</v>
      </c>
      <c r="F88" s="419" t="s">
        <v>468</v>
      </c>
      <c r="G88" s="427" t="s">
        <v>6183</v>
      </c>
      <c r="H88" s="427" t="s">
        <v>6184</v>
      </c>
      <c r="I88" s="415" t="s">
        <v>6185</v>
      </c>
      <c r="J88" s="654" t="str">
        <f t="shared" si="4"/>
        <v>Gastos_custeados_por_captação</v>
      </c>
      <c r="K88" s="655">
        <f>IF(B88="","",IF(YEAR(B88)='Diário 1º PA'!$Q$1,MONTH(B88)-'Diário 1º PA'!$P$1+1,(YEAR(B88)-'Diário 1º PA'!$Q$1)*12-'Diário 1º PA'!$P$1+1+MONTH(B88)))</f>
        <v>7</v>
      </c>
      <c r="L88" s="415" t="s">
        <v>405</v>
      </c>
    </row>
    <row r="89" spans="1:12" ht="60" x14ac:dyDescent="0.2">
      <c r="A89" s="722">
        <v>84</v>
      </c>
      <c r="B89" s="431">
        <v>44866</v>
      </c>
      <c r="C89" s="415" t="s">
        <v>468</v>
      </c>
      <c r="D89" s="415" t="s">
        <v>468</v>
      </c>
      <c r="E89" s="425">
        <v>42.71</v>
      </c>
      <c r="F89" s="419" t="s">
        <v>468</v>
      </c>
      <c r="G89" s="427" t="s">
        <v>764</v>
      </c>
      <c r="H89" s="427" t="s">
        <v>9060</v>
      </c>
      <c r="I89" s="415" t="s">
        <v>310</v>
      </c>
      <c r="J89" s="654" t="str">
        <f t="shared" si="4"/>
        <v>Gastos_custeados_por_captação</v>
      </c>
      <c r="K89" s="655">
        <f>IF(B89="","",IF(YEAR(B89)='Diário 1º PA'!$Q$1,MONTH(B89)-'Diário 1º PA'!$P$1+1,(YEAR(B89)-'Diário 1º PA'!$Q$1)*12-'Diário 1º PA'!$P$1+1+MONTH(B89)))</f>
        <v>11</v>
      </c>
      <c r="L89" s="415" t="s">
        <v>405</v>
      </c>
    </row>
    <row r="90" spans="1:12" ht="60" x14ac:dyDescent="0.2">
      <c r="A90" s="722">
        <v>85</v>
      </c>
      <c r="B90" s="431">
        <v>44743</v>
      </c>
      <c r="C90" s="415" t="s">
        <v>468</v>
      </c>
      <c r="D90" s="415" t="s">
        <v>468</v>
      </c>
      <c r="E90" s="425">
        <v>4850</v>
      </c>
      <c r="F90" s="419" t="s">
        <v>468</v>
      </c>
      <c r="G90" s="427" t="s">
        <v>6188</v>
      </c>
      <c r="H90" s="427" t="s">
        <v>6189</v>
      </c>
      <c r="I90" s="415" t="s">
        <v>6185</v>
      </c>
      <c r="J90" s="654" t="str">
        <f t="shared" si="4"/>
        <v>Gastos_custeados_por_captação</v>
      </c>
      <c r="K90" s="655">
        <f>IF(B90="","",IF(YEAR(B90)='Diário 1º PA'!$Q$1,MONTH(B90)-'Diário 1º PA'!$P$1+1,(YEAR(B90)-'Diário 1º PA'!$Q$1)*12-'Diário 1º PA'!$P$1+1+MONTH(B90)))</f>
        <v>7</v>
      </c>
      <c r="L90" s="415" t="s">
        <v>405</v>
      </c>
    </row>
    <row r="91" spans="1:12" ht="36" x14ac:dyDescent="0.2">
      <c r="A91" s="722">
        <v>86</v>
      </c>
      <c r="B91" s="431">
        <v>44774</v>
      </c>
      <c r="C91" s="415" t="s">
        <v>271</v>
      </c>
      <c r="D91" s="415" t="s">
        <v>465</v>
      </c>
      <c r="E91" s="425">
        <v>30</v>
      </c>
      <c r="F91" s="419" t="s">
        <v>758</v>
      </c>
      <c r="G91" s="427" t="s">
        <v>764</v>
      </c>
      <c r="H91" s="427" t="s">
        <v>7140</v>
      </c>
      <c r="I91" s="415" t="s">
        <v>310</v>
      </c>
      <c r="J91" s="654" t="str">
        <f t="shared" si="4"/>
        <v>Gastos_Gerais</v>
      </c>
      <c r="K91" s="655">
        <f>IF(B91="","",IF(YEAR(B91)='Diário 1º PA'!$Q$1,MONTH(B91)-'Diário 1º PA'!$P$1+1,(YEAR(B91)-'Diário 1º PA'!$Q$1)*12-'Diário 1º PA'!$P$1+1+MONTH(B91)))</f>
        <v>8</v>
      </c>
      <c r="L91" s="415" t="s">
        <v>400</v>
      </c>
    </row>
    <row r="92" spans="1:12" ht="60" x14ac:dyDescent="0.2">
      <c r="A92" s="722">
        <v>87</v>
      </c>
      <c r="B92" s="431">
        <v>44866</v>
      </c>
      <c r="C92" s="415" t="s">
        <v>468</v>
      </c>
      <c r="D92" s="415" t="s">
        <v>468</v>
      </c>
      <c r="E92" s="425">
        <v>74.33</v>
      </c>
      <c r="F92" s="419" t="s">
        <v>468</v>
      </c>
      <c r="G92" s="427" t="s">
        <v>764</v>
      </c>
      <c r="H92" s="427" t="s">
        <v>9108</v>
      </c>
      <c r="I92" s="415" t="s">
        <v>310</v>
      </c>
      <c r="J92" s="654" t="str">
        <f t="shared" si="4"/>
        <v>Gastos_custeados_por_captação</v>
      </c>
      <c r="K92" s="655">
        <f>IF(B92="","",IF(YEAR(B92)='Diário 1º PA'!$Q$1,MONTH(B92)-'Diário 1º PA'!$P$1+1,(YEAR(B92)-'Diário 1º PA'!$Q$1)*12-'Diário 1º PA'!$P$1+1+MONTH(B92)))</f>
        <v>11</v>
      </c>
      <c r="L92" s="415" t="s">
        <v>3762</v>
      </c>
    </row>
    <row r="93" spans="1:12" ht="96" x14ac:dyDescent="0.2">
      <c r="A93" s="722">
        <v>88</v>
      </c>
      <c r="B93" s="431">
        <v>44896</v>
      </c>
      <c r="C93" s="415" t="s">
        <v>468</v>
      </c>
      <c r="D93" s="415" t="s">
        <v>468</v>
      </c>
      <c r="E93" s="425">
        <v>3698</v>
      </c>
      <c r="F93" s="419" t="s">
        <v>468</v>
      </c>
      <c r="G93" s="427" t="s">
        <v>6264</v>
      </c>
      <c r="H93" s="427" t="s">
        <v>6265</v>
      </c>
      <c r="I93" s="415" t="s">
        <v>2345</v>
      </c>
      <c r="J93" s="654" t="str">
        <f t="shared" si="4"/>
        <v>Gastos_custeados_por_captação</v>
      </c>
      <c r="K93" s="655">
        <f>IF(B93="","",IF(YEAR(B93)='Diário 1º PA'!$Q$1,MONTH(B93)-'Diário 1º PA'!$P$1+1,(YEAR(B93)-'Diário 1º PA'!$Q$1)*12-'Diário 1º PA'!$P$1+1+MONTH(B93)))</f>
        <v>12</v>
      </c>
      <c r="L93" s="415" t="s">
        <v>3762</v>
      </c>
    </row>
    <row r="94" spans="1:12" ht="48" x14ac:dyDescent="0.2">
      <c r="A94" s="722">
        <v>89</v>
      </c>
      <c r="B94" s="431">
        <v>44774</v>
      </c>
      <c r="C94" s="415" t="s">
        <v>271</v>
      </c>
      <c r="D94" s="415" t="s">
        <v>90</v>
      </c>
      <c r="E94" s="425">
        <v>7200</v>
      </c>
      <c r="F94" s="419" t="s">
        <v>752</v>
      </c>
      <c r="G94" s="427" t="s">
        <v>6323</v>
      </c>
      <c r="H94" s="427" t="s">
        <v>6324</v>
      </c>
      <c r="I94" s="415" t="s">
        <v>1109</v>
      </c>
      <c r="J94" s="654" t="str">
        <f t="shared" si="4"/>
        <v>Gastos_Gerais</v>
      </c>
      <c r="K94" s="655">
        <f>IF(B94="","",IF(YEAR(B94)='Diário 1º PA'!$Q$1,MONTH(B94)-'Diário 1º PA'!$P$1+1,(YEAR(B94)-'Diário 1º PA'!$Q$1)*12-'Diário 1º PA'!$P$1+1+MONTH(B94)))</f>
        <v>8</v>
      </c>
      <c r="L94" s="415" t="s">
        <v>400</v>
      </c>
    </row>
    <row r="95" spans="1:12" ht="36" x14ac:dyDescent="0.2">
      <c r="A95" s="722">
        <v>90</v>
      </c>
      <c r="B95" s="431">
        <v>44774</v>
      </c>
      <c r="C95" s="415" t="s">
        <v>271</v>
      </c>
      <c r="D95" s="415" t="s">
        <v>297</v>
      </c>
      <c r="E95" s="425">
        <v>980.73</v>
      </c>
      <c r="F95" s="419" t="s">
        <v>309</v>
      </c>
      <c r="G95" s="427" t="s">
        <v>6635</v>
      </c>
      <c r="H95" s="427" t="s">
        <v>6636</v>
      </c>
      <c r="I95" s="415" t="s">
        <v>1041</v>
      </c>
      <c r="J95" s="654" t="str">
        <f t="shared" si="4"/>
        <v>Gastos_Gerais</v>
      </c>
      <c r="K95" s="655">
        <f>IF(B95="","",IF(YEAR(B95)='Diário 1º PA'!$Q$1,MONTH(B95)-'Diário 1º PA'!$P$1+1,(YEAR(B95)-'Diário 1º PA'!$Q$1)*12-'Diário 1º PA'!$P$1+1+MONTH(B95)))</f>
        <v>8</v>
      </c>
      <c r="L95" s="415" t="s">
        <v>400</v>
      </c>
    </row>
    <row r="96" spans="1:12" ht="60" x14ac:dyDescent="0.2">
      <c r="A96" s="722">
        <v>91</v>
      </c>
      <c r="B96" s="431">
        <v>44866</v>
      </c>
      <c r="C96" s="415" t="s">
        <v>468</v>
      </c>
      <c r="D96" s="415" t="s">
        <v>468</v>
      </c>
      <c r="E96" s="425">
        <v>60.3</v>
      </c>
      <c r="F96" s="419" t="s">
        <v>468</v>
      </c>
      <c r="G96" s="427" t="s">
        <v>764</v>
      </c>
      <c r="H96" s="427" t="s">
        <v>8821</v>
      </c>
      <c r="I96" s="415" t="s">
        <v>310</v>
      </c>
      <c r="J96" s="654" t="str">
        <f t="shared" si="4"/>
        <v>Gastos_custeados_por_captação</v>
      </c>
      <c r="K96" s="655">
        <f>IF(B96="","",IF(YEAR(B96)='Diário 1º PA'!$Q$1,MONTH(B96)-'Diário 1º PA'!$P$1+1,(YEAR(B96)-'Diário 1º PA'!$Q$1)*12-'Diário 1º PA'!$P$1+1+MONTH(B96)))</f>
        <v>11</v>
      </c>
      <c r="L96" s="415" t="s">
        <v>405</v>
      </c>
    </row>
    <row r="97" spans="1:12" ht="60" x14ac:dyDescent="0.2">
      <c r="A97" s="722">
        <v>92</v>
      </c>
      <c r="B97" s="431">
        <v>44896</v>
      </c>
      <c r="C97" s="415" t="s">
        <v>468</v>
      </c>
      <c r="D97" s="415" t="s">
        <v>468</v>
      </c>
      <c r="E97" s="425">
        <v>3000</v>
      </c>
      <c r="F97" s="419" t="s">
        <v>468</v>
      </c>
      <c r="G97" s="427" t="s">
        <v>6834</v>
      </c>
      <c r="H97" s="427" t="s">
        <v>6833</v>
      </c>
      <c r="I97" s="415" t="s">
        <v>1137</v>
      </c>
      <c r="J97" s="654" t="str">
        <f t="shared" si="4"/>
        <v>Gastos_custeados_por_captação</v>
      </c>
      <c r="K97" s="655">
        <f>IF(B97="","",IF(YEAR(B97)='Diário 1º PA'!$Q$1,MONTH(B97)-'Diário 1º PA'!$P$1+1,(YEAR(B97)-'Diário 1º PA'!$Q$1)*12-'Diário 1º PA'!$P$1+1+MONTH(B97)))</f>
        <v>12</v>
      </c>
      <c r="L97" s="415" t="s">
        <v>405</v>
      </c>
    </row>
    <row r="98" spans="1:12" ht="60" x14ac:dyDescent="0.2">
      <c r="A98" s="722">
        <v>93</v>
      </c>
      <c r="B98" s="431">
        <v>44866</v>
      </c>
      <c r="C98" s="415" t="s">
        <v>468</v>
      </c>
      <c r="D98" s="415" t="s">
        <v>468</v>
      </c>
      <c r="E98" s="425">
        <v>90</v>
      </c>
      <c r="F98" s="419" t="s">
        <v>468</v>
      </c>
      <c r="G98" s="427" t="s">
        <v>764</v>
      </c>
      <c r="H98" s="427" t="s">
        <v>8838</v>
      </c>
      <c r="I98" s="415" t="s">
        <v>310</v>
      </c>
      <c r="J98" s="654" t="str">
        <f t="shared" si="4"/>
        <v>Gastos_custeados_por_captação</v>
      </c>
      <c r="K98" s="655">
        <f>IF(B98="","",IF(YEAR(B98)='Diário 1º PA'!$Q$1,MONTH(B98)-'Diário 1º PA'!$P$1+1,(YEAR(B98)-'Diário 1º PA'!$Q$1)*12-'Diário 1º PA'!$P$1+1+MONTH(B98)))</f>
        <v>11</v>
      </c>
      <c r="L98" s="415" t="s">
        <v>404</v>
      </c>
    </row>
    <row r="99" spans="1:12" ht="60" x14ac:dyDescent="0.2">
      <c r="A99" s="722">
        <v>94</v>
      </c>
      <c r="B99" s="431">
        <v>44866</v>
      </c>
      <c r="C99" s="415" t="s">
        <v>468</v>
      </c>
      <c r="D99" s="415" t="s">
        <v>468</v>
      </c>
      <c r="E99" s="425">
        <v>57.45</v>
      </c>
      <c r="F99" s="419" t="s">
        <v>468</v>
      </c>
      <c r="G99" s="427" t="s">
        <v>1461</v>
      </c>
      <c r="H99" s="427" t="s">
        <v>8839</v>
      </c>
      <c r="I99" s="415" t="s">
        <v>310</v>
      </c>
      <c r="J99" s="654" t="str">
        <f t="shared" si="4"/>
        <v>Gastos_custeados_por_captação</v>
      </c>
      <c r="K99" s="655">
        <f>IF(B99="","",IF(YEAR(B99)='Diário 1º PA'!$Q$1,MONTH(B99)-'Diário 1º PA'!$P$1+1,(YEAR(B99)-'Diário 1º PA'!$Q$1)*12-'Diário 1º PA'!$P$1+1+MONTH(B99)))</f>
        <v>11</v>
      </c>
      <c r="L99" s="415" t="s">
        <v>404</v>
      </c>
    </row>
    <row r="100" spans="1:12" ht="60" x14ac:dyDescent="0.2">
      <c r="A100" s="722">
        <v>95</v>
      </c>
      <c r="B100" s="431">
        <v>44866</v>
      </c>
      <c r="C100" s="415" t="s">
        <v>468</v>
      </c>
      <c r="D100" s="415" t="s">
        <v>468</v>
      </c>
      <c r="E100" s="425">
        <v>930</v>
      </c>
      <c r="F100" s="419" t="s">
        <v>468</v>
      </c>
      <c r="G100" s="427" t="s">
        <v>1461</v>
      </c>
      <c r="H100" s="427" t="s">
        <v>8840</v>
      </c>
      <c r="I100" s="415" t="s">
        <v>310</v>
      </c>
      <c r="J100" s="654" t="str">
        <f t="shared" si="4"/>
        <v>Gastos_custeados_por_captação</v>
      </c>
      <c r="K100" s="655">
        <f>IF(B100="","",IF(YEAR(B100)='Diário 1º PA'!$Q$1,MONTH(B100)-'Diário 1º PA'!$P$1+1,(YEAR(B100)-'Diário 1º PA'!$Q$1)*12-'Diário 1º PA'!$P$1+1+MONTH(B100)))</f>
        <v>11</v>
      </c>
      <c r="L100" s="415" t="s">
        <v>404</v>
      </c>
    </row>
    <row r="101" spans="1:12" ht="48" x14ac:dyDescent="0.2">
      <c r="A101" s="722">
        <v>96</v>
      </c>
      <c r="B101" s="431">
        <v>44896</v>
      </c>
      <c r="C101" s="415" t="s">
        <v>271</v>
      </c>
      <c r="D101" s="415" t="s">
        <v>90</v>
      </c>
      <c r="E101" s="425">
        <v>3000</v>
      </c>
      <c r="F101" s="419" t="s">
        <v>750</v>
      </c>
      <c r="G101" s="427" t="s">
        <v>6857</v>
      </c>
      <c r="H101" s="427" t="s">
        <v>3964</v>
      </c>
      <c r="I101" s="415" t="s">
        <v>1077</v>
      </c>
      <c r="J101" s="654" t="str">
        <f t="shared" si="4"/>
        <v>Gastos_Gerais</v>
      </c>
      <c r="K101" s="655">
        <f>IF(B101="","",IF(YEAR(B101)='Diário 1º PA'!$Q$1,MONTH(B101)-'Diário 1º PA'!$P$1+1,(YEAR(B101)-'Diário 1º PA'!$Q$1)*12-'Diário 1º PA'!$P$1+1+MONTH(B101)))</f>
        <v>12</v>
      </c>
      <c r="L101" s="415" t="s">
        <v>400</v>
      </c>
    </row>
    <row r="102" spans="1:12" ht="48" x14ac:dyDescent="0.2">
      <c r="A102" s="722">
        <v>97</v>
      </c>
      <c r="B102" s="431">
        <v>44896</v>
      </c>
      <c r="C102" s="415" t="s">
        <v>271</v>
      </c>
      <c r="D102" s="415" t="s">
        <v>90</v>
      </c>
      <c r="E102" s="425">
        <v>3000</v>
      </c>
      <c r="F102" s="419" t="s">
        <v>750</v>
      </c>
      <c r="G102" s="427" t="s">
        <v>6858</v>
      </c>
      <c r="H102" s="427" t="s">
        <v>3964</v>
      </c>
      <c r="I102" s="415" t="s">
        <v>1126</v>
      </c>
      <c r="J102" s="654" t="str">
        <f t="shared" ref="J102:J156" si="5">SUBSTITUTE(C102," ","_")</f>
        <v>Gastos_Gerais</v>
      </c>
      <c r="K102" s="655">
        <f>IF(B102="","",IF(YEAR(B102)='Diário 1º PA'!$Q$1,MONTH(B102)-'Diário 1º PA'!$P$1+1,(YEAR(B102)-'Diário 1º PA'!$Q$1)*12-'Diário 1º PA'!$P$1+1+MONTH(B102)))</f>
        <v>12</v>
      </c>
      <c r="L102" s="415" t="s">
        <v>400</v>
      </c>
    </row>
    <row r="103" spans="1:12" ht="24" x14ac:dyDescent="0.2">
      <c r="A103" s="722">
        <v>98</v>
      </c>
      <c r="B103" s="431">
        <v>44805</v>
      </c>
      <c r="C103" s="415" t="s">
        <v>271</v>
      </c>
      <c r="D103" s="415" t="s">
        <v>297</v>
      </c>
      <c r="E103" s="425">
        <v>256</v>
      </c>
      <c r="F103" s="419" t="s">
        <v>309</v>
      </c>
      <c r="G103" s="427" t="s">
        <v>6914</v>
      </c>
      <c r="H103" s="427" t="s">
        <v>6915</v>
      </c>
      <c r="I103" s="415" t="s">
        <v>3749</v>
      </c>
      <c r="J103" s="654" t="str">
        <f t="shared" si="5"/>
        <v>Gastos_Gerais</v>
      </c>
      <c r="K103" s="655">
        <f>IF(B103="","",IF(YEAR(B103)='Diário 1º PA'!$Q$1,MONTH(B103)-'Diário 1º PA'!$P$1+1,(YEAR(B103)-'Diário 1º PA'!$Q$1)*12-'Diário 1º PA'!$P$1+1+MONTH(B103)))</f>
        <v>9</v>
      </c>
      <c r="L103" s="415" t="s">
        <v>400</v>
      </c>
    </row>
    <row r="104" spans="1:12" ht="24" x14ac:dyDescent="0.2">
      <c r="A104" s="722">
        <v>99</v>
      </c>
      <c r="B104" s="431">
        <v>44835</v>
      </c>
      <c r="C104" s="415" t="s">
        <v>271</v>
      </c>
      <c r="D104" s="415" t="s">
        <v>297</v>
      </c>
      <c r="E104" s="425">
        <v>256</v>
      </c>
      <c r="F104" s="419" t="s">
        <v>309</v>
      </c>
      <c r="G104" s="427" t="s">
        <v>6914</v>
      </c>
      <c r="H104" s="427" t="s">
        <v>6915</v>
      </c>
      <c r="I104" s="415" t="s">
        <v>3749</v>
      </c>
      <c r="J104" s="654" t="str">
        <f t="shared" si="5"/>
        <v>Gastos_Gerais</v>
      </c>
      <c r="K104" s="655">
        <f>IF(B104="","",IF(YEAR(B104)='Diário 1º PA'!$Q$1,MONTH(B104)-'Diário 1º PA'!$P$1+1,(YEAR(B104)-'Diário 1º PA'!$Q$1)*12-'Diário 1º PA'!$P$1+1+MONTH(B104)))</f>
        <v>10</v>
      </c>
      <c r="L104" s="415" t="s">
        <v>400</v>
      </c>
    </row>
    <row r="105" spans="1:12" ht="24" x14ac:dyDescent="0.2">
      <c r="A105" s="722">
        <v>100</v>
      </c>
      <c r="B105" s="431">
        <v>44866</v>
      </c>
      <c r="C105" s="415" t="s">
        <v>271</v>
      </c>
      <c r="D105" s="415" t="s">
        <v>297</v>
      </c>
      <c r="E105" s="425">
        <v>256</v>
      </c>
      <c r="F105" s="419" t="s">
        <v>309</v>
      </c>
      <c r="G105" s="427" t="s">
        <v>6914</v>
      </c>
      <c r="H105" s="427" t="s">
        <v>6915</v>
      </c>
      <c r="I105" s="415" t="s">
        <v>3749</v>
      </c>
      <c r="J105" s="654" t="str">
        <f t="shared" si="5"/>
        <v>Gastos_Gerais</v>
      </c>
      <c r="K105" s="655">
        <f>IF(B105="","",IF(YEAR(B105)='Diário 1º PA'!$Q$1,MONTH(B105)-'Diário 1º PA'!$P$1+1,(YEAR(B105)-'Diário 1º PA'!$Q$1)*12-'Diário 1º PA'!$P$1+1+MONTH(B105)))</f>
        <v>11</v>
      </c>
      <c r="L105" s="415" t="s">
        <v>400</v>
      </c>
    </row>
    <row r="106" spans="1:12" ht="24" x14ac:dyDescent="0.2">
      <c r="A106" s="722">
        <v>101</v>
      </c>
      <c r="B106" s="431">
        <v>44896</v>
      </c>
      <c r="C106" s="415" t="s">
        <v>271</v>
      </c>
      <c r="D106" s="415" t="s">
        <v>297</v>
      </c>
      <c r="E106" s="425">
        <v>256</v>
      </c>
      <c r="F106" s="419" t="s">
        <v>309</v>
      </c>
      <c r="G106" s="427" t="s">
        <v>6914</v>
      </c>
      <c r="H106" s="427" t="s">
        <v>6915</v>
      </c>
      <c r="I106" s="415" t="s">
        <v>3749</v>
      </c>
      <c r="J106" s="654" t="str">
        <f t="shared" si="5"/>
        <v>Gastos_Gerais</v>
      </c>
      <c r="K106" s="655">
        <f>IF(B106="","",IF(YEAR(B106)='Diário 1º PA'!$Q$1,MONTH(B106)-'Diário 1º PA'!$P$1+1,(YEAR(B106)-'Diário 1º PA'!$Q$1)*12-'Diário 1º PA'!$P$1+1+MONTH(B106)))</f>
        <v>12</v>
      </c>
      <c r="L106" s="415" t="s">
        <v>400</v>
      </c>
    </row>
    <row r="107" spans="1:12" ht="108" x14ac:dyDescent="0.2">
      <c r="A107" s="722">
        <v>102</v>
      </c>
      <c r="B107" s="431">
        <v>44896</v>
      </c>
      <c r="C107" s="415" t="s">
        <v>468</v>
      </c>
      <c r="D107" s="415" t="s">
        <v>468</v>
      </c>
      <c r="E107" s="425">
        <v>1700</v>
      </c>
      <c r="F107" s="419" t="s">
        <v>468</v>
      </c>
      <c r="G107" s="427" t="s">
        <v>6922</v>
      </c>
      <c r="H107" s="427" t="s">
        <v>6923</v>
      </c>
      <c r="I107" s="415" t="s">
        <v>6924</v>
      </c>
      <c r="J107" s="654" t="str">
        <f t="shared" si="5"/>
        <v>Gastos_custeados_por_captação</v>
      </c>
      <c r="K107" s="655">
        <f>IF(B107="","",IF(YEAR(B107)='Diário 1º PA'!$Q$1,MONTH(B107)-'Diário 1º PA'!$P$1+1,(YEAR(B107)-'Diário 1º PA'!$Q$1)*12-'Diário 1º PA'!$P$1+1+MONTH(B107)))</f>
        <v>12</v>
      </c>
      <c r="L107" s="415" t="s">
        <v>3762</v>
      </c>
    </row>
    <row r="108" spans="1:12" ht="60" x14ac:dyDescent="0.2">
      <c r="A108" s="722">
        <v>103</v>
      </c>
      <c r="B108" s="431">
        <v>44835</v>
      </c>
      <c r="C108" s="415" t="s">
        <v>468</v>
      </c>
      <c r="D108" s="415" t="s">
        <v>468</v>
      </c>
      <c r="E108" s="425">
        <v>620</v>
      </c>
      <c r="F108" s="419" t="s">
        <v>468</v>
      </c>
      <c r="G108" s="427" t="s">
        <v>1461</v>
      </c>
      <c r="H108" s="427" t="s">
        <v>8231</v>
      </c>
      <c r="I108" s="415" t="s">
        <v>310</v>
      </c>
      <c r="J108" s="654" t="str">
        <f t="shared" si="5"/>
        <v>Gastos_custeados_por_captação</v>
      </c>
      <c r="K108" s="655">
        <f>IF(B108="","",IF(YEAR(B108)='Diário 1º PA'!$Q$1,MONTH(B108)-'Diário 1º PA'!$P$1+1,(YEAR(B108)-'Diário 1º PA'!$Q$1)*12-'Diário 1º PA'!$P$1+1+MONTH(B108)))</f>
        <v>10</v>
      </c>
      <c r="L108" s="415" t="s">
        <v>404</v>
      </c>
    </row>
    <row r="109" spans="1:12" ht="60" x14ac:dyDescent="0.2">
      <c r="A109" s="722">
        <v>104</v>
      </c>
      <c r="B109" s="431">
        <v>44866</v>
      </c>
      <c r="C109" s="415" t="s">
        <v>468</v>
      </c>
      <c r="D109" s="415" t="s">
        <v>468</v>
      </c>
      <c r="E109" s="425">
        <v>100</v>
      </c>
      <c r="F109" s="419" t="s">
        <v>468</v>
      </c>
      <c r="G109" s="427" t="s">
        <v>764</v>
      </c>
      <c r="H109" s="427" t="s">
        <v>8841</v>
      </c>
      <c r="I109" s="415" t="s">
        <v>310</v>
      </c>
      <c r="J109" s="654" t="str">
        <f t="shared" si="5"/>
        <v>Gastos_custeados_por_captação</v>
      </c>
      <c r="K109" s="655">
        <f>IF(B109="","",IF(YEAR(B109)='Diário 1º PA'!$Q$1,MONTH(B109)-'Diário 1º PA'!$P$1+1,(YEAR(B109)-'Diário 1º PA'!$Q$1)*12-'Diário 1º PA'!$P$1+1+MONTH(B109)))</f>
        <v>11</v>
      </c>
      <c r="L109" s="415" t="s">
        <v>404</v>
      </c>
    </row>
    <row r="110" spans="1:12" ht="60" x14ac:dyDescent="0.2">
      <c r="A110" s="722">
        <v>105</v>
      </c>
      <c r="B110" s="431">
        <v>44866</v>
      </c>
      <c r="C110" s="415" t="s">
        <v>468</v>
      </c>
      <c r="D110" s="415" t="s">
        <v>468</v>
      </c>
      <c r="E110" s="425">
        <v>620</v>
      </c>
      <c r="F110" s="419" t="s">
        <v>468</v>
      </c>
      <c r="G110" s="427" t="s">
        <v>1461</v>
      </c>
      <c r="H110" s="427" t="s">
        <v>8842</v>
      </c>
      <c r="I110" s="415" t="s">
        <v>310</v>
      </c>
      <c r="J110" s="654" t="str">
        <f t="shared" si="5"/>
        <v>Gastos_custeados_por_captação</v>
      </c>
      <c r="K110" s="655">
        <f>IF(B110="","",IF(YEAR(B110)='Diário 1º PA'!$Q$1,MONTH(B110)-'Diário 1º PA'!$P$1+1,(YEAR(B110)-'Diário 1º PA'!$Q$1)*12-'Diário 1º PA'!$P$1+1+MONTH(B110)))</f>
        <v>11</v>
      </c>
      <c r="L110" s="415" t="s">
        <v>404</v>
      </c>
    </row>
    <row r="111" spans="1:12" ht="60" x14ac:dyDescent="0.2">
      <c r="A111" s="722">
        <v>106</v>
      </c>
      <c r="B111" s="431">
        <v>44835</v>
      </c>
      <c r="C111" s="415" t="s">
        <v>468</v>
      </c>
      <c r="D111" s="415" t="s">
        <v>468</v>
      </c>
      <c r="E111" s="425">
        <v>852.5</v>
      </c>
      <c r="F111" s="419" t="s">
        <v>468</v>
      </c>
      <c r="G111" s="427" t="s">
        <v>1461</v>
      </c>
      <c r="H111" s="427" t="s">
        <v>8214</v>
      </c>
      <c r="I111" s="415" t="s">
        <v>310</v>
      </c>
      <c r="J111" s="654" t="str">
        <f t="shared" si="5"/>
        <v>Gastos_custeados_por_captação</v>
      </c>
      <c r="K111" s="655">
        <f>IF(B111="","",IF(YEAR(B111)='Diário 1º PA'!$Q$1,MONTH(B111)-'Diário 1º PA'!$P$1+1,(YEAR(B111)-'Diário 1º PA'!$Q$1)*12-'Diário 1º PA'!$P$1+1+MONTH(B111)))</f>
        <v>10</v>
      </c>
      <c r="L111" s="415" t="s">
        <v>405</v>
      </c>
    </row>
    <row r="112" spans="1:12" ht="60" x14ac:dyDescent="0.2">
      <c r="A112" s="722">
        <v>107</v>
      </c>
      <c r="B112" s="431">
        <v>44866</v>
      </c>
      <c r="C112" s="415" t="s">
        <v>468</v>
      </c>
      <c r="D112" s="415" t="s">
        <v>468</v>
      </c>
      <c r="E112" s="425">
        <v>137.5</v>
      </c>
      <c r="F112" s="419" t="s">
        <v>468</v>
      </c>
      <c r="G112" s="427" t="s">
        <v>764</v>
      </c>
      <c r="H112" s="427" t="s">
        <v>8792</v>
      </c>
      <c r="I112" s="415" t="s">
        <v>310</v>
      </c>
      <c r="J112" s="654" t="str">
        <f t="shared" si="5"/>
        <v>Gastos_custeados_por_captação</v>
      </c>
      <c r="K112" s="655">
        <f>IF(B112="","",IF(YEAR(B112)='Diário 1º PA'!$Q$1,MONTH(B112)-'Diário 1º PA'!$P$1+1,(YEAR(B112)-'Diário 1º PA'!$Q$1)*12-'Diário 1º PA'!$P$1+1+MONTH(B112)))</f>
        <v>11</v>
      </c>
      <c r="L112" s="415" t="s">
        <v>405</v>
      </c>
    </row>
    <row r="113" spans="1:12" ht="60" x14ac:dyDescent="0.2">
      <c r="A113" s="722">
        <v>108</v>
      </c>
      <c r="B113" s="431">
        <v>44866</v>
      </c>
      <c r="C113" s="415" t="s">
        <v>468</v>
      </c>
      <c r="D113" s="415" t="s">
        <v>468</v>
      </c>
      <c r="E113" s="425">
        <v>40.76</v>
      </c>
      <c r="F113" s="419" t="s">
        <v>468</v>
      </c>
      <c r="G113" s="427" t="s">
        <v>1461</v>
      </c>
      <c r="H113" s="427" t="s">
        <v>8793</v>
      </c>
      <c r="I113" s="415" t="s">
        <v>310</v>
      </c>
      <c r="J113" s="654" t="str">
        <f t="shared" si="5"/>
        <v>Gastos_custeados_por_captação</v>
      </c>
      <c r="K113" s="655">
        <f>IF(B113="","",IF(YEAR(B113)='Diário 1º PA'!$Q$1,MONTH(B113)-'Diário 1º PA'!$P$1+1,(YEAR(B113)-'Diário 1º PA'!$Q$1)*12-'Diário 1º PA'!$P$1+1+MONTH(B113)))</f>
        <v>11</v>
      </c>
      <c r="L113" s="415" t="s">
        <v>405</v>
      </c>
    </row>
    <row r="114" spans="1:12" ht="60" x14ac:dyDescent="0.2">
      <c r="A114" s="722">
        <v>109</v>
      </c>
      <c r="B114" s="431">
        <v>44866</v>
      </c>
      <c r="C114" s="415" t="s">
        <v>468</v>
      </c>
      <c r="D114" s="415" t="s">
        <v>468</v>
      </c>
      <c r="E114" s="425">
        <v>852.5</v>
      </c>
      <c r="F114" s="419" t="s">
        <v>468</v>
      </c>
      <c r="G114" s="427" t="s">
        <v>1461</v>
      </c>
      <c r="H114" s="427" t="s">
        <v>8794</v>
      </c>
      <c r="I114" s="415" t="s">
        <v>310</v>
      </c>
      <c r="J114" s="654" t="str">
        <f t="shared" si="5"/>
        <v>Gastos_custeados_por_captação</v>
      </c>
      <c r="K114" s="655">
        <f>IF(B114="","",IF(YEAR(B114)='Diário 1º PA'!$Q$1,MONTH(B114)-'Diário 1º PA'!$P$1+1,(YEAR(B114)-'Diário 1º PA'!$Q$1)*12-'Diário 1º PA'!$P$1+1+MONTH(B114)))</f>
        <v>11</v>
      </c>
      <c r="L114" s="415" t="s">
        <v>405</v>
      </c>
    </row>
    <row r="115" spans="1:12" ht="60" x14ac:dyDescent="0.2">
      <c r="A115" s="722">
        <v>110</v>
      </c>
      <c r="B115" s="431">
        <v>44896</v>
      </c>
      <c r="C115" s="415" t="s">
        <v>468</v>
      </c>
      <c r="D115" s="415" t="s">
        <v>468</v>
      </c>
      <c r="E115" s="425">
        <v>3300</v>
      </c>
      <c r="F115" s="419" t="s">
        <v>468</v>
      </c>
      <c r="G115" s="427" t="s">
        <v>6937</v>
      </c>
      <c r="H115" s="427" t="s">
        <v>6938</v>
      </c>
      <c r="I115" s="415" t="s">
        <v>3899</v>
      </c>
      <c r="J115" s="654" t="str">
        <f t="shared" si="5"/>
        <v>Gastos_custeados_por_captação</v>
      </c>
      <c r="K115" s="655">
        <f>IF(B115="","",IF(YEAR(B115)='Diário 1º PA'!$Q$1,MONTH(B115)-'Diário 1º PA'!$P$1+1,(YEAR(B115)-'Diário 1º PA'!$Q$1)*12-'Diário 1º PA'!$P$1+1+MONTH(B115)))</f>
        <v>12</v>
      </c>
      <c r="L115" s="415" t="s">
        <v>405</v>
      </c>
    </row>
    <row r="116" spans="1:12" ht="36" x14ac:dyDescent="0.2">
      <c r="A116" s="722">
        <v>111</v>
      </c>
      <c r="B116" s="431">
        <v>44866</v>
      </c>
      <c r="C116" s="415" t="s">
        <v>271</v>
      </c>
      <c r="D116" s="415" t="s">
        <v>90</v>
      </c>
      <c r="E116" s="425">
        <v>80.400000000000006</v>
      </c>
      <c r="F116" s="419" t="s">
        <v>758</v>
      </c>
      <c r="G116" s="427" t="s">
        <v>764</v>
      </c>
      <c r="H116" s="427" t="s">
        <v>8669</v>
      </c>
      <c r="I116" s="415" t="s">
        <v>310</v>
      </c>
      <c r="J116" s="654" t="str">
        <f t="shared" si="5"/>
        <v>Gastos_Gerais</v>
      </c>
      <c r="K116" s="655">
        <f>IF(B116="","",IF(YEAR(B116)='Diário 1º PA'!$Q$1,MONTH(B116)-'Diário 1º PA'!$P$1+1,(YEAR(B116)-'Diário 1º PA'!$Q$1)*12-'Diário 1º PA'!$P$1+1+MONTH(B116)))</f>
        <v>11</v>
      </c>
      <c r="L116" s="415" t="s">
        <v>400</v>
      </c>
    </row>
    <row r="117" spans="1:12" ht="60" x14ac:dyDescent="0.2">
      <c r="A117" s="722">
        <v>112</v>
      </c>
      <c r="B117" s="431">
        <v>44866</v>
      </c>
      <c r="C117" s="415" t="s">
        <v>468</v>
      </c>
      <c r="D117" s="415" t="s">
        <v>468</v>
      </c>
      <c r="E117" s="425">
        <v>90</v>
      </c>
      <c r="F117" s="419" t="s">
        <v>468</v>
      </c>
      <c r="G117" s="427" t="s">
        <v>764</v>
      </c>
      <c r="H117" s="427" t="s">
        <v>8907</v>
      </c>
      <c r="I117" s="415" t="s">
        <v>310</v>
      </c>
      <c r="J117" s="654" t="str">
        <f t="shared" si="5"/>
        <v>Gastos_custeados_por_captação</v>
      </c>
      <c r="K117" s="655">
        <f>IF(B117="","",IF(YEAR(B117)='Diário 1º PA'!$Q$1,MONTH(B117)-'Diário 1º PA'!$P$1+1,(YEAR(B117)-'Diário 1º PA'!$Q$1)*12-'Diário 1º PA'!$P$1+1+MONTH(B117)))</f>
        <v>11</v>
      </c>
      <c r="L117" s="415" t="s">
        <v>3762</v>
      </c>
    </row>
    <row r="118" spans="1:12" ht="60" x14ac:dyDescent="0.2">
      <c r="A118" s="722">
        <v>113</v>
      </c>
      <c r="B118" s="431">
        <v>44866</v>
      </c>
      <c r="C118" s="415" t="s">
        <v>468</v>
      </c>
      <c r="D118" s="415" t="s">
        <v>468</v>
      </c>
      <c r="E118" s="425">
        <v>57.45</v>
      </c>
      <c r="F118" s="419" t="s">
        <v>468</v>
      </c>
      <c r="G118" s="427" t="s">
        <v>1461</v>
      </c>
      <c r="H118" s="427" t="s">
        <v>8908</v>
      </c>
      <c r="I118" s="415" t="s">
        <v>310</v>
      </c>
      <c r="J118" s="654" t="str">
        <f t="shared" si="5"/>
        <v>Gastos_custeados_por_captação</v>
      </c>
      <c r="K118" s="655">
        <f>IF(B118="","",IF(YEAR(B118)='Diário 1º PA'!$Q$1,MONTH(B118)-'Diário 1º PA'!$P$1+1,(YEAR(B118)-'Diário 1º PA'!$Q$1)*12-'Diário 1º PA'!$P$1+1+MONTH(B118)))</f>
        <v>11</v>
      </c>
      <c r="L118" s="415" t="s">
        <v>3762</v>
      </c>
    </row>
    <row r="119" spans="1:12" ht="60" x14ac:dyDescent="0.2">
      <c r="A119" s="722">
        <v>114</v>
      </c>
      <c r="B119" s="431">
        <v>44866</v>
      </c>
      <c r="C119" s="415" t="s">
        <v>468</v>
      </c>
      <c r="D119" s="415" t="s">
        <v>468</v>
      </c>
      <c r="E119" s="425">
        <v>930</v>
      </c>
      <c r="F119" s="419" t="s">
        <v>468</v>
      </c>
      <c r="G119" s="427" t="s">
        <v>1461</v>
      </c>
      <c r="H119" s="427" t="s">
        <v>8909</v>
      </c>
      <c r="I119" s="415" t="s">
        <v>310</v>
      </c>
      <c r="J119" s="654" t="str">
        <f t="shared" si="5"/>
        <v>Gastos_custeados_por_captação</v>
      </c>
      <c r="K119" s="655">
        <f>IF(B119="","",IF(YEAR(B119)='Diário 1º PA'!$Q$1,MONTH(B119)-'Diário 1º PA'!$P$1+1,(YEAR(B119)-'Diário 1º PA'!$Q$1)*12-'Diário 1º PA'!$P$1+1+MONTH(B119)))</f>
        <v>11</v>
      </c>
      <c r="L119" s="415" t="s">
        <v>3762</v>
      </c>
    </row>
    <row r="120" spans="1:12" ht="60" x14ac:dyDescent="0.2">
      <c r="A120" s="722">
        <v>115</v>
      </c>
      <c r="B120" s="431">
        <v>44896</v>
      </c>
      <c r="C120" s="415" t="s">
        <v>468</v>
      </c>
      <c r="D120" s="415" t="s">
        <v>468</v>
      </c>
      <c r="E120" s="425">
        <v>3600</v>
      </c>
      <c r="F120" s="419" t="s">
        <v>468</v>
      </c>
      <c r="G120" s="427" t="s">
        <v>6940</v>
      </c>
      <c r="H120" s="427" t="s">
        <v>6835</v>
      </c>
      <c r="I120" s="415" t="s">
        <v>6941</v>
      </c>
      <c r="J120" s="654" t="str">
        <f t="shared" si="5"/>
        <v>Gastos_custeados_por_captação</v>
      </c>
      <c r="K120" s="655">
        <f>IF(B120="","",IF(YEAR(B120)='Diário 1º PA'!$Q$1,MONTH(B120)-'Diário 1º PA'!$P$1+1,(YEAR(B120)-'Diário 1º PA'!$Q$1)*12-'Diário 1º PA'!$P$1+1+MONTH(B120)))</f>
        <v>12</v>
      </c>
      <c r="L120" s="415" t="s">
        <v>3762</v>
      </c>
    </row>
    <row r="121" spans="1:12" ht="48" x14ac:dyDescent="0.2">
      <c r="A121" s="722">
        <v>116</v>
      </c>
      <c r="B121" s="431">
        <v>44896</v>
      </c>
      <c r="C121" s="415" t="s">
        <v>271</v>
      </c>
      <c r="D121" s="415" t="s">
        <v>90</v>
      </c>
      <c r="E121" s="425">
        <v>2000</v>
      </c>
      <c r="F121" s="419" t="s">
        <v>760</v>
      </c>
      <c r="G121" s="427" t="s">
        <v>6965</v>
      </c>
      <c r="H121" s="427" t="s">
        <v>6966</v>
      </c>
      <c r="I121" s="415" t="s">
        <v>1655</v>
      </c>
      <c r="J121" s="654" t="str">
        <f t="shared" si="5"/>
        <v>Gastos_Gerais</v>
      </c>
      <c r="K121" s="655">
        <f>IF(B121="","",IF(YEAR(B121)='Diário 1º PA'!$Q$1,MONTH(B121)-'Diário 1º PA'!$P$1+1,(YEAR(B121)-'Diário 1º PA'!$Q$1)*12-'Diário 1º PA'!$P$1+1+MONTH(B121)))</f>
        <v>12</v>
      </c>
      <c r="L121" s="415" t="s">
        <v>400</v>
      </c>
    </row>
    <row r="122" spans="1:12" ht="60" x14ac:dyDescent="0.2">
      <c r="A122" s="722">
        <v>117</v>
      </c>
      <c r="B122" s="431">
        <v>44805</v>
      </c>
      <c r="C122" s="415" t="s">
        <v>468</v>
      </c>
      <c r="D122" s="415" t="s">
        <v>468</v>
      </c>
      <c r="E122" s="425">
        <v>2400</v>
      </c>
      <c r="F122" s="419" t="s">
        <v>468</v>
      </c>
      <c r="G122" s="427" t="s">
        <v>6993</v>
      </c>
      <c r="H122" s="427" t="s">
        <v>6994</v>
      </c>
      <c r="I122" s="415" t="s">
        <v>6995</v>
      </c>
      <c r="J122" s="654" t="str">
        <f t="shared" si="5"/>
        <v>Gastos_custeados_por_captação</v>
      </c>
      <c r="K122" s="655">
        <f>IF(B122="","",IF(YEAR(B122)='Diário 1º PA'!$Q$1,MONTH(B122)-'Diário 1º PA'!$P$1+1,(YEAR(B122)-'Diário 1º PA'!$Q$1)*12-'Diário 1º PA'!$P$1+1+MONTH(B122)))</f>
        <v>9</v>
      </c>
      <c r="L122" s="415" t="s">
        <v>404</v>
      </c>
    </row>
    <row r="123" spans="1:12" ht="24" x14ac:dyDescent="0.2">
      <c r="A123" s="722">
        <v>118</v>
      </c>
      <c r="B123" s="431">
        <v>44866</v>
      </c>
      <c r="C123" s="415" t="s">
        <v>271</v>
      </c>
      <c r="D123" s="415" t="s">
        <v>90</v>
      </c>
      <c r="E123" s="425">
        <v>57.45</v>
      </c>
      <c r="F123" s="419" t="s">
        <v>793</v>
      </c>
      <c r="G123" s="427" t="s">
        <v>1461</v>
      </c>
      <c r="H123" s="427" t="s">
        <v>8730</v>
      </c>
      <c r="I123" s="415" t="s">
        <v>310</v>
      </c>
      <c r="J123" s="654" t="str">
        <f t="shared" si="5"/>
        <v>Gastos_Gerais</v>
      </c>
      <c r="K123" s="655">
        <f>IF(B123="","",IF(YEAR(B123)='Diário 1º PA'!$Q$1,MONTH(B123)-'Diário 1º PA'!$P$1+1,(YEAR(B123)-'Diário 1º PA'!$Q$1)*12-'Diário 1º PA'!$P$1+1+MONTH(B123)))</f>
        <v>11</v>
      </c>
      <c r="L123" s="415" t="s">
        <v>400</v>
      </c>
    </row>
    <row r="124" spans="1:12" ht="24" x14ac:dyDescent="0.2">
      <c r="A124" s="722">
        <v>119</v>
      </c>
      <c r="B124" s="431">
        <v>44866</v>
      </c>
      <c r="C124" s="415" t="s">
        <v>271</v>
      </c>
      <c r="D124" s="415" t="s">
        <v>90</v>
      </c>
      <c r="E124" s="425">
        <v>75</v>
      </c>
      <c r="F124" s="419" t="s">
        <v>793</v>
      </c>
      <c r="G124" s="427" t="s">
        <v>764</v>
      </c>
      <c r="H124" s="427" t="s">
        <v>8731</v>
      </c>
      <c r="I124" s="415" t="s">
        <v>310</v>
      </c>
      <c r="J124" s="654" t="str">
        <f t="shared" si="5"/>
        <v>Gastos_Gerais</v>
      </c>
      <c r="K124" s="655">
        <f>IF(B124="","",IF(YEAR(B124)='Diário 1º PA'!$Q$1,MONTH(B124)-'Diário 1º PA'!$P$1+1,(YEAR(B124)-'Diário 1º PA'!$Q$1)*12-'Diário 1º PA'!$P$1+1+MONTH(B124)))</f>
        <v>11</v>
      </c>
      <c r="L124" s="415" t="s">
        <v>400</v>
      </c>
    </row>
    <row r="125" spans="1:12" ht="24" x14ac:dyDescent="0.2">
      <c r="A125" s="722">
        <v>120</v>
      </c>
      <c r="B125" s="431">
        <v>44866</v>
      </c>
      <c r="C125" s="415" t="s">
        <v>271</v>
      </c>
      <c r="D125" s="415" t="s">
        <v>90</v>
      </c>
      <c r="E125" s="425">
        <v>930</v>
      </c>
      <c r="F125" s="419" t="s">
        <v>793</v>
      </c>
      <c r="G125" s="427" t="s">
        <v>1461</v>
      </c>
      <c r="H125" s="427" t="s">
        <v>8732</v>
      </c>
      <c r="I125" s="415" t="s">
        <v>310</v>
      </c>
      <c r="J125" s="654" t="str">
        <f t="shared" si="5"/>
        <v>Gastos_Gerais</v>
      </c>
      <c r="K125" s="655">
        <f>IF(B125="","",IF(YEAR(B125)='Diário 1º PA'!$Q$1,MONTH(B125)-'Diário 1º PA'!$P$1+1,(YEAR(B125)-'Diário 1º PA'!$Q$1)*12-'Diário 1º PA'!$P$1+1+MONTH(B125)))</f>
        <v>11</v>
      </c>
      <c r="L125" s="415" t="s">
        <v>400</v>
      </c>
    </row>
    <row r="126" spans="1:12" ht="96" x14ac:dyDescent="0.2">
      <c r="A126" s="722">
        <v>121</v>
      </c>
      <c r="B126" s="431">
        <v>44896</v>
      </c>
      <c r="C126" s="415" t="s">
        <v>271</v>
      </c>
      <c r="D126" s="415" t="s">
        <v>90</v>
      </c>
      <c r="E126" s="425">
        <v>3600</v>
      </c>
      <c r="F126" s="419" t="s">
        <v>793</v>
      </c>
      <c r="G126" s="427" t="s">
        <v>7087</v>
      </c>
      <c r="H126" s="427" t="s">
        <v>4128</v>
      </c>
      <c r="I126" s="415" t="s">
        <v>4127</v>
      </c>
      <c r="J126" s="654" t="str">
        <f t="shared" si="5"/>
        <v>Gastos_Gerais</v>
      </c>
      <c r="K126" s="655">
        <f>IF(B126="","",IF(YEAR(B126)='Diário 1º PA'!$Q$1,MONTH(B126)-'Diário 1º PA'!$P$1+1,(YEAR(B126)-'Diário 1º PA'!$Q$1)*12-'Diário 1º PA'!$P$1+1+MONTH(B126)))</f>
        <v>12</v>
      </c>
      <c r="L126" s="415" t="s">
        <v>400</v>
      </c>
    </row>
    <row r="127" spans="1:12" ht="36" x14ac:dyDescent="0.2">
      <c r="A127" s="722">
        <v>122</v>
      </c>
      <c r="B127" s="431">
        <v>44866</v>
      </c>
      <c r="C127" s="415" t="s">
        <v>271</v>
      </c>
      <c r="D127" s="415" t="s">
        <v>456</v>
      </c>
      <c r="E127" s="425">
        <v>43.88</v>
      </c>
      <c r="F127" s="419" t="s">
        <v>755</v>
      </c>
      <c r="G127" s="427" t="s">
        <v>764</v>
      </c>
      <c r="H127" s="427" t="s">
        <v>8887</v>
      </c>
      <c r="I127" s="415" t="s">
        <v>310</v>
      </c>
      <c r="J127" s="654" t="str">
        <f t="shared" si="5"/>
        <v>Gastos_Gerais</v>
      </c>
      <c r="K127" s="655">
        <f>IF(B127="","",IF(YEAR(B127)='Diário 1º PA'!$Q$1,MONTH(B127)-'Diário 1º PA'!$P$1+1,(YEAR(B127)-'Diário 1º PA'!$Q$1)*12-'Diário 1º PA'!$P$1+1+MONTH(B127)))</f>
        <v>11</v>
      </c>
      <c r="L127" s="415" t="s">
        <v>400</v>
      </c>
    </row>
    <row r="128" spans="1:12" ht="72" x14ac:dyDescent="0.2">
      <c r="A128" s="722">
        <v>123</v>
      </c>
      <c r="B128" s="431">
        <v>44896</v>
      </c>
      <c r="C128" s="415" t="s">
        <v>271</v>
      </c>
      <c r="D128" s="415" t="s">
        <v>456</v>
      </c>
      <c r="E128" s="425">
        <v>1521</v>
      </c>
      <c r="F128" s="419" t="s">
        <v>755</v>
      </c>
      <c r="G128" s="427" t="s">
        <v>7092</v>
      </c>
      <c r="H128" s="427" t="s">
        <v>552</v>
      </c>
      <c r="I128" s="415" t="s">
        <v>1044</v>
      </c>
      <c r="J128" s="654" t="str">
        <f t="shared" si="5"/>
        <v>Gastos_Gerais</v>
      </c>
      <c r="K128" s="655">
        <f>IF(B128="","",IF(YEAR(B128)='Diário 1º PA'!$Q$1,MONTH(B128)-'Diário 1º PA'!$P$1+1,(YEAR(B128)-'Diário 1º PA'!$Q$1)*12-'Diário 1º PA'!$P$1+1+MONTH(B128)))</f>
        <v>12</v>
      </c>
      <c r="L128" s="415" t="s">
        <v>400</v>
      </c>
    </row>
    <row r="129" spans="1:12" ht="60" x14ac:dyDescent="0.2">
      <c r="A129" s="722">
        <v>124</v>
      </c>
      <c r="B129" s="431">
        <v>44866</v>
      </c>
      <c r="C129" s="415" t="s">
        <v>468</v>
      </c>
      <c r="D129" s="415" t="s">
        <v>468</v>
      </c>
      <c r="E129" s="425">
        <v>150</v>
      </c>
      <c r="F129" s="419" t="s">
        <v>468</v>
      </c>
      <c r="G129" s="427" t="s">
        <v>764</v>
      </c>
      <c r="H129" s="427" t="s">
        <v>8915</v>
      </c>
      <c r="I129" s="415" t="s">
        <v>310</v>
      </c>
      <c r="J129" s="654" t="str">
        <f t="shared" si="5"/>
        <v>Gastos_custeados_por_captação</v>
      </c>
      <c r="K129" s="655">
        <f>IF(B129="","",IF(YEAR(B129)='Diário 1º PA'!$Q$1,MONTH(B129)-'Diário 1º PA'!$P$1+1,(YEAR(B129)-'Diário 1º PA'!$Q$1)*12-'Diário 1º PA'!$P$1+1+MONTH(B129)))</f>
        <v>11</v>
      </c>
      <c r="L129" s="415" t="s">
        <v>3762</v>
      </c>
    </row>
    <row r="130" spans="1:12" ht="60" x14ac:dyDescent="0.2">
      <c r="A130" s="722">
        <v>125</v>
      </c>
      <c r="B130" s="431">
        <v>44866</v>
      </c>
      <c r="C130" s="415" t="s">
        <v>468</v>
      </c>
      <c r="D130" s="415" t="s">
        <v>468</v>
      </c>
      <c r="E130" s="425">
        <v>57.45</v>
      </c>
      <c r="F130" s="419" t="s">
        <v>468</v>
      </c>
      <c r="G130" s="427" t="s">
        <v>1461</v>
      </c>
      <c r="H130" s="427" t="s">
        <v>8916</v>
      </c>
      <c r="I130" s="415" t="s">
        <v>310</v>
      </c>
      <c r="J130" s="654" t="str">
        <f t="shared" si="5"/>
        <v>Gastos_custeados_por_captação</v>
      </c>
      <c r="K130" s="655">
        <f>IF(B130="","",IF(YEAR(B130)='Diário 1º PA'!$Q$1,MONTH(B130)-'Diário 1º PA'!$P$1+1,(YEAR(B130)-'Diário 1º PA'!$Q$1)*12-'Diário 1º PA'!$P$1+1+MONTH(B130)))</f>
        <v>11</v>
      </c>
      <c r="L130" s="415" t="s">
        <v>3762</v>
      </c>
    </row>
    <row r="131" spans="1:12" ht="60" x14ac:dyDescent="0.2">
      <c r="A131" s="722">
        <v>126</v>
      </c>
      <c r="B131" s="431">
        <v>44866</v>
      </c>
      <c r="C131" s="415" t="s">
        <v>468</v>
      </c>
      <c r="D131" s="415" t="s">
        <v>468</v>
      </c>
      <c r="E131" s="425">
        <v>930</v>
      </c>
      <c r="F131" s="419" t="s">
        <v>468</v>
      </c>
      <c r="G131" s="427" t="s">
        <v>1461</v>
      </c>
      <c r="H131" s="427" t="s">
        <v>8917</v>
      </c>
      <c r="I131" s="415" t="s">
        <v>310</v>
      </c>
      <c r="J131" s="654" t="str">
        <f t="shared" si="5"/>
        <v>Gastos_custeados_por_captação</v>
      </c>
      <c r="K131" s="655">
        <f>IF(B131="","",IF(YEAR(B131)='Diário 1º PA'!$Q$1,MONTH(B131)-'Diário 1º PA'!$P$1+1,(YEAR(B131)-'Diário 1º PA'!$Q$1)*12-'Diário 1º PA'!$P$1+1+MONTH(B131)))</f>
        <v>11</v>
      </c>
      <c r="L131" s="415" t="s">
        <v>3762</v>
      </c>
    </row>
    <row r="132" spans="1:12" ht="60" x14ac:dyDescent="0.2">
      <c r="A132" s="722">
        <v>127</v>
      </c>
      <c r="B132" s="431">
        <v>44896</v>
      </c>
      <c r="C132" s="415" t="s">
        <v>468</v>
      </c>
      <c r="D132" s="415" t="s">
        <v>468</v>
      </c>
      <c r="E132" s="425">
        <v>3600</v>
      </c>
      <c r="F132" s="419" t="s">
        <v>468</v>
      </c>
      <c r="G132" s="427" t="s">
        <v>7109</v>
      </c>
      <c r="H132" s="427" t="s">
        <v>7110</v>
      </c>
      <c r="I132" s="415" t="s">
        <v>1109</v>
      </c>
      <c r="J132" s="654" t="str">
        <f t="shared" si="5"/>
        <v>Gastos_custeados_por_captação</v>
      </c>
      <c r="K132" s="655">
        <f>IF(B132="","",IF(YEAR(B132)='Diário 1º PA'!$Q$1,MONTH(B132)-'Diário 1º PA'!$P$1+1,(YEAR(B132)-'Diário 1º PA'!$Q$1)*12-'Diário 1º PA'!$P$1+1+MONTH(B132)))</f>
        <v>12</v>
      </c>
      <c r="L132" s="415" t="s">
        <v>3762</v>
      </c>
    </row>
    <row r="133" spans="1:12" ht="60" x14ac:dyDescent="0.2">
      <c r="A133" s="722">
        <v>128</v>
      </c>
      <c r="B133" s="431">
        <v>44866</v>
      </c>
      <c r="C133" s="415" t="s">
        <v>468</v>
      </c>
      <c r="D133" s="415" t="s">
        <v>468</v>
      </c>
      <c r="E133" s="425">
        <v>100</v>
      </c>
      <c r="F133" s="419" t="s">
        <v>468</v>
      </c>
      <c r="G133" s="427" t="s">
        <v>764</v>
      </c>
      <c r="H133" s="427" t="s">
        <v>8913</v>
      </c>
      <c r="I133" s="415" t="s">
        <v>310</v>
      </c>
      <c r="J133" s="654" t="str">
        <f t="shared" si="5"/>
        <v>Gastos_custeados_por_captação</v>
      </c>
      <c r="K133" s="655">
        <f>IF(B133="","",IF(YEAR(B133)='Diário 1º PA'!$Q$1,MONTH(B133)-'Diário 1º PA'!$P$1+1,(YEAR(B133)-'Diário 1º PA'!$Q$1)*12-'Diário 1º PA'!$P$1+1+MONTH(B133)))</f>
        <v>11</v>
      </c>
      <c r="L133" s="415" t="s">
        <v>3762</v>
      </c>
    </row>
    <row r="134" spans="1:12" ht="60" x14ac:dyDescent="0.2">
      <c r="A134" s="722">
        <v>129</v>
      </c>
      <c r="B134" s="431">
        <v>44866</v>
      </c>
      <c r="C134" s="415" t="s">
        <v>468</v>
      </c>
      <c r="D134" s="415" t="s">
        <v>468</v>
      </c>
      <c r="E134" s="425">
        <v>620</v>
      </c>
      <c r="F134" s="419" t="s">
        <v>468</v>
      </c>
      <c r="G134" s="427" t="s">
        <v>1461</v>
      </c>
      <c r="H134" s="427" t="s">
        <v>8914</v>
      </c>
      <c r="I134" s="415" t="s">
        <v>310</v>
      </c>
      <c r="J134" s="654" t="str">
        <f t="shared" si="5"/>
        <v>Gastos_custeados_por_captação</v>
      </c>
      <c r="K134" s="655">
        <f>IF(B134="","",IF(YEAR(B134)='Diário 1º PA'!$Q$1,MONTH(B134)-'Diário 1º PA'!$P$1+1,(YEAR(B134)-'Diário 1º PA'!$Q$1)*12-'Diário 1º PA'!$P$1+1+MONTH(B134)))</f>
        <v>11</v>
      </c>
      <c r="L134" s="415" t="s">
        <v>3762</v>
      </c>
    </row>
    <row r="135" spans="1:12" ht="60" x14ac:dyDescent="0.2">
      <c r="A135" s="722">
        <v>130</v>
      </c>
      <c r="B135" s="431">
        <v>44896</v>
      </c>
      <c r="C135" s="415" t="s">
        <v>468</v>
      </c>
      <c r="D135" s="415" t="s">
        <v>468</v>
      </c>
      <c r="E135" s="425">
        <v>2400</v>
      </c>
      <c r="F135" s="419" t="s">
        <v>468</v>
      </c>
      <c r="G135" s="427" t="s">
        <v>7113</v>
      </c>
      <c r="H135" s="427" t="s">
        <v>7114</v>
      </c>
      <c r="I135" s="415" t="s">
        <v>1990</v>
      </c>
      <c r="J135" s="654" t="str">
        <f t="shared" si="5"/>
        <v>Gastos_custeados_por_captação</v>
      </c>
      <c r="K135" s="655">
        <f>IF(B135="","",IF(YEAR(B135)='Diário 1º PA'!$Q$1,MONTH(B135)-'Diário 1º PA'!$P$1+1,(YEAR(B135)-'Diário 1º PA'!$Q$1)*12-'Diário 1º PA'!$P$1+1+MONTH(B135)))</f>
        <v>12</v>
      </c>
      <c r="L135" s="415" t="s">
        <v>3762</v>
      </c>
    </row>
    <row r="136" spans="1:12" ht="72" x14ac:dyDescent="0.2">
      <c r="A136" s="722">
        <v>131</v>
      </c>
      <c r="B136" s="431">
        <v>44805</v>
      </c>
      <c r="C136" s="415" t="s">
        <v>271</v>
      </c>
      <c r="D136" s="415" t="s">
        <v>449</v>
      </c>
      <c r="E136" s="425">
        <v>3000</v>
      </c>
      <c r="F136" s="419" t="s">
        <v>756</v>
      </c>
      <c r="G136" s="427" t="s">
        <v>7115</v>
      </c>
      <c r="H136" s="427" t="s">
        <v>7117</v>
      </c>
      <c r="I136" s="415" t="s">
        <v>7116</v>
      </c>
      <c r="J136" s="654" t="str">
        <f t="shared" si="5"/>
        <v>Gastos_Gerais</v>
      </c>
      <c r="K136" s="655">
        <f>IF(B136="","",IF(YEAR(B136)='Diário 1º PA'!$Q$1,MONTH(B136)-'Diário 1º PA'!$P$1+1,(YEAR(B136)-'Diário 1º PA'!$Q$1)*12-'Diário 1º PA'!$P$1+1+MONTH(B136)))</f>
        <v>9</v>
      </c>
      <c r="L136" s="415" t="s">
        <v>400</v>
      </c>
    </row>
    <row r="137" spans="1:12" ht="60" x14ac:dyDescent="0.2">
      <c r="A137" s="722">
        <v>132</v>
      </c>
      <c r="B137" s="431">
        <v>44866</v>
      </c>
      <c r="C137" s="415" t="s">
        <v>468</v>
      </c>
      <c r="D137" s="415" t="s">
        <v>468</v>
      </c>
      <c r="E137" s="425">
        <v>100</v>
      </c>
      <c r="F137" s="419" t="s">
        <v>468</v>
      </c>
      <c r="G137" s="427" t="s">
        <v>764</v>
      </c>
      <c r="H137" s="427" t="s">
        <v>8905</v>
      </c>
      <c r="I137" s="415" t="s">
        <v>310</v>
      </c>
      <c r="J137" s="654" t="str">
        <f t="shared" si="5"/>
        <v>Gastos_custeados_por_captação</v>
      </c>
      <c r="K137" s="655">
        <f>IF(B137="","",IF(YEAR(B137)='Diário 1º PA'!$Q$1,MONTH(B137)-'Diário 1º PA'!$P$1+1,(YEAR(B137)-'Diário 1º PA'!$Q$1)*12-'Diário 1º PA'!$P$1+1+MONTH(B137)))</f>
        <v>11</v>
      </c>
      <c r="L137" s="415" t="s">
        <v>3762</v>
      </c>
    </row>
    <row r="138" spans="1:12" ht="60" x14ac:dyDescent="0.2">
      <c r="A138" s="722">
        <v>133</v>
      </c>
      <c r="B138" s="431">
        <v>44866</v>
      </c>
      <c r="C138" s="415" t="s">
        <v>468</v>
      </c>
      <c r="D138" s="415" t="s">
        <v>468</v>
      </c>
      <c r="E138" s="425">
        <v>620</v>
      </c>
      <c r="F138" s="419" t="s">
        <v>468</v>
      </c>
      <c r="G138" s="427" t="s">
        <v>1461</v>
      </c>
      <c r="H138" s="427" t="s">
        <v>8906</v>
      </c>
      <c r="I138" s="415" t="s">
        <v>310</v>
      </c>
      <c r="J138" s="654" t="str">
        <f t="shared" si="5"/>
        <v>Gastos_custeados_por_captação</v>
      </c>
      <c r="K138" s="655">
        <f>IF(B138="","",IF(YEAR(B138)='Diário 1º PA'!$Q$1,MONTH(B138)-'Diário 1º PA'!$P$1+1,(YEAR(B138)-'Diário 1º PA'!$Q$1)*12-'Diário 1º PA'!$P$1+1+MONTH(B138)))</f>
        <v>11</v>
      </c>
      <c r="L138" s="415" t="s">
        <v>3762</v>
      </c>
    </row>
    <row r="139" spans="1:12" ht="60" x14ac:dyDescent="0.2">
      <c r="A139" s="722">
        <v>134</v>
      </c>
      <c r="B139" s="431">
        <v>44896</v>
      </c>
      <c r="C139" s="415" t="s">
        <v>468</v>
      </c>
      <c r="D139" s="415" t="s">
        <v>468</v>
      </c>
      <c r="E139" s="425">
        <v>2400</v>
      </c>
      <c r="F139" s="419" t="s">
        <v>468</v>
      </c>
      <c r="G139" s="427" t="s">
        <v>7118</v>
      </c>
      <c r="H139" s="427" t="s">
        <v>7119</v>
      </c>
      <c r="I139" s="415" t="s">
        <v>1989</v>
      </c>
      <c r="J139" s="654" t="str">
        <f t="shared" si="5"/>
        <v>Gastos_custeados_por_captação</v>
      </c>
      <c r="K139" s="655">
        <f>IF(B139="","",IF(YEAR(B139)='Diário 1º PA'!$Q$1,MONTH(B139)-'Diário 1º PA'!$P$1+1,(YEAR(B139)-'Diário 1º PA'!$Q$1)*12-'Diário 1º PA'!$P$1+1+MONTH(B139)))</f>
        <v>12</v>
      </c>
      <c r="L139" s="415" t="s">
        <v>3762</v>
      </c>
    </row>
    <row r="140" spans="1:12" ht="60" x14ac:dyDescent="0.2">
      <c r="A140" s="722">
        <v>135</v>
      </c>
      <c r="B140" s="431">
        <v>44866</v>
      </c>
      <c r="C140" s="415" t="s">
        <v>468</v>
      </c>
      <c r="D140" s="415" t="s">
        <v>468</v>
      </c>
      <c r="E140" s="425">
        <v>100</v>
      </c>
      <c r="F140" s="419" t="s">
        <v>468</v>
      </c>
      <c r="G140" s="427" t="s">
        <v>764</v>
      </c>
      <c r="H140" s="427" t="s">
        <v>8904</v>
      </c>
      <c r="I140" s="415" t="s">
        <v>310</v>
      </c>
      <c r="J140" s="654" t="str">
        <f t="shared" si="5"/>
        <v>Gastos_custeados_por_captação</v>
      </c>
      <c r="K140" s="655">
        <f>IF(B140="","",IF(YEAR(B140)='Diário 1º PA'!$Q$1,MONTH(B140)-'Diário 1º PA'!$P$1+1,(YEAR(B140)-'Diário 1º PA'!$Q$1)*12-'Diário 1º PA'!$P$1+1+MONTH(B140)))</f>
        <v>11</v>
      </c>
      <c r="L140" s="415" t="s">
        <v>3762</v>
      </c>
    </row>
    <row r="141" spans="1:12" ht="60" x14ac:dyDescent="0.2">
      <c r="A141" s="722">
        <v>136</v>
      </c>
      <c r="B141" s="431">
        <v>44866</v>
      </c>
      <c r="C141" s="415" t="s">
        <v>468</v>
      </c>
      <c r="D141" s="415" t="s">
        <v>468</v>
      </c>
      <c r="E141" s="425">
        <v>620</v>
      </c>
      <c r="F141" s="419" t="s">
        <v>468</v>
      </c>
      <c r="G141" s="427" t="s">
        <v>1461</v>
      </c>
      <c r="H141" s="427" t="s">
        <v>8904</v>
      </c>
      <c r="I141" s="415" t="s">
        <v>310</v>
      </c>
      <c r="J141" s="654" t="str">
        <f t="shared" si="5"/>
        <v>Gastos_custeados_por_captação</v>
      </c>
      <c r="K141" s="655">
        <f>IF(B141="","",IF(YEAR(B141)='Diário 1º PA'!$Q$1,MONTH(B141)-'Diário 1º PA'!$P$1+1,(YEAR(B141)-'Diário 1º PA'!$Q$1)*12-'Diário 1º PA'!$P$1+1+MONTH(B141)))</f>
        <v>11</v>
      </c>
      <c r="L141" s="415" t="s">
        <v>3762</v>
      </c>
    </row>
    <row r="142" spans="1:12" ht="60" x14ac:dyDescent="0.2">
      <c r="A142" s="722">
        <v>137</v>
      </c>
      <c r="B142" s="431">
        <v>44896</v>
      </c>
      <c r="C142" s="415" t="s">
        <v>468</v>
      </c>
      <c r="D142" s="415" t="s">
        <v>468</v>
      </c>
      <c r="E142" s="425">
        <v>2400</v>
      </c>
      <c r="F142" s="419" t="s">
        <v>468</v>
      </c>
      <c r="G142" s="427" t="s">
        <v>7120</v>
      </c>
      <c r="H142" s="427" t="s">
        <v>7121</v>
      </c>
      <c r="I142" s="415" t="s">
        <v>1991</v>
      </c>
      <c r="J142" s="654" t="str">
        <f t="shared" si="5"/>
        <v>Gastos_custeados_por_captação</v>
      </c>
      <c r="K142" s="655">
        <f>IF(B142="","",IF(YEAR(B142)='Diário 1º PA'!$Q$1,MONTH(B142)-'Diário 1º PA'!$P$1+1,(YEAR(B142)-'Diário 1º PA'!$Q$1)*12-'Diário 1º PA'!$P$1+1+MONTH(B142)))</f>
        <v>12</v>
      </c>
      <c r="L142" s="415" t="s">
        <v>3762</v>
      </c>
    </row>
    <row r="143" spans="1:12" ht="60" x14ac:dyDescent="0.2">
      <c r="A143" s="722">
        <v>138</v>
      </c>
      <c r="B143" s="431">
        <v>44866</v>
      </c>
      <c r="C143" s="415" t="s">
        <v>468</v>
      </c>
      <c r="D143" s="415" t="s">
        <v>468</v>
      </c>
      <c r="E143" s="425">
        <v>150</v>
      </c>
      <c r="F143" s="419" t="s">
        <v>468</v>
      </c>
      <c r="G143" s="427" t="s">
        <v>764</v>
      </c>
      <c r="H143" s="427" t="s">
        <v>8901</v>
      </c>
      <c r="I143" s="415" t="s">
        <v>310</v>
      </c>
      <c r="J143" s="654" t="str">
        <f t="shared" si="5"/>
        <v>Gastos_custeados_por_captação</v>
      </c>
      <c r="K143" s="655">
        <f>IF(B143="","",IF(YEAR(B143)='Diário 1º PA'!$Q$1,MONTH(B143)-'Diário 1º PA'!$P$1+1,(YEAR(B143)-'Diário 1º PA'!$Q$1)*12-'Diário 1º PA'!$P$1+1+MONTH(B143)))</f>
        <v>11</v>
      </c>
      <c r="L143" s="415" t="s">
        <v>3762</v>
      </c>
    </row>
    <row r="144" spans="1:12" ht="60" x14ac:dyDescent="0.2">
      <c r="A144" s="722">
        <v>139</v>
      </c>
      <c r="B144" s="431">
        <v>44866</v>
      </c>
      <c r="C144" s="415" t="s">
        <v>468</v>
      </c>
      <c r="D144" s="415" t="s">
        <v>468</v>
      </c>
      <c r="E144" s="425">
        <v>57.45</v>
      </c>
      <c r="F144" s="419" t="s">
        <v>468</v>
      </c>
      <c r="G144" s="427" t="s">
        <v>1461</v>
      </c>
      <c r="H144" s="427" t="s">
        <v>8902</v>
      </c>
      <c r="I144" s="415" t="s">
        <v>310</v>
      </c>
      <c r="J144" s="654" t="str">
        <f t="shared" si="5"/>
        <v>Gastos_custeados_por_captação</v>
      </c>
      <c r="K144" s="655">
        <f>IF(B144="","",IF(YEAR(B144)='Diário 1º PA'!$Q$1,MONTH(B144)-'Diário 1º PA'!$P$1+1,(YEAR(B144)-'Diário 1º PA'!$Q$1)*12-'Diário 1º PA'!$P$1+1+MONTH(B144)))</f>
        <v>11</v>
      </c>
      <c r="L144" s="415" t="s">
        <v>3762</v>
      </c>
    </row>
    <row r="145" spans="1:12" ht="60" x14ac:dyDescent="0.2">
      <c r="A145" s="722">
        <v>140</v>
      </c>
      <c r="B145" s="431">
        <v>44866</v>
      </c>
      <c r="C145" s="415" t="s">
        <v>468</v>
      </c>
      <c r="D145" s="415" t="s">
        <v>468</v>
      </c>
      <c r="E145" s="425">
        <v>930</v>
      </c>
      <c r="F145" s="419" t="s">
        <v>468</v>
      </c>
      <c r="G145" s="427" t="s">
        <v>1461</v>
      </c>
      <c r="H145" s="427" t="s">
        <v>8903</v>
      </c>
      <c r="I145" s="415" t="s">
        <v>310</v>
      </c>
      <c r="J145" s="654" t="str">
        <f t="shared" si="5"/>
        <v>Gastos_custeados_por_captação</v>
      </c>
      <c r="K145" s="655">
        <f>IF(B145="","",IF(YEAR(B145)='Diário 1º PA'!$Q$1,MONTH(B145)-'Diário 1º PA'!$P$1+1,(YEAR(B145)-'Diário 1º PA'!$Q$1)*12-'Diário 1º PA'!$P$1+1+MONTH(B145)))</f>
        <v>11</v>
      </c>
      <c r="L145" s="415" t="s">
        <v>3762</v>
      </c>
    </row>
    <row r="146" spans="1:12" ht="60" x14ac:dyDescent="0.2">
      <c r="A146" s="722">
        <v>141</v>
      </c>
      <c r="B146" s="431">
        <v>44896</v>
      </c>
      <c r="C146" s="415" t="s">
        <v>468</v>
      </c>
      <c r="D146" s="415" t="s">
        <v>468</v>
      </c>
      <c r="E146" s="425">
        <v>3600</v>
      </c>
      <c r="F146" s="419" t="s">
        <v>468</v>
      </c>
      <c r="G146" s="427" t="s">
        <v>7122</v>
      </c>
      <c r="H146" s="427" t="s">
        <v>7110</v>
      </c>
      <c r="I146" s="415" t="s">
        <v>7123</v>
      </c>
      <c r="J146" s="654" t="str">
        <f t="shared" si="5"/>
        <v>Gastos_custeados_por_captação</v>
      </c>
      <c r="K146" s="655">
        <f>IF(B146="","",IF(YEAR(B146)='Diário 1º PA'!$Q$1,MONTH(B146)-'Diário 1º PA'!$P$1+1,(YEAR(B146)-'Diário 1º PA'!$Q$1)*12-'Diário 1º PA'!$P$1+1+MONTH(B146)))</f>
        <v>12</v>
      </c>
      <c r="L146" s="415" t="s">
        <v>3762</v>
      </c>
    </row>
    <row r="147" spans="1:12" ht="60" x14ac:dyDescent="0.2">
      <c r="A147" s="722">
        <v>142</v>
      </c>
      <c r="B147" s="431">
        <v>44866</v>
      </c>
      <c r="C147" s="415" t="s">
        <v>468</v>
      </c>
      <c r="D147" s="415" t="s">
        <v>468</v>
      </c>
      <c r="E147" s="425">
        <v>55.28</v>
      </c>
      <c r="F147" s="419" t="s">
        <v>468</v>
      </c>
      <c r="G147" s="427" t="s">
        <v>764</v>
      </c>
      <c r="H147" s="427" t="s">
        <v>8822</v>
      </c>
      <c r="I147" s="415" t="s">
        <v>310</v>
      </c>
      <c r="J147" s="654" t="str">
        <f t="shared" si="5"/>
        <v>Gastos_custeados_por_captação</v>
      </c>
      <c r="K147" s="655">
        <f>IF(B147="","",IF(YEAR(B147)='Diário 1º PA'!$Q$1,MONTH(B147)-'Diário 1º PA'!$P$1+1,(YEAR(B147)-'Diário 1º PA'!$Q$1)*12-'Diário 1º PA'!$P$1+1+MONTH(B147)))</f>
        <v>11</v>
      </c>
      <c r="L147" s="415" t="s">
        <v>405</v>
      </c>
    </row>
    <row r="148" spans="1:12" ht="60" x14ac:dyDescent="0.2">
      <c r="A148" s="722">
        <v>143</v>
      </c>
      <c r="B148" s="431">
        <v>44896</v>
      </c>
      <c r="C148" s="415" t="s">
        <v>468</v>
      </c>
      <c r="D148" s="415" t="s">
        <v>468</v>
      </c>
      <c r="E148" s="425">
        <v>2750</v>
      </c>
      <c r="F148" s="419" t="s">
        <v>468</v>
      </c>
      <c r="G148" s="427" t="s">
        <v>7124</v>
      </c>
      <c r="H148" s="427" t="s">
        <v>7125</v>
      </c>
      <c r="I148" s="415" t="s">
        <v>1023</v>
      </c>
      <c r="J148" s="654" t="str">
        <f t="shared" si="5"/>
        <v>Gastos_custeados_por_captação</v>
      </c>
      <c r="K148" s="655">
        <f>IF(B148="","",IF(YEAR(B148)='Diário 1º PA'!$Q$1,MONTH(B148)-'Diário 1º PA'!$P$1+1,(YEAR(B148)-'Diário 1º PA'!$Q$1)*12-'Diário 1º PA'!$P$1+1+MONTH(B148)))</f>
        <v>12</v>
      </c>
      <c r="L148" s="415" t="s">
        <v>405</v>
      </c>
    </row>
    <row r="149" spans="1:12" ht="60" x14ac:dyDescent="0.2">
      <c r="A149" s="722">
        <v>144</v>
      </c>
      <c r="B149" s="431">
        <v>44866</v>
      </c>
      <c r="C149" s="415" t="s">
        <v>468</v>
      </c>
      <c r="D149" s="415" t="s">
        <v>468</v>
      </c>
      <c r="E149" s="425">
        <v>150</v>
      </c>
      <c r="F149" s="419" t="s">
        <v>468</v>
      </c>
      <c r="G149" s="427" t="s">
        <v>764</v>
      </c>
      <c r="H149" s="427" t="s">
        <v>8910</v>
      </c>
      <c r="I149" s="415" t="s">
        <v>310</v>
      </c>
      <c r="J149" s="654" t="str">
        <f t="shared" si="5"/>
        <v>Gastos_custeados_por_captação</v>
      </c>
      <c r="K149" s="655">
        <f>IF(B149="","",IF(YEAR(B149)='Diário 1º PA'!$Q$1,MONTH(B149)-'Diário 1º PA'!$P$1+1,(YEAR(B149)-'Diário 1º PA'!$Q$1)*12-'Diário 1º PA'!$P$1+1+MONTH(B149)))</f>
        <v>11</v>
      </c>
      <c r="L149" s="415" t="s">
        <v>3762</v>
      </c>
    </row>
    <row r="150" spans="1:12" ht="60" x14ac:dyDescent="0.2">
      <c r="A150" s="722">
        <v>145</v>
      </c>
      <c r="B150" s="431">
        <v>44866</v>
      </c>
      <c r="C150" s="415" t="s">
        <v>468</v>
      </c>
      <c r="D150" s="415" t="s">
        <v>468</v>
      </c>
      <c r="E150" s="425">
        <v>57.45</v>
      </c>
      <c r="F150" s="419" t="s">
        <v>468</v>
      </c>
      <c r="G150" s="427" t="s">
        <v>1461</v>
      </c>
      <c r="H150" s="427" t="s">
        <v>8911</v>
      </c>
      <c r="I150" s="415" t="s">
        <v>310</v>
      </c>
      <c r="J150" s="654" t="str">
        <f t="shared" si="5"/>
        <v>Gastos_custeados_por_captação</v>
      </c>
      <c r="K150" s="655">
        <f>IF(B150="","",IF(YEAR(B150)='Diário 1º PA'!$Q$1,MONTH(B150)-'Diário 1º PA'!$P$1+1,(YEAR(B150)-'Diário 1º PA'!$Q$1)*12-'Diário 1º PA'!$P$1+1+MONTH(B150)))</f>
        <v>11</v>
      </c>
      <c r="L150" s="415" t="s">
        <v>3762</v>
      </c>
    </row>
    <row r="151" spans="1:12" ht="60" x14ac:dyDescent="0.2">
      <c r="A151" s="722">
        <v>146</v>
      </c>
      <c r="B151" s="431">
        <v>44866</v>
      </c>
      <c r="C151" s="415" t="s">
        <v>468</v>
      </c>
      <c r="D151" s="415" t="s">
        <v>468</v>
      </c>
      <c r="E151" s="425">
        <v>930</v>
      </c>
      <c r="F151" s="419" t="s">
        <v>468</v>
      </c>
      <c r="G151" s="427" t="s">
        <v>1461</v>
      </c>
      <c r="H151" s="427" t="s">
        <v>8912</v>
      </c>
      <c r="I151" s="415" t="s">
        <v>310</v>
      </c>
      <c r="J151" s="654" t="str">
        <f t="shared" si="5"/>
        <v>Gastos_custeados_por_captação</v>
      </c>
      <c r="K151" s="655">
        <f>IF(B151="","",IF(YEAR(B151)='Diário 1º PA'!$Q$1,MONTH(B151)-'Diário 1º PA'!$P$1+1,(YEAR(B151)-'Diário 1º PA'!$Q$1)*12-'Diário 1º PA'!$P$1+1+MONTH(B151)))</f>
        <v>11</v>
      </c>
      <c r="L151" s="415" t="s">
        <v>3762</v>
      </c>
    </row>
    <row r="152" spans="1:12" ht="60" x14ac:dyDescent="0.2">
      <c r="A152" s="722">
        <v>147</v>
      </c>
      <c r="B152" s="431">
        <v>44896</v>
      </c>
      <c r="C152" s="415" t="s">
        <v>468</v>
      </c>
      <c r="D152" s="415" t="s">
        <v>468</v>
      </c>
      <c r="E152" s="425">
        <v>3600</v>
      </c>
      <c r="F152" s="419" t="s">
        <v>468</v>
      </c>
      <c r="G152" s="427" t="s">
        <v>7126</v>
      </c>
      <c r="H152" s="427" t="s">
        <v>7127</v>
      </c>
      <c r="I152" s="415" t="s">
        <v>7128</v>
      </c>
      <c r="J152" s="654" t="str">
        <f t="shared" si="5"/>
        <v>Gastos_custeados_por_captação</v>
      </c>
      <c r="K152" s="655">
        <f>IF(B152="","",IF(YEAR(B152)='Diário 1º PA'!$Q$1,MONTH(B152)-'Diário 1º PA'!$P$1+1,(YEAR(B152)-'Diário 1º PA'!$Q$1)*12-'Diário 1º PA'!$P$1+1+MONTH(B152)))</f>
        <v>12</v>
      </c>
      <c r="L152" s="415" t="s">
        <v>3762</v>
      </c>
    </row>
    <row r="153" spans="1:12" ht="60" x14ac:dyDescent="0.2">
      <c r="A153" s="722">
        <v>148</v>
      </c>
      <c r="B153" s="431">
        <v>44866</v>
      </c>
      <c r="C153" s="415" t="s">
        <v>468</v>
      </c>
      <c r="D153" s="415" t="s">
        <v>468</v>
      </c>
      <c r="E153" s="425">
        <v>137.5</v>
      </c>
      <c r="F153" s="419" t="s">
        <v>468</v>
      </c>
      <c r="G153" s="427" t="s">
        <v>764</v>
      </c>
      <c r="H153" s="427" t="s">
        <v>8835</v>
      </c>
      <c r="I153" s="415" t="s">
        <v>310</v>
      </c>
      <c r="J153" s="654" t="str">
        <f t="shared" si="5"/>
        <v>Gastos_custeados_por_captação</v>
      </c>
      <c r="K153" s="655">
        <f>IF(B153="","",IF(YEAR(B153)='Diário 1º PA'!$Q$1,MONTH(B153)-'Diário 1º PA'!$P$1+1,(YEAR(B153)-'Diário 1º PA'!$Q$1)*12-'Diário 1º PA'!$P$1+1+MONTH(B153)))</f>
        <v>11</v>
      </c>
      <c r="L153" s="415" t="s">
        <v>404</v>
      </c>
    </row>
    <row r="154" spans="1:12" ht="60" x14ac:dyDescent="0.2">
      <c r="A154" s="722">
        <v>149</v>
      </c>
      <c r="B154" s="431">
        <v>44866</v>
      </c>
      <c r="C154" s="415" t="s">
        <v>468</v>
      </c>
      <c r="D154" s="415" t="s">
        <v>468</v>
      </c>
      <c r="E154" s="425">
        <v>40.76</v>
      </c>
      <c r="F154" s="419" t="s">
        <v>468</v>
      </c>
      <c r="G154" s="427" t="s">
        <v>1461</v>
      </c>
      <c r="H154" s="427" t="s">
        <v>8836</v>
      </c>
      <c r="I154" s="415" t="s">
        <v>310</v>
      </c>
      <c r="J154" s="654" t="str">
        <f t="shared" si="5"/>
        <v>Gastos_custeados_por_captação</v>
      </c>
      <c r="K154" s="655">
        <f>IF(B154="","",IF(YEAR(B154)='Diário 1º PA'!$Q$1,MONTH(B154)-'Diário 1º PA'!$P$1+1,(YEAR(B154)-'Diário 1º PA'!$Q$1)*12-'Diário 1º PA'!$P$1+1+MONTH(B154)))</f>
        <v>11</v>
      </c>
      <c r="L154" s="415" t="s">
        <v>404</v>
      </c>
    </row>
    <row r="155" spans="1:12" ht="60" x14ac:dyDescent="0.2">
      <c r="A155" s="722">
        <v>150</v>
      </c>
      <c r="B155" s="431">
        <v>44866</v>
      </c>
      <c r="C155" s="415" t="s">
        <v>468</v>
      </c>
      <c r="D155" s="415" t="s">
        <v>468</v>
      </c>
      <c r="E155" s="425">
        <v>852.5</v>
      </c>
      <c r="F155" s="419" t="s">
        <v>468</v>
      </c>
      <c r="G155" s="427" t="s">
        <v>1461</v>
      </c>
      <c r="H155" s="427" t="s">
        <v>8837</v>
      </c>
      <c r="I155" s="415" t="s">
        <v>310</v>
      </c>
      <c r="J155" s="654" t="str">
        <f t="shared" si="5"/>
        <v>Gastos_custeados_por_captação</v>
      </c>
      <c r="K155" s="655">
        <f>IF(B155="","",IF(YEAR(B155)='Diário 1º PA'!$Q$1,MONTH(B155)-'Diário 1º PA'!$P$1+1,(YEAR(B155)-'Diário 1º PA'!$Q$1)*12-'Diário 1º PA'!$P$1+1+MONTH(B155)))</f>
        <v>11</v>
      </c>
      <c r="L155" s="415" t="s">
        <v>404</v>
      </c>
    </row>
    <row r="156" spans="1:12" ht="60" x14ac:dyDescent="0.2">
      <c r="A156" s="722">
        <v>151</v>
      </c>
      <c r="B156" s="431">
        <v>44896</v>
      </c>
      <c r="C156" s="415" t="s">
        <v>468</v>
      </c>
      <c r="D156" s="415" t="s">
        <v>468</v>
      </c>
      <c r="E156" s="425">
        <v>3300</v>
      </c>
      <c r="F156" s="419" t="s">
        <v>468</v>
      </c>
      <c r="G156" s="427" t="s">
        <v>7196</v>
      </c>
      <c r="H156" s="427" t="s">
        <v>7197</v>
      </c>
      <c r="I156" s="415" t="s">
        <v>7198</v>
      </c>
      <c r="J156" s="654" t="str">
        <f t="shared" si="5"/>
        <v>Gastos_custeados_por_captação</v>
      </c>
      <c r="K156" s="655">
        <f>IF(B156="","",IF(YEAR(B156)='Diário 1º PA'!$Q$1,MONTH(B156)-'Diário 1º PA'!$P$1+1,(YEAR(B156)-'Diário 1º PA'!$Q$1)*12-'Diário 1º PA'!$P$1+1+MONTH(B156)))</f>
        <v>12</v>
      </c>
      <c r="L156" s="415" t="s">
        <v>404</v>
      </c>
    </row>
    <row r="157" spans="1:12" ht="36" x14ac:dyDescent="0.2">
      <c r="A157" s="722">
        <v>152</v>
      </c>
      <c r="B157" s="431">
        <v>44896</v>
      </c>
      <c r="C157" s="415" t="s">
        <v>468</v>
      </c>
      <c r="D157" s="415" t="s">
        <v>468</v>
      </c>
      <c r="E157" s="425">
        <v>14851.03</v>
      </c>
      <c r="F157" s="419" t="s">
        <v>468</v>
      </c>
      <c r="G157" s="427" t="s">
        <v>7565</v>
      </c>
      <c r="H157" s="427" t="s">
        <v>7566</v>
      </c>
      <c r="I157" s="415" t="s">
        <v>7567</v>
      </c>
      <c r="J157" s="654" t="str">
        <f t="shared" ref="J157:J204" si="6">SUBSTITUTE(C157," ","_")</f>
        <v>Gastos_custeados_por_captação</v>
      </c>
      <c r="K157" s="655">
        <f>IF(B157="","",IF(YEAR(B157)='Diário 1º PA'!$Q$1,MONTH(B157)-'Diário 1º PA'!$P$1+1,(YEAR(B157)-'Diário 1º PA'!$Q$1)*12-'Diário 1º PA'!$P$1+1+MONTH(B157)))</f>
        <v>12</v>
      </c>
      <c r="L157" s="415" t="s">
        <v>408</v>
      </c>
    </row>
    <row r="158" spans="1:12" ht="36" x14ac:dyDescent="0.2">
      <c r="A158" s="722">
        <v>153</v>
      </c>
      <c r="B158" s="431">
        <v>44866</v>
      </c>
      <c r="C158" s="415" t="s">
        <v>271</v>
      </c>
      <c r="D158" s="415" t="s">
        <v>92</v>
      </c>
      <c r="E158" s="425">
        <v>1011</v>
      </c>
      <c r="F158" s="419" t="s">
        <v>309</v>
      </c>
      <c r="G158" s="427" t="s">
        <v>7568</v>
      </c>
      <c r="H158" s="427" t="s">
        <v>7569</v>
      </c>
      <c r="I158" s="415" t="s">
        <v>1078</v>
      </c>
      <c r="J158" s="654" t="str">
        <f t="shared" si="6"/>
        <v>Gastos_Gerais</v>
      </c>
      <c r="K158" s="655">
        <f>IF(B158="","",IF(YEAR(B158)='Diário 1º PA'!$Q$1,MONTH(B158)-'Diário 1º PA'!$P$1+1,(YEAR(B158)-'Diário 1º PA'!$Q$1)*12-'Diário 1º PA'!$P$1+1+MONTH(B158)))</f>
        <v>11</v>
      </c>
      <c r="L158" s="415" t="s">
        <v>400</v>
      </c>
    </row>
    <row r="159" spans="1:12" ht="36" x14ac:dyDescent="0.2">
      <c r="A159" s="722">
        <v>154</v>
      </c>
      <c r="B159" s="431">
        <v>44896</v>
      </c>
      <c r="C159" s="415" t="s">
        <v>271</v>
      </c>
      <c r="D159" s="415" t="s">
        <v>92</v>
      </c>
      <c r="E159" s="425">
        <v>1011</v>
      </c>
      <c r="F159" s="419" t="s">
        <v>309</v>
      </c>
      <c r="G159" s="427" t="s">
        <v>7568</v>
      </c>
      <c r="H159" s="427" t="s">
        <v>7569</v>
      </c>
      <c r="I159" s="415" t="s">
        <v>1078</v>
      </c>
      <c r="J159" s="654" t="str">
        <f t="shared" si="6"/>
        <v>Gastos_Gerais</v>
      </c>
      <c r="K159" s="655">
        <f>IF(B159="","",IF(YEAR(B159)='Diário 1º PA'!$Q$1,MONTH(B159)-'Diário 1º PA'!$P$1+1,(YEAR(B159)-'Diário 1º PA'!$Q$1)*12-'Diário 1º PA'!$P$1+1+MONTH(B159)))</f>
        <v>12</v>
      </c>
      <c r="L159" s="415" t="s">
        <v>400</v>
      </c>
    </row>
    <row r="160" spans="1:12" ht="60" x14ac:dyDescent="0.2">
      <c r="A160" s="722">
        <v>155</v>
      </c>
      <c r="B160" s="431">
        <v>44866</v>
      </c>
      <c r="C160" s="415" t="s">
        <v>468</v>
      </c>
      <c r="D160" s="415" t="s">
        <v>468</v>
      </c>
      <c r="E160" s="425">
        <v>120</v>
      </c>
      <c r="F160" s="419" t="s">
        <v>468</v>
      </c>
      <c r="G160" s="427" t="s">
        <v>764</v>
      </c>
      <c r="H160" s="427" t="s">
        <v>8854</v>
      </c>
      <c r="I160" s="415" t="s">
        <v>310</v>
      </c>
      <c r="J160" s="654" t="str">
        <f t="shared" si="6"/>
        <v>Gastos_custeados_por_captação</v>
      </c>
      <c r="K160" s="655">
        <f>IF(B160="","",IF(YEAR(B160)='Diário 1º PA'!$Q$1,MONTH(B160)-'Diário 1º PA'!$P$1+1,(YEAR(B160)-'Diário 1º PA'!$Q$1)*12-'Diário 1º PA'!$P$1+1+MONTH(B160)))</f>
        <v>11</v>
      </c>
      <c r="L160" s="415" t="s">
        <v>404</v>
      </c>
    </row>
    <row r="161" spans="1:12" ht="60" x14ac:dyDescent="0.2">
      <c r="A161" s="722">
        <v>156</v>
      </c>
      <c r="B161" s="431">
        <v>44866</v>
      </c>
      <c r="C161" s="415" t="s">
        <v>468</v>
      </c>
      <c r="D161" s="415" t="s">
        <v>468</v>
      </c>
      <c r="E161" s="425">
        <v>17.399999999999999</v>
      </c>
      <c r="F161" s="419" t="s">
        <v>468</v>
      </c>
      <c r="G161" s="427" t="s">
        <v>1461</v>
      </c>
      <c r="H161" s="427" t="s">
        <v>8855</v>
      </c>
      <c r="I161" s="415" t="s">
        <v>310</v>
      </c>
      <c r="J161" s="654" t="str">
        <f t="shared" si="6"/>
        <v>Gastos_custeados_por_captação</v>
      </c>
      <c r="K161" s="655">
        <f>IF(B161="","",IF(YEAR(B161)='Diário 1º PA'!$Q$1,MONTH(B161)-'Diário 1º PA'!$P$1+1,(YEAR(B161)-'Diário 1º PA'!$Q$1)*12-'Diário 1º PA'!$P$1+1+MONTH(B161)))</f>
        <v>11</v>
      </c>
      <c r="L161" s="415" t="s">
        <v>404</v>
      </c>
    </row>
    <row r="162" spans="1:12" ht="60" x14ac:dyDescent="0.2">
      <c r="A162" s="722">
        <v>157</v>
      </c>
      <c r="B162" s="431">
        <v>44866</v>
      </c>
      <c r="C162" s="415" t="s">
        <v>468</v>
      </c>
      <c r="D162" s="415" t="s">
        <v>468</v>
      </c>
      <c r="E162" s="425">
        <v>744</v>
      </c>
      <c r="F162" s="419" t="s">
        <v>468</v>
      </c>
      <c r="G162" s="427" t="s">
        <v>1461</v>
      </c>
      <c r="H162" s="427" t="s">
        <v>8856</v>
      </c>
      <c r="I162" s="415" t="s">
        <v>310</v>
      </c>
      <c r="J162" s="654" t="str">
        <f t="shared" si="6"/>
        <v>Gastos_custeados_por_captação</v>
      </c>
      <c r="K162" s="655">
        <f>IF(B162="","",IF(YEAR(B162)='Diário 1º PA'!$Q$1,MONTH(B162)-'Diário 1º PA'!$P$1+1,(YEAR(B162)-'Diário 1º PA'!$Q$1)*12-'Diário 1º PA'!$P$1+1+MONTH(B162)))</f>
        <v>11</v>
      </c>
      <c r="L162" s="415" t="s">
        <v>404</v>
      </c>
    </row>
    <row r="163" spans="1:12" ht="60" x14ac:dyDescent="0.2">
      <c r="A163" s="722">
        <v>158</v>
      </c>
      <c r="B163" s="431">
        <v>44896</v>
      </c>
      <c r="C163" s="415" t="s">
        <v>468</v>
      </c>
      <c r="D163" s="415" t="s">
        <v>468</v>
      </c>
      <c r="E163" s="425">
        <v>2880</v>
      </c>
      <c r="F163" s="419" t="s">
        <v>468</v>
      </c>
      <c r="G163" s="427" t="s">
        <v>7571</v>
      </c>
      <c r="H163" s="427" t="s">
        <v>7572</v>
      </c>
      <c r="I163" s="415" t="s">
        <v>1163</v>
      </c>
      <c r="J163" s="654" t="str">
        <f t="shared" si="6"/>
        <v>Gastos_custeados_por_captação</v>
      </c>
      <c r="K163" s="655">
        <f>IF(B163="","",IF(YEAR(B163)='Diário 1º PA'!$Q$1,MONTH(B163)-'Diário 1º PA'!$P$1+1,(YEAR(B163)-'Diário 1º PA'!$Q$1)*12-'Diário 1º PA'!$P$1+1+MONTH(B163)))</f>
        <v>12</v>
      </c>
      <c r="L163" s="415" t="s">
        <v>404</v>
      </c>
    </row>
    <row r="164" spans="1:12" ht="48" x14ac:dyDescent="0.2">
      <c r="A164" s="722">
        <v>159</v>
      </c>
      <c r="B164" s="431">
        <v>44896</v>
      </c>
      <c r="C164" s="415" t="s">
        <v>271</v>
      </c>
      <c r="D164" s="415" t="s">
        <v>62</v>
      </c>
      <c r="E164" s="425">
        <v>169.4</v>
      </c>
      <c r="F164" s="419" t="s">
        <v>310</v>
      </c>
      <c r="G164" s="427" t="s">
        <v>7573</v>
      </c>
      <c r="H164" s="427" t="s">
        <v>7574</v>
      </c>
      <c r="I164" s="415" t="s">
        <v>7575</v>
      </c>
      <c r="J164" s="654" t="str">
        <f t="shared" si="6"/>
        <v>Gastos_Gerais</v>
      </c>
      <c r="K164" s="655">
        <f>IF(B164="","",IF(YEAR(B164)='Diário 1º PA'!$Q$1,MONTH(B164)-'Diário 1º PA'!$P$1+1,(YEAR(B164)-'Diário 1º PA'!$Q$1)*12-'Diário 1º PA'!$P$1+1+MONTH(B164)))</f>
        <v>12</v>
      </c>
      <c r="L164" s="415" t="s">
        <v>400</v>
      </c>
    </row>
    <row r="165" spans="1:12" ht="60" x14ac:dyDescent="0.2">
      <c r="A165" s="722">
        <v>160</v>
      </c>
      <c r="B165" s="431">
        <v>44866</v>
      </c>
      <c r="C165" s="419" t="s">
        <v>468</v>
      </c>
      <c r="D165" s="419" t="s">
        <v>468</v>
      </c>
      <c r="E165" s="425">
        <v>120</v>
      </c>
      <c r="F165" s="419" t="s">
        <v>468</v>
      </c>
      <c r="G165" s="427" t="s">
        <v>764</v>
      </c>
      <c r="H165" s="427" t="s">
        <v>8843</v>
      </c>
      <c r="I165" s="415" t="s">
        <v>310</v>
      </c>
      <c r="J165" s="654" t="str">
        <f t="shared" si="6"/>
        <v>Gastos_custeados_por_captação</v>
      </c>
      <c r="K165" s="655">
        <f>IF(B165="","",IF(YEAR(B165)='Diário 1º PA'!$Q$1,MONTH(B165)-'Diário 1º PA'!$P$1+1,(YEAR(B165)-'Diário 1º PA'!$Q$1)*12-'Diário 1º PA'!$P$1+1+MONTH(B165)))</f>
        <v>11</v>
      </c>
      <c r="L165" s="415" t="s">
        <v>404</v>
      </c>
    </row>
    <row r="166" spans="1:12" ht="60" x14ac:dyDescent="0.2">
      <c r="A166" s="722">
        <v>161</v>
      </c>
      <c r="B166" s="431">
        <v>44866</v>
      </c>
      <c r="C166" s="419" t="s">
        <v>468</v>
      </c>
      <c r="D166" s="419" t="s">
        <v>468</v>
      </c>
      <c r="E166" s="425">
        <v>17.399999999999999</v>
      </c>
      <c r="F166" s="419" t="s">
        <v>468</v>
      </c>
      <c r="G166" s="427" t="s">
        <v>1461</v>
      </c>
      <c r="H166" s="427" t="s">
        <v>8844</v>
      </c>
      <c r="I166" s="415" t="s">
        <v>310</v>
      </c>
      <c r="J166" s="654" t="str">
        <f t="shared" si="6"/>
        <v>Gastos_custeados_por_captação</v>
      </c>
      <c r="K166" s="655">
        <f>IF(B166="","",IF(YEAR(B166)='Diário 1º PA'!$Q$1,MONTH(B166)-'Diário 1º PA'!$P$1+1,(YEAR(B166)-'Diário 1º PA'!$Q$1)*12-'Diário 1º PA'!$P$1+1+MONTH(B166)))</f>
        <v>11</v>
      </c>
      <c r="L166" s="415" t="s">
        <v>404</v>
      </c>
    </row>
    <row r="167" spans="1:12" ht="60" x14ac:dyDescent="0.2">
      <c r="A167" s="722">
        <v>162</v>
      </c>
      <c r="B167" s="431">
        <v>44866</v>
      </c>
      <c r="C167" s="419" t="s">
        <v>468</v>
      </c>
      <c r="D167" s="419" t="s">
        <v>468</v>
      </c>
      <c r="E167" s="425">
        <v>744</v>
      </c>
      <c r="F167" s="419" t="s">
        <v>468</v>
      </c>
      <c r="G167" s="427" t="s">
        <v>1461</v>
      </c>
      <c r="H167" s="427" t="s">
        <v>8845</v>
      </c>
      <c r="I167" s="415" t="s">
        <v>310</v>
      </c>
      <c r="J167" s="654" t="str">
        <f t="shared" si="6"/>
        <v>Gastos_custeados_por_captação</v>
      </c>
      <c r="K167" s="655">
        <f>IF(B167="","",IF(YEAR(B167)='Diário 1º PA'!$Q$1,MONTH(B167)-'Diário 1º PA'!$P$1+1,(YEAR(B167)-'Diário 1º PA'!$Q$1)*12-'Diário 1º PA'!$P$1+1+MONTH(B167)))</f>
        <v>11</v>
      </c>
      <c r="L167" s="415" t="s">
        <v>404</v>
      </c>
    </row>
    <row r="168" spans="1:12" ht="60" x14ac:dyDescent="0.2">
      <c r="A168" s="722">
        <v>163</v>
      </c>
      <c r="B168" s="431">
        <v>44896</v>
      </c>
      <c r="C168" s="415" t="s">
        <v>468</v>
      </c>
      <c r="D168" s="415" t="s">
        <v>468</v>
      </c>
      <c r="E168" s="425">
        <v>2880</v>
      </c>
      <c r="F168" s="415" t="s">
        <v>468</v>
      </c>
      <c r="G168" s="427" t="s">
        <v>7576</v>
      </c>
      <c r="H168" s="427" t="s">
        <v>7572</v>
      </c>
      <c r="I168" s="415" t="s">
        <v>2171</v>
      </c>
      <c r="J168" s="654" t="str">
        <f t="shared" si="6"/>
        <v>Gastos_custeados_por_captação</v>
      </c>
      <c r="K168" s="655">
        <f>IF(B168="","",IF(YEAR(B168)='Diário 1º PA'!$Q$1,MONTH(B168)-'Diário 1º PA'!$P$1+1,(YEAR(B168)-'Diário 1º PA'!$Q$1)*12-'Diário 1º PA'!$P$1+1+MONTH(B168)))</f>
        <v>12</v>
      </c>
      <c r="L168" s="415" t="s">
        <v>404</v>
      </c>
    </row>
    <row r="169" spans="1:12" ht="144" x14ac:dyDescent="0.2">
      <c r="A169" s="722">
        <v>164</v>
      </c>
      <c r="B169" s="431">
        <v>44896</v>
      </c>
      <c r="C169" s="415" t="s">
        <v>468</v>
      </c>
      <c r="D169" s="415" t="s">
        <v>468</v>
      </c>
      <c r="E169" s="425">
        <v>2000</v>
      </c>
      <c r="F169" s="415" t="s">
        <v>468</v>
      </c>
      <c r="G169" s="427" t="s">
        <v>7587</v>
      </c>
      <c r="H169" s="427" t="s">
        <v>4470</v>
      </c>
      <c r="I169" s="415" t="s">
        <v>7588</v>
      </c>
      <c r="J169" s="654" t="str">
        <f t="shared" si="6"/>
        <v>Gastos_custeados_por_captação</v>
      </c>
      <c r="K169" s="655">
        <f>IF(B169="","",IF(YEAR(B169)='Diário 1º PA'!$Q$1,MONTH(B169)-'Diário 1º PA'!$P$1+1,(YEAR(B169)-'Diário 1º PA'!$Q$1)*12-'Diário 1º PA'!$P$1+1+MONTH(B169)))</f>
        <v>12</v>
      </c>
      <c r="L169" s="415" t="s">
        <v>3762</v>
      </c>
    </row>
    <row r="170" spans="1:12" ht="60" x14ac:dyDescent="0.2">
      <c r="A170" s="722">
        <v>165</v>
      </c>
      <c r="B170" s="431">
        <v>44866</v>
      </c>
      <c r="C170" s="415" t="s">
        <v>468</v>
      </c>
      <c r="D170" s="415" t="s">
        <v>468</v>
      </c>
      <c r="E170" s="425">
        <v>120</v>
      </c>
      <c r="F170" s="415" t="s">
        <v>468</v>
      </c>
      <c r="G170" s="427" t="s">
        <v>764</v>
      </c>
      <c r="H170" s="427" t="s">
        <v>8851</v>
      </c>
      <c r="I170" s="415" t="s">
        <v>310</v>
      </c>
      <c r="J170" s="654" t="str">
        <f t="shared" si="6"/>
        <v>Gastos_custeados_por_captação</v>
      </c>
      <c r="K170" s="655">
        <f>IF(B170="","",IF(YEAR(B170)='Diário 1º PA'!$Q$1,MONTH(B170)-'Diário 1º PA'!$P$1+1,(YEAR(B170)-'Diário 1º PA'!$Q$1)*12-'Diário 1º PA'!$P$1+1+MONTH(B170)))</f>
        <v>11</v>
      </c>
      <c r="L170" s="415" t="s">
        <v>404</v>
      </c>
    </row>
    <row r="171" spans="1:12" ht="60" x14ac:dyDescent="0.2">
      <c r="A171" s="722">
        <v>166</v>
      </c>
      <c r="B171" s="431">
        <v>44866</v>
      </c>
      <c r="C171" s="415" t="s">
        <v>468</v>
      </c>
      <c r="D171" s="415" t="s">
        <v>468</v>
      </c>
      <c r="E171" s="425">
        <v>17.399999999999999</v>
      </c>
      <c r="F171" s="415" t="s">
        <v>468</v>
      </c>
      <c r="G171" s="427" t="s">
        <v>1461</v>
      </c>
      <c r="H171" s="427" t="s">
        <v>8852</v>
      </c>
      <c r="I171" s="415" t="s">
        <v>310</v>
      </c>
      <c r="J171" s="654" t="str">
        <f t="shared" si="6"/>
        <v>Gastos_custeados_por_captação</v>
      </c>
      <c r="K171" s="655">
        <f>IF(B171="","",IF(YEAR(B171)='Diário 1º PA'!$Q$1,MONTH(B171)-'Diário 1º PA'!$P$1+1,(YEAR(B171)-'Diário 1º PA'!$Q$1)*12-'Diário 1º PA'!$P$1+1+MONTH(B171)))</f>
        <v>11</v>
      </c>
      <c r="L171" s="415" t="s">
        <v>404</v>
      </c>
    </row>
    <row r="172" spans="1:12" ht="60" x14ac:dyDescent="0.2">
      <c r="A172" s="722">
        <v>167</v>
      </c>
      <c r="B172" s="431">
        <v>44866</v>
      </c>
      <c r="C172" s="415" t="s">
        <v>468</v>
      </c>
      <c r="D172" s="415" t="s">
        <v>468</v>
      </c>
      <c r="E172" s="425">
        <v>744</v>
      </c>
      <c r="F172" s="415" t="s">
        <v>468</v>
      </c>
      <c r="G172" s="427" t="s">
        <v>1461</v>
      </c>
      <c r="H172" s="427" t="s">
        <v>8853</v>
      </c>
      <c r="I172" s="415" t="s">
        <v>310</v>
      </c>
      <c r="J172" s="654" t="str">
        <f t="shared" si="6"/>
        <v>Gastos_custeados_por_captação</v>
      </c>
      <c r="K172" s="655">
        <f>IF(B172="","",IF(YEAR(B172)='Diário 1º PA'!$Q$1,MONTH(B172)-'Diário 1º PA'!$P$1+1,(YEAR(B172)-'Diário 1º PA'!$Q$1)*12-'Diário 1º PA'!$P$1+1+MONTH(B172)))</f>
        <v>11</v>
      </c>
      <c r="L172" s="415" t="s">
        <v>404</v>
      </c>
    </row>
    <row r="173" spans="1:12" ht="60" x14ac:dyDescent="0.2">
      <c r="A173" s="722">
        <v>168</v>
      </c>
      <c r="B173" s="431">
        <v>44896</v>
      </c>
      <c r="C173" s="415" t="s">
        <v>468</v>
      </c>
      <c r="D173" s="415" t="s">
        <v>468</v>
      </c>
      <c r="E173" s="425">
        <v>2880</v>
      </c>
      <c r="F173" s="415" t="s">
        <v>468</v>
      </c>
      <c r="G173" s="427" t="s">
        <v>7589</v>
      </c>
      <c r="H173" s="427" t="s">
        <v>7590</v>
      </c>
      <c r="I173" s="415" t="s">
        <v>5679</v>
      </c>
      <c r="J173" s="654" t="str">
        <f t="shared" si="6"/>
        <v>Gastos_custeados_por_captação</v>
      </c>
      <c r="K173" s="655">
        <f>IF(B173="","",IF(YEAR(B173)='Diário 1º PA'!$Q$1,MONTH(B173)-'Diário 1º PA'!$P$1+1,(YEAR(B173)-'Diário 1º PA'!$Q$1)*12-'Diário 1º PA'!$P$1+1+MONTH(B173)))</f>
        <v>12</v>
      </c>
      <c r="L173" s="415" t="s">
        <v>404</v>
      </c>
    </row>
    <row r="174" spans="1:12" ht="60" x14ac:dyDescent="0.2">
      <c r="A174" s="722">
        <v>169</v>
      </c>
      <c r="B174" s="431">
        <v>44866</v>
      </c>
      <c r="C174" s="415" t="s">
        <v>468</v>
      </c>
      <c r="D174" s="415" t="s">
        <v>468</v>
      </c>
      <c r="E174" s="425">
        <v>120</v>
      </c>
      <c r="F174" s="415" t="s">
        <v>468</v>
      </c>
      <c r="G174" s="427" t="s">
        <v>764</v>
      </c>
      <c r="H174" s="427" t="s">
        <v>8826</v>
      </c>
      <c r="I174" s="415" t="s">
        <v>310</v>
      </c>
      <c r="J174" s="654" t="str">
        <f t="shared" si="6"/>
        <v>Gastos_custeados_por_captação</v>
      </c>
      <c r="K174" s="655">
        <f>IF(B174="","",IF(YEAR(B174)='Diário 1º PA'!$Q$1,MONTH(B174)-'Diário 1º PA'!$P$1+1,(YEAR(B174)-'Diário 1º PA'!$Q$1)*12-'Diário 1º PA'!$P$1+1+MONTH(B174)))</f>
        <v>11</v>
      </c>
      <c r="L174" s="415" t="s">
        <v>404</v>
      </c>
    </row>
    <row r="175" spans="1:12" ht="60" x14ac:dyDescent="0.2">
      <c r="A175" s="722">
        <v>170</v>
      </c>
      <c r="B175" s="431">
        <v>44866</v>
      </c>
      <c r="C175" s="415" t="s">
        <v>468</v>
      </c>
      <c r="D175" s="415" t="s">
        <v>468</v>
      </c>
      <c r="E175" s="425">
        <v>17.399999999999999</v>
      </c>
      <c r="F175" s="415" t="s">
        <v>468</v>
      </c>
      <c r="G175" s="427" t="s">
        <v>1461</v>
      </c>
      <c r="H175" s="427" t="s">
        <v>8827</v>
      </c>
      <c r="I175" s="415" t="s">
        <v>310</v>
      </c>
      <c r="J175" s="654" t="str">
        <f t="shared" si="6"/>
        <v>Gastos_custeados_por_captação</v>
      </c>
      <c r="K175" s="655">
        <f>IF(B175="","",IF(YEAR(B175)='Diário 1º PA'!$Q$1,MONTH(B175)-'Diário 1º PA'!$P$1+1,(YEAR(B175)-'Diário 1º PA'!$Q$1)*12-'Diário 1º PA'!$P$1+1+MONTH(B175)))</f>
        <v>11</v>
      </c>
      <c r="L175" s="415" t="s">
        <v>404</v>
      </c>
    </row>
    <row r="176" spans="1:12" ht="60" x14ac:dyDescent="0.2">
      <c r="A176" s="722">
        <v>171</v>
      </c>
      <c r="B176" s="431">
        <v>44866</v>
      </c>
      <c r="C176" s="415" t="s">
        <v>468</v>
      </c>
      <c r="D176" s="415" t="s">
        <v>468</v>
      </c>
      <c r="E176" s="425">
        <v>744</v>
      </c>
      <c r="F176" s="415" t="s">
        <v>468</v>
      </c>
      <c r="G176" s="427" t="s">
        <v>1461</v>
      </c>
      <c r="H176" s="427" t="s">
        <v>8828</v>
      </c>
      <c r="I176" s="415" t="s">
        <v>310</v>
      </c>
      <c r="J176" s="654" t="str">
        <f t="shared" si="6"/>
        <v>Gastos_custeados_por_captação</v>
      </c>
      <c r="K176" s="655">
        <f>IF(B176="","",IF(YEAR(B176)='Diário 1º PA'!$Q$1,MONTH(B176)-'Diário 1º PA'!$P$1+1,(YEAR(B176)-'Diário 1º PA'!$Q$1)*12-'Diário 1º PA'!$P$1+1+MONTH(B176)))</f>
        <v>11</v>
      </c>
      <c r="L176" s="415" t="s">
        <v>404</v>
      </c>
    </row>
    <row r="177" spans="1:12" ht="60" x14ac:dyDescent="0.2">
      <c r="A177" s="722">
        <v>172</v>
      </c>
      <c r="B177" s="431">
        <v>44896</v>
      </c>
      <c r="C177" s="415" t="s">
        <v>468</v>
      </c>
      <c r="D177" s="415" t="s">
        <v>468</v>
      </c>
      <c r="E177" s="425">
        <v>2880</v>
      </c>
      <c r="F177" s="415" t="s">
        <v>468</v>
      </c>
      <c r="G177" s="427" t="s">
        <v>7591</v>
      </c>
      <c r="H177" s="427" t="s">
        <v>7592</v>
      </c>
      <c r="I177" s="415" t="s">
        <v>5827</v>
      </c>
      <c r="J177" s="654" t="str">
        <f t="shared" si="6"/>
        <v>Gastos_custeados_por_captação</v>
      </c>
      <c r="K177" s="655">
        <f>IF(B177="","",IF(YEAR(B177)='Diário 1º PA'!$Q$1,MONTH(B177)-'Diário 1º PA'!$P$1+1,(YEAR(B177)-'Diário 1º PA'!$Q$1)*12-'Diário 1º PA'!$P$1+1+MONTH(B177)))</f>
        <v>12</v>
      </c>
      <c r="L177" s="415" t="s">
        <v>404</v>
      </c>
    </row>
    <row r="178" spans="1:12" ht="48" x14ac:dyDescent="0.2">
      <c r="A178" s="722">
        <v>173</v>
      </c>
      <c r="B178" s="431">
        <v>44835</v>
      </c>
      <c r="C178" s="415" t="s">
        <v>271</v>
      </c>
      <c r="D178" s="415" t="s">
        <v>62</v>
      </c>
      <c r="E178" s="425">
        <v>625</v>
      </c>
      <c r="F178" s="415" t="s">
        <v>751</v>
      </c>
      <c r="G178" s="427" t="s">
        <v>7611</v>
      </c>
      <c r="H178" s="427" t="s">
        <v>7610</v>
      </c>
      <c r="I178" s="415" t="s">
        <v>7609</v>
      </c>
      <c r="J178" s="654" t="str">
        <f t="shared" si="6"/>
        <v>Gastos_Gerais</v>
      </c>
      <c r="K178" s="655">
        <f>IF(B178="","",IF(YEAR(B178)='Diário 1º PA'!$Q$1,MONTH(B178)-'Diário 1º PA'!$P$1+1,(YEAR(B178)-'Diário 1º PA'!$Q$1)*12-'Diário 1º PA'!$P$1+1+MONTH(B178)))</f>
        <v>10</v>
      </c>
      <c r="L178" s="415" t="s">
        <v>400</v>
      </c>
    </row>
    <row r="179" spans="1:12" ht="36" x14ac:dyDescent="0.2">
      <c r="A179" s="722">
        <v>174</v>
      </c>
      <c r="B179" s="431">
        <v>44835</v>
      </c>
      <c r="C179" s="415" t="s">
        <v>271</v>
      </c>
      <c r="D179" s="415" t="s">
        <v>461</v>
      </c>
      <c r="E179" s="425">
        <v>2100</v>
      </c>
      <c r="F179" s="415" t="s">
        <v>751</v>
      </c>
      <c r="G179" s="427" t="s">
        <v>7617</v>
      </c>
      <c r="H179" s="427" t="s">
        <v>7616</v>
      </c>
      <c r="I179" s="415" t="s">
        <v>1081</v>
      </c>
      <c r="J179" s="654" t="str">
        <f t="shared" si="6"/>
        <v>Gastos_Gerais</v>
      </c>
      <c r="K179" s="655">
        <f>IF(B179="","",IF(YEAR(B179)='Diário 1º PA'!$Q$1,MONTH(B179)-'Diário 1º PA'!$P$1+1,(YEAR(B179)-'Diário 1º PA'!$Q$1)*12-'Diário 1º PA'!$P$1+1+MONTH(B179)))</f>
        <v>10</v>
      </c>
      <c r="L179" s="415" t="s">
        <v>400</v>
      </c>
    </row>
    <row r="180" spans="1:12" ht="24" x14ac:dyDescent="0.2">
      <c r="A180" s="722">
        <v>175</v>
      </c>
      <c r="B180" s="431">
        <v>44835</v>
      </c>
      <c r="C180" s="415" t="s">
        <v>271</v>
      </c>
      <c r="D180" s="415" t="s">
        <v>465</v>
      </c>
      <c r="E180" s="425">
        <v>38.700000000000003</v>
      </c>
      <c r="F180" s="415" t="s">
        <v>752</v>
      </c>
      <c r="G180" s="427" t="s">
        <v>764</v>
      </c>
      <c r="H180" s="427" t="s">
        <v>8893</v>
      </c>
      <c r="I180" s="415" t="s">
        <v>310</v>
      </c>
      <c r="J180" s="654" t="str">
        <f t="shared" si="6"/>
        <v>Gastos_Gerais</v>
      </c>
      <c r="K180" s="655">
        <f>IF(B180="","",IF(YEAR(B180)='Diário 1º PA'!$Q$1,MONTH(B180)-'Diário 1º PA'!$P$1+1,(YEAR(B180)-'Diário 1º PA'!$Q$1)*12-'Diário 1º PA'!$P$1+1+MONTH(B180)))</f>
        <v>10</v>
      </c>
      <c r="L180" s="415" t="s">
        <v>400</v>
      </c>
    </row>
    <row r="181" spans="1:12" ht="36" x14ac:dyDescent="0.2">
      <c r="A181" s="722">
        <v>176</v>
      </c>
      <c r="B181" s="431">
        <v>44896</v>
      </c>
      <c r="C181" s="434" t="s">
        <v>271</v>
      </c>
      <c r="D181" s="434" t="s">
        <v>92</v>
      </c>
      <c r="E181" s="425">
        <v>500</v>
      </c>
      <c r="F181" s="434" t="s">
        <v>309</v>
      </c>
      <c r="G181" s="427" t="s">
        <v>7661</v>
      </c>
      <c r="H181" s="427" t="s">
        <v>1590</v>
      </c>
      <c r="I181" s="415" t="s">
        <v>1033</v>
      </c>
      <c r="J181" s="654" t="str">
        <f t="shared" si="6"/>
        <v>Gastos_Gerais</v>
      </c>
      <c r="K181" s="655">
        <f>IF(B181="","",IF(YEAR(B181)='Diário 1º PA'!$Q$1,MONTH(B181)-'Diário 1º PA'!$P$1+1,(YEAR(B181)-'Diário 1º PA'!$Q$1)*12-'Diário 1º PA'!$P$1+1+MONTH(B181)))</f>
        <v>12</v>
      </c>
      <c r="L181" s="415" t="s">
        <v>400</v>
      </c>
    </row>
    <row r="182" spans="1:12" ht="60" x14ac:dyDescent="0.2">
      <c r="A182" s="722">
        <v>177</v>
      </c>
      <c r="B182" s="431">
        <v>44866</v>
      </c>
      <c r="C182" s="415" t="s">
        <v>468</v>
      </c>
      <c r="D182" s="415" t="s">
        <v>468</v>
      </c>
      <c r="E182" s="425">
        <v>120</v>
      </c>
      <c r="F182" s="415" t="s">
        <v>468</v>
      </c>
      <c r="G182" s="427" t="s">
        <v>764</v>
      </c>
      <c r="H182" s="427" t="s">
        <v>9079</v>
      </c>
      <c r="I182" s="415" t="s">
        <v>310</v>
      </c>
      <c r="J182" s="654" t="str">
        <f t="shared" si="6"/>
        <v>Gastos_custeados_por_captação</v>
      </c>
      <c r="K182" s="655">
        <f>IF(B182="","",IF(YEAR(B182)='Diário 1º PA'!$Q$1,MONTH(B182)-'Diário 1º PA'!$P$1+1,(YEAR(B182)-'Diário 1º PA'!$Q$1)*12-'Diário 1º PA'!$P$1+1+MONTH(B182)))</f>
        <v>11</v>
      </c>
      <c r="L182" s="415" t="s">
        <v>404</v>
      </c>
    </row>
    <row r="183" spans="1:12" ht="60" x14ac:dyDescent="0.2">
      <c r="A183" s="722">
        <v>178</v>
      </c>
      <c r="B183" s="431">
        <v>44866</v>
      </c>
      <c r="C183" s="415" t="s">
        <v>468</v>
      </c>
      <c r="D183" s="415" t="s">
        <v>468</v>
      </c>
      <c r="E183" s="425">
        <v>17.399999999999999</v>
      </c>
      <c r="F183" s="415" t="s">
        <v>468</v>
      </c>
      <c r="G183" s="427" t="s">
        <v>1461</v>
      </c>
      <c r="H183" s="427" t="s">
        <v>9080</v>
      </c>
      <c r="I183" s="415" t="s">
        <v>310</v>
      </c>
      <c r="J183" s="654" t="str">
        <f t="shared" si="6"/>
        <v>Gastos_custeados_por_captação</v>
      </c>
      <c r="K183" s="655">
        <f>IF(B183="","",IF(YEAR(B183)='Diário 1º PA'!$Q$1,MONTH(B183)-'Diário 1º PA'!$P$1+1,(YEAR(B183)-'Diário 1º PA'!$Q$1)*12-'Diário 1º PA'!$P$1+1+MONTH(B183)))</f>
        <v>11</v>
      </c>
      <c r="L183" s="415" t="s">
        <v>404</v>
      </c>
    </row>
    <row r="184" spans="1:12" ht="60" x14ac:dyDescent="0.2">
      <c r="A184" s="722">
        <v>179</v>
      </c>
      <c r="B184" s="431">
        <v>44866</v>
      </c>
      <c r="C184" s="415" t="s">
        <v>468</v>
      </c>
      <c r="D184" s="415" t="s">
        <v>468</v>
      </c>
      <c r="E184" s="425">
        <v>744</v>
      </c>
      <c r="F184" s="415" t="s">
        <v>468</v>
      </c>
      <c r="G184" s="427" t="s">
        <v>1461</v>
      </c>
      <c r="H184" s="427" t="s">
        <v>9081</v>
      </c>
      <c r="I184" s="415" t="s">
        <v>310</v>
      </c>
      <c r="J184" s="654" t="str">
        <f t="shared" si="6"/>
        <v>Gastos_custeados_por_captação</v>
      </c>
      <c r="K184" s="655">
        <f>IF(B184="","",IF(YEAR(B184)='Diário 1º PA'!$Q$1,MONTH(B184)-'Diário 1º PA'!$P$1+1,(YEAR(B184)-'Diário 1º PA'!$Q$1)*12-'Diário 1º PA'!$P$1+1+MONTH(B184)))</f>
        <v>11</v>
      </c>
      <c r="L184" s="415" t="s">
        <v>404</v>
      </c>
    </row>
    <row r="185" spans="1:12" ht="72" x14ac:dyDescent="0.2">
      <c r="A185" s="722">
        <v>180</v>
      </c>
      <c r="B185" s="431">
        <v>44896</v>
      </c>
      <c r="C185" s="415" t="s">
        <v>468</v>
      </c>
      <c r="D185" s="415" t="s">
        <v>468</v>
      </c>
      <c r="E185" s="425">
        <v>2880</v>
      </c>
      <c r="F185" s="415" t="s">
        <v>468</v>
      </c>
      <c r="G185" s="427" t="s">
        <v>7692</v>
      </c>
      <c r="H185" s="427" t="s">
        <v>7698</v>
      </c>
      <c r="I185" s="415" t="s">
        <v>7694</v>
      </c>
      <c r="J185" s="654" t="str">
        <f t="shared" si="6"/>
        <v>Gastos_custeados_por_captação</v>
      </c>
      <c r="K185" s="655">
        <f>IF(B185="","",IF(YEAR(B185)='Diário 1º PA'!$Q$1,MONTH(B185)-'Diário 1º PA'!$P$1+1,(YEAR(B185)-'Diário 1º PA'!$Q$1)*12-'Diário 1º PA'!$P$1+1+MONTH(B185)))</f>
        <v>12</v>
      </c>
      <c r="L185" s="415" t="s">
        <v>404</v>
      </c>
    </row>
    <row r="186" spans="1:12" ht="72" x14ac:dyDescent="0.2">
      <c r="A186" s="722">
        <v>181</v>
      </c>
      <c r="B186" s="431">
        <v>44562</v>
      </c>
      <c r="C186" s="415" t="s">
        <v>468</v>
      </c>
      <c r="D186" s="415" t="s">
        <v>468</v>
      </c>
      <c r="E186" s="425">
        <v>1536</v>
      </c>
      <c r="F186" s="415" t="s">
        <v>468</v>
      </c>
      <c r="G186" s="427" t="s">
        <v>7692</v>
      </c>
      <c r="H186" s="427" t="s">
        <v>7698</v>
      </c>
      <c r="I186" s="415" t="s">
        <v>7694</v>
      </c>
      <c r="J186" s="654" t="str">
        <f t="shared" si="6"/>
        <v>Gastos_custeados_por_captação</v>
      </c>
      <c r="K186" s="655">
        <f>IF(B186="","",IF(YEAR(B186)='Diário 1º PA'!$Q$1,MONTH(B186)-'Diário 1º PA'!$P$1+1,(YEAR(B186)-'Diário 1º PA'!$Q$1)*12-'Diário 1º PA'!$P$1+1+MONTH(B186)))</f>
        <v>1</v>
      </c>
      <c r="L186" s="415" t="s">
        <v>404</v>
      </c>
    </row>
    <row r="187" spans="1:12" ht="60" x14ac:dyDescent="0.2">
      <c r="A187" s="722">
        <v>182</v>
      </c>
      <c r="B187" s="431">
        <v>44866</v>
      </c>
      <c r="C187" s="415" t="s">
        <v>468</v>
      </c>
      <c r="D187" s="415" t="s">
        <v>468</v>
      </c>
      <c r="E187" s="425">
        <v>120</v>
      </c>
      <c r="F187" s="415" t="s">
        <v>468</v>
      </c>
      <c r="G187" s="427" t="s">
        <v>764</v>
      </c>
      <c r="H187" s="427" t="s">
        <v>9082</v>
      </c>
      <c r="I187" s="415" t="s">
        <v>310</v>
      </c>
      <c r="J187" s="654" t="str">
        <f t="shared" si="6"/>
        <v>Gastos_custeados_por_captação</v>
      </c>
      <c r="K187" s="655">
        <f>IF(B187="","",IF(YEAR(B187)='Diário 1º PA'!$Q$1,MONTH(B187)-'Diário 1º PA'!$P$1+1,(YEAR(B187)-'Diário 1º PA'!$Q$1)*12-'Diário 1º PA'!$P$1+1+MONTH(B187)))</f>
        <v>11</v>
      </c>
      <c r="L187" s="415" t="s">
        <v>404</v>
      </c>
    </row>
    <row r="188" spans="1:12" ht="60" x14ac:dyDescent="0.2">
      <c r="A188" s="722">
        <v>183</v>
      </c>
      <c r="B188" s="431">
        <v>44866</v>
      </c>
      <c r="C188" s="415" t="s">
        <v>468</v>
      </c>
      <c r="D188" s="415" t="s">
        <v>468</v>
      </c>
      <c r="E188" s="425">
        <v>17.399999999999999</v>
      </c>
      <c r="F188" s="415" t="s">
        <v>468</v>
      </c>
      <c r="G188" s="427" t="s">
        <v>1461</v>
      </c>
      <c r="H188" s="427" t="s">
        <v>9083</v>
      </c>
      <c r="I188" s="415" t="s">
        <v>310</v>
      </c>
      <c r="J188" s="654" t="str">
        <f t="shared" si="6"/>
        <v>Gastos_custeados_por_captação</v>
      </c>
      <c r="K188" s="655">
        <f>IF(B188="","",IF(YEAR(B188)='Diário 1º PA'!$Q$1,MONTH(B188)-'Diário 1º PA'!$P$1+1,(YEAR(B188)-'Diário 1º PA'!$Q$1)*12-'Diário 1º PA'!$P$1+1+MONTH(B188)))</f>
        <v>11</v>
      </c>
      <c r="L188" s="415" t="s">
        <v>404</v>
      </c>
    </row>
    <row r="189" spans="1:12" ht="60" x14ac:dyDescent="0.2">
      <c r="A189" s="722">
        <v>184</v>
      </c>
      <c r="B189" s="431">
        <v>44866</v>
      </c>
      <c r="C189" s="415" t="s">
        <v>468</v>
      </c>
      <c r="D189" s="415" t="s">
        <v>468</v>
      </c>
      <c r="E189" s="425">
        <v>744</v>
      </c>
      <c r="F189" s="415" t="s">
        <v>468</v>
      </c>
      <c r="G189" s="427" t="s">
        <v>1461</v>
      </c>
      <c r="H189" s="427" t="s">
        <v>9084</v>
      </c>
      <c r="I189" s="415" t="s">
        <v>310</v>
      </c>
      <c r="J189" s="654" t="str">
        <f t="shared" si="6"/>
        <v>Gastos_custeados_por_captação</v>
      </c>
      <c r="K189" s="655">
        <f>IF(B189="","",IF(YEAR(B189)='Diário 1º PA'!$Q$1,MONTH(B189)-'Diário 1º PA'!$P$1+1,(YEAR(B189)-'Diário 1º PA'!$Q$1)*12-'Diário 1º PA'!$P$1+1+MONTH(B189)))</f>
        <v>11</v>
      </c>
      <c r="L189" s="415" t="s">
        <v>404</v>
      </c>
    </row>
    <row r="190" spans="1:12" ht="72" x14ac:dyDescent="0.2">
      <c r="A190" s="722">
        <v>185</v>
      </c>
      <c r="B190" s="431">
        <v>44896</v>
      </c>
      <c r="C190" s="415" t="s">
        <v>468</v>
      </c>
      <c r="D190" s="415" t="s">
        <v>468</v>
      </c>
      <c r="E190" s="425">
        <v>2880</v>
      </c>
      <c r="F190" s="415" t="s">
        <v>468</v>
      </c>
      <c r="G190" s="427" t="s">
        <v>7695</v>
      </c>
      <c r="H190" s="427" t="s">
        <v>7693</v>
      </c>
      <c r="I190" s="415" t="s">
        <v>7694</v>
      </c>
      <c r="J190" s="654" t="str">
        <f t="shared" si="6"/>
        <v>Gastos_custeados_por_captação</v>
      </c>
      <c r="K190" s="655">
        <f>IF(B190="","",IF(YEAR(B190)='Diário 1º PA'!$Q$1,MONTH(B190)-'Diário 1º PA'!$P$1+1,(YEAR(B190)-'Diário 1º PA'!$Q$1)*12-'Diário 1º PA'!$P$1+1+MONTH(B190)))</f>
        <v>12</v>
      </c>
      <c r="L190" s="415" t="s">
        <v>404</v>
      </c>
    </row>
    <row r="191" spans="1:12" ht="72" x14ac:dyDescent="0.2">
      <c r="A191" s="722">
        <v>186</v>
      </c>
      <c r="B191" s="431">
        <v>44562</v>
      </c>
      <c r="C191" s="415" t="s">
        <v>468</v>
      </c>
      <c r="D191" s="415" t="s">
        <v>468</v>
      </c>
      <c r="E191" s="425">
        <v>1536</v>
      </c>
      <c r="F191" s="415" t="s">
        <v>468</v>
      </c>
      <c r="G191" s="427" t="s">
        <v>7695</v>
      </c>
      <c r="H191" s="427" t="s">
        <v>7693</v>
      </c>
      <c r="I191" s="415" t="s">
        <v>7694</v>
      </c>
      <c r="J191" s="654" t="str">
        <f t="shared" si="6"/>
        <v>Gastos_custeados_por_captação</v>
      </c>
      <c r="K191" s="655">
        <f>IF(B191="","",IF(YEAR(B191)='Diário 1º PA'!$Q$1,MONTH(B191)-'Diário 1º PA'!$P$1+1,(YEAR(B191)-'Diário 1º PA'!$Q$1)*12-'Diário 1º PA'!$P$1+1+MONTH(B191)))</f>
        <v>1</v>
      </c>
      <c r="L191" s="415" t="s">
        <v>404</v>
      </c>
    </row>
    <row r="192" spans="1:12" ht="60" x14ac:dyDescent="0.2">
      <c r="A192" s="722">
        <v>187</v>
      </c>
      <c r="B192" s="431">
        <v>44866</v>
      </c>
      <c r="C192" s="415" t="s">
        <v>468</v>
      </c>
      <c r="D192" s="415" t="s">
        <v>468</v>
      </c>
      <c r="E192" s="425">
        <v>120</v>
      </c>
      <c r="F192" s="415" t="s">
        <v>468</v>
      </c>
      <c r="G192" s="427" t="s">
        <v>764</v>
      </c>
      <c r="H192" s="427" t="s">
        <v>9065</v>
      </c>
      <c r="I192" s="415" t="s">
        <v>310</v>
      </c>
      <c r="J192" s="654" t="str">
        <f t="shared" si="6"/>
        <v>Gastos_custeados_por_captação</v>
      </c>
      <c r="K192" s="655">
        <f>IF(B192="","",IF(YEAR(B192)='Diário 1º PA'!$Q$1,MONTH(B192)-'Diário 1º PA'!$P$1+1,(YEAR(B192)-'Diário 1º PA'!$Q$1)*12-'Diário 1º PA'!$P$1+1+MONTH(B192)))</f>
        <v>11</v>
      </c>
      <c r="L192" s="415" t="s">
        <v>404</v>
      </c>
    </row>
    <row r="193" spans="1:12" ht="60" x14ac:dyDescent="0.2">
      <c r="A193" s="722">
        <v>188</v>
      </c>
      <c r="B193" s="431">
        <v>44866</v>
      </c>
      <c r="C193" s="415" t="s">
        <v>468</v>
      </c>
      <c r="D193" s="415" t="s">
        <v>468</v>
      </c>
      <c r="E193" s="425">
        <v>17.399999999999999</v>
      </c>
      <c r="F193" s="415" t="s">
        <v>468</v>
      </c>
      <c r="G193" s="427" t="s">
        <v>1461</v>
      </c>
      <c r="H193" s="427" t="s">
        <v>9066</v>
      </c>
      <c r="I193" s="415" t="s">
        <v>310</v>
      </c>
      <c r="J193" s="654" t="str">
        <f t="shared" si="6"/>
        <v>Gastos_custeados_por_captação</v>
      </c>
      <c r="K193" s="655">
        <f>IF(B193="","",IF(YEAR(B193)='Diário 1º PA'!$Q$1,MONTH(B193)-'Diário 1º PA'!$P$1+1,(YEAR(B193)-'Diário 1º PA'!$Q$1)*12-'Diário 1º PA'!$P$1+1+MONTH(B193)))</f>
        <v>11</v>
      </c>
      <c r="L193" s="415" t="s">
        <v>404</v>
      </c>
    </row>
    <row r="194" spans="1:12" ht="60" x14ac:dyDescent="0.2">
      <c r="A194" s="722">
        <v>189</v>
      </c>
      <c r="B194" s="431">
        <v>44866</v>
      </c>
      <c r="C194" s="415" t="s">
        <v>468</v>
      </c>
      <c r="D194" s="415" t="s">
        <v>468</v>
      </c>
      <c r="E194" s="425">
        <v>744</v>
      </c>
      <c r="F194" s="415" t="s">
        <v>468</v>
      </c>
      <c r="G194" s="427" t="s">
        <v>1461</v>
      </c>
      <c r="H194" s="427" t="s">
        <v>9067</v>
      </c>
      <c r="I194" s="415" t="s">
        <v>310</v>
      </c>
      <c r="J194" s="654" t="str">
        <f t="shared" si="6"/>
        <v>Gastos_custeados_por_captação</v>
      </c>
      <c r="K194" s="655">
        <f>IF(B194="","",IF(YEAR(B194)='Diário 1º PA'!$Q$1,MONTH(B194)-'Diário 1º PA'!$P$1+1,(YEAR(B194)-'Diário 1º PA'!$Q$1)*12-'Diário 1º PA'!$P$1+1+MONTH(B194)))</f>
        <v>11</v>
      </c>
      <c r="L194" s="415" t="s">
        <v>404</v>
      </c>
    </row>
    <row r="195" spans="1:12" ht="72" x14ac:dyDescent="0.2">
      <c r="A195" s="722">
        <v>190</v>
      </c>
      <c r="B195" s="431">
        <v>44896</v>
      </c>
      <c r="C195" s="415" t="s">
        <v>468</v>
      </c>
      <c r="D195" s="415" t="s">
        <v>468</v>
      </c>
      <c r="E195" s="425">
        <v>2880</v>
      </c>
      <c r="F195" s="415" t="s">
        <v>468</v>
      </c>
      <c r="G195" s="427" t="s">
        <v>7702</v>
      </c>
      <c r="H195" s="427" t="s">
        <v>7698</v>
      </c>
      <c r="I195" s="415" t="s">
        <v>7699</v>
      </c>
      <c r="J195" s="654" t="str">
        <f t="shared" si="6"/>
        <v>Gastos_custeados_por_captação</v>
      </c>
      <c r="K195" s="655">
        <f>IF(B195="","",IF(YEAR(B195)='Diário 1º PA'!$Q$1,MONTH(B195)-'Diário 1º PA'!$P$1+1,(YEAR(B195)-'Diário 1º PA'!$Q$1)*12-'Diário 1º PA'!$P$1+1+MONTH(B195)))</f>
        <v>12</v>
      </c>
      <c r="L195" s="415" t="s">
        <v>404</v>
      </c>
    </row>
    <row r="196" spans="1:12" ht="72" x14ac:dyDescent="0.2">
      <c r="A196" s="722">
        <v>191</v>
      </c>
      <c r="B196" s="431">
        <v>44562</v>
      </c>
      <c r="C196" s="415" t="s">
        <v>468</v>
      </c>
      <c r="D196" s="415" t="s">
        <v>468</v>
      </c>
      <c r="E196" s="425">
        <v>1536</v>
      </c>
      <c r="F196" s="415" t="s">
        <v>468</v>
      </c>
      <c r="G196" s="427" t="s">
        <v>7702</v>
      </c>
      <c r="H196" s="427" t="s">
        <v>7698</v>
      </c>
      <c r="I196" s="415" t="s">
        <v>7699</v>
      </c>
      <c r="J196" s="654" t="str">
        <f t="shared" si="6"/>
        <v>Gastos_custeados_por_captação</v>
      </c>
      <c r="K196" s="655">
        <f>IF(B196="","",IF(YEAR(B196)='Diário 1º PA'!$Q$1,MONTH(B196)-'Diário 1º PA'!$P$1+1,(YEAR(B196)-'Diário 1º PA'!$Q$1)*12-'Diário 1º PA'!$P$1+1+MONTH(B196)))</f>
        <v>1</v>
      </c>
      <c r="L196" s="415" t="s">
        <v>404</v>
      </c>
    </row>
    <row r="197" spans="1:12" ht="60" x14ac:dyDescent="0.2">
      <c r="A197" s="722">
        <v>192</v>
      </c>
      <c r="B197" s="431">
        <v>44866</v>
      </c>
      <c r="C197" s="415" t="s">
        <v>468</v>
      </c>
      <c r="D197" s="415" t="s">
        <v>468</v>
      </c>
      <c r="E197" s="425">
        <v>120</v>
      </c>
      <c r="F197" s="415" t="s">
        <v>468</v>
      </c>
      <c r="G197" s="427" t="s">
        <v>764</v>
      </c>
      <c r="H197" s="427" t="s">
        <v>9072</v>
      </c>
      <c r="I197" s="415" t="s">
        <v>310</v>
      </c>
      <c r="J197" s="654" t="str">
        <f t="shared" si="6"/>
        <v>Gastos_custeados_por_captação</v>
      </c>
      <c r="K197" s="655">
        <f>IF(B197="","",IF(YEAR(B197)='Diário 1º PA'!$Q$1,MONTH(B197)-'Diário 1º PA'!$P$1+1,(YEAR(B197)-'Diário 1º PA'!$Q$1)*12-'Diário 1º PA'!$P$1+1+MONTH(B197)))</f>
        <v>11</v>
      </c>
      <c r="L197" s="415" t="s">
        <v>404</v>
      </c>
    </row>
    <row r="198" spans="1:12" ht="60" x14ac:dyDescent="0.2">
      <c r="A198" s="722">
        <v>193</v>
      </c>
      <c r="B198" s="431">
        <v>44866</v>
      </c>
      <c r="C198" s="415" t="s">
        <v>468</v>
      </c>
      <c r="D198" s="415" t="s">
        <v>468</v>
      </c>
      <c r="E198" s="425">
        <v>17.399999999999999</v>
      </c>
      <c r="F198" s="415" t="s">
        <v>468</v>
      </c>
      <c r="G198" s="427" t="s">
        <v>1461</v>
      </c>
      <c r="H198" s="427" t="s">
        <v>9073</v>
      </c>
      <c r="I198" s="415" t="s">
        <v>310</v>
      </c>
      <c r="J198" s="654" t="str">
        <f t="shared" si="6"/>
        <v>Gastos_custeados_por_captação</v>
      </c>
      <c r="K198" s="655">
        <f>IF(B198="","",IF(YEAR(B198)='Diário 1º PA'!$Q$1,MONTH(B198)-'Diário 1º PA'!$P$1+1,(YEAR(B198)-'Diário 1º PA'!$Q$1)*12-'Diário 1º PA'!$P$1+1+MONTH(B198)))</f>
        <v>11</v>
      </c>
      <c r="L198" s="415" t="s">
        <v>404</v>
      </c>
    </row>
    <row r="199" spans="1:12" ht="60" x14ac:dyDescent="0.2">
      <c r="A199" s="722">
        <v>194</v>
      </c>
      <c r="B199" s="431">
        <v>44866</v>
      </c>
      <c r="C199" s="415" t="s">
        <v>468</v>
      </c>
      <c r="D199" s="415" t="s">
        <v>468</v>
      </c>
      <c r="E199" s="425">
        <v>744</v>
      </c>
      <c r="F199" s="415" t="s">
        <v>468</v>
      </c>
      <c r="G199" s="427" t="s">
        <v>1461</v>
      </c>
      <c r="H199" s="427" t="s">
        <v>9074</v>
      </c>
      <c r="I199" s="415" t="s">
        <v>310</v>
      </c>
      <c r="J199" s="654" t="str">
        <f t="shared" si="6"/>
        <v>Gastos_custeados_por_captação</v>
      </c>
      <c r="K199" s="655">
        <f>IF(B199="","",IF(YEAR(B199)='Diário 1º PA'!$Q$1,MONTH(B199)-'Diário 1º PA'!$P$1+1,(YEAR(B199)-'Diário 1º PA'!$Q$1)*12-'Diário 1º PA'!$P$1+1+MONTH(B199)))</f>
        <v>11</v>
      </c>
      <c r="L199" s="415" t="s">
        <v>404</v>
      </c>
    </row>
    <row r="200" spans="1:12" ht="72" x14ac:dyDescent="0.2">
      <c r="A200" s="722">
        <v>195</v>
      </c>
      <c r="B200" s="431">
        <v>44896</v>
      </c>
      <c r="C200" s="415" t="s">
        <v>468</v>
      </c>
      <c r="D200" s="415" t="s">
        <v>468</v>
      </c>
      <c r="E200" s="425">
        <v>2880</v>
      </c>
      <c r="F200" s="415" t="s">
        <v>468</v>
      </c>
      <c r="G200" s="427" t="s">
        <v>7700</v>
      </c>
      <c r="H200" s="427" t="s">
        <v>7698</v>
      </c>
      <c r="I200" s="415" t="s">
        <v>7701</v>
      </c>
      <c r="J200" s="654" t="str">
        <f t="shared" si="6"/>
        <v>Gastos_custeados_por_captação</v>
      </c>
      <c r="K200" s="655">
        <f>IF(B200="","",IF(YEAR(B200)='Diário 1º PA'!$Q$1,MONTH(B200)-'Diário 1º PA'!$P$1+1,(YEAR(B200)-'Diário 1º PA'!$Q$1)*12-'Diário 1º PA'!$P$1+1+MONTH(B200)))</f>
        <v>12</v>
      </c>
      <c r="L200" s="415" t="s">
        <v>404</v>
      </c>
    </row>
    <row r="201" spans="1:12" ht="72" x14ac:dyDescent="0.2">
      <c r="A201" s="722">
        <v>196</v>
      </c>
      <c r="B201" s="431">
        <v>44562</v>
      </c>
      <c r="C201" s="415" t="s">
        <v>468</v>
      </c>
      <c r="D201" s="415" t="s">
        <v>468</v>
      </c>
      <c r="E201" s="425">
        <v>1536</v>
      </c>
      <c r="F201" s="415" t="s">
        <v>468</v>
      </c>
      <c r="G201" s="427" t="s">
        <v>7700</v>
      </c>
      <c r="H201" s="427" t="s">
        <v>7698</v>
      </c>
      <c r="I201" s="415" t="s">
        <v>7701</v>
      </c>
      <c r="J201" s="654" t="str">
        <f t="shared" si="6"/>
        <v>Gastos_custeados_por_captação</v>
      </c>
      <c r="K201" s="655">
        <f>IF(B201="","",IF(YEAR(B201)='Diário 1º PA'!$Q$1,MONTH(B201)-'Diário 1º PA'!$P$1+1,(YEAR(B201)-'Diário 1º PA'!$Q$1)*12-'Diário 1º PA'!$P$1+1+MONTH(B201)))</f>
        <v>1</v>
      </c>
      <c r="L201" s="415" t="s">
        <v>404</v>
      </c>
    </row>
    <row r="202" spans="1:12" ht="60" x14ac:dyDescent="0.2">
      <c r="A202" s="722">
        <v>197</v>
      </c>
      <c r="B202" s="431">
        <v>44866</v>
      </c>
      <c r="C202" s="415" t="s">
        <v>468</v>
      </c>
      <c r="D202" s="415" t="s">
        <v>468</v>
      </c>
      <c r="E202" s="425">
        <v>120</v>
      </c>
      <c r="F202" s="415" t="s">
        <v>468</v>
      </c>
      <c r="G202" s="427" t="s">
        <v>764</v>
      </c>
      <c r="H202" s="427" t="s">
        <v>9076</v>
      </c>
      <c r="I202" s="415" t="s">
        <v>310</v>
      </c>
      <c r="J202" s="654" t="str">
        <f t="shared" si="6"/>
        <v>Gastos_custeados_por_captação</v>
      </c>
      <c r="K202" s="655">
        <f>IF(B202="","",IF(YEAR(B202)='Diário 1º PA'!$Q$1,MONTH(B202)-'Diário 1º PA'!$P$1+1,(YEAR(B202)-'Diário 1º PA'!$Q$1)*12-'Diário 1º PA'!$P$1+1+MONTH(B202)))</f>
        <v>11</v>
      </c>
      <c r="L202" s="415" t="s">
        <v>404</v>
      </c>
    </row>
    <row r="203" spans="1:12" ht="60" x14ac:dyDescent="0.2">
      <c r="A203" s="722">
        <v>198</v>
      </c>
      <c r="B203" s="431">
        <v>44866</v>
      </c>
      <c r="C203" s="415" t="s">
        <v>468</v>
      </c>
      <c r="D203" s="415" t="s">
        <v>468</v>
      </c>
      <c r="E203" s="425">
        <v>17.399999999999999</v>
      </c>
      <c r="F203" s="415" t="s">
        <v>468</v>
      </c>
      <c r="G203" s="427" t="s">
        <v>1461</v>
      </c>
      <c r="H203" s="427" t="s">
        <v>9077</v>
      </c>
      <c r="I203" s="415" t="s">
        <v>310</v>
      </c>
      <c r="J203" s="654" t="str">
        <f t="shared" si="6"/>
        <v>Gastos_custeados_por_captação</v>
      </c>
      <c r="K203" s="655">
        <f>IF(B203="","",IF(YEAR(B203)='Diário 1º PA'!$Q$1,MONTH(B203)-'Diário 1º PA'!$P$1+1,(YEAR(B203)-'Diário 1º PA'!$Q$1)*12-'Diário 1º PA'!$P$1+1+MONTH(B203)))</f>
        <v>11</v>
      </c>
      <c r="L203" s="415" t="s">
        <v>404</v>
      </c>
    </row>
    <row r="204" spans="1:12" ht="60" x14ac:dyDescent="0.2">
      <c r="A204" s="722">
        <v>199</v>
      </c>
      <c r="B204" s="431">
        <v>44866</v>
      </c>
      <c r="C204" s="415" t="s">
        <v>468</v>
      </c>
      <c r="D204" s="415" t="s">
        <v>468</v>
      </c>
      <c r="E204" s="425">
        <v>744</v>
      </c>
      <c r="F204" s="415" t="s">
        <v>468</v>
      </c>
      <c r="G204" s="427" t="s">
        <v>1461</v>
      </c>
      <c r="H204" s="427" t="s">
        <v>9078</v>
      </c>
      <c r="I204" s="415" t="s">
        <v>310</v>
      </c>
      <c r="J204" s="654" t="str">
        <f t="shared" si="6"/>
        <v>Gastos_custeados_por_captação</v>
      </c>
      <c r="K204" s="655">
        <f>IF(B204="","",IF(YEAR(B204)='Diário 1º PA'!$Q$1,MONTH(B204)-'Diário 1º PA'!$P$1+1,(YEAR(B204)-'Diário 1º PA'!$Q$1)*12-'Diário 1º PA'!$P$1+1+MONTH(B204)))</f>
        <v>11</v>
      </c>
      <c r="L204" s="415" t="s">
        <v>404</v>
      </c>
    </row>
    <row r="205" spans="1:12" ht="72" x14ac:dyDescent="0.2">
      <c r="A205" s="722">
        <v>200</v>
      </c>
      <c r="B205" s="431">
        <v>44896</v>
      </c>
      <c r="C205" s="415" t="s">
        <v>468</v>
      </c>
      <c r="D205" s="415" t="s">
        <v>468</v>
      </c>
      <c r="E205" s="425">
        <v>2880</v>
      </c>
      <c r="F205" s="415" t="s">
        <v>468</v>
      </c>
      <c r="G205" s="427" t="s">
        <v>7703</v>
      </c>
      <c r="H205" s="427" t="s">
        <v>7698</v>
      </c>
      <c r="I205" s="415" t="s">
        <v>7704</v>
      </c>
      <c r="J205" s="654" t="str">
        <f t="shared" ref="J205:J261" si="7">SUBSTITUTE(C205," ","_")</f>
        <v>Gastos_custeados_por_captação</v>
      </c>
      <c r="K205" s="655">
        <f>IF(B205="","",IF(YEAR(B205)='Diário 1º PA'!$Q$1,MONTH(B205)-'Diário 1º PA'!$P$1+1,(YEAR(B205)-'Diário 1º PA'!$Q$1)*12-'Diário 1º PA'!$P$1+1+MONTH(B205)))</f>
        <v>12</v>
      </c>
      <c r="L205" s="415" t="s">
        <v>404</v>
      </c>
    </row>
    <row r="206" spans="1:12" ht="72" x14ac:dyDescent="0.2">
      <c r="A206" s="722">
        <v>201</v>
      </c>
      <c r="B206" s="431">
        <v>44562</v>
      </c>
      <c r="C206" s="415" t="s">
        <v>468</v>
      </c>
      <c r="D206" s="415" t="s">
        <v>468</v>
      </c>
      <c r="E206" s="425">
        <v>1536</v>
      </c>
      <c r="F206" s="415" t="s">
        <v>468</v>
      </c>
      <c r="G206" s="427" t="s">
        <v>7703</v>
      </c>
      <c r="H206" s="427" t="s">
        <v>7698</v>
      </c>
      <c r="I206" s="415" t="s">
        <v>7704</v>
      </c>
      <c r="J206" s="654" t="str">
        <f t="shared" si="7"/>
        <v>Gastos_custeados_por_captação</v>
      </c>
      <c r="K206" s="655">
        <f>IF(B206="","",IF(YEAR(B206)='Diário 1º PA'!$Q$1,MONTH(B206)-'Diário 1º PA'!$P$1+1,(YEAR(B206)-'Diário 1º PA'!$Q$1)*12-'Diário 1º PA'!$P$1+1+MONTH(B206)))</f>
        <v>1</v>
      </c>
      <c r="L206" s="415" t="s">
        <v>404</v>
      </c>
    </row>
    <row r="207" spans="1:12" ht="60" x14ac:dyDescent="0.2">
      <c r="A207" s="722">
        <v>202</v>
      </c>
      <c r="B207" s="431">
        <v>44866</v>
      </c>
      <c r="C207" s="415" t="s">
        <v>468</v>
      </c>
      <c r="D207" s="415" t="s">
        <v>468</v>
      </c>
      <c r="E207" s="425">
        <v>120</v>
      </c>
      <c r="F207" s="415" t="s">
        <v>468</v>
      </c>
      <c r="G207" s="427" t="s">
        <v>764</v>
      </c>
      <c r="H207" s="427" t="s">
        <v>9068</v>
      </c>
      <c r="I207" s="415" t="s">
        <v>310</v>
      </c>
      <c r="J207" s="654" t="str">
        <f t="shared" si="7"/>
        <v>Gastos_custeados_por_captação</v>
      </c>
      <c r="K207" s="655">
        <f>IF(B207="","",IF(YEAR(B207)='Diário 1º PA'!$Q$1,MONTH(B207)-'Diário 1º PA'!$P$1+1,(YEAR(B207)-'Diário 1º PA'!$Q$1)*12-'Diário 1º PA'!$P$1+1+MONTH(B207)))</f>
        <v>11</v>
      </c>
      <c r="L207" s="415" t="s">
        <v>404</v>
      </c>
    </row>
    <row r="208" spans="1:12" ht="60" x14ac:dyDescent="0.2">
      <c r="A208" s="722">
        <v>203</v>
      </c>
      <c r="B208" s="431">
        <v>44866</v>
      </c>
      <c r="C208" s="415" t="s">
        <v>468</v>
      </c>
      <c r="D208" s="415" t="s">
        <v>468</v>
      </c>
      <c r="E208" s="425">
        <v>17.399999999999999</v>
      </c>
      <c r="F208" s="415" t="s">
        <v>468</v>
      </c>
      <c r="G208" s="427" t="s">
        <v>1461</v>
      </c>
      <c r="H208" s="427" t="s">
        <v>9069</v>
      </c>
      <c r="I208" s="415" t="s">
        <v>310</v>
      </c>
      <c r="J208" s="654" t="str">
        <f t="shared" si="7"/>
        <v>Gastos_custeados_por_captação</v>
      </c>
      <c r="K208" s="655">
        <f>IF(B208="","",IF(YEAR(B208)='Diário 1º PA'!$Q$1,MONTH(B208)-'Diário 1º PA'!$P$1+1,(YEAR(B208)-'Diário 1º PA'!$Q$1)*12-'Diário 1º PA'!$P$1+1+MONTH(B208)))</f>
        <v>11</v>
      </c>
      <c r="L208" s="415" t="s">
        <v>404</v>
      </c>
    </row>
    <row r="209" spans="1:12" ht="60" x14ac:dyDescent="0.2">
      <c r="A209" s="722">
        <v>204</v>
      </c>
      <c r="B209" s="431">
        <v>44866</v>
      </c>
      <c r="C209" s="415" t="s">
        <v>468</v>
      </c>
      <c r="D209" s="415" t="s">
        <v>468</v>
      </c>
      <c r="E209" s="425">
        <v>744</v>
      </c>
      <c r="F209" s="415" t="s">
        <v>468</v>
      </c>
      <c r="G209" s="427" t="s">
        <v>1461</v>
      </c>
      <c r="H209" s="427" t="s">
        <v>9070</v>
      </c>
      <c r="I209" s="415" t="s">
        <v>310</v>
      </c>
      <c r="J209" s="654" t="str">
        <f t="shared" si="7"/>
        <v>Gastos_custeados_por_captação</v>
      </c>
      <c r="K209" s="655">
        <f>IF(B209="","",IF(YEAR(B209)='Diário 1º PA'!$Q$1,MONTH(B209)-'Diário 1º PA'!$P$1+1,(YEAR(B209)-'Diário 1º PA'!$Q$1)*12-'Diário 1º PA'!$P$1+1+MONTH(B209)))</f>
        <v>11</v>
      </c>
      <c r="L209" s="415" t="s">
        <v>404</v>
      </c>
    </row>
    <row r="210" spans="1:12" ht="72" x14ac:dyDescent="0.2">
      <c r="A210" s="722">
        <v>205</v>
      </c>
      <c r="B210" s="431">
        <v>44896</v>
      </c>
      <c r="C210" s="415" t="s">
        <v>468</v>
      </c>
      <c r="D210" s="415" t="s">
        <v>468</v>
      </c>
      <c r="E210" s="425">
        <v>2880</v>
      </c>
      <c r="F210" s="415" t="s">
        <v>468</v>
      </c>
      <c r="G210" s="427" t="s">
        <v>7705</v>
      </c>
      <c r="H210" s="427" t="s">
        <v>7698</v>
      </c>
      <c r="I210" s="415" t="s">
        <v>7706</v>
      </c>
      <c r="J210" s="654" t="str">
        <f t="shared" si="7"/>
        <v>Gastos_custeados_por_captação</v>
      </c>
      <c r="K210" s="655">
        <f>IF(B210="","",IF(YEAR(B210)='Diário 1º PA'!$Q$1,MONTH(B210)-'Diário 1º PA'!$P$1+1,(YEAR(B210)-'Diário 1º PA'!$Q$1)*12-'Diário 1º PA'!$P$1+1+MONTH(B210)))</f>
        <v>12</v>
      </c>
      <c r="L210" s="415" t="s">
        <v>404</v>
      </c>
    </row>
    <row r="211" spans="1:12" ht="72" x14ac:dyDescent="0.2">
      <c r="A211" s="722">
        <v>206</v>
      </c>
      <c r="B211" s="431">
        <v>44562</v>
      </c>
      <c r="C211" s="415" t="s">
        <v>468</v>
      </c>
      <c r="D211" s="415" t="s">
        <v>468</v>
      </c>
      <c r="E211" s="425">
        <v>1536</v>
      </c>
      <c r="F211" s="415" t="s">
        <v>468</v>
      </c>
      <c r="G211" s="427" t="s">
        <v>7705</v>
      </c>
      <c r="H211" s="427" t="s">
        <v>7698</v>
      </c>
      <c r="I211" s="415" t="s">
        <v>7706</v>
      </c>
      <c r="J211" s="654" t="str">
        <f t="shared" si="7"/>
        <v>Gastos_custeados_por_captação</v>
      </c>
      <c r="K211" s="655">
        <f>IF(B211="","",IF(YEAR(B211)='Diário 1º PA'!$Q$1,MONTH(B211)-'Diário 1º PA'!$P$1+1,(YEAR(B211)-'Diário 1º PA'!$Q$1)*12-'Diário 1º PA'!$P$1+1+MONTH(B211)))</f>
        <v>1</v>
      </c>
      <c r="L211" s="415" t="s">
        <v>404</v>
      </c>
    </row>
    <row r="212" spans="1:12" ht="36" x14ac:dyDescent="0.2">
      <c r="A212" s="722">
        <v>207</v>
      </c>
      <c r="B212" s="431">
        <v>44835</v>
      </c>
      <c r="C212" s="415" t="s">
        <v>271</v>
      </c>
      <c r="D212" s="434" t="s">
        <v>62</v>
      </c>
      <c r="E212" s="425">
        <v>1795.5</v>
      </c>
      <c r="F212" s="415" t="s">
        <v>757</v>
      </c>
      <c r="G212" s="427" t="s">
        <v>7712</v>
      </c>
      <c r="H212" s="427" t="s">
        <v>7711</v>
      </c>
      <c r="I212" s="415" t="s">
        <v>2600</v>
      </c>
      <c r="J212" s="654" t="str">
        <f t="shared" si="7"/>
        <v>Gastos_Gerais</v>
      </c>
      <c r="K212" s="655">
        <f>IF(B212="","",IF(YEAR(B212)='Diário 1º PA'!$Q$1,MONTH(B212)-'Diário 1º PA'!$P$1+1,(YEAR(B212)-'Diário 1º PA'!$Q$1)*12-'Diário 1º PA'!$P$1+1+MONTH(B212)))</f>
        <v>10</v>
      </c>
      <c r="L212" s="415" t="s">
        <v>400</v>
      </c>
    </row>
    <row r="213" spans="1:12" ht="60" x14ac:dyDescent="0.2">
      <c r="A213" s="722">
        <v>208</v>
      </c>
      <c r="B213" s="431">
        <v>44835</v>
      </c>
      <c r="C213" s="419" t="s">
        <v>468</v>
      </c>
      <c r="D213" s="419" t="s">
        <v>468</v>
      </c>
      <c r="E213" s="425">
        <v>418.5</v>
      </c>
      <c r="F213" s="419" t="s">
        <v>468</v>
      </c>
      <c r="G213" s="427" t="s">
        <v>1461</v>
      </c>
      <c r="H213" s="427" t="s">
        <v>8273</v>
      </c>
      <c r="I213" s="415" t="s">
        <v>310</v>
      </c>
      <c r="J213" s="654" t="str">
        <f t="shared" si="7"/>
        <v>Gastos_custeados_por_captação</v>
      </c>
      <c r="K213" s="655">
        <f>IF(B213="","",IF(YEAR(B213)='Diário 1º PA'!$Q$1,MONTH(B213)-'Diário 1º PA'!$P$1+1,(YEAR(B213)-'Diário 1º PA'!$Q$1)*12-'Diário 1º PA'!$P$1+1+MONTH(B213)))</f>
        <v>10</v>
      </c>
      <c r="L213" s="415" t="s">
        <v>405</v>
      </c>
    </row>
    <row r="214" spans="1:12" ht="96" x14ac:dyDescent="0.2">
      <c r="A214" s="722">
        <v>209</v>
      </c>
      <c r="B214" s="431">
        <v>44835</v>
      </c>
      <c r="C214" s="419" t="s">
        <v>468</v>
      </c>
      <c r="D214" s="419" t="s">
        <v>468</v>
      </c>
      <c r="E214" s="425">
        <v>300</v>
      </c>
      <c r="F214" s="419" t="s">
        <v>468</v>
      </c>
      <c r="G214" s="427" t="s">
        <v>7847</v>
      </c>
      <c r="H214" s="427" t="s">
        <v>7851</v>
      </c>
      <c r="I214" s="415" t="s">
        <v>7848</v>
      </c>
      <c r="J214" s="654" t="str">
        <f t="shared" si="7"/>
        <v>Gastos_custeados_por_captação</v>
      </c>
      <c r="K214" s="655">
        <f>IF(B214="","",IF(YEAR(B214)='Diário 1º PA'!$Q$1,MONTH(B214)-'Diário 1º PA'!$P$1+1,(YEAR(B214)-'Diário 1º PA'!$Q$1)*12-'Diário 1º PA'!$P$1+1+MONTH(B214)))</f>
        <v>10</v>
      </c>
      <c r="L214" s="415" t="s">
        <v>405</v>
      </c>
    </row>
    <row r="215" spans="1:12" ht="60" x14ac:dyDescent="0.2">
      <c r="A215" s="722">
        <v>210</v>
      </c>
      <c r="B215" s="431">
        <v>44835</v>
      </c>
      <c r="C215" s="419" t="s">
        <v>468</v>
      </c>
      <c r="D215" s="419" t="s">
        <v>468</v>
      </c>
      <c r="E215" s="425">
        <v>387.5</v>
      </c>
      <c r="F215" s="419" t="s">
        <v>468</v>
      </c>
      <c r="G215" s="427" t="s">
        <v>1461</v>
      </c>
      <c r="H215" s="427" t="s">
        <v>8278</v>
      </c>
      <c r="I215" s="415" t="s">
        <v>310</v>
      </c>
      <c r="J215" s="654" t="str">
        <f t="shared" si="7"/>
        <v>Gastos_custeados_por_captação</v>
      </c>
      <c r="K215" s="655">
        <f>IF(B215="","",IF(YEAR(B215)='Diário 1º PA'!$Q$1,MONTH(B215)-'Diário 1º PA'!$P$1+1,(YEAR(B215)-'Diário 1º PA'!$Q$1)*12-'Diário 1º PA'!$P$1+1+MONTH(B215)))</f>
        <v>10</v>
      </c>
      <c r="L215" s="415" t="s">
        <v>405</v>
      </c>
    </row>
    <row r="216" spans="1:12" ht="60" x14ac:dyDescent="0.2">
      <c r="A216" s="722">
        <v>211</v>
      </c>
      <c r="B216" s="431">
        <v>44835</v>
      </c>
      <c r="C216" s="415" t="s">
        <v>271</v>
      </c>
      <c r="D216" s="415" t="s">
        <v>466</v>
      </c>
      <c r="E216" s="425">
        <v>3180</v>
      </c>
      <c r="F216" s="415" t="s">
        <v>760</v>
      </c>
      <c r="G216" s="427" t="s">
        <v>7861</v>
      </c>
      <c r="H216" s="427" t="s">
        <v>7862</v>
      </c>
      <c r="I216" s="415" t="s">
        <v>1157</v>
      </c>
      <c r="J216" s="654" t="str">
        <f t="shared" si="7"/>
        <v>Gastos_Gerais</v>
      </c>
      <c r="K216" s="655">
        <f>IF(B216="","",IF(YEAR(B216)='Diário 1º PA'!$Q$1,MONTH(B216)-'Diário 1º PA'!$P$1+1,(YEAR(B216)-'Diário 1º PA'!$Q$1)*12-'Diário 1º PA'!$P$1+1+MONTH(B216)))</f>
        <v>10</v>
      </c>
      <c r="L216" s="415" t="s">
        <v>400</v>
      </c>
    </row>
    <row r="217" spans="1:12" ht="96" x14ac:dyDescent="0.2">
      <c r="A217" s="722">
        <v>212</v>
      </c>
      <c r="B217" s="431">
        <v>44835</v>
      </c>
      <c r="C217" s="415" t="s">
        <v>468</v>
      </c>
      <c r="D217" s="415" t="s">
        <v>468</v>
      </c>
      <c r="E217" s="425">
        <v>2900</v>
      </c>
      <c r="F217" s="415" t="s">
        <v>468</v>
      </c>
      <c r="G217" s="427" t="s">
        <v>7911</v>
      </c>
      <c r="H217" s="427" t="s">
        <v>7912</v>
      </c>
      <c r="I217" s="415" t="s">
        <v>7913</v>
      </c>
      <c r="J217" s="654" t="str">
        <f t="shared" si="7"/>
        <v>Gastos_custeados_por_captação</v>
      </c>
      <c r="K217" s="655">
        <f>IF(B217="","",IF(YEAR(B217)='Diário 1º PA'!$Q$1,MONTH(B217)-'Diário 1º PA'!$P$1+1,(YEAR(B217)-'Diário 1º PA'!$Q$1)*12-'Diário 1º PA'!$P$1+1+MONTH(B217)))</f>
        <v>10</v>
      </c>
      <c r="L217" s="415" t="s">
        <v>3762</v>
      </c>
    </row>
    <row r="218" spans="1:12" ht="60" x14ac:dyDescent="0.2">
      <c r="A218" s="722">
        <v>213</v>
      </c>
      <c r="B218" s="431">
        <v>44835</v>
      </c>
      <c r="C218" s="415" t="s">
        <v>468</v>
      </c>
      <c r="D218" s="415" t="s">
        <v>468</v>
      </c>
      <c r="E218" s="425">
        <v>15000</v>
      </c>
      <c r="F218" s="415" t="s">
        <v>468</v>
      </c>
      <c r="G218" s="427" t="s">
        <v>7915</v>
      </c>
      <c r="H218" s="427" t="s">
        <v>7914</v>
      </c>
      <c r="I218" s="415" t="s">
        <v>3267</v>
      </c>
      <c r="J218" s="654" t="str">
        <f t="shared" si="7"/>
        <v>Gastos_custeados_por_captação</v>
      </c>
      <c r="K218" s="655">
        <f>IF(B218="","",IF(YEAR(B218)='Diário 1º PA'!$Q$1,MONTH(B218)-'Diário 1º PA'!$P$1+1,(YEAR(B218)-'Diário 1º PA'!$Q$1)*12-'Diário 1º PA'!$P$1+1+MONTH(B218)))</f>
        <v>10</v>
      </c>
      <c r="L218" s="415" t="s">
        <v>3762</v>
      </c>
    </row>
    <row r="219" spans="1:12" ht="60" x14ac:dyDescent="0.2">
      <c r="A219" s="722">
        <v>214</v>
      </c>
      <c r="B219" s="431">
        <v>44866</v>
      </c>
      <c r="C219" s="419" t="s">
        <v>468</v>
      </c>
      <c r="D219" s="419" t="s">
        <v>468</v>
      </c>
      <c r="E219" s="425">
        <v>150</v>
      </c>
      <c r="F219" s="415" t="s">
        <v>468</v>
      </c>
      <c r="G219" s="427" t="s">
        <v>764</v>
      </c>
      <c r="H219" s="427" t="s">
        <v>8898</v>
      </c>
      <c r="I219" s="415" t="s">
        <v>310</v>
      </c>
      <c r="J219" s="654" t="str">
        <f t="shared" si="7"/>
        <v>Gastos_custeados_por_captação</v>
      </c>
      <c r="K219" s="655">
        <f>IF(B219="","",IF(YEAR(B219)='Diário 1º PA'!$Q$1,MONTH(B219)-'Diário 1º PA'!$P$1+1,(YEAR(B219)-'Diário 1º PA'!$Q$1)*12-'Diário 1º PA'!$P$1+1+MONTH(B219)))</f>
        <v>11</v>
      </c>
      <c r="L219" s="414" t="s">
        <v>3762</v>
      </c>
    </row>
    <row r="220" spans="1:12" ht="60" x14ac:dyDescent="0.2">
      <c r="A220" s="722">
        <v>215</v>
      </c>
      <c r="B220" s="431">
        <v>44866</v>
      </c>
      <c r="C220" s="419" t="s">
        <v>468</v>
      </c>
      <c r="D220" s="419" t="s">
        <v>468</v>
      </c>
      <c r="E220" s="425">
        <v>57.45</v>
      </c>
      <c r="F220" s="415" t="s">
        <v>468</v>
      </c>
      <c r="G220" s="427" t="s">
        <v>1461</v>
      </c>
      <c r="H220" s="427" t="s">
        <v>8899</v>
      </c>
      <c r="I220" s="415" t="s">
        <v>310</v>
      </c>
      <c r="J220" s="654" t="str">
        <f t="shared" si="7"/>
        <v>Gastos_custeados_por_captação</v>
      </c>
      <c r="K220" s="655">
        <f>IF(B220="","",IF(YEAR(B220)='Diário 1º PA'!$Q$1,MONTH(B220)-'Diário 1º PA'!$P$1+1,(YEAR(B220)-'Diário 1º PA'!$Q$1)*12-'Diário 1º PA'!$P$1+1+MONTH(B220)))</f>
        <v>11</v>
      </c>
      <c r="L220" s="414" t="s">
        <v>3762</v>
      </c>
    </row>
    <row r="221" spans="1:12" ht="60" x14ac:dyDescent="0.2">
      <c r="A221" s="722">
        <v>216</v>
      </c>
      <c r="B221" s="431">
        <v>44866</v>
      </c>
      <c r="C221" s="419" t="s">
        <v>468</v>
      </c>
      <c r="D221" s="419" t="s">
        <v>468</v>
      </c>
      <c r="E221" s="425">
        <v>930</v>
      </c>
      <c r="F221" s="415" t="s">
        <v>468</v>
      </c>
      <c r="G221" s="427" t="s">
        <v>1461</v>
      </c>
      <c r="H221" s="427" t="s">
        <v>8900</v>
      </c>
      <c r="I221" s="415" t="s">
        <v>310</v>
      </c>
      <c r="J221" s="654" t="str">
        <f t="shared" si="7"/>
        <v>Gastos_custeados_por_captação</v>
      </c>
      <c r="K221" s="655">
        <f>IF(B221="","",IF(YEAR(B221)='Diário 1º PA'!$Q$1,MONTH(B221)-'Diário 1º PA'!$P$1+1,(YEAR(B221)-'Diário 1º PA'!$Q$1)*12-'Diário 1º PA'!$P$1+1+MONTH(B221)))</f>
        <v>11</v>
      </c>
      <c r="L221" s="414" t="s">
        <v>3762</v>
      </c>
    </row>
    <row r="222" spans="1:12" ht="60" x14ac:dyDescent="0.2">
      <c r="A222" s="722">
        <v>217</v>
      </c>
      <c r="B222" s="431">
        <v>44896</v>
      </c>
      <c r="C222" s="419" t="s">
        <v>468</v>
      </c>
      <c r="D222" s="419" t="s">
        <v>468</v>
      </c>
      <c r="E222" s="425">
        <v>3600</v>
      </c>
      <c r="F222" s="415" t="s">
        <v>468</v>
      </c>
      <c r="G222" s="427" t="s">
        <v>7946</v>
      </c>
      <c r="H222" s="427" t="s">
        <v>7110</v>
      </c>
      <c r="I222" s="415" t="s">
        <v>7933</v>
      </c>
      <c r="J222" s="654" t="str">
        <f t="shared" si="7"/>
        <v>Gastos_custeados_por_captação</v>
      </c>
      <c r="K222" s="655">
        <f>IF(B222="","",IF(YEAR(B222)='Diário 1º PA'!$Q$1,MONTH(B222)-'Diário 1º PA'!$P$1+1,(YEAR(B222)-'Diário 1º PA'!$Q$1)*12-'Diário 1º PA'!$P$1+1+MONTH(B222)))</f>
        <v>12</v>
      </c>
      <c r="L222" s="414" t="s">
        <v>3762</v>
      </c>
    </row>
    <row r="223" spans="1:12" ht="108" x14ac:dyDescent="0.2">
      <c r="A223" s="722">
        <v>218</v>
      </c>
      <c r="B223" s="431">
        <v>44835</v>
      </c>
      <c r="C223" s="419" t="s">
        <v>468</v>
      </c>
      <c r="D223" s="419" t="s">
        <v>468</v>
      </c>
      <c r="E223" s="425">
        <v>2446.1999999999998</v>
      </c>
      <c r="F223" s="415" t="s">
        <v>468</v>
      </c>
      <c r="G223" s="427" t="s">
        <v>7962</v>
      </c>
      <c r="H223" s="427" t="s">
        <v>7963</v>
      </c>
      <c r="I223" s="415" t="s">
        <v>2600</v>
      </c>
      <c r="J223" s="654" t="str">
        <f t="shared" si="7"/>
        <v>Gastos_custeados_por_captação</v>
      </c>
      <c r="K223" s="655">
        <f>IF(B223="","",IF(YEAR(B223)='Diário 1º PA'!$Q$1,MONTH(B223)-'Diário 1º PA'!$P$1+1,(YEAR(B223)-'Diário 1º PA'!$Q$1)*12-'Diário 1º PA'!$P$1+1+MONTH(B223)))</f>
        <v>10</v>
      </c>
      <c r="L223" s="414" t="s">
        <v>3762</v>
      </c>
    </row>
    <row r="224" spans="1:12" ht="36" x14ac:dyDescent="0.2">
      <c r="A224" s="722">
        <v>219</v>
      </c>
      <c r="B224" s="431">
        <v>44835</v>
      </c>
      <c r="C224" s="419" t="s">
        <v>271</v>
      </c>
      <c r="D224" s="419" t="s">
        <v>465</v>
      </c>
      <c r="E224" s="425">
        <v>8.51</v>
      </c>
      <c r="F224" s="415" t="s">
        <v>751</v>
      </c>
      <c r="G224" s="427" t="s">
        <v>764</v>
      </c>
      <c r="H224" s="427" t="s">
        <v>8891</v>
      </c>
      <c r="I224" s="415" t="s">
        <v>310</v>
      </c>
      <c r="J224" s="654" t="str">
        <f t="shared" si="7"/>
        <v>Gastos_Gerais</v>
      </c>
      <c r="K224" s="655">
        <f>IF(B224="","",IF(YEAR(B224)='Diário 1º PA'!$Q$1,MONTH(B224)-'Diário 1º PA'!$P$1+1,(YEAR(B224)-'Diário 1º PA'!$Q$1)*12-'Diário 1º PA'!$P$1+1+MONTH(B224)))</f>
        <v>10</v>
      </c>
      <c r="L224" s="414" t="s">
        <v>400</v>
      </c>
    </row>
    <row r="225" spans="1:12" ht="60" x14ac:dyDescent="0.2">
      <c r="A225" s="722">
        <v>220</v>
      </c>
      <c r="B225" s="431">
        <v>44835</v>
      </c>
      <c r="C225" s="419" t="s">
        <v>468</v>
      </c>
      <c r="D225" s="419" t="s">
        <v>468</v>
      </c>
      <c r="E225" s="425">
        <v>9.9</v>
      </c>
      <c r="F225" s="415" t="s">
        <v>468</v>
      </c>
      <c r="G225" s="427" t="s">
        <v>764</v>
      </c>
      <c r="H225" s="427" t="s">
        <v>8833</v>
      </c>
      <c r="I225" s="415" t="s">
        <v>310</v>
      </c>
      <c r="J225" s="654" t="str">
        <f t="shared" si="7"/>
        <v>Gastos_custeados_por_captação</v>
      </c>
      <c r="K225" s="655">
        <f>IF(B225="","",IF(YEAR(B225)='Diário 1º PA'!$Q$1,MONTH(B225)-'Diário 1º PA'!$P$1+1,(YEAR(B225)-'Diário 1º PA'!$Q$1)*12-'Diário 1º PA'!$P$1+1+MONTH(B225)))</f>
        <v>10</v>
      </c>
      <c r="L225" s="414" t="s">
        <v>404</v>
      </c>
    </row>
    <row r="226" spans="1:12" ht="60" x14ac:dyDescent="0.2">
      <c r="A226" s="722">
        <v>221</v>
      </c>
      <c r="B226" s="431">
        <v>44835</v>
      </c>
      <c r="C226" s="419" t="s">
        <v>468</v>
      </c>
      <c r="D226" s="419" t="s">
        <v>468</v>
      </c>
      <c r="E226" s="425">
        <v>102.3</v>
      </c>
      <c r="F226" s="415" t="s">
        <v>468</v>
      </c>
      <c r="G226" s="427" t="s">
        <v>1461</v>
      </c>
      <c r="H226" s="427" t="s">
        <v>8834</v>
      </c>
      <c r="I226" s="415" t="s">
        <v>310</v>
      </c>
      <c r="J226" s="654" t="str">
        <f t="shared" si="7"/>
        <v>Gastos_custeados_por_captação</v>
      </c>
      <c r="K226" s="655">
        <f>IF(B226="","",IF(YEAR(B226)='Diário 1º PA'!$Q$1,MONTH(B226)-'Diário 1º PA'!$P$1+1,(YEAR(B226)-'Diário 1º PA'!$Q$1)*12-'Diário 1º PA'!$P$1+1+MONTH(B226)))</f>
        <v>10</v>
      </c>
      <c r="L226" s="414" t="s">
        <v>404</v>
      </c>
    </row>
    <row r="227" spans="1:12" ht="60" x14ac:dyDescent="0.2">
      <c r="A227" s="722">
        <v>222</v>
      </c>
      <c r="B227" s="431">
        <v>44835</v>
      </c>
      <c r="C227" s="419" t="s">
        <v>468</v>
      </c>
      <c r="D227" s="419" t="s">
        <v>468</v>
      </c>
      <c r="E227" s="425">
        <v>9.9</v>
      </c>
      <c r="F227" s="415" t="s">
        <v>468</v>
      </c>
      <c r="G227" s="427" t="s">
        <v>764</v>
      </c>
      <c r="H227" s="427" t="s">
        <v>8847</v>
      </c>
      <c r="I227" s="415" t="s">
        <v>310</v>
      </c>
      <c r="J227" s="654" t="str">
        <f t="shared" si="7"/>
        <v>Gastos_custeados_por_captação</v>
      </c>
      <c r="K227" s="655">
        <f>IF(B227="","",IF(YEAR(B227)='Diário 1º PA'!$Q$1,MONTH(B227)-'Diário 1º PA'!$P$1+1,(YEAR(B227)-'Diário 1º PA'!$Q$1)*12-'Diário 1º PA'!$P$1+1+MONTH(B227)))</f>
        <v>10</v>
      </c>
      <c r="L227" s="414" t="s">
        <v>404</v>
      </c>
    </row>
    <row r="228" spans="1:12" ht="60" x14ac:dyDescent="0.2">
      <c r="A228" s="722">
        <v>223</v>
      </c>
      <c r="B228" s="431">
        <v>44835</v>
      </c>
      <c r="C228" s="419" t="s">
        <v>468</v>
      </c>
      <c r="D228" s="419" t="s">
        <v>468</v>
      </c>
      <c r="E228" s="425">
        <v>102.3</v>
      </c>
      <c r="F228" s="415" t="s">
        <v>468</v>
      </c>
      <c r="G228" s="427" t="s">
        <v>1461</v>
      </c>
      <c r="H228" s="427" t="s">
        <v>9045</v>
      </c>
      <c r="I228" s="415" t="s">
        <v>310</v>
      </c>
      <c r="J228" s="654" t="str">
        <f t="shared" si="7"/>
        <v>Gastos_custeados_por_captação</v>
      </c>
      <c r="K228" s="655">
        <f>IF(B228="","",IF(YEAR(B228)='Diário 1º PA'!$Q$1,MONTH(B228)-'Diário 1º PA'!$P$1+1,(YEAR(B228)-'Diário 1º PA'!$Q$1)*12-'Diário 1º PA'!$P$1+1+MONTH(B228)))</f>
        <v>10</v>
      </c>
      <c r="L228" s="414" t="s">
        <v>404</v>
      </c>
    </row>
    <row r="229" spans="1:12" ht="48" x14ac:dyDescent="0.2">
      <c r="A229" s="722">
        <v>224</v>
      </c>
      <c r="B229" s="431">
        <v>44896</v>
      </c>
      <c r="C229" s="419" t="s">
        <v>271</v>
      </c>
      <c r="D229" s="415" t="s">
        <v>183</v>
      </c>
      <c r="E229" s="425">
        <v>137.63999999999999</v>
      </c>
      <c r="F229" s="419" t="s">
        <v>753</v>
      </c>
      <c r="G229" s="427" t="s">
        <v>8005</v>
      </c>
      <c r="H229" s="427" t="s">
        <v>551</v>
      </c>
      <c r="I229" s="415" t="s">
        <v>1704</v>
      </c>
      <c r="J229" s="654" t="str">
        <f t="shared" si="7"/>
        <v>Gastos_Gerais</v>
      </c>
      <c r="K229" s="655">
        <f>IF(B229="","",IF(YEAR(B229)='Diário 1º PA'!$Q$1,MONTH(B229)-'Diário 1º PA'!$P$1+1,(YEAR(B229)-'Diário 1º PA'!$Q$1)*12-'Diário 1º PA'!$P$1+1+MONTH(B229)))</f>
        <v>12</v>
      </c>
      <c r="L229" s="414" t="s">
        <v>400</v>
      </c>
    </row>
    <row r="230" spans="1:12" ht="60" x14ac:dyDescent="0.2">
      <c r="A230" s="722">
        <v>225</v>
      </c>
      <c r="B230" s="431">
        <v>44866</v>
      </c>
      <c r="C230" s="419" t="s">
        <v>468</v>
      </c>
      <c r="D230" s="415" t="s">
        <v>468</v>
      </c>
      <c r="E230" s="425">
        <v>135</v>
      </c>
      <c r="F230" s="419" t="s">
        <v>468</v>
      </c>
      <c r="G230" s="427" t="s">
        <v>764</v>
      </c>
      <c r="H230" s="427" t="s">
        <v>8796</v>
      </c>
      <c r="I230" s="415" t="s">
        <v>310</v>
      </c>
      <c r="J230" s="654" t="str">
        <f t="shared" si="7"/>
        <v>Gastos_custeados_por_captação</v>
      </c>
      <c r="K230" s="655">
        <f>IF(B230="","",IF(YEAR(B230)='Diário 1º PA'!$Q$1,MONTH(B230)-'Diário 1º PA'!$P$1+1,(YEAR(B230)-'Diário 1º PA'!$Q$1)*12-'Diário 1º PA'!$P$1+1+MONTH(B230)))</f>
        <v>11</v>
      </c>
      <c r="L230" s="414" t="s">
        <v>405</v>
      </c>
    </row>
    <row r="231" spans="1:12" ht="60" x14ac:dyDescent="0.2">
      <c r="A231" s="722">
        <v>226</v>
      </c>
      <c r="B231" s="431">
        <v>44866</v>
      </c>
      <c r="C231" s="419" t="s">
        <v>468</v>
      </c>
      <c r="D231" s="415" t="s">
        <v>468</v>
      </c>
      <c r="E231" s="425">
        <v>37.43</v>
      </c>
      <c r="F231" s="419" t="s">
        <v>468</v>
      </c>
      <c r="G231" s="427" t="s">
        <v>1461</v>
      </c>
      <c r="H231" s="427" t="s">
        <v>8797</v>
      </c>
      <c r="I231" s="415" t="s">
        <v>310</v>
      </c>
      <c r="J231" s="654" t="str">
        <f t="shared" si="7"/>
        <v>Gastos_custeados_por_captação</v>
      </c>
      <c r="K231" s="655">
        <f>IF(B231="","",IF(YEAR(B231)='Diário 1º PA'!$Q$1,MONTH(B231)-'Diário 1º PA'!$P$1+1,(YEAR(B231)-'Diário 1º PA'!$Q$1)*12-'Diário 1º PA'!$P$1+1+MONTH(B231)))</f>
        <v>11</v>
      </c>
      <c r="L231" s="414" t="s">
        <v>405</v>
      </c>
    </row>
    <row r="232" spans="1:12" ht="60" x14ac:dyDescent="0.2">
      <c r="A232" s="722">
        <v>227</v>
      </c>
      <c r="B232" s="431">
        <v>44866</v>
      </c>
      <c r="C232" s="419" t="s">
        <v>468</v>
      </c>
      <c r="D232" s="415" t="s">
        <v>468</v>
      </c>
      <c r="E232" s="425">
        <v>837</v>
      </c>
      <c r="F232" s="419" t="s">
        <v>468</v>
      </c>
      <c r="G232" s="427" t="s">
        <v>1461</v>
      </c>
      <c r="H232" s="427" t="s">
        <v>8798</v>
      </c>
      <c r="I232" s="415" t="s">
        <v>310</v>
      </c>
      <c r="J232" s="654" t="str">
        <f t="shared" si="7"/>
        <v>Gastos_custeados_por_captação</v>
      </c>
      <c r="K232" s="655">
        <f>IF(B232="","",IF(YEAR(B232)='Diário 1º PA'!$Q$1,MONTH(B232)-'Diário 1º PA'!$P$1+1,(YEAR(B232)-'Diário 1º PA'!$Q$1)*12-'Diário 1º PA'!$P$1+1+MONTH(B232)))</f>
        <v>11</v>
      </c>
      <c r="L232" s="414" t="s">
        <v>405</v>
      </c>
    </row>
    <row r="233" spans="1:12" ht="60" x14ac:dyDescent="0.2">
      <c r="A233" s="722">
        <v>228</v>
      </c>
      <c r="B233" s="431">
        <v>44896</v>
      </c>
      <c r="C233" s="419" t="s">
        <v>468</v>
      </c>
      <c r="D233" s="415" t="s">
        <v>468</v>
      </c>
      <c r="E233" s="425">
        <v>3240</v>
      </c>
      <c r="F233" s="419" t="s">
        <v>468</v>
      </c>
      <c r="G233" s="427" t="s">
        <v>8013</v>
      </c>
      <c r="H233" s="427" t="s">
        <v>8014</v>
      </c>
      <c r="I233" s="415" t="s">
        <v>8015</v>
      </c>
      <c r="J233" s="654" t="str">
        <f t="shared" si="7"/>
        <v>Gastos_custeados_por_captação</v>
      </c>
      <c r="K233" s="655">
        <f>IF(B233="","",IF(YEAR(B233)='Diário 1º PA'!$Q$1,MONTH(B233)-'Diário 1º PA'!$P$1+1,(YEAR(B233)-'Diário 1º PA'!$Q$1)*12-'Diário 1º PA'!$P$1+1+MONTH(B233)))</f>
        <v>12</v>
      </c>
      <c r="L233" s="414" t="s">
        <v>405</v>
      </c>
    </row>
    <row r="234" spans="1:12" ht="60" x14ac:dyDescent="0.2">
      <c r="A234" s="722">
        <v>229</v>
      </c>
      <c r="B234" s="431">
        <v>44866</v>
      </c>
      <c r="C234" s="419" t="s">
        <v>468</v>
      </c>
      <c r="D234" s="415" t="s">
        <v>468</v>
      </c>
      <c r="E234" s="425">
        <v>339.15</v>
      </c>
      <c r="F234" s="419" t="s">
        <v>468</v>
      </c>
      <c r="G234" s="427" t="s">
        <v>764</v>
      </c>
      <c r="H234" s="427" t="s">
        <v>8849</v>
      </c>
      <c r="I234" s="415" t="s">
        <v>310</v>
      </c>
      <c r="J234" s="654" t="str">
        <f t="shared" si="7"/>
        <v>Gastos_custeados_por_captação</v>
      </c>
      <c r="K234" s="655">
        <f>IF(B234="","",IF(YEAR(B234)='Diário 1º PA'!$Q$1,MONTH(B234)-'Diário 1º PA'!$P$1+1,(YEAR(B234)-'Diário 1º PA'!$Q$1)*12-'Diário 1º PA'!$P$1+1+MONTH(B234)))</f>
        <v>11</v>
      </c>
      <c r="L234" s="414" t="s">
        <v>404</v>
      </c>
    </row>
    <row r="235" spans="1:12" ht="60" x14ac:dyDescent="0.2">
      <c r="A235" s="722">
        <v>230</v>
      </c>
      <c r="B235" s="431">
        <v>44866</v>
      </c>
      <c r="C235" s="419" t="s">
        <v>468</v>
      </c>
      <c r="D235" s="415" t="s">
        <v>468</v>
      </c>
      <c r="E235" s="425">
        <v>746.13</v>
      </c>
      <c r="F235" s="419" t="s">
        <v>468</v>
      </c>
      <c r="G235" s="427" t="s">
        <v>1461</v>
      </c>
      <c r="H235" s="427" t="s">
        <v>8850</v>
      </c>
      <c r="I235" s="415" t="s">
        <v>310</v>
      </c>
      <c r="J235" s="654" t="str">
        <f t="shared" si="7"/>
        <v>Gastos_custeados_por_captação</v>
      </c>
      <c r="K235" s="655">
        <f>IF(B235="","",IF(YEAR(B235)='Diário 1º PA'!$Q$1,MONTH(B235)-'Diário 1º PA'!$P$1+1,(YEAR(B235)-'Diário 1º PA'!$Q$1)*12-'Diário 1º PA'!$P$1+1+MONTH(B235)))</f>
        <v>11</v>
      </c>
      <c r="L235" s="414" t="s">
        <v>404</v>
      </c>
    </row>
    <row r="236" spans="1:12" ht="120" x14ac:dyDescent="0.2">
      <c r="A236" s="722">
        <v>231</v>
      </c>
      <c r="B236" s="431">
        <v>44866</v>
      </c>
      <c r="C236" s="419" t="s">
        <v>468</v>
      </c>
      <c r="D236" s="415" t="s">
        <v>468</v>
      </c>
      <c r="E236" s="425">
        <v>12768</v>
      </c>
      <c r="F236" s="419" t="s">
        <v>468</v>
      </c>
      <c r="G236" s="427" t="s">
        <v>8047</v>
      </c>
      <c r="H236" s="427" t="s">
        <v>8046</v>
      </c>
      <c r="I236" s="415" t="s">
        <v>1293</v>
      </c>
      <c r="J236" s="654" t="str">
        <f t="shared" si="7"/>
        <v>Gastos_custeados_por_captação</v>
      </c>
      <c r="K236" s="655">
        <f>IF(B236="","",IF(YEAR(B236)='Diário 1º PA'!$Q$1,MONTH(B236)-'Diário 1º PA'!$P$1+1,(YEAR(B236)-'Diário 1º PA'!$Q$1)*12-'Diário 1º PA'!$P$1+1+MONTH(B236)))</f>
        <v>11</v>
      </c>
      <c r="L236" s="414" t="s">
        <v>404</v>
      </c>
    </row>
    <row r="237" spans="1:12" ht="60" x14ac:dyDescent="0.2">
      <c r="A237" s="722">
        <v>232</v>
      </c>
      <c r="B237" s="431">
        <v>44835</v>
      </c>
      <c r="C237" s="419" t="s">
        <v>468</v>
      </c>
      <c r="D237" s="415" t="s">
        <v>468</v>
      </c>
      <c r="E237" s="425">
        <v>167.4</v>
      </c>
      <c r="F237" s="419" t="s">
        <v>468</v>
      </c>
      <c r="G237" s="427" t="s">
        <v>1461</v>
      </c>
      <c r="H237" s="427" t="s">
        <v>8496</v>
      </c>
      <c r="I237" s="415" t="s">
        <v>310</v>
      </c>
      <c r="J237" s="654" t="str">
        <f t="shared" si="7"/>
        <v>Gastos_custeados_por_captação</v>
      </c>
      <c r="K237" s="655">
        <f>IF(B237="","",IF(YEAR(B237)='Diário 1º PA'!$Q$1,MONTH(B237)-'Diário 1º PA'!$P$1+1,(YEAR(B237)-'Diário 1º PA'!$Q$1)*12-'Diário 1º PA'!$P$1+1+MONTH(B237)))</f>
        <v>10</v>
      </c>
      <c r="L237" s="414" t="s">
        <v>405</v>
      </c>
    </row>
    <row r="238" spans="1:12" ht="60" x14ac:dyDescent="0.2">
      <c r="A238" s="722">
        <v>233</v>
      </c>
      <c r="B238" s="431">
        <v>44835</v>
      </c>
      <c r="C238" s="419" t="s">
        <v>468</v>
      </c>
      <c r="D238" s="415" t="s">
        <v>468</v>
      </c>
      <c r="E238" s="425">
        <v>167.4</v>
      </c>
      <c r="F238" s="419" t="s">
        <v>468</v>
      </c>
      <c r="G238" s="427" t="s">
        <v>1461</v>
      </c>
      <c r="H238" s="427" t="s">
        <v>8535</v>
      </c>
      <c r="I238" s="415" t="s">
        <v>310</v>
      </c>
      <c r="J238" s="654" t="str">
        <f t="shared" si="7"/>
        <v>Gastos_custeados_por_captação</v>
      </c>
      <c r="K238" s="655">
        <f>IF(B238="","",IF(YEAR(B238)='Diário 1º PA'!$Q$1,MONTH(B238)-'Diário 1º PA'!$P$1+1,(YEAR(B238)-'Diário 1º PA'!$Q$1)*12-'Diário 1º PA'!$P$1+1+MONTH(B238)))</f>
        <v>10</v>
      </c>
      <c r="L238" s="414" t="s">
        <v>405</v>
      </c>
    </row>
    <row r="239" spans="1:12" ht="60" x14ac:dyDescent="0.2">
      <c r="A239" s="722">
        <v>234</v>
      </c>
      <c r="B239" s="431">
        <v>44835</v>
      </c>
      <c r="C239" s="419" t="s">
        <v>468</v>
      </c>
      <c r="D239" s="415" t="s">
        <v>468</v>
      </c>
      <c r="E239" s="425">
        <v>167.4</v>
      </c>
      <c r="F239" s="419" t="s">
        <v>468</v>
      </c>
      <c r="G239" s="427" t="s">
        <v>1461</v>
      </c>
      <c r="H239" s="427" t="s">
        <v>8348</v>
      </c>
      <c r="I239" s="415" t="s">
        <v>310</v>
      </c>
      <c r="J239" s="654" t="str">
        <f t="shared" si="7"/>
        <v>Gastos_custeados_por_captação</v>
      </c>
      <c r="K239" s="655">
        <f>IF(B239="","",IF(YEAR(B239)='Diário 1º PA'!$Q$1,MONTH(B239)-'Diário 1º PA'!$P$1+1,(YEAR(B239)-'Diário 1º PA'!$Q$1)*12-'Diário 1º PA'!$P$1+1+MONTH(B239)))</f>
        <v>10</v>
      </c>
      <c r="L239" s="414" t="s">
        <v>405</v>
      </c>
    </row>
    <row r="240" spans="1:12" ht="60" x14ac:dyDescent="0.2">
      <c r="A240" s="722">
        <v>235</v>
      </c>
      <c r="B240" s="431">
        <v>44835</v>
      </c>
      <c r="C240" s="419" t="s">
        <v>468</v>
      </c>
      <c r="D240" s="415" t="s">
        <v>468</v>
      </c>
      <c r="E240" s="425">
        <v>167.4</v>
      </c>
      <c r="F240" s="419" t="s">
        <v>468</v>
      </c>
      <c r="G240" s="427" t="s">
        <v>1461</v>
      </c>
      <c r="H240" s="427" t="s">
        <v>8350</v>
      </c>
      <c r="I240" s="415" t="s">
        <v>310</v>
      </c>
      <c r="J240" s="654" t="str">
        <f t="shared" si="7"/>
        <v>Gastos_custeados_por_captação</v>
      </c>
      <c r="K240" s="655">
        <f>IF(B240="","",IF(YEAR(B240)='Diário 1º PA'!$Q$1,MONTH(B240)-'Diário 1º PA'!$P$1+1,(YEAR(B240)-'Diário 1º PA'!$Q$1)*12-'Diário 1º PA'!$P$1+1+MONTH(B240)))</f>
        <v>10</v>
      </c>
      <c r="L240" s="414" t="s">
        <v>405</v>
      </c>
    </row>
    <row r="241" spans="1:12" ht="60" x14ac:dyDescent="0.2">
      <c r="A241" s="722">
        <v>236</v>
      </c>
      <c r="B241" s="431">
        <v>44866</v>
      </c>
      <c r="C241" s="419" t="s">
        <v>468</v>
      </c>
      <c r="D241" s="415" t="s">
        <v>468</v>
      </c>
      <c r="E241" s="425">
        <v>162.5</v>
      </c>
      <c r="F241" s="419" t="s">
        <v>468</v>
      </c>
      <c r="G241" s="427" t="s">
        <v>764</v>
      </c>
      <c r="H241" s="427" t="s">
        <v>9091</v>
      </c>
      <c r="I241" s="415" t="s">
        <v>310</v>
      </c>
      <c r="J241" s="654" t="str">
        <f t="shared" si="7"/>
        <v>Gastos_custeados_por_captação</v>
      </c>
      <c r="K241" s="655">
        <f>IF(B241="","",IF(YEAR(B241)='Diário 1º PA'!$Q$1,MONTH(B241)-'Diário 1º PA'!$P$1+1,(YEAR(B241)-'Diário 1º PA'!$Q$1)*12-'Diário 1º PA'!$P$1+1+MONTH(B241)))</f>
        <v>11</v>
      </c>
      <c r="L241" s="414" t="s">
        <v>3762</v>
      </c>
    </row>
    <row r="242" spans="1:12" ht="60" x14ac:dyDescent="0.2">
      <c r="A242" s="722">
        <v>237</v>
      </c>
      <c r="B242" s="431">
        <v>44866</v>
      </c>
      <c r="C242" s="419" t="s">
        <v>468</v>
      </c>
      <c r="D242" s="415" t="s">
        <v>468</v>
      </c>
      <c r="E242" s="425">
        <v>79.08</v>
      </c>
      <c r="F242" s="419" t="s">
        <v>468</v>
      </c>
      <c r="G242" s="427" t="s">
        <v>1461</v>
      </c>
      <c r="H242" s="427" t="s">
        <v>9092</v>
      </c>
      <c r="I242" s="415" t="s">
        <v>310</v>
      </c>
      <c r="J242" s="654" t="str">
        <f t="shared" si="7"/>
        <v>Gastos_custeados_por_captação</v>
      </c>
      <c r="K242" s="655">
        <f>IF(B242="","",IF(YEAR(B242)='Diário 1º PA'!$Q$1,MONTH(B242)-'Diário 1º PA'!$P$1+1,(YEAR(B242)-'Diário 1º PA'!$Q$1)*12-'Diário 1º PA'!$P$1+1+MONTH(B242)))</f>
        <v>11</v>
      </c>
      <c r="L242" s="414" t="s">
        <v>3762</v>
      </c>
    </row>
    <row r="243" spans="1:12" ht="60" x14ac:dyDescent="0.2">
      <c r="A243" s="722">
        <v>238</v>
      </c>
      <c r="B243" s="431">
        <v>44866</v>
      </c>
      <c r="C243" s="419" t="s">
        <v>468</v>
      </c>
      <c r="D243" s="415" t="s">
        <v>468</v>
      </c>
      <c r="E243" s="425">
        <v>1007.5</v>
      </c>
      <c r="F243" s="419" t="s">
        <v>468</v>
      </c>
      <c r="G243" s="427" t="s">
        <v>1461</v>
      </c>
      <c r="H243" s="427" t="s">
        <v>9093</v>
      </c>
      <c r="I243" s="415" t="s">
        <v>310</v>
      </c>
      <c r="J243" s="654" t="str">
        <f t="shared" si="7"/>
        <v>Gastos_custeados_por_captação</v>
      </c>
      <c r="K243" s="655">
        <f>IF(B243="","",IF(YEAR(B243)='Diário 1º PA'!$Q$1,MONTH(B243)-'Diário 1º PA'!$P$1+1,(YEAR(B243)-'Diário 1º PA'!$Q$1)*12-'Diário 1º PA'!$P$1+1+MONTH(B243)))</f>
        <v>11</v>
      </c>
      <c r="L243" s="414" t="s">
        <v>3762</v>
      </c>
    </row>
    <row r="244" spans="1:12" ht="72" x14ac:dyDescent="0.2">
      <c r="A244" s="722">
        <v>239</v>
      </c>
      <c r="B244" s="431">
        <v>44896</v>
      </c>
      <c r="C244" s="419" t="s">
        <v>468</v>
      </c>
      <c r="D244" s="415" t="s">
        <v>468</v>
      </c>
      <c r="E244" s="425">
        <v>3900</v>
      </c>
      <c r="F244" s="419" t="s">
        <v>468</v>
      </c>
      <c r="G244" s="427" t="s">
        <v>8109</v>
      </c>
      <c r="H244" s="427" t="s">
        <v>8110</v>
      </c>
      <c r="I244" s="415" t="s">
        <v>8111</v>
      </c>
      <c r="J244" s="654" t="str">
        <f t="shared" si="7"/>
        <v>Gastos_custeados_por_captação</v>
      </c>
      <c r="K244" s="655">
        <f>IF(B244="","",IF(YEAR(B244)='Diário 1º PA'!$Q$1,MONTH(B244)-'Diário 1º PA'!$P$1+1,(YEAR(B244)-'Diário 1º PA'!$Q$1)*12-'Diário 1º PA'!$P$1+1+MONTH(B244)))</f>
        <v>12</v>
      </c>
      <c r="L244" s="414" t="s">
        <v>3762</v>
      </c>
    </row>
    <row r="245" spans="1:12" ht="84" x14ac:dyDescent="0.2">
      <c r="A245" s="722">
        <v>240</v>
      </c>
      <c r="B245" s="431">
        <v>44896</v>
      </c>
      <c r="C245" s="419" t="s">
        <v>271</v>
      </c>
      <c r="D245" s="415" t="s">
        <v>297</v>
      </c>
      <c r="E245" s="425">
        <v>15000</v>
      </c>
      <c r="F245" s="419" t="s">
        <v>8113</v>
      </c>
      <c r="G245" s="427" t="s">
        <v>8114</v>
      </c>
      <c r="H245" s="427" t="s">
        <v>8115</v>
      </c>
      <c r="I245" s="415" t="s">
        <v>8116</v>
      </c>
      <c r="J245" s="654" t="str">
        <f t="shared" si="7"/>
        <v>Gastos_Gerais</v>
      </c>
      <c r="K245" s="655">
        <f>IF(B245="","",IF(YEAR(B245)='Diário 1º PA'!$Q$1,MONTH(B245)-'Diário 1º PA'!$P$1+1,(YEAR(B245)-'Diário 1º PA'!$Q$1)*12-'Diário 1º PA'!$P$1+1+MONTH(B245)))</f>
        <v>12</v>
      </c>
      <c r="L245" s="414" t="s">
        <v>400</v>
      </c>
    </row>
    <row r="246" spans="1:12" ht="60" x14ac:dyDescent="0.2">
      <c r="A246" s="722">
        <v>241</v>
      </c>
      <c r="B246" s="431">
        <v>44866</v>
      </c>
      <c r="C246" s="419" t="s">
        <v>468</v>
      </c>
      <c r="D246" s="415" t="s">
        <v>468</v>
      </c>
      <c r="E246" s="425">
        <v>400</v>
      </c>
      <c r="F246" s="419" t="s">
        <v>468</v>
      </c>
      <c r="G246" s="427" t="s">
        <v>764</v>
      </c>
      <c r="H246" s="427" t="s">
        <v>9098</v>
      </c>
      <c r="I246" s="415" t="s">
        <v>310</v>
      </c>
      <c r="J246" s="654" t="str">
        <f t="shared" si="7"/>
        <v>Gastos_custeados_por_captação</v>
      </c>
      <c r="K246" s="655">
        <f>IF(B246="","",IF(YEAR(B246)='Diário 1º PA'!$Q$1,MONTH(B246)-'Diário 1º PA'!$P$1+1,(YEAR(B246)-'Diário 1º PA'!$Q$1)*12-'Diário 1º PA'!$P$1+1+MONTH(B246)))</f>
        <v>11</v>
      </c>
      <c r="L246" s="414" t="s">
        <v>3762</v>
      </c>
    </row>
    <row r="247" spans="1:12" ht="60" x14ac:dyDescent="0.2">
      <c r="A247" s="722">
        <v>242</v>
      </c>
      <c r="B247" s="431">
        <v>44866</v>
      </c>
      <c r="C247" s="419" t="s">
        <v>468</v>
      </c>
      <c r="D247" s="415" t="s">
        <v>468</v>
      </c>
      <c r="E247" s="425">
        <v>15</v>
      </c>
      <c r="F247" s="419" t="s">
        <v>468</v>
      </c>
      <c r="G247" s="427" t="s">
        <v>764</v>
      </c>
      <c r="H247" s="427" t="s">
        <v>8830</v>
      </c>
      <c r="I247" s="415" t="s">
        <v>310</v>
      </c>
      <c r="J247" s="654" t="str">
        <f t="shared" si="7"/>
        <v>Gastos_custeados_por_captação</v>
      </c>
      <c r="K247" s="655">
        <f>IF(B247="","",IF(YEAR(B247)='Diário 1º PA'!$Q$1,MONTH(B247)-'Diário 1º PA'!$P$1+1,(YEAR(B247)-'Diário 1º PA'!$Q$1)*12-'Diário 1º PA'!$P$1+1+MONTH(B247)))</f>
        <v>11</v>
      </c>
      <c r="L247" s="414" t="s">
        <v>404</v>
      </c>
    </row>
    <row r="248" spans="1:12" ht="60" x14ac:dyDescent="0.2">
      <c r="A248" s="722">
        <v>243</v>
      </c>
      <c r="B248" s="431">
        <v>44866</v>
      </c>
      <c r="C248" s="419" t="s">
        <v>468</v>
      </c>
      <c r="D248" s="415" t="s">
        <v>468</v>
      </c>
      <c r="E248" s="425">
        <v>155</v>
      </c>
      <c r="F248" s="419" t="s">
        <v>468</v>
      </c>
      <c r="G248" s="427" t="s">
        <v>1461</v>
      </c>
      <c r="H248" s="427" t="s">
        <v>8831</v>
      </c>
      <c r="I248" s="415" t="s">
        <v>310</v>
      </c>
      <c r="J248" s="654" t="str">
        <f t="shared" si="7"/>
        <v>Gastos_custeados_por_captação</v>
      </c>
      <c r="K248" s="655">
        <f>IF(B248="","",IF(YEAR(B248)='Diário 1º PA'!$Q$1,MONTH(B248)-'Diário 1º PA'!$P$1+1,(YEAR(B248)-'Diário 1º PA'!$Q$1)*12-'Diário 1º PA'!$P$1+1+MONTH(B248)))</f>
        <v>11</v>
      </c>
      <c r="L248" s="414" t="s">
        <v>404</v>
      </c>
    </row>
    <row r="249" spans="1:12" ht="60" x14ac:dyDescent="0.2">
      <c r="A249" s="722">
        <v>244</v>
      </c>
      <c r="B249" s="431">
        <v>44866</v>
      </c>
      <c r="C249" s="419" t="s">
        <v>468</v>
      </c>
      <c r="D249" s="415" t="s">
        <v>468</v>
      </c>
      <c r="E249" s="425">
        <v>270</v>
      </c>
      <c r="F249" s="419" t="s">
        <v>468</v>
      </c>
      <c r="G249" s="427" t="s">
        <v>764</v>
      </c>
      <c r="H249" s="427" t="s">
        <v>9102</v>
      </c>
      <c r="I249" s="415" t="s">
        <v>310</v>
      </c>
      <c r="J249" s="654" t="str">
        <f t="shared" si="7"/>
        <v>Gastos_custeados_por_captação</v>
      </c>
      <c r="K249" s="655">
        <f>IF(B249="","",IF(YEAR(B249)='Diário 1º PA'!$Q$1,MONTH(B249)-'Diário 1º PA'!$P$1+1,(YEAR(B249)-'Diário 1º PA'!$Q$1)*12-'Diário 1º PA'!$P$1+1+MONTH(B249)))</f>
        <v>11</v>
      </c>
      <c r="L249" s="414" t="s">
        <v>3762</v>
      </c>
    </row>
    <row r="250" spans="1:12" ht="60" x14ac:dyDescent="0.2">
      <c r="A250" s="722">
        <v>245</v>
      </c>
      <c r="B250" s="431">
        <v>44866</v>
      </c>
      <c r="C250" s="419" t="s">
        <v>468</v>
      </c>
      <c r="D250" s="415" t="s">
        <v>468</v>
      </c>
      <c r="E250" s="425">
        <v>452.29</v>
      </c>
      <c r="F250" s="419" t="s">
        <v>468</v>
      </c>
      <c r="G250" s="427" t="s">
        <v>1461</v>
      </c>
      <c r="H250" s="427" t="s">
        <v>9103</v>
      </c>
      <c r="I250" s="415" t="s">
        <v>310</v>
      </c>
      <c r="J250" s="654" t="str">
        <f t="shared" si="7"/>
        <v>Gastos_custeados_por_captação</v>
      </c>
      <c r="K250" s="655">
        <f>IF(B250="","",IF(YEAR(B250)='Diário 1º PA'!$Q$1,MONTH(B250)-'Diário 1º PA'!$P$1+1,(YEAR(B250)-'Diário 1º PA'!$Q$1)*12-'Diário 1º PA'!$P$1+1+MONTH(B250)))</f>
        <v>11</v>
      </c>
      <c r="L250" s="414" t="s">
        <v>3762</v>
      </c>
    </row>
    <row r="251" spans="1:12" ht="60" x14ac:dyDescent="0.2">
      <c r="A251" s="722">
        <v>246</v>
      </c>
      <c r="B251" s="431">
        <v>44866</v>
      </c>
      <c r="C251" s="419" t="s">
        <v>468</v>
      </c>
      <c r="D251" s="415" t="s">
        <v>468</v>
      </c>
      <c r="E251" s="425">
        <v>1674</v>
      </c>
      <c r="F251" s="419" t="s">
        <v>468</v>
      </c>
      <c r="G251" s="427" t="s">
        <v>1461</v>
      </c>
      <c r="H251" s="427" t="s">
        <v>9104</v>
      </c>
      <c r="I251" s="415" t="s">
        <v>310</v>
      </c>
      <c r="J251" s="654" t="str">
        <f t="shared" si="7"/>
        <v>Gastos_custeados_por_captação</v>
      </c>
      <c r="K251" s="655">
        <f>IF(B251="","",IF(YEAR(B251)='Diário 1º PA'!$Q$1,MONTH(B251)-'Diário 1º PA'!$P$1+1,(YEAR(B251)-'Diário 1º PA'!$Q$1)*12-'Diário 1º PA'!$P$1+1+MONTH(B251)))</f>
        <v>11</v>
      </c>
      <c r="L251" s="414" t="s">
        <v>3762</v>
      </c>
    </row>
    <row r="252" spans="1:12" ht="60" x14ac:dyDescent="0.2">
      <c r="A252" s="722">
        <v>247</v>
      </c>
      <c r="B252" s="431">
        <v>44866</v>
      </c>
      <c r="C252" s="419" t="s">
        <v>468</v>
      </c>
      <c r="D252" s="415" t="s">
        <v>468</v>
      </c>
      <c r="E252" s="425">
        <v>55</v>
      </c>
      <c r="F252" s="419" t="s">
        <v>468</v>
      </c>
      <c r="G252" s="427" t="s">
        <v>764</v>
      </c>
      <c r="H252" s="427" t="s">
        <v>9095</v>
      </c>
      <c r="I252" s="415" t="s">
        <v>310</v>
      </c>
      <c r="J252" s="654" t="str">
        <f t="shared" si="7"/>
        <v>Gastos_custeados_por_captação</v>
      </c>
      <c r="K252" s="655">
        <f>IF(B252="","",IF(YEAR(B252)='Diário 1º PA'!$Q$1,MONTH(B252)-'Diário 1º PA'!$P$1+1,(YEAR(B252)-'Diário 1º PA'!$Q$1)*12-'Diário 1º PA'!$P$1+1+MONTH(B252)))</f>
        <v>11</v>
      </c>
      <c r="L252" s="414" t="s">
        <v>3762</v>
      </c>
    </row>
    <row r="253" spans="1:12" ht="60" x14ac:dyDescent="0.2">
      <c r="A253" s="722">
        <v>248</v>
      </c>
      <c r="B253" s="431">
        <v>44866</v>
      </c>
      <c r="C253" s="419" t="s">
        <v>468</v>
      </c>
      <c r="D253" s="415" t="s">
        <v>468</v>
      </c>
      <c r="E253" s="425">
        <v>341</v>
      </c>
      <c r="F253" s="419" t="s">
        <v>468</v>
      </c>
      <c r="G253" s="427" t="s">
        <v>1461</v>
      </c>
      <c r="H253" s="427" t="s">
        <v>9096</v>
      </c>
      <c r="I253" s="415" t="s">
        <v>310</v>
      </c>
      <c r="J253" s="654" t="str">
        <f t="shared" si="7"/>
        <v>Gastos_custeados_por_captação</v>
      </c>
      <c r="K253" s="655">
        <f>IF(B253="","",IF(YEAR(B253)='Diário 1º PA'!$Q$1,MONTH(B253)-'Diário 1º PA'!$P$1+1,(YEAR(B253)-'Diário 1º PA'!$Q$1)*12-'Diário 1º PA'!$P$1+1+MONTH(B253)))</f>
        <v>11</v>
      </c>
      <c r="L253" s="414" t="s">
        <v>3762</v>
      </c>
    </row>
    <row r="254" spans="1:12" ht="36" x14ac:dyDescent="0.2">
      <c r="A254" s="722">
        <v>249</v>
      </c>
      <c r="B254" s="431">
        <v>44866</v>
      </c>
      <c r="C254" s="419" t="s">
        <v>271</v>
      </c>
      <c r="D254" s="415" t="s">
        <v>456</v>
      </c>
      <c r="E254" s="425">
        <v>20.100000000000001</v>
      </c>
      <c r="F254" s="419" t="s">
        <v>760</v>
      </c>
      <c r="G254" s="427" t="s">
        <v>764</v>
      </c>
      <c r="H254" s="427" t="s">
        <v>8664</v>
      </c>
      <c r="I254" s="415" t="s">
        <v>310</v>
      </c>
      <c r="J254" s="654" t="str">
        <f t="shared" si="7"/>
        <v>Gastos_Gerais</v>
      </c>
      <c r="K254" s="655">
        <f>IF(B254="","",IF(YEAR(B254)='Diário 1º PA'!$Q$1,MONTH(B254)-'Diário 1º PA'!$P$1+1,(YEAR(B254)-'Diário 1º PA'!$Q$1)*12-'Diário 1º PA'!$P$1+1+MONTH(B254)))</f>
        <v>11</v>
      </c>
      <c r="L254" s="414" t="s">
        <v>400</v>
      </c>
    </row>
    <row r="255" spans="1:12" ht="60" x14ac:dyDescent="0.2">
      <c r="A255" s="722">
        <v>250</v>
      </c>
      <c r="B255" s="431">
        <v>44866</v>
      </c>
      <c r="C255" s="419" t="s">
        <v>468</v>
      </c>
      <c r="D255" s="415" t="s">
        <v>468</v>
      </c>
      <c r="E255" s="425">
        <v>396</v>
      </c>
      <c r="F255" s="419" t="s">
        <v>468</v>
      </c>
      <c r="G255" s="427" t="s">
        <v>8359</v>
      </c>
      <c r="H255" s="427" t="s">
        <v>8360</v>
      </c>
      <c r="I255" s="415" t="s">
        <v>8361</v>
      </c>
      <c r="J255" s="654" t="str">
        <f t="shared" si="7"/>
        <v>Gastos_custeados_por_captação</v>
      </c>
      <c r="K255" s="655">
        <f>IF(B255="","",IF(YEAR(B255)='Diário 1º PA'!$Q$1,MONTH(B255)-'Diário 1º PA'!$P$1+1,(YEAR(B255)-'Diário 1º PA'!$Q$1)*12-'Diário 1º PA'!$P$1+1+MONTH(B255)))</f>
        <v>11</v>
      </c>
      <c r="L255" s="414" t="s">
        <v>404</v>
      </c>
    </row>
    <row r="256" spans="1:12" ht="36" x14ac:dyDescent="0.2">
      <c r="A256" s="722">
        <v>251</v>
      </c>
      <c r="B256" s="431">
        <v>44866</v>
      </c>
      <c r="C256" s="419" t="s">
        <v>271</v>
      </c>
      <c r="D256" s="415" t="s">
        <v>463</v>
      </c>
      <c r="E256" s="425">
        <v>10.050000000000001</v>
      </c>
      <c r="F256" s="419" t="s">
        <v>760</v>
      </c>
      <c r="G256" s="427" t="s">
        <v>764</v>
      </c>
      <c r="H256" s="427" t="s">
        <v>8660</v>
      </c>
      <c r="I256" s="415" t="s">
        <v>310</v>
      </c>
      <c r="J256" s="654" t="str">
        <f t="shared" si="7"/>
        <v>Gastos_Gerais</v>
      </c>
      <c r="K256" s="655">
        <f>IF(B256="","",IF(YEAR(B256)='Diário 1º PA'!$Q$1,MONTH(B256)-'Diário 1º PA'!$P$1+1,(YEAR(B256)-'Diário 1º PA'!$Q$1)*12-'Diário 1º PA'!$P$1+1+MONTH(B256)))</f>
        <v>11</v>
      </c>
      <c r="L256" s="414" t="s">
        <v>400</v>
      </c>
    </row>
    <row r="257" spans="1:12" ht="24" x14ac:dyDescent="0.2">
      <c r="A257" s="722">
        <v>252</v>
      </c>
      <c r="B257" s="745">
        <v>44866</v>
      </c>
      <c r="C257" s="419" t="s">
        <v>271</v>
      </c>
      <c r="D257" s="415" t="s">
        <v>453</v>
      </c>
      <c r="E257" s="425">
        <v>25</v>
      </c>
      <c r="F257" s="419" t="s">
        <v>761</v>
      </c>
      <c r="G257" s="427" t="s">
        <v>764</v>
      </c>
      <c r="H257" s="427" t="s">
        <v>8776</v>
      </c>
      <c r="I257" s="415" t="s">
        <v>310</v>
      </c>
      <c r="J257" s="654" t="str">
        <f t="shared" si="7"/>
        <v>Gastos_Gerais</v>
      </c>
      <c r="K257" s="655">
        <f>IF(B257="","",IF(YEAR(B257)='Diário 1º PA'!$Q$1,MONTH(B257)-'Diário 1º PA'!$P$1+1,(YEAR(B257)-'Diário 1º PA'!$Q$1)*12-'Diário 1º PA'!$P$1+1+MONTH(B257)))</f>
        <v>11</v>
      </c>
      <c r="L257" s="414" t="s">
        <v>400</v>
      </c>
    </row>
    <row r="258" spans="1:12" ht="24" x14ac:dyDescent="0.2">
      <c r="A258" s="722">
        <v>253</v>
      </c>
      <c r="B258" s="745">
        <v>44866</v>
      </c>
      <c r="C258" s="419" t="s">
        <v>271</v>
      </c>
      <c r="D258" s="415" t="s">
        <v>453</v>
      </c>
      <c r="E258" s="425">
        <v>155</v>
      </c>
      <c r="F258" s="419" t="s">
        <v>761</v>
      </c>
      <c r="G258" s="427" t="s">
        <v>1461</v>
      </c>
      <c r="H258" s="427" t="s">
        <v>8777</v>
      </c>
      <c r="I258" s="415" t="s">
        <v>310</v>
      </c>
      <c r="J258" s="654" t="str">
        <f t="shared" si="7"/>
        <v>Gastos_Gerais</v>
      </c>
      <c r="K258" s="655">
        <f>IF(B258="","",IF(YEAR(B258)='Diário 1º PA'!$Q$1,MONTH(B258)-'Diário 1º PA'!$P$1+1,(YEAR(B258)-'Diário 1º PA'!$Q$1)*12-'Diário 1º PA'!$P$1+1+MONTH(B258)))</f>
        <v>11</v>
      </c>
      <c r="L258" s="414" t="s">
        <v>400</v>
      </c>
    </row>
    <row r="259" spans="1:12" ht="96" x14ac:dyDescent="0.2">
      <c r="A259" s="722">
        <v>254</v>
      </c>
      <c r="B259" s="745">
        <v>44866</v>
      </c>
      <c r="C259" s="419" t="s">
        <v>271</v>
      </c>
      <c r="D259" s="415" t="s">
        <v>465</v>
      </c>
      <c r="E259" s="425">
        <v>16500</v>
      </c>
      <c r="F259" s="419" t="s">
        <v>760</v>
      </c>
      <c r="G259" s="427" t="s">
        <v>8517</v>
      </c>
      <c r="H259" s="427" t="s">
        <v>8518</v>
      </c>
      <c r="I259" s="415" t="s">
        <v>1110</v>
      </c>
      <c r="J259" s="654" t="str">
        <f t="shared" si="7"/>
        <v>Gastos_Gerais</v>
      </c>
      <c r="K259" s="655">
        <f>IF(B259="","",IF(YEAR(B259)='Diário 1º PA'!$Q$1,MONTH(B259)-'Diário 1º PA'!$P$1+1,(YEAR(B259)-'Diário 1º PA'!$Q$1)*12-'Diário 1º PA'!$P$1+1+MONTH(B259)))</f>
        <v>11</v>
      </c>
      <c r="L259" s="414" t="s">
        <v>400</v>
      </c>
    </row>
    <row r="260" spans="1:12" ht="60" x14ac:dyDescent="0.2">
      <c r="A260" s="722">
        <v>255</v>
      </c>
      <c r="B260" s="759">
        <v>44866</v>
      </c>
      <c r="C260" s="419" t="s">
        <v>468</v>
      </c>
      <c r="D260" s="415" t="s">
        <v>468</v>
      </c>
      <c r="E260" s="425">
        <v>9.9</v>
      </c>
      <c r="F260" s="419" t="s">
        <v>468</v>
      </c>
      <c r="G260" s="757" t="s">
        <v>764</v>
      </c>
      <c r="H260" s="757" t="s">
        <v>8858</v>
      </c>
      <c r="I260" s="417" t="s">
        <v>310</v>
      </c>
      <c r="J260" s="654" t="str">
        <f t="shared" si="7"/>
        <v>Gastos_custeados_por_captação</v>
      </c>
      <c r="K260" s="655">
        <f>IF(B260="","",IF(YEAR(B260)='Diário 1º PA'!$Q$1,MONTH(B260)-'Diário 1º PA'!$P$1+1,(YEAR(B260)-'Diário 1º PA'!$Q$1)*12-'Diário 1º PA'!$P$1+1+MONTH(B260)))</f>
        <v>11</v>
      </c>
      <c r="L260" s="414" t="s">
        <v>404</v>
      </c>
    </row>
    <row r="261" spans="1:12" ht="60" x14ac:dyDescent="0.2">
      <c r="A261" s="722">
        <v>256</v>
      </c>
      <c r="B261" s="759">
        <v>44866</v>
      </c>
      <c r="C261" s="419" t="s">
        <v>468</v>
      </c>
      <c r="D261" s="415" t="s">
        <v>468</v>
      </c>
      <c r="E261" s="425">
        <v>102.3</v>
      </c>
      <c r="F261" s="419" t="s">
        <v>468</v>
      </c>
      <c r="G261" s="757" t="s">
        <v>1461</v>
      </c>
      <c r="H261" s="757" t="s">
        <v>9159</v>
      </c>
      <c r="I261" s="417" t="s">
        <v>310</v>
      </c>
      <c r="J261" s="654" t="str">
        <f t="shared" si="7"/>
        <v>Gastos_custeados_por_captação</v>
      </c>
      <c r="K261" s="655">
        <f>IF(B261="","",IF(YEAR(B261)='Diário 1º PA'!$Q$1,MONTH(B261)-'Diário 1º PA'!$P$1+1,(YEAR(B261)-'Diário 1º PA'!$Q$1)*12-'Diário 1º PA'!$P$1+1+MONTH(B261)))</f>
        <v>11</v>
      </c>
      <c r="L261" s="414" t="s">
        <v>404</v>
      </c>
    </row>
    <row r="262" spans="1:12" ht="60" x14ac:dyDescent="0.2">
      <c r="A262" s="722">
        <v>257</v>
      </c>
      <c r="B262" s="759">
        <v>44866</v>
      </c>
      <c r="C262" s="419" t="s">
        <v>468</v>
      </c>
      <c r="D262" s="415" t="s">
        <v>468</v>
      </c>
      <c r="E262" s="425">
        <v>9.9</v>
      </c>
      <c r="F262" s="419" t="s">
        <v>468</v>
      </c>
      <c r="G262" s="757" t="s">
        <v>764</v>
      </c>
      <c r="H262" s="757" t="s">
        <v>9155</v>
      </c>
      <c r="I262" s="417" t="s">
        <v>310</v>
      </c>
      <c r="J262" s="654" t="str">
        <f t="shared" ref="J262:J299" si="8">SUBSTITUTE(C262," ","_")</f>
        <v>Gastos_custeados_por_captação</v>
      </c>
      <c r="K262" s="655">
        <f>IF(B262="","",IF(YEAR(B262)='Diário 1º PA'!$Q$1,MONTH(B262)-'Diário 1º PA'!$P$1+1,(YEAR(B262)-'Diário 1º PA'!$Q$1)*12-'Diário 1º PA'!$P$1+1+MONTH(B262)))</f>
        <v>11</v>
      </c>
      <c r="L262" s="414" t="s">
        <v>404</v>
      </c>
    </row>
    <row r="263" spans="1:12" ht="60" x14ac:dyDescent="0.2">
      <c r="A263" s="722">
        <v>258</v>
      </c>
      <c r="B263" s="759">
        <v>44866</v>
      </c>
      <c r="C263" s="419" t="s">
        <v>468</v>
      </c>
      <c r="D263" s="415" t="s">
        <v>468</v>
      </c>
      <c r="E263" s="425">
        <v>102.3</v>
      </c>
      <c r="F263" s="419" t="s">
        <v>468</v>
      </c>
      <c r="G263" s="757" t="s">
        <v>1461</v>
      </c>
      <c r="H263" s="757" t="s">
        <v>9156</v>
      </c>
      <c r="I263" s="417" t="s">
        <v>310</v>
      </c>
      <c r="J263" s="654" t="str">
        <f t="shared" si="8"/>
        <v>Gastos_custeados_por_captação</v>
      </c>
      <c r="K263" s="655">
        <f>IF(B263="","",IF(YEAR(B263)='Diário 1º PA'!$Q$1,MONTH(B263)-'Diário 1º PA'!$P$1+1,(YEAR(B263)-'Diário 1º PA'!$Q$1)*12-'Diário 1º PA'!$P$1+1+MONTH(B263)))</f>
        <v>11</v>
      </c>
      <c r="L263" s="414" t="s">
        <v>404</v>
      </c>
    </row>
    <row r="264" spans="1:12" ht="60" x14ac:dyDescent="0.2">
      <c r="A264" s="722">
        <v>259</v>
      </c>
      <c r="B264" s="759">
        <v>44866</v>
      </c>
      <c r="C264" s="419" t="s">
        <v>271</v>
      </c>
      <c r="D264" s="415" t="s">
        <v>456</v>
      </c>
      <c r="E264" s="425">
        <v>600</v>
      </c>
      <c r="F264" s="419" t="s">
        <v>761</v>
      </c>
      <c r="G264" s="757" t="s">
        <v>8551</v>
      </c>
      <c r="H264" s="757" t="s">
        <v>8552</v>
      </c>
      <c r="I264" s="417" t="s">
        <v>5778</v>
      </c>
      <c r="J264" s="654" t="str">
        <f t="shared" si="8"/>
        <v>Gastos_Gerais</v>
      </c>
      <c r="K264" s="655">
        <f>IF(B264="","",IF(YEAR(B264)='Diário 1º PA'!$Q$1,MONTH(B264)-'Diário 1º PA'!$P$1+1,(YEAR(B264)-'Diário 1º PA'!$Q$1)*12-'Diário 1º PA'!$P$1+1+MONTH(B264)))</f>
        <v>11</v>
      </c>
      <c r="L264" s="414" t="s">
        <v>400</v>
      </c>
    </row>
    <row r="265" spans="1:12" ht="36" x14ac:dyDescent="0.2">
      <c r="A265" s="722">
        <v>260</v>
      </c>
      <c r="B265" s="759">
        <v>44896</v>
      </c>
      <c r="C265" s="419" t="s">
        <v>271</v>
      </c>
      <c r="D265" s="415" t="s">
        <v>62</v>
      </c>
      <c r="E265" s="425">
        <v>932</v>
      </c>
      <c r="F265" s="419" t="s">
        <v>760</v>
      </c>
      <c r="G265" s="757" t="s">
        <v>8565</v>
      </c>
      <c r="H265" s="757" t="s">
        <v>8566</v>
      </c>
      <c r="I265" s="417" t="s">
        <v>1119</v>
      </c>
      <c r="J265" s="654" t="str">
        <f t="shared" si="8"/>
        <v>Gastos_Gerais</v>
      </c>
      <c r="K265" s="655">
        <f>IF(B265="","",IF(YEAR(B265)='Diário 1º PA'!$Q$1,MONTH(B265)-'Diário 1º PA'!$P$1+1,(YEAR(B265)-'Diário 1º PA'!$Q$1)*12-'Diário 1º PA'!$P$1+1+MONTH(B265)))</f>
        <v>12</v>
      </c>
      <c r="L265" s="414" t="s">
        <v>400</v>
      </c>
    </row>
    <row r="266" spans="1:12" ht="24" x14ac:dyDescent="0.2">
      <c r="A266" s="722">
        <v>261</v>
      </c>
      <c r="B266" s="759">
        <v>44866</v>
      </c>
      <c r="C266" s="419" t="s">
        <v>271</v>
      </c>
      <c r="D266" s="415" t="s">
        <v>90</v>
      </c>
      <c r="E266" s="425">
        <v>8</v>
      </c>
      <c r="F266" s="419" t="s">
        <v>753</v>
      </c>
      <c r="G266" s="757" t="s">
        <v>764</v>
      </c>
      <c r="H266" s="757" t="s">
        <v>8783</v>
      </c>
      <c r="I266" s="417" t="s">
        <v>310</v>
      </c>
      <c r="J266" s="654" t="str">
        <f t="shared" si="8"/>
        <v>Gastos_Gerais</v>
      </c>
      <c r="K266" s="655">
        <f>IF(B266="","",IF(YEAR(B266)='Diário 1º PA'!$Q$1,MONTH(B266)-'Diário 1º PA'!$P$1+1,(YEAR(B266)-'Diário 1º PA'!$Q$1)*12-'Diário 1º PA'!$P$1+1+MONTH(B266)))</f>
        <v>11</v>
      </c>
      <c r="L266" s="414" t="s">
        <v>400</v>
      </c>
    </row>
    <row r="267" spans="1:12" ht="24" x14ac:dyDescent="0.2">
      <c r="A267" s="722">
        <v>262</v>
      </c>
      <c r="B267" s="759">
        <v>44866</v>
      </c>
      <c r="C267" s="419" t="s">
        <v>271</v>
      </c>
      <c r="D267" s="415" t="s">
        <v>90</v>
      </c>
      <c r="E267" s="425">
        <v>49.6</v>
      </c>
      <c r="F267" s="419" t="s">
        <v>753</v>
      </c>
      <c r="G267" s="757" t="s">
        <v>1461</v>
      </c>
      <c r="H267" s="757" t="s">
        <v>8784</v>
      </c>
      <c r="I267" s="417" t="s">
        <v>310</v>
      </c>
      <c r="J267" s="654" t="str">
        <f t="shared" si="8"/>
        <v>Gastos_Gerais</v>
      </c>
      <c r="K267" s="655">
        <f>IF(B267="","",IF(YEAR(B267)='Diário 1º PA'!$Q$1,MONTH(B267)-'Diário 1º PA'!$P$1+1,(YEAR(B267)-'Diário 1º PA'!$Q$1)*12-'Diário 1º PA'!$P$1+1+MONTH(B267)))</f>
        <v>11</v>
      </c>
      <c r="L267" s="414" t="s">
        <v>400</v>
      </c>
    </row>
    <row r="268" spans="1:12" ht="36" x14ac:dyDescent="0.2">
      <c r="A268" s="722">
        <v>263</v>
      </c>
      <c r="B268" s="759">
        <v>44866</v>
      </c>
      <c r="C268" s="419" t="s">
        <v>271</v>
      </c>
      <c r="D268" s="415" t="s">
        <v>465</v>
      </c>
      <c r="E268" s="425">
        <v>1715.5</v>
      </c>
      <c r="F268" s="419" t="s">
        <v>758</v>
      </c>
      <c r="G268" s="757" t="s">
        <v>8572</v>
      </c>
      <c r="H268" s="757" t="s">
        <v>8573</v>
      </c>
      <c r="I268" s="417" t="s">
        <v>1110</v>
      </c>
      <c r="J268" s="654" t="str">
        <f t="shared" si="8"/>
        <v>Gastos_Gerais</v>
      </c>
      <c r="K268" s="655">
        <f>IF(B268="","",IF(YEAR(B268)='Diário 1º PA'!$Q$1,MONTH(B268)-'Diário 1º PA'!$P$1+1,(YEAR(B268)-'Diário 1º PA'!$Q$1)*12-'Diário 1º PA'!$P$1+1+MONTH(B268)))</f>
        <v>11</v>
      </c>
      <c r="L268" s="414" t="s">
        <v>400</v>
      </c>
    </row>
    <row r="269" spans="1:12" ht="36" x14ac:dyDescent="0.2">
      <c r="A269" s="722">
        <v>264</v>
      </c>
      <c r="B269" s="759">
        <v>44896</v>
      </c>
      <c r="C269" s="419" t="s">
        <v>271</v>
      </c>
      <c r="D269" s="415" t="s">
        <v>442</v>
      </c>
      <c r="E269" s="425">
        <v>10.5</v>
      </c>
      <c r="F269" s="419" t="s">
        <v>790</v>
      </c>
      <c r="G269" s="757" t="s">
        <v>764</v>
      </c>
      <c r="H269" s="757" t="s">
        <v>8779</v>
      </c>
      <c r="I269" s="417" t="s">
        <v>310</v>
      </c>
      <c r="J269" s="654" t="str">
        <f t="shared" si="8"/>
        <v>Gastos_Gerais</v>
      </c>
      <c r="K269" s="655">
        <f>IF(B269="","",IF(YEAR(B269)='Diário 1º PA'!$Q$1,MONTH(B269)-'Diário 1º PA'!$P$1+1,(YEAR(B269)-'Diário 1º PA'!$Q$1)*12-'Diário 1º PA'!$P$1+1+MONTH(B269)))</f>
        <v>12</v>
      </c>
      <c r="L269" s="414" t="s">
        <v>400</v>
      </c>
    </row>
    <row r="270" spans="1:12" ht="36" x14ac:dyDescent="0.2">
      <c r="A270" s="722">
        <v>265</v>
      </c>
      <c r="B270" s="759">
        <v>44896</v>
      </c>
      <c r="C270" s="419" t="s">
        <v>271</v>
      </c>
      <c r="D270" s="415" t="s">
        <v>442</v>
      </c>
      <c r="E270" s="425">
        <v>108.5</v>
      </c>
      <c r="F270" s="419" t="s">
        <v>790</v>
      </c>
      <c r="G270" s="757" t="s">
        <v>764</v>
      </c>
      <c r="H270" s="757" t="s">
        <v>8780</v>
      </c>
      <c r="I270" s="417" t="s">
        <v>310</v>
      </c>
      <c r="J270" s="654" t="str">
        <f t="shared" si="8"/>
        <v>Gastos_Gerais</v>
      </c>
      <c r="K270" s="655">
        <f>IF(B270="","",IF(YEAR(B270)='Diário 1º PA'!$Q$1,MONTH(B270)-'Diário 1º PA'!$P$1+1,(YEAR(B270)-'Diário 1º PA'!$Q$1)*12-'Diário 1º PA'!$P$1+1+MONTH(B270)))</f>
        <v>12</v>
      </c>
      <c r="L270" s="414" t="s">
        <v>400</v>
      </c>
    </row>
    <row r="271" spans="1:12" ht="60" x14ac:dyDescent="0.2">
      <c r="A271" s="722">
        <v>266</v>
      </c>
      <c r="B271" s="759">
        <v>44896</v>
      </c>
      <c r="C271" s="419" t="s">
        <v>468</v>
      </c>
      <c r="D271" s="415" t="s">
        <v>468</v>
      </c>
      <c r="E271" s="425">
        <v>3000</v>
      </c>
      <c r="F271" s="419" t="s">
        <v>468</v>
      </c>
      <c r="G271" s="757" t="s">
        <v>8627</v>
      </c>
      <c r="H271" s="757" t="s">
        <v>8628</v>
      </c>
      <c r="I271" s="417" t="s">
        <v>8629</v>
      </c>
      <c r="J271" s="654" t="str">
        <f t="shared" si="8"/>
        <v>Gastos_custeados_por_captação</v>
      </c>
      <c r="K271" s="655">
        <f>IF(B271="","",IF(YEAR(B271)='Diário 1º PA'!$Q$1,MONTH(B271)-'Diário 1º PA'!$P$1+1,(YEAR(B271)-'Diário 1º PA'!$Q$1)*12-'Diário 1º PA'!$P$1+1+MONTH(B271)))</f>
        <v>12</v>
      </c>
      <c r="L271" s="414" t="s">
        <v>3762</v>
      </c>
    </row>
    <row r="272" spans="1:12" ht="60" x14ac:dyDescent="0.2">
      <c r="A272" s="722">
        <v>267</v>
      </c>
      <c r="B272" s="759">
        <v>44896</v>
      </c>
      <c r="C272" s="419" t="s">
        <v>468</v>
      </c>
      <c r="D272" s="415" t="s">
        <v>468</v>
      </c>
      <c r="E272" s="425">
        <v>2000</v>
      </c>
      <c r="F272" s="419" t="s">
        <v>468</v>
      </c>
      <c r="G272" s="757" t="s">
        <v>8650</v>
      </c>
      <c r="H272" s="757" t="s">
        <v>8649</v>
      </c>
      <c r="I272" s="417" t="s">
        <v>2600</v>
      </c>
      <c r="J272" s="654" t="str">
        <f t="shared" si="8"/>
        <v>Gastos_custeados_por_captação</v>
      </c>
      <c r="K272" s="655">
        <f>IF(B272="","",IF(YEAR(B272)='Diário 1º PA'!$Q$1,MONTH(B272)-'Diário 1º PA'!$P$1+1,(YEAR(B272)-'Diário 1º PA'!$Q$1)*12-'Diário 1º PA'!$P$1+1+MONTH(B272)))</f>
        <v>12</v>
      </c>
      <c r="L272" s="414" t="s">
        <v>3762</v>
      </c>
    </row>
    <row r="273" spans="1:12" ht="60" x14ac:dyDescent="0.2">
      <c r="A273" s="722">
        <v>268</v>
      </c>
      <c r="B273" s="759">
        <v>44896</v>
      </c>
      <c r="C273" s="419" t="s">
        <v>468</v>
      </c>
      <c r="D273" s="415" t="s">
        <v>468</v>
      </c>
      <c r="E273" s="425">
        <v>2000</v>
      </c>
      <c r="F273" s="419" t="s">
        <v>468</v>
      </c>
      <c r="G273" s="757" t="s">
        <v>8651</v>
      </c>
      <c r="H273" s="757" t="s">
        <v>8649</v>
      </c>
      <c r="I273" s="417" t="s">
        <v>2600</v>
      </c>
      <c r="J273" s="654" t="str">
        <f t="shared" si="8"/>
        <v>Gastos_custeados_por_captação</v>
      </c>
      <c r="K273" s="655">
        <f>IF(B273="","",IF(YEAR(B273)='Diário 1º PA'!$Q$1,MONTH(B273)-'Diário 1º PA'!$P$1+1,(YEAR(B273)-'Diário 1º PA'!$Q$1)*12-'Diário 1º PA'!$P$1+1+MONTH(B273)))</f>
        <v>12</v>
      </c>
      <c r="L273" s="414" t="s">
        <v>3762</v>
      </c>
    </row>
    <row r="274" spans="1:12" ht="60" x14ac:dyDescent="0.2">
      <c r="A274" s="722">
        <v>269</v>
      </c>
      <c r="B274" s="759">
        <v>44896</v>
      </c>
      <c r="C274" s="419" t="s">
        <v>468</v>
      </c>
      <c r="D274" s="415" t="s">
        <v>468</v>
      </c>
      <c r="E274" s="425">
        <v>3600</v>
      </c>
      <c r="F274" s="419" t="s">
        <v>468</v>
      </c>
      <c r="G274" s="757" t="s">
        <v>8653</v>
      </c>
      <c r="H274" s="757" t="s">
        <v>8652</v>
      </c>
      <c r="I274" s="417" t="s">
        <v>3267</v>
      </c>
      <c r="J274" s="654" t="str">
        <f t="shared" si="8"/>
        <v>Gastos_custeados_por_captação</v>
      </c>
      <c r="K274" s="655">
        <f>IF(B274="","",IF(YEAR(B274)='Diário 1º PA'!$Q$1,MONTH(B274)-'Diário 1º PA'!$P$1+1,(YEAR(B274)-'Diário 1º PA'!$Q$1)*12-'Diário 1º PA'!$P$1+1+MONTH(B274)))</f>
        <v>12</v>
      </c>
      <c r="L274" s="414" t="s">
        <v>3762</v>
      </c>
    </row>
    <row r="275" spans="1:12" ht="60" x14ac:dyDescent="0.2">
      <c r="A275" s="722">
        <v>270</v>
      </c>
      <c r="B275" s="759">
        <v>44896</v>
      </c>
      <c r="C275" s="419" t="s">
        <v>468</v>
      </c>
      <c r="D275" s="415" t="s">
        <v>468</v>
      </c>
      <c r="E275" s="425">
        <v>243.65</v>
      </c>
      <c r="F275" s="419" t="s">
        <v>468</v>
      </c>
      <c r="G275" s="757" t="s">
        <v>764</v>
      </c>
      <c r="H275" s="757" t="s">
        <v>9099</v>
      </c>
      <c r="I275" s="417" t="s">
        <v>310</v>
      </c>
      <c r="J275" s="654" t="str">
        <f t="shared" si="8"/>
        <v>Gastos_custeados_por_captação</v>
      </c>
      <c r="K275" s="655">
        <f>IF(B275="","",IF(YEAR(B275)='Diário 1º PA'!$Q$1,MONTH(B275)-'Diário 1º PA'!$P$1+1,(YEAR(B275)-'Diário 1º PA'!$Q$1)*12-'Diário 1º PA'!$P$1+1+MONTH(B275)))</f>
        <v>12</v>
      </c>
      <c r="L275" s="414" t="s">
        <v>3762</v>
      </c>
    </row>
    <row r="276" spans="1:12" ht="36" x14ac:dyDescent="0.2">
      <c r="A276" s="722">
        <v>271</v>
      </c>
      <c r="B276" s="759">
        <v>44896</v>
      </c>
      <c r="C276" s="419" t="s">
        <v>271</v>
      </c>
      <c r="D276" s="415" t="s">
        <v>465</v>
      </c>
      <c r="E276" s="425">
        <v>12</v>
      </c>
      <c r="F276" s="419" t="s">
        <v>755</v>
      </c>
      <c r="G276" s="757" t="s">
        <v>764</v>
      </c>
      <c r="H276" s="757" t="s">
        <v>8766</v>
      </c>
      <c r="I276" s="417" t="s">
        <v>310</v>
      </c>
      <c r="J276" s="654" t="str">
        <f t="shared" si="8"/>
        <v>Gastos_Gerais</v>
      </c>
      <c r="K276" s="655">
        <f>IF(B276="","",IF(YEAR(B276)='Diário 1º PA'!$Q$1,MONTH(B276)-'Diário 1º PA'!$P$1+1,(YEAR(B276)-'Diário 1º PA'!$Q$1)*12-'Diário 1º PA'!$P$1+1+MONTH(B276)))</f>
        <v>12</v>
      </c>
      <c r="L276" s="414" t="s">
        <v>400</v>
      </c>
    </row>
    <row r="277" spans="1:12" ht="24" x14ac:dyDescent="0.2">
      <c r="A277" s="722">
        <v>272</v>
      </c>
      <c r="B277" s="759">
        <v>44896</v>
      </c>
      <c r="C277" s="419" t="s">
        <v>271</v>
      </c>
      <c r="D277" s="415" t="s">
        <v>90</v>
      </c>
      <c r="E277" s="425">
        <v>11.1</v>
      </c>
      <c r="F277" s="419" t="s">
        <v>309</v>
      </c>
      <c r="G277" s="757" t="s">
        <v>764</v>
      </c>
      <c r="H277" s="757" t="s">
        <v>9058</v>
      </c>
      <c r="I277" s="417" t="s">
        <v>310</v>
      </c>
      <c r="J277" s="654" t="str">
        <f t="shared" si="8"/>
        <v>Gastos_Gerais</v>
      </c>
      <c r="K277" s="655">
        <f>IF(B277="","",IF(YEAR(B277)='Diário 1º PA'!$Q$1,MONTH(B277)-'Diário 1º PA'!$P$1+1,(YEAR(B277)-'Diário 1º PA'!$Q$1)*12-'Diário 1º PA'!$P$1+1+MONTH(B277)))</f>
        <v>12</v>
      </c>
      <c r="L277" s="414" t="s">
        <v>400</v>
      </c>
    </row>
    <row r="278" spans="1:12" ht="96" x14ac:dyDescent="0.2">
      <c r="A278" s="722">
        <v>273</v>
      </c>
      <c r="B278" s="760">
        <v>44896</v>
      </c>
      <c r="C278" s="419" t="s">
        <v>468</v>
      </c>
      <c r="D278" s="415" t="s">
        <v>468</v>
      </c>
      <c r="E278" s="425">
        <v>897.14</v>
      </c>
      <c r="F278" s="419" t="s">
        <v>468</v>
      </c>
      <c r="G278" s="757" t="s">
        <v>776</v>
      </c>
      <c r="H278" s="757" t="s">
        <v>3925</v>
      </c>
      <c r="I278" s="417" t="s">
        <v>1036</v>
      </c>
      <c r="J278" s="654" t="str">
        <f t="shared" si="8"/>
        <v>Gastos_custeados_por_captação</v>
      </c>
      <c r="K278" s="655">
        <f>IF(B278="","",IF(YEAR(B278)='Diário 1º PA'!$Q$1,MONTH(B278)-'Diário 1º PA'!$P$1+1,(YEAR(B278)-'Diário 1º PA'!$Q$1)*12-'Diário 1º PA'!$P$1+1+MONTH(B278)))</f>
        <v>12</v>
      </c>
      <c r="L278" s="414" t="s">
        <v>408</v>
      </c>
    </row>
    <row r="279" spans="1:12" ht="72" x14ac:dyDescent="0.2">
      <c r="A279" s="722">
        <v>274</v>
      </c>
      <c r="B279" s="759">
        <v>44896</v>
      </c>
      <c r="C279" s="419" t="s">
        <v>468</v>
      </c>
      <c r="D279" s="415" t="s">
        <v>468</v>
      </c>
      <c r="E279" s="425">
        <v>1710</v>
      </c>
      <c r="F279" s="419" t="s">
        <v>468</v>
      </c>
      <c r="G279" s="757" t="s">
        <v>8750</v>
      </c>
      <c r="H279" s="757" t="s">
        <v>8751</v>
      </c>
      <c r="I279" s="417" t="s">
        <v>8752</v>
      </c>
      <c r="J279" s="654" t="str">
        <f t="shared" si="8"/>
        <v>Gastos_custeados_por_captação</v>
      </c>
      <c r="K279" s="655">
        <f>IF(B279="","",IF(YEAR(B279)='Diário 1º PA'!$Q$1,MONTH(B279)-'Diário 1º PA'!$P$1+1,(YEAR(B279)-'Diário 1º PA'!$Q$1)*12-'Diário 1º PA'!$P$1+1+MONTH(B279)))</f>
        <v>12</v>
      </c>
      <c r="L279" s="414" t="s">
        <v>404</v>
      </c>
    </row>
    <row r="280" spans="1:12" ht="108" x14ac:dyDescent="0.2">
      <c r="A280" s="722">
        <v>275</v>
      </c>
      <c r="B280" s="759">
        <v>44896</v>
      </c>
      <c r="C280" s="419" t="s">
        <v>271</v>
      </c>
      <c r="D280" s="415" t="s">
        <v>141</v>
      </c>
      <c r="E280" s="425">
        <v>585.63</v>
      </c>
      <c r="F280" s="419" t="s">
        <v>309</v>
      </c>
      <c r="G280" s="757" t="s">
        <v>8754</v>
      </c>
      <c r="H280" s="757" t="s">
        <v>8753</v>
      </c>
      <c r="I280" s="417" t="s">
        <v>1523</v>
      </c>
      <c r="J280" s="654" t="str">
        <f t="shared" si="8"/>
        <v>Gastos_Gerais</v>
      </c>
      <c r="K280" s="655">
        <f>IF(B280="","",IF(YEAR(B280)='Diário 1º PA'!$Q$1,MONTH(B280)-'Diário 1º PA'!$P$1+1,(YEAR(B280)-'Diário 1º PA'!$Q$1)*12-'Diário 1º PA'!$P$1+1+MONTH(B280)))</f>
        <v>12</v>
      </c>
      <c r="L280" s="414" t="s">
        <v>400</v>
      </c>
    </row>
    <row r="281" spans="1:12" ht="60" x14ac:dyDescent="0.2">
      <c r="A281" s="722">
        <v>276</v>
      </c>
      <c r="B281" s="759">
        <v>44896</v>
      </c>
      <c r="C281" s="419" t="s">
        <v>468</v>
      </c>
      <c r="D281" s="415" t="s">
        <v>468</v>
      </c>
      <c r="E281" s="425">
        <v>136.80000000000001</v>
      </c>
      <c r="F281" s="419" t="s">
        <v>468</v>
      </c>
      <c r="G281" s="757" t="s">
        <v>764</v>
      </c>
      <c r="H281" s="757" t="s">
        <v>9105</v>
      </c>
      <c r="I281" s="417" t="s">
        <v>310</v>
      </c>
      <c r="J281" s="654" t="str">
        <f t="shared" si="8"/>
        <v>Gastos_custeados_por_captação</v>
      </c>
      <c r="K281" s="655">
        <f>IF(B281="","",IF(YEAR(B281)='Diário 1º PA'!$Q$1,MONTH(B281)-'Diário 1º PA'!$P$1+1,(YEAR(B281)-'Diário 1º PA'!$Q$1)*12-'Diário 1º PA'!$P$1+1+MONTH(B281)))</f>
        <v>12</v>
      </c>
      <c r="L281" s="414" t="s">
        <v>3762</v>
      </c>
    </row>
    <row r="282" spans="1:12" ht="24" x14ac:dyDescent="0.2">
      <c r="A282" s="722">
        <v>277</v>
      </c>
      <c r="B282" s="759">
        <v>44896</v>
      </c>
      <c r="C282" s="419" t="s">
        <v>271</v>
      </c>
      <c r="D282" s="415" t="s">
        <v>456</v>
      </c>
      <c r="E282" s="425">
        <v>25</v>
      </c>
      <c r="F282" s="419" t="s">
        <v>761</v>
      </c>
      <c r="G282" s="757" t="s">
        <v>764</v>
      </c>
      <c r="H282" s="757" t="s">
        <v>9132</v>
      </c>
      <c r="I282" s="417" t="s">
        <v>310</v>
      </c>
      <c r="J282" s="654" t="str">
        <f t="shared" si="8"/>
        <v>Gastos_Gerais</v>
      </c>
      <c r="K282" s="655">
        <f>IF(B282="","",IF(YEAR(B282)='Diário 1º PA'!$Q$1,MONTH(B282)-'Diário 1º PA'!$P$1+1,(YEAR(B282)-'Diário 1º PA'!$Q$1)*12-'Diário 1º PA'!$P$1+1+MONTH(B282)))</f>
        <v>12</v>
      </c>
      <c r="L282" s="414" t="s">
        <v>400</v>
      </c>
    </row>
    <row r="283" spans="1:12" ht="24" x14ac:dyDescent="0.2">
      <c r="A283" s="722">
        <v>278</v>
      </c>
      <c r="B283" s="759">
        <v>44896</v>
      </c>
      <c r="C283" s="419" t="s">
        <v>271</v>
      </c>
      <c r="D283" s="415" t="s">
        <v>456</v>
      </c>
      <c r="E283" s="425">
        <v>155</v>
      </c>
      <c r="F283" s="419" t="s">
        <v>761</v>
      </c>
      <c r="G283" s="757" t="s">
        <v>1461</v>
      </c>
      <c r="H283" s="757" t="s">
        <v>9133</v>
      </c>
      <c r="I283" s="417" t="s">
        <v>310</v>
      </c>
      <c r="J283" s="654" t="str">
        <f t="shared" si="8"/>
        <v>Gastos_Gerais</v>
      </c>
      <c r="K283" s="655">
        <f>IF(B283="","",IF(YEAR(B283)='Diário 1º PA'!$Q$1,MONTH(B283)-'Diário 1º PA'!$P$1+1,(YEAR(B283)-'Diário 1º PA'!$Q$1)*12-'Diário 1º PA'!$P$1+1+MONTH(B283)))</f>
        <v>12</v>
      </c>
      <c r="L283" s="414" t="s">
        <v>400</v>
      </c>
    </row>
    <row r="284" spans="1:12" ht="60" x14ac:dyDescent="0.2">
      <c r="A284" s="722">
        <v>279</v>
      </c>
      <c r="B284" s="759">
        <v>44896</v>
      </c>
      <c r="C284" s="419" t="s">
        <v>468</v>
      </c>
      <c r="D284" s="415" t="s">
        <v>468</v>
      </c>
      <c r="E284" s="425">
        <v>360</v>
      </c>
      <c r="F284" s="419" t="s">
        <v>468</v>
      </c>
      <c r="G284" s="757" t="s">
        <v>8771</v>
      </c>
      <c r="H284" s="757" t="s">
        <v>7718</v>
      </c>
      <c r="I284" s="417" t="s">
        <v>7719</v>
      </c>
      <c r="J284" s="654" t="str">
        <f t="shared" si="8"/>
        <v>Gastos_custeados_por_captação</v>
      </c>
      <c r="K284" s="655">
        <f>IF(B284="","",IF(YEAR(B284)='Diário 1º PA'!$Q$1,MONTH(B284)-'Diário 1º PA'!$P$1+1,(YEAR(B284)-'Diário 1º PA'!$Q$1)*12-'Diário 1º PA'!$P$1+1+MONTH(B284)))</f>
        <v>12</v>
      </c>
      <c r="L284" s="414" t="s">
        <v>404</v>
      </c>
    </row>
    <row r="285" spans="1:12" ht="60" x14ac:dyDescent="0.2">
      <c r="A285" s="722">
        <v>280</v>
      </c>
      <c r="B285" s="759">
        <v>44896</v>
      </c>
      <c r="C285" s="419" t="s">
        <v>468</v>
      </c>
      <c r="D285" s="415" t="s">
        <v>468</v>
      </c>
      <c r="E285" s="425">
        <v>50.25</v>
      </c>
      <c r="F285" s="419" t="s">
        <v>468</v>
      </c>
      <c r="G285" s="757" t="s">
        <v>764</v>
      </c>
      <c r="H285" s="757" t="s">
        <v>9154</v>
      </c>
      <c r="I285" s="417" t="s">
        <v>310</v>
      </c>
      <c r="J285" s="654" t="str">
        <f t="shared" si="8"/>
        <v>Gastos_custeados_por_captação</v>
      </c>
      <c r="K285" s="655">
        <f>IF(B285="","",IF(YEAR(B285)='Diário 1º PA'!$Q$1,MONTH(B285)-'Diário 1º PA'!$P$1+1,(YEAR(B285)-'Diário 1º PA'!$Q$1)*12-'Diário 1º PA'!$P$1+1+MONTH(B285)))</f>
        <v>12</v>
      </c>
      <c r="L285" s="414" t="s">
        <v>3762</v>
      </c>
    </row>
    <row r="286" spans="1:12" ht="36" x14ac:dyDescent="0.2">
      <c r="A286" s="722">
        <v>281</v>
      </c>
      <c r="B286" s="759">
        <v>44896</v>
      </c>
      <c r="C286" s="419" t="s">
        <v>271</v>
      </c>
      <c r="D286" s="415" t="s">
        <v>91</v>
      </c>
      <c r="E286" s="425">
        <v>900</v>
      </c>
      <c r="F286" s="419" t="s">
        <v>754</v>
      </c>
      <c r="G286" s="757" t="s">
        <v>8799</v>
      </c>
      <c r="H286" s="757" t="s">
        <v>8800</v>
      </c>
      <c r="I286" s="417" t="s">
        <v>5695</v>
      </c>
      <c r="J286" s="654" t="str">
        <f t="shared" si="8"/>
        <v>Gastos_Gerais</v>
      </c>
      <c r="K286" s="655">
        <f>IF(B286="","",IF(YEAR(B286)='Diário 1º PA'!$Q$1,MONTH(B286)-'Diário 1º PA'!$P$1+1,(YEAR(B286)-'Diário 1º PA'!$Q$1)*12-'Diário 1º PA'!$P$1+1+MONTH(B286)))</f>
        <v>12</v>
      </c>
      <c r="L286" s="414" t="s">
        <v>400</v>
      </c>
    </row>
    <row r="287" spans="1:12" ht="48" x14ac:dyDescent="0.2">
      <c r="A287" s="722">
        <v>282</v>
      </c>
      <c r="B287" s="759">
        <v>44896</v>
      </c>
      <c r="C287" s="419" t="s">
        <v>271</v>
      </c>
      <c r="D287" s="415" t="s">
        <v>464</v>
      </c>
      <c r="E287" s="425">
        <v>112.4</v>
      </c>
      <c r="F287" s="419" t="s">
        <v>754</v>
      </c>
      <c r="G287" s="757" t="s">
        <v>8802</v>
      </c>
      <c r="H287" s="757" t="s">
        <v>8801</v>
      </c>
      <c r="I287" s="417" t="s">
        <v>3271</v>
      </c>
      <c r="J287" s="654" t="str">
        <f t="shared" si="8"/>
        <v>Gastos_Gerais</v>
      </c>
      <c r="K287" s="655">
        <f>IF(B287="","",IF(YEAR(B287)='Diário 1º PA'!$Q$1,MONTH(B287)-'Diário 1º PA'!$P$1+1,(YEAR(B287)-'Diário 1º PA'!$Q$1)*12-'Diário 1º PA'!$P$1+1+MONTH(B287)))</f>
        <v>12</v>
      </c>
      <c r="L287" s="414" t="s">
        <v>400</v>
      </c>
    </row>
    <row r="288" spans="1:12" ht="60" x14ac:dyDescent="0.2">
      <c r="A288" s="722">
        <v>283</v>
      </c>
      <c r="B288" s="421">
        <v>44835</v>
      </c>
      <c r="C288" s="419" t="s">
        <v>468</v>
      </c>
      <c r="D288" s="419" t="s">
        <v>468</v>
      </c>
      <c r="E288" s="425">
        <v>9.9</v>
      </c>
      <c r="F288" s="419" t="s">
        <v>468</v>
      </c>
      <c r="G288" s="757" t="s">
        <v>764</v>
      </c>
      <c r="H288" s="757" t="s">
        <v>8863</v>
      </c>
      <c r="I288" s="417" t="s">
        <v>310</v>
      </c>
      <c r="J288" s="654" t="str">
        <f t="shared" si="8"/>
        <v>Gastos_custeados_por_captação</v>
      </c>
      <c r="K288" s="655">
        <f>IF(B288="","",IF(YEAR(B288)='Diário 1º PA'!$Q$1,MONTH(B288)-'Diário 1º PA'!$P$1+1,(YEAR(B288)-'Diário 1º PA'!$Q$1)*12-'Diário 1º PA'!$P$1+1+MONTH(B288)))</f>
        <v>10</v>
      </c>
      <c r="L288" s="414" t="s">
        <v>404</v>
      </c>
    </row>
    <row r="289" spans="1:12" ht="60" x14ac:dyDescent="0.2">
      <c r="A289" s="722">
        <v>284</v>
      </c>
      <c r="B289" s="421">
        <v>44835</v>
      </c>
      <c r="C289" s="419" t="s">
        <v>468</v>
      </c>
      <c r="D289" s="419" t="s">
        <v>468</v>
      </c>
      <c r="E289" s="425">
        <v>102.3</v>
      </c>
      <c r="F289" s="419" t="s">
        <v>468</v>
      </c>
      <c r="G289" s="757" t="s">
        <v>1461</v>
      </c>
      <c r="H289" s="757" t="s">
        <v>8864</v>
      </c>
      <c r="I289" s="417" t="s">
        <v>310</v>
      </c>
      <c r="J289" s="654" t="str">
        <f t="shared" si="8"/>
        <v>Gastos_custeados_por_captação</v>
      </c>
      <c r="K289" s="655">
        <f>IF(B289="","",IF(YEAR(B289)='Diário 1º PA'!$Q$1,MONTH(B289)-'Diário 1º PA'!$P$1+1,(YEAR(B289)-'Diário 1º PA'!$Q$1)*12-'Diário 1º PA'!$P$1+1+MONTH(B289)))</f>
        <v>10</v>
      </c>
      <c r="L289" s="414" t="s">
        <v>404</v>
      </c>
    </row>
    <row r="290" spans="1:12" ht="36" x14ac:dyDescent="0.2">
      <c r="A290" s="722">
        <v>285</v>
      </c>
      <c r="B290" s="421">
        <v>44896</v>
      </c>
      <c r="C290" s="419" t="s">
        <v>182</v>
      </c>
      <c r="D290" s="434" t="s">
        <v>179</v>
      </c>
      <c r="E290" s="425">
        <v>230.4</v>
      </c>
      <c r="F290" s="419" t="s">
        <v>310</v>
      </c>
      <c r="G290" s="427" t="s">
        <v>8920</v>
      </c>
      <c r="H290" s="427" t="s">
        <v>8868</v>
      </c>
      <c r="I290" s="417" t="s">
        <v>8869</v>
      </c>
      <c r="J290" s="654" t="str">
        <f t="shared" si="8"/>
        <v>Gastos_com_Pessoal</v>
      </c>
      <c r="K290" s="655">
        <f>IF(B290="","",IF(YEAR(B290)='Diário 1º PA'!$Q$1,MONTH(B290)-'Diário 1º PA'!$P$1+1,(YEAR(B290)-'Diário 1º PA'!$Q$1)*12-'Diário 1º PA'!$P$1+1+MONTH(B290)))</f>
        <v>12</v>
      </c>
      <c r="L290" s="414" t="s">
        <v>400</v>
      </c>
    </row>
    <row r="291" spans="1:12" ht="84" x14ac:dyDescent="0.2">
      <c r="A291" s="722">
        <v>286</v>
      </c>
      <c r="B291" s="759">
        <v>44896</v>
      </c>
      <c r="C291" s="419" t="s">
        <v>271</v>
      </c>
      <c r="D291" s="415" t="s">
        <v>444</v>
      </c>
      <c r="E291" s="425">
        <v>2952</v>
      </c>
      <c r="F291" s="419" t="s">
        <v>754</v>
      </c>
      <c r="G291" s="757" t="s">
        <v>8922</v>
      </c>
      <c r="H291" s="757" t="s">
        <v>8923</v>
      </c>
      <c r="I291" s="764" t="s">
        <v>8924</v>
      </c>
      <c r="J291" s="654" t="str">
        <f t="shared" si="8"/>
        <v>Gastos_Gerais</v>
      </c>
      <c r="K291" s="655">
        <f>IF(B291="","",IF(YEAR(B291)='Diário 1º PA'!$Q$1,MONTH(B291)-'Diário 1º PA'!$P$1+1,(YEAR(B291)-'Diário 1º PA'!$Q$1)*12-'Diário 1º PA'!$P$1+1+MONTH(B291)))</f>
        <v>12</v>
      </c>
      <c r="L291" s="414" t="s">
        <v>400</v>
      </c>
    </row>
    <row r="292" spans="1:12" ht="36" x14ac:dyDescent="0.2">
      <c r="A292" s="722">
        <v>287</v>
      </c>
      <c r="B292" s="759">
        <v>44896</v>
      </c>
      <c r="C292" s="419" t="s">
        <v>468</v>
      </c>
      <c r="D292" s="415" t="s">
        <v>468</v>
      </c>
      <c r="E292" s="425">
        <v>2750</v>
      </c>
      <c r="F292" s="419" t="s">
        <v>468</v>
      </c>
      <c r="G292" s="757" t="s">
        <v>9031</v>
      </c>
      <c r="H292" s="757" t="s">
        <v>4429</v>
      </c>
      <c r="I292" s="764" t="s">
        <v>2456</v>
      </c>
      <c r="J292" s="654" t="str">
        <f t="shared" si="8"/>
        <v>Gastos_custeados_por_captação</v>
      </c>
      <c r="K292" s="655">
        <f>IF(B292="","",IF(YEAR(B292)='Diário 1º PA'!$Q$1,MONTH(B292)-'Diário 1º PA'!$P$1+1,(YEAR(B292)-'Diário 1º PA'!$Q$1)*12-'Diário 1º PA'!$P$1+1+MONTH(B292)))</f>
        <v>12</v>
      </c>
      <c r="L292" s="414" t="s">
        <v>408</v>
      </c>
    </row>
    <row r="293" spans="1:12" ht="36" x14ac:dyDescent="0.2">
      <c r="A293" s="722">
        <v>288</v>
      </c>
      <c r="B293" s="759">
        <v>44896</v>
      </c>
      <c r="C293" s="419" t="s">
        <v>271</v>
      </c>
      <c r="D293" s="415" t="s">
        <v>456</v>
      </c>
      <c r="E293" s="425">
        <v>720</v>
      </c>
      <c r="F293" s="419" t="s">
        <v>755</v>
      </c>
      <c r="G293" s="757" t="s">
        <v>9024</v>
      </c>
      <c r="H293" s="757" t="s">
        <v>9025</v>
      </c>
      <c r="I293" s="417" t="s">
        <v>9026</v>
      </c>
      <c r="J293" s="654" t="str">
        <f t="shared" si="8"/>
        <v>Gastos_Gerais</v>
      </c>
      <c r="K293" s="655">
        <f>IF(B293="","",IF(YEAR(B293)='Diário 1º PA'!$Q$1,MONTH(B293)-'Diário 1º PA'!$P$1+1,(YEAR(B293)-'Diário 1º PA'!$Q$1)*12-'Diário 1º PA'!$P$1+1+MONTH(B293)))</f>
        <v>12</v>
      </c>
      <c r="L293" s="414" t="s">
        <v>400</v>
      </c>
    </row>
    <row r="294" spans="1:12" ht="36" x14ac:dyDescent="0.2">
      <c r="A294" s="722">
        <v>289</v>
      </c>
      <c r="B294" s="759">
        <v>44896</v>
      </c>
      <c r="C294" s="419" t="s">
        <v>271</v>
      </c>
      <c r="D294" s="415" t="s">
        <v>456</v>
      </c>
      <c r="E294" s="425">
        <v>30</v>
      </c>
      <c r="F294" s="419" t="s">
        <v>755</v>
      </c>
      <c r="G294" s="757" t="s">
        <v>764</v>
      </c>
      <c r="H294" s="757" t="s">
        <v>9129</v>
      </c>
      <c r="I294" s="417" t="s">
        <v>310</v>
      </c>
      <c r="J294" s="654" t="str">
        <f t="shared" si="8"/>
        <v>Gastos_Gerais</v>
      </c>
      <c r="K294" s="655">
        <f>IF(B294="","",IF(YEAR(B294)='Diário 1º PA'!$Q$1,MONTH(B294)-'Diário 1º PA'!$P$1+1,(YEAR(B294)-'Diário 1º PA'!$Q$1)*12-'Diário 1º PA'!$P$1+1+MONTH(B294)))</f>
        <v>12</v>
      </c>
      <c r="L294" s="414" t="s">
        <v>400</v>
      </c>
    </row>
    <row r="295" spans="1:12" ht="36" x14ac:dyDescent="0.2">
      <c r="A295" s="722">
        <v>290</v>
      </c>
      <c r="B295" s="759">
        <v>44896</v>
      </c>
      <c r="C295" s="419" t="s">
        <v>271</v>
      </c>
      <c r="D295" s="415" t="s">
        <v>456</v>
      </c>
      <c r="E295" s="425">
        <v>186</v>
      </c>
      <c r="F295" s="419" t="s">
        <v>755</v>
      </c>
      <c r="G295" s="757" t="s">
        <v>1461</v>
      </c>
      <c r="H295" s="757" t="s">
        <v>9130</v>
      </c>
      <c r="I295" s="417" t="s">
        <v>310</v>
      </c>
      <c r="J295" s="654" t="str">
        <f t="shared" si="8"/>
        <v>Gastos_Gerais</v>
      </c>
      <c r="K295" s="655">
        <f>IF(B295="","",IF(YEAR(B295)='Diário 1º PA'!$Q$1,MONTH(B295)-'Diário 1º PA'!$P$1+1,(YEAR(B295)-'Diário 1º PA'!$Q$1)*12-'Diário 1º PA'!$P$1+1+MONTH(B295)))</f>
        <v>12</v>
      </c>
      <c r="L295" s="414" t="s">
        <v>400</v>
      </c>
    </row>
    <row r="296" spans="1:12" ht="60" x14ac:dyDescent="0.2">
      <c r="A296" s="722">
        <v>291</v>
      </c>
      <c r="B296" s="759">
        <v>44896</v>
      </c>
      <c r="C296" s="419" t="s">
        <v>271</v>
      </c>
      <c r="D296" s="415" t="s">
        <v>453</v>
      </c>
      <c r="E296" s="425">
        <v>600</v>
      </c>
      <c r="F296" s="419" t="s">
        <v>761</v>
      </c>
      <c r="G296" s="757" t="s">
        <v>9030</v>
      </c>
      <c r="H296" s="757" t="s">
        <v>9029</v>
      </c>
      <c r="I296" s="417" t="s">
        <v>6116</v>
      </c>
      <c r="J296" s="654" t="str">
        <f t="shared" si="8"/>
        <v>Gastos_Gerais</v>
      </c>
      <c r="K296" s="655">
        <f>IF(B296="","",IF(YEAR(B296)='Diário 1º PA'!$Q$1,MONTH(B296)-'Diário 1º PA'!$P$1+1,(YEAR(B296)-'Diário 1º PA'!$Q$1)*12-'Diário 1º PA'!$P$1+1+MONTH(B296)))</f>
        <v>12</v>
      </c>
      <c r="L296" s="414" t="s">
        <v>400</v>
      </c>
    </row>
    <row r="297" spans="1:12" ht="60" x14ac:dyDescent="0.2">
      <c r="A297" s="722">
        <v>292</v>
      </c>
      <c r="B297" s="759">
        <v>44896</v>
      </c>
      <c r="C297" s="419" t="s">
        <v>468</v>
      </c>
      <c r="D297" s="415" t="s">
        <v>468</v>
      </c>
      <c r="E297" s="425">
        <v>515</v>
      </c>
      <c r="F297" s="419" t="s">
        <v>468</v>
      </c>
      <c r="G297" s="757" t="s">
        <v>9050</v>
      </c>
      <c r="H297" s="757" t="s">
        <v>9051</v>
      </c>
      <c r="I297" s="417" t="s">
        <v>816</v>
      </c>
      <c r="J297" s="654" t="str">
        <f t="shared" si="8"/>
        <v>Gastos_custeados_por_captação</v>
      </c>
      <c r="K297" s="655">
        <f>IF(B297="","",IF(YEAR(B297)='Diário 1º PA'!$Q$1,MONTH(B297)-'Diário 1º PA'!$P$1+1,(YEAR(B297)-'Diário 1º PA'!$Q$1)*12-'Diário 1º PA'!$P$1+1+MONTH(B297)))</f>
        <v>12</v>
      </c>
      <c r="L297" s="414" t="s">
        <v>404</v>
      </c>
    </row>
    <row r="298" spans="1:12" ht="24" x14ac:dyDescent="0.2">
      <c r="A298" s="722">
        <v>293</v>
      </c>
      <c r="B298" s="759">
        <v>44896</v>
      </c>
      <c r="C298" s="419" t="s">
        <v>182</v>
      </c>
      <c r="D298" s="415" t="s">
        <v>287</v>
      </c>
      <c r="E298" s="425">
        <v>194.55</v>
      </c>
      <c r="F298" s="419" t="s">
        <v>310</v>
      </c>
      <c r="G298" s="757" t="s">
        <v>1461</v>
      </c>
      <c r="H298" s="757" t="s">
        <v>9117</v>
      </c>
      <c r="I298" s="417" t="s">
        <v>310</v>
      </c>
      <c r="J298" s="654" t="str">
        <f t="shared" si="8"/>
        <v>Gastos_com_Pessoal</v>
      </c>
      <c r="K298" s="655">
        <f>IF(B298="","",IF(YEAR(B298)='Diário 1º PA'!$Q$1,MONTH(B298)-'Diário 1º PA'!$P$1+1,(YEAR(B298)-'Diário 1º PA'!$Q$1)*12-'Diário 1º PA'!$P$1+1+MONTH(B298)))</f>
        <v>12</v>
      </c>
      <c r="L298" s="414" t="s">
        <v>400</v>
      </c>
    </row>
    <row r="299" spans="1:12" ht="24" x14ac:dyDescent="0.2">
      <c r="A299" s="722">
        <v>294</v>
      </c>
      <c r="B299" s="759">
        <v>44896</v>
      </c>
      <c r="C299" s="419" t="s">
        <v>182</v>
      </c>
      <c r="D299" s="415" t="s">
        <v>287</v>
      </c>
      <c r="E299" s="425">
        <v>227.74</v>
      </c>
      <c r="F299" s="419" t="s">
        <v>310</v>
      </c>
      <c r="G299" s="757" t="s">
        <v>1461</v>
      </c>
      <c r="H299" s="757" t="s">
        <v>9118</v>
      </c>
      <c r="I299" s="417" t="s">
        <v>310</v>
      </c>
      <c r="J299" s="654" t="str">
        <f t="shared" si="8"/>
        <v>Gastos_com_Pessoal</v>
      </c>
      <c r="K299" s="655">
        <f>IF(B299="","",IF(YEAR(B299)='Diário 1º PA'!$Q$1,MONTH(B299)-'Diário 1º PA'!$P$1+1,(YEAR(B299)-'Diário 1º PA'!$Q$1)*12-'Diário 1º PA'!$P$1+1+MONTH(B299)))</f>
        <v>12</v>
      </c>
      <c r="L299" s="414" t="s">
        <v>400</v>
      </c>
    </row>
    <row r="300" spans="1:12" ht="36" x14ac:dyDescent="0.2">
      <c r="A300" s="722">
        <v>295</v>
      </c>
      <c r="B300" s="759">
        <v>44896</v>
      </c>
      <c r="C300" s="419" t="s">
        <v>271</v>
      </c>
      <c r="D300" s="415" t="s">
        <v>64</v>
      </c>
      <c r="E300" s="425">
        <v>1216.8</v>
      </c>
      <c r="F300" s="419" t="s">
        <v>309</v>
      </c>
      <c r="G300" s="757" t="s">
        <v>6337</v>
      </c>
      <c r="H300" s="757" t="s">
        <v>9147</v>
      </c>
      <c r="I300" s="417" t="s">
        <v>1330</v>
      </c>
      <c r="J300" s="654" t="str">
        <f t="shared" ref="J300:J349" si="9">SUBSTITUTE(C300," ","_")</f>
        <v>Gastos_Gerais</v>
      </c>
      <c r="K300" s="655">
        <f>IF(B300="","",IF(YEAR(B300)='Diário 1º PA'!$Q$1,MONTH(B300)-'Diário 1º PA'!$P$1+1,(YEAR(B300)-'Diário 1º PA'!$Q$1)*12-'Diário 1º PA'!$P$1+1+MONTH(B300)))</f>
        <v>12</v>
      </c>
      <c r="L300" s="414" t="s">
        <v>400</v>
      </c>
    </row>
    <row r="301" spans="1:12" ht="36" x14ac:dyDescent="0.2">
      <c r="A301" s="722">
        <v>296</v>
      </c>
      <c r="B301" s="765">
        <v>44896</v>
      </c>
      <c r="C301" s="419" t="s">
        <v>271</v>
      </c>
      <c r="D301" s="415" t="s">
        <v>461</v>
      </c>
      <c r="E301" s="425">
        <v>3200</v>
      </c>
      <c r="F301" s="419" t="s">
        <v>753</v>
      </c>
      <c r="G301" s="757" t="s">
        <v>9149</v>
      </c>
      <c r="H301" s="757" t="s">
        <v>9148</v>
      </c>
      <c r="I301" s="417" t="s">
        <v>9150</v>
      </c>
      <c r="J301" s="654" t="str">
        <f t="shared" si="9"/>
        <v>Gastos_Gerais</v>
      </c>
      <c r="K301" s="655">
        <f>IF(B301="","",IF(YEAR(B301)='Diário 1º PA'!$Q$1,MONTH(B301)-'Diário 1º PA'!$P$1+1,(YEAR(B301)-'Diário 1º PA'!$Q$1)*12-'Diário 1º PA'!$P$1+1+MONTH(B301)))</f>
        <v>12</v>
      </c>
      <c r="L301" s="414" t="s">
        <v>400</v>
      </c>
    </row>
    <row r="302" spans="1:12" ht="24" x14ac:dyDescent="0.2">
      <c r="A302" s="722">
        <v>297</v>
      </c>
      <c r="B302" s="765">
        <v>44896</v>
      </c>
      <c r="C302" s="419" t="s">
        <v>182</v>
      </c>
      <c r="D302" s="415" t="s">
        <v>287</v>
      </c>
      <c r="E302" s="425">
        <v>60.92</v>
      </c>
      <c r="F302" s="419" t="s">
        <v>310</v>
      </c>
      <c r="G302" s="757" t="s">
        <v>1461</v>
      </c>
      <c r="H302" s="757" t="s">
        <v>9163</v>
      </c>
      <c r="I302" s="417" t="s">
        <v>310</v>
      </c>
      <c r="J302" s="654" t="str">
        <f t="shared" si="9"/>
        <v>Gastos_com_Pessoal</v>
      </c>
      <c r="K302" s="655">
        <f>IF(B302="","",IF(YEAR(B302)='Diário 1º PA'!$Q$1,MONTH(B302)-'Diário 1º PA'!$P$1+1,(YEAR(B302)-'Diário 1º PA'!$Q$1)*12-'Diário 1º PA'!$P$1+1+MONTH(B302)))</f>
        <v>12</v>
      </c>
      <c r="L302" s="414" t="s">
        <v>400</v>
      </c>
    </row>
    <row r="303" spans="1:12" ht="24" x14ac:dyDescent="0.2">
      <c r="A303" s="722">
        <v>298</v>
      </c>
      <c r="B303" s="765">
        <v>44896</v>
      </c>
      <c r="C303" s="419" t="s">
        <v>182</v>
      </c>
      <c r="D303" s="415" t="s">
        <v>287</v>
      </c>
      <c r="E303" s="425">
        <v>307.06</v>
      </c>
      <c r="F303" s="419" t="s">
        <v>310</v>
      </c>
      <c r="G303" s="757" t="s">
        <v>1461</v>
      </c>
      <c r="H303" s="757" t="s">
        <v>9165</v>
      </c>
      <c r="I303" s="417" t="s">
        <v>310</v>
      </c>
      <c r="J303" s="654" t="str">
        <f t="shared" si="9"/>
        <v>Gastos_com_Pessoal</v>
      </c>
      <c r="K303" s="655">
        <f>IF(B303="","",IF(YEAR(B303)='Diário 1º PA'!$Q$1,MONTH(B303)-'Diário 1º PA'!$P$1+1,(YEAR(B303)-'Diário 1º PA'!$Q$1)*12-'Diário 1º PA'!$P$1+1+MONTH(B303)))</f>
        <v>12</v>
      </c>
      <c r="L303" s="414" t="s">
        <v>400</v>
      </c>
    </row>
    <row r="304" spans="1:12" ht="24" x14ac:dyDescent="0.2">
      <c r="A304" s="722">
        <v>299</v>
      </c>
      <c r="B304" s="765">
        <v>44896</v>
      </c>
      <c r="C304" s="419" t="s">
        <v>182</v>
      </c>
      <c r="D304" s="415" t="s">
        <v>287</v>
      </c>
      <c r="E304" s="425">
        <v>89.77</v>
      </c>
      <c r="F304" s="419" t="s">
        <v>310</v>
      </c>
      <c r="G304" s="757" t="s">
        <v>1461</v>
      </c>
      <c r="H304" s="757" t="s">
        <v>9167</v>
      </c>
      <c r="I304" s="417" t="s">
        <v>310</v>
      </c>
      <c r="J304" s="654" t="str">
        <f t="shared" si="9"/>
        <v>Gastos_com_Pessoal</v>
      </c>
      <c r="K304" s="655">
        <f>IF(B304="","",IF(YEAR(B304)='Diário 1º PA'!$Q$1,MONTH(B304)-'Diário 1º PA'!$P$1+1,(YEAR(B304)-'Diário 1º PA'!$Q$1)*12-'Diário 1º PA'!$P$1+1+MONTH(B304)))</f>
        <v>12</v>
      </c>
      <c r="L304" s="414" t="s">
        <v>400</v>
      </c>
    </row>
    <row r="305" spans="1:12" ht="24" x14ac:dyDescent="0.2">
      <c r="A305" s="722">
        <v>300</v>
      </c>
      <c r="B305" s="765">
        <v>44896</v>
      </c>
      <c r="C305" s="419" t="s">
        <v>182</v>
      </c>
      <c r="D305" s="415" t="s">
        <v>287</v>
      </c>
      <c r="E305" s="425">
        <v>89.77</v>
      </c>
      <c r="F305" s="419" t="s">
        <v>310</v>
      </c>
      <c r="G305" s="757" t="s">
        <v>1461</v>
      </c>
      <c r="H305" s="757" t="s">
        <v>9167</v>
      </c>
      <c r="I305" s="417" t="s">
        <v>310</v>
      </c>
      <c r="J305" s="654" t="str">
        <f t="shared" si="9"/>
        <v>Gastos_com_Pessoal</v>
      </c>
      <c r="K305" s="655">
        <f>IF(B305="","",IF(YEAR(B305)='Diário 1º PA'!$Q$1,MONTH(B305)-'Diário 1º PA'!$P$1+1,(YEAR(B305)-'Diário 1º PA'!$Q$1)*12-'Diário 1º PA'!$P$1+1+MONTH(B305)))</f>
        <v>12</v>
      </c>
      <c r="L305" s="414" t="s">
        <v>400</v>
      </c>
    </row>
    <row r="306" spans="1:12" ht="24" x14ac:dyDescent="0.2">
      <c r="A306" s="722">
        <v>301</v>
      </c>
      <c r="B306" s="765">
        <v>44896</v>
      </c>
      <c r="C306" s="419" t="s">
        <v>182</v>
      </c>
      <c r="D306" s="415" t="s">
        <v>287</v>
      </c>
      <c r="E306" s="425">
        <v>89.77</v>
      </c>
      <c r="F306" s="419" t="s">
        <v>310</v>
      </c>
      <c r="G306" s="757" t="s">
        <v>1461</v>
      </c>
      <c r="H306" s="757" t="s">
        <v>9170</v>
      </c>
      <c r="I306" s="417" t="s">
        <v>310</v>
      </c>
      <c r="J306" s="654" t="str">
        <f t="shared" si="9"/>
        <v>Gastos_com_Pessoal</v>
      </c>
      <c r="K306" s="655">
        <f>IF(B306="","",IF(YEAR(B306)='Diário 1º PA'!$Q$1,MONTH(B306)-'Diário 1º PA'!$P$1+1,(YEAR(B306)-'Diário 1º PA'!$Q$1)*12-'Diário 1º PA'!$P$1+1+MONTH(B306)))</f>
        <v>12</v>
      </c>
      <c r="L306" s="414" t="s">
        <v>400</v>
      </c>
    </row>
    <row r="307" spans="1:12" ht="24" x14ac:dyDescent="0.2">
      <c r="A307" s="722">
        <v>302</v>
      </c>
      <c r="B307" s="765">
        <v>44896</v>
      </c>
      <c r="C307" s="419" t="s">
        <v>182</v>
      </c>
      <c r="D307" s="415" t="s">
        <v>287</v>
      </c>
      <c r="E307" s="425">
        <v>89.77</v>
      </c>
      <c r="F307" s="419" t="s">
        <v>310</v>
      </c>
      <c r="G307" s="757" t="s">
        <v>1461</v>
      </c>
      <c r="H307" s="757" t="s">
        <v>9172</v>
      </c>
      <c r="I307" s="417" t="s">
        <v>310</v>
      </c>
      <c r="J307" s="654" t="str">
        <f t="shared" si="9"/>
        <v>Gastos_com_Pessoal</v>
      </c>
      <c r="K307" s="655">
        <f>IF(B307="","",IF(YEAR(B307)='Diário 1º PA'!$Q$1,MONTH(B307)-'Diário 1º PA'!$P$1+1,(YEAR(B307)-'Diário 1º PA'!$Q$1)*12-'Diário 1º PA'!$P$1+1+MONTH(B307)))</f>
        <v>12</v>
      </c>
      <c r="L307" s="414" t="s">
        <v>400</v>
      </c>
    </row>
    <row r="308" spans="1:12" ht="24" x14ac:dyDescent="0.2">
      <c r="A308" s="722">
        <v>303</v>
      </c>
      <c r="B308" s="765">
        <v>44896</v>
      </c>
      <c r="C308" s="419" t="s">
        <v>182</v>
      </c>
      <c r="D308" s="415" t="s">
        <v>287</v>
      </c>
      <c r="E308" s="425">
        <v>89.77</v>
      </c>
      <c r="F308" s="419" t="s">
        <v>310</v>
      </c>
      <c r="G308" s="757" t="s">
        <v>1461</v>
      </c>
      <c r="H308" s="757" t="s">
        <v>9174</v>
      </c>
      <c r="I308" s="417" t="s">
        <v>310</v>
      </c>
      <c r="J308" s="654" t="str">
        <f t="shared" si="9"/>
        <v>Gastos_com_Pessoal</v>
      </c>
      <c r="K308" s="655">
        <f>IF(B308="","",IF(YEAR(B308)='Diário 1º PA'!$Q$1,MONTH(B308)-'Diário 1º PA'!$P$1+1,(YEAR(B308)-'Diário 1º PA'!$Q$1)*12-'Diário 1º PA'!$P$1+1+MONTH(B308)))</f>
        <v>12</v>
      </c>
      <c r="L308" s="414" t="s">
        <v>400</v>
      </c>
    </row>
    <row r="309" spans="1:12" ht="24" x14ac:dyDescent="0.2">
      <c r="A309" s="722">
        <v>304</v>
      </c>
      <c r="B309" s="765">
        <v>44896</v>
      </c>
      <c r="C309" s="419" t="s">
        <v>182</v>
      </c>
      <c r="D309" s="415" t="s">
        <v>287</v>
      </c>
      <c r="E309" s="425">
        <v>10.26</v>
      </c>
      <c r="F309" s="419" t="s">
        <v>310</v>
      </c>
      <c r="G309" s="757" t="s">
        <v>1461</v>
      </c>
      <c r="H309" s="757" t="s">
        <v>9176</v>
      </c>
      <c r="I309" s="417" t="s">
        <v>310</v>
      </c>
      <c r="J309" s="654" t="str">
        <f t="shared" si="9"/>
        <v>Gastos_com_Pessoal</v>
      </c>
      <c r="K309" s="655">
        <f>IF(B309="","",IF(YEAR(B309)='Diário 1º PA'!$Q$1,MONTH(B309)-'Diário 1º PA'!$P$1+1,(YEAR(B309)-'Diário 1º PA'!$Q$1)*12-'Diário 1º PA'!$P$1+1+MONTH(B309)))</f>
        <v>12</v>
      </c>
      <c r="L309" s="414" t="s">
        <v>400</v>
      </c>
    </row>
    <row r="310" spans="1:12" ht="24" x14ac:dyDescent="0.2">
      <c r="A310" s="722">
        <v>305</v>
      </c>
      <c r="B310" s="765">
        <v>44896</v>
      </c>
      <c r="C310" s="419" t="s">
        <v>182</v>
      </c>
      <c r="D310" s="415" t="s">
        <v>287</v>
      </c>
      <c r="E310" s="425">
        <v>89.77</v>
      </c>
      <c r="F310" s="419" t="s">
        <v>310</v>
      </c>
      <c r="G310" s="757" t="s">
        <v>1461</v>
      </c>
      <c r="H310" s="757" t="s">
        <v>9174</v>
      </c>
      <c r="I310" s="417" t="s">
        <v>310</v>
      </c>
      <c r="J310" s="654" t="str">
        <f t="shared" si="9"/>
        <v>Gastos_com_Pessoal</v>
      </c>
      <c r="K310" s="655">
        <f>IF(B310="","",IF(YEAR(B310)='Diário 1º PA'!$Q$1,MONTH(B310)-'Diário 1º PA'!$P$1+1,(YEAR(B310)-'Diário 1º PA'!$Q$1)*12-'Diário 1º PA'!$P$1+1+MONTH(B310)))</f>
        <v>12</v>
      </c>
      <c r="L310" s="414" t="s">
        <v>400</v>
      </c>
    </row>
    <row r="311" spans="1:12" ht="24" x14ac:dyDescent="0.2">
      <c r="A311" s="722">
        <v>306</v>
      </c>
      <c r="B311" s="765">
        <v>44896</v>
      </c>
      <c r="C311" s="419" t="s">
        <v>182</v>
      </c>
      <c r="D311" s="415" t="s">
        <v>287</v>
      </c>
      <c r="E311" s="425">
        <v>32.65</v>
      </c>
      <c r="F311" s="419" t="s">
        <v>310</v>
      </c>
      <c r="G311" s="757" t="s">
        <v>1461</v>
      </c>
      <c r="H311" s="757" t="s">
        <v>9179</v>
      </c>
      <c r="I311" s="417" t="s">
        <v>310</v>
      </c>
      <c r="J311" s="654" t="str">
        <f t="shared" si="9"/>
        <v>Gastos_com_Pessoal</v>
      </c>
      <c r="K311" s="655">
        <f>IF(B311="","",IF(YEAR(B311)='Diário 1º PA'!$Q$1,MONTH(B311)-'Diário 1º PA'!$P$1+1,(YEAR(B311)-'Diário 1º PA'!$Q$1)*12-'Diário 1º PA'!$P$1+1+MONTH(B311)))</f>
        <v>12</v>
      </c>
      <c r="L311" s="414" t="s">
        <v>400</v>
      </c>
    </row>
    <row r="312" spans="1:12" ht="24" x14ac:dyDescent="0.2">
      <c r="A312" s="722">
        <v>307</v>
      </c>
      <c r="B312" s="765">
        <v>44896</v>
      </c>
      <c r="C312" s="419" t="s">
        <v>182</v>
      </c>
      <c r="D312" s="415" t="s">
        <v>287</v>
      </c>
      <c r="E312" s="425">
        <v>2651.63</v>
      </c>
      <c r="F312" s="419" t="s">
        <v>310</v>
      </c>
      <c r="G312" s="757" t="s">
        <v>1461</v>
      </c>
      <c r="H312" s="757" t="s">
        <v>9180</v>
      </c>
      <c r="I312" s="417" t="s">
        <v>310</v>
      </c>
      <c r="J312" s="654" t="str">
        <f t="shared" si="9"/>
        <v>Gastos_com_Pessoal</v>
      </c>
      <c r="K312" s="655">
        <f>IF(B312="","",IF(YEAR(B312)='Diário 1º PA'!$Q$1,MONTH(B312)-'Diário 1º PA'!$P$1+1,(YEAR(B312)-'Diário 1º PA'!$Q$1)*12-'Diário 1º PA'!$P$1+1+MONTH(B312)))</f>
        <v>12</v>
      </c>
      <c r="L312" s="414" t="s">
        <v>400</v>
      </c>
    </row>
    <row r="313" spans="1:12" ht="24" x14ac:dyDescent="0.2">
      <c r="A313" s="722">
        <v>308</v>
      </c>
      <c r="B313" s="765">
        <v>44896</v>
      </c>
      <c r="C313" s="419" t="s">
        <v>182</v>
      </c>
      <c r="D313" s="415" t="s">
        <v>287</v>
      </c>
      <c r="E313" s="425">
        <v>89.77</v>
      </c>
      <c r="F313" s="419" t="s">
        <v>310</v>
      </c>
      <c r="G313" s="757" t="s">
        <v>1461</v>
      </c>
      <c r="H313" s="757" t="s">
        <v>9172</v>
      </c>
      <c r="I313" s="417" t="s">
        <v>310</v>
      </c>
      <c r="J313" s="654" t="str">
        <f t="shared" si="9"/>
        <v>Gastos_com_Pessoal</v>
      </c>
      <c r="K313" s="655">
        <f>IF(B313="","",IF(YEAR(B313)='Diário 1º PA'!$Q$1,MONTH(B313)-'Diário 1º PA'!$P$1+1,(YEAR(B313)-'Diário 1º PA'!$Q$1)*12-'Diário 1º PA'!$P$1+1+MONTH(B313)))</f>
        <v>12</v>
      </c>
      <c r="L313" s="414" t="s">
        <v>400</v>
      </c>
    </row>
    <row r="314" spans="1:12" ht="24" x14ac:dyDescent="0.2">
      <c r="A314" s="722">
        <v>309</v>
      </c>
      <c r="B314" s="765">
        <v>44896</v>
      </c>
      <c r="C314" s="419" t="s">
        <v>182</v>
      </c>
      <c r="D314" s="415" t="s">
        <v>287</v>
      </c>
      <c r="E314" s="425">
        <v>307.06</v>
      </c>
      <c r="F314" s="419" t="s">
        <v>310</v>
      </c>
      <c r="G314" s="757" t="s">
        <v>1461</v>
      </c>
      <c r="H314" s="757" t="s">
        <v>9165</v>
      </c>
      <c r="I314" s="417" t="s">
        <v>310</v>
      </c>
      <c r="J314" s="654" t="str">
        <f t="shared" si="9"/>
        <v>Gastos_com_Pessoal</v>
      </c>
      <c r="K314" s="655">
        <f>IF(B314="","",IF(YEAR(B314)='Diário 1º PA'!$Q$1,MONTH(B314)-'Diário 1º PA'!$P$1+1,(YEAR(B314)-'Diário 1º PA'!$Q$1)*12-'Diário 1º PA'!$P$1+1+MONTH(B314)))</f>
        <v>12</v>
      </c>
      <c r="L314" s="414" t="s">
        <v>400</v>
      </c>
    </row>
    <row r="315" spans="1:12" ht="24" x14ac:dyDescent="0.2">
      <c r="A315" s="722">
        <v>310</v>
      </c>
      <c r="B315" s="765">
        <v>44896</v>
      </c>
      <c r="C315" s="419" t="s">
        <v>182</v>
      </c>
      <c r="D315" s="415" t="s">
        <v>287</v>
      </c>
      <c r="E315" s="425">
        <v>307.06</v>
      </c>
      <c r="F315" s="419" t="s">
        <v>310</v>
      </c>
      <c r="G315" s="757" t="s">
        <v>1461</v>
      </c>
      <c r="H315" s="757" t="s">
        <v>9183</v>
      </c>
      <c r="I315" s="417" t="s">
        <v>310</v>
      </c>
      <c r="J315" s="654" t="str">
        <f t="shared" si="9"/>
        <v>Gastos_com_Pessoal</v>
      </c>
      <c r="K315" s="655">
        <f>IF(B315="","",IF(YEAR(B315)='Diário 1º PA'!$Q$1,MONTH(B315)-'Diário 1º PA'!$P$1+1,(YEAR(B315)-'Diário 1º PA'!$Q$1)*12-'Diário 1º PA'!$P$1+1+MONTH(B315)))</f>
        <v>12</v>
      </c>
      <c r="L315" s="414" t="s">
        <v>400</v>
      </c>
    </row>
    <row r="316" spans="1:12" ht="24" x14ac:dyDescent="0.2">
      <c r="A316" s="722">
        <v>311</v>
      </c>
      <c r="B316" s="765">
        <v>44896</v>
      </c>
      <c r="C316" s="419" t="s">
        <v>182</v>
      </c>
      <c r="D316" s="415" t="s">
        <v>287</v>
      </c>
      <c r="E316" s="425">
        <v>10.26</v>
      </c>
      <c r="F316" s="419" t="s">
        <v>310</v>
      </c>
      <c r="G316" s="757" t="s">
        <v>1461</v>
      </c>
      <c r="H316" s="757" t="s">
        <v>9176</v>
      </c>
      <c r="I316" s="417" t="s">
        <v>310</v>
      </c>
      <c r="J316" s="654" t="str">
        <f t="shared" si="9"/>
        <v>Gastos_com_Pessoal</v>
      </c>
      <c r="K316" s="655">
        <f>IF(B316="","",IF(YEAR(B316)='Diário 1º PA'!$Q$1,MONTH(B316)-'Diário 1º PA'!$P$1+1,(YEAR(B316)-'Diário 1º PA'!$Q$1)*12-'Diário 1º PA'!$P$1+1+MONTH(B316)))</f>
        <v>12</v>
      </c>
      <c r="L316" s="414" t="s">
        <v>400</v>
      </c>
    </row>
    <row r="317" spans="1:12" ht="24" x14ac:dyDescent="0.2">
      <c r="A317" s="722">
        <v>312</v>
      </c>
      <c r="B317" s="765">
        <v>44896</v>
      </c>
      <c r="C317" s="419" t="s">
        <v>182</v>
      </c>
      <c r="D317" s="415" t="s">
        <v>287</v>
      </c>
      <c r="E317" s="425">
        <v>89.77</v>
      </c>
      <c r="F317" s="419" t="s">
        <v>310</v>
      </c>
      <c r="G317" s="757" t="s">
        <v>1461</v>
      </c>
      <c r="H317" s="757" t="s">
        <v>9172</v>
      </c>
      <c r="I317" s="417" t="s">
        <v>310</v>
      </c>
      <c r="J317" s="654" t="str">
        <f t="shared" si="9"/>
        <v>Gastos_com_Pessoal</v>
      </c>
      <c r="K317" s="655">
        <f>IF(B317="","",IF(YEAR(B317)='Diário 1º PA'!$Q$1,MONTH(B317)-'Diário 1º PA'!$P$1+1,(YEAR(B317)-'Diário 1º PA'!$Q$1)*12-'Diário 1º PA'!$P$1+1+MONTH(B317)))</f>
        <v>12</v>
      </c>
      <c r="L317" s="414" t="s">
        <v>400</v>
      </c>
    </row>
    <row r="318" spans="1:12" ht="24" x14ac:dyDescent="0.2">
      <c r="A318" s="722">
        <v>313</v>
      </c>
      <c r="B318" s="765">
        <v>44896</v>
      </c>
      <c r="C318" s="419" t="s">
        <v>182</v>
      </c>
      <c r="D318" s="415" t="s">
        <v>287</v>
      </c>
      <c r="E318" s="425">
        <v>57.63</v>
      </c>
      <c r="F318" s="419" t="s">
        <v>310</v>
      </c>
      <c r="G318" s="757" t="s">
        <v>1461</v>
      </c>
      <c r="H318" s="757" t="s">
        <v>9185</v>
      </c>
      <c r="I318" s="417" t="s">
        <v>310</v>
      </c>
      <c r="J318" s="654" t="str">
        <f t="shared" si="9"/>
        <v>Gastos_com_Pessoal</v>
      </c>
      <c r="K318" s="655">
        <f>IF(B318="","",IF(YEAR(B318)='Diário 1º PA'!$Q$1,MONTH(B318)-'Diário 1º PA'!$P$1+1,(YEAR(B318)-'Diário 1º PA'!$Q$1)*12-'Diário 1º PA'!$P$1+1+MONTH(B318)))</f>
        <v>12</v>
      </c>
      <c r="L318" s="414" t="s">
        <v>400</v>
      </c>
    </row>
    <row r="319" spans="1:12" ht="24" x14ac:dyDescent="0.2">
      <c r="A319" s="722">
        <v>314</v>
      </c>
      <c r="B319" s="765">
        <v>44896</v>
      </c>
      <c r="C319" s="419" t="s">
        <v>182</v>
      </c>
      <c r="D319" s="415" t="s">
        <v>287</v>
      </c>
      <c r="E319" s="425">
        <v>89.77</v>
      </c>
      <c r="F319" s="419" t="s">
        <v>310</v>
      </c>
      <c r="G319" s="757" t="s">
        <v>1461</v>
      </c>
      <c r="H319" s="757" t="s">
        <v>9172</v>
      </c>
      <c r="I319" s="417" t="s">
        <v>310</v>
      </c>
      <c r="J319" s="654" t="str">
        <f t="shared" si="9"/>
        <v>Gastos_com_Pessoal</v>
      </c>
      <c r="K319" s="655">
        <f>IF(B319="","",IF(YEAR(B319)='Diário 1º PA'!$Q$1,MONTH(B319)-'Diário 1º PA'!$P$1+1,(YEAR(B319)-'Diário 1º PA'!$Q$1)*12-'Diário 1º PA'!$P$1+1+MONTH(B319)))</f>
        <v>12</v>
      </c>
      <c r="L319" s="414" t="s">
        <v>400</v>
      </c>
    </row>
    <row r="320" spans="1:12" ht="24" x14ac:dyDescent="0.2">
      <c r="A320" s="722">
        <v>315</v>
      </c>
      <c r="B320" s="765">
        <v>44896</v>
      </c>
      <c r="C320" s="419" t="s">
        <v>182</v>
      </c>
      <c r="D320" s="415" t="s">
        <v>287</v>
      </c>
      <c r="E320" s="425">
        <v>307.06</v>
      </c>
      <c r="F320" s="419" t="s">
        <v>310</v>
      </c>
      <c r="G320" s="757" t="s">
        <v>1461</v>
      </c>
      <c r="H320" s="757" t="s">
        <v>9183</v>
      </c>
      <c r="I320" s="417" t="s">
        <v>310</v>
      </c>
      <c r="J320" s="654" t="str">
        <f t="shared" si="9"/>
        <v>Gastos_com_Pessoal</v>
      </c>
      <c r="K320" s="655">
        <f>IF(B320="","",IF(YEAR(B320)='Diário 1º PA'!$Q$1,MONTH(B320)-'Diário 1º PA'!$P$1+1,(YEAR(B320)-'Diário 1º PA'!$Q$1)*12-'Diário 1º PA'!$P$1+1+MONTH(B320)))</f>
        <v>12</v>
      </c>
      <c r="L320" s="414" t="s">
        <v>400</v>
      </c>
    </row>
    <row r="321" spans="1:12" ht="24" x14ac:dyDescent="0.2">
      <c r="A321" s="722">
        <v>316</v>
      </c>
      <c r="B321" s="765">
        <v>44896</v>
      </c>
      <c r="C321" s="419" t="s">
        <v>182</v>
      </c>
      <c r="D321" s="415" t="s">
        <v>287</v>
      </c>
      <c r="E321" s="425">
        <v>89.77</v>
      </c>
      <c r="F321" s="419" t="s">
        <v>310</v>
      </c>
      <c r="G321" s="757" t="s">
        <v>1461</v>
      </c>
      <c r="H321" s="757" t="s">
        <v>9186</v>
      </c>
      <c r="I321" s="417" t="s">
        <v>310</v>
      </c>
      <c r="J321" s="654" t="str">
        <f t="shared" si="9"/>
        <v>Gastos_com_Pessoal</v>
      </c>
      <c r="K321" s="655">
        <f>IF(B321="","",IF(YEAR(B321)='Diário 1º PA'!$Q$1,MONTH(B321)-'Diário 1º PA'!$P$1+1,(YEAR(B321)-'Diário 1º PA'!$Q$1)*12-'Diário 1º PA'!$P$1+1+MONTH(B321)))</f>
        <v>12</v>
      </c>
      <c r="L321" s="414" t="s">
        <v>400</v>
      </c>
    </row>
    <row r="322" spans="1:12" ht="24" x14ac:dyDescent="0.2">
      <c r="A322" s="722">
        <v>317</v>
      </c>
      <c r="B322" s="765">
        <v>44896</v>
      </c>
      <c r="C322" s="419" t="s">
        <v>182</v>
      </c>
      <c r="D322" s="415" t="s">
        <v>287</v>
      </c>
      <c r="E322" s="425">
        <v>307.06</v>
      </c>
      <c r="F322" s="419" t="s">
        <v>310</v>
      </c>
      <c r="G322" s="757" t="s">
        <v>1461</v>
      </c>
      <c r="H322" s="757" t="s">
        <v>9165</v>
      </c>
      <c r="I322" s="417" t="s">
        <v>310</v>
      </c>
      <c r="J322" s="654" t="str">
        <f t="shared" si="9"/>
        <v>Gastos_com_Pessoal</v>
      </c>
      <c r="K322" s="655">
        <f>IF(B322="","",IF(YEAR(B322)='Diário 1º PA'!$Q$1,MONTH(B322)-'Diário 1º PA'!$P$1+1,(YEAR(B322)-'Diário 1º PA'!$Q$1)*12-'Diário 1º PA'!$P$1+1+MONTH(B322)))</f>
        <v>12</v>
      </c>
      <c r="L322" s="414" t="s">
        <v>400</v>
      </c>
    </row>
    <row r="323" spans="1:12" ht="24" x14ac:dyDescent="0.2">
      <c r="A323" s="722">
        <v>318</v>
      </c>
      <c r="B323" s="765">
        <v>44896</v>
      </c>
      <c r="C323" s="419" t="s">
        <v>182</v>
      </c>
      <c r="D323" s="415" t="s">
        <v>287</v>
      </c>
      <c r="E323" s="425">
        <v>89.77</v>
      </c>
      <c r="F323" s="419" t="s">
        <v>310</v>
      </c>
      <c r="G323" s="757" t="s">
        <v>1461</v>
      </c>
      <c r="H323" s="757" t="s">
        <v>9188</v>
      </c>
      <c r="I323" s="417" t="s">
        <v>310</v>
      </c>
      <c r="J323" s="654" t="str">
        <f t="shared" si="9"/>
        <v>Gastos_com_Pessoal</v>
      </c>
      <c r="K323" s="655">
        <f>IF(B323="","",IF(YEAR(B323)='Diário 1º PA'!$Q$1,MONTH(B323)-'Diário 1º PA'!$P$1+1,(YEAR(B323)-'Diário 1º PA'!$Q$1)*12-'Diário 1º PA'!$P$1+1+MONTH(B323)))</f>
        <v>12</v>
      </c>
      <c r="L323" s="414" t="s">
        <v>400</v>
      </c>
    </row>
    <row r="324" spans="1:12" ht="24" x14ac:dyDescent="0.2">
      <c r="A324" s="722">
        <v>319</v>
      </c>
      <c r="B324" s="765">
        <v>44896</v>
      </c>
      <c r="C324" s="419" t="s">
        <v>182</v>
      </c>
      <c r="D324" s="415" t="s">
        <v>287</v>
      </c>
      <c r="E324" s="425">
        <v>307.06</v>
      </c>
      <c r="F324" s="419" t="s">
        <v>310</v>
      </c>
      <c r="G324" s="757" t="s">
        <v>1461</v>
      </c>
      <c r="H324" s="757" t="s">
        <v>9165</v>
      </c>
      <c r="I324" s="417" t="s">
        <v>310</v>
      </c>
      <c r="J324" s="654" t="str">
        <f t="shared" si="9"/>
        <v>Gastos_com_Pessoal</v>
      </c>
      <c r="K324" s="655">
        <f>IF(B324="","",IF(YEAR(B324)='Diário 1º PA'!$Q$1,MONTH(B324)-'Diário 1º PA'!$P$1+1,(YEAR(B324)-'Diário 1º PA'!$Q$1)*12-'Diário 1º PA'!$P$1+1+MONTH(B324)))</f>
        <v>12</v>
      </c>
      <c r="L324" s="414" t="s">
        <v>400</v>
      </c>
    </row>
    <row r="325" spans="1:12" ht="24" x14ac:dyDescent="0.2">
      <c r="A325" s="722">
        <v>320</v>
      </c>
      <c r="B325" s="765">
        <v>44896</v>
      </c>
      <c r="C325" s="419" t="s">
        <v>182</v>
      </c>
      <c r="D325" s="415" t="s">
        <v>287</v>
      </c>
      <c r="E325" s="425">
        <v>89.77</v>
      </c>
      <c r="F325" s="419" t="s">
        <v>310</v>
      </c>
      <c r="G325" s="757" t="s">
        <v>1461</v>
      </c>
      <c r="H325" s="757" t="s">
        <v>9188</v>
      </c>
      <c r="I325" s="417" t="s">
        <v>310</v>
      </c>
      <c r="J325" s="654" t="str">
        <f t="shared" si="9"/>
        <v>Gastos_com_Pessoal</v>
      </c>
      <c r="K325" s="655">
        <f>IF(B325="","",IF(YEAR(B325)='Diário 1º PA'!$Q$1,MONTH(B325)-'Diário 1º PA'!$P$1+1,(YEAR(B325)-'Diário 1º PA'!$Q$1)*12-'Diário 1º PA'!$P$1+1+MONTH(B325)))</f>
        <v>12</v>
      </c>
      <c r="L325" s="414" t="s">
        <v>400</v>
      </c>
    </row>
    <row r="326" spans="1:12" ht="24" x14ac:dyDescent="0.2">
      <c r="A326" s="722">
        <v>321</v>
      </c>
      <c r="B326" s="765">
        <v>44896</v>
      </c>
      <c r="C326" s="419" t="s">
        <v>182</v>
      </c>
      <c r="D326" s="415" t="s">
        <v>287</v>
      </c>
      <c r="E326" s="425">
        <v>65.260000000000005</v>
      </c>
      <c r="F326" s="419" t="s">
        <v>310</v>
      </c>
      <c r="G326" s="757" t="s">
        <v>1461</v>
      </c>
      <c r="H326" s="757" t="s">
        <v>9188</v>
      </c>
      <c r="I326" s="417" t="s">
        <v>310</v>
      </c>
      <c r="J326" s="654" t="str">
        <f t="shared" si="9"/>
        <v>Gastos_com_Pessoal</v>
      </c>
      <c r="K326" s="655">
        <f>IF(B326="","",IF(YEAR(B326)='Diário 1º PA'!$Q$1,MONTH(B326)-'Diário 1º PA'!$P$1+1,(YEAR(B326)-'Diário 1º PA'!$Q$1)*12-'Diário 1º PA'!$P$1+1+MONTH(B326)))</f>
        <v>12</v>
      </c>
      <c r="L326" s="414" t="s">
        <v>400</v>
      </c>
    </row>
    <row r="327" spans="1:12" ht="24" x14ac:dyDescent="0.2">
      <c r="A327" s="722">
        <v>322</v>
      </c>
      <c r="B327" s="765">
        <v>44896</v>
      </c>
      <c r="C327" s="419" t="s">
        <v>182</v>
      </c>
      <c r="D327" s="415" t="s">
        <v>287</v>
      </c>
      <c r="E327" s="425">
        <v>89.77</v>
      </c>
      <c r="F327" s="419" t="s">
        <v>310</v>
      </c>
      <c r="G327" s="757" t="s">
        <v>1461</v>
      </c>
      <c r="H327" s="757" t="s">
        <v>9191</v>
      </c>
      <c r="I327" s="417" t="s">
        <v>310</v>
      </c>
      <c r="J327" s="654" t="str">
        <f t="shared" si="9"/>
        <v>Gastos_com_Pessoal</v>
      </c>
      <c r="K327" s="655">
        <f>IF(B327="","",IF(YEAR(B327)='Diário 1º PA'!$Q$1,MONTH(B327)-'Diário 1º PA'!$P$1+1,(YEAR(B327)-'Diário 1º PA'!$Q$1)*12-'Diário 1º PA'!$P$1+1+MONTH(B327)))</f>
        <v>12</v>
      </c>
      <c r="L327" s="414" t="s">
        <v>400</v>
      </c>
    </row>
    <row r="328" spans="1:12" ht="24" x14ac:dyDescent="0.2">
      <c r="A328" s="722">
        <v>323</v>
      </c>
      <c r="B328" s="765">
        <v>44896</v>
      </c>
      <c r="C328" s="419" t="s">
        <v>182</v>
      </c>
      <c r="D328" s="415" t="s">
        <v>287</v>
      </c>
      <c r="E328" s="425">
        <v>89.77</v>
      </c>
      <c r="F328" s="419" t="s">
        <v>310</v>
      </c>
      <c r="G328" s="757" t="s">
        <v>1461</v>
      </c>
      <c r="H328" s="757" t="s">
        <v>9192</v>
      </c>
      <c r="I328" s="417" t="s">
        <v>310</v>
      </c>
      <c r="J328" s="654" t="str">
        <f t="shared" si="9"/>
        <v>Gastos_com_Pessoal</v>
      </c>
      <c r="K328" s="655">
        <f>IF(B328="","",IF(YEAR(B328)='Diário 1º PA'!$Q$1,MONTH(B328)-'Diário 1º PA'!$P$1+1,(YEAR(B328)-'Diário 1º PA'!$Q$1)*12-'Diário 1º PA'!$P$1+1+MONTH(B328)))</f>
        <v>12</v>
      </c>
      <c r="L328" s="414" t="s">
        <v>400</v>
      </c>
    </row>
    <row r="329" spans="1:12" ht="24" x14ac:dyDescent="0.2">
      <c r="A329" s="722">
        <v>324</v>
      </c>
      <c r="B329" s="765">
        <v>44896</v>
      </c>
      <c r="C329" s="419" t="s">
        <v>182</v>
      </c>
      <c r="D329" s="415" t="s">
        <v>287</v>
      </c>
      <c r="E329" s="425">
        <v>89.77</v>
      </c>
      <c r="F329" s="419" t="s">
        <v>310</v>
      </c>
      <c r="G329" s="757" t="s">
        <v>1461</v>
      </c>
      <c r="H329" s="757" t="s">
        <v>9188</v>
      </c>
      <c r="I329" s="417" t="s">
        <v>310</v>
      </c>
      <c r="J329" s="654" t="str">
        <f t="shared" si="9"/>
        <v>Gastos_com_Pessoal</v>
      </c>
      <c r="K329" s="655">
        <f>IF(B329="","",IF(YEAR(B329)='Diário 1º PA'!$Q$1,MONTH(B329)-'Diário 1º PA'!$P$1+1,(YEAR(B329)-'Diário 1º PA'!$Q$1)*12-'Diário 1º PA'!$P$1+1+MONTH(B329)))</f>
        <v>12</v>
      </c>
      <c r="L329" s="414" t="s">
        <v>400</v>
      </c>
    </row>
    <row r="330" spans="1:12" ht="24" x14ac:dyDescent="0.2">
      <c r="A330" s="722">
        <v>325</v>
      </c>
      <c r="B330" s="765">
        <v>44896</v>
      </c>
      <c r="C330" s="419" t="s">
        <v>182</v>
      </c>
      <c r="D330" s="415" t="s">
        <v>287</v>
      </c>
      <c r="E330" s="425">
        <v>89.77</v>
      </c>
      <c r="F330" s="419" t="s">
        <v>310</v>
      </c>
      <c r="G330" s="757" t="s">
        <v>1461</v>
      </c>
      <c r="H330" s="757" t="s">
        <v>9188</v>
      </c>
      <c r="I330" s="417" t="s">
        <v>310</v>
      </c>
      <c r="J330" s="654" t="str">
        <f t="shared" si="9"/>
        <v>Gastos_com_Pessoal</v>
      </c>
      <c r="K330" s="655">
        <f>IF(B330="","",IF(YEAR(B330)='Diário 1º PA'!$Q$1,MONTH(B330)-'Diário 1º PA'!$P$1+1,(YEAR(B330)-'Diário 1º PA'!$Q$1)*12-'Diário 1º PA'!$P$1+1+MONTH(B330)))</f>
        <v>12</v>
      </c>
      <c r="L330" s="414" t="s">
        <v>400</v>
      </c>
    </row>
    <row r="331" spans="1:12" ht="24" x14ac:dyDescent="0.2">
      <c r="A331" s="722">
        <v>326</v>
      </c>
      <c r="B331" s="765">
        <v>44896</v>
      </c>
      <c r="C331" s="419" t="s">
        <v>182</v>
      </c>
      <c r="D331" s="415" t="s">
        <v>287</v>
      </c>
      <c r="E331" s="425">
        <v>307.06</v>
      </c>
      <c r="F331" s="419" t="s">
        <v>310</v>
      </c>
      <c r="G331" s="757" t="s">
        <v>1461</v>
      </c>
      <c r="H331" s="757" t="s">
        <v>9165</v>
      </c>
      <c r="I331" s="417" t="s">
        <v>310</v>
      </c>
      <c r="J331" s="654" t="str">
        <f t="shared" si="9"/>
        <v>Gastos_com_Pessoal</v>
      </c>
      <c r="K331" s="655">
        <f>IF(B331="","",IF(YEAR(B331)='Diário 1º PA'!$Q$1,MONTH(B331)-'Diário 1º PA'!$P$1+1,(YEAR(B331)-'Diário 1º PA'!$Q$1)*12-'Diário 1º PA'!$P$1+1+MONTH(B331)))</f>
        <v>12</v>
      </c>
      <c r="L331" s="414" t="s">
        <v>400</v>
      </c>
    </row>
    <row r="332" spans="1:12" ht="24" x14ac:dyDescent="0.2">
      <c r="A332" s="722">
        <v>327</v>
      </c>
      <c r="B332" s="765">
        <v>44896</v>
      </c>
      <c r="C332" s="419" t="s">
        <v>182</v>
      </c>
      <c r="D332" s="415" t="s">
        <v>287</v>
      </c>
      <c r="E332" s="425">
        <v>307.06</v>
      </c>
      <c r="F332" s="419" t="s">
        <v>310</v>
      </c>
      <c r="G332" s="757" t="s">
        <v>1461</v>
      </c>
      <c r="H332" s="757" t="s">
        <v>9193</v>
      </c>
      <c r="I332" s="417" t="s">
        <v>310</v>
      </c>
      <c r="J332" s="654" t="str">
        <f t="shared" si="9"/>
        <v>Gastos_com_Pessoal</v>
      </c>
      <c r="K332" s="655">
        <f>IF(B332="","",IF(YEAR(B332)='Diário 1º PA'!$Q$1,MONTH(B332)-'Diário 1º PA'!$P$1+1,(YEAR(B332)-'Diário 1º PA'!$Q$1)*12-'Diário 1º PA'!$P$1+1+MONTH(B332)))</f>
        <v>12</v>
      </c>
      <c r="L332" s="414" t="s">
        <v>400</v>
      </c>
    </row>
    <row r="333" spans="1:12" ht="24" x14ac:dyDescent="0.2">
      <c r="A333" s="722">
        <v>328</v>
      </c>
      <c r="B333" s="765">
        <v>44896</v>
      </c>
      <c r="C333" s="419" t="s">
        <v>182</v>
      </c>
      <c r="D333" s="415" t="s">
        <v>287</v>
      </c>
      <c r="E333" s="425">
        <v>127.24</v>
      </c>
      <c r="F333" s="419" t="s">
        <v>310</v>
      </c>
      <c r="G333" s="757" t="s">
        <v>1461</v>
      </c>
      <c r="H333" s="757" t="s">
        <v>9195</v>
      </c>
      <c r="I333" s="417" t="s">
        <v>310</v>
      </c>
      <c r="J333" s="654" t="str">
        <f t="shared" si="9"/>
        <v>Gastos_com_Pessoal</v>
      </c>
      <c r="K333" s="655">
        <f>IF(B333="","",IF(YEAR(B333)='Diário 1º PA'!$Q$1,MONTH(B333)-'Diário 1º PA'!$P$1+1,(YEAR(B333)-'Diário 1º PA'!$Q$1)*12-'Diário 1º PA'!$P$1+1+MONTH(B333)))</f>
        <v>12</v>
      </c>
      <c r="L333" s="414" t="s">
        <v>400</v>
      </c>
    </row>
    <row r="334" spans="1:12" ht="24" x14ac:dyDescent="0.2">
      <c r="A334" s="722">
        <v>329</v>
      </c>
      <c r="B334" s="765">
        <v>44896</v>
      </c>
      <c r="C334" s="419" t="s">
        <v>182</v>
      </c>
      <c r="D334" s="415" t="s">
        <v>287</v>
      </c>
      <c r="E334" s="425">
        <v>89.77</v>
      </c>
      <c r="F334" s="419" t="s">
        <v>310</v>
      </c>
      <c r="G334" s="757" t="s">
        <v>1461</v>
      </c>
      <c r="H334" s="757" t="s">
        <v>9188</v>
      </c>
      <c r="I334" s="417" t="s">
        <v>310</v>
      </c>
      <c r="J334" s="654" t="str">
        <f t="shared" si="9"/>
        <v>Gastos_com_Pessoal</v>
      </c>
      <c r="K334" s="655">
        <f>IF(B334="","",IF(YEAR(B334)='Diário 1º PA'!$Q$1,MONTH(B334)-'Diário 1º PA'!$P$1+1,(YEAR(B334)-'Diário 1º PA'!$Q$1)*12-'Diário 1º PA'!$P$1+1+MONTH(B334)))</f>
        <v>12</v>
      </c>
      <c r="L334" s="414" t="s">
        <v>400</v>
      </c>
    </row>
    <row r="335" spans="1:12" ht="24" x14ac:dyDescent="0.2">
      <c r="A335" s="722">
        <v>330</v>
      </c>
      <c r="B335" s="765">
        <v>44896</v>
      </c>
      <c r="C335" s="419" t="s">
        <v>182</v>
      </c>
      <c r="D335" s="415" t="s">
        <v>287</v>
      </c>
      <c r="E335" s="425">
        <v>89.77</v>
      </c>
      <c r="F335" s="419" t="s">
        <v>310</v>
      </c>
      <c r="G335" s="757" t="s">
        <v>1461</v>
      </c>
      <c r="H335" s="757" t="s">
        <v>9188</v>
      </c>
      <c r="I335" s="417" t="s">
        <v>310</v>
      </c>
      <c r="J335" s="654" t="str">
        <f t="shared" si="9"/>
        <v>Gastos_com_Pessoal</v>
      </c>
      <c r="K335" s="655">
        <f>IF(B335="","",IF(YEAR(B335)='Diário 1º PA'!$Q$1,MONTH(B335)-'Diário 1º PA'!$P$1+1,(YEAR(B335)-'Diário 1º PA'!$Q$1)*12-'Diário 1º PA'!$P$1+1+MONTH(B335)))</f>
        <v>12</v>
      </c>
      <c r="L335" s="414" t="s">
        <v>400</v>
      </c>
    </row>
    <row r="336" spans="1:12" ht="24" x14ac:dyDescent="0.2">
      <c r="A336" s="722">
        <v>331</v>
      </c>
      <c r="B336" s="765">
        <v>44896</v>
      </c>
      <c r="C336" s="419" t="s">
        <v>182</v>
      </c>
      <c r="D336" s="415" t="s">
        <v>287</v>
      </c>
      <c r="E336" s="425">
        <v>89.77</v>
      </c>
      <c r="F336" s="419" t="s">
        <v>310</v>
      </c>
      <c r="G336" s="757" t="s">
        <v>1461</v>
      </c>
      <c r="H336" s="757" t="s">
        <v>9191</v>
      </c>
      <c r="I336" s="417" t="s">
        <v>310</v>
      </c>
      <c r="J336" s="654" t="str">
        <f t="shared" si="9"/>
        <v>Gastos_com_Pessoal</v>
      </c>
      <c r="K336" s="655">
        <f>IF(B336="","",IF(YEAR(B336)='Diário 1º PA'!$Q$1,MONTH(B336)-'Diário 1º PA'!$P$1+1,(YEAR(B336)-'Diário 1º PA'!$Q$1)*12-'Diário 1º PA'!$P$1+1+MONTH(B336)))</f>
        <v>12</v>
      </c>
      <c r="L336" s="414" t="s">
        <v>400</v>
      </c>
    </row>
    <row r="337" spans="1:12" ht="24" x14ac:dyDescent="0.2">
      <c r="A337" s="722">
        <v>332</v>
      </c>
      <c r="B337" s="765">
        <v>44896</v>
      </c>
      <c r="C337" s="419" t="s">
        <v>182</v>
      </c>
      <c r="D337" s="415" t="s">
        <v>287</v>
      </c>
      <c r="E337" s="425">
        <v>93.65</v>
      </c>
      <c r="F337" s="419" t="s">
        <v>310</v>
      </c>
      <c r="G337" s="757" t="s">
        <v>1461</v>
      </c>
      <c r="H337" s="757" t="s">
        <v>9192</v>
      </c>
      <c r="I337" s="417" t="s">
        <v>310</v>
      </c>
      <c r="J337" s="654" t="str">
        <f t="shared" si="9"/>
        <v>Gastos_com_Pessoal</v>
      </c>
      <c r="K337" s="655">
        <f>IF(B337="","",IF(YEAR(B337)='Diário 1º PA'!$Q$1,MONTH(B337)-'Diário 1º PA'!$P$1+1,(YEAR(B337)-'Diário 1º PA'!$Q$1)*12-'Diário 1º PA'!$P$1+1+MONTH(B337)))</f>
        <v>12</v>
      </c>
      <c r="L337" s="414" t="s">
        <v>400</v>
      </c>
    </row>
    <row r="338" spans="1:12" ht="24" x14ac:dyDescent="0.2">
      <c r="A338" s="722">
        <v>333</v>
      </c>
      <c r="B338" s="765">
        <v>44896</v>
      </c>
      <c r="C338" s="419" t="s">
        <v>182</v>
      </c>
      <c r="D338" s="415" t="s">
        <v>287</v>
      </c>
      <c r="E338" s="425">
        <v>127.24</v>
      </c>
      <c r="F338" s="419" t="s">
        <v>310</v>
      </c>
      <c r="G338" s="757" t="s">
        <v>1461</v>
      </c>
      <c r="H338" s="757" t="s">
        <v>9198</v>
      </c>
      <c r="I338" s="417" t="s">
        <v>310</v>
      </c>
      <c r="J338" s="654" t="str">
        <f t="shared" si="9"/>
        <v>Gastos_com_Pessoal</v>
      </c>
      <c r="K338" s="655">
        <f>IF(B338="","",IF(YEAR(B338)='Diário 1º PA'!$Q$1,MONTH(B338)-'Diário 1º PA'!$P$1+1,(YEAR(B338)-'Diário 1º PA'!$Q$1)*12-'Diário 1º PA'!$P$1+1+MONTH(B338)))</f>
        <v>12</v>
      </c>
      <c r="L338" s="414" t="s">
        <v>400</v>
      </c>
    </row>
    <row r="339" spans="1:12" ht="24" x14ac:dyDescent="0.2">
      <c r="A339" s="722">
        <v>334</v>
      </c>
      <c r="B339" s="765">
        <v>44896</v>
      </c>
      <c r="C339" s="419" t="s">
        <v>182</v>
      </c>
      <c r="D339" s="415" t="s">
        <v>287</v>
      </c>
      <c r="E339" s="425">
        <v>89.77</v>
      </c>
      <c r="F339" s="419" t="s">
        <v>310</v>
      </c>
      <c r="G339" s="757" t="s">
        <v>1461</v>
      </c>
      <c r="H339" s="757" t="s">
        <v>9188</v>
      </c>
      <c r="I339" s="417" t="s">
        <v>310</v>
      </c>
      <c r="J339" s="654" t="str">
        <f t="shared" si="9"/>
        <v>Gastos_com_Pessoal</v>
      </c>
      <c r="K339" s="655">
        <f>IF(B339="","",IF(YEAR(B339)='Diário 1º PA'!$Q$1,MONTH(B339)-'Diário 1º PA'!$P$1+1,(YEAR(B339)-'Diário 1º PA'!$Q$1)*12-'Diário 1º PA'!$P$1+1+MONTH(B339)))</f>
        <v>12</v>
      </c>
      <c r="L339" s="414" t="s">
        <v>400</v>
      </c>
    </row>
    <row r="340" spans="1:12" ht="24" x14ac:dyDescent="0.2">
      <c r="A340" s="722">
        <v>335</v>
      </c>
      <c r="B340" s="765">
        <v>44896</v>
      </c>
      <c r="C340" s="419" t="s">
        <v>182</v>
      </c>
      <c r="D340" s="415" t="s">
        <v>287</v>
      </c>
      <c r="E340" s="425">
        <v>89.77</v>
      </c>
      <c r="F340" s="419" t="s">
        <v>310</v>
      </c>
      <c r="G340" s="757" t="s">
        <v>1461</v>
      </c>
      <c r="H340" s="757" t="s">
        <v>9188</v>
      </c>
      <c r="I340" s="417" t="s">
        <v>310</v>
      </c>
      <c r="J340" s="654" t="str">
        <f t="shared" si="9"/>
        <v>Gastos_com_Pessoal</v>
      </c>
      <c r="K340" s="655">
        <f>IF(B340="","",IF(YEAR(B340)='Diário 1º PA'!$Q$1,MONTH(B340)-'Diário 1º PA'!$P$1+1,(YEAR(B340)-'Diário 1º PA'!$Q$1)*12-'Diário 1º PA'!$P$1+1+MONTH(B340)))</f>
        <v>12</v>
      </c>
      <c r="L340" s="414" t="s">
        <v>400</v>
      </c>
    </row>
    <row r="341" spans="1:12" ht="24" x14ac:dyDescent="0.2">
      <c r="A341" s="722">
        <v>336</v>
      </c>
      <c r="B341" s="765">
        <v>44896</v>
      </c>
      <c r="C341" s="419" t="s">
        <v>182</v>
      </c>
      <c r="D341" s="415" t="s">
        <v>287</v>
      </c>
      <c r="E341" s="425">
        <v>89.77</v>
      </c>
      <c r="F341" s="419" t="s">
        <v>310</v>
      </c>
      <c r="G341" s="757" t="s">
        <v>1461</v>
      </c>
      <c r="H341" s="757" t="s">
        <v>9188</v>
      </c>
      <c r="I341" s="417" t="s">
        <v>310</v>
      </c>
      <c r="J341" s="654" t="str">
        <f t="shared" si="9"/>
        <v>Gastos_com_Pessoal</v>
      </c>
      <c r="K341" s="655">
        <f>IF(B341="","",IF(YEAR(B341)='Diário 1º PA'!$Q$1,MONTH(B341)-'Diário 1º PA'!$P$1+1,(YEAR(B341)-'Diário 1º PA'!$Q$1)*12-'Diário 1º PA'!$P$1+1+MONTH(B341)))</f>
        <v>12</v>
      </c>
      <c r="L341" s="414" t="s">
        <v>400</v>
      </c>
    </row>
    <row r="342" spans="1:12" ht="24" x14ac:dyDescent="0.2">
      <c r="A342" s="722">
        <v>337</v>
      </c>
      <c r="B342" s="765">
        <v>44896</v>
      </c>
      <c r="C342" s="419" t="s">
        <v>182</v>
      </c>
      <c r="D342" s="415" t="s">
        <v>287</v>
      </c>
      <c r="E342" s="425">
        <v>89.77</v>
      </c>
      <c r="F342" s="419" t="s">
        <v>310</v>
      </c>
      <c r="G342" s="757" t="s">
        <v>1461</v>
      </c>
      <c r="H342" s="757" t="s">
        <v>9188</v>
      </c>
      <c r="I342" s="417" t="s">
        <v>310</v>
      </c>
      <c r="J342" s="654" t="str">
        <f t="shared" si="9"/>
        <v>Gastos_com_Pessoal</v>
      </c>
      <c r="K342" s="655">
        <f>IF(B342="","",IF(YEAR(B342)='Diário 1º PA'!$Q$1,MONTH(B342)-'Diário 1º PA'!$P$1+1,(YEAR(B342)-'Diário 1º PA'!$Q$1)*12-'Diário 1º PA'!$P$1+1+MONTH(B342)))</f>
        <v>12</v>
      </c>
      <c r="L342" s="414" t="s">
        <v>400</v>
      </c>
    </row>
    <row r="343" spans="1:12" ht="24" x14ac:dyDescent="0.2">
      <c r="A343" s="722">
        <v>338</v>
      </c>
      <c r="B343" s="765">
        <v>44896</v>
      </c>
      <c r="C343" s="419" t="s">
        <v>182</v>
      </c>
      <c r="D343" s="415" t="s">
        <v>287</v>
      </c>
      <c r="E343" s="425">
        <v>89.77</v>
      </c>
      <c r="F343" s="419" t="s">
        <v>310</v>
      </c>
      <c r="G343" s="757" t="s">
        <v>1461</v>
      </c>
      <c r="H343" s="757" t="s">
        <v>9188</v>
      </c>
      <c r="I343" s="417" t="s">
        <v>310</v>
      </c>
      <c r="J343" s="654" t="str">
        <f t="shared" si="9"/>
        <v>Gastos_com_Pessoal</v>
      </c>
      <c r="K343" s="655">
        <f>IF(B343="","",IF(YEAR(B343)='Diário 1º PA'!$Q$1,MONTH(B343)-'Diário 1º PA'!$P$1+1,(YEAR(B343)-'Diário 1º PA'!$Q$1)*12-'Diário 1º PA'!$P$1+1+MONTH(B343)))</f>
        <v>12</v>
      </c>
      <c r="L343" s="414" t="s">
        <v>400</v>
      </c>
    </row>
    <row r="344" spans="1:12" ht="24" x14ac:dyDescent="0.2">
      <c r="A344" s="722">
        <v>339</v>
      </c>
      <c r="B344" s="765">
        <v>44896</v>
      </c>
      <c r="C344" s="419" t="s">
        <v>182</v>
      </c>
      <c r="D344" s="415" t="s">
        <v>287</v>
      </c>
      <c r="E344" s="425">
        <v>89.77</v>
      </c>
      <c r="F344" s="419" t="s">
        <v>310</v>
      </c>
      <c r="G344" s="757" t="s">
        <v>1461</v>
      </c>
      <c r="H344" s="757" t="s">
        <v>9188</v>
      </c>
      <c r="I344" s="417" t="s">
        <v>310</v>
      </c>
      <c r="J344" s="654" t="str">
        <f t="shared" si="9"/>
        <v>Gastos_com_Pessoal</v>
      </c>
      <c r="K344" s="655">
        <f>IF(B344="","",IF(YEAR(B344)='Diário 1º PA'!$Q$1,MONTH(B344)-'Diário 1º PA'!$P$1+1,(YEAR(B344)-'Diário 1º PA'!$Q$1)*12-'Diário 1º PA'!$P$1+1+MONTH(B344)))</f>
        <v>12</v>
      </c>
      <c r="L344" s="414" t="s">
        <v>400</v>
      </c>
    </row>
    <row r="345" spans="1:12" ht="24" x14ac:dyDescent="0.2">
      <c r="A345" s="722">
        <v>340</v>
      </c>
      <c r="B345" s="765">
        <v>44896</v>
      </c>
      <c r="C345" s="419" t="s">
        <v>182</v>
      </c>
      <c r="D345" s="415" t="s">
        <v>287</v>
      </c>
      <c r="E345" s="425">
        <v>307.06</v>
      </c>
      <c r="F345" s="419" t="s">
        <v>310</v>
      </c>
      <c r="G345" s="757" t="s">
        <v>1461</v>
      </c>
      <c r="H345" s="757" t="s">
        <v>9193</v>
      </c>
      <c r="I345" s="417" t="s">
        <v>310</v>
      </c>
      <c r="J345" s="654" t="str">
        <f t="shared" si="9"/>
        <v>Gastos_com_Pessoal</v>
      </c>
      <c r="K345" s="655">
        <f>IF(B345="","",IF(YEAR(B345)='Diário 1º PA'!$Q$1,MONTH(B345)-'Diário 1º PA'!$P$1+1,(YEAR(B345)-'Diário 1º PA'!$Q$1)*12-'Diário 1º PA'!$P$1+1+MONTH(B345)))</f>
        <v>12</v>
      </c>
      <c r="L345" s="414" t="s">
        <v>400</v>
      </c>
    </row>
    <row r="346" spans="1:12" ht="24" x14ac:dyDescent="0.2">
      <c r="A346" s="722">
        <v>341</v>
      </c>
      <c r="B346" s="765">
        <v>44896</v>
      </c>
      <c r="C346" s="419" t="s">
        <v>182</v>
      </c>
      <c r="D346" s="415" t="s">
        <v>287</v>
      </c>
      <c r="E346" s="425">
        <v>89.77</v>
      </c>
      <c r="F346" s="419" t="s">
        <v>310</v>
      </c>
      <c r="G346" s="757" t="s">
        <v>1461</v>
      </c>
      <c r="H346" s="757" t="s">
        <v>9188</v>
      </c>
      <c r="I346" s="417" t="s">
        <v>310</v>
      </c>
      <c r="J346" s="654" t="str">
        <f t="shared" si="9"/>
        <v>Gastos_com_Pessoal</v>
      </c>
      <c r="K346" s="655">
        <f>IF(B346="","",IF(YEAR(B346)='Diário 1º PA'!$Q$1,MONTH(B346)-'Diário 1º PA'!$P$1+1,(YEAR(B346)-'Diário 1º PA'!$Q$1)*12-'Diário 1º PA'!$P$1+1+MONTH(B346)))</f>
        <v>12</v>
      </c>
      <c r="L346" s="414" t="s">
        <v>400</v>
      </c>
    </row>
    <row r="347" spans="1:12" ht="24" x14ac:dyDescent="0.2">
      <c r="A347" s="722">
        <v>342</v>
      </c>
      <c r="B347" s="765">
        <v>44896</v>
      </c>
      <c r="C347" s="419" t="s">
        <v>271</v>
      </c>
      <c r="D347" s="415" t="s">
        <v>60</v>
      </c>
      <c r="E347" s="425">
        <v>97.3</v>
      </c>
      <c r="F347" s="419" t="s">
        <v>309</v>
      </c>
      <c r="G347" s="757" t="s">
        <v>9200</v>
      </c>
      <c r="H347" s="757" t="s">
        <v>9201</v>
      </c>
      <c r="I347" s="417" t="s">
        <v>310</v>
      </c>
      <c r="J347" s="654" t="str">
        <f t="shared" si="9"/>
        <v>Gastos_Gerais</v>
      </c>
      <c r="K347" s="655">
        <f>IF(B347="","",IF(YEAR(B347)='Diário 1º PA'!$Q$1,MONTH(B347)-'Diário 1º PA'!$P$1+1,(YEAR(B347)-'Diário 1º PA'!$Q$1)*12-'Diário 1º PA'!$P$1+1+MONTH(B347)))</f>
        <v>12</v>
      </c>
      <c r="L347" s="414" t="s">
        <v>400</v>
      </c>
    </row>
    <row r="348" spans="1:12" ht="36" x14ac:dyDescent="0.2">
      <c r="A348" s="722">
        <v>343</v>
      </c>
      <c r="B348" s="765">
        <v>44896</v>
      </c>
      <c r="C348" s="419" t="s">
        <v>315</v>
      </c>
      <c r="D348" s="415" t="s">
        <v>315</v>
      </c>
      <c r="E348" s="425">
        <v>15408.78</v>
      </c>
      <c r="F348" s="419" t="s">
        <v>310</v>
      </c>
      <c r="G348" s="757" t="s">
        <v>7429</v>
      </c>
      <c r="H348" s="757" t="s">
        <v>9204</v>
      </c>
      <c r="I348" s="417" t="s">
        <v>9207</v>
      </c>
      <c r="J348" s="654" t="str">
        <f t="shared" si="9"/>
        <v>Transferência_para_Reserva_de_Recursos</v>
      </c>
      <c r="K348" s="655">
        <f>IF(B348="","",IF(YEAR(B348)='Diário 1º PA'!$Q$1,MONTH(B348)-'Diário 1º PA'!$P$1+1,(YEAR(B348)-'Diário 1º PA'!$Q$1)*12-'Diário 1º PA'!$P$1+1+MONTH(B348)))</f>
        <v>12</v>
      </c>
      <c r="L348" s="414" t="s">
        <v>400</v>
      </c>
    </row>
    <row r="349" spans="1:12" ht="24" x14ac:dyDescent="0.2">
      <c r="A349" s="722">
        <v>344</v>
      </c>
      <c r="B349" s="765">
        <v>44896</v>
      </c>
      <c r="C349" s="419" t="s">
        <v>271</v>
      </c>
      <c r="D349" s="415" t="s">
        <v>67</v>
      </c>
      <c r="E349" s="425">
        <v>820.51</v>
      </c>
      <c r="F349" s="419" t="s">
        <v>310</v>
      </c>
      <c r="G349" s="757" t="s">
        <v>1461</v>
      </c>
      <c r="H349" s="757" t="s">
        <v>9206</v>
      </c>
      <c r="I349" s="417" t="s">
        <v>310</v>
      </c>
      <c r="J349" s="654" t="str">
        <f t="shared" si="9"/>
        <v>Gastos_Gerais</v>
      </c>
      <c r="K349" s="655">
        <f>IF(B349="","",IF(YEAR(B349)='Diário 1º PA'!$Q$1,MONTH(B349)-'Diário 1º PA'!$P$1+1,(YEAR(B349)-'Diário 1º PA'!$Q$1)*12-'Diário 1º PA'!$P$1+1+MONTH(B349)))</f>
        <v>12</v>
      </c>
      <c r="L349" s="414" t="s">
        <v>400</v>
      </c>
    </row>
  </sheetData>
  <sheetProtection formatRows="0" insertRows="0"/>
  <autoFilter ref="A4:L349" xr:uid="{00000000-0009-0000-0000-000009000000}">
    <sortState xmlns:xlrd2="http://schemas.microsoft.com/office/spreadsheetml/2017/richdata2" ref="A309:L341">
      <sortCondition descending="1" ref="G4:G341"/>
    </sortState>
  </autoFilter>
  <mergeCells count="3">
    <mergeCell ref="A1:H1"/>
    <mergeCell ref="A2:H2"/>
    <mergeCell ref="A3:H3"/>
  </mergeCells>
  <dataValidations count="5">
    <dataValidation type="list" allowBlank="1" showInputMessage="1" showErrorMessage="1" sqref="D212 D216:D218 D290:D349 D229:D287 D168:D181 D71:D164 C55:D70 D5:D54" xr:uid="{00000000-0002-0000-0900-000000000000}">
      <formula1>INDIRECT($J5)</formula1>
    </dataValidation>
    <dataValidation type="list" allowBlank="1" showInputMessage="1" showErrorMessage="1" sqref="F71:F349 F5:F69" xr:uid="{00000000-0002-0000-0900-000001000000}">
      <formula1>VinculoPT</formula1>
    </dataValidation>
    <dataValidation type="list" allowBlank="1" showInputMessage="1" showErrorMessage="1" sqref="D182:D211 C71:C349 C6:C54" xr:uid="{00000000-0002-0000-0900-000002000000}">
      <formula1>Categorias</formula1>
    </dataValidation>
    <dataValidation type="list" allowBlank="1" showInputMessage="1" showErrorMessage="1" sqref="D213:D215 D165:D167 D288:D289 D219:D228" xr:uid="{00000000-0002-0000-0900-000003000000}">
      <formula1>INDIRECT($R165)</formula1>
    </dataValidation>
    <dataValidation type="list" allowBlank="1" showInputMessage="1" showErrorMessage="1" sqref="L5:L349" xr:uid="{00000000-0002-0000-0900-000004000000}">
      <formula1>Conta</formula1>
    </dataValidation>
  </dataValidations>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rowBreaks count="2" manualBreakCount="2">
    <brk id="273" max="11" man="1"/>
    <brk id="28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5000000}">
          <x14:formula1>
            <xm:f>Plano!$C$1:$G$1</xm:f>
          </x14:formula1>
          <xm:sqref>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theme="1" tint="4.9989318521683403E-2"/>
    <pageSetUpPr fitToPage="1"/>
  </sheetPr>
  <dimension ref="A1:W2635"/>
  <sheetViews>
    <sheetView view="pageBreakPreview" zoomScaleSheetLayoutView="100" workbookViewId="0">
      <pane xSplit="6" ySplit="3" topLeftCell="K4" activePane="bottomRight" state="frozen"/>
      <selection activeCell="G29" sqref="G29"/>
      <selection pane="topRight" activeCell="G29" sqref="G29"/>
      <selection pane="bottomLeft" activeCell="G29" sqref="G29"/>
      <selection pane="bottomRight" activeCell="F98" sqref="F98"/>
    </sheetView>
  </sheetViews>
  <sheetFormatPr defaultColWidth="9.140625" defaultRowHeight="12.75" x14ac:dyDescent="0.2"/>
  <cols>
    <col min="1" max="1" width="7.28515625" style="106" customWidth="1"/>
    <col min="2" max="2" width="12.28515625" style="89" bestFit="1" customWidth="1"/>
    <col min="3" max="3" width="6.85546875" style="89" customWidth="1"/>
    <col min="4" max="4" width="15.42578125" style="57" customWidth="1"/>
    <col min="5" max="5" width="23.5703125" style="57" customWidth="1"/>
    <col min="6" max="6" width="14.5703125" style="727" customWidth="1"/>
    <col min="7" max="7" width="44.140625" style="55" customWidth="1"/>
    <col min="8" max="8" width="25.28515625" style="55" customWidth="1"/>
    <col min="9" max="9" width="23.85546875" style="477" customWidth="1"/>
    <col min="10" max="10" width="19.7109375" style="55" customWidth="1"/>
    <col min="11" max="11" width="17.28515625" style="55" customWidth="1"/>
    <col min="12" max="12" width="14.7109375" style="98" customWidth="1"/>
    <col min="13" max="13" width="20.140625" style="55" customWidth="1"/>
    <col min="14" max="14" width="15.85546875" style="55" customWidth="1"/>
    <col min="15" max="15" width="19.5703125" style="56" customWidth="1"/>
    <col min="16" max="17" width="7.42578125" style="92" customWidth="1"/>
    <col min="18" max="18" width="23.7109375" style="88" customWidth="1"/>
    <col min="19" max="19" width="11.7109375" style="88" customWidth="1"/>
    <col min="20" max="20" width="11.5703125" style="88" customWidth="1"/>
    <col min="21" max="16384" width="9.140625" style="88"/>
  </cols>
  <sheetData>
    <row r="1" spans="1:23" ht="18" customHeight="1" x14ac:dyDescent="0.2">
      <c r="A1" s="776" t="str">
        <f>Capa!A1</f>
        <v>Contrato de Gestão nº. 05/20 celebrado entre a Fundação Clóvis Salgado e a Associação Pró-Cultura e Promoção das Artes</v>
      </c>
      <c r="B1" s="776"/>
      <c r="C1" s="776"/>
      <c r="D1" s="776"/>
      <c r="E1" s="776"/>
      <c r="F1" s="776"/>
      <c r="G1" s="776"/>
      <c r="H1" s="776"/>
      <c r="I1" s="776"/>
      <c r="J1" s="776"/>
      <c r="K1" s="776"/>
      <c r="L1" s="776"/>
      <c r="M1" s="776"/>
      <c r="N1" s="776"/>
      <c r="O1" s="397"/>
      <c r="P1" s="536">
        <f>IF(Resumo!$C$5="","",MONTH(Resumo!$C$5))</f>
        <v>1</v>
      </c>
      <c r="Q1" s="536">
        <f>YEAR(Resumo!$C$5)</f>
        <v>2022</v>
      </c>
      <c r="R1" s="496"/>
      <c r="S1" s="496"/>
      <c r="T1" s="496"/>
      <c r="U1" s="496"/>
      <c r="V1" s="496"/>
      <c r="W1" s="496"/>
    </row>
    <row r="2" spans="1:23" ht="18" customHeight="1" thickBot="1" x14ac:dyDescent="0.25">
      <c r="A2" s="782" t="str">
        <f>"Tabela 9 - Diário de Entradas e Saídas do Contrato de Gestão - "&amp;LEFT(Capa!A14,1)&amp;"º Período Avaliatório"</f>
        <v>Tabela 9 - Diário de Entradas e Saídas do Contrato de Gestão - 1º Período Avaliatório</v>
      </c>
      <c r="B2" s="782"/>
      <c r="C2" s="782"/>
      <c r="D2" s="782"/>
      <c r="E2" s="782"/>
      <c r="F2" s="782"/>
      <c r="G2" s="782"/>
      <c r="H2" s="782"/>
      <c r="I2" s="782"/>
      <c r="J2" s="782"/>
      <c r="K2" s="782"/>
      <c r="L2" s="782"/>
      <c r="M2" s="782"/>
      <c r="N2" s="782"/>
      <c r="O2" s="132"/>
      <c r="P2" s="537"/>
      <c r="Q2" s="537"/>
      <c r="R2" s="496"/>
      <c r="S2" s="496"/>
      <c r="T2" s="496"/>
      <c r="U2" s="496"/>
      <c r="V2" s="496"/>
      <c r="W2" s="496"/>
    </row>
    <row r="3" spans="1:23" s="91" customFormat="1" ht="39" customHeight="1" x14ac:dyDescent="0.2">
      <c r="A3" s="316" t="s">
        <v>97</v>
      </c>
      <c r="B3" s="316" t="s">
        <v>280</v>
      </c>
      <c r="C3" s="299" t="s">
        <v>283</v>
      </c>
      <c r="D3" s="316" t="s">
        <v>35</v>
      </c>
      <c r="E3" s="299" t="s">
        <v>44</v>
      </c>
      <c r="F3" s="299" t="s">
        <v>272</v>
      </c>
      <c r="G3" s="299" t="s">
        <v>55</v>
      </c>
      <c r="H3" s="299" t="s">
        <v>305</v>
      </c>
      <c r="I3" s="472" t="s">
        <v>54</v>
      </c>
      <c r="J3" s="299" t="s">
        <v>56</v>
      </c>
      <c r="K3" s="299" t="s">
        <v>76</v>
      </c>
      <c r="L3" s="299" t="s">
        <v>52</v>
      </c>
      <c r="M3" s="299" t="s">
        <v>75</v>
      </c>
      <c r="N3" s="299" t="s">
        <v>165</v>
      </c>
      <c r="O3" s="299" t="s">
        <v>1222</v>
      </c>
      <c r="P3" s="538" t="s">
        <v>281</v>
      </c>
      <c r="Q3" s="538" t="s">
        <v>282</v>
      </c>
      <c r="R3" s="538" t="s">
        <v>35</v>
      </c>
      <c r="S3" s="539" t="s">
        <v>1001</v>
      </c>
      <c r="T3" s="539" t="s">
        <v>1002</v>
      </c>
      <c r="U3" s="540"/>
      <c r="V3" s="540"/>
      <c r="W3" s="540"/>
    </row>
    <row r="4" spans="1:23" ht="48" x14ac:dyDescent="0.2">
      <c r="A4" s="510">
        <f t="shared" ref="A4:A67" si="0">IF(B4="","",ROW()-ROW($A$3))</f>
        <v>1</v>
      </c>
      <c r="B4" s="428">
        <v>44564</v>
      </c>
      <c r="C4" s="424">
        <v>44531</v>
      </c>
      <c r="D4" s="434" t="s">
        <v>182</v>
      </c>
      <c r="E4" s="434" t="s">
        <v>179</v>
      </c>
      <c r="F4" s="425">
        <v>-13.87</v>
      </c>
      <c r="G4" s="427" t="s">
        <v>794</v>
      </c>
      <c r="H4" s="415" t="s">
        <v>310</v>
      </c>
      <c r="I4" s="473" t="s">
        <v>795</v>
      </c>
      <c r="J4" s="415" t="s">
        <v>796</v>
      </c>
      <c r="K4" s="415" t="s">
        <v>797</v>
      </c>
      <c r="L4" s="415" t="s">
        <v>798</v>
      </c>
      <c r="M4" s="415" t="s">
        <v>310</v>
      </c>
      <c r="N4" s="414">
        <v>44564</v>
      </c>
      <c r="O4" s="414" t="s">
        <v>400</v>
      </c>
      <c r="P4" s="222">
        <f t="shared" ref="P4:P67" si="1">IF(B4=0,0,IF(YEAR(B4)=$Q$1,MONTH(B4)-$P$1+1,(YEAR(B4)-$Q$1)*12-$P$1+1+MONTH(B4)))</f>
        <v>1</v>
      </c>
      <c r="Q4" s="222">
        <f t="shared" ref="Q4:Q67" si="2">IF(C4=0,0,IF(YEAR(C4)=$Q$1,MONTH(C4)-$P$1+1,(YEAR(C4)-$Q$1)*12-$P$1+1+MONTH(C4)))</f>
        <v>0</v>
      </c>
      <c r="R4" s="532" t="str">
        <f t="shared" ref="R4:R67" si="3">SUBSTITUTE(D4," ","_")</f>
        <v>Gastos_com_Pessoal</v>
      </c>
      <c r="S4" s="467" t="s">
        <v>310</v>
      </c>
      <c r="T4" s="467" t="s">
        <v>310</v>
      </c>
      <c r="U4" s="496"/>
      <c r="V4" s="496"/>
      <c r="W4" s="496"/>
    </row>
    <row r="5" spans="1:23" s="307" customFormat="1" ht="48" x14ac:dyDescent="0.2">
      <c r="A5" s="510">
        <f t="shared" si="0"/>
        <v>2</v>
      </c>
      <c r="B5" s="428">
        <v>44564</v>
      </c>
      <c r="C5" s="466">
        <v>44531</v>
      </c>
      <c r="D5" s="415" t="s">
        <v>182</v>
      </c>
      <c r="E5" s="415" t="s">
        <v>8</v>
      </c>
      <c r="F5" s="425">
        <v>-23.2</v>
      </c>
      <c r="G5" s="427" t="s">
        <v>799</v>
      </c>
      <c r="H5" s="415" t="s">
        <v>310</v>
      </c>
      <c r="I5" s="473" t="s">
        <v>795</v>
      </c>
      <c r="J5" s="415" t="s">
        <v>796</v>
      </c>
      <c r="K5" s="415" t="s">
        <v>797</v>
      </c>
      <c r="L5" s="415" t="s">
        <v>798</v>
      </c>
      <c r="M5" s="415" t="s">
        <v>310</v>
      </c>
      <c r="N5" s="414">
        <v>44564</v>
      </c>
      <c r="O5" s="414" t="s">
        <v>400</v>
      </c>
      <c r="P5" s="222">
        <f t="shared" si="1"/>
        <v>1</v>
      </c>
      <c r="Q5" s="222">
        <f t="shared" si="2"/>
        <v>0</v>
      </c>
      <c r="R5" s="532" t="str">
        <f t="shared" si="3"/>
        <v>Gastos_com_Pessoal</v>
      </c>
      <c r="S5" s="467" t="s">
        <v>310</v>
      </c>
      <c r="T5" s="467" t="s">
        <v>310</v>
      </c>
      <c r="U5" s="496"/>
      <c r="V5" s="496"/>
      <c r="W5" s="496"/>
    </row>
    <row r="6" spans="1:23" ht="48" x14ac:dyDescent="0.2">
      <c r="A6" s="510">
        <f t="shared" si="0"/>
        <v>3</v>
      </c>
      <c r="B6" s="465">
        <v>44564</v>
      </c>
      <c r="C6" s="466">
        <v>44531</v>
      </c>
      <c r="D6" s="415" t="s">
        <v>182</v>
      </c>
      <c r="E6" s="415" t="s">
        <v>8</v>
      </c>
      <c r="F6" s="435">
        <v>-23.2</v>
      </c>
      <c r="G6" s="437" t="s">
        <v>800</v>
      </c>
      <c r="H6" s="415" t="s">
        <v>310</v>
      </c>
      <c r="I6" s="474" t="s">
        <v>795</v>
      </c>
      <c r="J6" s="434" t="s">
        <v>796</v>
      </c>
      <c r="K6" s="434" t="s">
        <v>797</v>
      </c>
      <c r="L6" s="434" t="s">
        <v>798</v>
      </c>
      <c r="M6" s="434" t="s">
        <v>310</v>
      </c>
      <c r="N6" s="414">
        <v>44564</v>
      </c>
      <c r="O6" s="414" t="s">
        <v>400</v>
      </c>
      <c r="P6" s="222">
        <f t="shared" si="1"/>
        <v>1</v>
      </c>
      <c r="Q6" s="222">
        <f t="shared" si="2"/>
        <v>0</v>
      </c>
      <c r="R6" s="532" t="str">
        <f t="shared" si="3"/>
        <v>Gastos_com_Pessoal</v>
      </c>
      <c r="S6" s="467" t="s">
        <v>310</v>
      </c>
      <c r="T6" s="467" t="s">
        <v>310</v>
      </c>
      <c r="U6" s="496"/>
      <c r="V6" s="496"/>
      <c r="W6" s="496"/>
    </row>
    <row r="7" spans="1:23" ht="48" x14ac:dyDescent="0.2">
      <c r="A7" s="510">
        <f t="shared" si="0"/>
        <v>4</v>
      </c>
      <c r="B7" s="428">
        <v>44564</v>
      </c>
      <c r="C7" s="466">
        <v>44531</v>
      </c>
      <c r="D7" s="415" t="s">
        <v>182</v>
      </c>
      <c r="E7" s="415" t="s">
        <v>8</v>
      </c>
      <c r="F7" s="425">
        <v>-139.19999999999999</v>
      </c>
      <c r="G7" s="427" t="s">
        <v>801</v>
      </c>
      <c r="H7" s="415" t="s">
        <v>310</v>
      </c>
      <c r="I7" s="473" t="s">
        <v>795</v>
      </c>
      <c r="J7" s="415" t="s">
        <v>796</v>
      </c>
      <c r="K7" s="415" t="s">
        <v>797</v>
      </c>
      <c r="L7" s="415" t="s">
        <v>798</v>
      </c>
      <c r="M7" s="415" t="s">
        <v>310</v>
      </c>
      <c r="N7" s="414">
        <v>44564</v>
      </c>
      <c r="O7" s="414" t="s">
        <v>400</v>
      </c>
      <c r="P7" s="222">
        <f t="shared" si="1"/>
        <v>1</v>
      </c>
      <c r="Q7" s="222">
        <f t="shared" si="2"/>
        <v>0</v>
      </c>
      <c r="R7" s="532" t="str">
        <f t="shared" si="3"/>
        <v>Gastos_com_Pessoal</v>
      </c>
      <c r="S7" s="467" t="s">
        <v>310</v>
      </c>
      <c r="T7" s="467" t="s">
        <v>310</v>
      </c>
      <c r="U7" s="496"/>
      <c r="V7" s="496"/>
      <c r="W7" s="496"/>
    </row>
    <row r="8" spans="1:23" ht="48" x14ac:dyDescent="0.2">
      <c r="A8" s="510">
        <f t="shared" si="0"/>
        <v>5</v>
      </c>
      <c r="B8" s="428">
        <v>44564</v>
      </c>
      <c r="C8" s="424">
        <v>44531</v>
      </c>
      <c r="D8" s="415" t="s">
        <v>182</v>
      </c>
      <c r="E8" s="415" t="s">
        <v>179</v>
      </c>
      <c r="F8" s="425">
        <v>-97.09</v>
      </c>
      <c r="G8" s="427" t="s">
        <v>802</v>
      </c>
      <c r="H8" s="415" t="s">
        <v>310</v>
      </c>
      <c r="I8" s="473" t="s">
        <v>795</v>
      </c>
      <c r="J8" s="415" t="s">
        <v>796</v>
      </c>
      <c r="K8" s="415" t="s">
        <v>797</v>
      </c>
      <c r="L8" s="415" t="s">
        <v>798</v>
      </c>
      <c r="M8" s="415" t="s">
        <v>310</v>
      </c>
      <c r="N8" s="414">
        <v>44564</v>
      </c>
      <c r="O8" s="414" t="s">
        <v>400</v>
      </c>
      <c r="P8" s="222">
        <f t="shared" si="1"/>
        <v>1</v>
      </c>
      <c r="Q8" s="222">
        <f t="shared" si="2"/>
        <v>0</v>
      </c>
      <c r="R8" s="532" t="str">
        <f t="shared" si="3"/>
        <v>Gastos_com_Pessoal</v>
      </c>
      <c r="S8" s="467" t="s">
        <v>310</v>
      </c>
      <c r="T8" s="467" t="s">
        <v>310</v>
      </c>
      <c r="U8" s="496"/>
      <c r="V8" s="496"/>
      <c r="W8" s="496"/>
    </row>
    <row r="9" spans="1:23" ht="24" x14ac:dyDescent="0.2">
      <c r="A9" s="510">
        <f t="shared" si="0"/>
        <v>6</v>
      </c>
      <c r="B9" s="428">
        <v>44564</v>
      </c>
      <c r="C9" s="424">
        <v>44562</v>
      </c>
      <c r="D9" s="415" t="s">
        <v>182</v>
      </c>
      <c r="E9" s="415" t="s">
        <v>287</v>
      </c>
      <c r="F9" s="425">
        <v>2034.48</v>
      </c>
      <c r="G9" s="427" t="s">
        <v>827</v>
      </c>
      <c r="H9" s="415" t="s">
        <v>310</v>
      </c>
      <c r="I9" s="473" t="s">
        <v>828</v>
      </c>
      <c r="J9" s="415" t="s">
        <v>829</v>
      </c>
      <c r="K9" s="415" t="s">
        <v>830</v>
      </c>
      <c r="L9" s="415" t="s">
        <v>831</v>
      </c>
      <c r="M9" s="415" t="s">
        <v>310</v>
      </c>
      <c r="N9" s="414">
        <v>44564</v>
      </c>
      <c r="O9" s="414" t="s">
        <v>400</v>
      </c>
      <c r="P9" s="222">
        <f t="shared" si="1"/>
        <v>1</v>
      </c>
      <c r="Q9" s="222">
        <f t="shared" si="2"/>
        <v>1</v>
      </c>
      <c r="R9" s="532" t="str">
        <f t="shared" si="3"/>
        <v>Gastos_com_Pessoal</v>
      </c>
      <c r="S9" s="467" t="s">
        <v>310</v>
      </c>
      <c r="T9" s="467" t="s">
        <v>310</v>
      </c>
      <c r="U9" s="496"/>
      <c r="V9" s="496"/>
      <c r="W9" s="496"/>
    </row>
    <row r="10" spans="1:23" ht="24" x14ac:dyDescent="0.2">
      <c r="A10" s="510">
        <f t="shared" si="0"/>
        <v>7</v>
      </c>
      <c r="B10" s="428">
        <v>44564</v>
      </c>
      <c r="C10" s="424">
        <v>44562</v>
      </c>
      <c r="D10" s="415" t="s">
        <v>182</v>
      </c>
      <c r="E10" s="415" t="s">
        <v>287</v>
      </c>
      <c r="F10" s="425">
        <v>13.89</v>
      </c>
      <c r="G10" s="427" t="s">
        <v>827</v>
      </c>
      <c r="H10" s="415" t="s">
        <v>310</v>
      </c>
      <c r="I10" s="473" t="s">
        <v>828</v>
      </c>
      <c r="J10" s="415" t="s">
        <v>829</v>
      </c>
      <c r="K10" s="415" t="s">
        <v>830</v>
      </c>
      <c r="L10" s="415" t="s">
        <v>831</v>
      </c>
      <c r="M10" s="415" t="s">
        <v>310</v>
      </c>
      <c r="N10" s="414">
        <v>44564</v>
      </c>
      <c r="O10" s="414" t="s">
        <v>400</v>
      </c>
      <c r="P10" s="222">
        <f t="shared" si="1"/>
        <v>1</v>
      </c>
      <c r="Q10" s="222">
        <f t="shared" si="2"/>
        <v>1</v>
      </c>
      <c r="R10" s="532" t="str">
        <f t="shared" si="3"/>
        <v>Gastos_com_Pessoal</v>
      </c>
      <c r="S10" s="467" t="s">
        <v>310</v>
      </c>
      <c r="T10" s="467" t="s">
        <v>310</v>
      </c>
      <c r="U10" s="496"/>
      <c r="V10" s="496"/>
      <c r="W10" s="496"/>
    </row>
    <row r="11" spans="1:23" ht="96" x14ac:dyDescent="0.2">
      <c r="A11" s="510">
        <f t="shared" si="0"/>
        <v>8</v>
      </c>
      <c r="B11" s="428">
        <v>44564</v>
      </c>
      <c r="C11" s="424">
        <v>44470</v>
      </c>
      <c r="D11" s="415" t="s">
        <v>271</v>
      </c>
      <c r="E11" s="415" t="s">
        <v>456</v>
      </c>
      <c r="F11" s="425">
        <v>450</v>
      </c>
      <c r="G11" s="427" t="s">
        <v>803</v>
      </c>
      <c r="H11" s="415" t="s">
        <v>752</v>
      </c>
      <c r="I11" s="473" t="s">
        <v>804</v>
      </c>
      <c r="J11" s="415" t="s">
        <v>805</v>
      </c>
      <c r="K11" s="415" t="s">
        <v>806</v>
      </c>
      <c r="L11" s="415" t="s">
        <v>807</v>
      </c>
      <c r="M11" s="415" t="s">
        <v>808</v>
      </c>
      <c r="N11" s="414">
        <v>44560</v>
      </c>
      <c r="O11" s="414" t="s">
        <v>400</v>
      </c>
      <c r="P11" s="222">
        <f t="shared" si="1"/>
        <v>1</v>
      </c>
      <c r="Q11" s="222">
        <f t="shared" si="2"/>
        <v>-2</v>
      </c>
      <c r="R11" s="532" t="str">
        <f t="shared" si="3"/>
        <v>Gastos_Gerais</v>
      </c>
      <c r="S11" s="467" t="s">
        <v>998</v>
      </c>
      <c r="T11" s="467">
        <v>2128</v>
      </c>
      <c r="U11" s="496"/>
      <c r="V11" s="496"/>
      <c r="W11" s="496"/>
    </row>
    <row r="12" spans="1:23" ht="72" x14ac:dyDescent="0.2">
      <c r="A12" s="510">
        <f t="shared" si="0"/>
        <v>9</v>
      </c>
      <c r="B12" s="428">
        <v>44564</v>
      </c>
      <c r="C12" s="424">
        <v>44531</v>
      </c>
      <c r="D12" s="415" t="s">
        <v>468</v>
      </c>
      <c r="E12" s="415" t="s">
        <v>468</v>
      </c>
      <c r="F12" s="459">
        <v>144.19</v>
      </c>
      <c r="G12" s="399" t="s">
        <v>2698</v>
      </c>
      <c r="H12" s="415" t="s">
        <v>468</v>
      </c>
      <c r="I12" s="460" t="s">
        <v>2702</v>
      </c>
      <c r="J12" s="468" t="s">
        <v>1010</v>
      </c>
      <c r="K12" s="415" t="s">
        <v>830</v>
      </c>
      <c r="L12" s="415" t="s">
        <v>807</v>
      </c>
      <c r="M12" s="464">
        <v>2021675</v>
      </c>
      <c r="N12" s="469">
        <v>44560</v>
      </c>
      <c r="O12" s="414" t="s">
        <v>407</v>
      </c>
      <c r="P12" s="222">
        <f t="shared" si="1"/>
        <v>1</v>
      </c>
      <c r="Q12" s="222">
        <f t="shared" si="2"/>
        <v>0</v>
      </c>
      <c r="R12" s="532" t="str">
        <f t="shared" si="3"/>
        <v>Gastos_custeados_por_captação</v>
      </c>
      <c r="S12" s="467" t="s">
        <v>998</v>
      </c>
      <c r="T12" s="467">
        <v>2653</v>
      </c>
      <c r="U12" s="496"/>
      <c r="V12" s="496"/>
      <c r="W12" s="496"/>
    </row>
    <row r="13" spans="1:23" ht="24" x14ac:dyDescent="0.2">
      <c r="A13" s="510">
        <f t="shared" si="0"/>
        <v>10</v>
      </c>
      <c r="B13" s="428">
        <v>44564</v>
      </c>
      <c r="C13" s="424">
        <v>44531</v>
      </c>
      <c r="D13" s="415" t="s">
        <v>182</v>
      </c>
      <c r="E13" s="415" t="s">
        <v>8</v>
      </c>
      <c r="F13" s="425">
        <v>1554.39</v>
      </c>
      <c r="G13" s="427" t="s">
        <v>824</v>
      </c>
      <c r="H13" s="415" t="s">
        <v>310</v>
      </c>
      <c r="I13" s="473" t="s">
        <v>770</v>
      </c>
      <c r="J13" s="415" t="s">
        <v>825</v>
      </c>
      <c r="K13" s="415" t="s">
        <v>812</v>
      </c>
      <c r="L13" s="415" t="s">
        <v>826</v>
      </c>
      <c r="M13" s="415">
        <v>138675</v>
      </c>
      <c r="N13" s="414">
        <v>44550</v>
      </c>
      <c r="O13" s="414" t="s">
        <v>400</v>
      </c>
      <c r="P13" s="222">
        <f t="shared" si="1"/>
        <v>1</v>
      </c>
      <c r="Q13" s="222">
        <f t="shared" si="2"/>
        <v>0</v>
      </c>
      <c r="R13" s="532" t="str">
        <f t="shared" si="3"/>
        <v>Gastos_com_Pessoal</v>
      </c>
      <c r="S13" s="467" t="s">
        <v>310</v>
      </c>
      <c r="T13" s="467" t="s">
        <v>310</v>
      </c>
      <c r="U13" s="496"/>
      <c r="V13" s="496"/>
      <c r="W13" s="496"/>
    </row>
    <row r="14" spans="1:23" ht="24" x14ac:dyDescent="0.2">
      <c r="A14" s="510">
        <f t="shared" si="0"/>
        <v>11</v>
      </c>
      <c r="B14" s="428">
        <v>44564</v>
      </c>
      <c r="C14" s="424">
        <v>44531</v>
      </c>
      <c r="D14" s="415" t="s">
        <v>182</v>
      </c>
      <c r="E14" s="415" t="s">
        <v>179</v>
      </c>
      <c r="F14" s="425">
        <v>501</v>
      </c>
      <c r="G14" s="427" t="s">
        <v>817</v>
      </c>
      <c r="H14" s="415" t="s">
        <v>310</v>
      </c>
      <c r="I14" s="473" t="s">
        <v>818</v>
      </c>
      <c r="J14" s="415" t="s">
        <v>819</v>
      </c>
      <c r="K14" s="415" t="s">
        <v>812</v>
      </c>
      <c r="L14" s="415" t="s">
        <v>807</v>
      </c>
      <c r="M14" s="415" t="s">
        <v>820</v>
      </c>
      <c r="N14" s="414">
        <v>44545</v>
      </c>
      <c r="O14" s="414" t="s">
        <v>400</v>
      </c>
      <c r="P14" s="222">
        <f t="shared" si="1"/>
        <v>1</v>
      </c>
      <c r="Q14" s="222">
        <f t="shared" si="2"/>
        <v>0</v>
      </c>
      <c r="R14" s="532" t="str">
        <f t="shared" si="3"/>
        <v>Gastos_com_Pessoal</v>
      </c>
      <c r="S14" s="467" t="s">
        <v>310</v>
      </c>
      <c r="T14" s="467" t="s">
        <v>310</v>
      </c>
      <c r="U14" s="496"/>
      <c r="V14" s="496"/>
      <c r="W14" s="496"/>
    </row>
    <row r="15" spans="1:23" ht="36" x14ac:dyDescent="0.2">
      <c r="A15" s="510">
        <f t="shared" si="0"/>
        <v>12</v>
      </c>
      <c r="B15" s="428">
        <v>44564</v>
      </c>
      <c r="C15" s="424">
        <v>44531</v>
      </c>
      <c r="D15" s="415" t="s">
        <v>182</v>
      </c>
      <c r="E15" s="415" t="s">
        <v>179</v>
      </c>
      <c r="F15" s="425">
        <v>346.24</v>
      </c>
      <c r="G15" s="427" t="s">
        <v>821</v>
      </c>
      <c r="H15" s="415" t="s">
        <v>310</v>
      </c>
      <c r="I15" s="473" t="s">
        <v>772</v>
      </c>
      <c r="J15" s="415" t="s">
        <v>822</v>
      </c>
      <c r="K15" s="415" t="s">
        <v>812</v>
      </c>
      <c r="L15" s="415" t="s">
        <v>807</v>
      </c>
      <c r="M15" s="415" t="s">
        <v>823</v>
      </c>
      <c r="N15" s="414">
        <v>44545</v>
      </c>
      <c r="O15" s="414" t="s">
        <v>400</v>
      </c>
      <c r="P15" s="222">
        <f t="shared" si="1"/>
        <v>1</v>
      </c>
      <c r="Q15" s="222">
        <f t="shared" si="2"/>
        <v>0</v>
      </c>
      <c r="R15" s="532" t="str">
        <f t="shared" si="3"/>
        <v>Gastos_com_Pessoal</v>
      </c>
      <c r="S15" s="467" t="s">
        <v>310</v>
      </c>
      <c r="T15" s="467" t="s">
        <v>310</v>
      </c>
      <c r="U15" s="496"/>
      <c r="V15" s="496"/>
      <c r="W15" s="496"/>
    </row>
    <row r="16" spans="1:23" ht="72" x14ac:dyDescent="0.2">
      <c r="A16" s="510">
        <f t="shared" si="0"/>
        <v>13</v>
      </c>
      <c r="B16" s="428">
        <v>44564</v>
      </c>
      <c r="C16" s="424">
        <v>44531</v>
      </c>
      <c r="D16" s="415" t="s">
        <v>468</v>
      </c>
      <c r="E16" s="415" t="s">
        <v>468</v>
      </c>
      <c r="F16" s="459">
        <v>4954.25</v>
      </c>
      <c r="G16" s="399" t="s">
        <v>2697</v>
      </c>
      <c r="H16" s="415" t="s">
        <v>468</v>
      </c>
      <c r="I16" s="460" t="s">
        <v>2701</v>
      </c>
      <c r="J16" s="468" t="s">
        <v>1633</v>
      </c>
      <c r="K16" s="415" t="s">
        <v>830</v>
      </c>
      <c r="L16" s="415" t="s">
        <v>807</v>
      </c>
      <c r="M16" s="464" t="s">
        <v>2704</v>
      </c>
      <c r="N16" s="469">
        <v>44545</v>
      </c>
      <c r="O16" s="414" t="s">
        <v>407</v>
      </c>
      <c r="P16" s="222">
        <f t="shared" si="1"/>
        <v>1</v>
      </c>
      <c r="Q16" s="222">
        <f t="shared" si="2"/>
        <v>0</v>
      </c>
      <c r="R16" s="532" t="str">
        <f t="shared" si="3"/>
        <v>Gastos_custeados_por_captação</v>
      </c>
      <c r="S16" s="467" t="s">
        <v>1000</v>
      </c>
      <c r="T16" s="467">
        <v>2464</v>
      </c>
      <c r="U16" s="496"/>
      <c r="V16" s="496"/>
      <c r="W16" s="496"/>
    </row>
    <row r="17" spans="1:23" ht="72" x14ac:dyDescent="0.2">
      <c r="A17" s="510">
        <f t="shared" si="0"/>
        <v>14</v>
      </c>
      <c r="B17" s="428">
        <v>44564</v>
      </c>
      <c r="C17" s="424">
        <v>44531</v>
      </c>
      <c r="D17" s="415" t="s">
        <v>271</v>
      </c>
      <c r="E17" s="415" t="s">
        <v>456</v>
      </c>
      <c r="F17" s="425">
        <v>979.5</v>
      </c>
      <c r="G17" s="427" t="s">
        <v>814</v>
      </c>
      <c r="H17" s="415" t="s">
        <v>752</v>
      </c>
      <c r="I17" s="473" t="s">
        <v>815</v>
      </c>
      <c r="J17" s="415" t="s">
        <v>816</v>
      </c>
      <c r="K17" s="415" t="s">
        <v>812</v>
      </c>
      <c r="L17" s="415" t="s">
        <v>807</v>
      </c>
      <c r="M17" s="415">
        <v>297349</v>
      </c>
      <c r="N17" s="414">
        <v>44536</v>
      </c>
      <c r="O17" s="414" t="s">
        <v>400</v>
      </c>
      <c r="P17" s="222">
        <f t="shared" si="1"/>
        <v>1</v>
      </c>
      <c r="Q17" s="222">
        <f t="shared" si="2"/>
        <v>0</v>
      </c>
      <c r="R17" s="532" t="str">
        <f t="shared" si="3"/>
        <v>Gastos_Gerais</v>
      </c>
      <c r="S17" s="467" t="s">
        <v>999</v>
      </c>
      <c r="T17" s="467">
        <v>2568</v>
      </c>
      <c r="U17" s="496"/>
      <c r="V17" s="496"/>
      <c r="W17" s="496"/>
    </row>
    <row r="18" spans="1:23" ht="72" x14ac:dyDescent="0.2">
      <c r="A18" s="510">
        <f t="shared" si="0"/>
        <v>15</v>
      </c>
      <c r="B18" s="428">
        <v>44564</v>
      </c>
      <c r="C18" s="424">
        <v>44531</v>
      </c>
      <c r="D18" s="415" t="s">
        <v>468</v>
      </c>
      <c r="E18" s="415" t="s">
        <v>468</v>
      </c>
      <c r="F18" s="459">
        <v>843</v>
      </c>
      <c r="G18" s="399" t="s">
        <v>2696</v>
      </c>
      <c r="H18" s="415" t="s">
        <v>468</v>
      </c>
      <c r="I18" s="460" t="s">
        <v>2700</v>
      </c>
      <c r="J18" s="468" t="s">
        <v>1082</v>
      </c>
      <c r="K18" s="415" t="s">
        <v>830</v>
      </c>
      <c r="L18" s="415" t="s">
        <v>807</v>
      </c>
      <c r="M18" s="464">
        <v>107927</v>
      </c>
      <c r="N18" s="469">
        <v>44534</v>
      </c>
      <c r="O18" s="414" t="s">
        <v>407</v>
      </c>
      <c r="P18" s="222">
        <f t="shared" si="1"/>
        <v>1</v>
      </c>
      <c r="Q18" s="222">
        <f t="shared" si="2"/>
        <v>0</v>
      </c>
      <c r="R18" s="532" t="str">
        <f t="shared" si="3"/>
        <v>Gastos_custeados_por_captação</v>
      </c>
      <c r="S18" s="467" t="s">
        <v>999</v>
      </c>
      <c r="T18" s="467">
        <v>2552</v>
      </c>
      <c r="U18" s="496"/>
      <c r="V18" s="496"/>
      <c r="W18" s="496"/>
    </row>
    <row r="19" spans="1:23" ht="120" x14ac:dyDescent="0.2">
      <c r="A19" s="510">
        <f t="shared" si="0"/>
        <v>16</v>
      </c>
      <c r="B19" s="428">
        <v>44564</v>
      </c>
      <c r="C19" s="424">
        <v>44501</v>
      </c>
      <c r="D19" s="415" t="s">
        <v>271</v>
      </c>
      <c r="E19" s="415" t="s">
        <v>456</v>
      </c>
      <c r="F19" s="425">
        <v>196.54</v>
      </c>
      <c r="G19" s="427" t="s">
        <v>809</v>
      </c>
      <c r="H19" s="415" t="s">
        <v>753</v>
      </c>
      <c r="I19" s="473" t="s">
        <v>810</v>
      </c>
      <c r="J19" s="415" t="s">
        <v>811</v>
      </c>
      <c r="K19" s="415" t="s">
        <v>812</v>
      </c>
      <c r="L19" s="415" t="s">
        <v>807</v>
      </c>
      <c r="M19" s="415" t="s">
        <v>813</v>
      </c>
      <c r="N19" s="414">
        <v>44533</v>
      </c>
      <c r="O19" s="414" t="s">
        <v>400</v>
      </c>
      <c r="P19" s="222">
        <f t="shared" si="1"/>
        <v>1</v>
      </c>
      <c r="Q19" s="222">
        <f t="shared" si="2"/>
        <v>-1</v>
      </c>
      <c r="R19" s="532" t="str">
        <f t="shared" si="3"/>
        <v>Gastos_Gerais</v>
      </c>
      <c r="S19" s="467" t="s">
        <v>999</v>
      </c>
      <c r="T19" s="467">
        <v>2502</v>
      </c>
      <c r="U19" s="496"/>
      <c r="V19" s="496"/>
      <c r="W19" s="496"/>
    </row>
    <row r="20" spans="1:23" ht="72" x14ac:dyDescent="0.2">
      <c r="A20" s="510">
        <f t="shared" si="0"/>
        <v>17</v>
      </c>
      <c r="B20" s="428">
        <v>44564</v>
      </c>
      <c r="C20" s="424">
        <v>44531</v>
      </c>
      <c r="D20" s="415" t="s">
        <v>468</v>
      </c>
      <c r="E20" s="415" t="s">
        <v>468</v>
      </c>
      <c r="F20" s="459">
        <v>711.29</v>
      </c>
      <c r="G20" s="399" t="s">
        <v>2699</v>
      </c>
      <c r="H20" s="415" t="s">
        <v>468</v>
      </c>
      <c r="I20" s="460" t="s">
        <v>2703</v>
      </c>
      <c r="J20" s="468" t="s">
        <v>2668</v>
      </c>
      <c r="K20" s="415" t="s">
        <v>830</v>
      </c>
      <c r="L20" s="415" t="s">
        <v>807</v>
      </c>
      <c r="M20" s="464">
        <v>356892</v>
      </c>
      <c r="N20" s="469">
        <v>44533</v>
      </c>
      <c r="O20" s="414" t="s">
        <v>407</v>
      </c>
      <c r="P20" s="222">
        <f t="shared" si="1"/>
        <v>1</v>
      </c>
      <c r="Q20" s="222">
        <f t="shared" si="2"/>
        <v>0</v>
      </c>
      <c r="R20" s="532" t="str">
        <f t="shared" si="3"/>
        <v>Gastos_custeados_por_captação</v>
      </c>
      <c r="S20" s="467" t="s">
        <v>999</v>
      </c>
      <c r="T20" s="467">
        <v>2556</v>
      </c>
      <c r="U20" s="496"/>
      <c r="V20" s="496"/>
      <c r="W20" s="496"/>
    </row>
    <row r="21" spans="1:23" ht="72" x14ac:dyDescent="0.2">
      <c r="A21" s="510">
        <f t="shared" si="0"/>
        <v>18</v>
      </c>
      <c r="B21" s="428">
        <v>44565</v>
      </c>
      <c r="C21" s="431">
        <v>44562</v>
      </c>
      <c r="D21" s="415" t="s">
        <v>468</v>
      </c>
      <c r="E21" s="415" t="s">
        <v>468</v>
      </c>
      <c r="F21" s="425">
        <v>1280</v>
      </c>
      <c r="G21" s="427" t="s">
        <v>2696</v>
      </c>
      <c r="H21" s="415" t="s">
        <v>468</v>
      </c>
      <c r="I21" s="473" t="s">
        <v>2705</v>
      </c>
      <c r="J21" s="415" t="s">
        <v>816</v>
      </c>
      <c r="K21" s="415" t="s">
        <v>830</v>
      </c>
      <c r="L21" s="415" t="s">
        <v>32</v>
      </c>
      <c r="M21" s="415">
        <v>297424</v>
      </c>
      <c r="N21" s="414">
        <v>44902</v>
      </c>
      <c r="O21" s="414" t="s">
        <v>407</v>
      </c>
      <c r="P21" s="222">
        <f t="shared" si="1"/>
        <v>1</v>
      </c>
      <c r="Q21" s="222">
        <f t="shared" si="2"/>
        <v>1</v>
      </c>
      <c r="R21" s="532" t="str">
        <f t="shared" si="3"/>
        <v>Gastos_custeados_por_captação</v>
      </c>
      <c r="S21" s="467" t="s">
        <v>999</v>
      </c>
      <c r="T21" s="467">
        <v>2562</v>
      </c>
      <c r="U21" s="496"/>
      <c r="V21" s="496"/>
      <c r="W21" s="496"/>
    </row>
    <row r="22" spans="1:23" ht="60" x14ac:dyDescent="0.2">
      <c r="A22" s="510">
        <f t="shared" si="0"/>
        <v>19</v>
      </c>
      <c r="B22" s="428">
        <v>44565</v>
      </c>
      <c r="C22" s="431">
        <v>44562</v>
      </c>
      <c r="D22" s="415" t="s">
        <v>468</v>
      </c>
      <c r="E22" s="415" t="s">
        <v>468</v>
      </c>
      <c r="F22" s="425">
        <v>828</v>
      </c>
      <c r="G22" s="427" t="s">
        <v>666</v>
      </c>
      <c r="H22" s="415" t="s">
        <v>468</v>
      </c>
      <c r="I22" s="473" t="s">
        <v>2674</v>
      </c>
      <c r="J22" s="415" t="s">
        <v>1082</v>
      </c>
      <c r="K22" s="415" t="s">
        <v>830</v>
      </c>
      <c r="L22" s="415" t="s">
        <v>32</v>
      </c>
      <c r="M22" s="415">
        <v>109003</v>
      </c>
      <c r="N22" s="414">
        <v>44565</v>
      </c>
      <c r="O22" s="414" t="s">
        <v>404</v>
      </c>
      <c r="P22" s="222">
        <f t="shared" si="1"/>
        <v>1</v>
      </c>
      <c r="Q22" s="222">
        <f t="shared" si="2"/>
        <v>1</v>
      </c>
      <c r="R22" s="532" t="str">
        <f t="shared" si="3"/>
        <v>Gastos_custeados_por_captação</v>
      </c>
      <c r="S22" s="467" t="s">
        <v>999</v>
      </c>
      <c r="T22" s="467">
        <v>2747</v>
      </c>
      <c r="U22" s="496"/>
      <c r="V22" s="496"/>
      <c r="W22" s="496"/>
    </row>
    <row r="23" spans="1:23" ht="72" x14ac:dyDescent="0.2">
      <c r="A23" s="510">
        <f t="shared" si="0"/>
        <v>20</v>
      </c>
      <c r="B23" s="428">
        <v>44566</v>
      </c>
      <c r="C23" s="424">
        <v>44531</v>
      </c>
      <c r="D23" s="434" t="s">
        <v>271</v>
      </c>
      <c r="E23" s="434" t="s">
        <v>90</v>
      </c>
      <c r="F23" s="425">
        <v>-1980.75</v>
      </c>
      <c r="G23" s="427" t="s">
        <v>832</v>
      </c>
      <c r="H23" s="415" t="s">
        <v>309</v>
      </c>
      <c r="I23" s="473" t="s">
        <v>795</v>
      </c>
      <c r="J23" s="415" t="s">
        <v>796</v>
      </c>
      <c r="K23" s="415" t="s">
        <v>797</v>
      </c>
      <c r="L23" s="415" t="s">
        <v>798</v>
      </c>
      <c r="M23" s="415" t="s">
        <v>310</v>
      </c>
      <c r="N23" s="414">
        <v>44566</v>
      </c>
      <c r="O23" s="414" t="s">
        <v>400</v>
      </c>
      <c r="P23" s="222">
        <f t="shared" si="1"/>
        <v>1</v>
      </c>
      <c r="Q23" s="222">
        <f t="shared" si="2"/>
        <v>0</v>
      </c>
      <c r="R23" s="532" t="str">
        <f t="shared" si="3"/>
        <v>Gastos_Gerais</v>
      </c>
      <c r="S23" s="467" t="s">
        <v>310</v>
      </c>
      <c r="T23" s="467" t="s">
        <v>310</v>
      </c>
      <c r="U23" s="496"/>
      <c r="V23" s="496"/>
      <c r="W23" s="496"/>
    </row>
    <row r="24" spans="1:23" ht="132" x14ac:dyDescent="0.2">
      <c r="A24" s="510">
        <f t="shared" si="0"/>
        <v>21</v>
      </c>
      <c r="B24" s="428">
        <v>44566</v>
      </c>
      <c r="C24" s="424">
        <v>44531</v>
      </c>
      <c r="D24" s="415" t="s">
        <v>271</v>
      </c>
      <c r="E24" s="415" t="s">
        <v>9</v>
      </c>
      <c r="F24" s="425">
        <v>-578.32000000000005</v>
      </c>
      <c r="G24" s="427" t="s">
        <v>833</v>
      </c>
      <c r="H24" s="415" t="s">
        <v>309</v>
      </c>
      <c r="I24" s="473" t="s">
        <v>795</v>
      </c>
      <c r="J24" s="415" t="s">
        <v>796</v>
      </c>
      <c r="K24" s="415" t="s">
        <v>797</v>
      </c>
      <c r="L24" s="415" t="s">
        <v>798</v>
      </c>
      <c r="M24" s="415" t="s">
        <v>310</v>
      </c>
      <c r="N24" s="414">
        <v>44566</v>
      </c>
      <c r="O24" s="414" t="s">
        <v>400</v>
      </c>
      <c r="P24" s="222">
        <f t="shared" si="1"/>
        <v>1</v>
      </c>
      <c r="Q24" s="222">
        <f t="shared" si="2"/>
        <v>0</v>
      </c>
      <c r="R24" s="532" t="str">
        <f t="shared" si="3"/>
        <v>Gastos_Gerais</v>
      </c>
      <c r="S24" s="467" t="s">
        <v>310</v>
      </c>
      <c r="T24" s="467" t="s">
        <v>310</v>
      </c>
      <c r="U24" s="496"/>
      <c r="V24" s="496"/>
      <c r="W24" s="496"/>
    </row>
    <row r="25" spans="1:23" ht="132" x14ac:dyDescent="0.2">
      <c r="A25" s="510">
        <f t="shared" si="0"/>
        <v>22</v>
      </c>
      <c r="B25" s="428">
        <v>44566</v>
      </c>
      <c r="C25" s="424">
        <v>44531</v>
      </c>
      <c r="D25" s="415" t="s">
        <v>271</v>
      </c>
      <c r="E25" s="415" t="s">
        <v>90</v>
      </c>
      <c r="F25" s="425">
        <v>-924.35</v>
      </c>
      <c r="G25" s="427" t="s">
        <v>834</v>
      </c>
      <c r="H25" s="415" t="s">
        <v>309</v>
      </c>
      <c r="I25" s="473" t="s">
        <v>795</v>
      </c>
      <c r="J25" s="415" t="s">
        <v>796</v>
      </c>
      <c r="K25" s="415" t="s">
        <v>797</v>
      </c>
      <c r="L25" s="415" t="s">
        <v>798</v>
      </c>
      <c r="M25" s="415" t="s">
        <v>310</v>
      </c>
      <c r="N25" s="414">
        <v>44566</v>
      </c>
      <c r="O25" s="414" t="s">
        <v>400</v>
      </c>
      <c r="P25" s="222">
        <f t="shared" si="1"/>
        <v>1</v>
      </c>
      <c r="Q25" s="222">
        <f t="shared" si="2"/>
        <v>0</v>
      </c>
      <c r="R25" s="532" t="str">
        <f t="shared" si="3"/>
        <v>Gastos_Gerais</v>
      </c>
      <c r="S25" s="467" t="s">
        <v>310</v>
      </c>
      <c r="T25" s="467" t="s">
        <v>310</v>
      </c>
      <c r="U25" s="496"/>
      <c r="V25" s="496"/>
      <c r="W25" s="496"/>
    </row>
    <row r="26" spans="1:23" ht="60" x14ac:dyDescent="0.2">
      <c r="A26" s="510">
        <f t="shared" si="0"/>
        <v>23</v>
      </c>
      <c r="B26" s="428">
        <v>44566</v>
      </c>
      <c r="C26" s="424">
        <v>44531</v>
      </c>
      <c r="D26" s="415" t="s">
        <v>271</v>
      </c>
      <c r="E26" s="415" t="s">
        <v>59</v>
      </c>
      <c r="F26" s="425">
        <v>-1320.5</v>
      </c>
      <c r="G26" s="427" t="s">
        <v>835</v>
      </c>
      <c r="H26" s="415" t="s">
        <v>309</v>
      </c>
      <c r="I26" s="473" t="s">
        <v>795</v>
      </c>
      <c r="J26" s="415" t="s">
        <v>796</v>
      </c>
      <c r="K26" s="415" t="s">
        <v>797</v>
      </c>
      <c r="L26" s="415" t="s">
        <v>798</v>
      </c>
      <c r="M26" s="415" t="s">
        <v>310</v>
      </c>
      <c r="N26" s="414">
        <v>44566</v>
      </c>
      <c r="O26" s="414" t="s">
        <v>400</v>
      </c>
      <c r="P26" s="222">
        <f t="shared" si="1"/>
        <v>1</v>
      </c>
      <c r="Q26" s="222">
        <f t="shared" si="2"/>
        <v>0</v>
      </c>
      <c r="R26" s="532" t="str">
        <f t="shared" si="3"/>
        <v>Gastos_Gerais</v>
      </c>
      <c r="S26" s="467" t="s">
        <v>310</v>
      </c>
      <c r="T26" s="467" t="s">
        <v>310</v>
      </c>
      <c r="U26" s="496"/>
      <c r="V26" s="496"/>
      <c r="W26" s="496"/>
    </row>
    <row r="27" spans="1:23" ht="24" x14ac:dyDescent="0.2">
      <c r="A27" s="510">
        <f t="shared" si="0"/>
        <v>24</v>
      </c>
      <c r="B27" s="428">
        <v>44566</v>
      </c>
      <c r="C27" s="424">
        <v>44562</v>
      </c>
      <c r="D27" s="415" t="s">
        <v>271</v>
      </c>
      <c r="E27" s="415" t="s">
        <v>71</v>
      </c>
      <c r="F27" s="425">
        <v>153</v>
      </c>
      <c r="G27" s="427" t="s">
        <v>880</v>
      </c>
      <c r="H27" s="415" t="s">
        <v>309</v>
      </c>
      <c r="I27" s="473" t="s">
        <v>881</v>
      </c>
      <c r="J27" s="415" t="s">
        <v>882</v>
      </c>
      <c r="K27" s="415" t="s">
        <v>883</v>
      </c>
      <c r="L27" s="415" t="s">
        <v>798</v>
      </c>
      <c r="M27" s="415" t="s">
        <v>310</v>
      </c>
      <c r="N27" s="414">
        <v>44566</v>
      </c>
      <c r="O27" s="414" t="s">
        <v>400</v>
      </c>
      <c r="P27" s="222">
        <f t="shared" si="1"/>
        <v>1</v>
      </c>
      <c r="Q27" s="222">
        <f t="shared" si="2"/>
        <v>1</v>
      </c>
      <c r="R27" s="532" t="str">
        <f t="shared" si="3"/>
        <v>Gastos_Gerais</v>
      </c>
      <c r="S27" s="467" t="s">
        <v>310</v>
      </c>
      <c r="T27" s="467" t="s">
        <v>310</v>
      </c>
      <c r="U27" s="496"/>
      <c r="V27" s="496"/>
      <c r="W27" s="496"/>
    </row>
    <row r="28" spans="1:23" ht="36" x14ac:dyDescent="0.2">
      <c r="A28" s="510">
        <f t="shared" si="0"/>
        <v>25</v>
      </c>
      <c r="B28" s="428">
        <v>44566</v>
      </c>
      <c r="C28" s="424">
        <v>44562</v>
      </c>
      <c r="D28" s="415" t="s">
        <v>271</v>
      </c>
      <c r="E28" s="415" t="s">
        <v>71</v>
      </c>
      <c r="F28" s="425">
        <v>10.45</v>
      </c>
      <c r="G28" s="427" t="s">
        <v>884</v>
      </c>
      <c r="H28" s="415" t="s">
        <v>309</v>
      </c>
      <c r="I28" s="473" t="s">
        <v>881</v>
      </c>
      <c r="J28" s="415" t="s">
        <v>882</v>
      </c>
      <c r="K28" s="415" t="s">
        <v>883</v>
      </c>
      <c r="L28" s="415" t="s">
        <v>798</v>
      </c>
      <c r="M28" s="415" t="s">
        <v>310</v>
      </c>
      <c r="N28" s="414">
        <v>44566</v>
      </c>
      <c r="O28" s="414" t="s">
        <v>400</v>
      </c>
      <c r="P28" s="222">
        <f t="shared" si="1"/>
        <v>1</v>
      </c>
      <c r="Q28" s="222">
        <f t="shared" si="2"/>
        <v>1</v>
      </c>
      <c r="R28" s="532" t="str">
        <f t="shared" si="3"/>
        <v>Gastos_Gerais</v>
      </c>
      <c r="S28" s="467" t="s">
        <v>310</v>
      </c>
      <c r="T28" s="467" t="s">
        <v>310</v>
      </c>
      <c r="U28" s="496"/>
      <c r="V28" s="496"/>
      <c r="W28" s="496"/>
    </row>
    <row r="29" spans="1:23" ht="36" x14ac:dyDescent="0.2">
      <c r="A29" s="510">
        <f t="shared" si="0"/>
        <v>26</v>
      </c>
      <c r="B29" s="428">
        <v>44566</v>
      </c>
      <c r="C29" s="424">
        <v>44562</v>
      </c>
      <c r="D29" s="415" t="s">
        <v>271</v>
      </c>
      <c r="E29" s="415" t="s">
        <v>71</v>
      </c>
      <c r="F29" s="425">
        <v>10.45</v>
      </c>
      <c r="G29" s="427" t="s">
        <v>885</v>
      </c>
      <c r="H29" s="415" t="s">
        <v>309</v>
      </c>
      <c r="I29" s="473" t="s">
        <v>881</v>
      </c>
      <c r="J29" s="415" t="s">
        <v>882</v>
      </c>
      <c r="K29" s="415" t="s">
        <v>883</v>
      </c>
      <c r="L29" s="415" t="s">
        <v>798</v>
      </c>
      <c r="M29" s="415" t="s">
        <v>310</v>
      </c>
      <c r="N29" s="414">
        <v>44566</v>
      </c>
      <c r="O29" s="414" t="s">
        <v>400</v>
      </c>
      <c r="P29" s="222">
        <f t="shared" si="1"/>
        <v>1</v>
      </c>
      <c r="Q29" s="222">
        <f t="shared" si="2"/>
        <v>1</v>
      </c>
      <c r="R29" s="532" t="str">
        <f t="shared" si="3"/>
        <v>Gastos_Gerais</v>
      </c>
      <c r="S29" s="467" t="s">
        <v>310</v>
      </c>
      <c r="T29" s="467" t="s">
        <v>310</v>
      </c>
      <c r="U29" s="496"/>
      <c r="V29" s="496"/>
      <c r="W29" s="496"/>
    </row>
    <row r="30" spans="1:23" ht="36" x14ac:dyDescent="0.2">
      <c r="A30" s="510">
        <f t="shared" si="0"/>
        <v>27</v>
      </c>
      <c r="B30" s="428">
        <v>44566</v>
      </c>
      <c r="C30" s="424">
        <v>44562</v>
      </c>
      <c r="D30" s="415" t="s">
        <v>271</v>
      </c>
      <c r="E30" s="415" t="s">
        <v>71</v>
      </c>
      <c r="F30" s="425">
        <v>10.45</v>
      </c>
      <c r="G30" s="427" t="s">
        <v>886</v>
      </c>
      <c r="H30" s="415" t="s">
        <v>309</v>
      </c>
      <c r="I30" s="473" t="s">
        <v>881</v>
      </c>
      <c r="J30" s="415" t="s">
        <v>882</v>
      </c>
      <c r="K30" s="415" t="s">
        <v>883</v>
      </c>
      <c r="L30" s="415" t="s">
        <v>798</v>
      </c>
      <c r="M30" s="415" t="s">
        <v>310</v>
      </c>
      <c r="N30" s="414">
        <v>44566</v>
      </c>
      <c r="O30" s="414" t="s">
        <v>400</v>
      </c>
      <c r="P30" s="222">
        <f t="shared" si="1"/>
        <v>1</v>
      </c>
      <c r="Q30" s="222">
        <f t="shared" si="2"/>
        <v>1</v>
      </c>
      <c r="R30" s="532" t="str">
        <f t="shared" si="3"/>
        <v>Gastos_Gerais</v>
      </c>
      <c r="S30" s="467" t="s">
        <v>310</v>
      </c>
      <c r="T30" s="467" t="s">
        <v>310</v>
      </c>
      <c r="U30" s="496"/>
      <c r="V30" s="496"/>
      <c r="W30" s="496"/>
    </row>
    <row r="31" spans="1:23" ht="108" x14ac:dyDescent="0.2">
      <c r="A31" s="510">
        <f t="shared" si="0"/>
        <v>28</v>
      </c>
      <c r="B31" s="428">
        <v>44566</v>
      </c>
      <c r="C31" s="424">
        <v>44531</v>
      </c>
      <c r="D31" s="415" t="s">
        <v>271</v>
      </c>
      <c r="E31" s="415" t="s">
        <v>90</v>
      </c>
      <c r="F31" s="425">
        <v>7347.75</v>
      </c>
      <c r="G31" s="427" t="s">
        <v>862</v>
      </c>
      <c r="H31" s="415" t="s">
        <v>309</v>
      </c>
      <c r="I31" s="473" t="s">
        <v>850</v>
      </c>
      <c r="J31" s="415" t="s">
        <v>863</v>
      </c>
      <c r="K31" s="415" t="s">
        <v>830</v>
      </c>
      <c r="L31" s="415" t="s">
        <v>807</v>
      </c>
      <c r="M31" s="414" t="s">
        <v>842</v>
      </c>
      <c r="N31" s="414">
        <v>44565</v>
      </c>
      <c r="O31" s="414" t="s">
        <v>400</v>
      </c>
      <c r="P31" s="222">
        <f t="shared" si="1"/>
        <v>1</v>
      </c>
      <c r="Q31" s="222">
        <f t="shared" si="2"/>
        <v>0</v>
      </c>
      <c r="R31" s="532" t="str">
        <f t="shared" si="3"/>
        <v>Gastos_Gerais</v>
      </c>
      <c r="S31" s="467" t="s">
        <v>1000</v>
      </c>
      <c r="T31" s="467">
        <v>1134</v>
      </c>
      <c r="U31" s="496"/>
      <c r="V31" s="496"/>
      <c r="W31" s="496"/>
    </row>
    <row r="32" spans="1:23" ht="72" x14ac:dyDescent="0.2">
      <c r="A32" s="510">
        <f t="shared" si="0"/>
        <v>29</v>
      </c>
      <c r="B32" s="428">
        <v>44566</v>
      </c>
      <c r="C32" s="424">
        <v>44531</v>
      </c>
      <c r="D32" s="415" t="s">
        <v>271</v>
      </c>
      <c r="E32" s="415" t="s">
        <v>456</v>
      </c>
      <c r="F32" s="425">
        <v>1372</v>
      </c>
      <c r="G32" s="427" t="s">
        <v>864</v>
      </c>
      <c r="H32" s="415" t="s">
        <v>755</v>
      </c>
      <c r="I32" s="473" t="s">
        <v>865</v>
      </c>
      <c r="J32" s="415" t="s">
        <v>866</v>
      </c>
      <c r="K32" s="415" t="s">
        <v>830</v>
      </c>
      <c r="L32" s="415" t="s">
        <v>807</v>
      </c>
      <c r="M32" s="415" t="s">
        <v>842</v>
      </c>
      <c r="N32" s="414">
        <v>44565</v>
      </c>
      <c r="O32" s="414" t="s">
        <v>400</v>
      </c>
      <c r="P32" s="222">
        <f t="shared" si="1"/>
        <v>1</v>
      </c>
      <c r="Q32" s="222">
        <f t="shared" si="2"/>
        <v>0</v>
      </c>
      <c r="R32" s="532" t="str">
        <f t="shared" si="3"/>
        <v>Gastos_Gerais</v>
      </c>
      <c r="S32" s="467" t="s">
        <v>998</v>
      </c>
      <c r="T32" s="467">
        <v>2553</v>
      </c>
      <c r="U32" s="496"/>
      <c r="V32" s="496"/>
      <c r="W32" s="496"/>
    </row>
    <row r="33" spans="1:23" ht="36" x14ac:dyDescent="0.2">
      <c r="A33" s="510">
        <f t="shared" si="0"/>
        <v>30</v>
      </c>
      <c r="B33" s="428">
        <v>44566</v>
      </c>
      <c r="C33" s="424">
        <v>44470</v>
      </c>
      <c r="D33" s="415" t="s">
        <v>271</v>
      </c>
      <c r="E33" s="415" t="s">
        <v>453</v>
      </c>
      <c r="F33" s="425">
        <v>4080</v>
      </c>
      <c r="G33" s="427" t="s">
        <v>867</v>
      </c>
      <c r="H33" s="415" t="s">
        <v>749</v>
      </c>
      <c r="I33" s="473" t="s">
        <v>868</v>
      </c>
      <c r="J33" s="415" t="s">
        <v>869</v>
      </c>
      <c r="K33" s="415" t="s">
        <v>830</v>
      </c>
      <c r="L33" s="415" t="s">
        <v>807</v>
      </c>
      <c r="M33" s="415" t="s">
        <v>870</v>
      </c>
      <c r="N33" s="414">
        <v>44565</v>
      </c>
      <c r="O33" s="414" t="s">
        <v>400</v>
      </c>
      <c r="P33" s="222">
        <f t="shared" si="1"/>
        <v>1</v>
      </c>
      <c r="Q33" s="222">
        <f t="shared" si="2"/>
        <v>-2</v>
      </c>
      <c r="R33" s="532" t="str">
        <f t="shared" si="3"/>
        <v>Gastos_Gerais</v>
      </c>
      <c r="S33" s="467" t="s">
        <v>998</v>
      </c>
      <c r="T33" s="467">
        <v>2096</v>
      </c>
      <c r="U33" s="496"/>
      <c r="V33" s="496"/>
      <c r="W33" s="496"/>
    </row>
    <row r="34" spans="1:23" ht="60" x14ac:dyDescent="0.2">
      <c r="A34" s="510">
        <f t="shared" si="0"/>
        <v>31</v>
      </c>
      <c r="B34" s="428">
        <v>44566</v>
      </c>
      <c r="C34" s="424">
        <v>44531</v>
      </c>
      <c r="D34" s="415" t="s">
        <v>271</v>
      </c>
      <c r="E34" s="415" t="s">
        <v>90</v>
      </c>
      <c r="F34" s="425">
        <v>156.6</v>
      </c>
      <c r="G34" s="427" t="s">
        <v>871</v>
      </c>
      <c r="H34" s="415" t="s">
        <v>750</v>
      </c>
      <c r="I34" s="473" t="s">
        <v>872</v>
      </c>
      <c r="J34" s="415" t="s">
        <v>873</v>
      </c>
      <c r="K34" s="415" t="s">
        <v>830</v>
      </c>
      <c r="L34" s="415" t="s">
        <v>807</v>
      </c>
      <c r="M34" s="415" t="s">
        <v>848</v>
      </c>
      <c r="N34" s="414">
        <v>44565</v>
      </c>
      <c r="O34" s="414" t="s">
        <v>400</v>
      </c>
      <c r="P34" s="222">
        <f t="shared" si="1"/>
        <v>1</v>
      </c>
      <c r="Q34" s="222">
        <f t="shared" si="2"/>
        <v>0</v>
      </c>
      <c r="R34" s="532" t="str">
        <f t="shared" si="3"/>
        <v>Gastos_Gerais</v>
      </c>
      <c r="S34" s="467" t="s">
        <v>998</v>
      </c>
      <c r="T34" s="467">
        <v>2701</v>
      </c>
      <c r="U34" s="496"/>
      <c r="V34" s="496"/>
      <c r="W34" s="496"/>
    </row>
    <row r="35" spans="1:23" ht="48" x14ac:dyDescent="0.2">
      <c r="A35" s="510">
        <f t="shared" si="0"/>
        <v>32</v>
      </c>
      <c r="B35" s="465">
        <v>44566</v>
      </c>
      <c r="C35" s="466">
        <v>44501</v>
      </c>
      <c r="D35" s="415" t="s">
        <v>271</v>
      </c>
      <c r="E35" s="415" t="s">
        <v>453</v>
      </c>
      <c r="F35" s="435">
        <v>774</v>
      </c>
      <c r="G35" s="437" t="s">
        <v>874</v>
      </c>
      <c r="H35" s="434" t="s">
        <v>754</v>
      </c>
      <c r="I35" s="474" t="s">
        <v>875</v>
      </c>
      <c r="J35" s="434" t="s">
        <v>876</v>
      </c>
      <c r="K35" s="415" t="s">
        <v>830</v>
      </c>
      <c r="L35" s="434" t="s">
        <v>839</v>
      </c>
      <c r="M35" s="434">
        <v>1519</v>
      </c>
      <c r="N35" s="455">
        <v>44565</v>
      </c>
      <c r="O35" s="414" t="s">
        <v>400</v>
      </c>
      <c r="P35" s="222">
        <f t="shared" si="1"/>
        <v>1</v>
      </c>
      <c r="Q35" s="222">
        <f t="shared" si="2"/>
        <v>-1</v>
      </c>
      <c r="R35" s="532" t="str">
        <f t="shared" si="3"/>
        <v>Gastos_Gerais</v>
      </c>
      <c r="S35" s="467" t="s">
        <v>998</v>
      </c>
      <c r="T35" s="467">
        <v>2470</v>
      </c>
      <c r="U35" s="496"/>
      <c r="V35" s="496"/>
      <c r="W35" s="496"/>
    </row>
    <row r="36" spans="1:23" ht="108" x14ac:dyDescent="0.2">
      <c r="A36" s="510">
        <f t="shared" si="0"/>
        <v>33</v>
      </c>
      <c r="B36" s="465">
        <v>44566</v>
      </c>
      <c r="C36" s="466">
        <v>44531</v>
      </c>
      <c r="D36" s="415" t="s">
        <v>271</v>
      </c>
      <c r="E36" s="415" t="s">
        <v>90</v>
      </c>
      <c r="F36" s="435">
        <v>3840</v>
      </c>
      <c r="G36" s="437" t="s">
        <v>877</v>
      </c>
      <c r="H36" s="434" t="s">
        <v>309</v>
      </c>
      <c r="I36" s="474" t="s">
        <v>878</v>
      </c>
      <c r="J36" s="434" t="s">
        <v>879</v>
      </c>
      <c r="K36" s="415" t="s">
        <v>830</v>
      </c>
      <c r="L36" s="434" t="s">
        <v>807</v>
      </c>
      <c r="M36" s="434" t="s">
        <v>842</v>
      </c>
      <c r="N36" s="455">
        <v>44565</v>
      </c>
      <c r="O36" s="414" t="s">
        <v>400</v>
      </c>
      <c r="P36" s="222">
        <f t="shared" si="1"/>
        <v>1</v>
      </c>
      <c r="Q36" s="222">
        <f t="shared" si="2"/>
        <v>0</v>
      </c>
      <c r="R36" s="532" t="str">
        <f t="shared" si="3"/>
        <v>Gastos_Gerais</v>
      </c>
      <c r="S36" s="467" t="s">
        <v>998</v>
      </c>
      <c r="T36" s="467">
        <v>1136</v>
      </c>
      <c r="U36" s="496"/>
      <c r="V36" s="496"/>
      <c r="W36" s="496"/>
    </row>
    <row r="37" spans="1:23" ht="36" x14ac:dyDescent="0.2">
      <c r="A37" s="510">
        <f t="shared" si="0"/>
        <v>34</v>
      </c>
      <c r="B37" s="428">
        <v>44566</v>
      </c>
      <c r="C37" s="431">
        <v>44531</v>
      </c>
      <c r="D37" s="415" t="s">
        <v>468</v>
      </c>
      <c r="E37" s="415" t="s">
        <v>468</v>
      </c>
      <c r="F37" s="425">
        <v>3342.5</v>
      </c>
      <c r="G37" s="427" t="s">
        <v>695</v>
      </c>
      <c r="H37" s="415" t="s">
        <v>468</v>
      </c>
      <c r="I37" s="473" t="s">
        <v>2405</v>
      </c>
      <c r="J37" s="415" t="s">
        <v>1030</v>
      </c>
      <c r="K37" s="415" t="s">
        <v>830</v>
      </c>
      <c r="L37" s="415" t="s">
        <v>807</v>
      </c>
      <c r="M37" s="415" t="s">
        <v>848</v>
      </c>
      <c r="N37" s="414">
        <v>44565</v>
      </c>
      <c r="O37" s="414" t="s">
        <v>408</v>
      </c>
      <c r="P37" s="222">
        <f t="shared" si="1"/>
        <v>1</v>
      </c>
      <c r="Q37" s="222">
        <f t="shared" si="2"/>
        <v>0</v>
      </c>
      <c r="R37" s="532" t="str">
        <f t="shared" si="3"/>
        <v>Gastos_custeados_por_captação</v>
      </c>
      <c r="S37" s="467" t="s">
        <v>998</v>
      </c>
      <c r="T37" s="467">
        <v>1457</v>
      </c>
      <c r="U37" s="496"/>
      <c r="V37" s="496"/>
      <c r="W37" s="496"/>
    </row>
    <row r="38" spans="1:23" ht="60" x14ac:dyDescent="0.2">
      <c r="A38" s="510">
        <f t="shared" si="0"/>
        <v>35</v>
      </c>
      <c r="B38" s="428">
        <v>44566</v>
      </c>
      <c r="C38" s="431">
        <v>44531</v>
      </c>
      <c r="D38" s="415" t="s">
        <v>468</v>
      </c>
      <c r="E38" s="415" t="s">
        <v>468</v>
      </c>
      <c r="F38" s="541">
        <v>3920</v>
      </c>
      <c r="G38" s="399" t="s">
        <v>2487</v>
      </c>
      <c r="H38" s="415" t="s">
        <v>468</v>
      </c>
      <c r="I38" s="473" t="s">
        <v>865</v>
      </c>
      <c r="J38" s="415" t="s">
        <v>866</v>
      </c>
      <c r="K38" s="415" t="s">
        <v>830</v>
      </c>
      <c r="L38" s="415" t="s">
        <v>807</v>
      </c>
      <c r="M38" s="415" t="s">
        <v>848</v>
      </c>
      <c r="N38" s="414">
        <v>44565</v>
      </c>
      <c r="O38" s="414" t="s">
        <v>401</v>
      </c>
      <c r="P38" s="222">
        <f t="shared" si="1"/>
        <v>1</v>
      </c>
      <c r="Q38" s="222">
        <f t="shared" si="2"/>
        <v>0</v>
      </c>
      <c r="R38" s="532" t="str">
        <f t="shared" si="3"/>
        <v>Gastos_custeados_por_captação</v>
      </c>
      <c r="S38" s="467" t="s">
        <v>998</v>
      </c>
      <c r="T38" s="467">
        <v>1269</v>
      </c>
      <c r="U38" s="496"/>
      <c r="V38" s="496"/>
      <c r="W38" s="496"/>
    </row>
    <row r="39" spans="1:23" ht="60" x14ac:dyDescent="0.2">
      <c r="A39" s="510">
        <f t="shared" si="0"/>
        <v>36</v>
      </c>
      <c r="B39" s="428">
        <v>44566</v>
      </c>
      <c r="C39" s="431">
        <v>44531</v>
      </c>
      <c r="D39" s="415" t="s">
        <v>468</v>
      </c>
      <c r="E39" s="415" t="s">
        <v>468</v>
      </c>
      <c r="F39" s="541">
        <v>3634</v>
      </c>
      <c r="G39" s="399" t="s">
        <v>2491</v>
      </c>
      <c r="H39" s="415" t="s">
        <v>468</v>
      </c>
      <c r="I39" s="473" t="s">
        <v>2492</v>
      </c>
      <c r="J39" s="415" t="s">
        <v>1028</v>
      </c>
      <c r="K39" s="415" t="s">
        <v>830</v>
      </c>
      <c r="L39" s="415" t="s">
        <v>807</v>
      </c>
      <c r="M39" s="415" t="s">
        <v>842</v>
      </c>
      <c r="N39" s="414">
        <v>44565</v>
      </c>
      <c r="O39" s="414" t="s">
        <v>401</v>
      </c>
      <c r="P39" s="222">
        <f t="shared" si="1"/>
        <v>1</v>
      </c>
      <c r="Q39" s="222">
        <f t="shared" si="2"/>
        <v>0</v>
      </c>
      <c r="R39" s="532" t="str">
        <f t="shared" si="3"/>
        <v>Gastos_custeados_por_captação</v>
      </c>
      <c r="S39" s="467" t="s">
        <v>998</v>
      </c>
      <c r="T39" s="467">
        <v>1413</v>
      </c>
      <c r="U39" s="496"/>
      <c r="V39" s="496"/>
      <c r="W39" s="496"/>
    </row>
    <row r="40" spans="1:23" ht="72" x14ac:dyDescent="0.2">
      <c r="A40" s="510">
        <f t="shared" si="0"/>
        <v>37</v>
      </c>
      <c r="B40" s="428">
        <v>44566</v>
      </c>
      <c r="C40" s="431">
        <v>44531</v>
      </c>
      <c r="D40" s="415" t="s">
        <v>468</v>
      </c>
      <c r="E40" s="415" t="s">
        <v>468</v>
      </c>
      <c r="F40" s="459">
        <v>961.3</v>
      </c>
      <c r="G40" s="399" t="s">
        <v>2710</v>
      </c>
      <c r="H40" s="415" t="s">
        <v>468</v>
      </c>
      <c r="I40" s="460" t="s">
        <v>2702</v>
      </c>
      <c r="J40" s="468" t="s">
        <v>1010</v>
      </c>
      <c r="K40" s="415" t="s">
        <v>830</v>
      </c>
      <c r="L40" s="415" t="s">
        <v>807</v>
      </c>
      <c r="M40" s="464">
        <v>20225</v>
      </c>
      <c r="N40" s="469">
        <v>44565</v>
      </c>
      <c r="O40" s="414" t="s">
        <v>407</v>
      </c>
      <c r="P40" s="222">
        <f t="shared" si="1"/>
        <v>1</v>
      </c>
      <c r="Q40" s="222">
        <f t="shared" si="2"/>
        <v>0</v>
      </c>
      <c r="R40" s="532" t="str">
        <f t="shared" si="3"/>
        <v>Gastos_custeados_por_captação</v>
      </c>
      <c r="S40" s="467" t="s">
        <v>998</v>
      </c>
      <c r="T40" s="467">
        <v>2603</v>
      </c>
      <c r="U40" s="496"/>
      <c r="V40" s="496"/>
      <c r="W40" s="496"/>
    </row>
    <row r="41" spans="1:23" ht="60" x14ac:dyDescent="0.2">
      <c r="A41" s="510">
        <f t="shared" si="0"/>
        <v>38</v>
      </c>
      <c r="B41" s="428">
        <v>44566</v>
      </c>
      <c r="C41" s="424">
        <v>44501</v>
      </c>
      <c r="D41" s="415" t="s">
        <v>271</v>
      </c>
      <c r="E41" s="415" t="s">
        <v>456</v>
      </c>
      <c r="F41" s="425">
        <v>1470</v>
      </c>
      <c r="G41" s="427" t="s">
        <v>836</v>
      </c>
      <c r="H41" s="415" t="s">
        <v>759</v>
      </c>
      <c r="I41" s="473" t="s">
        <v>837</v>
      </c>
      <c r="J41" s="415" t="s">
        <v>838</v>
      </c>
      <c r="K41" s="415" t="s">
        <v>830</v>
      </c>
      <c r="L41" s="415" t="s">
        <v>839</v>
      </c>
      <c r="M41" s="415">
        <v>1517</v>
      </c>
      <c r="N41" s="414">
        <v>44564</v>
      </c>
      <c r="O41" s="414" t="s">
        <v>400</v>
      </c>
      <c r="P41" s="222">
        <f t="shared" si="1"/>
        <v>1</v>
      </c>
      <c r="Q41" s="222">
        <f t="shared" si="2"/>
        <v>-1</v>
      </c>
      <c r="R41" s="532" t="str">
        <f t="shared" si="3"/>
        <v>Gastos_Gerais</v>
      </c>
      <c r="S41" s="467" t="s">
        <v>998</v>
      </c>
      <c r="T41" s="467">
        <v>2487</v>
      </c>
      <c r="U41" s="496"/>
      <c r="V41" s="496"/>
      <c r="W41" s="496"/>
    </row>
    <row r="42" spans="1:23" ht="132" x14ac:dyDescent="0.2">
      <c r="A42" s="510">
        <f t="shared" si="0"/>
        <v>39</v>
      </c>
      <c r="B42" s="428">
        <v>44566</v>
      </c>
      <c r="C42" s="424">
        <v>44501</v>
      </c>
      <c r="D42" s="434" t="s">
        <v>271</v>
      </c>
      <c r="E42" s="434" t="s">
        <v>9</v>
      </c>
      <c r="F42" s="425">
        <v>2096.04</v>
      </c>
      <c r="G42" s="427" t="s">
        <v>833</v>
      </c>
      <c r="H42" s="415" t="s">
        <v>309</v>
      </c>
      <c r="I42" s="473" t="s">
        <v>840</v>
      </c>
      <c r="J42" s="415" t="s">
        <v>841</v>
      </c>
      <c r="K42" s="415" t="s">
        <v>806</v>
      </c>
      <c r="L42" s="415" t="s">
        <v>807</v>
      </c>
      <c r="M42" s="415" t="s">
        <v>842</v>
      </c>
      <c r="N42" s="414">
        <v>44564</v>
      </c>
      <c r="O42" s="414" t="s">
        <v>400</v>
      </c>
      <c r="P42" s="222">
        <f t="shared" si="1"/>
        <v>1</v>
      </c>
      <c r="Q42" s="222">
        <f t="shared" si="2"/>
        <v>-1</v>
      </c>
      <c r="R42" s="532" t="str">
        <f t="shared" si="3"/>
        <v>Gastos_Gerais</v>
      </c>
      <c r="S42" s="467" t="s">
        <v>998</v>
      </c>
      <c r="T42" s="467">
        <v>1115</v>
      </c>
      <c r="U42" s="496"/>
      <c r="V42" s="496"/>
      <c r="W42" s="496"/>
    </row>
    <row r="43" spans="1:23" ht="96" x14ac:dyDescent="0.2">
      <c r="A43" s="510">
        <f t="shared" si="0"/>
        <v>40</v>
      </c>
      <c r="B43" s="428">
        <v>44566</v>
      </c>
      <c r="C43" s="424">
        <v>44531</v>
      </c>
      <c r="D43" s="415" t="s">
        <v>271</v>
      </c>
      <c r="E43" s="415" t="s">
        <v>90</v>
      </c>
      <c r="F43" s="425">
        <v>3840</v>
      </c>
      <c r="G43" s="427" t="s">
        <v>845</v>
      </c>
      <c r="H43" s="415" t="s">
        <v>309</v>
      </c>
      <c r="I43" s="473" t="s">
        <v>846</v>
      </c>
      <c r="J43" s="415" t="s">
        <v>847</v>
      </c>
      <c r="K43" s="415" t="s">
        <v>830</v>
      </c>
      <c r="L43" s="415" t="s">
        <v>807</v>
      </c>
      <c r="M43" s="415" t="s">
        <v>848</v>
      </c>
      <c r="N43" s="414">
        <v>44564</v>
      </c>
      <c r="O43" s="414" t="s">
        <v>400</v>
      </c>
      <c r="P43" s="222">
        <f t="shared" si="1"/>
        <v>1</v>
      </c>
      <c r="Q43" s="222">
        <f t="shared" si="2"/>
        <v>0</v>
      </c>
      <c r="R43" s="532" t="str">
        <f t="shared" si="3"/>
        <v>Gastos_Gerais</v>
      </c>
      <c r="S43" s="467" t="s">
        <v>998</v>
      </c>
      <c r="T43" s="467">
        <v>1135</v>
      </c>
      <c r="U43" s="496"/>
      <c r="V43" s="496"/>
      <c r="W43" s="496"/>
    </row>
    <row r="44" spans="1:23" ht="96" x14ac:dyDescent="0.2">
      <c r="A44" s="510">
        <f t="shared" si="0"/>
        <v>41</v>
      </c>
      <c r="B44" s="428">
        <v>44566</v>
      </c>
      <c r="C44" s="424">
        <v>44531</v>
      </c>
      <c r="D44" s="415" t="s">
        <v>271</v>
      </c>
      <c r="E44" s="415" t="s">
        <v>90</v>
      </c>
      <c r="F44" s="425">
        <v>3428.95</v>
      </c>
      <c r="G44" s="427" t="s">
        <v>849</v>
      </c>
      <c r="H44" s="415" t="s">
        <v>309</v>
      </c>
      <c r="I44" s="473" t="s">
        <v>850</v>
      </c>
      <c r="J44" s="415" t="s">
        <v>851</v>
      </c>
      <c r="K44" s="415" t="s">
        <v>830</v>
      </c>
      <c r="L44" s="415" t="s">
        <v>807</v>
      </c>
      <c r="M44" s="415" t="s">
        <v>848</v>
      </c>
      <c r="N44" s="414">
        <v>44564</v>
      </c>
      <c r="O44" s="414" t="s">
        <v>400</v>
      </c>
      <c r="P44" s="222">
        <f t="shared" si="1"/>
        <v>1</v>
      </c>
      <c r="Q44" s="222">
        <f t="shared" si="2"/>
        <v>0</v>
      </c>
      <c r="R44" s="532" t="str">
        <f t="shared" si="3"/>
        <v>Gastos_Gerais</v>
      </c>
      <c r="S44" s="467" t="s">
        <v>998</v>
      </c>
      <c r="T44" s="467">
        <v>1458</v>
      </c>
      <c r="U44" s="496"/>
      <c r="V44" s="496"/>
      <c r="W44" s="496"/>
    </row>
    <row r="45" spans="1:23" ht="84" x14ac:dyDescent="0.2">
      <c r="A45" s="510">
        <f t="shared" si="0"/>
        <v>42</v>
      </c>
      <c r="B45" s="428">
        <v>44566</v>
      </c>
      <c r="C45" s="424">
        <v>44531</v>
      </c>
      <c r="D45" s="415" t="s">
        <v>271</v>
      </c>
      <c r="E45" s="415" t="s">
        <v>90</v>
      </c>
      <c r="F45" s="425">
        <v>3762.82</v>
      </c>
      <c r="G45" s="427" t="s">
        <v>852</v>
      </c>
      <c r="H45" s="415" t="s">
        <v>309</v>
      </c>
      <c r="I45" s="473" t="s">
        <v>853</v>
      </c>
      <c r="J45" s="415" t="s">
        <v>854</v>
      </c>
      <c r="K45" s="415" t="s">
        <v>830</v>
      </c>
      <c r="L45" s="415" t="s">
        <v>807</v>
      </c>
      <c r="M45" s="415" t="s">
        <v>848</v>
      </c>
      <c r="N45" s="414">
        <v>44564</v>
      </c>
      <c r="O45" s="414" t="s">
        <v>400</v>
      </c>
      <c r="P45" s="222">
        <f t="shared" si="1"/>
        <v>1</v>
      </c>
      <c r="Q45" s="222">
        <f t="shared" si="2"/>
        <v>0</v>
      </c>
      <c r="R45" s="532" t="str">
        <f t="shared" si="3"/>
        <v>Gastos_Gerais</v>
      </c>
      <c r="S45" s="467" t="s">
        <v>998</v>
      </c>
      <c r="T45" s="467">
        <v>1137</v>
      </c>
      <c r="U45" s="496"/>
      <c r="V45" s="496"/>
      <c r="W45" s="496"/>
    </row>
    <row r="46" spans="1:23" ht="144" x14ac:dyDescent="0.2">
      <c r="A46" s="510">
        <f t="shared" si="0"/>
        <v>43</v>
      </c>
      <c r="B46" s="428">
        <v>44566</v>
      </c>
      <c r="C46" s="424">
        <v>44531</v>
      </c>
      <c r="D46" s="415" t="s">
        <v>271</v>
      </c>
      <c r="E46" s="415" t="s">
        <v>460</v>
      </c>
      <c r="F46" s="425">
        <v>2500</v>
      </c>
      <c r="G46" s="427" t="s">
        <v>855</v>
      </c>
      <c r="H46" s="415" t="s">
        <v>750</v>
      </c>
      <c r="I46" s="473" t="s">
        <v>856</v>
      </c>
      <c r="J46" s="415" t="s">
        <v>857</v>
      </c>
      <c r="K46" s="415" t="s">
        <v>830</v>
      </c>
      <c r="L46" s="415" t="s">
        <v>807</v>
      </c>
      <c r="M46" s="415">
        <v>135</v>
      </c>
      <c r="N46" s="414">
        <v>44564</v>
      </c>
      <c r="O46" s="414" t="s">
        <v>400</v>
      </c>
      <c r="P46" s="222">
        <f t="shared" si="1"/>
        <v>1</v>
      </c>
      <c r="Q46" s="222">
        <f t="shared" si="2"/>
        <v>0</v>
      </c>
      <c r="R46" s="532" t="str">
        <f t="shared" si="3"/>
        <v>Gastos_Gerais</v>
      </c>
      <c r="S46" s="467" t="s">
        <v>998</v>
      </c>
      <c r="T46" s="467">
        <v>1275</v>
      </c>
      <c r="U46" s="496"/>
      <c r="V46" s="496"/>
      <c r="W46" s="496"/>
    </row>
    <row r="47" spans="1:23" ht="48" x14ac:dyDescent="0.2">
      <c r="A47" s="510">
        <f t="shared" si="0"/>
        <v>44</v>
      </c>
      <c r="B47" s="428">
        <v>44566</v>
      </c>
      <c r="C47" s="424">
        <v>44531</v>
      </c>
      <c r="D47" s="415" t="s">
        <v>468</v>
      </c>
      <c r="E47" s="415" t="s">
        <v>468</v>
      </c>
      <c r="F47" s="425">
        <v>2500</v>
      </c>
      <c r="G47" s="427" t="s">
        <v>2355</v>
      </c>
      <c r="H47" s="415" t="s">
        <v>468</v>
      </c>
      <c r="I47" s="473" t="s">
        <v>2356</v>
      </c>
      <c r="J47" s="415" t="s">
        <v>1090</v>
      </c>
      <c r="K47" s="415" t="s">
        <v>830</v>
      </c>
      <c r="L47" s="415" t="s">
        <v>807</v>
      </c>
      <c r="M47" s="415">
        <v>11</v>
      </c>
      <c r="N47" s="414">
        <v>44564</v>
      </c>
      <c r="O47" s="414" t="s">
        <v>403</v>
      </c>
      <c r="P47" s="222">
        <f t="shared" si="1"/>
        <v>1</v>
      </c>
      <c r="Q47" s="222">
        <f t="shared" si="2"/>
        <v>0</v>
      </c>
      <c r="R47" s="532" t="str">
        <f t="shared" si="3"/>
        <v>Gastos_custeados_por_captação</v>
      </c>
      <c r="S47" s="467" t="s">
        <v>998</v>
      </c>
      <c r="T47" s="467">
        <v>1303</v>
      </c>
      <c r="U47" s="496"/>
      <c r="V47" s="496"/>
      <c r="W47" s="496"/>
    </row>
    <row r="48" spans="1:23" ht="48" x14ac:dyDescent="0.2">
      <c r="A48" s="510">
        <f t="shared" si="0"/>
        <v>45</v>
      </c>
      <c r="B48" s="428">
        <v>44566</v>
      </c>
      <c r="C48" s="424">
        <v>44531</v>
      </c>
      <c r="D48" s="415" t="s">
        <v>468</v>
      </c>
      <c r="E48" s="415" t="s">
        <v>468</v>
      </c>
      <c r="F48" s="425">
        <v>2125.92</v>
      </c>
      <c r="G48" s="427" t="s">
        <v>2357</v>
      </c>
      <c r="H48" s="415" t="s">
        <v>468</v>
      </c>
      <c r="I48" s="473" t="s">
        <v>2358</v>
      </c>
      <c r="J48" s="415" t="s">
        <v>1132</v>
      </c>
      <c r="K48" s="415" t="s">
        <v>830</v>
      </c>
      <c r="L48" s="415" t="s">
        <v>1341</v>
      </c>
      <c r="M48" s="415">
        <v>1514</v>
      </c>
      <c r="N48" s="414">
        <v>44564</v>
      </c>
      <c r="O48" s="414" t="s">
        <v>403</v>
      </c>
      <c r="P48" s="222">
        <f t="shared" si="1"/>
        <v>1</v>
      </c>
      <c r="Q48" s="222">
        <f t="shared" si="2"/>
        <v>0</v>
      </c>
      <c r="R48" s="532" t="str">
        <f t="shared" si="3"/>
        <v>Gastos_custeados_por_captação</v>
      </c>
      <c r="S48" s="467" t="s">
        <v>998</v>
      </c>
      <c r="T48" s="467">
        <v>1301</v>
      </c>
      <c r="U48" s="496"/>
      <c r="V48" s="496"/>
      <c r="W48" s="496"/>
    </row>
    <row r="49" spans="1:23" ht="36" x14ac:dyDescent="0.2">
      <c r="A49" s="510">
        <f t="shared" si="0"/>
        <v>46</v>
      </c>
      <c r="B49" s="428">
        <v>44566</v>
      </c>
      <c r="C49" s="424">
        <v>44531</v>
      </c>
      <c r="D49" s="415" t="s">
        <v>468</v>
      </c>
      <c r="E49" s="415" t="s">
        <v>468</v>
      </c>
      <c r="F49" s="425">
        <v>2075.92</v>
      </c>
      <c r="G49" s="427" t="s">
        <v>2400</v>
      </c>
      <c r="H49" s="415" t="s">
        <v>468</v>
      </c>
      <c r="I49" s="473" t="s">
        <v>2401</v>
      </c>
      <c r="J49" s="415" t="s">
        <v>2402</v>
      </c>
      <c r="K49" s="415" t="s">
        <v>830</v>
      </c>
      <c r="L49" s="415" t="s">
        <v>839</v>
      </c>
      <c r="M49" s="415">
        <v>1516</v>
      </c>
      <c r="N49" s="414">
        <v>44564</v>
      </c>
      <c r="O49" s="414" t="s">
        <v>408</v>
      </c>
      <c r="P49" s="222">
        <f t="shared" si="1"/>
        <v>1</v>
      </c>
      <c r="Q49" s="222">
        <f t="shared" si="2"/>
        <v>0</v>
      </c>
      <c r="R49" s="532" t="str">
        <f t="shared" si="3"/>
        <v>Gastos_custeados_por_captação</v>
      </c>
      <c r="S49" s="467" t="s">
        <v>998</v>
      </c>
      <c r="T49" s="467">
        <v>2203</v>
      </c>
      <c r="U49" s="496"/>
      <c r="V49" s="496"/>
      <c r="W49" s="496"/>
    </row>
    <row r="50" spans="1:23" ht="36" x14ac:dyDescent="0.2">
      <c r="A50" s="510">
        <f t="shared" si="0"/>
        <v>47</v>
      </c>
      <c r="B50" s="428">
        <v>44566</v>
      </c>
      <c r="C50" s="431">
        <v>44531</v>
      </c>
      <c r="D50" s="415" t="s">
        <v>468</v>
      </c>
      <c r="E50" s="415" t="s">
        <v>468</v>
      </c>
      <c r="F50" s="425">
        <v>2125.92</v>
      </c>
      <c r="G50" s="427" t="s">
        <v>2403</v>
      </c>
      <c r="H50" s="415" t="s">
        <v>468</v>
      </c>
      <c r="I50" s="473" t="s">
        <v>2404</v>
      </c>
      <c r="J50" s="415" t="s">
        <v>1014</v>
      </c>
      <c r="K50" s="415" t="s">
        <v>830</v>
      </c>
      <c r="L50" s="415" t="s">
        <v>839</v>
      </c>
      <c r="M50" s="415">
        <v>1515</v>
      </c>
      <c r="N50" s="414">
        <v>44564</v>
      </c>
      <c r="O50" s="414" t="s">
        <v>408</v>
      </c>
      <c r="P50" s="222">
        <f t="shared" si="1"/>
        <v>1</v>
      </c>
      <c r="Q50" s="222">
        <f t="shared" si="2"/>
        <v>0</v>
      </c>
      <c r="R50" s="532" t="str">
        <f t="shared" si="3"/>
        <v>Gastos_custeados_por_captação</v>
      </c>
      <c r="S50" s="467" t="s">
        <v>998</v>
      </c>
      <c r="T50" s="467">
        <v>1138</v>
      </c>
      <c r="U50" s="496"/>
      <c r="V50" s="496"/>
      <c r="W50" s="496"/>
    </row>
    <row r="51" spans="1:23" ht="60" x14ac:dyDescent="0.2">
      <c r="A51" s="510">
        <f t="shared" si="0"/>
        <v>48</v>
      </c>
      <c r="B51" s="428">
        <v>44566</v>
      </c>
      <c r="C51" s="431">
        <v>44531</v>
      </c>
      <c r="D51" s="415" t="s">
        <v>468</v>
      </c>
      <c r="E51" s="415" t="s">
        <v>468</v>
      </c>
      <c r="F51" s="541">
        <v>2075.92</v>
      </c>
      <c r="G51" s="399" t="s">
        <v>2484</v>
      </c>
      <c r="H51" s="415" t="s">
        <v>468</v>
      </c>
      <c r="I51" s="473" t="s">
        <v>2485</v>
      </c>
      <c r="J51" s="415" t="s">
        <v>2486</v>
      </c>
      <c r="K51" s="415" t="s">
        <v>830</v>
      </c>
      <c r="L51" s="415" t="s">
        <v>839</v>
      </c>
      <c r="M51" s="415">
        <v>1510</v>
      </c>
      <c r="N51" s="414">
        <v>44564</v>
      </c>
      <c r="O51" s="414" t="s">
        <v>401</v>
      </c>
      <c r="P51" s="222">
        <f t="shared" si="1"/>
        <v>1</v>
      </c>
      <c r="Q51" s="222">
        <f t="shared" si="2"/>
        <v>0</v>
      </c>
      <c r="R51" s="532" t="str">
        <f t="shared" si="3"/>
        <v>Gastos_custeados_por_captação</v>
      </c>
      <c r="S51" s="467" t="s">
        <v>998</v>
      </c>
      <c r="T51" s="467">
        <v>2201</v>
      </c>
      <c r="U51" s="496"/>
      <c r="V51" s="496"/>
      <c r="W51" s="496"/>
    </row>
    <row r="52" spans="1:23" ht="60" x14ac:dyDescent="0.2">
      <c r="A52" s="510">
        <f t="shared" si="0"/>
        <v>49</v>
      </c>
      <c r="B52" s="428">
        <v>44566</v>
      </c>
      <c r="C52" s="431">
        <v>44531</v>
      </c>
      <c r="D52" s="415" t="s">
        <v>468</v>
      </c>
      <c r="E52" s="415" t="s">
        <v>468</v>
      </c>
      <c r="F52" s="541">
        <v>2075.92</v>
      </c>
      <c r="G52" s="399" t="s">
        <v>2488</v>
      </c>
      <c r="H52" s="415" t="s">
        <v>468</v>
      </c>
      <c r="I52" s="473" t="s">
        <v>2489</v>
      </c>
      <c r="J52" s="415" t="s">
        <v>2490</v>
      </c>
      <c r="K52" s="415" t="s">
        <v>830</v>
      </c>
      <c r="L52" s="415" t="s">
        <v>839</v>
      </c>
      <c r="M52" s="415">
        <v>1511</v>
      </c>
      <c r="N52" s="414">
        <v>44564</v>
      </c>
      <c r="O52" s="414" t="s">
        <v>401</v>
      </c>
      <c r="P52" s="222">
        <f t="shared" si="1"/>
        <v>1</v>
      </c>
      <c r="Q52" s="222">
        <f t="shared" si="2"/>
        <v>0</v>
      </c>
      <c r="R52" s="532" t="str">
        <f t="shared" si="3"/>
        <v>Gastos_custeados_por_captação</v>
      </c>
      <c r="S52" s="467" t="s">
        <v>998</v>
      </c>
      <c r="T52" s="467">
        <v>2202</v>
      </c>
      <c r="U52" s="496"/>
      <c r="V52" s="496"/>
      <c r="W52" s="496"/>
    </row>
    <row r="53" spans="1:23" ht="72" x14ac:dyDescent="0.2">
      <c r="A53" s="510">
        <f t="shared" si="0"/>
        <v>50</v>
      </c>
      <c r="B53" s="428">
        <v>44566</v>
      </c>
      <c r="C53" s="431">
        <v>44531</v>
      </c>
      <c r="D53" s="415" t="s">
        <v>468</v>
      </c>
      <c r="E53" s="415" t="s">
        <v>468</v>
      </c>
      <c r="F53" s="542">
        <v>1260</v>
      </c>
      <c r="G53" s="399" t="s">
        <v>2590</v>
      </c>
      <c r="H53" s="415" t="s">
        <v>468</v>
      </c>
      <c r="I53" s="473" t="s">
        <v>2591</v>
      </c>
      <c r="J53" s="415" t="s">
        <v>1024</v>
      </c>
      <c r="K53" s="415" t="s">
        <v>830</v>
      </c>
      <c r="L53" s="415" t="s">
        <v>839</v>
      </c>
      <c r="M53" s="415">
        <v>1512</v>
      </c>
      <c r="N53" s="414">
        <v>44564</v>
      </c>
      <c r="O53" s="414" t="s">
        <v>402</v>
      </c>
      <c r="P53" s="222">
        <f t="shared" si="1"/>
        <v>1</v>
      </c>
      <c r="Q53" s="222">
        <f t="shared" si="2"/>
        <v>0</v>
      </c>
      <c r="R53" s="532" t="str">
        <f t="shared" si="3"/>
        <v>Gastos_custeados_por_captação</v>
      </c>
      <c r="S53" s="467" t="s">
        <v>998</v>
      </c>
      <c r="T53" s="467">
        <v>1350</v>
      </c>
      <c r="U53" s="496"/>
      <c r="V53" s="496"/>
      <c r="W53" s="496"/>
    </row>
    <row r="54" spans="1:23" ht="67.5" customHeight="1" x14ac:dyDescent="0.2">
      <c r="A54" s="510">
        <f t="shared" si="0"/>
        <v>51</v>
      </c>
      <c r="B54" s="428">
        <v>44566</v>
      </c>
      <c r="C54" s="431">
        <v>44531</v>
      </c>
      <c r="D54" s="415" t="s">
        <v>468</v>
      </c>
      <c r="E54" s="415" t="s">
        <v>468</v>
      </c>
      <c r="F54" s="542">
        <v>19404</v>
      </c>
      <c r="G54" s="399" t="s">
        <v>2592</v>
      </c>
      <c r="H54" s="415" t="s">
        <v>468</v>
      </c>
      <c r="I54" s="473" t="s">
        <v>2141</v>
      </c>
      <c r="J54" s="415" t="s">
        <v>1072</v>
      </c>
      <c r="K54" s="415" t="s">
        <v>830</v>
      </c>
      <c r="L54" s="415" t="s">
        <v>807</v>
      </c>
      <c r="M54" s="415">
        <v>201</v>
      </c>
      <c r="N54" s="414">
        <v>44564</v>
      </c>
      <c r="O54" s="414" t="s">
        <v>402</v>
      </c>
      <c r="P54" s="222">
        <f t="shared" si="1"/>
        <v>1</v>
      </c>
      <c r="Q54" s="222">
        <f t="shared" si="2"/>
        <v>0</v>
      </c>
      <c r="R54" s="532" t="str">
        <f t="shared" si="3"/>
        <v>Gastos_custeados_por_captação</v>
      </c>
      <c r="S54" s="467" t="s">
        <v>998</v>
      </c>
      <c r="T54" s="467">
        <v>2180</v>
      </c>
      <c r="U54" s="496"/>
      <c r="V54" s="496"/>
      <c r="W54" s="496"/>
    </row>
    <row r="55" spans="1:23" ht="57" customHeight="1" x14ac:dyDescent="0.2">
      <c r="A55" s="510">
        <f t="shared" si="0"/>
        <v>52</v>
      </c>
      <c r="B55" s="428">
        <v>44566</v>
      </c>
      <c r="C55" s="431">
        <v>44531</v>
      </c>
      <c r="D55" s="415" t="s">
        <v>468</v>
      </c>
      <c r="E55" s="415" t="s">
        <v>468</v>
      </c>
      <c r="F55" s="459">
        <v>3000</v>
      </c>
      <c r="G55" s="399" t="s">
        <v>2711</v>
      </c>
      <c r="H55" s="415" t="s">
        <v>468</v>
      </c>
      <c r="I55" s="460" t="s">
        <v>2707</v>
      </c>
      <c r="J55" s="468" t="s">
        <v>1085</v>
      </c>
      <c r="K55" s="415" t="s">
        <v>830</v>
      </c>
      <c r="L55" s="415" t="s">
        <v>807</v>
      </c>
      <c r="M55" s="464">
        <v>20221</v>
      </c>
      <c r="N55" s="469">
        <v>44564</v>
      </c>
      <c r="O55" s="414" t="s">
        <v>407</v>
      </c>
      <c r="P55" s="222">
        <f t="shared" si="1"/>
        <v>1</v>
      </c>
      <c r="Q55" s="222">
        <f t="shared" si="2"/>
        <v>0</v>
      </c>
      <c r="R55" s="532" t="str">
        <f t="shared" si="3"/>
        <v>Gastos_custeados_por_captação</v>
      </c>
      <c r="S55" s="467" t="s">
        <v>998</v>
      </c>
      <c r="T55" s="467">
        <v>1300</v>
      </c>
      <c r="U55" s="496"/>
      <c r="V55" s="496"/>
      <c r="W55" s="496"/>
    </row>
    <row r="56" spans="1:23" ht="57" customHeight="1" x14ac:dyDescent="0.2">
      <c r="A56" s="510">
        <f t="shared" si="0"/>
        <v>53</v>
      </c>
      <c r="B56" s="428">
        <v>44566</v>
      </c>
      <c r="C56" s="431">
        <v>44531</v>
      </c>
      <c r="D56" s="415" t="s">
        <v>468</v>
      </c>
      <c r="E56" s="415" t="s">
        <v>468</v>
      </c>
      <c r="F56" s="459">
        <v>2125.92</v>
      </c>
      <c r="G56" s="399" t="s">
        <v>2712</v>
      </c>
      <c r="H56" s="415" t="s">
        <v>468</v>
      </c>
      <c r="I56" s="460" t="s">
        <v>2708</v>
      </c>
      <c r="J56" s="468" t="s">
        <v>1086</v>
      </c>
      <c r="K56" s="415" t="s">
        <v>830</v>
      </c>
      <c r="L56" s="464" t="s">
        <v>1341</v>
      </c>
      <c r="M56" s="464">
        <v>1513</v>
      </c>
      <c r="N56" s="469">
        <v>44564</v>
      </c>
      <c r="O56" s="414" t="s">
        <v>407</v>
      </c>
      <c r="P56" s="222">
        <f t="shared" si="1"/>
        <v>1</v>
      </c>
      <c r="Q56" s="222">
        <f t="shared" si="2"/>
        <v>0</v>
      </c>
      <c r="R56" s="532" t="str">
        <f t="shared" si="3"/>
        <v>Gastos_custeados_por_captação</v>
      </c>
      <c r="S56" s="467" t="s">
        <v>998</v>
      </c>
      <c r="T56" s="467">
        <v>1302</v>
      </c>
      <c r="U56" s="496"/>
      <c r="V56" s="496"/>
      <c r="W56" s="496"/>
    </row>
    <row r="57" spans="1:23" ht="57" customHeight="1" x14ac:dyDescent="0.2">
      <c r="A57" s="510">
        <f t="shared" si="0"/>
        <v>54</v>
      </c>
      <c r="B57" s="428">
        <v>44566</v>
      </c>
      <c r="C57" s="424">
        <v>44531</v>
      </c>
      <c r="D57" s="415" t="s">
        <v>271</v>
      </c>
      <c r="E57" s="415" t="s">
        <v>59</v>
      </c>
      <c r="F57" s="425">
        <v>4692.5</v>
      </c>
      <c r="G57" s="427" t="s">
        <v>858</v>
      </c>
      <c r="H57" s="415" t="s">
        <v>309</v>
      </c>
      <c r="I57" s="473" t="s">
        <v>859</v>
      </c>
      <c r="J57" s="415" t="s">
        <v>860</v>
      </c>
      <c r="K57" s="415" t="s">
        <v>830</v>
      </c>
      <c r="L57" s="415" t="s">
        <v>807</v>
      </c>
      <c r="M57" s="415" t="s">
        <v>861</v>
      </c>
      <c r="N57" s="414">
        <v>44544</v>
      </c>
      <c r="O57" s="414" t="s">
        <v>400</v>
      </c>
      <c r="P57" s="222">
        <f t="shared" si="1"/>
        <v>1</v>
      </c>
      <c r="Q57" s="222">
        <f t="shared" si="2"/>
        <v>0</v>
      </c>
      <c r="R57" s="532" t="str">
        <f t="shared" si="3"/>
        <v>Gastos_Gerais</v>
      </c>
      <c r="S57" s="467" t="s">
        <v>1000</v>
      </c>
      <c r="T57" s="467">
        <v>1114</v>
      </c>
      <c r="U57" s="496"/>
      <c r="V57" s="496"/>
      <c r="W57" s="496"/>
    </row>
    <row r="58" spans="1:23" ht="57" customHeight="1" x14ac:dyDescent="0.2">
      <c r="A58" s="510">
        <f t="shared" si="0"/>
        <v>55</v>
      </c>
      <c r="B58" s="428">
        <v>44566</v>
      </c>
      <c r="C58" s="431">
        <v>44531</v>
      </c>
      <c r="D58" s="415" t="s">
        <v>468</v>
      </c>
      <c r="E58" s="415" t="s">
        <v>468</v>
      </c>
      <c r="F58" s="459">
        <v>99.15</v>
      </c>
      <c r="G58" s="399" t="s">
        <v>2699</v>
      </c>
      <c r="H58" s="415" t="s">
        <v>468</v>
      </c>
      <c r="I58" s="460" t="s">
        <v>2706</v>
      </c>
      <c r="J58" s="468" t="s">
        <v>2709</v>
      </c>
      <c r="K58" s="415" t="s">
        <v>830</v>
      </c>
      <c r="L58" s="415" t="s">
        <v>807</v>
      </c>
      <c r="M58" s="464">
        <v>1485</v>
      </c>
      <c r="N58" s="469">
        <v>44536</v>
      </c>
      <c r="O58" s="414" t="s">
        <v>407</v>
      </c>
      <c r="P58" s="222">
        <f t="shared" si="1"/>
        <v>1</v>
      </c>
      <c r="Q58" s="222">
        <f t="shared" si="2"/>
        <v>0</v>
      </c>
      <c r="R58" s="532" t="str">
        <f t="shared" si="3"/>
        <v>Gastos_custeados_por_captação</v>
      </c>
      <c r="S58" s="467" t="s">
        <v>999</v>
      </c>
      <c r="T58" s="467">
        <v>2564</v>
      </c>
      <c r="U58" s="496"/>
      <c r="V58" s="496"/>
      <c r="W58" s="496"/>
    </row>
    <row r="59" spans="1:23" ht="57" customHeight="1" x14ac:dyDescent="0.2">
      <c r="A59" s="510">
        <f t="shared" si="0"/>
        <v>56</v>
      </c>
      <c r="B59" s="428">
        <v>44566</v>
      </c>
      <c r="C59" s="424">
        <v>44531</v>
      </c>
      <c r="D59" s="415" t="s">
        <v>271</v>
      </c>
      <c r="E59" s="415" t="s">
        <v>297</v>
      </c>
      <c r="F59" s="425">
        <v>19905.97</v>
      </c>
      <c r="G59" s="427" t="s">
        <v>843</v>
      </c>
      <c r="H59" s="415" t="s">
        <v>750</v>
      </c>
      <c r="I59" s="473" t="s">
        <v>774</v>
      </c>
      <c r="J59" s="415" t="s">
        <v>844</v>
      </c>
      <c r="K59" s="415" t="s">
        <v>812</v>
      </c>
      <c r="L59" s="415" t="s">
        <v>310</v>
      </c>
      <c r="M59" s="415" t="s">
        <v>310</v>
      </c>
      <c r="N59" s="414">
        <v>44201</v>
      </c>
      <c r="O59" s="414" t="s">
        <v>400</v>
      </c>
      <c r="P59" s="222">
        <f t="shared" si="1"/>
        <v>1</v>
      </c>
      <c r="Q59" s="222">
        <f t="shared" si="2"/>
        <v>0</v>
      </c>
      <c r="R59" s="532" t="str">
        <f t="shared" si="3"/>
        <v>Gastos_Gerais</v>
      </c>
      <c r="S59" s="467" t="s">
        <v>310</v>
      </c>
      <c r="T59" s="467" t="s">
        <v>310</v>
      </c>
      <c r="U59" s="496"/>
      <c r="V59" s="496"/>
      <c r="W59" s="496"/>
    </row>
    <row r="60" spans="1:23" ht="60" x14ac:dyDescent="0.2">
      <c r="A60" s="510">
        <f t="shared" si="0"/>
        <v>57</v>
      </c>
      <c r="B60" s="428">
        <v>44567</v>
      </c>
      <c r="C60" s="424">
        <v>44531</v>
      </c>
      <c r="D60" s="415" t="s">
        <v>271</v>
      </c>
      <c r="E60" s="415" t="s">
        <v>186</v>
      </c>
      <c r="F60" s="425">
        <v>-154.06</v>
      </c>
      <c r="G60" s="427" t="s">
        <v>887</v>
      </c>
      <c r="H60" s="415" t="s">
        <v>309</v>
      </c>
      <c r="I60" s="473" t="s">
        <v>795</v>
      </c>
      <c r="J60" s="415" t="s">
        <v>796</v>
      </c>
      <c r="K60" s="415" t="s">
        <v>797</v>
      </c>
      <c r="L60" s="415" t="s">
        <v>798</v>
      </c>
      <c r="M60" s="415" t="s">
        <v>310</v>
      </c>
      <c r="N60" s="414">
        <v>44567</v>
      </c>
      <c r="O60" s="414" t="s">
        <v>400</v>
      </c>
      <c r="P60" s="222">
        <f t="shared" si="1"/>
        <v>1</v>
      </c>
      <c r="Q60" s="222">
        <f t="shared" si="2"/>
        <v>0</v>
      </c>
      <c r="R60" s="532" t="str">
        <f t="shared" si="3"/>
        <v>Gastos_Gerais</v>
      </c>
      <c r="S60" s="467" t="s">
        <v>310</v>
      </c>
      <c r="T60" s="467" t="s">
        <v>310</v>
      </c>
      <c r="U60" s="496"/>
      <c r="V60" s="496"/>
      <c r="W60" s="496"/>
    </row>
    <row r="61" spans="1:23" ht="60" x14ac:dyDescent="0.2">
      <c r="A61" s="510">
        <f t="shared" si="0"/>
        <v>58</v>
      </c>
      <c r="B61" s="465">
        <v>44567</v>
      </c>
      <c r="C61" s="466">
        <v>44531</v>
      </c>
      <c r="D61" s="415" t="s">
        <v>271</v>
      </c>
      <c r="E61" s="415" t="s">
        <v>186</v>
      </c>
      <c r="F61" s="435">
        <v>-188.04</v>
      </c>
      <c r="G61" s="437" t="s">
        <v>887</v>
      </c>
      <c r="H61" s="434" t="s">
        <v>309</v>
      </c>
      <c r="I61" s="474" t="s">
        <v>795</v>
      </c>
      <c r="J61" s="434" t="s">
        <v>796</v>
      </c>
      <c r="K61" s="434" t="s">
        <v>797</v>
      </c>
      <c r="L61" s="434" t="s">
        <v>798</v>
      </c>
      <c r="M61" s="436" t="s">
        <v>310</v>
      </c>
      <c r="N61" s="455">
        <v>44567</v>
      </c>
      <c r="O61" s="414" t="s">
        <v>400</v>
      </c>
      <c r="P61" s="222">
        <f t="shared" si="1"/>
        <v>1</v>
      </c>
      <c r="Q61" s="222">
        <f t="shared" si="2"/>
        <v>0</v>
      </c>
      <c r="R61" s="532" t="str">
        <f t="shared" si="3"/>
        <v>Gastos_Gerais</v>
      </c>
      <c r="S61" s="467" t="s">
        <v>310</v>
      </c>
      <c r="T61" s="467" t="s">
        <v>310</v>
      </c>
      <c r="U61" s="496"/>
      <c r="V61" s="496"/>
      <c r="W61" s="496"/>
    </row>
    <row r="62" spans="1:23" ht="72" x14ac:dyDescent="0.2">
      <c r="A62" s="510">
        <f t="shared" si="0"/>
        <v>59</v>
      </c>
      <c r="B62" s="465">
        <v>44567</v>
      </c>
      <c r="C62" s="466">
        <v>44531</v>
      </c>
      <c r="D62" s="415" t="s">
        <v>271</v>
      </c>
      <c r="E62" s="415" t="s">
        <v>458</v>
      </c>
      <c r="F62" s="435">
        <v>-3005.03</v>
      </c>
      <c r="G62" s="437" t="s">
        <v>888</v>
      </c>
      <c r="H62" s="434" t="s">
        <v>751</v>
      </c>
      <c r="I62" s="474" t="s">
        <v>795</v>
      </c>
      <c r="J62" s="434" t="s">
        <v>796</v>
      </c>
      <c r="K62" s="434" t="s">
        <v>797</v>
      </c>
      <c r="L62" s="434" t="s">
        <v>798</v>
      </c>
      <c r="M62" s="436" t="s">
        <v>310</v>
      </c>
      <c r="N62" s="455">
        <v>44567</v>
      </c>
      <c r="O62" s="414" t="s">
        <v>400</v>
      </c>
      <c r="P62" s="222">
        <f t="shared" si="1"/>
        <v>1</v>
      </c>
      <c r="Q62" s="222">
        <f t="shared" si="2"/>
        <v>0</v>
      </c>
      <c r="R62" s="532" t="str">
        <f t="shared" si="3"/>
        <v>Gastos_Gerais</v>
      </c>
      <c r="S62" s="467" t="s">
        <v>310</v>
      </c>
      <c r="T62" s="467" t="s">
        <v>310</v>
      </c>
      <c r="U62" s="496"/>
      <c r="V62" s="496"/>
      <c r="W62" s="496"/>
    </row>
    <row r="63" spans="1:23" ht="36" x14ac:dyDescent="0.2">
      <c r="A63" s="510">
        <f t="shared" si="0"/>
        <v>60</v>
      </c>
      <c r="B63" s="428">
        <v>44567</v>
      </c>
      <c r="C63" s="424">
        <v>44562</v>
      </c>
      <c r="D63" s="415" t="s">
        <v>271</v>
      </c>
      <c r="E63" s="415" t="s">
        <v>71</v>
      </c>
      <c r="F63" s="425">
        <v>10.45</v>
      </c>
      <c r="G63" s="427" t="s">
        <v>897</v>
      </c>
      <c r="H63" s="415" t="s">
        <v>757</v>
      </c>
      <c r="I63" s="473" t="s">
        <v>881</v>
      </c>
      <c r="J63" s="415" t="s">
        <v>882</v>
      </c>
      <c r="K63" s="415" t="s">
        <v>883</v>
      </c>
      <c r="L63" s="415" t="s">
        <v>798</v>
      </c>
      <c r="M63" s="415" t="s">
        <v>310</v>
      </c>
      <c r="N63" s="414">
        <v>44566</v>
      </c>
      <c r="O63" s="414" t="s">
        <v>400</v>
      </c>
      <c r="P63" s="222">
        <f t="shared" si="1"/>
        <v>1</v>
      </c>
      <c r="Q63" s="222">
        <f t="shared" si="2"/>
        <v>1</v>
      </c>
      <c r="R63" s="532" t="str">
        <f t="shared" si="3"/>
        <v>Gastos_Gerais</v>
      </c>
      <c r="S63" s="467" t="s">
        <v>310</v>
      </c>
      <c r="T63" s="467" t="s">
        <v>310</v>
      </c>
      <c r="U63" s="496"/>
      <c r="V63" s="496"/>
      <c r="W63" s="496"/>
    </row>
    <row r="64" spans="1:23" ht="36" x14ac:dyDescent="0.2">
      <c r="A64" s="510">
        <f t="shared" si="0"/>
        <v>61</v>
      </c>
      <c r="B64" s="428">
        <v>44567</v>
      </c>
      <c r="C64" s="424">
        <v>44562</v>
      </c>
      <c r="D64" s="415" t="s">
        <v>271</v>
      </c>
      <c r="E64" s="415" t="s">
        <v>71</v>
      </c>
      <c r="F64" s="425">
        <v>10.45</v>
      </c>
      <c r="G64" s="427" t="s">
        <v>898</v>
      </c>
      <c r="H64" s="415" t="s">
        <v>790</v>
      </c>
      <c r="I64" s="473" t="s">
        <v>881</v>
      </c>
      <c r="J64" s="415" t="s">
        <v>882</v>
      </c>
      <c r="K64" s="415" t="s">
        <v>883</v>
      </c>
      <c r="L64" s="415" t="s">
        <v>798</v>
      </c>
      <c r="M64" s="415" t="s">
        <v>310</v>
      </c>
      <c r="N64" s="414">
        <v>44566</v>
      </c>
      <c r="O64" s="414" t="s">
        <v>400</v>
      </c>
      <c r="P64" s="222">
        <f t="shared" si="1"/>
        <v>1</v>
      </c>
      <c r="Q64" s="222">
        <f t="shared" si="2"/>
        <v>1</v>
      </c>
      <c r="R64" s="532" t="str">
        <f t="shared" si="3"/>
        <v>Gastos_Gerais</v>
      </c>
      <c r="S64" s="467" t="s">
        <v>310</v>
      </c>
      <c r="T64" s="467" t="s">
        <v>310</v>
      </c>
      <c r="U64" s="496"/>
      <c r="V64" s="496"/>
      <c r="W64" s="496"/>
    </row>
    <row r="65" spans="1:23" ht="48" x14ac:dyDescent="0.2">
      <c r="A65" s="510">
        <f t="shared" si="0"/>
        <v>62</v>
      </c>
      <c r="B65" s="428">
        <v>44567</v>
      </c>
      <c r="C65" s="431">
        <v>44531</v>
      </c>
      <c r="D65" s="415" t="s">
        <v>468</v>
      </c>
      <c r="E65" s="415" t="s">
        <v>468</v>
      </c>
      <c r="F65" s="425">
        <v>1000</v>
      </c>
      <c r="G65" s="427" t="s">
        <v>690</v>
      </c>
      <c r="H65" s="415" t="s">
        <v>468</v>
      </c>
      <c r="I65" s="473" t="s">
        <v>2406</v>
      </c>
      <c r="J65" s="415" t="s">
        <v>1121</v>
      </c>
      <c r="K65" s="415" t="s">
        <v>830</v>
      </c>
      <c r="L65" s="415" t="s">
        <v>807</v>
      </c>
      <c r="M65" s="415" t="s">
        <v>1786</v>
      </c>
      <c r="N65" s="414">
        <v>44566</v>
      </c>
      <c r="O65" s="414" t="s">
        <v>408</v>
      </c>
      <c r="P65" s="222">
        <f t="shared" si="1"/>
        <v>1</v>
      </c>
      <c r="Q65" s="222">
        <f t="shared" si="2"/>
        <v>0</v>
      </c>
      <c r="R65" s="532" t="str">
        <f t="shared" si="3"/>
        <v>Gastos_custeados_por_captação</v>
      </c>
      <c r="S65" s="467" t="s">
        <v>998</v>
      </c>
      <c r="T65" s="467">
        <v>1648</v>
      </c>
      <c r="U65" s="496"/>
      <c r="V65" s="496"/>
      <c r="W65" s="496"/>
    </row>
    <row r="66" spans="1:23" ht="72" x14ac:dyDescent="0.2">
      <c r="A66" s="510">
        <f t="shared" si="0"/>
        <v>63</v>
      </c>
      <c r="B66" s="428">
        <v>44567</v>
      </c>
      <c r="C66" s="431">
        <v>44531</v>
      </c>
      <c r="D66" s="415" t="s">
        <v>468</v>
      </c>
      <c r="E66" s="415" t="s">
        <v>468</v>
      </c>
      <c r="F66" s="459">
        <v>4698</v>
      </c>
      <c r="G66" s="399" t="s">
        <v>2718</v>
      </c>
      <c r="H66" s="415" t="s">
        <v>468</v>
      </c>
      <c r="I66" s="460" t="s">
        <v>2715</v>
      </c>
      <c r="J66" s="468" t="s">
        <v>873</v>
      </c>
      <c r="K66" s="415" t="s">
        <v>830</v>
      </c>
      <c r="L66" s="415" t="s">
        <v>807</v>
      </c>
      <c r="M66" s="464">
        <v>20222</v>
      </c>
      <c r="N66" s="469">
        <v>44566</v>
      </c>
      <c r="O66" s="414" t="s">
        <v>407</v>
      </c>
      <c r="P66" s="222">
        <f t="shared" si="1"/>
        <v>1</v>
      </c>
      <c r="Q66" s="222">
        <f t="shared" si="2"/>
        <v>0</v>
      </c>
      <c r="R66" s="532" t="str">
        <f t="shared" si="3"/>
        <v>Gastos_custeados_por_captação</v>
      </c>
      <c r="S66" s="467" t="s">
        <v>998</v>
      </c>
      <c r="T66" s="467">
        <v>2681</v>
      </c>
      <c r="U66" s="496"/>
      <c r="V66" s="496"/>
      <c r="W66" s="496"/>
    </row>
    <row r="67" spans="1:23" ht="96" x14ac:dyDescent="0.2">
      <c r="A67" s="510">
        <f t="shared" si="0"/>
        <v>64</v>
      </c>
      <c r="B67" s="428">
        <v>44567</v>
      </c>
      <c r="C67" s="424">
        <v>44440</v>
      </c>
      <c r="D67" s="415" t="s">
        <v>271</v>
      </c>
      <c r="E67" s="415" t="s">
        <v>456</v>
      </c>
      <c r="F67" s="425">
        <v>700</v>
      </c>
      <c r="G67" s="427" t="s">
        <v>894</v>
      </c>
      <c r="H67" s="415" t="s">
        <v>790</v>
      </c>
      <c r="I67" s="473" t="s">
        <v>895</v>
      </c>
      <c r="J67" s="415" t="s">
        <v>896</v>
      </c>
      <c r="K67" s="415" t="s">
        <v>830</v>
      </c>
      <c r="L67" s="415" t="s">
        <v>807</v>
      </c>
      <c r="M67" s="415" t="s">
        <v>848</v>
      </c>
      <c r="N67" s="414">
        <v>44565</v>
      </c>
      <c r="O67" s="414" t="s">
        <v>400</v>
      </c>
      <c r="P67" s="222">
        <f t="shared" si="1"/>
        <v>1</v>
      </c>
      <c r="Q67" s="222">
        <f t="shared" si="2"/>
        <v>-3</v>
      </c>
      <c r="R67" s="532" t="str">
        <f t="shared" si="3"/>
        <v>Gastos_Gerais</v>
      </c>
      <c r="S67" s="467" t="s">
        <v>998</v>
      </c>
      <c r="T67" s="467">
        <v>1935</v>
      </c>
      <c r="U67" s="496"/>
      <c r="V67" s="496"/>
      <c r="W67" s="496"/>
    </row>
    <row r="68" spans="1:23" ht="72" x14ac:dyDescent="0.2">
      <c r="A68" s="510">
        <f t="shared" ref="A68:A131" si="4">IF(B68="","",ROW()-ROW($A$3))</f>
        <v>65</v>
      </c>
      <c r="B68" s="428">
        <v>44567</v>
      </c>
      <c r="C68" s="431">
        <v>44531</v>
      </c>
      <c r="D68" s="415" t="s">
        <v>468</v>
      </c>
      <c r="E68" s="415" t="s">
        <v>468</v>
      </c>
      <c r="F68" s="425">
        <v>8000</v>
      </c>
      <c r="G68" s="427" t="s">
        <v>2595</v>
      </c>
      <c r="H68" s="415" t="s">
        <v>468</v>
      </c>
      <c r="I68" s="473" t="s">
        <v>2593</v>
      </c>
      <c r="J68" s="415" t="s">
        <v>2594</v>
      </c>
      <c r="K68" s="415" t="s">
        <v>830</v>
      </c>
      <c r="L68" s="415" t="s">
        <v>1305</v>
      </c>
      <c r="M68" s="415" t="s">
        <v>310</v>
      </c>
      <c r="N68" s="414">
        <v>44565</v>
      </c>
      <c r="O68" s="414" t="s">
        <v>402</v>
      </c>
      <c r="P68" s="222">
        <f t="shared" ref="P68:P131" si="5">IF(B68=0,0,IF(YEAR(B68)=$Q$1,MONTH(B68)-$P$1+1,(YEAR(B68)-$Q$1)*12-$P$1+1+MONTH(B68)))</f>
        <v>1</v>
      </c>
      <c r="Q68" s="222">
        <f t="shared" ref="Q68:Q131" si="6">IF(C68=0,0,IF(YEAR(C68)=$Q$1,MONTH(C68)-$P$1+1,(YEAR(C68)-$Q$1)*12-$P$1+1+MONTH(C68)))</f>
        <v>0</v>
      </c>
      <c r="R68" s="532" t="str">
        <f t="shared" ref="R68:R131" si="7">SUBSTITUTE(D68," ","_")</f>
        <v>Gastos_custeados_por_captação</v>
      </c>
      <c r="S68" s="467" t="s">
        <v>998</v>
      </c>
      <c r="T68" s="467">
        <v>2134</v>
      </c>
      <c r="U68" s="496"/>
      <c r="V68" s="496"/>
      <c r="W68" s="496"/>
    </row>
    <row r="69" spans="1:23" ht="72" x14ac:dyDescent="0.2">
      <c r="A69" s="510">
        <f t="shared" si="4"/>
        <v>66</v>
      </c>
      <c r="B69" s="428">
        <v>44567</v>
      </c>
      <c r="C69" s="431">
        <v>44531</v>
      </c>
      <c r="D69" s="415" t="s">
        <v>468</v>
      </c>
      <c r="E69" s="415" t="s">
        <v>468</v>
      </c>
      <c r="F69" s="459">
        <v>2037.26</v>
      </c>
      <c r="G69" s="399" t="s">
        <v>2717</v>
      </c>
      <c r="H69" s="415" t="s">
        <v>468</v>
      </c>
      <c r="I69" s="460" t="s">
        <v>2716</v>
      </c>
      <c r="J69" s="468" t="s">
        <v>1104</v>
      </c>
      <c r="K69" s="415" t="s">
        <v>830</v>
      </c>
      <c r="L69" s="415" t="s">
        <v>839</v>
      </c>
      <c r="M69" s="464">
        <v>1522</v>
      </c>
      <c r="N69" s="469">
        <v>44565</v>
      </c>
      <c r="O69" s="414" t="s">
        <v>407</v>
      </c>
      <c r="P69" s="222">
        <f t="shared" si="5"/>
        <v>1</v>
      </c>
      <c r="Q69" s="222">
        <f t="shared" si="6"/>
        <v>0</v>
      </c>
      <c r="R69" s="532" t="str">
        <f t="shared" si="7"/>
        <v>Gastos_custeados_por_captação</v>
      </c>
      <c r="S69" s="467" t="s">
        <v>998</v>
      </c>
      <c r="T69" s="467">
        <v>2643</v>
      </c>
      <c r="U69" s="496"/>
      <c r="V69" s="496"/>
      <c r="W69" s="496"/>
    </row>
    <row r="70" spans="1:23" ht="156" x14ac:dyDescent="0.2">
      <c r="A70" s="510">
        <f t="shared" si="4"/>
        <v>67</v>
      </c>
      <c r="B70" s="428">
        <v>44567</v>
      </c>
      <c r="C70" s="424">
        <v>44531</v>
      </c>
      <c r="D70" s="415" t="s">
        <v>271</v>
      </c>
      <c r="E70" s="415" t="s">
        <v>186</v>
      </c>
      <c r="F70" s="425">
        <v>712</v>
      </c>
      <c r="G70" s="427" t="s">
        <v>545</v>
      </c>
      <c r="H70" s="415" t="s">
        <v>309</v>
      </c>
      <c r="I70" s="473" t="s">
        <v>889</v>
      </c>
      <c r="J70" s="415" t="s">
        <v>890</v>
      </c>
      <c r="K70" s="415" t="s">
        <v>812</v>
      </c>
      <c r="L70" s="415" t="s">
        <v>807</v>
      </c>
      <c r="M70" s="415">
        <v>2116</v>
      </c>
      <c r="N70" s="414">
        <v>44557</v>
      </c>
      <c r="O70" s="414" t="s">
        <v>400</v>
      </c>
      <c r="P70" s="222">
        <f t="shared" si="5"/>
        <v>1</v>
      </c>
      <c r="Q70" s="222">
        <f t="shared" si="6"/>
        <v>0</v>
      </c>
      <c r="R70" s="532" t="str">
        <f t="shared" si="7"/>
        <v>Gastos_Gerais</v>
      </c>
      <c r="S70" s="467" t="s">
        <v>1000</v>
      </c>
      <c r="T70" s="467">
        <v>1873</v>
      </c>
      <c r="U70" s="496"/>
      <c r="V70" s="496"/>
      <c r="W70" s="496"/>
    </row>
    <row r="71" spans="1:23" ht="156" x14ac:dyDescent="0.2">
      <c r="A71" s="510">
        <f t="shared" si="4"/>
        <v>68</v>
      </c>
      <c r="B71" s="428">
        <v>44567</v>
      </c>
      <c r="C71" s="424">
        <v>44531</v>
      </c>
      <c r="D71" s="415" t="s">
        <v>271</v>
      </c>
      <c r="E71" s="415" t="s">
        <v>186</v>
      </c>
      <c r="F71" s="425">
        <v>556.21</v>
      </c>
      <c r="G71" s="427" t="s">
        <v>545</v>
      </c>
      <c r="H71" s="415" t="s">
        <v>309</v>
      </c>
      <c r="I71" s="473" t="s">
        <v>889</v>
      </c>
      <c r="J71" s="415" t="s">
        <v>890</v>
      </c>
      <c r="K71" s="415" t="s">
        <v>812</v>
      </c>
      <c r="L71" s="415" t="s">
        <v>807</v>
      </c>
      <c r="M71" s="415">
        <v>2138</v>
      </c>
      <c r="N71" s="414">
        <v>44557</v>
      </c>
      <c r="O71" s="414" t="s">
        <v>400</v>
      </c>
      <c r="P71" s="222">
        <f t="shared" si="5"/>
        <v>1</v>
      </c>
      <c r="Q71" s="222">
        <f t="shared" si="6"/>
        <v>0</v>
      </c>
      <c r="R71" s="532" t="str">
        <f t="shared" si="7"/>
        <v>Gastos_Gerais</v>
      </c>
      <c r="S71" s="467" t="s">
        <v>1000</v>
      </c>
      <c r="T71" s="467">
        <v>1873</v>
      </c>
      <c r="U71" s="496"/>
      <c r="V71" s="496"/>
      <c r="W71" s="496"/>
    </row>
    <row r="72" spans="1:23" ht="72" x14ac:dyDescent="0.2">
      <c r="A72" s="510">
        <f t="shared" si="4"/>
        <v>69</v>
      </c>
      <c r="B72" s="428">
        <v>44567</v>
      </c>
      <c r="C72" s="431">
        <v>44531</v>
      </c>
      <c r="D72" s="415" t="s">
        <v>468</v>
      </c>
      <c r="E72" s="415" t="s">
        <v>468</v>
      </c>
      <c r="F72" s="459">
        <v>375</v>
      </c>
      <c r="G72" s="399" t="s">
        <v>2713</v>
      </c>
      <c r="H72" s="415" t="s">
        <v>468</v>
      </c>
      <c r="I72" s="460" t="s">
        <v>2714</v>
      </c>
      <c r="J72" s="468" t="s">
        <v>1042</v>
      </c>
      <c r="K72" s="415" t="s">
        <v>830</v>
      </c>
      <c r="L72" s="415" t="s">
        <v>807</v>
      </c>
      <c r="M72" s="464">
        <v>7773</v>
      </c>
      <c r="N72" s="469">
        <v>44553</v>
      </c>
      <c r="O72" s="414" t="s">
        <v>407</v>
      </c>
      <c r="P72" s="222">
        <f t="shared" si="5"/>
        <v>1</v>
      </c>
      <c r="Q72" s="222">
        <f t="shared" si="6"/>
        <v>0</v>
      </c>
      <c r="R72" s="532" t="str">
        <f t="shared" si="7"/>
        <v>Gastos_custeados_por_captação</v>
      </c>
      <c r="S72" s="467" t="s">
        <v>999</v>
      </c>
      <c r="T72" s="467">
        <v>2629</v>
      </c>
      <c r="U72" s="496"/>
      <c r="V72" s="496"/>
      <c r="W72" s="496"/>
    </row>
    <row r="73" spans="1:23" ht="24" x14ac:dyDescent="0.2">
      <c r="A73" s="510">
        <f t="shared" si="4"/>
        <v>70</v>
      </c>
      <c r="B73" s="428">
        <v>44567</v>
      </c>
      <c r="C73" s="424">
        <v>44531</v>
      </c>
      <c r="D73" s="415" t="s">
        <v>271</v>
      </c>
      <c r="E73" s="415" t="s">
        <v>85</v>
      </c>
      <c r="F73" s="425">
        <v>155.47999999999999</v>
      </c>
      <c r="G73" s="427" t="s">
        <v>891</v>
      </c>
      <c r="H73" s="415" t="s">
        <v>750</v>
      </c>
      <c r="I73" s="473" t="s">
        <v>765</v>
      </c>
      <c r="J73" s="415" t="s">
        <v>892</v>
      </c>
      <c r="K73" s="415" t="s">
        <v>893</v>
      </c>
      <c r="L73" s="415" t="s">
        <v>807</v>
      </c>
      <c r="M73" s="415">
        <v>69811760</v>
      </c>
      <c r="N73" s="414">
        <v>44547</v>
      </c>
      <c r="O73" s="414" t="s">
        <v>400</v>
      </c>
      <c r="P73" s="222">
        <f t="shared" si="5"/>
        <v>1</v>
      </c>
      <c r="Q73" s="222">
        <f t="shared" si="6"/>
        <v>0</v>
      </c>
      <c r="R73" s="532" t="str">
        <f t="shared" si="7"/>
        <v>Gastos_Gerais</v>
      </c>
      <c r="S73" s="467" t="s">
        <v>310</v>
      </c>
      <c r="T73" s="467" t="s">
        <v>310</v>
      </c>
      <c r="U73" s="496"/>
      <c r="V73" s="496"/>
      <c r="W73" s="496"/>
    </row>
    <row r="74" spans="1:23" ht="48" x14ac:dyDescent="0.2">
      <c r="A74" s="510">
        <f t="shared" si="4"/>
        <v>71</v>
      </c>
      <c r="B74" s="428">
        <v>44568</v>
      </c>
      <c r="C74" s="424">
        <v>44531</v>
      </c>
      <c r="D74" s="415" t="s">
        <v>271</v>
      </c>
      <c r="E74" s="415" t="s">
        <v>458</v>
      </c>
      <c r="F74" s="425">
        <v>-44.8</v>
      </c>
      <c r="G74" s="427" t="s">
        <v>899</v>
      </c>
      <c r="H74" s="415" t="s">
        <v>309</v>
      </c>
      <c r="I74" s="473" t="s">
        <v>795</v>
      </c>
      <c r="J74" s="415" t="s">
        <v>796</v>
      </c>
      <c r="K74" s="415" t="s">
        <v>797</v>
      </c>
      <c r="L74" s="415" t="s">
        <v>798</v>
      </c>
      <c r="M74" s="415" t="s">
        <v>310</v>
      </c>
      <c r="N74" s="414">
        <v>44568</v>
      </c>
      <c r="O74" s="414" t="s">
        <v>400</v>
      </c>
      <c r="P74" s="222">
        <f t="shared" si="5"/>
        <v>1</v>
      </c>
      <c r="Q74" s="222">
        <f t="shared" si="6"/>
        <v>0</v>
      </c>
      <c r="R74" s="532" t="str">
        <f t="shared" si="7"/>
        <v>Gastos_Gerais</v>
      </c>
      <c r="S74" s="467" t="s">
        <v>310</v>
      </c>
      <c r="T74" s="467" t="s">
        <v>310</v>
      </c>
      <c r="U74" s="496"/>
      <c r="V74" s="496"/>
      <c r="W74" s="496"/>
    </row>
    <row r="75" spans="1:23" ht="48" x14ac:dyDescent="0.2">
      <c r="A75" s="510">
        <f t="shared" si="4"/>
        <v>72</v>
      </c>
      <c r="B75" s="428">
        <v>44568</v>
      </c>
      <c r="C75" s="424">
        <v>44531</v>
      </c>
      <c r="D75" s="415" t="s">
        <v>271</v>
      </c>
      <c r="E75" s="415" t="s">
        <v>297</v>
      </c>
      <c r="F75" s="425">
        <v>-12.45</v>
      </c>
      <c r="G75" s="427" t="s">
        <v>900</v>
      </c>
      <c r="H75" s="415" t="s">
        <v>309</v>
      </c>
      <c r="I75" s="473" t="s">
        <v>795</v>
      </c>
      <c r="J75" s="415" t="s">
        <v>796</v>
      </c>
      <c r="K75" s="415" t="s">
        <v>797</v>
      </c>
      <c r="L75" s="415" t="s">
        <v>798</v>
      </c>
      <c r="M75" s="415" t="s">
        <v>310</v>
      </c>
      <c r="N75" s="414">
        <v>44568</v>
      </c>
      <c r="O75" s="414" t="s">
        <v>400</v>
      </c>
      <c r="P75" s="222">
        <f t="shared" si="5"/>
        <v>1</v>
      </c>
      <c r="Q75" s="222">
        <f t="shared" si="6"/>
        <v>0</v>
      </c>
      <c r="R75" s="532" t="str">
        <f t="shared" si="7"/>
        <v>Gastos_Gerais</v>
      </c>
      <c r="S75" s="467" t="s">
        <v>310</v>
      </c>
      <c r="T75" s="467" t="s">
        <v>310</v>
      </c>
      <c r="U75" s="496"/>
      <c r="V75" s="496"/>
      <c r="W75" s="496"/>
    </row>
    <row r="76" spans="1:23" ht="48" x14ac:dyDescent="0.2">
      <c r="A76" s="510">
        <f t="shared" si="4"/>
        <v>73</v>
      </c>
      <c r="B76" s="428">
        <v>44568</v>
      </c>
      <c r="C76" s="424">
        <v>44531</v>
      </c>
      <c r="D76" s="415" t="s">
        <v>271</v>
      </c>
      <c r="E76" s="415" t="s">
        <v>297</v>
      </c>
      <c r="F76" s="425">
        <v>-24.9</v>
      </c>
      <c r="G76" s="427" t="s">
        <v>901</v>
      </c>
      <c r="H76" s="415" t="s">
        <v>309</v>
      </c>
      <c r="I76" s="473" t="s">
        <v>795</v>
      </c>
      <c r="J76" s="415" t="s">
        <v>796</v>
      </c>
      <c r="K76" s="415" t="s">
        <v>797</v>
      </c>
      <c r="L76" s="415" t="s">
        <v>798</v>
      </c>
      <c r="M76" s="415" t="s">
        <v>310</v>
      </c>
      <c r="N76" s="414">
        <v>44568</v>
      </c>
      <c r="O76" s="414" t="s">
        <v>400</v>
      </c>
      <c r="P76" s="222">
        <f t="shared" si="5"/>
        <v>1</v>
      </c>
      <c r="Q76" s="222">
        <f t="shared" si="6"/>
        <v>0</v>
      </c>
      <c r="R76" s="532" t="str">
        <f t="shared" si="7"/>
        <v>Gastos_Gerais</v>
      </c>
      <c r="S76" s="467" t="s">
        <v>310</v>
      </c>
      <c r="T76" s="467" t="s">
        <v>310</v>
      </c>
      <c r="U76" s="496"/>
      <c r="V76" s="496"/>
      <c r="W76" s="496"/>
    </row>
    <row r="77" spans="1:23" ht="48" x14ac:dyDescent="0.2">
      <c r="A77" s="510">
        <f t="shared" si="4"/>
        <v>74</v>
      </c>
      <c r="B77" s="428">
        <v>44568</v>
      </c>
      <c r="C77" s="424">
        <v>44531</v>
      </c>
      <c r="D77" s="415" t="s">
        <v>271</v>
      </c>
      <c r="E77" s="415" t="s">
        <v>297</v>
      </c>
      <c r="F77" s="425">
        <v>-311.25</v>
      </c>
      <c r="G77" s="427" t="s">
        <v>902</v>
      </c>
      <c r="H77" s="415" t="s">
        <v>309</v>
      </c>
      <c r="I77" s="473" t="s">
        <v>795</v>
      </c>
      <c r="J77" s="415" t="s">
        <v>796</v>
      </c>
      <c r="K77" s="415" t="s">
        <v>797</v>
      </c>
      <c r="L77" s="415" t="s">
        <v>798</v>
      </c>
      <c r="M77" s="415" t="s">
        <v>310</v>
      </c>
      <c r="N77" s="414">
        <v>44568</v>
      </c>
      <c r="O77" s="414" t="s">
        <v>400</v>
      </c>
      <c r="P77" s="222">
        <f t="shared" si="5"/>
        <v>1</v>
      </c>
      <c r="Q77" s="222">
        <f t="shared" si="6"/>
        <v>0</v>
      </c>
      <c r="R77" s="532" t="str">
        <f t="shared" si="7"/>
        <v>Gastos_Gerais</v>
      </c>
      <c r="S77" s="467" t="s">
        <v>310</v>
      </c>
      <c r="T77" s="467" t="s">
        <v>310</v>
      </c>
      <c r="U77" s="496"/>
      <c r="V77" s="496"/>
      <c r="W77" s="496"/>
    </row>
    <row r="78" spans="1:23" ht="60" x14ac:dyDescent="0.2">
      <c r="A78" s="510">
        <f t="shared" si="4"/>
        <v>75</v>
      </c>
      <c r="B78" s="428">
        <v>44568</v>
      </c>
      <c r="C78" s="424">
        <v>44531</v>
      </c>
      <c r="D78" s="415" t="s">
        <v>182</v>
      </c>
      <c r="E78" s="415" t="s">
        <v>4</v>
      </c>
      <c r="F78" s="425">
        <v>-2527.0300000000002</v>
      </c>
      <c r="G78" s="427" t="s">
        <v>903</v>
      </c>
      <c r="H78" s="415" t="s">
        <v>310</v>
      </c>
      <c r="I78" s="473" t="s">
        <v>795</v>
      </c>
      <c r="J78" s="415" t="s">
        <v>796</v>
      </c>
      <c r="K78" s="415" t="s">
        <v>797</v>
      </c>
      <c r="L78" s="415" t="s">
        <v>798</v>
      </c>
      <c r="M78" s="415" t="s">
        <v>310</v>
      </c>
      <c r="N78" s="414">
        <v>44568</v>
      </c>
      <c r="O78" s="414" t="s">
        <v>400</v>
      </c>
      <c r="P78" s="222">
        <f t="shared" si="5"/>
        <v>1</v>
      </c>
      <c r="Q78" s="222">
        <f t="shared" si="6"/>
        <v>0</v>
      </c>
      <c r="R78" s="532" t="str">
        <f t="shared" si="7"/>
        <v>Gastos_com_Pessoal</v>
      </c>
      <c r="S78" s="467" t="s">
        <v>310</v>
      </c>
      <c r="T78" s="467" t="s">
        <v>310</v>
      </c>
      <c r="U78" s="496"/>
      <c r="V78" s="496"/>
      <c r="W78" s="496"/>
    </row>
    <row r="79" spans="1:23" ht="60" x14ac:dyDescent="0.2">
      <c r="A79" s="510">
        <f t="shared" si="4"/>
        <v>76</v>
      </c>
      <c r="B79" s="428">
        <v>44568</v>
      </c>
      <c r="C79" s="424">
        <v>44531</v>
      </c>
      <c r="D79" s="415" t="s">
        <v>182</v>
      </c>
      <c r="E79" s="415" t="s">
        <v>268</v>
      </c>
      <c r="F79" s="425">
        <v>-892.44</v>
      </c>
      <c r="G79" s="427" t="s">
        <v>904</v>
      </c>
      <c r="H79" s="415" t="s">
        <v>310</v>
      </c>
      <c r="I79" s="473" t="s">
        <v>795</v>
      </c>
      <c r="J79" s="415" t="s">
        <v>796</v>
      </c>
      <c r="K79" s="415" t="s">
        <v>797</v>
      </c>
      <c r="L79" s="415" t="s">
        <v>798</v>
      </c>
      <c r="M79" s="415" t="s">
        <v>310</v>
      </c>
      <c r="N79" s="414">
        <v>44568</v>
      </c>
      <c r="O79" s="414" t="s">
        <v>400</v>
      </c>
      <c r="P79" s="222">
        <f t="shared" si="5"/>
        <v>1</v>
      </c>
      <c r="Q79" s="222">
        <f t="shared" si="6"/>
        <v>0</v>
      </c>
      <c r="R79" s="532" t="str">
        <f t="shared" si="7"/>
        <v>Gastos_com_Pessoal</v>
      </c>
      <c r="S79" s="467" t="s">
        <v>310</v>
      </c>
      <c r="T79" s="467" t="s">
        <v>310</v>
      </c>
      <c r="U79" s="496"/>
      <c r="V79" s="496"/>
      <c r="W79" s="496"/>
    </row>
    <row r="80" spans="1:23" ht="48" x14ac:dyDescent="0.2">
      <c r="A80" s="510">
        <f t="shared" si="4"/>
        <v>77</v>
      </c>
      <c r="B80" s="428">
        <v>44568</v>
      </c>
      <c r="C80" s="424">
        <v>44531</v>
      </c>
      <c r="D80" s="415" t="s">
        <v>182</v>
      </c>
      <c r="E80" s="415" t="s">
        <v>4</v>
      </c>
      <c r="F80" s="425">
        <v>-120</v>
      </c>
      <c r="G80" s="427" t="s">
        <v>905</v>
      </c>
      <c r="H80" s="415" t="s">
        <v>310</v>
      </c>
      <c r="I80" s="473" t="s">
        <v>795</v>
      </c>
      <c r="J80" s="415" t="s">
        <v>796</v>
      </c>
      <c r="K80" s="415" t="s">
        <v>797</v>
      </c>
      <c r="L80" s="415" t="s">
        <v>798</v>
      </c>
      <c r="M80" s="415" t="s">
        <v>310</v>
      </c>
      <c r="N80" s="414">
        <v>44568</v>
      </c>
      <c r="O80" s="414" t="s">
        <v>400</v>
      </c>
      <c r="P80" s="222">
        <f t="shared" si="5"/>
        <v>1</v>
      </c>
      <c r="Q80" s="222">
        <f t="shared" si="6"/>
        <v>0</v>
      </c>
      <c r="R80" s="532" t="str">
        <f t="shared" si="7"/>
        <v>Gastos_com_Pessoal</v>
      </c>
      <c r="S80" s="467" t="s">
        <v>310</v>
      </c>
      <c r="T80" s="467" t="s">
        <v>310</v>
      </c>
      <c r="U80" s="496"/>
      <c r="V80" s="496"/>
      <c r="W80" s="496"/>
    </row>
    <row r="81" spans="1:23" ht="60" x14ac:dyDescent="0.2">
      <c r="A81" s="510">
        <f t="shared" si="4"/>
        <v>78</v>
      </c>
      <c r="B81" s="428">
        <v>44568</v>
      </c>
      <c r="C81" s="424">
        <v>44531</v>
      </c>
      <c r="D81" s="415" t="s">
        <v>182</v>
      </c>
      <c r="E81" s="415" t="s">
        <v>268</v>
      </c>
      <c r="F81" s="425">
        <v>-60</v>
      </c>
      <c r="G81" s="427" t="s">
        <v>904</v>
      </c>
      <c r="H81" s="415" t="s">
        <v>310</v>
      </c>
      <c r="I81" s="473" t="s">
        <v>795</v>
      </c>
      <c r="J81" s="415" t="s">
        <v>796</v>
      </c>
      <c r="K81" s="415" t="s">
        <v>797</v>
      </c>
      <c r="L81" s="415" t="s">
        <v>798</v>
      </c>
      <c r="M81" s="415" t="s">
        <v>310</v>
      </c>
      <c r="N81" s="414">
        <v>44568</v>
      </c>
      <c r="O81" s="414" t="s">
        <v>400</v>
      </c>
      <c r="P81" s="222">
        <f t="shared" si="5"/>
        <v>1</v>
      </c>
      <c r="Q81" s="222">
        <f t="shared" si="6"/>
        <v>0</v>
      </c>
      <c r="R81" s="532" t="str">
        <f t="shared" si="7"/>
        <v>Gastos_com_Pessoal</v>
      </c>
      <c r="S81" s="467" t="s">
        <v>310</v>
      </c>
      <c r="T81" s="467" t="s">
        <v>310</v>
      </c>
      <c r="U81" s="496"/>
      <c r="V81" s="496"/>
      <c r="W81" s="496"/>
    </row>
    <row r="82" spans="1:23" ht="48" x14ac:dyDescent="0.2">
      <c r="A82" s="510">
        <f t="shared" si="4"/>
        <v>79</v>
      </c>
      <c r="B82" s="428">
        <v>44568</v>
      </c>
      <c r="C82" s="424">
        <v>44562</v>
      </c>
      <c r="D82" s="415" t="s">
        <v>34</v>
      </c>
      <c r="E82" s="415" t="s">
        <v>167</v>
      </c>
      <c r="F82" s="425">
        <v>480</v>
      </c>
      <c r="G82" s="427" t="s">
        <v>906</v>
      </c>
      <c r="H82" s="415" t="s">
        <v>310</v>
      </c>
      <c r="I82" s="473" t="s">
        <v>795</v>
      </c>
      <c r="J82" s="415" t="s">
        <v>796</v>
      </c>
      <c r="K82" s="415" t="s">
        <v>797</v>
      </c>
      <c r="L82" s="415" t="s">
        <v>798</v>
      </c>
      <c r="M82" s="415" t="s">
        <v>310</v>
      </c>
      <c r="N82" s="414">
        <v>44568</v>
      </c>
      <c r="O82" s="414" t="s">
        <v>400</v>
      </c>
      <c r="P82" s="222">
        <f t="shared" si="5"/>
        <v>1</v>
      </c>
      <c r="Q82" s="222">
        <f t="shared" si="6"/>
        <v>1</v>
      </c>
      <c r="R82" s="532" t="str">
        <f t="shared" si="7"/>
        <v>Receitas</v>
      </c>
      <c r="S82" s="467" t="s">
        <v>310</v>
      </c>
      <c r="T82" s="467" t="s">
        <v>310</v>
      </c>
      <c r="U82" s="496"/>
      <c r="V82" s="496"/>
      <c r="W82" s="496"/>
    </row>
    <row r="83" spans="1:23" ht="36" x14ac:dyDescent="0.2">
      <c r="A83" s="510">
        <f t="shared" si="4"/>
        <v>80</v>
      </c>
      <c r="B83" s="428">
        <v>44568</v>
      </c>
      <c r="C83" s="424">
        <v>44531</v>
      </c>
      <c r="D83" s="415" t="s">
        <v>182</v>
      </c>
      <c r="E83" s="415" t="s">
        <v>1</v>
      </c>
      <c r="F83" s="425">
        <v>4551.21</v>
      </c>
      <c r="G83" s="427" t="s">
        <v>1545</v>
      </c>
      <c r="H83" s="415" t="s">
        <v>310</v>
      </c>
      <c r="I83" s="473" t="s">
        <v>907</v>
      </c>
      <c r="J83" s="415" t="s">
        <v>908</v>
      </c>
      <c r="K83" s="415" t="s">
        <v>806</v>
      </c>
      <c r="L83" s="415" t="s">
        <v>909</v>
      </c>
      <c r="M83" s="415" t="s">
        <v>310</v>
      </c>
      <c r="N83" s="414">
        <v>44568</v>
      </c>
      <c r="O83" s="414" t="s">
        <v>400</v>
      </c>
      <c r="P83" s="222">
        <f t="shared" si="5"/>
        <v>1</v>
      </c>
      <c r="Q83" s="222">
        <f t="shared" si="6"/>
        <v>0</v>
      </c>
      <c r="R83" s="532" t="str">
        <f t="shared" si="7"/>
        <v>Gastos_com_Pessoal</v>
      </c>
      <c r="S83" s="467" t="s">
        <v>310</v>
      </c>
      <c r="T83" s="467" t="s">
        <v>310</v>
      </c>
      <c r="U83" s="496"/>
      <c r="V83" s="496"/>
      <c r="W83" s="496"/>
    </row>
    <row r="84" spans="1:23" ht="36" x14ac:dyDescent="0.2">
      <c r="A84" s="510">
        <f t="shared" si="4"/>
        <v>81</v>
      </c>
      <c r="B84" s="428">
        <v>44568</v>
      </c>
      <c r="C84" s="424">
        <v>44531</v>
      </c>
      <c r="D84" s="415" t="s">
        <v>182</v>
      </c>
      <c r="E84" s="415" t="s">
        <v>1</v>
      </c>
      <c r="F84" s="425">
        <v>1935.43</v>
      </c>
      <c r="G84" s="427" t="s">
        <v>910</v>
      </c>
      <c r="H84" s="415" t="s">
        <v>310</v>
      </c>
      <c r="I84" s="473" t="s">
        <v>911</v>
      </c>
      <c r="J84" s="415" t="s">
        <v>912</v>
      </c>
      <c r="K84" s="415" t="s">
        <v>806</v>
      </c>
      <c r="L84" s="415" t="s">
        <v>909</v>
      </c>
      <c r="M84" s="415" t="s">
        <v>310</v>
      </c>
      <c r="N84" s="414">
        <v>44568</v>
      </c>
      <c r="O84" s="414" t="s">
        <v>400</v>
      </c>
      <c r="P84" s="222">
        <f t="shared" si="5"/>
        <v>1</v>
      </c>
      <c r="Q84" s="222">
        <f t="shared" si="6"/>
        <v>0</v>
      </c>
      <c r="R84" s="532" t="str">
        <f t="shared" si="7"/>
        <v>Gastos_com_Pessoal</v>
      </c>
      <c r="S84" s="467" t="s">
        <v>310</v>
      </c>
      <c r="T84" s="467" t="s">
        <v>310</v>
      </c>
      <c r="U84" s="496"/>
      <c r="V84" s="496"/>
      <c r="W84" s="496"/>
    </row>
    <row r="85" spans="1:23" ht="36" x14ac:dyDescent="0.2">
      <c r="A85" s="510">
        <f t="shared" si="4"/>
        <v>82</v>
      </c>
      <c r="B85" s="428">
        <v>44568</v>
      </c>
      <c r="C85" s="424">
        <v>44531</v>
      </c>
      <c r="D85" s="415" t="s">
        <v>182</v>
      </c>
      <c r="E85" s="415" t="s">
        <v>1</v>
      </c>
      <c r="F85" s="425">
        <v>2254.21</v>
      </c>
      <c r="G85" s="427" t="s">
        <v>913</v>
      </c>
      <c r="H85" s="415" t="s">
        <v>310</v>
      </c>
      <c r="I85" s="473" t="s">
        <v>914</v>
      </c>
      <c r="J85" s="415" t="s">
        <v>915</v>
      </c>
      <c r="K85" s="415" t="s">
        <v>806</v>
      </c>
      <c r="L85" s="415" t="s">
        <v>909</v>
      </c>
      <c r="M85" s="415" t="s">
        <v>310</v>
      </c>
      <c r="N85" s="414">
        <v>44568</v>
      </c>
      <c r="O85" s="414" t="s">
        <v>400</v>
      </c>
      <c r="P85" s="222">
        <f t="shared" si="5"/>
        <v>1</v>
      </c>
      <c r="Q85" s="222">
        <f t="shared" si="6"/>
        <v>0</v>
      </c>
      <c r="R85" s="532" t="str">
        <f t="shared" si="7"/>
        <v>Gastos_com_Pessoal</v>
      </c>
      <c r="S85" s="467" t="s">
        <v>310</v>
      </c>
      <c r="T85" s="467" t="s">
        <v>310</v>
      </c>
      <c r="U85" s="496"/>
      <c r="V85" s="496"/>
      <c r="W85" s="496"/>
    </row>
    <row r="86" spans="1:23" ht="36" x14ac:dyDescent="0.2">
      <c r="A86" s="510">
        <f t="shared" si="4"/>
        <v>83</v>
      </c>
      <c r="B86" s="428">
        <v>44568</v>
      </c>
      <c r="C86" s="424">
        <v>44531</v>
      </c>
      <c r="D86" s="415" t="s">
        <v>182</v>
      </c>
      <c r="E86" s="415" t="s">
        <v>1</v>
      </c>
      <c r="F86" s="425">
        <v>2073.4299999999998</v>
      </c>
      <c r="G86" s="427" t="s">
        <v>910</v>
      </c>
      <c r="H86" s="415" t="s">
        <v>310</v>
      </c>
      <c r="I86" s="473" t="s">
        <v>916</v>
      </c>
      <c r="J86" s="415" t="s">
        <v>917</v>
      </c>
      <c r="K86" s="415" t="s">
        <v>806</v>
      </c>
      <c r="L86" s="415" t="s">
        <v>909</v>
      </c>
      <c r="M86" s="415" t="s">
        <v>310</v>
      </c>
      <c r="N86" s="414">
        <v>44568</v>
      </c>
      <c r="O86" s="414" t="s">
        <v>400</v>
      </c>
      <c r="P86" s="222">
        <f t="shared" si="5"/>
        <v>1</v>
      </c>
      <c r="Q86" s="222">
        <f t="shared" si="6"/>
        <v>0</v>
      </c>
      <c r="R86" s="532" t="str">
        <f t="shared" si="7"/>
        <v>Gastos_com_Pessoal</v>
      </c>
      <c r="S86" s="467" t="s">
        <v>310</v>
      </c>
      <c r="T86" s="467" t="s">
        <v>310</v>
      </c>
      <c r="U86" s="496"/>
      <c r="V86" s="496"/>
      <c r="W86" s="496"/>
    </row>
    <row r="87" spans="1:23" ht="36" x14ac:dyDescent="0.2">
      <c r="A87" s="510">
        <f t="shared" si="4"/>
        <v>84</v>
      </c>
      <c r="B87" s="428">
        <v>44568</v>
      </c>
      <c r="C87" s="424">
        <v>44531</v>
      </c>
      <c r="D87" s="415" t="s">
        <v>182</v>
      </c>
      <c r="E87" s="415" t="s">
        <v>1</v>
      </c>
      <c r="F87" s="425">
        <v>2091.41</v>
      </c>
      <c r="G87" s="427" t="s">
        <v>910</v>
      </c>
      <c r="H87" s="415" t="s">
        <v>310</v>
      </c>
      <c r="I87" s="473" t="s">
        <v>918</v>
      </c>
      <c r="J87" s="415" t="s">
        <v>919</v>
      </c>
      <c r="K87" s="415" t="s">
        <v>806</v>
      </c>
      <c r="L87" s="415" t="s">
        <v>909</v>
      </c>
      <c r="M87" s="415" t="s">
        <v>310</v>
      </c>
      <c r="N87" s="414">
        <v>44568</v>
      </c>
      <c r="O87" s="414" t="s">
        <v>400</v>
      </c>
      <c r="P87" s="222">
        <f t="shared" si="5"/>
        <v>1</v>
      </c>
      <c r="Q87" s="222">
        <f t="shared" si="6"/>
        <v>0</v>
      </c>
      <c r="R87" s="532" t="str">
        <f t="shared" si="7"/>
        <v>Gastos_com_Pessoal</v>
      </c>
      <c r="S87" s="467" t="s">
        <v>310</v>
      </c>
      <c r="T87" s="467" t="s">
        <v>310</v>
      </c>
      <c r="U87" s="496"/>
      <c r="V87" s="496"/>
      <c r="W87" s="496"/>
    </row>
    <row r="88" spans="1:23" ht="36" x14ac:dyDescent="0.2">
      <c r="A88" s="510">
        <f t="shared" si="4"/>
        <v>85</v>
      </c>
      <c r="B88" s="428">
        <v>44568</v>
      </c>
      <c r="C88" s="424">
        <v>44531</v>
      </c>
      <c r="D88" s="415" t="s">
        <v>182</v>
      </c>
      <c r="E88" s="415" t="s">
        <v>1</v>
      </c>
      <c r="F88" s="425">
        <v>2043.12</v>
      </c>
      <c r="G88" s="427" t="s">
        <v>910</v>
      </c>
      <c r="H88" s="415" t="s">
        <v>310</v>
      </c>
      <c r="I88" s="473" t="s">
        <v>920</v>
      </c>
      <c r="J88" s="415" t="s">
        <v>921</v>
      </c>
      <c r="K88" s="415" t="s">
        <v>806</v>
      </c>
      <c r="L88" s="415" t="s">
        <v>909</v>
      </c>
      <c r="M88" s="415" t="s">
        <v>310</v>
      </c>
      <c r="N88" s="414">
        <v>44568</v>
      </c>
      <c r="O88" s="414" t="s">
        <v>400</v>
      </c>
      <c r="P88" s="222">
        <f t="shared" si="5"/>
        <v>1</v>
      </c>
      <c r="Q88" s="222">
        <f t="shared" si="6"/>
        <v>0</v>
      </c>
      <c r="R88" s="532" t="str">
        <f t="shared" si="7"/>
        <v>Gastos_com_Pessoal</v>
      </c>
      <c r="S88" s="467" t="s">
        <v>310</v>
      </c>
      <c r="T88" s="467" t="s">
        <v>310</v>
      </c>
      <c r="U88" s="496"/>
      <c r="V88" s="496"/>
      <c r="W88" s="496"/>
    </row>
    <row r="89" spans="1:23" ht="36" x14ac:dyDescent="0.2">
      <c r="A89" s="510">
        <f t="shared" si="4"/>
        <v>86</v>
      </c>
      <c r="B89" s="428">
        <v>44568</v>
      </c>
      <c r="C89" s="424">
        <v>44531</v>
      </c>
      <c r="D89" s="415" t="s">
        <v>182</v>
      </c>
      <c r="E89" s="415" t="s">
        <v>1</v>
      </c>
      <c r="F89" s="425">
        <v>4533.2299999999996</v>
      </c>
      <c r="G89" s="427" t="s">
        <v>922</v>
      </c>
      <c r="H89" s="415" t="s">
        <v>310</v>
      </c>
      <c r="I89" s="473" t="s">
        <v>923</v>
      </c>
      <c r="J89" s="415" t="s">
        <v>924</v>
      </c>
      <c r="K89" s="415" t="s">
        <v>806</v>
      </c>
      <c r="L89" s="415" t="s">
        <v>925</v>
      </c>
      <c r="M89" s="415" t="s">
        <v>310</v>
      </c>
      <c r="N89" s="414">
        <v>44568</v>
      </c>
      <c r="O89" s="414" t="s">
        <v>400</v>
      </c>
      <c r="P89" s="222">
        <f t="shared" si="5"/>
        <v>1</v>
      </c>
      <c r="Q89" s="222">
        <f t="shared" si="6"/>
        <v>0</v>
      </c>
      <c r="R89" s="532" t="str">
        <f t="shared" si="7"/>
        <v>Gastos_com_Pessoal</v>
      </c>
      <c r="S89" s="467" t="s">
        <v>310</v>
      </c>
      <c r="T89" s="467" t="s">
        <v>310</v>
      </c>
      <c r="U89" s="496"/>
      <c r="V89" s="496"/>
      <c r="W89" s="496"/>
    </row>
    <row r="90" spans="1:23" ht="36" x14ac:dyDescent="0.2">
      <c r="A90" s="510">
        <f t="shared" si="4"/>
        <v>87</v>
      </c>
      <c r="B90" s="428">
        <v>44568</v>
      </c>
      <c r="C90" s="424">
        <v>44531</v>
      </c>
      <c r="D90" s="415" t="s">
        <v>182</v>
      </c>
      <c r="E90" s="415" t="s">
        <v>1</v>
      </c>
      <c r="F90" s="425">
        <v>2073.4299999999998</v>
      </c>
      <c r="G90" s="427" t="s">
        <v>910</v>
      </c>
      <c r="H90" s="415" t="s">
        <v>310</v>
      </c>
      <c r="I90" s="473" t="s">
        <v>926</v>
      </c>
      <c r="J90" s="415" t="s">
        <v>927</v>
      </c>
      <c r="K90" s="415" t="s">
        <v>806</v>
      </c>
      <c r="L90" s="415" t="s">
        <v>909</v>
      </c>
      <c r="M90" s="415" t="s">
        <v>310</v>
      </c>
      <c r="N90" s="414">
        <v>44568</v>
      </c>
      <c r="O90" s="414" t="s">
        <v>400</v>
      </c>
      <c r="P90" s="222">
        <f t="shared" si="5"/>
        <v>1</v>
      </c>
      <c r="Q90" s="222">
        <f t="shared" si="6"/>
        <v>0</v>
      </c>
      <c r="R90" s="532" t="str">
        <f t="shared" si="7"/>
        <v>Gastos_com_Pessoal</v>
      </c>
      <c r="S90" s="467" t="s">
        <v>310</v>
      </c>
      <c r="T90" s="467" t="s">
        <v>310</v>
      </c>
      <c r="U90" s="496"/>
      <c r="V90" s="496"/>
      <c r="W90" s="496"/>
    </row>
    <row r="91" spans="1:23" ht="36" x14ac:dyDescent="0.2">
      <c r="A91" s="510">
        <f t="shared" si="4"/>
        <v>88</v>
      </c>
      <c r="B91" s="428">
        <v>44568</v>
      </c>
      <c r="C91" s="424">
        <v>44531</v>
      </c>
      <c r="D91" s="415" t="s">
        <v>182</v>
      </c>
      <c r="E91" s="415" t="s">
        <v>1</v>
      </c>
      <c r="F91" s="425">
        <v>1472.43</v>
      </c>
      <c r="G91" s="427" t="s">
        <v>928</v>
      </c>
      <c r="H91" s="415" t="s">
        <v>310</v>
      </c>
      <c r="I91" s="473" t="s">
        <v>929</v>
      </c>
      <c r="J91" s="415" t="s">
        <v>930</v>
      </c>
      <c r="K91" s="415" t="s">
        <v>806</v>
      </c>
      <c r="L91" s="415" t="s">
        <v>909</v>
      </c>
      <c r="M91" s="415" t="s">
        <v>310</v>
      </c>
      <c r="N91" s="414">
        <v>44568</v>
      </c>
      <c r="O91" s="414" t="s">
        <v>400</v>
      </c>
      <c r="P91" s="222">
        <f t="shared" si="5"/>
        <v>1</v>
      </c>
      <c r="Q91" s="222">
        <f t="shared" si="6"/>
        <v>0</v>
      </c>
      <c r="R91" s="532" t="str">
        <f t="shared" si="7"/>
        <v>Gastos_com_Pessoal</v>
      </c>
      <c r="S91" s="467" t="s">
        <v>310</v>
      </c>
      <c r="T91" s="467" t="s">
        <v>310</v>
      </c>
      <c r="U91" s="496"/>
      <c r="V91" s="496"/>
      <c r="W91" s="496"/>
    </row>
    <row r="92" spans="1:23" ht="36" x14ac:dyDescent="0.2">
      <c r="A92" s="510">
        <f t="shared" si="4"/>
        <v>89</v>
      </c>
      <c r="B92" s="428">
        <v>44568</v>
      </c>
      <c r="C92" s="424">
        <v>44531</v>
      </c>
      <c r="D92" s="415" t="s">
        <v>182</v>
      </c>
      <c r="E92" s="415" t="s">
        <v>1</v>
      </c>
      <c r="F92" s="425">
        <v>1953.41</v>
      </c>
      <c r="G92" s="427" t="s">
        <v>931</v>
      </c>
      <c r="H92" s="415" t="s">
        <v>310</v>
      </c>
      <c r="I92" s="473" t="s">
        <v>932</v>
      </c>
      <c r="J92" s="415" t="s">
        <v>933</v>
      </c>
      <c r="K92" s="415" t="s">
        <v>806</v>
      </c>
      <c r="L92" s="415" t="s">
        <v>909</v>
      </c>
      <c r="M92" s="415" t="s">
        <v>310</v>
      </c>
      <c r="N92" s="414">
        <v>44568</v>
      </c>
      <c r="O92" s="414" t="s">
        <v>400</v>
      </c>
      <c r="P92" s="222">
        <f t="shared" si="5"/>
        <v>1</v>
      </c>
      <c r="Q92" s="222">
        <f t="shared" si="6"/>
        <v>0</v>
      </c>
      <c r="R92" s="532" t="str">
        <f t="shared" si="7"/>
        <v>Gastos_com_Pessoal</v>
      </c>
      <c r="S92" s="467" t="s">
        <v>310</v>
      </c>
      <c r="T92" s="467" t="s">
        <v>310</v>
      </c>
      <c r="U92" s="496"/>
      <c r="V92" s="496"/>
      <c r="W92" s="496"/>
    </row>
    <row r="93" spans="1:23" ht="36" x14ac:dyDescent="0.2">
      <c r="A93" s="510">
        <f t="shared" si="4"/>
        <v>90</v>
      </c>
      <c r="B93" s="428">
        <v>44568</v>
      </c>
      <c r="C93" s="424">
        <v>44531</v>
      </c>
      <c r="D93" s="415" t="s">
        <v>182</v>
      </c>
      <c r="E93" s="415" t="s">
        <v>1</v>
      </c>
      <c r="F93" s="425">
        <v>1953.41</v>
      </c>
      <c r="G93" s="427" t="s">
        <v>934</v>
      </c>
      <c r="H93" s="415" t="s">
        <v>310</v>
      </c>
      <c r="I93" s="473" t="s">
        <v>935</v>
      </c>
      <c r="J93" s="415" t="s">
        <v>936</v>
      </c>
      <c r="K93" s="415" t="s">
        <v>806</v>
      </c>
      <c r="L93" s="415" t="s">
        <v>909</v>
      </c>
      <c r="M93" s="415" t="s">
        <v>310</v>
      </c>
      <c r="N93" s="414">
        <v>44568</v>
      </c>
      <c r="O93" s="414" t="s">
        <v>400</v>
      </c>
      <c r="P93" s="222">
        <f t="shared" si="5"/>
        <v>1</v>
      </c>
      <c r="Q93" s="222">
        <f t="shared" si="6"/>
        <v>0</v>
      </c>
      <c r="R93" s="532" t="str">
        <f t="shared" si="7"/>
        <v>Gastos_com_Pessoal</v>
      </c>
      <c r="S93" s="467" t="s">
        <v>310</v>
      </c>
      <c r="T93" s="467" t="s">
        <v>310</v>
      </c>
      <c r="U93" s="496"/>
      <c r="V93" s="496"/>
      <c r="W93" s="496"/>
    </row>
    <row r="94" spans="1:23" ht="36" x14ac:dyDescent="0.2">
      <c r="A94" s="510">
        <f t="shared" si="4"/>
        <v>91</v>
      </c>
      <c r="B94" s="428">
        <v>44568</v>
      </c>
      <c r="C94" s="424">
        <v>44531</v>
      </c>
      <c r="D94" s="415" t="s">
        <v>182</v>
      </c>
      <c r="E94" s="415" t="s">
        <v>1</v>
      </c>
      <c r="F94" s="425">
        <v>2893.42</v>
      </c>
      <c r="G94" s="427" t="s">
        <v>937</v>
      </c>
      <c r="H94" s="415" t="s">
        <v>310</v>
      </c>
      <c r="I94" s="473" t="s">
        <v>938</v>
      </c>
      <c r="J94" s="415" t="s">
        <v>939</v>
      </c>
      <c r="K94" s="415" t="s">
        <v>806</v>
      </c>
      <c r="L94" s="415" t="s">
        <v>909</v>
      </c>
      <c r="M94" s="415" t="s">
        <v>310</v>
      </c>
      <c r="N94" s="414">
        <v>44568</v>
      </c>
      <c r="O94" s="414" t="s">
        <v>400</v>
      </c>
      <c r="P94" s="222">
        <f t="shared" si="5"/>
        <v>1</v>
      </c>
      <c r="Q94" s="222">
        <f t="shared" si="6"/>
        <v>0</v>
      </c>
      <c r="R94" s="532" t="str">
        <f t="shared" si="7"/>
        <v>Gastos_com_Pessoal</v>
      </c>
      <c r="S94" s="467" t="s">
        <v>310</v>
      </c>
      <c r="T94" s="467" t="s">
        <v>310</v>
      </c>
      <c r="U94" s="496"/>
      <c r="V94" s="496"/>
      <c r="W94" s="496"/>
    </row>
    <row r="95" spans="1:23" ht="36" x14ac:dyDescent="0.2">
      <c r="A95" s="510">
        <f t="shared" si="4"/>
        <v>92</v>
      </c>
      <c r="B95" s="428">
        <v>44568</v>
      </c>
      <c r="C95" s="424">
        <v>44531</v>
      </c>
      <c r="D95" s="415" t="s">
        <v>182</v>
      </c>
      <c r="E95" s="415" t="s">
        <v>1</v>
      </c>
      <c r="F95" s="425">
        <v>12478.15</v>
      </c>
      <c r="G95" s="427" t="s">
        <v>940</v>
      </c>
      <c r="H95" s="415" t="s">
        <v>310</v>
      </c>
      <c r="I95" s="473" t="s">
        <v>941</v>
      </c>
      <c r="J95" s="415" t="s">
        <v>942</v>
      </c>
      <c r="K95" s="415" t="s">
        <v>806</v>
      </c>
      <c r="L95" s="415" t="s">
        <v>909</v>
      </c>
      <c r="M95" s="415" t="s">
        <v>310</v>
      </c>
      <c r="N95" s="414">
        <v>44568</v>
      </c>
      <c r="O95" s="414" t="s">
        <v>400</v>
      </c>
      <c r="P95" s="222">
        <f t="shared" si="5"/>
        <v>1</v>
      </c>
      <c r="Q95" s="222">
        <f t="shared" si="6"/>
        <v>0</v>
      </c>
      <c r="R95" s="532" t="str">
        <f t="shared" si="7"/>
        <v>Gastos_com_Pessoal</v>
      </c>
      <c r="S95" s="467" t="s">
        <v>310</v>
      </c>
      <c r="T95" s="467" t="s">
        <v>310</v>
      </c>
      <c r="U95" s="496"/>
      <c r="V95" s="496"/>
      <c r="W95" s="496"/>
    </row>
    <row r="96" spans="1:23" ht="36" x14ac:dyDescent="0.2">
      <c r="A96" s="510">
        <f t="shared" si="4"/>
        <v>93</v>
      </c>
      <c r="B96" s="428">
        <v>44568</v>
      </c>
      <c r="C96" s="424">
        <v>44531</v>
      </c>
      <c r="D96" s="415" t="s">
        <v>182</v>
      </c>
      <c r="E96" s="415" t="s">
        <v>1</v>
      </c>
      <c r="F96" s="425">
        <v>2091.41</v>
      </c>
      <c r="G96" s="427" t="s">
        <v>910</v>
      </c>
      <c r="H96" s="415" t="s">
        <v>310</v>
      </c>
      <c r="I96" s="473" t="s">
        <v>943</v>
      </c>
      <c r="J96" s="415" t="s">
        <v>944</v>
      </c>
      <c r="K96" s="415" t="s">
        <v>806</v>
      </c>
      <c r="L96" s="415" t="s">
        <v>909</v>
      </c>
      <c r="M96" s="415" t="s">
        <v>310</v>
      </c>
      <c r="N96" s="414">
        <v>44568</v>
      </c>
      <c r="O96" s="414" t="s">
        <v>400</v>
      </c>
      <c r="P96" s="222">
        <f t="shared" si="5"/>
        <v>1</v>
      </c>
      <c r="Q96" s="222">
        <f t="shared" si="6"/>
        <v>0</v>
      </c>
      <c r="R96" s="532" t="str">
        <f t="shared" si="7"/>
        <v>Gastos_com_Pessoal</v>
      </c>
      <c r="S96" s="467" t="s">
        <v>310</v>
      </c>
      <c r="T96" s="467" t="s">
        <v>310</v>
      </c>
      <c r="U96" s="496"/>
      <c r="V96" s="496"/>
      <c r="W96" s="496"/>
    </row>
    <row r="97" spans="1:23" ht="36" x14ac:dyDescent="0.2">
      <c r="A97" s="510">
        <f t="shared" si="4"/>
        <v>94</v>
      </c>
      <c r="B97" s="428">
        <v>44568</v>
      </c>
      <c r="C97" s="424">
        <v>44531</v>
      </c>
      <c r="D97" s="415" t="s">
        <v>182</v>
      </c>
      <c r="E97" s="415" t="s">
        <v>1</v>
      </c>
      <c r="F97" s="425">
        <v>2458.4899999999998</v>
      </c>
      <c r="G97" s="427" t="s">
        <v>945</v>
      </c>
      <c r="H97" s="415" t="s">
        <v>310</v>
      </c>
      <c r="I97" s="473" t="s">
        <v>946</v>
      </c>
      <c r="J97" s="415" t="s">
        <v>947</v>
      </c>
      <c r="K97" s="415" t="s">
        <v>806</v>
      </c>
      <c r="L97" s="415" t="s">
        <v>909</v>
      </c>
      <c r="M97" s="415" t="s">
        <v>310</v>
      </c>
      <c r="N97" s="414">
        <v>44568</v>
      </c>
      <c r="O97" s="414" t="s">
        <v>400</v>
      </c>
      <c r="P97" s="222">
        <f t="shared" si="5"/>
        <v>1</v>
      </c>
      <c r="Q97" s="222">
        <f t="shared" si="6"/>
        <v>0</v>
      </c>
      <c r="R97" s="532" t="str">
        <f t="shared" si="7"/>
        <v>Gastos_com_Pessoal</v>
      </c>
      <c r="S97" s="467" t="s">
        <v>310</v>
      </c>
      <c r="T97" s="467" t="s">
        <v>310</v>
      </c>
      <c r="U97" s="496"/>
      <c r="V97" s="496"/>
      <c r="W97" s="496"/>
    </row>
    <row r="98" spans="1:23" ht="36" x14ac:dyDescent="0.2">
      <c r="A98" s="510">
        <f t="shared" si="4"/>
        <v>95</v>
      </c>
      <c r="B98" s="428">
        <v>44568</v>
      </c>
      <c r="C98" s="424">
        <v>44531</v>
      </c>
      <c r="D98" s="415" t="s">
        <v>182</v>
      </c>
      <c r="E98" s="415" t="s">
        <v>1</v>
      </c>
      <c r="F98" s="425">
        <v>4551.21</v>
      </c>
      <c r="G98" s="427" t="s">
        <v>948</v>
      </c>
      <c r="H98" s="415" t="s">
        <v>310</v>
      </c>
      <c r="I98" s="473" t="s">
        <v>949</v>
      </c>
      <c r="J98" s="415" t="s">
        <v>950</v>
      </c>
      <c r="K98" s="415" t="s">
        <v>806</v>
      </c>
      <c r="L98" s="415" t="s">
        <v>909</v>
      </c>
      <c r="M98" s="415" t="s">
        <v>310</v>
      </c>
      <c r="N98" s="414">
        <v>44568</v>
      </c>
      <c r="O98" s="414" t="s">
        <v>400</v>
      </c>
      <c r="P98" s="222">
        <f t="shared" si="5"/>
        <v>1</v>
      </c>
      <c r="Q98" s="222">
        <f t="shared" si="6"/>
        <v>0</v>
      </c>
      <c r="R98" s="532" t="str">
        <f t="shared" si="7"/>
        <v>Gastos_com_Pessoal</v>
      </c>
      <c r="S98" s="467" t="s">
        <v>310</v>
      </c>
      <c r="T98" s="467" t="s">
        <v>310</v>
      </c>
      <c r="U98" s="496"/>
      <c r="V98" s="496"/>
      <c r="W98" s="496"/>
    </row>
    <row r="99" spans="1:23" ht="36" x14ac:dyDescent="0.2">
      <c r="A99" s="510">
        <f t="shared" si="4"/>
        <v>96</v>
      </c>
      <c r="B99" s="428">
        <v>44568</v>
      </c>
      <c r="C99" s="424">
        <v>44531</v>
      </c>
      <c r="D99" s="415" t="s">
        <v>182</v>
      </c>
      <c r="E99" s="415" t="s">
        <v>1</v>
      </c>
      <c r="F99" s="425">
        <v>10738.61</v>
      </c>
      <c r="G99" s="427" t="s">
        <v>951</v>
      </c>
      <c r="H99" s="415" t="s">
        <v>310</v>
      </c>
      <c r="I99" s="473" t="s">
        <v>952</v>
      </c>
      <c r="J99" s="415" t="s">
        <v>953</v>
      </c>
      <c r="K99" s="415" t="s">
        <v>830</v>
      </c>
      <c r="L99" s="415" t="s">
        <v>909</v>
      </c>
      <c r="M99" s="415" t="s">
        <v>310</v>
      </c>
      <c r="N99" s="414">
        <v>44568</v>
      </c>
      <c r="O99" s="414" t="s">
        <v>400</v>
      </c>
      <c r="P99" s="222">
        <f t="shared" si="5"/>
        <v>1</v>
      </c>
      <c r="Q99" s="222">
        <f t="shared" si="6"/>
        <v>0</v>
      </c>
      <c r="R99" s="532" t="str">
        <f t="shared" si="7"/>
        <v>Gastos_com_Pessoal</v>
      </c>
      <c r="S99" s="467" t="s">
        <v>310</v>
      </c>
      <c r="T99" s="467" t="s">
        <v>310</v>
      </c>
      <c r="U99" s="496"/>
      <c r="V99" s="496"/>
      <c r="W99" s="496"/>
    </row>
    <row r="100" spans="1:23" ht="36" x14ac:dyDescent="0.2">
      <c r="A100" s="510">
        <f t="shared" si="4"/>
        <v>97</v>
      </c>
      <c r="B100" s="428">
        <v>44568</v>
      </c>
      <c r="C100" s="424">
        <v>44531</v>
      </c>
      <c r="D100" s="415" t="s">
        <v>182</v>
      </c>
      <c r="E100" s="415" t="s">
        <v>1</v>
      </c>
      <c r="F100" s="425">
        <v>1935.43</v>
      </c>
      <c r="G100" s="427" t="s">
        <v>910</v>
      </c>
      <c r="H100" s="415" t="s">
        <v>310</v>
      </c>
      <c r="I100" s="473" t="s">
        <v>954</v>
      </c>
      <c r="J100" s="415" t="s">
        <v>955</v>
      </c>
      <c r="K100" s="415" t="s">
        <v>830</v>
      </c>
      <c r="L100" s="415" t="s">
        <v>909</v>
      </c>
      <c r="M100" s="415" t="s">
        <v>310</v>
      </c>
      <c r="N100" s="414">
        <v>44568</v>
      </c>
      <c r="O100" s="414" t="s">
        <v>400</v>
      </c>
      <c r="P100" s="222">
        <f t="shared" si="5"/>
        <v>1</v>
      </c>
      <c r="Q100" s="222">
        <f t="shared" si="6"/>
        <v>0</v>
      </c>
      <c r="R100" s="532" t="str">
        <f t="shared" si="7"/>
        <v>Gastos_com_Pessoal</v>
      </c>
      <c r="S100" s="467" t="s">
        <v>310</v>
      </c>
      <c r="T100" s="467" t="s">
        <v>310</v>
      </c>
      <c r="U100" s="496"/>
      <c r="V100" s="496"/>
      <c r="W100" s="496"/>
    </row>
    <row r="101" spans="1:23" ht="36" x14ac:dyDescent="0.2">
      <c r="A101" s="510">
        <f t="shared" si="4"/>
        <v>98</v>
      </c>
      <c r="B101" s="428">
        <v>44568</v>
      </c>
      <c r="C101" s="424">
        <v>44531</v>
      </c>
      <c r="D101" s="415" t="s">
        <v>182</v>
      </c>
      <c r="E101" s="415" t="s">
        <v>1</v>
      </c>
      <c r="F101" s="425">
        <v>2893.42</v>
      </c>
      <c r="G101" s="427" t="s">
        <v>1558</v>
      </c>
      <c r="H101" s="415" t="s">
        <v>310</v>
      </c>
      <c r="I101" s="473" t="s">
        <v>957</v>
      </c>
      <c r="J101" s="415" t="s">
        <v>958</v>
      </c>
      <c r="K101" s="415" t="s">
        <v>830</v>
      </c>
      <c r="L101" s="415" t="s">
        <v>909</v>
      </c>
      <c r="M101" s="415" t="s">
        <v>310</v>
      </c>
      <c r="N101" s="414">
        <v>44568</v>
      </c>
      <c r="O101" s="414" t="s">
        <v>400</v>
      </c>
      <c r="P101" s="222">
        <f t="shared" si="5"/>
        <v>1</v>
      </c>
      <c r="Q101" s="222">
        <f t="shared" si="6"/>
        <v>0</v>
      </c>
      <c r="R101" s="532" t="str">
        <f t="shared" si="7"/>
        <v>Gastos_com_Pessoal</v>
      </c>
      <c r="S101" s="467" t="s">
        <v>310</v>
      </c>
      <c r="T101" s="467" t="s">
        <v>310</v>
      </c>
      <c r="U101" s="496"/>
      <c r="V101" s="496"/>
      <c r="W101" s="496"/>
    </row>
    <row r="102" spans="1:23" ht="36" x14ac:dyDescent="0.2">
      <c r="A102" s="510">
        <f t="shared" si="4"/>
        <v>99</v>
      </c>
      <c r="B102" s="428">
        <v>44568</v>
      </c>
      <c r="C102" s="424">
        <v>44531</v>
      </c>
      <c r="D102" s="415" t="s">
        <v>182</v>
      </c>
      <c r="E102" s="415" t="s">
        <v>1</v>
      </c>
      <c r="F102" s="425">
        <v>2893.42</v>
      </c>
      <c r="G102" s="427" t="s">
        <v>1558</v>
      </c>
      <c r="H102" s="415" t="s">
        <v>310</v>
      </c>
      <c r="I102" s="473" t="s">
        <v>959</v>
      </c>
      <c r="J102" s="415" t="s">
        <v>960</v>
      </c>
      <c r="K102" s="415" t="s">
        <v>830</v>
      </c>
      <c r="L102" s="415" t="s">
        <v>909</v>
      </c>
      <c r="M102" s="415" t="s">
        <v>310</v>
      </c>
      <c r="N102" s="414">
        <v>44568</v>
      </c>
      <c r="O102" s="414" t="s">
        <v>400</v>
      </c>
      <c r="P102" s="222">
        <f t="shared" si="5"/>
        <v>1</v>
      </c>
      <c r="Q102" s="222">
        <f t="shared" si="6"/>
        <v>0</v>
      </c>
      <c r="R102" s="532" t="str">
        <f t="shared" si="7"/>
        <v>Gastos_com_Pessoal</v>
      </c>
      <c r="S102" s="467" t="s">
        <v>310</v>
      </c>
      <c r="T102" s="467" t="s">
        <v>310</v>
      </c>
      <c r="U102" s="496"/>
      <c r="V102" s="496"/>
      <c r="W102" s="496"/>
    </row>
    <row r="103" spans="1:23" ht="36" x14ac:dyDescent="0.2">
      <c r="A103" s="510">
        <f t="shared" si="4"/>
        <v>100</v>
      </c>
      <c r="B103" s="428">
        <v>44568</v>
      </c>
      <c r="C103" s="424">
        <v>44531</v>
      </c>
      <c r="D103" s="415" t="s">
        <v>182</v>
      </c>
      <c r="E103" s="415" t="s">
        <v>1</v>
      </c>
      <c r="F103" s="425">
        <v>2073.4299999999998</v>
      </c>
      <c r="G103" s="427" t="s">
        <v>931</v>
      </c>
      <c r="H103" s="415" t="s">
        <v>310</v>
      </c>
      <c r="I103" s="473" t="s">
        <v>961</v>
      </c>
      <c r="J103" s="415" t="s">
        <v>962</v>
      </c>
      <c r="K103" s="415" t="s">
        <v>830</v>
      </c>
      <c r="L103" s="415" t="s">
        <v>909</v>
      </c>
      <c r="M103" s="415" t="s">
        <v>310</v>
      </c>
      <c r="N103" s="414">
        <v>44568</v>
      </c>
      <c r="O103" s="414" t="s">
        <v>400</v>
      </c>
      <c r="P103" s="222">
        <f t="shared" si="5"/>
        <v>1</v>
      </c>
      <c r="Q103" s="222">
        <f t="shared" si="6"/>
        <v>0</v>
      </c>
      <c r="R103" s="532" t="str">
        <f t="shared" si="7"/>
        <v>Gastos_com_Pessoal</v>
      </c>
      <c r="S103" s="467" t="s">
        <v>310</v>
      </c>
      <c r="T103" s="467" t="s">
        <v>310</v>
      </c>
      <c r="U103" s="496"/>
      <c r="V103" s="496"/>
      <c r="W103" s="496"/>
    </row>
    <row r="104" spans="1:23" ht="36" x14ac:dyDescent="0.2">
      <c r="A104" s="510">
        <f t="shared" si="4"/>
        <v>101</v>
      </c>
      <c r="B104" s="428">
        <v>44568</v>
      </c>
      <c r="C104" s="424">
        <v>44531</v>
      </c>
      <c r="D104" s="415" t="s">
        <v>182</v>
      </c>
      <c r="E104" s="415" t="s">
        <v>1</v>
      </c>
      <c r="F104" s="425">
        <v>3134.24</v>
      </c>
      <c r="G104" s="427" t="s">
        <v>2327</v>
      </c>
      <c r="H104" s="415" t="s">
        <v>310</v>
      </c>
      <c r="I104" s="473" t="s">
        <v>963</v>
      </c>
      <c r="J104" s="415" t="s">
        <v>964</v>
      </c>
      <c r="K104" s="415" t="s">
        <v>830</v>
      </c>
      <c r="L104" s="415" t="s">
        <v>909</v>
      </c>
      <c r="M104" s="415" t="s">
        <v>310</v>
      </c>
      <c r="N104" s="414">
        <v>44568</v>
      </c>
      <c r="O104" s="414" t="s">
        <v>400</v>
      </c>
      <c r="P104" s="222">
        <f t="shared" si="5"/>
        <v>1</v>
      </c>
      <c r="Q104" s="222">
        <f t="shared" si="6"/>
        <v>0</v>
      </c>
      <c r="R104" s="532" t="str">
        <f t="shared" si="7"/>
        <v>Gastos_com_Pessoal</v>
      </c>
      <c r="S104" s="467" t="s">
        <v>310</v>
      </c>
      <c r="T104" s="467" t="s">
        <v>310</v>
      </c>
      <c r="U104" s="496"/>
      <c r="V104" s="496"/>
      <c r="W104" s="496"/>
    </row>
    <row r="105" spans="1:23" ht="36" x14ac:dyDescent="0.2">
      <c r="A105" s="510">
        <f t="shared" si="4"/>
        <v>102</v>
      </c>
      <c r="B105" s="428">
        <v>44568</v>
      </c>
      <c r="C105" s="424">
        <v>44531</v>
      </c>
      <c r="D105" s="415" t="s">
        <v>182</v>
      </c>
      <c r="E105" s="415" t="s">
        <v>1</v>
      </c>
      <c r="F105" s="425">
        <v>2977.08</v>
      </c>
      <c r="G105" s="427" t="s">
        <v>965</v>
      </c>
      <c r="H105" s="415" t="s">
        <v>310</v>
      </c>
      <c r="I105" s="473" t="s">
        <v>966</v>
      </c>
      <c r="J105" s="415" t="s">
        <v>967</v>
      </c>
      <c r="K105" s="415" t="s">
        <v>830</v>
      </c>
      <c r="L105" s="415" t="s">
        <v>909</v>
      </c>
      <c r="M105" s="415" t="s">
        <v>310</v>
      </c>
      <c r="N105" s="414">
        <v>44568</v>
      </c>
      <c r="O105" s="414" t="s">
        <v>400</v>
      </c>
      <c r="P105" s="222">
        <f t="shared" si="5"/>
        <v>1</v>
      </c>
      <c r="Q105" s="222">
        <f t="shared" si="6"/>
        <v>0</v>
      </c>
      <c r="R105" s="532" t="str">
        <f t="shared" si="7"/>
        <v>Gastos_com_Pessoal</v>
      </c>
      <c r="S105" s="467" t="s">
        <v>310</v>
      </c>
      <c r="T105" s="467" t="s">
        <v>310</v>
      </c>
      <c r="U105" s="496"/>
      <c r="V105" s="496"/>
      <c r="W105" s="496"/>
    </row>
    <row r="106" spans="1:23" ht="36" x14ac:dyDescent="0.2">
      <c r="A106" s="510">
        <f t="shared" si="4"/>
        <v>103</v>
      </c>
      <c r="B106" s="428">
        <v>44568</v>
      </c>
      <c r="C106" s="424">
        <v>44531</v>
      </c>
      <c r="D106" s="415" t="s">
        <v>182</v>
      </c>
      <c r="E106" s="415" t="s">
        <v>1</v>
      </c>
      <c r="F106" s="425">
        <v>2091.41</v>
      </c>
      <c r="G106" s="427" t="s">
        <v>1560</v>
      </c>
      <c r="H106" s="415" t="s">
        <v>310</v>
      </c>
      <c r="I106" s="473" t="s">
        <v>969</v>
      </c>
      <c r="J106" s="415" t="s">
        <v>970</v>
      </c>
      <c r="K106" s="415" t="s">
        <v>830</v>
      </c>
      <c r="L106" s="415" t="s">
        <v>909</v>
      </c>
      <c r="M106" s="415" t="s">
        <v>310</v>
      </c>
      <c r="N106" s="414">
        <v>44568</v>
      </c>
      <c r="O106" s="414" t="s">
        <v>400</v>
      </c>
      <c r="P106" s="222">
        <f t="shared" si="5"/>
        <v>1</v>
      </c>
      <c r="Q106" s="222">
        <f t="shared" si="6"/>
        <v>0</v>
      </c>
      <c r="R106" s="532" t="str">
        <f t="shared" si="7"/>
        <v>Gastos_com_Pessoal</v>
      </c>
      <c r="S106" s="467" t="s">
        <v>310</v>
      </c>
      <c r="T106" s="467" t="s">
        <v>310</v>
      </c>
      <c r="U106" s="496"/>
      <c r="V106" s="496"/>
      <c r="W106" s="496"/>
    </row>
    <row r="107" spans="1:23" ht="36" x14ac:dyDescent="0.2">
      <c r="A107" s="510">
        <f t="shared" si="4"/>
        <v>104</v>
      </c>
      <c r="B107" s="428">
        <v>44568</v>
      </c>
      <c r="C107" s="424">
        <v>44531</v>
      </c>
      <c r="D107" s="415" t="s">
        <v>182</v>
      </c>
      <c r="E107" s="415" t="s">
        <v>1</v>
      </c>
      <c r="F107" s="425">
        <v>2254.21</v>
      </c>
      <c r="G107" s="427" t="s">
        <v>971</v>
      </c>
      <c r="H107" s="415" t="s">
        <v>310</v>
      </c>
      <c r="I107" s="473" t="s">
        <v>972</v>
      </c>
      <c r="J107" s="415" t="s">
        <v>973</v>
      </c>
      <c r="K107" s="415" t="s">
        <v>830</v>
      </c>
      <c r="L107" s="415" t="s">
        <v>909</v>
      </c>
      <c r="M107" s="415" t="s">
        <v>310</v>
      </c>
      <c r="N107" s="414">
        <v>44568</v>
      </c>
      <c r="O107" s="414" t="s">
        <v>400</v>
      </c>
      <c r="P107" s="222">
        <f t="shared" si="5"/>
        <v>1</v>
      </c>
      <c r="Q107" s="222">
        <f t="shared" si="6"/>
        <v>0</v>
      </c>
      <c r="R107" s="532" t="str">
        <f t="shared" si="7"/>
        <v>Gastos_com_Pessoal</v>
      </c>
      <c r="S107" s="467" t="s">
        <v>310</v>
      </c>
      <c r="T107" s="467" t="s">
        <v>310</v>
      </c>
      <c r="U107" s="496"/>
      <c r="V107" s="496"/>
      <c r="W107" s="496"/>
    </row>
    <row r="108" spans="1:23" ht="36" x14ac:dyDescent="0.2">
      <c r="A108" s="510">
        <f t="shared" si="4"/>
        <v>105</v>
      </c>
      <c r="B108" s="428">
        <v>44568</v>
      </c>
      <c r="C108" s="424">
        <v>44531</v>
      </c>
      <c r="D108" s="415" t="s">
        <v>182</v>
      </c>
      <c r="E108" s="415" t="s">
        <v>1</v>
      </c>
      <c r="F108" s="425">
        <v>1953.41</v>
      </c>
      <c r="G108" s="427" t="s">
        <v>974</v>
      </c>
      <c r="H108" s="415" t="s">
        <v>310</v>
      </c>
      <c r="I108" s="473" t="s">
        <v>975</v>
      </c>
      <c r="J108" s="415" t="s">
        <v>970</v>
      </c>
      <c r="K108" s="415" t="s">
        <v>830</v>
      </c>
      <c r="L108" s="415" t="s">
        <v>909</v>
      </c>
      <c r="M108" s="415" t="s">
        <v>310</v>
      </c>
      <c r="N108" s="414">
        <v>44568</v>
      </c>
      <c r="O108" s="414" t="s">
        <v>400</v>
      </c>
      <c r="P108" s="222">
        <f t="shared" si="5"/>
        <v>1</v>
      </c>
      <c r="Q108" s="222">
        <f t="shared" si="6"/>
        <v>0</v>
      </c>
      <c r="R108" s="532" t="str">
        <f t="shared" si="7"/>
        <v>Gastos_com_Pessoal</v>
      </c>
      <c r="S108" s="467" t="s">
        <v>310</v>
      </c>
      <c r="T108" s="467" t="s">
        <v>310</v>
      </c>
      <c r="U108" s="496"/>
      <c r="V108" s="496"/>
      <c r="W108" s="496"/>
    </row>
    <row r="109" spans="1:23" ht="36" x14ac:dyDescent="0.2">
      <c r="A109" s="510">
        <f t="shared" si="4"/>
        <v>106</v>
      </c>
      <c r="B109" s="428">
        <v>44568</v>
      </c>
      <c r="C109" s="424">
        <v>44531</v>
      </c>
      <c r="D109" s="415" t="s">
        <v>182</v>
      </c>
      <c r="E109" s="415" t="s">
        <v>1</v>
      </c>
      <c r="F109" s="425">
        <v>1472.43</v>
      </c>
      <c r="G109" s="427" t="s">
        <v>928</v>
      </c>
      <c r="H109" s="415" t="s">
        <v>310</v>
      </c>
      <c r="I109" s="473" t="s">
        <v>828</v>
      </c>
      <c r="J109" s="415" t="s">
        <v>829</v>
      </c>
      <c r="K109" s="415" t="s">
        <v>830</v>
      </c>
      <c r="L109" s="415" t="s">
        <v>909</v>
      </c>
      <c r="M109" s="415" t="s">
        <v>310</v>
      </c>
      <c r="N109" s="414">
        <v>44568</v>
      </c>
      <c r="O109" s="414" t="s">
        <v>400</v>
      </c>
      <c r="P109" s="222">
        <f t="shared" si="5"/>
        <v>1</v>
      </c>
      <c r="Q109" s="222">
        <f t="shared" si="6"/>
        <v>0</v>
      </c>
      <c r="R109" s="532" t="str">
        <f t="shared" si="7"/>
        <v>Gastos_com_Pessoal</v>
      </c>
      <c r="S109" s="467" t="s">
        <v>310</v>
      </c>
      <c r="T109" s="467" t="s">
        <v>310</v>
      </c>
      <c r="U109" s="496"/>
      <c r="V109" s="496"/>
      <c r="W109" s="496"/>
    </row>
    <row r="110" spans="1:23" ht="36" x14ac:dyDescent="0.2">
      <c r="A110" s="510">
        <f t="shared" si="4"/>
        <v>107</v>
      </c>
      <c r="B110" s="428">
        <v>44568</v>
      </c>
      <c r="C110" s="424">
        <v>44531</v>
      </c>
      <c r="D110" s="415" t="s">
        <v>182</v>
      </c>
      <c r="E110" s="415" t="s">
        <v>1</v>
      </c>
      <c r="F110" s="425">
        <v>2875.44</v>
      </c>
      <c r="G110" s="427" t="s">
        <v>976</v>
      </c>
      <c r="H110" s="415" t="s">
        <v>310</v>
      </c>
      <c r="I110" s="473" t="s">
        <v>977</v>
      </c>
      <c r="J110" s="415" t="s">
        <v>978</v>
      </c>
      <c r="K110" s="415" t="s">
        <v>830</v>
      </c>
      <c r="L110" s="415" t="s">
        <v>909</v>
      </c>
      <c r="M110" s="415" t="s">
        <v>310</v>
      </c>
      <c r="N110" s="414">
        <v>44568</v>
      </c>
      <c r="O110" s="414" t="s">
        <v>400</v>
      </c>
      <c r="P110" s="222">
        <f t="shared" si="5"/>
        <v>1</v>
      </c>
      <c r="Q110" s="222">
        <f t="shared" si="6"/>
        <v>0</v>
      </c>
      <c r="R110" s="532" t="str">
        <f t="shared" si="7"/>
        <v>Gastos_com_Pessoal</v>
      </c>
      <c r="S110" s="467" t="s">
        <v>310</v>
      </c>
      <c r="T110" s="467" t="s">
        <v>310</v>
      </c>
      <c r="U110" s="496"/>
      <c r="V110" s="496"/>
      <c r="W110" s="496"/>
    </row>
    <row r="111" spans="1:23" ht="36" x14ac:dyDescent="0.2">
      <c r="A111" s="510">
        <f t="shared" si="4"/>
        <v>108</v>
      </c>
      <c r="B111" s="428">
        <v>44568</v>
      </c>
      <c r="C111" s="424">
        <v>44531</v>
      </c>
      <c r="D111" s="415" t="s">
        <v>182</v>
      </c>
      <c r="E111" s="415" t="s">
        <v>1</v>
      </c>
      <c r="F111" s="425">
        <v>2073.4299999999998</v>
      </c>
      <c r="G111" s="427" t="s">
        <v>979</v>
      </c>
      <c r="H111" s="415" t="s">
        <v>310</v>
      </c>
      <c r="I111" s="473" t="s">
        <v>980</v>
      </c>
      <c r="J111" s="415" t="s">
        <v>981</v>
      </c>
      <c r="K111" s="415" t="s">
        <v>830</v>
      </c>
      <c r="L111" s="415" t="s">
        <v>909</v>
      </c>
      <c r="M111" s="415" t="s">
        <v>310</v>
      </c>
      <c r="N111" s="414">
        <v>44568</v>
      </c>
      <c r="O111" s="414" t="s">
        <v>400</v>
      </c>
      <c r="P111" s="222">
        <f t="shared" si="5"/>
        <v>1</v>
      </c>
      <c r="Q111" s="222">
        <f t="shared" si="6"/>
        <v>0</v>
      </c>
      <c r="R111" s="532" t="str">
        <f t="shared" si="7"/>
        <v>Gastos_com_Pessoal</v>
      </c>
      <c r="S111" s="467" t="s">
        <v>310</v>
      </c>
      <c r="T111" s="467" t="s">
        <v>310</v>
      </c>
      <c r="U111" s="496"/>
      <c r="V111" s="496"/>
      <c r="W111" s="496"/>
    </row>
    <row r="112" spans="1:23" ht="36" x14ac:dyDescent="0.2">
      <c r="A112" s="510">
        <f t="shared" si="4"/>
        <v>109</v>
      </c>
      <c r="B112" s="428">
        <v>44568</v>
      </c>
      <c r="C112" s="424">
        <v>44531</v>
      </c>
      <c r="D112" s="415" t="s">
        <v>182</v>
      </c>
      <c r="E112" s="415" t="s">
        <v>1</v>
      </c>
      <c r="F112" s="425">
        <v>1935.43</v>
      </c>
      <c r="G112" s="427" t="s">
        <v>979</v>
      </c>
      <c r="H112" s="415" t="s">
        <v>310</v>
      </c>
      <c r="I112" s="473" t="s">
        <v>982</v>
      </c>
      <c r="J112" s="415" t="s">
        <v>983</v>
      </c>
      <c r="K112" s="415" t="s">
        <v>830</v>
      </c>
      <c r="L112" s="415" t="s">
        <v>909</v>
      </c>
      <c r="M112" s="415" t="s">
        <v>310</v>
      </c>
      <c r="N112" s="414">
        <v>44568</v>
      </c>
      <c r="O112" s="414" t="s">
        <v>400</v>
      </c>
      <c r="P112" s="222">
        <f t="shared" si="5"/>
        <v>1</v>
      </c>
      <c r="Q112" s="222">
        <f t="shared" si="6"/>
        <v>0</v>
      </c>
      <c r="R112" s="532" t="str">
        <f t="shared" si="7"/>
        <v>Gastos_com_Pessoal</v>
      </c>
      <c r="S112" s="467" t="s">
        <v>310</v>
      </c>
      <c r="T112" s="467" t="s">
        <v>310</v>
      </c>
      <c r="U112" s="496"/>
      <c r="V112" s="496"/>
      <c r="W112" s="496"/>
    </row>
    <row r="113" spans="1:23" ht="36" x14ac:dyDescent="0.2">
      <c r="A113" s="510">
        <f t="shared" si="4"/>
        <v>110</v>
      </c>
      <c r="B113" s="428">
        <v>44568</v>
      </c>
      <c r="C113" s="424">
        <v>44531</v>
      </c>
      <c r="D113" s="415" t="s">
        <v>182</v>
      </c>
      <c r="E113" s="415" t="s">
        <v>1</v>
      </c>
      <c r="F113" s="425">
        <v>3182.61</v>
      </c>
      <c r="G113" s="427" t="s">
        <v>984</v>
      </c>
      <c r="H113" s="415" t="s">
        <v>310</v>
      </c>
      <c r="I113" s="473" t="s">
        <v>985</v>
      </c>
      <c r="J113" s="415" t="s">
        <v>986</v>
      </c>
      <c r="K113" s="415" t="s">
        <v>830</v>
      </c>
      <c r="L113" s="415" t="s">
        <v>909</v>
      </c>
      <c r="M113" s="415" t="s">
        <v>310</v>
      </c>
      <c r="N113" s="414">
        <v>44568</v>
      </c>
      <c r="O113" s="414" t="s">
        <v>400</v>
      </c>
      <c r="P113" s="222">
        <f t="shared" si="5"/>
        <v>1</v>
      </c>
      <c r="Q113" s="222">
        <f t="shared" si="6"/>
        <v>0</v>
      </c>
      <c r="R113" s="532" t="str">
        <f t="shared" si="7"/>
        <v>Gastos_com_Pessoal</v>
      </c>
      <c r="S113" s="467" t="s">
        <v>310</v>
      </c>
      <c r="T113" s="467" t="s">
        <v>310</v>
      </c>
      <c r="U113" s="496"/>
      <c r="V113" s="496"/>
      <c r="W113" s="496"/>
    </row>
    <row r="114" spans="1:23" ht="36" x14ac:dyDescent="0.2">
      <c r="A114" s="510">
        <f t="shared" si="4"/>
        <v>111</v>
      </c>
      <c r="B114" s="428">
        <v>44568</v>
      </c>
      <c r="C114" s="424">
        <v>44531</v>
      </c>
      <c r="D114" s="415" t="s">
        <v>182</v>
      </c>
      <c r="E114" s="415" t="s">
        <v>1</v>
      </c>
      <c r="F114" s="425">
        <v>2073.4299999999998</v>
      </c>
      <c r="G114" s="427" t="s">
        <v>910</v>
      </c>
      <c r="H114" s="415" t="s">
        <v>310</v>
      </c>
      <c r="I114" s="473" t="s">
        <v>987</v>
      </c>
      <c r="J114" s="415" t="s">
        <v>988</v>
      </c>
      <c r="K114" s="415" t="s">
        <v>830</v>
      </c>
      <c r="L114" s="434" t="s">
        <v>909</v>
      </c>
      <c r="M114" s="436" t="s">
        <v>310</v>
      </c>
      <c r="N114" s="455">
        <v>44568</v>
      </c>
      <c r="O114" s="414" t="s">
        <v>400</v>
      </c>
      <c r="P114" s="222">
        <f t="shared" si="5"/>
        <v>1</v>
      </c>
      <c r="Q114" s="222">
        <f t="shared" si="6"/>
        <v>0</v>
      </c>
      <c r="R114" s="532" t="str">
        <f t="shared" si="7"/>
        <v>Gastos_com_Pessoal</v>
      </c>
      <c r="S114" s="467" t="s">
        <v>310</v>
      </c>
      <c r="T114" s="467" t="s">
        <v>310</v>
      </c>
      <c r="U114" s="496"/>
      <c r="V114" s="496"/>
      <c r="W114" s="496"/>
    </row>
    <row r="115" spans="1:23" ht="36" x14ac:dyDescent="0.2">
      <c r="A115" s="510">
        <f t="shared" si="4"/>
        <v>112</v>
      </c>
      <c r="B115" s="428">
        <v>44568</v>
      </c>
      <c r="C115" s="424">
        <v>44531</v>
      </c>
      <c r="D115" s="415" t="s">
        <v>182</v>
      </c>
      <c r="E115" s="415" t="s">
        <v>1</v>
      </c>
      <c r="F115" s="425">
        <v>10776.92</v>
      </c>
      <c r="G115" s="427" t="s">
        <v>989</v>
      </c>
      <c r="H115" s="415" t="s">
        <v>310</v>
      </c>
      <c r="I115" s="473" t="s">
        <v>990</v>
      </c>
      <c r="J115" s="415" t="s">
        <v>991</v>
      </c>
      <c r="K115" s="415" t="s">
        <v>830</v>
      </c>
      <c r="L115" s="415" t="s">
        <v>909</v>
      </c>
      <c r="M115" s="415" t="s">
        <v>310</v>
      </c>
      <c r="N115" s="414">
        <v>44568</v>
      </c>
      <c r="O115" s="414" t="s">
        <v>400</v>
      </c>
      <c r="P115" s="222">
        <f t="shared" si="5"/>
        <v>1</v>
      </c>
      <c r="Q115" s="222">
        <f t="shared" si="6"/>
        <v>0</v>
      </c>
      <c r="R115" s="532" t="str">
        <f t="shared" si="7"/>
        <v>Gastos_com_Pessoal</v>
      </c>
      <c r="S115" s="467" t="s">
        <v>310</v>
      </c>
      <c r="T115" s="467" t="s">
        <v>310</v>
      </c>
      <c r="U115" s="496"/>
      <c r="V115" s="496"/>
      <c r="W115" s="496"/>
    </row>
    <row r="116" spans="1:23" ht="36" x14ac:dyDescent="0.2">
      <c r="A116" s="510">
        <f t="shared" si="4"/>
        <v>113</v>
      </c>
      <c r="B116" s="428">
        <v>44568</v>
      </c>
      <c r="C116" s="424">
        <v>44531</v>
      </c>
      <c r="D116" s="415" t="s">
        <v>182</v>
      </c>
      <c r="E116" s="415" t="s">
        <v>1</v>
      </c>
      <c r="F116" s="425">
        <v>2091.41</v>
      </c>
      <c r="G116" s="427" t="s">
        <v>910</v>
      </c>
      <c r="H116" s="415" t="s">
        <v>310</v>
      </c>
      <c r="I116" s="473" t="s">
        <v>992</v>
      </c>
      <c r="J116" s="415" t="s">
        <v>993</v>
      </c>
      <c r="K116" s="415" t="s">
        <v>830</v>
      </c>
      <c r="L116" s="415" t="s">
        <v>909</v>
      </c>
      <c r="M116" s="415" t="s">
        <v>310</v>
      </c>
      <c r="N116" s="414">
        <v>44568</v>
      </c>
      <c r="O116" s="414" t="s">
        <v>400</v>
      </c>
      <c r="P116" s="222">
        <f t="shared" si="5"/>
        <v>1</v>
      </c>
      <c r="Q116" s="222">
        <f t="shared" si="6"/>
        <v>0</v>
      </c>
      <c r="R116" s="532" t="str">
        <f t="shared" si="7"/>
        <v>Gastos_com_Pessoal</v>
      </c>
      <c r="S116" s="467" t="s">
        <v>310</v>
      </c>
      <c r="T116" s="467" t="s">
        <v>310</v>
      </c>
      <c r="U116" s="496"/>
      <c r="V116" s="496"/>
      <c r="W116" s="496"/>
    </row>
    <row r="117" spans="1:23" ht="36" x14ac:dyDescent="0.2">
      <c r="A117" s="510">
        <f t="shared" si="4"/>
        <v>114</v>
      </c>
      <c r="B117" s="428">
        <v>44568</v>
      </c>
      <c r="C117" s="424">
        <v>44531</v>
      </c>
      <c r="D117" s="415" t="s">
        <v>182</v>
      </c>
      <c r="E117" s="415" t="s">
        <v>1</v>
      </c>
      <c r="F117" s="425">
        <v>2106.61</v>
      </c>
      <c r="G117" s="427" t="s">
        <v>931</v>
      </c>
      <c r="H117" s="415" t="s">
        <v>310</v>
      </c>
      <c r="I117" s="473" t="s">
        <v>994</v>
      </c>
      <c r="J117" s="415" t="s">
        <v>995</v>
      </c>
      <c r="K117" s="415" t="s">
        <v>830</v>
      </c>
      <c r="L117" s="415" t="s">
        <v>909</v>
      </c>
      <c r="M117" s="415" t="s">
        <v>310</v>
      </c>
      <c r="N117" s="414">
        <v>44568</v>
      </c>
      <c r="O117" s="414" t="s">
        <v>400</v>
      </c>
      <c r="P117" s="222">
        <f t="shared" si="5"/>
        <v>1</v>
      </c>
      <c r="Q117" s="222">
        <f t="shared" si="6"/>
        <v>0</v>
      </c>
      <c r="R117" s="532" t="str">
        <f t="shared" si="7"/>
        <v>Gastos_com_Pessoal</v>
      </c>
      <c r="S117" s="467" t="s">
        <v>310</v>
      </c>
      <c r="T117" s="467" t="s">
        <v>310</v>
      </c>
      <c r="U117" s="496"/>
      <c r="V117" s="496"/>
      <c r="W117" s="496"/>
    </row>
    <row r="118" spans="1:23" ht="36" x14ac:dyDescent="0.2">
      <c r="A118" s="510">
        <f t="shared" si="4"/>
        <v>115</v>
      </c>
      <c r="B118" s="428">
        <v>44568</v>
      </c>
      <c r="C118" s="424">
        <v>44531</v>
      </c>
      <c r="D118" s="415" t="s">
        <v>182</v>
      </c>
      <c r="E118" s="415" t="s">
        <v>1</v>
      </c>
      <c r="F118" s="425">
        <v>2845.13</v>
      </c>
      <c r="G118" s="427" t="s">
        <v>956</v>
      </c>
      <c r="H118" s="415" t="s">
        <v>310</v>
      </c>
      <c r="I118" s="473" t="s">
        <v>996</v>
      </c>
      <c r="J118" s="415" t="s">
        <v>997</v>
      </c>
      <c r="K118" s="415" t="s">
        <v>830</v>
      </c>
      <c r="L118" s="415" t="s">
        <v>909</v>
      </c>
      <c r="M118" s="415" t="s">
        <v>310</v>
      </c>
      <c r="N118" s="414">
        <v>44568</v>
      </c>
      <c r="O118" s="414" t="s">
        <v>400</v>
      </c>
      <c r="P118" s="222">
        <f t="shared" si="5"/>
        <v>1</v>
      </c>
      <c r="Q118" s="222">
        <f t="shared" si="6"/>
        <v>0</v>
      </c>
      <c r="R118" s="532" t="str">
        <f t="shared" si="7"/>
        <v>Gastos_com_Pessoal</v>
      </c>
      <c r="S118" s="467" t="s">
        <v>310</v>
      </c>
      <c r="T118" s="467" t="s">
        <v>310</v>
      </c>
      <c r="U118" s="496"/>
      <c r="V118" s="496"/>
      <c r="W118" s="496"/>
    </row>
    <row r="119" spans="1:23" ht="36" x14ac:dyDescent="0.2">
      <c r="A119" s="510">
        <f t="shared" si="4"/>
        <v>116</v>
      </c>
      <c r="B119" s="428">
        <v>44568</v>
      </c>
      <c r="C119" s="424">
        <v>44531</v>
      </c>
      <c r="D119" s="415" t="s">
        <v>182</v>
      </c>
      <c r="E119" s="415" t="s">
        <v>1</v>
      </c>
      <c r="F119" s="435">
        <v>2010.06</v>
      </c>
      <c r="G119" s="440" t="s">
        <v>931</v>
      </c>
      <c r="H119" s="415" t="s">
        <v>310</v>
      </c>
      <c r="I119" s="474" t="s">
        <v>1167</v>
      </c>
      <c r="J119" s="434" t="s">
        <v>1168</v>
      </c>
      <c r="K119" s="415" t="s">
        <v>830</v>
      </c>
      <c r="L119" s="434" t="s">
        <v>909</v>
      </c>
      <c r="M119" s="415" t="s">
        <v>310</v>
      </c>
      <c r="N119" s="414">
        <v>44568</v>
      </c>
      <c r="O119" s="414" t="s">
        <v>400</v>
      </c>
      <c r="P119" s="222">
        <f t="shared" si="5"/>
        <v>1</v>
      </c>
      <c r="Q119" s="222">
        <f t="shared" si="6"/>
        <v>0</v>
      </c>
      <c r="R119" s="532" t="str">
        <f t="shared" si="7"/>
        <v>Gastos_com_Pessoal</v>
      </c>
      <c r="S119" s="467" t="s">
        <v>310</v>
      </c>
      <c r="T119" s="467" t="s">
        <v>310</v>
      </c>
      <c r="U119" s="496"/>
      <c r="V119" s="496"/>
      <c r="W119" s="496"/>
    </row>
    <row r="120" spans="1:23" ht="36" x14ac:dyDescent="0.2">
      <c r="A120" s="510">
        <f t="shared" si="4"/>
        <v>117</v>
      </c>
      <c r="B120" s="428">
        <v>44568</v>
      </c>
      <c r="C120" s="424">
        <v>44531</v>
      </c>
      <c r="D120" s="415" t="s">
        <v>182</v>
      </c>
      <c r="E120" s="415" t="s">
        <v>1</v>
      </c>
      <c r="F120" s="425">
        <v>2836.57</v>
      </c>
      <c r="G120" s="440" t="s">
        <v>1208</v>
      </c>
      <c r="H120" s="415" t="s">
        <v>310</v>
      </c>
      <c r="I120" s="473" t="s">
        <v>1169</v>
      </c>
      <c r="J120" s="415" t="s">
        <v>1170</v>
      </c>
      <c r="K120" s="415" t="s">
        <v>830</v>
      </c>
      <c r="L120" s="415" t="s">
        <v>909</v>
      </c>
      <c r="M120" s="415" t="s">
        <v>310</v>
      </c>
      <c r="N120" s="414">
        <v>44568</v>
      </c>
      <c r="O120" s="414" t="s">
        <v>400</v>
      </c>
      <c r="P120" s="222">
        <f t="shared" si="5"/>
        <v>1</v>
      </c>
      <c r="Q120" s="222">
        <f t="shared" si="6"/>
        <v>0</v>
      </c>
      <c r="R120" s="532" t="str">
        <f t="shared" si="7"/>
        <v>Gastos_com_Pessoal</v>
      </c>
      <c r="S120" s="467" t="s">
        <v>310</v>
      </c>
      <c r="T120" s="467" t="s">
        <v>310</v>
      </c>
      <c r="U120" s="496"/>
      <c r="V120" s="496"/>
      <c r="W120" s="496"/>
    </row>
    <row r="121" spans="1:23" ht="36" x14ac:dyDescent="0.2">
      <c r="A121" s="510">
        <f t="shared" si="4"/>
        <v>118</v>
      </c>
      <c r="B121" s="428">
        <v>44568</v>
      </c>
      <c r="C121" s="424">
        <v>44531</v>
      </c>
      <c r="D121" s="415" t="s">
        <v>182</v>
      </c>
      <c r="E121" s="415" t="s">
        <v>1</v>
      </c>
      <c r="F121" s="425">
        <v>1935.43</v>
      </c>
      <c r="G121" s="440" t="s">
        <v>910</v>
      </c>
      <c r="H121" s="415" t="s">
        <v>310</v>
      </c>
      <c r="I121" s="473" t="s">
        <v>1171</v>
      </c>
      <c r="J121" s="415" t="s">
        <v>1172</v>
      </c>
      <c r="K121" s="415" t="s">
        <v>830</v>
      </c>
      <c r="L121" s="415" t="s">
        <v>909</v>
      </c>
      <c r="M121" s="415" t="s">
        <v>310</v>
      </c>
      <c r="N121" s="414">
        <v>44568</v>
      </c>
      <c r="O121" s="414" t="s">
        <v>400</v>
      </c>
      <c r="P121" s="222">
        <f t="shared" si="5"/>
        <v>1</v>
      </c>
      <c r="Q121" s="222">
        <f t="shared" si="6"/>
        <v>0</v>
      </c>
      <c r="R121" s="532" t="str">
        <f t="shared" si="7"/>
        <v>Gastos_com_Pessoal</v>
      </c>
      <c r="S121" s="467" t="s">
        <v>310</v>
      </c>
      <c r="T121" s="467" t="s">
        <v>310</v>
      </c>
      <c r="U121" s="496"/>
      <c r="V121" s="496"/>
      <c r="W121" s="496"/>
    </row>
    <row r="122" spans="1:23" ht="36" x14ac:dyDescent="0.2">
      <c r="A122" s="510">
        <f t="shared" si="4"/>
        <v>119</v>
      </c>
      <c r="B122" s="428">
        <v>44568</v>
      </c>
      <c r="C122" s="424">
        <v>44531</v>
      </c>
      <c r="D122" s="415" t="s">
        <v>182</v>
      </c>
      <c r="E122" s="415" t="s">
        <v>1</v>
      </c>
      <c r="F122" s="425">
        <v>1869.61</v>
      </c>
      <c r="G122" s="440" t="s">
        <v>910</v>
      </c>
      <c r="H122" s="415" t="s">
        <v>310</v>
      </c>
      <c r="I122" s="473" t="s">
        <v>1173</v>
      </c>
      <c r="J122" s="415" t="s">
        <v>1174</v>
      </c>
      <c r="K122" s="415" t="s">
        <v>830</v>
      </c>
      <c r="L122" s="415" t="s">
        <v>909</v>
      </c>
      <c r="M122" s="415" t="s">
        <v>310</v>
      </c>
      <c r="N122" s="414">
        <v>44568</v>
      </c>
      <c r="O122" s="414" t="s">
        <v>400</v>
      </c>
      <c r="P122" s="222">
        <f t="shared" si="5"/>
        <v>1</v>
      </c>
      <c r="Q122" s="222">
        <f t="shared" si="6"/>
        <v>0</v>
      </c>
      <c r="R122" s="532" t="str">
        <f t="shared" si="7"/>
        <v>Gastos_com_Pessoal</v>
      </c>
      <c r="S122" s="467" t="s">
        <v>310</v>
      </c>
      <c r="T122" s="467" t="s">
        <v>310</v>
      </c>
      <c r="U122" s="496"/>
      <c r="V122" s="496"/>
      <c r="W122" s="496"/>
    </row>
    <row r="123" spans="1:23" ht="36" x14ac:dyDescent="0.2">
      <c r="A123" s="510">
        <f t="shared" si="4"/>
        <v>120</v>
      </c>
      <c r="B123" s="428">
        <v>44568</v>
      </c>
      <c r="C123" s="424">
        <v>44531</v>
      </c>
      <c r="D123" s="415" t="s">
        <v>182</v>
      </c>
      <c r="E123" s="415" t="s">
        <v>1</v>
      </c>
      <c r="F123" s="425">
        <v>1935.43</v>
      </c>
      <c r="G123" s="440" t="s">
        <v>910</v>
      </c>
      <c r="H123" s="415" t="s">
        <v>310</v>
      </c>
      <c r="I123" s="473" t="s">
        <v>1175</v>
      </c>
      <c r="J123" s="415" t="s">
        <v>1176</v>
      </c>
      <c r="K123" s="415" t="s">
        <v>830</v>
      </c>
      <c r="L123" s="415" t="s">
        <v>909</v>
      </c>
      <c r="M123" s="415" t="s">
        <v>310</v>
      </c>
      <c r="N123" s="414">
        <v>44568</v>
      </c>
      <c r="O123" s="414" t="s">
        <v>400</v>
      </c>
      <c r="P123" s="222">
        <f t="shared" si="5"/>
        <v>1</v>
      </c>
      <c r="Q123" s="222">
        <f t="shared" si="6"/>
        <v>0</v>
      </c>
      <c r="R123" s="532" t="str">
        <f t="shared" si="7"/>
        <v>Gastos_com_Pessoal</v>
      </c>
      <c r="S123" s="467" t="s">
        <v>310</v>
      </c>
      <c r="T123" s="467" t="s">
        <v>310</v>
      </c>
      <c r="U123" s="496"/>
      <c r="V123" s="496"/>
      <c r="W123" s="496"/>
    </row>
    <row r="124" spans="1:23" s="307" customFormat="1" ht="36" x14ac:dyDescent="0.2">
      <c r="A124" s="510">
        <f t="shared" si="4"/>
        <v>121</v>
      </c>
      <c r="B124" s="428">
        <v>44568</v>
      </c>
      <c r="C124" s="424">
        <v>44531</v>
      </c>
      <c r="D124" s="415" t="s">
        <v>182</v>
      </c>
      <c r="E124" s="415" t="s">
        <v>1</v>
      </c>
      <c r="F124" s="425">
        <v>1953.41</v>
      </c>
      <c r="G124" s="440" t="s">
        <v>910</v>
      </c>
      <c r="H124" s="415" t="s">
        <v>310</v>
      </c>
      <c r="I124" s="473" t="s">
        <v>1177</v>
      </c>
      <c r="J124" s="415" t="s">
        <v>1178</v>
      </c>
      <c r="K124" s="415" t="s">
        <v>830</v>
      </c>
      <c r="L124" s="415" t="s">
        <v>909</v>
      </c>
      <c r="M124" s="415" t="s">
        <v>310</v>
      </c>
      <c r="N124" s="414">
        <v>44568</v>
      </c>
      <c r="O124" s="414" t="s">
        <v>400</v>
      </c>
      <c r="P124" s="222">
        <f t="shared" si="5"/>
        <v>1</v>
      </c>
      <c r="Q124" s="222">
        <f t="shared" si="6"/>
        <v>0</v>
      </c>
      <c r="R124" s="532" t="str">
        <f t="shared" si="7"/>
        <v>Gastos_com_Pessoal</v>
      </c>
      <c r="S124" s="467" t="s">
        <v>310</v>
      </c>
      <c r="T124" s="467" t="s">
        <v>310</v>
      </c>
      <c r="U124" s="496"/>
      <c r="V124" s="496"/>
      <c r="W124" s="496"/>
    </row>
    <row r="125" spans="1:23" ht="36" x14ac:dyDescent="0.2">
      <c r="A125" s="510">
        <f t="shared" si="4"/>
        <v>122</v>
      </c>
      <c r="B125" s="428">
        <v>44568</v>
      </c>
      <c r="C125" s="424">
        <v>44531</v>
      </c>
      <c r="D125" s="415" t="s">
        <v>182</v>
      </c>
      <c r="E125" s="415" t="s">
        <v>1</v>
      </c>
      <c r="F125" s="425">
        <v>2836.57</v>
      </c>
      <c r="G125" s="440" t="s">
        <v>1209</v>
      </c>
      <c r="H125" s="415" t="s">
        <v>310</v>
      </c>
      <c r="I125" s="473" t="s">
        <v>1179</v>
      </c>
      <c r="J125" s="415" t="s">
        <v>1180</v>
      </c>
      <c r="K125" s="415" t="s">
        <v>830</v>
      </c>
      <c r="L125" s="415" t="s">
        <v>909</v>
      </c>
      <c r="M125" s="415" t="s">
        <v>310</v>
      </c>
      <c r="N125" s="414">
        <v>44568</v>
      </c>
      <c r="O125" s="414" t="s">
        <v>400</v>
      </c>
      <c r="P125" s="222">
        <f t="shared" si="5"/>
        <v>1</v>
      </c>
      <c r="Q125" s="222">
        <f t="shared" si="6"/>
        <v>0</v>
      </c>
      <c r="R125" s="532" t="str">
        <f t="shared" si="7"/>
        <v>Gastos_com_Pessoal</v>
      </c>
      <c r="S125" s="467" t="s">
        <v>310</v>
      </c>
      <c r="T125" s="467" t="s">
        <v>310</v>
      </c>
      <c r="U125" s="496"/>
      <c r="V125" s="496"/>
      <c r="W125" s="496"/>
    </row>
    <row r="126" spans="1:23" ht="36" x14ac:dyDescent="0.2">
      <c r="A126" s="510">
        <f t="shared" si="4"/>
        <v>123</v>
      </c>
      <c r="B126" s="428">
        <v>44568</v>
      </c>
      <c r="C126" s="424">
        <v>44531</v>
      </c>
      <c r="D126" s="415" t="s">
        <v>182</v>
      </c>
      <c r="E126" s="415" t="s">
        <v>1</v>
      </c>
      <c r="F126" s="435">
        <v>2788.66</v>
      </c>
      <c r="G126" s="440" t="s">
        <v>956</v>
      </c>
      <c r="H126" s="415" t="s">
        <v>310</v>
      </c>
      <c r="I126" s="474" t="s">
        <v>1181</v>
      </c>
      <c r="J126" s="434" t="s">
        <v>933</v>
      </c>
      <c r="K126" s="415" t="s">
        <v>830</v>
      </c>
      <c r="L126" s="434" t="s">
        <v>909</v>
      </c>
      <c r="M126" s="415" t="s">
        <v>310</v>
      </c>
      <c r="N126" s="414">
        <v>44568</v>
      </c>
      <c r="O126" s="414" t="s">
        <v>400</v>
      </c>
      <c r="P126" s="222">
        <f t="shared" si="5"/>
        <v>1</v>
      </c>
      <c r="Q126" s="222">
        <f t="shared" si="6"/>
        <v>0</v>
      </c>
      <c r="R126" s="532" t="str">
        <f t="shared" si="7"/>
        <v>Gastos_com_Pessoal</v>
      </c>
      <c r="S126" s="467" t="s">
        <v>310</v>
      </c>
      <c r="T126" s="467" t="s">
        <v>310</v>
      </c>
      <c r="U126" s="496"/>
      <c r="V126" s="496"/>
      <c r="W126" s="496"/>
    </row>
    <row r="127" spans="1:23" ht="36" x14ac:dyDescent="0.2">
      <c r="A127" s="510">
        <f t="shared" si="4"/>
        <v>124</v>
      </c>
      <c r="B127" s="428">
        <v>44568</v>
      </c>
      <c r="C127" s="424">
        <v>44531</v>
      </c>
      <c r="D127" s="415" t="s">
        <v>182</v>
      </c>
      <c r="E127" s="415" t="s">
        <v>1</v>
      </c>
      <c r="F127" s="425">
        <v>2091.41</v>
      </c>
      <c r="G127" s="440" t="s">
        <v>968</v>
      </c>
      <c r="H127" s="415" t="s">
        <v>310</v>
      </c>
      <c r="I127" s="473" t="s">
        <v>1182</v>
      </c>
      <c r="J127" s="415" t="s">
        <v>1183</v>
      </c>
      <c r="K127" s="415" t="s">
        <v>830</v>
      </c>
      <c r="L127" s="415" t="s">
        <v>909</v>
      </c>
      <c r="M127" s="415" t="s">
        <v>310</v>
      </c>
      <c r="N127" s="414">
        <v>44568</v>
      </c>
      <c r="O127" s="414" t="s">
        <v>400</v>
      </c>
      <c r="P127" s="222">
        <f t="shared" si="5"/>
        <v>1</v>
      </c>
      <c r="Q127" s="222">
        <f t="shared" si="6"/>
        <v>0</v>
      </c>
      <c r="R127" s="532" t="str">
        <f t="shared" si="7"/>
        <v>Gastos_com_Pessoal</v>
      </c>
      <c r="S127" s="467" t="s">
        <v>310</v>
      </c>
      <c r="T127" s="467" t="s">
        <v>310</v>
      </c>
      <c r="U127" s="496"/>
      <c r="V127" s="496"/>
      <c r="W127" s="496"/>
    </row>
    <row r="128" spans="1:23" ht="36" x14ac:dyDescent="0.2">
      <c r="A128" s="510">
        <f t="shared" si="4"/>
        <v>125</v>
      </c>
      <c r="B128" s="428">
        <v>44568</v>
      </c>
      <c r="C128" s="424">
        <v>44531</v>
      </c>
      <c r="D128" s="415" t="s">
        <v>182</v>
      </c>
      <c r="E128" s="415" t="s">
        <v>1</v>
      </c>
      <c r="F128" s="435">
        <v>2812.29</v>
      </c>
      <c r="G128" s="440" t="s">
        <v>976</v>
      </c>
      <c r="H128" s="415" t="s">
        <v>310</v>
      </c>
      <c r="I128" s="474" t="s">
        <v>1184</v>
      </c>
      <c r="J128" s="434" t="s">
        <v>1185</v>
      </c>
      <c r="K128" s="415" t="s">
        <v>830</v>
      </c>
      <c r="L128" s="434" t="s">
        <v>909</v>
      </c>
      <c r="M128" s="415" t="s">
        <v>310</v>
      </c>
      <c r="N128" s="414">
        <v>44568</v>
      </c>
      <c r="O128" s="414" t="s">
        <v>400</v>
      </c>
      <c r="P128" s="222">
        <f t="shared" si="5"/>
        <v>1</v>
      </c>
      <c r="Q128" s="222">
        <f t="shared" si="6"/>
        <v>0</v>
      </c>
      <c r="R128" s="532" t="str">
        <f t="shared" si="7"/>
        <v>Gastos_com_Pessoal</v>
      </c>
      <c r="S128" s="467" t="s">
        <v>310</v>
      </c>
      <c r="T128" s="467" t="s">
        <v>310</v>
      </c>
      <c r="U128" s="496"/>
      <c r="V128" s="496"/>
      <c r="W128" s="496"/>
    </row>
    <row r="129" spans="1:23" ht="36" x14ac:dyDescent="0.2">
      <c r="A129" s="510">
        <f t="shared" si="4"/>
        <v>126</v>
      </c>
      <c r="B129" s="428">
        <v>44568</v>
      </c>
      <c r="C129" s="424">
        <v>44531</v>
      </c>
      <c r="D129" s="415" t="s">
        <v>182</v>
      </c>
      <c r="E129" s="415" t="s">
        <v>1</v>
      </c>
      <c r="F129" s="425">
        <v>2875.44</v>
      </c>
      <c r="G129" s="440" t="s">
        <v>976</v>
      </c>
      <c r="H129" s="415" t="s">
        <v>310</v>
      </c>
      <c r="I129" s="473" t="s">
        <v>1186</v>
      </c>
      <c r="J129" s="415" t="s">
        <v>1187</v>
      </c>
      <c r="K129" s="415" t="s">
        <v>830</v>
      </c>
      <c r="L129" s="415" t="s">
        <v>909</v>
      </c>
      <c r="M129" s="415" t="s">
        <v>310</v>
      </c>
      <c r="N129" s="414">
        <v>44568</v>
      </c>
      <c r="O129" s="414" t="s">
        <v>400</v>
      </c>
      <c r="P129" s="222">
        <f t="shared" si="5"/>
        <v>1</v>
      </c>
      <c r="Q129" s="222">
        <f t="shared" si="6"/>
        <v>0</v>
      </c>
      <c r="R129" s="532" t="str">
        <f t="shared" si="7"/>
        <v>Gastos_com_Pessoal</v>
      </c>
      <c r="S129" s="467" t="s">
        <v>310</v>
      </c>
      <c r="T129" s="467" t="s">
        <v>310</v>
      </c>
      <c r="U129" s="496"/>
      <c r="V129" s="496"/>
      <c r="W129" s="496"/>
    </row>
    <row r="130" spans="1:23" ht="36" x14ac:dyDescent="0.2">
      <c r="A130" s="510">
        <f t="shared" si="4"/>
        <v>127</v>
      </c>
      <c r="B130" s="428">
        <v>44568</v>
      </c>
      <c r="C130" s="424">
        <v>44531</v>
      </c>
      <c r="D130" s="415" t="s">
        <v>182</v>
      </c>
      <c r="E130" s="415" t="s">
        <v>1</v>
      </c>
      <c r="F130" s="425">
        <v>2677.44</v>
      </c>
      <c r="G130" s="440" t="s">
        <v>976</v>
      </c>
      <c r="H130" s="415" t="s">
        <v>310</v>
      </c>
      <c r="I130" s="473" t="s">
        <v>1188</v>
      </c>
      <c r="J130" s="415" t="s">
        <v>1189</v>
      </c>
      <c r="K130" s="415" t="s">
        <v>830</v>
      </c>
      <c r="L130" s="415" t="s">
        <v>909</v>
      </c>
      <c r="M130" s="415" t="s">
        <v>310</v>
      </c>
      <c r="N130" s="414">
        <v>44568</v>
      </c>
      <c r="O130" s="414" t="s">
        <v>400</v>
      </c>
      <c r="P130" s="222">
        <f t="shared" si="5"/>
        <v>1</v>
      </c>
      <c r="Q130" s="222">
        <f t="shared" si="6"/>
        <v>0</v>
      </c>
      <c r="R130" s="532" t="str">
        <f t="shared" si="7"/>
        <v>Gastos_com_Pessoal</v>
      </c>
      <c r="S130" s="467" t="s">
        <v>310</v>
      </c>
      <c r="T130" s="467" t="s">
        <v>310</v>
      </c>
      <c r="U130" s="496"/>
      <c r="V130" s="496"/>
      <c r="W130" s="496"/>
    </row>
    <row r="131" spans="1:23" ht="36" x14ac:dyDescent="0.2">
      <c r="A131" s="510">
        <f t="shared" si="4"/>
        <v>128</v>
      </c>
      <c r="B131" s="428">
        <v>44568</v>
      </c>
      <c r="C131" s="424">
        <v>44531</v>
      </c>
      <c r="D131" s="415" t="s">
        <v>182</v>
      </c>
      <c r="E131" s="415" t="s">
        <v>1</v>
      </c>
      <c r="F131" s="435">
        <v>2677.44</v>
      </c>
      <c r="G131" s="440" t="s">
        <v>976</v>
      </c>
      <c r="H131" s="415" t="s">
        <v>310</v>
      </c>
      <c r="I131" s="473" t="s">
        <v>1192</v>
      </c>
      <c r="J131" s="434" t="s">
        <v>1191</v>
      </c>
      <c r="K131" s="415" t="s">
        <v>830</v>
      </c>
      <c r="L131" s="415" t="s">
        <v>909</v>
      </c>
      <c r="M131" s="415" t="s">
        <v>310</v>
      </c>
      <c r="N131" s="414">
        <v>44568</v>
      </c>
      <c r="O131" s="414" t="s">
        <v>400</v>
      </c>
      <c r="P131" s="222">
        <f t="shared" si="5"/>
        <v>1</v>
      </c>
      <c r="Q131" s="222">
        <f t="shared" si="6"/>
        <v>0</v>
      </c>
      <c r="R131" s="532" t="str">
        <f t="shared" si="7"/>
        <v>Gastos_com_Pessoal</v>
      </c>
      <c r="S131" s="467" t="s">
        <v>310</v>
      </c>
      <c r="T131" s="467" t="s">
        <v>310</v>
      </c>
      <c r="U131" s="496"/>
      <c r="V131" s="496"/>
      <c r="W131" s="496"/>
    </row>
    <row r="132" spans="1:23" ht="36" x14ac:dyDescent="0.2">
      <c r="A132" s="510">
        <f t="shared" ref="A132:A195" si="8">IF(B132="","",ROW()-ROW($A$3))</f>
        <v>129</v>
      </c>
      <c r="B132" s="428">
        <v>44568</v>
      </c>
      <c r="C132" s="424">
        <v>44531</v>
      </c>
      <c r="D132" s="415" t="s">
        <v>182</v>
      </c>
      <c r="E132" s="415" t="s">
        <v>1</v>
      </c>
      <c r="F132" s="425">
        <v>508.1</v>
      </c>
      <c r="G132" s="440" t="s">
        <v>1210</v>
      </c>
      <c r="H132" s="415" t="s">
        <v>310</v>
      </c>
      <c r="I132" s="473" t="s">
        <v>1194</v>
      </c>
      <c r="J132" s="415" t="s">
        <v>1193</v>
      </c>
      <c r="K132" s="415" t="s">
        <v>830</v>
      </c>
      <c r="L132" s="415" t="s">
        <v>909</v>
      </c>
      <c r="M132" s="415" t="s">
        <v>310</v>
      </c>
      <c r="N132" s="414">
        <v>44568</v>
      </c>
      <c r="O132" s="414" t="s">
        <v>400</v>
      </c>
      <c r="P132" s="222">
        <f t="shared" ref="P132:P195" si="9">IF(B132=0,0,IF(YEAR(B132)=$Q$1,MONTH(B132)-$P$1+1,(YEAR(B132)-$Q$1)*12-$P$1+1+MONTH(B132)))</f>
        <v>1</v>
      </c>
      <c r="Q132" s="222">
        <f t="shared" ref="Q132:Q195" si="10">IF(C132=0,0,IF(YEAR(C132)=$Q$1,MONTH(C132)-$P$1+1,(YEAR(C132)-$Q$1)*12-$P$1+1+MONTH(C132)))</f>
        <v>0</v>
      </c>
      <c r="R132" s="532" t="str">
        <f t="shared" ref="R132:R195" si="11">SUBSTITUTE(D132," ","_")</f>
        <v>Gastos_com_Pessoal</v>
      </c>
      <c r="S132" s="467" t="s">
        <v>310</v>
      </c>
      <c r="T132" s="467" t="s">
        <v>310</v>
      </c>
      <c r="U132" s="496"/>
      <c r="V132" s="496"/>
      <c r="W132" s="496"/>
    </row>
    <row r="133" spans="1:23" ht="36" x14ac:dyDescent="0.2">
      <c r="A133" s="510">
        <f t="shared" si="8"/>
        <v>130</v>
      </c>
      <c r="B133" s="428">
        <v>44568</v>
      </c>
      <c r="C133" s="424">
        <v>44531</v>
      </c>
      <c r="D133" s="415" t="s">
        <v>182</v>
      </c>
      <c r="E133" s="415" t="s">
        <v>1</v>
      </c>
      <c r="F133" s="425">
        <v>1528.52</v>
      </c>
      <c r="G133" s="440" t="s">
        <v>1211</v>
      </c>
      <c r="H133" s="415" t="s">
        <v>310</v>
      </c>
      <c r="I133" s="473" t="s">
        <v>1196</v>
      </c>
      <c r="J133" s="415" t="s">
        <v>1195</v>
      </c>
      <c r="K133" s="415" t="s">
        <v>830</v>
      </c>
      <c r="L133" s="415" t="s">
        <v>909</v>
      </c>
      <c r="M133" s="415" t="s">
        <v>310</v>
      </c>
      <c r="N133" s="414">
        <v>44568</v>
      </c>
      <c r="O133" s="414" t="s">
        <v>400</v>
      </c>
      <c r="P133" s="222">
        <f t="shared" si="9"/>
        <v>1</v>
      </c>
      <c r="Q133" s="222">
        <f t="shared" si="10"/>
        <v>0</v>
      </c>
      <c r="R133" s="532" t="str">
        <f t="shared" si="11"/>
        <v>Gastos_com_Pessoal</v>
      </c>
      <c r="S133" s="467" t="s">
        <v>310</v>
      </c>
      <c r="T133" s="467" t="s">
        <v>310</v>
      </c>
      <c r="U133" s="496"/>
      <c r="V133" s="496"/>
      <c r="W133" s="496"/>
    </row>
    <row r="134" spans="1:23" ht="36" x14ac:dyDescent="0.2">
      <c r="A134" s="510">
        <f t="shared" si="8"/>
        <v>131</v>
      </c>
      <c r="B134" s="428">
        <v>44568</v>
      </c>
      <c r="C134" s="424">
        <v>44531</v>
      </c>
      <c r="D134" s="415" t="s">
        <v>182</v>
      </c>
      <c r="E134" s="415" t="s">
        <v>1</v>
      </c>
      <c r="F134" s="425">
        <v>1935.43</v>
      </c>
      <c r="G134" s="440" t="s">
        <v>1212</v>
      </c>
      <c r="H134" s="415" t="s">
        <v>310</v>
      </c>
      <c r="I134" s="473" t="s">
        <v>1198</v>
      </c>
      <c r="J134" s="415" t="s">
        <v>1197</v>
      </c>
      <c r="K134" s="415" t="s">
        <v>830</v>
      </c>
      <c r="L134" s="415" t="s">
        <v>909</v>
      </c>
      <c r="M134" s="415" t="s">
        <v>310</v>
      </c>
      <c r="N134" s="414">
        <v>44568</v>
      </c>
      <c r="O134" s="414" t="s">
        <v>400</v>
      </c>
      <c r="P134" s="222">
        <f t="shared" si="9"/>
        <v>1</v>
      </c>
      <c r="Q134" s="222">
        <f t="shared" si="10"/>
        <v>0</v>
      </c>
      <c r="R134" s="532" t="str">
        <f t="shared" si="11"/>
        <v>Gastos_com_Pessoal</v>
      </c>
      <c r="S134" s="467" t="s">
        <v>310</v>
      </c>
      <c r="T134" s="467" t="s">
        <v>310</v>
      </c>
      <c r="U134" s="496"/>
      <c r="V134" s="496"/>
      <c r="W134" s="496"/>
    </row>
    <row r="135" spans="1:23" ht="36" x14ac:dyDescent="0.2">
      <c r="A135" s="510">
        <f t="shared" si="8"/>
        <v>132</v>
      </c>
      <c r="B135" s="428">
        <v>44568</v>
      </c>
      <c r="C135" s="424">
        <v>44531</v>
      </c>
      <c r="D135" s="415" t="s">
        <v>182</v>
      </c>
      <c r="E135" s="415" t="s">
        <v>1</v>
      </c>
      <c r="F135" s="425">
        <v>1905.12</v>
      </c>
      <c r="G135" s="440" t="s">
        <v>1213</v>
      </c>
      <c r="H135" s="415" t="s">
        <v>310</v>
      </c>
      <c r="I135" s="473" t="s">
        <v>1200</v>
      </c>
      <c r="J135" s="415" t="s">
        <v>1199</v>
      </c>
      <c r="K135" s="415" t="s">
        <v>830</v>
      </c>
      <c r="L135" s="415" t="s">
        <v>909</v>
      </c>
      <c r="M135" s="415" t="s">
        <v>310</v>
      </c>
      <c r="N135" s="414">
        <v>44568</v>
      </c>
      <c r="O135" s="414" t="s">
        <v>400</v>
      </c>
      <c r="P135" s="222">
        <f t="shared" si="9"/>
        <v>1</v>
      </c>
      <c r="Q135" s="222">
        <f t="shared" si="10"/>
        <v>0</v>
      </c>
      <c r="R135" s="532" t="str">
        <f t="shared" si="11"/>
        <v>Gastos_com_Pessoal</v>
      </c>
      <c r="S135" s="467" t="s">
        <v>310</v>
      </c>
      <c r="T135" s="467" t="s">
        <v>310</v>
      </c>
      <c r="U135" s="496"/>
      <c r="V135" s="496"/>
      <c r="W135" s="496"/>
    </row>
    <row r="136" spans="1:23" ht="36" x14ac:dyDescent="0.2">
      <c r="A136" s="510">
        <f t="shared" si="8"/>
        <v>133</v>
      </c>
      <c r="B136" s="428">
        <v>44568</v>
      </c>
      <c r="C136" s="424">
        <v>44531</v>
      </c>
      <c r="D136" s="415" t="s">
        <v>182</v>
      </c>
      <c r="E136" s="415" t="s">
        <v>1</v>
      </c>
      <c r="F136" s="425">
        <v>2073.4299999999998</v>
      </c>
      <c r="G136" s="440" t="s">
        <v>1214</v>
      </c>
      <c r="H136" s="415" t="s">
        <v>310</v>
      </c>
      <c r="I136" s="473" t="s">
        <v>1202</v>
      </c>
      <c r="J136" s="415" t="s">
        <v>1201</v>
      </c>
      <c r="K136" s="415" t="s">
        <v>830</v>
      </c>
      <c r="L136" s="415" t="s">
        <v>909</v>
      </c>
      <c r="M136" s="415" t="s">
        <v>310</v>
      </c>
      <c r="N136" s="414">
        <v>44568</v>
      </c>
      <c r="O136" s="414" t="s">
        <v>400</v>
      </c>
      <c r="P136" s="222">
        <f t="shared" si="9"/>
        <v>1</v>
      </c>
      <c r="Q136" s="222">
        <f t="shared" si="10"/>
        <v>0</v>
      </c>
      <c r="R136" s="532" t="str">
        <f t="shared" si="11"/>
        <v>Gastos_com_Pessoal</v>
      </c>
      <c r="S136" s="467" t="s">
        <v>310</v>
      </c>
      <c r="T136" s="467" t="s">
        <v>310</v>
      </c>
      <c r="U136" s="496"/>
      <c r="V136" s="496"/>
      <c r="W136" s="496"/>
    </row>
    <row r="137" spans="1:23" ht="36" x14ac:dyDescent="0.2">
      <c r="A137" s="510">
        <f t="shared" si="8"/>
        <v>134</v>
      </c>
      <c r="B137" s="428">
        <v>44568</v>
      </c>
      <c r="C137" s="424">
        <v>44531</v>
      </c>
      <c r="D137" s="415" t="s">
        <v>182</v>
      </c>
      <c r="E137" s="415" t="s">
        <v>1</v>
      </c>
      <c r="F137" s="425">
        <v>1953.41</v>
      </c>
      <c r="G137" s="440" t="s">
        <v>1215</v>
      </c>
      <c r="H137" s="415" t="s">
        <v>310</v>
      </c>
      <c r="I137" s="473" t="s">
        <v>1203</v>
      </c>
      <c r="J137" s="415" t="s">
        <v>1201</v>
      </c>
      <c r="K137" s="415" t="s">
        <v>830</v>
      </c>
      <c r="L137" s="415" t="s">
        <v>909</v>
      </c>
      <c r="M137" s="415" t="s">
        <v>310</v>
      </c>
      <c r="N137" s="414">
        <v>44568</v>
      </c>
      <c r="O137" s="414" t="s">
        <v>400</v>
      </c>
      <c r="P137" s="222">
        <f t="shared" si="9"/>
        <v>1</v>
      </c>
      <c r="Q137" s="222">
        <f t="shared" si="10"/>
        <v>0</v>
      </c>
      <c r="R137" s="532" t="str">
        <f t="shared" si="11"/>
        <v>Gastos_com_Pessoal</v>
      </c>
      <c r="S137" s="467" t="s">
        <v>310</v>
      </c>
      <c r="T137" s="467" t="s">
        <v>310</v>
      </c>
      <c r="U137" s="496"/>
      <c r="V137" s="496"/>
      <c r="W137" s="496"/>
    </row>
    <row r="138" spans="1:23" ht="36" x14ac:dyDescent="0.2">
      <c r="A138" s="510">
        <f t="shared" si="8"/>
        <v>135</v>
      </c>
      <c r="B138" s="428">
        <v>44568</v>
      </c>
      <c r="C138" s="424">
        <v>44531</v>
      </c>
      <c r="D138" s="415" t="s">
        <v>182</v>
      </c>
      <c r="E138" s="415" t="s">
        <v>1</v>
      </c>
      <c r="F138" s="425">
        <v>1957.13</v>
      </c>
      <c r="G138" s="440" t="s">
        <v>1216</v>
      </c>
      <c r="H138" s="415" t="s">
        <v>310</v>
      </c>
      <c r="I138" s="473" t="s">
        <v>1205</v>
      </c>
      <c r="J138" s="415" t="s">
        <v>1204</v>
      </c>
      <c r="K138" s="415" t="s">
        <v>830</v>
      </c>
      <c r="L138" s="415" t="s">
        <v>909</v>
      </c>
      <c r="M138" s="415" t="s">
        <v>310</v>
      </c>
      <c r="N138" s="414">
        <v>44568</v>
      </c>
      <c r="O138" s="414" t="s">
        <v>400</v>
      </c>
      <c r="P138" s="222">
        <f t="shared" si="9"/>
        <v>1</v>
      </c>
      <c r="Q138" s="222">
        <f t="shared" si="10"/>
        <v>0</v>
      </c>
      <c r="R138" s="532" t="str">
        <f t="shared" si="11"/>
        <v>Gastos_com_Pessoal</v>
      </c>
      <c r="S138" s="467" t="s">
        <v>310</v>
      </c>
      <c r="T138" s="467" t="s">
        <v>310</v>
      </c>
      <c r="U138" s="496"/>
      <c r="V138" s="496"/>
      <c r="W138" s="496"/>
    </row>
    <row r="139" spans="1:23" ht="36" x14ac:dyDescent="0.2">
      <c r="A139" s="510">
        <f t="shared" si="8"/>
        <v>136</v>
      </c>
      <c r="B139" s="428">
        <v>44568</v>
      </c>
      <c r="C139" s="424">
        <v>44531</v>
      </c>
      <c r="D139" s="415" t="s">
        <v>182</v>
      </c>
      <c r="E139" s="415" t="s">
        <v>1</v>
      </c>
      <c r="F139" s="425">
        <v>1454.45</v>
      </c>
      <c r="G139" s="440" t="s">
        <v>1217</v>
      </c>
      <c r="H139" s="415" t="s">
        <v>310</v>
      </c>
      <c r="I139" s="473" t="s">
        <v>1207</v>
      </c>
      <c r="J139" s="415" t="s">
        <v>1206</v>
      </c>
      <c r="K139" s="415" t="s">
        <v>830</v>
      </c>
      <c r="L139" s="415" t="s">
        <v>909</v>
      </c>
      <c r="M139" s="415" t="s">
        <v>310</v>
      </c>
      <c r="N139" s="414">
        <v>44568</v>
      </c>
      <c r="O139" s="414" t="s">
        <v>400</v>
      </c>
      <c r="P139" s="222">
        <f t="shared" si="9"/>
        <v>1</v>
      </c>
      <c r="Q139" s="222">
        <f t="shared" si="10"/>
        <v>0</v>
      </c>
      <c r="R139" s="532" t="str">
        <f t="shared" si="11"/>
        <v>Gastos_com_Pessoal</v>
      </c>
      <c r="S139" s="467" t="s">
        <v>310</v>
      </c>
      <c r="T139" s="467" t="s">
        <v>310</v>
      </c>
      <c r="U139" s="496"/>
      <c r="V139" s="496"/>
      <c r="W139" s="496"/>
    </row>
    <row r="140" spans="1:23" ht="36" x14ac:dyDescent="0.2">
      <c r="A140" s="510">
        <f t="shared" si="8"/>
        <v>137</v>
      </c>
      <c r="B140" s="428">
        <v>44568</v>
      </c>
      <c r="C140" s="424">
        <v>44531</v>
      </c>
      <c r="D140" s="415" t="s">
        <v>182</v>
      </c>
      <c r="E140" s="415" t="s">
        <v>1</v>
      </c>
      <c r="F140" s="425">
        <v>1935.43</v>
      </c>
      <c r="G140" s="440" t="s">
        <v>910</v>
      </c>
      <c r="H140" s="415" t="s">
        <v>310</v>
      </c>
      <c r="I140" s="398" t="s">
        <v>1190</v>
      </c>
      <c r="J140" s="399" t="s">
        <v>1191</v>
      </c>
      <c r="K140" s="415" t="s">
        <v>830</v>
      </c>
      <c r="L140" s="399" t="s">
        <v>909</v>
      </c>
      <c r="M140" s="415" t="s">
        <v>310</v>
      </c>
      <c r="N140" s="414">
        <v>44568</v>
      </c>
      <c r="O140" s="414" t="s">
        <v>400</v>
      </c>
      <c r="P140" s="222">
        <f t="shared" si="9"/>
        <v>1</v>
      </c>
      <c r="Q140" s="222">
        <f t="shared" si="10"/>
        <v>0</v>
      </c>
      <c r="R140" s="532" t="str">
        <f t="shared" si="11"/>
        <v>Gastos_com_Pessoal</v>
      </c>
      <c r="S140" s="467" t="s">
        <v>310</v>
      </c>
      <c r="T140" s="467" t="s">
        <v>310</v>
      </c>
      <c r="U140" s="496"/>
      <c r="V140" s="496"/>
      <c r="W140" s="496"/>
    </row>
    <row r="141" spans="1:23" ht="36" x14ac:dyDescent="0.2">
      <c r="A141" s="510">
        <f t="shared" si="8"/>
        <v>138</v>
      </c>
      <c r="B141" s="428">
        <v>44568</v>
      </c>
      <c r="C141" s="424">
        <v>44531</v>
      </c>
      <c r="D141" s="415" t="s">
        <v>182</v>
      </c>
      <c r="E141" s="415" t="s">
        <v>287</v>
      </c>
      <c r="F141" s="425">
        <v>3603.25</v>
      </c>
      <c r="G141" s="440" t="s">
        <v>1218</v>
      </c>
      <c r="H141" s="415" t="s">
        <v>310</v>
      </c>
      <c r="I141" s="473" t="s">
        <v>1169</v>
      </c>
      <c r="J141" s="415" t="s">
        <v>1170</v>
      </c>
      <c r="K141" s="415" t="s">
        <v>830</v>
      </c>
      <c r="L141" s="415" t="s">
        <v>925</v>
      </c>
      <c r="M141" s="415" t="s">
        <v>310</v>
      </c>
      <c r="N141" s="414">
        <v>44568</v>
      </c>
      <c r="O141" s="414" t="s">
        <v>400</v>
      </c>
      <c r="P141" s="222">
        <f t="shared" si="9"/>
        <v>1</v>
      </c>
      <c r="Q141" s="222">
        <f t="shared" si="10"/>
        <v>0</v>
      </c>
      <c r="R141" s="532" t="str">
        <f t="shared" si="11"/>
        <v>Gastos_com_Pessoal</v>
      </c>
      <c r="S141" s="467" t="s">
        <v>310</v>
      </c>
      <c r="T141" s="467" t="s">
        <v>310</v>
      </c>
      <c r="U141" s="496"/>
      <c r="V141" s="496"/>
      <c r="W141" s="496"/>
    </row>
    <row r="142" spans="1:23" ht="24" x14ac:dyDescent="0.2">
      <c r="A142" s="510">
        <f t="shared" si="8"/>
        <v>139</v>
      </c>
      <c r="B142" s="428">
        <v>44568</v>
      </c>
      <c r="C142" s="424">
        <v>44531</v>
      </c>
      <c r="D142" s="415" t="s">
        <v>182</v>
      </c>
      <c r="E142" s="415" t="s">
        <v>4</v>
      </c>
      <c r="F142" s="425">
        <v>18322.64</v>
      </c>
      <c r="G142" s="440" t="s">
        <v>1221</v>
      </c>
      <c r="H142" s="399" t="s">
        <v>310</v>
      </c>
      <c r="I142" s="398" t="s">
        <v>1219</v>
      </c>
      <c r="J142" s="418" t="s">
        <v>310</v>
      </c>
      <c r="K142" s="418" t="s">
        <v>1220</v>
      </c>
      <c r="L142" s="399" t="s">
        <v>4</v>
      </c>
      <c r="M142" s="543" t="s">
        <v>310</v>
      </c>
      <c r="N142" s="414">
        <v>44568</v>
      </c>
      <c r="O142" s="414" t="s">
        <v>400</v>
      </c>
      <c r="P142" s="222">
        <f t="shared" si="9"/>
        <v>1</v>
      </c>
      <c r="Q142" s="222">
        <f t="shared" si="10"/>
        <v>0</v>
      </c>
      <c r="R142" s="532" t="str">
        <f t="shared" si="11"/>
        <v>Gastos_com_Pessoal</v>
      </c>
      <c r="S142" s="467" t="s">
        <v>310</v>
      </c>
      <c r="T142" s="467" t="s">
        <v>310</v>
      </c>
      <c r="U142" s="496"/>
      <c r="V142" s="496"/>
      <c r="W142" s="496"/>
    </row>
    <row r="143" spans="1:23" ht="24" x14ac:dyDescent="0.2">
      <c r="A143" s="510">
        <f t="shared" si="8"/>
        <v>140</v>
      </c>
      <c r="B143" s="428">
        <v>44568</v>
      </c>
      <c r="C143" s="424">
        <v>44531</v>
      </c>
      <c r="D143" s="415" t="s">
        <v>182</v>
      </c>
      <c r="E143" s="415" t="s">
        <v>268</v>
      </c>
      <c r="F143" s="425">
        <v>5933.82</v>
      </c>
      <c r="G143" s="427" t="s">
        <v>1223</v>
      </c>
      <c r="H143" s="399" t="s">
        <v>310</v>
      </c>
      <c r="I143" s="398" t="s">
        <v>1219</v>
      </c>
      <c r="J143" s="418" t="s">
        <v>310</v>
      </c>
      <c r="K143" s="418" t="s">
        <v>1220</v>
      </c>
      <c r="L143" s="399" t="s">
        <v>4</v>
      </c>
      <c r="M143" s="543" t="s">
        <v>310</v>
      </c>
      <c r="N143" s="414">
        <v>44568</v>
      </c>
      <c r="O143" s="414" t="s">
        <v>400</v>
      </c>
      <c r="P143" s="222">
        <f t="shared" si="9"/>
        <v>1</v>
      </c>
      <c r="Q143" s="222">
        <f t="shared" si="10"/>
        <v>0</v>
      </c>
      <c r="R143" s="532" t="str">
        <f t="shared" si="11"/>
        <v>Gastos_com_Pessoal</v>
      </c>
      <c r="S143" s="467" t="s">
        <v>310</v>
      </c>
      <c r="T143" s="467" t="s">
        <v>310</v>
      </c>
      <c r="U143" s="496"/>
      <c r="V143" s="496"/>
      <c r="W143" s="496"/>
    </row>
    <row r="144" spans="1:23" ht="36" x14ac:dyDescent="0.2">
      <c r="A144" s="510">
        <f t="shared" si="8"/>
        <v>141</v>
      </c>
      <c r="B144" s="428">
        <v>44568</v>
      </c>
      <c r="C144" s="424">
        <v>44531</v>
      </c>
      <c r="D144" s="415" t="s">
        <v>182</v>
      </c>
      <c r="E144" s="415" t="s">
        <v>287</v>
      </c>
      <c r="F144" s="425">
        <v>4909.28</v>
      </c>
      <c r="G144" s="427" t="s">
        <v>1231</v>
      </c>
      <c r="H144" s="415" t="s">
        <v>310</v>
      </c>
      <c r="I144" s="473" t="s">
        <v>990</v>
      </c>
      <c r="J144" s="415" t="s">
        <v>991</v>
      </c>
      <c r="K144" s="415" t="s">
        <v>830</v>
      </c>
      <c r="L144" s="415" t="s">
        <v>925</v>
      </c>
      <c r="M144" s="415" t="s">
        <v>310</v>
      </c>
      <c r="N144" s="414">
        <v>44568</v>
      </c>
      <c r="O144" s="414" t="s">
        <v>400</v>
      </c>
      <c r="P144" s="222">
        <f t="shared" si="9"/>
        <v>1</v>
      </c>
      <c r="Q144" s="222">
        <f t="shared" si="10"/>
        <v>0</v>
      </c>
      <c r="R144" s="532" t="str">
        <f t="shared" si="11"/>
        <v>Gastos_com_Pessoal</v>
      </c>
      <c r="S144" s="467" t="s">
        <v>310</v>
      </c>
      <c r="T144" s="467" t="s">
        <v>310</v>
      </c>
      <c r="U144" s="496"/>
      <c r="V144" s="496"/>
      <c r="W144" s="496"/>
    </row>
    <row r="145" spans="1:23" ht="24" x14ac:dyDescent="0.2">
      <c r="A145" s="510">
        <f t="shared" si="8"/>
        <v>142</v>
      </c>
      <c r="B145" s="428">
        <v>44568</v>
      </c>
      <c r="C145" s="424">
        <v>44562</v>
      </c>
      <c r="D145" s="415" t="s">
        <v>271</v>
      </c>
      <c r="E145" s="415" t="s">
        <v>71</v>
      </c>
      <c r="F145" s="425">
        <v>10.45</v>
      </c>
      <c r="G145" s="427" t="s">
        <v>1232</v>
      </c>
      <c r="H145" s="415" t="s">
        <v>310</v>
      </c>
      <c r="I145" s="398" t="s">
        <v>881</v>
      </c>
      <c r="J145" s="418" t="s">
        <v>882</v>
      </c>
      <c r="K145" s="418" t="s">
        <v>883</v>
      </c>
      <c r="L145" s="399" t="s">
        <v>798</v>
      </c>
      <c r="M145" s="544" t="s">
        <v>310</v>
      </c>
      <c r="N145" s="414">
        <v>44568</v>
      </c>
      <c r="O145" s="414" t="s">
        <v>400</v>
      </c>
      <c r="P145" s="222">
        <f t="shared" si="9"/>
        <v>1</v>
      </c>
      <c r="Q145" s="222">
        <f t="shared" si="10"/>
        <v>1</v>
      </c>
      <c r="R145" s="532" t="str">
        <f t="shared" si="11"/>
        <v>Gastos_Gerais</v>
      </c>
      <c r="S145" s="467" t="s">
        <v>310</v>
      </c>
      <c r="T145" s="467" t="s">
        <v>310</v>
      </c>
      <c r="U145" s="496"/>
      <c r="V145" s="496"/>
      <c r="W145" s="496"/>
    </row>
    <row r="146" spans="1:23" ht="24" x14ac:dyDescent="0.2">
      <c r="A146" s="510">
        <f t="shared" si="8"/>
        <v>143</v>
      </c>
      <c r="B146" s="428">
        <v>44568</v>
      </c>
      <c r="C146" s="424">
        <v>44562</v>
      </c>
      <c r="D146" s="415" t="s">
        <v>271</v>
      </c>
      <c r="E146" s="415" t="s">
        <v>71</v>
      </c>
      <c r="F146" s="425">
        <v>10.45</v>
      </c>
      <c r="G146" s="427" t="s">
        <v>1233</v>
      </c>
      <c r="H146" s="415" t="s">
        <v>310</v>
      </c>
      <c r="I146" s="398" t="s">
        <v>881</v>
      </c>
      <c r="J146" s="418" t="s">
        <v>882</v>
      </c>
      <c r="K146" s="418" t="s">
        <v>883</v>
      </c>
      <c r="L146" s="399" t="s">
        <v>798</v>
      </c>
      <c r="M146" s="544" t="s">
        <v>310</v>
      </c>
      <c r="N146" s="414">
        <v>44568</v>
      </c>
      <c r="O146" s="414" t="s">
        <v>400</v>
      </c>
      <c r="P146" s="222">
        <f t="shared" si="9"/>
        <v>1</v>
      </c>
      <c r="Q146" s="222">
        <f t="shared" si="10"/>
        <v>1</v>
      </c>
      <c r="R146" s="532" t="str">
        <f t="shared" si="11"/>
        <v>Gastos_Gerais</v>
      </c>
      <c r="S146" s="467" t="s">
        <v>310</v>
      </c>
      <c r="T146" s="467" t="s">
        <v>310</v>
      </c>
      <c r="U146" s="496"/>
      <c r="V146" s="496"/>
      <c r="W146" s="496"/>
    </row>
    <row r="147" spans="1:23" ht="95.25" customHeight="1" x14ac:dyDescent="0.2">
      <c r="A147" s="510">
        <f t="shared" si="8"/>
        <v>144</v>
      </c>
      <c r="B147" s="428">
        <v>44568</v>
      </c>
      <c r="C147" s="424">
        <v>44562</v>
      </c>
      <c r="D147" s="415" t="s">
        <v>271</v>
      </c>
      <c r="E147" s="415" t="s">
        <v>71</v>
      </c>
      <c r="F147" s="425">
        <v>10.45</v>
      </c>
      <c r="G147" s="427" t="s">
        <v>1234</v>
      </c>
      <c r="H147" s="415" t="s">
        <v>310</v>
      </c>
      <c r="I147" s="398" t="s">
        <v>881</v>
      </c>
      <c r="J147" s="418" t="s">
        <v>882</v>
      </c>
      <c r="K147" s="418" t="s">
        <v>883</v>
      </c>
      <c r="L147" s="399" t="s">
        <v>798</v>
      </c>
      <c r="M147" s="544" t="s">
        <v>310</v>
      </c>
      <c r="N147" s="414">
        <v>44568</v>
      </c>
      <c r="O147" s="414" t="s">
        <v>400</v>
      </c>
      <c r="P147" s="222">
        <f t="shared" si="9"/>
        <v>1</v>
      </c>
      <c r="Q147" s="222">
        <f t="shared" si="10"/>
        <v>1</v>
      </c>
      <c r="R147" s="532" t="str">
        <f t="shared" si="11"/>
        <v>Gastos_Gerais</v>
      </c>
      <c r="S147" s="467" t="s">
        <v>310</v>
      </c>
      <c r="T147" s="467" t="s">
        <v>310</v>
      </c>
      <c r="U147" s="496"/>
      <c r="V147" s="496"/>
      <c r="W147" s="496"/>
    </row>
    <row r="148" spans="1:23" ht="176.25" customHeight="1" x14ac:dyDescent="0.2">
      <c r="A148" s="510">
        <f t="shared" si="8"/>
        <v>145</v>
      </c>
      <c r="B148" s="428">
        <v>44568</v>
      </c>
      <c r="C148" s="424">
        <v>44562</v>
      </c>
      <c r="D148" s="415" t="s">
        <v>271</v>
      </c>
      <c r="E148" s="415" t="s">
        <v>71</v>
      </c>
      <c r="F148" s="425">
        <v>10.45</v>
      </c>
      <c r="G148" s="427" t="s">
        <v>1233</v>
      </c>
      <c r="H148" s="415" t="s">
        <v>310</v>
      </c>
      <c r="I148" s="398" t="s">
        <v>881</v>
      </c>
      <c r="J148" s="418" t="s">
        <v>882</v>
      </c>
      <c r="K148" s="418" t="s">
        <v>883</v>
      </c>
      <c r="L148" s="399" t="s">
        <v>798</v>
      </c>
      <c r="M148" s="544" t="s">
        <v>310</v>
      </c>
      <c r="N148" s="414">
        <v>44568</v>
      </c>
      <c r="O148" s="414" t="s">
        <v>400</v>
      </c>
      <c r="P148" s="222">
        <f t="shared" si="9"/>
        <v>1</v>
      </c>
      <c r="Q148" s="222">
        <f t="shared" si="10"/>
        <v>1</v>
      </c>
      <c r="R148" s="532" t="str">
        <f t="shared" si="11"/>
        <v>Gastos_Gerais</v>
      </c>
      <c r="S148" s="467" t="s">
        <v>310</v>
      </c>
      <c r="T148" s="467" t="s">
        <v>310</v>
      </c>
      <c r="U148" s="496"/>
      <c r="V148" s="496"/>
      <c r="W148" s="496"/>
    </row>
    <row r="149" spans="1:23" ht="24" x14ac:dyDescent="0.2">
      <c r="A149" s="510">
        <f t="shared" si="8"/>
        <v>146</v>
      </c>
      <c r="B149" s="428">
        <v>44568</v>
      </c>
      <c r="C149" s="424">
        <v>44562</v>
      </c>
      <c r="D149" s="415" t="s">
        <v>271</v>
      </c>
      <c r="E149" s="415" t="s">
        <v>71</v>
      </c>
      <c r="F149" s="425">
        <v>10.45</v>
      </c>
      <c r="G149" s="427" t="s">
        <v>1235</v>
      </c>
      <c r="H149" s="415" t="s">
        <v>310</v>
      </c>
      <c r="I149" s="398" t="s">
        <v>881</v>
      </c>
      <c r="J149" s="418" t="s">
        <v>882</v>
      </c>
      <c r="K149" s="418" t="s">
        <v>883</v>
      </c>
      <c r="L149" s="399" t="s">
        <v>798</v>
      </c>
      <c r="M149" s="544" t="s">
        <v>310</v>
      </c>
      <c r="N149" s="414">
        <v>44568</v>
      </c>
      <c r="O149" s="414" t="s">
        <v>400</v>
      </c>
      <c r="P149" s="222">
        <f t="shared" si="9"/>
        <v>1</v>
      </c>
      <c r="Q149" s="222">
        <f t="shared" si="10"/>
        <v>1</v>
      </c>
      <c r="R149" s="532" t="str">
        <f t="shared" si="11"/>
        <v>Gastos_Gerais</v>
      </c>
      <c r="S149" s="467" t="s">
        <v>310</v>
      </c>
      <c r="T149" s="467" t="s">
        <v>310</v>
      </c>
      <c r="U149" s="496"/>
      <c r="V149" s="496"/>
      <c r="W149" s="496"/>
    </row>
    <row r="150" spans="1:23" ht="24" x14ac:dyDescent="0.2">
      <c r="A150" s="510">
        <f t="shared" si="8"/>
        <v>147</v>
      </c>
      <c r="B150" s="428">
        <v>44568</v>
      </c>
      <c r="C150" s="424">
        <v>44562</v>
      </c>
      <c r="D150" s="415" t="s">
        <v>271</v>
      </c>
      <c r="E150" s="415" t="s">
        <v>71</v>
      </c>
      <c r="F150" s="425">
        <v>10.45</v>
      </c>
      <c r="G150" s="427" t="s">
        <v>1233</v>
      </c>
      <c r="H150" s="415" t="s">
        <v>310</v>
      </c>
      <c r="I150" s="398" t="s">
        <v>881</v>
      </c>
      <c r="J150" s="418" t="s">
        <v>882</v>
      </c>
      <c r="K150" s="418" t="s">
        <v>883</v>
      </c>
      <c r="L150" s="399" t="s">
        <v>798</v>
      </c>
      <c r="M150" s="544" t="s">
        <v>310</v>
      </c>
      <c r="N150" s="414">
        <v>44568</v>
      </c>
      <c r="O150" s="414" t="s">
        <v>400</v>
      </c>
      <c r="P150" s="222">
        <f t="shared" si="9"/>
        <v>1</v>
      </c>
      <c r="Q150" s="222">
        <f t="shared" si="10"/>
        <v>1</v>
      </c>
      <c r="R150" s="532" t="str">
        <f t="shared" si="11"/>
        <v>Gastos_Gerais</v>
      </c>
      <c r="S150" s="467" t="s">
        <v>310</v>
      </c>
      <c r="T150" s="467" t="s">
        <v>310</v>
      </c>
      <c r="U150" s="496"/>
      <c r="V150" s="496"/>
      <c r="W150" s="496"/>
    </row>
    <row r="151" spans="1:23" ht="24" x14ac:dyDescent="0.2">
      <c r="A151" s="510">
        <f t="shared" si="8"/>
        <v>148</v>
      </c>
      <c r="B151" s="428">
        <v>44568</v>
      </c>
      <c r="C151" s="424">
        <v>44562</v>
      </c>
      <c r="D151" s="415" t="s">
        <v>271</v>
      </c>
      <c r="E151" s="415" t="s">
        <v>71</v>
      </c>
      <c r="F151" s="425">
        <v>10.45</v>
      </c>
      <c r="G151" s="427" t="s">
        <v>1236</v>
      </c>
      <c r="H151" s="415" t="s">
        <v>310</v>
      </c>
      <c r="I151" s="398" t="s">
        <v>881</v>
      </c>
      <c r="J151" s="418" t="s">
        <v>882</v>
      </c>
      <c r="K151" s="418" t="s">
        <v>883</v>
      </c>
      <c r="L151" s="399" t="s">
        <v>798</v>
      </c>
      <c r="M151" s="544" t="s">
        <v>310</v>
      </c>
      <c r="N151" s="414">
        <v>44568</v>
      </c>
      <c r="O151" s="414" t="s">
        <v>400</v>
      </c>
      <c r="P151" s="222">
        <f t="shared" si="9"/>
        <v>1</v>
      </c>
      <c r="Q151" s="222">
        <f t="shared" si="10"/>
        <v>1</v>
      </c>
      <c r="R151" s="532" t="str">
        <f t="shared" si="11"/>
        <v>Gastos_Gerais</v>
      </c>
      <c r="S151" s="467" t="s">
        <v>310</v>
      </c>
      <c r="T151" s="467" t="s">
        <v>310</v>
      </c>
      <c r="U151" s="496"/>
      <c r="V151" s="496"/>
      <c r="W151" s="496"/>
    </row>
    <row r="152" spans="1:23" ht="24" x14ac:dyDescent="0.2">
      <c r="A152" s="510">
        <f t="shared" si="8"/>
        <v>149</v>
      </c>
      <c r="B152" s="428">
        <v>44568</v>
      </c>
      <c r="C152" s="424">
        <v>44562</v>
      </c>
      <c r="D152" s="415" t="s">
        <v>271</v>
      </c>
      <c r="E152" s="415" t="s">
        <v>71</v>
      </c>
      <c r="F152" s="425">
        <v>10.45</v>
      </c>
      <c r="G152" s="427" t="s">
        <v>1233</v>
      </c>
      <c r="H152" s="415" t="s">
        <v>310</v>
      </c>
      <c r="I152" s="398" t="s">
        <v>881</v>
      </c>
      <c r="J152" s="418" t="s">
        <v>882</v>
      </c>
      <c r="K152" s="418" t="s">
        <v>883</v>
      </c>
      <c r="L152" s="399" t="s">
        <v>798</v>
      </c>
      <c r="M152" s="544" t="s">
        <v>310</v>
      </c>
      <c r="N152" s="414">
        <v>44568</v>
      </c>
      <c r="O152" s="414" t="s">
        <v>400</v>
      </c>
      <c r="P152" s="222">
        <f t="shared" si="9"/>
        <v>1</v>
      </c>
      <c r="Q152" s="222">
        <f t="shared" si="10"/>
        <v>1</v>
      </c>
      <c r="R152" s="532" t="str">
        <f t="shared" si="11"/>
        <v>Gastos_Gerais</v>
      </c>
      <c r="S152" s="467" t="s">
        <v>310</v>
      </c>
      <c r="T152" s="467" t="s">
        <v>310</v>
      </c>
      <c r="U152" s="496"/>
      <c r="V152" s="496"/>
      <c r="W152" s="496"/>
    </row>
    <row r="153" spans="1:23" ht="24" x14ac:dyDescent="0.2">
      <c r="A153" s="510">
        <f t="shared" si="8"/>
        <v>150</v>
      </c>
      <c r="B153" s="428">
        <v>44568</v>
      </c>
      <c r="C153" s="424">
        <v>44562</v>
      </c>
      <c r="D153" s="415" t="s">
        <v>271</v>
      </c>
      <c r="E153" s="415" t="s">
        <v>71</v>
      </c>
      <c r="F153" s="425">
        <v>10.45</v>
      </c>
      <c r="G153" s="427" t="s">
        <v>1237</v>
      </c>
      <c r="H153" s="415" t="s">
        <v>310</v>
      </c>
      <c r="I153" s="398" t="s">
        <v>881</v>
      </c>
      <c r="J153" s="418" t="s">
        <v>882</v>
      </c>
      <c r="K153" s="418" t="s">
        <v>883</v>
      </c>
      <c r="L153" s="399" t="s">
        <v>798</v>
      </c>
      <c r="M153" s="544" t="s">
        <v>310</v>
      </c>
      <c r="N153" s="414">
        <v>44568</v>
      </c>
      <c r="O153" s="414" t="s">
        <v>400</v>
      </c>
      <c r="P153" s="222">
        <f t="shared" si="9"/>
        <v>1</v>
      </c>
      <c r="Q153" s="222">
        <f t="shared" si="10"/>
        <v>1</v>
      </c>
      <c r="R153" s="532" t="str">
        <f t="shared" si="11"/>
        <v>Gastos_Gerais</v>
      </c>
      <c r="S153" s="467" t="s">
        <v>310</v>
      </c>
      <c r="T153" s="467" t="s">
        <v>310</v>
      </c>
      <c r="U153" s="496"/>
      <c r="V153" s="496"/>
      <c r="W153" s="496"/>
    </row>
    <row r="154" spans="1:23" ht="24" x14ac:dyDescent="0.2">
      <c r="A154" s="510">
        <f t="shared" si="8"/>
        <v>151</v>
      </c>
      <c r="B154" s="428">
        <v>44568</v>
      </c>
      <c r="C154" s="424">
        <v>44562</v>
      </c>
      <c r="D154" s="415" t="s">
        <v>271</v>
      </c>
      <c r="E154" s="415" t="s">
        <v>71</v>
      </c>
      <c r="F154" s="425">
        <v>10.45</v>
      </c>
      <c r="G154" s="427" t="s">
        <v>1233</v>
      </c>
      <c r="H154" s="415" t="s">
        <v>310</v>
      </c>
      <c r="I154" s="398" t="s">
        <v>881</v>
      </c>
      <c r="J154" s="418" t="s">
        <v>882</v>
      </c>
      <c r="K154" s="418" t="s">
        <v>883</v>
      </c>
      <c r="L154" s="399" t="s">
        <v>798</v>
      </c>
      <c r="M154" s="544" t="s">
        <v>310</v>
      </c>
      <c r="N154" s="414">
        <v>44568</v>
      </c>
      <c r="O154" s="414" t="s">
        <v>400</v>
      </c>
      <c r="P154" s="222">
        <f t="shared" si="9"/>
        <v>1</v>
      </c>
      <c r="Q154" s="222">
        <f t="shared" si="10"/>
        <v>1</v>
      </c>
      <c r="R154" s="532" t="str">
        <f t="shared" si="11"/>
        <v>Gastos_Gerais</v>
      </c>
      <c r="S154" s="467" t="s">
        <v>310</v>
      </c>
      <c r="T154" s="467" t="s">
        <v>310</v>
      </c>
      <c r="U154" s="496"/>
      <c r="V154" s="496"/>
      <c r="W154" s="496"/>
    </row>
    <row r="155" spans="1:23" ht="24" x14ac:dyDescent="0.2">
      <c r="A155" s="510">
        <f t="shared" si="8"/>
        <v>152</v>
      </c>
      <c r="B155" s="428">
        <v>44568</v>
      </c>
      <c r="C155" s="424">
        <v>44562</v>
      </c>
      <c r="D155" s="415" t="s">
        <v>271</v>
      </c>
      <c r="E155" s="415" t="s">
        <v>71</v>
      </c>
      <c r="F155" s="425">
        <v>10.45</v>
      </c>
      <c r="G155" s="427" t="s">
        <v>1238</v>
      </c>
      <c r="H155" s="415" t="s">
        <v>310</v>
      </c>
      <c r="I155" s="398" t="s">
        <v>881</v>
      </c>
      <c r="J155" s="418" t="s">
        <v>882</v>
      </c>
      <c r="K155" s="418" t="s">
        <v>883</v>
      </c>
      <c r="L155" s="399" t="s">
        <v>798</v>
      </c>
      <c r="M155" s="544" t="s">
        <v>310</v>
      </c>
      <c r="N155" s="414">
        <v>44568</v>
      </c>
      <c r="O155" s="414" t="s">
        <v>400</v>
      </c>
      <c r="P155" s="222">
        <f t="shared" si="9"/>
        <v>1</v>
      </c>
      <c r="Q155" s="222">
        <f t="shared" si="10"/>
        <v>1</v>
      </c>
      <c r="R155" s="532" t="str">
        <f t="shared" si="11"/>
        <v>Gastos_Gerais</v>
      </c>
      <c r="S155" s="467" t="s">
        <v>310</v>
      </c>
      <c r="T155" s="467" t="s">
        <v>310</v>
      </c>
      <c r="U155" s="496"/>
      <c r="V155" s="496"/>
      <c r="W155" s="496"/>
    </row>
    <row r="156" spans="1:23" ht="24" x14ac:dyDescent="0.2">
      <c r="A156" s="510">
        <f t="shared" si="8"/>
        <v>153</v>
      </c>
      <c r="B156" s="428">
        <v>44568</v>
      </c>
      <c r="C156" s="424">
        <v>44562</v>
      </c>
      <c r="D156" s="415" t="s">
        <v>271</v>
      </c>
      <c r="E156" s="415" t="s">
        <v>71</v>
      </c>
      <c r="F156" s="425">
        <v>10.45</v>
      </c>
      <c r="G156" s="427" t="s">
        <v>1233</v>
      </c>
      <c r="H156" s="415" t="s">
        <v>310</v>
      </c>
      <c r="I156" s="398" t="s">
        <v>881</v>
      </c>
      <c r="J156" s="418" t="s">
        <v>882</v>
      </c>
      <c r="K156" s="418" t="s">
        <v>883</v>
      </c>
      <c r="L156" s="399" t="s">
        <v>798</v>
      </c>
      <c r="M156" s="544" t="s">
        <v>310</v>
      </c>
      <c r="N156" s="414">
        <v>44568</v>
      </c>
      <c r="O156" s="414" t="s">
        <v>400</v>
      </c>
      <c r="P156" s="222">
        <f t="shared" si="9"/>
        <v>1</v>
      </c>
      <c r="Q156" s="222">
        <f t="shared" si="10"/>
        <v>1</v>
      </c>
      <c r="R156" s="532" t="str">
        <f t="shared" si="11"/>
        <v>Gastos_Gerais</v>
      </c>
      <c r="S156" s="467" t="s">
        <v>310</v>
      </c>
      <c r="T156" s="467" t="s">
        <v>310</v>
      </c>
      <c r="U156" s="496"/>
      <c r="V156" s="496"/>
      <c r="W156" s="496"/>
    </row>
    <row r="157" spans="1:23" ht="24" x14ac:dyDescent="0.2">
      <c r="A157" s="510">
        <f t="shared" si="8"/>
        <v>154</v>
      </c>
      <c r="B157" s="428">
        <v>44568</v>
      </c>
      <c r="C157" s="424">
        <v>44562</v>
      </c>
      <c r="D157" s="415" t="s">
        <v>271</v>
      </c>
      <c r="E157" s="415" t="s">
        <v>71</v>
      </c>
      <c r="F157" s="425">
        <v>10.45</v>
      </c>
      <c r="G157" s="427" t="s">
        <v>1233</v>
      </c>
      <c r="H157" s="415" t="s">
        <v>310</v>
      </c>
      <c r="I157" s="398" t="s">
        <v>881</v>
      </c>
      <c r="J157" s="418" t="s">
        <v>882</v>
      </c>
      <c r="K157" s="418" t="s">
        <v>883</v>
      </c>
      <c r="L157" s="399" t="s">
        <v>798</v>
      </c>
      <c r="M157" s="544" t="s">
        <v>310</v>
      </c>
      <c r="N157" s="414">
        <v>44568</v>
      </c>
      <c r="O157" s="414" t="s">
        <v>400</v>
      </c>
      <c r="P157" s="222">
        <f t="shared" si="9"/>
        <v>1</v>
      </c>
      <c r="Q157" s="222">
        <f t="shared" si="10"/>
        <v>1</v>
      </c>
      <c r="R157" s="532" t="str">
        <f t="shared" si="11"/>
        <v>Gastos_Gerais</v>
      </c>
      <c r="S157" s="467" t="s">
        <v>310</v>
      </c>
      <c r="T157" s="467" t="s">
        <v>310</v>
      </c>
      <c r="U157" s="496"/>
      <c r="V157" s="496"/>
      <c r="W157" s="496"/>
    </row>
    <row r="158" spans="1:23" ht="24" x14ac:dyDescent="0.2">
      <c r="A158" s="510">
        <f t="shared" si="8"/>
        <v>155</v>
      </c>
      <c r="B158" s="428">
        <v>44568</v>
      </c>
      <c r="C158" s="424">
        <v>44562</v>
      </c>
      <c r="D158" s="415" t="s">
        <v>271</v>
      </c>
      <c r="E158" s="415" t="s">
        <v>71</v>
      </c>
      <c r="F158" s="425">
        <v>10.45</v>
      </c>
      <c r="G158" s="427" t="s">
        <v>1239</v>
      </c>
      <c r="H158" s="415" t="s">
        <v>310</v>
      </c>
      <c r="I158" s="398" t="s">
        <v>881</v>
      </c>
      <c r="J158" s="418" t="s">
        <v>882</v>
      </c>
      <c r="K158" s="418" t="s">
        <v>883</v>
      </c>
      <c r="L158" s="399" t="s">
        <v>798</v>
      </c>
      <c r="M158" s="544" t="s">
        <v>310</v>
      </c>
      <c r="N158" s="414">
        <v>44568</v>
      </c>
      <c r="O158" s="414" t="s">
        <v>400</v>
      </c>
      <c r="P158" s="222">
        <f t="shared" si="9"/>
        <v>1</v>
      </c>
      <c r="Q158" s="222">
        <f t="shared" si="10"/>
        <v>1</v>
      </c>
      <c r="R158" s="532" t="str">
        <f t="shared" si="11"/>
        <v>Gastos_Gerais</v>
      </c>
      <c r="S158" s="467" t="s">
        <v>310</v>
      </c>
      <c r="T158" s="467" t="s">
        <v>310</v>
      </c>
      <c r="U158" s="496"/>
      <c r="V158" s="496"/>
      <c r="W158" s="496"/>
    </row>
    <row r="159" spans="1:23" ht="24" x14ac:dyDescent="0.2">
      <c r="A159" s="510">
        <f t="shared" si="8"/>
        <v>156</v>
      </c>
      <c r="B159" s="428">
        <v>44568</v>
      </c>
      <c r="C159" s="424">
        <v>44562</v>
      </c>
      <c r="D159" s="415" t="s">
        <v>271</v>
      </c>
      <c r="E159" s="415" t="s">
        <v>71</v>
      </c>
      <c r="F159" s="425">
        <v>10.45</v>
      </c>
      <c r="G159" s="427" t="s">
        <v>1240</v>
      </c>
      <c r="H159" s="415" t="s">
        <v>310</v>
      </c>
      <c r="I159" s="398" t="s">
        <v>881</v>
      </c>
      <c r="J159" s="418" t="s">
        <v>882</v>
      </c>
      <c r="K159" s="418" t="s">
        <v>883</v>
      </c>
      <c r="L159" s="399" t="s">
        <v>798</v>
      </c>
      <c r="M159" s="544" t="s">
        <v>310</v>
      </c>
      <c r="N159" s="414">
        <v>44568</v>
      </c>
      <c r="O159" s="414" t="s">
        <v>400</v>
      </c>
      <c r="P159" s="222">
        <f t="shared" si="9"/>
        <v>1</v>
      </c>
      <c r="Q159" s="222">
        <f t="shared" si="10"/>
        <v>1</v>
      </c>
      <c r="R159" s="532" t="str">
        <f t="shared" si="11"/>
        <v>Gastos_Gerais</v>
      </c>
      <c r="S159" s="467" t="s">
        <v>310</v>
      </c>
      <c r="T159" s="467" t="s">
        <v>310</v>
      </c>
      <c r="U159" s="496"/>
      <c r="V159" s="496"/>
      <c r="W159" s="496"/>
    </row>
    <row r="160" spans="1:23" ht="24" x14ac:dyDescent="0.2">
      <c r="A160" s="510">
        <f t="shared" si="8"/>
        <v>157</v>
      </c>
      <c r="B160" s="428">
        <v>44568</v>
      </c>
      <c r="C160" s="424">
        <v>44562</v>
      </c>
      <c r="D160" s="415" t="s">
        <v>271</v>
      </c>
      <c r="E160" s="415" t="s">
        <v>71</v>
      </c>
      <c r="F160" s="425">
        <v>10.45</v>
      </c>
      <c r="G160" s="427" t="s">
        <v>1233</v>
      </c>
      <c r="H160" s="415" t="s">
        <v>310</v>
      </c>
      <c r="I160" s="398" t="s">
        <v>881</v>
      </c>
      <c r="J160" s="418" t="s">
        <v>882</v>
      </c>
      <c r="K160" s="418" t="s">
        <v>883</v>
      </c>
      <c r="L160" s="399" t="s">
        <v>798</v>
      </c>
      <c r="M160" s="544" t="s">
        <v>310</v>
      </c>
      <c r="N160" s="414">
        <v>44568</v>
      </c>
      <c r="O160" s="414" t="s">
        <v>400</v>
      </c>
      <c r="P160" s="222">
        <f t="shared" si="9"/>
        <v>1</v>
      </c>
      <c r="Q160" s="222">
        <f t="shared" si="10"/>
        <v>1</v>
      </c>
      <c r="R160" s="532" t="str">
        <f t="shared" si="11"/>
        <v>Gastos_Gerais</v>
      </c>
      <c r="S160" s="467" t="s">
        <v>310</v>
      </c>
      <c r="T160" s="467" t="s">
        <v>310</v>
      </c>
      <c r="U160" s="496"/>
      <c r="V160" s="496"/>
      <c r="W160" s="496"/>
    </row>
    <row r="161" spans="1:23" ht="24" x14ac:dyDescent="0.2">
      <c r="A161" s="510">
        <f t="shared" si="8"/>
        <v>158</v>
      </c>
      <c r="B161" s="428">
        <v>44568</v>
      </c>
      <c r="C161" s="424">
        <v>44562</v>
      </c>
      <c r="D161" s="415" t="s">
        <v>271</v>
      </c>
      <c r="E161" s="415" t="s">
        <v>71</v>
      </c>
      <c r="F161" s="425">
        <v>10.45</v>
      </c>
      <c r="G161" s="427" t="s">
        <v>1233</v>
      </c>
      <c r="H161" s="415" t="s">
        <v>310</v>
      </c>
      <c r="I161" s="398" t="s">
        <v>881</v>
      </c>
      <c r="J161" s="418" t="s">
        <v>882</v>
      </c>
      <c r="K161" s="418" t="s">
        <v>883</v>
      </c>
      <c r="L161" s="399" t="s">
        <v>798</v>
      </c>
      <c r="M161" s="544" t="s">
        <v>310</v>
      </c>
      <c r="N161" s="414">
        <v>44568</v>
      </c>
      <c r="O161" s="414" t="s">
        <v>400</v>
      </c>
      <c r="P161" s="222">
        <f t="shared" si="9"/>
        <v>1</v>
      </c>
      <c r="Q161" s="222">
        <f t="shared" si="10"/>
        <v>1</v>
      </c>
      <c r="R161" s="532" t="str">
        <f t="shared" si="11"/>
        <v>Gastos_Gerais</v>
      </c>
      <c r="S161" s="467" t="s">
        <v>310</v>
      </c>
      <c r="T161" s="467" t="s">
        <v>310</v>
      </c>
      <c r="U161" s="496"/>
      <c r="V161" s="496"/>
      <c r="W161" s="496"/>
    </row>
    <row r="162" spans="1:23" ht="24" x14ac:dyDescent="0.2">
      <c r="A162" s="510">
        <f t="shared" si="8"/>
        <v>159</v>
      </c>
      <c r="B162" s="428">
        <v>44568</v>
      </c>
      <c r="C162" s="424">
        <v>44562</v>
      </c>
      <c r="D162" s="415" t="s">
        <v>271</v>
      </c>
      <c r="E162" s="415" t="s">
        <v>71</v>
      </c>
      <c r="F162" s="425">
        <v>10.45</v>
      </c>
      <c r="G162" s="427" t="s">
        <v>1241</v>
      </c>
      <c r="H162" s="415" t="s">
        <v>310</v>
      </c>
      <c r="I162" s="398" t="s">
        <v>881</v>
      </c>
      <c r="J162" s="418" t="s">
        <v>882</v>
      </c>
      <c r="K162" s="418" t="s">
        <v>883</v>
      </c>
      <c r="L162" s="399" t="s">
        <v>798</v>
      </c>
      <c r="M162" s="544" t="s">
        <v>310</v>
      </c>
      <c r="N162" s="414">
        <v>44568</v>
      </c>
      <c r="O162" s="414" t="s">
        <v>400</v>
      </c>
      <c r="P162" s="222">
        <f t="shared" si="9"/>
        <v>1</v>
      </c>
      <c r="Q162" s="222">
        <f t="shared" si="10"/>
        <v>1</v>
      </c>
      <c r="R162" s="532" t="str">
        <f t="shared" si="11"/>
        <v>Gastos_Gerais</v>
      </c>
      <c r="S162" s="467" t="s">
        <v>310</v>
      </c>
      <c r="T162" s="467" t="s">
        <v>310</v>
      </c>
      <c r="U162" s="496"/>
      <c r="V162" s="496"/>
      <c r="W162" s="496"/>
    </row>
    <row r="163" spans="1:23" ht="24" x14ac:dyDescent="0.2">
      <c r="A163" s="510">
        <f t="shared" si="8"/>
        <v>160</v>
      </c>
      <c r="B163" s="428">
        <v>44568</v>
      </c>
      <c r="C163" s="424">
        <v>44562</v>
      </c>
      <c r="D163" s="415" t="s">
        <v>271</v>
      </c>
      <c r="E163" s="415" t="s">
        <v>71</v>
      </c>
      <c r="F163" s="425">
        <v>10.45</v>
      </c>
      <c r="G163" s="427" t="s">
        <v>1233</v>
      </c>
      <c r="H163" s="415" t="s">
        <v>310</v>
      </c>
      <c r="I163" s="398" t="s">
        <v>881</v>
      </c>
      <c r="J163" s="418" t="s">
        <v>882</v>
      </c>
      <c r="K163" s="418" t="s">
        <v>883</v>
      </c>
      <c r="L163" s="399" t="s">
        <v>798</v>
      </c>
      <c r="M163" s="544" t="s">
        <v>310</v>
      </c>
      <c r="N163" s="414">
        <v>44568</v>
      </c>
      <c r="O163" s="414" t="s">
        <v>400</v>
      </c>
      <c r="P163" s="222">
        <f t="shared" si="9"/>
        <v>1</v>
      </c>
      <c r="Q163" s="222">
        <f t="shared" si="10"/>
        <v>1</v>
      </c>
      <c r="R163" s="532" t="str">
        <f t="shared" si="11"/>
        <v>Gastos_Gerais</v>
      </c>
      <c r="S163" s="467" t="s">
        <v>310</v>
      </c>
      <c r="T163" s="467" t="s">
        <v>310</v>
      </c>
      <c r="U163" s="496"/>
      <c r="V163" s="496"/>
      <c r="W163" s="496"/>
    </row>
    <row r="164" spans="1:23" ht="24" x14ac:dyDescent="0.2">
      <c r="A164" s="510">
        <f t="shared" si="8"/>
        <v>161</v>
      </c>
      <c r="B164" s="428">
        <v>44568</v>
      </c>
      <c r="C164" s="424">
        <v>44562</v>
      </c>
      <c r="D164" s="415" t="s">
        <v>271</v>
      </c>
      <c r="E164" s="415" t="s">
        <v>71</v>
      </c>
      <c r="F164" s="425">
        <v>10.45</v>
      </c>
      <c r="G164" s="427" t="s">
        <v>1233</v>
      </c>
      <c r="H164" s="415" t="s">
        <v>310</v>
      </c>
      <c r="I164" s="398" t="s">
        <v>881</v>
      </c>
      <c r="J164" s="418" t="s">
        <v>882</v>
      </c>
      <c r="K164" s="418" t="s">
        <v>883</v>
      </c>
      <c r="L164" s="399" t="s">
        <v>798</v>
      </c>
      <c r="M164" s="544" t="s">
        <v>310</v>
      </c>
      <c r="N164" s="414">
        <v>44568</v>
      </c>
      <c r="O164" s="414" t="s">
        <v>400</v>
      </c>
      <c r="P164" s="222">
        <f t="shared" si="9"/>
        <v>1</v>
      </c>
      <c r="Q164" s="222">
        <f t="shared" si="10"/>
        <v>1</v>
      </c>
      <c r="R164" s="532" t="str">
        <f t="shared" si="11"/>
        <v>Gastos_Gerais</v>
      </c>
      <c r="S164" s="467" t="s">
        <v>310</v>
      </c>
      <c r="T164" s="467" t="s">
        <v>310</v>
      </c>
      <c r="U164" s="496"/>
      <c r="V164" s="496"/>
      <c r="W164" s="496"/>
    </row>
    <row r="165" spans="1:23" ht="24" x14ac:dyDescent="0.2">
      <c r="A165" s="510">
        <f t="shared" si="8"/>
        <v>162</v>
      </c>
      <c r="B165" s="428">
        <v>44568</v>
      </c>
      <c r="C165" s="424">
        <v>44562</v>
      </c>
      <c r="D165" s="415" t="s">
        <v>271</v>
      </c>
      <c r="E165" s="415" t="s">
        <v>71</v>
      </c>
      <c r="F165" s="425">
        <v>10.45</v>
      </c>
      <c r="G165" s="427" t="s">
        <v>1233</v>
      </c>
      <c r="H165" s="415" t="s">
        <v>310</v>
      </c>
      <c r="I165" s="398" t="s">
        <v>881</v>
      </c>
      <c r="J165" s="418" t="s">
        <v>882</v>
      </c>
      <c r="K165" s="418" t="s">
        <v>883</v>
      </c>
      <c r="L165" s="399" t="s">
        <v>798</v>
      </c>
      <c r="M165" s="544" t="s">
        <v>310</v>
      </c>
      <c r="N165" s="414">
        <v>44568</v>
      </c>
      <c r="O165" s="414" t="s">
        <v>400</v>
      </c>
      <c r="P165" s="222">
        <f t="shared" si="9"/>
        <v>1</v>
      </c>
      <c r="Q165" s="222">
        <f t="shared" si="10"/>
        <v>1</v>
      </c>
      <c r="R165" s="532" t="str">
        <f t="shared" si="11"/>
        <v>Gastos_Gerais</v>
      </c>
      <c r="S165" s="467" t="s">
        <v>310</v>
      </c>
      <c r="T165" s="467" t="s">
        <v>310</v>
      </c>
      <c r="U165" s="496"/>
      <c r="V165" s="496"/>
      <c r="W165" s="496"/>
    </row>
    <row r="166" spans="1:23" ht="24" x14ac:dyDescent="0.2">
      <c r="A166" s="510">
        <f t="shared" si="8"/>
        <v>163</v>
      </c>
      <c r="B166" s="428">
        <v>44568</v>
      </c>
      <c r="C166" s="424">
        <v>44562</v>
      </c>
      <c r="D166" s="415" t="s">
        <v>271</v>
      </c>
      <c r="E166" s="415" t="s">
        <v>71</v>
      </c>
      <c r="F166" s="425">
        <v>10.45</v>
      </c>
      <c r="G166" s="427" t="s">
        <v>1233</v>
      </c>
      <c r="H166" s="415" t="s">
        <v>310</v>
      </c>
      <c r="I166" s="398" t="s">
        <v>881</v>
      </c>
      <c r="J166" s="418" t="s">
        <v>882</v>
      </c>
      <c r="K166" s="418" t="s">
        <v>883</v>
      </c>
      <c r="L166" s="399" t="s">
        <v>798</v>
      </c>
      <c r="M166" s="544" t="s">
        <v>310</v>
      </c>
      <c r="N166" s="414">
        <v>44568</v>
      </c>
      <c r="O166" s="414" t="s">
        <v>400</v>
      </c>
      <c r="P166" s="222">
        <f t="shared" si="9"/>
        <v>1</v>
      </c>
      <c r="Q166" s="222">
        <f t="shared" si="10"/>
        <v>1</v>
      </c>
      <c r="R166" s="532" t="str">
        <f t="shared" si="11"/>
        <v>Gastos_Gerais</v>
      </c>
      <c r="S166" s="467" t="s">
        <v>310</v>
      </c>
      <c r="T166" s="467" t="s">
        <v>310</v>
      </c>
      <c r="U166" s="496"/>
      <c r="V166" s="496"/>
      <c r="W166" s="496"/>
    </row>
    <row r="167" spans="1:23" ht="24" x14ac:dyDescent="0.2">
      <c r="A167" s="510">
        <f t="shared" si="8"/>
        <v>164</v>
      </c>
      <c r="B167" s="428">
        <v>44568</v>
      </c>
      <c r="C167" s="424">
        <v>44562</v>
      </c>
      <c r="D167" s="415" t="s">
        <v>271</v>
      </c>
      <c r="E167" s="415" t="s">
        <v>71</v>
      </c>
      <c r="F167" s="425">
        <v>10.45</v>
      </c>
      <c r="G167" s="427" t="s">
        <v>1233</v>
      </c>
      <c r="H167" s="415" t="s">
        <v>310</v>
      </c>
      <c r="I167" s="398" t="s">
        <v>881</v>
      </c>
      <c r="J167" s="418" t="s">
        <v>882</v>
      </c>
      <c r="K167" s="418" t="s">
        <v>883</v>
      </c>
      <c r="L167" s="399" t="s">
        <v>798</v>
      </c>
      <c r="M167" s="544" t="s">
        <v>310</v>
      </c>
      <c r="N167" s="414">
        <v>44568</v>
      </c>
      <c r="O167" s="414" t="s">
        <v>400</v>
      </c>
      <c r="P167" s="222">
        <f t="shared" si="9"/>
        <v>1</v>
      </c>
      <c r="Q167" s="222">
        <f t="shared" si="10"/>
        <v>1</v>
      </c>
      <c r="R167" s="532" t="str">
        <f t="shared" si="11"/>
        <v>Gastos_Gerais</v>
      </c>
      <c r="S167" s="467" t="s">
        <v>310</v>
      </c>
      <c r="T167" s="467" t="s">
        <v>310</v>
      </c>
      <c r="U167" s="496"/>
      <c r="V167" s="496"/>
      <c r="W167" s="496"/>
    </row>
    <row r="168" spans="1:23" ht="24" x14ac:dyDescent="0.2">
      <c r="A168" s="510">
        <f t="shared" si="8"/>
        <v>165</v>
      </c>
      <c r="B168" s="428">
        <v>44568</v>
      </c>
      <c r="C168" s="424">
        <v>44562</v>
      </c>
      <c r="D168" s="415" t="s">
        <v>271</v>
      </c>
      <c r="E168" s="415" t="s">
        <v>71</v>
      </c>
      <c r="F168" s="425">
        <v>10.45</v>
      </c>
      <c r="G168" s="427" t="s">
        <v>1233</v>
      </c>
      <c r="H168" s="415" t="s">
        <v>310</v>
      </c>
      <c r="I168" s="398" t="s">
        <v>881</v>
      </c>
      <c r="J168" s="418" t="s">
        <v>882</v>
      </c>
      <c r="K168" s="418" t="s">
        <v>883</v>
      </c>
      <c r="L168" s="399" t="s">
        <v>798</v>
      </c>
      <c r="M168" s="544" t="s">
        <v>310</v>
      </c>
      <c r="N168" s="414">
        <v>44568</v>
      </c>
      <c r="O168" s="414" t="s">
        <v>400</v>
      </c>
      <c r="P168" s="222">
        <f t="shared" si="9"/>
        <v>1</v>
      </c>
      <c r="Q168" s="222">
        <f t="shared" si="10"/>
        <v>1</v>
      </c>
      <c r="R168" s="532" t="str">
        <f t="shared" si="11"/>
        <v>Gastos_Gerais</v>
      </c>
      <c r="S168" s="467" t="s">
        <v>310</v>
      </c>
      <c r="T168" s="467" t="s">
        <v>310</v>
      </c>
      <c r="U168" s="496"/>
      <c r="V168" s="496"/>
      <c r="W168" s="496"/>
    </row>
    <row r="169" spans="1:23" ht="24" x14ac:dyDescent="0.2">
      <c r="A169" s="510">
        <f t="shared" si="8"/>
        <v>166</v>
      </c>
      <c r="B169" s="428">
        <v>44568</v>
      </c>
      <c r="C169" s="424">
        <v>44562</v>
      </c>
      <c r="D169" s="415" t="s">
        <v>271</v>
      </c>
      <c r="E169" s="415" t="s">
        <v>71</v>
      </c>
      <c r="F169" s="425">
        <v>10.45</v>
      </c>
      <c r="G169" s="427" t="s">
        <v>1242</v>
      </c>
      <c r="H169" s="415" t="s">
        <v>310</v>
      </c>
      <c r="I169" s="398" t="s">
        <v>881</v>
      </c>
      <c r="J169" s="418" t="s">
        <v>882</v>
      </c>
      <c r="K169" s="418" t="s">
        <v>883</v>
      </c>
      <c r="L169" s="399" t="s">
        <v>798</v>
      </c>
      <c r="M169" s="544" t="s">
        <v>310</v>
      </c>
      <c r="N169" s="414">
        <v>44568</v>
      </c>
      <c r="O169" s="414" t="s">
        <v>400</v>
      </c>
      <c r="P169" s="222">
        <f t="shared" si="9"/>
        <v>1</v>
      </c>
      <c r="Q169" s="222">
        <f t="shared" si="10"/>
        <v>1</v>
      </c>
      <c r="R169" s="532" t="str">
        <f t="shared" si="11"/>
        <v>Gastos_Gerais</v>
      </c>
      <c r="S169" s="467" t="s">
        <v>310</v>
      </c>
      <c r="T169" s="467" t="s">
        <v>310</v>
      </c>
      <c r="U169" s="496"/>
      <c r="V169" s="496"/>
      <c r="W169" s="496"/>
    </row>
    <row r="170" spans="1:23" ht="24" x14ac:dyDescent="0.2">
      <c r="A170" s="510">
        <f t="shared" si="8"/>
        <v>167</v>
      </c>
      <c r="B170" s="428">
        <v>44568</v>
      </c>
      <c r="C170" s="424">
        <v>44562</v>
      </c>
      <c r="D170" s="415" t="s">
        <v>271</v>
      </c>
      <c r="E170" s="415" t="s">
        <v>71</v>
      </c>
      <c r="F170" s="425">
        <v>10.45</v>
      </c>
      <c r="G170" s="427" t="s">
        <v>1243</v>
      </c>
      <c r="H170" s="415" t="s">
        <v>310</v>
      </c>
      <c r="I170" s="398" t="s">
        <v>881</v>
      </c>
      <c r="J170" s="418" t="s">
        <v>882</v>
      </c>
      <c r="K170" s="418" t="s">
        <v>883</v>
      </c>
      <c r="L170" s="399" t="s">
        <v>798</v>
      </c>
      <c r="M170" s="544" t="s">
        <v>310</v>
      </c>
      <c r="N170" s="414">
        <v>44568</v>
      </c>
      <c r="O170" s="414" t="s">
        <v>400</v>
      </c>
      <c r="P170" s="222">
        <f t="shared" si="9"/>
        <v>1</v>
      </c>
      <c r="Q170" s="222">
        <f t="shared" si="10"/>
        <v>1</v>
      </c>
      <c r="R170" s="532" t="str">
        <f t="shared" si="11"/>
        <v>Gastos_Gerais</v>
      </c>
      <c r="S170" s="467" t="s">
        <v>310</v>
      </c>
      <c r="T170" s="467" t="s">
        <v>310</v>
      </c>
      <c r="U170" s="496"/>
      <c r="V170" s="496"/>
      <c r="W170" s="496"/>
    </row>
    <row r="171" spans="1:23" ht="24" x14ac:dyDescent="0.2">
      <c r="A171" s="510">
        <f t="shared" si="8"/>
        <v>168</v>
      </c>
      <c r="B171" s="428">
        <v>44568</v>
      </c>
      <c r="C171" s="424">
        <v>44562</v>
      </c>
      <c r="D171" s="415" t="s">
        <v>271</v>
      </c>
      <c r="E171" s="415" t="s">
        <v>71</v>
      </c>
      <c r="F171" s="425">
        <v>10.45</v>
      </c>
      <c r="G171" s="427" t="s">
        <v>1233</v>
      </c>
      <c r="H171" s="415" t="s">
        <v>310</v>
      </c>
      <c r="I171" s="398" t="s">
        <v>881</v>
      </c>
      <c r="J171" s="418" t="s">
        <v>882</v>
      </c>
      <c r="K171" s="418" t="s">
        <v>883</v>
      </c>
      <c r="L171" s="399" t="s">
        <v>798</v>
      </c>
      <c r="M171" s="544" t="s">
        <v>310</v>
      </c>
      <c r="N171" s="414">
        <v>44568</v>
      </c>
      <c r="O171" s="414" t="s">
        <v>400</v>
      </c>
      <c r="P171" s="222">
        <f t="shared" si="9"/>
        <v>1</v>
      </c>
      <c r="Q171" s="222">
        <f t="shared" si="10"/>
        <v>1</v>
      </c>
      <c r="R171" s="532" t="str">
        <f t="shared" si="11"/>
        <v>Gastos_Gerais</v>
      </c>
      <c r="S171" s="467" t="s">
        <v>310</v>
      </c>
      <c r="T171" s="467" t="s">
        <v>310</v>
      </c>
      <c r="U171" s="496"/>
      <c r="V171" s="496"/>
      <c r="W171" s="496"/>
    </row>
    <row r="172" spans="1:23" ht="24" x14ac:dyDescent="0.2">
      <c r="A172" s="510">
        <f t="shared" si="8"/>
        <v>169</v>
      </c>
      <c r="B172" s="428">
        <v>44568</v>
      </c>
      <c r="C172" s="424">
        <v>44562</v>
      </c>
      <c r="D172" s="415" t="s">
        <v>271</v>
      </c>
      <c r="E172" s="415" t="s">
        <v>71</v>
      </c>
      <c r="F172" s="425">
        <v>10.45</v>
      </c>
      <c r="G172" s="427" t="s">
        <v>1233</v>
      </c>
      <c r="H172" s="415" t="s">
        <v>310</v>
      </c>
      <c r="I172" s="398" t="s">
        <v>881</v>
      </c>
      <c r="J172" s="418" t="s">
        <v>882</v>
      </c>
      <c r="K172" s="418" t="s">
        <v>883</v>
      </c>
      <c r="L172" s="399" t="s">
        <v>798</v>
      </c>
      <c r="M172" s="544" t="s">
        <v>310</v>
      </c>
      <c r="N172" s="414">
        <v>44568</v>
      </c>
      <c r="O172" s="414" t="s">
        <v>400</v>
      </c>
      <c r="P172" s="222">
        <f t="shared" si="9"/>
        <v>1</v>
      </c>
      <c r="Q172" s="222">
        <f t="shared" si="10"/>
        <v>1</v>
      </c>
      <c r="R172" s="532" t="str">
        <f t="shared" si="11"/>
        <v>Gastos_Gerais</v>
      </c>
      <c r="S172" s="467" t="s">
        <v>310</v>
      </c>
      <c r="T172" s="467" t="s">
        <v>310</v>
      </c>
      <c r="U172" s="496"/>
      <c r="V172" s="496"/>
      <c r="W172" s="496"/>
    </row>
    <row r="173" spans="1:23" ht="24" x14ac:dyDescent="0.2">
      <c r="A173" s="510">
        <f t="shared" si="8"/>
        <v>170</v>
      </c>
      <c r="B173" s="428">
        <v>44568</v>
      </c>
      <c r="C173" s="424">
        <v>44562</v>
      </c>
      <c r="D173" s="415" t="s">
        <v>271</v>
      </c>
      <c r="E173" s="415" t="s">
        <v>71</v>
      </c>
      <c r="F173" s="425">
        <v>10.45</v>
      </c>
      <c r="G173" s="427" t="s">
        <v>1233</v>
      </c>
      <c r="H173" s="415" t="s">
        <v>310</v>
      </c>
      <c r="I173" s="398" t="s">
        <v>881</v>
      </c>
      <c r="J173" s="418" t="s">
        <v>882</v>
      </c>
      <c r="K173" s="418" t="s">
        <v>883</v>
      </c>
      <c r="L173" s="399" t="s">
        <v>798</v>
      </c>
      <c r="M173" s="544" t="s">
        <v>310</v>
      </c>
      <c r="N173" s="414">
        <v>44568</v>
      </c>
      <c r="O173" s="414" t="s">
        <v>400</v>
      </c>
      <c r="P173" s="222">
        <f t="shared" si="9"/>
        <v>1</v>
      </c>
      <c r="Q173" s="222">
        <f t="shared" si="10"/>
        <v>1</v>
      </c>
      <c r="R173" s="532" t="str">
        <f t="shared" si="11"/>
        <v>Gastos_Gerais</v>
      </c>
      <c r="S173" s="467" t="s">
        <v>310</v>
      </c>
      <c r="T173" s="467" t="s">
        <v>310</v>
      </c>
      <c r="U173" s="496"/>
      <c r="V173" s="496"/>
      <c r="W173" s="496"/>
    </row>
    <row r="174" spans="1:23" ht="24" x14ac:dyDescent="0.2">
      <c r="A174" s="510">
        <f t="shared" si="8"/>
        <v>171</v>
      </c>
      <c r="B174" s="428">
        <v>44568</v>
      </c>
      <c r="C174" s="424">
        <v>44562</v>
      </c>
      <c r="D174" s="415" t="s">
        <v>271</v>
      </c>
      <c r="E174" s="415" t="s">
        <v>71</v>
      </c>
      <c r="F174" s="425">
        <v>10.45</v>
      </c>
      <c r="G174" s="427" t="s">
        <v>1233</v>
      </c>
      <c r="H174" s="415" t="s">
        <v>310</v>
      </c>
      <c r="I174" s="398" t="s">
        <v>881</v>
      </c>
      <c r="J174" s="418" t="s">
        <v>882</v>
      </c>
      <c r="K174" s="418" t="s">
        <v>883</v>
      </c>
      <c r="L174" s="399" t="s">
        <v>798</v>
      </c>
      <c r="M174" s="544" t="s">
        <v>310</v>
      </c>
      <c r="N174" s="414">
        <v>44568</v>
      </c>
      <c r="O174" s="414" t="s">
        <v>400</v>
      </c>
      <c r="P174" s="222">
        <f t="shared" si="9"/>
        <v>1</v>
      </c>
      <c r="Q174" s="222">
        <f t="shared" si="10"/>
        <v>1</v>
      </c>
      <c r="R174" s="532" t="str">
        <f t="shared" si="11"/>
        <v>Gastos_Gerais</v>
      </c>
      <c r="S174" s="467" t="s">
        <v>310</v>
      </c>
      <c r="T174" s="467" t="s">
        <v>310</v>
      </c>
      <c r="U174" s="496"/>
      <c r="V174" s="496"/>
      <c r="W174" s="496"/>
    </row>
    <row r="175" spans="1:23" ht="24" x14ac:dyDescent="0.2">
      <c r="A175" s="510">
        <f t="shared" si="8"/>
        <v>172</v>
      </c>
      <c r="B175" s="428">
        <v>44568</v>
      </c>
      <c r="C175" s="424">
        <v>44562</v>
      </c>
      <c r="D175" s="415" t="s">
        <v>271</v>
      </c>
      <c r="E175" s="415" t="s">
        <v>71</v>
      </c>
      <c r="F175" s="425">
        <v>10.45</v>
      </c>
      <c r="G175" s="427" t="s">
        <v>1233</v>
      </c>
      <c r="H175" s="415" t="s">
        <v>310</v>
      </c>
      <c r="I175" s="398" t="s">
        <v>881</v>
      </c>
      <c r="J175" s="418" t="s">
        <v>882</v>
      </c>
      <c r="K175" s="418" t="s">
        <v>883</v>
      </c>
      <c r="L175" s="399" t="s">
        <v>798</v>
      </c>
      <c r="M175" s="544" t="s">
        <v>310</v>
      </c>
      <c r="N175" s="414">
        <v>44568</v>
      </c>
      <c r="O175" s="414" t="s">
        <v>400</v>
      </c>
      <c r="P175" s="222">
        <f t="shared" si="9"/>
        <v>1</v>
      </c>
      <c r="Q175" s="222">
        <f t="shared" si="10"/>
        <v>1</v>
      </c>
      <c r="R175" s="532" t="str">
        <f t="shared" si="11"/>
        <v>Gastos_Gerais</v>
      </c>
      <c r="S175" s="467" t="s">
        <v>310</v>
      </c>
      <c r="T175" s="467" t="s">
        <v>310</v>
      </c>
      <c r="U175" s="496"/>
      <c r="V175" s="496"/>
      <c r="W175" s="496"/>
    </row>
    <row r="176" spans="1:23" ht="24" x14ac:dyDescent="0.2">
      <c r="A176" s="510">
        <f t="shared" si="8"/>
        <v>173</v>
      </c>
      <c r="B176" s="428">
        <v>44568</v>
      </c>
      <c r="C176" s="424">
        <v>44562</v>
      </c>
      <c r="D176" s="415" t="s">
        <v>271</v>
      </c>
      <c r="E176" s="415" t="s">
        <v>71</v>
      </c>
      <c r="F176" s="425">
        <v>10.45</v>
      </c>
      <c r="G176" s="427" t="s">
        <v>1244</v>
      </c>
      <c r="H176" s="415" t="s">
        <v>310</v>
      </c>
      <c r="I176" s="398" t="s">
        <v>881</v>
      </c>
      <c r="J176" s="418" t="s">
        <v>882</v>
      </c>
      <c r="K176" s="418" t="s">
        <v>883</v>
      </c>
      <c r="L176" s="399" t="s">
        <v>798</v>
      </c>
      <c r="M176" s="544" t="s">
        <v>310</v>
      </c>
      <c r="N176" s="414">
        <v>44568</v>
      </c>
      <c r="O176" s="414" t="s">
        <v>400</v>
      </c>
      <c r="P176" s="222">
        <f t="shared" si="9"/>
        <v>1</v>
      </c>
      <c r="Q176" s="222">
        <f t="shared" si="10"/>
        <v>1</v>
      </c>
      <c r="R176" s="532" t="str">
        <f t="shared" si="11"/>
        <v>Gastos_Gerais</v>
      </c>
      <c r="S176" s="467" t="s">
        <v>310</v>
      </c>
      <c r="T176" s="467" t="s">
        <v>310</v>
      </c>
      <c r="U176" s="496"/>
      <c r="V176" s="496"/>
      <c r="W176" s="496"/>
    </row>
    <row r="177" spans="1:23" ht="24" x14ac:dyDescent="0.2">
      <c r="A177" s="510">
        <f t="shared" si="8"/>
        <v>174</v>
      </c>
      <c r="B177" s="428">
        <v>44568</v>
      </c>
      <c r="C177" s="424">
        <v>44562</v>
      </c>
      <c r="D177" s="415" t="s">
        <v>271</v>
      </c>
      <c r="E177" s="415" t="s">
        <v>71</v>
      </c>
      <c r="F177" s="425">
        <v>10.45</v>
      </c>
      <c r="G177" s="427" t="s">
        <v>1245</v>
      </c>
      <c r="H177" s="415" t="s">
        <v>310</v>
      </c>
      <c r="I177" s="398" t="s">
        <v>881</v>
      </c>
      <c r="J177" s="418" t="s">
        <v>882</v>
      </c>
      <c r="K177" s="418" t="s">
        <v>883</v>
      </c>
      <c r="L177" s="399" t="s">
        <v>798</v>
      </c>
      <c r="M177" s="544" t="s">
        <v>310</v>
      </c>
      <c r="N177" s="414">
        <v>44568</v>
      </c>
      <c r="O177" s="414" t="s">
        <v>400</v>
      </c>
      <c r="P177" s="222">
        <f t="shared" si="9"/>
        <v>1</v>
      </c>
      <c r="Q177" s="222">
        <f t="shared" si="10"/>
        <v>1</v>
      </c>
      <c r="R177" s="532" t="str">
        <f t="shared" si="11"/>
        <v>Gastos_Gerais</v>
      </c>
      <c r="S177" s="467" t="s">
        <v>310</v>
      </c>
      <c r="T177" s="467" t="s">
        <v>310</v>
      </c>
      <c r="U177" s="496"/>
      <c r="V177" s="496"/>
      <c r="W177" s="496"/>
    </row>
    <row r="178" spans="1:23" ht="24" x14ac:dyDescent="0.2">
      <c r="A178" s="510">
        <f t="shared" si="8"/>
        <v>175</v>
      </c>
      <c r="B178" s="428">
        <v>44568</v>
      </c>
      <c r="C178" s="424">
        <v>44562</v>
      </c>
      <c r="D178" s="415" t="s">
        <v>271</v>
      </c>
      <c r="E178" s="415" t="s">
        <v>71</v>
      </c>
      <c r="F178" s="425">
        <v>10.45</v>
      </c>
      <c r="G178" s="427" t="s">
        <v>1233</v>
      </c>
      <c r="H178" s="415" t="s">
        <v>310</v>
      </c>
      <c r="I178" s="398" t="s">
        <v>881</v>
      </c>
      <c r="J178" s="418" t="s">
        <v>882</v>
      </c>
      <c r="K178" s="418" t="s">
        <v>883</v>
      </c>
      <c r="L178" s="399" t="s">
        <v>798</v>
      </c>
      <c r="M178" s="544" t="s">
        <v>310</v>
      </c>
      <c r="N178" s="414">
        <v>44568</v>
      </c>
      <c r="O178" s="414" t="s">
        <v>400</v>
      </c>
      <c r="P178" s="222">
        <f t="shared" si="9"/>
        <v>1</v>
      </c>
      <c r="Q178" s="222">
        <f t="shared" si="10"/>
        <v>1</v>
      </c>
      <c r="R178" s="532" t="str">
        <f t="shared" si="11"/>
        <v>Gastos_Gerais</v>
      </c>
      <c r="S178" s="467" t="s">
        <v>310</v>
      </c>
      <c r="T178" s="467" t="s">
        <v>310</v>
      </c>
      <c r="U178" s="496"/>
      <c r="V178" s="496"/>
      <c r="W178" s="496"/>
    </row>
    <row r="179" spans="1:23" ht="24" x14ac:dyDescent="0.2">
      <c r="A179" s="510">
        <f t="shared" si="8"/>
        <v>176</v>
      </c>
      <c r="B179" s="428">
        <v>44568</v>
      </c>
      <c r="C179" s="424">
        <v>44562</v>
      </c>
      <c r="D179" s="415" t="s">
        <v>271</v>
      </c>
      <c r="E179" s="415" t="s">
        <v>71</v>
      </c>
      <c r="F179" s="425">
        <v>10.45</v>
      </c>
      <c r="G179" s="427" t="s">
        <v>1245</v>
      </c>
      <c r="H179" s="415" t="s">
        <v>310</v>
      </c>
      <c r="I179" s="398" t="s">
        <v>881</v>
      </c>
      <c r="J179" s="418" t="s">
        <v>882</v>
      </c>
      <c r="K179" s="418" t="s">
        <v>883</v>
      </c>
      <c r="L179" s="399" t="s">
        <v>798</v>
      </c>
      <c r="M179" s="544" t="s">
        <v>310</v>
      </c>
      <c r="N179" s="414">
        <v>44568</v>
      </c>
      <c r="O179" s="414" t="s">
        <v>400</v>
      </c>
      <c r="P179" s="222">
        <f t="shared" si="9"/>
        <v>1</v>
      </c>
      <c r="Q179" s="222">
        <f t="shared" si="10"/>
        <v>1</v>
      </c>
      <c r="R179" s="532" t="str">
        <f t="shared" si="11"/>
        <v>Gastos_Gerais</v>
      </c>
      <c r="S179" s="467" t="s">
        <v>310</v>
      </c>
      <c r="T179" s="467" t="s">
        <v>310</v>
      </c>
      <c r="U179" s="496"/>
      <c r="V179" s="496"/>
      <c r="W179" s="496"/>
    </row>
    <row r="180" spans="1:23" ht="24" x14ac:dyDescent="0.2">
      <c r="A180" s="510">
        <f t="shared" si="8"/>
        <v>177</v>
      </c>
      <c r="B180" s="428">
        <v>44568</v>
      </c>
      <c r="C180" s="424">
        <v>44562</v>
      </c>
      <c r="D180" s="415" t="s">
        <v>271</v>
      </c>
      <c r="E180" s="415" t="s">
        <v>71</v>
      </c>
      <c r="F180" s="425">
        <v>10.45</v>
      </c>
      <c r="G180" s="427" t="s">
        <v>1233</v>
      </c>
      <c r="H180" s="415" t="s">
        <v>310</v>
      </c>
      <c r="I180" s="398" t="s">
        <v>881</v>
      </c>
      <c r="J180" s="418" t="s">
        <v>882</v>
      </c>
      <c r="K180" s="418" t="s">
        <v>883</v>
      </c>
      <c r="L180" s="399" t="s">
        <v>798</v>
      </c>
      <c r="M180" s="544" t="s">
        <v>310</v>
      </c>
      <c r="N180" s="414">
        <v>44568</v>
      </c>
      <c r="O180" s="414" t="s">
        <v>400</v>
      </c>
      <c r="P180" s="222">
        <f t="shared" si="9"/>
        <v>1</v>
      </c>
      <c r="Q180" s="222">
        <f t="shared" si="10"/>
        <v>1</v>
      </c>
      <c r="R180" s="532" t="str">
        <f t="shared" si="11"/>
        <v>Gastos_Gerais</v>
      </c>
      <c r="S180" s="467" t="s">
        <v>310</v>
      </c>
      <c r="T180" s="467" t="s">
        <v>310</v>
      </c>
      <c r="U180" s="496"/>
      <c r="V180" s="496"/>
      <c r="W180" s="496"/>
    </row>
    <row r="181" spans="1:23" ht="24" x14ac:dyDescent="0.2">
      <c r="A181" s="510">
        <f t="shared" si="8"/>
        <v>178</v>
      </c>
      <c r="B181" s="428">
        <v>44568</v>
      </c>
      <c r="C181" s="424">
        <v>44562</v>
      </c>
      <c r="D181" s="415" t="s">
        <v>271</v>
      </c>
      <c r="E181" s="415" t="s">
        <v>71</v>
      </c>
      <c r="F181" s="425">
        <v>10.45</v>
      </c>
      <c r="G181" s="427" t="s">
        <v>1246</v>
      </c>
      <c r="H181" s="415" t="s">
        <v>310</v>
      </c>
      <c r="I181" s="398" t="s">
        <v>881</v>
      </c>
      <c r="J181" s="418" t="s">
        <v>882</v>
      </c>
      <c r="K181" s="418" t="s">
        <v>883</v>
      </c>
      <c r="L181" s="399" t="s">
        <v>798</v>
      </c>
      <c r="M181" s="544" t="s">
        <v>310</v>
      </c>
      <c r="N181" s="414">
        <v>44568</v>
      </c>
      <c r="O181" s="414" t="s">
        <v>400</v>
      </c>
      <c r="P181" s="222">
        <f t="shared" si="9"/>
        <v>1</v>
      </c>
      <c r="Q181" s="222">
        <f t="shared" si="10"/>
        <v>1</v>
      </c>
      <c r="R181" s="532" t="str">
        <f t="shared" si="11"/>
        <v>Gastos_Gerais</v>
      </c>
      <c r="S181" s="467" t="s">
        <v>310</v>
      </c>
      <c r="T181" s="467" t="s">
        <v>310</v>
      </c>
      <c r="U181" s="496"/>
      <c r="V181" s="496"/>
      <c r="W181" s="496"/>
    </row>
    <row r="182" spans="1:23" ht="24" x14ac:dyDescent="0.2">
      <c r="A182" s="510">
        <f t="shared" si="8"/>
        <v>179</v>
      </c>
      <c r="B182" s="428">
        <v>44568</v>
      </c>
      <c r="C182" s="424">
        <v>44562</v>
      </c>
      <c r="D182" s="415" t="s">
        <v>271</v>
      </c>
      <c r="E182" s="415" t="s">
        <v>71</v>
      </c>
      <c r="F182" s="425">
        <v>10.45</v>
      </c>
      <c r="G182" s="427" t="s">
        <v>1246</v>
      </c>
      <c r="H182" s="415" t="s">
        <v>310</v>
      </c>
      <c r="I182" s="398" t="s">
        <v>881</v>
      </c>
      <c r="J182" s="418" t="s">
        <v>882</v>
      </c>
      <c r="K182" s="418" t="s">
        <v>883</v>
      </c>
      <c r="L182" s="399" t="s">
        <v>798</v>
      </c>
      <c r="M182" s="544" t="s">
        <v>310</v>
      </c>
      <c r="N182" s="414">
        <v>44568</v>
      </c>
      <c r="O182" s="414" t="s">
        <v>400</v>
      </c>
      <c r="P182" s="222">
        <f t="shared" si="9"/>
        <v>1</v>
      </c>
      <c r="Q182" s="222">
        <f t="shared" si="10"/>
        <v>1</v>
      </c>
      <c r="R182" s="532" t="str">
        <f t="shared" si="11"/>
        <v>Gastos_Gerais</v>
      </c>
      <c r="S182" s="467" t="s">
        <v>310</v>
      </c>
      <c r="T182" s="467" t="s">
        <v>310</v>
      </c>
      <c r="U182" s="496"/>
      <c r="V182" s="496"/>
      <c r="W182" s="496"/>
    </row>
    <row r="183" spans="1:23" ht="24" x14ac:dyDescent="0.2">
      <c r="A183" s="510">
        <f t="shared" si="8"/>
        <v>180</v>
      </c>
      <c r="B183" s="428">
        <v>44568</v>
      </c>
      <c r="C183" s="424">
        <v>44562</v>
      </c>
      <c r="D183" s="415" t="s">
        <v>271</v>
      </c>
      <c r="E183" s="415" t="s">
        <v>71</v>
      </c>
      <c r="F183" s="425">
        <v>10.45</v>
      </c>
      <c r="G183" s="427" t="s">
        <v>1246</v>
      </c>
      <c r="H183" s="415" t="s">
        <v>310</v>
      </c>
      <c r="I183" s="398" t="s">
        <v>881</v>
      </c>
      <c r="J183" s="418" t="s">
        <v>882</v>
      </c>
      <c r="K183" s="418" t="s">
        <v>883</v>
      </c>
      <c r="L183" s="399" t="s">
        <v>798</v>
      </c>
      <c r="M183" s="544" t="s">
        <v>310</v>
      </c>
      <c r="N183" s="414">
        <v>44568</v>
      </c>
      <c r="O183" s="414" t="s">
        <v>400</v>
      </c>
      <c r="P183" s="222">
        <f t="shared" si="9"/>
        <v>1</v>
      </c>
      <c r="Q183" s="222">
        <f t="shared" si="10"/>
        <v>1</v>
      </c>
      <c r="R183" s="532" t="str">
        <f t="shared" si="11"/>
        <v>Gastos_Gerais</v>
      </c>
      <c r="S183" s="467" t="s">
        <v>310</v>
      </c>
      <c r="T183" s="467" t="s">
        <v>310</v>
      </c>
      <c r="U183" s="496"/>
      <c r="V183" s="496"/>
      <c r="W183" s="496"/>
    </row>
    <row r="184" spans="1:23" ht="24" x14ac:dyDescent="0.2">
      <c r="A184" s="510">
        <f t="shared" si="8"/>
        <v>181</v>
      </c>
      <c r="B184" s="428">
        <v>44568</v>
      </c>
      <c r="C184" s="424">
        <v>44562</v>
      </c>
      <c r="D184" s="415" t="s">
        <v>271</v>
      </c>
      <c r="E184" s="415" t="s">
        <v>71</v>
      </c>
      <c r="F184" s="425">
        <v>10.45</v>
      </c>
      <c r="G184" s="427" t="s">
        <v>1247</v>
      </c>
      <c r="H184" s="415" t="s">
        <v>310</v>
      </c>
      <c r="I184" s="398" t="s">
        <v>881</v>
      </c>
      <c r="J184" s="418" t="s">
        <v>882</v>
      </c>
      <c r="K184" s="418" t="s">
        <v>883</v>
      </c>
      <c r="L184" s="399" t="s">
        <v>798</v>
      </c>
      <c r="M184" s="544" t="s">
        <v>310</v>
      </c>
      <c r="N184" s="414">
        <v>44568</v>
      </c>
      <c r="O184" s="414" t="s">
        <v>400</v>
      </c>
      <c r="P184" s="222">
        <f t="shared" si="9"/>
        <v>1</v>
      </c>
      <c r="Q184" s="222">
        <f t="shared" si="10"/>
        <v>1</v>
      </c>
      <c r="R184" s="532" t="str">
        <f t="shared" si="11"/>
        <v>Gastos_Gerais</v>
      </c>
      <c r="S184" s="467" t="s">
        <v>310</v>
      </c>
      <c r="T184" s="467" t="s">
        <v>310</v>
      </c>
      <c r="U184" s="496"/>
      <c r="V184" s="496"/>
      <c r="W184" s="496"/>
    </row>
    <row r="185" spans="1:23" ht="24" x14ac:dyDescent="0.2">
      <c r="A185" s="510">
        <f t="shared" si="8"/>
        <v>182</v>
      </c>
      <c r="B185" s="428">
        <v>44568</v>
      </c>
      <c r="C185" s="424">
        <v>44562</v>
      </c>
      <c r="D185" s="415" t="s">
        <v>271</v>
      </c>
      <c r="E185" s="415" t="s">
        <v>71</v>
      </c>
      <c r="F185" s="425">
        <v>10.45</v>
      </c>
      <c r="G185" s="427" t="s">
        <v>1247</v>
      </c>
      <c r="H185" s="415" t="s">
        <v>310</v>
      </c>
      <c r="I185" s="398" t="s">
        <v>881</v>
      </c>
      <c r="J185" s="418" t="s">
        <v>882</v>
      </c>
      <c r="K185" s="418" t="s">
        <v>883</v>
      </c>
      <c r="L185" s="399" t="s">
        <v>798</v>
      </c>
      <c r="M185" s="544" t="s">
        <v>310</v>
      </c>
      <c r="N185" s="414">
        <v>44568</v>
      </c>
      <c r="O185" s="414" t="s">
        <v>400</v>
      </c>
      <c r="P185" s="222">
        <f t="shared" si="9"/>
        <v>1</v>
      </c>
      <c r="Q185" s="222">
        <f t="shared" si="10"/>
        <v>1</v>
      </c>
      <c r="R185" s="532" t="str">
        <f t="shared" si="11"/>
        <v>Gastos_Gerais</v>
      </c>
      <c r="S185" s="467" t="s">
        <v>310</v>
      </c>
      <c r="T185" s="467" t="s">
        <v>310</v>
      </c>
      <c r="U185" s="496"/>
      <c r="V185" s="496"/>
      <c r="W185" s="496"/>
    </row>
    <row r="186" spans="1:23" ht="24" x14ac:dyDescent="0.2">
      <c r="A186" s="510">
        <f t="shared" si="8"/>
        <v>183</v>
      </c>
      <c r="B186" s="428">
        <v>44568</v>
      </c>
      <c r="C186" s="424">
        <v>44562</v>
      </c>
      <c r="D186" s="415" t="s">
        <v>271</v>
      </c>
      <c r="E186" s="415" t="s">
        <v>71</v>
      </c>
      <c r="F186" s="425">
        <v>10.45</v>
      </c>
      <c r="G186" s="427" t="s">
        <v>1247</v>
      </c>
      <c r="H186" s="415" t="s">
        <v>310</v>
      </c>
      <c r="I186" s="398" t="s">
        <v>881</v>
      </c>
      <c r="J186" s="418" t="s">
        <v>882</v>
      </c>
      <c r="K186" s="418" t="s">
        <v>883</v>
      </c>
      <c r="L186" s="399" t="s">
        <v>798</v>
      </c>
      <c r="M186" s="544" t="s">
        <v>310</v>
      </c>
      <c r="N186" s="414">
        <v>44568</v>
      </c>
      <c r="O186" s="414" t="s">
        <v>400</v>
      </c>
      <c r="P186" s="222">
        <f t="shared" si="9"/>
        <v>1</v>
      </c>
      <c r="Q186" s="222">
        <f t="shared" si="10"/>
        <v>1</v>
      </c>
      <c r="R186" s="532" t="str">
        <f t="shared" si="11"/>
        <v>Gastos_Gerais</v>
      </c>
      <c r="S186" s="467" t="s">
        <v>310</v>
      </c>
      <c r="T186" s="467" t="s">
        <v>310</v>
      </c>
      <c r="U186" s="496"/>
      <c r="V186" s="496"/>
      <c r="W186" s="496"/>
    </row>
    <row r="187" spans="1:23" ht="24" x14ac:dyDescent="0.2">
      <c r="A187" s="510">
        <f t="shared" si="8"/>
        <v>184</v>
      </c>
      <c r="B187" s="428">
        <v>44568</v>
      </c>
      <c r="C187" s="424">
        <v>44562</v>
      </c>
      <c r="D187" s="415" t="s">
        <v>271</v>
      </c>
      <c r="E187" s="415" t="s">
        <v>71</v>
      </c>
      <c r="F187" s="425">
        <v>10.45</v>
      </c>
      <c r="G187" s="427" t="s">
        <v>1247</v>
      </c>
      <c r="H187" s="415" t="s">
        <v>310</v>
      </c>
      <c r="I187" s="398" t="s">
        <v>881</v>
      </c>
      <c r="J187" s="418" t="s">
        <v>882</v>
      </c>
      <c r="K187" s="418" t="s">
        <v>883</v>
      </c>
      <c r="L187" s="399" t="s">
        <v>798</v>
      </c>
      <c r="M187" s="544" t="s">
        <v>310</v>
      </c>
      <c r="N187" s="414">
        <v>44568</v>
      </c>
      <c r="O187" s="414" t="s">
        <v>400</v>
      </c>
      <c r="P187" s="222">
        <f t="shared" si="9"/>
        <v>1</v>
      </c>
      <c r="Q187" s="222">
        <f t="shared" si="10"/>
        <v>1</v>
      </c>
      <c r="R187" s="532" t="str">
        <f t="shared" si="11"/>
        <v>Gastos_Gerais</v>
      </c>
      <c r="S187" s="467" t="s">
        <v>310</v>
      </c>
      <c r="T187" s="467" t="s">
        <v>310</v>
      </c>
      <c r="U187" s="496"/>
      <c r="V187" s="496"/>
      <c r="W187" s="496"/>
    </row>
    <row r="188" spans="1:23" ht="36" x14ac:dyDescent="0.2">
      <c r="A188" s="510">
        <f t="shared" si="8"/>
        <v>185</v>
      </c>
      <c r="B188" s="428">
        <v>44568</v>
      </c>
      <c r="C188" s="424">
        <v>44562</v>
      </c>
      <c r="D188" s="415" t="s">
        <v>271</v>
      </c>
      <c r="E188" s="415" t="s">
        <v>71</v>
      </c>
      <c r="F188" s="425">
        <v>10.45</v>
      </c>
      <c r="G188" s="427" t="s">
        <v>1248</v>
      </c>
      <c r="H188" s="415" t="s">
        <v>309</v>
      </c>
      <c r="I188" s="398" t="s">
        <v>881</v>
      </c>
      <c r="J188" s="418" t="s">
        <v>882</v>
      </c>
      <c r="K188" s="418" t="s">
        <v>883</v>
      </c>
      <c r="L188" s="399" t="s">
        <v>798</v>
      </c>
      <c r="M188" s="544" t="s">
        <v>310</v>
      </c>
      <c r="N188" s="414">
        <v>44568</v>
      </c>
      <c r="O188" s="414" t="s">
        <v>400</v>
      </c>
      <c r="P188" s="222">
        <f t="shared" si="9"/>
        <v>1</v>
      </c>
      <c r="Q188" s="222">
        <f t="shared" si="10"/>
        <v>1</v>
      </c>
      <c r="R188" s="532" t="str">
        <f t="shared" si="11"/>
        <v>Gastos_Gerais</v>
      </c>
      <c r="S188" s="467" t="s">
        <v>310</v>
      </c>
      <c r="T188" s="467" t="s">
        <v>310</v>
      </c>
      <c r="U188" s="496"/>
      <c r="V188" s="496"/>
      <c r="W188" s="496"/>
    </row>
    <row r="189" spans="1:23" ht="36" x14ac:dyDescent="0.2">
      <c r="A189" s="510">
        <f t="shared" si="8"/>
        <v>186</v>
      </c>
      <c r="B189" s="428">
        <v>44568</v>
      </c>
      <c r="C189" s="424">
        <v>44562</v>
      </c>
      <c r="D189" s="415" t="s">
        <v>271</v>
      </c>
      <c r="E189" s="415" t="s">
        <v>71</v>
      </c>
      <c r="F189" s="425">
        <v>10.45</v>
      </c>
      <c r="G189" s="427" t="s">
        <v>1249</v>
      </c>
      <c r="H189" s="415" t="s">
        <v>309</v>
      </c>
      <c r="I189" s="398" t="s">
        <v>881</v>
      </c>
      <c r="J189" s="418" t="s">
        <v>882</v>
      </c>
      <c r="K189" s="418" t="s">
        <v>883</v>
      </c>
      <c r="L189" s="399" t="s">
        <v>798</v>
      </c>
      <c r="M189" s="544" t="s">
        <v>310</v>
      </c>
      <c r="N189" s="414">
        <v>44568</v>
      </c>
      <c r="O189" s="414" t="s">
        <v>400</v>
      </c>
      <c r="P189" s="222">
        <f t="shared" si="9"/>
        <v>1</v>
      </c>
      <c r="Q189" s="222">
        <f t="shared" si="10"/>
        <v>1</v>
      </c>
      <c r="R189" s="532" t="str">
        <f t="shared" si="11"/>
        <v>Gastos_Gerais</v>
      </c>
      <c r="S189" s="467" t="s">
        <v>310</v>
      </c>
      <c r="T189" s="467" t="s">
        <v>310</v>
      </c>
      <c r="U189" s="496"/>
      <c r="V189" s="496"/>
      <c r="W189" s="496"/>
    </row>
    <row r="190" spans="1:23" ht="36" x14ac:dyDescent="0.2">
      <c r="A190" s="510">
        <f t="shared" si="8"/>
        <v>187</v>
      </c>
      <c r="B190" s="428">
        <v>44568</v>
      </c>
      <c r="C190" s="424">
        <v>44562</v>
      </c>
      <c r="D190" s="415" t="s">
        <v>271</v>
      </c>
      <c r="E190" s="415" t="s">
        <v>71</v>
      </c>
      <c r="F190" s="425">
        <v>10.45</v>
      </c>
      <c r="G190" s="427" t="s">
        <v>1250</v>
      </c>
      <c r="H190" s="415" t="s">
        <v>309</v>
      </c>
      <c r="I190" s="398" t="s">
        <v>881</v>
      </c>
      <c r="J190" s="418" t="s">
        <v>882</v>
      </c>
      <c r="K190" s="418" t="s">
        <v>883</v>
      </c>
      <c r="L190" s="399" t="s">
        <v>798</v>
      </c>
      <c r="M190" s="544" t="s">
        <v>310</v>
      </c>
      <c r="N190" s="414">
        <v>44568</v>
      </c>
      <c r="O190" s="414" t="s">
        <v>400</v>
      </c>
      <c r="P190" s="222">
        <f t="shared" si="9"/>
        <v>1</v>
      </c>
      <c r="Q190" s="222">
        <f t="shared" si="10"/>
        <v>1</v>
      </c>
      <c r="R190" s="532" t="str">
        <f t="shared" si="11"/>
        <v>Gastos_Gerais</v>
      </c>
      <c r="S190" s="467" t="s">
        <v>310</v>
      </c>
      <c r="T190" s="467" t="s">
        <v>310</v>
      </c>
      <c r="U190" s="496"/>
      <c r="V190" s="496"/>
      <c r="W190" s="496"/>
    </row>
    <row r="191" spans="1:23" ht="36" x14ac:dyDescent="0.2">
      <c r="A191" s="510">
        <f t="shared" si="8"/>
        <v>188</v>
      </c>
      <c r="B191" s="428">
        <v>44568</v>
      </c>
      <c r="C191" s="424">
        <v>44562</v>
      </c>
      <c r="D191" s="415" t="s">
        <v>271</v>
      </c>
      <c r="E191" s="415" t="s">
        <v>71</v>
      </c>
      <c r="F191" s="425">
        <v>10.45</v>
      </c>
      <c r="G191" s="427" t="s">
        <v>1251</v>
      </c>
      <c r="H191" s="415" t="s">
        <v>750</v>
      </c>
      <c r="I191" s="398" t="s">
        <v>881</v>
      </c>
      <c r="J191" s="418" t="s">
        <v>882</v>
      </c>
      <c r="K191" s="418" t="s">
        <v>883</v>
      </c>
      <c r="L191" s="399" t="s">
        <v>798</v>
      </c>
      <c r="M191" s="544" t="s">
        <v>310</v>
      </c>
      <c r="N191" s="414">
        <v>44568</v>
      </c>
      <c r="O191" s="414" t="s">
        <v>400</v>
      </c>
      <c r="P191" s="222">
        <f t="shared" si="9"/>
        <v>1</v>
      </c>
      <c r="Q191" s="222">
        <f t="shared" si="10"/>
        <v>1</v>
      </c>
      <c r="R191" s="532" t="str">
        <f t="shared" si="11"/>
        <v>Gastos_Gerais</v>
      </c>
      <c r="S191" s="467" t="s">
        <v>310</v>
      </c>
      <c r="T191" s="467" t="s">
        <v>310</v>
      </c>
      <c r="U191" s="496"/>
      <c r="V191" s="496"/>
      <c r="W191" s="496"/>
    </row>
    <row r="192" spans="1:23" ht="36" x14ac:dyDescent="0.2">
      <c r="A192" s="510">
        <f t="shared" si="8"/>
        <v>189</v>
      </c>
      <c r="B192" s="428">
        <v>44568</v>
      </c>
      <c r="C192" s="424">
        <v>44562</v>
      </c>
      <c r="D192" s="415" t="s">
        <v>271</v>
      </c>
      <c r="E192" s="415" t="s">
        <v>71</v>
      </c>
      <c r="F192" s="425">
        <v>10.45</v>
      </c>
      <c r="G192" s="427" t="s">
        <v>1252</v>
      </c>
      <c r="H192" s="415" t="s">
        <v>309</v>
      </c>
      <c r="I192" s="398" t="s">
        <v>881</v>
      </c>
      <c r="J192" s="418" t="s">
        <v>882</v>
      </c>
      <c r="K192" s="418" t="s">
        <v>883</v>
      </c>
      <c r="L192" s="399" t="s">
        <v>798</v>
      </c>
      <c r="M192" s="544" t="s">
        <v>310</v>
      </c>
      <c r="N192" s="414">
        <v>44568</v>
      </c>
      <c r="O192" s="414" t="s">
        <v>400</v>
      </c>
      <c r="P192" s="222">
        <f t="shared" si="9"/>
        <v>1</v>
      </c>
      <c r="Q192" s="222">
        <f t="shared" si="10"/>
        <v>1</v>
      </c>
      <c r="R192" s="532" t="str">
        <f t="shared" si="11"/>
        <v>Gastos_Gerais</v>
      </c>
      <c r="S192" s="467" t="s">
        <v>310</v>
      </c>
      <c r="T192" s="467" t="s">
        <v>310</v>
      </c>
      <c r="U192" s="496"/>
      <c r="V192" s="496"/>
      <c r="W192" s="496"/>
    </row>
    <row r="193" spans="1:23" ht="36" x14ac:dyDescent="0.2">
      <c r="A193" s="510">
        <f t="shared" si="8"/>
        <v>190</v>
      </c>
      <c r="B193" s="428">
        <v>44568</v>
      </c>
      <c r="C193" s="431">
        <v>44531</v>
      </c>
      <c r="D193" s="415" t="s">
        <v>468</v>
      </c>
      <c r="E193" s="415" t="s">
        <v>468</v>
      </c>
      <c r="F193" s="425">
        <v>5500</v>
      </c>
      <c r="G193" s="427" t="s">
        <v>2407</v>
      </c>
      <c r="H193" s="415" t="s">
        <v>468</v>
      </c>
      <c r="I193" s="398" t="s">
        <v>2408</v>
      </c>
      <c r="J193" s="418" t="s">
        <v>1031</v>
      </c>
      <c r="K193" s="418" t="s">
        <v>830</v>
      </c>
      <c r="L193" s="399" t="s">
        <v>807</v>
      </c>
      <c r="M193" s="544">
        <v>23</v>
      </c>
      <c r="N193" s="414">
        <v>44568</v>
      </c>
      <c r="O193" s="414" t="s">
        <v>408</v>
      </c>
      <c r="P193" s="222">
        <f t="shared" si="9"/>
        <v>1</v>
      </c>
      <c r="Q193" s="222">
        <f t="shared" si="10"/>
        <v>0</v>
      </c>
      <c r="R193" s="532" t="str">
        <f t="shared" si="11"/>
        <v>Gastos_custeados_por_captação</v>
      </c>
      <c r="S193" s="467" t="s">
        <v>998</v>
      </c>
      <c r="T193" s="467">
        <v>1473</v>
      </c>
      <c r="U193" s="496"/>
      <c r="V193" s="496"/>
      <c r="W193" s="496"/>
    </row>
    <row r="194" spans="1:23" ht="60" x14ac:dyDescent="0.2">
      <c r="A194" s="510">
        <f t="shared" si="8"/>
        <v>191</v>
      </c>
      <c r="B194" s="428">
        <v>44568</v>
      </c>
      <c r="C194" s="431">
        <v>44531</v>
      </c>
      <c r="D194" s="415" t="s">
        <v>271</v>
      </c>
      <c r="E194" s="415" t="s">
        <v>453</v>
      </c>
      <c r="F194" s="425">
        <v>1998.6</v>
      </c>
      <c r="G194" s="427" t="s">
        <v>613</v>
      </c>
      <c r="H194" s="415" t="s">
        <v>752</v>
      </c>
      <c r="I194" s="473" t="s">
        <v>1226</v>
      </c>
      <c r="J194" s="415" t="s">
        <v>1061</v>
      </c>
      <c r="K194" s="415" t="s">
        <v>830</v>
      </c>
      <c r="L194" s="415" t="s">
        <v>839</v>
      </c>
      <c r="M194" s="415">
        <v>1525</v>
      </c>
      <c r="N194" s="414">
        <v>44567</v>
      </c>
      <c r="O194" s="414" t="s">
        <v>400</v>
      </c>
      <c r="P194" s="222">
        <f t="shared" si="9"/>
        <v>1</v>
      </c>
      <c r="Q194" s="222">
        <f t="shared" si="10"/>
        <v>0</v>
      </c>
      <c r="R194" s="532" t="str">
        <f t="shared" si="11"/>
        <v>Gastos_Gerais</v>
      </c>
      <c r="S194" s="467" t="s">
        <v>1000</v>
      </c>
      <c r="T194" s="467">
        <v>2551</v>
      </c>
      <c r="U194" s="496"/>
      <c r="V194" s="496"/>
      <c r="W194" s="496"/>
    </row>
    <row r="195" spans="1:23" ht="72" x14ac:dyDescent="0.2">
      <c r="A195" s="510">
        <f t="shared" si="8"/>
        <v>192</v>
      </c>
      <c r="B195" s="428">
        <v>44568</v>
      </c>
      <c r="C195" s="431">
        <v>44531</v>
      </c>
      <c r="D195" s="415" t="s">
        <v>468</v>
      </c>
      <c r="E195" s="415" t="s">
        <v>468</v>
      </c>
      <c r="F195" s="459">
        <v>2037.26</v>
      </c>
      <c r="G195" s="399" t="s">
        <v>2717</v>
      </c>
      <c r="H195" s="415" t="s">
        <v>468</v>
      </c>
      <c r="I195" s="460" t="s">
        <v>2719</v>
      </c>
      <c r="J195" s="468" t="s">
        <v>1108</v>
      </c>
      <c r="K195" s="418" t="s">
        <v>830</v>
      </c>
      <c r="L195" s="399" t="s">
        <v>807</v>
      </c>
      <c r="M195" s="464">
        <v>1527</v>
      </c>
      <c r="N195" s="469">
        <v>44567</v>
      </c>
      <c r="O195" s="414" t="s">
        <v>407</v>
      </c>
      <c r="P195" s="222">
        <f t="shared" si="9"/>
        <v>1</v>
      </c>
      <c r="Q195" s="222">
        <f t="shared" si="10"/>
        <v>0</v>
      </c>
      <c r="R195" s="532" t="str">
        <f t="shared" si="11"/>
        <v>Gastos_custeados_por_captação</v>
      </c>
      <c r="S195" s="467" t="s">
        <v>998</v>
      </c>
      <c r="T195" s="467">
        <v>2639</v>
      </c>
      <c r="U195" s="496"/>
      <c r="V195" s="496"/>
      <c r="W195" s="496"/>
    </row>
    <row r="196" spans="1:23" ht="72" x14ac:dyDescent="0.2">
      <c r="A196" s="510">
        <f t="shared" ref="A196:A259" si="12">IF(B196="","",ROW()-ROW($A$3))</f>
        <v>193</v>
      </c>
      <c r="B196" s="428">
        <v>44568</v>
      </c>
      <c r="C196" s="431">
        <v>44531</v>
      </c>
      <c r="D196" s="415" t="s">
        <v>468</v>
      </c>
      <c r="E196" s="415" t="s">
        <v>468</v>
      </c>
      <c r="F196" s="459">
        <v>3605</v>
      </c>
      <c r="G196" s="399" t="s">
        <v>2725</v>
      </c>
      <c r="H196" s="415" t="s">
        <v>468</v>
      </c>
      <c r="I196" s="460" t="s">
        <v>2720</v>
      </c>
      <c r="J196" s="468" t="s">
        <v>2724</v>
      </c>
      <c r="K196" s="418" t="s">
        <v>830</v>
      </c>
      <c r="L196" s="399" t="s">
        <v>807</v>
      </c>
      <c r="M196" s="464">
        <v>1526</v>
      </c>
      <c r="N196" s="469">
        <v>44567</v>
      </c>
      <c r="O196" s="414" t="s">
        <v>407</v>
      </c>
      <c r="P196" s="222">
        <f t="shared" ref="P196:P259" si="13">IF(B196=0,0,IF(YEAR(B196)=$Q$1,MONTH(B196)-$P$1+1,(YEAR(B196)-$Q$1)*12-$P$1+1+MONTH(B196)))</f>
        <v>1</v>
      </c>
      <c r="Q196" s="222">
        <f t="shared" ref="Q196:Q259" si="14">IF(C196=0,0,IF(YEAR(C196)=$Q$1,MONTH(C196)-$P$1+1,(YEAR(C196)-$Q$1)*12-$P$1+1+MONTH(C196)))</f>
        <v>0</v>
      </c>
      <c r="R196" s="532" t="str">
        <f t="shared" ref="R196:R259" si="15">SUBSTITUTE(D196," ","_")</f>
        <v>Gastos_custeados_por_captação</v>
      </c>
      <c r="S196" s="467" t="s">
        <v>998</v>
      </c>
      <c r="T196" s="467">
        <v>2462</v>
      </c>
      <c r="U196" s="496"/>
      <c r="V196" s="496"/>
      <c r="W196" s="496"/>
    </row>
    <row r="197" spans="1:23" ht="96" x14ac:dyDescent="0.2">
      <c r="A197" s="510">
        <f t="shared" si="12"/>
        <v>194</v>
      </c>
      <c r="B197" s="428">
        <v>44568</v>
      </c>
      <c r="C197" s="433">
        <v>44531</v>
      </c>
      <c r="D197" s="434" t="s">
        <v>271</v>
      </c>
      <c r="E197" s="434" t="s">
        <v>90</v>
      </c>
      <c r="F197" s="425">
        <v>2500</v>
      </c>
      <c r="G197" s="427" t="s">
        <v>1225</v>
      </c>
      <c r="H197" s="415" t="s">
        <v>309</v>
      </c>
      <c r="I197" s="473" t="s">
        <v>1224</v>
      </c>
      <c r="J197" s="415" t="s">
        <v>1018</v>
      </c>
      <c r="K197" s="415" t="s">
        <v>830</v>
      </c>
      <c r="L197" s="415" t="s">
        <v>807</v>
      </c>
      <c r="M197" s="415" t="s">
        <v>848</v>
      </c>
      <c r="N197" s="414">
        <v>44566</v>
      </c>
      <c r="O197" s="414" t="s">
        <v>400</v>
      </c>
      <c r="P197" s="222">
        <f t="shared" si="13"/>
        <v>1</v>
      </c>
      <c r="Q197" s="222">
        <f t="shared" si="14"/>
        <v>0</v>
      </c>
      <c r="R197" s="532" t="str">
        <f t="shared" si="15"/>
        <v>Gastos_Gerais</v>
      </c>
      <c r="S197" s="467" t="s">
        <v>998</v>
      </c>
      <c r="T197" s="467">
        <v>1235</v>
      </c>
      <c r="U197" s="496"/>
      <c r="V197" s="496"/>
      <c r="W197" s="496"/>
    </row>
    <row r="198" spans="1:23" ht="156" x14ac:dyDescent="0.2">
      <c r="A198" s="510">
        <f t="shared" si="12"/>
        <v>195</v>
      </c>
      <c r="B198" s="428">
        <v>44568</v>
      </c>
      <c r="C198" s="431">
        <v>44409</v>
      </c>
      <c r="D198" s="415" t="s">
        <v>271</v>
      </c>
      <c r="E198" s="415" t="s">
        <v>297</v>
      </c>
      <c r="F198" s="425">
        <v>1000</v>
      </c>
      <c r="G198" s="437" t="s">
        <v>544</v>
      </c>
      <c r="H198" s="415" t="s">
        <v>751</v>
      </c>
      <c r="I198" s="473" t="s">
        <v>1230</v>
      </c>
      <c r="J198" s="415" t="s">
        <v>1039</v>
      </c>
      <c r="K198" s="415" t="s">
        <v>830</v>
      </c>
      <c r="L198" s="415" t="s">
        <v>807</v>
      </c>
      <c r="M198" s="415" t="s">
        <v>848</v>
      </c>
      <c r="N198" s="414">
        <v>44566</v>
      </c>
      <c r="O198" s="414" t="s">
        <v>400</v>
      </c>
      <c r="P198" s="222">
        <f t="shared" si="13"/>
        <v>1</v>
      </c>
      <c r="Q198" s="222">
        <f t="shared" si="14"/>
        <v>-4</v>
      </c>
      <c r="R198" s="532" t="str">
        <f t="shared" si="15"/>
        <v>Gastos_Gerais</v>
      </c>
      <c r="S198" s="467" t="s">
        <v>1000</v>
      </c>
      <c r="T198" s="467">
        <v>1876</v>
      </c>
      <c r="U198" s="496"/>
      <c r="V198" s="496"/>
      <c r="W198" s="496"/>
    </row>
    <row r="199" spans="1:23" ht="72" x14ac:dyDescent="0.2">
      <c r="A199" s="510">
        <f t="shared" si="12"/>
        <v>196</v>
      </c>
      <c r="B199" s="428">
        <v>44568</v>
      </c>
      <c r="C199" s="431">
        <v>44531</v>
      </c>
      <c r="D199" s="415" t="s">
        <v>468</v>
      </c>
      <c r="E199" s="415" t="s">
        <v>468</v>
      </c>
      <c r="F199" s="459">
        <v>5112</v>
      </c>
      <c r="G199" s="399" t="s">
        <v>2727</v>
      </c>
      <c r="H199" s="415" t="s">
        <v>468</v>
      </c>
      <c r="I199" s="460" t="s">
        <v>2721</v>
      </c>
      <c r="J199" s="468" t="s">
        <v>1119</v>
      </c>
      <c r="K199" s="418" t="s">
        <v>830</v>
      </c>
      <c r="L199" s="399" t="s">
        <v>807</v>
      </c>
      <c r="M199" s="464">
        <v>330</v>
      </c>
      <c r="N199" s="469">
        <v>44566</v>
      </c>
      <c r="O199" s="414" t="s">
        <v>407</v>
      </c>
      <c r="P199" s="222">
        <f t="shared" si="13"/>
        <v>1</v>
      </c>
      <c r="Q199" s="222">
        <f t="shared" si="14"/>
        <v>0</v>
      </c>
      <c r="R199" s="532" t="str">
        <f t="shared" si="15"/>
        <v>Gastos_custeados_por_captação</v>
      </c>
      <c r="S199" s="467" t="s">
        <v>999</v>
      </c>
      <c r="T199" s="467">
        <v>2680</v>
      </c>
      <c r="U199" s="496"/>
      <c r="V199" s="496"/>
      <c r="W199" s="496"/>
    </row>
    <row r="200" spans="1:23" ht="72" x14ac:dyDescent="0.2">
      <c r="A200" s="510">
        <f t="shared" si="12"/>
        <v>197</v>
      </c>
      <c r="B200" s="428">
        <v>44568</v>
      </c>
      <c r="C200" s="431">
        <v>44531</v>
      </c>
      <c r="D200" s="415" t="s">
        <v>468</v>
      </c>
      <c r="E200" s="415" t="s">
        <v>468</v>
      </c>
      <c r="F200" s="459">
        <v>2037.26</v>
      </c>
      <c r="G200" s="399" t="s">
        <v>2717</v>
      </c>
      <c r="H200" s="415" t="s">
        <v>468</v>
      </c>
      <c r="I200" s="460" t="s">
        <v>2722</v>
      </c>
      <c r="J200" s="468" t="s">
        <v>1109</v>
      </c>
      <c r="K200" s="418" t="s">
        <v>830</v>
      </c>
      <c r="L200" s="399" t="s">
        <v>839</v>
      </c>
      <c r="M200" s="464">
        <v>1523</v>
      </c>
      <c r="N200" s="469">
        <v>44566</v>
      </c>
      <c r="O200" s="414" t="s">
        <v>407</v>
      </c>
      <c r="P200" s="222">
        <f t="shared" si="13"/>
        <v>1</v>
      </c>
      <c r="Q200" s="222">
        <f t="shared" si="14"/>
        <v>0</v>
      </c>
      <c r="R200" s="532" t="str">
        <f t="shared" si="15"/>
        <v>Gastos_custeados_por_captação</v>
      </c>
      <c r="S200" s="467" t="s">
        <v>998</v>
      </c>
      <c r="T200" s="467">
        <v>2638</v>
      </c>
      <c r="U200" s="496"/>
      <c r="V200" s="496"/>
      <c r="W200" s="496"/>
    </row>
    <row r="201" spans="1:23" ht="72" x14ac:dyDescent="0.2">
      <c r="A201" s="510">
        <f t="shared" si="12"/>
        <v>198</v>
      </c>
      <c r="B201" s="428">
        <v>44568</v>
      </c>
      <c r="C201" s="431">
        <v>44531</v>
      </c>
      <c r="D201" s="415" t="s">
        <v>468</v>
      </c>
      <c r="E201" s="415" t="s">
        <v>468</v>
      </c>
      <c r="F201" s="459">
        <v>1165.8</v>
      </c>
      <c r="G201" s="399" t="s">
        <v>2728</v>
      </c>
      <c r="H201" s="415" t="s">
        <v>468</v>
      </c>
      <c r="I201" s="460" t="s">
        <v>2723</v>
      </c>
      <c r="J201" s="468" t="s">
        <v>1117</v>
      </c>
      <c r="K201" s="418" t="s">
        <v>830</v>
      </c>
      <c r="L201" s="399"/>
      <c r="M201" s="464">
        <v>20227</v>
      </c>
      <c r="N201" s="469">
        <v>44566</v>
      </c>
      <c r="O201" s="414" t="s">
        <v>407</v>
      </c>
      <c r="P201" s="222">
        <f t="shared" si="13"/>
        <v>1</v>
      </c>
      <c r="Q201" s="222">
        <f t="shared" si="14"/>
        <v>0</v>
      </c>
      <c r="R201" s="532" t="str">
        <f t="shared" si="15"/>
        <v>Gastos_custeados_por_captação</v>
      </c>
      <c r="S201" s="467" t="s">
        <v>998</v>
      </c>
      <c r="T201" s="467">
        <v>2682</v>
      </c>
      <c r="U201" s="496"/>
      <c r="V201" s="496"/>
      <c r="W201" s="496"/>
    </row>
    <row r="202" spans="1:23" ht="72" x14ac:dyDescent="0.2">
      <c r="A202" s="510">
        <f t="shared" si="12"/>
        <v>199</v>
      </c>
      <c r="B202" s="428">
        <v>44568</v>
      </c>
      <c r="C202" s="431">
        <v>44531</v>
      </c>
      <c r="D202" s="415" t="s">
        <v>468</v>
      </c>
      <c r="E202" s="415" t="s">
        <v>468</v>
      </c>
      <c r="F202" s="459">
        <v>144.19</v>
      </c>
      <c r="G202" s="399" t="s">
        <v>2729</v>
      </c>
      <c r="H202" s="415" t="s">
        <v>468</v>
      </c>
      <c r="I202" s="460" t="s">
        <v>2702</v>
      </c>
      <c r="J202" s="468" t="s">
        <v>1010</v>
      </c>
      <c r="K202" s="418" t="s">
        <v>830</v>
      </c>
      <c r="L202" s="399"/>
      <c r="M202" s="464">
        <v>20228</v>
      </c>
      <c r="N202" s="469">
        <v>44566</v>
      </c>
      <c r="O202" s="414" t="s">
        <v>407</v>
      </c>
      <c r="P202" s="222">
        <f t="shared" si="13"/>
        <v>1</v>
      </c>
      <c r="Q202" s="222">
        <f t="shared" si="14"/>
        <v>0</v>
      </c>
      <c r="R202" s="532" t="str">
        <f t="shared" si="15"/>
        <v>Gastos_custeados_por_captação</v>
      </c>
      <c r="S202" s="467" t="s">
        <v>998</v>
      </c>
      <c r="T202" s="467">
        <v>2652</v>
      </c>
      <c r="U202" s="496"/>
      <c r="V202" s="496"/>
      <c r="W202" s="496"/>
    </row>
    <row r="203" spans="1:23" ht="100.5" customHeight="1" x14ac:dyDescent="0.2">
      <c r="A203" s="510">
        <f t="shared" si="12"/>
        <v>200</v>
      </c>
      <c r="B203" s="428">
        <v>44568</v>
      </c>
      <c r="C203" s="431">
        <v>44501</v>
      </c>
      <c r="D203" s="415" t="s">
        <v>271</v>
      </c>
      <c r="E203" s="415" t="s">
        <v>460</v>
      </c>
      <c r="F203" s="425">
        <v>5837.4</v>
      </c>
      <c r="G203" s="427" t="s">
        <v>582</v>
      </c>
      <c r="H203" s="415" t="s">
        <v>750</v>
      </c>
      <c r="I203" s="473" t="s">
        <v>1229</v>
      </c>
      <c r="J203" s="415" t="s">
        <v>1051</v>
      </c>
      <c r="K203" s="415" t="s">
        <v>830</v>
      </c>
      <c r="L203" s="415" t="s">
        <v>807</v>
      </c>
      <c r="M203" s="415" t="s">
        <v>848</v>
      </c>
      <c r="N203" s="414">
        <v>44565</v>
      </c>
      <c r="O203" s="414" t="s">
        <v>400</v>
      </c>
      <c r="P203" s="222">
        <f t="shared" si="13"/>
        <v>1</v>
      </c>
      <c r="Q203" s="222">
        <f t="shared" si="14"/>
        <v>-1</v>
      </c>
      <c r="R203" s="532" t="str">
        <f t="shared" si="15"/>
        <v>Gastos_Gerais</v>
      </c>
      <c r="S203" s="467" t="s">
        <v>1000</v>
      </c>
      <c r="T203" s="467">
        <v>2397</v>
      </c>
      <c r="U203" s="496"/>
      <c r="V203" s="496"/>
      <c r="W203" s="496"/>
    </row>
    <row r="204" spans="1:23" ht="108" x14ac:dyDescent="0.2">
      <c r="A204" s="510">
        <f t="shared" si="12"/>
        <v>201</v>
      </c>
      <c r="B204" s="428">
        <v>44568</v>
      </c>
      <c r="C204" s="431">
        <v>44531</v>
      </c>
      <c r="D204" s="415" t="s">
        <v>271</v>
      </c>
      <c r="E204" s="415" t="s">
        <v>297</v>
      </c>
      <c r="F204" s="425">
        <v>1033.3499999999999</v>
      </c>
      <c r="G204" s="427" t="s">
        <v>538</v>
      </c>
      <c r="H204" s="415" t="s">
        <v>309</v>
      </c>
      <c r="I204" s="473" t="s">
        <v>776</v>
      </c>
      <c r="J204" s="415" t="s">
        <v>1036</v>
      </c>
      <c r="K204" s="415" t="s">
        <v>812</v>
      </c>
      <c r="L204" s="415" t="s">
        <v>807</v>
      </c>
      <c r="M204" s="415">
        <v>39633</v>
      </c>
      <c r="N204" s="414">
        <v>44564</v>
      </c>
      <c r="O204" s="414" t="s">
        <v>400</v>
      </c>
      <c r="P204" s="222">
        <f t="shared" si="13"/>
        <v>1</v>
      </c>
      <c r="Q204" s="222">
        <f t="shared" si="14"/>
        <v>0</v>
      </c>
      <c r="R204" s="532" t="str">
        <f t="shared" si="15"/>
        <v>Gastos_Gerais</v>
      </c>
      <c r="S204" s="467" t="s">
        <v>1000</v>
      </c>
      <c r="T204" s="467">
        <v>1141</v>
      </c>
      <c r="U204" s="496"/>
      <c r="V204" s="496"/>
      <c r="W204" s="496"/>
    </row>
    <row r="205" spans="1:23" ht="72" x14ac:dyDescent="0.2">
      <c r="A205" s="510">
        <f t="shared" si="12"/>
        <v>202</v>
      </c>
      <c r="B205" s="428">
        <v>44568</v>
      </c>
      <c r="C205" s="431">
        <v>44531</v>
      </c>
      <c r="D205" s="415" t="s">
        <v>468</v>
      </c>
      <c r="E205" s="415" t="s">
        <v>468</v>
      </c>
      <c r="F205" s="459">
        <v>3265</v>
      </c>
      <c r="G205" s="399" t="s">
        <v>2726</v>
      </c>
      <c r="H205" s="415" t="s">
        <v>468</v>
      </c>
      <c r="I205" s="460" t="s">
        <v>2714</v>
      </c>
      <c r="J205" s="468" t="s">
        <v>1042</v>
      </c>
      <c r="K205" s="418" t="s">
        <v>830</v>
      </c>
      <c r="L205" s="399" t="s">
        <v>807</v>
      </c>
      <c r="M205" s="464">
        <v>7751</v>
      </c>
      <c r="N205" s="469">
        <v>44546</v>
      </c>
      <c r="O205" s="414" t="s">
        <v>407</v>
      </c>
      <c r="P205" s="222">
        <f t="shared" si="13"/>
        <v>1</v>
      </c>
      <c r="Q205" s="222">
        <f t="shared" si="14"/>
        <v>0</v>
      </c>
      <c r="R205" s="532" t="str">
        <f t="shared" si="15"/>
        <v>Gastos_custeados_por_captação</v>
      </c>
      <c r="S205" s="467" t="s">
        <v>999</v>
      </c>
      <c r="T205" s="467">
        <v>2563</v>
      </c>
      <c r="U205" s="496"/>
      <c r="V205" s="496"/>
      <c r="W205" s="496"/>
    </row>
    <row r="206" spans="1:23" ht="48" x14ac:dyDescent="0.2">
      <c r="A206" s="510">
        <f t="shared" si="12"/>
        <v>203</v>
      </c>
      <c r="B206" s="428">
        <v>44571</v>
      </c>
      <c r="C206" s="424">
        <v>44531</v>
      </c>
      <c r="D206" s="415" t="s">
        <v>271</v>
      </c>
      <c r="E206" s="415" t="s">
        <v>187</v>
      </c>
      <c r="F206" s="425">
        <v>-158.46</v>
      </c>
      <c r="G206" s="427" t="s">
        <v>1264</v>
      </c>
      <c r="H206" s="415" t="s">
        <v>309</v>
      </c>
      <c r="I206" s="473" t="s">
        <v>795</v>
      </c>
      <c r="J206" s="415" t="s">
        <v>796</v>
      </c>
      <c r="K206" s="415" t="s">
        <v>797</v>
      </c>
      <c r="L206" s="415" t="s">
        <v>798</v>
      </c>
      <c r="M206" s="415" t="s">
        <v>310</v>
      </c>
      <c r="N206" s="414">
        <v>44571</v>
      </c>
      <c r="O206" s="414" t="s">
        <v>400</v>
      </c>
      <c r="P206" s="222">
        <f t="shared" si="13"/>
        <v>1</v>
      </c>
      <c r="Q206" s="222">
        <f t="shared" si="14"/>
        <v>0</v>
      </c>
      <c r="R206" s="532" t="str">
        <f t="shared" si="15"/>
        <v>Gastos_Gerais</v>
      </c>
      <c r="S206" s="467" t="s">
        <v>310</v>
      </c>
      <c r="T206" s="467" t="s">
        <v>310</v>
      </c>
      <c r="U206" s="496"/>
      <c r="V206" s="496"/>
      <c r="W206" s="496"/>
    </row>
    <row r="207" spans="1:23" ht="104.25" customHeight="1" x14ac:dyDescent="0.2">
      <c r="A207" s="510">
        <f t="shared" si="12"/>
        <v>204</v>
      </c>
      <c r="B207" s="428">
        <v>44571</v>
      </c>
      <c r="C207" s="424">
        <v>44531</v>
      </c>
      <c r="D207" s="415" t="s">
        <v>271</v>
      </c>
      <c r="E207" s="415" t="s">
        <v>297</v>
      </c>
      <c r="F207" s="425">
        <v>-259.01</v>
      </c>
      <c r="G207" s="427" t="s">
        <v>1265</v>
      </c>
      <c r="H207" s="415" t="s">
        <v>309</v>
      </c>
      <c r="I207" s="473" t="s">
        <v>795</v>
      </c>
      <c r="J207" s="415" t="s">
        <v>796</v>
      </c>
      <c r="K207" s="415" t="s">
        <v>797</v>
      </c>
      <c r="L207" s="415" t="s">
        <v>798</v>
      </c>
      <c r="M207" s="415" t="s">
        <v>310</v>
      </c>
      <c r="N207" s="414">
        <v>44571</v>
      </c>
      <c r="O207" s="414" t="s">
        <v>400</v>
      </c>
      <c r="P207" s="222">
        <f t="shared" si="13"/>
        <v>1</v>
      </c>
      <c r="Q207" s="222">
        <f t="shared" si="14"/>
        <v>0</v>
      </c>
      <c r="R207" s="532" t="str">
        <f t="shared" si="15"/>
        <v>Gastos_Gerais</v>
      </c>
      <c r="S207" s="467" t="s">
        <v>310</v>
      </c>
      <c r="T207" s="467" t="s">
        <v>310</v>
      </c>
      <c r="U207" s="496"/>
      <c r="V207" s="496"/>
      <c r="W207" s="496"/>
    </row>
    <row r="208" spans="1:23" ht="60" customHeight="1" x14ac:dyDescent="0.2">
      <c r="A208" s="510">
        <f t="shared" si="12"/>
        <v>205</v>
      </c>
      <c r="B208" s="428">
        <v>44571</v>
      </c>
      <c r="C208" s="424">
        <v>44531</v>
      </c>
      <c r="D208" s="415" t="s">
        <v>271</v>
      </c>
      <c r="E208" s="415" t="s">
        <v>297</v>
      </c>
      <c r="F208" s="425">
        <v>-69.989999999999995</v>
      </c>
      <c r="G208" s="427" t="s">
        <v>1290</v>
      </c>
      <c r="H208" s="415" t="s">
        <v>309</v>
      </c>
      <c r="I208" s="473" t="s">
        <v>795</v>
      </c>
      <c r="J208" s="415" t="s">
        <v>796</v>
      </c>
      <c r="K208" s="415" t="s">
        <v>797</v>
      </c>
      <c r="L208" s="415" t="s">
        <v>798</v>
      </c>
      <c r="M208" s="415" t="s">
        <v>310</v>
      </c>
      <c r="N208" s="414">
        <v>44571</v>
      </c>
      <c r="O208" s="414" t="s">
        <v>400</v>
      </c>
      <c r="P208" s="222">
        <f t="shared" si="13"/>
        <v>1</v>
      </c>
      <c r="Q208" s="222">
        <f t="shared" si="14"/>
        <v>0</v>
      </c>
      <c r="R208" s="532" t="str">
        <f t="shared" si="15"/>
        <v>Gastos_Gerais</v>
      </c>
      <c r="S208" s="467" t="s">
        <v>310</v>
      </c>
      <c r="T208" s="467" t="s">
        <v>310</v>
      </c>
      <c r="U208" s="496"/>
      <c r="V208" s="496"/>
      <c r="W208" s="496"/>
    </row>
    <row r="209" spans="1:23" ht="48" x14ac:dyDescent="0.2">
      <c r="A209" s="510">
        <f t="shared" si="12"/>
        <v>206</v>
      </c>
      <c r="B209" s="428">
        <v>44571</v>
      </c>
      <c r="C209" s="424">
        <v>44531</v>
      </c>
      <c r="D209" s="415" t="s">
        <v>271</v>
      </c>
      <c r="E209" s="415" t="s">
        <v>2</v>
      </c>
      <c r="F209" s="425">
        <v>-2146.81</v>
      </c>
      <c r="G209" s="427" t="s">
        <v>1266</v>
      </c>
      <c r="H209" s="415" t="s">
        <v>309</v>
      </c>
      <c r="I209" s="473" t="s">
        <v>795</v>
      </c>
      <c r="J209" s="415" t="s">
        <v>796</v>
      </c>
      <c r="K209" s="415" t="s">
        <v>797</v>
      </c>
      <c r="L209" s="415" t="s">
        <v>798</v>
      </c>
      <c r="M209" s="415" t="s">
        <v>310</v>
      </c>
      <c r="N209" s="414">
        <v>44571</v>
      </c>
      <c r="O209" s="414" t="s">
        <v>400</v>
      </c>
      <c r="P209" s="222">
        <f t="shared" si="13"/>
        <v>1</v>
      </c>
      <c r="Q209" s="222">
        <f t="shared" si="14"/>
        <v>0</v>
      </c>
      <c r="R209" s="532" t="str">
        <f t="shared" si="15"/>
        <v>Gastos_Gerais</v>
      </c>
      <c r="S209" s="467" t="s">
        <v>310</v>
      </c>
      <c r="T209" s="467" t="s">
        <v>310</v>
      </c>
      <c r="U209" s="496"/>
      <c r="V209" s="496"/>
      <c r="W209" s="496"/>
    </row>
    <row r="210" spans="1:23" ht="79.5" customHeight="1" x14ac:dyDescent="0.2">
      <c r="A210" s="510">
        <f t="shared" si="12"/>
        <v>207</v>
      </c>
      <c r="B210" s="428">
        <v>44571</v>
      </c>
      <c r="C210" s="424">
        <v>44501</v>
      </c>
      <c r="D210" s="415" t="s">
        <v>271</v>
      </c>
      <c r="E210" s="415" t="s">
        <v>452</v>
      </c>
      <c r="F210" s="425">
        <v>48</v>
      </c>
      <c r="G210" s="427" t="s">
        <v>1280</v>
      </c>
      <c r="H210" s="415" t="s">
        <v>755</v>
      </c>
      <c r="I210" s="473" t="s">
        <v>764</v>
      </c>
      <c r="J210" s="545" t="s">
        <v>310</v>
      </c>
      <c r="K210" s="415" t="s">
        <v>1220</v>
      </c>
      <c r="L210" s="415" t="s">
        <v>1281</v>
      </c>
      <c r="M210" s="546">
        <v>222007826587</v>
      </c>
      <c r="N210" s="414">
        <v>44571</v>
      </c>
      <c r="O210" s="414" t="s">
        <v>400</v>
      </c>
      <c r="P210" s="222">
        <f t="shared" si="13"/>
        <v>1</v>
      </c>
      <c r="Q210" s="222">
        <f t="shared" si="14"/>
        <v>-1</v>
      </c>
      <c r="R210" s="532" t="str">
        <f t="shared" si="15"/>
        <v>Gastos_Gerais</v>
      </c>
      <c r="S210" s="467" t="s">
        <v>310</v>
      </c>
      <c r="T210" s="467" t="s">
        <v>310</v>
      </c>
      <c r="U210" s="496"/>
      <c r="V210" s="496"/>
      <c r="W210" s="496"/>
    </row>
    <row r="211" spans="1:23" ht="36" x14ac:dyDescent="0.2">
      <c r="A211" s="510">
        <f t="shared" si="12"/>
        <v>208</v>
      </c>
      <c r="B211" s="428">
        <v>44571</v>
      </c>
      <c r="C211" s="424">
        <v>44501</v>
      </c>
      <c r="D211" s="415" t="s">
        <v>271</v>
      </c>
      <c r="E211" s="415" t="s">
        <v>453</v>
      </c>
      <c r="F211" s="425">
        <v>15</v>
      </c>
      <c r="G211" s="427" t="s">
        <v>588</v>
      </c>
      <c r="H211" s="415" t="s">
        <v>751</v>
      </c>
      <c r="I211" s="473" t="s">
        <v>764</v>
      </c>
      <c r="J211" s="545" t="s">
        <v>310</v>
      </c>
      <c r="K211" s="415" t="s">
        <v>1220</v>
      </c>
      <c r="L211" s="415" t="s">
        <v>1281</v>
      </c>
      <c r="M211" s="546">
        <v>222007827125</v>
      </c>
      <c r="N211" s="414">
        <v>44571</v>
      </c>
      <c r="O211" s="414" t="s">
        <v>400</v>
      </c>
      <c r="P211" s="222">
        <f t="shared" si="13"/>
        <v>1</v>
      </c>
      <c r="Q211" s="222">
        <f t="shared" si="14"/>
        <v>-1</v>
      </c>
      <c r="R211" s="532" t="str">
        <f t="shared" si="15"/>
        <v>Gastos_Gerais</v>
      </c>
      <c r="S211" s="467" t="s">
        <v>310</v>
      </c>
      <c r="T211" s="467" t="s">
        <v>310</v>
      </c>
      <c r="U211" s="496"/>
      <c r="V211" s="496"/>
      <c r="W211" s="496"/>
    </row>
    <row r="212" spans="1:23" ht="36" x14ac:dyDescent="0.2">
      <c r="A212" s="510">
        <f t="shared" si="12"/>
        <v>209</v>
      </c>
      <c r="B212" s="428">
        <v>44571</v>
      </c>
      <c r="C212" s="424">
        <v>44501</v>
      </c>
      <c r="D212" s="415" t="s">
        <v>271</v>
      </c>
      <c r="E212" s="415" t="s">
        <v>456</v>
      </c>
      <c r="F212" s="425">
        <v>120</v>
      </c>
      <c r="G212" s="427" t="s">
        <v>585</v>
      </c>
      <c r="H212" s="415" t="s">
        <v>755</v>
      </c>
      <c r="I212" s="473" t="s">
        <v>764</v>
      </c>
      <c r="J212" s="545" t="s">
        <v>310</v>
      </c>
      <c r="K212" s="415" t="s">
        <v>1220</v>
      </c>
      <c r="L212" s="415" t="s">
        <v>1281</v>
      </c>
      <c r="M212" s="546">
        <v>222007848980</v>
      </c>
      <c r="N212" s="414">
        <v>44571</v>
      </c>
      <c r="O212" s="414" t="s">
        <v>400</v>
      </c>
      <c r="P212" s="222">
        <f t="shared" si="13"/>
        <v>1</v>
      </c>
      <c r="Q212" s="222">
        <f t="shared" si="14"/>
        <v>-1</v>
      </c>
      <c r="R212" s="532" t="str">
        <f t="shared" si="15"/>
        <v>Gastos_Gerais</v>
      </c>
      <c r="S212" s="467" t="s">
        <v>310</v>
      </c>
      <c r="T212" s="467" t="s">
        <v>310</v>
      </c>
      <c r="U212" s="496"/>
      <c r="V212" s="496"/>
      <c r="W212" s="496"/>
    </row>
    <row r="213" spans="1:23" ht="24" x14ac:dyDescent="0.2">
      <c r="A213" s="510">
        <f t="shared" si="12"/>
        <v>210</v>
      </c>
      <c r="B213" s="428">
        <v>44571</v>
      </c>
      <c r="C213" s="424">
        <v>44501</v>
      </c>
      <c r="D213" s="415" t="s">
        <v>271</v>
      </c>
      <c r="E213" s="415" t="s">
        <v>453</v>
      </c>
      <c r="F213" s="425">
        <v>60</v>
      </c>
      <c r="G213" s="427" t="s">
        <v>562</v>
      </c>
      <c r="H213" s="415" t="s">
        <v>752</v>
      </c>
      <c r="I213" s="473" t="s">
        <v>764</v>
      </c>
      <c r="J213" s="545" t="s">
        <v>310</v>
      </c>
      <c r="K213" s="415" t="s">
        <v>1220</v>
      </c>
      <c r="L213" s="415" t="s">
        <v>1281</v>
      </c>
      <c r="M213" s="546">
        <v>220070827710</v>
      </c>
      <c r="N213" s="414">
        <v>44571</v>
      </c>
      <c r="O213" s="414" t="s">
        <v>400</v>
      </c>
      <c r="P213" s="222">
        <f t="shared" si="13"/>
        <v>1</v>
      </c>
      <c r="Q213" s="222">
        <f t="shared" si="14"/>
        <v>-1</v>
      </c>
      <c r="R213" s="532" t="str">
        <f t="shared" si="15"/>
        <v>Gastos_Gerais</v>
      </c>
      <c r="S213" s="467" t="s">
        <v>310</v>
      </c>
      <c r="T213" s="467" t="s">
        <v>310</v>
      </c>
      <c r="U213" s="496"/>
      <c r="V213" s="496"/>
      <c r="W213" s="496"/>
    </row>
    <row r="214" spans="1:23" ht="24" x14ac:dyDescent="0.2">
      <c r="A214" s="510">
        <f t="shared" si="12"/>
        <v>211</v>
      </c>
      <c r="B214" s="428">
        <v>44571</v>
      </c>
      <c r="C214" s="424">
        <v>44501</v>
      </c>
      <c r="D214" s="415" t="s">
        <v>271</v>
      </c>
      <c r="E214" s="415" t="s">
        <v>453</v>
      </c>
      <c r="F214" s="425">
        <v>60</v>
      </c>
      <c r="G214" s="427" t="s">
        <v>539</v>
      </c>
      <c r="H214" s="415" t="s">
        <v>752</v>
      </c>
      <c r="I214" s="473" t="s">
        <v>764</v>
      </c>
      <c r="J214" s="545" t="s">
        <v>310</v>
      </c>
      <c r="K214" s="415" t="s">
        <v>1220</v>
      </c>
      <c r="L214" s="415" t="s">
        <v>1281</v>
      </c>
      <c r="M214" s="546">
        <v>222007827982</v>
      </c>
      <c r="N214" s="414">
        <v>44571</v>
      </c>
      <c r="O214" s="414" t="s">
        <v>400</v>
      </c>
      <c r="P214" s="222">
        <f t="shared" si="13"/>
        <v>1</v>
      </c>
      <c r="Q214" s="222">
        <f t="shared" si="14"/>
        <v>-1</v>
      </c>
      <c r="R214" s="532" t="str">
        <f t="shared" si="15"/>
        <v>Gastos_Gerais</v>
      </c>
      <c r="S214" s="467" t="s">
        <v>310</v>
      </c>
      <c r="T214" s="467" t="s">
        <v>310</v>
      </c>
      <c r="U214" s="496"/>
      <c r="V214" s="496"/>
      <c r="W214" s="496"/>
    </row>
    <row r="215" spans="1:23" ht="24" x14ac:dyDescent="0.2">
      <c r="A215" s="510">
        <f t="shared" si="12"/>
        <v>212</v>
      </c>
      <c r="B215" s="428">
        <v>44571</v>
      </c>
      <c r="C215" s="424">
        <v>44501</v>
      </c>
      <c r="D215" s="415" t="s">
        <v>271</v>
      </c>
      <c r="E215" s="415" t="s">
        <v>453</v>
      </c>
      <c r="F215" s="435">
        <v>60</v>
      </c>
      <c r="G215" s="437" t="s">
        <v>541</v>
      </c>
      <c r="H215" s="415" t="s">
        <v>752</v>
      </c>
      <c r="I215" s="473" t="s">
        <v>764</v>
      </c>
      <c r="J215" s="545" t="s">
        <v>310</v>
      </c>
      <c r="K215" s="415" t="s">
        <v>1220</v>
      </c>
      <c r="L215" s="415" t="s">
        <v>1281</v>
      </c>
      <c r="M215" s="546">
        <v>222007828016</v>
      </c>
      <c r="N215" s="414">
        <v>44571</v>
      </c>
      <c r="O215" s="414" t="s">
        <v>400</v>
      </c>
      <c r="P215" s="222">
        <f t="shared" si="13"/>
        <v>1</v>
      </c>
      <c r="Q215" s="222">
        <f t="shared" si="14"/>
        <v>-1</v>
      </c>
      <c r="R215" s="532" t="str">
        <f t="shared" si="15"/>
        <v>Gastos_Gerais</v>
      </c>
      <c r="S215" s="467" t="s">
        <v>310</v>
      </c>
      <c r="T215" s="467" t="s">
        <v>310</v>
      </c>
      <c r="U215" s="496"/>
      <c r="V215" s="496"/>
      <c r="W215" s="496"/>
    </row>
    <row r="216" spans="1:23" ht="24" x14ac:dyDescent="0.2">
      <c r="A216" s="510">
        <f t="shared" si="12"/>
        <v>213</v>
      </c>
      <c r="B216" s="428">
        <v>44571</v>
      </c>
      <c r="C216" s="466">
        <v>44470</v>
      </c>
      <c r="D216" s="415" t="s">
        <v>271</v>
      </c>
      <c r="E216" s="415" t="s">
        <v>453</v>
      </c>
      <c r="F216" s="435">
        <v>60</v>
      </c>
      <c r="G216" s="437" t="s">
        <v>543</v>
      </c>
      <c r="H216" s="434" t="s">
        <v>752</v>
      </c>
      <c r="I216" s="473" t="s">
        <v>764</v>
      </c>
      <c r="J216" s="545" t="s">
        <v>310</v>
      </c>
      <c r="K216" s="415" t="s">
        <v>1220</v>
      </c>
      <c r="L216" s="415" t="s">
        <v>1281</v>
      </c>
      <c r="M216" s="546">
        <v>222007828288</v>
      </c>
      <c r="N216" s="414">
        <v>44571</v>
      </c>
      <c r="O216" s="414" t="s">
        <v>400</v>
      </c>
      <c r="P216" s="222">
        <f t="shared" si="13"/>
        <v>1</v>
      </c>
      <c r="Q216" s="222">
        <f t="shared" si="14"/>
        <v>-2</v>
      </c>
      <c r="R216" s="532" t="str">
        <f t="shared" si="15"/>
        <v>Gastos_Gerais</v>
      </c>
      <c r="S216" s="467" t="s">
        <v>310</v>
      </c>
      <c r="T216" s="467" t="s">
        <v>310</v>
      </c>
      <c r="U216" s="496"/>
      <c r="V216" s="496"/>
      <c r="W216" s="496"/>
    </row>
    <row r="217" spans="1:23" ht="36" x14ac:dyDescent="0.2">
      <c r="A217" s="510">
        <f t="shared" si="12"/>
        <v>214</v>
      </c>
      <c r="B217" s="428">
        <v>44571</v>
      </c>
      <c r="C217" s="466">
        <v>44470</v>
      </c>
      <c r="D217" s="415" t="s">
        <v>271</v>
      </c>
      <c r="E217" s="415" t="s">
        <v>442</v>
      </c>
      <c r="F217" s="435">
        <v>80</v>
      </c>
      <c r="G217" s="437" t="s">
        <v>572</v>
      </c>
      <c r="H217" s="434" t="s">
        <v>757</v>
      </c>
      <c r="I217" s="473" t="s">
        <v>764</v>
      </c>
      <c r="J217" s="545" t="s">
        <v>310</v>
      </c>
      <c r="K217" s="415" t="s">
        <v>1220</v>
      </c>
      <c r="L217" s="415" t="s">
        <v>1281</v>
      </c>
      <c r="M217" s="546">
        <v>222007828369</v>
      </c>
      <c r="N217" s="414">
        <v>44571</v>
      </c>
      <c r="O217" s="414" t="s">
        <v>400</v>
      </c>
      <c r="P217" s="222">
        <f t="shared" si="13"/>
        <v>1</v>
      </c>
      <c r="Q217" s="222">
        <f t="shared" si="14"/>
        <v>-2</v>
      </c>
      <c r="R217" s="532" t="str">
        <f t="shared" si="15"/>
        <v>Gastos_Gerais</v>
      </c>
      <c r="S217" s="467" t="s">
        <v>310</v>
      </c>
      <c r="T217" s="467" t="s">
        <v>310</v>
      </c>
      <c r="U217" s="496"/>
      <c r="V217" s="496"/>
      <c r="W217" s="496"/>
    </row>
    <row r="218" spans="1:23" ht="36" x14ac:dyDescent="0.2">
      <c r="A218" s="510">
        <f t="shared" si="12"/>
        <v>215</v>
      </c>
      <c r="B218" s="428">
        <v>44571</v>
      </c>
      <c r="C218" s="466">
        <v>44501</v>
      </c>
      <c r="D218" s="415" t="s">
        <v>271</v>
      </c>
      <c r="E218" s="415" t="s">
        <v>456</v>
      </c>
      <c r="F218" s="435">
        <v>61.82</v>
      </c>
      <c r="G218" s="437" t="s">
        <v>591</v>
      </c>
      <c r="H218" s="434" t="s">
        <v>760</v>
      </c>
      <c r="I218" s="473" t="s">
        <v>764</v>
      </c>
      <c r="J218" s="545" t="s">
        <v>310</v>
      </c>
      <c r="K218" s="415" t="s">
        <v>1220</v>
      </c>
      <c r="L218" s="415" t="s">
        <v>1281</v>
      </c>
      <c r="M218" s="546">
        <v>22207828873</v>
      </c>
      <c r="N218" s="414">
        <v>44571</v>
      </c>
      <c r="O218" s="414" t="s">
        <v>400</v>
      </c>
      <c r="P218" s="222">
        <f t="shared" si="13"/>
        <v>1</v>
      </c>
      <c r="Q218" s="222">
        <f t="shared" si="14"/>
        <v>-1</v>
      </c>
      <c r="R218" s="532" t="str">
        <f t="shared" si="15"/>
        <v>Gastos_Gerais</v>
      </c>
      <c r="S218" s="467" t="s">
        <v>310</v>
      </c>
      <c r="T218" s="467" t="s">
        <v>310</v>
      </c>
      <c r="U218" s="496"/>
      <c r="V218" s="496"/>
      <c r="W218" s="496"/>
    </row>
    <row r="219" spans="1:23" ht="48" x14ac:dyDescent="0.2">
      <c r="A219" s="510">
        <f t="shared" si="12"/>
        <v>216</v>
      </c>
      <c r="B219" s="428">
        <v>44571</v>
      </c>
      <c r="C219" s="466">
        <v>44501</v>
      </c>
      <c r="D219" s="415" t="s">
        <v>271</v>
      </c>
      <c r="E219" s="415" t="s">
        <v>456</v>
      </c>
      <c r="F219" s="435">
        <v>87.5</v>
      </c>
      <c r="G219" s="437" t="s">
        <v>604</v>
      </c>
      <c r="H219" s="434" t="s">
        <v>759</v>
      </c>
      <c r="I219" s="473" t="s">
        <v>764</v>
      </c>
      <c r="J219" s="545" t="s">
        <v>310</v>
      </c>
      <c r="K219" s="415" t="s">
        <v>1220</v>
      </c>
      <c r="L219" s="415" t="s">
        <v>1281</v>
      </c>
      <c r="M219" s="546">
        <v>222007828954</v>
      </c>
      <c r="N219" s="414">
        <v>44571</v>
      </c>
      <c r="O219" s="414" t="s">
        <v>400</v>
      </c>
      <c r="P219" s="222">
        <f t="shared" si="13"/>
        <v>1</v>
      </c>
      <c r="Q219" s="222">
        <f t="shared" si="14"/>
        <v>-1</v>
      </c>
      <c r="R219" s="532" t="str">
        <f t="shared" si="15"/>
        <v>Gastos_Gerais</v>
      </c>
      <c r="S219" s="467" t="s">
        <v>310</v>
      </c>
      <c r="T219" s="467" t="s">
        <v>310</v>
      </c>
      <c r="U219" s="496"/>
      <c r="V219" s="496"/>
      <c r="W219" s="496"/>
    </row>
    <row r="220" spans="1:23" ht="24" x14ac:dyDescent="0.2">
      <c r="A220" s="510">
        <f t="shared" si="12"/>
        <v>217</v>
      </c>
      <c r="B220" s="428">
        <v>44571</v>
      </c>
      <c r="C220" s="466">
        <v>44501</v>
      </c>
      <c r="D220" s="415" t="s">
        <v>271</v>
      </c>
      <c r="E220" s="415" t="s">
        <v>453</v>
      </c>
      <c r="F220" s="435">
        <v>140</v>
      </c>
      <c r="G220" s="437" t="s">
        <v>1282</v>
      </c>
      <c r="H220" s="434" t="s">
        <v>752</v>
      </c>
      <c r="I220" s="473" t="s">
        <v>764</v>
      </c>
      <c r="J220" s="545" t="s">
        <v>310</v>
      </c>
      <c r="K220" s="415" t="s">
        <v>1220</v>
      </c>
      <c r="L220" s="415" t="s">
        <v>1281</v>
      </c>
      <c r="M220" s="546">
        <v>220007829179</v>
      </c>
      <c r="N220" s="414">
        <v>44571</v>
      </c>
      <c r="O220" s="414" t="s">
        <v>400</v>
      </c>
      <c r="P220" s="222">
        <f t="shared" si="13"/>
        <v>1</v>
      </c>
      <c r="Q220" s="222">
        <f t="shared" si="14"/>
        <v>-1</v>
      </c>
      <c r="R220" s="532" t="str">
        <f t="shared" si="15"/>
        <v>Gastos_Gerais</v>
      </c>
      <c r="S220" s="467" t="s">
        <v>310</v>
      </c>
      <c r="T220" s="467" t="s">
        <v>310</v>
      </c>
      <c r="U220" s="496"/>
      <c r="V220" s="496"/>
      <c r="W220" s="496"/>
    </row>
    <row r="221" spans="1:23" ht="24" x14ac:dyDescent="0.2">
      <c r="A221" s="510">
        <f t="shared" si="12"/>
        <v>218</v>
      </c>
      <c r="B221" s="428">
        <v>44571</v>
      </c>
      <c r="C221" s="466">
        <v>44501</v>
      </c>
      <c r="D221" s="415" t="s">
        <v>271</v>
      </c>
      <c r="E221" s="415" t="s">
        <v>453</v>
      </c>
      <c r="F221" s="435">
        <v>140</v>
      </c>
      <c r="G221" s="437" t="s">
        <v>568</v>
      </c>
      <c r="H221" s="434" t="s">
        <v>752</v>
      </c>
      <c r="I221" s="473" t="s">
        <v>764</v>
      </c>
      <c r="J221" s="545" t="s">
        <v>310</v>
      </c>
      <c r="K221" s="415" t="s">
        <v>1220</v>
      </c>
      <c r="L221" s="415" t="s">
        <v>1281</v>
      </c>
      <c r="M221" s="546">
        <v>222007830932</v>
      </c>
      <c r="N221" s="414">
        <v>44571</v>
      </c>
      <c r="O221" s="414" t="s">
        <v>400</v>
      </c>
      <c r="P221" s="222">
        <f t="shared" si="13"/>
        <v>1</v>
      </c>
      <c r="Q221" s="222">
        <f t="shared" si="14"/>
        <v>-1</v>
      </c>
      <c r="R221" s="532" t="str">
        <f t="shared" si="15"/>
        <v>Gastos_Gerais</v>
      </c>
      <c r="S221" s="467" t="s">
        <v>310</v>
      </c>
      <c r="T221" s="467" t="s">
        <v>310</v>
      </c>
      <c r="U221" s="496"/>
      <c r="V221" s="496"/>
      <c r="W221" s="496"/>
    </row>
    <row r="222" spans="1:23" ht="24" x14ac:dyDescent="0.2">
      <c r="A222" s="510">
        <f t="shared" si="12"/>
        <v>219</v>
      </c>
      <c r="B222" s="428">
        <v>44571</v>
      </c>
      <c r="C222" s="466">
        <v>44470</v>
      </c>
      <c r="D222" s="415" t="s">
        <v>271</v>
      </c>
      <c r="E222" s="415" t="s">
        <v>456</v>
      </c>
      <c r="F222" s="435">
        <v>200</v>
      </c>
      <c r="G222" s="437" t="s">
        <v>558</v>
      </c>
      <c r="H222" s="434" t="s">
        <v>752</v>
      </c>
      <c r="I222" s="473" t="s">
        <v>764</v>
      </c>
      <c r="J222" s="545" t="s">
        <v>310</v>
      </c>
      <c r="K222" s="415" t="s">
        <v>1220</v>
      </c>
      <c r="L222" s="415" t="s">
        <v>1281</v>
      </c>
      <c r="M222" s="546">
        <v>222007832986</v>
      </c>
      <c r="N222" s="414">
        <v>44571</v>
      </c>
      <c r="O222" s="414" t="s">
        <v>400</v>
      </c>
      <c r="P222" s="222">
        <f t="shared" si="13"/>
        <v>1</v>
      </c>
      <c r="Q222" s="222">
        <f t="shared" si="14"/>
        <v>-2</v>
      </c>
      <c r="R222" s="532" t="str">
        <f t="shared" si="15"/>
        <v>Gastos_Gerais</v>
      </c>
      <c r="S222" s="467" t="s">
        <v>310</v>
      </c>
      <c r="T222" s="467" t="s">
        <v>310</v>
      </c>
      <c r="U222" s="496"/>
      <c r="V222" s="496"/>
      <c r="W222" s="496"/>
    </row>
    <row r="223" spans="1:23" ht="36" x14ac:dyDescent="0.2">
      <c r="A223" s="510">
        <f t="shared" si="12"/>
        <v>220</v>
      </c>
      <c r="B223" s="428">
        <v>44571</v>
      </c>
      <c r="C223" s="466">
        <v>44531</v>
      </c>
      <c r="D223" s="415" t="s">
        <v>271</v>
      </c>
      <c r="E223" s="415" t="s">
        <v>456</v>
      </c>
      <c r="F223" s="435">
        <v>87.5</v>
      </c>
      <c r="G223" s="437" t="s">
        <v>615</v>
      </c>
      <c r="H223" s="434" t="s">
        <v>755</v>
      </c>
      <c r="I223" s="473" t="s">
        <v>764</v>
      </c>
      <c r="J223" s="545" t="s">
        <v>310</v>
      </c>
      <c r="K223" s="415" t="s">
        <v>1220</v>
      </c>
      <c r="L223" s="415" t="s">
        <v>1281</v>
      </c>
      <c r="M223" s="546">
        <v>222007833605</v>
      </c>
      <c r="N223" s="414">
        <v>44571</v>
      </c>
      <c r="O223" s="414" t="s">
        <v>400</v>
      </c>
      <c r="P223" s="222">
        <f t="shared" si="13"/>
        <v>1</v>
      </c>
      <c r="Q223" s="222">
        <f t="shared" si="14"/>
        <v>0</v>
      </c>
      <c r="R223" s="532" t="str">
        <f t="shared" si="15"/>
        <v>Gastos_Gerais</v>
      </c>
      <c r="S223" s="467" t="s">
        <v>310</v>
      </c>
      <c r="T223" s="467" t="s">
        <v>310</v>
      </c>
      <c r="U223" s="496"/>
      <c r="V223" s="496"/>
      <c r="W223" s="496"/>
    </row>
    <row r="224" spans="1:23" ht="24" x14ac:dyDescent="0.2">
      <c r="A224" s="510">
        <f t="shared" si="12"/>
        <v>221</v>
      </c>
      <c r="B224" s="428">
        <v>44571</v>
      </c>
      <c r="C224" s="466">
        <v>44531</v>
      </c>
      <c r="D224" s="415" t="s">
        <v>271</v>
      </c>
      <c r="E224" s="415" t="s">
        <v>297</v>
      </c>
      <c r="F224" s="435">
        <v>50</v>
      </c>
      <c r="G224" s="437" t="s">
        <v>626</v>
      </c>
      <c r="H224" s="434" t="s">
        <v>756</v>
      </c>
      <c r="I224" s="473" t="s">
        <v>764</v>
      </c>
      <c r="J224" s="545" t="s">
        <v>310</v>
      </c>
      <c r="K224" s="415" t="s">
        <v>1220</v>
      </c>
      <c r="L224" s="415" t="s">
        <v>1281</v>
      </c>
      <c r="M224" s="546">
        <v>222007833958</v>
      </c>
      <c r="N224" s="414">
        <v>44571</v>
      </c>
      <c r="O224" s="414" t="s">
        <v>400</v>
      </c>
      <c r="P224" s="222">
        <f t="shared" si="13"/>
        <v>1</v>
      </c>
      <c r="Q224" s="222">
        <f t="shared" si="14"/>
        <v>0</v>
      </c>
      <c r="R224" s="532" t="str">
        <f t="shared" si="15"/>
        <v>Gastos_Gerais</v>
      </c>
      <c r="S224" s="467" t="s">
        <v>310</v>
      </c>
      <c r="T224" s="467" t="s">
        <v>310</v>
      </c>
      <c r="U224" s="496"/>
      <c r="V224" s="496"/>
      <c r="W224" s="496"/>
    </row>
    <row r="225" spans="1:23" ht="36" x14ac:dyDescent="0.2">
      <c r="A225" s="510">
        <f t="shared" si="12"/>
        <v>222</v>
      </c>
      <c r="B225" s="428">
        <v>44571</v>
      </c>
      <c r="C225" s="466">
        <v>44501</v>
      </c>
      <c r="D225" s="415" t="s">
        <v>271</v>
      </c>
      <c r="E225" s="415" t="s">
        <v>456</v>
      </c>
      <c r="F225" s="435">
        <v>300</v>
      </c>
      <c r="G225" s="437" t="s">
        <v>555</v>
      </c>
      <c r="H225" s="434" t="s">
        <v>755</v>
      </c>
      <c r="I225" s="473" t="s">
        <v>764</v>
      </c>
      <c r="J225" s="545" t="s">
        <v>310</v>
      </c>
      <c r="K225" s="415" t="s">
        <v>1220</v>
      </c>
      <c r="L225" s="415" t="s">
        <v>1281</v>
      </c>
      <c r="M225" s="546">
        <v>222007834253</v>
      </c>
      <c r="N225" s="414">
        <v>44571</v>
      </c>
      <c r="O225" s="414" t="s">
        <v>400</v>
      </c>
      <c r="P225" s="222">
        <f t="shared" si="13"/>
        <v>1</v>
      </c>
      <c r="Q225" s="222">
        <f t="shared" si="14"/>
        <v>-1</v>
      </c>
      <c r="R225" s="532" t="str">
        <f t="shared" si="15"/>
        <v>Gastos_Gerais</v>
      </c>
      <c r="S225" s="467" t="s">
        <v>310</v>
      </c>
      <c r="T225" s="467" t="s">
        <v>310</v>
      </c>
      <c r="U225" s="496"/>
      <c r="V225" s="496"/>
      <c r="W225" s="496"/>
    </row>
    <row r="226" spans="1:23" ht="36" x14ac:dyDescent="0.2">
      <c r="A226" s="510">
        <f t="shared" si="12"/>
        <v>223</v>
      </c>
      <c r="B226" s="428">
        <v>44571</v>
      </c>
      <c r="C226" s="466">
        <v>44531</v>
      </c>
      <c r="D226" s="415" t="s">
        <v>271</v>
      </c>
      <c r="E226" s="415" t="s">
        <v>456</v>
      </c>
      <c r="F226" s="435">
        <v>36</v>
      </c>
      <c r="G226" s="437" t="s">
        <v>631</v>
      </c>
      <c r="H226" s="434" t="s">
        <v>751</v>
      </c>
      <c r="I226" s="473" t="s">
        <v>764</v>
      </c>
      <c r="J226" s="545" t="s">
        <v>310</v>
      </c>
      <c r="K226" s="415" t="s">
        <v>1220</v>
      </c>
      <c r="L226" s="415" t="s">
        <v>1281</v>
      </c>
      <c r="M226" s="546">
        <v>222007834415</v>
      </c>
      <c r="N226" s="414">
        <v>44571</v>
      </c>
      <c r="O226" s="414" t="s">
        <v>400</v>
      </c>
      <c r="P226" s="222">
        <f t="shared" si="13"/>
        <v>1</v>
      </c>
      <c r="Q226" s="222">
        <f t="shared" si="14"/>
        <v>0</v>
      </c>
      <c r="R226" s="532" t="str">
        <f t="shared" si="15"/>
        <v>Gastos_Gerais</v>
      </c>
      <c r="S226" s="467" t="s">
        <v>310</v>
      </c>
      <c r="T226" s="467" t="s">
        <v>310</v>
      </c>
      <c r="U226" s="496"/>
      <c r="V226" s="496"/>
      <c r="W226" s="496"/>
    </row>
    <row r="227" spans="1:23" ht="36" x14ac:dyDescent="0.2">
      <c r="A227" s="510">
        <f t="shared" si="12"/>
        <v>224</v>
      </c>
      <c r="B227" s="428">
        <v>44571</v>
      </c>
      <c r="C227" s="466">
        <v>44531</v>
      </c>
      <c r="D227" s="415" t="s">
        <v>271</v>
      </c>
      <c r="E227" s="415" t="s">
        <v>453</v>
      </c>
      <c r="F227" s="435">
        <v>296</v>
      </c>
      <c r="G227" s="437" t="s">
        <v>610</v>
      </c>
      <c r="H227" s="434" t="s">
        <v>757</v>
      </c>
      <c r="I227" s="473" t="s">
        <v>764</v>
      </c>
      <c r="J227" s="545" t="s">
        <v>310</v>
      </c>
      <c r="K227" s="415" t="s">
        <v>1220</v>
      </c>
      <c r="L227" s="415" t="s">
        <v>1281</v>
      </c>
      <c r="M227" s="546">
        <v>222007835144</v>
      </c>
      <c r="N227" s="414">
        <v>44571</v>
      </c>
      <c r="O227" s="414" t="s">
        <v>400</v>
      </c>
      <c r="P227" s="222">
        <f t="shared" si="13"/>
        <v>1</v>
      </c>
      <c r="Q227" s="222">
        <f t="shared" si="14"/>
        <v>0</v>
      </c>
      <c r="R227" s="532" t="str">
        <f t="shared" si="15"/>
        <v>Gastos_Gerais</v>
      </c>
      <c r="S227" s="467" t="s">
        <v>310</v>
      </c>
      <c r="T227" s="467" t="s">
        <v>310</v>
      </c>
      <c r="U227" s="496"/>
      <c r="V227" s="496"/>
      <c r="W227" s="496"/>
    </row>
    <row r="228" spans="1:23" ht="36" x14ac:dyDescent="0.2">
      <c r="A228" s="510">
        <f t="shared" si="12"/>
        <v>225</v>
      </c>
      <c r="B228" s="428">
        <v>44571</v>
      </c>
      <c r="C228" s="466">
        <v>44531</v>
      </c>
      <c r="D228" s="415" t="s">
        <v>271</v>
      </c>
      <c r="E228" s="415" t="s">
        <v>456</v>
      </c>
      <c r="F228" s="425">
        <v>80</v>
      </c>
      <c r="G228" s="427" t="s">
        <v>623</v>
      </c>
      <c r="H228" s="434" t="s">
        <v>757</v>
      </c>
      <c r="I228" s="473" t="s">
        <v>764</v>
      </c>
      <c r="J228" s="545" t="s">
        <v>310</v>
      </c>
      <c r="K228" s="415" t="s">
        <v>1220</v>
      </c>
      <c r="L228" s="415" t="s">
        <v>1281</v>
      </c>
      <c r="M228" s="546">
        <v>222007835497</v>
      </c>
      <c r="N228" s="414">
        <v>44571</v>
      </c>
      <c r="O228" s="414" t="s">
        <v>400</v>
      </c>
      <c r="P228" s="222">
        <f t="shared" si="13"/>
        <v>1</v>
      </c>
      <c r="Q228" s="222">
        <f t="shared" si="14"/>
        <v>0</v>
      </c>
      <c r="R228" s="532" t="str">
        <f t="shared" si="15"/>
        <v>Gastos_Gerais</v>
      </c>
      <c r="S228" s="467" t="s">
        <v>310</v>
      </c>
      <c r="T228" s="467" t="s">
        <v>310</v>
      </c>
      <c r="U228" s="496"/>
      <c r="V228" s="496"/>
      <c r="W228" s="496"/>
    </row>
    <row r="229" spans="1:23" ht="36" x14ac:dyDescent="0.2">
      <c r="A229" s="510">
        <f t="shared" si="12"/>
        <v>226</v>
      </c>
      <c r="B229" s="428">
        <v>44571</v>
      </c>
      <c r="C229" s="466">
        <v>44531</v>
      </c>
      <c r="D229" s="415" t="s">
        <v>271</v>
      </c>
      <c r="E229" s="415" t="s">
        <v>456</v>
      </c>
      <c r="F229" s="425">
        <v>125</v>
      </c>
      <c r="G229" s="427" t="s">
        <v>634</v>
      </c>
      <c r="H229" s="415" t="s">
        <v>755</v>
      </c>
      <c r="I229" s="473" t="s">
        <v>764</v>
      </c>
      <c r="J229" s="545" t="s">
        <v>310</v>
      </c>
      <c r="K229" s="415" t="s">
        <v>1220</v>
      </c>
      <c r="L229" s="415" t="s">
        <v>1281</v>
      </c>
      <c r="M229" s="546">
        <v>222007836116</v>
      </c>
      <c r="N229" s="414">
        <v>44571</v>
      </c>
      <c r="O229" s="414" t="s">
        <v>400</v>
      </c>
      <c r="P229" s="222">
        <f t="shared" si="13"/>
        <v>1</v>
      </c>
      <c r="Q229" s="222">
        <f t="shared" si="14"/>
        <v>0</v>
      </c>
      <c r="R229" s="532" t="str">
        <f t="shared" si="15"/>
        <v>Gastos_Gerais</v>
      </c>
      <c r="S229" s="467" t="s">
        <v>310</v>
      </c>
      <c r="T229" s="467" t="s">
        <v>310</v>
      </c>
      <c r="U229" s="496"/>
      <c r="V229" s="496"/>
      <c r="W229" s="496"/>
    </row>
    <row r="230" spans="1:23" ht="36" x14ac:dyDescent="0.2">
      <c r="A230" s="510">
        <f t="shared" si="12"/>
        <v>227</v>
      </c>
      <c r="B230" s="428">
        <v>44571</v>
      </c>
      <c r="C230" s="424">
        <v>44501</v>
      </c>
      <c r="D230" s="415" t="s">
        <v>271</v>
      </c>
      <c r="E230" s="415" t="s">
        <v>463</v>
      </c>
      <c r="F230" s="425">
        <v>16.079999999999998</v>
      </c>
      <c r="G230" s="437" t="s">
        <v>1283</v>
      </c>
      <c r="H230" s="415" t="s">
        <v>756</v>
      </c>
      <c r="I230" s="473" t="s">
        <v>764</v>
      </c>
      <c r="J230" s="545" t="s">
        <v>310</v>
      </c>
      <c r="K230" s="415" t="s">
        <v>1220</v>
      </c>
      <c r="L230" s="415" t="s">
        <v>1281</v>
      </c>
      <c r="M230" s="546">
        <v>222007836540</v>
      </c>
      <c r="N230" s="414">
        <v>44571</v>
      </c>
      <c r="O230" s="414" t="s">
        <v>400</v>
      </c>
      <c r="P230" s="222">
        <f t="shared" si="13"/>
        <v>1</v>
      </c>
      <c r="Q230" s="222">
        <f t="shared" si="14"/>
        <v>-1</v>
      </c>
      <c r="R230" s="532" t="str">
        <f t="shared" si="15"/>
        <v>Gastos_Gerais</v>
      </c>
      <c r="S230" s="467" t="s">
        <v>310</v>
      </c>
      <c r="T230" s="467" t="s">
        <v>310</v>
      </c>
      <c r="U230" s="496"/>
      <c r="V230" s="496"/>
      <c r="W230" s="496"/>
    </row>
    <row r="231" spans="1:23" ht="24" x14ac:dyDescent="0.2">
      <c r="A231" s="510">
        <f t="shared" si="12"/>
        <v>228</v>
      </c>
      <c r="B231" s="428">
        <v>44571</v>
      </c>
      <c r="C231" s="424">
        <v>44287</v>
      </c>
      <c r="D231" s="415" t="s">
        <v>271</v>
      </c>
      <c r="E231" s="415" t="s">
        <v>462</v>
      </c>
      <c r="F231" s="425">
        <v>11.2</v>
      </c>
      <c r="G231" s="427" t="s">
        <v>522</v>
      </c>
      <c r="H231" s="415" t="s">
        <v>752</v>
      </c>
      <c r="I231" s="473" t="s">
        <v>764</v>
      </c>
      <c r="J231" s="545" t="s">
        <v>310</v>
      </c>
      <c r="K231" s="415" t="s">
        <v>1220</v>
      </c>
      <c r="L231" s="415" t="s">
        <v>1281</v>
      </c>
      <c r="M231" s="546">
        <v>2220078370007</v>
      </c>
      <c r="N231" s="414">
        <v>44571</v>
      </c>
      <c r="O231" s="414" t="s">
        <v>400</v>
      </c>
      <c r="P231" s="222">
        <f t="shared" si="13"/>
        <v>1</v>
      </c>
      <c r="Q231" s="222">
        <f t="shared" si="14"/>
        <v>-8</v>
      </c>
      <c r="R231" s="532" t="str">
        <f t="shared" si="15"/>
        <v>Gastos_Gerais</v>
      </c>
      <c r="S231" s="467" t="s">
        <v>310</v>
      </c>
      <c r="T231" s="467" t="s">
        <v>310</v>
      </c>
      <c r="U231" s="496"/>
      <c r="V231" s="496"/>
      <c r="W231" s="496"/>
    </row>
    <row r="232" spans="1:23" ht="24" x14ac:dyDescent="0.2">
      <c r="A232" s="510">
        <f t="shared" si="12"/>
        <v>229</v>
      </c>
      <c r="B232" s="428">
        <v>44571</v>
      </c>
      <c r="C232" s="424">
        <v>44440</v>
      </c>
      <c r="D232" s="415" t="s">
        <v>271</v>
      </c>
      <c r="E232" s="415" t="s">
        <v>462</v>
      </c>
      <c r="F232" s="425">
        <v>25.6</v>
      </c>
      <c r="G232" s="547" t="s">
        <v>561</v>
      </c>
      <c r="H232" s="415" t="s">
        <v>752</v>
      </c>
      <c r="I232" s="473" t="s">
        <v>764</v>
      </c>
      <c r="J232" s="545" t="s">
        <v>310</v>
      </c>
      <c r="K232" s="415" t="s">
        <v>1220</v>
      </c>
      <c r="L232" s="415" t="s">
        <v>1281</v>
      </c>
      <c r="M232" s="546">
        <v>222007837511</v>
      </c>
      <c r="N232" s="414">
        <v>44571</v>
      </c>
      <c r="O232" s="414" t="s">
        <v>400</v>
      </c>
      <c r="P232" s="222">
        <f t="shared" si="13"/>
        <v>1</v>
      </c>
      <c r="Q232" s="222">
        <f t="shared" si="14"/>
        <v>-3</v>
      </c>
      <c r="R232" s="532" t="str">
        <f t="shared" si="15"/>
        <v>Gastos_Gerais</v>
      </c>
      <c r="S232" s="467" t="s">
        <v>310</v>
      </c>
      <c r="T232" s="467" t="s">
        <v>310</v>
      </c>
      <c r="U232" s="496"/>
      <c r="V232" s="496"/>
      <c r="W232" s="496"/>
    </row>
    <row r="233" spans="1:23" ht="24" x14ac:dyDescent="0.2">
      <c r="A233" s="510">
        <f t="shared" si="12"/>
        <v>230</v>
      </c>
      <c r="B233" s="428">
        <v>44571</v>
      </c>
      <c r="C233" s="424">
        <v>44470</v>
      </c>
      <c r="D233" s="415" t="s">
        <v>271</v>
      </c>
      <c r="E233" s="415" t="s">
        <v>462</v>
      </c>
      <c r="F233" s="425">
        <v>25.6</v>
      </c>
      <c r="G233" s="427" t="s">
        <v>563</v>
      </c>
      <c r="H233" s="415" t="s">
        <v>752</v>
      </c>
      <c r="I233" s="473" t="s">
        <v>764</v>
      </c>
      <c r="J233" s="545" t="s">
        <v>310</v>
      </c>
      <c r="K233" s="415" t="s">
        <v>1220</v>
      </c>
      <c r="L233" s="415" t="s">
        <v>1281</v>
      </c>
      <c r="M233" s="546">
        <v>2220070837600</v>
      </c>
      <c r="N233" s="414">
        <v>44571</v>
      </c>
      <c r="O233" s="414" t="s">
        <v>400</v>
      </c>
      <c r="P233" s="222">
        <f t="shared" si="13"/>
        <v>1</v>
      </c>
      <c r="Q233" s="222">
        <f t="shared" si="14"/>
        <v>-2</v>
      </c>
      <c r="R233" s="532" t="str">
        <f t="shared" si="15"/>
        <v>Gastos_Gerais</v>
      </c>
      <c r="S233" s="467" t="s">
        <v>310</v>
      </c>
      <c r="T233" s="467" t="s">
        <v>310</v>
      </c>
      <c r="U233" s="496"/>
      <c r="V233" s="496"/>
      <c r="W233" s="496"/>
    </row>
    <row r="234" spans="1:23" ht="36" x14ac:dyDescent="0.2">
      <c r="A234" s="510">
        <f t="shared" si="12"/>
        <v>231</v>
      </c>
      <c r="B234" s="428">
        <v>44571</v>
      </c>
      <c r="C234" s="424">
        <v>44501</v>
      </c>
      <c r="D234" s="415" t="s">
        <v>271</v>
      </c>
      <c r="E234" s="415" t="s">
        <v>456</v>
      </c>
      <c r="F234" s="425">
        <v>12</v>
      </c>
      <c r="G234" s="427" t="s">
        <v>595</v>
      </c>
      <c r="H234" s="415" t="s">
        <v>755</v>
      </c>
      <c r="I234" s="473" t="s">
        <v>764</v>
      </c>
      <c r="J234" s="545" t="s">
        <v>310</v>
      </c>
      <c r="K234" s="415" t="s">
        <v>1220</v>
      </c>
      <c r="L234" s="415" t="s">
        <v>1281</v>
      </c>
      <c r="M234" s="546">
        <v>2220078837945</v>
      </c>
      <c r="N234" s="414">
        <v>44571</v>
      </c>
      <c r="O234" s="414" t="s">
        <v>400</v>
      </c>
      <c r="P234" s="222">
        <f t="shared" si="13"/>
        <v>1</v>
      </c>
      <c r="Q234" s="222">
        <f t="shared" si="14"/>
        <v>-1</v>
      </c>
      <c r="R234" s="532" t="str">
        <f t="shared" si="15"/>
        <v>Gastos_Gerais</v>
      </c>
      <c r="S234" s="467" t="s">
        <v>310</v>
      </c>
      <c r="T234" s="467" t="s">
        <v>310</v>
      </c>
      <c r="U234" s="496"/>
      <c r="V234" s="496"/>
      <c r="W234" s="496"/>
    </row>
    <row r="235" spans="1:23" ht="36" x14ac:dyDescent="0.2">
      <c r="A235" s="510">
        <f t="shared" si="12"/>
        <v>232</v>
      </c>
      <c r="B235" s="428">
        <v>44571</v>
      </c>
      <c r="C235" s="424">
        <v>44409</v>
      </c>
      <c r="D235" s="415" t="s">
        <v>271</v>
      </c>
      <c r="E235" s="415" t="s">
        <v>456</v>
      </c>
      <c r="F235" s="425">
        <v>120.6</v>
      </c>
      <c r="G235" s="427" t="s">
        <v>553</v>
      </c>
      <c r="H235" s="415" t="s">
        <v>755</v>
      </c>
      <c r="I235" s="473" t="s">
        <v>764</v>
      </c>
      <c r="J235" s="545" t="s">
        <v>310</v>
      </c>
      <c r="K235" s="415" t="s">
        <v>1220</v>
      </c>
      <c r="L235" s="415" t="s">
        <v>1281</v>
      </c>
      <c r="M235" s="546">
        <v>222007838160</v>
      </c>
      <c r="N235" s="414">
        <v>44571</v>
      </c>
      <c r="O235" s="414" t="s">
        <v>400</v>
      </c>
      <c r="P235" s="222">
        <f t="shared" si="13"/>
        <v>1</v>
      </c>
      <c r="Q235" s="222">
        <f t="shared" si="14"/>
        <v>-4</v>
      </c>
      <c r="R235" s="532" t="str">
        <f t="shared" si="15"/>
        <v>Gastos_Gerais</v>
      </c>
      <c r="S235" s="467" t="s">
        <v>310</v>
      </c>
      <c r="T235" s="467" t="s">
        <v>310</v>
      </c>
      <c r="U235" s="496"/>
      <c r="V235" s="496"/>
      <c r="W235" s="496"/>
    </row>
    <row r="236" spans="1:23" ht="36" x14ac:dyDescent="0.2">
      <c r="A236" s="510">
        <f t="shared" si="12"/>
        <v>233</v>
      </c>
      <c r="B236" s="428">
        <v>44571</v>
      </c>
      <c r="C236" s="424">
        <v>44501</v>
      </c>
      <c r="D236" s="415" t="s">
        <v>271</v>
      </c>
      <c r="E236" s="415" t="s">
        <v>178</v>
      </c>
      <c r="F236" s="425">
        <v>275.31</v>
      </c>
      <c r="G236" s="427" t="s">
        <v>554</v>
      </c>
      <c r="H236" s="415" t="s">
        <v>752</v>
      </c>
      <c r="I236" s="473" t="s">
        <v>764</v>
      </c>
      <c r="J236" s="545" t="s">
        <v>310</v>
      </c>
      <c r="K236" s="415" t="s">
        <v>1220</v>
      </c>
      <c r="L236" s="415" t="s">
        <v>1281</v>
      </c>
      <c r="M236" s="546">
        <v>222007838321</v>
      </c>
      <c r="N236" s="414">
        <v>44571</v>
      </c>
      <c r="O236" s="414" t="s">
        <v>400</v>
      </c>
      <c r="P236" s="222">
        <f t="shared" si="13"/>
        <v>1</v>
      </c>
      <c r="Q236" s="222">
        <f t="shared" si="14"/>
        <v>-1</v>
      </c>
      <c r="R236" s="532" t="str">
        <f t="shared" si="15"/>
        <v>Gastos_Gerais</v>
      </c>
      <c r="S236" s="467" t="s">
        <v>310</v>
      </c>
      <c r="T236" s="467" t="s">
        <v>310</v>
      </c>
      <c r="U236" s="496"/>
      <c r="V236" s="496"/>
      <c r="W236" s="496"/>
    </row>
    <row r="237" spans="1:23" ht="36" x14ac:dyDescent="0.2">
      <c r="A237" s="510">
        <f t="shared" si="12"/>
        <v>234</v>
      </c>
      <c r="B237" s="428">
        <v>44571</v>
      </c>
      <c r="C237" s="424">
        <v>44470</v>
      </c>
      <c r="D237" s="415" t="s">
        <v>271</v>
      </c>
      <c r="E237" s="415" t="s">
        <v>442</v>
      </c>
      <c r="F237" s="425">
        <v>69</v>
      </c>
      <c r="G237" s="427" t="s">
        <v>577</v>
      </c>
      <c r="H237" s="415" t="s">
        <v>755</v>
      </c>
      <c r="I237" s="473" t="s">
        <v>764</v>
      </c>
      <c r="J237" s="545" t="s">
        <v>310</v>
      </c>
      <c r="K237" s="415" t="s">
        <v>1220</v>
      </c>
      <c r="L237" s="415" t="s">
        <v>1281</v>
      </c>
      <c r="M237" s="546">
        <v>222007838917</v>
      </c>
      <c r="N237" s="414">
        <v>44571</v>
      </c>
      <c r="O237" s="414" t="s">
        <v>400</v>
      </c>
      <c r="P237" s="222">
        <f t="shared" si="13"/>
        <v>1</v>
      </c>
      <c r="Q237" s="222">
        <f t="shared" si="14"/>
        <v>-2</v>
      </c>
      <c r="R237" s="532" t="str">
        <f t="shared" si="15"/>
        <v>Gastos_Gerais</v>
      </c>
      <c r="S237" s="467" t="s">
        <v>310</v>
      </c>
      <c r="T237" s="467" t="s">
        <v>310</v>
      </c>
      <c r="U237" s="496"/>
      <c r="V237" s="496"/>
      <c r="W237" s="496"/>
    </row>
    <row r="238" spans="1:23" ht="24" x14ac:dyDescent="0.2">
      <c r="A238" s="510">
        <f t="shared" si="12"/>
        <v>235</v>
      </c>
      <c r="B238" s="428">
        <v>44571</v>
      </c>
      <c r="C238" s="424">
        <v>44531</v>
      </c>
      <c r="D238" s="415" t="s">
        <v>271</v>
      </c>
      <c r="E238" s="415" t="s">
        <v>456</v>
      </c>
      <c r="F238" s="425">
        <v>12.6</v>
      </c>
      <c r="G238" s="427" t="s">
        <v>635</v>
      </c>
      <c r="H238" s="415" t="s">
        <v>752</v>
      </c>
      <c r="I238" s="473" t="s">
        <v>764</v>
      </c>
      <c r="J238" s="545" t="s">
        <v>310</v>
      </c>
      <c r="K238" s="415" t="s">
        <v>1220</v>
      </c>
      <c r="L238" s="415" t="s">
        <v>1281</v>
      </c>
      <c r="M238" s="546">
        <v>222007840148</v>
      </c>
      <c r="N238" s="414">
        <v>44571</v>
      </c>
      <c r="O238" s="414" t="s">
        <v>400</v>
      </c>
      <c r="P238" s="222">
        <f t="shared" si="13"/>
        <v>1</v>
      </c>
      <c r="Q238" s="222">
        <f t="shared" si="14"/>
        <v>0</v>
      </c>
      <c r="R238" s="532" t="str">
        <f t="shared" si="15"/>
        <v>Gastos_Gerais</v>
      </c>
      <c r="S238" s="467" t="s">
        <v>310</v>
      </c>
      <c r="T238" s="467" t="s">
        <v>310</v>
      </c>
      <c r="U238" s="496"/>
      <c r="V238" s="496"/>
      <c r="W238" s="496"/>
    </row>
    <row r="239" spans="1:23" ht="36" x14ac:dyDescent="0.2">
      <c r="A239" s="510">
        <f t="shared" si="12"/>
        <v>236</v>
      </c>
      <c r="B239" s="428">
        <v>44571</v>
      </c>
      <c r="C239" s="424">
        <v>44501</v>
      </c>
      <c r="D239" s="415" t="s">
        <v>271</v>
      </c>
      <c r="E239" s="415" t="s">
        <v>186</v>
      </c>
      <c r="F239" s="425">
        <v>116.61</v>
      </c>
      <c r="G239" s="427" t="s">
        <v>524</v>
      </c>
      <c r="H239" s="415" t="s">
        <v>751</v>
      </c>
      <c r="I239" s="473" t="s">
        <v>764</v>
      </c>
      <c r="J239" s="545" t="s">
        <v>310</v>
      </c>
      <c r="K239" s="415" t="s">
        <v>1220</v>
      </c>
      <c r="L239" s="415" t="s">
        <v>1281</v>
      </c>
      <c r="M239" s="546">
        <v>222007840490</v>
      </c>
      <c r="N239" s="414">
        <v>44571</v>
      </c>
      <c r="O239" s="414" t="s">
        <v>400</v>
      </c>
      <c r="P239" s="222">
        <f t="shared" si="13"/>
        <v>1</v>
      </c>
      <c r="Q239" s="222">
        <f t="shared" si="14"/>
        <v>-1</v>
      </c>
      <c r="R239" s="532" t="str">
        <f t="shared" si="15"/>
        <v>Gastos_Gerais</v>
      </c>
      <c r="S239" s="467" t="s">
        <v>310</v>
      </c>
      <c r="T239" s="467" t="s">
        <v>310</v>
      </c>
      <c r="U239" s="496"/>
      <c r="V239" s="496"/>
      <c r="W239" s="496"/>
    </row>
    <row r="240" spans="1:23" ht="24" x14ac:dyDescent="0.2">
      <c r="A240" s="510">
        <f t="shared" si="12"/>
        <v>237</v>
      </c>
      <c r="B240" s="428">
        <v>44571</v>
      </c>
      <c r="C240" s="424">
        <v>44531</v>
      </c>
      <c r="D240" s="415" t="s">
        <v>271</v>
      </c>
      <c r="E240" s="415" t="s">
        <v>456</v>
      </c>
      <c r="F240" s="425">
        <v>27.24</v>
      </c>
      <c r="G240" s="427" t="s">
        <v>609</v>
      </c>
      <c r="H240" s="415" t="s">
        <v>752</v>
      </c>
      <c r="I240" s="473" t="s">
        <v>764</v>
      </c>
      <c r="J240" s="545" t="s">
        <v>310</v>
      </c>
      <c r="K240" s="415" t="s">
        <v>1220</v>
      </c>
      <c r="L240" s="415" t="s">
        <v>1281</v>
      </c>
      <c r="M240" s="546">
        <v>222007841381</v>
      </c>
      <c r="N240" s="414">
        <v>44571</v>
      </c>
      <c r="O240" s="414" t="s">
        <v>400</v>
      </c>
      <c r="P240" s="222">
        <f t="shared" si="13"/>
        <v>1</v>
      </c>
      <c r="Q240" s="222">
        <f t="shared" si="14"/>
        <v>0</v>
      </c>
      <c r="R240" s="532" t="str">
        <f t="shared" si="15"/>
        <v>Gastos_Gerais</v>
      </c>
      <c r="S240" s="467" t="s">
        <v>310</v>
      </c>
      <c r="T240" s="467" t="s">
        <v>310</v>
      </c>
      <c r="U240" s="496"/>
      <c r="V240" s="496"/>
      <c r="W240" s="496"/>
    </row>
    <row r="241" spans="1:23" ht="24" x14ac:dyDescent="0.2">
      <c r="A241" s="510">
        <f t="shared" si="12"/>
        <v>238</v>
      </c>
      <c r="B241" s="428">
        <v>44571</v>
      </c>
      <c r="C241" s="424">
        <v>44531</v>
      </c>
      <c r="D241" s="415" t="s">
        <v>271</v>
      </c>
      <c r="E241" s="415" t="s">
        <v>178</v>
      </c>
      <c r="F241" s="425">
        <v>9.5399999999999991</v>
      </c>
      <c r="G241" s="427" t="s">
        <v>1284</v>
      </c>
      <c r="H241" s="415" t="s">
        <v>309</v>
      </c>
      <c r="I241" s="473" t="s">
        <v>764</v>
      </c>
      <c r="J241" s="545" t="s">
        <v>310</v>
      </c>
      <c r="K241" s="415" t="s">
        <v>1220</v>
      </c>
      <c r="L241" s="415" t="s">
        <v>1281</v>
      </c>
      <c r="M241" s="546">
        <v>222007841977</v>
      </c>
      <c r="N241" s="414">
        <v>44571</v>
      </c>
      <c r="O241" s="414" t="s">
        <v>400</v>
      </c>
      <c r="P241" s="222">
        <f t="shared" si="13"/>
        <v>1</v>
      </c>
      <c r="Q241" s="222">
        <f t="shared" si="14"/>
        <v>0</v>
      </c>
      <c r="R241" s="532" t="str">
        <f t="shared" si="15"/>
        <v>Gastos_Gerais</v>
      </c>
      <c r="S241" s="467" t="s">
        <v>310</v>
      </c>
      <c r="T241" s="467" t="s">
        <v>310</v>
      </c>
      <c r="U241" s="496"/>
      <c r="V241" s="496"/>
      <c r="W241" s="496"/>
    </row>
    <row r="242" spans="1:23" ht="24" x14ac:dyDescent="0.2">
      <c r="A242" s="510">
        <f t="shared" si="12"/>
        <v>239</v>
      </c>
      <c r="B242" s="428">
        <v>44571</v>
      </c>
      <c r="C242" s="424">
        <v>44531</v>
      </c>
      <c r="D242" s="415" t="s">
        <v>182</v>
      </c>
      <c r="E242" s="415" t="s">
        <v>179</v>
      </c>
      <c r="F242" s="425">
        <v>9.32</v>
      </c>
      <c r="G242" s="427" t="s">
        <v>511</v>
      </c>
      <c r="H242" s="415" t="s">
        <v>310</v>
      </c>
      <c r="I242" s="473" t="s">
        <v>764</v>
      </c>
      <c r="J242" s="545" t="s">
        <v>310</v>
      </c>
      <c r="K242" s="415" t="s">
        <v>1220</v>
      </c>
      <c r="L242" s="415" t="s">
        <v>1281</v>
      </c>
      <c r="M242" s="546">
        <v>222007842515</v>
      </c>
      <c r="N242" s="414">
        <v>44571</v>
      </c>
      <c r="O242" s="414" t="s">
        <v>400</v>
      </c>
      <c r="P242" s="222">
        <f t="shared" si="13"/>
        <v>1</v>
      </c>
      <c r="Q242" s="222">
        <f t="shared" si="14"/>
        <v>0</v>
      </c>
      <c r="R242" s="532" t="str">
        <f t="shared" si="15"/>
        <v>Gastos_com_Pessoal</v>
      </c>
      <c r="S242" s="467" t="s">
        <v>310</v>
      </c>
      <c r="T242" s="467" t="s">
        <v>310</v>
      </c>
      <c r="U242" s="496"/>
      <c r="V242" s="496"/>
      <c r="W242" s="496"/>
    </row>
    <row r="243" spans="1:23" ht="24" x14ac:dyDescent="0.2">
      <c r="A243" s="510">
        <f t="shared" si="12"/>
        <v>240</v>
      </c>
      <c r="B243" s="428">
        <v>44571</v>
      </c>
      <c r="C243" s="424">
        <v>44531</v>
      </c>
      <c r="D243" s="415" t="s">
        <v>182</v>
      </c>
      <c r="E243" s="415" t="s">
        <v>179</v>
      </c>
      <c r="F243" s="425">
        <v>16.28</v>
      </c>
      <c r="G243" s="427" t="s">
        <v>509</v>
      </c>
      <c r="H243" s="415" t="s">
        <v>310</v>
      </c>
      <c r="I243" s="473" t="s">
        <v>764</v>
      </c>
      <c r="J243" s="545" t="s">
        <v>310</v>
      </c>
      <c r="K243" s="415" t="s">
        <v>1220</v>
      </c>
      <c r="L243" s="415" t="s">
        <v>1281</v>
      </c>
      <c r="M243" s="546">
        <v>222007842868</v>
      </c>
      <c r="N243" s="414">
        <v>44571</v>
      </c>
      <c r="O243" s="414" t="s">
        <v>400</v>
      </c>
      <c r="P243" s="222">
        <f t="shared" si="13"/>
        <v>1</v>
      </c>
      <c r="Q243" s="222">
        <f t="shared" si="14"/>
        <v>0</v>
      </c>
      <c r="R243" s="532" t="str">
        <f t="shared" si="15"/>
        <v>Gastos_com_Pessoal</v>
      </c>
      <c r="S243" s="467" t="s">
        <v>310</v>
      </c>
      <c r="T243" s="467" t="s">
        <v>310</v>
      </c>
      <c r="U243" s="496"/>
      <c r="V243" s="496"/>
      <c r="W243" s="496"/>
    </row>
    <row r="244" spans="1:23" ht="24" x14ac:dyDescent="0.2">
      <c r="A244" s="510">
        <f t="shared" si="12"/>
        <v>241</v>
      </c>
      <c r="B244" s="428">
        <v>44571</v>
      </c>
      <c r="C244" s="424">
        <v>44531</v>
      </c>
      <c r="D244" s="415" t="s">
        <v>182</v>
      </c>
      <c r="E244" s="415" t="s">
        <v>161</v>
      </c>
      <c r="F244" s="425">
        <v>0.77</v>
      </c>
      <c r="G244" s="427" t="s">
        <v>661</v>
      </c>
      <c r="H244" s="415" t="s">
        <v>310</v>
      </c>
      <c r="I244" s="473" t="s">
        <v>764</v>
      </c>
      <c r="J244" s="545" t="s">
        <v>310</v>
      </c>
      <c r="K244" s="415" t="s">
        <v>1220</v>
      </c>
      <c r="L244" s="415" t="s">
        <v>1281</v>
      </c>
      <c r="M244" s="546">
        <v>222007843678</v>
      </c>
      <c r="N244" s="414">
        <v>44571</v>
      </c>
      <c r="O244" s="414" t="s">
        <v>400</v>
      </c>
      <c r="P244" s="222">
        <f t="shared" si="13"/>
        <v>1</v>
      </c>
      <c r="Q244" s="222">
        <f t="shared" si="14"/>
        <v>0</v>
      </c>
      <c r="R244" s="532" t="str">
        <f t="shared" si="15"/>
        <v>Gastos_com_Pessoal</v>
      </c>
      <c r="S244" s="467" t="s">
        <v>310</v>
      </c>
      <c r="T244" s="467" t="s">
        <v>310</v>
      </c>
      <c r="U244" s="496"/>
      <c r="V244" s="496"/>
      <c r="W244" s="496"/>
    </row>
    <row r="245" spans="1:23" ht="24" x14ac:dyDescent="0.2">
      <c r="A245" s="510">
        <f t="shared" si="12"/>
        <v>242</v>
      </c>
      <c r="B245" s="428">
        <v>44571</v>
      </c>
      <c r="C245" s="424">
        <v>44501</v>
      </c>
      <c r="D245" s="415" t="s">
        <v>182</v>
      </c>
      <c r="E245" s="415" t="s">
        <v>161</v>
      </c>
      <c r="F245" s="425">
        <v>0.25</v>
      </c>
      <c r="G245" s="427" t="s">
        <v>663</v>
      </c>
      <c r="H245" s="415" t="s">
        <v>310</v>
      </c>
      <c r="I245" s="473" t="s">
        <v>764</v>
      </c>
      <c r="J245" s="545" t="s">
        <v>310</v>
      </c>
      <c r="K245" s="415" t="s">
        <v>1220</v>
      </c>
      <c r="L245" s="415" t="s">
        <v>1281</v>
      </c>
      <c r="M245" s="546">
        <v>222007843910</v>
      </c>
      <c r="N245" s="414">
        <v>44571</v>
      </c>
      <c r="O245" s="414" t="s">
        <v>400</v>
      </c>
      <c r="P245" s="222">
        <f t="shared" si="13"/>
        <v>1</v>
      </c>
      <c r="Q245" s="222">
        <f t="shared" si="14"/>
        <v>-1</v>
      </c>
      <c r="R245" s="532" t="str">
        <f t="shared" si="15"/>
        <v>Gastos_com_Pessoal</v>
      </c>
      <c r="S245" s="467" t="s">
        <v>310</v>
      </c>
      <c r="T245" s="467" t="s">
        <v>310</v>
      </c>
      <c r="U245" s="496"/>
      <c r="V245" s="496"/>
      <c r="W245" s="496"/>
    </row>
    <row r="246" spans="1:23" ht="24" x14ac:dyDescent="0.2">
      <c r="A246" s="510">
        <f t="shared" si="12"/>
        <v>243</v>
      </c>
      <c r="B246" s="428">
        <v>44571</v>
      </c>
      <c r="C246" s="424">
        <v>44531</v>
      </c>
      <c r="D246" s="415" t="s">
        <v>182</v>
      </c>
      <c r="E246" s="415" t="s">
        <v>161</v>
      </c>
      <c r="F246" s="425">
        <v>1.36</v>
      </c>
      <c r="G246" s="427" t="s">
        <v>662</v>
      </c>
      <c r="H246" s="415" t="s">
        <v>310</v>
      </c>
      <c r="I246" s="473" t="s">
        <v>764</v>
      </c>
      <c r="J246" s="545" t="s">
        <v>310</v>
      </c>
      <c r="K246" s="415" t="s">
        <v>1220</v>
      </c>
      <c r="L246" s="415" t="s">
        <v>1281</v>
      </c>
      <c r="M246" s="546">
        <v>222007844305</v>
      </c>
      <c r="N246" s="414">
        <v>44571</v>
      </c>
      <c r="O246" s="414" t="s">
        <v>400</v>
      </c>
      <c r="P246" s="222">
        <f t="shared" si="13"/>
        <v>1</v>
      </c>
      <c r="Q246" s="222">
        <f t="shared" si="14"/>
        <v>0</v>
      </c>
      <c r="R246" s="532" t="str">
        <f t="shared" si="15"/>
        <v>Gastos_com_Pessoal</v>
      </c>
      <c r="S246" s="467" t="s">
        <v>310</v>
      </c>
      <c r="T246" s="467" t="s">
        <v>310</v>
      </c>
      <c r="U246" s="496"/>
      <c r="V246" s="496"/>
      <c r="W246" s="496"/>
    </row>
    <row r="247" spans="1:23" ht="24" x14ac:dyDescent="0.2">
      <c r="A247" s="510">
        <f t="shared" si="12"/>
        <v>244</v>
      </c>
      <c r="B247" s="428">
        <v>44571</v>
      </c>
      <c r="C247" s="424">
        <v>44501</v>
      </c>
      <c r="D247" s="415" t="s">
        <v>182</v>
      </c>
      <c r="E247" s="415" t="s">
        <v>1</v>
      </c>
      <c r="F247" s="425">
        <v>8.4499999999999993</v>
      </c>
      <c r="G247" s="427" t="s">
        <v>1287</v>
      </c>
      <c r="H247" s="415" t="s">
        <v>310</v>
      </c>
      <c r="I247" s="473" t="s">
        <v>764</v>
      </c>
      <c r="J247" s="545" t="s">
        <v>310</v>
      </c>
      <c r="K247" s="415" t="s">
        <v>1220</v>
      </c>
      <c r="L247" s="415" t="s">
        <v>1281</v>
      </c>
      <c r="M247" s="546">
        <v>222007844801</v>
      </c>
      <c r="N247" s="414">
        <v>44571</v>
      </c>
      <c r="O247" s="414" t="s">
        <v>400</v>
      </c>
      <c r="P247" s="222">
        <f t="shared" si="13"/>
        <v>1</v>
      </c>
      <c r="Q247" s="222">
        <f t="shared" si="14"/>
        <v>-1</v>
      </c>
      <c r="R247" s="532" t="str">
        <f t="shared" si="15"/>
        <v>Gastos_com_Pessoal</v>
      </c>
      <c r="S247" s="467" t="s">
        <v>310</v>
      </c>
      <c r="T247" s="467" t="s">
        <v>310</v>
      </c>
      <c r="U247" s="496"/>
      <c r="V247" s="496"/>
      <c r="W247" s="496"/>
    </row>
    <row r="248" spans="1:23" ht="24" x14ac:dyDescent="0.2">
      <c r="A248" s="510">
        <f t="shared" si="12"/>
        <v>245</v>
      </c>
      <c r="B248" s="428">
        <v>44571</v>
      </c>
      <c r="C248" s="424">
        <v>44562</v>
      </c>
      <c r="D248" s="415" t="s">
        <v>182</v>
      </c>
      <c r="E248" s="415" t="s">
        <v>179</v>
      </c>
      <c r="F248" s="425">
        <v>198.38</v>
      </c>
      <c r="G248" s="427" t="s">
        <v>1288</v>
      </c>
      <c r="H248" s="415" t="s">
        <v>310</v>
      </c>
      <c r="I248" s="473" t="s">
        <v>764</v>
      </c>
      <c r="J248" s="545" t="s">
        <v>310</v>
      </c>
      <c r="K248" s="415" t="s">
        <v>1220</v>
      </c>
      <c r="L248" s="415" t="s">
        <v>1281</v>
      </c>
      <c r="M248" s="546">
        <v>222007844992</v>
      </c>
      <c r="N248" s="414">
        <v>44571</v>
      </c>
      <c r="O248" s="414" t="s">
        <v>400</v>
      </c>
      <c r="P248" s="222">
        <f t="shared" si="13"/>
        <v>1</v>
      </c>
      <c r="Q248" s="222">
        <f t="shared" si="14"/>
        <v>1</v>
      </c>
      <c r="R248" s="532" t="str">
        <f t="shared" si="15"/>
        <v>Gastos_com_Pessoal</v>
      </c>
      <c r="S248" s="467" t="s">
        <v>310</v>
      </c>
      <c r="T248" s="467" t="s">
        <v>310</v>
      </c>
      <c r="U248" s="496"/>
      <c r="V248" s="496"/>
      <c r="W248" s="496"/>
    </row>
    <row r="249" spans="1:23" ht="24" x14ac:dyDescent="0.2">
      <c r="A249" s="510">
        <f t="shared" si="12"/>
        <v>246</v>
      </c>
      <c r="B249" s="428">
        <v>44571</v>
      </c>
      <c r="C249" s="424">
        <v>44501</v>
      </c>
      <c r="D249" s="415" t="s">
        <v>271</v>
      </c>
      <c r="E249" s="415" t="s">
        <v>442</v>
      </c>
      <c r="F249" s="425">
        <v>321.75</v>
      </c>
      <c r="G249" s="427" t="s">
        <v>579</v>
      </c>
      <c r="H249" s="415" t="s">
        <v>756</v>
      </c>
      <c r="I249" s="473" t="s">
        <v>764</v>
      </c>
      <c r="J249" s="545" t="s">
        <v>310</v>
      </c>
      <c r="K249" s="415" t="s">
        <v>1220</v>
      </c>
      <c r="L249" s="415" t="s">
        <v>1281</v>
      </c>
      <c r="M249" s="546">
        <v>222007871531</v>
      </c>
      <c r="N249" s="414">
        <v>44571</v>
      </c>
      <c r="O249" s="414" t="s">
        <v>400</v>
      </c>
      <c r="P249" s="222">
        <f t="shared" si="13"/>
        <v>1</v>
      </c>
      <c r="Q249" s="222">
        <f t="shared" si="14"/>
        <v>-1</v>
      </c>
      <c r="R249" s="532" t="str">
        <f t="shared" si="15"/>
        <v>Gastos_Gerais</v>
      </c>
      <c r="S249" s="467" t="s">
        <v>310</v>
      </c>
      <c r="T249" s="467" t="s">
        <v>310</v>
      </c>
      <c r="U249" s="496"/>
      <c r="V249" s="496"/>
      <c r="W249" s="496"/>
    </row>
    <row r="250" spans="1:23" ht="24" x14ac:dyDescent="0.2">
      <c r="A250" s="510">
        <f t="shared" si="12"/>
        <v>247</v>
      </c>
      <c r="B250" s="428">
        <v>44571</v>
      </c>
      <c r="C250" s="466">
        <v>44501</v>
      </c>
      <c r="D250" s="415" t="s">
        <v>271</v>
      </c>
      <c r="E250" s="415" t="s">
        <v>456</v>
      </c>
      <c r="F250" s="435">
        <v>350</v>
      </c>
      <c r="G250" s="427" t="s">
        <v>618</v>
      </c>
      <c r="H250" s="415" t="s">
        <v>752</v>
      </c>
      <c r="I250" s="473" t="s">
        <v>764</v>
      </c>
      <c r="J250" s="545" t="s">
        <v>310</v>
      </c>
      <c r="K250" s="415" t="s">
        <v>1220</v>
      </c>
      <c r="L250" s="415" t="s">
        <v>1281</v>
      </c>
      <c r="M250" s="546">
        <v>222007872775</v>
      </c>
      <c r="N250" s="414">
        <v>44571</v>
      </c>
      <c r="O250" s="414" t="s">
        <v>400</v>
      </c>
      <c r="P250" s="222">
        <f t="shared" si="13"/>
        <v>1</v>
      </c>
      <c r="Q250" s="222">
        <f t="shared" si="14"/>
        <v>-1</v>
      </c>
      <c r="R250" s="532" t="str">
        <f t="shared" si="15"/>
        <v>Gastos_Gerais</v>
      </c>
      <c r="S250" s="467" t="s">
        <v>310</v>
      </c>
      <c r="T250" s="467" t="s">
        <v>310</v>
      </c>
      <c r="U250" s="496"/>
      <c r="V250" s="496"/>
      <c r="W250" s="496"/>
    </row>
    <row r="251" spans="1:23" ht="36" x14ac:dyDescent="0.2">
      <c r="A251" s="510">
        <f t="shared" si="12"/>
        <v>248</v>
      </c>
      <c r="B251" s="428">
        <v>44571</v>
      </c>
      <c r="C251" s="424">
        <v>44562</v>
      </c>
      <c r="D251" s="415" t="s">
        <v>271</v>
      </c>
      <c r="E251" s="415" t="s">
        <v>71</v>
      </c>
      <c r="F251" s="425">
        <v>10.45</v>
      </c>
      <c r="G251" s="427" t="s">
        <v>1289</v>
      </c>
      <c r="H251" s="415" t="s">
        <v>755</v>
      </c>
      <c r="I251" s="398" t="s">
        <v>881</v>
      </c>
      <c r="J251" s="418" t="s">
        <v>882</v>
      </c>
      <c r="K251" s="418" t="s">
        <v>883</v>
      </c>
      <c r="L251" s="399" t="s">
        <v>798</v>
      </c>
      <c r="M251" s="544" t="s">
        <v>310</v>
      </c>
      <c r="N251" s="414">
        <v>44571</v>
      </c>
      <c r="O251" s="414" t="s">
        <v>400</v>
      </c>
      <c r="P251" s="222">
        <f t="shared" si="13"/>
        <v>1</v>
      </c>
      <c r="Q251" s="222">
        <f t="shared" si="14"/>
        <v>1</v>
      </c>
      <c r="R251" s="532" t="str">
        <f t="shared" si="15"/>
        <v>Gastos_Gerais</v>
      </c>
      <c r="S251" s="467" t="s">
        <v>310</v>
      </c>
      <c r="T251" s="467" t="s">
        <v>310</v>
      </c>
      <c r="U251" s="496"/>
      <c r="V251" s="496"/>
      <c r="W251" s="496"/>
    </row>
    <row r="252" spans="1:23" ht="48" x14ac:dyDescent="0.2">
      <c r="A252" s="510">
        <f t="shared" si="12"/>
        <v>249</v>
      </c>
      <c r="B252" s="428">
        <v>44571</v>
      </c>
      <c r="C252" s="433">
        <v>44501</v>
      </c>
      <c r="D252" s="434" t="s">
        <v>468</v>
      </c>
      <c r="E252" s="434" t="s">
        <v>468</v>
      </c>
      <c r="F252" s="425">
        <v>75</v>
      </c>
      <c r="G252" s="427" t="s">
        <v>515</v>
      </c>
      <c r="H252" s="415" t="s">
        <v>468</v>
      </c>
      <c r="I252" s="398" t="s">
        <v>764</v>
      </c>
      <c r="J252" s="418" t="s">
        <v>310</v>
      </c>
      <c r="K252" s="418" t="s">
        <v>1220</v>
      </c>
      <c r="L252" s="399" t="s">
        <v>1281</v>
      </c>
      <c r="M252" s="544">
        <v>222007864918</v>
      </c>
      <c r="N252" s="414">
        <v>44571</v>
      </c>
      <c r="O252" s="414" t="s">
        <v>403</v>
      </c>
      <c r="P252" s="222">
        <f t="shared" si="13"/>
        <v>1</v>
      </c>
      <c r="Q252" s="222">
        <f t="shared" si="14"/>
        <v>-1</v>
      </c>
      <c r="R252" s="532" t="str">
        <f t="shared" si="15"/>
        <v>Gastos_custeados_por_captação</v>
      </c>
      <c r="S252" s="467" t="s">
        <v>310</v>
      </c>
      <c r="T252" s="467" t="s">
        <v>310</v>
      </c>
      <c r="U252" s="496"/>
      <c r="V252" s="496"/>
      <c r="W252" s="496"/>
    </row>
    <row r="253" spans="1:23" ht="48" x14ac:dyDescent="0.2">
      <c r="A253" s="510">
        <f t="shared" si="12"/>
        <v>250</v>
      </c>
      <c r="B253" s="428">
        <v>44571</v>
      </c>
      <c r="C253" s="431">
        <v>44470</v>
      </c>
      <c r="D253" s="415" t="s">
        <v>468</v>
      </c>
      <c r="E253" s="415" t="s">
        <v>468</v>
      </c>
      <c r="F253" s="425">
        <v>32.159999999999997</v>
      </c>
      <c r="G253" s="427" t="s">
        <v>574</v>
      </c>
      <c r="H253" s="415" t="s">
        <v>468</v>
      </c>
      <c r="I253" s="398" t="s">
        <v>764</v>
      </c>
      <c r="J253" s="418" t="s">
        <v>310</v>
      </c>
      <c r="K253" s="418" t="s">
        <v>1220</v>
      </c>
      <c r="L253" s="399" t="s">
        <v>1281</v>
      </c>
      <c r="M253" s="544">
        <v>222007865213</v>
      </c>
      <c r="N253" s="414">
        <v>44571</v>
      </c>
      <c r="O253" s="414" t="s">
        <v>403</v>
      </c>
      <c r="P253" s="222">
        <f t="shared" si="13"/>
        <v>1</v>
      </c>
      <c r="Q253" s="222">
        <f t="shared" si="14"/>
        <v>-2</v>
      </c>
      <c r="R253" s="532" t="str">
        <f t="shared" si="15"/>
        <v>Gastos_custeados_por_captação</v>
      </c>
      <c r="S253" s="467" t="s">
        <v>310</v>
      </c>
      <c r="T253" s="467" t="s">
        <v>310</v>
      </c>
      <c r="U253" s="496"/>
      <c r="V253" s="496"/>
      <c r="W253" s="496"/>
    </row>
    <row r="254" spans="1:23" ht="36" x14ac:dyDescent="0.2">
      <c r="A254" s="510">
        <f t="shared" si="12"/>
        <v>251</v>
      </c>
      <c r="B254" s="428">
        <v>44571</v>
      </c>
      <c r="C254" s="431">
        <v>44501</v>
      </c>
      <c r="D254" s="415" t="s">
        <v>468</v>
      </c>
      <c r="E254" s="415" t="s">
        <v>468</v>
      </c>
      <c r="F254" s="425">
        <v>152.25</v>
      </c>
      <c r="G254" s="427" t="s">
        <v>528</v>
      </c>
      <c r="H254" s="415" t="s">
        <v>468</v>
      </c>
      <c r="I254" s="398" t="s">
        <v>764</v>
      </c>
      <c r="J254" s="418" t="s">
        <v>310</v>
      </c>
      <c r="K254" s="418" t="s">
        <v>1220</v>
      </c>
      <c r="L254" s="399" t="s">
        <v>1281</v>
      </c>
      <c r="M254" s="544">
        <v>222007866104</v>
      </c>
      <c r="N254" s="414">
        <v>44571</v>
      </c>
      <c r="O254" s="414" t="s">
        <v>408</v>
      </c>
      <c r="P254" s="222">
        <f t="shared" si="13"/>
        <v>1</v>
      </c>
      <c r="Q254" s="222">
        <f t="shared" si="14"/>
        <v>-1</v>
      </c>
      <c r="R254" s="532" t="str">
        <f t="shared" si="15"/>
        <v>Gastos_custeados_por_captação</v>
      </c>
      <c r="S254" s="467" t="s">
        <v>310</v>
      </c>
      <c r="T254" s="467" t="s">
        <v>310</v>
      </c>
      <c r="U254" s="496"/>
      <c r="V254" s="496"/>
      <c r="W254" s="496"/>
    </row>
    <row r="255" spans="1:23" ht="36" x14ac:dyDescent="0.2">
      <c r="A255" s="510">
        <f t="shared" si="12"/>
        <v>252</v>
      </c>
      <c r="B255" s="428">
        <v>44571</v>
      </c>
      <c r="C255" s="431">
        <v>44501</v>
      </c>
      <c r="D255" s="415" t="s">
        <v>468</v>
      </c>
      <c r="E255" s="415" t="s">
        <v>468</v>
      </c>
      <c r="F255" s="459">
        <v>71.05</v>
      </c>
      <c r="G255" s="427" t="s">
        <v>529</v>
      </c>
      <c r="H255" s="415" t="s">
        <v>468</v>
      </c>
      <c r="I255" s="398" t="s">
        <v>764</v>
      </c>
      <c r="J255" s="418" t="s">
        <v>310</v>
      </c>
      <c r="K255" s="418" t="s">
        <v>1220</v>
      </c>
      <c r="L255" s="399" t="s">
        <v>1281</v>
      </c>
      <c r="M255" s="544">
        <v>222007866295</v>
      </c>
      <c r="N255" s="414">
        <v>44571</v>
      </c>
      <c r="O255" s="414" t="s">
        <v>408</v>
      </c>
      <c r="P255" s="222">
        <f t="shared" si="13"/>
        <v>1</v>
      </c>
      <c r="Q255" s="222">
        <f t="shared" si="14"/>
        <v>-1</v>
      </c>
      <c r="R255" s="532" t="str">
        <f t="shared" si="15"/>
        <v>Gastos_custeados_por_captação</v>
      </c>
      <c r="S255" s="467" t="s">
        <v>310</v>
      </c>
      <c r="T255" s="467" t="s">
        <v>310</v>
      </c>
      <c r="U255" s="496"/>
      <c r="V255" s="496"/>
      <c r="W255" s="496"/>
    </row>
    <row r="256" spans="1:23" ht="36" x14ac:dyDescent="0.2">
      <c r="A256" s="510">
        <f t="shared" si="12"/>
        <v>253</v>
      </c>
      <c r="B256" s="428">
        <v>44571</v>
      </c>
      <c r="C256" s="433">
        <v>44501</v>
      </c>
      <c r="D256" s="434" t="s">
        <v>468</v>
      </c>
      <c r="E256" s="434" t="s">
        <v>468</v>
      </c>
      <c r="F256" s="459">
        <v>150.75</v>
      </c>
      <c r="G256" s="427" t="s">
        <v>488</v>
      </c>
      <c r="H256" s="415" t="s">
        <v>468</v>
      </c>
      <c r="I256" s="398" t="s">
        <v>764</v>
      </c>
      <c r="J256" s="418" t="s">
        <v>310</v>
      </c>
      <c r="K256" s="418" t="s">
        <v>1220</v>
      </c>
      <c r="L256" s="399" t="s">
        <v>1281</v>
      </c>
      <c r="M256" s="544">
        <v>222007866538</v>
      </c>
      <c r="N256" s="414">
        <v>44571</v>
      </c>
      <c r="O256" s="414" t="s">
        <v>408</v>
      </c>
      <c r="P256" s="222">
        <f t="shared" si="13"/>
        <v>1</v>
      </c>
      <c r="Q256" s="222">
        <f t="shared" si="14"/>
        <v>-1</v>
      </c>
      <c r="R256" s="532" t="str">
        <f t="shared" si="15"/>
        <v>Gastos_custeados_por_captação</v>
      </c>
      <c r="S256" s="467" t="s">
        <v>310</v>
      </c>
      <c r="T256" s="467" t="s">
        <v>310</v>
      </c>
      <c r="U256" s="496"/>
      <c r="V256" s="496"/>
      <c r="W256" s="496"/>
    </row>
    <row r="257" spans="1:23" ht="36" x14ac:dyDescent="0.2">
      <c r="A257" s="510">
        <f t="shared" si="12"/>
        <v>254</v>
      </c>
      <c r="B257" s="428">
        <v>44571</v>
      </c>
      <c r="C257" s="431">
        <v>44501</v>
      </c>
      <c r="D257" s="415" t="s">
        <v>468</v>
      </c>
      <c r="E257" s="415" t="s">
        <v>468</v>
      </c>
      <c r="F257" s="459">
        <v>100</v>
      </c>
      <c r="G257" s="427" t="s">
        <v>533</v>
      </c>
      <c r="H257" s="415" t="s">
        <v>468</v>
      </c>
      <c r="I257" s="398" t="s">
        <v>764</v>
      </c>
      <c r="J257" s="418" t="s">
        <v>310</v>
      </c>
      <c r="K257" s="418" t="s">
        <v>1220</v>
      </c>
      <c r="L257" s="399" t="s">
        <v>1281</v>
      </c>
      <c r="M257" s="544">
        <v>222007866708</v>
      </c>
      <c r="N257" s="414">
        <v>44571</v>
      </c>
      <c r="O257" s="414" t="s">
        <v>408</v>
      </c>
      <c r="P257" s="222">
        <f t="shared" si="13"/>
        <v>1</v>
      </c>
      <c r="Q257" s="222">
        <f t="shared" si="14"/>
        <v>-1</v>
      </c>
      <c r="R257" s="532" t="str">
        <f t="shared" si="15"/>
        <v>Gastos_custeados_por_captação</v>
      </c>
      <c r="S257" s="467" t="s">
        <v>310</v>
      </c>
      <c r="T257" s="467" t="s">
        <v>310</v>
      </c>
      <c r="U257" s="496"/>
      <c r="V257" s="496"/>
      <c r="W257" s="496"/>
    </row>
    <row r="258" spans="1:23" ht="36" x14ac:dyDescent="0.2">
      <c r="A258" s="510">
        <f t="shared" si="12"/>
        <v>255</v>
      </c>
      <c r="B258" s="428">
        <v>44571</v>
      </c>
      <c r="C258" s="431">
        <v>44501</v>
      </c>
      <c r="D258" s="415" t="s">
        <v>468</v>
      </c>
      <c r="E258" s="415" t="s">
        <v>468</v>
      </c>
      <c r="F258" s="459">
        <v>77.180000000000007</v>
      </c>
      <c r="G258" s="427" t="s">
        <v>486</v>
      </c>
      <c r="H258" s="415" t="s">
        <v>468</v>
      </c>
      <c r="I258" s="398" t="s">
        <v>764</v>
      </c>
      <c r="J258" s="418" t="s">
        <v>310</v>
      </c>
      <c r="K258" s="418" t="s">
        <v>1220</v>
      </c>
      <c r="L258" s="399" t="s">
        <v>1281</v>
      </c>
      <c r="M258" s="544" t="s">
        <v>2411</v>
      </c>
      <c r="N258" s="414">
        <v>44571</v>
      </c>
      <c r="O258" s="414" t="s">
        <v>408</v>
      </c>
      <c r="P258" s="222">
        <f t="shared" si="13"/>
        <v>1</v>
      </c>
      <c r="Q258" s="222">
        <f t="shared" si="14"/>
        <v>-1</v>
      </c>
      <c r="R258" s="532" t="str">
        <f t="shared" si="15"/>
        <v>Gastos_custeados_por_captação</v>
      </c>
      <c r="S258" s="467" t="s">
        <v>310</v>
      </c>
      <c r="T258" s="467" t="s">
        <v>310</v>
      </c>
      <c r="U258" s="496"/>
      <c r="V258" s="496"/>
      <c r="W258" s="496"/>
    </row>
    <row r="259" spans="1:23" ht="36" x14ac:dyDescent="0.2">
      <c r="A259" s="510">
        <f t="shared" si="12"/>
        <v>256</v>
      </c>
      <c r="B259" s="428">
        <v>44571</v>
      </c>
      <c r="C259" s="431">
        <v>44501</v>
      </c>
      <c r="D259" s="415" t="s">
        <v>468</v>
      </c>
      <c r="E259" s="415" t="s">
        <v>468</v>
      </c>
      <c r="F259" s="459">
        <v>75</v>
      </c>
      <c r="G259" s="427" t="s">
        <v>477</v>
      </c>
      <c r="H259" s="415" t="s">
        <v>468</v>
      </c>
      <c r="I259" s="398" t="s">
        <v>764</v>
      </c>
      <c r="J259" s="418" t="s">
        <v>310</v>
      </c>
      <c r="K259" s="418" t="s">
        <v>1220</v>
      </c>
      <c r="L259" s="399" t="s">
        <v>1281</v>
      </c>
      <c r="M259" s="544">
        <v>222007867186</v>
      </c>
      <c r="N259" s="414">
        <v>44571</v>
      </c>
      <c r="O259" s="414" t="s">
        <v>408</v>
      </c>
      <c r="P259" s="222">
        <f t="shared" si="13"/>
        <v>1</v>
      </c>
      <c r="Q259" s="222">
        <f t="shared" si="14"/>
        <v>-1</v>
      </c>
      <c r="R259" s="532" t="str">
        <f t="shared" si="15"/>
        <v>Gastos_custeados_por_captação</v>
      </c>
      <c r="S259" s="467" t="s">
        <v>310</v>
      </c>
      <c r="T259" s="467" t="s">
        <v>310</v>
      </c>
      <c r="U259" s="496"/>
      <c r="V259" s="496"/>
      <c r="W259" s="496"/>
    </row>
    <row r="260" spans="1:23" ht="36" x14ac:dyDescent="0.2">
      <c r="A260" s="510">
        <f t="shared" ref="A260:A323" si="16">IF(B260="","",ROW()-ROW($A$3))</f>
        <v>257</v>
      </c>
      <c r="B260" s="428">
        <v>44571</v>
      </c>
      <c r="C260" s="431">
        <v>44501</v>
      </c>
      <c r="D260" s="415" t="s">
        <v>468</v>
      </c>
      <c r="E260" s="415" t="s">
        <v>468</v>
      </c>
      <c r="F260" s="459">
        <v>60</v>
      </c>
      <c r="G260" s="427" t="s">
        <v>531</v>
      </c>
      <c r="H260" s="415" t="s">
        <v>468</v>
      </c>
      <c r="I260" s="398" t="s">
        <v>764</v>
      </c>
      <c r="J260" s="418" t="s">
        <v>310</v>
      </c>
      <c r="K260" s="418" t="s">
        <v>1220</v>
      </c>
      <c r="L260" s="399" t="s">
        <v>1281</v>
      </c>
      <c r="M260" s="544">
        <v>222007867771</v>
      </c>
      <c r="N260" s="414">
        <v>44571</v>
      </c>
      <c r="O260" s="414" t="s">
        <v>408</v>
      </c>
      <c r="P260" s="222">
        <f t="shared" ref="P260:P323" si="17">IF(B260=0,0,IF(YEAR(B260)=$Q$1,MONTH(B260)-$P$1+1,(YEAR(B260)-$Q$1)*12-$P$1+1+MONTH(B260)))</f>
        <v>1</v>
      </c>
      <c r="Q260" s="222">
        <f t="shared" ref="Q260:Q323" si="18">IF(C260=0,0,IF(YEAR(C260)=$Q$1,MONTH(C260)-$P$1+1,(YEAR(C260)-$Q$1)*12-$P$1+1+MONTH(C260)))</f>
        <v>-1</v>
      </c>
      <c r="R260" s="532" t="str">
        <f t="shared" ref="R260:R323" si="19">SUBSTITUTE(D260," ","_")</f>
        <v>Gastos_custeados_por_captação</v>
      </c>
      <c r="S260" s="467" t="s">
        <v>310</v>
      </c>
      <c r="T260" s="467" t="s">
        <v>310</v>
      </c>
      <c r="U260" s="496"/>
      <c r="V260" s="496"/>
      <c r="W260" s="496"/>
    </row>
    <row r="261" spans="1:23" ht="36" x14ac:dyDescent="0.2">
      <c r="A261" s="510">
        <f t="shared" si="16"/>
        <v>258</v>
      </c>
      <c r="B261" s="428">
        <v>44571</v>
      </c>
      <c r="C261" s="431">
        <v>44501</v>
      </c>
      <c r="D261" s="415" t="s">
        <v>468</v>
      </c>
      <c r="E261" s="415" t="s">
        <v>468</v>
      </c>
      <c r="F261" s="459">
        <v>70.349999999999994</v>
      </c>
      <c r="G261" s="427" t="s">
        <v>479</v>
      </c>
      <c r="H261" s="415" t="s">
        <v>468</v>
      </c>
      <c r="I261" s="398" t="s">
        <v>764</v>
      </c>
      <c r="J261" s="418" t="s">
        <v>310</v>
      </c>
      <c r="K261" s="418" t="s">
        <v>1220</v>
      </c>
      <c r="L261" s="399" t="s">
        <v>1281</v>
      </c>
      <c r="M261" s="544">
        <v>222007867933</v>
      </c>
      <c r="N261" s="414">
        <v>44571</v>
      </c>
      <c r="O261" s="414" t="s">
        <v>408</v>
      </c>
      <c r="P261" s="222">
        <f t="shared" si="17"/>
        <v>1</v>
      </c>
      <c r="Q261" s="222">
        <f t="shared" si="18"/>
        <v>-1</v>
      </c>
      <c r="R261" s="532" t="str">
        <f t="shared" si="19"/>
        <v>Gastos_custeados_por_captação</v>
      </c>
      <c r="S261" s="467" t="s">
        <v>310</v>
      </c>
      <c r="T261" s="467" t="s">
        <v>310</v>
      </c>
      <c r="U261" s="496"/>
      <c r="V261" s="496"/>
      <c r="W261" s="496"/>
    </row>
    <row r="262" spans="1:23" ht="36" x14ac:dyDescent="0.2">
      <c r="A262" s="510">
        <f t="shared" si="16"/>
        <v>259</v>
      </c>
      <c r="B262" s="428">
        <v>44571</v>
      </c>
      <c r="C262" s="431">
        <v>44501</v>
      </c>
      <c r="D262" s="415" t="s">
        <v>468</v>
      </c>
      <c r="E262" s="415" t="s">
        <v>468</v>
      </c>
      <c r="F262" s="459">
        <v>157.5</v>
      </c>
      <c r="G262" s="427" t="s">
        <v>534</v>
      </c>
      <c r="H262" s="415" t="s">
        <v>468</v>
      </c>
      <c r="I262" s="398" t="s">
        <v>764</v>
      </c>
      <c r="J262" s="418" t="s">
        <v>310</v>
      </c>
      <c r="K262" s="418" t="s">
        <v>1220</v>
      </c>
      <c r="L262" s="399" t="s">
        <v>1281</v>
      </c>
      <c r="M262" s="544">
        <v>222007868743</v>
      </c>
      <c r="N262" s="414">
        <v>44571</v>
      </c>
      <c r="O262" s="414" t="s">
        <v>408</v>
      </c>
      <c r="P262" s="222">
        <f t="shared" si="17"/>
        <v>1</v>
      </c>
      <c r="Q262" s="222">
        <f t="shared" si="18"/>
        <v>-1</v>
      </c>
      <c r="R262" s="532" t="str">
        <f t="shared" si="19"/>
        <v>Gastos_custeados_por_captação</v>
      </c>
      <c r="S262" s="467" t="s">
        <v>310</v>
      </c>
      <c r="T262" s="467" t="s">
        <v>310</v>
      </c>
      <c r="U262" s="496"/>
      <c r="V262" s="496"/>
      <c r="W262" s="496"/>
    </row>
    <row r="263" spans="1:23" ht="60" x14ac:dyDescent="0.2">
      <c r="A263" s="510">
        <f t="shared" si="16"/>
        <v>260</v>
      </c>
      <c r="B263" s="428">
        <v>44571</v>
      </c>
      <c r="C263" s="431">
        <v>44531</v>
      </c>
      <c r="D263" s="415" t="s">
        <v>468</v>
      </c>
      <c r="E263" s="415" t="s">
        <v>468</v>
      </c>
      <c r="F263" s="541">
        <v>596</v>
      </c>
      <c r="G263" s="399" t="s">
        <v>2493</v>
      </c>
      <c r="H263" s="415" t="s">
        <v>468</v>
      </c>
      <c r="I263" s="398" t="s">
        <v>764</v>
      </c>
      <c r="J263" s="418" t="s">
        <v>310</v>
      </c>
      <c r="K263" s="418" t="s">
        <v>1220</v>
      </c>
      <c r="L263" s="399" t="s">
        <v>1281</v>
      </c>
      <c r="M263" s="464">
        <v>222007877572</v>
      </c>
      <c r="N263" s="414">
        <v>44571</v>
      </c>
      <c r="O263" s="414" t="s">
        <v>401</v>
      </c>
      <c r="P263" s="222">
        <f t="shared" si="17"/>
        <v>1</v>
      </c>
      <c r="Q263" s="222">
        <f t="shared" si="18"/>
        <v>0</v>
      </c>
      <c r="R263" s="532" t="str">
        <f t="shared" si="19"/>
        <v>Gastos_custeados_por_captação</v>
      </c>
      <c r="S263" s="467" t="s">
        <v>310</v>
      </c>
      <c r="T263" s="467" t="s">
        <v>310</v>
      </c>
      <c r="U263" s="496"/>
      <c r="V263" s="496"/>
      <c r="W263" s="496"/>
    </row>
    <row r="264" spans="1:23" ht="60" x14ac:dyDescent="0.2">
      <c r="A264" s="510">
        <f t="shared" si="16"/>
        <v>261</v>
      </c>
      <c r="B264" s="428">
        <v>44571</v>
      </c>
      <c r="C264" s="431">
        <v>44531</v>
      </c>
      <c r="D264" s="415" t="s">
        <v>468</v>
      </c>
      <c r="E264" s="415" t="s">
        <v>468</v>
      </c>
      <c r="F264" s="541">
        <v>75</v>
      </c>
      <c r="G264" s="399" t="s">
        <v>2494</v>
      </c>
      <c r="H264" s="415" t="s">
        <v>468</v>
      </c>
      <c r="I264" s="398" t="s">
        <v>764</v>
      </c>
      <c r="J264" s="418" t="s">
        <v>310</v>
      </c>
      <c r="K264" s="418" t="s">
        <v>1220</v>
      </c>
      <c r="L264" s="399" t="s">
        <v>1281</v>
      </c>
      <c r="M264" s="464">
        <v>222007877904</v>
      </c>
      <c r="N264" s="414">
        <v>44571</v>
      </c>
      <c r="O264" s="414" t="s">
        <v>401</v>
      </c>
      <c r="P264" s="222">
        <f t="shared" si="17"/>
        <v>1</v>
      </c>
      <c r="Q264" s="222">
        <f t="shared" si="18"/>
        <v>0</v>
      </c>
      <c r="R264" s="532" t="str">
        <f t="shared" si="19"/>
        <v>Gastos_custeados_por_captação</v>
      </c>
      <c r="S264" s="467" t="s">
        <v>310</v>
      </c>
      <c r="T264" s="467" t="s">
        <v>310</v>
      </c>
      <c r="U264" s="496"/>
      <c r="V264" s="496"/>
      <c r="W264" s="496"/>
    </row>
    <row r="265" spans="1:23" ht="60" x14ac:dyDescent="0.2">
      <c r="A265" s="510">
        <f t="shared" si="16"/>
        <v>262</v>
      </c>
      <c r="B265" s="428">
        <v>44571</v>
      </c>
      <c r="C265" s="431">
        <v>44531</v>
      </c>
      <c r="D265" s="415" t="s">
        <v>468</v>
      </c>
      <c r="E265" s="415" t="s">
        <v>468</v>
      </c>
      <c r="F265" s="541">
        <v>75</v>
      </c>
      <c r="G265" s="399" t="s">
        <v>2495</v>
      </c>
      <c r="H265" s="415" t="s">
        <v>468</v>
      </c>
      <c r="I265" s="398" t="s">
        <v>764</v>
      </c>
      <c r="J265" s="418" t="s">
        <v>310</v>
      </c>
      <c r="K265" s="418" t="s">
        <v>1220</v>
      </c>
      <c r="L265" s="399" t="s">
        <v>1281</v>
      </c>
      <c r="M265" s="464">
        <v>222007878030</v>
      </c>
      <c r="N265" s="414">
        <v>44571</v>
      </c>
      <c r="O265" s="414" t="s">
        <v>401</v>
      </c>
      <c r="P265" s="222">
        <f t="shared" si="17"/>
        <v>1</v>
      </c>
      <c r="Q265" s="222">
        <f t="shared" si="18"/>
        <v>0</v>
      </c>
      <c r="R265" s="532" t="str">
        <f t="shared" si="19"/>
        <v>Gastos_custeados_por_captação</v>
      </c>
      <c r="S265" s="467" t="s">
        <v>310</v>
      </c>
      <c r="T265" s="467" t="s">
        <v>310</v>
      </c>
      <c r="U265" s="496"/>
      <c r="V265" s="496"/>
      <c r="W265" s="496"/>
    </row>
    <row r="266" spans="1:23" ht="60" x14ac:dyDescent="0.2">
      <c r="A266" s="510">
        <f t="shared" si="16"/>
        <v>263</v>
      </c>
      <c r="B266" s="428">
        <v>44571</v>
      </c>
      <c r="C266" s="431">
        <v>44531</v>
      </c>
      <c r="D266" s="415" t="s">
        <v>468</v>
      </c>
      <c r="E266" s="415" t="s">
        <v>468</v>
      </c>
      <c r="F266" s="541">
        <v>125</v>
      </c>
      <c r="G266" s="399" t="s">
        <v>2496</v>
      </c>
      <c r="H266" s="415" t="s">
        <v>468</v>
      </c>
      <c r="I266" s="398" t="s">
        <v>764</v>
      </c>
      <c r="J266" s="418" t="s">
        <v>310</v>
      </c>
      <c r="K266" s="418" t="s">
        <v>1220</v>
      </c>
      <c r="L266" s="399" t="s">
        <v>1281</v>
      </c>
      <c r="M266" s="464">
        <v>222007878110</v>
      </c>
      <c r="N266" s="414">
        <v>44571</v>
      </c>
      <c r="O266" s="414" t="s">
        <v>401</v>
      </c>
      <c r="P266" s="222">
        <f t="shared" si="17"/>
        <v>1</v>
      </c>
      <c r="Q266" s="222">
        <f t="shared" si="18"/>
        <v>0</v>
      </c>
      <c r="R266" s="532" t="str">
        <f t="shared" si="19"/>
        <v>Gastos_custeados_por_captação</v>
      </c>
      <c r="S266" s="467" t="s">
        <v>310</v>
      </c>
      <c r="T266" s="467" t="s">
        <v>310</v>
      </c>
      <c r="U266" s="496"/>
      <c r="V266" s="496"/>
      <c r="W266" s="496"/>
    </row>
    <row r="267" spans="1:23" ht="60" x14ac:dyDescent="0.2">
      <c r="A267" s="510">
        <f t="shared" si="16"/>
        <v>264</v>
      </c>
      <c r="B267" s="428">
        <v>44571</v>
      </c>
      <c r="C267" s="431">
        <v>44531</v>
      </c>
      <c r="D267" s="415" t="s">
        <v>468</v>
      </c>
      <c r="E267" s="415" t="s">
        <v>468</v>
      </c>
      <c r="F267" s="541">
        <v>46.23</v>
      </c>
      <c r="G267" s="399" t="s">
        <v>2497</v>
      </c>
      <c r="H267" s="415" t="s">
        <v>468</v>
      </c>
      <c r="I267" s="398" t="s">
        <v>764</v>
      </c>
      <c r="J267" s="418" t="s">
        <v>310</v>
      </c>
      <c r="K267" s="418" t="s">
        <v>1220</v>
      </c>
      <c r="L267" s="399" t="s">
        <v>1281</v>
      </c>
      <c r="M267" s="464">
        <v>222007878382</v>
      </c>
      <c r="N267" s="414">
        <v>44571</v>
      </c>
      <c r="O267" s="414" t="s">
        <v>401</v>
      </c>
      <c r="P267" s="222">
        <f t="shared" si="17"/>
        <v>1</v>
      </c>
      <c r="Q267" s="222">
        <f t="shared" si="18"/>
        <v>0</v>
      </c>
      <c r="R267" s="532" t="str">
        <f t="shared" si="19"/>
        <v>Gastos_custeados_por_captação</v>
      </c>
      <c r="S267" s="467" t="s">
        <v>310</v>
      </c>
      <c r="T267" s="467" t="s">
        <v>310</v>
      </c>
      <c r="U267" s="496"/>
      <c r="V267" s="496"/>
      <c r="W267" s="496"/>
    </row>
    <row r="268" spans="1:23" ht="60" x14ac:dyDescent="0.2">
      <c r="A268" s="510">
        <f t="shared" si="16"/>
        <v>265</v>
      </c>
      <c r="B268" s="428">
        <v>44571</v>
      </c>
      <c r="C268" s="431">
        <v>44531</v>
      </c>
      <c r="D268" s="415" t="s">
        <v>468</v>
      </c>
      <c r="E268" s="415" t="s">
        <v>468</v>
      </c>
      <c r="F268" s="541">
        <v>150</v>
      </c>
      <c r="G268" s="399" t="s">
        <v>2498</v>
      </c>
      <c r="H268" s="415" t="s">
        <v>468</v>
      </c>
      <c r="I268" s="398" t="s">
        <v>764</v>
      </c>
      <c r="J268" s="418" t="s">
        <v>310</v>
      </c>
      <c r="K268" s="418" t="s">
        <v>1220</v>
      </c>
      <c r="L268" s="399" t="s">
        <v>1281</v>
      </c>
      <c r="M268" s="464">
        <v>222007878463</v>
      </c>
      <c r="N268" s="414">
        <v>44571</v>
      </c>
      <c r="O268" s="414" t="s">
        <v>401</v>
      </c>
      <c r="P268" s="222">
        <f t="shared" si="17"/>
        <v>1</v>
      </c>
      <c r="Q268" s="222">
        <f t="shared" si="18"/>
        <v>0</v>
      </c>
      <c r="R268" s="532" t="str">
        <f t="shared" si="19"/>
        <v>Gastos_custeados_por_captação</v>
      </c>
      <c r="S268" s="467" t="s">
        <v>310</v>
      </c>
      <c r="T268" s="467" t="s">
        <v>310</v>
      </c>
      <c r="U268" s="496"/>
      <c r="V268" s="496"/>
      <c r="W268" s="496"/>
    </row>
    <row r="269" spans="1:23" ht="60" x14ac:dyDescent="0.2">
      <c r="A269" s="510">
        <f t="shared" si="16"/>
        <v>266</v>
      </c>
      <c r="B269" s="428">
        <v>44571</v>
      </c>
      <c r="C269" s="431">
        <v>44531</v>
      </c>
      <c r="D269" s="415" t="s">
        <v>468</v>
      </c>
      <c r="E269" s="415" t="s">
        <v>468</v>
      </c>
      <c r="F269" s="541">
        <v>110.55</v>
      </c>
      <c r="G269" s="399" t="s">
        <v>2499</v>
      </c>
      <c r="H269" s="415" t="s">
        <v>468</v>
      </c>
      <c r="I269" s="398" t="s">
        <v>764</v>
      </c>
      <c r="J269" s="418" t="s">
        <v>310</v>
      </c>
      <c r="K269" s="418" t="s">
        <v>1220</v>
      </c>
      <c r="L269" s="399" t="s">
        <v>1281</v>
      </c>
      <c r="M269" s="464">
        <v>222007878544</v>
      </c>
      <c r="N269" s="414">
        <v>44571</v>
      </c>
      <c r="O269" s="414" t="s">
        <v>401</v>
      </c>
      <c r="P269" s="222">
        <f t="shared" si="17"/>
        <v>1</v>
      </c>
      <c r="Q269" s="222">
        <f t="shared" si="18"/>
        <v>0</v>
      </c>
      <c r="R269" s="532" t="str">
        <f t="shared" si="19"/>
        <v>Gastos_custeados_por_captação</v>
      </c>
      <c r="S269" s="467" t="s">
        <v>310</v>
      </c>
      <c r="T269" s="467" t="s">
        <v>310</v>
      </c>
      <c r="U269" s="496"/>
      <c r="V269" s="496"/>
      <c r="W269" s="496"/>
    </row>
    <row r="270" spans="1:23" ht="60" x14ac:dyDescent="0.2">
      <c r="A270" s="510">
        <f t="shared" si="16"/>
        <v>267</v>
      </c>
      <c r="B270" s="428">
        <v>44571</v>
      </c>
      <c r="C270" s="431">
        <v>44531</v>
      </c>
      <c r="D270" s="415" t="s">
        <v>468</v>
      </c>
      <c r="E270" s="415" t="s">
        <v>468</v>
      </c>
      <c r="F270" s="541">
        <v>270</v>
      </c>
      <c r="G270" s="399" t="s">
        <v>2500</v>
      </c>
      <c r="H270" s="415" t="s">
        <v>468</v>
      </c>
      <c r="I270" s="398" t="s">
        <v>764</v>
      </c>
      <c r="J270" s="418" t="s">
        <v>310</v>
      </c>
      <c r="K270" s="418" t="s">
        <v>1220</v>
      </c>
      <c r="L270" s="399" t="s">
        <v>1281</v>
      </c>
      <c r="M270" s="464">
        <v>222007878625</v>
      </c>
      <c r="N270" s="414">
        <v>44571</v>
      </c>
      <c r="O270" s="414" t="s">
        <v>401</v>
      </c>
      <c r="P270" s="222">
        <f t="shared" si="17"/>
        <v>1</v>
      </c>
      <c r="Q270" s="222">
        <f t="shared" si="18"/>
        <v>0</v>
      </c>
      <c r="R270" s="532" t="str">
        <f t="shared" si="19"/>
        <v>Gastos_custeados_por_captação</v>
      </c>
      <c r="S270" s="467" t="s">
        <v>310</v>
      </c>
      <c r="T270" s="467" t="s">
        <v>310</v>
      </c>
      <c r="U270" s="496"/>
      <c r="V270" s="496"/>
      <c r="W270" s="496"/>
    </row>
    <row r="271" spans="1:23" ht="60" x14ac:dyDescent="0.2">
      <c r="A271" s="510">
        <f t="shared" si="16"/>
        <v>268</v>
      </c>
      <c r="B271" s="428">
        <v>44571</v>
      </c>
      <c r="C271" s="431">
        <v>44531</v>
      </c>
      <c r="D271" s="415" t="s">
        <v>468</v>
      </c>
      <c r="E271" s="415" t="s">
        <v>468</v>
      </c>
      <c r="F271" s="541">
        <v>125</v>
      </c>
      <c r="G271" s="399" t="s">
        <v>2501</v>
      </c>
      <c r="H271" s="415" t="s">
        <v>468</v>
      </c>
      <c r="I271" s="398" t="s">
        <v>764</v>
      </c>
      <c r="J271" s="418" t="s">
        <v>310</v>
      </c>
      <c r="K271" s="418" t="s">
        <v>1220</v>
      </c>
      <c r="L271" s="399" t="s">
        <v>1281</v>
      </c>
      <c r="M271" s="464">
        <v>222007878706</v>
      </c>
      <c r="N271" s="414">
        <v>44571</v>
      </c>
      <c r="O271" s="414" t="s">
        <v>401</v>
      </c>
      <c r="P271" s="222">
        <f t="shared" si="17"/>
        <v>1</v>
      </c>
      <c r="Q271" s="222">
        <f t="shared" si="18"/>
        <v>0</v>
      </c>
      <c r="R271" s="532" t="str">
        <f t="shared" si="19"/>
        <v>Gastos_custeados_por_captação</v>
      </c>
      <c r="S271" s="467" t="s">
        <v>310</v>
      </c>
      <c r="T271" s="467" t="s">
        <v>310</v>
      </c>
      <c r="U271" s="496"/>
      <c r="V271" s="496"/>
      <c r="W271" s="496"/>
    </row>
    <row r="272" spans="1:23" ht="60" x14ac:dyDescent="0.2">
      <c r="A272" s="510">
        <f t="shared" si="16"/>
        <v>269</v>
      </c>
      <c r="B272" s="428">
        <v>44571</v>
      </c>
      <c r="C272" s="431">
        <v>44531</v>
      </c>
      <c r="D272" s="415" t="s">
        <v>468</v>
      </c>
      <c r="E272" s="415" t="s">
        <v>468</v>
      </c>
      <c r="F272" s="541">
        <v>110.55</v>
      </c>
      <c r="G272" s="399" t="s">
        <v>2502</v>
      </c>
      <c r="H272" s="415" t="s">
        <v>468</v>
      </c>
      <c r="I272" s="398" t="s">
        <v>764</v>
      </c>
      <c r="J272" s="418" t="s">
        <v>310</v>
      </c>
      <c r="K272" s="418" t="s">
        <v>1220</v>
      </c>
      <c r="L272" s="399" t="s">
        <v>1281</v>
      </c>
      <c r="M272" s="464">
        <v>222007878897</v>
      </c>
      <c r="N272" s="414">
        <v>44571</v>
      </c>
      <c r="O272" s="414" t="s">
        <v>401</v>
      </c>
      <c r="P272" s="222">
        <f t="shared" si="17"/>
        <v>1</v>
      </c>
      <c r="Q272" s="222">
        <f t="shared" si="18"/>
        <v>0</v>
      </c>
      <c r="R272" s="532" t="str">
        <f t="shared" si="19"/>
        <v>Gastos_custeados_por_captação</v>
      </c>
      <c r="S272" s="467" t="s">
        <v>310</v>
      </c>
      <c r="T272" s="467" t="s">
        <v>310</v>
      </c>
      <c r="U272" s="496"/>
      <c r="V272" s="496"/>
      <c r="W272" s="496"/>
    </row>
    <row r="273" spans="1:23" ht="60" x14ac:dyDescent="0.2">
      <c r="A273" s="510">
        <f t="shared" si="16"/>
        <v>270</v>
      </c>
      <c r="B273" s="428">
        <v>44571</v>
      </c>
      <c r="C273" s="431">
        <v>44531</v>
      </c>
      <c r="D273" s="415" t="s">
        <v>468</v>
      </c>
      <c r="E273" s="415" t="s">
        <v>468</v>
      </c>
      <c r="F273" s="541">
        <v>21.11</v>
      </c>
      <c r="G273" s="399" t="s">
        <v>2503</v>
      </c>
      <c r="H273" s="415" t="s">
        <v>468</v>
      </c>
      <c r="I273" s="398" t="s">
        <v>764</v>
      </c>
      <c r="J273" s="418" t="s">
        <v>310</v>
      </c>
      <c r="K273" s="418" t="s">
        <v>1220</v>
      </c>
      <c r="L273" s="399" t="s">
        <v>1281</v>
      </c>
      <c r="M273" s="464">
        <v>222007878978</v>
      </c>
      <c r="N273" s="414">
        <v>44571</v>
      </c>
      <c r="O273" s="414" t="s">
        <v>401</v>
      </c>
      <c r="P273" s="222">
        <f t="shared" si="17"/>
        <v>1</v>
      </c>
      <c r="Q273" s="222">
        <f t="shared" si="18"/>
        <v>0</v>
      </c>
      <c r="R273" s="532" t="str">
        <f t="shared" si="19"/>
        <v>Gastos_custeados_por_captação</v>
      </c>
      <c r="S273" s="467" t="s">
        <v>310</v>
      </c>
      <c r="T273" s="467" t="s">
        <v>310</v>
      </c>
      <c r="U273" s="496"/>
      <c r="V273" s="496"/>
      <c r="W273" s="496"/>
    </row>
    <row r="274" spans="1:23" ht="60" x14ac:dyDescent="0.2">
      <c r="A274" s="510">
        <f t="shared" si="16"/>
        <v>271</v>
      </c>
      <c r="B274" s="428">
        <v>44571</v>
      </c>
      <c r="C274" s="431">
        <v>44531</v>
      </c>
      <c r="D274" s="415" t="s">
        <v>468</v>
      </c>
      <c r="E274" s="415" t="s">
        <v>468</v>
      </c>
      <c r="F274" s="541">
        <v>18.09</v>
      </c>
      <c r="G274" s="399" t="s">
        <v>2504</v>
      </c>
      <c r="H274" s="415" t="s">
        <v>468</v>
      </c>
      <c r="I274" s="398" t="s">
        <v>764</v>
      </c>
      <c r="J274" s="418" t="s">
        <v>310</v>
      </c>
      <c r="K274" s="418" t="s">
        <v>1220</v>
      </c>
      <c r="L274" s="399" t="s">
        <v>1281</v>
      </c>
      <c r="M274" s="464">
        <v>222007879001</v>
      </c>
      <c r="N274" s="414">
        <v>44571</v>
      </c>
      <c r="O274" s="414" t="s">
        <v>401</v>
      </c>
      <c r="P274" s="222">
        <f t="shared" si="17"/>
        <v>1</v>
      </c>
      <c r="Q274" s="222">
        <f t="shared" si="18"/>
        <v>0</v>
      </c>
      <c r="R274" s="532" t="str">
        <f t="shared" si="19"/>
        <v>Gastos_custeados_por_captação</v>
      </c>
      <c r="S274" s="467" t="s">
        <v>310</v>
      </c>
      <c r="T274" s="467" t="s">
        <v>310</v>
      </c>
      <c r="U274" s="496"/>
      <c r="V274" s="496"/>
      <c r="W274" s="496"/>
    </row>
    <row r="275" spans="1:23" ht="60" x14ac:dyDescent="0.2">
      <c r="A275" s="510">
        <f t="shared" si="16"/>
        <v>272</v>
      </c>
      <c r="B275" s="428">
        <v>44571</v>
      </c>
      <c r="C275" s="431">
        <v>44531</v>
      </c>
      <c r="D275" s="415" t="s">
        <v>468</v>
      </c>
      <c r="E275" s="415" t="s">
        <v>468</v>
      </c>
      <c r="F275" s="541">
        <v>80</v>
      </c>
      <c r="G275" s="399" t="s">
        <v>2505</v>
      </c>
      <c r="H275" s="415" t="s">
        <v>468</v>
      </c>
      <c r="I275" s="398" t="s">
        <v>764</v>
      </c>
      <c r="J275" s="418" t="s">
        <v>310</v>
      </c>
      <c r="K275" s="418" t="s">
        <v>1220</v>
      </c>
      <c r="L275" s="399" t="s">
        <v>1281</v>
      </c>
      <c r="M275" s="464">
        <v>222007879192</v>
      </c>
      <c r="N275" s="414">
        <v>44571</v>
      </c>
      <c r="O275" s="414" t="s">
        <v>401</v>
      </c>
      <c r="P275" s="222">
        <f t="shared" si="17"/>
        <v>1</v>
      </c>
      <c r="Q275" s="222">
        <f t="shared" si="18"/>
        <v>0</v>
      </c>
      <c r="R275" s="532" t="str">
        <f t="shared" si="19"/>
        <v>Gastos_custeados_por_captação</v>
      </c>
      <c r="S275" s="467" t="s">
        <v>310</v>
      </c>
      <c r="T275" s="467" t="s">
        <v>310</v>
      </c>
      <c r="U275" s="496"/>
      <c r="V275" s="496"/>
      <c r="W275" s="496"/>
    </row>
    <row r="276" spans="1:23" ht="60" x14ac:dyDescent="0.2">
      <c r="A276" s="510">
        <f t="shared" si="16"/>
        <v>273</v>
      </c>
      <c r="B276" s="428">
        <v>44571</v>
      </c>
      <c r="C276" s="431">
        <v>44531</v>
      </c>
      <c r="D276" s="415" t="s">
        <v>468</v>
      </c>
      <c r="E276" s="415" t="s">
        <v>468</v>
      </c>
      <c r="F276" s="541">
        <v>21.11</v>
      </c>
      <c r="G276" s="399" t="s">
        <v>2506</v>
      </c>
      <c r="H276" s="415" t="s">
        <v>468</v>
      </c>
      <c r="I276" s="398" t="s">
        <v>764</v>
      </c>
      <c r="J276" s="418" t="s">
        <v>310</v>
      </c>
      <c r="K276" s="418" t="s">
        <v>1220</v>
      </c>
      <c r="L276" s="399" t="s">
        <v>1281</v>
      </c>
      <c r="M276" s="464">
        <v>222007879354</v>
      </c>
      <c r="N276" s="414">
        <v>44571</v>
      </c>
      <c r="O276" s="414" t="s">
        <v>401</v>
      </c>
      <c r="P276" s="222">
        <f t="shared" si="17"/>
        <v>1</v>
      </c>
      <c r="Q276" s="222">
        <f t="shared" si="18"/>
        <v>0</v>
      </c>
      <c r="R276" s="532" t="str">
        <f t="shared" si="19"/>
        <v>Gastos_custeados_por_captação</v>
      </c>
      <c r="S276" s="467" t="s">
        <v>310</v>
      </c>
      <c r="T276" s="467" t="s">
        <v>310</v>
      </c>
      <c r="U276" s="496"/>
      <c r="V276" s="496"/>
      <c r="W276" s="496"/>
    </row>
    <row r="277" spans="1:23" ht="60" x14ac:dyDescent="0.2">
      <c r="A277" s="510">
        <f t="shared" si="16"/>
        <v>274</v>
      </c>
      <c r="B277" s="428">
        <v>44571</v>
      </c>
      <c r="C277" s="431">
        <v>44531</v>
      </c>
      <c r="D277" s="415" t="s">
        <v>468</v>
      </c>
      <c r="E277" s="415" t="s">
        <v>468</v>
      </c>
      <c r="F277" s="541">
        <v>55.27</v>
      </c>
      <c r="G277" s="399" t="s">
        <v>2507</v>
      </c>
      <c r="H277" s="415" t="s">
        <v>468</v>
      </c>
      <c r="I277" s="398" t="s">
        <v>764</v>
      </c>
      <c r="J277" s="418" t="s">
        <v>310</v>
      </c>
      <c r="K277" s="418" t="s">
        <v>1220</v>
      </c>
      <c r="L277" s="399" t="s">
        <v>1281</v>
      </c>
      <c r="M277" s="464">
        <v>222007879435</v>
      </c>
      <c r="N277" s="414">
        <v>44571</v>
      </c>
      <c r="O277" s="414" t="s">
        <v>401</v>
      </c>
      <c r="P277" s="222">
        <f t="shared" si="17"/>
        <v>1</v>
      </c>
      <c r="Q277" s="222">
        <f t="shared" si="18"/>
        <v>0</v>
      </c>
      <c r="R277" s="532" t="str">
        <f t="shared" si="19"/>
        <v>Gastos_custeados_por_captação</v>
      </c>
      <c r="S277" s="467" t="s">
        <v>310</v>
      </c>
      <c r="T277" s="467" t="s">
        <v>310</v>
      </c>
      <c r="U277" s="496"/>
      <c r="V277" s="496"/>
      <c r="W277" s="496"/>
    </row>
    <row r="278" spans="1:23" ht="60" x14ac:dyDescent="0.2">
      <c r="A278" s="510">
        <f t="shared" si="16"/>
        <v>275</v>
      </c>
      <c r="B278" s="428">
        <v>44571</v>
      </c>
      <c r="C278" s="431">
        <v>44531</v>
      </c>
      <c r="D278" s="415" t="s">
        <v>468</v>
      </c>
      <c r="E278" s="415" t="s">
        <v>468</v>
      </c>
      <c r="F278" s="541">
        <v>120</v>
      </c>
      <c r="G278" s="399" t="s">
        <v>2508</v>
      </c>
      <c r="H278" s="415" t="s">
        <v>468</v>
      </c>
      <c r="I278" s="398" t="s">
        <v>764</v>
      </c>
      <c r="J278" s="418" t="s">
        <v>310</v>
      </c>
      <c r="K278" s="418" t="s">
        <v>1220</v>
      </c>
      <c r="L278" s="399" t="s">
        <v>1281</v>
      </c>
      <c r="M278" s="464">
        <v>222007879788</v>
      </c>
      <c r="N278" s="414">
        <v>44571</v>
      </c>
      <c r="O278" s="414" t="s">
        <v>401</v>
      </c>
      <c r="P278" s="222">
        <f t="shared" si="17"/>
        <v>1</v>
      </c>
      <c r="Q278" s="222">
        <f t="shared" si="18"/>
        <v>0</v>
      </c>
      <c r="R278" s="532" t="str">
        <f t="shared" si="19"/>
        <v>Gastos_custeados_por_captação</v>
      </c>
      <c r="S278" s="467" t="s">
        <v>310</v>
      </c>
      <c r="T278" s="467" t="s">
        <v>310</v>
      </c>
      <c r="U278" s="496"/>
      <c r="V278" s="496"/>
      <c r="W278" s="496"/>
    </row>
    <row r="279" spans="1:23" ht="72" x14ac:dyDescent="0.2">
      <c r="A279" s="510">
        <f t="shared" si="16"/>
        <v>276</v>
      </c>
      <c r="B279" s="428">
        <v>44571</v>
      </c>
      <c r="C279" s="431">
        <v>44531</v>
      </c>
      <c r="D279" s="415" t="s">
        <v>468</v>
      </c>
      <c r="E279" s="415" t="s">
        <v>468</v>
      </c>
      <c r="F279" s="541">
        <v>153</v>
      </c>
      <c r="G279" s="399" t="s">
        <v>880</v>
      </c>
      <c r="H279" s="415" t="s">
        <v>468</v>
      </c>
      <c r="I279" s="398" t="s">
        <v>881</v>
      </c>
      <c r="J279" s="418" t="s">
        <v>882</v>
      </c>
      <c r="K279" s="418" t="s">
        <v>883</v>
      </c>
      <c r="L279" s="399" t="s">
        <v>798</v>
      </c>
      <c r="M279" s="544" t="s">
        <v>310</v>
      </c>
      <c r="N279" s="414">
        <v>44571</v>
      </c>
      <c r="O279" s="414" t="s">
        <v>402</v>
      </c>
      <c r="P279" s="222">
        <f t="shared" si="17"/>
        <v>1</v>
      </c>
      <c r="Q279" s="222">
        <f t="shared" si="18"/>
        <v>0</v>
      </c>
      <c r="R279" s="532" t="str">
        <f t="shared" si="19"/>
        <v>Gastos_custeados_por_captação</v>
      </c>
      <c r="S279" s="467" t="s">
        <v>310</v>
      </c>
      <c r="T279" s="467" t="s">
        <v>310</v>
      </c>
      <c r="U279" s="496"/>
      <c r="V279" s="496"/>
      <c r="W279" s="496"/>
    </row>
    <row r="280" spans="1:23" ht="72" x14ac:dyDescent="0.2">
      <c r="A280" s="510">
        <f t="shared" si="16"/>
        <v>277</v>
      </c>
      <c r="B280" s="428">
        <v>44571</v>
      </c>
      <c r="C280" s="431">
        <v>44531</v>
      </c>
      <c r="D280" s="415" t="s">
        <v>468</v>
      </c>
      <c r="E280" s="415" t="s">
        <v>468</v>
      </c>
      <c r="F280" s="459">
        <v>11400</v>
      </c>
      <c r="G280" s="399" t="s">
        <v>2753</v>
      </c>
      <c r="H280" s="415" t="s">
        <v>468</v>
      </c>
      <c r="I280" s="460" t="s">
        <v>2747</v>
      </c>
      <c r="J280" s="468" t="s">
        <v>1099</v>
      </c>
      <c r="K280" s="418" t="s">
        <v>830</v>
      </c>
      <c r="L280" s="399" t="s">
        <v>32</v>
      </c>
      <c r="M280" s="464">
        <v>20221</v>
      </c>
      <c r="N280" s="469">
        <v>44571</v>
      </c>
      <c r="O280" s="414" t="s">
        <v>407</v>
      </c>
      <c r="P280" s="222">
        <f t="shared" si="17"/>
        <v>1</v>
      </c>
      <c r="Q280" s="222">
        <f t="shared" si="18"/>
        <v>0</v>
      </c>
      <c r="R280" s="532" t="str">
        <f t="shared" si="19"/>
        <v>Gastos_custeados_por_captação</v>
      </c>
      <c r="S280" s="467" t="s">
        <v>998</v>
      </c>
      <c r="T280" s="467">
        <v>2592</v>
      </c>
      <c r="U280" s="496"/>
      <c r="V280" s="496"/>
      <c r="W280" s="496"/>
    </row>
    <row r="281" spans="1:23" ht="72" x14ac:dyDescent="0.2">
      <c r="A281" s="510">
        <f t="shared" si="16"/>
        <v>278</v>
      </c>
      <c r="B281" s="428">
        <v>44571</v>
      </c>
      <c r="C281" s="431">
        <v>44531</v>
      </c>
      <c r="D281" s="415" t="s">
        <v>468</v>
      </c>
      <c r="E281" s="415" t="s">
        <v>468</v>
      </c>
      <c r="F281" s="459">
        <v>3000</v>
      </c>
      <c r="G281" s="399" t="s">
        <v>2760</v>
      </c>
      <c r="H281" s="415" t="s">
        <v>468</v>
      </c>
      <c r="I281" s="460" t="s">
        <v>2749</v>
      </c>
      <c r="J281" s="468" t="s">
        <v>1105</v>
      </c>
      <c r="K281" s="418" t="s">
        <v>830</v>
      </c>
      <c r="L281" s="399" t="s">
        <v>1372</v>
      </c>
      <c r="M281" s="464">
        <v>2380</v>
      </c>
      <c r="N281" s="469">
        <v>44571</v>
      </c>
      <c r="O281" s="414" t="s">
        <v>407</v>
      </c>
      <c r="P281" s="222">
        <f t="shared" si="17"/>
        <v>1</v>
      </c>
      <c r="Q281" s="222">
        <f t="shared" si="18"/>
        <v>0</v>
      </c>
      <c r="R281" s="532" t="str">
        <f t="shared" si="19"/>
        <v>Gastos_custeados_por_captação</v>
      </c>
      <c r="S281" s="467" t="s">
        <v>998</v>
      </c>
      <c r="T281" s="467">
        <v>2649</v>
      </c>
      <c r="U281" s="496"/>
      <c r="V281" s="496"/>
      <c r="W281" s="496"/>
    </row>
    <row r="282" spans="1:23" ht="72" x14ac:dyDescent="0.2">
      <c r="A282" s="510">
        <f t="shared" si="16"/>
        <v>279</v>
      </c>
      <c r="B282" s="428">
        <v>44571</v>
      </c>
      <c r="C282" s="431">
        <v>44531</v>
      </c>
      <c r="D282" s="415" t="s">
        <v>468</v>
      </c>
      <c r="E282" s="415" t="s">
        <v>468</v>
      </c>
      <c r="F282" s="459">
        <v>3000</v>
      </c>
      <c r="G282" s="399" t="s">
        <v>2761</v>
      </c>
      <c r="H282" s="415" t="s">
        <v>468</v>
      </c>
      <c r="I282" s="460" t="s">
        <v>2750</v>
      </c>
      <c r="J282" s="468" t="s">
        <v>1911</v>
      </c>
      <c r="K282" s="418" t="s">
        <v>830</v>
      </c>
      <c r="L282" s="399" t="s">
        <v>32</v>
      </c>
      <c r="M282" s="464">
        <v>20222</v>
      </c>
      <c r="N282" s="469">
        <v>44571</v>
      </c>
      <c r="O282" s="414" t="s">
        <v>407</v>
      </c>
      <c r="P282" s="222">
        <f t="shared" si="17"/>
        <v>1</v>
      </c>
      <c r="Q282" s="222">
        <f t="shared" si="18"/>
        <v>0</v>
      </c>
      <c r="R282" s="532" t="str">
        <f t="shared" si="19"/>
        <v>Gastos_custeados_por_captação</v>
      </c>
      <c r="S282" s="467" t="s">
        <v>998</v>
      </c>
      <c r="T282" s="467">
        <v>2519</v>
      </c>
      <c r="U282" s="496"/>
      <c r="V282" s="496"/>
      <c r="W282" s="496"/>
    </row>
    <row r="283" spans="1:23" ht="72" x14ac:dyDescent="0.2">
      <c r="A283" s="510">
        <f t="shared" si="16"/>
        <v>280</v>
      </c>
      <c r="B283" s="428">
        <v>44571</v>
      </c>
      <c r="C283" s="431">
        <v>44531</v>
      </c>
      <c r="D283" s="415" t="s">
        <v>468</v>
      </c>
      <c r="E283" s="415" t="s">
        <v>468</v>
      </c>
      <c r="F283" s="459">
        <v>52.15</v>
      </c>
      <c r="G283" s="399" t="s">
        <v>2737</v>
      </c>
      <c r="H283" s="415" t="s">
        <v>468</v>
      </c>
      <c r="I283" s="460" t="s">
        <v>2752</v>
      </c>
      <c r="J283" s="418" t="s">
        <v>310</v>
      </c>
      <c r="K283" s="418" t="s">
        <v>1220</v>
      </c>
      <c r="L283" s="399" t="s">
        <v>1281</v>
      </c>
      <c r="M283" s="464">
        <v>222007874980</v>
      </c>
      <c r="N283" s="469">
        <v>44571</v>
      </c>
      <c r="O283" s="414" t="s">
        <v>407</v>
      </c>
      <c r="P283" s="222">
        <f t="shared" si="17"/>
        <v>1</v>
      </c>
      <c r="Q283" s="222">
        <f t="shared" si="18"/>
        <v>0</v>
      </c>
      <c r="R283" s="532" t="str">
        <f t="shared" si="19"/>
        <v>Gastos_custeados_por_captação</v>
      </c>
      <c r="S283" s="467" t="s">
        <v>310</v>
      </c>
      <c r="T283" s="467" t="s">
        <v>310</v>
      </c>
      <c r="U283" s="496"/>
      <c r="V283" s="496"/>
      <c r="W283" s="496"/>
    </row>
    <row r="284" spans="1:23" ht="72" x14ac:dyDescent="0.2">
      <c r="A284" s="510">
        <f t="shared" si="16"/>
        <v>281</v>
      </c>
      <c r="B284" s="428">
        <v>44571</v>
      </c>
      <c r="C284" s="431">
        <v>44531</v>
      </c>
      <c r="D284" s="415" t="s">
        <v>468</v>
      </c>
      <c r="E284" s="415" t="s">
        <v>468</v>
      </c>
      <c r="F284" s="459">
        <v>52.15</v>
      </c>
      <c r="G284" s="399" t="s">
        <v>2738</v>
      </c>
      <c r="H284" s="415" t="s">
        <v>468</v>
      </c>
      <c r="I284" s="460" t="s">
        <v>2752</v>
      </c>
      <c r="J284" s="418" t="s">
        <v>310</v>
      </c>
      <c r="K284" s="418" t="s">
        <v>1220</v>
      </c>
      <c r="L284" s="399" t="s">
        <v>1281</v>
      </c>
      <c r="M284" s="464">
        <v>222007875103</v>
      </c>
      <c r="N284" s="469">
        <v>44571</v>
      </c>
      <c r="O284" s="414" t="s">
        <v>407</v>
      </c>
      <c r="P284" s="222">
        <f t="shared" si="17"/>
        <v>1</v>
      </c>
      <c r="Q284" s="222">
        <f t="shared" si="18"/>
        <v>0</v>
      </c>
      <c r="R284" s="532" t="str">
        <f t="shared" si="19"/>
        <v>Gastos_custeados_por_captação</v>
      </c>
      <c r="S284" s="467" t="s">
        <v>310</v>
      </c>
      <c r="T284" s="467" t="s">
        <v>310</v>
      </c>
      <c r="U284" s="496"/>
      <c r="V284" s="496"/>
      <c r="W284" s="496"/>
    </row>
    <row r="285" spans="1:23" ht="72" x14ac:dyDescent="0.2">
      <c r="A285" s="510">
        <f t="shared" si="16"/>
        <v>282</v>
      </c>
      <c r="B285" s="428">
        <v>44571</v>
      </c>
      <c r="C285" s="431">
        <v>44531</v>
      </c>
      <c r="D285" s="415" t="s">
        <v>468</v>
      </c>
      <c r="E285" s="415" t="s">
        <v>468</v>
      </c>
      <c r="F285" s="459">
        <v>52.15</v>
      </c>
      <c r="G285" s="399" t="s">
        <v>2739</v>
      </c>
      <c r="H285" s="415" t="s">
        <v>468</v>
      </c>
      <c r="I285" s="460" t="s">
        <v>2752</v>
      </c>
      <c r="J285" s="418" t="s">
        <v>310</v>
      </c>
      <c r="K285" s="418" t="s">
        <v>1220</v>
      </c>
      <c r="L285" s="399" t="s">
        <v>1281</v>
      </c>
      <c r="M285" s="464">
        <v>222007875367</v>
      </c>
      <c r="N285" s="469">
        <v>44571</v>
      </c>
      <c r="O285" s="414" t="s">
        <v>407</v>
      </c>
      <c r="P285" s="222">
        <f t="shared" si="17"/>
        <v>1</v>
      </c>
      <c r="Q285" s="222">
        <f t="shared" si="18"/>
        <v>0</v>
      </c>
      <c r="R285" s="532" t="str">
        <f t="shared" si="19"/>
        <v>Gastos_custeados_por_captação</v>
      </c>
      <c r="S285" s="467" t="s">
        <v>310</v>
      </c>
      <c r="T285" s="467" t="s">
        <v>310</v>
      </c>
      <c r="U285" s="496"/>
      <c r="V285" s="496"/>
      <c r="W285" s="496"/>
    </row>
    <row r="286" spans="1:23" ht="72" x14ac:dyDescent="0.2">
      <c r="A286" s="510">
        <f t="shared" si="16"/>
        <v>283</v>
      </c>
      <c r="B286" s="428">
        <v>44571</v>
      </c>
      <c r="C286" s="431">
        <v>44531</v>
      </c>
      <c r="D286" s="415" t="s">
        <v>468</v>
      </c>
      <c r="E286" s="415" t="s">
        <v>468</v>
      </c>
      <c r="F286" s="459">
        <v>52.15</v>
      </c>
      <c r="G286" s="399" t="s">
        <v>2740</v>
      </c>
      <c r="H286" s="415" t="s">
        <v>468</v>
      </c>
      <c r="I286" s="460" t="s">
        <v>2752</v>
      </c>
      <c r="J286" s="418" t="s">
        <v>310</v>
      </c>
      <c r="K286" s="418" t="s">
        <v>1220</v>
      </c>
      <c r="L286" s="399" t="s">
        <v>1281</v>
      </c>
      <c r="M286" s="464">
        <v>222007875790</v>
      </c>
      <c r="N286" s="469">
        <v>44571</v>
      </c>
      <c r="O286" s="414" t="s">
        <v>407</v>
      </c>
      <c r="P286" s="222">
        <f t="shared" si="17"/>
        <v>1</v>
      </c>
      <c r="Q286" s="222">
        <f t="shared" si="18"/>
        <v>0</v>
      </c>
      <c r="R286" s="532" t="str">
        <f t="shared" si="19"/>
        <v>Gastos_custeados_por_captação</v>
      </c>
      <c r="S286" s="467" t="s">
        <v>310</v>
      </c>
      <c r="T286" s="467" t="s">
        <v>310</v>
      </c>
      <c r="U286" s="496"/>
      <c r="V286" s="496"/>
      <c r="W286" s="496"/>
    </row>
    <row r="287" spans="1:23" ht="72" x14ac:dyDescent="0.2">
      <c r="A287" s="510">
        <f t="shared" si="16"/>
        <v>284</v>
      </c>
      <c r="B287" s="428">
        <v>44571</v>
      </c>
      <c r="C287" s="431">
        <v>44531</v>
      </c>
      <c r="D287" s="415" t="s">
        <v>468</v>
      </c>
      <c r="E287" s="415" t="s">
        <v>468</v>
      </c>
      <c r="F287" s="459">
        <v>52.15</v>
      </c>
      <c r="G287" s="399" t="s">
        <v>2741</v>
      </c>
      <c r="H287" s="415" t="s">
        <v>468</v>
      </c>
      <c r="I287" s="460" t="s">
        <v>2752</v>
      </c>
      <c r="J287" s="418" t="s">
        <v>310</v>
      </c>
      <c r="K287" s="418" t="s">
        <v>1220</v>
      </c>
      <c r="L287" s="399" t="s">
        <v>1281</v>
      </c>
      <c r="M287" s="464">
        <v>222007875952</v>
      </c>
      <c r="N287" s="469">
        <v>44571</v>
      </c>
      <c r="O287" s="414" t="s">
        <v>407</v>
      </c>
      <c r="P287" s="222">
        <f t="shared" si="17"/>
        <v>1</v>
      </c>
      <c r="Q287" s="222">
        <f t="shared" si="18"/>
        <v>0</v>
      </c>
      <c r="R287" s="532" t="str">
        <f t="shared" si="19"/>
        <v>Gastos_custeados_por_captação</v>
      </c>
      <c r="S287" s="467" t="s">
        <v>310</v>
      </c>
      <c r="T287" s="467" t="s">
        <v>310</v>
      </c>
      <c r="U287" s="496"/>
      <c r="V287" s="496"/>
      <c r="W287" s="496"/>
    </row>
    <row r="288" spans="1:23" ht="72" x14ac:dyDescent="0.2">
      <c r="A288" s="510">
        <f t="shared" si="16"/>
        <v>285</v>
      </c>
      <c r="B288" s="428">
        <v>44571</v>
      </c>
      <c r="C288" s="431">
        <v>44531</v>
      </c>
      <c r="D288" s="415" t="s">
        <v>468</v>
      </c>
      <c r="E288" s="415" t="s">
        <v>468</v>
      </c>
      <c r="F288" s="459">
        <v>52.15</v>
      </c>
      <c r="G288" s="399" t="s">
        <v>2742</v>
      </c>
      <c r="H288" s="415" t="s">
        <v>468</v>
      </c>
      <c r="I288" s="460" t="s">
        <v>2752</v>
      </c>
      <c r="J288" s="418" t="s">
        <v>310</v>
      </c>
      <c r="K288" s="418" t="s">
        <v>1220</v>
      </c>
      <c r="L288" s="399" t="s">
        <v>1281</v>
      </c>
      <c r="M288" s="464">
        <v>222007876096</v>
      </c>
      <c r="N288" s="469">
        <v>44571</v>
      </c>
      <c r="O288" s="414" t="s">
        <v>407</v>
      </c>
      <c r="P288" s="222">
        <f t="shared" si="17"/>
        <v>1</v>
      </c>
      <c r="Q288" s="222">
        <f t="shared" si="18"/>
        <v>0</v>
      </c>
      <c r="R288" s="532" t="str">
        <f t="shared" si="19"/>
        <v>Gastos_custeados_por_captação</v>
      </c>
      <c r="S288" s="467" t="s">
        <v>310</v>
      </c>
      <c r="T288" s="467" t="s">
        <v>310</v>
      </c>
      <c r="U288" s="496"/>
      <c r="V288" s="496"/>
      <c r="W288" s="496"/>
    </row>
    <row r="289" spans="1:23" ht="72" x14ac:dyDescent="0.2">
      <c r="A289" s="510">
        <f t="shared" si="16"/>
        <v>286</v>
      </c>
      <c r="B289" s="428">
        <v>44571</v>
      </c>
      <c r="C289" s="431">
        <v>44531</v>
      </c>
      <c r="D289" s="415" t="s">
        <v>468</v>
      </c>
      <c r="E289" s="415" t="s">
        <v>468</v>
      </c>
      <c r="F289" s="459">
        <v>52.15</v>
      </c>
      <c r="G289" s="399" t="s">
        <v>2743</v>
      </c>
      <c r="H289" s="415" t="s">
        <v>468</v>
      </c>
      <c r="I289" s="460" t="s">
        <v>2752</v>
      </c>
      <c r="J289" s="418" t="s">
        <v>310</v>
      </c>
      <c r="K289" s="418" t="s">
        <v>1220</v>
      </c>
      <c r="L289" s="399" t="s">
        <v>1281</v>
      </c>
      <c r="M289" s="464">
        <v>222007876177</v>
      </c>
      <c r="N289" s="469">
        <v>44571</v>
      </c>
      <c r="O289" s="414" t="s">
        <v>407</v>
      </c>
      <c r="P289" s="222">
        <f t="shared" si="17"/>
        <v>1</v>
      </c>
      <c r="Q289" s="222">
        <f t="shared" si="18"/>
        <v>0</v>
      </c>
      <c r="R289" s="532" t="str">
        <f t="shared" si="19"/>
        <v>Gastos_custeados_por_captação</v>
      </c>
      <c r="S289" s="467" t="s">
        <v>310</v>
      </c>
      <c r="T289" s="467" t="s">
        <v>310</v>
      </c>
      <c r="U289" s="496"/>
      <c r="V289" s="496"/>
      <c r="W289" s="496"/>
    </row>
    <row r="290" spans="1:23" ht="72" x14ac:dyDescent="0.2">
      <c r="A290" s="510">
        <f t="shared" si="16"/>
        <v>287</v>
      </c>
      <c r="B290" s="428">
        <v>44571</v>
      </c>
      <c r="C290" s="431">
        <v>44531</v>
      </c>
      <c r="D290" s="415" t="s">
        <v>468</v>
      </c>
      <c r="E290" s="415" t="s">
        <v>468</v>
      </c>
      <c r="F290" s="459">
        <v>52.15</v>
      </c>
      <c r="G290" s="399" t="s">
        <v>2744</v>
      </c>
      <c r="H290" s="415" t="s">
        <v>468</v>
      </c>
      <c r="I290" s="460" t="s">
        <v>2752</v>
      </c>
      <c r="J290" s="418" t="s">
        <v>310</v>
      </c>
      <c r="K290" s="418" t="s">
        <v>1220</v>
      </c>
      <c r="L290" s="399" t="s">
        <v>1281</v>
      </c>
      <c r="M290" s="464">
        <v>222007876258</v>
      </c>
      <c r="N290" s="469">
        <v>44571</v>
      </c>
      <c r="O290" s="414" t="s">
        <v>407</v>
      </c>
      <c r="P290" s="222">
        <f t="shared" si="17"/>
        <v>1</v>
      </c>
      <c r="Q290" s="222">
        <f t="shared" si="18"/>
        <v>0</v>
      </c>
      <c r="R290" s="532" t="str">
        <f t="shared" si="19"/>
        <v>Gastos_custeados_por_captação</v>
      </c>
      <c r="S290" s="467" t="s">
        <v>310</v>
      </c>
      <c r="T290" s="467" t="s">
        <v>310</v>
      </c>
      <c r="U290" s="496"/>
      <c r="V290" s="496"/>
      <c r="W290" s="496"/>
    </row>
    <row r="291" spans="1:23" ht="72" x14ac:dyDescent="0.2">
      <c r="A291" s="510">
        <f t="shared" si="16"/>
        <v>288</v>
      </c>
      <c r="B291" s="428">
        <v>44571</v>
      </c>
      <c r="C291" s="431">
        <v>44531</v>
      </c>
      <c r="D291" s="415" t="s">
        <v>468</v>
      </c>
      <c r="E291" s="415" t="s">
        <v>468</v>
      </c>
      <c r="F291" s="459">
        <v>52.15</v>
      </c>
      <c r="G291" s="399" t="s">
        <v>2745</v>
      </c>
      <c r="H291" s="415" t="s">
        <v>468</v>
      </c>
      <c r="I291" s="460" t="s">
        <v>2752</v>
      </c>
      <c r="J291" s="418" t="s">
        <v>310</v>
      </c>
      <c r="K291" s="418" t="s">
        <v>1220</v>
      </c>
      <c r="L291" s="399" t="s">
        <v>1281</v>
      </c>
      <c r="M291" s="464">
        <v>222007876339</v>
      </c>
      <c r="N291" s="469">
        <v>44571</v>
      </c>
      <c r="O291" s="414" t="s">
        <v>407</v>
      </c>
      <c r="P291" s="222">
        <f t="shared" si="17"/>
        <v>1</v>
      </c>
      <c r="Q291" s="222">
        <f t="shared" si="18"/>
        <v>0</v>
      </c>
      <c r="R291" s="532" t="str">
        <f t="shared" si="19"/>
        <v>Gastos_custeados_por_captação</v>
      </c>
      <c r="S291" s="467" t="s">
        <v>310</v>
      </c>
      <c r="T291" s="467" t="s">
        <v>310</v>
      </c>
      <c r="U291" s="496"/>
      <c r="V291" s="496"/>
      <c r="W291" s="496"/>
    </row>
    <row r="292" spans="1:23" ht="72" x14ac:dyDescent="0.2">
      <c r="A292" s="510">
        <f t="shared" si="16"/>
        <v>289</v>
      </c>
      <c r="B292" s="428">
        <v>44571</v>
      </c>
      <c r="C292" s="431">
        <v>44531</v>
      </c>
      <c r="D292" s="415" t="s">
        <v>468</v>
      </c>
      <c r="E292" s="415" t="s">
        <v>468</v>
      </c>
      <c r="F292" s="459">
        <v>52.15</v>
      </c>
      <c r="G292" s="399" t="s">
        <v>2746</v>
      </c>
      <c r="H292" s="415" t="s">
        <v>468</v>
      </c>
      <c r="I292" s="460" t="s">
        <v>2752</v>
      </c>
      <c r="J292" s="418" t="s">
        <v>310</v>
      </c>
      <c r="K292" s="418" t="s">
        <v>1220</v>
      </c>
      <c r="L292" s="399" t="s">
        <v>1281</v>
      </c>
      <c r="M292" s="464">
        <v>222007876410</v>
      </c>
      <c r="N292" s="469">
        <v>44571</v>
      </c>
      <c r="O292" s="414" t="s">
        <v>407</v>
      </c>
      <c r="P292" s="222">
        <f t="shared" si="17"/>
        <v>1</v>
      </c>
      <c r="Q292" s="222">
        <f t="shared" si="18"/>
        <v>0</v>
      </c>
      <c r="R292" s="532" t="str">
        <f t="shared" si="19"/>
        <v>Gastos_custeados_por_captação</v>
      </c>
      <c r="S292" s="467" t="s">
        <v>310</v>
      </c>
      <c r="T292" s="467" t="s">
        <v>310</v>
      </c>
      <c r="U292" s="496"/>
      <c r="V292" s="496"/>
      <c r="W292" s="496"/>
    </row>
    <row r="293" spans="1:23" ht="60" x14ac:dyDescent="0.2">
      <c r="A293" s="510">
        <f t="shared" si="16"/>
        <v>290</v>
      </c>
      <c r="B293" s="428">
        <v>44571</v>
      </c>
      <c r="C293" s="431">
        <v>44531</v>
      </c>
      <c r="D293" s="415" t="s">
        <v>271</v>
      </c>
      <c r="E293" s="415" t="s">
        <v>453</v>
      </c>
      <c r="F293" s="425">
        <v>1998.6</v>
      </c>
      <c r="G293" s="427" t="s">
        <v>607</v>
      </c>
      <c r="H293" s="415" t="s">
        <v>752</v>
      </c>
      <c r="I293" s="473" t="s">
        <v>1267</v>
      </c>
      <c r="J293" s="415" t="s">
        <v>1059</v>
      </c>
      <c r="K293" s="415" t="s">
        <v>806</v>
      </c>
      <c r="L293" s="415" t="s">
        <v>839</v>
      </c>
      <c r="M293" s="415">
        <v>1529</v>
      </c>
      <c r="N293" s="414">
        <v>44568</v>
      </c>
      <c r="O293" s="414" t="s">
        <v>400</v>
      </c>
      <c r="P293" s="222">
        <f t="shared" si="17"/>
        <v>1</v>
      </c>
      <c r="Q293" s="222">
        <f t="shared" si="18"/>
        <v>0</v>
      </c>
      <c r="R293" s="532" t="str">
        <f t="shared" si="19"/>
        <v>Gastos_Gerais</v>
      </c>
      <c r="S293" s="467" t="s">
        <v>1000</v>
      </c>
      <c r="T293" s="467">
        <v>2550</v>
      </c>
      <c r="U293" s="496"/>
      <c r="V293" s="496"/>
      <c r="W293" s="496"/>
    </row>
    <row r="294" spans="1:23" ht="72" x14ac:dyDescent="0.2">
      <c r="A294" s="510">
        <f t="shared" si="16"/>
        <v>291</v>
      </c>
      <c r="B294" s="428">
        <v>44571</v>
      </c>
      <c r="C294" s="424">
        <v>44531</v>
      </c>
      <c r="D294" s="415" t="s">
        <v>271</v>
      </c>
      <c r="E294" s="415" t="s">
        <v>442</v>
      </c>
      <c r="F294" s="425">
        <v>2231</v>
      </c>
      <c r="G294" s="427" t="s">
        <v>650</v>
      </c>
      <c r="H294" s="415" t="s">
        <v>755</v>
      </c>
      <c r="I294" s="473" t="s">
        <v>1278</v>
      </c>
      <c r="J294" s="545" t="s">
        <v>1075</v>
      </c>
      <c r="K294" s="415" t="s">
        <v>830</v>
      </c>
      <c r="L294" s="415" t="s">
        <v>807</v>
      </c>
      <c r="M294" s="415" t="s">
        <v>848</v>
      </c>
      <c r="N294" s="414">
        <v>44568</v>
      </c>
      <c r="O294" s="414" t="s">
        <v>400</v>
      </c>
      <c r="P294" s="222">
        <f t="shared" si="17"/>
        <v>1</v>
      </c>
      <c r="Q294" s="222">
        <f t="shared" si="18"/>
        <v>0</v>
      </c>
      <c r="R294" s="532" t="str">
        <f t="shared" si="19"/>
        <v>Gastos_Gerais</v>
      </c>
      <c r="S294" s="467" t="s">
        <v>1000</v>
      </c>
      <c r="T294" s="467">
        <v>2678</v>
      </c>
      <c r="U294" s="496"/>
      <c r="V294" s="496"/>
      <c r="W294" s="496"/>
    </row>
    <row r="295" spans="1:23" ht="48" x14ac:dyDescent="0.2">
      <c r="A295" s="510">
        <f t="shared" si="16"/>
        <v>292</v>
      </c>
      <c r="B295" s="428">
        <v>44571</v>
      </c>
      <c r="C295" s="431">
        <v>44531</v>
      </c>
      <c r="D295" s="415" t="s">
        <v>468</v>
      </c>
      <c r="E295" s="415" t="s">
        <v>468</v>
      </c>
      <c r="F295" s="425">
        <v>950</v>
      </c>
      <c r="G295" s="427" t="s">
        <v>689</v>
      </c>
      <c r="H295" s="415" t="s">
        <v>468</v>
      </c>
      <c r="I295" s="398" t="s">
        <v>2409</v>
      </c>
      <c r="J295" s="418" t="s">
        <v>2410</v>
      </c>
      <c r="K295" s="418" t="s">
        <v>830</v>
      </c>
      <c r="L295" s="399" t="s">
        <v>807</v>
      </c>
      <c r="M295" s="415" t="s">
        <v>842</v>
      </c>
      <c r="N295" s="414">
        <v>44568</v>
      </c>
      <c r="O295" s="414" t="s">
        <v>408</v>
      </c>
      <c r="P295" s="222">
        <f t="shared" si="17"/>
        <v>1</v>
      </c>
      <c r="Q295" s="222">
        <f t="shared" si="18"/>
        <v>0</v>
      </c>
      <c r="R295" s="532" t="str">
        <f t="shared" si="19"/>
        <v>Gastos_custeados_por_captação</v>
      </c>
      <c r="S295" s="467" t="s">
        <v>998</v>
      </c>
      <c r="T295" s="467">
        <v>2240</v>
      </c>
      <c r="U295" s="496"/>
      <c r="V295" s="496"/>
      <c r="W295" s="496"/>
    </row>
    <row r="296" spans="1:23" ht="84" x14ac:dyDescent="0.2">
      <c r="A296" s="510">
        <f t="shared" si="16"/>
        <v>293</v>
      </c>
      <c r="B296" s="428">
        <v>44571</v>
      </c>
      <c r="C296" s="431">
        <v>44531</v>
      </c>
      <c r="D296" s="415" t="s">
        <v>468</v>
      </c>
      <c r="E296" s="415" t="s">
        <v>468</v>
      </c>
      <c r="F296" s="541">
        <v>2694.72</v>
      </c>
      <c r="G296" s="399" t="s">
        <v>2509</v>
      </c>
      <c r="H296" s="415" t="s">
        <v>468</v>
      </c>
      <c r="I296" s="398" t="s">
        <v>2510</v>
      </c>
      <c r="J296" s="418" t="s">
        <v>1025</v>
      </c>
      <c r="K296" s="418" t="s">
        <v>830</v>
      </c>
      <c r="L296" s="399" t="s">
        <v>807</v>
      </c>
      <c r="M296" s="415" t="s">
        <v>848</v>
      </c>
      <c r="N296" s="414">
        <v>44568</v>
      </c>
      <c r="O296" s="414" t="s">
        <v>401</v>
      </c>
      <c r="P296" s="222">
        <f t="shared" si="17"/>
        <v>1</v>
      </c>
      <c r="Q296" s="222">
        <f t="shared" si="18"/>
        <v>0</v>
      </c>
      <c r="R296" s="532" t="str">
        <f t="shared" si="19"/>
        <v>Gastos_custeados_por_captação</v>
      </c>
      <c r="S296" s="467" t="s">
        <v>998</v>
      </c>
      <c r="T296" s="467">
        <v>1338</v>
      </c>
      <c r="U296" s="496"/>
      <c r="V296" s="496"/>
      <c r="W296" s="496"/>
    </row>
    <row r="297" spans="1:23" ht="60" x14ac:dyDescent="0.2">
      <c r="A297" s="510">
        <f t="shared" si="16"/>
        <v>294</v>
      </c>
      <c r="B297" s="428">
        <v>44571</v>
      </c>
      <c r="C297" s="431">
        <v>44531</v>
      </c>
      <c r="D297" s="415" t="s">
        <v>468</v>
      </c>
      <c r="E297" s="415" t="s">
        <v>468</v>
      </c>
      <c r="F297" s="541">
        <v>1502.19</v>
      </c>
      <c r="G297" s="399" t="s">
        <v>2511</v>
      </c>
      <c r="H297" s="415" t="s">
        <v>468</v>
      </c>
      <c r="I297" s="398" t="s">
        <v>2512</v>
      </c>
      <c r="J297" s="418" t="s">
        <v>1026</v>
      </c>
      <c r="K297" s="418" t="s">
        <v>830</v>
      </c>
      <c r="L297" s="399" t="s">
        <v>807</v>
      </c>
      <c r="M297" s="415" t="s">
        <v>848</v>
      </c>
      <c r="N297" s="414">
        <v>44568</v>
      </c>
      <c r="O297" s="414" t="s">
        <v>401</v>
      </c>
      <c r="P297" s="222">
        <f t="shared" si="17"/>
        <v>1</v>
      </c>
      <c r="Q297" s="222">
        <f t="shared" si="18"/>
        <v>0</v>
      </c>
      <c r="R297" s="532" t="str">
        <f t="shared" si="19"/>
        <v>Gastos_custeados_por_captação</v>
      </c>
      <c r="S297" s="467" t="s">
        <v>998</v>
      </c>
      <c r="T297" s="467">
        <v>1434</v>
      </c>
      <c r="U297" s="496"/>
      <c r="V297" s="496"/>
      <c r="W297" s="496"/>
    </row>
    <row r="298" spans="1:23" ht="72" x14ac:dyDescent="0.2">
      <c r="A298" s="510">
        <f t="shared" si="16"/>
        <v>295</v>
      </c>
      <c r="B298" s="428">
        <v>44571</v>
      </c>
      <c r="C298" s="431">
        <v>44501</v>
      </c>
      <c r="D298" s="415" t="s">
        <v>468</v>
      </c>
      <c r="E298" s="415" t="s">
        <v>468</v>
      </c>
      <c r="F298" s="541">
        <v>970</v>
      </c>
      <c r="G298" s="399" t="s">
        <v>2615</v>
      </c>
      <c r="H298" s="415" t="s">
        <v>468</v>
      </c>
      <c r="I298" s="398" t="s">
        <v>2616</v>
      </c>
      <c r="J298" s="418" t="s">
        <v>2617</v>
      </c>
      <c r="K298" s="418" t="s">
        <v>830</v>
      </c>
      <c r="L298" s="399" t="s">
        <v>807</v>
      </c>
      <c r="M298" s="544">
        <v>45</v>
      </c>
      <c r="N298" s="414">
        <v>44568</v>
      </c>
      <c r="O298" s="414" t="s">
        <v>402</v>
      </c>
      <c r="P298" s="222">
        <f t="shared" si="17"/>
        <v>1</v>
      </c>
      <c r="Q298" s="222">
        <f t="shared" si="18"/>
        <v>-1</v>
      </c>
      <c r="R298" s="532" t="str">
        <f t="shared" si="19"/>
        <v>Gastos_custeados_por_captação</v>
      </c>
      <c r="S298" s="467" t="s">
        <v>998</v>
      </c>
      <c r="T298" s="467">
        <v>2444</v>
      </c>
      <c r="U298" s="496"/>
      <c r="V298" s="496"/>
      <c r="W298" s="496"/>
    </row>
    <row r="299" spans="1:23" ht="72" x14ac:dyDescent="0.2">
      <c r="A299" s="510">
        <f t="shared" si="16"/>
        <v>296</v>
      </c>
      <c r="B299" s="428">
        <v>44571</v>
      </c>
      <c r="C299" s="431">
        <v>44531</v>
      </c>
      <c r="D299" s="415" t="s">
        <v>468</v>
      </c>
      <c r="E299" s="415" t="s">
        <v>468</v>
      </c>
      <c r="F299" s="459">
        <v>1259.9100000000001</v>
      </c>
      <c r="G299" s="399" t="s">
        <v>2758</v>
      </c>
      <c r="H299" s="415" t="s">
        <v>468</v>
      </c>
      <c r="I299" s="460" t="s">
        <v>780</v>
      </c>
      <c r="J299" s="468" t="s">
        <v>1051</v>
      </c>
      <c r="K299" s="418" t="s">
        <v>830</v>
      </c>
      <c r="L299" s="399" t="s">
        <v>32</v>
      </c>
      <c r="M299" s="464">
        <v>20226</v>
      </c>
      <c r="N299" s="469">
        <v>44568</v>
      </c>
      <c r="O299" s="414" t="s">
        <v>407</v>
      </c>
      <c r="P299" s="222">
        <f t="shared" si="17"/>
        <v>1</v>
      </c>
      <c r="Q299" s="222">
        <f t="shared" si="18"/>
        <v>0</v>
      </c>
      <c r="R299" s="532" t="str">
        <f t="shared" si="19"/>
        <v>Gastos_custeados_por_captação</v>
      </c>
      <c r="S299" s="467" t="s">
        <v>1000</v>
      </c>
      <c r="T299" s="467">
        <v>2225</v>
      </c>
      <c r="U299" s="496"/>
      <c r="V299" s="496"/>
      <c r="W299" s="496"/>
    </row>
    <row r="300" spans="1:23" ht="72" x14ac:dyDescent="0.2">
      <c r="A300" s="510">
        <f t="shared" si="16"/>
        <v>297</v>
      </c>
      <c r="B300" s="428">
        <v>44571</v>
      </c>
      <c r="C300" s="431">
        <v>44531</v>
      </c>
      <c r="D300" s="415" t="s">
        <v>468</v>
      </c>
      <c r="E300" s="415" t="s">
        <v>468</v>
      </c>
      <c r="F300" s="459">
        <v>972.9</v>
      </c>
      <c r="G300" s="399" t="s">
        <v>2757</v>
      </c>
      <c r="H300" s="415" t="s">
        <v>468</v>
      </c>
      <c r="I300" s="460" t="s">
        <v>780</v>
      </c>
      <c r="J300" s="468" t="s">
        <v>1051</v>
      </c>
      <c r="K300" s="418" t="s">
        <v>830</v>
      </c>
      <c r="L300" s="399" t="s">
        <v>32</v>
      </c>
      <c r="M300" s="464">
        <v>20225</v>
      </c>
      <c r="N300" s="469">
        <v>44568</v>
      </c>
      <c r="O300" s="414" t="s">
        <v>407</v>
      </c>
      <c r="P300" s="222">
        <f t="shared" si="17"/>
        <v>1</v>
      </c>
      <c r="Q300" s="222">
        <f t="shared" si="18"/>
        <v>0</v>
      </c>
      <c r="R300" s="532" t="str">
        <f t="shared" si="19"/>
        <v>Gastos_custeados_por_captação</v>
      </c>
      <c r="S300" s="467" t="s">
        <v>1000</v>
      </c>
      <c r="T300" s="467">
        <v>2225</v>
      </c>
      <c r="U300" s="496"/>
      <c r="V300" s="496"/>
      <c r="W300" s="496"/>
    </row>
    <row r="301" spans="1:23" ht="72" x14ac:dyDescent="0.2">
      <c r="A301" s="510">
        <f t="shared" si="16"/>
        <v>298</v>
      </c>
      <c r="B301" s="428">
        <v>44571</v>
      </c>
      <c r="C301" s="431">
        <v>44531</v>
      </c>
      <c r="D301" s="415" t="s">
        <v>468</v>
      </c>
      <c r="E301" s="415" t="s">
        <v>468</v>
      </c>
      <c r="F301" s="459">
        <v>238.17</v>
      </c>
      <c r="G301" s="399" t="s">
        <v>2756</v>
      </c>
      <c r="H301" s="415" t="s">
        <v>468</v>
      </c>
      <c r="I301" s="460" t="s">
        <v>780</v>
      </c>
      <c r="J301" s="468" t="s">
        <v>1051</v>
      </c>
      <c r="K301" s="418" t="s">
        <v>830</v>
      </c>
      <c r="L301" s="399" t="s">
        <v>32</v>
      </c>
      <c r="M301" s="464">
        <v>20227</v>
      </c>
      <c r="N301" s="469">
        <v>44568</v>
      </c>
      <c r="O301" s="414" t="s">
        <v>407</v>
      </c>
      <c r="P301" s="222">
        <f t="shared" si="17"/>
        <v>1</v>
      </c>
      <c r="Q301" s="222">
        <f t="shared" si="18"/>
        <v>0</v>
      </c>
      <c r="R301" s="532" t="str">
        <f t="shared" si="19"/>
        <v>Gastos_custeados_por_captação</v>
      </c>
      <c r="S301" s="467" t="s">
        <v>998</v>
      </c>
      <c r="T301" s="467">
        <v>2225</v>
      </c>
      <c r="U301" s="496"/>
      <c r="V301" s="496"/>
      <c r="W301" s="496"/>
    </row>
    <row r="302" spans="1:23" ht="72" x14ac:dyDescent="0.2">
      <c r="A302" s="510">
        <f t="shared" si="16"/>
        <v>299</v>
      </c>
      <c r="B302" s="428">
        <v>44571</v>
      </c>
      <c r="C302" s="431">
        <v>44531</v>
      </c>
      <c r="D302" s="415" t="s">
        <v>468</v>
      </c>
      <c r="E302" s="415" t="s">
        <v>468</v>
      </c>
      <c r="F302" s="459">
        <v>22268.6</v>
      </c>
      <c r="G302" s="399" t="s">
        <v>2759</v>
      </c>
      <c r="H302" s="415" t="s">
        <v>468</v>
      </c>
      <c r="I302" s="460" t="s">
        <v>2748</v>
      </c>
      <c r="J302" s="468" t="s">
        <v>1102</v>
      </c>
      <c r="K302" s="418" t="s">
        <v>830</v>
      </c>
      <c r="L302" s="399" t="s">
        <v>32</v>
      </c>
      <c r="M302" s="464">
        <v>20221</v>
      </c>
      <c r="N302" s="469">
        <v>44568</v>
      </c>
      <c r="O302" s="414" t="s">
        <v>407</v>
      </c>
      <c r="P302" s="222">
        <f t="shared" si="17"/>
        <v>1</v>
      </c>
      <c r="Q302" s="222">
        <f t="shared" si="18"/>
        <v>0</v>
      </c>
      <c r="R302" s="532" t="str">
        <f t="shared" si="19"/>
        <v>Gastos_custeados_por_captação</v>
      </c>
      <c r="S302" s="467" t="s">
        <v>998</v>
      </c>
      <c r="T302" s="467">
        <v>2615</v>
      </c>
      <c r="U302" s="496"/>
      <c r="V302" s="496"/>
      <c r="W302" s="496"/>
    </row>
    <row r="303" spans="1:23" ht="72" x14ac:dyDescent="0.2">
      <c r="A303" s="510">
        <f t="shared" si="16"/>
        <v>300</v>
      </c>
      <c r="B303" s="428">
        <v>44571</v>
      </c>
      <c r="C303" s="431">
        <v>44531</v>
      </c>
      <c r="D303" s="415" t="s">
        <v>468</v>
      </c>
      <c r="E303" s="415" t="s">
        <v>468</v>
      </c>
      <c r="F303" s="459">
        <v>2037.26</v>
      </c>
      <c r="G303" s="399" t="s">
        <v>2762</v>
      </c>
      <c r="H303" s="415" t="s">
        <v>468</v>
      </c>
      <c r="I303" s="460" t="s">
        <v>2751</v>
      </c>
      <c r="J303" s="468" t="s">
        <v>1103</v>
      </c>
      <c r="K303" s="418" t="s">
        <v>830</v>
      </c>
      <c r="L303" s="399" t="s">
        <v>839</v>
      </c>
      <c r="M303" s="464" t="s">
        <v>2736</v>
      </c>
      <c r="N303" s="469">
        <v>44567</v>
      </c>
      <c r="O303" s="414" t="s">
        <v>407</v>
      </c>
      <c r="P303" s="222">
        <f t="shared" si="17"/>
        <v>1</v>
      </c>
      <c r="Q303" s="222">
        <f t="shared" si="18"/>
        <v>0</v>
      </c>
      <c r="R303" s="532" t="str">
        <f t="shared" si="19"/>
        <v>Gastos_custeados_por_captação</v>
      </c>
      <c r="S303" s="467" t="s">
        <v>998</v>
      </c>
      <c r="T303" s="467">
        <v>2634</v>
      </c>
      <c r="U303" s="496"/>
      <c r="V303" s="496"/>
      <c r="W303" s="496"/>
    </row>
    <row r="304" spans="1:23" ht="84" x14ac:dyDescent="0.2">
      <c r="A304" s="510">
        <f t="shared" si="16"/>
        <v>301</v>
      </c>
      <c r="B304" s="428">
        <v>44571</v>
      </c>
      <c r="C304" s="424">
        <v>44531</v>
      </c>
      <c r="D304" s="415" t="s">
        <v>271</v>
      </c>
      <c r="E304" s="415" t="s">
        <v>178</v>
      </c>
      <c r="F304" s="425">
        <v>255.46</v>
      </c>
      <c r="G304" s="427" t="s">
        <v>482</v>
      </c>
      <c r="H304" s="415" t="s">
        <v>309</v>
      </c>
      <c r="I304" s="473" t="s">
        <v>1276</v>
      </c>
      <c r="J304" s="545" t="s">
        <v>1017</v>
      </c>
      <c r="K304" s="415" t="s">
        <v>812</v>
      </c>
      <c r="L304" s="434" t="s">
        <v>807</v>
      </c>
      <c r="M304" s="415" t="s">
        <v>1277</v>
      </c>
      <c r="N304" s="414">
        <v>44566</v>
      </c>
      <c r="O304" s="414" t="s">
        <v>400</v>
      </c>
      <c r="P304" s="222">
        <f t="shared" si="17"/>
        <v>1</v>
      </c>
      <c r="Q304" s="222">
        <f t="shared" si="18"/>
        <v>0</v>
      </c>
      <c r="R304" s="532" t="str">
        <f t="shared" si="19"/>
        <v>Gastos_Gerais</v>
      </c>
      <c r="S304" s="467" t="s">
        <v>1000</v>
      </c>
      <c r="T304" s="467">
        <v>1133</v>
      </c>
      <c r="U304" s="496"/>
      <c r="V304" s="496"/>
      <c r="W304" s="496"/>
    </row>
    <row r="305" spans="1:23" ht="84" x14ac:dyDescent="0.2">
      <c r="A305" s="510">
        <f t="shared" si="16"/>
        <v>302</v>
      </c>
      <c r="B305" s="428">
        <v>44571</v>
      </c>
      <c r="C305" s="424">
        <v>44531</v>
      </c>
      <c r="D305" s="415" t="s">
        <v>271</v>
      </c>
      <c r="E305" s="415" t="s">
        <v>187</v>
      </c>
      <c r="F305" s="425">
        <v>600</v>
      </c>
      <c r="G305" s="427" t="s">
        <v>476</v>
      </c>
      <c r="H305" s="415" t="s">
        <v>309</v>
      </c>
      <c r="I305" s="473" t="s">
        <v>1275</v>
      </c>
      <c r="J305" s="545" t="s">
        <v>1013</v>
      </c>
      <c r="K305" s="415" t="s">
        <v>812</v>
      </c>
      <c r="L305" s="434" t="s">
        <v>807</v>
      </c>
      <c r="M305" s="415" t="s">
        <v>848</v>
      </c>
      <c r="N305" s="414">
        <v>44565</v>
      </c>
      <c r="O305" s="414" t="s">
        <v>400</v>
      </c>
      <c r="P305" s="222">
        <f t="shared" si="17"/>
        <v>1</v>
      </c>
      <c r="Q305" s="222">
        <f t="shared" si="18"/>
        <v>0</v>
      </c>
      <c r="R305" s="532" t="str">
        <f t="shared" si="19"/>
        <v>Gastos_Gerais</v>
      </c>
      <c r="S305" s="467" t="s">
        <v>998</v>
      </c>
      <c r="T305" s="467">
        <v>1144</v>
      </c>
      <c r="U305" s="496"/>
      <c r="V305" s="496"/>
      <c r="W305" s="496"/>
    </row>
    <row r="306" spans="1:23" ht="156" x14ac:dyDescent="0.2">
      <c r="A306" s="510">
        <f t="shared" si="16"/>
        <v>303</v>
      </c>
      <c r="B306" s="428">
        <v>44571</v>
      </c>
      <c r="C306" s="431">
        <v>44531</v>
      </c>
      <c r="D306" s="415" t="s">
        <v>271</v>
      </c>
      <c r="E306" s="415" t="s">
        <v>183</v>
      </c>
      <c r="F306" s="425">
        <v>115.5</v>
      </c>
      <c r="G306" s="427" t="s">
        <v>535</v>
      </c>
      <c r="H306" s="415" t="s">
        <v>753</v>
      </c>
      <c r="I306" s="473" t="s">
        <v>1271</v>
      </c>
      <c r="J306" s="415" t="s">
        <v>1032</v>
      </c>
      <c r="K306" s="415" t="s">
        <v>1272</v>
      </c>
      <c r="L306" s="415" t="s">
        <v>1273</v>
      </c>
      <c r="M306" s="546">
        <v>2112953718908</v>
      </c>
      <c r="N306" s="414">
        <v>44552</v>
      </c>
      <c r="O306" s="414" t="s">
        <v>400</v>
      </c>
      <c r="P306" s="222">
        <f t="shared" si="17"/>
        <v>1</v>
      </c>
      <c r="Q306" s="222">
        <f t="shared" si="18"/>
        <v>0</v>
      </c>
      <c r="R306" s="532" t="str">
        <f t="shared" si="19"/>
        <v>Gastos_Gerais</v>
      </c>
      <c r="S306" s="467" t="s">
        <v>998</v>
      </c>
      <c r="T306" s="467">
        <v>277</v>
      </c>
      <c r="U306" s="496"/>
      <c r="V306" s="496"/>
      <c r="W306" s="496"/>
    </row>
    <row r="307" spans="1:23" ht="60" x14ac:dyDescent="0.2">
      <c r="A307" s="510">
        <f t="shared" si="16"/>
        <v>304</v>
      </c>
      <c r="B307" s="428">
        <v>44571</v>
      </c>
      <c r="C307" s="431">
        <v>44531</v>
      </c>
      <c r="D307" s="415" t="s">
        <v>271</v>
      </c>
      <c r="E307" s="415" t="s">
        <v>183</v>
      </c>
      <c r="F307" s="425">
        <v>24.74</v>
      </c>
      <c r="G307" s="427" t="s">
        <v>551</v>
      </c>
      <c r="H307" s="415" t="s">
        <v>753</v>
      </c>
      <c r="I307" s="473" t="s">
        <v>1271</v>
      </c>
      <c r="J307" s="415" t="s">
        <v>1032</v>
      </c>
      <c r="K307" s="415" t="s">
        <v>1272</v>
      </c>
      <c r="L307" s="415" t="s">
        <v>1273</v>
      </c>
      <c r="M307" s="546">
        <v>2112953718908</v>
      </c>
      <c r="N307" s="414">
        <v>44552</v>
      </c>
      <c r="O307" s="414" t="s">
        <v>400</v>
      </c>
      <c r="P307" s="222">
        <f t="shared" si="17"/>
        <v>1</v>
      </c>
      <c r="Q307" s="222">
        <f t="shared" si="18"/>
        <v>0</v>
      </c>
      <c r="R307" s="532" t="str">
        <f t="shared" si="19"/>
        <v>Gastos_Gerais</v>
      </c>
      <c r="S307" s="467" t="s">
        <v>1000</v>
      </c>
      <c r="T307" s="467">
        <v>1997</v>
      </c>
      <c r="U307" s="496"/>
      <c r="V307" s="496"/>
      <c r="W307" s="496"/>
    </row>
    <row r="308" spans="1:23" ht="72" x14ac:dyDescent="0.2">
      <c r="A308" s="510">
        <f t="shared" si="16"/>
        <v>305</v>
      </c>
      <c r="B308" s="428">
        <v>44571</v>
      </c>
      <c r="C308" s="431">
        <v>44531</v>
      </c>
      <c r="D308" s="415" t="s">
        <v>468</v>
      </c>
      <c r="E308" s="415" t="s">
        <v>468</v>
      </c>
      <c r="F308" s="459">
        <v>4954.25</v>
      </c>
      <c r="G308" s="399" t="s">
        <v>2697</v>
      </c>
      <c r="H308" s="415" t="s">
        <v>468</v>
      </c>
      <c r="I308" s="460" t="s">
        <v>2701</v>
      </c>
      <c r="J308" s="468" t="s">
        <v>1633</v>
      </c>
      <c r="K308" s="418" t="s">
        <v>830</v>
      </c>
      <c r="L308" s="399" t="s">
        <v>32</v>
      </c>
      <c r="M308" s="464" t="s">
        <v>2754</v>
      </c>
      <c r="N308" s="469">
        <v>44552</v>
      </c>
      <c r="O308" s="414" t="s">
        <v>407</v>
      </c>
      <c r="P308" s="222">
        <f t="shared" si="17"/>
        <v>1</v>
      </c>
      <c r="Q308" s="222">
        <f t="shared" si="18"/>
        <v>0</v>
      </c>
      <c r="R308" s="532" t="str">
        <f t="shared" si="19"/>
        <v>Gastos_custeados_por_captação</v>
      </c>
      <c r="S308" s="467" t="s">
        <v>1000</v>
      </c>
      <c r="T308" s="467">
        <v>2464</v>
      </c>
      <c r="U308" s="496"/>
      <c r="V308" s="496"/>
      <c r="W308" s="496"/>
    </row>
    <row r="309" spans="1:23" ht="24" x14ac:dyDescent="0.2">
      <c r="A309" s="510">
        <f t="shared" si="16"/>
        <v>306</v>
      </c>
      <c r="B309" s="428">
        <v>44571</v>
      </c>
      <c r="C309" s="424">
        <v>44531</v>
      </c>
      <c r="D309" s="415" t="s">
        <v>271</v>
      </c>
      <c r="E309" s="415" t="s">
        <v>2</v>
      </c>
      <c r="F309" s="425">
        <v>8128.76</v>
      </c>
      <c r="G309" s="427" t="s">
        <v>495</v>
      </c>
      <c r="H309" s="415" t="s">
        <v>309</v>
      </c>
      <c r="I309" s="473" t="s">
        <v>767</v>
      </c>
      <c r="J309" s="415" t="s">
        <v>1020</v>
      </c>
      <c r="K309" s="415" t="s">
        <v>812</v>
      </c>
      <c r="L309" s="415" t="s">
        <v>310</v>
      </c>
      <c r="M309" s="415">
        <v>1</v>
      </c>
      <c r="N309" s="414">
        <v>44545</v>
      </c>
      <c r="O309" s="414" t="s">
        <v>400</v>
      </c>
      <c r="P309" s="222">
        <f t="shared" si="17"/>
        <v>1</v>
      </c>
      <c r="Q309" s="222">
        <f t="shared" si="18"/>
        <v>0</v>
      </c>
      <c r="R309" s="532" t="str">
        <f t="shared" si="19"/>
        <v>Gastos_Gerais</v>
      </c>
      <c r="S309" s="467" t="s">
        <v>310</v>
      </c>
      <c r="T309" s="467" t="s">
        <v>310</v>
      </c>
      <c r="U309" s="496"/>
      <c r="V309" s="496"/>
      <c r="W309" s="496"/>
    </row>
    <row r="310" spans="1:23" ht="60" x14ac:dyDescent="0.2">
      <c r="A310" s="510">
        <f t="shared" si="16"/>
        <v>307</v>
      </c>
      <c r="B310" s="428">
        <v>44571</v>
      </c>
      <c r="C310" s="431">
        <v>44409</v>
      </c>
      <c r="D310" s="415" t="s">
        <v>271</v>
      </c>
      <c r="E310" s="415" t="s">
        <v>297</v>
      </c>
      <c r="F310" s="425">
        <v>980.73</v>
      </c>
      <c r="G310" s="427" t="s">
        <v>548</v>
      </c>
      <c r="H310" s="415" t="s">
        <v>309</v>
      </c>
      <c r="I310" s="473" t="s">
        <v>1274</v>
      </c>
      <c r="J310" s="545" t="s">
        <v>1041</v>
      </c>
      <c r="K310" s="415" t="s">
        <v>812</v>
      </c>
      <c r="L310" s="434" t="s">
        <v>807</v>
      </c>
      <c r="M310" s="415">
        <v>4100</v>
      </c>
      <c r="N310" s="455">
        <v>44543</v>
      </c>
      <c r="O310" s="414" t="s">
        <v>400</v>
      </c>
      <c r="P310" s="222">
        <f t="shared" si="17"/>
        <v>1</v>
      </c>
      <c r="Q310" s="222">
        <f t="shared" si="18"/>
        <v>-4</v>
      </c>
      <c r="R310" s="532" t="str">
        <f t="shared" si="19"/>
        <v>Gastos_Gerais</v>
      </c>
      <c r="S310" s="467" t="s">
        <v>998</v>
      </c>
      <c r="T310" s="467">
        <v>1918</v>
      </c>
      <c r="U310" s="496"/>
      <c r="V310" s="496"/>
      <c r="W310" s="496"/>
    </row>
    <row r="311" spans="1:23" ht="72" x14ac:dyDescent="0.2">
      <c r="A311" s="510">
        <f t="shared" si="16"/>
        <v>308</v>
      </c>
      <c r="B311" s="428">
        <v>44571</v>
      </c>
      <c r="C311" s="431">
        <v>44531</v>
      </c>
      <c r="D311" s="415" t="s">
        <v>468</v>
      </c>
      <c r="E311" s="415" t="s">
        <v>468</v>
      </c>
      <c r="F311" s="459">
        <v>205</v>
      </c>
      <c r="G311" s="399" t="s">
        <v>2755</v>
      </c>
      <c r="H311" s="415" t="s">
        <v>468</v>
      </c>
      <c r="I311" s="460" t="s">
        <v>2700</v>
      </c>
      <c r="J311" s="468" t="s">
        <v>1082</v>
      </c>
      <c r="K311" s="418" t="s">
        <v>830</v>
      </c>
      <c r="L311" s="399" t="s">
        <v>32</v>
      </c>
      <c r="M311" s="464">
        <v>108209</v>
      </c>
      <c r="N311" s="469">
        <v>44541</v>
      </c>
      <c r="O311" s="414" t="s">
        <v>407</v>
      </c>
      <c r="P311" s="222">
        <f t="shared" si="17"/>
        <v>1</v>
      </c>
      <c r="Q311" s="222">
        <f t="shared" si="18"/>
        <v>0</v>
      </c>
      <c r="R311" s="532" t="str">
        <f t="shared" si="19"/>
        <v>Gastos_custeados_por_captação</v>
      </c>
      <c r="S311" s="467" t="s">
        <v>1303</v>
      </c>
      <c r="T311" s="467">
        <v>2613</v>
      </c>
      <c r="U311" s="496"/>
      <c r="V311" s="496"/>
      <c r="W311" s="496"/>
    </row>
    <row r="312" spans="1:23" ht="36" x14ac:dyDescent="0.2">
      <c r="A312" s="510">
        <f t="shared" si="16"/>
        <v>309</v>
      </c>
      <c r="B312" s="428">
        <v>44572</v>
      </c>
      <c r="C312" s="424">
        <v>44562</v>
      </c>
      <c r="D312" s="415" t="s">
        <v>271</v>
      </c>
      <c r="E312" s="415" t="s">
        <v>71</v>
      </c>
      <c r="F312" s="425">
        <v>10.45</v>
      </c>
      <c r="G312" s="427" t="s">
        <v>1314</v>
      </c>
      <c r="H312" s="415" t="s">
        <v>309</v>
      </c>
      <c r="I312" s="398" t="s">
        <v>881</v>
      </c>
      <c r="J312" s="418" t="s">
        <v>882</v>
      </c>
      <c r="K312" s="418" t="s">
        <v>883</v>
      </c>
      <c r="L312" s="399" t="s">
        <v>798</v>
      </c>
      <c r="M312" s="544" t="s">
        <v>310</v>
      </c>
      <c r="N312" s="414">
        <v>44572</v>
      </c>
      <c r="O312" s="414" t="s">
        <v>400</v>
      </c>
      <c r="P312" s="222">
        <f t="shared" si="17"/>
        <v>1</v>
      </c>
      <c r="Q312" s="222">
        <f t="shared" si="18"/>
        <v>1</v>
      </c>
      <c r="R312" s="532" t="str">
        <f t="shared" si="19"/>
        <v>Gastos_Gerais</v>
      </c>
      <c r="S312" s="467" t="s">
        <v>310</v>
      </c>
      <c r="T312" s="467" t="s">
        <v>310</v>
      </c>
      <c r="U312" s="496"/>
      <c r="V312" s="496"/>
      <c r="W312" s="496"/>
    </row>
    <row r="313" spans="1:23" ht="36" x14ac:dyDescent="0.2">
      <c r="A313" s="510">
        <f t="shared" si="16"/>
        <v>310</v>
      </c>
      <c r="B313" s="428">
        <v>44572</v>
      </c>
      <c r="C313" s="424">
        <v>44562</v>
      </c>
      <c r="D313" s="415" t="s">
        <v>271</v>
      </c>
      <c r="E313" s="415" t="s">
        <v>71</v>
      </c>
      <c r="F313" s="425">
        <v>10.45</v>
      </c>
      <c r="G313" s="427" t="s">
        <v>1316</v>
      </c>
      <c r="H313" s="415" t="s">
        <v>760</v>
      </c>
      <c r="I313" s="398" t="s">
        <v>881</v>
      </c>
      <c r="J313" s="418" t="s">
        <v>882</v>
      </c>
      <c r="K313" s="418" t="s">
        <v>883</v>
      </c>
      <c r="L313" s="399" t="s">
        <v>798</v>
      </c>
      <c r="M313" s="544" t="s">
        <v>310</v>
      </c>
      <c r="N313" s="414">
        <v>44572</v>
      </c>
      <c r="O313" s="414" t="s">
        <v>400</v>
      </c>
      <c r="P313" s="222">
        <f t="shared" si="17"/>
        <v>1</v>
      </c>
      <c r="Q313" s="222">
        <f t="shared" si="18"/>
        <v>1</v>
      </c>
      <c r="R313" s="532" t="str">
        <f t="shared" si="19"/>
        <v>Gastos_Gerais</v>
      </c>
      <c r="S313" s="467" t="s">
        <v>310</v>
      </c>
      <c r="T313" s="467" t="s">
        <v>310</v>
      </c>
      <c r="U313" s="496"/>
      <c r="V313" s="496"/>
      <c r="W313" s="496"/>
    </row>
    <row r="314" spans="1:23" ht="36" x14ac:dyDescent="0.2">
      <c r="A314" s="510">
        <f t="shared" si="16"/>
        <v>311</v>
      </c>
      <c r="B314" s="428">
        <v>44572</v>
      </c>
      <c r="C314" s="424">
        <v>44562</v>
      </c>
      <c r="D314" s="415" t="s">
        <v>271</v>
      </c>
      <c r="E314" s="415" t="s">
        <v>71</v>
      </c>
      <c r="F314" s="425">
        <v>10.45</v>
      </c>
      <c r="G314" s="427" t="s">
        <v>1315</v>
      </c>
      <c r="H314" s="415" t="s">
        <v>752</v>
      </c>
      <c r="I314" s="398" t="s">
        <v>881</v>
      </c>
      <c r="J314" s="418" t="s">
        <v>882</v>
      </c>
      <c r="K314" s="418" t="s">
        <v>883</v>
      </c>
      <c r="L314" s="399" t="s">
        <v>798</v>
      </c>
      <c r="M314" s="544" t="s">
        <v>310</v>
      </c>
      <c r="N314" s="414">
        <v>44572</v>
      </c>
      <c r="O314" s="414" t="s">
        <v>400</v>
      </c>
      <c r="P314" s="222">
        <f t="shared" si="17"/>
        <v>1</v>
      </c>
      <c r="Q314" s="222">
        <f t="shared" si="18"/>
        <v>1</v>
      </c>
      <c r="R314" s="532" t="str">
        <f t="shared" si="19"/>
        <v>Gastos_Gerais</v>
      </c>
      <c r="S314" s="467" t="s">
        <v>310</v>
      </c>
      <c r="T314" s="467" t="s">
        <v>310</v>
      </c>
      <c r="U314" s="496"/>
      <c r="V314" s="496"/>
      <c r="W314" s="496"/>
    </row>
    <row r="315" spans="1:23" ht="36" x14ac:dyDescent="0.2">
      <c r="A315" s="510">
        <f t="shared" si="16"/>
        <v>312</v>
      </c>
      <c r="B315" s="428">
        <v>44572</v>
      </c>
      <c r="C315" s="424">
        <v>44562</v>
      </c>
      <c r="D315" s="415" t="s">
        <v>271</v>
      </c>
      <c r="E315" s="415" t="s">
        <v>71</v>
      </c>
      <c r="F315" s="425">
        <v>10.45</v>
      </c>
      <c r="G315" s="427" t="s">
        <v>1317</v>
      </c>
      <c r="H315" s="415" t="s">
        <v>752</v>
      </c>
      <c r="I315" s="398" t="s">
        <v>881</v>
      </c>
      <c r="J315" s="418" t="s">
        <v>882</v>
      </c>
      <c r="K315" s="418" t="s">
        <v>883</v>
      </c>
      <c r="L315" s="399" t="s">
        <v>798</v>
      </c>
      <c r="M315" s="544" t="s">
        <v>310</v>
      </c>
      <c r="N315" s="414">
        <v>44572</v>
      </c>
      <c r="O315" s="414" t="s">
        <v>400</v>
      </c>
      <c r="P315" s="222">
        <f t="shared" si="17"/>
        <v>1</v>
      </c>
      <c r="Q315" s="222">
        <f t="shared" si="18"/>
        <v>1</v>
      </c>
      <c r="R315" s="532" t="str">
        <f t="shared" si="19"/>
        <v>Gastos_Gerais</v>
      </c>
      <c r="S315" s="467" t="s">
        <v>310</v>
      </c>
      <c r="T315" s="467" t="s">
        <v>310</v>
      </c>
      <c r="U315" s="496"/>
      <c r="V315" s="496"/>
      <c r="W315" s="496"/>
    </row>
    <row r="316" spans="1:23" ht="36" x14ac:dyDescent="0.2">
      <c r="A316" s="510">
        <f t="shared" si="16"/>
        <v>313</v>
      </c>
      <c r="B316" s="428">
        <v>44572</v>
      </c>
      <c r="C316" s="424">
        <v>44562</v>
      </c>
      <c r="D316" s="415" t="s">
        <v>271</v>
      </c>
      <c r="E316" s="415" t="s">
        <v>71</v>
      </c>
      <c r="F316" s="425">
        <v>10.45</v>
      </c>
      <c r="G316" s="427" t="s">
        <v>1318</v>
      </c>
      <c r="H316" s="415" t="s">
        <v>755</v>
      </c>
      <c r="I316" s="398" t="s">
        <v>881</v>
      </c>
      <c r="J316" s="418" t="s">
        <v>882</v>
      </c>
      <c r="K316" s="418" t="s">
        <v>883</v>
      </c>
      <c r="L316" s="399" t="s">
        <v>798</v>
      </c>
      <c r="M316" s="544" t="s">
        <v>310</v>
      </c>
      <c r="N316" s="414">
        <v>44572</v>
      </c>
      <c r="O316" s="414" t="s">
        <v>400</v>
      </c>
      <c r="P316" s="222">
        <f t="shared" si="17"/>
        <v>1</v>
      </c>
      <c r="Q316" s="222">
        <f t="shared" si="18"/>
        <v>1</v>
      </c>
      <c r="R316" s="532" t="str">
        <f t="shared" si="19"/>
        <v>Gastos_Gerais</v>
      </c>
      <c r="S316" s="467" t="s">
        <v>310</v>
      </c>
      <c r="T316" s="467" t="s">
        <v>310</v>
      </c>
      <c r="U316" s="496"/>
      <c r="V316" s="496"/>
      <c r="W316" s="496"/>
    </row>
    <row r="317" spans="1:23" ht="84" x14ac:dyDescent="0.2">
      <c r="A317" s="510">
        <f t="shared" si="16"/>
        <v>314</v>
      </c>
      <c r="B317" s="428">
        <v>44572</v>
      </c>
      <c r="C317" s="424">
        <v>44531</v>
      </c>
      <c r="D317" s="415" t="s">
        <v>271</v>
      </c>
      <c r="E317" s="415" t="s">
        <v>453</v>
      </c>
      <c r="F317" s="425">
        <v>1276.8</v>
      </c>
      <c r="G317" s="427" t="s">
        <v>566</v>
      </c>
      <c r="H317" s="415" t="s">
        <v>752</v>
      </c>
      <c r="I317" s="473" t="s">
        <v>1296</v>
      </c>
      <c r="J317" s="415" t="s">
        <v>1297</v>
      </c>
      <c r="K317" s="415" t="s">
        <v>1298</v>
      </c>
      <c r="L317" s="546" t="s">
        <v>839</v>
      </c>
      <c r="M317" s="546">
        <v>1534</v>
      </c>
      <c r="N317" s="414">
        <v>44571</v>
      </c>
      <c r="O317" s="414" t="s">
        <v>400</v>
      </c>
      <c r="P317" s="222">
        <f t="shared" si="17"/>
        <v>1</v>
      </c>
      <c r="Q317" s="222">
        <f t="shared" si="18"/>
        <v>0</v>
      </c>
      <c r="R317" s="532" t="str">
        <f t="shared" si="19"/>
        <v>Gastos_Gerais</v>
      </c>
      <c r="S317" s="467" t="s">
        <v>998</v>
      </c>
      <c r="T317" s="467">
        <v>2168</v>
      </c>
      <c r="U317" s="496"/>
      <c r="V317" s="496"/>
      <c r="W317" s="496"/>
    </row>
    <row r="318" spans="1:23" ht="180" x14ac:dyDescent="0.2">
      <c r="A318" s="510">
        <f t="shared" si="16"/>
        <v>315</v>
      </c>
      <c r="B318" s="428">
        <v>44572</v>
      </c>
      <c r="C318" s="424">
        <v>44501</v>
      </c>
      <c r="D318" s="415" t="s">
        <v>271</v>
      </c>
      <c r="E318" s="415" t="s">
        <v>456</v>
      </c>
      <c r="F318" s="425">
        <v>5400</v>
      </c>
      <c r="G318" s="437" t="s">
        <v>593</v>
      </c>
      <c r="H318" s="415" t="s">
        <v>760</v>
      </c>
      <c r="I318" s="474" t="s">
        <v>1301</v>
      </c>
      <c r="J318" s="434" t="s">
        <v>1054</v>
      </c>
      <c r="K318" s="415" t="s">
        <v>1298</v>
      </c>
      <c r="L318" s="434" t="s">
        <v>807</v>
      </c>
      <c r="M318" s="546">
        <v>2022</v>
      </c>
      <c r="N318" s="414">
        <v>44571</v>
      </c>
      <c r="O318" s="414" t="s">
        <v>400</v>
      </c>
      <c r="P318" s="222">
        <f t="shared" si="17"/>
        <v>1</v>
      </c>
      <c r="Q318" s="222">
        <f t="shared" si="18"/>
        <v>-1</v>
      </c>
      <c r="R318" s="532" t="str">
        <f t="shared" si="19"/>
        <v>Gastos_Gerais</v>
      </c>
      <c r="S318" s="467" t="s">
        <v>998</v>
      </c>
      <c r="T318" s="467">
        <v>2485</v>
      </c>
      <c r="U318" s="496"/>
      <c r="V318" s="496"/>
      <c r="W318" s="496"/>
    </row>
    <row r="319" spans="1:23" ht="48" x14ac:dyDescent="0.2">
      <c r="A319" s="510">
        <f t="shared" si="16"/>
        <v>316</v>
      </c>
      <c r="B319" s="428">
        <v>44572</v>
      </c>
      <c r="C319" s="424">
        <v>44470</v>
      </c>
      <c r="D319" s="415" t="s">
        <v>271</v>
      </c>
      <c r="E319" s="415" t="s">
        <v>456</v>
      </c>
      <c r="F319" s="425">
        <v>3000</v>
      </c>
      <c r="G319" s="427" t="s">
        <v>578</v>
      </c>
      <c r="H319" s="415" t="s">
        <v>760</v>
      </c>
      <c r="I319" s="473" t="s">
        <v>1306</v>
      </c>
      <c r="J319" s="415" t="s">
        <v>1048</v>
      </c>
      <c r="K319" s="415" t="s">
        <v>830</v>
      </c>
      <c r="L319" s="415" t="s">
        <v>807</v>
      </c>
      <c r="M319" s="415" t="s">
        <v>848</v>
      </c>
      <c r="N319" s="414">
        <v>44571</v>
      </c>
      <c r="O319" s="414" t="s">
        <v>400</v>
      </c>
      <c r="P319" s="222">
        <f t="shared" si="17"/>
        <v>1</v>
      </c>
      <c r="Q319" s="222">
        <f t="shared" si="18"/>
        <v>-2</v>
      </c>
      <c r="R319" s="532" t="str">
        <f t="shared" si="19"/>
        <v>Gastos_Gerais</v>
      </c>
      <c r="S319" s="467" t="s">
        <v>998</v>
      </c>
      <c r="T319" s="467">
        <v>2259</v>
      </c>
      <c r="U319" s="496"/>
      <c r="V319" s="496"/>
      <c r="W319" s="496"/>
    </row>
    <row r="320" spans="1:23" ht="60" x14ac:dyDescent="0.2">
      <c r="A320" s="510">
        <f t="shared" si="16"/>
        <v>317</v>
      </c>
      <c r="B320" s="428">
        <v>44572</v>
      </c>
      <c r="C320" s="424">
        <v>44501</v>
      </c>
      <c r="D320" s="415" t="s">
        <v>271</v>
      </c>
      <c r="E320" s="415" t="s">
        <v>456</v>
      </c>
      <c r="F320" s="425">
        <v>965</v>
      </c>
      <c r="G320" s="427" t="s">
        <v>594</v>
      </c>
      <c r="H320" s="415" t="s">
        <v>752</v>
      </c>
      <c r="I320" s="473" t="s">
        <v>1307</v>
      </c>
      <c r="J320" s="415" t="s">
        <v>1055</v>
      </c>
      <c r="K320" s="415" t="s">
        <v>830</v>
      </c>
      <c r="L320" s="415" t="s">
        <v>807</v>
      </c>
      <c r="M320" s="415" t="s">
        <v>1308</v>
      </c>
      <c r="N320" s="414">
        <v>44571</v>
      </c>
      <c r="O320" s="414" t="s">
        <v>400</v>
      </c>
      <c r="P320" s="222">
        <f t="shared" si="17"/>
        <v>1</v>
      </c>
      <c r="Q320" s="222">
        <f t="shared" si="18"/>
        <v>-1</v>
      </c>
      <c r="R320" s="532" t="str">
        <f t="shared" si="19"/>
        <v>Gastos_Gerais</v>
      </c>
      <c r="S320" s="467" t="s">
        <v>998</v>
      </c>
      <c r="T320" s="467">
        <v>2455</v>
      </c>
      <c r="U320" s="496"/>
      <c r="V320" s="496"/>
      <c r="W320" s="496"/>
    </row>
    <row r="321" spans="1:23" ht="84" x14ac:dyDescent="0.2">
      <c r="A321" s="510">
        <f t="shared" si="16"/>
        <v>318</v>
      </c>
      <c r="B321" s="428">
        <v>44572</v>
      </c>
      <c r="C321" s="424">
        <v>44531</v>
      </c>
      <c r="D321" s="415" t="s">
        <v>271</v>
      </c>
      <c r="E321" s="415" t="s">
        <v>453</v>
      </c>
      <c r="F321" s="425">
        <v>1276.8</v>
      </c>
      <c r="G321" s="427" t="s">
        <v>571</v>
      </c>
      <c r="H321" s="415" t="s">
        <v>752</v>
      </c>
      <c r="I321" s="473" t="s">
        <v>1310</v>
      </c>
      <c r="J321" s="415" t="s">
        <v>1047</v>
      </c>
      <c r="K321" s="415" t="s">
        <v>830</v>
      </c>
      <c r="L321" s="415" t="s">
        <v>839</v>
      </c>
      <c r="M321" s="546">
        <v>1535</v>
      </c>
      <c r="N321" s="414">
        <v>44571</v>
      </c>
      <c r="O321" s="414" t="s">
        <v>400</v>
      </c>
      <c r="P321" s="222">
        <f t="shared" si="17"/>
        <v>1</v>
      </c>
      <c r="Q321" s="222">
        <f t="shared" si="18"/>
        <v>0</v>
      </c>
      <c r="R321" s="532" t="str">
        <f t="shared" si="19"/>
        <v>Gastos_Gerais</v>
      </c>
      <c r="S321" s="467" t="s">
        <v>998</v>
      </c>
      <c r="T321" s="467">
        <v>2248</v>
      </c>
      <c r="U321" s="496"/>
      <c r="V321" s="496"/>
      <c r="W321" s="496"/>
    </row>
    <row r="322" spans="1:23" ht="72" x14ac:dyDescent="0.2">
      <c r="A322" s="510">
        <f t="shared" si="16"/>
        <v>319</v>
      </c>
      <c r="B322" s="428">
        <v>44572</v>
      </c>
      <c r="C322" s="424">
        <v>44531</v>
      </c>
      <c r="D322" s="415" t="s">
        <v>271</v>
      </c>
      <c r="E322" s="415" t="s">
        <v>456</v>
      </c>
      <c r="F322" s="425">
        <v>4440.8599999999997</v>
      </c>
      <c r="G322" s="427" t="s">
        <v>636</v>
      </c>
      <c r="H322" s="415" t="s">
        <v>755</v>
      </c>
      <c r="I322" s="473" t="s">
        <v>1313</v>
      </c>
      <c r="J322" s="415" t="s">
        <v>1068</v>
      </c>
      <c r="K322" s="415" t="s">
        <v>830</v>
      </c>
      <c r="L322" s="415" t="s">
        <v>839</v>
      </c>
      <c r="M322" s="546">
        <v>1533</v>
      </c>
      <c r="N322" s="414">
        <v>44571</v>
      </c>
      <c r="O322" s="414" t="s">
        <v>400</v>
      </c>
      <c r="P322" s="222">
        <f t="shared" si="17"/>
        <v>1</v>
      </c>
      <c r="Q322" s="222">
        <f t="shared" si="18"/>
        <v>0</v>
      </c>
      <c r="R322" s="532" t="str">
        <f t="shared" si="19"/>
        <v>Gastos_Gerais</v>
      </c>
      <c r="S322" s="467" t="s">
        <v>998</v>
      </c>
      <c r="T322" s="467">
        <v>1826</v>
      </c>
      <c r="U322" s="496"/>
      <c r="V322" s="496"/>
      <c r="W322" s="496"/>
    </row>
    <row r="323" spans="1:23" ht="72" x14ac:dyDescent="0.2">
      <c r="A323" s="510">
        <f t="shared" si="16"/>
        <v>320</v>
      </c>
      <c r="B323" s="428">
        <v>44572</v>
      </c>
      <c r="C323" s="424">
        <v>44531</v>
      </c>
      <c r="D323" s="415" t="s">
        <v>468</v>
      </c>
      <c r="E323" s="415" t="s">
        <v>468</v>
      </c>
      <c r="F323" s="459">
        <v>2125.92</v>
      </c>
      <c r="G323" s="399" t="s">
        <v>2770</v>
      </c>
      <c r="H323" s="415" t="s">
        <v>468</v>
      </c>
      <c r="I323" s="460" t="s">
        <v>2763</v>
      </c>
      <c r="J323" s="468" t="s">
        <v>2768</v>
      </c>
      <c r="K323" s="418" t="s">
        <v>830</v>
      </c>
      <c r="L323" s="399" t="s">
        <v>839</v>
      </c>
      <c r="M323" s="464">
        <v>1530</v>
      </c>
      <c r="N323" s="469">
        <v>44571</v>
      </c>
      <c r="O323" s="414" t="s">
        <v>407</v>
      </c>
      <c r="P323" s="222">
        <f t="shared" si="17"/>
        <v>1</v>
      </c>
      <c r="Q323" s="222">
        <f t="shared" si="18"/>
        <v>0</v>
      </c>
      <c r="R323" s="532" t="str">
        <f t="shared" si="19"/>
        <v>Gastos_custeados_por_captação</v>
      </c>
      <c r="S323" s="467" t="s">
        <v>1000</v>
      </c>
      <c r="T323" s="467">
        <v>2312</v>
      </c>
      <c r="U323" s="496"/>
      <c r="V323" s="496"/>
      <c r="W323" s="496"/>
    </row>
    <row r="324" spans="1:23" ht="72" x14ac:dyDescent="0.2">
      <c r="A324" s="510">
        <f t="shared" ref="A324:A387" si="20">IF(B324="","",ROW()-ROW($A$3))</f>
        <v>321</v>
      </c>
      <c r="B324" s="428">
        <v>44572</v>
      </c>
      <c r="C324" s="431">
        <v>44531</v>
      </c>
      <c r="D324" s="415" t="s">
        <v>468</v>
      </c>
      <c r="E324" s="415" t="s">
        <v>468</v>
      </c>
      <c r="F324" s="459">
        <v>3500</v>
      </c>
      <c r="G324" s="399" t="s">
        <v>2771</v>
      </c>
      <c r="H324" s="415" t="s">
        <v>468</v>
      </c>
      <c r="I324" s="460" t="s">
        <v>2764</v>
      </c>
      <c r="J324" s="468" t="s">
        <v>1092</v>
      </c>
      <c r="K324" s="418" t="s">
        <v>830</v>
      </c>
      <c r="L324" s="399" t="s">
        <v>807</v>
      </c>
      <c r="M324" s="464">
        <v>20221</v>
      </c>
      <c r="N324" s="469">
        <v>44571</v>
      </c>
      <c r="O324" s="414" t="s">
        <v>407</v>
      </c>
      <c r="P324" s="222">
        <f t="shared" ref="P324:P387" si="21">IF(B324=0,0,IF(YEAR(B324)=$Q$1,MONTH(B324)-$P$1+1,(YEAR(B324)-$Q$1)*12-$P$1+1+MONTH(B324)))</f>
        <v>1</v>
      </c>
      <c r="Q324" s="222">
        <f t="shared" ref="Q324:Q387" si="22">IF(C324=0,0,IF(YEAR(C324)=$Q$1,MONTH(C324)-$P$1+1,(YEAR(C324)-$Q$1)*12-$P$1+1+MONTH(C324)))</f>
        <v>0</v>
      </c>
      <c r="R324" s="532" t="str">
        <f t="shared" ref="R324:R387" si="23">SUBSTITUTE(D324," ","_")</f>
        <v>Gastos_custeados_por_captação</v>
      </c>
      <c r="S324" s="467" t="s">
        <v>998</v>
      </c>
      <c r="T324" s="467">
        <v>2521</v>
      </c>
      <c r="U324" s="496"/>
      <c r="V324" s="496"/>
      <c r="W324" s="496"/>
    </row>
    <row r="325" spans="1:23" ht="72" x14ac:dyDescent="0.2">
      <c r="A325" s="510">
        <f t="shared" si="20"/>
        <v>322</v>
      </c>
      <c r="B325" s="428">
        <v>44572</v>
      </c>
      <c r="C325" s="431">
        <v>44531</v>
      </c>
      <c r="D325" s="415" t="s">
        <v>468</v>
      </c>
      <c r="E325" s="415" t="s">
        <v>468</v>
      </c>
      <c r="F325" s="459">
        <v>7891.13</v>
      </c>
      <c r="G325" s="399" t="s">
        <v>2772</v>
      </c>
      <c r="H325" s="415" t="s">
        <v>468</v>
      </c>
      <c r="I325" s="460" t="s">
        <v>2765</v>
      </c>
      <c r="J325" s="468" t="s">
        <v>2769</v>
      </c>
      <c r="K325" s="418" t="s">
        <v>830</v>
      </c>
      <c r="L325" s="399" t="s">
        <v>807</v>
      </c>
      <c r="M325" s="464">
        <v>20221</v>
      </c>
      <c r="N325" s="469">
        <v>44571</v>
      </c>
      <c r="O325" s="414" t="s">
        <v>407</v>
      </c>
      <c r="P325" s="222">
        <f t="shared" si="21"/>
        <v>1</v>
      </c>
      <c r="Q325" s="222">
        <f t="shared" si="22"/>
        <v>0</v>
      </c>
      <c r="R325" s="532" t="str">
        <f t="shared" si="23"/>
        <v>Gastos_custeados_por_captação</v>
      </c>
      <c r="S325" s="467" t="s">
        <v>998</v>
      </c>
      <c r="T325" s="467">
        <v>2518</v>
      </c>
      <c r="U325" s="496"/>
      <c r="V325" s="496"/>
      <c r="W325" s="496"/>
    </row>
    <row r="326" spans="1:23" ht="72" x14ac:dyDescent="0.2">
      <c r="A326" s="510">
        <f t="shared" si="20"/>
        <v>323</v>
      </c>
      <c r="B326" s="428">
        <v>44572</v>
      </c>
      <c r="C326" s="431">
        <v>44531</v>
      </c>
      <c r="D326" s="415" t="s">
        <v>468</v>
      </c>
      <c r="E326" s="415" t="s">
        <v>468</v>
      </c>
      <c r="F326" s="459">
        <v>6000</v>
      </c>
      <c r="G326" s="399" t="s">
        <v>2773</v>
      </c>
      <c r="H326" s="415" t="s">
        <v>468</v>
      </c>
      <c r="I326" s="460" t="s">
        <v>2766</v>
      </c>
      <c r="J326" s="468" t="s">
        <v>2551</v>
      </c>
      <c r="K326" s="418" t="s">
        <v>830</v>
      </c>
      <c r="L326" s="399" t="s">
        <v>807</v>
      </c>
      <c r="M326" s="464">
        <v>652</v>
      </c>
      <c r="N326" s="469">
        <v>44571</v>
      </c>
      <c r="O326" s="414" t="s">
        <v>407</v>
      </c>
      <c r="P326" s="222">
        <f t="shared" si="21"/>
        <v>1</v>
      </c>
      <c r="Q326" s="222">
        <f t="shared" si="22"/>
        <v>0</v>
      </c>
      <c r="R326" s="532" t="str">
        <f t="shared" si="23"/>
        <v>Gastos_custeados_por_captação</v>
      </c>
      <c r="S326" s="467" t="s">
        <v>1000</v>
      </c>
      <c r="T326" s="467">
        <v>2540</v>
      </c>
      <c r="U326" s="496"/>
      <c r="V326" s="496"/>
      <c r="W326" s="496"/>
    </row>
    <row r="327" spans="1:23" ht="72" x14ac:dyDescent="0.2">
      <c r="A327" s="510">
        <f t="shared" si="20"/>
        <v>324</v>
      </c>
      <c r="B327" s="428">
        <v>44572</v>
      </c>
      <c r="C327" s="431">
        <v>44531</v>
      </c>
      <c r="D327" s="415" t="s">
        <v>468</v>
      </c>
      <c r="E327" s="415" t="s">
        <v>468</v>
      </c>
      <c r="F327" s="459">
        <v>2462.5500000000002</v>
      </c>
      <c r="G327" s="399" t="s">
        <v>2774</v>
      </c>
      <c r="H327" s="415" t="s">
        <v>468</v>
      </c>
      <c r="I327" s="460" t="s">
        <v>2767</v>
      </c>
      <c r="J327" s="468" t="s">
        <v>1106</v>
      </c>
      <c r="K327" s="418" t="s">
        <v>830</v>
      </c>
      <c r="L327" s="399" t="s">
        <v>839</v>
      </c>
      <c r="M327" s="464">
        <v>1532</v>
      </c>
      <c r="N327" s="469">
        <v>44571</v>
      </c>
      <c r="O327" s="414" t="s">
        <v>407</v>
      </c>
      <c r="P327" s="222">
        <f t="shared" si="21"/>
        <v>1</v>
      </c>
      <c r="Q327" s="222">
        <f t="shared" si="22"/>
        <v>0</v>
      </c>
      <c r="R327" s="532" t="str">
        <f t="shared" si="23"/>
        <v>Gastos_custeados_por_captação</v>
      </c>
      <c r="S327" s="467" t="s">
        <v>998</v>
      </c>
      <c r="T327" s="467">
        <v>2647</v>
      </c>
      <c r="U327" s="496"/>
      <c r="V327" s="496"/>
      <c r="W327" s="496"/>
    </row>
    <row r="328" spans="1:23" ht="96" x14ac:dyDescent="0.2">
      <c r="A328" s="510">
        <f t="shared" si="20"/>
        <v>325</v>
      </c>
      <c r="B328" s="428">
        <v>44572</v>
      </c>
      <c r="C328" s="424">
        <v>44531</v>
      </c>
      <c r="D328" s="415" t="s">
        <v>271</v>
      </c>
      <c r="E328" s="415" t="s">
        <v>92</v>
      </c>
      <c r="F328" s="425">
        <v>250</v>
      </c>
      <c r="G328" s="427" t="s">
        <v>536</v>
      </c>
      <c r="H328" s="415" t="s">
        <v>309</v>
      </c>
      <c r="I328" s="473" t="s">
        <v>1304</v>
      </c>
      <c r="J328" s="415" t="s">
        <v>1033</v>
      </c>
      <c r="K328" s="415" t="s">
        <v>830</v>
      </c>
      <c r="L328" s="415" t="s">
        <v>1305</v>
      </c>
      <c r="M328" s="546" t="s">
        <v>310</v>
      </c>
      <c r="N328" s="414">
        <v>44562</v>
      </c>
      <c r="O328" s="414" t="s">
        <v>400</v>
      </c>
      <c r="P328" s="222">
        <f t="shared" si="21"/>
        <v>1</v>
      </c>
      <c r="Q328" s="222">
        <f t="shared" si="22"/>
        <v>0</v>
      </c>
      <c r="R328" s="532" t="str">
        <f t="shared" si="23"/>
        <v>Gastos_Gerais</v>
      </c>
      <c r="S328" s="467" t="s">
        <v>998</v>
      </c>
      <c r="T328" s="467">
        <v>1139</v>
      </c>
      <c r="U328" s="496"/>
      <c r="V328" s="496"/>
      <c r="W328" s="496"/>
    </row>
    <row r="329" spans="1:23" ht="72" x14ac:dyDescent="0.2">
      <c r="A329" s="510">
        <f t="shared" si="20"/>
        <v>326</v>
      </c>
      <c r="B329" s="428">
        <v>44572</v>
      </c>
      <c r="C329" s="431">
        <v>44531</v>
      </c>
      <c r="D329" s="415" t="s">
        <v>468</v>
      </c>
      <c r="E329" s="415" t="s">
        <v>468</v>
      </c>
      <c r="F329" s="459">
        <v>37642.06</v>
      </c>
      <c r="G329" s="399" t="s">
        <v>2775</v>
      </c>
      <c r="H329" s="415" t="s">
        <v>468</v>
      </c>
      <c r="I329" s="460" t="s">
        <v>780</v>
      </c>
      <c r="J329" s="468" t="s">
        <v>1051</v>
      </c>
      <c r="K329" s="418" t="s">
        <v>830</v>
      </c>
      <c r="L329" s="399" t="s">
        <v>807</v>
      </c>
      <c r="M329" s="464">
        <v>202175</v>
      </c>
      <c r="N329" s="469">
        <v>44545</v>
      </c>
      <c r="O329" s="414" t="s">
        <v>407</v>
      </c>
      <c r="P329" s="222">
        <f t="shared" si="21"/>
        <v>1</v>
      </c>
      <c r="Q329" s="222">
        <f t="shared" si="22"/>
        <v>0</v>
      </c>
      <c r="R329" s="532" t="str">
        <f t="shared" si="23"/>
        <v>Gastos_custeados_por_captação</v>
      </c>
      <c r="S329" s="467" t="s">
        <v>1000</v>
      </c>
      <c r="T329" s="467">
        <v>2523</v>
      </c>
      <c r="U329" s="496"/>
      <c r="V329" s="496"/>
      <c r="W329" s="496"/>
    </row>
    <row r="330" spans="1:23" ht="36" x14ac:dyDescent="0.2">
      <c r="A330" s="510">
        <f t="shared" si="20"/>
        <v>327</v>
      </c>
      <c r="B330" s="428">
        <v>44572</v>
      </c>
      <c r="C330" s="424">
        <v>44531</v>
      </c>
      <c r="D330" s="415" t="s">
        <v>271</v>
      </c>
      <c r="E330" s="415" t="s">
        <v>141</v>
      </c>
      <c r="F330" s="425">
        <v>255.2</v>
      </c>
      <c r="G330" s="437" t="s">
        <v>630</v>
      </c>
      <c r="H330" s="415" t="s">
        <v>753</v>
      </c>
      <c r="I330" s="474" t="s">
        <v>1302</v>
      </c>
      <c r="J330" s="434" t="s">
        <v>1066</v>
      </c>
      <c r="K330" s="434" t="s">
        <v>812</v>
      </c>
      <c r="L330" s="434" t="s">
        <v>807</v>
      </c>
      <c r="M330" s="546">
        <v>64873</v>
      </c>
      <c r="N330" s="414">
        <v>44544</v>
      </c>
      <c r="O330" s="414" t="s">
        <v>400</v>
      </c>
      <c r="P330" s="222">
        <f t="shared" si="21"/>
        <v>1</v>
      </c>
      <c r="Q330" s="222">
        <f t="shared" si="22"/>
        <v>0</v>
      </c>
      <c r="R330" s="532" t="str">
        <f t="shared" si="23"/>
        <v>Gastos_Gerais</v>
      </c>
      <c r="S330" s="467" t="s">
        <v>1303</v>
      </c>
      <c r="T330" s="467">
        <v>2627</v>
      </c>
      <c r="U330" s="496"/>
      <c r="V330" s="496"/>
      <c r="W330" s="496"/>
    </row>
    <row r="331" spans="1:23" ht="48" x14ac:dyDescent="0.2">
      <c r="A331" s="510">
        <f t="shared" si="20"/>
        <v>328</v>
      </c>
      <c r="B331" s="428">
        <v>44573</v>
      </c>
      <c r="C331" s="424">
        <v>44531</v>
      </c>
      <c r="D331" s="415" t="s">
        <v>271</v>
      </c>
      <c r="E331" s="415" t="s">
        <v>64</v>
      </c>
      <c r="F331" s="425">
        <v>-368.67</v>
      </c>
      <c r="G331" s="427" t="s">
        <v>1319</v>
      </c>
      <c r="H331" s="415" t="s">
        <v>309</v>
      </c>
      <c r="I331" s="473" t="s">
        <v>795</v>
      </c>
      <c r="J331" s="415" t="s">
        <v>796</v>
      </c>
      <c r="K331" s="415" t="s">
        <v>797</v>
      </c>
      <c r="L331" s="415" t="s">
        <v>798</v>
      </c>
      <c r="M331" s="415" t="s">
        <v>310</v>
      </c>
      <c r="N331" s="414">
        <v>44573</v>
      </c>
      <c r="O331" s="414" t="s">
        <v>400</v>
      </c>
      <c r="P331" s="222">
        <f t="shared" si="21"/>
        <v>1</v>
      </c>
      <c r="Q331" s="222">
        <f t="shared" si="22"/>
        <v>0</v>
      </c>
      <c r="R331" s="532" t="str">
        <f t="shared" si="23"/>
        <v>Gastos_Gerais</v>
      </c>
      <c r="S331" s="467" t="s">
        <v>310</v>
      </c>
      <c r="T331" s="467" t="s">
        <v>310</v>
      </c>
      <c r="U331" s="496"/>
      <c r="V331" s="496"/>
      <c r="W331" s="496"/>
    </row>
    <row r="332" spans="1:23" ht="48" x14ac:dyDescent="0.2">
      <c r="A332" s="510">
        <f t="shared" si="20"/>
        <v>329</v>
      </c>
      <c r="B332" s="428">
        <v>44573</v>
      </c>
      <c r="C332" s="424">
        <v>44531</v>
      </c>
      <c r="D332" s="415" t="s">
        <v>271</v>
      </c>
      <c r="E332" s="415" t="s">
        <v>163</v>
      </c>
      <c r="F332" s="425">
        <v>-67.95</v>
      </c>
      <c r="G332" s="427" t="s">
        <v>1320</v>
      </c>
      <c r="H332" s="415" t="s">
        <v>309</v>
      </c>
      <c r="I332" s="473" t="s">
        <v>795</v>
      </c>
      <c r="J332" s="415" t="s">
        <v>796</v>
      </c>
      <c r="K332" s="415" t="s">
        <v>797</v>
      </c>
      <c r="L332" s="415" t="s">
        <v>798</v>
      </c>
      <c r="M332" s="415" t="s">
        <v>310</v>
      </c>
      <c r="N332" s="414">
        <v>44573</v>
      </c>
      <c r="O332" s="414" t="s">
        <v>400</v>
      </c>
      <c r="P332" s="222">
        <f t="shared" si="21"/>
        <v>1</v>
      </c>
      <c r="Q332" s="222">
        <f t="shared" si="22"/>
        <v>0</v>
      </c>
      <c r="R332" s="532" t="str">
        <f t="shared" si="23"/>
        <v>Gastos_Gerais</v>
      </c>
      <c r="S332" s="467" t="s">
        <v>310</v>
      </c>
      <c r="T332" s="467" t="s">
        <v>310</v>
      </c>
      <c r="U332" s="496"/>
      <c r="V332" s="496"/>
      <c r="W332" s="496"/>
    </row>
    <row r="333" spans="1:23" ht="48" x14ac:dyDescent="0.2">
      <c r="A333" s="510">
        <f t="shared" si="20"/>
        <v>330</v>
      </c>
      <c r="B333" s="428">
        <v>44573</v>
      </c>
      <c r="C333" s="424">
        <v>44531</v>
      </c>
      <c r="D333" s="415" t="s">
        <v>271</v>
      </c>
      <c r="E333" s="415" t="s">
        <v>446</v>
      </c>
      <c r="F333" s="425">
        <v>3800</v>
      </c>
      <c r="G333" s="427" t="s">
        <v>619</v>
      </c>
      <c r="H333" s="415" t="s">
        <v>752</v>
      </c>
      <c r="I333" s="473" t="s">
        <v>1335</v>
      </c>
      <c r="J333" s="415" t="s">
        <v>1062</v>
      </c>
      <c r="K333" s="415" t="s">
        <v>830</v>
      </c>
      <c r="L333" s="415" t="s">
        <v>807</v>
      </c>
      <c r="M333" s="415" t="s">
        <v>848</v>
      </c>
      <c r="N333" s="414">
        <v>44573</v>
      </c>
      <c r="O333" s="414" t="s">
        <v>400</v>
      </c>
      <c r="P333" s="222">
        <f t="shared" si="21"/>
        <v>1</v>
      </c>
      <c r="Q333" s="222">
        <f t="shared" si="22"/>
        <v>0</v>
      </c>
      <c r="R333" s="532" t="str">
        <f t="shared" si="23"/>
        <v>Gastos_Gerais</v>
      </c>
      <c r="S333" s="467" t="s">
        <v>998</v>
      </c>
      <c r="T333" s="467">
        <v>2574</v>
      </c>
      <c r="U333" s="496"/>
      <c r="V333" s="496"/>
      <c r="W333" s="496"/>
    </row>
    <row r="334" spans="1:23" ht="48" x14ac:dyDescent="0.2">
      <c r="A334" s="510">
        <f t="shared" si="20"/>
        <v>331</v>
      </c>
      <c r="B334" s="428">
        <v>44573</v>
      </c>
      <c r="C334" s="424">
        <v>44501</v>
      </c>
      <c r="D334" s="415" t="s">
        <v>271</v>
      </c>
      <c r="E334" s="415" t="s">
        <v>90</v>
      </c>
      <c r="F334" s="425">
        <v>588</v>
      </c>
      <c r="G334" s="427" t="s">
        <v>1345</v>
      </c>
      <c r="H334" s="415" t="s">
        <v>759</v>
      </c>
      <c r="I334" s="473" t="s">
        <v>1346</v>
      </c>
      <c r="J334" s="415" t="s">
        <v>1058</v>
      </c>
      <c r="K334" s="415" t="s">
        <v>830</v>
      </c>
      <c r="L334" s="415" t="s">
        <v>1341</v>
      </c>
      <c r="M334" s="415">
        <v>1538</v>
      </c>
      <c r="N334" s="414">
        <v>44573</v>
      </c>
      <c r="O334" s="414" t="s">
        <v>400</v>
      </c>
      <c r="P334" s="222">
        <f t="shared" si="21"/>
        <v>1</v>
      </c>
      <c r="Q334" s="222">
        <f t="shared" si="22"/>
        <v>-1</v>
      </c>
      <c r="R334" s="532" t="str">
        <f t="shared" si="23"/>
        <v>Gastos_Gerais</v>
      </c>
      <c r="S334" s="467" t="s">
        <v>998</v>
      </c>
      <c r="T334" s="467">
        <v>2489</v>
      </c>
      <c r="U334" s="496"/>
      <c r="V334" s="496"/>
      <c r="W334" s="496"/>
    </row>
    <row r="335" spans="1:23" ht="24" x14ac:dyDescent="0.2">
      <c r="A335" s="510">
        <f t="shared" si="20"/>
        <v>332</v>
      </c>
      <c r="B335" s="428">
        <v>44573</v>
      </c>
      <c r="C335" s="424">
        <v>44531</v>
      </c>
      <c r="D335" s="415" t="s">
        <v>271</v>
      </c>
      <c r="E335" s="415" t="s">
        <v>90</v>
      </c>
      <c r="F335" s="425">
        <v>7349.25</v>
      </c>
      <c r="G335" s="427" t="s">
        <v>489</v>
      </c>
      <c r="H335" s="415" t="s">
        <v>309</v>
      </c>
      <c r="I335" s="473" t="s">
        <v>1349</v>
      </c>
      <c r="J335" s="415" t="s">
        <v>1350</v>
      </c>
      <c r="K335" s="415" t="s">
        <v>830</v>
      </c>
      <c r="L335" s="415" t="s">
        <v>807</v>
      </c>
      <c r="M335" s="415" t="s">
        <v>842</v>
      </c>
      <c r="N335" s="414">
        <v>44573</v>
      </c>
      <c r="O335" s="414" t="s">
        <v>400</v>
      </c>
      <c r="P335" s="222">
        <f t="shared" si="21"/>
        <v>1</v>
      </c>
      <c r="Q335" s="222">
        <f t="shared" si="22"/>
        <v>0</v>
      </c>
      <c r="R335" s="532" t="str">
        <f t="shared" si="23"/>
        <v>Gastos_Gerais</v>
      </c>
      <c r="S335" s="467" t="s">
        <v>1000</v>
      </c>
      <c r="T335" s="467">
        <v>2158</v>
      </c>
      <c r="U335" s="496"/>
      <c r="V335" s="496"/>
      <c r="W335" s="496"/>
    </row>
    <row r="336" spans="1:23" ht="36" x14ac:dyDescent="0.2">
      <c r="A336" s="510">
        <f t="shared" si="20"/>
        <v>333</v>
      </c>
      <c r="B336" s="428">
        <v>44573</v>
      </c>
      <c r="C336" s="424">
        <v>44562</v>
      </c>
      <c r="D336" s="415" t="s">
        <v>271</v>
      </c>
      <c r="E336" s="415" t="s">
        <v>71</v>
      </c>
      <c r="F336" s="425">
        <v>10.45</v>
      </c>
      <c r="G336" s="427" t="s">
        <v>1356</v>
      </c>
      <c r="H336" s="415" t="s">
        <v>752</v>
      </c>
      <c r="I336" s="398" t="s">
        <v>881</v>
      </c>
      <c r="J336" s="418" t="s">
        <v>882</v>
      </c>
      <c r="K336" s="418" t="s">
        <v>883</v>
      </c>
      <c r="L336" s="399" t="s">
        <v>798</v>
      </c>
      <c r="M336" s="544" t="s">
        <v>310</v>
      </c>
      <c r="N336" s="414">
        <v>44573</v>
      </c>
      <c r="O336" s="414" t="s">
        <v>400</v>
      </c>
      <c r="P336" s="222">
        <f t="shared" si="21"/>
        <v>1</v>
      </c>
      <c r="Q336" s="222">
        <f t="shared" si="22"/>
        <v>1</v>
      </c>
      <c r="R336" s="532" t="str">
        <f t="shared" si="23"/>
        <v>Gastos_Gerais</v>
      </c>
      <c r="S336" s="467" t="s">
        <v>310</v>
      </c>
      <c r="T336" s="467" t="s">
        <v>310</v>
      </c>
      <c r="U336" s="496"/>
      <c r="V336" s="496"/>
      <c r="W336" s="496"/>
    </row>
    <row r="337" spans="1:23" ht="36" x14ac:dyDescent="0.2">
      <c r="A337" s="510">
        <f t="shared" si="20"/>
        <v>334</v>
      </c>
      <c r="B337" s="428">
        <v>44573</v>
      </c>
      <c r="C337" s="424">
        <v>44562</v>
      </c>
      <c r="D337" s="415" t="s">
        <v>271</v>
      </c>
      <c r="E337" s="415" t="s">
        <v>71</v>
      </c>
      <c r="F337" s="425">
        <v>10.45</v>
      </c>
      <c r="G337" s="427" t="s">
        <v>1357</v>
      </c>
      <c r="H337" s="415" t="s">
        <v>752</v>
      </c>
      <c r="I337" s="398" t="s">
        <v>881</v>
      </c>
      <c r="J337" s="418" t="s">
        <v>882</v>
      </c>
      <c r="K337" s="418" t="s">
        <v>883</v>
      </c>
      <c r="L337" s="399" t="s">
        <v>798</v>
      </c>
      <c r="M337" s="544" t="s">
        <v>310</v>
      </c>
      <c r="N337" s="414">
        <v>44573</v>
      </c>
      <c r="O337" s="414" t="s">
        <v>400</v>
      </c>
      <c r="P337" s="222">
        <f t="shared" si="21"/>
        <v>1</v>
      </c>
      <c r="Q337" s="222">
        <f t="shared" si="22"/>
        <v>1</v>
      </c>
      <c r="R337" s="532" t="str">
        <f t="shared" si="23"/>
        <v>Gastos_Gerais</v>
      </c>
      <c r="S337" s="467" t="s">
        <v>310</v>
      </c>
      <c r="T337" s="467" t="s">
        <v>310</v>
      </c>
      <c r="U337" s="496"/>
      <c r="V337" s="496"/>
      <c r="W337" s="496"/>
    </row>
    <row r="338" spans="1:23" ht="48" x14ac:dyDescent="0.2">
      <c r="A338" s="510">
        <f t="shared" si="20"/>
        <v>335</v>
      </c>
      <c r="B338" s="428">
        <v>44573</v>
      </c>
      <c r="C338" s="424">
        <v>44562</v>
      </c>
      <c r="D338" s="415" t="s">
        <v>271</v>
      </c>
      <c r="E338" s="415" t="s">
        <v>71</v>
      </c>
      <c r="F338" s="425">
        <v>10.45</v>
      </c>
      <c r="G338" s="427" t="s">
        <v>1358</v>
      </c>
      <c r="H338" s="415" t="s">
        <v>759</v>
      </c>
      <c r="I338" s="398" t="s">
        <v>881</v>
      </c>
      <c r="J338" s="418" t="s">
        <v>882</v>
      </c>
      <c r="K338" s="418" t="s">
        <v>883</v>
      </c>
      <c r="L338" s="399" t="s">
        <v>798</v>
      </c>
      <c r="M338" s="544" t="s">
        <v>310</v>
      </c>
      <c r="N338" s="414">
        <v>44573</v>
      </c>
      <c r="O338" s="414" t="s">
        <v>400</v>
      </c>
      <c r="P338" s="222">
        <f t="shared" si="21"/>
        <v>1</v>
      </c>
      <c r="Q338" s="222">
        <f t="shared" si="22"/>
        <v>1</v>
      </c>
      <c r="R338" s="532" t="str">
        <f t="shared" si="23"/>
        <v>Gastos_Gerais</v>
      </c>
      <c r="S338" s="467" t="s">
        <v>310</v>
      </c>
      <c r="T338" s="467" t="s">
        <v>310</v>
      </c>
      <c r="U338" s="496"/>
      <c r="V338" s="496"/>
      <c r="W338" s="496"/>
    </row>
    <row r="339" spans="1:23" ht="48" x14ac:dyDescent="0.2">
      <c r="A339" s="510">
        <f t="shared" si="20"/>
        <v>336</v>
      </c>
      <c r="B339" s="428">
        <v>44573</v>
      </c>
      <c r="C339" s="424">
        <v>44562</v>
      </c>
      <c r="D339" s="415" t="s">
        <v>271</v>
      </c>
      <c r="E339" s="415" t="s">
        <v>71</v>
      </c>
      <c r="F339" s="425">
        <v>10.45</v>
      </c>
      <c r="G339" s="427" t="s">
        <v>1359</v>
      </c>
      <c r="H339" s="415" t="s">
        <v>759</v>
      </c>
      <c r="I339" s="398" t="s">
        <v>881</v>
      </c>
      <c r="J339" s="418" t="s">
        <v>882</v>
      </c>
      <c r="K339" s="418" t="s">
        <v>883</v>
      </c>
      <c r="L339" s="399" t="s">
        <v>798</v>
      </c>
      <c r="M339" s="544" t="s">
        <v>310</v>
      </c>
      <c r="N339" s="414">
        <v>44573</v>
      </c>
      <c r="O339" s="414" t="s">
        <v>400</v>
      </c>
      <c r="P339" s="222">
        <f t="shared" si="21"/>
        <v>1</v>
      </c>
      <c r="Q339" s="222">
        <f t="shared" si="22"/>
        <v>1</v>
      </c>
      <c r="R339" s="532" t="str">
        <f t="shared" si="23"/>
        <v>Gastos_Gerais</v>
      </c>
      <c r="S339" s="467" t="s">
        <v>310</v>
      </c>
      <c r="T339" s="467" t="s">
        <v>310</v>
      </c>
      <c r="U339" s="496"/>
      <c r="V339" s="496"/>
      <c r="W339" s="496"/>
    </row>
    <row r="340" spans="1:23" ht="48" x14ac:dyDescent="0.2">
      <c r="A340" s="510">
        <f t="shared" si="20"/>
        <v>337</v>
      </c>
      <c r="B340" s="428">
        <v>44573</v>
      </c>
      <c r="C340" s="424">
        <v>44562</v>
      </c>
      <c r="D340" s="415" t="s">
        <v>271</v>
      </c>
      <c r="E340" s="415" t="s">
        <v>71</v>
      </c>
      <c r="F340" s="425">
        <v>10.45</v>
      </c>
      <c r="G340" s="427" t="s">
        <v>1360</v>
      </c>
      <c r="H340" s="415" t="s">
        <v>759</v>
      </c>
      <c r="I340" s="398" t="s">
        <v>881</v>
      </c>
      <c r="J340" s="418" t="s">
        <v>882</v>
      </c>
      <c r="K340" s="418" t="s">
        <v>883</v>
      </c>
      <c r="L340" s="399" t="s">
        <v>798</v>
      </c>
      <c r="M340" s="544" t="s">
        <v>310</v>
      </c>
      <c r="N340" s="414">
        <v>44573</v>
      </c>
      <c r="O340" s="414" t="s">
        <v>400</v>
      </c>
      <c r="P340" s="222">
        <f t="shared" si="21"/>
        <v>1</v>
      </c>
      <c r="Q340" s="222">
        <f t="shared" si="22"/>
        <v>1</v>
      </c>
      <c r="R340" s="532" t="str">
        <f t="shared" si="23"/>
        <v>Gastos_Gerais</v>
      </c>
      <c r="S340" s="467" t="s">
        <v>310</v>
      </c>
      <c r="T340" s="467" t="s">
        <v>310</v>
      </c>
      <c r="U340" s="496"/>
      <c r="V340" s="496"/>
      <c r="W340" s="496"/>
    </row>
    <row r="341" spans="1:23" ht="36" x14ac:dyDescent="0.2">
      <c r="A341" s="510">
        <f t="shared" si="20"/>
        <v>338</v>
      </c>
      <c r="B341" s="428">
        <v>44573</v>
      </c>
      <c r="C341" s="424">
        <v>44562</v>
      </c>
      <c r="D341" s="415" t="s">
        <v>271</v>
      </c>
      <c r="E341" s="415" t="s">
        <v>71</v>
      </c>
      <c r="F341" s="425">
        <v>10.45</v>
      </c>
      <c r="G341" s="427" t="s">
        <v>1361</v>
      </c>
      <c r="H341" s="415" t="s">
        <v>309</v>
      </c>
      <c r="I341" s="398" t="s">
        <v>881</v>
      </c>
      <c r="J341" s="418" t="s">
        <v>882</v>
      </c>
      <c r="K341" s="418" t="s">
        <v>883</v>
      </c>
      <c r="L341" s="399" t="s">
        <v>798</v>
      </c>
      <c r="M341" s="544" t="s">
        <v>310</v>
      </c>
      <c r="N341" s="414">
        <v>44573</v>
      </c>
      <c r="O341" s="414" t="s">
        <v>400</v>
      </c>
      <c r="P341" s="222">
        <f t="shared" si="21"/>
        <v>1</v>
      </c>
      <c r="Q341" s="222">
        <f t="shared" si="22"/>
        <v>1</v>
      </c>
      <c r="R341" s="532" t="str">
        <f t="shared" si="23"/>
        <v>Gastos_Gerais</v>
      </c>
      <c r="S341" s="467" t="s">
        <v>310</v>
      </c>
      <c r="T341" s="467" t="s">
        <v>310</v>
      </c>
      <c r="U341" s="496"/>
      <c r="V341" s="496"/>
      <c r="W341" s="496"/>
    </row>
    <row r="342" spans="1:23" ht="36" x14ac:dyDescent="0.2">
      <c r="A342" s="510">
        <f t="shared" si="20"/>
        <v>339</v>
      </c>
      <c r="B342" s="428">
        <v>44573</v>
      </c>
      <c r="C342" s="424">
        <v>44562</v>
      </c>
      <c r="D342" s="415" t="s">
        <v>271</v>
      </c>
      <c r="E342" s="415" t="s">
        <v>71</v>
      </c>
      <c r="F342" s="425">
        <v>10.45</v>
      </c>
      <c r="G342" s="427" t="s">
        <v>897</v>
      </c>
      <c r="H342" s="415" t="s">
        <v>757</v>
      </c>
      <c r="I342" s="398" t="s">
        <v>881</v>
      </c>
      <c r="J342" s="418" t="s">
        <v>882</v>
      </c>
      <c r="K342" s="418" t="s">
        <v>883</v>
      </c>
      <c r="L342" s="399" t="s">
        <v>798</v>
      </c>
      <c r="M342" s="544" t="s">
        <v>310</v>
      </c>
      <c r="N342" s="414">
        <v>44573</v>
      </c>
      <c r="O342" s="414" t="s">
        <v>400</v>
      </c>
      <c r="P342" s="222">
        <f t="shared" si="21"/>
        <v>1</v>
      </c>
      <c r="Q342" s="222">
        <f t="shared" si="22"/>
        <v>1</v>
      </c>
      <c r="R342" s="532" t="str">
        <f t="shared" si="23"/>
        <v>Gastos_Gerais</v>
      </c>
      <c r="S342" s="467" t="s">
        <v>310</v>
      </c>
      <c r="T342" s="467" t="s">
        <v>310</v>
      </c>
      <c r="U342" s="496"/>
      <c r="V342" s="496"/>
      <c r="W342" s="496"/>
    </row>
    <row r="343" spans="1:23" ht="72" x14ac:dyDescent="0.2">
      <c r="A343" s="510">
        <f t="shared" si="20"/>
        <v>340</v>
      </c>
      <c r="B343" s="428">
        <v>44573</v>
      </c>
      <c r="C343" s="424">
        <v>44562</v>
      </c>
      <c r="D343" s="415" t="s">
        <v>271</v>
      </c>
      <c r="E343" s="415" t="s">
        <v>297</v>
      </c>
      <c r="F343" s="425">
        <v>3835.45</v>
      </c>
      <c r="G343" s="427" t="s">
        <v>715</v>
      </c>
      <c r="H343" s="415" t="s">
        <v>752</v>
      </c>
      <c r="I343" s="473" t="s">
        <v>1332</v>
      </c>
      <c r="J343" s="415" t="s">
        <v>1139</v>
      </c>
      <c r="K343" s="415" t="s">
        <v>830</v>
      </c>
      <c r="L343" s="415" t="s">
        <v>807</v>
      </c>
      <c r="M343" s="415" t="s">
        <v>1333</v>
      </c>
      <c r="N343" s="414">
        <v>44572</v>
      </c>
      <c r="O343" s="414" t="s">
        <v>400</v>
      </c>
      <c r="P343" s="222">
        <f t="shared" si="21"/>
        <v>1</v>
      </c>
      <c r="Q343" s="222">
        <f t="shared" si="22"/>
        <v>1</v>
      </c>
      <c r="R343" s="532" t="str">
        <f t="shared" si="23"/>
        <v>Gastos_Gerais</v>
      </c>
      <c r="S343" s="467" t="s">
        <v>1000</v>
      </c>
      <c r="T343" s="467">
        <v>2718</v>
      </c>
      <c r="U343" s="496"/>
      <c r="V343" s="496"/>
      <c r="W343" s="496"/>
    </row>
    <row r="344" spans="1:23" ht="60" x14ac:dyDescent="0.2">
      <c r="A344" s="510">
        <f t="shared" si="20"/>
        <v>341</v>
      </c>
      <c r="B344" s="428">
        <v>44573</v>
      </c>
      <c r="C344" s="424">
        <v>44531</v>
      </c>
      <c r="D344" s="415" t="s">
        <v>271</v>
      </c>
      <c r="E344" s="415" t="s">
        <v>453</v>
      </c>
      <c r="F344" s="425">
        <v>2150</v>
      </c>
      <c r="G344" s="427" t="s">
        <v>1337</v>
      </c>
      <c r="H344" s="415" t="s">
        <v>759</v>
      </c>
      <c r="I344" s="473" t="s">
        <v>1338</v>
      </c>
      <c r="J344" s="415" t="s">
        <v>1064</v>
      </c>
      <c r="K344" s="415" t="s">
        <v>830</v>
      </c>
      <c r="L344" s="415" t="s">
        <v>807</v>
      </c>
      <c r="M344" s="415" t="s">
        <v>842</v>
      </c>
      <c r="N344" s="414">
        <v>44572</v>
      </c>
      <c r="O344" s="414" t="s">
        <v>400</v>
      </c>
      <c r="P344" s="222">
        <f t="shared" si="21"/>
        <v>1</v>
      </c>
      <c r="Q344" s="222">
        <f t="shared" si="22"/>
        <v>0</v>
      </c>
      <c r="R344" s="532" t="str">
        <f t="shared" si="23"/>
        <v>Gastos_Gerais</v>
      </c>
      <c r="S344" s="467" t="s">
        <v>998</v>
      </c>
      <c r="T344" s="467">
        <v>2549</v>
      </c>
      <c r="U344" s="496"/>
      <c r="V344" s="496"/>
      <c r="W344" s="496"/>
    </row>
    <row r="345" spans="1:23" ht="144" x14ac:dyDescent="0.2">
      <c r="A345" s="510">
        <f t="shared" si="20"/>
        <v>342</v>
      </c>
      <c r="B345" s="428">
        <v>44573</v>
      </c>
      <c r="C345" s="424">
        <v>44531</v>
      </c>
      <c r="D345" s="415" t="s">
        <v>271</v>
      </c>
      <c r="E345" s="415" t="s">
        <v>453</v>
      </c>
      <c r="F345" s="425">
        <v>1998.6</v>
      </c>
      <c r="G345" s="427" t="s">
        <v>1339</v>
      </c>
      <c r="H345" s="415" t="s">
        <v>759</v>
      </c>
      <c r="I345" s="473" t="s">
        <v>1340</v>
      </c>
      <c r="J345" s="415" t="s">
        <v>1060</v>
      </c>
      <c r="K345" s="415" t="s">
        <v>830</v>
      </c>
      <c r="L345" s="415" t="s">
        <v>1341</v>
      </c>
      <c r="M345" s="415">
        <v>1537</v>
      </c>
      <c r="N345" s="414">
        <v>44572</v>
      </c>
      <c r="O345" s="414" t="s">
        <v>400</v>
      </c>
      <c r="P345" s="222">
        <f t="shared" si="21"/>
        <v>1</v>
      </c>
      <c r="Q345" s="222">
        <f t="shared" si="22"/>
        <v>0</v>
      </c>
      <c r="R345" s="532" t="str">
        <f t="shared" si="23"/>
        <v>Gastos_Gerais</v>
      </c>
      <c r="S345" s="467" t="s">
        <v>998</v>
      </c>
      <c r="T345" s="467">
        <v>2539</v>
      </c>
      <c r="U345" s="496"/>
      <c r="V345" s="496"/>
      <c r="W345" s="496"/>
    </row>
    <row r="346" spans="1:23" ht="72" x14ac:dyDescent="0.2">
      <c r="A346" s="510">
        <f t="shared" si="20"/>
        <v>343</v>
      </c>
      <c r="B346" s="428">
        <v>44573</v>
      </c>
      <c r="C346" s="431">
        <v>44531</v>
      </c>
      <c r="D346" s="415" t="s">
        <v>468</v>
      </c>
      <c r="E346" s="415" t="s">
        <v>468</v>
      </c>
      <c r="F346" s="459">
        <v>6077.96</v>
      </c>
      <c r="G346" s="399" t="s">
        <v>2718</v>
      </c>
      <c r="H346" s="415" t="s">
        <v>468</v>
      </c>
      <c r="I346" s="460" t="s">
        <v>2777</v>
      </c>
      <c r="J346" s="468" t="s">
        <v>1093</v>
      </c>
      <c r="K346" s="418" t="s">
        <v>830</v>
      </c>
      <c r="L346" s="399" t="s">
        <v>807</v>
      </c>
      <c r="M346" s="464">
        <v>20222</v>
      </c>
      <c r="N346" s="469">
        <v>44571</v>
      </c>
      <c r="O346" s="414" t="s">
        <v>407</v>
      </c>
      <c r="P346" s="222">
        <f t="shared" si="21"/>
        <v>1</v>
      </c>
      <c r="Q346" s="222">
        <f t="shared" si="22"/>
        <v>0</v>
      </c>
      <c r="R346" s="532" t="str">
        <f t="shared" si="23"/>
        <v>Gastos_custeados_por_captação</v>
      </c>
      <c r="S346" s="467" t="s">
        <v>998</v>
      </c>
      <c r="T346" s="467">
        <v>2525</v>
      </c>
      <c r="U346" s="496"/>
      <c r="V346" s="496"/>
      <c r="W346" s="496"/>
    </row>
    <row r="347" spans="1:23" ht="72" x14ac:dyDescent="0.2">
      <c r="A347" s="510">
        <f t="shared" si="20"/>
        <v>344</v>
      </c>
      <c r="B347" s="428">
        <v>44573</v>
      </c>
      <c r="C347" s="431">
        <v>44531</v>
      </c>
      <c r="D347" s="415" t="s">
        <v>468</v>
      </c>
      <c r="E347" s="415" t="s">
        <v>468</v>
      </c>
      <c r="F347" s="459">
        <v>9000</v>
      </c>
      <c r="G347" s="399" t="s">
        <v>2784</v>
      </c>
      <c r="H347" s="415" t="s">
        <v>468</v>
      </c>
      <c r="I347" s="460" t="s">
        <v>2778</v>
      </c>
      <c r="J347" s="468" t="s">
        <v>1098</v>
      </c>
      <c r="K347" s="418" t="s">
        <v>830</v>
      </c>
      <c r="L347" s="399" t="s">
        <v>807</v>
      </c>
      <c r="M347" s="464">
        <v>6</v>
      </c>
      <c r="N347" s="469">
        <v>44571</v>
      </c>
      <c r="O347" s="414" t="s">
        <v>407</v>
      </c>
      <c r="P347" s="222">
        <f t="shared" si="21"/>
        <v>1</v>
      </c>
      <c r="Q347" s="222">
        <f t="shared" si="22"/>
        <v>0</v>
      </c>
      <c r="R347" s="532" t="str">
        <f t="shared" si="23"/>
        <v>Gastos_custeados_por_captação</v>
      </c>
      <c r="S347" s="467" t="s">
        <v>998</v>
      </c>
      <c r="T347" s="467">
        <v>2492</v>
      </c>
      <c r="U347" s="496"/>
      <c r="V347" s="496"/>
      <c r="W347" s="496"/>
    </row>
    <row r="348" spans="1:23" ht="72" x14ac:dyDescent="0.2">
      <c r="A348" s="510">
        <f t="shared" si="20"/>
        <v>345</v>
      </c>
      <c r="B348" s="428">
        <v>44573</v>
      </c>
      <c r="C348" s="431">
        <v>44531</v>
      </c>
      <c r="D348" s="415" t="s">
        <v>468</v>
      </c>
      <c r="E348" s="415" t="s">
        <v>468</v>
      </c>
      <c r="F348" s="459">
        <v>8819.1</v>
      </c>
      <c r="G348" s="399" t="s">
        <v>2784</v>
      </c>
      <c r="H348" s="415" t="s">
        <v>468</v>
      </c>
      <c r="I348" s="460" t="s">
        <v>2779</v>
      </c>
      <c r="J348" s="468" t="s">
        <v>2781</v>
      </c>
      <c r="K348" s="418" t="s">
        <v>830</v>
      </c>
      <c r="L348" s="399" t="s">
        <v>807</v>
      </c>
      <c r="M348" s="464" t="s">
        <v>2782</v>
      </c>
      <c r="N348" s="469">
        <v>44571</v>
      </c>
      <c r="O348" s="414" t="s">
        <v>407</v>
      </c>
      <c r="P348" s="222">
        <f t="shared" si="21"/>
        <v>1</v>
      </c>
      <c r="Q348" s="222">
        <f t="shared" si="22"/>
        <v>0</v>
      </c>
      <c r="R348" s="532" t="str">
        <f t="shared" si="23"/>
        <v>Gastos_custeados_por_captação</v>
      </c>
      <c r="S348" s="467" t="s">
        <v>998</v>
      </c>
      <c r="T348" s="467">
        <v>2500</v>
      </c>
      <c r="U348" s="496"/>
      <c r="V348" s="496"/>
      <c r="W348" s="496"/>
    </row>
    <row r="349" spans="1:23" ht="36" x14ac:dyDescent="0.2">
      <c r="A349" s="510">
        <f t="shared" si="20"/>
        <v>346</v>
      </c>
      <c r="B349" s="428">
        <v>44573</v>
      </c>
      <c r="C349" s="424">
        <v>44531</v>
      </c>
      <c r="D349" s="415" t="s">
        <v>271</v>
      </c>
      <c r="E349" s="415" t="s">
        <v>64</v>
      </c>
      <c r="F349" s="425">
        <v>497.19</v>
      </c>
      <c r="G349" s="427" t="s">
        <v>1328</v>
      </c>
      <c r="H349" s="415" t="s">
        <v>309</v>
      </c>
      <c r="I349" s="473" t="s">
        <v>1329</v>
      </c>
      <c r="J349" s="415" t="s">
        <v>1330</v>
      </c>
      <c r="K349" s="415" t="s">
        <v>812</v>
      </c>
      <c r="L349" s="415" t="s">
        <v>807</v>
      </c>
      <c r="M349" s="415" t="s">
        <v>1331</v>
      </c>
      <c r="N349" s="414">
        <v>44568</v>
      </c>
      <c r="O349" s="414" t="s">
        <v>400</v>
      </c>
      <c r="P349" s="222">
        <f t="shared" si="21"/>
        <v>1</v>
      </c>
      <c r="Q349" s="222">
        <f t="shared" si="22"/>
        <v>0</v>
      </c>
      <c r="R349" s="532" t="str">
        <f t="shared" si="23"/>
        <v>Gastos_Gerais</v>
      </c>
      <c r="S349" s="467" t="s">
        <v>310</v>
      </c>
      <c r="T349" s="467" t="s">
        <v>310</v>
      </c>
      <c r="U349" s="496"/>
      <c r="V349" s="496"/>
      <c r="W349" s="496"/>
    </row>
    <row r="350" spans="1:23" ht="72" x14ac:dyDescent="0.2">
      <c r="A350" s="510">
        <f t="shared" si="20"/>
        <v>347</v>
      </c>
      <c r="B350" s="428">
        <v>44573</v>
      </c>
      <c r="C350" s="431">
        <v>44531</v>
      </c>
      <c r="D350" s="415" t="s">
        <v>468</v>
      </c>
      <c r="E350" s="415" t="s">
        <v>468</v>
      </c>
      <c r="F350" s="459">
        <v>11748</v>
      </c>
      <c r="G350" s="399" t="s">
        <v>2783</v>
      </c>
      <c r="H350" s="415" t="s">
        <v>468</v>
      </c>
      <c r="I350" s="460" t="s">
        <v>2776</v>
      </c>
      <c r="J350" s="468" t="s">
        <v>2780</v>
      </c>
      <c r="K350" s="418" t="s">
        <v>830</v>
      </c>
      <c r="L350" s="399" t="s">
        <v>807</v>
      </c>
      <c r="M350" s="464">
        <v>20221</v>
      </c>
      <c r="N350" s="469">
        <v>44566</v>
      </c>
      <c r="O350" s="414" t="s">
        <v>407</v>
      </c>
      <c r="P350" s="222">
        <f t="shared" si="21"/>
        <v>1</v>
      </c>
      <c r="Q350" s="222">
        <f t="shared" si="22"/>
        <v>0</v>
      </c>
      <c r="R350" s="532" t="str">
        <f t="shared" si="23"/>
        <v>Gastos_custeados_por_captação</v>
      </c>
      <c r="S350" s="467" t="s">
        <v>998</v>
      </c>
      <c r="T350" s="467">
        <v>2308</v>
      </c>
      <c r="U350" s="496"/>
      <c r="V350" s="496"/>
      <c r="W350" s="496"/>
    </row>
    <row r="351" spans="1:23" ht="48" x14ac:dyDescent="0.2">
      <c r="A351" s="510">
        <f t="shared" si="20"/>
        <v>348</v>
      </c>
      <c r="B351" s="428">
        <v>44573</v>
      </c>
      <c r="C351" s="424">
        <v>44501</v>
      </c>
      <c r="D351" s="415" t="s">
        <v>271</v>
      </c>
      <c r="E351" s="415" t="s">
        <v>453</v>
      </c>
      <c r="F351" s="425">
        <v>2316.1799999999998</v>
      </c>
      <c r="G351" s="427" t="s">
        <v>598</v>
      </c>
      <c r="H351" s="415" t="s">
        <v>757</v>
      </c>
      <c r="I351" s="473" t="s">
        <v>1352</v>
      </c>
      <c r="J351" s="415" t="s">
        <v>1057</v>
      </c>
      <c r="K351" s="415" t="s">
        <v>1353</v>
      </c>
      <c r="L351" s="415" t="s">
        <v>839</v>
      </c>
      <c r="M351" s="415">
        <v>1520</v>
      </c>
      <c r="N351" s="414">
        <v>44565</v>
      </c>
      <c r="O351" s="414" t="s">
        <v>400</v>
      </c>
      <c r="P351" s="222">
        <f t="shared" si="21"/>
        <v>1</v>
      </c>
      <c r="Q351" s="222">
        <f t="shared" si="22"/>
        <v>-1</v>
      </c>
      <c r="R351" s="532" t="str">
        <f t="shared" si="23"/>
        <v>Gastos_Gerais</v>
      </c>
      <c r="S351" s="467" t="s">
        <v>998</v>
      </c>
      <c r="T351" s="467">
        <v>2504</v>
      </c>
      <c r="U351" s="496"/>
      <c r="V351" s="496"/>
      <c r="W351" s="496"/>
    </row>
    <row r="352" spans="1:23" ht="24" x14ac:dyDescent="0.2">
      <c r="A352" s="510">
        <f t="shared" si="20"/>
        <v>349</v>
      </c>
      <c r="B352" s="428">
        <v>44573</v>
      </c>
      <c r="C352" s="424">
        <v>44531</v>
      </c>
      <c r="D352" s="415" t="s">
        <v>271</v>
      </c>
      <c r="E352" s="415" t="s">
        <v>163</v>
      </c>
      <c r="F352" s="425">
        <v>257.29000000000002</v>
      </c>
      <c r="G352" s="427" t="s">
        <v>501</v>
      </c>
      <c r="H352" s="415" t="s">
        <v>309</v>
      </c>
      <c r="I352" s="473" t="s">
        <v>768</v>
      </c>
      <c r="J352" s="415" t="s">
        <v>1323</v>
      </c>
      <c r="K352" s="415" t="s">
        <v>1324</v>
      </c>
      <c r="L352" s="415" t="s">
        <v>807</v>
      </c>
      <c r="M352" s="436" t="s">
        <v>1325</v>
      </c>
      <c r="N352" s="414">
        <v>44549</v>
      </c>
      <c r="O352" s="414" t="s">
        <v>400</v>
      </c>
      <c r="P352" s="222">
        <f t="shared" si="21"/>
        <v>1</v>
      </c>
      <c r="Q352" s="222">
        <f t="shared" si="22"/>
        <v>0</v>
      </c>
      <c r="R352" s="532" t="str">
        <f t="shared" si="23"/>
        <v>Gastos_Gerais</v>
      </c>
      <c r="S352" s="467" t="s">
        <v>310</v>
      </c>
      <c r="T352" s="467" t="s">
        <v>310</v>
      </c>
      <c r="U352" s="496"/>
      <c r="V352" s="496"/>
      <c r="W352" s="496"/>
    </row>
    <row r="353" spans="1:23" ht="108" x14ac:dyDescent="0.2">
      <c r="A353" s="510">
        <f t="shared" si="20"/>
        <v>350</v>
      </c>
      <c r="B353" s="428">
        <v>44573</v>
      </c>
      <c r="C353" s="424">
        <v>44501</v>
      </c>
      <c r="D353" s="415" t="s">
        <v>271</v>
      </c>
      <c r="E353" s="415" t="s">
        <v>456</v>
      </c>
      <c r="F353" s="425">
        <v>785.84</v>
      </c>
      <c r="G353" s="427" t="s">
        <v>606</v>
      </c>
      <c r="H353" s="415" t="s">
        <v>753</v>
      </c>
      <c r="I353" s="473" t="s">
        <v>810</v>
      </c>
      <c r="J353" s="415" t="s">
        <v>1321</v>
      </c>
      <c r="K353" s="415" t="s">
        <v>812</v>
      </c>
      <c r="L353" s="434" t="s">
        <v>807</v>
      </c>
      <c r="M353" s="436" t="s">
        <v>1322</v>
      </c>
      <c r="N353" s="414">
        <v>44545</v>
      </c>
      <c r="O353" s="414" t="s">
        <v>400</v>
      </c>
      <c r="P353" s="222">
        <f t="shared" si="21"/>
        <v>1</v>
      </c>
      <c r="Q353" s="222">
        <f t="shared" si="22"/>
        <v>-1</v>
      </c>
      <c r="R353" s="532" t="str">
        <f t="shared" si="23"/>
        <v>Gastos_Gerais</v>
      </c>
      <c r="S353" s="467" t="s">
        <v>1303</v>
      </c>
      <c r="T353" s="467">
        <v>2513</v>
      </c>
      <c r="U353" s="496"/>
      <c r="V353" s="496"/>
      <c r="W353" s="496"/>
    </row>
    <row r="354" spans="1:23" ht="48" x14ac:dyDescent="0.2">
      <c r="A354" s="510">
        <f t="shared" si="20"/>
        <v>351</v>
      </c>
      <c r="B354" s="428">
        <v>44573</v>
      </c>
      <c r="C354" s="424">
        <v>44501</v>
      </c>
      <c r="D354" s="415" t="s">
        <v>468</v>
      </c>
      <c r="E354" s="415" t="s">
        <v>468</v>
      </c>
      <c r="F354" s="425">
        <v>1500</v>
      </c>
      <c r="G354" s="427" t="s">
        <v>2413</v>
      </c>
      <c r="H354" s="415" t="s">
        <v>468</v>
      </c>
      <c r="I354" s="398" t="s">
        <v>2412</v>
      </c>
      <c r="J354" s="418" t="s">
        <v>2414</v>
      </c>
      <c r="K354" s="418" t="s">
        <v>830</v>
      </c>
      <c r="L354" s="399" t="s">
        <v>807</v>
      </c>
      <c r="M354" s="544">
        <v>229813</v>
      </c>
      <c r="N354" s="414">
        <v>44544</v>
      </c>
      <c r="O354" s="414" t="s">
        <v>408</v>
      </c>
      <c r="P354" s="222">
        <f t="shared" si="21"/>
        <v>1</v>
      </c>
      <c r="Q354" s="222">
        <f t="shared" si="22"/>
        <v>-1</v>
      </c>
      <c r="R354" s="532" t="str">
        <f t="shared" si="23"/>
        <v>Gastos_custeados_por_captação</v>
      </c>
      <c r="S354" s="467" t="s">
        <v>1000</v>
      </c>
      <c r="T354" s="467">
        <v>2456</v>
      </c>
      <c r="U354" s="496"/>
      <c r="V354" s="496"/>
      <c r="W354" s="496"/>
    </row>
    <row r="355" spans="1:23" ht="36" x14ac:dyDescent="0.2">
      <c r="A355" s="510">
        <f t="shared" si="20"/>
        <v>352</v>
      </c>
      <c r="B355" s="428">
        <v>44574</v>
      </c>
      <c r="C355" s="424">
        <v>44562</v>
      </c>
      <c r="D355" s="415" t="s">
        <v>182</v>
      </c>
      <c r="E355" s="415" t="s">
        <v>287</v>
      </c>
      <c r="F355" s="425">
        <v>3193.78</v>
      </c>
      <c r="G355" s="427" t="s">
        <v>1362</v>
      </c>
      <c r="H355" s="415" t="s">
        <v>310</v>
      </c>
      <c r="I355" s="473" t="s">
        <v>941</v>
      </c>
      <c r="J355" s="415" t="s">
        <v>942</v>
      </c>
      <c r="K355" s="415" t="s">
        <v>806</v>
      </c>
      <c r="L355" s="415" t="s">
        <v>925</v>
      </c>
      <c r="M355" s="415" t="s">
        <v>310</v>
      </c>
      <c r="N355" s="414">
        <v>44574</v>
      </c>
      <c r="O355" s="414" t="s">
        <v>400</v>
      </c>
      <c r="P355" s="222">
        <f t="shared" si="21"/>
        <v>1</v>
      </c>
      <c r="Q355" s="222">
        <f t="shared" si="22"/>
        <v>1</v>
      </c>
      <c r="R355" s="532" t="str">
        <f t="shared" si="23"/>
        <v>Gastos_com_Pessoal</v>
      </c>
      <c r="S355" s="467" t="s">
        <v>310</v>
      </c>
      <c r="T355" s="467" t="s">
        <v>310</v>
      </c>
      <c r="U355" s="496"/>
      <c r="V355" s="496"/>
      <c r="W355" s="496"/>
    </row>
    <row r="356" spans="1:23" ht="84" x14ac:dyDescent="0.2">
      <c r="A356" s="510">
        <f t="shared" si="20"/>
        <v>353</v>
      </c>
      <c r="B356" s="428">
        <v>44574</v>
      </c>
      <c r="C356" s="424">
        <v>44531</v>
      </c>
      <c r="D356" s="415" t="s">
        <v>271</v>
      </c>
      <c r="E356" s="415" t="s">
        <v>457</v>
      </c>
      <c r="F356" s="425">
        <v>1000</v>
      </c>
      <c r="G356" s="427" t="s">
        <v>633</v>
      </c>
      <c r="H356" s="415" t="s">
        <v>753</v>
      </c>
      <c r="I356" s="473" t="s">
        <v>1365</v>
      </c>
      <c r="J356" s="415" t="s">
        <v>1067</v>
      </c>
      <c r="K356" s="415" t="s">
        <v>830</v>
      </c>
      <c r="L356" s="415" t="s">
        <v>807</v>
      </c>
      <c r="M356" s="415" t="s">
        <v>842</v>
      </c>
      <c r="N356" s="414">
        <v>44574</v>
      </c>
      <c r="O356" s="414" t="s">
        <v>400</v>
      </c>
      <c r="P356" s="222">
        <f t="shared" si="21"/>
        <v>1</v>
      </c>
      <c r="Q356" s="222">
        <f t="shared" si="22"/>
        <v>0</v>
      </c>
      <c r="R356" s="532" t="str">
        <f t="shared" si="23"/>
        <v>Gastos_Gerais</v>
      </c>
      <c r="S356" s="467" t="s">
        <v>998</v>
      </c>
      <c r="T356" s="467">
        <v>2614</v>
      </c>
      <c r="U356" s="496"/>
      <c r="V356" s="496"/>
      <c r="W356" s="496"/>
    </row>
    <row r="357" spans="1:23" ht="36" x14ac:dyDescent="0.2">
      <c r="A357" s="510">
        <f t="shared" si="20"/>
        <v>354</v>
      </c>
      <c r="B357" s="428">
        <v>44574</v>
      </c>
      <c r="C357" s="424">
        <v>44562</v>
      </c>
      <c r="D357" s="415" t="s">
        <v>271</v>
      </c>
      <c r="E357" s="415" t="s">
        <v>71</v>
      </c>
      <c r="F357" s="425">
        <v>10.45</v>
      </c>
      <c r="G357" s="427" t="s">
        <v>1366</v>
      </c>
      <c r="H357" s="415" t="s">
        <v>753</v>
      </c>
      <c r="I357" s="398" t="s">
        <v>881</v>
      </c>
      <c r="J357" s="418" t="s">
        <v>882</v>
      </c>
      <c r="K357" s="418" t="s">
        <v>883</v>
      </c>
      <c r="L357" s="399" t="s">
        <v>798</v>
      </c>
      <c r="M357" s="544" t="s">
        <v>310</v>
      </c>
      <c r="N357" s="414">
        <v>44574</v>
      </c>
      <c r="O357" s="414" t="s">
        <v>400</v>
      </c>
      <c r="P357" s="222">
        <f t="shared" si="21"/>
        <v>1</v>
      </c>
      <c r="Q357" s="222">
        <f t="shared" si="22"/>
        <v>1</v>
      </c>
      <c r="R357" s="532" t="str">
        <f t="shared" si="23"/>
        <v>Gastos_Gerais</v>
      </c>
      <c r="S357" s="467" t="s">
        <v>310</v>
      </c>
      <c r="T357" s="467" t="s">
        <v>310</v>
      </c>
      <c r="U357" s="496"/>
      <c r="V357" s="496"/>
      <c r="W357" s="496"/>
    </row>
    <row r="358" spans="1:23" ht="69.75" customHeight="1" x14ac:dyDescent="0.2">
      <c r="A358" s="510">
        <f t="shared" si="20"/>
        <v>355</v>
      </c>
      <c r="B358" s="428">
        <v>44574</v>
      </c>
      <c r="C358" s="424">
        <v>44562</v>
      </c>
      <c r="D358" s="415" t="s">
        <v>468</v>
      </c>
      <c r="E358" s="415" t="s">
        <v>468</v>
      </c>
      <c r="F358" s="425">
        <v>153</v>
      </c>
      <c r="G358" s="427" t="s">
        <v>880</v>
      </c>
      <c r="H358" s="415" t="s">
        <v>468</v>
      </c>
      <c r="I358" s="398" t="s">
        <v>881</v>
      </c>
      <c r="J358" s="418" t="s">
        <v>882</v>
      </c>
      <c r="K358" s="418" t="s">
        <v>883</v>
      </c>
      <c r="L358" s="399" t="s">
        <v>798</v>
      </c>
      <c r="M358" s="544" t="s">
        <v>310</v>
      </c>
      <c r="N358" s="414">
        <v>44574</v>
      </c>
      <c r="O358" s="414" t="s">
        <v>408</v>
      </c>
      <c r="P358" s="222">
        <f t="shared" si="21"/>
        <v>1</v>
      </c>
      <c r="Q358" s="222">
        <f t="shared" si="22"/>
        <v>1</v>
      </c>
      <c r="R358" s="532" t="str">
        <f t="shared" si="23"/>
        <v>Gastos_custeados_por_captação</v>
      </c>
      <c r="S358" s="467" t="s">
        <v>310</v>
      </c>
      <c r="T358" s="467" t="s">
        <v>310</v>
      </c>
      <c r="U358" s="496"/>
      <c r="V358" s="496"/>
      <c r="W358" s="496"/>
    </row>
    <row r="359" spans="1:23" ht="72" x14ac:dyDescent="0.2">
      <c r="A359" s="510">
        <f t="shared" si="20"/>
        <v>356</v>
      </c>
      <c r="B359" s="428">
        <v>44574</v>
      </c>
      <c r="C359" s="431">
        <v>44531</v>
      </c>
      <c r="D359" s="415" t="s">
        <v>468</v>
      </c>
      <c r="E359" s="415" t="s">
        <v>468</v>
      </c>
      <c r="F359" s="425">
        <v>2827.55</v>
      </c>
      <c r="G359" s="427" t="s">
        <v>683</v>
      </c>
      <c r="H359" s="415" t="s">
        <v>468</v>
      </c>
      <c r="I359" s="398" t="s">
        <v>2785</v>
      </c>
      <c r="J359" s="418" t="s">
        <v>1101</v>
      </c>
      <c r="K359" s="418" t="s">
        <v>830</v>
      </c>
      <c r="L359" s="399" t="s">
        <v>839</v>
      </c>
      <c r="M359" s="544">
        <v>1531</v>
      </c>
      <c r="N359" s="414">
        <v>44571</v>
      </c>
      <c r="O359" s="414" t="s">
        <v>407</v>
      </c>
      <c r="P359" s="222">
        <f t="shared" si="21"/>
        <v>1</v>
      </c>
      <c r="Q359" s="222">
        <f t="shared" si="22"/>
        <v>0</v>
      </c>
      <c r="R359" s="532" t="str">
        <f t="shared" si="23"/>
        <v>Gastos_custeados_por_captação</v>
      </c>
      <c r="S359" s="467" t="s">
        <v>998</v>
      </c>
      <c r="T359" s="467">
        <v>2570</v>
      </c>
      <c r="U359" s="496"/>
      <c r="V359" s="496"/>
      <c r="W359" s="496"/>
    </row>
    <row r="360" spans="1:23" ht="72" x14ac:dyDescent="0.2">
      <c r="A360" s="510">
        <f t="shared" si="20"/>
        <v>357</v>
      </c>
      <c r="B360" s="428">
        <v>44574</v>
      </c>
      <c r="C360" s="431">
        <v>44531</v>
      </c>
      <c r="D360" s="415" t="s">
        <v>468</v>
      </c>
      <c r="E360" s="415" t="s">
        <v>468</v>
      </c>
      <c r="F360" s="425">
        <v>850</v>
      </c>
      <c r="G360" s="427" t="s">
        <v>684</v>
      </c>
      <c r="H360" s="415" t="s">
        <v>468</v>
      </c>
      <c r="I360" s="398" t="s">
        <v>2786</v>
      </c>
      <c r="J360" s="418" t="s">
        <v>1107</v>
      </c>
      <c r="K360" s="418" t="s">
        <v>830</v>
      </c>
      <c r="L360" s="399" t="s">
        <v>807</v>
      </c>
      <c r="M360" s="544">
        <v>2022</v>
      </c>
      <c r="N360" s="414">
        <v>44568</v>
      </c>
      <c r="O360" s="414" t="s">
        <v>407</v>
      </c>
      <c r="P360" s="222">
        <f t="shared" si="21"/>
        <v>1</v>
      </c>
      <c r="Q360" s="222">
        <f t="shared" si="22"/>
        <v>0</v>
      </c>
      <c r="R360" s="532" t="str">
        <f t="shared" si="23"/>
        <v>Gastos_custeados_por_captação</v>
      </c>
      <c r="S360" s="467" t="s">
        <v>998</v>
      </c>
      <c r="T360" s="467">
        <v>2626</v>
      </c>
      <c r="U360" s="496"/>
      <c r="V360" s="496"/>
      <c r="W360" s="496"/>
    </row>
    <row r="361" spans="1:23" ht="168" x14ac:dyDescent="0.2">
      <c r="A361" s="510">
        <f t="shared" si="20"/>
        <v>358</v>
      </c>
      <c r="B361" s="428">
        <v>44574</v>
      </c>
      <c r="C361" s="424">
        <v>44531</v>
      </c>
      <c r="D361" s="415" t="s">
        <v>271</v>
      </c>
      <c r="E361" s="415" t="s">
        <v>90</v>
      </c>
      <c r="F361" s="425">
        <v>3000</v>
      </c>
      <c r="G361" s="427" t="s">
        <v>481</v>
      </c>
      <c r="H361" s="415" t="s">
        <v>750</v>
      </c>
      <c r="I361" s="473" t="s">
        <v>785</v>
      </c>
      <c r="J361" s="415" t="s">
        <v>1126</v>
      </c>
      <c r="K361" s="415" t="s">
        <v>806</v>
      </c>
      <c r="L361" s="415" t="s">
        <v>807</v>
      </c>
      <c r="M361" s="415" t="s">
        <v>848</v>
      </c>
      <c r="N361" s="414">
        <v>44564</v>
      </c>
      <c r="O361" s="414" t="s">
        <v>400</v>
      </c>
      <c r="P361" s="222">
        <f t="shared" si="21"/>
        <v>1</v>
      </c>
      <c r="Q361" s="222">
        <f t="shared" si="22"/>
        <v>0</v>
      </c>
      <c r="R361" s="532" t="str">
        <f t="shared" si="23"/>
        <v>Gastos_Gerais</v>
      </c>
      <c r="S361" s="467" t="s">
        <v>998</v>
      </c>
      <c r="T361" s="467">
        <v>1273</v>
      </c>
      <c r="U361" s="496"/>
      <c r="V361" s="496"/>
      <c r="W361" s="496"/>
    </row>
    <row r="362" spans="1:23" ht="48" x14ac:dyDescent="0.2">
      <c r="A362" s="510">
        <f t="shared" si="20"/>
        <v>359</v>
      </c>
      <c r="B362" s="428">
        <v>44574</v>
      </c>
      <c r="C362" s="424">
        <v>44562</v>
      </c>
      <c r="D362" s="415" t="s">
        <v>271</v>
      </c>
      <c r="E362" s="415" t="s">
        <v>458</v>
      </c>
      <c r="F362" s="425">
        <v>6782.83</v>
      </c>
      <c r="G362" s="427" t="s">
        <v>657</v>
      </c>
      <c r="H362" s="415" t="s">
        <v>752</v>
      </c>
      <c r="I362" s="473" t="s">
        <v>1363</v>
      </c>
      <c r="J362" s="415" t="s">
        <v>1079</v>
      </c>
      <c r="K362" s="415" t="s">
        <v>812</v>
      </c>
      <c r="L362" s="415" t="s">
        <v>826</v>
      </c>
      <c r="M362" s="546">
        <v>1005100048887</v>
      </c>
      <c r="N362" s="414">
        <v>44564</v>
      </c>
      <c r="O362" s="414" t="s">
        <v>400</v>
      </c>
      <c r="P362" s="222">
        <f t="shared" si="21"/>
        <v>1</v>
      </c>
      <c r="Q362" s="222">
        <f t="shared" si="22"/>
        <v>1</v>
      </c>
      <c r="R362" s="532" t="str">
        <f t="shared" si="23"/>
        <v>Gastos_Gerais</v>
      </c>
      <c r="S362" s="467" t="s">
        <v>998</v>
      </c>
      <c r="T362" s="467">
        <v>2707</v>
      </c>
      <c r="U362" s="496"/>
      <c r="V362" s="496"/>
      <c r="W362" s="496"/>
    </row>
    <row r="363" spans="1:23" ht="48" x14ac:dyDescent="0.2">
      <c r="A363" s="510">
        <f t="shared" si="20"/>
        <v>360</v>
      </c>
      <c r="B363" s="428">
        <v>44574</v>
      </c>
      <c r="C363" s="424">
        <v>44531</v>
      </c>
      <c r="D363" s="415" t="s">
        <v>271</v>
      </c>
      <c r="E363" s="415" t="s">
        <v>455</v>
      </c>
      <c r="F363" s="425">
        <v>533.48</v>
      </c>
      <c r="G363" s="427" t="s">
        <v>628</v>
      </c>
      <c r="H363" s="415" t="s">
        <v>753</v>
      </c>
      <c r="I363" s="473" t="s">
        <v>1364</v>
      </c>
      <c r="J363" s="415" t="s">
        <v>1065</v>
      </c>
      <c r="K363" s="415" t="s">
        <v>812</v>
      </c>
      <c r="L363" s="415" t="s">
        <v>807</v>
      </c>
      <c r="M363" s="415">
        <v>18123</v>
      </c>
      <c r="N363" s="414">
        <v>44546</v>
      </c>
      <c r="O363" s="414" t="s">
        <v>400</v>
      </c>
      <c r="P363" s="222">
        <f t="shared" si="21"/>
        <v>1</v>
      </c>
      <c r="Q363" s="222">
        <f t="shared" si="22"/>
        <v>0</v>
      </c>
      <c r="R363" s="532" t="str">
        <f t="shared" si="23"/>
        <v>Gastos_Gerais</v>
      </c>
      <c r="S363" s="467" t="s">
        <v>1303</v>
      </c>
      <c r="T363" s="467">
        <v>2598</v>
      </c>
      <c r="U363" s="496"/>
      <c r="V363" s="496"/>
      <c r="W363" s="496"/>
    </row>
    <row r="364" spans="1:23" ht="48" x14ac:dyDescent="0.2">
      <c r="A364" s="510">
        <f t="shared" si="20"/>
        <v>361</v>
      </c>
      <c r="B364" s="428">
        <v>44575</v>
      </c>
      <c r="C364" s="424">
        <v>44531</v>
      </c>
      <c r="D364" s="415" t="s">
        <v>271</v>
      </c>
      <c r="E364" s="415" t="s">
        <v>92</v>
      </c>
      <c r="F364" s="425">
        <v>-132.05000000000001</v>
      </c>
      <c r="G364" s="427" t="s">
        <v>1367</v>
      </c>
      <c r="H364" s="415" t="s">
        <v>309</v>
      </c>
      <c r="I364" s="474" t="s">
        <v>795</v>
      </c>
      <c r="J364" s="434" t="s">
        <v>796</v>
      </c>
      <c r="K364" s="434" t="s">
        <v>797</v>
      </c>
      <c r="L364" s="434" t="s">
        <v>798</v>
      </c>
      <c r="M364" s="436" t="s">
        <v>310</v>
      </c>
      <c r="N364" s="414">
        <v>44575</v>
      </c>
      <c r="O364" s="414" t="s">
        <v>400</v>
      </c>
      <c r="P364" s="222">
        <f t="shared" si="21"/>
        <v>1</v>
      </c>
      <c r="Q364" s="222">
        <f t="shared" si="22"/>
        <v>0</v>
      </c>
      <c r="R364" s="532" t="str">
        <f t="shared" si="23"/>
        <v>Gastos_Gerais</v>
      </c>
      <c r="S364" s="467" t="s">
        <v>310</v>
      </c>
      <c r="T364" s="467" t="s">
        <v>310</v>
      </c>
      <c r="U364" s="496"/>
      <c r="V364" s="496"/>
      <c r="W364" s="496"/>
    </row>
    <row r="365" spans="1:23" ht="48" x14ac:dyDescent="0.2">
      <c r="A365" s="510">
        <f t="shared" si="20"/>
        <v>362</v>
      </c>
      <c r="B365" s="428">
        <v>44575</v>
      </c>
      <c r="C365" s="424">
        <v>44562</v>
      </c>
      <c r="D365" s="415" t="s">
        <v>34</v>
      </c>
      <c r="E365" s="415" t="s">
        <v>167</v>
      </c>
      <c r="F365" s="425">
        <v>550</v>
      </c>
      <c r="G365" s="427" t="s">
        <v>906</v>
      </c>
      <c r="H365" s="415" t="s">
        <v>310</v>
      </c>
      <c r="I365" s="473" t="s">
        <v>795</v>
      </c>
      <c r="J365" s="415" t="s">
        <v>796</v>
      </c>
      <c r="K365" s="415" t="s">
        <v>797</v>
      </c>
      <c r="L365" s="415" t="s">
        <v>798</v>
      </c>
      <c r="M365" s="415" t="s">
        <v>310</v>
      </c>
      <c r="N365" s="414">
        <v>44575</v>
      </c>
      <c r="O365" s="414" t="s">
        <v>400</v>
      </c>
      <c r="P365" s="222">
        <f t="shared" si="21"/>
        <v>1</v>
      </c>
      <c r="Q365" s="222">
        <f t="shared" si="22"/>
        <v>1</v>
      </c>
      <c r="R365" s="532" t="str">
        <f t="shared" si="23"/>
        <v>Receitas</v>
      </c>
      <c r="S365" s="467" t="s">
        <v>310</v>
      </c>
      <c r="T365" s="467" t="s">
        <v>310</v>
      </c>
      <c r="U365" s="496"/>
      <c r="V365" s="496"/>
      <c r="W365" s="496"/>
    </row>
    <row r="366" spans="1:23" ht="24" x14ac:dyDescent="0.2">
      <c r="A366" s="510">
        <f t="shared" si="20"/>
        <v>363</v>
      </c>
      <c r="B366" s="428">
        <v>44575</v>
      </c>
      <c r="C366" s="424">
        <v>44501</v>
      </c>
      <c r="D366" s="415" t="s">
        <v>271</v>
      </c>
      <c r="E366" s="415" t="s">
        <v>442</v>
      </c>
      <c r="F366" s="425">
        <v>643.5</v>
      </c>
      <c r="G366" s="427" t="s">
        <v>1369</v>
      </c>
      <c r="H366" s="415" t="s">
        <v>756</v>
      </c>
      <c r="I366" s="398" t="s">
        <v>1461</v>
      </c>
      <c r="J366" s="418" t="s">
        <v>310</v>
      </c>
      <c r="K366" s="418" t="s">
        <v>1220</v>
      </c>
      <c r="L366" s="399" t="s">
        <v>1368</v>
      </c>
      <c r="M366" s="544" t="s">
        <v>310</v>
      </c>
      <c r="N366" s="414">
        <v>44575</v>
      </c>
      <c r="O366" s="414" t="s">
        <v>400</v>
      </c>
      <c r="P366" s="222">
        <f t="shared" si="21"/>
        <v>1</v>
      </c>
      <c r="Q366" s="222">
        <f t="shared" si="22"/>
        <v>-1</v>
      </c>
      <c r="R366" s="532" t="str">
        <f t="shared" si="23"/>
        <v>Gastos_Gerais</v>
      </c>
      <c r="S366" s="467" t="s">
        <v>310</v>
      </c>
      <c r="T366" s="467" t="s">
        <v>310</v>
      </c>
      <c r="U366" s="535"/>
      <c r="V366" s="535"/>
      <c r="W366" s="535"/>
    </row>
    <row r="367" spans="1:23" ht="24" x14ac:dyDescent="0.2">
      <c r="A367" s="510">
        <f t="shared" si="20"/>
        <v>364</v>
      </c>
      <c r="B367" s="428">
        <v>44575</v>
      </c>
      <c r="C367" s="424">
        <v>44501</v>
      </c>
      <c r="D367" s="415" t="s">
        <v>271</v>
      </c>
      <c r="E367" s="415" t="s">
        <v>442</v>
      </c>
      <c r="F367" s="425">
        <v>700</v>
      </c>
      <c r="G367" s="427" t="s">
        <v>1370</v>
      </c>
      <c r="H367" s="415" t="s">
        <v>756</v>
      </c>
      <c r="I367" s="398" t="s">
        <v>1461</v>
      </c>
      <c r="J367" s="418" t="s">
        <v>310</v>
      </c>
      <c r="K367" s="418" t="s">
        <v>1220</v>
      </c>
      <c r="L367" s="399" t="s">
        <v>1368</v>
      </c>
      <c r="M367" s="544" t="s">
        <v>310</v>
      </c>
      <c r="N367" s="414">
        <v>44575</v>
      </c>
      <c r="O367" s="414" t="s">
        <v>400</v>
      </c>
      <c r="P367" s="222">
        <f t="shared" si="21"/>
        <v>1</v>
      </c>
      <c r="Q367" s="222">
        <f t="shared" si="22"/>
        <v>-1</v>
      </c>
      <c r="R367" s="532" t="str">
        <f t="shared" si="23"/>
        <v>Gastos_Gerais</v>
      </c>
      <c r="S367" s="467" t="s">
        <v>310</v>
      </c>
      <c r="T367" s="467" t="s">
        <v>310</v>
      </c>
      <c r="U367" s="496"/>
      <c r="V367" s="496"/>
      <c r="W367" s="496"/>
    </row>
    <row r="368" spans="1:23" ht="36" x14ac:dyDescent="0.2">
      <c r="A368" s="510">
        <f t="shared" si="20"/>
        <v>365</v>
      </c>
      <c r="B368" s="428">
        <v>44575</v>
      </c>
      <c r="C368" s="424">
        <v>44562</v>
      </c>
      <c r="D368" s="415" t="s">
        <v>271</v>
      </c>
      <c r="E368" s="415" t="s">
        <v>71</v>
      </c>
      <c r="F368" s="425">
        <v>10.45</v>
      </c>
      <c r="G368" s="427" t="s">
        <v>1377</v>
      </c>
      <c r="H368" s="415" t="s">
        <v>760</v>
      </c>
      <c r="I368" s="398" t="s">
        <v>881</v>
      </c>
      <c r="J368" s="418" t="s">
        <v>882</v>
      </c>
      <c r="K368" s="418" t="s">
        <v>883</v>
      </c>
      <c r="L368" s="399" t="s">
        <v>798</v>
      </c>
      <c r="M368" s="544" t="s">
        <v>310</v>
      </c>
      <c r="N368" s="414">
        <v>44575</v>
      </c>
      <c r="O368" s="414" t="s">
        <v>400</v>
      </c>
      <c r="P368" s="222">
        <f t="shared" si="21"/>
        <v>1</v>
      </c>
      <c r="Q368" s="222">
        <f t="shared" si="22"/>
        <v>1</v>
      </c>
      <c r="R368" s="532" t="str">
        <f t="shared" si="23"/>
        <v>Gastos_Gerais</v>
      </c>
      <c r="S368" s="467" t="s">
        <v>310</v>
      </c>
      <c r="T368" s="467" t="s">
        <v>310</v>
      </c>
      <c r="U368" s="496"/>
      <c r="V368" s="496"/>
      <c r="W368" s="496"/>
    </row>
    <row r="369" spans="1:23" ht="72" x14ac:dyDescent="0.2">
      <c r="A369" s="510">
        <f t="shared" si="20"/>
        <v>366</v>
      </c>
      <c r="B369" s="428">
        <v>44575</v>
      </c>
      <c r="C369" s="431">
        <v>44531</v>
      </c>
      <c r="D369" s="415" t="s">
        <v>468</v>
      </c>
      <c r="E369" s="415" t="s">
        <v>468</v>
      </c>
      <c r="F369" s="459">
        <v>13484.39</v>
      </c>
      <c r="G369" s="399" t="s">
        <v>2791</v>
      </c>
      <c r="H369" s="415" t="s">
        <v>468</v>
      </c>
      <c r="I369" s="460" t="s">
        <v>780</v>
      </c>
      <c r="J369" s="468" t="s">
        <v>1051</v>
      </c>
      <c r="K369" s="418" t="s">
        <v>830</v>
      </c>
      <c r="L369" s="399" t="s">
        <v>807</v>
      </c>
      <c r="M369" s="464">
        <v>20228</v>
      </c>
      <c r="N369" s="469">
        <v>44575</v>
      </c>
      <c r="O369" s="414" t="s">
        <v>407</v>
      </c>
      <c r="P369" s="222">
        <f t="shared" si="21"/>
        <v>1</v>
      </c>
      <c r="Q369" s="222">
        <f t="shared" si="22"/>
        <v>0</v>
      </c>
      <c r="R369" s="532" t="str">
        <f t="shared" si="23"/>
        <v>Gastos_custeados_por_captação</v>
      </c>
      <c r="S369" s="467" t="s">
        <v>1000</v>
      </c>
      <c r="T369" s="467">
        <v>2625</v>
      </c>
      <c r="U369" s="496"/>
      <c r="V369" s="496"/>
      <c r="W369" s="496"/>
    </row>
    <row r="370" spans="1:23" ht="72" x14ac:dyDescent="0.2">
      <c r="A370" s="510">
        <f t="shared" si="20"/>
        <v>367</v>
      </c>
      <c r="B370" s="428">
        <v>44575</v>
      </c>
      <c r="C370" s="431">
        <v>44531</v>
      </c>
      <c r="D370" s="415" t="s">
        <v>468</v>
      </c>
      <c r="E370" s="415" t="s">
        <v>468</v>
      </c>
      <c r="F370" s="459">
        <v>7467.01</v>
      </c>
      <c r="G370" s="399" t="s">
        <v>2792</v>
      </c>
      <c r="H370" s="415" t="s">
        <v>468</v>
      </c>
      <c r="I370" s="460" t="s">
        <v>780</v>
      </c>
      <c r="J370" s="468" t="s">
        <v>1051</v>
      </c>
      <c r="K370" s="418" t="s">
        <v>830</v>
      </c>
      <c r="L370" s="399" t="s">
        <v>807</v>
      </c>
      <c r="M370" s="464">
        <v>20229</v>
      </c>
      <c r="N370" s="469">
        <v>44575</v>
      </c>
      <c r="O370" s="414" t="s">
        <v>407</v>
      </c>
      <c r="P370" s="222">
        <f t="shared" si="21"/>
        <v>1</v>
      </c>
      <c r="Q370" s="222">
        <f t="shared" si="22"/>
        <v>0</v>
      </c>
      <c r="R370" s="532" t="str">
        <f t="shared" si="23"/>
        <v>Gastos_custeados_por_captação</v>
      </c>
      <c r="S370" s="467" t="s">
        <v>1000</v>
      </c>
      <c r="T370" s="467">
        <v>2625</v>
      </c>
      <c r="U370" s="496"/>
      <c r="V370" s="496"/>
      <c r="W370" s="496"/>
    </row>
    <row r="371" spans="1:23" ht="72" x14ac:dyDescent="0.2">
      <c r="A371" s="510">
        <f t="shared" si="20"/>
        <v>368</v>
      </c>
      <c r="B371" s="428">
        <v>44575</v>
      </c>
      <c r="C371" s="431">
        <v>44531</v>
      </c>
      <c r="D371" s="415" t="s">
        <v>468</v>
      </c>
      <c r="E371" s="415" t="s">
        <v>468</v>
      </c>
      <c r="F371" s="459">
        <v>7384.31</v>
      </c>
      <c r="G371" s="399" t="s">
        <v>2793</v>
      </c>
      <c r="H371" s="415" t="s">
        <v>468</v>
      </c>
      <c r="I371" s="460" t="s">
        <v>780</v>
      </c>
      <c r="J371" s="468" t="s">
        <v>1051</v>
      </c>
      <c r="K371" s="418" t="s">
        <v>830</v>
      </c>
      <c r="L371" s="399" t="s">
        <v>807</v>
      </c>
      <c r="M371" s="464">
        <v>202210</v>
      </c>
      <c r="N371" s="469">
        <v>44575</v>
      </c>
      <c r="O371" s="414" t="s">
        <v>407</v>
      </c>
      <c r="P371" s="222">
        <f t="shared" si="21"/>
        <v>1</v>
      </c>
      <c r="Q371" s="222">
        <f t="shared" si="22"/>
        <v>0</v>
      </c>
      <c r="R371" s="532" t="str">
        <f t="shared" si="23"/>
        <v>Gastos_custeados_por_captação</v>
      </c>
      <c r="S371" s="467" t="s">
        <v>998</v>
      </c>
      <c r="T371" s="467">
        <v>2625</v>
      </c>
      <c r="U371" s="496"/>
      <c r="V371" s="496"/>
      <c r="W371" s="496"/>
    </row>
    <row r="372" spans="1:23" ht="72" x14ac:dyDescent="0.2">
      <c r="A372" s="510">
        <f t="shared" si="20"/>
        <v>369</v>
      </c>
      <c r="B372" s="428">
        <v>44575</v>
      </c>
      <c r="C372" s="431">
        <v>44531</v>
      </c>
      <c r="D372" s="415" t="s">
        <v>468</v>
      </c>
      <c r="E372" s="415" t="s">
        <v>468</v>
      </c>
      <c r="F372" s="459">
        <v>5940</v>
      </c>
      <c r="G372" s="399" t="s">
        <v>2794</v>
      </c>
      <c r="H372" s="415" t="s">
        <v>468</v>
      </c>
      <c r="I372" s="460" t="s">
        <v>2788</v>
      </c>
      <c r="J372" s="468" t="s">
        <v>1116</v>
      </c>
      <c r="K372" s="418" t="s">
        <v>830</v>
      </c>
      <c r="L372" s="399" t="s">
        <v>807</v>
      </c>
      <c r="M372" s="464">
        <v>206</v>
      </c>
      <c r="N372" s="469">
        <v>44575</v>
      </c>
      <c r="O372" s="414" t="s">
        <v>407</v>
      </c>
      <c r="P372" s="222">
        <f t="shared" si="21"/>
        <v>1</v>
      </c>
      <c r="Q372" s="222">
        <f t="shared" si="22"/>
        <v>0</v>
      </c>
      <c r="R372" s="532" t="str">
        <f t="shared" si="23"/>
        <v>Gastos_custeados_por_captação</v>
      </c>
      <c r="S372" s="467" t="s">
        <v>998</v>
      </c>
      <c r="T372" s="467">
        <v>2585</v>
      </c>
      <c r="U372" s="496"/>
      <c r="V372" s="496"/>
      <c r="W372" s="496"/>
    </row>
    <row r="373" spans="1:23" ht="72" x14ac:dyDescent="0.2">
      <c r="A373" s="510">
        <f t="shared" si="20"/>
        <v>370</v>
      </c>
      <c r="B373" s="428">
        <v>44575</v>
      </c>
      <c r="C373" s="431">
        <v>44531</v>
      </c>
      <c r="D373" s="415" t="s">
        <v>468</v>
      </c>
      <c r="E373" s="415" t="s">
        <v>468</v>
      </c>
      <c r="F373" s="459">
        <v>2500</v>
      </c>
      <c r="G373" s="399" t="s">
        <v>2795</v>
      </c>
      <c r="H373" s="415" t="s">
        <v>468</v>
      </c>
      <c r="I373" s="460" t="s">
        <v>2789</v>
      </c>
      <c r="J373" s="468" t="s">
        <v>1113</v>
      </c>
      <c r="K373" s="418" t="s">
        <v>830</v>
      </c>
      <c r="L373" s="399" t="s">
        <v>807</v>
      </c>
      <c r="M373" s="464">
        <v>18</v>
      </c>
      <c r="N373" s="469">
        <v>44575</v>
      </c>
      <c r="O373" s="414" t="s">
        <v>407</v>
      </c>
      <c r="P373" s="222">
        <f t="shared" si="21"/>
        <v>1</v>
      </c>
      <c r="Q373" s="222">
        <f t="shared" si="22"/>
        <v>0</v>
      </c>
      <c r="R373" s="532" t="str">
        <f t="shared" si="23"/>
        <v>Gastos_custeados_por_captação</v>
      </c>
      <c r="S373" s="467" t="s">
        <v>998</v>
      </c>
      <c r="T373" s="467">
        <v>2590</v>
      </c>
      <c r="U373" s="496"/>
      <c r="V373" s="496"/>
      <c r="W373" s="496"/>
    </row>
    <row r="374" spans="1:23" ht="60" x14ac:dyDescent="0.2">
      <c r="A374" s="510">
        <f t="shared" si="20"/>
        <v>371</v>
      </c>
      <c r="B374" s="428">
        <v>44575</v>
      </c>
      <c r="C374" s="424">
        <v>44501</v>
      </c>
      <c r="D374" s="415" t="s">
        <v>271</v>
      </c>
      <c r="E374" s="415" t="s">
        <v>456</v>
      </c>
      <c r="F374" s="425">
        <v>756</v>
      </c>
      <c r="G374" s="427" t="s">
        <v>580</v>
      </c>
      <c r="H374" s="415" t="s">
        <v>760</v>
      </c>
      <c r="I374" s="473" t="s">
        <v>1374</v>
      </c>
      <c r="J374" s="415" t="s">
        <v>1049</v>
      </c>
      <c r="K374" s="415" t="s">
        <v>830</v>
      </c>
      <c r="L374" s="415" t="s">
        <v>839</v>
      </c>
      <c r="M374" s="415">
        <v>1536</v>
      </c>
      <c r="N374" s="414">
        <v>44572</v>
      </c>
      <c r="O374" s="414" t="s">
        <v>400</v>
      </c>
      <c r="P374" s="222">
        <f t="shared" si="21"/>
        <v>1</v>
      </c>
      <c r="Q374" s="222">
        <f t="shared" si="22"/>
        <v>-1</v>
      </c>
      <c r="R374" s="532" t="str">
        <f t="shared" si="23"/>
        <v>Gastos_Gerais</v>
      </c>
      <c r="S374" s="467" t="s">
        <v>998</v>
      </c>
      <c r="T374" s="467">
        <v>2291</v>
      </c>
      <c r="U374" s="496"/>
      <c r="V374" s="496"/>
      <c r="W374" s="496"/>
    </row>
    <row r="375" spans="1:23" ht="144" x14ac:dyDescent="0.2">
      <c r="A375" s="510">
        <f t="shared" si="20"/>
        <v>372</v>
      </c>
      <c r="B375" s="428">
        <v>44575</v>
      </c>
      <c r="C375" s="424">
        <v>44531</v>
      </c>
      <c r="D375" s="415" t="s">
        <v>271</v>
      </c>
      <c r="E375" s="415" t="s">
        <v>92</v>
      </c>
      <c r="F375" s="425">
        <v>500</v>
      </c>
      <c r="G375" s="427" t="s">
        <v>474</v>
      </c>
      <c r="H375" s="415" t="s">
        <v>309</v>
      </c>
      <c r="I375" s="460" t="s">
        <v>1371</v>
      </c>
      <c r="J375" s="412" t="s">
        <v>1011</v>
      </c>
      <c r="K375" s="418" t="s">
        <v>812</v>
      </c>
      <c r="L375" s="399" t="s">
        <v>1372</v>
      </c>
      <c r="M375" s="415" t="s">
        <v>1373</v>
      </c>
      <c r="N375" s="414">
        <v>44565</v>
      </c>
      <c r="O375" s="414" t="s">
        <v>400</v>
      </c>
      <c r="P375" s="222">
        <f t="shared" si="21"/>
        <v>1</v>
      </c>
      <c r="Q375" s="222">
        <f t="shared" si="22"/>
        <v>0</v>
      </c>
      <c r="R375" s="532" t="str">
        <f t="shared" si="23"/>
        <v>Gastos_Gerais</v>
      </c>
      <c r="S375" s="467" t="s">
        <v>998</v>
      </c>
      <c r="T375" s="467">
        <v>1143</v>
      </c>
      <c r="U375" s="496"/>
      <c r="V375" s="496"/>
      <c r="W375" s="496"/>
    </row>
    <row r="376" spans="1:23" ht="72" x14ac:dyDescent="0.2">
      <c r="A376" s="510">
        <f t="shared" si="20"/>
        <v>373</v>
      </c>
      <c r="B376" s="428">
        <v>44575</v>
      </c>
      <c r="C376" s="424">
        <v>44531</v>
      </c>
      <c r="D376" s="415" t="s">
        <v>468</v>
      </c>
      <c r="E376" s="415" t="s">
        <v>468</v>
      </c>
      <c r="F376" s="459">
        <v>296.19</v>
      </c>
      <c r="G376" s="399" t="s">
        <v>2790</v>
      </c>
      <c r="H376" s="415" t="s">
        <v>468</v>
      </c>
      <c r="I376" s="460" t="s">
        <v>2787</v>
      </c>
      <c r="J376" s="468" t="s">
        <v>2668</v>
      </c>
      <c r="K376" s="418" t="s">
        <v>830</v>
      </c>
      <c r="L376" s="399" t="s">
        <v>807</v>
      </c>
      <c r="M376" s="464">
        <v>359784</v>
      </c>
      <c r="N376" s="469">
        <v>44547</v>
      </c>
      <c r="O376" s="414" t="s">
        <v>407</v>
      </c>
      <c r="P376" s="222">
        <f t="shared" si="21"/>
        <v>1</v>
      </c>
      <c r="Q376" s="222">
        <f t="shared" si="22"/>
        <v>0</v>
      </c>
      <c r="R376" s="532" t="str">
        <f t="shared" si="23"/>
        <v>Gastos_custeados_por_captação</v>
      </c>
      <c r="S376" s="467" t="s">
        <v>1303</v>
      </c>
      <c r="T376" s="467">
        <v>2646</v>
      </c>
      <c r="U376" s="496"/>
      <c r="V376" s="496"/>
      <c r="W376" s="496"/>
    </row>
    <row r="377" spans="1:23" ht="60" x14ac:dyDescent="0.2">
      <c r="A377" s="510">
        <f t="shared" si="20"/>
        <v>374</v>
      </c>
      <c r="B377" s="428">
        <v>44578</v>
      </c>
      <c r="C377" s="424">
        <v>44531</v>
      </c>
      <c r="D377" s="415" t="s">
        <v>468</v>
      </c>
      <c r="E377" s="415" t="s">
        <v>468</v>
      </c>
      <c r="F377" s="425">
        <v>9000</v>
      </c>
      <c r="G377" s="427" t="s">
        <v>2675</v>
      </c>
      <c r="H377" s="415" t="s">
        <v>468</v>
      </c>
      <c r="I377" s="473" t="s">
        <v>2676</v>
      </c>
      <c r="J377" s="415" t="s">
        <v>2677</v>
      </c>
      <c r="K377" s="415" t="s">
        <v>830</v>
      </c>
      <c r="L377" s="415" t="s">
        <v>807</v>
      </c>
      <c r="M377" s="415">
        <v>513</v>
      </c>
      <c r="N377" s="414">
        <v>44905</v>
      </c>
      <c r="O377" s="414" t="s">
        <v>404</v>
      </c>
      <c r="P377" s="222">
        <f t="shared" si="21"/>
        <v>1</v>
      </c>
      <c r="Q377" s="222">
        <f t="shared" si="22"/>
        <v>0</v>
      </c>
      <c r="R377" s="532" t="str">
        <f t="shared" si="23"/>
        <v>Gastos_custeados_por_captação</v>
      </c>
      <c r="S377" s="467" t="s">
        <v>998</v>
      </c>
      <c r="T377" s="467">
        <v>1695</v>
      </c>
      <c r="U377" s="496"/>
      <c r="V377" s="496"/>
      <c r="W377" s="496"/>
    </row>
    <row r="378" spans="1:23" ht="48" x14ac:dyDescent="0.2">
      <c r="A378" s="510">
        <f t="shared" si="20"/>
        <v>375</v>
      </c>
      <c r="B378" s="465">
        <v>44578</v>
      </c>
      <c r="C378" s="466">
        <v>44562</v>
      </c>
      <c r="D378" s="415" t="s">
        <v>182</v>
      </c>
      <c r="E378" s="415" t="s">
        <v>325</v>
      </c>
      <c r="F378" s="435">
        <v>-225.4</v>
      </c>
      <c r="G378" s="427" t="s">
        <v>1378</v>
      </c>
      <c r="H378" s="415" t="s">
        <v>310</v>
      </c>
      <c r="I378" s="473" t="s">
        <v>795</v>
      </c>
      <c r="J378" s="415" t="s">
        <v>796</v>
      </c>
      <c r="K378" s="415" t="s">
        <v>797</v>
      </c>
      <c r="L378" s="415" t="s">
        <v>798</v>
      </c>
      <c r="M378" s="415" t="s">
        <v>310</v>
      </c>
      <c r="N378" s="455">
        <v>44578</v>
      </c>
      <c r="O378" s="414" t="s">
        <v>400</v>
      </c>
      <c r="P378" s="222">
        <f t="shared" si="21"/>
        <v>1</v>
      </c>
      <c r="Q378" s="222">
        <f t="shared" si="22"/>
        <v>1</v>
      </c>
      <c r="R378" s="532" t="str">
        <f t="shared" si="23"/>
        <v>Gastos_com_Pessoal</v>
      </c>
      <c r="S378" s="467" t="s">
        <v>310</v>
      </c>
      <c r="T378" s="467" t="s">
        <v>310</v>
      </c>
      <c r="U378" s="496"/>
      <c r="V378" s="496"/>
      <c r="W378" s="496"/>
    </row>
    <row r="379" spans="1:23" ht="48" x14ac:dyDescent="0.2">
      <c r="A379" s="510">
        <f t="shared" si="20"/>
        <v>376</v>
      </c>
      <c r="B379" s="465">
        <v>44578</v>
      </c>
      <c r="C379" s="466">
        <v>44501</v>
      </c>
      <c r="D379" s="415" t="s">
        <v>182</v>
      </c>
      <c r="E379" s="415" t="s">
        <v>1</v>
      </c>
      <c r="F379" s="435">
        <v>-30.31</v>
      </c>
      <c r="G379" s="427" t="s">
        <v>1379</v>
      </c>
      <c r="H379" s="415" t="s">
        <v>310</v>
      </c>
      <c r="I379" s="473" t="s">
        <v>795</v>
      </c>
      <c r="J379" s="415" t="s">
        <v>796</v>
      </c>
      <c r="K379" s="415" t="s">
        <v>797</v>
      </c>
      <c r="L379" s="415" t="s">
        <v>798</v>
      </c>
      <c r="M379" s="415" t="s">
        <v>310</v>
      </c>
      <c r="N379" s="455">
        <v>44578</v>
      </c>
      <c r="O379" s="414" t="s">
        <v>400</v>
      </c>
      <c r="P379" s="222">
        <f t="shared" si="21"/>
        <v>1</v>
      </c>
      <c r="Q379" s="222">
        <f t="shared" si="22"/>
        <v>-1</v>
      </c>
      <c r="R379" s="532" t="str">
        <f t="shared" si="23"/>
        <v>Gastos_com_Pessoal</v>
      </c>
      <c r="S379" s="467" t="s">
        <v>310</v>
      </c>
      <c r="T379" s="467" t="s">
        <v>310</v>
      </c>
      <c r="U379" s="496"/>
      <c r="V379" s="496"/>
      <c r="W379" s="496"/>
    </row>
    <row r="380" spans="1:23" ht="48" x14ac:dyDescent="0.2">
      <c r="A380" s="510">
        <f t="shared" si="20"/>
        <v>377</v>
      </c>
      <c r="B380" s="465">
        <v>44578</v>
      </c>
      <c r="C380" s="466">
        <v>44531</v>
      </c>
      <c r="D380" s="415" t="s">
        <v>271</v>
      </c>
      <c r="E380" s="415" t="s">
        <v>85</v>
      </c>
      <c r="F380" s="435">
        <v>-91.81</v>
      </c>
      <c r="G380" s="427" t="s">
        <v>1380</v>
      </c>
      <c r="H380" s="415" t="s">
        <v>309</v>
      </c>
      <c r="I380" s="473" t="s">
        <v>795</v>
      </c>
      <c r="J380" s="415" t="s">
        <v>796</v>
      </c>
      <c r="K380" s="415" t="s">
        <v>797</v>
      </c>
      <c r="L380" s="415" t="s">
        <v>798</v>
      </c>
      <c r="M380" s="415" t="s">
        <v>310</v>
      </c>
      <c r="N380" s="455">
        <v>44578</v>
      </c>
      <c r="O380" s="414" t="s">
        <v>400</v>
      </c>
      <c r="P380" s="222">
        <f t="shared" si="21"/>
        <v>1</v>
      </c>
      <c r="Q380" s="222">
        <f t="shared" si="22"/>
        <v>0</v>
      </c>
      <c r="R380" s="532" t="str">
        <f t="shared" si="23"/>
        <v>Gastos_Gerais</v>
      </c>
      <c r="S380" s="467" t="s">
        <v>310</v>
      </c>
      <c r="T380" s="467" t="s">
        <v>310</v>
      </c>
      <c r="U380" s="496"/>
      <c r="V380" s="496"/>
      <c r="W380" s="496"/>
    </row>
    <row r="381" spans="1:23" ht="48" x14ac:dyDescent="0.2">
      <c r="A381" s="510">
        <f t="shared" si="20"/>
        <v>378</v>
      </c>
      <c r="B381" s="465">
        <v>44578</v>
      </c>
      <c r="C381" s="466">
        <v>44531</v>
      </c>
      <c r="D381" s="415" t="s">
        <v>271</v>
      </c>
      <c r="E381" s="415" t="s">
        <v>84</v>
      </c>
      <c r="F381" s="435">
        <v>-43.19</v>
      </c>
      <c r="G381" s="427" t="s">
        <v>1381</v>
      </c>
      <c r="H381" s="415" t="s">
        <v>309</v>
      </c>
      <c r="I381" s="473" t="s">
        <v>795</v>
      </c>
      <c r="J381" s="415" t="s">
        <v>796</v>
      </c>
      <c r="K381" s="415" t="s">
        <v>797</v>
      </c>
      <c r="L381" s="415" t="s">
        <v>798</v>
      </c>
      <c r="M381" s="415" t="s">
        <v>310</v>
      </c>
      <c r="N381" s="455">
        <v>44578</v>
      </c>
      <c r="O381" s="414" t="s">
        <v>400</v>
      </c>
      <c r="P381" s="222">
        <f t="shared" si="21"/>
        <v>1</v>
      </c>
      <c r="Q381" s="222">
        <f t="shared" si="22"/>
        <v>0</v>
      </c>
      <c r="R381" s="532" t="str">
        <f t="shared" si="23"/>
        <v>Gastos_Gerais</v>
      </c>
      <c r="S381" s="467" t="s">
        <v>310</v>
      </c>
      <c r="T381" s="467" t="s">
        <v>310</v>
      </c>
      <c r="U381" s="496"/>
      <c r="V381" s="496"/>
      <c r="W381" s="496"/>
    </row>
    <row r="382" spans="1:23" ht="48" x14ac:dyDescent="0.2">
      <c r="A382" s="510">
        <f t="shared" si="20"/>
        <v>379</v>
      </c>
      <c r="B382" s="465">
        <v>44578</v>
      </c>
      <c r="C382" s="466">
        <v>44562</v>
      </c>
      <c r="D382" s="415" t="s">
        <v>182</v>
      </c>
      <c r="E382" s="415" t="s">
        <v>325</v>
      </c>
      <c r="F382" s="435">
        <v>-2534.4899999999998</v>
      </c>
      <c r="G382" s="427" t="s">
        <v>1382</v>
      </c>
      <c r="H382" s="415" t="s">
        <v>310</v>
      </c>
      <c r="I382" s="473" t="s">
        <v>795</v>
      </c>
      <c r="J382" s="415" t="s">
        <v>796</v>
      </c>
      <c r="K382" s="415" t="s">
        <v>797</v>
      </c>
      <c r="L382" s="415" t="s">
        <v>798</v>
      </c>
      <c r="M382" s="415" t="s">
        <v>310</v>
      </c>
      <c r="N382" s="455">
        <v>44578</v>
      </c>
      <c r="O382" s="414" t="s">
        <v>400</v>
      </c>
      <c r="P382" s="222">
        <f t="shared" si="21"/>
        <v>1</v>
      </c>
      <c r="Q382" s="222">
        <f t="shared" si="22"/>
        <v>1</v>
      </c>
      <c r="R382" s="532" t="str">
        <f t="shared" si="23"/>
        <v>Gastos_com_Pessoal</v>
      </c>
      <c r="S382" s="467" t="s">
        <v>310</v>
      </c>
      <c r="T382" s="467" t="s">
        <v>310</v>
      </c>
      <c r="U382" s="496"/>
      <c r="V382" s="496"/>
      <c r="W382" s="496"/>
    </row>
    <row r="383" spans="1:23" ht="48" x14ac:dyDescent="0.2">
      <c r="A383" s="510">
        <f t="shared" si="20"/>
        <v>380</v>
      </c>
      <c r="B383" s="465">
        <v>44578</v>
      </c>
      <c r="C383" s="466">
        <v>44562</v>
      </c>
      <c r="D383" s="415" t="s">
        <v>271</v>
      </c>
      <c r="E383" s="415" t="s">
        <v>60</v>
      </c>
      <c r="F383" s="435">
        <v>-24.23</v>
      </c>
      <c r="G383" s="427" t="s">
        <v>1383</v>
      </c>
      <c r="H383" s="415" t="s">
        <v>309</v>
      </c>
      <c r="I383" s="473" t="s">
        <v>795</v>
      </c>
      <c r="J383" s="415" t="s">
        <v>796</v>
      </c>
      <c r="K383" s="415" t="s">
        <v>797</v>
      </c>
      <c r="L383" s="415" t="s">
        <v>798</v>
      </c>
      <c r="M383" s="415" t="s">
        <v>310</v>
      </c>
      <c r="N383" s="455">
        <v>44578</v>
      </c>
      <c r="O383" s="414" t="s">
        <v>400</v>
      </c>
      <c r="P383" s="222">
        <f t="shared" si="21"/>
        <v>1</v>
      </c>
      <c r="Q383" s="222">
        <f t="shared" si="22"/>
        <v>1</v>
      </c>
      <c r="R383" s="532" t="str">
        <f t="shared" si="23"/>
        <v>Gastos_Gerais</v>
      </c>
      <c r="S383" s="467" t="s">
        <v>310</v>
      </c>
      <c r="T383" s="467" t="s">
        <v>310</v>
      </c>
      <c r="U383" s="496"/>
      <c r="V383" s="496"/>
      <c r="W383" s="496"/>
    </row>
    <row r="384" spans="1:23" ht="48" x14ac:dyDescent="0.2">
      <c r="A384" s="510">
        <f t="shared" si="20"/>
        <v>381</v>
      </c>
      <c r="B384" s="465">
        <v>44578</v>
      </c>
      <c r="C384" s="466">
        <v>44501</v>
      </c>
      <c r="D384" s="415" t="s">
        <v>182</v>
      </c>
      <c r="E384" s="415" t="s">
        <v>1</v>
      </c>
      <c r="F384" s="435">
        <v>-278.20999999999998</v>
      </c>
      <c r="G384" s="427" t="s">
        <v>1384</v>
      </c>
      <c r="H384" s="415" t="s">
        <v>310</v>
      </c>
      <c r="I384" s="473" t="s">
        <v>795</v>
      </c>
      <c r="J384" s="415" t="s">
        <v>796</v>
      </c>
      <c r="K384" s="415" t="s">
        <v>797</v>
      </c>
      <c r="L384" s="415" t="s">
        <v>798</v>
      </c>
      <c r="M384" s="415" t="s">
        <v>310</v>
      </c>
      <c r="N384" s="455">
        <v>44578</v>
      </c>
      <c r="O384" s="414" t="s">
        <v>400</v>
      </c>
      <c r="P384" s="222">
        <f t="shared" si="21"/>
        <v>1</v>
      </c>
      <c r="Q384" s="222">
        <f t="shared" si="22"/>
        <v>-1</v>
      </c>
      <c r="R384" s="532" t="str">
        <f t="shared" si="23"/>
        <v>Gastos_com_Pessoal</v>
      </c>
      <c r="S384" s="467" t="s">
        <v>310</v>
      </c>
      <c r="T384" s="467" t="s">
        <v>310</v>
      </c>
      <c r="U384" s="496"/>
      <c r="V384" s="496"/>
      <c r="W384" s="496"/>
    </row>
    <row r="385" spans="1:23" ht="48" x14ac:dyDescent="0.2">
      <c r="A385" s="510">
        <f t="shared" si="20"/>
        <v>382</v>
      </c>
      <c r="B385" s="465">
        <v>44578</v>
      </c>
      <c r="C385" s="466">
        <v>44531</v>
      </c>
      <c r="D385" s="415" t="s">
        <v>271</v>
      </c>
      <c r="E385" s="415" t="s">
        <v>164</v>
      </c>
      <c r="F385" s="435">
        <v>-176.12</v>
      </c>
      <c r="G385" s="427" t="s">
        <v>1385</v>
      </c>
      <c r="H385" s="415" t="s">
        <v>309</v>
      </c>
      <c r="I385" s="473" t="s">
        <v>795</v>
      </c>
      <c r="J385" s="415" t="s">
        <v>796</v>
      </c>
      <c r="K385" s="415" t="s">
        <v>797</v>
      </c>
      <c r="L385" s="415" t="s">
        <v>798</v>
      </c>
      <c r="M385" s="415" t="s">
        <v>310</v>
      </c>
      <c r="N385" s="455">
        <v>44578</v>
      </c>
      <c r="O385" s="414" t="s">
        <v>400</v>
      </c>
      <c r="P385" s="222">
        <f t="shared" si="21"/>
        <v>1</v>
      </c>
      <c r="Q385" s="222">
        <f t="shared" si="22"/>
        <v>0</v>
      </c>
      <c r="R385" s="532" t="str">
        <f t="shared" si="23"/>
        <v>Gastos_Gerais</v>
      </c>
      <c r="S385" s="467" t="s">
        <v>310</v>
      </c>
      <c r="T385" s="467" t="s">
        <v>310</v>
      </c>
      <c r="U385" s="496"/>
      <c r="V385" s="496"/>
      <c r="W385" s="496"/>
    </row>
    <row r="386" spans="1:23" ht="144" x14ac:dyDescent="0.2">
      <c r="A386" s="510">
        <f t="shared" si="20"/>
        <v>383</v>
      </c>
      <c r="B386" s="465">
        <v>44578</v>
      </c>
      <c r="C386" s="424">
        <v>44531</v>
      </c>
      <c r="D386" s="415" t="s">
        <v>271</v>
      </c>
      <c r="E386" s="415" t="s">
        <v>297</v>
      </c>
      <c r="F386" s="425">
        <v>187.27</v>
      </c>
      <c r="G386" s="427" t="s">
        <v>518</v>
      </c>
      <c r="H386" s="415" t="s">
        <v>751</v>
      </c>
      <c r="I386" s="460" t="s">
        <v>1386</v>
      </c>
      <c r="J386" s="399" t="s">
        <v>1022</v>
      </c>
      <c r="K386" s="418" t="s">
        <v>806</v>
      </c>
      <c r="L386" s="399" t="s">
        <v>1305</v>
      </c>
      <c r="M386" s="418" t="s">
        <v>310</v>
      </c>
      <c r="N386" s="455">
        <v>44578</v>
      </c>
      <c r="O386" s="414" t="s">
        <v>400</v>
      </c>
      <c r="P386" s="222">
        <f t="shared" si="21"/>
        <v>1</v>
      </c>
      <c r="Q386" s="222">
        <f t="shared" si="22"/>
        <v>0</v>
      </c>
      <c r="R386" s="532" t="str">
        <f t="shared" si="23"/>
        <v>Gastos_Gerais</v>
      </c>
      <c r="S386" s="467" t="s">
        <v>1000</v>
      </c>
      <c r="T386" s="467">
        <v>1336</v>
      </c>
      <c r="U386" s="496"/>
      <c r="V386" s="496"/>
      <c r="W386" s="496"/>
    </row>
    <row r="387" spans="1:23" ht="84" x14ac:dyDescent="0.2">
      <c r="A387" s="510">
        <f t="shared" si="20"/>
        <v>384</v>
      </c>
      <c r="B387" s="465">
        <v>44578</v>
      </c>
      <c r="C387" s="424">
        <v>44531</v>
      </c>
      <c r="D387" s="415" t="s">
        <v>271</v>
      </c>
      <c r="E387" s="415" t="s">
        <v>297</v>
      </c>
      <c r="F387" s="435">
        <v>473.33</v>
      </c>
      <c r="G387" s="437" t="s">
        <v>1387</v>
      </c>
      <c r="H387" s="434" t="s">
        <v>760</v>
      </c>
      <c r="I387" s="398" t="s">
        <v>1388</v>
      </c>
      <c r="J387" s="399" t="s">
        <v>1022</v>
      </c>
      <c r="K387" s="418" t="s">
        <v>806</v>
      </c>
      <c r="L387" s="399" t="s">
        <v>1305</v>
      </c>
      <c r="M387" s="418" t="s">
        <v>310</v>
      </c>
      <c r="N387" s="455">
        <v>44578</v>
      </c>
      <c r="O387" s="414" t="s">
        <v>400</v>
      </c>
      <c r="P387" s="222">
        <f t="shared" si="21"/>
        <v>1</v>
      </c>
      <c r="Q387" s="222">
        <f t="shared" si="22"/>
        <v>0</v>
      </c>
      <c r="R387" s="532" t="str">
        <f t="shared" si="23"/>
        <v>Gastos_Gerais</v>
      </c>
      <c r="S387" s="467" t="s">
        <v>1000</v>
      </c>
      <c r="T387" s="467">
        <v>1586</v>
      </c>
      <c r="U387" s="496"/>
      <c r="V387" s="496"/>
      <c r="W387" s="496"/>
    </row>
    <row r="388" spans="1:23" ht="36" x14ac:dyDescent="0.2">
      <c r="A388" s="510">
        <f t="shared" ref="A388:A451" si="24">IF(B388="","",ROW()-ROW($A$3))</f>
        <v>385</v>
      </c>
      <c r="B388" s="428">
        <v>44578</v>
      </c>
      <c r="C388" s="424">
        <v>44501</v>
      </c>
      <c r="D388" s="415" t="s">
        <v>271</v>
      </c>
      <c r="E388" s="415" t="s">
        <v>456</v>
      </c>
      <c r="F388" s="425">
        <v>1750</v>
      </c>
      <c r="G388" s="427" t="s">
        <v>614</v>
      </c>
      <c r="H388" s="415" t="s">
        <v>755</v>
      </c>
      <c r="I388" s="473" t="s">
        <v>1406</v>
      </c>
      <c r="J388" s="415" t="s">
        <v>1052</v>
      </c>
      <c r="K388" s="415" t="s">
        <v>830</v>
      </c>
      <c r="L388" s="415" t="s">
        <v>807</v>
      </c>
      <c r="M388" s="415">
        <v>131</v>
      </c>
      <c r="N388" s="414">
        <v>44578</v>
      </c>
      <c r="O388" s="414" t="s">
        <v>400</v>
      </c>
      <c r="P388" s="222">
        <f t="shared" ref="P388:P451" si="25">IF(B388=0,0,IF(YEAR(B388)=$Q$1,MONTH(B388)-$P$1+1,(YEAR(B388)-$Q$1)*12-$P$1+1+MONTH(B388)))</f>
        <v>1</v>
      </c>
      <c r="Q388" s="222">
        <f t="shared" ref="Q388:Q451" si="26">IF(C388=0,0,IF(YEAR(C388)=$Q$1,MONTH(C388)-$P$1+1,(YEAR(C388)-$Q$1)*12-$P$1+1+MONTH(C388)))</f>
        <v>-1</v>
      </c>
      <c r="R388" s="532" t="str">
        <f t="shared" ref="R388:R451" si="27">SUBSTITUTE(D388," ","_")</f>
        <v>Gastos_Gerais</v>
      </c>
      <c r="S388" s="467" t="s">
        <v>998</v>
      </c>
      <c r="T388" s="467">
        <v>2561</v>
      </c>
      <c r="U388" s="496"/>
      <c r="V388" s="496"/>
      <c r="W388" s="496"/>
    </row>
    <row r="389" spans="1:23" ht="60" x14ac:dyDescent="0.2">
      <c r="A389" s="510">
        <f t="shared" si="24"/>
        <v>386</v>
      </c>
      <c r="B389" s="428">
        <v>44578</v>
      </c>
      <c r="C389" s="424">
        <v>44562</v>
      </c>
      <c r="D389" s="415" t="s">
        <v>468</v>
      </c>
      <c r="E389" s="415" t="s">
        <v>468</v>
      </c>
      <c r="F389" s="425">
        <v>500</v>
      </c>
      <c r="G389" s="427" t="s">
        <v>2371</v>
      </c>
      <c r="H389" s="415" t="s">
        <v>468</v>
      </c>
      <c r="I389" s="398" t="s">
        <v>2372</v>
      </c>
      <c r="J389" s="418" t="s">
        <v>2373</v>
      </c>
      <c r="K389" s="418" t="s">
        <v>830</v>
      </c>
      <c r="L389" s="399" t="s">
        <v>1305</v>
      </c>
      <c r="M389" s="544" t="s">
        <v>310</v>
      </c>
      <c r="N389" s="414">
        <v>44578</v>
      </c>
      <c r="O389" s="414" t="s">
        <v>405</v>
      </c>
      <c r="P389" s="222">
        <f t="shared" si="25"/>
        <v>1</v>
      </c>
      <c r="Q389" s="222">
        <f t="shared" si="26"/>
        <v>1</v>
      </c>
      <c r="R389" s="532" t="str">
        <f t="shared" si="27"/>
        <v>Gastos_custeados_por_captação</v>
      </c>
      <c r="S389" s="467" t="s">
        <v>998</v>
      </c>
      <c r="T389" s="467">
        <v>2388</v>
      </c>
      <c r="U389" s="496"/>
      <c r="V389" s="496"/>
      <c r="W389" s="496"/>
    </row>
    <row r="390" spans="1:23" ht="72" x14ac:dyDescent="0.2">
      <c r="A390" s="510">
        <f t="shared" si="24"/>
        <v>387</v>
      </c>
      <c r="B390" s="428">
        <v>44578</v>
      </c>
      <c r="C390" s="431">
        <v>44531</v>
      </c>
      <c r="D390" s="415" t="s">
        <v>468</v>
      </c>
      <c r="E390" s="415" t="s">
        <v>468</v>
      </c>
      <c r="F390" s="459">
        <v>4000</v>
      </c>
      <c r="G390" s="399" t="s">
        <v>2798</v>
      </c>
      <c r="H390" s="415" t="s">
        <v>468</v>
      </c>
      <c r="I390" s="460" t="s">
        <v>2796</v>
      </c>
      <c r="J390" s="468" t="s">
        <v>1118</v>
      </c>
      <c r="K390" s="415" t="s">
        <v>830</v>
      </c>
      <c r="L390" s="415" t="s">
        <v>807</v>
      </c>
      <c r="M390" s="464">
        <v>34</v>
      </c>
      <c r="N390" s="469">
        <v>44578</v>
      </c>
      <c r="O390" s="414" t="s">
        <v>407</v>
      </c>
      <c r="P390" s="222">
        <f t="shared" si="25"/>
        <v>1</v>
      </c>
      <c r="Q390" s="222">
        <f t="shared" si="26"/>
        <v>0</v>
      </c>
      <c r="R390" s="532" t="str">
        <f t="shared" si="27"/>
        <v>Gastos_custeados_por_captação</v>
      </c>
      <c r="S390" s="467" t="s">
        <v>998</v>
      </c>
      <c r="T390" s="467">
        <v>2588</v>
      </c>
      <c r="U390" s="496"/>
      <c r="V390" s="496"/>
      <c r="W390" s="496"/>
    </row>
    <row r="391" spans="1:23" ht="72" x14ac:dyDescent="0.2">
      <c r="A391" s="510">
        <f t="shared" si="24"/>
        <v>388</v>
      </c>
      <c r="B391" s="428">
        <v>44578</v>
      </c>
      <c r="C391" s="431">
        <v>44531</v>
      </c>
      <c r="D391" s="415" t="s">
        <v>468</v>
      </c>
      <c r="E391" s="415" t="s">
        <v>468</v>
      </c>
      <c r="F391" s="459">
        <v>14200</v>
      </c>
      <c r="G391" s="399" t="s">
        <v>2799</v>
      </c>
      <c r="H391" s="415" t="s">
        <v>468</v>
      </c>
      <c r="I391" s="460" t="s">
        <v>2797</v>
      </c>
      <c r="J391" s="468" t="s">
        <v>1052</v>
      </c>
      <c r="K391" s="415" t="s">
        <v>830</v>
      </c>
      <c r="L391" s="415" t="s">
        <v>807</v>
      </c>
      <c r="M391" s="464">
        <v>132</v>
      </c>
      <c r="N391" s="469">
        <v>44578</v>
      </c>
      <c r="O391" s="414" t="s">
        <v>407</v>
      </c>
      <c r="P391" s="222">
        <f t="shared" si="25"/>
        <v>1</v>
      </c>
      <c r="Q391" s="222">
        <f t="shared" si="26"/>
        <v>0</v>
      </c>
      <c r="R391" s="532" t="str">
        <f t="shared" si="27"/>
        <v>Gastos_custeados_por_captação</v>
      </c>
      <c r="S391" s="467" t="s">
        <v>998</v>
      </c>
      <c r="T391" s="467">
        <v>2616</v>
      </c>
      <c r="U391" s="496"/>
      <c r="V391" s="496"/>
      <c r="W391" s="496"/>
    </row>
    <row r="392" spans="1:23" ht="36" x14ac:dyDescent="0.2">
      <c r="A392" s="510">
        <f t="shared" si="24"/>
        <v>389</v>
      </c>
      <c r="B392" s="428">
        <v>44578</v>
      </c>
      <c r="C392" s="424">
        <v>44562</v>
      </c>
      <c r="D392" s="415" t="s">
        <v>271</v>
      </c>
      <c r="E392" s="415" t="s">
        <v>449</v>
      </c>
      <c r="F392" s="425">
        <v>1700</v>
      </c>
      <c r="G392" s="427" t="s">
        <v>671</v>
      </c>
      <c r="H392" s="415" t="s">
        <v>755</v>
      </c>
      <c r="I392" s="473" t="s">
        <v>1407</v>
      </c>
      <c r="J392" s="415" t="s">
        <v>1087</v>
      </c>
      <c r="K392" s="415" t="s">
        <v>830</v>
      </c>
      <c r="L392" s="415" t="s">
        <v>1305</v>
      </c>
      <c r="M392" s="414" t="s">
        <v>310</v>
      </c>
      <c r="N392" s="414">
        <v>44576</v>
      </c>
      <c r="O392" s="414" t="s">
        <v>400</v>
      </c>
      <c r="P392" s="222">
        <f t="shared" si="25"/>
        <v>1</v>
      </c>
      <c r="Q392" s="222">
        <f t="shared" si="26"/>
        <v>1</v>
      </c>
      <c r="R392" s="532" t="str">
        <f t="shared" si="27"/>
        <v>Gastos_Gerais</v>
      </c>
      <c r="S392" s="467" t="s">
        <v>998</v>
      </c>
      <c r="T392" s="467">
        <v>2677</v>
      </c>
      <c r="U392" s="496"/>
      <c r="V392" s="496"/>
      <c r="W392" s="496"/>
    </row>
    <row r="393" spans="1:23" ht="84" x14ac:dyDescent="0.2">
      <c r="A393" s="510">
        <f t="shared" si="24"/>
        <v>390</v>
      </c>
      <c r="B393" s="465">
        <v>44578</v>
      </c>
      <c r="C393" s="424">
        <v>44531</v>
      </c>
      <c r="D393" s="415" t="s">
        <v>271</v>
      </c>
      <c r="E393" s="415" t="s">
        <v>456</v>
      </c>
      <c r="F393" s="435">
        <v>600</v>
      </c>
      <c r="G393" s="437" t="s">
        <v>637</v>
      </c>
      <c r="H393" s="434" t="s">
        <v>752</v>
      </c>
      <c r="I393" s="474" t="s">
        <v>1389</v>
      </c>
      <c r="J393" s="434" t="s">
        <v>805</v>
      </c>
      <c r="K393" s="434" t="s">
        <v>806</v>
      </c>
      <c r="L393" s="415" t="s">
        <v>807</v>
      </c>
      <c r="M393" s="415" t="s">
        <v>848</v>
      </c>
      <c r="N393" s="414">
        <v>44575</v>
      </c>
      <c r="O393" s="414" t="s">
        <v>400</v>
      </c>
      <c r="P393" s="222">
        <f t="shared" si="25"/>
        <v>1</v>
      </c>
      <c r="Q393" s="222">
        <f t="shared" si="26"/>
        <v>0</v>
      </c>
      <c r="R393" s="532" t="str">
        <f t="shared" si="27"/>
        <v>Gastos_Gerais</v>
      </c>
      <c r="S393" s="467" t="s">
        <v>998</v>
      </c>
      <c r="T393" s="467">
        <v>2659</v>
      </c>
      <c r="U393" s="496"/>
      <c r="V393" s="496"/>
      <c r="W393" s="496"/>
    </row>
    <row r="394" spans="1:23" ht="36" x14ac:dyDescent="0.2">
      <c r="A394" s="510">
        <f t="shared" si="24"/>
        <v>391</v>
      </c>
      <c r="B394" s="428">
        <v>44578</v>
      </c>
      <c r="C394" s="424">
        <v>44562</v>
      </c>
      <c r="D394" s="415" t="s">
        <v>271</v>
      </c>
      <c r="E394" s="415" t="s">
        <v>71</v>
      </c>
      <c r="F394" s="425">
        <v>10.45</v>
      </c>
      <c r="G394" s="427" t="s">
        <v>1408</v>
      </c>
      <c r="H394" s="415" t="s">
        <v>752</v>
      </c>
      <c r="I394" s="398" t="s">
        <v>881</v>
      </c>
      <c r="J394" s="418" t="s">
        <v>882</v>
      </c>
      <c r="K394" s="418" t="s">
        <v>883</v>
      </c>
      <c r="L394" s="399" t="s">
        <v>798</v>
      </c>
      <c r="M394" s="544" t="s">
        <v>310</v>
      </c>
      <c r="N394" s="414">
        <v>44574</v>
      </c>
      <c r="O394" s="414" t="s">
        <v>400</v>
      </c>
      <c r="P394" s="222">
        <f t="shared" si="25"/>
        <v>1</v>
      </c>
      <c r="Q394" s="222">
        <f t="shared" si="26"/>
        <v>1</v>
      </c>
      <c r="R394" s="532" t="str">
        <f t="shared" si="27"/>
        <v>Gastos_Gerais</v>
      </c>
      <c r="S394" s="467" t="s">
        <v>310</v>
      </c>
      <c r="T394" s="467" t="s">
        <v>310</v>
      </c>
      <c r="U394" s="496"/>
      <c r="V394" s="496"/>
      <c r="W394" s="496"/>
    </row>
    <row r="395" spans="1:23" ht="36" x14ac:dyDescent="0.2">
      <c r="A395" s="510">
        <f t="shared" si="24"/>
        <v>392</v>
      </c>
      <c r="B395" s="428">
        <v>44578</v>
      </c>
      <c r="C395" s="424">
        <v>44562</v>
      </c>
      <c r="D395" s="415" t="s">
        <v>271</v>
      </c>
      <c r="E395" s="415" t="s">
        <v>71</v>
      </c>
      <c r="F395" s="425">
        <v>10.45</v>
      </c>
      <c r="G395" s="427" t="s">
        <v>1409</v>
      </c>
      <c r="H395" s="415" t="s">
        <v>755</v>
      </c>
      <c r="I395" s="398" t="s">
        <v>881</v>
      </c>
      <c r="J395" s="418" t="s">
        <v>882</v>
      </c>
      <c r="K395" s="418" t="s">
        <v>883</v>
      </c>
      <c r="L395" s="399" t="s">
        <v>798</v>
      </c>
      <c r="M395" s="544" t="s">
        <v>310</v>
      </c>
      <c r="N395" s="414">
        <v>44574</v>
      </c>
      <c r="O395" s="414" t="s">
        <v>400</v>
      </c>
      <c r="P395" s="222">
        <f t="shared" si="25"/>
        <v>1</v>
      </c>
      <c r="Q395" s="222">
        <f t="shared" si="26"/>
        <v>1</v>
      </c>
      <c r="R395" s="532" t="str">
        <f t="shared" si="27"/>
        <v>Gastos_Gerais</v>
      </c>
      <c r="S395" s="467" t="s">
        <v>310</v>
      </c>
      <c r="T395" s="467" t="s">
        <v>310</v>
      </c>
      <c r="U395" s="496"/>
      <c r="V395" s="496"/>
      <c r="W395" s="496"/>
    </row>
    <row r="396" spans="1:23" ht="36" x14ac:dyDescent="0.2">
      <c r="A396" s="510">
        <f t="shared" si="24"/>
        <v>393</v>
      </c>
      <c r="B396" s="428">
        <v>44578</v>
      </c>
      <c r="C396" s="424">
        <v>44562</v>
      </c>
      <c r="D396" s="415" t="s">
        <v>271</v>
      </c>
      <c r="E396" s="415" t="s">
        <v>71</v>
      </c>
      <c r="F396" s="425">
        <v>10.45</v>
      </c>
      <c r="G396" s="427" t="s">
        <v>1410</v>
      </c>
      <c r="H396" s="415" t="s">
        <v>755</v>
      </c>
      <c r="I396" s="398" t="s">
        <v>881</v>
      </c>
      <c r="J396" s="418" t="s">
        <v>882</v>
      </c>
      <c r="K396" s="418" t="s">
        <v>883</v>
      </c>
      <c r="L396" s="399" t="s">
        <v>798</v>
      </c>
      <c r="M396" s="544" t="s">
        <v>310</v>
      </c>
      <c r="N396" s="414">
        <v>44574</v>
      </c>
      <c r="O396" s="414" t="s">
        <v>400</v>
      </c>
      <c r="P396" s="222">
        <f t="shared" si="25"/>
        <v>1</v>
      </c>
      <c r="Q396" s="222">
        <f t="shared" si="26"/>
        <v>1</v>
      </c>
      <c r="R396" s="532" t="str">
        <f t="shared" si="27"/>
        <v>Gastos_Gerais</v>
      </c>
      <c r="S396" s="467" t="s">
        <v>310</v>
      </c>
      <c r="T396" s="467" t="s">
        <v>310</v>
      </c>
      <c r="U396" s="496"/>
      <c r="V396" s="496"/>
      <c r="W396" s="496"/>
    </row>
    <row r="397" spans="1:23" ht="24" x14ac:dyDescent="0.2">
      <c r="A397" s="510">
        <f t="shared" si="24"/>
        <v>394</v>
      </c>
      <c r="B397" s="465">
        <v>44578</v>
      </c>
      <c r="C397" s="466">
        <v>44562</v>
      </c>
      <c r="D397" s="415" t="s">
        <v>271</v>
      </c>
      <c r="E397" s="415" t="s">
        <v>60</v>
      </c>
      <c r="F397" s="435">
        <v>91.75</v>
      </c>
      <c r="G397" s="437" t="s">
        <v>688</v>
      </c>
      <c r="H397" s="434" t="s">
        <v>309</v>
      </c>
      <c r="I397" s="474" t="s">
        <v>1390</v>
      </c>
      <c r="J397" s="434" t="s">
        <v>1391</v>
      </c>
      <c r="K397" s="434" t="s">
        <v>812</v>
      </c>
      <c r="L397" s="434" t="s">
        <v>310</v>
      </c>
      <c r="M397" s="434">
        <v>26652960</v>
      </c>
      <c r="N397" s="455">
        <v>44571</v>
      </c>
      <c r="O397" s="414" t="s">
        <v>400</v>
      </c>
      <c r="P397" s="222">
        <f t="shared" si="25"/>
        <v>1</v>
      </c>
      <c r="Q397" s="222">
        <f t="shared" si="26"/>
        <v>1</v>
      </c>
      <c r="R397" s="532" t="str">
        <f t="shared" si="27"/>
        <v>Gastos_Gerais</v>
      </c>
      <c r="S397" s="467" t="s">
        <v>310</v>
      </c>
      <c r="T397" s="467" t="s">
        <v>310</v>
      </c>
      <c r="U397" s="496"/>
      <c r="V397" s="496"/>
      <c r="W397" s="496"/>
    </row>
    <row r="398" spans="1:23" ht="24" x14ac:dyDescent="0.2">
      <c r="A398" s="510">
        <f t="shared" si="24"/>
        <v>395</v>
      </c>
      <c r="B398" s="465">
        <v>44578</v>
      </c>
      <c r="C398" s="466">
        <v>44531</v>
      </c>
      <c r="D398" s="415" t="s">
        <v>271</v>
      </c>
      <c r="E398" s="415" t="s">
        <v>84</v>
      </c>
      <c r="F398" s="425">
        <v>163.52000000000001</v>
      </c>
      <c r="G398" s="437" t="s">
        <v>490</v>
      </c>
      <c r="H398" s="434" t="s">
        <v>309</v>
      </c>
      <c r="I398" s="460" t="s">
        <v>766</v>
      </c>
      <c r="J398" s="461" t="s">
        <v>1019</v>
      </c>
      <c r="K398" s="418" t="s">
        <v>1392</v>
      </c>
      <c r="L398" s="399" t="s">
        <v>1372</v>
      </c>
      <c r="M398" s="415" t="s">
        <v>1393</v>
      </c>
      <c r="N398" s="414">
        <v>44571</v>
      </c>
      <c r="O398" s="414" t="s">
        <v>400</v>
      </c>
      <c r="P398" s="222">
        <f t="shared" si="25"/>
        <v>1</v>
      </c>
      <c r="Q398" s="222">
        <f t="shared" si="26"/>
        <v>0</v>
      </c>
      <c r="R398" s="532" t="str">
        <f t="shared" si="27"/>
        <v>Gastos_Gerais</v>
      </c>
      <c r="S398" s="467" t="s">
        <v>310</v>
      </c>
      <c r="T398" s="467" t="s">
        <v>310</v>
      </c>
      <c r="U398" s="496"/>
      <c r="V398" s="496"/>
      <c r="W398" s="496"/>
    </row>
    <row r="399" spans="1:23" ht="120" x14ac:dyDescent="0.2">
      <c r="A399" s="510">
        <f t="shared" si="24"/>
        <v>396</v>
      </c>
      <c r="B399" s="428">
        <v>44578</v>
      </c>
      <c r="C399" s="424">
        <v>44409</v>
      </c>
      <c r="D399" s="415" t="s">
        <v>271</v>
      </c>
      <c r="E399" s="415" t="s">
        <v>465</v>
      </c>
      <c r="F399" s="425">
        <v>3516.25</v>
      </c>
      <c r="G399" s="427" t="s">
        <v>547</v>
      </c>
      <c r="H399" s="415" t="s">
        <v>752</v>
      </c>
      <c r="I399" s="473" t="s">
        <v>1405</v>
      </c>
      <c r="J399" s="415" t="s">
        <v>1040</v>
      </c>
      <c r="K399" s="415" t="s">
        <v>830</v>
      </c>
      <c r="L399" s="415" t="s">
        <v>807</v>
      </c>
      <c r="M399" s="415" t="s">
        <v>1333</v>
      </c>
      <c r="N399" s="414">
        <v>44571</v>
      </c>
      <c r="O399" s="414" t="s">
        <v>400</v>
      </c>
      <c r="P399" s="222">
        <f t="shared" si="25"/>
        <v>1</v>
      </c>
      <c r="Q399" s="222">
        <f t="shared" si="26"/>
        <v>-4</v>
      </c>
      <c r="R399" s="532" t="str">
        <f t="shared" si="27"/>
        <v>Gastos_Gerais</v>
      </c>
      <c r="S399" s="467" t="s">
        <v>1000</v>
      </c>
      <c r="T399" s="467">
        <v>1866</v>
      </c>
      <c r="U399" s="496"/>
      <c r="V399" s="496"/>
      <c r="W399" s="496"/>
    </row>
    <row r="400" spans="1:23" ht="72" x14ac:dyDescent="0.2">
      <c r="A400" s="510">
        <f t="shared" si="24"/>
        <v>397</v>
      </c>
      <c r="B400" s="428">
        <v>44578</v>
      </c>
      <c r="C400" s="424">
        <v>44531</v>
      </c>
      <c r="D400" s="415" t="s">
        <v>468</v>
      </c>
      <c r="E400" s="415" t="s">
        <v>468</v>
      </c>
      <c r="F400" s="425">
        <v>1444.95</v>
      </c>
      <c r="G400" s="427" t="s">
        <v>552</v>
      </c>
      <c r="H400" s="415" t="s">
        <v>468</v>
      </c>
      <c r="I400" s="473" t="s">
        <v>1785</v>
      </c>
      <c r="J400" s="415" t="s">
        <v>1044</v>
      </c>
      <c r="K400" s="415" t="s">
        <v>812</v>
      </c>
      <c r="L400" s="415" t="s">
        <v>32</v>
      </c>
      <c r="M400" s="415" t="s">
        <v>2618</v>
      </c>
      <c r="N400" s="414">
        <v>44571</v>
      </c>
      <c r="O400" s="414" t="s">
        <v>402</v>
      </c>
      <c r="P400" s="222">
        <f t="shared" si="25"/>
        <v>1</v>
      </c>
      <c r="Q400" s="222">
        <f t="shared" si="26"/>
        <v>0</v>
      </c>
      <c r="R400" s="532" t="str">
        <f t="shared" si="27"/>
        <v>Gastos_custeados_por_captação</v>
      </c>
      <c r="S400" s="467" t="s">
        <v>1000</v>
      </c>
      <c r="T400" s="467">
        <v>1371</v>
      </c>
      <c r="U400" s="496"/>
      <c r="V400" s="496"/>
      <c r="W400" s="496"/>
    </row>
    <row r="401" spans="1:23" ht="120" x14ac:dyDescent="0.2">
      <c r="A401" s="510">
        <f t="shared" si="24"/>
        <v>398</v>
      </c>
      <c r="B401" s="428">
        <v>44578</v>
      </c>
      <c r="C401" s="424">
        <v>44409</v>
      </c>
      <c r="D401" s="415" t="s">
        <v>468</v>
      </c>
      <c r="E401" s="415" t="s">
        <v>468</v>
      </c>
      <c r="F401" s="425">
        <v>675.12</v>
      </c>
      <c r="G401" s="427" t="s">
        <v>547</v>
      </c>
      <c r="H401" s="415" t="s">
        <v>468</v>
      </c>
      <c r="I401" s="473" t="s">
        <v>1405</v>
      </c>
      <c r="J401" s="415" t="s">
        <v>1040</v>
      </c>
      <c r="K401" s="415" t="s">
        <v>830</v>
      </c>
      <c r="L401" s="415" t="s">
        <v>807</v>
      </c>
      <c r="M401" s="415" t="s">
        <v>2619</v>
      </c>
      <c r="N401" s="414">
        <v>44571</v>
      </c>
      <c r="O401" s="414" t="s">
        <v>402</v>
      </c>
      <c r="P401" s="222">
        <f t="shared" si="25"/>
        <v>1</v>
      </c>
      <c r="Q401" s="222">
        <f t="shared" si="26"/>
        <v>-4</v>
      </c>
      <c r="R401" s="532" t="str">
        <f t="shared" si="27"/>
        <v>Gastos_custeados_por_captação</v>
      </c>
      <c r="S401" s="467" t="s">
        <v>1000</v>
      </c>
      <c r="T401" s="467">
        <v>1866</v>
      </c>
      <c r="U401" s="497"/>
      <c r="V401" s="497"/>
      <c r="W401" s="497"/>
    </row>
    <row r="402" spans="1:23" ht="120" x14ac:dyDescent="0.2">
      <c r="A402" s="510">
        <f t="shared" si="24"/>
        <v>399</v>
      </c>
      <c r="B402" s="428">
        <v>44578</v>
      </c>
      <c r="C402" s="424">
        <v>44409</v>
      </c>
      <c r="D402" s="415" t="s">
        <v>468</v>
      </c>
      <c r="E402" s="415" t="s">
        <v>468</v>
      </c>
      <c r="F402" s="425">
        <v>289.25</v>
      </c>
      <c r="G402" s="427" t="s">
        <v>547</v>
      </c>
      <c r="H402" s="415" t="s">
        <v>468</v>
      </c>
      <c r="I402" s="473" t="s">
        <v>1405</v>
      </c>
      <c r="J402" s="415" t="s">
        <v>1040</v>
      </c>
      <c r="K402" s="415" t="s">
        <v>830</v>
      </c>
      <c r="L402" s="415" t="s">
        <v>807</v>
      </c>
      <c r="M402" s="415" t="s">
        <v>1703</v>
      </c>
      <c r="N402" s="414">
        <v>44571</v>
      </c>
      <c r="O402" s="414" t="s">
        <v>402</v>
      </c>
      <c r="P402" s="222">
        <f t="shared" si="25"/>
        <v>1</v>
      </c>
      <c r="Q402" s="222">
        <f t="shared" si="26"/>
        <v>-4</v>
      </c>
      <c r="R402" s="532" t="str">
        <f t="shared" si="27"/>
        <v>Gastos_custeados_por_captação</v>
      </c>
      <c r="S402" s="467" t="s">
        <v>998</v>
      </c>
      <c r="T402" s="467">
        <v>1866</v>
      </c>
      <c r="U402" s="496"/>
      <c r="V402" s="496"/>
      <c r="W402" s="496"/>
    </row>
    <row r="403" spans="1:23" ht="60" x14ac:dyDescent="0.2">
      <c r="A403" s="510">
        <f t="shared" si="24"/>
        <v>400</v>
      </c>
      <c r="B403" s="428">
        <v>44578</v>
      </c>
      <c r="C403" s="424">
        <v>44409</v>
      </c>
      <c r="D403" s="415" t="s">
        <v>468</v>
      </c>
      <c r="E403" s="415" t="s">
        <v>468</v>
      </c>
      <c r="F403" s="425">
        <v>615.63</v>
      </c>
      <c r="G403" s="427" t="s">
        <v>2680</v>
      </c>
      <c r="H403" s="415" t="s">
        <v>468</v>
      </c>
      <c r="I403" s="473" t="s">
        <v>1405</v>
      </c>
      <c r="J403" s="415" t="s">
        <v>1040</v>
      </c>
      <c r="K403" s="415" t="s">
        <v>830</v>
      </c>
      <c r="L403" s="415" t="s">
        <v>807</v>
      </c>
      <c r="M403" s="415" t="s">
        <v>2681</v>
      </c>
      <c r="N403" s="414">
        <v>44571</v>
      </c>
      <c r="O403" s="414" t="s">
        <v>404</v>
      </c>
      <c r="P403" s="222">
        <f t="shared" si="25"/>
        <v>1</v>
      </c>
      <c r="Q403" s="222">
        <f t="shared" si="26"/>
        <v>-4</v>
      </c>
      <c r="R403" s="532" t="str">
        <f t="shared" si="27"/>
        <v>Gastos_custeados_por_captação</v>
      </c>
      <c r="S403" s="467" t="s">
        <v>998</v>
      </c>
      <c r="T403" s="467">
        <v>2144</v>
      </c>
      <c r="U403" s="496"/>
      <c r="V403" s="496"/>
      <c r="W403" s="496"/>
    </row>
    <row r="404" spans="1:23" ht="24" x14ac:dyDescent="0.2">
      <c r="A404" s="510">
        <f t="shared" si="24"/>
        <v>401</v>
      </c>
      <c r="B404" s="428">
        <v>44578</v>
      </c>
      <c r="C404" s="424">
        <v>44531</v>
      </c>
      <c r="D404" s="415" t="s">
        <v>271</v>
      </c>
      <c r="E404" s="415" t="s">
        <v>164</v>
      </c>
      <c r="F404" s="425">
        <v>666.88</v>
      </c>
      <c r="G404" s="427" t="s">
        <v>1403</v>
      </c>
      <c r="H404" s="415" t="s">
        <v>309</v>
      </c>
      <c r="I404" s="460" t="s">
        <v>768</v>
      </c>
      <c r="J404" s="461" t="s">
        <v>1021</v>
      </c>
      <c r="K404" s="418" t="s">
        <v>1404</v>
      </c>
      <c r="L404" s="399" t="s">
        <v>1372</v>
      </c>
      <c r="M404" s="418" t="s">
        <v>310</v>
      </c>
      <c r="N404" s="414">
        <v>44562</v>
      </c>
      <c r="O404" s="414" t="s">
        <v>400</v>
      </c>
      <c r="P404" s="222">
        <f t="shared" si="25"/>
        <v>1</v>
      </c>
      <c r="Q404" s="222">
        <f t="shared" si="26"/>
        <v>0</v>
      </c>
      <c r="R404" s="532" t="str">
        <f t="shared" si="27"/>
        <v>Gastos_Gerais</v>
      </c>
      <c r="S404" s="467" t="s">
        <v>310</v>
      </c>
      <c r="T404" s="467" t="s">
        <v>310</v>
      </c>
      <c r="U404" s="496"/>
      <c r="V404" s="496"/>
      <c r="W404" s="496"/>
    </row>
    <row r="405" spans="1:23" ht="24" x14ac:dyDescent="0.2">
      <c r="A405" s="510">
        <f t="shared" si="24"/>
        <v>402</v>
      </c>
      <c r="B405" s="428">
        <v>44578</v>
      </c>
      <c r="C405" s="424">
        <v>44531</v>
      </c>
      <c r="D405" s="415" t="s">
        <v>271</v>
      </c>
      <c r="E405" s="415" t="s">
        <v>85</v>
      </c>
      <c r="F405" s="425">
        <v>347.64</v>
      </c>
      <c r="G405" s="427" t="s">
        <v>891</v>
      </c>
      <c r="H405" s="415" t="s">
        <v>309</v>
      </c>
      <c r="I405" s="398" t="s">
        <v>765</v>
      </c>
      <c r="J405" s="461" t="s">
        <v>892</v>
      </c>
      <c r="K405" s="418" t="s">
        <v>893</v>
      </c>
      <c r="L405" s="399" t="s">
        <v>1372</v>
      </c>
      <c r="M405" s="415">
        <v>70427300</v>
      </c>
      <c r="N405" s="414">
        <v>44557</v>
      </c>
      <c r="O405" s="414" t="s">
        <v>400</v>
      </c>
      <c r="P405" s="222">
        <f t="shared" si="25"/>
        <v>1</v>
      </c>
      <c r="Q405" s="222">
        <f t="shared" si="26"/>
        <v>0</v>
      </c>
      <c r="R405" s="532" t="str">
        <f t="shared" si="27"/>
        <v>Gastos_Gerais</v>
      </c>
      <c r="S405" s="467" t="s">
        <v>310</v>
      </c>
      <c r="T405" s="467" t="s">
        <v>310</v>
      </c>
      <c r="U405" s="496"/>
      <c r="V405" s="496"/>
      <c r="W405" s="496"/>
    </row>
    <row r="406" spans="1:23" ht="24" x14ac:dyDescent="0.2">
      <c r="A406" s="510">
        <f t="shared" si="24"/>
        <v>403</v>
      </c>
      <c r="B406" s="465">
        <v>44578</v>
      </c>
      <c r="C406" s="466">
        <v>44531</v>
      </c>
      <c r="D406" s="415" t="s">
        <v>271</v>
      </c>
      <c r="E406" s="415" t="s">
        <v>84</v>
      </c>
      <c r="F406" s="435">
        <v>138.99</v>
      </c>
      <c r="G406" s="437" t="s">
        <v>1395</v>
      </c>
      <c r="H406" s="434" t="s">
        <v>750</v>
      </c>
      <c r="I406" s="460" t="s">
        <v>766</v>
      </c>
      <c r="J406" s="461" t="s">
        <v>1019</v>
      </c>
      <c r="K406" s="418" t="s">
        <v>1392</v>
      </c>
      <c r="L406" s="399" t="s">
        <v>1372</v>
      </c>
      <c r="M406" s="415" t="s">
        <v>1394</v>
      </c>
      <c r="N406" s="414">
        <v>44544</v>
      </c>
      <c r="O406" s="414" t="s">
        <v>400</v>
      </c>
      <c r="P406" s="222">
        <f t="shared" si="25"/>
        <v>1</v>
      </c>
      <c r="Q406" s="222">
        <f t="shared" si="26"/>
        <v>0</v>
      </c>
      <c r="R406" s="532" t="str">
        <f t="shared" si="27"/>
        <v>Gastos_Gerais</v>
      </c>
      <c r="S406" s="467" t="s">
        <v>310</v>
      </c>
      <c r="T406" s="467" t="s">
        <v>310</v>
      </c>
      <c r="U406" s="496"/>
      <c r="V406" s="496"/>
      <c r="W406" s="496"/>
    </row>
    <row r="407" spans="1:23" ht="108" x14ac:dyDescent="0.2">
      <c r="A407" s="510">
        <f t="shared" si="24"/>
        <v>404</v>
      </c>
      <c r="B407" s="428">
        <v>44578</v>
      </c>
      <c r="C407" s="424">
        <v>44562</v>
      </c>
      <c r="D407" s="415" t="s">
        <v>182</v>
      </c>
      <c r="E407" s="415" t="s">
        <v>325</v>
      </c>
      <c r="F407" s="425">
        <v>21844.28</v>
      </c>
      <c r="G407" s="427" t="s">
        <v>1399</v>
      </c>
      <c r="H407" s="415" t="s">
        <v>310</v>
      </c>
      <c r="I407" s="460" t="s">
        <v>773</v>
      </c>
      <c r="J407" s="461" t="s">
        <v>1397</v>
      </c>
      <c r="K407" s="418" t="s">
        <v>812</v>
      </c>
      <c r="L407" s="399" t="s">
        <v>807</v>
      </c>
      <c r="M407" s="415" t="s">
        <v>1400</v>
      </c>
      <c r="N407" s="414">
        <v>44539</v>
      </c>
      <c r="O407" s="414" t="s">
        <v>400</v>
      </c>
      <c r="P407" s="222">
        <f t="shared" si="25"/>
        <v>1</v>
      </c>
      <c r="Q407" s="222">
        <f t="shared" si="26"/>
        <v>1</v>
      </c>
      <c r="R407" s="532" t="str">
        <f t="shared" si="27"/>
        <v>Gastos_com_Pessoal</v>
      </c>
      <c r="S407" s="467" t="s">
        <v>310</v>
      </c>
      <c r="T407" s="467" t="s">
        <v>310</v>
      </c>
      <c r="U407" s="496"/>
      <c r="V407" s="496"/>
      <c r="W407" s="496"/>
    </row>
    <row r="408" spans="1:23" ht="130.5" customHeight="1" x14ac:dyDescent="0.2">
      <c r="A408" s="510">
        <f t="shared" si="24"/>
        <v>405</v>
      </c>
      <c r="B408" s="428">
        <v>44578</v>
      </c>
      <c r="C408" s="424">
        <v>44501</v>
      </c>
      <c r="D408" s="415" t="s">
        <v>182</v>
      </c>
      <c r="E408" s="415" t="s">
        <v>1</v>
      </c>
      <c r="F408" s="425">
        <v>907.7</v>
      </c>
      <c r="G408" s="427" t="s">
        <v>1396</v>
      </c>
      <c r="H408" s="415" t="s">
        <v>310</v>
      </c>
      <c r="I408" s="460" t="s">
        <v>773</v>
      </c>
      <c r="J408" s="461" t="s">
        <v>1397</v>
      </c>
      <c r="K408" s="418" t="s">
        <v>812</v>
      </c>
      <c r="L408" s="399" t="s">
        <v>807</v>
      </c>
      <c r="M408" s="415" t="s">
        <v>1398</v>
      </c>
      <c r="N408" s="414">
        <v>44532</v>
      </c>
      <c r="O408" s="414" t="s">
        <v>400</v>
      </c>
      <c r="P408" s="222">
        <f t="shared" si="25"/>
        <v>1</v>
      </c>
      <c r="Q408" s="222">
        <f t="shared" si="26"/>
        <v>-1</v>
      </c>
      <c r="R408" s="532" t="str">
        <f t="shared" si="27"/>
        <v>Gastos_com_Pessoal</v>
      </c>
      <c r="S408" s="467" t="s">
        <v>310</v>
      </c>
      <c r="T408" s="467" t="s">
        <v>310</v>
      </c>
      <c r="U408" s="496"/>
      <c r="V408" s="496"/>
      <c r="W408" s="496"/>
    </row>
    <row r="409" spans="1:23" ht="127.5" customHeight="1" x14ac:dyDescent="0.2">
      <c r="A409" s="510">
        <f t="shared" si="24"/>
        <v>406</v>
      </c>
      <c r="B409" s="428">
        <v>44579</v>
      </c>
      <c r="C409" s="424">
        <v>44531</v>
      </c>
      <c r="D409" s="415" t="s">
        <v>271</v>
      </c>
      <c r="E409" s="415" t="s">
        <v>449</v>
      </c>
      <c r="F409" s="425">
        <v>6669.36</v>
      </c>
      <c r="G409" s="427" t="s">
        <v>647</v>
      </c>
      <c r="H409" s="415" t="s">
        <v>752</v>
      </c>
      <c r="I409" s="473" t="s">
        <v>1411</v>
      </c>
      <c r="J409" s="415" t="s">
        <v>1073</v>
      </c>
      <c r="K409" s="415" t="s">
        <v>806</v>
      </c>
      <c r="L409" s="415" t="s">
        <v>1412</v>
      </c>
      <c r="M409" s="415" t="s">
        <v>310</v>
      </c>
      <c r="N409" s="414">
        <v>44579</v>
      </c>
      <c r="O409" s="414" t="s">
        <v>400</v>
      </c>
      <c r="P409" s="222">
        <f t="shared" si="25"/>
        <v>1</v>
      </c>
      <c r="Q409" s="222">
        <f t="shared" si="26"/>
        <v>0</v>
      </c>
      <c r="R409" s="532" t="str">
        <f t="shared" si="27"/>
        <v>Gastos_Gerais</v>
      </c>
      <c r="S409" s="467" t="s">
        <v>998</v>
      </c>
      <c r="T409" s="467">
        <v>2575</v>
      </c>
      <c r="U409" s="496"/>
      <c r="V409" s="496"/>
      <c r="W409" s="496"/>
    </row>
    <row r="410" spans="1:23" ht="127.5" customHeight="1" x14ac:dyDescent="0.2">
      <c r="A410" s="510">
        <f t="shared" si="24"/>
        <v>407</v>
      </c>
      <c r="B410" s="428">
        <v>44579</v>
      </c>
      <c r="C410" s="431">
        <v>44531</v>
      </c>
      <c r="D410" s="434" t="s">
        <v>468</v>
      </c>
      <c r="E410" s="434" t="s">
        <v>468</v>
      </c>
      <c r="F410" s="541">
        <v>5389.45</v>
      </c>
      <c r="G410" s="427" t="s">
        <v>2519</v>
      </c>
      <c r="H410" s="415" t="s">
        <v>468</v>
      </c>
      <c r="I410" s="473" t="s">
        <v>2517</v>
      </c>
      <c r="J410" s="415" t="s">
        <v>2518</v>
      </c>
      <c r="K410" s="415" t="s">
        <v>830</v>
      </c>
      <c r="L410" s="415" t="s">
        <v>807</v>
      </c>
      <c r="M410" s="415" t="s">
        <v>848</v>
      </c>
      <c r="N410" s="414">
        <v>44579</v>
      </c>
      <c r="O410" s="414" t="s">
        <v>401</v>
      </c>
      <c r="P410" s="222">
        <f t="shared" si="25"/>
        <v>1</v>
      </c>
      <c r="Q410" s="222">
        <f t="shared" si="26"/>
        <v>0</v>
      </c>
      <c r="R410" s="532" t="str">
        <f t="shared" si="27"/>
        <v>Gastos_custeados_por_captação</v>
      </c>
      <c r="S410" s="467" t="s">
        <v>1000</v>
      </c>
      <c r="T410" s="467">
        <v>1511</v>
      </c>
      <c r="U410" s="496"/>
      <c r="V410" s="496"/>
      <c r="W410" s="496"/>
    </row>
    <row r="411" spans="1:23" ht="127.5" customHeight="1" x14ac:dyDescent="0.2">
      <c r="A411" s="510">
        <f t="shared" si="24"/>
        <v>408</v>
      </c>
      <c r="B411" s="428">
        <v>44579</v>
      </c>
      <c r="C411" s="431">
        <v>44562</v>
      </c>
      <c r="D411" s="434" t="s">
        <v>468</v>
      </c>
      <c r="E411" s="434" t="s">
        <v>468</v>
      </c>
      <c r="F411" s="541">
        <v>349.14</v>
      </c>
      <c r="G411" s="427" t="s">
        <v>2620</v>
      </c>
      <c r="H411" s="415" t="s">
        <v>468</v>
      </c>
      <c r="I411" s="473" t="s">
        <v>2621</v>
      </c>
      <c r="J411" s="415" t="s">
        <v>2622</v>
      </c>
      <c r="K411" s="415" t="s">
        <v>830</v>
      </c>
      <c r="L411" s="415" t="s">
        <v>807</v>
      </c>
      <c r="M411" s="415">
        <v>106318</v>
      </c>
      <c r="N411" s="414">
        <v>44579</v>
      </c>
      <c r="O411" s="414" t="s">
        <v>402</v>
      </c>
      <c r="P411" s="222">
        <f t="shared" si="25"/>
        <v>1</v>
      </c>
      <c r="Q411" s="222">
        <f t="shared" si="26"/>
        <v>1</v>
      </c>
      <c r="R411" s="532" t="str">
        <f t="shared" si="27"/>
        <v>Gastos_custeados_por_captação</v>
      </c>
      <c r="S411" s="467" t="s">
        <v>1000</v>
      </c>
      <c r="T411" s="467">
        <v>2813</v>
      </c>
      <c r="U411" s="496"/>
      <c r="V411" s="496"/>
      <c r="W411" s="496"/>
    </row>
    <row r="412" spans="1:23" ht="127.5" customHeight="1" x14ac:dyDescent="0.2">
      <c r="A412" s="510">
        <f t="shared" si="24"/>
        <v>409</v>
      </c>
      <c r="B412" s="428">
        <v>44579</v>
      </c>
      <c r="C412" s="431">
        <v>44531</v>
      </c>
      <c r="D412" s="415" t="s">
        <v>468</v>
      </c>
      <c r="E412" s="415" t="s">
        <v>468</v>
      </c>
      <c r="F412" s="541">
        <v>2537.5500000000002</v>
      </c>
      <c r="G412" s="427" t="s">
        <v>2513</v>
      </c>
      <c r="H412" s="415" t="s">
        <v>468</v>
      </c>
      <c r="I412" s="473" t="s">
        <v>1748</v>
      </c>
      <c r="J412" s="415" t="s">
        <v>1027</v>
      </c>
      <c r="K412" s="415" t="s">
        <v>830</v>
      </c>
      <c r="L412" s="415" t="s">
        <v>839</v>
      </c>
      <c r="M412" s="415">
        <v>1540</v>
      </c>
      <c r="N412" s="414">
        <v>44578</v>
      </c>
      <c r="O412" s="414" t="s">
        <v>401</v>
      </c>
      <c r="P412" s="222">
        <f t="shared" si="25"/>
        <v>1</v>
      </c>
      <c r="Q412" s="222">
        <f t="shared" si="26"/>
        <v>0</v>
      </c>
      <c r="R412" s="532" t="str">
        <f t="shared" si="27"/>
        <v>Gastos_custeados_por_captação</v>
      </c>
      <c r="S412" s="467" t="s">
        <v>998</v>
      </c>
      <c r="T412" s="467">
        <v>1466</v>
      </c>
      <c r="U412" s="496"/>
      <c r="V412" s="496"/>
      <c r="W412" s="496"/>
    </row>
    <row r="413" spans="1:23" ht="127.5" customHeight="1" x14ac:dyDescent="0.2">
      <c r="A413" s="510">
        <f t="shared" si="24"/>
        <v>410</v>
      </c>
      <c r="B413" s="428">
        <v>44579</v>
      </c>
      <c r="C413" s="431">
        <v>44531</v>
      </c>
      <c r="D413" s="434" t="s">
        <v>468</v>
      </c>
      <c r="E413" s="434" t="s">
        <v>468</v>
      </c>
      <c r="F413" s="541">
        <v>2000</v>
      </c>
      <c r="G413" s="427" t="s">
        <v>2515</v>
      </c>
      <c r="H413" s="415" t="s">
        <v>468</v>
      </c>
      <c r="I413" s="473" t="s">
        <v>2516</v>
      </c>
      <c r="J413" s="415" t="s">
        <v>1015</v>
      </c>
      <c r="K413" s="415" t="s">
        <v>830</v>
      </c>
      <c r="L413" s="415" t="s">
        <v>807</v>
      </c>
      <c r="M413" s="415" t="s">
        <v>842</v>
      </c>
      <c r="N413" s="414">
        <v>44578</v>
      </c>
      <c r="O413" s="414" t="s">
        <v>401</v>
      </c>
      <c r="P413" s="222">
        <f t="shared" si="25"/>
        <v>1</v>
      </c>
      <c r="Q413" s="222">
        <f t="shared" si="26"/>
        <v>0</v>
      </c>
      <c r="R413" s="532" t="str">
        <f t="shared" si="27"/>
        <v>Gastos_custeados_por_captação</v>
      </c>
      <c r="S413" s="467" t="s">
        <v>998</v>
      </c>
      <c r="T413" s="467">
        <v>1267</v>
      </c>
      <c r="U413" s="496"/>
      <c r="V413" s="496"/>
      <c r="W413" s="496"/>
    </row>
    <row r="414" spans="1:23" ht="127.5" customHeight="1" x14ac:dyDescent="0.2">
      <c r="A414" s="510">
        <f t="shared" si="24"/>
        <v>411</v>
      </c>
      <c r="B414" s="428">
        <v>44579</v>
      </c>
      <c r="C414" s="431">
        <v>44531</v>
      </c>
      <c r="D414" s="415" t="s">
        <v>468</v>
      </c>
      <c r="E414" s="415" t="s">
        <v>468</v>
      </c>
      <c r="F414" s="459">
        <v>5280</v>
      </c>
      <c r="G414" s="399" t="s">
        <v>2802</v>
      </c>
      <c r="H414" s="415" t="s">
        <v>468</v>
      </c>
      <c r="I414" s="460" t="s">
        <v>2801</v>
      </c>
      <c r="J414" s="468" t="s">
        <v>1112</v>
      </c>
      <c r="K414" s="415" t="s">
        <v>830</v>
      </c>
      <c r="L414" s="415" t="s">
        <v>807</v>
      </c>
      <c r="M414" s="464">
        <v>131</v>
      </c>
      <c r="N414" s="469">
        <v>44575</v>
      </c>
      <c r="O414" s="414" t="s">
        <v>407</v>
      </c>
      <c r="P414" s="222">
        <f t="shared" si="25"/>
        <v>1</v>
      </c>
      <c r="Q414" s="222">
        <f t="shared" si="26"/>
        <v>0</v>
      </c>
      <c r="R414" s="532" t="str">
        <f t="shared" si="27"/>
        <v>Gastos_custeados_por_captação</v>
      </c>
      <c r="S414" s="467" t="s">
        <v>998</v>
      </c>
      <c r="T414" s="467">
        <v>2586</v>
      </c>
      <c r="U414" s="496"/>
      <c r="V414" s="496"/>
      <c r="W414" s="496"/>
    </row>
    <row r="415" spans="1:23" ht="106.5" customHeight="1" x14ac:dyDescent="0.2">
      <c r="A415" s="510">
        <f t="shared" si="24"/>
        <v>412</v>
      </c>
      <c r="B415" s="428">
        <v>44579</v>
      </c>
      <c r="C415" s="431">
        <v>44531</v>
      </c>
      <c r="D415" s="415" t="s">
        <v>468</v>
      </c>
      <c r="E415" s="415" t="s">
        <v>468</v>
      </c>
      <c r="F415" s="459">
        <v>4000</v>
      </c>
      <c r="G415" s="399" t="s">
        <v>2798</v>
      </c>
      <c r="H415" s="415" t="s">
        <v>468</v>
      </c>
      <c r="I415" s="460" t="s">
        <v>2800</v>
      </c>
      <c r="J415" s="468" t="s">
        <v>1111</v>
      </c>
      <c r="K415" s="415" t="s">
        <v>830</v>
      </c>
      <c r="L415" s="415" t="s">
        <v>807</v>
      </c>
      <c r="M415" s="464">
        <v>20221</v>
      </c>
      <c r="N415" s="469">
        <v>44574</v>
      </c>
      <c r="O415" s="414" t="s">
        <v>407</v>
      </c>
      <c r="P415" s="222">
        <f t="shared" si="25"/>
        <v>1</v>
      </c>
      <c r="Q415" s="222">
        <f t="shared" si="26"/>
        <v>0</v>
      </c>
      <c r="R415" s="532" t="str">
        <f t="shared" si="27"/>
        <v>Gastos_custeados_por_captação</v>
      </c>
      <c r="S415" s="467" t="s">
        <v>998</v>
      </c>
      <c r="T415" s="467">
        <v>2589</v>
      </c>
      <c r="U415" s="496"/>
      <c r="V415" s="496"/>
      <c r="W415" s="496"/>
    </row>
    <row r="416" spans="1:23" ht="127.5" customHeight="1" x14ac:dyDescent="0.2">
      <c r="A416" s="510">
        <f t="shared" si="24"/>
        <v>413</v>
      </c>
      <c r="B416" s="428">
        <v>44579</v>
      </c>
      <c r="C416" s="431">
        <v>44531</v>
      </c>
      <c r="D416" s="415" t="s">
        <v>468</v>
      </c>
      <c r="E416" s="415" t="s">
        <v>468</v>
      </c>
      <c r="F416" s="541">
        <v>5390</v>
      </c>
      <c r="G416" s="427" t="s">
        <v>2514</v>
      </c>
      <c r="H416" s="415" t="s">
        <v>468</v>
      </c>
      <c r="I416" s="473" t="s">
        <v>1811</v>
      </c>
      <c r="J416" s="415" t="s">
        <v>1023</v>
      </c>
      <c r="K416" s="415" t="s">
        <v>830</v>
      </c>
      <c r="L416" s="415" t="s">
        <v>807</v>
      </c>
      <c r="M416" s="415" t="s">
        <v>842</v>
      </c>
      <c r="N416" s="414">
        <v>44571</v>
      </c>
      <c r="O416" s="414" t="s">
        <v>401</v>
      </c>
      <c r="P416" s="222">
        <f t="shared" si="25"/>
        <v>1</v>
      </c>
      <c r="Q416" s="222">
        <f t="shared" si="26"/>
        <v>0</v>
      </c>
      <c r="R416" s="532" t="str">
        <f t="shared" si="27"/>
        <v>Gastos_custeados_por_captação</v>
      </c>
      <c r="S416" s="467" t="s">
        <v>998</v>
      </c>
      <c r="T416" s="467">
        <v>1339</v>
      </c>
      <c r="U416" s="496"/>
      <c r="V416" s="496"/>
      <c r="W416" s="496"/>
    </row>
    <row r="417" spans="1:23" ht="64.5" customHeight="1" x14ac:dyDescent="0.2">
      <c r="A417" s="510">
        <f t="shared" si="24"/>
        <v>414</v>
      </c>
      <c r="B417" s="428">
        <v>44580</v>
      </c>
      <c r="C417" s="431">
        <v>44562</v>
      </c>
      <c r="D417" s="415" t="s">
        <v>468</v>
      </c>
      <c r="E417" s="415" t="s">
        <v>468</v>
      </c>
      <c r="F417" s="425">
        <v>432.84</v>
      </c>
      <c r="G417" s="427" t="s">
        <v>735</v>
      </c>
      <c r="H417" s="415" t="s">
        <v>468</v>
      </c>
      <c r="I417" s="473" t="s">
        <v>2415</v>
      </c>
      <c r="J417" s="415" t="s">
        <v>1155</v>
      </c>
      <c r="K417" s="415" t="s">
        <v>812</v>
      </c>
      <c r="L417" s="415" t="s">
        <v>807</v>
      </c>
      <c r="M417" s="415">
        <v>2660</v>
      </c>
      <c r="N417" s="414">
        <v>44596</v>
      </c>
      <c r="O417" s="414" t="s">
        <v>408</v>
      </c>
      <c r="P417" s="222">
        <f t="shared" si="25"/>
        <v>1</v>
      </c>
      <c r="Q417" s="222">
        <f t="shared" si="26"/>
        <v>1</v>
      </c>
      <c r="R417" s="532" t="str">
        <f t="shared" si="27"/>
        <v>Gastos_custeados_por_captação</v>
      </c>
      <c r="S417" s="467" t="s">
        <v>998</v>
      </c>
      <c r="T417" s="467">
        <v>2812</v>
      </c>
      <c r="U417" s="496"/>
      <c r="V417" s="496"/>
      <c r="W417" s="496"/>
    </row>
    <row r="418" spans="1:23" ht="48" x14ac:dyDescent="0.2">
      <c r="A418" s="510">
        <f t="shared" si="24"/>
        <v>415</v>
      </c>
      <c r="B418" s="428">
        <v>44581</v>
      </c>
      <c r="C418" s="424">
        <v>44531</v>
      </c>
      <c r="D418" s="415" t="s">
        <v>468</v>
      </c>
      <c r="E418" s="415" t="s">
        <v>468</v>
      </c>
      <c r="F418" s="425">
        <v>-945.5</v>
      </c>
      <c r="G418" s="427" t="s">
        <v>1414</v>
      </c>
      <c r="H418" s="415" t="s">
        <v>468</v>
      </c>
      <c r="I418" s="473" t="s">
        <v>795</v>
      </c>
      <c r="J418" s="415" t="s">
        <v>796</v>
      </c>
      <c r="K418" s="415" t="s">
        <v>797</v>
      </c>
      <c r="L418" s="415" t="s">
        <v>798</v>
      </c>
      <c r="M418" s="415" t="s">
        <v>310</v>
      </c>
      <c r="N418" s="414">
        <v>44581</v>
      </c>
      <c r="O418" s="414" t="s">
        <v>400</v>
      </c>
      <c r="P418" s="222">
        <f t="shared" si="25"/>
        <v>1</v>
      </c>
      <c r="Q418" s="222">
        <f t="shared" si="26"/>
        <v>0</v>
      </c>
      <c r="R418" s="532" t="str">
        <f t="shared" si="27"/>
        <v>Gastos_custeados_por_captação</v>
      </c>
      <c r="S418" s="467" t="s">
        <v>310</v>
      </c>
      <c r="T418" s="467" t="s">
        <v>310</v>
      </c>
      <c r="U418" s="496"/>
      <c r="V418" s="496"/>
      <c r="W418" s="496"/>
    </row>
    <row r="419" spans="1:23" ht="48" x14ac:dyDescent="0.2">
      <c r="A419" s="510">
        <f t="shared" si="24"/>
        <v>416</v>
      </c>
      <c r="B419" s="428">
        <v>44581</v>
      </c>
      <c r="C419" s="424">
        <v>44531</v>
      </c>
      <c r="D419" s="415" t="s">
        <v>468</v>
      </c>
      <c r="E419" s="415" t="s">
        <v>468</v>
      </c>
      <c r="F419" s="425">
        <v>-155</v>
      </c>
      <c r="G419" s="440" t="s">
        <v>1415</v>
      </c>
      <c r="H419" s="415" t="s">
        <v>468</v>
      </c>
      <c r="I419" s="473" t="s">
        <v>795</v>
      </c>
      <c r="J419" s="415" t="s">
        <v>796</v>
      </c>
      <c r="K419" s="415" t="s">
        <v>797</v>
      </c>
      <c r="L419" s="415" t="s">
        <v>798</v>
      </c>
      <c r="M419" s="415" t="s">
        <v>310</v>
      </c>
      <c r="N419" s="414">
        <v>44581</v>
      </c>
      <c r="O419" s="414" t="s">
        <v>400</v>
      </c>
      <c r="P419" s="222">
        <f t="shared" si="25"/>
        <v>1</v>
      </c>
      <c r="Q419" s="222">
        <f t="shared" si="26"/>
        <v>0</v>
      </c>
      <c r="R419" s="532" t="str">
        <f t="shared" si="27"/>
        <v>Gastos_custeados_por_captação</v>
      </c>
      <c r="S419" s="467" t="s">
        <v>310</v>
      </c>
      <c r="T419" s="467" t="s">
        <v>310</v>
      </c>
      <c r="U419" s="496"/>
      <c r="V419" s="496"/>
      <c r="W419" s="496"/>
    </row>
    <row r="420" spans="1:23" ht="48" x14ac:dyDescent="0.2">
      <c r="A420" s="510">
        <f t="shared" si="24"/>
        <v>417</v>
      </c>
      <c r="B420" s="428">
        <v>44581</v>
      </c>
      <c r="C420" s="424">
        <v>44531</v>
      </c>
      <c r="D420" s="415" t="s">
        <v>468</v>
      </c>
      <c r="E420" s="415" t="s">
        <v>468</v>
      </c>
      <c r="F420" s="425">
        <v>-775</v>
      </c>
      <c r="G420" s="440" t="s">
        <v>1416</v>
      </c>
      <c r="H420" s="415" t="s">
        <v>468</v>
      </c>
      <c r="I420" s="473" t="s">
        <v>795</v>
      </c>
      <c r="J420" s="415" t="s">
        <v>796</v>
      </c>
      <c r="K420" s="415" t="s">
        <v>797</v>
      </c>
      <c r="L420" s="415" t="s">
        <v>798</v>
      </c>
      <c r="M420" s="415" t="s">
        <v>310</v>
      </c>
      <c r="N420" s="414">
        <v>44581</v>
      </c>
      <c r="O420" s="414" t="s">
        <v>400</v>
      </c>
      <c r="P420" s="222">
        <f t="shared" si="25"/>
        <v>1</v>
      </c>
      <c r="Q420" s="222">
        <f t="shared" si="26"/>
        <v>0</v>
      </c>
      <c r="R420" s="532" t="str">
        <f t="shared" si="27"/>
        <v>Gastos_custeados_por_captação</v>
      </c>
      <c r="S420" s="467" t="s">
        <v>310</v>
      </c>
      <c r="T420" s="467" t="s">
        <v>310</v>
      </c>
      <c r="U420" s="496"/>
      <c r="V420" s="496"/>
      <c r="W420" s="496"/>
    </row>
    <row r="421" spans="1:23" ht="48" x14ac:dyDescent="0.2">
      <c r="A421" s="510">
        <f t="shared" si="24"/>
        <v>418</v>
      </c>
      <c r="B421" s="428">
        <v>44581</v>
      </c>
      <c r="C421" s="424">
        <v>44531</v>
      </c>
      <c r="D421" s="415" t="s">
        <v>468</v>
      </c>
      <c r="E421" s="415" t="s">
        <v>468</v>
      </c>
      <c r="F421" s="425">
        <v>-3355.75</v>
      </c>
      <c r="G421" s="440" t="s">
        <v>1417</v>
      </c>
      <c r="H421" s="415" t="s">
        <v>468</v>
      </c>
      <c r="I421" s="473" t="s">
        <v>795</v>
      </c>
      <c r="J421" s="415" t="s">
        <v>796</v>
      </c>
      <c r="K421" s="415" t="s">
        <v>797</v>
      </c>
      <c r="L421" s="415" t="s">
        <v>798</v>
      </c>
      <c r="M421" s="415" t="s">
        <v>310</v>
      </c>
      <c r="N421" s="414">
        <v>44581</v>
      </c>
      <c r="O421" s="414" t="s">
        <v>400</v>
      </c>
      <c r="P421" s="222">
        <f t="shared" si="25"/>
        <v>1</v>
      </c>
      <c r="Q421" s="222">
        <f t="shared" si="26"/>
        <v>0</v>
      </c>
      <c r="R421" s="532" t="str">
        <f t="shared" si="27"/>
        <v>Gastos_custeados_por_captação</v>
      </c>
      <c r="S421" s="467" t="s">
        <v>310</v>
      </c>
      <c r="T421" s="467" t="s">
        <v>310</v>
      </c>
      <c r="U421" s="496"/>
      <c r="V421" s="496"/>
      <c r="W421" s="496"/>
    </row>
    <row r="422" spans="1:23" ht="48" x14ac:dyDescent="0.2">
      <c r="A422" s="510">
        <f t="shared" si="24"/>
        <v>419</v>
      </c>
      <c r="B422" s="428">
        <v>44581</v>
      </c>
      <c r="C422" s="424">
        <v>44531</v>
      </c>
      <c r="D422" s="415" t="s">
        <v>468</v>
      </c>
      <c r="E422" s="415" t="s">
        <v>468</v>
      </c>
      <c r="F422" s="425">
        <v>-1534.5</v>
      </c>
      <c r="G422" s="440" t="s">
        <v>1418</v>
      </c>
      <c r="H422" s="415" t="s">
        <v>468</v>
      </c>
      <c r="I422" s="473" t="s">
        <v>795</v>
      </c>
      <c r="J422" s="415" t="s">
        <v>796</v>
      </c>
      <c r="K422" s="415" t="s">
        <v>797</v>
      </c>
      <c r="L422" s="415" t="s">
        <v>798</v>
      </c>
      <c r="M422" s="415" t="s">
        <v>310</v>
      </c>
      <c r="N422" s="414">
        <v>44581</v>
      </c>
      <c r="O422" s="414" t="s">
        <v>400</v>
      </c>
      <c r="P422" s="222">
        <f t="shared" si="25"/>
        <v>1</v>
      </c>
      <c r="Q422" s="222">
        <f t="shared" si="26"/>
        <v>0</v>
      </c>
      <c r="R422" s="532" t="str">
        <f t="shared" si="27"/>
        <v>Gastos_custeados_por_captação</v>
      </c>
      <c r="S422" s="467" t="s">
        <v>310</v>
      </c>
      <c r="T422" s="467" t="s">
        <v>310</v>
      </c>
      <c r="U422" s="496"/>
      <c r="V422" s="496"/>
      <c r="W422" s="496"/>
    </row>
    <row r="423" spans="1:23" ht="48" x14ac:dyDescent="0.2">
      <c r="A423" s="510">
        <f t="shared" si="24"/>
        <v>420</v>
      </c>
      <c r="B423" s="428">
        <v>44581</v>
      </c>
      <c r="C423" s="424">
        <v>44531</v>
      </c>
      <c r="D423" s="415" t="s">
        <v>271</v>
      </c>
      <c r="E423" s="415" t="s">
        <v>90</v>
      </c>
      <c r="F423" s="425">
        <v>-2151.4</v>
      </c>
      <c r="G423" s="440" t="s">
        <v>1426</v>
      </c>
      <c r="H423" s="415" t="s">
        <v>310</v>
      </c>
      <c r="I423" s="473" t="s">
        <v>795</v>
      </c>
      <c r="J423" s="415" t="s">
        <v>796</v>
      </c>
      <c r="K423" s="415" t="s">
        <v>797</v>
      </c>
      <c r="L423" s="415" t="s">
        <v>798</v>
      </c>
      <c r="M423" s="415" t="s">
        <v>310</v>
      </c>
      <c r="N423" s="414">
        <v>44581</v>
      </c>
      <c r="O423" s="414" t="s">
        <v>400</v>
      </c>
      <c r="P423" s="222">
        <f t="shared" si="25"/>
        <v>1</v>
      </c>
      <c r="Q423" s="222">
        <f t="shared" si="26"/>
        <v>0</v>
      </c>
      <c r="R423" s="532" t="str">
        <f t="shared" si="27"/>
        <v>Gastos_Gerais</v>
      </c>
      <c r="S423" s="467" t="s">
        <v>310</v>
      </c>
      <c r="T423" s="467" t="s">
        <v>310</v>
      </c>
      <c r="U423" s="496"/>
      <c r="V423" s="496"/>
      <c r="W423" s="496"/>
    </row>
    <row r="424" spans="1:23" ht="48" x14ac:dyDescent="0.2">
      <c r="A424" s="510">
        <f t="shared" si="24"/>
        <v>421</v>
      </c>
      <c r="B424" s="428">
        <v>44581</v>
      </c>
      <c r="C424" s="424">
        <v>44531</v>
      </c>
      <c r="D424" s="415" t="s">
        <v>182</v>
      </c>
      <c r="E424" s="415" t="s">
        <v>1</v>
      </c>
      <c r="F424" s="425">
        <v>-3193.02</v>
      </c>
      <c r="G424" s="440" t="s">
        <v>1419</v>
      </c>
      <c r="H424" s="415" t="s">
        <v>310</v>
      </c>
      <c r="I424" s="473" t="s">
        <v>795</v>
      </c>
      <c r="J424" s="415" t="s">
        <v>796</v>
      </c>
      <c r="K424" s="415" t="s">
        <v>797</v>
      </c>
      <c r="L424" s="415" t="s">
        <v>798</v>
      </c>
      <c r="M424" s="415" t="s">
        <v>310</v>
      </c>
      <c r="N424" s="414">
        <v>44581</v>
      </c>
      <c r="O424" s="414" t="s">
        <v>400</v>
      </c>
      <c r="P424" s="222">
        <f t="shared" si="25"/>
        <v>1</v>
      </c>
      <c r="Q424" s="222">
        <f t="shared" si="26"/>
        <v>0</v>
      </c>
      <c r="R424" s="532" t="str">
        <f t="shared" si="27"/>
        <v>Gastos_com_Pessoal</v>
      </c>
      <c r="S424" s="467" t="s">
        <v>310</v>
      </c>
      <c r="T424" s="467" t="s">
        <v>310</v>
      </c>
      <c r="U424" s="496"/>
      <c r="V424" s="496"/>
      <c r="W424" s="496"/>
    </row>
    <row r="425" spans="1:23" ht="48" x14ac:dyDescent="0.2">
      <c r="A425" s="510">
        <f t="shared" si="24"/>
        <v>422</v>
      </c>
      <c r="B425" s="428">
        <v>44581</v>
      </c>
      <c r="C425" s="424">
        <v>44531</v>
      </c>
      <c r="D425" s="415" t="s">
        <v>182</v>
      </c>
      <c r="E425" s="415" t="s">
        <v>252</v>
      </c>
      <c r="F425" s="425">
        <v>-8054.88</v>
      </c>
      <c r="G425" s="440" t="s">
        <v>1420</v>
      </c>
      <c r="H425" s="415" t="s">
        <v>310</v>
      </c>
      <c r="I425" s="473" t="s">
        <v>795</v>
      </c>
      <c r="J425" s="415" t="s">
        <v>796</v>
      </c>
      <c r="K425" s="415" t="s">
        <v>797</v>
      </c>
      <c r="L425" s="415" t="s">
        <v>798</v>
      </c>
      <c r="M425" s="415" t="s">
        <v>310</v>
      </c>
      <c r="N425" s="414">
        <v>44581</v>
      </c>
      <c r="O425" s="414" t="s">
        <v>400</v>
      </c>
      <c r="P425" s="222">
        <f t="shared" si="25"/>
        <v>1</v>
      </c>
      <c r="Q425" s="222">
        <f t="shared" si="26"/>
        <v>0</v>
      </c>
      <c r="R425" s="532" t="str">
        <f t="shared" si="27"/>
        <v>Gastos_com_Pessoal</v>
      </c>
      <c r="S425" s="467" t="s">
        <v>310</v>
      </c>
      <c r="T425" s="467" t="s">
        <v>310</v>
      </c>
      <c r="U425" s="496"/>
      <c r="V425" s="496"/>
      <c r="W425" s="496"/>
    </row>
    <row r="426" spans="1:23" ht="48" x14ac:dyDescent="0.2">
      <c r="A426" s="510">
        <f t="shared" si="24"/>
        <v>423</v>
      </c>
      <c r="B426" s="428">
        <v>44581</v>
      </c>
      <c r="C426" s="424">
        <v>44531</v>
      </c>
      <c r="D426" s="415" t="s">
        <v>271</v>
      </c>
      <c r="E426" s="415" t="s">
        <v>183</v>
      </c>
      <c r="F426" s="425">
        <v>-93.22</v>
      </c>
      <c r="G426" s="440" t="s">
        <v>1421</v>
      </c>
      <c r="H426" s="415" t="s">
        <v>309</v>
      </c>
      <c r="I426" s="473" t="s">
        <v>795</v>
      </c>
      <c r="J426" s="415" t="s">
        <v>796</v>
      </c>
      <c r="K426" s="415" t="s">
        <v>797</v>
      </c>
      <c r="L426" s="415" t="s">
        <v>798</v>
      </c>
      <c r="M426" s="415" t="s">
        <v>310</v>
      </c>
      <c r="N426" s="414">
        <v>44581</v>
      </c>
      <c r="O426" s="414" t="s">
        <v>400</v>
      </c>
      <c r="P426" s="222">
        <f t="shared" si="25"/>
        <v>1</v>
      </c>
      <c r="Q426" s="222">
        <f t="shared" si="26"/>
        <v>0</v>
      </c>
      <c r="R426" s="532" t="str">
        <f t="shared" si="27"/>
        <v>Gastos_Gerais</v>
      </c>
      <c r="S426" s="467" t="s">
        <v>310</v>
      </c>
      <c r="T426" s="467" t="s">
        <v>310</v>
      </c>
      <c r="U426" s="496"/>
      <c r="V426" s="496"/>
      <c r="W426" s="496"/>
    </row>
    <row r="427" spans="1:23" ht="48" x14ac:dyDescent="0.2">
      <c r="A427" s="510">
        <f t="shared" si="24"/>
        <v>424</v>
      </c>
      <c r="B427" s="428">
        <v>44581</v>
      </c>
      <c r="C427" s="424">
        <v>44531</v>
      </c>
      <c r="D427" s="415" t="s">
        <v>468</v>
      </c>
      <c r="E427" s="415" t="s">
        <v>468</v>
      </c>
      <c r="F427" s="425">
        <v>-3496.8</v>
      </c>
      <c r="G427" s="440" t="s">
        <v>1422</v>
      </c>
      <c r="H427" s="415" t="s">
        <v>468</v>
      </c>
      <c r="I427" s="473" t="s">
        <v>795</v>
      </c>
      <c r="J427" s="415" t="s">
        <v>796</v>
      </c>
      <c r="K427" s="415" t="s">
        <v>797</v>
      </c>
      <c r="L427" s="415" t="s">
        <v>798</v>
      </c>
      <c r="M427" s="415" t="s">
        <v>310</v>
      </c>
      <c r="N427" s="414">
        <v>44581</v>
      </c>
      <c r="O427" s="414" t="s">
        <v>400</v>
      </c>
      <c r="P427" s="222">
        <f t="shared" si="25"/>
        <v>1</v>
      </c>
      <c r="Q427" s="222">
        <f t="shared" si="26"/>
        <v>0</v>
      </c>
      <c r="R427" s="532" t="str">
        <f t="shared" si="27"/>
        <v>Gastos_custeados_por_captação</v>
      </c>
      <c r="S427" s="467" t="s">
        <v>310</v>
      </c>
      <c r="T427" s="467" t="s">
        <v>310</v>
      </c>
      <c r="U427" s="496"/>
      <c r="V427" s="496"/>
      <c r="W427" s="496"/>
    </row>
    <row r="428" spans="1:23" ht="48" x14ac:dyDescent="0.2">
      <c r="A428" s="510">
        <f t="shared" si="24"/>
        <v>425</v>
      </c>
      <c r="B428" s="428">
        <v>44581</v>
      </c>
      <c r="C428" s="424">
        <v>44531</v>
      </c>
      <c r="D428" s="415" t="s">
        <v>468</v>
      </c>
      <c r="E428" s="415" t="s">
        <v>468</v>
      </c>
      <c r="F428" s="425">
        <v>-1550</v>
      </c>
      <c r="G428" s="440" t="s">
        <v>1423</v>
      </c>
      <c r="H428" s="415" t="s">
        <v>468</v>
      </c>
      <c r="I428" s="473" t="s">
        <v>795</v>
      </c>
      <c r="J428" s="415" t="s">
        <v>796</v>
      </c>
      <c r="K428" s="415" t="s">
        <v>797</v>
      </c>
      <c r="L428" s="415" t="s">
        <v>798</v>
      </c>
      <c r="M428" s="415" t="s">
        <v>310</v>
      </c>
      <c r="N428" s="414">
        <v>44581</v>
      </c>
      <c r="O428" s="414" t="s">
        <v>400</v>
      </c>
      <c r="P428" s="222">
        <f t="shared" si="25"/>
        <v>1</v>
      </c>
      <c r="Q428" s="222">
        <f t="shared" si="26"/>
        <v>0</v>
      </c>
      <c r="R428" s="532" t="str">
        <f t="shared" si="27"/>
        <v>Gastos_custeados_por_captação</v>
      </c>
      <c r="S428" s="467" t="s">
        <v>310</v>
      </c>
      <c r="T428" s="467" t="s">
        <v>310</v>
      </c>
      <c r="U428" s="496"/>
      <c r="V428" s="496"/>
      <c r="W428" s="496"/>
    </row>
    <row r="429" spans="1:23" ht="48" x14ac:dyDescent="0.2">
      <c r="A429" s="510">
        <f t="shared" si="24"/>
        <v>426</v>
      </c>
      <c r="B429" s="428">
        <v>44581</v>
      </c>
      <c r="C429" s="424">
        <v>44531</v>
      </c>
      <c r="D429" s="415" t="s">
        <v>182</v>
      </c>
      <c r="E429" s="415" t="s">
        <v>1</v>
      </c>
      <c r="F429" s="425">
        <v>-118.5</v>
      </c>
      <c r="G429" s="440" t="s">
        <v>1451</v>
      </c>
      <c r="H429" s="415" t="s">
        <v>310</v>
      </c>
      <c r="I429" s="473" t="s">
        <v>795</v>
      </c>
      <c r="J429" s="415" t="s">
        <v>796</v>
      </c>
      <c r="K429" s="415" t="s">
        <v>797</v>
      </c>
      <c r="L429" s="415" t="s">
        <v>798</v>
      </c>
      <c r="M429" s="415" t="s">
        <v>310</v>
      </c>
      <c r="N429" s="414">
        <v>44581</v>
      </c>
      <c r="O429" s="414" t="s">
        <v>400</v>
      </c>
      <c r="P429" s="222">
        <f t="shared" si="25"/>
        <v>1</v>
      </c>
      <c r="Q429" s="222">
        <f t="shared" si="26"/>
        <v>0</v>
      </c>
      <c r="R429" s="532" t="str">
        <f t="shared" si="27"/>
        <v>Gastos_com_Pessoal</v>
      </c>
      <c r="S429" s="467" t="s">
        <v>310</v>
      </c>
      <c r="T429" s="467" t="s">
        <v>310</v>
      </c>
      <c r="U429" s="496"/>
      <c r="V429" s="496"/>
      <c r="W429" s="496"/>
    </row>
    <row r="430" spans="1:23" ht="48" x14ac:dyDescent="0.2">
      <c r="A430" s="510">
        <f t="shared" si="24"/>
        <v>427</v>
      </c>
      <c r="B430" s="428">
        <v>44581</v>
      </c>
      <c r="C430" s="424">
        <v>44531</v>
      </c>
      <c r="D430" s="415" t="s">
        <v>182</v>
      </c>
      <c r="E430" s="415" t="s">
        <v>252</v>
      </c>
      <c r="F430" s="425">
        <v>-382.5</v>
      </c>
      <c r="G430" s="440" t="s">
        <v>1452</v>
      </c>
      <c r="H430" s="415" t="s">
        <v>310</v>
      </c>
      <c r="I430" s="473" t="s">
        <v>795</v>
      </c>
      <c r="J430" s="415" t="s">
        <v>796</v>
      </c>
      <c r="K430" s="415" t="s">
        <v>797</v>
      </c>
      <c r="L430" s="415" t="s">
        <v>798</v>
      </c>
      <c r="M430" s="415" t="s">
        <v>310</v>
      </c>
      <c r="N430" s="414">
        <v>44581</v>
      </c>
      <c r="O430" s="414" t="s">
        <v>400</v>
      </c>
      <c r="P430" s="222">
        <f t="shared" si="25"/>
        <v>1</v>
      </c>
      <c r="Q430" s="222">
        <f t="shared" si="26"/>
        <v>0</v>
      </c>
      <c r="R430" s="532" t="str">
        <f t="shared" si="27"/>
        <v>Gastos_com_Pessoal</v>
      </c>
      <c r="S430" s="467" t="s">
        <v>310</v>
      </c>
      <c r="T430" s="467" t="s">
        <v>310</v>
      </c>
      <c r="U430" s="496"/>
      <c r="V430" s="496"/>
      <c r="W430" s="496"/>
    </row>
    <row r="431" spans="1:23" ht="48" x14ac:dyDescent="0.2">
      <c r="A431" s="510">
        <f t="shared" si="24"/>
        <v>428</v>
      </c>
      <c r="B431" s="428">
        <v>44581</v>
      </c>
      <c r="C431" s="424">
        <v>44531</v>
      </c>
      <c r="D431" s="415" t="s">
        <v>271</v>
      </c>
      <c r="E431" s="415" t="s">
        <v>90</v>
      </c>
      <c r="F431" s="425">
        <v>-28.52</v>
      </c>
      <c r="G431" s="440" t="s">
        <v>1453</v>
      </c>
      <c r="H431" s="415" t="s">
        <v>310</v>
      </c>
      <c r="I431" s="473" t="s">
        <v>795</v>
      </c>
      <c r="J431" s="415" t="s">
        <v>796</v>
      </c>
      <c r="K431" s="415" t="s">
        <v>797</v>
      </c>
      <c r="L431" s="415" t="s">
        <v>798</v>
      </c>
      <c r="M431" s="415" t="s">
        <v>310</v>
      </c>
      <c r="N431" s="414">
        <v>44581</v>
      </c>
      <c r="O431" s="414" t="s">
        <v>400</v>
      </c>
      <c r="P431" s="222">
        <f t="shared" si="25"/>
        <v>1</v>
      </c>
      <c r="Q431" s="222">
        <f t="shared" si="26"/>
        <v>0</v>
      </c>
      <c r="R431" s="532" t="str">
        <f t="shared" si="27"/>
        <v>Gastos_Gerais</v>
      </c>
      <c r="S431" s="467" t="s">
        <v>310</v>
      </c>
      <c r="T431" s="467" t="s">
        <v>310</v>
      </c>
      <c r="U431" s="496"/>
      <c r="V431" s="496"/>
      <c r="W431" s="496"/>
    </row>
    <row r="432" spans="1:23" ht="48" x14ac:dyDescent="0.2">
      <c r="A432" s="510">
        <f t="shared" si="24"/>
        <v>429</v>
      </c>
      <c r="B432" s="428">
        <v>44581</v>
      </c>
      <c r="C432" s="424">
        <v>44531</v>
      </c>
      <c r="D432" s="415" t="s">
        <v>468</v>
      </c>
      <c r="E432" s="415" t="s">
        <v>468</v>
      </c>
      <c r="F432" s="425">
        <v>-1519</v>
      </c>
      <c r="G432" s="440" t="s">
        <v>1424</v>
      </c>
      <c r="H432" s="415" t="s">
        <v>468</v>
      </c>
      <c r="I432" s="473" t="s">
        <v>795</v>
      </c>
      <c r="J432" s="415" t="s">
        <v>796</v>
      </c>
      <c r="K432" s="415" t="s">
        <v>797</v>
      </c>
      <c r="L432" s="415" t="s">
        <v>798</v>
      </c>
      <c r="M432" s="415" t="s">
        <v>310</v>
      </c>
      <c r="N432" s="414">
        <v>44581</v>
      </c>
      <c r="O432" s="414" t="s">
        <v>400</v>
      </c>
      <c r="P432" s="222">
        <f t="shared" si="25"/>
        <v>1</v>
      </c>
      <c r="Q432" s="222">
        <f t="shared" si="26"/>
        <v>0</v>
      </c>
      <c r="R432" s="532" t="str">
        <f t="shared" si="27"/>
        <v>Gastos_custeados_por_captação</v>
      </c>
      <c r="S432" s="467" t="s">
        <v>310</v>
      </c>
      <c r="T432" s="467" t="s">
        <v>310</v>
      </c>
      <c r="U432" s="496"/>
      <c r="V432" s="496"/>
      <c r="W432" s="496"/>
    </row>
    <row r="433" spans="1:23" ht="48" x14ac:dyDescent="0.2">
      <c r="A433" s="510">
        <f t="shared" si="24"/>
        <v>430</v>
      </c>
      <c r="B433" s="428">
        <v>44581</v>
      </c>
      <c r="C433" s="424">
        <v>44531</v>
      </c>
      <c r="D433" s="415" t="s">
        <v>468</v>
      </c>
      <c r="E433" s="415" t="s">
        <v>468</v>
      </c>
      <c r="F433" s="425">
        <v>-1643</v>
      </c>
      <c r="G433" s="440" t="s">
        <v>1425</v>
      </c>
      <c r="H433" s="415" t="s">
        <v>468</v>
      </c>
      <c r="I433" s="473" t="s">
        <v>795</v>
      </c>
      <c r="J433" s="415" t="s">
        <v>796</v>
      </c>
      <c r="K433" s="415" t="s">
        <v>797</v>
      </c>
      <c r="L433" s="415" t="s">
        <v>798</v>
      </c>
      <c r="M433" s="415" t="s">
        <v>310</v>
      </c>
      <c r="N433" s="414">
        <v>44581</v>
      </c>
      <c r="O433" s="414" t="s">
        <v>400</v>
      </c>
      <c r="P433" s="222">
        <f t="shared" si="25"/>
        <v>1</v>
      </c>
      <c r="Q433" s="222">
        <f t="shared" si="26"/>
        <v>0</v>
      </c>
      <c r="R433" s="532" t="str">
        <f t="shared" si="27"/>
        <v>Gastos_custeados_por_captação</v>
      </c>
      <c r="S433" s="467" t="s">
        <v>310</v>
      </c>
      <c r="T433" s="467" t="s">
        <v>310</v>
      </c>
      <c r="U433" s="496"/>
      <c r="V433" s="496"/>
      <c r="W433" s="496"/>
    </row>
    <row r="434" spans="1:23" ht="24" x14ac:dyDescent="0.2">
      <c r="A434" s="510">
        <f t="shared" si="24"/>
        <v>431</v>
      </c>
      <c r="B434" s="428">
        <v>44581</v>
      </c>
      <c r="C434" s="424">
        <v>44501</v>
      </c>
      <c r="D434" s="415" t="s">
        <v>271</v>
      </c>
      <c r="E434" s="415" t="s">
        <v>453</v>
      </c>
      <c r="F434" s="425">
        <v>44.1</v>
      </c>
      <c r="G434" s="427" t="s">
        <v>569</v>
      </c>
      <c r="H434" s="415" t="s">
        <v>752</v>
      </c>
      <c r="I434" s="398" t="s">
        <v>1461</v>
      </c>
      <c r="J434" s="415" t="s">
        <v>310</v>
      </c>
      <c r="K434" s="415" t="s">
        <v>1220</v>
      </c>
      <c r="L434" s="415" t="s">
        <v>1368</v>
      </c>
      <c r="M434" s="415" t="s">
        <v>310</v>
      </c>
      <c r="N434" s="414">
        <v>44581</v>
      </c>
      <c r="O434" s="414" t="s">
        <v>400</v>
      </c>
      <c r="P434" s="222">
        <f t="shared" si="25"/>
        <v>1</v>
      </c>
      <c r="Q434" s="222">
        <f t="shared" si="26"/>
        <v>-1</v>
      </c>
      <c r="R434" s="532" t="str">
        <f t="shared" si="27"/>
        <v>Gastos_Gerais</v>
      </c>
      <c r="S434" s="467" t="s">
        <v>310</v>
      </c>
      <c r="T434" s="467" t="s">
        <v>310</v>
      </c>
      <c r="U434" s="496"/>
      <c r="V434" s="496"/>
      <c r="W434" s="496"/>
    </row>
    <row r="435" spans="1:23" ht="36" x14ac:dyDescent="0.2">
      <c r="A435" s="510">
        <f t="shared" si="24"/>
        <v>432</v>
      </c>
      <c r="B435" s="428">
        <v>44581</v>
      </c>
      <c r="C435" s="424">
        <v>44501</v>
      </c>
      <c r="D435" s="415" t="s">
        <v>271</v>
      </c>
      <c r="E435" s="415" t="s">
        <v>456</v>
      </c>
      <c r="F435" s="425">
        <v>17.399999999999999</v>
      </c>
      <c r="G435" s="427" t="s">
        <v>586</v>
      </c>
      <c r="H435" s="415" t="s">
        <v>755</v>
      </c>
      <c r="I435" s="398" t="s">
        <v>1461</v>
      </c>
      <c r="J435" s="415" t="s">
        <v>310</v>
      </c>
      <c r="K435" s="415" t="s">
        <v>1220</v>
      </c>
      <c r="L435" s="415" t="s">
        <v>1368</v>
      </c>
      <c r="M435" s="415" t="s">
        <v>310</v>
      </c>
      <c r="N435" s="414">
        <v>44581</v>
      </c>
      <c r="O435" s="414" t="s">
        <v>400</v>
      </c>
      <c r="P435" s="222">
        <f t="shared" si="25"/>
        <v>1</v>
      </c>
      <c r="Q435" s="222">
        <f t="shared" si="26"/>
        <v>-1</v>
      </c>
      <c r="R435" s="532" t="str">
        <f t="shared" si="27"/>
        <v>Gastos_Gerais</v>
      </c>
      <c r="S435" s="467" t="s">
        <v>310</v>
      </c>
      <c r="T435" s="467" t="s">
        <v>310</v>
      </c>
      <c r="U435" s="496"/>
      <c r="V435" s="496"/>
      <c r="W435" s="496"/>
    </row>
    <row r="436" spans="1:23" ht="36" x14ac:dyDescent="0.2">
      <c r="A436" s="510">
        <f t="shared" si="24"/>
        <v>433</v>
      </c>
      <c r="B436" s="428">
        <v>44581</v>
      </c>
      <c r="C436" s="424">
        <v>44501</v>
      </c>
      <c r="D436" s="415" t="s">
        <v>271</v>
      </c>
      <c r="E436" s="415" t="s">
        <v>453</v>
      </c>
      <c r="F436" s="425">
        <v>44.1</v>
      </c>
      <c r="G436" s="427" t="s">
        <v>565</v>
      </c>
      <c r="H436" s="415" t="s">
        <v>752</v>
      </c>
      <c r="I436" s="398" t="s">
        <v>1461</v>
      </c>
      <c r="J436" s="415" t="s">
        <v>310</v>
      </c>
      <c r="K436" s="415" t="s">
        <v>1220</v>
      </c>
      <c r="L436" s="415" t="s">
        <v>1368</v>
      </c>
      <c r="M436" s="415" t="s">
        <v>310</v>
      </c>
      <c r="N436" s="414">
        <v>44581</v>
      </c>
      <c r="O436" s="414" t="s">
        <v>400</v>
      </c>
      <c r="P436" s="222">
        <f t="shared" si="25"/>
        <v>1</v>
      </c>
      <c r="Q436" s="222">
        <f t="shared" si="26"/>
        <v>-1</v>
      </c>
      <c r="R436" s="532" t="str">
        <f t="shared" si="27"/>
        <v>Gastos_Gerais</v>
      </c>
      <c r="S436" s="467" t="s">
        <v>310</v>
      </c>
      <c r="T436" s="467" t="s">
        <v>310</v>
      </c>
      <c r="U436" s="496"/>
      <c r="V436" s="496"/>
      <c r="W436" s="496"/>
    </row>
    <row r="437" spans="1:23" ht="36" x14ac:dyDescent="0.2">
      <c r="A437" s="510">
        <f t="shared" si="24"/>
        <v>434</v>
      </c>
      <c r="B437" s="428">
        <v>44581</v>
      </c>
      <c r="C437" s="424">
        <v>44531</v>
      </c>
      <c r="D437" s="415" t="s">
        <v>271</v>
      </c>
      <c r="E437" s="415" t="s">
        <v>453</v>
      </c>
      <c r="F437" s="425">
        <v>579.55999999999995</v>
      </c>
      <c r="G437" s="427" t="s">
        <v>611</v>
      </c>
      <c r="H437" s="415" t="s">
        <v>757</v>
      </c>
      <c r="I437" s="398" t="s">
        <v>1461</v>
      </c>
      <c r="J437" s="415" t="s">
        <v>310</v>
      </c>
      <c r="K437" s="415" t="s">
        <v>1220</v>
      </c>
      <c r="L437" s="415" t="s">
        <v>1368</v>
      </c>
      <c r="M437" s="415" t="s">
        <v>310</v>
      </c>
      <c r="N437" s="414">
        <v>44581</v>
      </c>
      <c r="O437" s="414" t="s">
        <v>400</v>
      </c>
      <c r="P437" s="222">
        <f t="shared" si="25"/>
        <v>1</v>
      </c>
      <c r="Q437" s="222">
        <f t="shared" si="26"/>
        <v>0</v>
      </c>
      <c r="R437" s="532" t="str">
        <f t="shared" si="27"/>
        <v>Gastos_Gerais</v>
      </c>
      <c r="S437" s="467" t="s">
        <v>310</v>
      </c>
      <c r="T437" s="467" t="s">
        <v>310</v>
      </c>
      <c r="U437" s="496"/>
      <c r="V437" s="496"/>
      <c r="W437" s="496"/>
    </row>
    <row r="438" spans="1:23" ht="48" x14ac:dyDescent="0.2">
      <c r="A438" s="510">
        <f t="shared" si="24"/>
        <v>435</v>
      </c>
      <c r="B438" s="428">
        <v>44581</v>
      </c>
      <c r="C438" s="424">
        <v>44470</v>
      </c>
      <c r="D438" s="415" t="s">
        <v>271</v>
      </c>
      <c r="E438" s="415" t="s">
        <v>453</v>
      </c>
      <c r="F438" s="425">
        <v>17.399999999999999</v>
      </c>
      <c r="G438" s="427" t="s">
        <v>575</v>
      </c>
      <c r="H438" s="415" t="s">
        <v>759</v>
      </c>
      <c r="I438" s="398" t="s">
        <v>1461</v>
      </c>
      <c r="J438" s="415" t="s">
        <v>310</v>
      </c>
      <c r="K438" s="415" t="s">
        <v>1220</v>
      </c>
      <c r="L438" s="415" t="s">
        <v>1368</v>
      </c>
      <c r="M438" s="415" t="s">
        <v>310</v>
      </c>
      <c r="N438" s="414">
        <v>44581</v>
      </c>
      <c r="O438" s="414" t="s">
        <v>400</v>
      </c>
      <c r="P438" s="222">
        <f t="shared" si="25"/>
        <v>1</v>
      </c>
      <c r="Q438" s="222">
        <f t="shared" si="26"/>
        <v>-2</v>
      </c>
      <c r="R438" s="532" t="str">
        <f t="shared" si="27"/>
        <v>Gastos_Gerais</v>
      </c>
      <c r="S438" s="467" t="s">
        <v>310</v>
      </c>
      <c r="T438" s="467" t="s">
        <v>310</v>
      </c>
      <c r="U438" s="496"/>
      <c r="V438" s="496"/>
      <c r="W438" s="496"/>
    </row>
    <row r="439" spans="1:23" ht="36" x14ac:dyDescent="0.2">
      <c r="A439" s="510">
        <f t="shared" si="24"/>
        <v>436</v>
      </c>
      <c r="B439" s="428">
        <v>44581</v>
      </c>
      <c r="C439" s="424">
        <v>44501</v>
      </c>
      <c r="D439" s="415" t="s">
        <v>271</v>
      </c>
      <c r="E439" s="415" t="s">
        <v>456</v>
      </c>
      <c r="F439" s="425">
        <v>599.14</v>
      </c>
      <c r="G439" s="427" t="s">
        <v>556</v>
      </c>
      <c r="H439" s="415" t="s">
        <v>755</v>
      </c>
      <c r="I439" s="398" t="s">
        <v>1461</v>
      </c>
      <c r="J439" s="415" t="s">
        <v>310</v>
      </c>
      <c r="K439" s="415" t="s">
        <v>1220</v>
      </c>
      <c r="L439" s="415" t="s">
        <v>1368</v>
      </c>
      <c r="M439" s="415" t="s">
        <v>310</v>
      </c>
      <c r="N439" s="414">
        <v>44581</v>
      </c>
      <c r="O439" s="414" t="s">
        <v>400</v>
      </c>
      <c r="P439" s="222">
        <f t="shared" si="25"/>
        <v>1</v>
      </c>
      <c r="Q439" s="222">
        <f t="shared" si="26"/>
        <v>-1</v>
      </c>
      <c r="R439" s="532" t="str">
        <f t="shared" si="27"/>
        <v>Gastos_Gerais</v>
      </c>
      <c r="S439" s="467" t="s">
        <v>310</v>
      </c>
      <c r="T439" s="467" t="s">
        <v>310</v>
      </c>
      <c r="U439" s="496"/>
      <c r="V439" s="496"/>
      <c r="W439" s="496"/>
    </row>
    <row r="440" spans="1:23" ht="24" x14ac:dyDescent="0.2">
      <c r="A440" s="510">
        <f t="shared" si="24"/>
        <v>437</v>
      </c>
      <c r="B440" s="428">
        <v>44581</v>
      </c>
      <c r="C440" s="424">
        <v>44470</v>
      </c>
      <c r="D440" s="415" t="s">
        <v>271</v>
      </c>
      <c r="E440" s="415" t="s">
        <v>456</v>
      </c>
      <c r="F440" s="425">
        <v>179.2</v>
      </c>
      <c r="G440" s="427" t="s">
        <v>559</v>
      </c>
      <c r="H440" s="415" t="s">
        <v>752</v>
      </c>
      <c r="I440" s="398" t="s">
        <v>1461</v>
      </c>
      <c r="J440" s="415" t="s">
        <v>310</v>
      </c>
      <c r="K440" s="415" t="s">
        <v>1220</v>
      </c>
      <c r="L440" s="415" t="s">
        <v>1368</v>
      </c>
      <c r="M440" s="415" t="s">
        <v>310</v>
      </c>
      <c r="N440" s="414">
        <v>44581</v>
      </c>
      <c r="O440" s="414" t="s">
        <v>400</v>
      </c>
      <c r="P440" s="222">
        <f t="shared" si="25"/>
        <v>1</v>
      </c>
      <c r="Q440" s="222">
        <f t="shared" si="26"/>
        <v>-2</v>
      </c>
      <c r="R440" s="532" t="str">
        <f t="shared" si="27"/>
        <v>Gastos_Gerais</v>
      </c>
      <c r="S440" s="467" t="s">
        <v>310</v>
      </c>
      <c r="T440" s="467" t="s">
        <v>310</v>
      </c>
      <c r="U440" s="496"/>
      <c r="V440" s="496"/>
      <c r="W440" s="496"/>
    </row>
    <row r="441" spans="1:23" ht="24" x14ac:dyDescent="0.2">
      <c r="A441" s="510">
        <f t="shared" si="24"/>
        <v>438</v>
      </c>
      <c r="B441" s="428">
        <v>44581</v>
      </c>
      <c r="C441" s="424">
        <v>44501</v>
      </c>
      <c r="D441" s="415" t="s">
        <v>182</v>
      </c>
      <c r="E441" s="415" t="s">
        <v>1</v>
      </c>
      <c r="F441" s="435">
        <v>16832.689999999999</v>
      </c>
      <c r="G441" s="437" t="s">
        <v>504</v>
      </c>
      <c r="H441" s="434" t="s">
        <v>310</v>
      </c>
      <c r="I441" s="398" t="s">
        <v>1461</v>
      </c>
      <c r="J441" s="415" t="s">
        <v>310</v>
      </c>
      <c r="K441" s="415" t="s">
        <v>1220</v>
      </c>
      <c r="L441" s="415" t="s">
        <v>1368</v>
      </c>
      <c r="M441" s="415" t="s">
        <v>310</v>
      </c>
      <c r="N441" s="414">
        <v>44581</v>
      </c>
      <c r="O441" s="414" t="s">
        <v>400</v>
      </c>
      <c r="P441" s="222">
        <f t="shared" si="25"/>
        <v>1</v>
      </c>
      <c r="Q441" s="222">
        <f t="shared" si="26"/>
        <v>-1</v>
      </c>
      <c r="R441" s="532" t="str">
        <f t="shared" si="27"/>
        <v>Gastos_com_Pessoal</v>
      </c>
      <c r="S441" s="467" t="s">
        <v>310</v>
      </c>
      <c r="T441" s="467" t="s">
        <v>310</v>
      </c>
      <c r="U441" s="496"/>
      <c r="V441" s="496"/>
      <c r="W441" s="496"/>
    </row>
    <row r="442" spans="1:23" ht="24" x14ac:dyDescent="0.2">
      <c r="A442" s="510">
        <f t="shared" si="24"/>
        <v>439</v>
      </c>
      <c r="B442" s="428">
        <v>44581</v>
      </c>
      <c r="C442" s="424">
        <v>44531</v>
      </c>
      <c r="D442" s="415" t="s">
        <v>182</v>
      </c>
      <c r="E442" s="415" t="s">
        <v>287</v>
      </c>
      <c r="F442" s="425">
        <v>2331.84</v>
      </c>
      <c r="G442" s="437" t="s">
        <v>1434</v>
      </c>
      <c r="H442" s="415" t="s">
        <v>310</v>
      </c>
      <c r="I442" s="398" t="s">
        <v>1461</v>
      </c>
      <c r="J442" s="415" t="s">
        <v>310</v>
      </c>
      <c r="K442" s="415" t="s">
        <v>1220</v>
      </c>
      <c r="L442" s="415" t="s">
        <v>1368</v>
      </c>
      <c r="M442" s="415" t="s">
        <v>310</v>
      </c>
      <c r="N442" s="414">
        <v>44581</v>
      </c>
      <c r="O442" s="414" t="s">
        <v>400</v>
      </c>
      <c r="P442" s="222">
        <f t="shared" si="25"/>
        <v>1</v>
      </c>
      <c r="Q442" s="222">
        <f t="shared" si="26"/>
        <v>0</v>
      </c>
      <c r="R442" s="532" t="str">
        <f t="shared" si="27"/>
        <v>Gastos_com_Pessoal</v>
      </c>
      <c r="S442" s="467" t="s">
        <v>310</v>
      </c>
      <c r="T442" s="467" t="s">
        <v>310</v>
      </c>
      <c r="U442" s="496"/>
      <c r="V442" s="496"/>
      <c r="W442" s="496"/>
    </row>
    <row r="443" spans="1:23" ht="24" x14ac:dyDescent="0.2">
      <c r="A443" s="510">
        <f t="shared" si="24"/>
        <v>440</v>
      </c>
      <c r="B443" s="428">
        <v>44581</v>
      </c>
      <c r="C443" s="424">
        <v>44531</v>
      </c>
      <c r="D443" s="415" t="s">
        <v>182</v>
      </c>
      <c r="E443" s="415" t="s">
        <v>287</v>
      </c>
      <c r="F443" s="425">
        <v>227.74</v>
      </c>
      <c r="G443" s="427" t="s">
        <v>646</v>
      </c>
      <c r="H443" s="415" t="s">
        <v>310</v>
      </c>
      <c r="I443" s="398" t="s">
        <v>1461</v>
      </c>
      <c r="J443" s="415" t="s">
        <v>310</v>
      </c>
      <c r="K443" s="415" t="s">
        <v>1220</v>
      </c>
      <c r="L443" s="415" t="s">
        <v>1368</v>
      </c>
      <c r="M443" s="415" t="s">
        <v>310</v>
      </c>
      <c r="N443" s="414">
        <v>44581</v>
      </c>
      <c r="O443" s="414" t="s">
        <v>400</v>
      </c>
      <c r="P443" s="222">
        <f t="shared" si="25"/>
        <v>1</v>
      </c>
      <c r="Q443" s="222">
        <f t="shared" si="26"/>
        <v>0</v>
      </c>
      <c r="R443" s="532" t="str">
        <f t="shared" si="27"/>
        <v>Gastos_com_Pessoal</v>
      </c>
      <c r="S443" s="467" t="s">
        <v>310</v>
      </c>
      <c r="T443" s="467" t="s">
        <v>310</v>
      </c>
      <c r="U443" s="496"/>
      <c r="V443" s="496"/>
      <c r="W443" s="496"/>
    </row>
    <row r="444" spans="1:23" ht="24" x14ac:dyDescent="0.2">
      <c r="A444" s="510">
        <f t="shared" si="24"/>
        <v>441</v>
      </c>
      <c r="B444" s="428">
        <v>44581</v>
      </c>
      <c r="C444" s="424">
        <v>44531</v>
      </c>
      <c r="D444" s="415" t="s">
        <v>182</v>
      </c>
      <c r="E444" s="415" t="s">
        <v>268</v>
      </c>
      <c r="F444" s="425">
        <v>10848.57</v>
      </c>
      <c r="G444" s="427" t="s">
        <v>505</v>
      </c>
      <c r="H444" s="415" t="s">
        <v>310</v>
      </c>
      <c r="I444" s="398" t="s">
        <v>1461</v>
      </c>
      <c r="J444" s="415" t="s">
        <v>310</v>
      </c>
      <c r="K444" s="415" t="s">
        <v>1220</v>
      </c>
      <c r="L444" s="415" t="s">
        <v>1368</v>
      </c>
      <c r="M444" s="415" t="s">
        <v>310</v>
      </c>
      <c r="N444" s="414">
        <v>44581</v>
      </c>
      <c r="O444" s="414" t="s">
        <v>400</v>
      </c>
      <c r="P444" s="222">
        <f t="shared" si="25"/>
        <v>1</v>
      </c>
      <c r="Q444" s="222">
        <f t="shared" si="26"/>
        <v>0</v>
      </c>
      <c r="R444" s="532" t="str">
        <f t="shared" si="27"/>
        <v>Gastos_com_Pessoal</v>
      </c>
      <c r="S444" s="467" t="s">
        <v>310</v>
      </c>
      <c r="T444" s="467" t="s">
        <v>310</v>
      </c>
      <c r="U444" s="496"/>
      <c r="V444" s="496"/>
      <c r="W444" s="496"/>
    </row>
    <row r="445" spans="1:23" ht="24" x14ac:dyDescent="0.2">
      <c r="A445" s="510">
        <f t="shared" si="24"/>
        <v>442</v>
      </c>
      <c r="B445" s="428">
        <v>44581</v>
      </c>
      <c r="C445" s="424">
        <v>44501</v>
      </c>
      <c r="D445" s="415" t="s">
        <v>182</v>
      </c>
      <c r="E445" s="415" t="s">
        <v>179</v>
      </c>
      <c r="F445" s="425">
        <v>14.98</v>
      </c>
      <c r="G445" s="427" t="s">
        <v>507</v>
      </c>
      <c r="H445" s="415" t="s">
        <v>310</v>
      </c>
      <c r="I445" s="398" t="s">
        <v>1461</v>
      </c>
      <c r="J445" s="415" t="s">
        <v>310</v>
      </c>
      <c r="K445" s="415" t="s">
        <v>1220</v>
      </c>
      <c r="L445" s="415" t="s">
        <v>1368</v>
      </c>
      <c r="M445" s="415" t="s">
        <v>310</v>
      </c>
      <c r="N445" s="414">
        <v>44581</v>
      </c>
      <c r="O445" s="414" t="s">
        <v>400</v>
      </c>
      <c r="P445" s="222">
        <f t="shared" si="25"/>
        <v>1</v>
      </c>
      <c r="Q445" s="222">
        <f t="shared" si="26"/>
        <v>-1</v>
      </c>
      <c r="R445" s="532" t="str">
        <f t="shared" si="27"/>
        <v>Gastos_com_Pessoal</v>
      </c>
      <c r="S445" s="467" t="s">
        <v>310</v>
      </c>
      <c r="T445" s="467" t="s">
        <v>310</v>
      </c>
      <c r="U445" s="496"/>
      <c r="V445" s="496"/>
      <c r="W445" s="496"/>
    </row>
    <row r="446" spans="1:23" ht="24" x14ac:dyDescent="0.2">
      <c r="A446" s="510">
        <f t="shared" si="24"/>
        <v>443</v>
      </c>
      <c r="B446" s="428">
        <v>44581</v>
      </c>
      <c r="C446" s="424">
        <v>44470</v>
      </c>
      <c r="D446" s="415" t="s">
        <v>182</v>
      </c>
      <c r="E446" s="415" t="s">
        <v>1</v>
      </c>
      <c r="F446" s="425">
        <v>19.28</v>
      </c>
      <c r="G446" s="427" t="s">
        <v>1286</v>
      </c>
      <c r="H446" s="415" t="s">
        <v>310</v>
      </c>
      <c r="I446" s="398" t="s">
        <v>1461</v>
      </c>
      <c r="J446" s="415" t="s">
        <v>310</v>
      </c>
      <c r="K446" s="415" t="s">
        <v>1220</v>
      </c>
      <c r="L446" s="415" t="s">
        <v>1368</v>
      </c>
      <c r="M446" s="415" t="s">
        <v>310</v>
      </c>
      <c r="N446" s="414">
        <v>44581</v>
      </c>
      <c r="O446" s="414" t="s">
        <v>400</v>
      </c>
      <c r="P446" s="222">
        <f t="shared" si="25"/>
        <v>1</v>
      </c>
      <c r="Q446" s="222">
        <f t="shared" si="26"/>
        <v>-2</v>
      </c>
      <c r="R446" s="532" t="str">
        <f t="shared" si="27"/>
        <v>Gastos_com_Pessoal</v>
      </c>
      <c r="S446" s="467" t="s">
        <v>310</v>
      </c>
      <c r="T446" s="467" t="s">
        <v>310</v>
      </c>
      <c r="U446" s="496"/>
      <c r="V446" s="496"/>
      <c r="W446" s="496"/>
    </row>
    <row r="447" spans="1:23" ht="24" x14ac:dyDescent="0.2">
      <c r="A447" s="510">
        <f t="shared" si="24"/>
        <v>444</v>
      </c>
      <c r="B447" s="428">
        <v>44581</v>
      </c>
      <c r="C447" s="424">
        <v>44501</v>
      </c>
      <c r="D447" s="415" t="s">
        <v>182</v>
      </c>
      <c r="E447" s="415" t="s">
        <v>179</v>
      </c>
      <c r="F447" s="425">
        <v>21.79</v>
      </c>
      <c r="G447" s="427" t="s">
        <v>508</v>
      </c>
      <c r="H447" s="415" t="s">
        <v>310</v>
      </c>
      <c r="I447" s="398" t="s">
        <v>1461</v>
      </c>
      <c r="J447" s="415" t="s">
        <v>310</v>
      </c>
      <c r="K447" s="415" t="s">
        <v>1220</v>
      </c>
      <c r="L447" s="415" t="s">
        <v>1368</v>
      </c>
      <c r="M447" s="415" t="s">
        <v>310</v>
      </c>
      <c r="N447" s="414">
        <v>44581</v>
      </c>
      <c r="O447" s="414" t="s">
        <v>400</v>
      </c>
      <c r="P447" s="222">
        <f t="shared" si="25"/>
        <v>1</v>
      </c>
      <c r="Q447" s="222">
        <f t="shared" si="26"/>
        <v>-1</v>
      </c>
      <c r="R447" s="532" t="str">
        <f t="shared" si="27"/>
        <v>Gastos_com_Pessoal</v>
      </c>
      <c r="S447" s="467" t="s">
        <v>310</v>
      </c>
      <c r="T447" s="467" t="s">
        <v>310</v>
      </c>
      <c r="U447" s="496"/>
      <c r="V447" s="496"/>
      <c r="W447" s="496"/>
    </row>
    <row r="448" spans="1:23" ht="24" x14ac:dyDescent="0.2">
      <c r="A448" s="510">
        <f t="shared" si="24"/>
        <v>445</v>
      </c>
      <c r="B448" s="428">
        <v>44581</v>
      </c>
      <c r="C448" s="424">
        <v>44501</v>
      </c>
      <c r="D448" s="415" t="s">
        <v>271</v>
      </c>
      <c r="E448" s="415" t="s">
        <v>2</v>
      </c>
      <c r="F448" s="425">
        <v>1881</v>
      </c>
      <c r="G448" s="427" t="s">
        <v>494</v>
      </c>
      <c r="H448" s="415" t="s">
        <v>309</v>
      </c>
      <c r="I448" s="398" t="s">
        <v>1461</v>
      </c>
      <c r="J448" s="415" t="s">
        <v>310</v>
      </c>
      <c r="K448" s="415" t="s">
        <v>1220</v>
      </c>
      <c r="L448" s="415" t="s">
        <v>1368</v>
      </c>
      <c r="M448" s="415" t="s">
        <v>310</v>
      </c>
      <c r="N448" s="414">
        <v>44581</v>
      </c>
      <c r="O448" s="414" t="s">
        <v>400</v>
      </c>
      <c r="P448" s="222">
        <f t="shared" si="25"/>
        <v>1</v>
      </c>
      <c r="Q448" s="222">
        <f t="shared" si="26"/>
        <v>-1</v>
      </c>
      <c r="R448" s="532" t="str">
        <f t="shared" si="27"/>
        <v>Gastos_Gerais</v>
      </c>
      <c r="S448" s="467" t="s">
        <v>310</v>
      </c>
      <c r="T448" s="467" t="s">
        <v>310</v>
      </c>
      <c r="U448" s="496"/>
      <c r="V448" s="496"/>
      <c r="W448" s="496"/>
    </row>
    <row r="449" spans="1:23" ht="24" x14ac:dyDescent="0.2">
      <c r="A449" s="510">
        <f t="shared" si="24"/>
        <v>446</v>
      </c>
      <c r="B449" s="428">
        <v>44581</v>
      </c>
      <c r="C449" s="424">
        <v>44531</v>
      </c>
      <c r="D449" s="415" t="s">
        <v>271</v>
      </c>
      <c r="E449" s="415" t="s">
        <v>59</v>
      </c>
      <c r="F449" s="425">
        <v>75</v>
      </c>
      <c r="G449" s="427" t="s">
        <v>484</v>
      </c>
      <c r="H449" s="415" t="s">
        <v>309</v>
      </c>
      <c r="I449" s="398" t="s">
        <v>1461</v>
      </c>
      <c r="J449" s="415" t="s">
        <v>310</v>
      </c>
      <c r="K449" s="415" t="s">
        <v>1220</v>
      </c>
      <c r="L449" s="415" t="s">
        <v>1368</v>
      </c>
      <c r="M449" s="415" t="s">
        <v>310</v>
      </c>
      <c r="N449" s="414">
        <v>44581</v>
      </c>
      <c r="O449" s="414" t="s">
        <v>400</v>
      </c>
      <c r="P449" s="222">
        <f t="shared" si="25"/>
        <v>1</v>
      </c>
      <c r="Q449" s="222">
        <f t="shared" si="26"/>
        <v>0</v>
      </c>
      <c r="R449" s="532" t="str">
        <f t="shared" si="27"/>
        <v>Gastos_Gerais</v>
      </c>
      <c r="S449" s="467" t="s">
        <v>310</v>
      </c>
      <c r="T449" s="467" t="s">
        <v>310</v>
      </c>
      <c r="U449" s="496"/>
      <c r="V449" s="496"/>
      <c r="W449" s="496"/>
    </row>
    <row r="450" spans="1:23" ht="24" x14ac:dyDescent="0.2">
      <c r="A450" s="510">
        <f t="shared" si="24"/>
        <v>447</v>
      </c>
      <c r="B450" s="428">
        <v>44581</v>
      </c>
      <c r="C450" s="424">
        <v>44501</v>
      </c>
      <c r="D450" s="415" t="s">
        <v>271</v>
      </c>
      <c r="E450" s="415" t="s">
        <v>178</v>
      </c>
      <c r="F450" s="425">
        <v>658.35</v>
      </c>
      <c r="G450" s="427" t="s">
        <v>1435</v>
      </c>
      <c r="H450" s="415" t="s">
        <v>752</v>
      </c>
      <c r="I450" s="398" t="s">
        <v>1461</v>
      </c>
      <c r="J450" s="415" t="s">
        <v>310</v>
      </c>
      <c r="K450" s="415" t="s">
        <v>1220</v>
      </c>
      <c r="L450" s="415" t="s">
        <v>1368</v>
      </c>
      <c r="M450" s="415" t="s">
        <v>310</v>
      </c>
      <c r="N450" s="414">
        <v>44581</v>
      </c>
      <c r="O450" s="414" t="s">
        <v>400</v>
      </c>
      <c r="P450" s="222">
        <f t="shared" si="25"/>
        <v>1</v>
      </c>
      <c r="Q450" s="222">
        <f t="shared" si="26"/>
        <v>-1</v>
      </c>
      <c r="R450" s="532" t="str">
        <f t="shared" si="27"/>
        <v>Gastos_Gerais</v>
      </c>
      <c r="S450" s="467" t="s">
        <v>310</v>
      </c>
      <c r="T450" s="467" t="s">
        <v>310</v>
      </c>
      <c r="U450" s="496"/>
      <c r="V450" s="496"/>
      <c r="W450" s="496"/>
    </row>
    <row r="451" spans="1:23" ht="36" x14ac:dyDescent="0.2">
      <c r="A451" s="510">
        <f t="shared" si="24"/>
        <v>448</v>
      </c>
      <c r="B451" s="428">
        <v>44581</v>
      </c>
      <c r="C451" s="424">
        <v>44531</v>
      </c>
      <c r="D451" s="415" t="s">
        <v>468</v>
      </c>
      <c r="E451" s="415" t="s">
        <v>468</v>
      </c>
      <c r="F451" s="425">
        <v>945.5</v>
      </c>
      <c r="G451" s="427" t="s">
        <v>1436</v>
      </c>
      <c r="H451" s="415" t="s">
        <v>468</v>
      </c>
      <c r="I451" s="398" t="s">
        <v>1461</v>
      </c>
      <c r="J451" s="415" t="s">
        <v>310</v>
      </c>
      <c r="K451" s="415" t="s">
        <v>1220</v>
      </c>
      <c r="L451" s="415" t="s">
        <v>1368</v>
      </c>
      <c r="M451" s="415" t="s">
        <v>310</v>
      </c>
      <c r="N451" s="414">
        <v>44581</v>
      </c>
      <c r="O451" s="414" t="s">
        <v>400</v>
      </c>
      <c r="P451" s="222">
        <f t="shared" si="25"/>
        <v>1</v>
      </c>
      <c r="Q451" s="222">
        <f t="shared" si="26"/>
        <v>0</v>
      </c>
      <c r="R451" s="532" t="str">
        <f t="shared" si="27"/>
        <v>Gastos_custeados_por_captação</v>
      </c>
      <c r="S451" s="467" t="s">
        <v>310</v>
      </c>
      <c r="T451" s="467" t="s">
        <v>310</v>
      </c>
      <c r="U451" s="496"/>
      <c r="V451" s="496"/>
      <c r="W451" s="496"/>
    </row>
    <row r="452" spans="1:23" ht="36" x14ac:dyDescent="0.2">
      <c r="A452" s="510">
        <f t="shared" ref="A452:A515" si="28">IF(B452="","",ROW()-ROW($A$3))</f>
        <v>449</v>
      </c>
      <c r="B452" s="428">
        <v>44581</v>
      </c>
      <c r="C452" s="424">
        <v>44531</v>
      </c>
      <c r="D452" s="415" t="s">
        <v>468</v>
      </c>
      <c r="E452" s="415" t="s">
        <v>468</v>
      </c>
      <c r="F452" s="425">
        <v>155</v>
      </c>
      <c r="G452" s="440" t="s">
        <v>1437</v>
      </c>
      <c r="H452" s="415" t="s">
        <v>468</v>
      </c>
      <c r="I452" s="398" t="s">
        <v>1461</v>
      </c>
      <c r="J452" s="415" t="s">
        <v>310</v>
      </c>
      <c r="K452" s="415" t="s">
        <v>1220</v>
      </c>
      <c r="L452" s="415" t="s">
        <v>1368</v>
      </c>
      <c r="M452" s="415" t="s">
        <v>310</v>
      </c>
      <c r="N452" s="414">
        <v>44581</v>
      </c>
      <c r="O452" s="414" t="s">
        <v>400</v>
      </c>
      <c r="P452" s="222">
        <f t="shared" ref="P452:P515" si="29">IF(B452=0,0,IF(YEAR(B452)=$Q$1,MONTH(B452)-$P$1+1,(YEAR(B452)-$Q$1)*12-$P$1+1+MONTH(B452)))</f>
        <v>1</v>
      </c>
      <c r="Q452" s="222">
        <f t="shared" ref="Q452:Q515" si="30">IF(C452=0,0,IF(YEAR(C452)=$Q$1,MONTH(C452)-$P$1+1,(YEAR(C452)-$Q$1)*12-$P$1+1+MONTH(C452)))</f>
        <v>0</v>
      </c>
      <c r="R452" s="532" t="str">
        <f t="shared" ref="R452:R515" si="31">SUBSTITUTE(D452," ","_")</f>
        <v>Gastos_custeados_por_captação</v>
      </c>
      <c r="S452" s="467" t="s">
        <v>310</v>
      </c>
      <c r="T452" s="467" t="s">
        <v>310</v>
      </c>
      <c r="U452" s="496"/>
      <c r="V452" s="496"/>
      <c r="W452" s="496"/>
    </row>
    <row r="453" spans="1:23" ht="36" x14ac:dyDescent="0.2">
      <c r="A453" s="510">
        <f t="shared" si="28"/>
        <v>450</v>
      </c>
      <c r="B453" s="428">
        <v>44581</v>
      </c>
      <c r="C453" s="424">
        <v>44531</v>
      </c>
      <c r="D453" s="415" t="s">
        <v>468</v>
      </c>
      <c r="E453" s="415" t="s">
        <v>468</v>
      </c>
      <c r="F453" s="425">
        <v>775</v>
      </c>
      <c r="G453" s="440" t="s">
        <v>1438</v>
      </c>
      <c r="H453" s="415" t="s">
        <v>468</v>
      </c>
      <c r="I453" s="398" t="s">
        <v>1461</v>
      </c>
      <c r="J453" s="415" t="s">
        <v>310</v>
      </c>
      <c r="K453" s="415" t="s">
        <v>1220</v>
      </c>
      <c r="L453" s="415" t="s">
        <v>1368</v>
      </c>
      <c r="M453" s="415" t="s">
        <v>310</v>
      </c>
      <c r="N453" s="414">
        <v>44581</v>
      </c>
      <c r="O453" s="414" t="s">
        <v>400</v>
      </c>
      <c r="P453" s="222">
        <f t="shared" si="29"/>
        <v>1</v>
      </c>
      <c r="Q453" s="222">
        <f t="shared" si="30"/>
        <v>0</v>
      </c>
      <c r="R453" s="532" t="str">
        <f t="shared" si="31"/>
        <v>Gastos_custeados_por_captação</v>
      </c>
      <c r="S453" s="467" t="s">
        <v>310</v>
      </c>
      <c r="T453" s="467" t="s">
        <v>310</v>
      </c>
      <c r="U453" s="496"/>
      <c r="V453" s="496"/>
      <c r="W453" s="496"/>
    </row>
    <row r="454" spans="1:23" ht="36" x14ac:dyDescent="0.2">
      <c r="A454" s="510">
        <f t="shared" si="28"/>
        <v>451</v>
      </c>
      <c r="B454" s="428">
        <v>44581</v>
      </c>
      <c r="C454" s="424">
        <v>44531</v>
      </c>
      <c r="D454" s="415" t="s">
        <v>468</v>
      </c>
      <c r="E454" s="415" t="s">
        <v>468</v>
      </c>
      <c r="F454" s="425">
        <v>3355.75</v>
      </c>
      <c r="G454" s="440" t="s">
        <v>1439</v>
      </c>
      <c r="H454" s="415" t="s">
        <v>468</v>
      </c>
      <c r="I454" s="398" t="s">
        <v>1461</v>
      </c>
      <c r="J454" s="415" t="s">
        <v>310</v>
      </c>
      <c r="K454" s="415" t="s">
        <v>1220</v>
      </c>
      <c r="L454" s="415" t="s">
        <v>1368</v>
      </c>
      <c r="M454" s="415" t="s">
        <v>310</v>
      </c>
      <c r="N454" s="414">
        <v>44581</v>
      </c>
      <c r="O454" s="414" t="s">
        <v>400</v>
      </c>
      <c r="P454" s="222">
        <f t="shared" si="29"/>
        <v>1</v>
      </c>
      <c r="Q454" s="222">
        <f t="shared" si="30"/>
        <v>0</v>
      </c>
      <c r="R454" s="532" t="str">
        <f t="shared" si="31"/>
        <v>Gastos_custeados_por_captação</v>
      </c>
      <c r="S454" s="467" t="s">
        <v>310</v>
      </c>
      <c r="T454" s="467" t="s">
        <v>310</v>
      </c>
      <c r="U454" s="496"/>
      <c r="V454" s="496"/>
      <c r="W454" s="496"/>
    </row>
    <row r="455" spans="1:23" ht="36" x14ac:dyDescent="0.2">
      <c r="A455" s="510">
        <f t="shared" si="28"/>
        <v>452</v>
      </c>
      <c r="B455" s="428">
        <v>44581</v>
      </c>
      <c r="C455" s="424">
        <v>44531</v>
      </c>
      <c r="D455" s="415" t="s">
        <v>468</v>
      </c>
      <c r="E455" s="415" t="s">
        <v>468</v>
      </c>
      <c r="F455" s="425">
        <v>1534.5</v>
      </c>
      <c r="G455" s="440" t="s">
        <v>1440</v>
      </c>
      <c r="H455" s="415" t="s">
        <v>468</v>
      </c>
      <c r="I455" s="398" t="s">
        <v>1461</v>
      </c>
      <c r="J455" s="415" t="s">
        <v>310</v>
      </c>
      <c r="K455" s="415" t="s">
        <v>1220</v>
      </c>
      <c r="L455" s="415" t="s">
        <v>1368</v>
      </c>
      <c r="M455" s="415" t="s">
        <v>310</v>
      </c>
      <c r="N455" s="414">
        <v>44581</v>
      </c>
      <c r="O455" s="414" t="s">
        <v>400</v>
      </c>
      <c r="P455" s="222">
        <f t="shared" si="29"/>
        <v>1</v>
      </c>
      <c r="Q455" s="222">
        <f t="shared" si="30"/>
        <v>0</v>
      </c>
      <c r="R455" s="532" t="str">
        <f t="shared" si="31"/>
        <v>Gastos_custeados_por_captação</v>
      </c>
      <c r="S455" s="467" t="s">
        <v>310</v>
      </c>
      <c r="T455" s="467" t="s">
        <v>310</v>
      </c>
      <c r="U455" s="496"/>
      <c r="V455" s="496"/>
      <c r="W455" s="496"/>
    </row>
    <row r="456" spans="1:23" ht="24" x14ac:dyDescent="0.2">
      <c r="A456" s="510">
        <f t="shared" si="28"/>
        <v>453</v>
      </c>
      <c r="B456" s="428">
        <v>44581</v>
      </c>
      <c r="C456" s="424">
        <v>44531</v>
      </c>
      <c r="D456" s="415" t="s">
        <v>271</v>
      </c>
      <c r="E456" s="415" t="s">
        <v>90</v>
      </c>
      <c r="F456" s="425">
        <v>2151.4</v>
      </c>
      <c r="G456" s="440" t="s">
        <v>1441</v>
      </c>
      <c r="H456" s="415" t="s">
        <v>310</v>
      </c>
      <c r="I456" s="398" t="s">
        <v>1461</v>
      </c>
      <c r="J456" s="415" t="s">
        <v>310</v>
      </c>
      <c r="K456" s="415" t="s">
        <v>1220</v>
      </c>
      <c r="L456" s="415" t="s">
        <v>1368</v>
      </c>
      <c r="M456" s="415" t="s">
        <v>310</v>
      </c>
      <c r="N456" s="414">
        <v>44581</v>
      </c>
      <c r="O456" s="414" t="s">
        <v>400</v>
      </c>
      <c r="P456" s="222">
        <f t="shared" si="29"/>
        <v>1</v>
      </c>
      <c r="Q456" s="222">
        <f t="shared" si="30"/>
        <v>0</v>
      </c>
      <c r="R456" s="532" t="str">
        <f t="shared" si="31"/>
        <v>Gastos_Gerais</v>
      </c>
      <c r="S456" s="467" t="s">
        <v>310</v>
      </c>
      <c r="T456" s="467" t="s">
        <v>310</v>
      </c>
      <c r="U456" s="496"/>
      <c r="V456" s="496"/>
      <c r="W456" s="496"/>
    </row>
    <row r="457" spans="1:23" ht="24" x14ac:dyDescent="0.2">
      <c r="A457" s="510">
        <f t="shared" si="28"/>
        <v>454</v>
      </c>
      <c r="B457" s="428">
        <v>44581</v>
      </c>
      <c r="C457" s="424">
        <v>44531</v>
      </c>
      <c r="D457" s="415" t="s">
        <v>182</v>
      </c>
      <c r="E457" s="415" t="s">
        <v>1</v>
      </c>
      <c r="F457" s="425">
        <v>3193.02</v>
      </c>
      <c r="G457" s="440" t="s">
        <v>1442</v>
      </c>
      <c r="H457" s="415" t="s">
        <v>310</v>
      </c>
      <c r="I457" s="398" t="s">
        <v>1461</v>
      </c>
      <c r="J457" s="415" t="s">
        <v>310</v>
      </c>
      <c r="K457" s="415" t="s">
        <v>1220</v>
      </c>
      <c r="L457" s="415" t="s">
        <v>1368</v>
      </c>
      <c r="M457" s="415" t="s">
        <v>310</v>
      </c>
      <c r="N457" s="414">
        <v>44581</v>
      </c>
      <c r="O457" s="414" t="s">
        <v>400</v>
      </c>
      <c r="P457" s="222">
        <f t="shared" si="29"/>
        <v>1</v>
      </c>
      <c r="Q457" s="222">
        <f t="shared" si="30"/>
        <v>0</v>
      </c>
      <c r="R457" s="532" t="str">
        <f t="shared" si="31"/>
        <v>Gastos_com_Pessoal</v>
      </c>
      <c r="S457" s="467" t="s">
        <v>310</v>
      </c>
      <c r="T457" s="467" t="s">
        <v>310</v>
      </c>
      <c r="U457" s="496"/>
      <c r="V457" s="496"/>
      <c r="W457" s="496"/>
    </row>
    <row r="458" spans="1:23" ht="24" x14ac:dyDescent="0.2">
      <c r="A458" s="510">
        <f t="shared" si="28"/>
        <v>455</v>
      </c>
      <c r="B458" s="428">
        <v>44581</v>
      </c>
      <c r="C458" s="424">
        <v>44531</v>
      </c>
      <c r="D458" s="415" t="s">
        <v>182</v>
      </c>
      <c r="E458" s="415" t="s">
        <v>252</v>
      </c>
      <c r="F458" s="425">
        <v>8054.88</v>
      </c>
      <c r="G458" s="440" t="s">
        <v>1443</v>
      </c>
      <c r="H458" s="415" t="s">
        <v>310</v>
      </c>
      <c r="I458" s="398" t="s">
        <v>1461</v>
      </c>
      <c r="J458" s="415" t="s">
        <v>310</v>
      </c>
      <c r="K458" s="415" t="s">
        <v>1220</v>
      </c>
      <c r="L458" s="415" t="s">
        <v>1368</v>
      </c>
      <c r="M458" s="415" t="s">
        <v>310</v>
      </c>
      <c r="N458" s="414">
        <v>44581</v>
      </c>
      <c r="O458" s="414" t="s">
        <v>400</v>
      </c>
      <c r="P458" s="222">
        <f t="shared" si="29"/>
        <v>1</v>
      </c>
      <c r="Q458" s="222">
        <f t="shared" si="30"/>
        <v>0</v>
      </c>
      <c r="R458" s="532" t="str">
        <f t="shared" si="31"/>
        <v>Gastos_com_Pessoal</v>
      </c>
      <c r="S458" s="467" t="s">
        <v>310</v>
      </c>
      <c r="T458" s="467" t="s">
        <v>310</v>
      </c>
      <c r="U458" s="496"/>
      <c r="V458" s="496"/>
      <c r="W458" s="496"/>
    </row>
    <row r="459" spans="1:23" ht="36" x14ac:dyDescent="0.2">
      <c r="A459" s="510">
        <f t="shared" si="28"/>
        <v>456</v>
      </c>
      <c r="B459" s="428">
        <v>44581</v>
      </c>
      <c r="C459" s="424">
        <v>44531</v>
      </c>
      <c r="D459" s="415" t="s">
        <v>468</v>
      </c>
      <c r="E459" s="415" t="s">
        <v>468</v>
      </c>
      <c r="F459" s="425">
        <v>3496.8</v>
      </c>
      <c r="G459" s="440" t="s">
        <v>1444</v>
      </c>
      <c r="H459" s="415" t="s">
        <v>468</v>
      </c>
      <c r="I459" s="398" t="s">
        <v>1461</v>
      </c>
      <c r="J459" s="415" t="s">
        <v>310</v>
      </c>
      <c r="K459" s="415" t="s">
        <v>1220</v>
      </c>
      <c r="L459" s="415" t="s">
        <v>1368</v>
      </c>
      <c r="M459" s="415" t="s">
        <v>310</v>
      </c>
      <c r="N459" s="414">
        <v>44581</v>
      </c>
      <c r="O459" s="414" t="s">
        <v>400</v>
      </c>
      <c r="P459" s="222">
        <f t="shared" si="29"/>
        <v>1</v>
      </c>
      <c r="Q459" s="222">
        <f t="shared" si="30"/>
        <v>0</v>
      </c>
      <c r="R459" s="532" t="str">
        <f t="shared" si="31"/>
        <v>Gastos_custeados_por_captação</v>
      </c>
      <c r="S459" s="467" t="s">
        <v>310</v>
      </c>
      <c r="T459" s="467" t="s">
        <v>310</v>
      </c>
      <c r="U459" s="496"/>
      <c r="V459" s="496"/>
      <c r="W459" s="496"/>
    </row>
    <row r="460" spans="1:23" ht="36" x14ac:dyDescent="0.2">
      <c r="A460" s="510">
        <f t="shared" si="28"/>
        <v>457</v>
      </c>
      <c r="B460" s="428">
        <v>44581</v>
      </c>
      <c r="C460" s="424">
        <v>44531</v>
      </c>
      <c r="D460" s="415" t="s">
        <v>468</v>
      </c>
      <c r="E460" s="415" t="s">
        <v>468</v>
      </c>
      <c r="F460" s="425">
        <v>1550</v>
      </c>
      <c r="G460" s="440" t="s">
        <v>1445</v>
      </c>
      <c r="H460" s="415" t="s">
        <v>468</v>
      </c>
      <c r="I460" s="398" t="s">
        <v>1461</v>
      </c>
      <c r="J460" s="415" t="s">
        <v>310</v>
      </c>
      <c r="K460" s="415" t="s">
        <v>1220</v>
      </c>
      <c r="L460" s="415" t="s">
        <v>1368</v>
      </c>
      <c r="M460" s="415" t="s">
        <v>310</v>
      </c>
      <c r="N460" s="414">
        <v>44581</v>
      </c>
      <c r="O460" s="414" t="s">
        <v>400</v>
      </c>
      <c r="P460" s="222">
        <f t="shared" si="29"/>
        <v>1</v>
      </c>
      <c r="Q460" s="222">
        <f t="shared" si="30"/>
        <v>0</v>
      </c>
      <c r="R460" s="532" t="str">
        <f t="shared" si="31"/>
        <v>Gastos_custeados_por_captação</v>
      </c>
      <c r="S460" s="467" t="s">
        <v>310</v>
      </c>
      <c r="T460" s="467" t="s">
        <v>310</v>
      </c>
      <c r="U460" s="496"/>
      <c r="V460" s="496"/>
      <c r="W460" s="496"/>
    </row>
    <row r="461" spans="1:23" ht="24" x14ac:dyDescent="0.2">
      <c r="A461" s="510">
        <f t="shared" si="28"/>
        <v>458</v>
      </c>
      <c r="B461" s="428">
        <v>44581</v>
      </c>
      <c r="C461" s="424">
        <v>44531</v>
      </c>
      <c r="D461" s="415" t="s">
        <v>182</v>
      </c>
      <c r="E461" s="415" t="s">
        <v>1</v>
      </c>
      <c r="F461" s="425">
        <v>118.5</v>
      </c>
      <c r="G461" s="440" t="s">
        <v>1446</v>
      </c>
      <c r="H461" s="415" t="s">
        <v>310</v>
      </c>
      <c r="I461" s="398" t="s">
        <v>1461</v>
      </c>
      <c r="J461" s="415" t="s">
        <v>310</v>
      </c>
      <c r="K461" s="415" t="s">
        <v>1220</v>
      </c>
      <c r="L461" s="415" t="s">
        <v>1368</v>
      </c>
      <c r="M461" s="415" t="s">
        <v>310</v>
      </c>
      <c r="N461" s="414">
        <v>44581</v>
      </c>
      <c r="O461" s="414" t="s">
        <v>400</v>
      </c>
      <c r="P461" s="222">
        <f t="shared" si="29"/>
        <v>1</v>
      </c>
      <c r="Q461" s="222">
        <f t="shared" si="30"/>
        <v>0</v>
      </c>
      <c r="R461" s="532" t="str">
        <f t="shared" si="31"/>
        <v>Gastos_com_Pessoal</v>
      </c>
      <c r="S461" s="467" t="s">
        <v>310</v>
      </c>
      <c r="T461" s="467" t="s">
        <v>310</v>
      </c>
      <c r="U461" s="496"/>
      <c r="V461" s="496"/>
      <c r="W461" s="496"/>
    </row>
    <row r="462" spans="1:23" ht="24" x14ac:dyDescent="0.2">
      <c r="A462" s="510">
        <f t="shared" si="28"/>
        <v>459</v>
      </c>
      <c r="B462" s="428">
        <v>44581</v>
      </c>
      <c r="C462" s="424">
        <v>44531</v>
      </c>
      <c r="D462" s="415" t="s">
        <v>182</v>
      </c>
      <c r="E462" s="415" t="s">
        <v>252</v>
      </c>
      <c r="F462" s="425">
        <v>382.5</v>
      </c>
      <c r="G462" s="440" t="s">
        <v>1447</v>
      </c>
      <c r="H462" s="415" t="s">
        <v>310</v>
      </c>
      <c r="I462" s="398" t="s">
        <v>1461</v>
      </c>
      <c r="J462" s="415" t="s">
        <v>310</v>
      </c>
      <c r="K462" s="415" t="s">
        <v>1220</v>
      </c>
      <c r="L462" s="415" t="s">
        <v>1368</v>
      </c>
      <c r="M462" s="415" t="s">
        <v>310</v>
      </c>
      <c r="N462" s="414">
        <v>44581</v>
      </c>
      <c r="O462" s="414" t="s">
        <v>400</v>
      </c>
      <c r="P462" s="222">
        <f t="shared" si="29"/>
        <v>1</v>
      </c>
      <c r="Q462" s="222">
        <f t="shared" si="30"/>
        <v>0</v>
      </c>
      <c r="R462" s="532" t="str">
        <f t="shared" si="31"/>
        <v>Gastos_com_Pessoal</v>
      </c>
      <c r="S462" s="467" t="s">
        <v>310</v>
      </c>
      <c r="T462" s="467" t="s">
        <v>310</v>
      </c>
      <c r="U462" s="496"/>
      <c r="V462" s="496"/>
      <c r="W462" s="496"/>
    </row>
    <row r="463" spans="1:23" ht="24" x14ac:dyDescent="0.2">
      <c r="A463" s="510">
        <f t="shared" si="28"/>
        <v>460</v>
      </c>
      <c r="B463" s="428">
        <v>44581</v>
      </c>
      <c r="C463" s="424">
        <v>44531</v>
      </c>
      <c r="D463" s="415" t="s">
        <v>271</v>
      </c>
      <c r="E463" s="415" t="s">
        <v>90</v>
      </c>
      <c r="F463" s="425">
        <v>28.52</v>
      </c>
      <c r="G463" s="440" t="s">
        <v>1448</v>
      </c>
      <c r="H463" s="415" t="s">
        <v>310</v>
      </c>
      <c r="I463" s="398" t="s">
        <v>1461</v>
      </c>
      <c r="J463" s="415" t="s">
        <v>310</v>
      </c>
      <c r="K463" s="415" t="s">
        <v>1220</v>
      </c>
      <c r="L463" s="415" t="s">
        <v>1368</v>
      </c>
      <c r="M463" s="415" t="s">
        <v>310</v>
      </c>
      <c r="N463" s="414">
        <v>44581</v>
      </c>
      <c r="O463" s="414" t="s">
        <v>400</v>
      </c>
      <c r="P463" s="222">
        <f t="shared" si="29"/>
        <v>1</v>
      </c>
      <c r="Q463" s="222">
        <f t="shared" si="30"/>
        <v>0</v>
      </c>
      <c r="R463" s="532" t="str">
        <f t="shared" si="31"/>
        <v>Gastos_Gerais</v>
      </c>
      <c r="S463" s="467" t="s">
        <v>310</v>
      </c>
      <c r="T463" s="467" t="s">
        <v>310</v>
      </c>
      <c r="U463" s="496"/>
      <c r="V463" s="496"/>
      <c r="W463" s="496"/>
    </row>
    <row r="464" spans="1:23" ht="36" x14ac:dyDescent="0.2">
      <c r="A464" s="510">
        <f t="shared" si="28"/>
        <v>461</v>
      </c>
      <c r="B464" s="428">
        <v>44581</v>
      </c>
      <c r="C464" s="424">
        <v>44531</v>
      </c>
      <c r="D464" s="415" t="s">
        <v>468</v>
      </c>
      <c r="E464" s="415" t="s">
        <v>468</v>
      </c>
      <c r="F464" s="425">
        <v>1519</v>
      </c>
      <c r="G464" s="440" t="s">
        <v>1449</v>
      </c>
      <c r="H464" s="415" t="s">
        <v>468</v>
      </c>
      <c r="I464" s="398" t="s">
        <v>1461</v>
      </c>
      <c r="J464" s="415" t="s">
        <v>310</v>
      </c>
      <c r="K464" s="415" t="s">
        <v>1220</v>
      </c>
      <c r="L464" s="415" t="s">
        <v>1368</v>
      </c>
      <c r="M464" s="415" t="s">
        <v>310</v>
      </c>
      <c r="N464" s="414">
        <v>44581</v>
      </c>
      <c r="O464" s="414" t="s">
        <v>400</v>
      </c>
      <c r="P464" s="222">
        <f t="shared" si="29"/>
        <v>1</v>
      </c>
      <c r="Q464" s="222">
        <f t="shared" si="30"/>
        <v>0</v>
      </c>
      <c r="R464" s="532" t="str">
        <f t="shared" si="31"/>
        <v>Gastos_custeados_por_captação</v>
      </c>
      <c r="S464" s="467" t="s">
        <v>310</v>
      </c>
      <c r="T464" s="467" t="s">
        <v>310</v>
      </c>
      <c r="U464" s="496"/>
      <c r="V464" s="496"/>
      <c r="W464" s="496"/>
    </row>
    <row r="465" spans="1:23" ht="36" x14ac:dyDescent="0.2">
      <c r="A465" s="510">
        <f t="shared" si="28"/>
        <v>462</v>
      </c>
      <c r="B465" s="428">
        <v>44581</v>
      </c>
      <c r="C465" s="424">
        <v>44531</v>
      </c>
      <c r="D465" s="415" t="s">
        <v>468</v>
      </c>
      <c r="E465" s="415" t="s">
        <v>468</v>
      </c>
      <c r="F465" s="425">
        <v>1643</v>
      </c>
      <c r="G465" s="440" t="s">
        <v>1450</v>
      </c>
      <c r="H465" s="415" t="s">
        <v>468</v>
      </c>
      <c r="I465" s="398" t="s">
        <v>1461</v>
      </c>
      <c r="J465" s="415" t="s">
        <v>310</v>
      </c>
      <c r="K465" s="415" t="s">
        <v>1220</v>
      </c>
      <c r="L465" s="415" t="s">
        <v>1368</v>
      </c>
      <c r="M465" s="415" t="s">
        <v>310</v>
      </c>
      <c r="N465" s="414">
        <v>44581</v>
      </c>
      <c r="O465" s="414" t="s">
        <v>400</v>
      </c>
      <c r="P465" s="222">
        <f t="shared" si="29"/>
        <v>1</v>
      </c>
      <c r="Q465" s="222">
        <f t="shared" si="30"/>
        <v>0</v>
      </c>
      <c r="R465" s="532" t="str">
        <f t="shared" si="31"/>
        <v>Gastos_custeados_por_captação</v>
      </c>
      <c r="S465" s="467" t="s">
        <v>310</v>
      </c>
      <c r="T465" s="467" t="s">
        <v>310</v>
      </c>
      <c r="U465" s="496"/>
      <c r="V465" s="496"/>
      <c r="W465" s="496"/>
    </row>
    <row r="466" spans="1:23" ht="24" x14ac:dyDescent="0.2">
      <c r="A466" s="510">
        <f t="shared" si="28"/>
        <v>463</v>
      </c>
      <c r="B466" s="428">
        <v>44581</v>
      </c>
      <c r="C466" s="424">
        <v>44501</v>
      </c>
      <c r="D466" s="415" t="s">
        <v>271</v>
      </c>
      <c r="E466" s="415" t="s">
        <v>453</v>
      </c>
      <c r="F466" s="425">
        <v>372</v>
      </c>
      <c r="G466" s="427" t="s">
        <v>542</v>
      </c>
      <c r="H466" s="415" t="s">
        <v>752</v>
      </c>
      <c r="I466" s="398" t="s">
        <v>1461</v>
      </c>
      <c r="J466" s="415" t="s">
        <v>310</v>
      </c>
      <c r="K466" s="415" t="s">
        <v>1220</v>
      </c>
      <c r="L466" s="415" t="s">
        <v>1368</v>
      </c>
      <c r="M466" s="415" t="s">
        <v>310</v>
      </c>
      <c r="N466" s="414">
        <v>44581</v>
      </c>
      <c r="O466" s="414" t="s">
        <v>400</v>
      </c>
      <c r="P466" s="222">
        <f t="shared" si="29"/>
        <v>1</v>
      </c>
      <c r="Q466" s="222">
        <f t="shared" si="30"/>
        <v>-1</v>
      </c>
      <c r="R466" s="532" t="str">
        <f t="shared" si="31"/>
        <v>Gastos_Gerais</v>
      </c>
      <c r="S466" s="467" t="s">
        <v>310</v>
      </c>
      <c r="T466" s="467" t="s">
        <v>310</v>
      </c>
      <c r="U466" s="496"/>
      <c r="V466" s="496"/>
      <c r="W466" s="496"/>
    </row>
    <row r="467" spans="1:23" ht="36" x14ac:dyDescent="0.2">
      <c r="A467" s="510">
        <f t="shared" si="28"/>
        <v>464</v>
      </c>
      <c r="B467" s="428">
        <v>44581</v>
      </c>
      <c r="C467" s="424">
        <v>44531</v>
      </c>
      <c r="D467" s="415" t="s">
        <v>271</v>
      </c>
      <c r="E467" s="415" t="s">
        <v>456</v>
      </c>
      <c r="F467" s="425">
        <v>496</v>
      </c>
      <c r="G467" s="427" t="s">
        <v>622</v>
      </c>
      <c r="H467" s="415" t="s">
        <v>757</v>
      </c>
      <c r="I467" s="398" t="s">
        <v>1461</v>
      </c>
      <c r="J467" s="415" t="s">
        <v>310</v>
      </c>
      <c r="K467" s="415" t="s">
        <v>1220</v>
      </c>
      <c r="L467" s="415" t="s">
        <v>1368</v>
      </c>
      <c r="M467" s="415" t="s">
        <v>310</v>
      </c>
      <c r="N467" s="414">
        <v>44581</v>
      </c>
      <c r="O467" s="414" t="s">
        <v>400</v>
      </c>
      <c r="P467" s="222">
        <f t="shared" si="29"/>
        <v>1</v>
      </c>
      <c r="Q467" s="222">
        <f t="shared" si="30"/>
        <v>0</v>
      </c>
      <c r="R467" s="532" t="str">
        <f t="shared" si="31"/>
        <v>Gastos_Gerais</v>
      </c>
      <c r="S467" s="467" t="s">
        <v>310</v>
      </c>
      <c r="T467" s="467" t="s">
        <v>310</v>
      </c>
      <c r="U467" s="496"/>
      <c r="V467" s="496"/>
      <c r="W467" s="496"/>
    </row>
    <row r="468" spans="1:23" ht="36" x14ac:dyDescent="0.2">
      <c r="A468" s="510">
        <f t="shared" si="28"/>
        <v>465</v>
      </c>
      <c r="B468" s="428">
        <v>44581</v>
      </c>
      <c r="C468" s="424">
        <v>44501</v>
      </c>
      <c r="D468" s="415" t="s">
        <v>271</v>
      </c>
      <c r="E468" s="415" t="s">
        <v>453</v>
      </c>
      <c r="F468" s="425">
        <v>155</v>
      </c>
      <c r="G468" s="427" t="s">
        <v>589</v>
      </c>
      <c r="H468" s="415" t="s">
        <v>751</v>
      </c>
      <c r="I468" s="398" t="s">
        <v>1461</v>
      </c>
      <c r="J468" s="415" t="s">
        <v>310</v>
      </c>
      <c r="K468" s="415" t="s">
        <v>1220</v>
      </c>
      <c r="L468" s="415" t="s">
        <v>1368</v>
      </c>
      <c r="M468" s="415" t="s">
        <v>310</v>
      </c>
      <c r="N468" s="414">
        <v>44581</v>
      </c>
      <c r="O468" s="414" t="s">
        <v>400</v>
      </c>
      <c r="P468" s="222">
        <f t="shared" si="29"/>
        <v>1</v>
      </c>
      <c r="Q468" s="222">
        <f t="shared" si="30"/>
        <v>-1</v>
      </c>
      <c r="R468" s="532" t="str">
        <f t="shared" si="31"/>
        <v>Gastos_Gerais</v>
      </c>
      <c r="S468" s="467" t="s">
        <v>310</v>
      </c>
      <c r="T468" s="467" t="s">
        <v>310</v>
      </c>
      <c r="U468" s="496"/>
      <c r="V468" s="496"/>
      <c r="W468" s="496"/>
    </row>
    <row r="469" spans="1:23" ht="24" x14ac:dyDescent="0.2">
      <c r="A469" s="510">
        <f t="shared" si="28"/>
        <v>466</v>
      </c>
      <c r="B469" s="428">
        <v>44581</v>
      </c>
      <c r="C469" s="424">
        <v>44501</v>
      </c>
      <c r="D469" s="415" t="s">
        <v>271</v>
      </c>
      <c r="E469" s="415" t="s">
        <v>453</v>
      </c>
      <c r="F469" s="425">
        <v>868</v>
      </c>
      <c r="G469" s="427" t="s">
        <v>570</v>
      </c>
      <c r="H469" s="415" t="s">
        <v>752</v>
      </c>
      <c r="I469" s="398" t="s">
        <v>1461</v>
      </c>
      <c r="J469" s="415" t="s">
        <v>310</v>
      </c>
      <c r="K469" s="415" t="s">
        <v>1220</v>
      </c>
      <c r="L469" s="415" t="s">
        <v>1368</v>
      </c>
      <c r="M469" s="415" t="s">
        <v>310</v>
      </c>
      <c r="N469" s="414">
        <v>44581</v>
      </c>
      <c r="O469" s="414" t="s">
        <v>400</v>
      </c>
      <c r="P469" s="222">
        <f t="shared" si="29"/>
        <v>1</v>
      </c>
      <c r="Q469" s="222">
        <f t="shared" si="30"/>
        <v>-1</v>
      </c>
      <c r="R469" s="532" t="str">
        <f t="shared" si="31"/>
        <v>Gastos_Gerais</v>
      </c>
      <c r="S469" s="467" t="s">
        <v>310</v>
      </c>
      <c r="T469" s="467" t="s">
        <v>310</v>
      </c>
      <c r="U469" s="496"/>
      <c r="V469" s="496"/>
      <c r="W469" s="496"/>
    </row>
    <row r="470" spans="1:23" ht="36" x14ac:dyDescent="0.2">
      <c r="A470" s="510">
        <f t="shared" si="28"/>
        <v>467</v>
      </c>
      <c r="B470" s="428">
        <v>44581</v>
      </c>
      <c r="C470" s="424">
        <v>44501</v>
      </c>
      <c r="D470" s="415" t="s">
        <v>271</v>
      </c>
      <c r="E470" s="415" t="s">
        <v>456</v>
      </c>
      <c r="F470" s="425">
        <v>383.29</v>
      </c>
      <c r="G470" s="427" t="s">
        <v>592</v>
      </c>
      <c r="H470" s="415" t="s">
        <v>760</v>
      </c>
      <c r="I470" s="398" t="s">
        <v>1461</v>
      </c>
      <c r="J470" s="415" t="s">
        <v>310</v>
      </c>
      <c r="K470" s="415" t="s">
        <v>1220</v>
      </c>
      <c r="L470" s="415" t="s">
        <v>1368</v>
      </c>
      <c r="M470" s="415" t="s">
        <v>310</v>
      </c>
      <c r="N470" s="414">
        <v>44581</v>
      </c>
      <c r="O470" s="414" t="s">
        <v>400</v>
      </c>
      <c r="P470" s="222">
        <f t="shared" si="29"/>
        <v>1</v>
      </c>
      <c r="Q470" s="222">
        <f t="shared" si="30"/>
        <v>-1</v>
      </c>
      <c r="R470" s="532" t="str">
        <f t="shared" si="31"/>
        <v>Gastos_Gerais</v>
      </c>
      <c r="S470" s="467" t="s">
        <v>310</v>
      </c>
      <c r="T470" s="467" t="s">
        <v>310</v>
      </c>
      <c r="U470" s="496"/>
      <c r="V470" s="496"/>
      <c r="W470" s="496"/>
    </row>
    <row r="471" spans="1:23" ht="36" x14ac:dyDescent="0.2">
      <c r="A471" s="510">
        <f t="shared" si="28"/>
        <v>468</v>
      </c>
      <c r="B471" s="428">
        <v>44581</v>
      </c>
      <c r="C471" s="424">
        <v>44501</v>
      </c>
      <c r="D471" s="415" t="s">
        <v>271</v>
      </c>
      <c r="E471" s="415" t="s">
        <v>456</v>
      </c>
      <c r="F471" s="425">
        <v>744</v>
      </c>
      <c r="G471" s="427" t="s">
        <v>587</v>
      </c>
      <c r="H471" s="415" t="s">
        <v>755</v>
      </c>
      <c r="I471" s="398" t="s">
        <v>1461</v>
      </c>
      <c r="J471" s="415" t="s">
        <v>310</v>
      </c>
      <c r="K471" s="415" t="s">
        <v>1220</v>
      </c>
      <c r="L471" s="415" t="s">
        <v>1368</v>
      </c>
      <c r="M471" s="415" t="s">
        <v>310</v>
      </c>
      <c r="N471" s="414">
        <v>44581</v>
      </c>
      <c r="O471" s="414" t="s">
        <v>400</v>
      </c>
      <c r="P471" s="222">
        <f t="shared" si="29"/>
        <v>1</v>
      </c>
      <c r="Q471" s="222">
        <f t="shared" si="30"/>
        <v>-1</v>
      </c>
      <c r="R471" s="532" t="str">
        <f t="shared" si="31"/>
        <v>Gastos_Gerais</v>
      </c>
      <c r="S471" s="467" t="s">
        <v>310</v>
      </c>
      <c r="T471" s="467" t="s">
        <v>310</v>
      </c>
      <c r="U471" s="496"/>
      <c r="V471" s="496"/>
      <c r="W471" s="496"/>
    </row>
    <row r="472" spans="1:23" ht="24" x14ac:dyDescent="0.2">
      <c r="A472" s="510">
        <f t="shared" si="28"/>
        <v>469</v>
      </c>
      <c r="B472" s="428">
        <v>44581</v>
      </c>
      <c r="C472" s="424">
        <v>44531</v>
      </c>
      <c r="D472" s="415" t="s">
        <v>271</v>
      </c>
      <c r="E472" s="415" t="s">
        <v>297</v>
      </c>
      <c r="F472" s="425">
        <v>310</v>
      </c>
      <c r="G472" s="427" t="s">
        <v>627</v>
      </c>
      <c r="H472" s="415" t="s">
        <v>756</v>
      </c>
      <c r="I472" s="398" t="s">
        <v>1461</v>
      </c>
      <c r="J472" s="415" t="s">
        <v>310</v>
      </c>
      <c r="K472" s="415" t="s">
        <v>1220</v>
      </c>
      <c r="L472" s="415" t="s">
        <v>1368</v>
      </c>
      <c r="M472" s="415" t="s">
        <v>310</v>
      </c>
      <c r="N472" s="414">
        <v>44581</v>
      </c>
      <c r="O472" s="414" t="s">
        <v>400</v>
      </c>
      <c r="P472" s="222">
        <f t="shared" si="29"/>
        <v>1</v>
      </c>
      <c r="Q472" s="222">
        <f t="shared" si="30"/>
        <v>0</v>
      </c>
      <c r="R472" s="532" t="str">
        <f t="shared" si="31"/>
        <v>Gastos_Gerais</v>
      </c>
      <c r="S472" s="467" t="s">
        <v>310</v>
      </c>
      <c r="T472" s="467" t="s">
        <v>310</v>
      </c>
      <c r="U472" s="496"/>
      <c r="V472" s="496"/>
      <c r="W472" s="496"/>
    </row>
    <row r="473" spans="1:23" ht="36" x14ac:dyDescent="0.2">
      <c r="A473" s="510">
        <f t="shared" si="28"/>
        <v>470</v>
      </c>
      <c r="B473" s="428">
        <v>44581</v>
      </c>
      <c r="C473" s="424">
        <v>44501</v>
      </c>
      <c r="D473" s="415" t="s">
        <v>271</v>
      </c>
      <c r="E473" s="415" t="s">
        <v>453</v>
      </c>
      <c r="F473" s="425">
        <v>868</v>
      </c>
      <c r="G473" s="427" t="s">
        <v>564</v>
      </c>
      <c r="H473" s="415" t="s">
        <v>752</v>
      </c>
      <c r="I473" s="398" t="s">
        <v>1461</v>
      </c>
      <c r="J473" s="415" t="s">
        <v>310</v>
      </c>
      <c r="K473" s="415" t="s">
        <v>1220</v>
      </c>
      <c r="L473" s="415" t="s">
        <v>1368</v>
      </c>
      <c r="M473" s="415" t="s">
        <v>310</v>
      </c>
      <c r="N473" s="414">
        <v>44581</v>
      </c>
      <c r="O473" s="414" t="s">
        <v>400</v>
      </c>
      <c r="P473" s="222">
        <f t="shared" si="29"/>
        <v>1</v>
      </c>
      <c r="Q473" s="222">
        <f t="shared" si="30"/>
        <v>-1</v>
      </c>
      <c r="R473" s="532" t="str">
        <f t="shared" si="31"/>
        <v>Gastos_Gerais</v>
      </c>
      <c r="S473" s="467" t="s">
        <v>310</v>
      </c>
      <c r="T473" s="467" t="s">
        <v>310</v>
      </c>
      <c r="U473" s="496"/>
      <c r="V473" s="496"/>
      <c r="W473" s="496"/>
    </row>
    <row r="474" spans="1:23" ht="36" x14ac:dyDescent="0.2">
      <c r="A474" s="510">
        <f t="shared" si="28"/>
        <v>471</v>
      </c>
      <c r="B474" s="428">
        <v>44581</v>
      </c>
      <c r="C474" s="424">
        <v>44531</v>
      </c>
      <c r="D474" s="415" t="s">
        <v>271</v>
      </c>
      <c r="E474" s="415" t="s">
        <v>456</v>
      </c>
      <c r="F474" s="425">
        <v>372</v>
      </c>
      <c r="G474" s="427" t="s">
        <v>632</v>
      </c>
      <c r="H474" s="415" t="s">
        <v>751</v>
      </c>
      <c r="I474" s="398" t="s">
        <v>1461</v>
      </c>
      <c r="J474" s="415" t="s">
        <v>310</v>
      </c>
      <c r="K474" s="415" t="s">
        <v>1220</v>
      </c>
      <c r="L474" s="415" t="s">
        <v>1368</v>
      </c>
      <c r="M474" s="415" t="s">
        <v>310</v>
      </c>
      <c r="N474" s="414">
        <v>44581</v>
      </c>
      <c r="O474" s="414" t="s">
        <v>400</v>
      </c>
      <c r="P474" s="222">
        <f t="shared" si="29"/>
        <v>1</v>
      </c>
      <c r="Q474" s="222">
        <f t="shared" si="30"/>
        <v>0</v>
      </c>
      <c r="R474" s="532" t="str">
        <f t="shared" si="31"/>
        <v>Gastos_Gerais</v>
      </c>
      <c r="S474" s="467" t="s">
        <v>310</v>
      </c>
      <c r="T474" s="467" t="s">
        <v>310</v>
      </c>
      <c r="U474" s="496"/>
      <c r="V474" s="496"/>
      <c r="W474" s="496"/>
    </row>
    <row r="475" spans="1:23" ht="48" x14ac:dyDescent="0.2">
      <c r="A475" s="510">
        <f t="shared" si="28"/>
        <v>472</v>
      </c>
      <c r="B475" s="428">
        <v>44581</v>
      </c>
      <c r="C475" s="424">
        <v>44501</v>
      </c>
      <c r="D475" s="415" t="s">
        <v>271</v>
      </c>
      <c r="E475" s="415" t="s">
        <v>456</v>
      </c>
      <c r="F475" s="425">
        <v>542.5</v>
      </c>
      <c r="G475" s="427" t="s">
        <v>605</v>
      </c>
      <c r="H475" s="415" t="s">
        <v>759</v>
      </c>
      <c r="I475" s="398" t="s">
        <v>1461</v>
      </c>
      <c r="J475" s="415" t="s">
        <v>310</v>
      </c>
      <c r="K475" s="415" t="s">
        <v>1220</v>
      </c>
      <c r="L475" s="415" t="s">
        <v>1368</v>
      </c>
      <c r="M475" s="415" t="s">
        <v>310</v>
      </c>
      <c r="N475" s="414">
        <v>44581</v>
      </c>
      <c r="O475" s="414" t="s">
        <v>400</v>
      </c>
      <c r="P475" s="222">
        <f t="shared" si="29"/>
        <v>1</v>
      </c>
      <c r="Q475" s="222">
        <f t="shared" si="30"/>
        <v>-1</v>
      </c>
      <c r="R475" s="532" t="str">
        <f t="shared" si="31"/>
        <v>Gastos_Gerais</v>
      </c>
      <c r="S475" s="467" t="s">
        <v>310</v>
      </c>
      <c r="T475" s="467" t="s">
        <v>310</v>
      </c>
      <c r="U475" s="496"/>
      <c r="V475" s="496"/>
      <c r="W475" s="496"/>
    </row>
    <row r="476" spans="1:23" ht="36" x14ac:dyDescent="0.2">
      <c r="A476" s="510">
        <f t="shared" si="28"/>
        <v>473</v>
      </c>
      <c r="B476" s="428">
        <v>44581</v>
      </c>
      <c r="C476" s="424">
        <v>44531</v>
      </c>
      <c r="D476" s="415" t="s">
        <v>271</v>
      </c>
      <c r="E476" s="415" t="s">
        <v>453</v>
      </c>
      <c r="F476" s="425">
        <v>1835.2</v>
      </c>
      <c r="G476" s="427" t="s">
        <v>612</v>
      </c>
      <c r="H476" s="415" t="s">
        <v>757</v>
      </c>
      <c r="I476" s="398" t="s">
        <v>1461</v>
      </c>
      <c r="J476" s="415" t="s">
        <v>310</v>
      </c>
      <c r="K476" s="415" t="s">
        <v>1220</v>
      </c>
      <c r="L476" s="415" t="s">
        <v>1368</v>
      </c>
      <c r="M476" s="415" t="s">
        <v>310</v>
      </c>
      <c r="N476" s="414">
        <v>44581</v>
      </c>
      <c r="O476" s="414" t="s">
        <v>400</v>
      </c>
      <c r="P476" s="222">
        <f t="shared" si="29"/>
        <v>1</v>
      </c>
      <c r="Q476" s="222">
        <f t="shared" si="30"/>
        <v>0</v>
      </c>
      <c r="R476" s="532" t="str">
        <f t="shared" si="31"/>
        <v>Gastos_Gerais</v>
      </c>
      <c r="S476" s="467" t="s">
        <v>310</v>
      </c>
      <c r="T476" s="467" t="s">
        <v>310</v>
      </c>
      <c r="U476" s="496"/>
      <c r="V476" s="496"/>
      <c r="W476" s="496"/>
    </row>
    <row r="477" spans="1:23" ht="48" x14ac:dyDescent="0.2">
      <c r="A477" s="510">
        <f t="shared" si="28"/>
        <v>474</v>
      </c>
      <c r="B477" s="428">
        <v>44581</v>
      </c>
      <c r="C477" s="424">
        <v>44470</v>
      </c>
      <c r="D477" s="415" t="s">
        <v>271</v>
      </c>
      <c r="E477" s="415" t="s">
        <v>453</v>
      </c>
      <c r="F477" s="425">
        <v>744</v>
      </c>
      <c r="G477" s="427" t="s">
        <v>576</v>
      </c>
      <c r="H477" s="415" t="s">
        <v>759</v>
      </c>
      <c r="I477" s="398" t="s">
        <v>1461</v>
      </c>
      <c r="J477" s="415" t="s">
        <v>310</v>
      </c>
      <c r="K477" s="415" t="s">
        <v>1220</v>
      </c>
      <c r="L477" s="415" t="s">
        <v>1368</v>
      </c>
      <c r="M477" s="415" t="s">
        <v>310</v>
      </c>
      <c r="N477" s="414">
        <v>44581</v>
      </c>
      <c r="O477" s="414" t="s">
        <v>400</v>
      </c>
      <c r="P477" s="222">
        <f t="shared" si="29"/>
        <v>1</v>
      </c>
      <c r="Q477" s="222">
        <f t="shared" si="30"/>
        <v>-2</v>
      </c>
      <c r="R477" s="532" t="str">
        <f t="shared" si="31"/>
        <v>Gastos_Gerais</v>
      </c>
      <c r="S477" s="467" t="s">
        <v>310</v>
      </c>
      <c r="T477" s="467" t="s">
        <v>310</v>
      </c>
      <c r="U477" s="496"/>
      <c r="V477" s="496"/>
      <c r="W477" s="496"/>
    </row>
    <row r="478" spans="1:23" ht="24" x14ac:dyDescent="0.2">
      <c r="A478" s="510">
        <f t="shared" si="28"/>
        <v>475</v>
      </c>
      <c r="B478" s="428">
        <v>44581</v>
      </c>
      <c r="C478" s="424">
        <v>44501</v>
      </c>
      <c r="D478" s="415" t="s">
        <v>271</v>
      </c>
      <c r="E478" s="415" t="s">
        <v>453</v>
      </c>
      <c r="F478" s="425">
        <v>372</v>
      </c>
      <c r="G478" s="427" t="s">
        <v>540</v>
      </c>
      <c r="H478" s="415" t="s">
        <v>752</v>
      </c>
      <c r="I478" s="398" t="s">
        <v>1461</v>
      </c>
      <c r="J478" s="415" t="s">
        <v>310</v>
      </c>
      <c r="K478" s="415" t="s">
        <v>1220</v>
      </c>
      <c r="L478" s="415" t="s">
        <v>1368</v>
      </c>
      <c r="M478" s="415" t="s">
        <v>310</v>
      </c>
      <c r="N478" s="414">
        <v>44581</v>
      </c>
      <c r="O478" s="414" t="s">
        <v>400</v>
      </c>
      <c r="P478" s="222">
        <f t="shared" si="29"/>
        <v>1</v>
      </c>
      <c r="Q478" s="222">
        <f t="shared" si="30"/>
        <v>-1</v>
      </c>
      <c r="R478" s="532" t="str">
        <f t="shared" si="31"/>
        <v>Gastos_Gerais</v>
      </c>
      <c r="S478" s="467" t="s">
        <v>310</v>
      </c>
      <c r="T478" s="467" t="s">
        <v>310</v>
      </c>
      <c r="U478" s="496"/>
      <c r="V478" s="496"/>
      <c r="W478" s="496"/>
    </row>
    <row r="479" spans="1:23" ht="36" x14ac:dyDescent="0.2">
      <c r="A479" s="510">
        <f t="shared" si="28"/>
        <v>476</v>
      </c>
      <c r="B479" s="428">
        <v>44581</v>
      </c>
      <c r="C479" s="424">
        <v>44501</v>
      </c>
      <c r="D479" s="415" t="s">
        <v>271</v>
      </c>
      <c r="E479" s="415" t="s">
        <v>456</v>
      </c>
      <c r="F479" s="425">
        <v>1860</v>
      </c>
      <c r="G479" s="427" t="s">
        <v>555</v>
      </c>
      <c r="H479" s="415" t="s">
        <v>755</v>
      </c>
      <c r="I479" s="398" t="s">
        <v>1461</v>
      </c>
      <c r="J479" s="415" t="s">
        <v>310</v>
      </c>
      <c r="K479" s="415" t="s">
        <v>1220</v>
      </c>
      <c r="L479" s="415" t="s">
        <v>1368</v>
      </c>
      <c r="M479" s="415" t="s">
        <v>310</v>
      </c>
      <c r="N479" s="414">
        <v>44581</v>
      </c>
      <c r="O479" s="414" t="s">
        <v>400</v>
      </c>
      <c r="P479" s="222">
        <f t="shared" si="29"/>
        <v>1</v>
      </c>
      <c r="Q479" s="222">
        <f t="shared" si="30"/>
        <v>-1</v>
      </c>
      <c r="R479" s="532" t="str">
        <f t="shared" si="31"/>
        <v>Gastos_Gerais</v>
      </c>
      <c r="S479" s="467" t="s">
        <v>310</v>
      </c>
      <c r="T479" s="467" t="s">
        <v>310</v>
      </c>
      <c r="U479" s="496"/>
      <c r="V479" s="496"/>
      <c r="W479" s="496"/>
    </row>
    <row r="480" spans="1:23" ht="24" x14ac:dyDescent="0.2">
      <c r="A480" s="510">
        <f t="shared" si="28"/>
        <v>477</v>
      </c>
      <c r="B480" s="428">
        <v>44581</v>
      </c>
      <c r="C480" s="424">
        <v>44501</v>
      </c>
      <c r="D480" s="415" t="s">
        <v>271</v>
      </c>
      <c r="E480" s="415" t="s">
        <v>453</v>
      </c>
      <c r="F480" s="425">
        <v>372</v>
      </c>
      <c r="G480" s="427" t="s">
        <v>1454</v>
      </c>
      <c r="H480" s="415" t="s">
        <v>752</v>
      </c>
      <c r="I480" s="398" t="s">
        <v>1461</v>
      </c>
      <c r="J480" s="415" t="s">
        <v>310</v>
      </c>
      <c r="K480" s="415" t="s">
        <v>1220</v>
      </c>
      <c r="L480" s="415" t="s">
        <v>1368</v>
      </c>
      <c r="M480" s="415" t="s">
        <v>310</v>
      </c>
      <c r="N480" s="414">
        <v>44581</v>
      </c>
      <c r="O480" s="414" t="s">
        <v>400</v>
      </c>
      <c r="P480" s="222">
        <f t="shared" si="29"/>
        <v>1</v>
      </c>
      <c r="Q480" s="222">
        <f t="shared" si="30"/>
        <v>-1</v>
      </c>
      <c r="R480" s="532" t="str">
        <f t="shared" si="31"/>
        <v>Gastos_Gerais</v>
      </c>
      <c r="S480" s="467" t="s">
        <v>310</v>
      </c>
      <c r="T480" s="467" t="s">
        <v>310</v>
      </c>
      <c r="U480" s="496"/>
      <c r="V480" s="496"/>
      <c r="W480" s="496"/>
    </row>
    <row r="481" spans="1:23" ht="36" x14ac:dyDescent="0.2">
      <c r="A481" s="510">
        <f t="shared" si="28"/>
        <v>478</v>
      </c>
      <c r="B481" s="428">
        <v>44581</v>
      </c>
      <c r="C481" s="424">
        <v>44470</v>
      </c>
      <c r="D481" s="415" t="s">
        <v>271</v>
      </c>
      <c r="E481" s="415" t="s">
        <v>442</v>
      </c>
      <c r="F481" s="425">
        <v>496</v>
      </c>
      <c r="G481" s="427" t="s">
        <v>573</v>
      </c>
      <c r="H481" s="415" t="s">
        <v>757</v>
      </c>
      <c r="I481" s="398" t="s">
        <v>1461</v>
      </c>
      <c r="J481" s="415" t="s">
        <v>310</v>
      </c>
      <c r="K481" s="415" t="s">
        <v>1220</v>
      </c>
      <c r="L481" s="415" t="s">
        <v>1368</v>
      </c>
      <c r="M481" s="415" t="s">
        <v>310</v>
      </c>
      <c r="N481" s="414">
        <v>44581</v>
      </c>
      <c r="O481" s="414" t="s">
        <v>400</v>
      </c>
      <c r="P481" s="222">
        <f t="shared" si="29"/>
        <v>1</v>
      </c>
      <c r="Q481" s="222">
        <f t="shared" si="30"/>
        <v>-2</v>
      </c>
      <c r="R481" s="532" t="str">
        <f t="shared" si="31"/>
        <v>Gastos_Gerais</v>
      </c>
      <c r="S481" s="467" t="s">
        <v>310</v>
      </c>
      <c r="T481" s="467" t="s">
        <v>310</v>
      </c>
      <c r="U481" s="496"/>
      <c r="V481" s="496"/>
      <c r="W481" s="496"/>
    </row>
    <row r="482" spans="1:23" ht="36" x14ac:dyDescent="0.2">
      <c r="A482" s="510">
        <f t="shared" si="28"/>
        <v>479</v>
      </c>
      <c r="B482" s="428">
        <v>44581</v>
      </c>
      <c r="C482" s="424">
        <v>44531</v>
      </c>
      <c r="D482" s="415" t="s">
        <v>271</v>
      </c>
      <c r="E482" s="415" t="s">
        <v>456</v>
      </c>
      <c r="F482" s="425">
        <v>542.5</v>
      </c>
      <c r="G482" s="427" t="s">
        <v>616</v>
      </c>
      <c r="H482" s="415" t="s">
        <v>755</v>
      </c>
      <c r="I482" s="398" t="s">
        <v>1461</v>
      </c>
      <c r="J482" s="415" t="s">
        <v>310</v>
      </c>
      <c r="K482" s="415" t="s">
        <v>1220</v>
      </c>
      <c r="L482" s="415" t="s">
        <v>1368</v>
      </c>
      <c r="M482" s="415" t="s">
        <v>310</v>
      </c>
      <c r="N482" s="414">
        <v>44581</v>
      </c>
      <c r="O482" s="414" t="s">
        <v>400</v>
      </c>
      <c r="P482" s="222">
        <f t="shared" si="29"/>
        <v>1</v>
      </c>
      <c r="Q482" s="222">
        <f t="shared" si="30"/>
        <v>0</v>
      </c>
      <c r="R482" s="532" t="str">
        <f t="shared" si="31"/>
        <v>Gastos_Gerais</v>
      </c>
      <c r="S482" s="467" t="s">
        <v>310</v>
      </c>
      <c r="T482" s="467" t="s">
        <v>310</v>
      </c>
      <c r="U482" s="496"/>
      <c r="V482" s="496"/>
      <c r="W482" s="496"/>
    </row>
    <row r="483" spans="1:23" ht="24" x14ac:dyDescent="0.2">
      <c r="A483" s="510">
        <f t="shared" si="28"/>
        <v>480</v>
      </c>
      <c r="B483" s="428">
        <v>44581</v>
      </c>
      <c r="C483" s="424">
        <v>44470</v>
      </c>
      <c r="D483" s="415" t="s">
        <v>271</v>
      </c>
      <c r="E483" s="415" t="s">
        <v>453</v>
      </c>
      <c r="F483" s="425">
        <v>372</v>
      </c>
      <c r="G483" s="427" t="s">
        <v>543</v>
      </c>
      <c r="H483" s="415" t="s">
        <v>752</v>
      </c>
      <c r="I483" s="398" t="s">
        <v>1461</v>
      </c>
      <c r="J483" s="415" t="s">
        <v>310</v>
      </c>
      <c r="K483" s="415" t="s">
        <v>1220</v>
      </c>
      <c r="L483" s="415" t="s">
        <v>1368</v>
      </c>
      <c r="M483" s="415" t="s">
        <v>310</v>
      </c>
      <c r="N483" s="414">
        <v>44581</v>
      </c>
      <c r="O483" s="414" t="s">
        <v>400</v>
      </c>
      <c r="P483" s="222">
        <f t="shared" si="29"/>
        <v>1</v>
      </c>
      <c r="Q483" s="222">
        <f t="shared" si="30"/>
        <v>-2</v>
      </c>
      <c r="R483" s="532" t="str">
        <f t="shared" si="31"/>
        <v>Gastos_Gerais</v>
      </c>
      <c r="S483" s="467" t="s">
        <v>310</v>
      </c>
      <c r="T483" s="467" t="s">
        <v>310</v>
      </c>
      <c r="U483" s="496"/>
      <c r="V483" s="496"/>
      <c r="W483" s="496"/>
    </row>
    <row r="484" spans="1:23" ht="24" x14ac:dyDescent="0.2">
      <c r="A484" s="510">
        <f t="shared" si="28"/>
        <v>481</v>
      </c>
      <c r="B484" s="428">
        <v>44581</v>
      </c>
      <c r="C484" s="424">
        <v>44470</v>
      </c>
      <c r="D484" s="415" t="s">
        <v>271</v>
      </c>
      <c r="E484" s="415" t="s">
        <v>456</v>
      </c>
      <c r="F484" s="425">
        <v>1240</v>
      </c>
      <c r="G484" s="427" t="s">
        <v>560</v>
      </c>
      <c r="H484" s="415" t="s">
        <v>752</v>
      </c>
      <c r="I484" s="398" t="s">
        <v>1461</v>
      </c>
      <c r="J484" s="415" t="s">
        <v>310</v>
      </c>
      <c r="K484" s="415" t="s">
        <v>1220</v>
      </c>
      <c r="L484" s="415" t="s">
        <v>1368</v>
      </c>
      <c r="M484" s="415" t="s">
        <v>310</v>
      </c>
      <c r="N484" s="414">
        <v>44581</v>
      </c>
      <c r="O484" s="414" t="s">
        <v>400</v>
      </c>
      <c r="P484" s="222">
        <f t="shared" si="29"/>
        <v>1</v>
      </c>
      <c r="Q484" s="222">
        <f t="shared" si="30"/>
        <v>-2</v>
      </c>
      <c r="R484" s="532" t="str">
        <f t="shared" si="31"/>
        <v>Gastos_Gerais</v>
      </c>
      <c r="S484" s="467" t="s">
        <v>310</v>
      </c>
      <c r="T484" s="467" t="s">
        <v>310</v>
      </c>
      <c r="U484" s="496"/>
      <c r="V484" s="496"/>
      <c r="W484" s="496"/>
    </row>
    <row r="485" spans="1:23" ht="24" x14ac:dyDescent="0.2">
      <c r="A485" s="510">
        <f t="shared" si="28"/>
        <v>482</v>
      </c>
      <c r="B485" s="428">
        <v>44581</v>
      </c>
      <c r="C485" s="424">
        <v>44531</v>
      </c>
      <c r="D485" s="415" t="s">
        <v>182</v>
      </c>
      <c r="E485" s="415" t="s">
        <v>1</v>
      </c>
      <c r="F485" s="425">
        <v>15972.65</v>
      </c>
      <c r="G485" s="427" t="s">
        <v>1947</v>
      </c>
      <c r="H485" s="415" t="s">
        <v>310</v>
      </c>
      <c r="I485" s="398" t="s">
        <v>1461</v>
      </c>
      <c r="J485" s="415" t="s">
        <v>310</v>
      </c>
      <c r="K485" s="415" t="s">
        <v>1220</v>
      </c>
      <c r="L485" s="415" t="s">
        <v>1368</v>
      </c>
      <c r="M485" s="415" t="s">
        <v>310</v>
      </c>
      <c r="N485" s="414">
        <v>44581</v>
      </c>
      <c r="O485" s="414" t="s">
        <v>400</v>
      </c>
      <c r="P485" s="222">
        <f t="shared" si="29"/>
        <v>1</v>
      </c>
      <c r="Q485" s="222">
        <f t="shared" si="30"/>
        <v>0</v>
      </c>
      <c r="R485" s="532" t="str">
        <f t="shared" si="31"/>
        <v>Gastos_com_Pessoal</v>
      </c>
      <c r="S485" s="467" t="s">
        <v>310</v>
      </c>
      <c r="T485" s="467" t="s">
        <v>310</v>
      </c>
      <c r="U485" s="496"/>
      <c r="V485" s="496"/>
      <c r="W485" s="496"/>
    </row>
    <row r="486" spans="1:23" ht="24" x14ac:dyDescent="0.2">
      <c r="A486" s="510">
        <f t="shared" si="28"/>
        <v>483</v>
      </c>
      <c r="B486" s="428">
        <v>44581</v>
      </c>
      <c r="C486" s="424">
        <v>44531</v>
      </c>
      <c r="D486" s="415" t="s">
        <v>182</v>
      </c>
      <c r="E486" s="415" t="s">
        <v>252</v>
      </c>
      <c r="F486" s="425">
        <v>49914.73</v>
      </c>
      <c r="G486" s="427" t="s">
        <v>1455</v>
      </c>
      <c r="H486" s="415" t="s">
        <v>310</v>
      </c>
      <c r="I486" s="398" t="s">
        <v>1461</v>
      </c>
      <c r="J486" s="415" t="s">
        <v>310</v>
      </c>
      <c r="K486" s="415" t="s">
        <v>1220</v>
      </c>
      <c r="L486" s="415" t="s">
        <v>1368</v>
      </c>
      <c r="M486" s="415" t="s">
        <v>310</v>
      </c>
      <c r="N486" s="414">
        <v>44581</v>
      </c>
      <c r="O486" s="414" t="s">
        <v>400</v>
      </c>
      <c r="P486" s="222">
        <f t="shared" si="29"/>
        <v>1</v>
      </c>
      <c r="Q486" s="222">
        <f t="shared" si="30"/>
        <v>0</v>
      </c>
      <c r="R486" s="532" t="str">
        <f t="shared" si="31"/>
        <v>Gastos_com_Pessoal</v>
      </c>
      <c r="S486" s="467" t="s">
        <v>310</v>
      </c>
      <c r="T486" s="467" t="s">
        <v>310</v>
      </c>
      <c r="U486" s="496"/>
      <c r="V486" s="496"/>
      <c r="W486" s="496"/>
    </row>
    <row r="487" spans="1:23" ht="48" x14ac:dyDescent="0.2">
      <c r="A487" s="510">
        <f t="shared" si="28"/>
        <v>484</v>
      </c>
      <c r="B487" s="428">
        <v>44581</v>
      </c>
      <c r="C487" s="433">
        <v>44501</v>
      </c>
      <c r="D487" s="434" t="s">
        <v>468</v>
      </c>
      <c r="E487" s="434" t="s">
        <v>468</v>
      </c>
      <c r="F487" s="425">
        <v>775</v>
      </c>
      <c r="G487" s="427" t="s">
        <v>517</v>
      </c>
      <c r="H487" s="415" t="s">
        <v>468</v>
      </c>
      <c r="I487" s="398" t="s">
        <v>1461</v>
      </c>
      <c r="J487" s="415" t="s">
        <v>310</v>
      </c>
      <c r="K487" s="415" t="s">
        <v>1220</v>
      </c>
      <c r="L487" s="415" t="s">
        <v>1368</v>
      </c>
      <c r="M487" s="415" t="s">
        <v>310</v>
      </c>
      <c r="N487" s="414">
        <v>44581</v>
      </c>
      <c r="O487" s="414" t="s">
        <v>403</v>
      </c>
      <c r="P487" s="222">
        <f t="shared" si="29"/>
        <v>1</v>
      </c>
      <c r="Q487" s="222">
        <f t="shared" si="30"/>
        <v>-1</v>
      </c>
      <c r="R487" s="532" t="str">
        <f t="shared" si="31"/>
        <v>Gastos_custeados_por_captação</v>
      </c>
      <c r="S487" s="467" t="s">
        <v>310</v>
      </c>
      <c r="T487" s="467" t="s">
        <v>310</v>
      </c>
      <c r="U487" s="496"/>
      <c r="V487" s="496"/>
      <c r="W487" s="496"/>
    </row>
    <row r="488" spans="1:23" ht="48" x14ac:dyDescent="0.2">
      <c r="A488" s="510">
        <f t="shared" si="28"/>
        <v>485</v>
      </c>
      <c r="B488" s="428">
        <v>44581</v>
      </c>
      <c r="C488" s="433">
        <v>44501</v>
      </c>
      <c r="D488" s="434" t="s">
        <v>468</v>
      </c>
      <c r="E488" s="434" t="s">
        <v>468</v>
      </c>
      <c r="F488" s="425">
        <v>24.08</v>
      </c>
      <c r="G488" s="427" t="s">
        <v>516</v>
      </c>
      <c r="H488" s="415" t="s">
        <v>468</v>
      </c>
      <c r="I488" s="398" t="s">
        <v>1461</v>
      </c>
      <c r="J488" s="415" t="s">
        <v>310</v>
      </c>
      <c r="K488" s="415" t="s">
        <v>1220</v>
      </c>
      <c r="L488" s="415" t="s">
        <v>1368</v>
      </c>
      <c r="M488" s="415" t="s">
        <v>310</v>
      </c>
      <c r="N488" s="414">
        <v>44581</v>
      </c>
      <c r="O488" s="414" t="s">
        <v>403</v>
      </c>
      <c r="P488" s="222">
        <f t="shared" si="29"/>
        <v>1</v>
      </c>
      <c r="Q488" s="222">
        <f t="shared" si="30"/>
        <v>-1</v>
      </c>
      <c r="R488" s="532" t="str">
        <f t="shared" si="31"/>
        <v>Gastos_custeados_por_captação</v>
      </c>
      <c r="S488" s="467" t="s">
        <v>310</v>
      </c>
      <c r="T488" s="467" t="s">
        <v>310</v>
      </c>
      <c r="U488" s="496"/>
      <c r="V488" s="496"/>
      <c r="W488" s="496"/>
    </row>
    <row r="489" spans="1:23" ht="60" x14ac:dyDescent="0.2">
      <c r="A489" s="510">
        <f t="shared" si="28"/>
        <v>486</v>
      </c>
      <c r="B489" s="428">
        <v>44581</v>
      </c>
      <c r="C489" s="431">
        <v>44501</v>
      </c>
      <c r="D489" s="415" t="s">
        <v>468</v>
      </c>
      <c r="E489" s="415" t="s">
        <v>468</v>
      </c>
      <c r="F489" s="425">
        <v>263.87</v>
      </c>
      <c r="G489" s="427" t="s">
        <v>673</v>
      </c>
      <c r="H489" s="415" t="s">
        <v>468</v>
      </c>
      <c r="I489" s="398" t="s">
        <v>1461</v>
      </c>
      <c r="J489" s="415" t="s">
        <v>310</v>
      </c>
      <c r="K489" s="415" t="s">
        <v>1220</v>
      </c>
      <c r="L489" s="415" t="s">
        <v>1368</v>
      </c>
      <c r="M489" s="415" t="s">
        <v>310</v>
      </c>
      <c r="N489" s="414">
        <v>44581</v>
      </c>
      <c r="O489" s="414" t="s">
        <v>405</v>
      </c>
      <c r="P489" s="222">
        <f t="shared" si="29"/>
        <v>1</v>
      </c>
      <c r="Q489" s="222">
        <f t="shared" si="30"/>
        <v>-1</v>
      </c>
      <c r="R489" s="532" t="str">
        <f t="shared" si="31"/>
        <v>Gastos_custeados_por_captação</v>
      </c>
      <c r="S489" s="467" t="s">
        <v>310</v>
      </c>
      <c r="T489" s="467" t="s">
        <v>310</v>
      </c>
      <c r="U489" s="496"/>
      <c r="V489" s="496"/>
      <c r="W489" s="496"/>
    </row>
    <row r="490" spans="1:23" ht="48" x14ac:dyDescent="0.2">
      <c r="A490" s="510">
        <f t="shared" si="28"/>
        <v>487</v>
      </c>
      <c r="B490" s="428">
        <v>44581</v>
      </c>
      <c r="C490" s="431">
        <v>44501</v>
      </c>
      <c r="D490" s="415" t="s">
        <v>468</v>
      </c>
      <c r="E490" s="415" t="s">
        <v>468</v>
      </c>
      <c r="F490" s="459">
        <v>775</v>
      </c>
      <c r="G490" s="427" t="s">
        <v>2416</v>
      </c>
      <c r="H490" s="415" t="s">
        <v>468</v>
      </c>
      <c r="I490" s="473" t="s">
        <v>795</v>
      </c>
      <c r="J490" s="415" t="s">
        <v>796</v>
      </c>
      <c r="K490" s="415" t="s">
        <v>797</v>
      </c>
      <c r="L490" s="415" t="s">
        <v>798</v>
      </c>
      <c r="M490" s="415" t="s">
        <v>310</v>
      </c>
      <c r="N490" s="414">
        <v>44581</v>
      </c>
      <c r="O490" s="414" t="s">
        <v>408</v>
      </c>
      <c r="P490" s="222">
        <f t="shared" si="29"/>
        <v>1</v>
      </c>
      <c r="Q490" s="222">
        <f t="shared" si="30"/>
        <v>-1</v>
      </c>
      <c r="R490" s="532" t="str">
        <f t="shared" si="31"/>
        <v>Gastos_custeados_por_captação</v>
      </c>
      <c r="S490" s="467" t="s">
        <v>310</v>
      </c>
      <c r="T490" s="467" t="s">
        <v>310</v>
      </c>
      <c r="U490" s="496"/>
      <c r="V490" s="496"/>
      <c r="W490" s="496"/>
    </row>
    <row r="491" spans="1:23" ht="48" x14ac:dyDescent="0.2">
      <c r="A491" s="510">
        <f t="shared" si="28"/>
        <v>488</v>
      </c>
      <c r="B491" s="428">
        <v>44581</v>
      </c>
      <c r="C491" s="431">
        <v>44501</v>
      </c>
      <c r="D491" s="415" t="s">
        <v>468</v>
      </c>
      <c r="E491" s="415" t="s">
        <v>468</v>
      </c>
      <c r="F491" s="459">
        <v>744</v>
      </c>
      <c r="G491" s="427" t="s">
        <v>2417</v>
      </c>
      <c r="H491" s="415" t="s">
        <v>468</v>
      </c>
      <c r="I491" s="473" t="s">
        <v>795</v>
      </c>
      <c r="J491" s="415" t="s">
        <v>796</v>
      </c>
      <c r="K491" s="415" t="s">
        <v>797</v>
      </c>
      <c r="L491" s="415" t="s">
        <v>798</v>
      </c>
      <c r="M491" s="415" t="s">
        <v>310</v>
      </c>
      <c r="N491" s="414">
        <v>44581</v>
      </c>
      <c r="O491" s="414" t="s">
        <v>408</v>
      </c>
      <c r="P491" s="222">
        <f t="shared" si="29"/>
        <v>1</v>
      </c>
      <c r="Q491" s="222">
        <f t="shared" si="30"/>
        <v>-1</v>
      </c>
      <c r="R491" s="532" t="str">
        <f t="shared" si="31"/>
        <v>Gastos_custeados_por_captação</v>
      </c>
      <c r="S491" s="467" t="s">
        <v>310</v>
      </c>
      <c r="T491" s="467" t="s">
        <v>310</v>
      </c>
      <c r="U491" s="496"/>
      <c r="V491" s="496"/>
      <c r="W491" s="496"/>
    </row>
    <row r="492" spans="1:23" ht="36" x14ac:dyDescent="0.2">
      <c r="A492" s="510">
        <f t="shared" si="28"/>
        <v>489</v>
      </c>
      <c r="B492" s="428">
        <v>44581</v>
      </c>
      <c r="C492" s="431">
        <v>44501</v>
      </c>
      <c r="D492" s="415" t="s">
        <v>468</v>
      </c>
      <c r="E492" s="415" t="s">
        <v>468</v>
      </c>
      <c r="F492" s="459">
        <v>24.08</v>
      </c>
      <c r="G492" s="427" t="s">
        <v>478</v>
      </c>
      <c r="H492" s="415" t="s">
        <v>468</v>
      </c>
      <c r="I492" s="398" t="s">
        <v>1461</v>
      </c>
      <c r="J492" s="415" t="s">
        <v>310</v>
      </c>
      <c r="K492" s="415" t="s">
        <v>1220</v>
      </c>
      <c r="L492" s="415" t="s">
        <v>1368</v>
      </c>
      <c r="M492" s="415" t="s">
        <v>310</v>
      </c>
      <c r="N492" s="414">
        <v>44581</v>
      </c>
      <c r="O492" s="414" t="s">
        <v>408</v>
      </c>
      <c r="P492" s="222">
        <f t="shared" si="29"/>
        <v>1</v>
      </c>
      <c r="Q492" s="222">
        <f t="shared" si="30"/>
        <v>-1</v>
      </c>
      <c r="R492" s="532" t="str">
        <f t="shared" si="31"/>
        <v>Gastos_custeados_por_captação</v>
      </c>
      <c r="S492" s="467" t="s">
        <v>310</v>
      </c>
      <c r="T492" s="467" t="s">
        <v>310</v>
      </c>
      <c r="U492" s="496"/>
      <c r="V492" s="496"/>
      <c r="W492" s="496"/>
    </row>
    <row r="493" spans="1:23" ht="36" x14ac:dyDescent="0.2">
      <c r="A493" s="510">
        <f t="shared" si="28"/>
        <v>490</v>
      </c>
      <c r="B493" s="428">
        <v>44581</v>
      </c>
      <c r="C493" s="431">
        <v>44501</v>
      </c>
      <c r="D493" s="415" t="s">
        <v>468</v>
      </c>
      <c r="E493" s="415" t="s">
        <v>468</v>
      </c>
      <c r="F493" s="459">
        <v>17.399999999999999</v>
      </c>
      <c r="G493" s="427" t="s">
        <v>532</v>
      </c>
      <c r="H493" s="415" t="s">
        <v>468</v>
      </c>
      <c r="I493" s="398" t="s">
        <v>1461</v>
      </c>
      <c r="J493" s="415" t="s">
        <v>310</v>
      </c>
      <c r="K493" s="415" t="s">
        <v>1220</v>
      </c>
      <c r="L493" s="415" t="s">
        <v>1368</v>
      </c>
      <c r="M493" s="415" t="s">
        <v>310</v>
      </c>
      <c r="N493" s="414">
        <v>44581</v>
      </c>
      <c r="O493" s="414" t="s">
        <v>408</v>
      </c>
      <c r="P493" s="222">
        <f t="shared" si="29"/>
        <v>1</v>
      </c>
      <c r="Q493" s="222">
        <f t="shared" si="30"/>
        <v>-1</v>
      </c>
      <c r="R493" s="532" t="str">
        <f t="shared" si="31"/>
        <v>Gastos_custeados_por_captação</v>
      </c>
      <c r="S493" s="467" t="s">
        <v>310</v>
      </c>
      <c r="T493" s="467" t="s">
        <v>310</v>
      </c>
      <c r="U493" s="496"/>
      <c r="V493" s="496"/>
      <c r="W493" s="496"/>
    </row>
    <row r="494" spans="1:23" ht="36" x14ac:dyDescent="0.2">
      <c r="A494" s="510">
        <f t="shared" si="28"/>
        <v>491</v>
      </c>
      <c r="B494" s="428">
        <v>44581</v>
      </c>
      <c r="C494" s="431">
        <v>44562</v>
      </c>
      <c r="D494" s="415" t="s">
        <v>468</v>
      </c>
      <c r="E494" s="415" t="s">
        <v>468</v>
      </c>
      <c r="F494" s="459">
        <v>-20000</v>
      </c>
      <c r="G494" s="427" t="s">
        <v>2436</v>
      </c>
      <c r="H494" s="415" t="s">
        <v>468</v>
      </c>
      <c r="I494" s="460" t="s">
        <v>2437</v>
      </c>
      <c r="J494" s="461" t="s">
        <v>796</v>
      </c>
      <c r="K494" s="461" t="s">
        <v>797</v>
      </c>
      <c r="L494" s="460" t="s">
        <v>798</v>
      </c>
      <c r="M494" s="461" t="s">
        <v>310</v>
      </c>
      <c r="N494" s="414">
        <v>44581</v>
      </c>
      <c r="O494" s="414" t="s">
        <v>408</v>
      </c>
      <c r="P494" s="222">
        <f t="shared" si="29"/>
        <v>1</v>
      </c>
      <c r="Q494" s="222">
        <f t="shared" si="30"/>
        <v>1</v>
      </c>
      <c r="R494" s="532" t="str">
        <f t="shared" si="31"/>
        <v>Gastos_custeados_por_captação</v>
      </c>
      <c r="S494" s="467" t="s">
        <v>310</v>
      </c>
      <c r="T494" s="467" t="s">
        <v>310</v>
      </c>
      <c r="U494" s="496"/>
      <c r="V494" s="496"/>
      <c r="W494" s="496"/>
    </row>
    <row r="495" spans="1:23" ht="60" x14ac:dyDescent="0.2">
      <c r="A495" s="510">
        <f t="shared" si="28"/>
        <v>492</v>
      </c>
      <c r="B495" s="428">
        <v>44581</v>
      </c>
      <c r="C495" s="431">
        <v>44501</v>
      </c>
      <c r="D495" s="415" t="s">
        <v>468</v>
      </c>
      <c r="E495" s="415" t="s">
        <v>468</v>
      </c>
      <c r="F495" s="541">
        <v>465</v>
      </c>
      <c r="G495" s="399" t="s">
        <v>2520</v>
      </c>
      <c r="H495" s="415" t="s">
        <v>468</v>
      </c>
      <c r="I495" s="473" t="s">
        <v>795</v>
      </c>
      <c r="J495" s="415" t="s">
        <v>796</v>
      </c>
      <c r="K495" s="415" t="s">
        <v>797</v>
      </c>
      <c r="L495" s="415" t="s">
        <v>798</v>
      </c>
      <c r="M495" s="415" t="s">
        <v>310</v>
      </c>
      <c r="N495" s="414">
        <v>44581</v>
      </c>
      <c r="O495" s="414" t="s">
        <v>401</v>
      </c>
      <c r="P495" s="222">
        <f t="shared" si="29"/>
        <v>1</v>
      </c>
      <c r="Q495" s="222">
        <f t="shared" si="30"/>
        <v>-1</v>
      </c>
      <c r="R495" s="532" t="str">
        <f t="shared" si="31"/>
        <v>Gastos_custeados_por_captação</v>
      </c>
      <c r="S495" s="467" t="s">
        <v>310</v>
      </c>
      <c r="T495" s="467" t="s">
        <v>310</v>
      </c>
      <c r="U495" s="496"/>
      <c r="V495" s="496"/>
      <c r="W495" s="496"/>
    </row>
    <row r="496" spans="1:23" ht="60" x14ac:dyDescent="0.2">
      <c r="A496" s="510">
        <f t="shared" si="28"/>
        <v>493</v>
      </c>
      <c r="B496" s="428">
        <v>44581</v>
      </c>
      <c r="C496" s="431">
        <v>44501</v>
      </c>
      <c r="D496" s="415" t="s">
        <v>468</v>
      </c>
      <c r="E496" s="415" t="s">
        <v>468</v>
      </c>
      <c r="F496" s="541">
        <v>775</v>
      </c>
      <c r="G496" s="399" t="s">
        <v>2521</v>
      </c>
      <c r="H496" s="415" t="s">
        <v>468</v>
      </c>
      <c r="I496" s="473" t="s">
        <v>795</v>
      </c>
      <c r="J496" s="415" t="s">
        <v>796</v>
      </c>
      <c r="K496" s="415" t="s">
        <v>797</v>
      </c>
      <c r="L496" s="415" t="s">
        <v>798</v>
      </c>
      <c r="M496" s="415" t="s">
        <v>310</v>
      </c>
      <c r="N496" s="414">
        <v>44581</v>
      </c>
      <c r="O496" s="414" t="s">
        <v>401</v>
      </c>
      <c r="P496" s="222">
        <f t="shared" si="29"/>
        <v>1</v>
      </c>
      <c r="Q496" s="222">
        <f t="shared" si="30"/>
        <v>-1</v>
      </c>
      <c r="R496" s="532" t="str">
        <f t="shared" si="31"/>
        <v>Gastos_custeados_por_captação</v>
      </c>
      <c r="S496" s="467" t="s">
        <v>310</v>
      </c>
      <c r="T496" s="467" t="s">
        <v>310</v>
      </c>
      <c r="U496" s="496"/>
      <c r="V496" s="496"/>
      <c r="W496" s="496"/>
    </row>
    <row r="497" spans="1:23" ht="60" x14ac:dyDescent="0.2">
      <c r="A497" s="510">
        <f t="shared" si="28"/>
        <v>494</v>
      </c>
      <c r="B497" s="428">
        <v>44581</v>
      </c>
      <c r="C497" s="431">
        <v>44501</v>
      </c>
      <c r="D497" s="415" t="s">
        <v>468</v>
      </c>
      <c r="E497" s="415" t="s">
        <v>468</v>
      </c>
      <c r="F497" s="541">
        <v>930</v>
      </c>
      <c r="G497" s="399" t="s">
        <v>2522</v>
      </c>
      <c r="H497" s="415" t="s">
        <v>468</v>
      </c>
      <c r="I497" s="473" t="s">
        <v>795</v>
      </c>
      <c r="J497" s="415" t="s">
        <v>796</v>
      </c>
      <c r="K497" s="415" t="s">
        <v>797</v>
      </c>
      <c r="L497" s="415" t="s">
        <v>798</v>
      </c>
      <c r="M497" s="415" t="s">
        <v>310</v>
      </c>
      <c r="N497" s="414">
        <v>44581</v>
      </c>
      <c r="O497" s="414" t="s">
        <v>401</v>
      </c>
      <c r="P497" s="222">
        <f t="shared" si="29"/>
        <v>1</v>
      </c>
      <c r="Q497" s="222">
        <f t="shared" si="30"/>
        <v>-1</v>
      </c>
      <c r="R497" s="532" t="str">
        <f t="shared" si="31"/>
        <v>Gastos_custeados_por_captação</v>
      </c>
      <c r="S497" s="467" t="s">
        <v>310</v>
      </c>
      <c r="T497" s="467" t="s">
        <v>310</v>
      </c>
      <c r="U497" s="496"/>
      <c r="V497" s="496"/>
      <c r="W497" s="496"/>
    </row>
    <row r="498" spans="1:23" ht="60" x14ac:dyDescent="0.2">
      <c r="A498" s="510">
        <f t="shared" si="28"/>
        <v>495</v>
      </c>
      <c r="B498" s="428">
        <v>44581</v>
      </c>
      <c r="C498" s="431">
        <v>44501</v>
      </c>
      <c r="D498" s="415" t="s">
        <v>468</v>
      </c>
      <c r="E498" s="415" t="s">
        <v>468</v>
      </c>
      <c r="F498" s="541">
        <v>775</v>
      </c>
      <c r="G498" s="399" t="s">
        <v>2523</v>
      </c>
      <c r="H498" s="415" t="s">
        <v>468</v>
      </c>
      <c r="I498" s="473" t="s">
        <v>795</v>
      </c>
      <c r="J498" s="415" t="s">
        <v>796</v>
      </c>
      <c r="K498" s="415" t="s">
        <v>797</v>
      </c>
      <c r="L498" s="415" t="s">
        <v>798</v>
      </c>
      <c r="M498" s="415" t="s">
        <v>310</v>
      </c>
      <c r="N498" s="414">
        <v>44581</v>
      </c>
      <c r="O498" s="414" t="s">
        <v>401</v>
      </c>
      <c r="P498" s="222">
        <f t="shared" si="29"/>
        <v>1</v>
      </c>
      <c r="Q498" s="222">
        <f t="shared" si="30"/>
        <v>-1</v>
      </c>
      <c r="R498" s="532" t="str">
        <f t="shared" si="31"/>
        <v>Gastos_custeados_por_captação</v>
      </c>
      <c r="S498" s="467" t="s">
        <v>310</v>
      </c>
      <c r="T498" s="467" t="s">
        <v>310</v>
      </c>
      <c r="U498" s="496"/>
      <c r="V498" s="496"/>
      <c r="W498" s="496"/>
    </row>
    <row r="499" spans="1:23" ht="60" x14ac:dyDescent="0.2">
      <c r="A499" s="510">
        <f t="shared" si="28"/>
        <v>496</v>
      </c>
      <c r="B499" s="428">
        <v>44581</v>
      </c>
      <c r="C499" s="431">
        <v>44501</v>
      </c>
      <c r="D499" s="415" t="s">
        <v>468</v>
      </c>
      <c r="E499" s="415" t="s">
        <v>468</v>
      </c>
      <c r="F499" s="541">
        <v>24.08</v>
      </c>
      <c r="G499" s="399" t="s">
        <v>2524</v>
      </c>
      <c r="H499" s="415" t="s">
        <v>468</v>
      </c>
      <c r="I499" s="460" t="s">
        <v>1461</v>
      </c>
      <c r="J499" s="461" t="s">
        <v>310</v>
      </c>
      <c r="K499" s="461" t="s">
        <v>1220</v>
      </c>
      <c r="L499" s="460" t="s">
        <v>1368</v>
      </c>
      <c r="M499" s="461" t="s">
        <v>310</v>
      </c>
      <c r="N499" s="414">
        <v>44581</v>
      </c>
      <c r="O499" s="414" t="s">
        <v>401</v>
      </c>
      <c r="P499" s="222">
        <f t="shared" si="29"/>
        <v>1</v>
      </c>
      <c r="Q499" s="222">
        <f t="shared" si="30"/>
        <v>-1</v>
      </c>
      <c r="R499" s="532" t="str">
        <f t="shared" si="31"/>
        <v>Gastos_custeados_por_captação</v>
      </c>
      <c r="S499" s="467" t="s">
        <v>310</v>
      </c>
      <c r="T499" s="467" t="s">
        <v>310</v>
      </c>
      <c r="U499" s="496"/>
      <c r="V499" s="496"/>
      <c r="W499" s="496"/>
    </row>
    <row r="500" spans="1:23" ht="60" x14ac:dyDescent="0.2">
      <c r="A500" s="510">
        <f t="shared" si="28"/>
        <v>497</v>
      </c>
      <c r="B500" s="428">
        <v>44581</v>
      </c>
      <c r="C500" s="431">
        <v>44501</v>
      </c>
      <c r="D500" s="415" t="s">
        <v>468</v>
      </c>
      <c r="E500" s="415" t="s">
        <v>468</v>
      </c>
      <c r="F500" s="541">
        <v>57.45</v>
      </c>
      <c r="G500" s="399" t="s">
        <v>2525</v>
      </c>
      <c r="H500" s="415" t="s">
        <v>468</v>
      </c>
      <c r="I500" s="460" t="s">
        <v>1461</v>
      </c>
      <c r="J500" s="461" t="s">
        <v>310</v>
      </c>
      <c r="K500" s="461" t="s">
        <v>1220</v>
      </c>
      <c r="L500" s="460" t="s">
        <v>1368</v>
      </c>
      <c r="M500" s="461" t="s">
        <v>310</v>
      </c>
      <c r="N500" s="414">
        <v>44581</v>
      </c>
      <c r="O500" s="414" t="s">
        <v>401</v>
      </c>
      <c r="P500" s="222">
        <f t="shared" si="29"/>
        <v>1</v>
      </c>
      <c r="Q500" s="222">
        <f t="shared" si="30"/>
        <v>-1</v>
      </c>
      <c r="R500" s="532" t="str">
        <f t="shared" si="31"/>
        <v>Gastos_custeados_por_captação</v>
      </c>
      <c r="S500" s="467" t="s">
        <v>310</v>
      </c>
      <c r="T500" s="467" t="s">
        <v>310</v>
      </c>
      <c r="U500" s="496"/>
      <c r="V500" s="496"/>
      <c r="W500" s="496"/>
    </row>
    <row r="501" spans="1:23" ht="60" x14ac:dyDescent="0.2">
      <c r="A501" s="510">
        <f t="shared" si="28"/>
        <v>498</v>
      </c>
      <c r="B501" s="428">
        <v>44581</v>
      </c>
      <c r="C501" s="431">
        <v>44501</v>
      </c>
      <c r="D501" s="415" t="s">
        <v>468</v>
      </c>
      <c r="E501" s="415" t="s">
        <v>468</v>
      </c>
      <c r="F501" s="541">
        <v>24.08</v>
      </c>
      <c r="G501" s="399" t="s">
        <v>2526</v>
      </c>
      <c r="H501" s="415" t="s">
        <v>468</v>
      </c>
      <c r="I501" s="460" t="s">
        <v>1461</v>
      </c>
      <c r="J501" s="461" t="s">
        <v>310</v>
      </c>
      <c r="K501" s="461" t="s">
        <v>1220</v>
      </c>
      <c r="L501" s="460" t="s">
        <v>1368</v>
      </c>
      <c r="M501" s="461" t="s">
        <v>310</v>
      </c>
      <c r="N501" s="414">
        <v>44581</v>
      </c>
      <c r="O501" s="414" t="s">
        <v>401</v>
      </c>
      <c r="P501" s="222">
        <f t="shared" si="29"/>
        <v>1</v>
      </c>
      <c r="Q501" s="222">
        <f t="shared" si="30"/>
        <v>-1</v>
      </c>
      <c r="R501" s="532" t="str">
        <f t="shared" si="31"/>
        <v>Gastos_custeados_por_captação</v>
      </c>
      <c r="S501" s="467" t="s">
        <v>310</v>
      </c>
      <c r="T501" s="467" t="s">
        <v>310</v>
      </c>
      <c r="U501" s="496"/>
      <c r="V501" s="496"/>
      <c r="W501" s="496"/>
    </row>
    <row r="502" spans="1:23" ht="60" x14ac:dyDescent="0.2">
      <c r="A502" s="510">
        <f t="shared" si="28"/>
        <v>499</v>
      </c>
      <c r="B502" s="428">
        <v>44581</v>
      </c>
      <c r="C502" s="431">
        <v>44531</v>
      </c>
      <c r="D502" s="415" t="s">
        <v>468</v>
      </c>
      <c r="E502" s="415" t="s">
        <v>468</v>
      </c>
      <c r="F502" s="541">
        <v>60</v>
      </c>
      <c r="G502" s="399" t="s">
        <v>2527</v>
      </c>
      <c r="H502" s="415" t="s">
        <v>468</v>
      </c>
      <c r="I502" s="460" t="s">
        <v>1461</v>
      </c>
      <c r="J502" s="461" t="s">
        <v>310</v>
      </c>
      <c r="K502" s="461" t="s">
        <v>1220</v>
      </c>
      <c r="L502" s="460" t="s">
        <v>1368</v>
      </c>
      <c r="M502" s="461" t="s">
        <v>310</v>
      </c>
      <c r="N502" s="414">
        <v>44581</v>
      </c>
      <c r="O502" s="414" t="s">
        <v>401</v>
      </c>
      <c r="P502" s="222">
        <f t="shared" si="29"/>
        <v>1</v>
      </c>
      <c r="Q502" s="222">
        <f t="shared" si="30"/>
        <v>0</v>
      </c>
      <c r="R502" s="532" t="str">
        <f t="shared" si="31"/>
        <v>Gastos_custeados_por_captação</v>
      </c>
      <c r="S502" s="467" t="s">
        <v>310</v>
      </c>
      <c r="T502" s="467" t="s">
        <v>310</v>
      </c>
      <c r="U502" s="496"/>
      <c r="V502" s="496"/>
      <c r="W502" s="496"/>
    </row>
    <row r="503" spans="1:23" ht="60" x14ac:dyDescent="0.2">
      <c r="A503" s="510">
        <f t="shared" si="28"/>
        <v>500</v>
      </c>
      <c r="B503" s="428">
        <v>44581</v>
      </c>
      <c r="C503" s="431">
        <v>44531</v>
      </c>
      <c r="D503" s="415" t="s">
        <v>468</v>
      </c>
      <c r="E503" s="415" t="s">
        <v>468</v>
      </c>
      <c r="F503" s="541">
        <v>186</v>
      </c>
      <c r="G503" s="399" t="s">
        <v>2528</v>
      </c>
      <c r="H503" s="415" t="s">
        <v>468</v>
      </c>
      <c r="I503" s="460" t="s">
        <v>1461</v>
      </c>
      <c r="J503" s="461" t="s">
        <v>310</v>
      </c>
      <c r="K503" s="461" t="s">
        <v>1220</v>
      </c>
      <c r="L503" s="460" t="s">
        <v>1368</v>
      </c>
      <c r="M503" s="461" t="s">
        <v>310</v>
      </c>
      <c r="N503" s="414">
        <v>44581</v>
      </c>
      <c r="O503" s="414" t="s">
        <v>401</v>
      </c>
      <c r="P503" s="222">
        <f t="shared" si="29"/>
        <v>1</v>
      </c>
      <c r="Q503" s="222">
        <f t="shared" si="30"/>
        <v>0</v>
      </c>
      <c r="R503" s="532" t="str">
        <f t="shared" si="31"/>
        <v>Gastos_custeados_por_captação</v>
      </c>
      <c r="S503" s="467" t="s">
        <v>310</v>
      </c>
      <c r="T503" s="467" t="s">
        <v>310</v>
      </c>
      <c r="U503" s="496"/>
      <c r="V503" s="496"/>
      <c r="W503" s="496"/>
    </row>
    <row r="504" spans="1:23" ht="72" x14ac:dyDescent="0.2">
      <c r="A504" s="510">
        <f t="shared" si="28"/>
        <v>501</v>
      </c>
      <c r="B504" s="428">
        <v>44581</v>
      </c>
      <c r="C504" s="431">
        <v>44531</v>
      </c>
      <c r="D504" s="415" t="s">
        <v>468</v>
      </c>
      <c r="E504" s="415" t="s">
        <v>468</v>
      </c>
      <c r="F504" s="541">
        <v>900</v>
      </c>
      <c r="G504" s="399" t="s">
        <v>2805</v>
      </c>
      <c r="H504" s="415" t="s">
        <v>468</v>
      </c>
      <c r="I504" s="460" t="s">
        <v>2803</v>
      </c>
      <c r="J504" s="461" t="s">
        <v>2426</v>
      </c>
      <c r="K504" s="461" t="s">
        <v>830</v>
      </c>
      <c r="L504" s="460" t="s">
        <v>807</v>
      </c>
      <c r="M504" s="461">
        <v>31421834</v>
      </c>
      <c r="N504" s="414">
        <v>44581</v>
      </c>
      <c r="O504" s="414" t="s">
        <v>407</v>
      </c>
      <c r="P504" s="222">
        <f t="shared" si="29"/>
        <v>1</v>
      </c>
      <c r="Q504" s="222">
        <f t="shared" si="30"/>
        <v>0</v>
      </c>
      <c r="R504" s="532" t="str">
        <f t="shared" si="31"/>
        <v>Gastos_custeados_por_captação</v>
      </c>
      <c r="S504" s="467" t="s">
        <v>2804</v>
      </c>
      <c r="T504" s="467">
        <v>2466</v>
      </c>
      <c r="U504" s="496"/>
      <c r="V504" s="496"/>
      <c r="W504" s="496"/>
    </row>
    <row r="505" spans="1:23" ht="72" x14ac:dyDescent="0.2">
      <c r="A505" s="510">
        <f t="shared" si="28"/>
        <v>502</v>
      </c>
      <c r="B505" s="428">
        <v>44581</v>
      </c>
      <c r="C505" s="431">
        <v>44531</v>
      </c>
      <c r="D505" s="415" t="s">
        <v>468</v>
      </c>
      <c r="E505" s="415" t="s">
        <v>468</v>
      </c>
      <c r="F505" s="541">
        <v>9300</v>
      </c>
      <c r="G505" s="399" t="s">
        <v>680</v>
      </c>
      <c r="H505" s="415" t="s">
        <v>468</v>
      </c>
      <c r="I505" s="460" t="s">
        <v>2806</v>
      </c>
      <c r="J505" s="461" t="s">
        <v>1094</v>
      </c>
      <c r="K505" s="461" t="s">
        <v>830</v>
      </c>
      <c r="L505" s="460" t="s">
        <v>807</v>
      </c>
      <c r="M505" s="461">
        <v>313</v>
      </c>
      <c r="N505" s="414">
        <v>44580</v>
      </c>
      <c r="O505" s="414" t="s">
        <v>407</v>
      </c>
      <c r="P505" s="222">
        <f t="shared" si="29"/>
        <v>1</v>
      </c>
      <c r="Q505" s="222">
        <f t="shared" si="30"/>
        <v>0</v>
      </c>
      <c r="R505" s="532" t="str">
        <f t="shared" si="31"/>
        <v>Gastos_custeados_por_captação</v>
      </c>
      <c r="S505" s="467" t="s">
        <v>998</v>
      </c>
      <c r="T505" s="467">
        <v>2526</v>
      </c>
      <c r="U505" s="496"/>
      <c r="V505" s="496"/>
      <c r="W505" s="496"/>
    </row>
    <row r="506" spans="1:23" ht="72" x14ac:dyDescent="0.2">
      <c r="A506" s="510">
        <f t="shared" si="28"/>
        <v>503</v>
      </c>
      <c r="B506" s="428">
        <v>44581</v>
      </c>
      <c r="C506" s="431">
        <v>44531</v>
      </c>
      <c r="D506" s="415" t="s">
        <v>468</v>
      </c>
      <c r="E506" s="415" t="s">
        <v>468</v>
      </c>
      <c r="F506" s="541">
        <v>953.25</v>
      </c>
      <c r="G506" s="399" t="s">
        <v>2770</v>
      </c>
      <c r="H506" s="415" t="s">
        <v>468</v>
      </c>
      <c r="I506" s="460" t="s">
        <v>2807</v>
      </c>
      <c r="J506" s="461" t="s">
        <v>2768</v>
      </c>
      <c r="K506" s="461" t="s">
        <v>830</v>
      </c>
      <c r="L506" s="460" t="s">
        <v>1341</v>
      </c>
      <c r="M506" s="461">
        <v>1542</v>
      </c>
      <c r="N506" s="414">
        <v>44580</v>
      </c>
      <c r="O506" s="414" t="s">
        <v>407</v>
      </c>
      <c r="P506" s="222">
        <f t="shared" si="29"/>
        <v>1</v>
      </c>
      <c r="Q506" s="222">
        <f t="shared" si="30"/>
        <v>0</v>
      </c>
      <c r="R506" s="532" t="str">
        <f t="shared" si="31"/>
        <v>Gastos_custeados_por_captação</v>
      </c>
      <c r="S506" s="467" t="s">
        <v>998</v>
      </c>
      <c r="T506" s="467">
        <v>2312</v>
      </c>
      <c r="U506" s="496"/>
      <c r="V506" s="496"/>
      <c r="W506" s="496"/>
    </row>
    <row r="507" spans="1:23" ht="60" x14ac:dyDescent="0.2">
      <c r="A507" s="510">
        <f t="shared" si="28"/>
        <v>504</v>
      </c>
      <c r="B507" s="428">
        <v>44581</v>
      </c>
      <c r="C507" s="424">
        <v>44531</v>
      </c>
      <c r="D507" s="415" t="s">
        <v>271</v>
      </c>
      <c r="E507" s="415" t="s">
        <v>186</v>
      </c>
      <c r="F507" s="425">
        <v>2911.59</v>
      </c>
      <c r="G507" s="427" t="s">
        <v>525</v>
      </c>
      <c r="H507" s="415" t="s">
        <v>751</v>
      </c>
      <c r="I507" s="473" t="s">
        <v>1427</v>
      </c>
      <c r="J507" s="415" t="s">
        <v>1029</v>
      </c>
      <c r="K507" s="415" t="s">
        <v>812</v>
      </c>
      <c r="L507" s="415" t="s">
        <v>807</v>
      </c>
      <c r="M507" s="415" t="s">
        <v>1428</v>
      </c>
      <c r="N507" s="414">
        <v>44568</v>
      </c>
      <c r="O507" s="414" t="s">
        <v>400</v>
      </c>
      <c r="P507" s="222">
        <f t="shared" si="29"/>
        <v>1</v>
      </c>
      <c r="Q507" s="222">
        <f t="shared" si="30"/>
        <v>0</v>
      </c>
      <c r="R507" s="532" t="str">
        <f t="shared" si="31"/>
        <v>Gastos_Gerais</v>
      </c>
      <c r="S507" s="467" t="s">
        <v>1000</v>
      </c>
      <c r="T507" s="467">
        <v>1501</v>
      </c>
      <c r="U507" s="496"/>
      <c r="V507" s="496"/>
      <c r="W507" s="496"/>
    </row>
    <row r="508" spans="1:23" ht="24" x14ac:dyDescent="0.2">
      <c r="A508" s="510">
        <f t="shared" si="28"/>
        <v>505</v>
      </c>
      <c r="B508" s="428">
        <v>44581</v>
      </c>
      <c r="C508" s="424">
        <v>44531</v>
      </c>
      <c r="D508" s="415" t="s">
        <v>271</v>
      </c>
      <c r="E508" s="415" t="s">
        <v>183</v>
      </c>
      <c r="F508" s="425">
        <v>352.97</v>
      </c>
      <c r="G508" s="437" t="s">
        <v>503</v>
      </c>
      <c r="H508" s="415" t="s">
        <v>309</v>
      </c>
      <c r="I508" s="473" t="s">
        <v>768</v>
      </c>
      <c r="J508" s="415" t="s">
        <v>1323</v>
      </c>
      <c r="K508" s="415" t="s">
        <v>1272</v>
      </c>
      <c r="L508" s="415" t="s">
        <v>1372</v>
      </c>
      <c r="M508" s="415" t="s">
        <v>1430</v>
      </c>
      <c r="N508" s="414">
        <v>44562</v>
      </c>
      <c r="O508" s="414" t="s">
        <v>400</v>
      </c>
      <c r="P508" s="222">
        <f t="shared" si="29"/>
        <v>1</v>
      </c>
      <c r="Q508" s="222">
        <f t="shared" si="30"/>
        <v>0</v>
      </c>
      <c r="R508" s="532" t="str">
        <f t="shared" si="31"/>
        <v>Gastos_Gerais</v>
      </c>
      <c r="S508" s="467" t="s">
        <v>310</v>
      </c>
      <c r="T508" s="467" t="s">
        <v>310</v>
      </c>
      <c r="U508" s="496"/>
      <c r="V508" s="496"/>
      <c r="W508" s="496"/>
    </row>
    <row r="509" spans="1:23" ht="48" x14ac:dyDescent="0.2">
      <c r="A509" s="510">
        <f t="shared" si="28"/>
        <v>506</v>
      </c>
      <c r="B509" s="428">
        <v>44582</v>
      </c>
      <c r="C509" s="424">
        <v>44562</v>
      </c>
      <c r="D509" s="415" t="s">
        <v>271</v>
      </c>
      <c r="E509" s="415" t="s">
        <v>466</v>
      </c>
      <c r="F509" s="425">
        <v>1260</v>
      </c>
      <c r="G509" s="427" t="s">
        <v>722</v>
      </c>
      <c r="H509" s="415" t="s">
        <v>752</v>
      </c>
      <c r="I509" s="473" t="s">
        <v>1458</v>
      </c>
      <c r="J509" s="415" t="s">
        <v>1144</v>
      </c>
      <c r="K509" s="415" t="s">
        <v>806</v>
      </c>
      <c r="L509" s="415" t="s">
        <v>839</v>
      </c>
      <c r="M509" s="415">
        <v>1545</v>
      </c>
      <c r="N509" s="414">
        <v>44582</v>
      </c>
      <c r="O509" s="454" t="s">
        <v>400</v>
      </c>
      <c r="P509" s="222">
        <f t="shared" si="29"/>
        <v>1</v>
      </c>
      <c r="Q509" s="222">
        <f t="shared" si="30"/>
        <v>1</v>
      </c>
      <c r="R509" s="532" t="str">
        <f t="shared" si="31"/>
        <v>Gastos_Gerais</v>
      </c>
      <c r="S509" s="467" t="s">
        <v>998</v>
      </c>
      <c r="T509" s="467">
        <v>2577</v>
      </c>
      <c r="U509" s="496"/>
      <c r="V509" s="496"/>
      <c r="W509" s="496"/>
    </row>
    <row r="510" spans="1:23" ht="72" x14ac:dyDescent="0.2">
      <c r="A510" s="510">
        <f t="shared" si="28"/>
        <v>507</v>
      </c>
      <c r="B510" s="428">
        <v>44582</v>
      </c>
      <c r="C510" s="424">
        <v>44562</v>
      </c>
      <c r="D510" s="415" t="s">
        <v>468</v>
      </c>
      <c r="E510" s="415" t="s">
        <v>468</v>
      </c>
      <c r="F510" s="459">
        <v>20000</v>
      </c>
      <c r="G510" s="399" t="s">
        <v>2436</v>
      </c>
      <c r="H510" s="415" t="s">
        <v>468</v>
      </c>
      <c r="I510" s="473" t="s">
        <v>2437</v>
      </c>
      <c r="J510" s="468" t="s">
        <v>796</v>
      </c>
      <c r="K510" s="415" t="s">
        <v>806</v>
      </c>
      <c r="L510" s="415" t="s">
        <v>807</v>
      </c>
      <c r="M510" s="464" t="s">
        <v>1305</v>
      </c>
      <c r="N510" s="469">
        <v>44582</v>
      </c>
      <c r="O510" s="454" t="s">
        <v>407</v>
      </c>
      <c r="P510" s="222">
        <f t="shared" si="29"/>
        <v>1</v>
      </c>
      <c r="Q510" s="222">
        <f t="shared" si="30"/>
        <v>1</v>
      </c>
      <c r="R510" s="532" t="str">
        <f t="shared" si="31"/>
        <v>Gastos_custeados_por_captação</v>
      </c>
      <c r="S510" s="467" t="s">
        <v>310</v>
      </c>
      <c r="T510" s="467" t="s">
        <v>310</v>
      </c>
      <c r="U510" s="496"/>
      <c r="V510" s="496"/>
      <c r="W510" s="496"/>
    </row>
    <row r="511" spans="1:23" ht="72" x14ac:dyDescent="0.2">
      <c r="A511" s="510">
        <f t="shared" si="28"/>
        <v>508</v>
      </c>
      <c r="B511" s="428">
        <v>44582</v>
      </c>
      <c r="C511" s="431">
        <v>44531</v>
      </c>
      <c r="D511" s="415" t="s">
        <v>468</v>
      </c>
      <c r="E511" s="415" t="s">
        <v>468</v>
      </c>
      <c r="F511" s="459">
        <v>6859.3</v>
      </c>
      <c r="G511" s="399" t="s">
        <v>2811</v>
      </c>
      <c r="H511" s="415" t="s">
        <v>468</v>
      </c>
      <c r="I511" s="473" t="s">
        <v>2812</v>
      </c>
      <c r="J511" s="468" t="s">
        <v>2808</v>
      </c>
      <c r="K511" s="415" t="s">
        <v>830</v>
      </c>
      <c r="L511" s="415" t="s">
        <v>807</v>
      </c>
      <c r="M511" s="464">
        <v>20221</v>
      </c>
      <c r="N511" s="469">
        <v>44581</v>
      </c>
      <c r="O511" s="454" t="s">
        <v>407</v>
      </c>
      <c r="P511" s="222">
        <f t="shared" si="29"/>
        <v>1</v>
      </c>
      <c r="Q511" s="222">
        <f t="shared" si="30"/>
        <v>0</v>
      </c>
      <c r="R511" s="532" t="str">
        <f t="shared" si="31"/>
        <v>Gastos_custeados_por_captação</v>
      </c>
      <c r="S511" s="467" t="s">
        <v>998</v>
      </c>
      <c r="T511" s="467">
        <v>1957</v>
      </c>
      <c r="U511" s="496"/>
      <c r="V511" s="496"/>
      <c r="W511" s="496"/>
    </row>
    <row r="512" spans="1:23" ht="72" x14ac:dyDescent="0.2">
      <c r="A512" s="510">
        <f t="shared" si="28"/>
        <v>509</v>
      </c>
      <c r="B512" s="428">
        <v>44582</v>
      </c>
      <c r="C512" s="431">
        <v>44531</v>
      </c>
      <c r="D512" s="415" t="s">
        <v>468</v>
      </c>
      <c r="E512" s="415" t="s">
        <v>468</v>
      </c>
      <c r="F512" s="459">
        <v>6000</v>
      </c>
      <c r="G512" s="399" t="s">
        <v>2810</v>
      </c>
      <c r="H512" s="415" t="s">
        <v>468</v>
      </c>
      <c r="I512" s="473" t="s">
        <v>2809</v>
      </c>
      <c r="J512" s="468" t="s">
        <v>1096</v>
      </c>
      <c r="K512" s="415" t="s">
        <v>830</v>
      </c>
      <c r="L512" s="415" t="s">
        <v>807</v>
      </c>
      <c r="M512" s="464">
        <v>20223</v>
      </c>
      <c r="N512" s="469">
        <v>44579</v>
      </c>
      <c r="O512" s="454" t="s">
        <v>407</v>
      </c>
      <c r="P512" s="222">
        <f t="shared" si="29"/>
        <v>1</v>
      </c>
      <c r="Q512" s="222">
        <f t="shared" si="30"/>
        <v>0</v>
      </c>
      <c r="R512" s="532" t="str">
        <f t="shared" si="31"/>
        <v>Gastos_custeados_por_captação</v>
      </c>
      <c r="S512" s="467" t="s">
        <v>998</v>
      </c>
      <c r="T512" s="467">
        <v>2501</v>
      </c>
      <c r="U512" s="496"/>
      <c r="V512" s="496"/>
      <c r="W512" s="496"/>
    </row>
    <row r="513" spans="1:23" ht="24" x14ac:dyDescent="0.2">
      <c r="A513" s="510">
        <f t="shared" si="28"/>
        <v>510</v>
      </c>
      <c r="B513" s="428">
        <v>44585</v>
      </c>
      <c r="C513" s="424">
        <v>44562</v>
      </c>
      <c r="D513" s="415" t="s">
        <v>271</v>
      </c>
      <c r="E513" s="415" t="s">
        <v>456</v>
      </c>
      <c r="F513" s="425">
        <v>871.28</v>
      </c>
      <c r="G513" s="427" t="s">
        <v>747</v>
      </c>
      <c r="H513" s="415" t="s">
        <v>756</v>
      </c>
      <c r="I513" s="473" t="s">
        <v>1467</v>
      </c>
      <c r="J513" s="415" t="s">
        <v>1007</v>
      </c>
      <c r="K513" s="415" t="s">
        <v>812</v>
      </c>
      <c r="L513" s="415" t="s">
        <v>807</v>
      </c>
      <c r="M513" s="415" t="s">
        <v>1468</v>
      </c>
      <c r="N513" s="414">
        <v>44586</v>
      </c>
      <c r="O513" s="414" t="s">
        <v>400</v>
      </c>
      <c r="P513" s="222">
        <f t="shared" si="29"/>
        <v>1</v>
      </c>
      <c r="Q513" s="222">
        <f t="shared" si="30"/>
        <v>1</v>
      </c>
      <c r="R513" s="532" t="str">
        <f t="shared" si="31"/>
        <v>Gastos_Gerais</v>
      </c>
      <c r="S513" s="467" t="s">
        <v>1303</v>
      </c>
      <c r="T513" s="467">
        <v>2595</v>
      </c>
      <c r="U513" s="496"/>
      <c r="V513" s="496"/>
      <c r="W513" s="496"/>
    </row>
    <row r="514" spans="1:23" ht="36" x14ac:dyDescent="0.2">
      <c r="A514" s="510">
        <f t="shared" si="28"/>
        <v>511</v>
      </c>
      <c r="B514" s="428">
        <v>44585</v>
      </c>
      <c r="C514" s="424">
        <v>44562</v>
      </c>
      <c r="D514" s="415" t="s">
        <v>271</v>
      </c>
      <c r="E514" s="415" t="s">
        <v>71</v>
      </c>
      <c r="F514" s="425">
        <v>10.45</v>
      </c>
      <c r="G514" s="427" t="s">
        <v>1469</v>
      </c>
      <c r="H514" s="415" t="s">
        <v>752</v>
      </c>
      <c r="I514" s="398" t="s">
        <v>881</v>
      </c>
      <c r="J514" s="418" t="s">
        <v>882</v>
      </c>
      <c r="K514" s="418" t="s">
        <v>883</v>
      </c>
      <c r="L514" s="399" t="s">
        <v>798</v>
      </c>
      <c r="M514" s="544" t="s">
        <v>310</v>
      </c>
      <c r="N514" s="414">
        <v>44585</v>
      </c>
      <c r="O514" s="414" t="s">
        <v>400</v>
      </c>
      <c r="P514" s="222">
        <f t="shared" si="29"/>
        <v>1</v>
      </c>
      <c r="Q514" s="222">
        <f t="shared" si="30"/>
        <v>1</v>
      </c>
      <c r="R514" s="532" t="str">
        <f t="shared" si="31"/>
        <v>Gastos_Gerais</v>
      </c>
      <c r="S514" s="467" t="s">
        <v>310</v>
      </c>
      <c r="T514" s="467" t="s">
        <v>310</v>
      </c>
      <c r="U514" s="496"/>
      <c r="V514" s="496"/>
      <c r="W514" s="496"/>
    </row>
    <row r="515" spans="1:23" ht="72" x14ac:dyDescent="0.2">
      <c r="A515" s="510">
        <f t="shared" si="28"/>
        <v>512</v>
      </c>
      <c r="B515" s="428">
        <v>44585</v>
      </c>
      <c r="C515" s="424">
        <v>44531</v>
      </c>
      <c r="D515" s="415" t="s">
        <v>468</v>
      </c>
      <c r="E515" s="415" t="s">
        <v>468</v>
      </c>
      <c r="F515" s="425">
        <v>7054.16</v>
      </c>
      <c r="G515" s="427" t="s">
        <v>2813</v>
      </c>
      <c r="H515" s="415" t="s">
        <v>468</v>
      </c>
      <c r="I515" s="398" t="s">
        <v>2814</v>
      </c>
      <c r="J515" s="418" t="s">
        <v>2815</v>
      </c>
      <c r="K515" s="418" t="s">
        <v>830</v>
      </c>
      <c r="L515" s="399" t="s">
        <v>839</v>
      </c>
      <c r="M515" s="544">
        <v>1543</v>
      </c>
      <c r="N515" s="414">
        <v>44581</v>
      </c>
      <c r="O515" s="414" t="s">
        <v>407</v>
      </c>
      <c r="P515" s="222">
        <f t="shared" si="29"/>
        <v>1</v>
      </c>
      <c r="Q515" s="222">
        <f t="shared" si="30"/>
        <v>0</v>
      </c>
      <c r="R515" s="532" t="str">
        <f t="shared" si="31"/>
        <v>Gastos_custeados_por_captação</v>
      </c>
      <c r="S515" s="467" t="s">
        <v>1000</v>
      </c>
      <c r="T515" s="467">
        <v>1793</v>
      </c>
      <c r="U515" s="496"/>
      <c r="V515" s="496"/>
      <c r="W515" s="496"/>
    </row>
    <row r="516" spans="1:23" ht="60" x14ac:dyDescent="0.2">
      <c r="A516" s="510">
        <f t="shared" ref="A516:A579" si="32">IF(B516="","",ROW()-ROW($A$3))</f>
        <v>513</v>
      </c>
      <c r="B516" s="428">
        <v>44585</v>
      </c>
      <c r="C516" s="424">
        <v>44531</v>
      </c>
      <c r="D516" s="415" t="s">
        <v>271</v>
      </c>
      <c r="E516" s="415" t="s">
        <v>456</v>
      </c>
      <c r="F516" s="425">
        <v>290</v>
      </c>
      <c r="G516" s="427" t="s">
        <v>653</v>
      </c>
      <c r="H516" s="415" t="s">
        <v>750</v>
      </c>
      <c r="I516" s="473" t="s">
        <v>1462</v>
      </c>
      <c r="J516" s="415" t="s">
        <v>1076</v>
      </c>
      <c r="K516" s="415" t="s">
        <v>812</v>
      </c>
      <c r="L516" s="415" t="s">
        <v>807</v>
      </c>
      <c r="M516" s="415" t="s">
        <v>1463</v>
      </c>
      <c r="N516" s="414">
        <v>44578</v>
      </c>
      <c r="O516" s="414" t="s">
        <v>400</v>
      </c>
      <c r="P516" s="222">
        <f t="shared" ref="P516:P579" si="33">IF(B516=0,0,IF(YEAR(B516)=$Q$1,MONTH(B516)-$P$1+1,(YEAR(B516)-$Q$1)*12-$P$1+1+MONTH(B516)))</f>
        <v>1</v>
      </c>
      <c r="Q516" s="222">
        <f t="shared" ref="Q516:Q579" si="34">IF(C516=0,0,IF(YEAR(C516)=$Q$1,MONTH(C516)-$P$1+1,(YEAR(C516)-$Q$1)*12-$P$1+1+MONTH(C516)))</f>
        <v>0</v>
      </c>
      <c r="R516" s="532" t="str">
        <f t="shared" ref="R516:R579" si="35">SUBSTITUTE(D516," ","_")</f>
        <v>Gastos_Gerais</v>
      </c>
      <c r="S516" s="467" t="s">
        <v>998</v>
      </c>
      <c r="T516" s="467">
        <v>2700</v>
      </c>
      <c r="U516" s="496"/>
      <c r="V516" s="496"/>
      <c r="W516" s="496"/>
    </row>
    <row r="517" spans="1:23" ht="48" x14ac:dyDescent="0.2">
      <c r="A517" s="510">
        <f t="shared" si="32"/>
        <v>514</v>
      </c>
      <c r="B517" s="428">
        <v>44585</v>
      </c>
      <c r="C517" s="424">
        <v>44501</v>
      </c>
      <c r="D517" s="415" t="s">
        <v>271</v>
      </c>
      <c r="E517" s="415" t="s">
        <v>465</v>
      </c>
      <c r="F517" s="425">
        <v>240.32</v>
      </c>
      <c r="G517" s="427" t="s">
        <v>597</v>
      </c>
      <c r="H517" s="415" t="s">
        <v>756</v>
      </c>
      <c r="I517" s="473" t="s">
        <v>1464</v>
      </c>
      <c r="J517" s="415" t="s">
        <v>1010</v>
      </c>
      <c r="K517" s="415" t="s">
        <v>830</v>
      </c>
      <c r="L517" s="415" t="s">
        <v>807</v>
      </c>
      <c r="M517" s="415" t="s">
        <v>1465</v>
      </c>
      <c r="N517" s="414">
        <v>44571</v>
      </c>
      <c r="O517" s="414" t="s">
        <v>400</v>
      </c>
      <c r="P517" s="222">
        <f t="shared" si="33"/>
        <v>1</v>
      </c>
      <c r="Q517" s="222">
        <f t="shared" si="34"/>
        <v>-1</v>
      </c>
      <c r="R517" s="532" t="str">
        <f t="shared" si="35"/>
        <v>Gastos_Gerais</v>
      </c>
      <c r="S517" s="467" t="s">
        <v>998</v>
      </c>
      <c r="T517" s="467">
        <v>2507</v>
      </c>
      <c r="U517" s="496"/>
      <c r="V517" s="496"/>
      <c r="W517" s="496"/>
    </row>
    <row r="518" spans="1:23" ht="24" x14ac:dyDescent="0.2">
      <c r="A518" s="510">
        <f t="shared" si="32"/>
        <v>515</v>
      </c>
      <c r="B518" s="465">
        <v>44586</v>
      </c>
      <c r="C518" s="466">
        <v>44562</v>
      </c>
      <c r="D518" s="415" t="s">
        <v>271</v>
      </c>
      <c r="E518" s="415" t="s">
        <v>297</v>
      </c>
      <c r="F518" s="435">
        <v>342</v>
      </c>
      <c r="G518" s="437" t="s">
        <v>1484</v>
      </c>
      <c r="H518" s="434" t="s">
        <v>309</v>
      </c>
      <c r="I518" s="474" t="s">
        <v>1485</v>
      </c>
      <c r="J518" s="434" t="s">
        <v>1483</v>
      </c>
      <c r="K518" s="418" t="s">
        <v>812</v>
      </c>
      <c r="L518" s="434" t="s">
        <v>807</v>
      </c>
      <c r="M518" s="415">
        <v>5605131</v>
      </c>
      <c r="N518" s="414">
        <v>44589</v>
      </c>
      <c r="O518" s="414" t="s">
        <v>400</v>
      </c>
      <c r="P518" s="222">
        <f t="shared" si="33"/>
        <v>1</v>
      </c>
      <c r="Q518" s="222">
        <f t="shared" si="34"/>
        <v>1</v>
      </c>
      <c r="R518" s="532" t="str">
        <f t="shared" si="35"/>
        <v>Gastos_Gerais</v>
      </c>
      <c r="S518" s="467" t="s">
        <v>1000</v>
      </c>
      <c r="T518" s="467">
        <v>1551</v>
      </c>
      <c r="U518" s="496"/>
      <c r="V518" s="496"/>
      <c r="W518" s="496"/>
    </row>
    <row r="519" spans="1:23" ht="144" x14ac:dyDescent="0.2">
      <c r="A519" s="510">
        <f t="shared" si="32"/>
        <v>516</v>
      </c>
      <c r="B519" s="465">
        <v>44586</v>
      </c>
      <c r="C519" s="466">
        <v>44136</v>
      </c>
      <c r="D519" s="415" t="s">
        <v>271</v>
      </c>
      <c r="E519" s="415" t="s">
        <v>183</v>
      </c>
      <c r="F519" s="435">
        <v>1024.5899999999999</v>
      </c>
      <c r="G519" s="437" t="s">
        <v>470</v>
      </c>
      <c r="H519" s="434" t="s">
        <v>748</v>
      </c>
      <c r="I519" s="474" t="s">
        <v>1486</v>
      </c>
      <c r="J519" s="418" t="s">
        <v>1487</v>
      </c>
      <c r="K519" s="418" t="s">
        <v>812</v>
      </c>
      <c r="L519" s="399" t="s">
        <v>807</v>
      </c>
      <c r="M519" s="415">
        <v>846095</v>
      </c>
      <c r="N519" s="414">
        <v>44588</v>
      </c>
      <c r="O519" s="414" t="s">
        <v>400</v>
      </c>
      <c r="P519" s="222">
        <f t="shared" si="33"/>
        <v>1</v>
      </c>
      <c r="Q519" s="222">
        <f t="shared" si="34"/>
        <v>-13</v>
      </c>
      <c r="R519" s="532" t="str">
        <f t="shared" si="35"/>
        <v>Gastos_Gerais</v>
      </c>
      <c r="S519" s="467" t="s">
        <v>1000</v>
      </c>
      <c r="T519" s="467">
        <v>528</v>
      </c>
      <c r="U519" s="496"/>
      <c r="V519" s="496"/>
      <c r="W519" s="496"/>
    </row>
    <row r="520" spans="1:23" ht="48" x14ac:dyDescent="0.2">
      <c r="A520" s="510">
        <f t="shared" si="32"/>
        <v>517</v>
      </c>
      <c r="B520" s="428">
        <v>44586</v>
      </c>
      <c r="C520" s="424">
        <v>44562</v>
      </c>
      <c r="D520" s="415" t="s">
        <v>271</v>
      </c>
      <c r="E520" s="415" t="s">
        <v>84</v>
      </c>
      <c r="F520" s="425">
        <v>-2.77</v>
      </c>
      <c r="G520" s="427" t="s">
        <v>1470</v>
      </c>
      <c r="H520" s="415" t="s">
        <v>750</v>
      </c>
      <c r="I520" s="473" t="s">
        <v>795</v>
      </c>
      <c r="J520" s="415" t="s">
        <v>796</v>
      </c>
      <c r="K520" s="415" t="s">
        <v>797</v>
      </c>
      <c r="L520" s="415" t="s">
        <v>798</v>
      </c>
      <c r="M520" s="415" t="s">
        <v>310</v>
      </c>
      <c r="N520" s="414">
        <v>44586</v>
      </c>
      <c r="O520" s="414" t="s">
        <v>400</v>
      </c>
      <c r="P520" s="222">
        <f t="shared" si="33"/>
        <v>1</v>
      </c>
      <c r="Q520" s="222">
        <f t="shared" si="34"/>
        <v>1</v>
      </c>
      <c r="R520" s="532" t="str">
        <f t="shared" si="35"/>
        <v>Gastos_Gerais</v>
      </c>
      <c r="S520" s="467" t="s">
        <v>310</v>
      </c>
      <c r="T520" s="467" t="s">
        <v>310</v>
      </c>
      <c r="U520" s="496"/>
      <c r="V520" s="496"/>
      <c r="W520" s="496"/>
    </row>
    <row r="521" spans="1:23" ht="48" x14ac:dyDescent="0.2">
      <c r="A521" s="510">
        <f t="shared" si="32"/>
        <v>518</v>
      </c>
      <c r="B521" s="428">
        <v>44586</v>
      </c>
      <c r="C521" s="466">
        <v>44531</v>
      </c>
      <c r="D521" s="415" t="s">
        <v>271</v>
      </c>
      <c r="E521" s="415" t="s">
        <v>164</v>
      </c>
      <c r="F521" s="435">
        <v>-204.41</v>
      </c>
      <c r="G521" s="427" t="s">
        <v>1385</v>
      </c>
      <c r="H521" s="415" t="s">
        <v>309</v>
      </c>
      <c r="I521" s="473" t="s">
        <v>795</v>
      </c>
      <c r="J521" s="415" t="s">
        <v>796</v>
      </c>
      <c r="K521" s="415" t="s">
        <v>797</v>
      </c>
      <c r="L521" s="415" t="s">
        <v>798</v>
      </c>
      <c r="M521" s="415" t="s">
        <v>310</v>
      </c>
      <c r="N521" s="414">
        <v>44586</v>
      </c>
      <c r="O521" s="414" t="s">
        <v>400</v>
      </c>
      <c r="P521" s="222">
        <f t="shared" si="33"/>
        <v>1</v>
      </c>
      <c r="Q521" s="222">
        <f t="shared" si="34"/>
        <v>0</v>
      </c>
      <c r="R521" s="532" t="str">
        <f t="shared" si="35"/>
        <v>Gastos_Gerais</v>
      </c>
      <c r="S521" s="467" t="s">
        <v>310</v>
      </c>
      <c r="T521" s="467" t="s">
        <v>310</v>
      </c>
      <c r="U521" s="496"/>
      <c r="V521" s="496"/>
      <c r="W521" s="496"/>
    </row>
    <row r="522" spans="1:23" ht="48" x14ac:dyDescent="0.2">
      <c r="A522" s="510">
        <f t="shared" si="32"/>
        <v>519</v>
      </c>
      <c r="B522" s="428">
        <v>44586</v>
      </c>
      <c r="C522" s="424">
        <v>44531</v>
      </c>
      <c r="D522" s="415" t="s">
        <v>271</v>
      </c>
      <c r="E522" s="415" t="s">
        <v>92</v>
      </c>
      <c r="F522" s="425">
        <v>-114.88</v>
      </c>
      <c r="G522" s="427" t="s">
        <v>1471</v>
      </c>
      <c r="H522" s="415" t="s">
        <v>309</v>
      </c>
      <c r="I522" s="474" t="s">
        <v>795</v>
      </c>
      <c r="J522" s="434" t="s">
        <v>796</v>
      </c>
      <c r="K522" s="434" t="s">
        <v>797</v>
      </c>
      <c r="L522" s="434" t="s">
        <v>798</v>
      </c>
      <c r="M522" s="436" t="s">
        <v>310</v>
      </c>
      <c r="N522" s="414">
        <v>44586</v>
      </c>
      <c r="O522" s="414" t="s">
        <v>400</v>
      </c>
      <c r="P522" s="222">
        <f t="shared" si="33"/>
        <v>1</v>
      </c>
      <c r="Q522" s="222">
        <f t="shared" si="34"/>
        <v>0</v>
      </c>
      <c r="R522" s="532" t="str">
        <f t="shared" si="35"/>
        <v>Gastos_Gerais</v>
      </c>
      <c r="S522" s="467" t="s">
        <v>310</v>
      </c>
      <c r="T522" s="467" t="s">
        <v>310</v>
      </c>
      <c r="U522" s="496"/>
      <c r="V522" s="496"/>
      <c r="W522" s="496"/>
    </row>
    <row r="523" spans="1:23" ht="48" x14ac:dyDescent="0.2">
      <c r="A523" s="510">
        <f t="shared" si="32"/>
        <v>520</v>
      </c>
      <c r="B523" s="465">
        <v>44586</v>
      </c>
      <c r="C523" s="466">
        <v>44531</v>
      </c>
      <c r="D523" s="415" t="s">
        <v>315</v>
      </c>
      <c r="E523" s="415" t="s">
        <v>315</v>
      </c>
      <c r="F523" s="435">
        <v>9479.66</v>
      </c>
      <c r="G523" s="437" t="s">
        <v>1472</v>
      </c>
      <c r="H523" s="434" t="s">
        <v>310</v>
      </c>
      <c r="I523" s="474" t="s">
        <v>1473</v>
      </c>
      <c r="J523" s="434" t="s">
        <v>796</v>
      </c>
      <c r="K523" s="434" t="s">
        <v>797</v>
      </c>
      <c r="L523" s="434" t="s">
        <v>798</v>
      </c>
      <c r="M523" s="436" t="s">
        <v>310</v>
      </c>
      <c r="N523" s="414">
        <v>44586</v>
      </c>
      <c r="O523" s="414" t="s">
        <v>400</v>
      </c>
      <c r="P523" s="222">
        <f t="shared" si="33"/>
        <v>1</v>
      </c>
      <c r="Q523" s="222">
        <f t="shared" si="34"/>
        <v>0</v>
      </c>
      <c r="R523" s="532" t="str">
        <f t="shared" si="35"/>
        <v>Transferência_para_Reserva_de_Recursos</v>
      </c>
      <c r="S523" s="467" t="s">
        <v>310</v>
      </c>
      <c r="T523" s="467" t="s">
        <v>310</v>
      </c>
      <c r="U523" s="496"/>
      <c r="V523" s="496"/>
      <c r="W523" s="496"/>
    </row>
    <row r="524" spans="1:23" ht="24" x14ac:dyDescent="0.2">
      <c r="A524" s="510">
        <f t="shared" si="32"/>
        <v>521</v>
      </c>
      <c r="B524" s="465">
        <v>44586</v>
      </c>
      <c r="C524" s="466">
        <v>44531</v>
      </c>
      <c r="D524" s="415" t="s">
        <v>182</v>
      </c>
      <c r="E524" s="415" t="s">
        <v>268</v>
      </c>
      <c r="F524" s="435">
        <v>1245.3399999999999</v>
      </c>
      <c r="G524" s="437" t="s">
        <v>1476</v>
      </c>
      <c r="H524" s="434" t="s">
        <v>310</v>
      </c>
      <c r="I524" s="398" t="s">
        <v>1461</v>
      </c>
      <c r="J524" s="434" t="s">
        <v>310</v>
      </c>
      <c r="K524" s="434" t="s">
        <v>1220</v>
      </c>
      <c r="L524" s="434" t="s">
        <v>1368</v>
      </c>
      <c r="M524" s="415" t="s">
        <v>310</v>
      </c>
      <c r="N524" s="414">
        <v>44586</v>
      </c>
      <c r="O524" s="414" t="s">
        <v>400</v>
      </c>
      <c r="P524" s="222">
        <f t="shared" si="33"/>
        <v>1</v>
      </c>
      <c r="Q524" s="222">
        <f t="shared" si="34"/>
        <v>0</v>
      </c>
      <c r="R524" s="532" t="str">
        <f t="shared" si="35"/>
        <v>Gastos_com_Pessoal</v>
      </c>
      <c r="S524" s="467" t="s">
        <v>310</v>
      </c>
      <c r="T524" s="467" t="s">
        <v>310</v>
      </c>
      <c r="U524" s="496"/>
      <c r="V524" s="496"/>
      <c r="W524" s="496"/>
    </row>
    <row r="525" spans="1:23" ht="24" x14ac:dyDescent="0.2">
      <c r="A525" s="510">
        <f t="shared" si="32"/>
        <v>522</v>
      </c>
      <c r="B525" s="465">
        <v>44586</v>
      </c>
      <c r="C525" s="466">
        <v>44531</v>
      </c>
      <c r="D525" s="415" t="s">
        <v>182</v>
      </c>
      <c r="E525" s="415" t="s">
        <v>267</v>
      </c>
      <c r="F525" s="435">
        <v>1959.45</v>
      </c>
      <c r="G525" s="437" t="s">
        <v>1477</v>
      </c>
      <c r="H525" s="434" t="s">
        <v>310</v>
      </c>
      <c r="I525" s="398" t="s">
        <v>1461</v>
      </c>
      <c r="J525" s="434" t="s">
        <v>310</v>
      </c>
      <c r="K525" s="434" t="s">
        <v>1220</v>
      </c>
      <c r="L525" s="434" t="s">
        <v>1368</v>
      </c>
      <c r="M525" s="415" t="s">
        <v>310</v>
      </c>
      <c r="N525" s="414">
        <v>44586</v>
      </c>
      <c r="O525" s="414" t="s">
        <v>400</v>
      </c>
      <c r="P525" s="222">
        <f t="shared" si="33"/>
        <v>1</v>
      </c>
      <c r="Q525" s="222">
        <f t="shared" si="34"/>
        <v>0</v>
      </c>
      <c r="R525" s="532" t="str">
        <f t="shared" si="35"/>
        <v>Gastos_com_Pessoal</v>
      </c>
      <c r="S525" s="467" t="s">
        <v>310</v>
      </c>
      <c r="T525" s="467" t="s">
        <v>310</v>
      </c>
      <c r="U525" s="496"/>
      <c r="V525" s="496"/>
      <c r="W525" s="496"/>
    </row>
    <row r="526" spans="1:23" ht="43.5" customHeight="1" x14ac:dyDescent="0.2">
      <c r="A526" s="510">
        <f t="shared" si="32"/>
        <v>523</v>
      </c>
      <c r="B526" s="465">
        <v>44586</v>
      </c>
      <c r="C526" s="466">
        <v>44531</v>
      </c>
      <c r="D526" s="415" t="s">
        <v>271</v>
      </c>
      <c r="E526" s="415" t="s">
        <v>67</v>
      </c>
      <c r="F526" s="435">
        <v>431</v>
      </c>
      <c r="G526" s="437" t="s">
        <v>1481</v>
      </c>
      <c r="H526" s="434" t="s">
        <v>310</v>
      </c>
      <c r="I526" s="398" t="s">
        <v>1461</v>
      </c>
      <c r="J526" s="434" t="s">
        <v>310</v>
      </c>
      <c r="K526" s="434" t="s">
        <v>1220</v>
      </c>
      <c r="L526" s="434" t="s">
        <v>1368</v>
      </c>
      <c r="M526" s="415" t="s">
        <v>310</v>
      </c>
      <c r="N526" s="414">
        <v>44586</v>
      </c>
      <c r="O526" s="414" t="s">
        <v>400</v>
      </c>
      <c r="P526" s="222">
        <f t="shared" si="33"/>
        <v>1</v>
      </c>
      <c r="Q526" s="222">
        <f t="shared" si="34"/>
        <v>0</v>
      </c>
      <c r="R526" s="532" t="str">
        <f t="shared" si="35"/>
        <v>Gastos_Gerais</v>
      </c>
      <c r="S526" s="467" t="s">
        <v>310</v>
      </c>
      <c r="T526" s="467" t="s">
        <v>310</v>
      </c>
      <c r="U526" s="496"/>
      <c r="V526" s="496"/>
      <c r="W526" s="496"/>
    </row>
    <row r="527" spans="1:23" ht="36" x14ac:dyDescent="0.2">
      <c r="A527" s="510">
        <f t="shared" si="32"/>
        <v>524</v>
      </c>
      <c r="B527" s="465">
        <v>44586</v>
      </c>
      <c r="C527" s="424">
        <v>44562</v>
      </c>
      <c r="D527" s="415" t="s">
        <v>271</v>
      </c>
      <c r="E527" s="415" t="s">
        <v>71</v>
      </c>
      <c r="F527" s="425">
        <v>10.45</v>
      </c>
      <c r="G527" s="427" t="s">
        <v>1490</v>
      </c>
      <c r="H527" s="434" t="s">
        <v>309</v>
      </c>
      <c r="I527" s="398" t="s">
        <v>881</v>
      </c>
      <c r="J527" s="418" t="s">
        <v>882</v>
      </c>
      <c r="K527" s="418" t="s">
        <v>883</v>
      </c>
      <c r="L527" s="399" t="s">
        <v>798</v>
      </c>
      <c r="M527" s="544" t="s">
        <v>310</v>
      </c>
      <c r="N527" s="455">
        <v>44586</v>
      </c>
      <c r="O527" s="414" t="s">
        <v>400</v>
      </c>
      <c r="P527" s="222">
        <f t="shared" si="33"/>
        <v>1</v>
      </c>
      <c r="Q527" s="222">
        <f t="shared" si="34"/>
        <v>1</v>
      </c>
      <c r="R527" s="532" t="str">
        <f t="shared" si="35"/>
        <v>Gastos_Gerais</v>
      </c>
      <c r="S527" s="467" t="s">
        <v>310</v>
      </c>
      <c r="T527" s="467" t="s">
        <v>310</v>
      </c>
      <c r="U527" s="496"/>
      <c r="V527" s="496"/>
      <c r="W527" s="496"/>
    </row>
    <row r="528" spans="1:23" ht="48" x14ac:dyDescent="0.2">
      <c r="A528" s="510">
        <f t="shared" si="32"/>
        <v>525</v>
      </c>
      <c r="B528" s="465">
        <v>44586</v>
      </c>
      <c r="C528" s="424">
        <v>44562</v>
      </c>
      <c r="D528" s="415" t="s">
        <v>468</v>
      </c>
      <c r="E528" s="415" t="s">
        <v>468</v>
      </c>
      <c r="F528" s="425">
        <v>170.58</v>
      </c>
      <c r="G528" s="427" t="s">
        <v>2360</v>
      </c>
      <c r="H528" s="434" t="s">
        <v>468</v>
      </c>
      <c r="I528" s="398" t="s">
        <v>1461</v>
      </c>
      <c r="J528" s="418" t="s">
        <v>310</v>
      </c>
      <c r="K528" s="418" t="s">
        <v>1220</v>
      </c>
      <c r="L528" s="399" t="s">
        <v>1368</v>
      </c>
      <c r="M528" s="544" t="s">
        <v>310</v>
      </c>
      <c r="N528" s="455">
        <v>44586</v>
      </c>
      <c r="O528" s="414" t="s">
        <v>403</v>
      </c>
      <c r="P528" s="222">
        <f t="shared" si="33"/>
        <v>1</v>
      </c>
      <c r="Q528" s="222">
        <f t="shared" si="34"/>
        <v>1</v>
      </c>
      <c r="R528" s="532" t="str">
        <f t="shared" si="35"/>
        <v>Gastos_custeados_por_captação</v>
      </c>
      <c r="S528" s="467" t="s">
        <v>310</v>
      </c>
      <c r="T528" s="467" t="s">
        <v>310</v>
      </c>
      <c r="U528" s="496"/>
      <c r="V528" s="496"/>
      <c r="W528" s="496"/>
    </row>
    <row r="529" spans="1:23" ht="60" x14ac:dyDescent="0.2">
      <c r="A529" s="510">
        <f t="shared" si="32"/>
        <v>526</v>
      </c>
      <c r="B529" s="465">
        <v>44586</v>
      </c>
      <c r="C529" s="424">
        <v>44531</v>
      </c>
      <c r="D529" s="415" t="s">
        <v>468</v>
      </c>
      <c r="E529" s="415" t="s">
        <v>468</v>
      </c>
      <c r="F529" s="425">
        <v>92.4</v>
      </c>
      <c r="G529" s="427" t="s">
        <v>2374</v>
      </c>
      <c r="H529" s="434" t="s">
        <v>468</v>
      </c>
      <c r="I529" s="398" t="s">
        <v>1461</v>
      </c>
      <c r="J529" s="418" t="s">
        <v>310</v>
      </c>
      <c r="K529" s="418" t="s">
        <v>1220</v>
      </c>
      <c r="L529" s="399" t="s">
        <v>1368</v>
      </c>
      <c r="M529" s="544" t="s">
        <v>310</v>
      </c>
      <c r="N529" s="455">
        <v>44586</v>
      </c>
      <c r="O529" s="414" t="s">
        <v>405</v>
      </c>
      <c r="P529" s="222">
        <f t="shared" si="33"/>
        <v>1</v>
      </c>
      <c r="Q529" s="222">
        <f t="shared" si="34"/>
        <v>0</v>
      </c>
      <c r="R529" s="532" t="str">
        <f t="shared" si="35"/>
        <v>Gastos_custeados_por_captação</v>
      </c>
      <c r="S529" s="467" t="s">
        <v>310</v>
      </c>
      <c r="T529" s="467" t="s">
        <v>310</v>
      </c>
      <c r="U529" s="496"/>
      <c r="V529" s="496"/>
      <c r="W529" s="496"/>
    </row>
    <row r="530" spans="1:23" ht="60" x14ac:dyDescent="0.2">
      <c r="A530" s="510">
        <f t="shared" si="32"/>
        <v>527</v>
      </c>
      <c r="B530" s="465">
        <v>44586</v>
      </c>
      <c r="C530" s="424">
        <v>44531</v>
      </c>
      <c r="D530" s="415" t="s">
        <v>468</v>
      </c>
      <c r="E530" s="415" t="s">
        <v>468</v>
      </c>
      <c r="F530" s="425">
        <v>34.119999999999997</v>
      </c>
      <c r="G530" s="427" t="s">
        <v>2374</v>
      </c>
      <c r="H530" s="434" t="s">
        <v>468</v>
      </c>
      <c r="I530" s="398" t="s">
        <v>1461</v>
      </c>
      <c r="J530" s="418" t="s">
        <v>310</v>
      </c>
      <c r="K530" s="418" t="s">
        <v>1220</v>
      </c>
      <c r="L530" s="399" t="s">
        <v>1368</v>
      </c>
      <c r="M530" s="544" t="s">
        <v>310</v>
      </c>
      <c r="N530" s="455">
        <v>44586</v>
      </c>
      <c r="O530" s="414" t="s">
        <v>401</v>
      </c>
      <c r="P530" s="222">
        <f t="shared" si="33"/>
        <v>1</v>
      </c>
      <c r="Q530" s="222">
        <f t="shared" si="34"/>
        <v>0</v>
      </c>
      <c r="R530" s="532" t="str">
        <f t="shared" si="35"/>
        <v>Gastos_custeados_por_captação</v>
      </c>
      <c r="S530" s="467" t="s">
        <v>310</v>
      </c>
      <c r="T530" s="467" t="s">
        <v>310</v>
      </c>
      <c r="U530" s="496"/>
      <c r="V530" s="496"/>
      <c r="W530" s="496"/>
    </row>
    <row r="531" spans="1:23" ht="72" x14ac:dyDescent="0.2">
      <c r="A531" s="510">
        <f t="shared" si="32"/>
        <v>528</v>
      </c>
      <c r="B531" s="465">
        <v>44586</v>
      </c>
      <c r="C531" s="424">
        <v>44531</v>
      </c>
      <c r="D531" s="415" t="s">
        <v>468</v>
      </c>
      <c r="E531" s="415" t="s">
        <v>468</v>
      </c>
      <c r="F531" s="425">
        <v>104.41</v>
      </c>
      <c r="G531" s="427" t="s">
        <v>2374</v>
      </c>
      <c r="H531" s="434" t="s">
        <v>468</v>
      </c>
      <c r="I531" s="398" t="s">
        <v>1461</v>
      </c>
      <c r="J531" s="418" t="s">
        <v>310</v>
      </c>
      <c r="K531" s="418" t="s">
        <v>1220</v>
      </c>
      <c r="L531" s="399" t="s">
        <v>1368</v>
      </c>
      <c r="M531" s="544" t="s">
        <v>310</v>
      </c>
      <c r="N531" s="455">
        <v>44586</v>
      </c>
      <c r="O531" s="414" t="s">
        <v>402</v>
      </c>
      <c r="P531" s="222">
        <f t="shared" si="33"/>
        <v>1</v>
      </c>
      <c r="Q531" s="222">
        <f t="shared" si="34"/>
        <v>0</v>
      </c>
      <c r="R531" s="532" t="str">
        <f t="shared" si="35"/>
        <v>Gastos_custeados_por_captação</v>
      </c>
      <c r="S531" s="467" t="s">
        <v>310</v>
      </c>
      <c r="T531" s="467" t="s">
        <v>310</v>
      </c>
      <c r="U531" s="496"/>
      <c r="V531" s="496"/>
      <c r="W531" s="496"/>
    </row>
    <row r="532" spans="1:23" ht="60" x14ac:dyDescent="0.2">
      <c r="A532" s="510">
        <f t="shared" si="32"/>
        <v>529</v>
      </c>
      <c r="B532" s="465">
        <v>44586</v>
      </c>
      <c r="C532" s="424">
        <v>44531</v>
      </c>
      <c r="D532" s="415" t="s">
        <v>468</v>
      </c>
      <c r="E532" s="415" t="s">
        <v>468</v>
      </c>
      <c r="F532" s="425">
        <v>297.17</v>
      </c>
      <c r="G532" s="427" t="s">
        <v>2374</v>
      </c>
      <c r="H532" s="434" t="s">
        <v>468</v>
      </c>
      <c r="I532" s="398" t="s">
        <v>1461</v>
      </c>
      <c r="J532" s="418" t="s">
        <v>310</v>
      </c>
      <c r="K532" s="418" t="s">
        <v>1220</v>
      </c>
      <c r="L532" s="399" t="s">
        <v>1368</v>
      </c>
      <c r="M532" s="544" t="s">
        <v>310</v>
      </c>
      <c r="N532" s="455">
        <v>44586</v>
      </c>
      <c r="O532" s="414" t="s">
        <v>404</v>
      </c>
      <c r="P532" s="222">
        <f t="shared" si="33"/>
        <v>1</v>
      </c>
      <c r="Q532" s="222">
        <f t="shared" si="34"/>
        <v>0</v>
      </c>
      <c r="R532" s="532" t="str">
        <f t="shared" si="35"/>
        <v>Gastos_custeados_por_captação</v>
      </c>
      <c r="S532" s="467" t="s">
        <v>310</v>
      </c>
      <c r="T532" s="467" t="s">
        <v>310</v>
      </c>
      <c r="U532" s="496"/>
      <c r="V532" s="496"/>
      <c r="W532" s="496"/>
    </row>
    <row r="533" spans="1:23" ht="72" x14ac:dyDescent="0.2">
      <c r="A533" s="510">
        <f t="shared" si="32"/>
        <v>530</v>
      </c>
      <c r="B533" s="465">
        <v>44586</v>
      </c>
      <c r="C533" s="424">
        <v>44531</v>
      </c>
      <c r="D533" s="415" t="s">
        <v>468</v>
      </c>
      <c r="E533" s="415" t="s">
        <v>468</v>
      </c>
      <c r="F533" s="425">
        <v>1091.45</v>
      </c>
      <c r="G533" s="427" t="s">
        <v>2374</v>
      </c>
      <c r="H533" s="434" t="s">
        <v>468</v>
      </c>
      <c r="I533" s="398" t="s">
        <v>1461</v>
      </c>
      <c r="J533" s="418" t="s">
        <v>310</v>
      </c>
      <c r="K533" s="418" t="s">
        <v>1220</v>
      </c>
      <c r="L533" s="399" t="s">
        <v>1368</v>
      </c>
      <c r="M533" s="544" t="s">
        <v>310</v>
      </c>
      <c r="N533" s="455">
        <v>44586</v>
      </c>
      <c r="O533" s="414" t="s">
        <v>407</v>
      </c>
      <c r="P533" s="222">
        <f t="shared" si="33"/>
        <v>1</v>
      </c>
      <c r="Q533" s="222">
        <f t="shared" si="34"/>
        <v>0</v>
      </c>
      <c r="R533" s="532" t="str">
        <f t="shared" si="35"/>
        <v>Gastos_custeados_por_captação</v>
      </c>
      <c r="S533" s="467" t="s">
        <v>310</v>
      </c>
      <c r="T533" s="467" t="s">
        <v>310</v>
      </c>
      <c r="U533" s="496"/>
      <c r="V533" s="496"/>
      <c r="W533" s="496"/>
    </row>
    <row r="534" spans="1:23" ht="48" x14ac:dyDescent="0.2">
      <c r="A534" s="510">
        <f t="shared" si="32"/>
        <v>531</v>
      </c>
      <c r="B534" s="465">
        <v>44586</v>
      </c>
      <c r="C534" s="466">
        <v>44562</v>
      </c>
      <c r="D534" s="415" t="s">
        <v>271</v>
      </c>
      <c r="E534" s="415" t="s">
        <v>453</v>
      </c>
      <c r="F534" s="435">
        <v>600</v>
      </c>
      <c r="G534" s="437" t="s">
        <v>712</v>
      </c>
      <c r="H534" s="434" t="s">
        <v>751</v>
      </c>
      <c r="I534" s="474" t="s">
        <v>1474</v>
      </c>
      <c r="J534" s="434" t="s">
        <v>1475</v>
      </c>
      <c r="K534" s="434" t="s">
        <v>806</v>
      </c>
      <c r="L534" s="434" t="s">
        <v>807</v>
      </c>
      <c r="M534" s="415" t="s">
        <v>842</v>
      </c>
      <c r="N534" s="414">
        <v>44585</v>
      </c>
      <c r="O534" s="414" t="s">
        <v>400</v>
      </c>
      <c r="P534" s="222">
        <f t="shared" si="33"/>
        <v>1</v>
      </c>
      <c r="Q534" s="222">
        <f t="shared" si="34"/>
        <v>1</v>
      </c>
      <c r="R534" s="532" t="str">
        <f t="shared" si="35"/>
        <v>Gastos_Gerais</v>
      </c>
      <c r="S534" s="467" t="s">
        <v>998</v>
      </c>
      <c r="T534" s="467">
        <v>2786</v>
      </c>
      <c r="U534" s="496"/>
      <c r="V534" s="496"/>
      <c r="W534" s="496"/>
    </row>
    <row r="535" spans="1:23" ht="72" x14ac:dyDescent="0.2">
      <c r="A535" s="510">
        <f t="shared" si="32"/>
        <v>532</v>
      </c>
      <c r="B535" s="465">
        <v>44586</v>
      </c>
      <c r="C535" s="431">
        <v>44531</v>
      </c>
      <c r="D535" s="415" t="s">
        <v>468</v>
      </c>
      <c r="E535" s="415" t="s">
        <v>468</v>
      </c>
      <c r="F535" s="425">
        <v>2000</v>
      </c>
      <c r="G535" s="427" t="s">
        <v>687</v>
      </c>
      <c r="H535" s="434" t="s">
        <v>468</v>
      </c>
      <c r="I535" s="398" t="s">
        <v>2816</v>
      </c>
      <c r="J535" s="418" t="s">
        <v>1114</v>
      </c>
      <c r="K535" s="418" t="s">
        <v>830</v>
      </c>
      <c r="L535" s="399" t="s">
        <v>807</v>
      </c>
      <c r="M535" s="544">
        <v>20223</v>
      </c>
      <c r="N535" s="455">
        <v>44585</v>
      </c>
      <c r="O535" s="414" t="s">
        <v>407</v>
      </c>
      <c r="P535" s="222">
        <f t="shared" si="33"/>
        <v>1</v>
      </c>
      <c r="Q535" s="222">
        <f t="shared" si="34"/>
        <v>0</v>
      </c>
      <c r="R535" s="532" t="str">
        <f t="shared" si="35"/>
        <v>Gastos_custeados_por_captação</v>
      </c>
      <c r="S535" s="467" t="s">
        <v>998</v>
      </c>
      <c r="T535" s="467">
        <v>2650</v>
      </c>
      <c r="U535" s="496"/>
      <c r="V535" s="496"/>
      <c r="W535" s="496"/>
    </row>
    <row r="536" spans="1:23" ht="24" x14ac:dyDescent="0.2">
      <c r="A536" s="510">
        <f t="shared" si="32"/>
        <v>533</v>
      </c>
      <c r="B536" s="428">
        <v>44586</v>
      </c>
      <c r="C536" s="424">
        <v>44562</v>
      </c>
      <c r="D536" s="415" t="s">
        <v>271</v>
      </c>
      <c r="E536" s="415" t="s">
        <v>84</v>
      </c>
      <c r="F536" s="435">
        <v>89.25</v>
      </c>
      <c r="G536" s="437" t="s">
        <v>1479</v>
      </c>
      <c r="H536" s="434" t="s">
        <v>750</v>
      </c>
      <c r="I536" s="474" t="s">
        <v>766</v>
      </c>
      <c r="J536" s="434" t="s">
        <v>1019</v>
      </c>
      <c r="K536" s="434" t="s">
        <v>1392</v>
      </c>
      <c r="L536" s="434" t="s">
        <v>1372</v>
      </c>
      <c r="M536" s="415" t="s">
        <v>1480</v>
      </c>
      <c r="N536" s="414">
        <v>44577</v>
      </c>
      <c r="O536" s="414" t="s">
        <v>400</v>
      </c>
      <c r="P536" s="222">
        <f t="shared" si="33"/>
        <v>1</v>
      </c>
      <c r="Q536" s="222">
        <f t="shared" si="34"/>
        <v>1</v>
      </c>
      <c r="R536" s="532" t="str">
        <f t="shared" si="35"/>
        <v>Gastos_Gerais</v>
      </c>
      <c r="S536" s="467" t="s">
        <v>310</v>
      </c>
      <c r="T536" s="467" t="s">
        <v>310</v>
      </c>
      <c r="U536" s="496"/>
      <c r="V536" s="496"/>
      <c r="W536" s="496"/>
    </row>
    <row r="537" spans="1:23" ht="132" x14ac:dyDescent="0.2">
      <c r="A537" s="510">
        <f t="shared" si="32"/>
        <v>534</v>
      </c>
      <c r="B537" s="465">
        <v>44586</v>
      </c>
      <c r="C537" s="466">
        <v>44531</v>
      </c>
      <c r="D537" s="415" t="s">
        <v>271</v>
      </c>
      <c r="E537" s="415" t="s">
        <v>92</v>
      </c>
      <c r="F537" s="435">
        <v>435</v>
      </c>
      <c r="G537" s="437" t="s">
        <v>473</v>
      </c>
      <c r="H537" s="434" t="s">
        <v>309</v>
      </c>
      <c r="I537" s="460" t="s">
        <v>1488</v>
      </c>
      <c r="J537" s="418" t="s">
        <v>1078</v>
      </c>
      <c r="K537" s="418" t="s">
        <v>1353</v>
      </c>
      <c r="L537" s="399" t="s">
        <v>1489</v>
      </c>
      <c r="M537" s="415">
        <v>22012</v>
      </c>
      <c r="N537" s="414">
        <v>44572</v>
      </c>
      <c r="O537" s="414" t="s">
        <v>400</v>
      </c>
      <c r="P537" s="222">
        <f t="shared" si="33"/>
        <v>1</v>
      </c>
      <c r="Q537" s="222">
        <f t="shared" si="34"/>
        <v>0</v>
      </c>
      <c r="R537" s="532" t="str">
        <f t="shared" si="35"/>
        <v>Gastos_Gerais</v>
      </c>
      <c r="S537" s="467" t="s">
        <v>998</v>
      </c>
      <c r="T537" s="467">
        <v>1117</v>
      </c>
      <c r="U537" s="496"/>
      <c r="V537" s="496"/>
      <c r="W537" s="496"/>
    </row>
    <row r="538" spans="1:23" ht="24" x14ac:dyDescent="0.2">
      <c r="A538" s="510">
        <f t="shared" si="32"/>
        <v>535</v>
      </c>
      <c r="B538" s="465">
        <v>44586</v>
      </c>
      <c r="C538" s="466">
        <v>44531</v>
      </c>
      <c r="D538" s="415" t="s">
        <v>271</v>
      </c>
      <c r="E538" s="415" t="s">
        <v>164</v>
      </c>
      <c r="F538" s="435">
        <v>774</v>
      </c>
      <c r="G538" s="437" t="s">
        <v>1403</v>
      </c>
      <c r="H538" s="434" t="s">
        <v>309</v>
      </c>
      <c r="I538" s="474" t="s">
        <v>769</v>
      </c>
      <c r="J538" s="434" t="s">
        <v>1478</v>
      </c>
      <c r="K538" s="434" t="s">
        <v>1404</v>
      </c>
      <c r="L538" s="434" t="s">
        <v>1372</v>
      </c>
      <c r="M538" s="415">
        <v>4635251928</v>
      </c>
      <c r="N538" s="414">
        <v>44568</v>
      </c>
      <c r="O538" s="414" t="s">
        <v>400</v>
      </c>
      <c r="P538" s="222">
        <f t="shared" si="33"/>
        <v>1</v>
      </c>
      <c r="Q538" s="222">
        <f t="shared" si="34"/>
        <v>0</v>
      </c>
      <c r="R538" s="532" t="str">
        <f t="shared" si="35"/>
        <v>Gastos_Gerais</v>
      </c>
      <c r="S538" s="467" t="s">
        <v>310</v>
      </c>
      <c r="T538" s="467" t="s">
        <v>310</v>
      </c>
      <c r="U538" s="496"/>
      <c r="V538" s="496"/>
      <c r="W538" s="496"/>
    </row>
    <row r="539" spans="1:23" ht="96" x14ac:dyDescent="0.2">
      <c r="A539" s="510">
        <f t="shared" si="32"/>
        <v>536</v>
      </c>
      <c r="B539" s="465">
        <v>44586</v>
      </c>
      <c r="C539" s="466">
        <v>44531</v>
      </c>
      <c r="D539" s="415" t="s">
        <v>271</v>
      </c>
      <c r="E539" s="415" t="s">
        <v>456</v>
      </c>
      <c r="F539" s="435">
        <v>242.84</v>
      </c>
      <c r="G539" s="437" t="s">
        <v>649</v>
      </c>
      <c r="H539" s="434" t="s">
        <v>760</v>
      </c>
      <c r="I539" s="474" t="s">
        <v>1482</v>
      </c>
      <c r="J539" s="434" t="s">
        <v>1074</v>
      </c>
      <c r="K539" s="434" t="s">
        <v>812</v>
      </c>
      <c r="L539" s="434" t="s">
        <v>807</v>
      </c>
      <c r="M539" s="415">
        <v>282985</v>
      </c>
      <c r="N539" s="414">
        <v>44558</v>
      </c>
      <c r="O539" s="414" t="s">
        <v>400</v>
      </c>
      <c r="P539" s="222">
        <f t="shared" si="33"/>
        <v>1</v>
      </c>
      <c r="Q539" s="222">
        <f t="shared" si="34"/>
        <v>0</v>
      </c>
      <c r="R539" s="532" t="str">
        <f t="shared" si="35"/>
        <v>Gastos_Gerais</v>
      </c>
      <c r="S539" s="467" t="s">
        <v>1303</v>
      </c>
      <c r="T539" s="467">
        <v>2688</v>
      </c>
      <c r="U539" s="496"/>
      <c r="V539" s="496"/>
      <c r="W539" s="496"/>
    </row>
    <row r="540" spans="1:23" ht="36" x14ac:dyDescent="0.2">
      <c r="A540" s="510">
        <f t="shared" si="32"/>
        <v>537</v>
      </c>
      <c r="B540" s="465">
        <v>44587</v>
      </c>
      <c r="C540" s="424">
        <v>44562</v>
      </c>
      <c r="D540" s="415" t="s">
        <v>271</v>
      </c>
      <c r="E540" s="415" t="s">
        <v>71</v>
      </c>
      <c r="F540" s="425">
        <v>10.45</v>
      </c>
      <c r="G540" s="427" t="s">
        <v>1492</v>
      </c>
      <c r="H540" s="434" t="s">
        <v>755</v>
      </c>
      <c r="I540" s="398" t="s">
        <v>881</v>
      </c>
      <c r="J540" s="418" t="s">
        <v>882</v>
      </c>
      <c r="K540" s="418" t="s">
        <v>883</v>
      </c>
      <c r="L540" s="399" t="s">
        <v>798</v>
      </c>
      <c r="M540" s="544" t="s">
        <v>310</v>
      </c>
      <c r="N540" s="455">
        <v>44587</v>
      </c>
      <c r="O540" s="414" t="s">
        <v>400</v>
      </c>
      <c r="P540" s="222">
        <f t="shared" si="33"/>
        <v>1</v>
      </c>
      <c r="Q540" s="222">
        <f t="shared" si="34"/>
        <v>1</v>
      </c>
      <c r="R540" s="532" t="str">
        <f t="shared" si="35"/>
        <v>Gastos_Gerais</v>
      </c>
      <c r="S540" s="467" t="s">
        <v>310</v>
      </c>
      <c r="T540" s="467" t="s">
        <v>310</v>
      </c>
      <c r="U540" s="496"/>
      <c r="V540" s="496"/>
      <c r="W540" s="496"/>
    </row>
    <row r="541" spans="1:23" ht="60" x14ac:dyDescent="0.2">
      <c r="A541" s="510">
        <f t="shared" si="32"/>
        <v>538</v>
      </c>
      <c r="B541" s="465">
        <v>44587</v>
      </c>
      <c r="C541" s="431">
        <v>44562</v>
      </c>
      <c r="D541" s="415" t="s">
        <v>468</v>
      </c>
      <c r="E541" s="415" t="s">
        <v>468</v>
      </c>
      <c r="F541" s="541">
        <v>2462.5500000000002</v>
      </c>
      <c r="G541" s="427" t="s">
        <v>714</v>
      </c>
      <c r="H541" s="434" t="s">
        <v>468</v>
      </c>
      <c r="I541" s="398" t="s">
        <v>2529</v>
      </c>
      <c r="J541" s="418" t="s">
        <v>1138</v>
      </c>
      <c r="K541" s="418" t="s">
        <v>830</v>
      </c>
      <c r="L541" s="399" t="s">
        <v>839</v>
      </c>
      <c r="M541" s="544">
        <v>1546</v>
      </c>
      <c r="N541" s="455">
        <v>44586</v>
      </c>
      <c r="O541" s="414" t="s">
        <v>401</v>
      </c>
      <c r="P541" s="222">
        <f t="shared" si="33"/>
        <v>1</v>
      </c>
      <c r="Q541" s="222">
        <f t="shared" si="34"/>
        <v>1</v>
      </c>
      <c r="R541" s="532" t="str">
        <f t="shared" si="35"/>
        <v>Gastos_custeados_por_captação</v>
      </c>
      <c r="S541" s="467" t="s">
        <v>1000</v>
      </c>
      <c r="T541" s="467">
        <v>2719</v>
      </c>
      <c r="U541" s="496"/>
      <c r="V541" s="496"/>
      <c r="W541" s="496"/>
    </row>
    <row r="542" spans="1:23" ht="36" x14ac:dyDescent="0.2">
      <c r="A542" s="510">
        <f t="shared" si="32"/>
        <v>539</v>
      </c>
      <c r="B542" s="465">
        <v>44587</v>
      </c>
      <c r="C542" s="466">
        <v>44501</v>
      </c>
      <c r="D542" s="415" t="s">
        <v>271</v>
      </c>
      <c r="E542" s="415" t="s">
        <v>452</v>
      </c>
      <c r="F542" s="435">
        <v>2352</v>
      </c>
      <c r="G542" s="437" t="s">
        <v>584</v>
      </c>
      <c r="H542" s="434" t="s">
        <v>755</v>
      </c>
      <c r="I542" s="474" t="s">
        <v>1491</v>
      </c>
      <c r="J542" s="434" t="s">
        <v>1052</v>
      </c>
      <c r="K542" s="434" t="s">
        <v>830</v>
      </c>
      <c r="L542" s="434" t="s">
        <v>807</v>
      </c>
      <c r="M542" s="415">
        <v>122</v>
      </c>
      <c r="N542" s="414">
        <v>44532</v>
      </c>
      <c r="O542" s="414" t="s">
        <v>400</v>
      </c>
      <c r="P542" s="222">
        <f t="shared" si="33"/>
        <v>1</v>
      </c>
      <c r="Q542" s="222">
        <f t="shared" si="34"/>
        <v>-1</v>
      </c>
      <c r="R542" s="532" t="str">
        <f t="shared" si="35"/>
        <v>Gastos_Gerais</v>
      </c>
      <c r="S542" s="467" t="s">
        <v>998</v>
      </c>
      <c r="T542" s="467">
        <v>2394</v>
      </c>
      <c r="U542" s="496"/>
      <c r="V542" s="496"/>
      <c r="W542" s="496"/>
    </row>
    <row r="543" spans="1:23" ht="24" x14ac:dyDescent="0.2">
      <c r="A543" s="510">
        <f t="shared" si="32"/>
        <v>540</v>
      </c>
      <c r="B543" s="465">
        <v>44588</v>
      </c>
      <c r="C543" s="466">
        <v>44562</v>
      </c>
      <c r="D543" s="415" t="s">
        <v>182</v>
      </c>
      <c r="E543" s="415" t="s">
        <v>6</v>
      </c>
      <c r="F543" s="425">
        <v>19769.419999999998</v>
      </c>
      <c r="G543" s="440" t="s">
        <v>1494</v>
      </c>
      <c r="H543" s="415" t="s">
        <v>310</v>
      </c>
      <c r="I543" s="398" t="s">
        <v>1486</v>
      </c>
      <c r="J543" s="418" t="s">
        <v>1487</v>
      </c>
      <c r="K543" s="418" t="s">
        <v>812</v>
      </c>
      <c r="L543" s="399" t="s">
        <v>807</v>
      </c>
      <c r="M543" s="415">
        <v>68914</v>
      </c>
      <c r="N543" s="414">
        <v>44595</v>
      </c>
      <c r="O543" s="414" t="s">
        <v>400</v>
      </c>
      <c r="P543" s="222">
        <f t="shared" si="33"/>
        <v>1</v>
      </c>
      <c r="Q543" s="222">
        <f t="shared" si="34"/>
        <v>1</v>
      </c>
      <c r="R543" s="532" t="str">
        <f t="shared" si="35"/>
        <v>Gastos_com_Pessoal</v>
      </c>
      <c r="S543" s="467" t="s">
        <v>310</v>
      </c>
      <c r="T543" s="467" t="s">
        <v>310</v>
      </c>
      <c r="U543" s="496"/>
      <c r="V543" s="496"/>
      <c r="W543" s="496"/>
    </row>
    <row r="544" spans="1:23" ht="24" x14ac:dyDescent="0.2">
      <c r="A544" s="510">
        <f t="shared" si="32"/>
        <v>541</v>
      </c>
      <c r="B544" s="465">
        <v>44588</v>
      </c>
      <c r="C544" s="466">
        <v>44562</v>
      </c>
      <c r="D544" s="415" t="s">
        <v>182</v>
      </c>
      <c r="E544" s="415" t="s">
        <v>6</v>
      </c>
      <c r="F544" s="435">
        <v>3299.21</v>
      </c>
      <c r="G544" s="440" t="s">
        <v>1493</v>
      </c>
      <c r="H544" s="434" t="s">
        <v>310</v>
      </c>
      <c r="I544" s="460" t="s">
        <v>1486</v>
      </c>
      <c r="J544" s="418" t="s">
        <v>1487</v>
      </c>
      <c r="K544" s="418" t="s">
        <v>812</v>
      </c>
      <c r="L544" s="399" t="s">
        <v>807</v>
      </c>
      <c r="M544" s="415">
        <v>30544</v>
      </c>
      <c r="N544" s="414">
        <v>44594</v>
      </c>
      <c r="O544" s="414" t="s">
        <v>400</v>
      </c>
      <c r="P544" s="222">
        <f t="shared" si="33"/>
        <v>1</v>
      </c>
      <c r="Q544" s="222">
        <f t="shared" si="34"/>
        <v>1</v>
      </c>
      <c r="R544" s="532" t="str">
        <f t="shared" si="35"/>
        <v>Gastos_com_Pessoal</v>
      </c>
      <c r="S544" s="467" t="s">
        <v>310</v>
      </c>
      <c r="T544" s="467" t="s">
        <v>310</v>
      </c>
      <c r="U544" s="496"/>
      <c r="V544" s="496"/>
      <c r="W544" s="496"/>
    </row>
    <row r="545" spans="1:23" ht="24" x14ac:dyDescent="0.2">
      <c r="A545" s="510">
        <f t="shared" si="32"/>
        <v>542</v>
      </c>
      <c r="B545" s="465">
        <v>44588</v>
      </c>
      <c r="C545" s="466">
        <v>44562</v>
      </c>
      <c r="D545" s="415" t="s">
        <v>182</v>
      </c>
      <c r="E545" s="415" t="s">
        <v>161</v>
      </c>
      <c r="F545" s="425">
        <v>236.22</v>
      </c>
      <c r="G545" s="427" t="s">
        <v>1495</v>
      </c>
      <c r="H545" s="415" t="s">
        <v>310</v>
      </c>
      <c r="I545" s="473" t="s">
        <v>1496</v>
      </c>
      <c r="J545" s="548" t="s">
        <v>1497</v>
      </c>
      <c r="K545" s="415" t="s">
        <v>812</v>
      </c>
      <c r="L545" s="415" t="s">
        <v>807</v>
      </c>
      <c r="M545" s="415" t="s">
        <v>2322</v>
      </c>
      <c r="N545" s="414">
        <v>44589</v>
      </c>
      <c r="O545" s="414" t="s">
        <v>400</v>
      </c>
      <c r="P545" s="222">
        <f t="shared" si="33"/>
        <v>1</v>
      </c>
      <c r="Q545" s="222">
        <f t="shared" si="34"/>
        <v>1</v>
      </c>
      <c r="R545" s="532" t="str">
        <f t="shared" si="35"/>
        <v>Gastos_com_Pessoal</v>
      </c>
      <c r="S545" s="467" t="s">
        <v>310</v>
      </c>
      <c r="T545" s="467" t="s">
        <v>310</v>
      </c>
      <c r="U545" s="496"/>
      <c r="V545" s="496"/>
      <c r="W545" s="496"/>
    </row>
    <row r="546" spans="1:23" ht="36" x14ac:dyDescent="0.2">
      <c r="A546" s="510">
        <f t="shared" si="32"/>
        <v>543</v>
      </c>
      <c r="B546" s="428">
        <v>44588</v>
      </c>
      <c r="C546" s="424">
        <v>44562</v>
      </c>
      <c r="D546" s="415" t="s">
        <v>271</v>
      </c>
      <c r="E546" s="415" t="s">
        <v>456</v>
      </c>
      <c r="F546" s="425">
        <v>266</v>
      </c>
      <c r="G546" s="427" t="s">
        <v>1004</v>
      </c>
      <c r="H546" s="415" t="s">
        <v>749</v>
      </c>
      <c r="I546" s="473" t="s">
        <v>1498</v>
      </c>
      <c r="J546" s="415" t="s">
        <v>1006</v>
      </c>
      <c r="K546" s="415" t="s">
        <v>812</v>
      </c>
      <c r="L546" s="415" t="s">
        <v>807</v>
      </c>
      <c r="M546" s="415" t="s">
        <v>2323</v>
      </c>
      <c r="N546" s="414">
        <v>44589</v>
      </c>
      <c r="O546" s="414" t="s">
        <v>400</v>
      </c>
      <c r="P546" s="222">
        <f t="shared" si="33"/>
        <v>1</v>
      </c>
      <c r="Q546" s="222">
        <f t="shared" si="34"/>
        <v>1</v>
      </c>
      <c r="R546" s="532" t="str">
        <f t="shared" si="35"/>
        <v>Gastos_Gerais</v>
      </c>
      <c r="S546" s="467" t="s">
        <v>1303</v>
      </c>
      <c r="T546" s="467">
        <v>2819</v>
      </c>
      <c r="U546" s="496"/>
      <c r="V546" s="496"/>
      <c r="W546" s="496"/>
    </row>
    <row r="547" spans="1:23" ht="48" x14ac:dyDescent="0.2">
      <c r="A547" s="510">
        <f t="shared" si="32"/>
        <v>544</v>
      </c>
      <c r="B547" s="428">
        <v>44588</v>
      </c>
      <c r="C547" s="424">
        <v>44531</v>
      </c>
      <c r="D547" s="415" t="s">
        <v>271</v>
      </c>
      <c r="E547" s="415" t="s">
        <v>91</v>
      </c>
      <c r="F547" s="435">
        <v>-12.71</v>
      </c>
      <c r="G547" s="440" t="s">
        <v>1508</v>
      </c>
      <c r="H547" s="434" t="s">
        <v>309</v>
      </c>
      <c r="I547" s="474" t="s">
        <v>795</v>
      </c>
      <c r="J547" s="434" t="s">
        <v>796</v>
      </c>
      <c r="K547" s="434" t="s">
        <v>797</v>
      </c>
      <c r="L547" s="434" t="s">
        <v>798</v>
      </c>
      <c r="M547" s="436" t="s">
        <v>310</v>
      </c>
      <c r="N547" s="414">
        <v>44588</v>
      </c>
      <c r="O547" s="414" t="s">
        <v>400</v>
      </c>
      <c r="P547" s="222">
        <f t="shared" si="33"/>
        <v>1</v>
      </c>
      <c r="Q547" s="222">
        <f t="shared" si="34"/>
        <v>0</v>
      </c>
      <c r="R547" s="532" t="str">
        <f t="shared" si="35"/>
        <v>Gastos_Gerais</v>
      </c>
      <c r="S547" s="467" t="s">
        <v>310</v>
      </c>
      <c r="T547" s="467" t="s">
        <v>310</v>
      </c>
      <c r="U547" s="496"/>
      <c r="V547" s="496"/>
      <c r="W547" s="496"/>
    </row>
    <row r="548" spans="1:23" ht="36" x14ac:dyDescent="0.2">
      <c r="A548" s="510">
        <f t="shared" si="32"/>
        <v>545</v>
      </c>
      <c r="B548" s="428">
        <v>44588</v>
      </c>
      <c r="C548" s="424">
        <v>44562</v>
      </c>
      <c r="D548" s="415" t="s">
        <v>271</v>
      </c>
      <c r="E548" s="415" t="s">
        <v>71</v>
      </c>
      <c r="F548" s="425">
        <v>10.45</v>
      </c>
      <c r="G548" s="427" t="s">
        <v>1506</v>
      </c>
      <c r="H548" s="415" t="s">
        <v>748</v>
      </c>
      <c r="I548" s="398" t="s">
        <v>881</v>
      </c>
      <c r="J548" s="418" t="s">
        <v>882</v>
      </c>
      <c r="K548" s="418" t="s">
        <v>883</v>
      </c>
      <c r="L548" s="399" t="s">
        <v>798</v>
      </c>
      <c r="M548" s="544" t="s">
        <v>310</v>
      </c>
      <c r="N548" s="414">
        <v>44588</v>
      </c>
      <c r="O548" s="414" t="s">
        <v>400</v>
      </c>
      <c r="P548" s="222">
        <f t="shared" si="33"/>
        <v>1</v>
      </c>
      <c r="Q548" s="222">
        <f t="shared" si="34"/>
        <v>1</v>
      </c>
      <c r="R548" s="532" t="str">
        <f t="shared" si="35"/>
        <v>Gastos_Gerais</v>
      </c>
      <c r="S548" s="467" t="s">
        <v>310</v>
      </c>
      <c r="T548" s="467" t="s">
        <v>310</v>
      </c>
      <c r="U548" s="496"/>
      <c r="V548" s="496"/>
      <c r="W548" s="496"/>
    </row>
    <row r="549" spans="1:23" ht="36" x14ac:dyDescent="0.2">
      <c r="A549" s="510">
        <f t="shared" si="32"/>
        <v>546</v>
      </c>
      <c r="B549" s="428">
        <v>44588</v>
      </c>
      <c r="C549" s="424">
        <v>44562</v>
      </c>
      <c r="D549" s="415" t="s">
        <v>271</v>
      </c>
      <c r="E549" s="415" t="s">
        <v>71</v>
      </c>
      <c r="F549" s="425">
        <v>10.45</v>
      </c>
      <c r="G549" s="427" t="s">
        <v>1507</v>
      </c>
      <c r="H549" s="415" t="s">
        <v>752</v>
      </c>
      <c r="I549" s="398" t="s">
        <v>881</v>
      </c>
      <c r="J549" s="418" t="s">
        <v>882</v>
      </c>
      <c r="K549" s="418" t="s">
        <v>883</v>
      </c>
      <c r="L549" s="399" t="s">
        <v>798</v>
      </c>
      <c r="M549" s="544" t="s">
        <v>310</v>
      </c>
      <c r="N549" s="414">
        <v>44588</v>
      </c>
      <c r="O549" s="414" t="s">
        <v>400</v>
      </c>
      <c r="P549" s="222">
        <f t="shared" si="33"/>
        <v>1</v>
      </c>
      <c r="Q549" s="222">
        <f t="shared" si="34"/>
        <v>1</v>
      </c>
      <c r="R549" s="532" t="str">
        <f t="shared" si="35"/>
        <v>Gastos_Gerais</v>
      </c>
      <c r="S549" s="467" t="s">
        <v>310</v>
      </c>
      <c r="T549" s="467" t="s">
        <v>310</v>
      </c>
      <c r="U549" s="496"/>
      <c r="V549" s="496"/>
      <c r="W549" s="496"/>
    </row>
    <row r="550" spans="1:23" ht="72" x14ac:dyDescent="0.2">
      <c r="A550" s="510">
        <f t="shared" si="32"/>
        <v>547</v>
      </c>
      <c r="B550" s="428">
        <v>44588</v>
      </c>
      <c r="C550" s="424">
        <v>44531</v>
      </c>
      <c r="D550" s="415" t="s">
        <v>468</v>
      </c>
      <c r="E550" s="415" t="s">
        <v>468</v>
      </c>
      <c r="F550" s="425">
        <v>4494.3599999999997</v>
      </c>
      <c r="G550" s="427" t="s">
        <v>2624</v>
      </c>
      <c r="H550" s="415" t="s">
        <v>468</v>
      </c>
      <c r="I550" s="398" t="s">
        <v>2625</v>
      </c>
      <c r="J550" s="418" t="s">
        <v>2626</v>
      </c>
      <c r="K550" s="418" t="s">
        <v>830</v>
      </c>
      <c r="L550" s="399" t="s">
        <v>1305</v>
      </c>
      <c r="M550" s="544" t="s">
        <v>310</v>
      </c>
      <c r="N550" s="414">
        <v>44588</v>
      </c>
      <c r="O550" s="414" t="s">
        <v>402</v>
      </c>
      <c r="P550" s="222">
        <f t="shared" si="33"/>
        <v>1</v>
      </c>
      <c r="Q550" s="222">
        <f t="shared" si="34"/>
        <v>0</v>
      </c>
      <c r="R550" s="532" t="str">
        <f t="shared" si="35"/>
        <v>Gastos_custeados_por_captação</v>
      </c>
      <c r="S550" s="467" t="s">
        <v>998</v>
      </c>
      <c r="T550" s="467">
        <v>2608</v>
      </c>
      <c r="U550" s="496"/>
      <c r="V550" s="496"/>
      <c r="W550" s="496"/>
    </row>
    <row r="551" spans="1:23" ht="48" x14ac:dyDescent="0.2">
      <c r="A551" s="510">
        <f t="shared" si="32"/>
        <v>548</v>
      </c>
      <c r="B551" s="428">
        <v>44588</v>
      </c>
      <c r="C551" s="424">
        <v>44562</v>
      </c>
      <c r="D551" s="415" t="s">
        <v>271</v>
      </c>
      <c r="E551" s="415" t="s">
        <v>453</v>
      </c>
      <c r="F551" s="425">
        <v>1068</v>
      </c>
      <c r="G551" s="427" t="s">
        <v>1499</v>
      </c>
      <c r="H551" s="415" t="s">
        <v>748</v>
      </c>
      <c r="I551" s="473" t="s">
        <v>1500</v>
      </c>
      <c r="J551" s="415" t="s">
        <v>1501</v>
      </c>
      <c r="K551" s="415" t="s">
        <v>830</v>
      </c>
      <c r="L551" s="415" t="s">
        <v>839</v>
      </c>
      <c r="M551" s="415">
        <v>1547</v>
      </c>
      <c r="N551" s="414">
        <v>44587</v>
      </c>
      <c r="O551" s="414" t="s">
        <v>400</v>
      </c>
      <c r="P551" s="222">
        <f t="shared" si="33"/>
        <v>1</v>
      </c>
      <c r="Q551" s="222">
        <f t="shared" si="34"/>
        <v>1</v>
      </c>
      <c r="R551" s="532" t="str">
        <f t="shared" si="35"/>
        <v>Gastos_Gerais</v>
      </c>
      <c r="S551" s="467" t="s">
        <v>998</v>
      </c>
      <c r="T551" s="467">
        <v>2754</v>
      </c>
      <c r="U551" s="496"/>
      <c r="V551" s="496"/>
      <c r="W551" s="496"/>
    </row>
    <row r="552" spans="1:23" ht="24" x14ac:dyDescent="0.2">
      <c r="A552" s="510">
        <f t="shared" si="32"/>
        <v>549</v>
      </c>
      <c r="B552" s="428">
        <v>44588</v>
      </c>
      <c r="C552" s="424">
        <v>44531</v>
      </c>
      <c r="D552" s="415" t="s">
        <v>271</v>
      </c>
      <c r="E552" s="415" t="s">
        <v>467</v>
      </c>
      <c r="F552" s="425">
        <v>3860</v>
      </c>
      <c r="G552" s="427" t="s">
        <v>620</v>
      </c>
      <c r="H552" s="415" t="s">
        <v>752</v>
      </c>
      <c r="I552" s="473" t="s">
        <v>1307</v>
      </c>
      <c r="J552" s="415" t="s">
        <v>1055</v>
      </c>
      <c r="K552" s="415" t="s">
        <v>830</v>
      </c>
      <c r="L552" s="415" t="s">
        <v>807</v>
      </c>
      <c r="M552" s="415" t="s">
        <v>1503</v>
      </c>
      <c r="N552" s="414">
        <v>44573</v>
      </c>
      <c r="O552" s="414" t="s">
        <v>400</v>
      </c>
      <c r="P552" s="222">
        <f t="shared" si="33"/>
        <v>1</v>
      </c>
      <c r="Q552" s="222">
        <f t="shared" si="34"/>
        <v>0</v>
      </c>
      <c r="R552" s="532" t="str">
        <f t="shared" si="35"/>
        <v>Gastos_Gerais</v>
      </c>
      <c r="S552" s="467" t="s">
        <v>998</v>
      </c>
      <c r="T552" s="467">
        <v>2571</v>
      </c>
      <c r="U552" s="496"/>
      <c r="V552" s="496"/>
      <c r="W552" s="496"/>
    </row>
    <row r="553" spans="1:23" ht="48" x14ac:dyDescent="0.2">
      <c r="A553" s="510">
        <f t="shared" si="32"/>
        <v>550</v>
      </c>
      <c r="B553" s="428">
        <v>44588</v>
      </c>
      <c r="C553" s="424">
        <v>44531</v>
      </c>
      <c r="D553" s="415" t="s">
        <v>271</v>
      </c>
      <c r="E553" s="415" t="s">
        <v>91</v>
      </c>
      <c r="F553" s="425">
        <v>540.11</v>
      </c>
      <c r="G553" s="427" t="s">
        <v>471</v>
      </c>
      <c r="H553" s="415" t="s">
        <v>309</v>
      </c>
      <c r="I553" s="473" t="s">
        <v>1505</v>
      </c>
      <c r="J553" s="415" t="s">
        <v>1009</v>
      </c>
      <c r="K553" s="415" t="s">
        <v>812</v>
      </c>
      <c r="L553" s="415" t="s">
        <v>807</v>
      </c>
      <c r="M553" s="415">
        <v>3815723</v>
      </c>
      <c r="N553" s="414">
        <v>44564</v>
      </c>
      <c r="O553" s="414" t="s">
        <v>400</v>
      </c>
      <c r="P553" s="222">
        <f t="shared" si="33"/>
        <v>1</v>
      </c>
      <c r="Q553" s="222">
        <f t="shared" si="34"/>
        <v>0</v>
      </c>
      <c r="R553" s="532" t="str">
        <f t="shared" si="35"/>
        <v>Gastos_Gerais</v>
      </c>
      <c r="S553" s="467" t="s">
        <v>1000</v>
      </c>
      <c r="T553" s="467">
        <v>1142</v>
      </c>
      <c r="U553" s="496"/>
      <c r="V553" s="496"/>
      <c r="W553" s="496"/>
    </row>
    <row r="554" spans="1:23" ht="36" x14ac:dyDescent="0.2">
      <c r="A554" s="510">
        <f t="shared" si="32"/>
        <v>551</v>
      </c>
      <c r="B554" s="428">
        <v>44589</v>
      </c>
      <c r="C554" s="424">
        <v>44562</v>
      </c>
      <c r="D554" s="415" t="s">
        <v>182</v>
      </c>
      <c r="E554" s="415" t="s">
        <v>287</v>
      </c>
      <c r="F554" s="425">
        <v>3599.66</v>
      </c>
      <c r="G554" s="427" t="s">
        <v>2623</v>
      </c>
      <c r="H554" s="415" t="s">
        <v>310</v>
      </c>
      <c r="I554" s="473" t="s">
        <v>963</v>
      </c>
      <c r="J554" s="415" t="s">
        <v>964</v>
      </c>
      <c r="K554" s="415" t="s">
        <v>830</v>
      </c>
      <c r="L554" s="415" t="s">
        <v>925</v>
      </c>
      <c r="M554" s="415" t="s">
        <v>310</v>
      </c>
      <c r="N554" s="414">
        <v>44589</v>
      </c>
      <c r="O554" s="414" t="s">
        <v>400</v>
      </c>
      <c r="P554" s="222">
        <f t="shared" si="33"/>
        <v>1</v>
      </c>
      <c r="Q554" s="222">
        <f t="shared" si="34"/>
        <v>1</v>
      </c>
      <c r="R554" s="532" t="str">
        <f t="shared" si="35"/>
        <v>Gastos_com_Pessoal</v>
      </c>
      <c r="S554" s="467" t="s">
        <v>310</v>
      </c>
      <c r="T554" s="467" t="s">
        <v>310</v>
      </c>
      <c r="U554" s="496"/>
      <c r="V554" s="496"/>
      <c r="W554" s="496"/>
    </row>
    <row r="555" spans="1:23" ht="24" x14ac:dyDescent="0.2">
      <c r="A555" s="510">
        <f t="shared" si="32"/>
        <v>552</v>
      </c>
      <c r="B555" s="428">
        <v>44589</v>
      </c>
      <c r="C555" s="424">
        <v>44562</v>
      </c>
      <c r="D555" s="415" t="s">
        <v>271</v>
      </c>
      <c r="E555" s="415" t="s">
        <v>71</v>
      </c>
      <c r="F555" s="425">
        <v>10.45</v>
      </c>
      <c r="G555" s="427" t="s">
        <v>1511</v>
      </c>
      <c r="H555" s="415" t="s">
        <v>310</v>
      </c>
      <c r="I555" s="398" t="s">
        <v>881</v>
      </c>
      <c r="J555" s="418" t="s">
        <v>882</v>
      </c>
      <c r="K555" s="418" t="s">
        <v>883</v>
      </c>
      <c r="L555" s="399" t="s">
        <v>798</v>
      </c>
      <c r="M555" s="544" t="s">
        <v>310</v>
      </c>
      <c r="N555" s="414">
        <v>44589</v>
      </c>
      <c r="O555" s="414" t="s">
        <v>400</v>
      </c>
      <c r="P555" s="222">
        <f t="shared" si="33"/>
        <v>1</v>
      </c>
      <c r="Q555" s="222">
        <f t="shared" si="34"/>
        <v>1</v>
      </c>
      <c r="R555" s="532" t="str">
        <f t="shared" si="35"/>
        <v>Gastos_Gerais</v>
      </c>
      <c r="S555" s="467" t="s">
        <v>310</v>
      </c>
      <c r="T555" s="467" t="s">
        <v>310</v>
      </c>
      <c r="U555" s="496"/>
      <c r="V555" s="496"/>
      <c r="W555" s="496"/>
    </row>
    <row r="556" spans="1:23" ht="36" x14ac:dyDescent="0.2">
      <c r="A556" s="510">
        <f t="shared" si="32"/>
        <v>553</v>
      </c>
      <c r="B556" s="428">
        <v>44592</v>
      </c>
      <c r="C556" s="424">
        <v>44562</v>
      </c>
      <c r="D556" s="415" t="s">
        <v>271</v>
      </c>
      <c r="E556" s="415" t="s">
        <v>456</v>
      </c>
      <c r="F556" s="425">
        <v>865.46</v>
      </c>
      <c r="G556" s="427" t="s">
        <v>1510</v>
      </c>
      <c r="H556" s="415" t="s">
        <v>757</v>
      </c>
      <c r="I556" s="473" t="s">
        <v>1518</v>
      </c>
      <c r="J556" s="415" t="s">
        <v>1509</v>
      </c>
      <c r="K556" s="415" t="s">
        <v>812</v>
      </c>
      <c r="L556" s="415" t="s">
        <v>807</v>
      </c>
      <c r="M556" s="415">
        <v>13314675</v>
      </c>
      <c r="N556" s="414">
        <v>44593</v>
      </c>
      <c r="O556" s="414" t="s">
        <v>400</v>
      </c>
      <c r="P556" s="222">
        <f t="shared" si="33"/>
        <v>1</v>
      </c>
      <c r="Q556" s="222">
        <f t="shared" si="34"/>
        <v>1</v>
      </c>
      <c r="R556" s="532" t="str">
        <f t="shared" si="35"/>
        <v>Gastos_Gerais</v>
      </c>
      <c r="S556" s="467" t="s">
        <v>1303</v>
      </c>
      <c r="T556" s="467">
        <v>2839</v>
      </c>
      <c r="U556" s="496"/>
      <c r="V556" s="496"/>
      <c r="W556" s="496"/>
    </row>
    <row r="557" spans="1:23" ht="48" x14ac:dyDescent="0.2">
      <c r="A557" s="510">
        <f t="shared" si="32"/>
        <v>554</v>
      </c>
      <c r="B557" s="428">
        <v>44592</v>
      </c>
      <c r="C557" s="424">
        <v>44562</v>
      </c>
      <c r="D557" s="415" t="s">
        <v>295</v>
      </c>
      <c r="E557" s="415" t="s">
        <v>295</v>
      </c>
      <c r="F557" s="425">
        <v>6654.84</v>
      </c>
      <c r="G557" s="456" t="s">
        <v>1519</v>
      </c>
      <c r="H557" s="415" t="s">
        <v>310</v>
      </c>
      <c r="I557" s="460" t="s">
        <v>1520</v>
      </c>
      <c r="J557" s="461" t="s">
        <v>796</v>
      </c>
      <c r="K557" s="461" t="s">
        <v>797</v>
      </c>
      <c r="L557" s="461" t="s">
        <v>798</v>
      </c>
      <c r="M557" s="549" t="s">
        <v>310</v>
      </c>
      <c r="N557" s="414">
        <v>44592</v>
      </c>
      <c r="O557" s="414" t="s">
        <v>400</v>
      </c>
      <c r="P557" s="222">
        <f t="shared" si="33"/>
        <v>1</v>
      </c>
      <c r="Q557" s="222">
        <f t="shared" si="34"/>
        <v>1</v>
      </c>
      <c r="R557" s="532" t="str">
        <f t="shared" si="35"/>
        <v>Rendimentos_de_Aplicações_Fin.</v>
      </c>
      <c r="S557" s="467" t="s">
        <v>310</v>
      </c>
      <c r="T557" s="467" t="s">
        <v>310</v>
      </c>
      <c r="U557" s="496"/>
      <c r="V557" s="496"/>
      <c r="W557" s="496"/>
    </row>
    <row r="558" spans="1:23" ht="24" x14ac:dyDescent="0.2">
      <c r="A558" s="510">
        <f t="shared" si="32"/>
        <v>555</v>
      </c>
      <c r="B558" s="428">
        <v>44592</v>
      </c>
      <c r="C558" s="424">
        <v>44562</v>
      </c>
      <c r="D558" s="415" t="s">
        <v>271</v>
      </c>
      <c r="E558" s="461" t="s">
        <v>78</v>
      </c>
      <c r="F558" s="425">
        <v>1285.75</v>
      </c>
      <c r="G558" s="456" t="s">
        <v>1521</v>
      </c>
      <c r="H558" s="415" t="s">
        <v>310</v>
      </c>
      <c r="I558" s="398" t="s">
        <v>1461</v>
      </c>
      <c r="J558" s="461" t="s">
        <v>310</v>
      </c>
      <c r="K558" s="461" t="s">
        <v>1220</v>
      </c>
      <c r="L558" s="461" t="s">
        <v>1368</v>
      </c>
      <c r="M558" s="461" t="s">
        <v>310</v>
      </c>
      <c r="N558" s="414">
        <v>44592</v>
      </c>
      <c r="O558" s="414" t="s">
        <v>400</v>
      </c>
      <c r="P558" s="222">
        <f t="shared" si="33"/>
        <v>1</v>
      </c>
      <c r="Q558" s="222">
        <f t="shared" si="34"/>
        <v>1</v>
      </c>
      <c r="R558" s="532" t="str">
        <f t="shared" si="35"/>
        <v>Gastos_Gerais</v>
      </c>
      <c r="S558" s="467" t="s">
        <v>310</v>
      </c>
      <c r="T558" s="467" t="s">
        <v>310</v>
      </c>
      <c r="U558" s="496"/>
      <c r="V558" s="496"/>
      <c r="W558" s="496"/>
    </row>
    <row r="559" spans="1:23" ht="36" x14ac:dyDescent="0.2">
      <c r="A559" s="510">
        <f t="shared" si="32"/>
        <v>556</v>
      </c>
      <c r="B559" s="428">
        <v>44592</v>
      </c>
      <c r="C559" s="431">
        <v>44562</v>
      </c>
      <c r="D559" s="415" t="s">
        <v>468</v>
      </c>
      <c r="E559" s="415" t="s">
        <v>468</v>
      </c>
      <c r="F559" s="459">
        <v>-5000</v>
      </c>
      <c r="G559" s="427" t="s">
        <v>2438</v>
      </c>
      <c r="H559" s="415" t="s">
        <v>468</v>
      </c>
      <c r="I559" s="460" t="s">
        <v>2437</v>
      </c>
      <c r="J559" s="461" t="s">
        <v>796</v>
      </c>
      <c r="K559" s="461" t="s">
        <v>797</v>
      </c>
      <c r="L559" s="460" t="s">
        <v>798</v>
      </c>
      <c r="M559" s="461" t="s">
        <v>310</v>
      </c>
      <c r="N559" s="414">
        <v>44592</v>
      </c>
      <c r="O559" s="414" t="s">
        <v>408</v>
      </c>
      <c r="P559" s="222">
        <f t="shared" si="33"/>
        <v>1</v>
      </c>
      <c r="Q559" s="222">
        <f t="shared" si="34"/>
        <v>1</v>
      </c>
      <c r="R559" s="532" t="str">
        <f t="shared" si="35"/>
        <v>Gastos_custeados_por_captação</v>
      </c>
      <c r="S559" s="467" t="s">
        <v>310</v>
      </c>
      <c r="T559" s="467" t="s">
        <v>310</v>
      </c>
      <c r="U559" s="496"/>
      <c r="V559" s="496"/>
      <c r="W559" s="496"/>
    </row>
    <row r="560" spans="1:23" ht="36" x14ac:dyDescent="0.2">
      <c r="A560" s="510">
        <f t="shared" si="32"/>
        <v>557</v>
      </c>
      <c r="B560" s="428">
        <v>44592</v>
      </c>
      <c r="C560" s="431">
        <v>44562</v>
      </c>
      <c r="D560" s="415" t="s">
        <v>468</v>
      </c>
      <c r="E560" s="415" t="s">
        <v>468</v>
      </c>
      <c r="F560" s="459">
        <v>-4350</v>
      </c>
      <c r="G560" s="427" t="s">
        <v>2439</v>
      </c>
      <c r="H560" s="415" t="s">
        <v>468</v>
      </c>
      <c r="I560" s="460" t="s">
        <v>2437</v>
      </c>
      <c r="J560" s="461" t="s">
        <v>796</v>
      </c>
      <c r="K560" s="461" t="s">
        <v>797</v>
      </c>
      <c r="L560" s="460" t="s">
        <v>798</v>
      </c>
      <c r="M560" s="461" t="s">
        <v>310</v>
      </c>
      <c r="N560" s="414">
        <v>44592</v>
      </c>
      <c r="O560" s="414" t="s">
        <v>408</v>
      </c>
      <c r="P560" s="222">
        <f t="shared" si="33"/>
        <v>1</v>
      </c>
      <c r="Q560" s="222">
        <f t="shared" si="34"/>
        <v>1</v>
      </c>
      <c r="R560" s="532" t="str">
        <f t="shared" si="35"/>
        <v>Gastos_custeados_por_captação</v>
      </c>
      <c r="S560" s="467" t="s">
        <v>310</v>
      </c>
      <c r="T560" s="467" t="s">
        <v>310</v>
      </c>
      <c r="U560" s="496"/>
      <c r="V560" s="496"/>
      <c r="W560" s="496"/>
    </row>
    <row r="561" spans="1:23" ht="36" x14ac:dyDescent="0.2">
      <c r="A561" s="510">
        <f t="shared" si="32"/>
        <v>558</v>
      </c>
      <c r="B561" s="428">
        <v>44592</v>
      </c>
      <c r="C561" s="431">
        <v>44562</v>
      </c>
      <c r="D561" s="415" t="s">
        <v>468</v>
      </c>
      <c r="E561" s="415" t="s">
        <v>468</v>
      </c>
      <c r="F561" s="459">
        <v>-4500</v>
      </c>
      <c r="G561" s="427" t="s">
        <v>2440</v>
      </c>
      <c r="H561" s="415" t="s">
        <v>468</v>
      </c>
      <c r="I561" s="460" t="s">
        <v>2437</v>
      </c>
      <c r="J561" s="461" t="s">
        <v>796</v>
      </c>
      <c r="K561" s="461" t="s">
        <v>797</v>
      </c>
      <c r="L561" s="460" t="s">
        <v>798</v>
      </c>
      <c r="M561" s="461" t="s">
        <v>310</v>
      </c>
      <c r="N561" s="414">
        <v>44592</v>
      </c>
      <c r="O561" s="414" t="s">
        <v>408</v>
      </c>
      <c r="P561" s="222">
        <f t="shared" si="33"/>
        <v>1</v>
      </c>
      <c r="Q561" s="222">
        <f t="shared" si="34"/>
        <v>1</v>
      </c>
      <c r="R561" s="532" t="str">
        <f t="shared" si="35"/>
        <v>Gastos_custeados_por_captação</v>
      </c>
      <c r="S561" s="467" t="s">
        <v>310</v>
      </c>
      <c r="T561" s="467" t="s">
        <v>310</v>
      </c>
      <c r="U561" s="496"/>
      <c r="V561" s="496"/>
      <c r="W561" s="496"/>
    </row>
    <row r="562" spans="1:23" ht="36" x14ac:dyDescent="0.2">
      <c r="A562" s="510">
        <f t="shared" si="32"/>
        <v>559</v>
      </c>
      <c r="B562" s="428">
        <v>44592</v>
      </c>
      <c r="C562" s="431">
        <v>44562</v>
      </c>
      <c r="D562" s="415" t="s">
        <v>468</v>
      </c>
      <c r="E562" s="415" t="s">
        <v>468</v>
      </c>
      <c r="F562" s="459">
        <v>-6000</v>
      </c>
      <c r="G562" s="427" t="s">
        <v>2441</v>
      </c>
      <c r="H562" s="415" t="s">
        <v>468</v>
      </c>
      <c r="I562" s="460" t="s">
        <v>2437</v>
      </c>
      <c r="J562" s="461" t="s">
        <v>796</v>
      </c>
      <c r="K562" s="461" t="s">
        <v>797</v>
      </c>
      <c r="L562" s="460" t="s">
        <v>798</v>
      </c>
      <c r="M562" s="461" t="s">
        <v>310</v>
      </c>
      <c r="N562" s="414">
        <v>44592</v>
      </c>
      <c r="O562" s="414" t="s">
        <v>408</v>
      </c>
      <c r="P562" s="222">
        <f t="shared" si="33"/>
        <v>1</v>
      </c>
      <c r="Q562" s="222">
        <f t="shared" si="34"/>
        <v>1</v>
      </c>
      <c r="R562" s="532" t="str">
        <f t="shared" si="35"/>
        <v>Gastos_custeados_por_captação</v>
      </c>
      <c r="S562" s="467" t="s">
        <v>310</v>
      </c>
      <c r="T562" s="467" t="s">
        <v>310</v>
      </c>
      <c r="U562" s="496"/>
      <c r="V562" s="496"/>
      <c r="W562" s="496"/>
    </row>
    <row r="563" spans="1:23" ht="36" x14ac:dyDescent="0.2">
      <c r="A563" s="510">
        <f t="shared" si="32"/>
        <v>560</v>
      </c>
      <c r="B563" s="428">
        <v>44592</v>
      </c>
      <c r="C563" s="431">
        <v>44562</v>
      </c>
      <c r="D563" s="415" t="s">
        <v>468</v>
      </c>
      <c r="E563" s="415" t="s">
        <v>468</v>
      </c>
      <c r="F563" s="459">
        <v>-6000</v>
      </c>
      <c r="G563" s="427" t="s">
        <v>2442</v>
      </c>
      <c r="H563" s="415" t="s">
        <v>468</v>
      </c>
      <c r="I563" s="460" t="s">
        <v>2437</v>
      </c>
      <c r="J563" s="461" t="s">
        <v>796</v>
      </c>
      <c r="K563" s="461" t="s">
        <v>797</v>
      </c>
      <c r="L563" s="460" t="s">
        <v>798</v>
      </c>
      <c r="M563" s="461" t="s">
        <v>310</v>
      </c>
      <c r="N563" s="414">
        <v>44592</v>
      </c>
      <c r="O563" s="414" t="s">
        <v>408</v>
      </c>
      <c r="P563" s="222">
        <f t="shared" si="33"/>
        <v>1</v>
      </c>
      <c r="Q563" s="222">
        <f t="shared" si="34"/>
        <v>1</v>
      </c>
      <c r="R563" s="532" t="str">
        <f t="shared" si="35"/>
        <v>Gastos_custeados_por_captação</v>
      </c>
      <c r="S563" s="467" t="s">
        <v>310</v>
      </c>
      <c r="T563" s="467" t="s">
        <v>310</v>
      </c>
      <c r="U563" s="496"/>
      <c r="V563" s="496"/>
      <c r="W563" s="496"/>
    </row>
    <row r="564" spans="1:23" ht="72" x14ac:dyDescent="0.2">
      <c r="A564" s="510">
        <f t="shared" si="32"/>
        <v>561</v>
      </c>
      <c r="B564" s="428">
        <v>44592</v>
      </c>
      <c r="C564" s="431">
        <v>44562</v>
      </c>
      <c r="D564" s="415" t="s">
        <v>468</v>
      </c>
      <c r="E564" s="415" t="s">
        <v>468</v>
      </c>
      <c r="F564" s="459">
        <v>5000</v>
      </c>
      <c r="G564" s="427" t="s">
        <v>2438</v>
      </c>
      <c r="H564" s="415" t="s">
        <v>468</v>
      </c>
      <c r="I564" s="460" t="s">
        <v>2437</v>
      </c>
      <c r="J564" s="461" t="s">
        <v>796</v>
      </c>
      <c r="K564" s="461" t="s">
        <v>797</v>
      </c>
      <c r="L564" s="460" t="s">
        <v>798</v>
      </c>
      <c r="M564" s="461" t="s">
        <v>310</v>
      </c>
      <c r="N564" s="414">
        <v>44592</v>
      </c>
      <c r="O564" s="414" t="s">
        <v>402</v>
      </c>
      <c r="P564" s="222">
        <f t="shared" si="33"/>
        <v>1</v>
      </c>
      <c r="Q564" s="222">
        <f t="shared" si="34"/>
        <v>1</v>
      </c>
      <c r="R564" s="532" t="str">
        <f t="shared" si="35"/>
        <v>Gastos_custeados_por_captação</v>
      </c>
      <c r="S564" s="467" t="s">
        <v>310</v>
      </c>
      <c r="T564" s="467" t="s">
        <v>310</v>
      </c>
      <c r="U564" s="496"/>
      <c r="V564" s="496"/>
      <c r="W564" s="496"/>
    </row>
    <row r="565" spans="1:23" ht="72" x14ac:dyDescent="0.2">
      <c r="A565" s="510">
        <f t="shared" si="32"/>
        <v>562</v>
      </c>
      <c r="B565" s="428">
        <v>44592</v>
      </c>
      <c r="C565" s="431">
        <v>44562</v>
      </c>
      <c r="D565" s="415" t="s">
        <v>468</v>
      </c>
      <c r="E565" s="415" t="s">
        <v>468</v>
      </c>
      <c r="F565" s="459">
        <v>4350</v>
      </c>
      <c r="G565" s="427" t="s">
        <v>2438</v>
      </c>
      <c r="H565" s="415" t="s">
        <v>468</v>
      </c>
      <c r="I565" s="460" t="s">
        <v>2437</v>
      </c>
      <c r="J565" s="461" t="s">
        <v>796</v>
      </c>
      <c r="K565" s="461" t="s">
        <v>797</v>
      </c>
      <c r="L565" s="460" t="s">
        <v>798</v>
      </c>
      <c r="M565" s="461" t="s">
        <v>310</v>
      </c>
      <c r="N565" s="414">
        <v>44592</v>
      </c>
      <c r="O565" s="414" t="s">
        <v>402</v>
      </c>
      <c r="P565" s="222">
        <f t="shared" si="33"/>
        <v>1</v>
      </c>
      <c r="Q565" s="222">
        <f t="shared" si="34"/>
        <v>1</v>
      </c>
      <c r="R565" s="532" t="str">
        <f t="shared" si="35"/>
        <v>Gastos_custeados_por_captação</v>
      </c>
      <c r="S565" s="467" t="s">
        <v>310</v>
      </c>
      <c r="T565" s="467" t="s">
        <v>310</v>
      </c>
      <c r="U565" s="496"/>
      <c r="V565" s="496"/>
      <c r="W565" s="496"/>
    </row>
    <row r="566" spans="1:23" ht="72" x14ac:dyDescent="0.2">
      <c r="A566" s="510">
        <f t="shared" si="32"/>
        <v>563</v>
      </c>
      <c r="B566" s="428">
        <v>44592</v>
      </c>
      <c r="C566" s="431">
        <v>44562</v>
      </c>
      <c r="D566" s="415" t="s">
        <v>468</v>
      </c>
      <c r="E566" s="415" t="s">
        <v>468</v>
      </c>
      <c r="F566" s="459">
        <v>4500</v>
      </c>
      <c r="G566" s="427" t="s">
        <v>2438</v>
      </c>
      <c r="H566" s="415" t="s">
        <v>468</v>
      </c>
      <c r="I566" s="460" t="s">
        <v>2437</v>
      </c>
      <c r="J566" s="461" t="s">
        <v>796</v>
      </c>
      <c r="K566" s="461" t="s">
        <v>797</v>
      </c>
      <c r="L566" s="460" t="s">
        <v>798</v>
      </c>
      <c r="M566" s="461" t="s">
        <v>310</v>
      </c>
      <c r="N566" s="414">
        <v>44592</v>
      </c>
      <c r="O566" s="414" t="s">
        <v>402</v>
      </c>
      <c r="P566" s="222">
        <f t="shared" si="33"/>
        <v>1</v>
      </c>
      <c r="Q566" s="222">
        <f t="shared" si="34"/>
        <v>1</v>
      </c>
      <c r="R566" s="532" t="str">
        <f t="shared" si="35"/>
        <v>Gastos_custeados_por_captação</v>
      </c>
      <c r="S566" s="467" t="s">
        <v>310</v>
      </c>
      <c r="T566" s="467" t="s">
        <v>310</v>
      </c>
      <c r="U566" s="496"/>
      <c r="V566" s="496"/>
      <c r="W566" s="496"/>
    </row>
    <row r="567" spans="1:23" ht="60" x14ac:dyDescent="0.2">
      <c r="A567" s="510">
        <f t="shared" si="32"/>
        <v>564</v>
      </c>
      <c r="B567" s="428">
        <v>44592</v>
      </c>
      <c r="C567" s="431">
        <v>44562</v>
      </c>
      <c r="D567" s="415" t="s">
        <v>468</v>
      </c>
      <c r="E567" s="415" t="s">
        <v>468</v>
      </c>
      <c r="F567" s="459">
        <v>6000</v>
      </c>
      <c r="G567" s="427" t="s">
        <v>2678</v>
      </c>
      <c r="H567" s="415" t="s">
        <v>468</v>
      </c>
      <c r="I567" s="460" t="s">
        <v>2437</v>
      </c>
      <c r="J567" s="461" t="s">
        <v>796</v>
      </c>
      <c r="K567" s="461" t="s">
        <v>797</v>
      </c>
      <c r="L567" s="460" t="s">
        <v>798</v>
      </c>
      <c r="M567" s="461" t="s">
        <v>310</v>
      </c>
      <c r="N567" s="414">
        <v>44592</v>
      </c>
      <c r="O567" s="414" t="s">
        <v>404</v>
      </c>
      <c r="P567" s="222">
        <f t="shared" si="33"/>
        <v>1</v>
      </c>
      <c r="Q567" s="222">
        <f t="shared" si="34"/>
        <v>1</v>
      </c>
      <c r="R567" s="532" t="str">
        <f t="shared" si="35"/>
        <v>Gastos_custeados_por_captação</v>
      </c>
      <c r="S567" s="467" t="s">
        <v>310</v>
      </c>
      <c r="T567" s="467" t="s">
        <v>310</v>
      </c>
      <c r="U567" s="496"/>
      <c r="V567" s="496"/>
      <c r="W567" s="496"/>
    </row>
    <row r="568" spans="1:23" ht="60" x14ac:dyDescent="0.2">
      <c r="A568" s="510">
        <f t="shared" si="32"/>
        <v>565</v>
      </c>
      <c r="B568" s="428">
        <v>44592</v>
      </c>
      <c r="C568" s="431">
        <v>44562</v>
      </c>
      <c r="D568" s="415" t="s">
        <v>468</v>
      </c>
      <c r="E568" s="415" t="s">
        <v>468</v>
      </c>
      <c r="F568" s="459">
        <v>6000</v>
      </c>
      <c r="G568" s="427" t="s">
        <v>2679</v>
      </c>
      <c r="H568" s="415" t="s">
        <v>468</v>
      </c>
      <c r="I568" s="460" t="s">
        <v>2437</v>
      </c>
      <c r="J568" s="461" t="s">
        <v>796</v>
      </c>
      <c r="K568" s="461" t="s">
        <v>797</v>
      </c>
      <c r="L568" s="460" t="s">
        <v>798</v>
      </c>
      <c r="M568" s="461" t="s">
        <v>310</v>
      </c>
      <c r="N568" s="414">
        <v>44592</v>
      </c>
      <c r="O568" s="414" t="s">
        <v>404</v>
      </c>
      <c r="P568" s="222">
        <f t="shared" si="33"/>
        <v>1</v>
      </c>
      <c r="Q568" s="222">
        <f t="shared" si="34"/>
        <v>1</v>
      </c>
      <c r="R568" s="532" t="str">
        <f t="shared" si="35"/>
        <v>Gastos_custeados_por_captação</v>
      </c>
      <c r="S568" s="467" t="s">
        <v>310</v>
      </c>
      <c r="T568" s="467" t="s">
        <v>310</v>
      </c>
      <c r="U568" s="496"/>
      <c r="V568" s="496"/>
      <c r="W568" s="496"/>
    </row>
    <row r="569" spans="1:23" ht="72" x14ac:dyDescent="0.2">
      <c r="A569" s="510">
        <f t="shared" si="32"/>
        <v>566</v>
      </c>
      <c r="B569" s="428">
        <v>44592</v>
      </c>
      <c r="C569" s="424">
        <v>44562</v>
      </c>
      <c r="D569" s="415" t="s">
        <v>271</v>
      </c>
      <c r="E569" s="415" t="s">
        <v>297</v>
      </c>
      <c r="F569" s="425">
        <v>241.92</v>
      </c>
      <c r="G569" s="437" t="s">
        <v>475</v>
      </c>
      <c r="H569" s="415" t="s">
        <v>309</v>
      </c>
      <c r="I569" s="473" t="s">
        <v>1517</v>
      </c>
      <c r="J569" s="434" t="s">
        <v>1012</v>
      </c>
      <c r="K569" s="415" t="s">
        <v>812</v>
      </c>
      <c r="L569" s="415" t="s">
        <v>807</v>
      </c>
      <c r="M569" s="415">
        <v>33139</v>
      </c>
      <c r="N569" s="414">
        <v>44564</v>
      </c>
      <c r="O569" s="414" t="s">
        <v>400</v>
      </c>
      <c r="P569" s="222">
        <f t="shared" si="33"/>
        <v>1</v>
      </c>
      <c r="Q569" s="222">
        <f t="shared" si="34"/>
        <v>1</v>
      </c>
      <c r="R569" s="532" t="str">
        <f t="shared" si="35"/>
        <v>Gastos_Gerais</v>
      </c>
      <c r="S569" s="467" t="s">
        <v>1000</v>
      </c>
      <c r="T569" s="467">
        <v>1672</v>
      </c>
      <c r="U569" s="496"/>
      <c r="V569" s="496"/>
      <c r="W569" s="496"/>
    </row>
    <row r="570" spans="1:23" ht="48" x14ac:dyDescent="0.2">
      <c r="A570" s="510">
        <f t="shared" si="32"/>
        <v>567</v>
      </c>
      <c r="B570" s="428">
        <v>44593</v>
      </c>
      <c r="C570" s="424">
        <v>44562</v>
      </c>
      <c r="D570" s="415" t="s">
        <v>182</v>
      </c>
      <c r="E570" s="415" t="s">
        <v>179</v>
      </c>
      <c r="F570" s="425">
        <v>-15.81</v>
      </c>
      <c r="G570" s="427" t="s">
        <v>1528</v>
      </c>
      <c r="H570" s="415" t="s">
        <v>310</v>
      </c>
      <c r="I570" s="473" t="s">
        <v>795</v>
      </c>
      <c r="J570" s="415" t="s">
        <v>796</v>
      </c>
      <c r="K570" s="415" t="s">
        <v>797</v>
      </c>
      <c r="L570" s="415" t="s">
        <v>798</v>
      </c>
      <c r="M570" s="415" t="s">
        <v>310</v>
      </c>
      <c r="N570" s="414">
        <v>44593</v>
      </c>
      <c r="O570" s="414" t="s">
        <v>400</v>
      </c>
      <c r="P570" s="222">
        <f t="shared" si="33"/>
        <v>2</v>
      </c>
      <c r="Q570" s="222">
        <f t="shared" si="34"/>
        <v>1</v>
      </c>
      <c r="R570" s="532" t="str">
        <f t="shared" si="35"/>
        <v>Gastos_com_Pessoal</v>
      </c>
      <c r="S570" s="467" t="s">
        <v>310</v>
      </c>
      <c r="T570" s="467" t="s">
        <v>310</v>
      </c>
      <c r="U570" s="496"/>
      <c r="V570" s="496"/>
      <c r="W570" s="496"/>
    </row>
    <row r="571" spans="1:23" ht="48" x14ac:dyDescent="0.2">
      <c r="A571" s="510">
        <f t="shared" si="32"/>
        <v>568</v>
      </c>
      <c r="B571" s="428">
        <v>44593</v>
      </c>
      <c r="C571" s="424">
        <v>44562</v>
      </c>
      <c r="D571" s="415" t="s">
        <v>182</v>
      </c>
      <c r="E571" s="415" t="s">
        <v>8</v>
      </c>
      <c r="F571" s="425">
        <v>-23.2</v>
      </c>
      <c r="G571" s="427" t="s">
        <v>1524</v>
      </c>
      <c r="H571" s="415" t="s">
        <v>310</v>
      </c>
      <c r="I571" s="473" t="s">
        <v>795</v>
      </c>
      <c r="J571" s="415" t="s">
        <v>796</v>
      </c>
      <c r="K571" s="415" t="s">
        <v>797</v>
      </c>
      <c r="L571" s="415" t="s">
        <v>798</v>
      </c>
      <c r="M571" s="415" t="s">
        <v>310</v>
      </c>
      <c r="N571" s="414">
        <v>44593</v>
      </c>
      <c r="O571" s="414" t="s">
        <v>400</v>
      </c>
      <c r="P571" s="222">
        <f t="shared" si="33"/>
        <v>2</v>
      </c>
      <c r="Q571" s="222">
        <f t="shared" si="34"/>
        <v>1</v>
      </c>
      <c r="R571" s="532" t="str">
        <f t="shared" si="35"/>
        <v>Gastos_com_Pessoal</v>
      </c>
      <c r="S571" s="467" t="s">
        <v>310</v>
      </c>
      <c r="T571" s="467" t="s">
        <v>310</v>
      </c>
      <c r="U571" s="496"/>
      <c r="V571" s="496"/>
      <c r="W571" s="496"/>
    </row>
    <row r="572" spans="1:23" ht="48" x14ac:dyDescent="0.2">
      <c r="A572" s="510">
        <f t="shared" si="32"/>
        <v>569</v>
      </c>
      <c r="B572" s="428">
        <v>44593</v>
      </c>
      <c r="C572" s="424">
        <v>44562</v>
      </c>
      <c r="D572" s="415" t="s">
        <v>182</v>
      </c>
      <c r="E572" s="415" t="s">
        <v>8</v>
      </c>
      <c r="F572" s="425">
        <v>-23.2</v>
      </c>
      <c r="G572" s="427" t="s">
        <v>1524</v>
      </c>
      <c r="H572" s="415" t="s">
        <v>310</v>
      </c>
      <c r="I572" s="473" t="s">
        <v>795</v>
      </c>
      <c r="J572" s="415" t="s">
        <v>796</v>
      </c>
      <c r="K572" s="415" t="s">
        <v>797</v>
      </c>
      <c r="L572" s="415" t="s">
        <v>798</v>
      </c>
      <c r="M572" s="415" t="s">
        <v>310</v>
      </c>
      <c r="N572" s="414">
        <v>44593</v>
      </c>
      <c r="O572" s="414" t="s">
        <v>400</v>
      </c>
      <c r="P572" s="222">
        <f t="shared" si="33"/>
        <v>2</v>
      </c>
      <c r="Q572" s="222">
        <f t="shared" si="34"/>
        <v>1</v>
      </c>
      <c r="R572" s="532" t="str">
        <f t="shared" si="35"/>
        <v>Gastos_com_Pessoal</v>
      </c>
      <c r="S572" s="467" t="s">
        <v>310</v>
      </c>
      <c r="T572" s="467" t="s">
        <v>310</v>
      </c>
      <c r="U572" s="496"/>
      <c r="V572" s="496"/>
      <c r="W572" s="496"/>
    </row>
    <row r="573" spans="1:23" ht="48" x14ac:dyDescent="0.2">
      <c r="A573" s="510">
        <f t="shared" si="32"/>
        <v>570</v>
      </c>
      <c r="B573" s="428">
        <v>44593</v>
      </c>
      <c r="C573" s="424">
        <v>44562</v>
      </c>
      <c r="D573" s="415" t="s">
        <v>182</v>
      </c>
      <c r="E573" s="415" t="s">
        <v>179</v>
      </c>
      <c r="F573" s="425">
        <v>-110.65</v>
      </c>
      <c r="G573" s="427" t="s">
        <v>1529</v>
      </c>
      <c r="H573" s="415" t="s">
        <v>310</v>
      </c>
      <c r="I573" s="473" t="s">
        <v>795</v>
      </c>
      <c r="J573" s="415" t="s">
        <v>796</v>
      </c>
      <c r="K573" s="415" t="s">
        <v>797</v>
      </c>
      <c r="L573" s="415" t="s">
        <v>798</v>
      </c>
      <c r="M573" s="415" t="s">
        <v>310</v>
      </c>
      <c r="N573" s="414">
        <v>44593</v>
      </c>
      <c r="O573" s="414" t="s">
        <v>400</v>
      </c>
      <c r="P573" s="222">
        <f t="shared" si="33"/>
        <v>2</v>
      </c>
      <c r="Q573" s="222">
        <f t="shared" si="34"/>
        <v>1</v>
      </c>
      <c r="R573" s="532" t="str">
        <f t="shared" si="35"/>
        <v>Gastos_com_Pessoal</v>
      </c>
      <c r="S573" s="467" t="s">
        <v>310</v>
      </c>
      <c r="T573" s="467" t="s">
        <v>310</v>
      </c>
      <c r="U573" s="496"/>
      <c r="V573" s="496"/>
      <c r="W573" s="496"/>
    </row>
    <row r="574" spans="1:23" ht="48" x14ac:dyDescent="0.2">
      <c r="A574" s="510">
        <f t="shared" si="32"/>
        <v>571</v>
      </c>
      <c r="B574" s="428">
        <v>44593</v>
      </c>
      <c r="C574" s="424">
        <v>44562</v>
      </c>
      <c r="D574" s="415" t="s">
        <v>182</v>
      </c>
      <c r="E574" s="415" t="s">
        <v>8</v>
      </c>
      <c r="F574" s="425">
        <v>-139.19999999999999</v>
      </c>
      <c r="G574" s="427" t="s">
        <v>1525</v>
      </c>
      <c r="H574" s="415" t="s">
        <v>310</v>
      </c>
      <c r="I574" s="473" t="s">
        <v>795</v>
      </c>
      <c r="J574" s="415" t="s">
        <v>796</v>
      </c>
      <c r="K574" s="415" t="s">
        <v>797</v>
      </c>
      <c r="L574" s="415" t="s">
        <v>798</v>
      </c>
      <c r="M574" s="415" t="s">
        <v>310</v>
      </c>
      <c r="N574" s="414">
        <v>44593</v>
      </c>
      <c r="O574" s="414" t="s">
        <v>400</v>
      </c>
      <c r="P574" s="222">
        <f t="shared" si="33"/>
        <v>2</v>
      </c>
      <c r="Q574" s="222">
        <f t="shared" si="34"/>
        <v>1</v>
      </c>
      <c r="R574" s="532" t="str">
        <f t="shared" si="35"/>
        <v>Gastos_com_Pessoal</v>
      </c>
      <c r="S574" s="467" t="s">
        <v>310</v>
      </c>
      <c r="T574" s="467" t="s">
        <v>310</v>
      </c>
      <c r="U574" s="496"/>
      <c r="V574" s="496"/>
      <c r="W574" s="496"/>
    </row>
    <row r="575" spans="1:23" ht="60" x14ac:dyDescent="0.2">
      <c r="A575" s="510">
        <f t="shared" si="32"/>
        <v>572</v>
      </c>
      <c r="B575" s="428">
        <v>44593</v>
      </c>
      <c r="C575" s="431">
        <v>44378</v>
      </c>
      <c r="D575" s="415" t="s">
        <v>468</v>
      </c>
      <c r="E575" s="415" t="s">
        <v>468</v>
      </c>
      <c r="F575" s="425">
        <v>3104</v>
      </c>
      <c r="G575" s="427" t="s">
        <v>2533</v>
      </c>
      <c r="H575" s="415" t="s">
        <v>468</v>
      </c>
      <c r="I575" s="473" t="s">
        <v>2534</v>
      </c>
      <c r="J575" s="415" t="s">
        <v>2535</v>
      </c>
      <c r="K575" s="415" t="s">
        <v>830</v>
      </c>
      <c r="L575" s="415" t="s">
        <v>807</v>
      </c>
      <c r="M575" s="548">
        <v>26</v>
      </c>
      <c r="N575" s="414">
        <v>44593</v>
      </c>
      <c r="O575" s="414" t="s">
        <v>401</v>
      </c>
      <c r="P575" s="222">
        <f t="shared" si="33"/>
        <v>2</v>
      </c>
      <c r="Q575" s="222">
        <f t="shared" si="34"/>
        <v>-5</v>
      </c>
      <c r="R575" s="532" t="str">
        <f t="shared" si="35"/>
        <v>Gastos_custeados_por_captação</v>
      </c>
      <c r="S575" s="467" t="s">
        <v>998</v>
      </c>
      <c r="T575" s="467">
        <v>1764</v>
      </c>
      <c r="U575" s="496"/>
      <c r="V575" s="496"/>
      <c r="W575" s="496"/>
    </row>
    <row r="576" spans="1:23" ht="72" x14ac:dyDescent="0.2">
      <c r="A576" s="510">
        <f t="shared" si="32"/>
        <v>573</v>
      </c>
      <c r="B576" s="428">
        <v>44593</v>
      </c>
      <c r="C576" s="431">
        <v>44531</v>
      </c>
      <c r="D576" s="415" t="s">
        <v>468</v>
      </c>
      <c r="E576" s="415" t="s">
        <v>468</v>
      </c>
      <c r="F576" s="425">
        <v>19786.2</v>
      </c>
      <c r="G576" s="427" t="s">
        <v>681</v>
      </c>
      <c r="H576" s="415" t="s">
        <v>468</v>
      </c>
      <c r="I576" s="473" t="s">
        <v>2844</v>
      </c>
      <c r="J576" s="415" t="s">
        <v>1095</v>
      </c>
      <c r="K576" s="415" t="s">
        <v>830</v>
      </c>
      <c r="L576" s="415" t="s">
        <v>807</v>
      </c>
      <c r="M576" s="548">
        <v>35</v>
      </c>
      <c r="N576" s="414">
        <v>44588</v>
      </c>
      <c r="O576" s="414" t="s">
        <v>407</v>
      </c>
      <c r="P576" s="222">
        <f t="shared" si="33"/>
        <v>2</v>
      </c>
      <c r="Q576" s="222">
        <f t="shared" si="34"/>
        <v>0</v>
      </c>
      <c r="R576" s="532" t="str">
        <f t="shared" si="35"/>
        <v>Gastos_custeados_por_captação</v>
      </c>
      <c r="S576" s="467" t="s">
        <v>998</v>
      </c>
      <c r="T576" s="467">
        <v>2522</v>
      </c>
      <c r="U576" s="496"/>
      <c r="V576" s="496"/>
      <c r="W576" s="496"/>
    </row>
    <row r="577" spans="1:23" ht="24" x14ac:dyDescent="0.2">
      <c r="A577" s="510">
        <f t="shared" si="32"/>
        <v>574</v>
      </c>
      <c r="B577" s="428">
        <v>44593</v>
      </c>
      <c r="C577" s="431">
        <v>44562</v>
      </c>
      <c r="D577" s="415" t="s">
        <v>271</v>
      </c>
      <c r="E577" s="415" t="s">
        <v>297</v>
      </c>
      <c r="F577" s="425">
        <v>105</v>
      </c>
      <c r="G577" s="427" t="s">
        <v>1253</v>
      </c>
      <c r="H577" s="415" t="s">
        <v>753</v>
      </c>
      <c r="I577" s="473" t="s">
        <v>1530</v>
      </c>
      <c r="J577" s="415" t="s">
        <v>1254</v>
      </c>
      <c r="K577" s="417" t="s">
        <v>1531</v>
      </c>
      <c r="L577" s="415" t="s">
        <v>807</v>
      </c>
      <c r="M577" s="548">
        <v>15831</v>
      </c>
      <c r="N577" s="414">
        <v>44586</v>
      </c>
      <c r="O577" s="414" t="s">
        <v>400</v>
      </c>
      <c r="P577" s="222">
        <f t="shared" si="33"/>
        <v>2</v>
      </c>
      <c r="Q577" s="222">
        <f t="shared" si="34"/>
        <v>1</v>
      </c>
      <c r="R577" s="532" t="str">
        <f t="shared" si="35"/>
        <v>Gastos_Gerais</v>
      </c>
      <c r="S577" s="467" t="s">
        <v>1303</v>
      </c>
      <c r="T577" s="467">
        <v>2825</v>
      </c>
      <c r="U577" s="496"/>
      <c r="V577" s="496"/>
      <c r="W577" s="496"/>
    </row>
    <row r="578" spans="1:23" ht="24" x14ac:dyDescent="0.2">
      <c r="A578" s="510">
        <f t="shared" si="32"/>
        <v>575</v>
      </c>
      <c r="B578" s="428">
        <v>44593</v>
      </c>
      <c r="C578" s="424">
        <v>44562</v>
      </c>
      <c r="D578" s="415" t="s">
        <v>182</v>
      </c>
      <c r="E578" s="415" t="s">
        <v>179</v>
      </c>
      <c r="F578" s="425">
        <v>570.94000000000005</v>
      </c>
      <c r="G578" s="437" t="s">
        <v>1948</v>
      </c>
      <c r="H578" s="415" t="s">
        <v>310</v>
      </c>
      <c r="I578" s="474" t="s">
        <v>771</v>
      </c>
      <c r="J578" s="415" t="s">
        <v>819</v>
      </c>
      <c r="K578" s="415" t="s">
        <v>812</v>
      </c>
      <c r="L578" s="415" t="s">
        <v>807</v>
      </c>
      <c r="M578" s="415" t="s">
        <v>1534</v>
      </c>
      <c r="N578" s="414">
        <v>44579</v>
      </c>
      <c r="O578" s="414" t="s">
        <v>400</v>
      </c>
      <c r="P578" s="222">
        <f t="shared" si="33"/>
        <v>2</v>
      </c>
      <c r="Q578" s="222">
        <f t="shared" si="34"/>
        <v>1</v>
      </c>
      <c r="R578" s="532" t="str">
        <f t="shared" si="35"/>
        <v>Gastos_com_Pessoal</v>
      </c>
      <c r="S578" s="467" t="s">
        <v>310</v>
      </c>
      <c r="T578" s="467" t="s">
        <v>310</v>
      </c>
      <c r="U578" s="496"/>
      <c r="V578" s="496"/>
      <c r="W578" s="496"/>
    </row>
    <row r="579" spans="1:23" ht="24" x14ac:dyDescent="0.2">
      <c r="A579" s="510">
        <f t="shared" si="32"/>
        <v>576</v>
      </c>
      <c r="B579" s="428">
        <v>44593</v>
      </c>
      <c r="C579" s="433">
        <v>44562</v>
      </c>
      <c r="D579" s="415" t="s">
        <v>182</v>
      </c>
      <c r="E579" s="415" t="s">
        <v>179</v>
      </c>
      <c r="F579" s="425">
        <v>394.65</v>
      </c>
      <c r="G579" s="437" t="s">
        <v>1532</v>
      </c>
      <c r="H579" s="415" t="s">
        <v>310</v>
      </c>
      <c r="I579" s="474" t="s">
        <v>771</v>
      </c>
      <c r="J579" s="415" t="s">
        <v>819</v>
      </c>
      <c r="K579" s="415" t="s">
        <v>812</v>
      </c>
      <c r="L579" s="415" t="s">
        <v>807</v>
      </c>
      <c r="M579" s="415" t="s">
        <v>1533</v>
      </c>
      <c r="N579" s="414">
        <v>44579</v>
      </c>
      <c r="O579" s="414" t="s">
        <v>400</v>
      </c>
      <c r="P579" s="222">
        <f t="shared" si="33"/>
        <v>2</v>
      </c>
      <c r="Q579" s="222">
        <f t="shared" si="34"/>
        <v>1</v>
      </c>
      <c r="R579" s="532" t="str">
        <f t="shared" si="35"/>
        <v>Gastos_com_Pessoal</v>
      </c>
      <c r="S579" s="467" t="s">
        <v>310</v>
      </c>
      <c r="T579" s="467" t="s">
        <v>310</v>
      </c>
      <c r="U579" s="496"/>
      <c r="V579" s="496"/>
      <c r="W579" s="496"/>
    </row>
    <row r="580" spans="1:23" ht="24" x14ac:dyDescent="0.2">
      <c r="A580" s="510">
        <f t="shared" ref="A580:A644" si="36">IF(B580="","",ROW()-ROW($A$3))</f>
        <v>577</v>
      </c>
      <c r="B580" s="428">
        <v>44593</v>
      </c>
      <c r="C580" s="424">
        <v>44562</v>
      </c>
      <c r="D580" s="415" t="s">
        <v>182</v>
      </c>
      <c r="E580" s="415" t="s">
        <v>8</v>
      </c>
      <c r="F580" s="425">
        <v>1554.39</v>
      </c>
      <c r="G580" s="437" t="s">
        <v>506</v>
      </c>
      <c r="H580" s="415" t="s">
        <v>310</v>
      </c>
      <c r="I580" s="474" t="s">
        <v>770</v>
      </c>
      <c r="J580" s="415" t="s">
        <v>796</v>
      </c>
      <c r="K580" s="415" t="s">
        <v>812</v>
      </c>
      <c r="L580" s="415" t="s">
        <v>826</v>
      </c>
      <c r="M580" s="548">
        <v>8134322</v>
      </c>
      <c r="N580" s="414">
        <v>44578</v>
      </c>
      <c r="O580" s="414" t="s">
        <v>400</v>
      </c>
      <c r="P580" s="222">
        <f t="shared" ref="P580:P644" si="37">IF(B580=0,0,IF(YEAR(B580)=$Q$1,MONTH(B580)-$P$1+1,(YEAR(B580)-$Q$1)*12-$P$1+1+MONTH(B580)))</f>
        <v>2</v>
      </c>
      <c r="Q580" s="222">
        <f t="shared" ref="Q580:Q644" si="38">IF(C580=0,0,IF(YEAR(C580)=$Q$1,MONTH(C580)-$P$1+1,(YEAR(C580)-$Q$1)*12-$P$1+1+MONTH(C580)))</f>
        <v>1</v>
      </c>
      <c r="R580" s="532" t="str">
        <f t="shared" ref="R580:R644" si="39">SUBSTITUTE(D580," ","_")</f>
        <v>Gastos_com_Pessoal</v>
      </c>
      <c r="S580" s="467" t="s">
        <v>310</v>
      </c>
      <c r="T580" s="467" t="s">
        <v>310</v>
      </c>
      <c r="U580" s="496"/>
      <c r="V580" s="496"/>
      <c r="W580" s="496"/>
    </row>
    <row r="581" spans="1:23" ht="60" x14ac:dyDescent="0.2">
      <c r="A581" s="510">
        <f t="shared" si="36"/>
        <v>578</v>
      </c>
      <c r="B581" s="428">
        <v>44593</v>
      </c>
      <c r="C581" s="431">
        <v>44562</v>
      </c>
      <c r="D581" s="415" t="s">
        <v>468</v>
      </c>
      <c r="E581" s="415" t="s">
        <v>468</v>
      </c>
      <c r="F581" s="425">
        <v>989.2</v>
      </c>
      <c r="G581" s="427" t="s">
        <v>672</v>
      </c>
      <c r="H581" s="415" t="s">
        <v>468</v>
      </c>
      <c r="I581" s="473" t="s">
        <v>2682</v>
      </c>
      <c r="J581" s="415" t="s">
        <v>816</v>
      </c>
      <c r="K581" s="415" t="s">
        <v>830</v>
      </c>
      <c r="L581" s="415" t="s">
        <v>807</v>
      </c>
      <c r="M581" s="548">
        <v>299740</v>
      </c>
      <c r="N581" s="414">
        <v>44565</v>
      </c>
      <c r="O581" s="414" t="s">
        <v>404</v>
      </c>
      <c r="P581" s="222">
        <f t="shared" si="37"/>
        <v>2</v>
      </c>
      <c r="Q581" s="222">
        <f t="shared" si="38"/>
        <v>1</v>
      </c>
      <c r="R581" s="532" t="str">
        <f t="shared" si="39"/>
        <v>Gastos_custeados_por_captação</v>
      </c>
      <c r="S581" s="467" t="s">
        <v>1303</v>
      </c>
      <c r="T581" s="467">
        <v>2742</v>
      </c>
      <c r="U581" s="496"/>
      <c r="V581" s="496"/>
      <c r="W581" s="496"/>
    </row>
    <row r="582" spans="1:23" ht="72" x14ac:dyDescent="0.2">
      <c r="A582" s="510">
        <f t="shared" si="36"/>
        <v>579</v>
      </c>
      <c r="B582" s="428">
        <v>44593</v>
      </c>
      <c r="C582" s="431">
        <v>44531</v>
      </c>
      <c r="D582" s="415" t="s">
        <v>468</v>
      </c>
      <c r="E582" s="415" t="s">
        <v>468</v>
      </c>
      <c r="F582" s="425">
        <v>1549.09</v>
      </c>
      <c r="G582" s="427" t="s">
        <v>685</v>
      </c>
      <c r="H582" s="415" t="s">
        <v>468</v>
      </c>
      <c r="I582" s="473" t="s">
        <v>2845</v>
      </c>
      <c r="J582" s="415" t="s">
        <v>1110</v>
      </c>
      <c r="K582" s="415" t="s">
        <v>830</v>
      </c>
      <c r="L582" s="415" t="s">
        <v>807</v>
      </c>
      <c r="M582" s="415" t="s">
        <v>1465</v>
      </c>
      <c r="N582" s="414">
        <v>44565</v>
      </c>
      <c r="O582" s="414" t="s">
        <v>407</v>
      </c>
      <c r="P582" s="222">
        <f t="shared" si="37"/>
        <v>2</v>
      </c>
      <c r="Q582" s="222">
        <f t="shared" si="38"/>
        <v>0</v>
      </c>
      <c r="R582" s="532" t="str">
        <f t="shared" si="39"/>
        <v>Gastos_custeados_por_captação</v>
      </c>
      <c r="S582" s="467" t="s">
        <v>998</v>
      </c>
      <c r="T582" s="467">
        <v>2637</v>
      </c>
      <c r="U582" s="496"/>
      <c r="V582" s="496"/>
      <c r="W582" s="496"/>
    </row>
    <row r="583" spans="1:23" ht="72" x14ac:dyDescent="0.2">
      <c r="A583" s="510">
        <f t="shared" si="36"/>
        <v>580</v>
      </c>
      <c r="B583" s="428">
        <v>44594</v>
      </c>
      <c r="C583" s="431">
        <v>44531</v>
      </c>
      <c r="D583" s="415" t="s">
        <v>468</v>
      </c>
      <c r="E583" s="415" t="s">
        <v>468</v>
      </c>
      <c r="F583" s="425">
        <v>1300</v>
      </c>
      <c r="G583" s="427" t="s">
        <v>2846</v>
      </c>
      <c r="H583" s="415" t="s">
        <v>468</v>
      </c>
      <c r="I583" s="473" t="s">
        <v>2437</v>
      </c>
      <c r="J583" s="415" t="s">
        <v>796</v>
      </c>
      <c r="K583" s="415" t="s">
        <v>797</v>
      </c>
      <c r="L583" s="415" t="s">
        <v>798</v>
      </c>
      <c r="M583" s="415" t="s">
        <v>310</v>
      </c>
      <c r="N583" s="414">
        <v>44595</v>
      </c>
      <c r="O583" s="414" t="s">
        <v>407</v>
      </c>
      <c r="P583" s="222">
        <f t="shared" si="37"/>
        <v>2</v>
      </c>
      <c r="Q583" s="222">
        <f t="shared" si="38"/>
        <v>0</v>
      </c>
      <c r="R583" s="532" t="str">
        <f t="shared" si="39"/>
        <v>Gastos_custeados_por_captação</v>
      </c>
      <c r="S583" s="467" t="s">
        <v>310</v>
      </c>
      <c r="T583" s="467" t="s">
        <v>310</v>
      </c>
      <c r="U583" s="496"/>
      <c r="V583" s="496"/>
      <c r="W583" s="496"/>
    </row>
    <row r="584" spans="1:23" ht="72" x14ac:dyDescent="0.2">
      <c r="A584" s="510">
        <f t="shared" si="36"/>
        <v>581</v>
      </c>
      <c r="B584" s="428">
        <v>44594</v>
      </c>
      <c r="C584" s="431">
        <v>44531</v>
      </c>
      <c r="D584" s="415" t="s">
        <v>468</v>
      </c>
      <c r="E584" s="415" t="s">
        <v>468</v>
      </c>
      <c r="F584" s="425">
        <v>2500</v>
      </c>
      <c r="G584" s="427" t="s">
        <v>686</v>
      </c>
      <c r="H584" s="415" t="s">
        <v>468</v>
      </c>
      <c r="I584" s="473" t="s">
        <v>2847</v>
      </c>
      <c r="J584" s="415" t="s">
        <v>1115</v>
      </c>
      <c r="K584" s="415" t="s">
        <v>830</v>
      </c>
      <c r="L584" s="415" t="s">
        <v>807</v>
      </c>
      <c r="M584" s="415" t="s">
        <v>848</v>
      </c>
      <c r="N584" s="414">
        <v>44586</v>
      </c>
      <c r="O584" s="414" t="s">
        <v>407</v>
      </c>
      <c r="P584" s="222">
        <f t="shared" si="37"/>
        <v>2</v>
      </c>
      <c r="Q584" s="222">
        <f t="shared" si="38"/>
        <v>0</v>
      </c>
      <c r="R584" s="532" t="str">
        <f t="shared" si="39"/>
        <v>Gastos_custeados_por_captação</v>
      </c>
      <c r="S584" s="467" t="s">
        <v>998</v>
      </c>
      <c r="T584" s="467">
        <v>2591</v>
      </c>
      <c r="U584" s="496"/>
      <c r="V584" s="496"/>
      <c r="W584" s="496"/>
    </row>
    <row r="585" spans="1:23" ht="24" x14ac:dyDescent="0.2">
      <c r="A585" s="510">
        <f t="shared" si="36"/>
        <v>582</v>
      </c>
      <c r="B585" s="428">
        <v>44595</v>
      </c>
      <c r="C585" s="466">
        <v>44562</v>
      </c>
      <c r="D585" s="415" t="s">
        <v>182</v>
      </c>
      <c r="E585" s="415" t="s">
        <v>6</v>
      </c>
      <c r="F585" s="425">
        <v>2030.44</v>
      </c>
      <c r="G585" s="440" t="s">
        <v>1542</v>
      </c>
      <c r="H585" s="415" t="s">
        <v>310</v>
      </c>
      <c r="I585" s="460" t="s">
        <v>1486</v>
      </c>
      <c r="J585" s="418" t="s">
        <v>1487</v>
      </c>
      <c r="K585" s="418" t="s">
        <v>812</v>
      </c>
      <c r="L585" s="399" t="s">
        <v>807</v>
      </c>
      <c r="M585" s="415">
        <v>327200</v>
      </c>
      <c r="N585" s="414">
        <v>44601</v>
      </c>
      <c r="O585" s="414" t="s">
        <v>400</v>
      </c>
      <c r="P585" s="222">
        <f t="shared" si="37"/>
        <v>2</v>
      </c>
      <c r="Q585" s="222">
        <f t="shared" si="38"/>
        <v>1</v>
      </c>
      <c r="R585" s="532" t="str">
        <f t="shared" si="39"/>
        <v>Gastos_com_Pessoal</v>
      </c>
      <c r="S585" s="467" t="s">
        <v>310</v>
      </c>
      <c r="T585" s="467" t="s">
        <v>310</v>
      </c>
      <c r="U585" s="496"/>
      <c r="V585" s="496"/>
      <c r="W585" s="496"/>
    </row>
    <row r="586" spans="1:23" ht="24" x14ac:dyDescent="0.2">
      <c r="A586" s="510">
        <f t="shared" si="36"/>
        <v>583</v>
      </c>
      <c r="B586" s="428">
        <v>44595</v>
      </c>
      <c r="C586" s="466">
        <v>44562</v>
      </c>
      <c r="D586" s="415" t="s">
        <v>182</v>
      </c>
      <c r="E586" s="415" t="s">
        <v>6</v>
      </c>
      <c r="F586" s="425">
        <v>257.04000000000002</v>
      </c>
      <c r="G586" s="440" t="s">
        <v>1543</v>
      </c>
      <c r="H586" s="415" t="s">
        <v>310</v>
      </c>
      <c r="I586" s="398" t="s">
        <v>1486</v>
      </c>
      <c r="J586" s="418" t="s">
        <v>1487</v>
      </c>
      <c r="K586" s="418" t="s">
        <v>812</v>
      </c>
      <c r="L586" s="399" t="s">
        <v>807</v>
      </c>
      <c r="M586" s="415">
        <v>326714</v>
      </c>
      <c r="N586" s="414">
        <v>44600</v>
      </c>
      <c r="O586" s="414" t="s">
        <v>400</v>
      </c>
      <c r="P586" s="222">
        <f t="shared" si="37"/>
        <v>2</v>
      </c>
      <c r="Q586" s="222">
        <f t="shared" si="38"/>
        <v>1</v>
      </c>
      <c r="R586" s="532" t="str">
        <f t="shared" si="39"/>
        <v>Gastos_com_Pessoal</v>
      </c>
      <c r="S586" s="467" t="s">
        <v>310</v>
      </c>
      <c r="T586" s="467" t="s">
        <v>310</v>
      </c>
      <c r="U586" s="496"/>
      <c r="V586" s="496"/>
      <c r="W586" s="496"/>
    </row>
    <row r="587" spans="1:23" ht="60" x14ac:dyDescent="0.2">
      <c r="A587" s="510">
        <f>IF(B587="","",ROW()-ROW($A$3))</f>
        <v>584</v>
      </c>
      <c r="B587" s="428">
        <v>44595</v>
      </c>
      <c r="C587" s="466">
        <v>44562</v>
      </c>
      <c r="D587" s="415" t="s">
        <v>468</v>
      </c>
      <c r="E587" s="415" t="s">
        <v>468</v>
      </c>
      <c r="F587" s="425">
        <v>4843</v>
      </c>
      <c r="G587" s="440" t="s">
        <v>7340</v>
      </c>
      <c r="H587" s="415" t="s">
        <v>468</v>
      </c>
      <c r="I587" s="398" t="s">
        <v>7341</v>
      </c>
      <c r="J587" s="418" t="s">
        <v>2538</v>
      </c>
      <c r="K587" s="418" t="s">
        <v>830</v>
      </c>
      <c r="L587" s="399" t="s">
        <v>807</v>
      </c>
      <c r="M587" s="415" t="s">
        <v>1892</v>
      </c>
      <c r="N587" s="414">
        <v>44595</v>
      </c>
      <c r="O587" s="414" t="s">
        <v>401</v>
      </c>
      <c r="P587" s="222">
        <f>IF(B587=0,0,IF(YEAR(B587)=$Q$1,MONTH(B587)-$P$1+1,(YEAR(B587)-$Q$1)*12-$P$1+1+MONTH(B587)))</f>
        <v>2</v>
      </c>
      <c r="Q587" s="222">
        <f>IF(C587=0,0,IF(YEAR(C587)=$Q$1,MONTH(C587)-$P$1+1,(YEAR(C587)-$Q$1)*12-$P$1+1+MONTH(C587)))</f>
        <v>1</v>
      </c>
      <c r="R587" s="532" t="str">
        <f>SUBSTITUTE(D587," ","_")</f>
        <v>Gastos_custeados_por_captação</v>
      </c>
      <c r="S587" s="467" t="s">
        <v>1000</v>
      </c>
      <c r="T587" s="467">
        <v>2292</v>
      </c>
      <c r="U587" s="496"/>
      <c r="V587" s="496"/>
      <c r="W587" s="496"/>
    </row>
    <row r="588" spans="1:23" ht="72" x14ac:dyDescent="0.2">
      <c r="A588" s="510">
        <f t="shared" si="36"/>
        <v>585</v>
      </c>
      <c r="B588" s="428">
        <v>44595</v>
      </c>
      <c r="C588" s="431">
        <v>44562</v>
      </c>
      <c r="D588" s="415" t="s">
        <v>468</v>
      </c>
      <c r="E588" s="415" t="s">
        <v>468</v>
      </c>
      <c r="F588" s="425">
        <v>9686</v>
      </c>
      <c r="G588" s="427" t="s">
        <v>2537</v>
      </c>
      <c r="H588" s="415" t="s">
        <v>468</v>
      </c>
      <c r="I588" s="473" t="s">
        <v>2536</v>
      </c>
      <c r="J588" s="415" t="s">
        <v>2538</v>
      </c>
      <c r="K588" s="415" t="s">
        <v>830</v>
      </c>
      <c r="L588" s="415" t="s">
        <v>807</v>
      </c>
      <c r="M588" s="415" t="s">
        <v>2619</v>
      </c>
      <c r="N588" s="414">
        <v>44596</v>
      </c>
      <c r="O588" s="414" t="s">
        <v>402</v>
      </c>
      <c r="P588" s="222">
        <f t="shared" si="37"/>
        <v>2</v>
      </c>
      <c r="Q588" s="222">
        <f t="shared" si="38"/>
        <v>1</v>
      </c>
      <c r="R588" s="532" t="str">
        <f t="shared" si="39"/>
        <v>Gastos_custeados_por_captação</v>
      </c>
      <c r="S588" s="467" t="s">
        <v>1000</v>
      </c>
      <c r="T588" s="467">
        <v>2292</v>
      </c>
      <c r="U588" s="496"/>
      <c r="V588" s="496"/>
      <c r="W588" s="496"/>
    </row>
    <row r="589" spans="1:23" ht="141" customHeight="1" x14ac:dyDescent="0.2">
      <c r="A589" s="510">
        <f t="shared" si="36"/>
        <v>586</v>
      </c>
      <c r="B589" s="428">
        <v>44595</v>
      </c>
      <c r="C589" s="424">
        <v>44562</v>
      </c>
      <c r="D589" s="415" t="s">
        <v>271</v>
      </c>
      <c r="E589" s="415" t="s">
        <v>90</v>
      </c>
      <c r="F589" s="425">
        <v>-1980.75</v>
      </c>
      <c r="G589" s="427" t="s">
        <v>1541</v>
      </c>
      <c r="H589" s="415" t="s">
        <v>309</v>
      </c>
      <c r="I589" s="473" t="s">
        <v>795</v>
      </c>
      <c r="J589" s="415" t="s">
        <v>796</v>
      </c>
      <c r="K589" s="415" t="s">
        <v>797</v>
      </c>
      <c r="L589" s="415" t="s">
        <v>798</v>
      </c>
      <c r="M589" s="415" t="s">
        <v>310</v>
      </c>
      <c r="N589" s="414">
        <v>44595</v>
      </c>
      <c r="O589" s="414" t="s">
        <v>400</v>
      </c>
      <c r="P589" s="222">
        <f t="shared" si="37"/>
        <v>2</v>
      </c>
      <c r="Q589" s="222">
        <f t="shared" si="38"/>
        <v>1</v>
      </c>
      <c r="R589" s="532" t="str">
        <f t="shared" si="39"/>
        <v>Gastos_Gerais</v>
      </c>
      <c r="S589" s="467" t="s">
        <v>310</v>
      </c>
      <c r="T589" s="467" t="s">
        <v>310</v>
      </c>
      <c r="U589" s="496"/>
      <c r="V589" s="496"/>
      <c r="W589" s="496"/>
    </row>
    <row r="590" spans="1:23" ht="45" customHeight="1" x14ac:dyDescent="0.2">
      <c r="A590" s="510">
        <f t="shared" si="36"/>
        <v>587</v>
      </c>
      <c r="B590" s="428">
        <v>44595</v>
      </c>
      <c r="C590" s="424">
        <v>44531</v>
      </c>
      <c r="D590" s="415" t="s">
        <v>468</v>
      </c>
      <c r="E590" s="415" t="s">
        <v>468</v>
      </c>
      <c r="F590" s="425">
        <v>-18.61</v>
      </c>
      <c r="G590" s="427" t="s">
        <v>2443</v>
      </c>
      <c r="H590" s="415" t="s">
        <v>468</v>
      </c>
      <c r="I590" s="473" t="s">
        <v>2437</v>
      </c>
      <c r="J590" s="415" t="s">
        <v>796</v>
      </c>
      <c r="K590" s="415" t="s">
        <v>797</v>
      </c>
      <c r="L590" s="415" t="s">
        <v>798</v>
      </c>
      <c r="M590" s="415" t="s">
        <v>310</v>
      </c>
      <c r="N590" s="414">
        <v>44595</v>
      </c>
      <c r="O590" s="414" t="s">
        <v>408</v>
      </c>
      <c r="P590" s="222">
        <f t="shared" si="37"/>
        <v>2</v>
      </c>
      <c r="Q590" s="222">
        <f t="shared" si="38"/>
        <v>0</v>
      </c>
      <c r="R590" s="532" t="str">
        <f t="shared" si="39"/>
        <v>Gastos_custeados_por_captação</v>
      </c>
      <c r="S590" s="467" t="s">
        <v>310</v>
      </c>
      <c r="T590" s="467" t="s">
        <v>310</v>
      </c>
      <c r="U590" s="496"/>
      <c r="V590" s="496"/>
      <c r="W590" s="496"/>
    </row>
    <row r="591" spans="1:23" ht="41.25" customHeight="1" x14ac:dyDescent="0.2">
      <c r="A591" s="510">
        <f t="shared" si="36"/>
        <v>588</v>
      </c>
      <c r="B591" s="428">
        <v>44595</v>
      </c>
      <c r="C591" s="424">
        <v>44531</v>
      </c>
      <c r="D591" s="415" t="s">
        <v>468</v>
      </c>
      <c r="E591" s="415" t="s">
        <v>468</v>
      </c>
      <c r="F591" s="425">
        <v>-143.5</v>
      </c>
      <c r="G591" s="427" t="s">
        <v>2444</v>
      </c>
      <c r="H591" s="415" t="s">
        <v>468</v>
      </c>
      <c r="I591" s="473" t="s">
        <v>2437</v>
      </c>
      <c r="J591" s="415" t="s">
        <v>796</v>
      </c>
      <c r="K591" s="415" t="s">
        <v>797</v>
      </c>
      <c r="L591" s="415" t="s">
        <v>798</v>
      </c>
      <c r="M591" s="415" t="s">
        <v>310</v>
      </c>
      <c r="N591" s="414">
        <v>44595</v>
      </c>
      <c r="O591" s="414" t="s">
        <v>408</v>
      </c>
      <c r="P591" s="222">
        <f t="shared" si="37"/>
        <v>2</v>
      </c>
      <c r="Q591" s="222">
        <f t="shared" si="38"/>
        <v>0</v>
      </c>
      <c r="R591" s="532" t="str">
        <f t="shared" si="39"/>
        <v>Gastos_custeados_por_captação</v>
      </c>
      <c r="S591" s="467" t="s">
        <v>310</v>
      </c>
      <c r="T591" s="467" t="s">
        <v>310</v>
      </c>
      <c r="U591" s="496"/>
      <c r="V591" s="496"/>
      <c r="W591" s="496"/>
    </row>
    <row r="592" spans="1:23" ht="115.5" customHeight="1" x14ac:dyDescent="0.2">
      <c r="A592" s="510">
        <f t="shared" si="36"/>
        <v>589</v>
      </c>
      <c r="B592" s="428">
        <v>44595</v>
      </c>
      <c r="C592" s="424">
        <v>44562</v>
      </c>
      <c r="D592" s="415" t="s">
        <v>271</v>
      </c>
      <c r="E592" s="415" t="s">
        <v>90</v>
      </c>
      <c r="F592" s="425">
        <v>7350</v>
      </c>
      <c r="G592" s="427" t="s">
        <v>862</v>
      </c>
      <c r="H592" s="415" t="s">
        <v>309</v>
      </c>
      <c r="I592" s="473" t="s">
        <v>850</v>
      </c>
      <c r="J592" s="415" t="s">
        <v>863</v>
      </c>
      <c r="K592" s="415" t="s">
        <v>830</v>
      </c>
      <c r="L592" s="415" t="s">
        <v>807</v>
      </c>
      <c r="M592" s="415" t="s">
        <v>1540</v>
      </c>
      <c r="N592" s="414">
        <v>44594</v>
      </c>
      <c r="O592" s="414" t="s">
        <v>400</v>
      </c>
      <c r="P592" s="222">
        <f t="shared" si="37"/>
        <v>2</v>
      </c>
      <c r="Q592" s="222">
        <f t="shared" si="38"/>
        <v>1</v>
      </c>
      <c r="R592" s="532" t="str">
        <f t="shared" si="39"/>
        <v>Gastos_Gerais</v>
      </c>
      <c r="S592" s="467" t="s">
        <v>1000</v>
      </c>
      <c r="T592" s="467">
        <v>1134</v>
      </c>
      <c r="U592" s="496"/>
      <c r="V592" s="496"/>
      <c r="W592" s="496"/>
    </row>
    <row r="593" spans="1:23" ht="57" customHeight="1" x14ac:dyDescent="0.2">
      <c r="A593" s="510">
        <f t="shared" si="36"/>
        <v>590</v>
      </c>
      <c r="B593" s="428">
        <v>44595</v>
      </c>
      <c r="C593" s="431">
        <v>44562</v>
      </c>
      <c r="D593" s="415" t="s">
        <v>468</v>
      </c>
      <c r="E593" s="415" t="s">
        <v>468</v>
      </c>
      <c r="F593" s="425">
        <v>4000</v>
      </c>
      <c r="G593" s="427" t="s">
        <v>710</v>
      </c>
      <c r="H593" s="415" t="s">
        <v>468</v>
      </c>
      <c r="I593" s="473" t="s">
        <v>2454</v>
      </c>
      <c r="J593" s="415" t="s">
        <v>1135</v>
      </c>
      <c r="K593" s="415" t="s">
        <v>806</v>
      </c>
      <c r="L593" s="415" t="s">
        <v>807</v>
      </c>
      <c r="M593" s="415" t="s">
        <v>842</v>
      </c>
      <c r="N593" s="414">
        <v>44594</v>
      </c>
      <c r="O593" s="414" t="s">
        <v>408</v>
      </c>
      <c r="P593" s="222">
        <f t="shared" si="37"/>
        <v>2</v>
      </c>
      <c r="Q593" s="222">
        <f t="shared" si="38"/>
        <v>1</v>
      </c>
      <c r="R593" s="532" t="str">
        <f t="shared" si="39"/>
        <v>Gastos_custeados_por_captação</v>
      </c>
      <c r="S593" s="467" t="s">
        <v>1000</v>
      </c>
      <c r="T593" s="467">
        <v>2757</v>
      </c>
      <c r="U593" s="496"/>
      <c r="V593" s="496"/>
      <c r="W593" s="496"/>
    </row>
    <row r="594" spans="1:23" ht="57" customHeight="1" x14ac:dyDescent="0.2">
      <c r="A594" s="510">
        <f t="shared" si="36"/>
        <v>591</v>
      </c>
      <c r="B594" s="428">
        <v>44595</v>
      </c>
      <c r="C594" s="431">
        <v>44562</v>
      </c>
      <c r="D594" s="415" t="s">
        <v>468</v>
      </c>
      <c r="E594" s="415" t="s">
        <v>468</v>
      </c>
      <c r="F594" s="425">
        <v>4400</v>
      </c>
      <c r="G594" s="427" t="s">
        <v>691</v>
      </c>
      <c r="H594" s="415" t="s">
        <v>468</v>
      </c>
      <c r="I594" s="473" t="s">
        <v>846</v>
      </c>
      <c r="J594" s="415" t="s">
        <v>1122</v>
      </c>
      <c r="K594" s="415" t="s">
        <v>806</v>
      </c>
      <c r="L594" s="415" t="s">
        <v>807</v>
      </c>
      <c r="M594" s="415" t="s">
        <v>842</v>
      </c>
      <c r="N594" s="414">
        <v>44594</v>
      </c>
      <c r="O594" s="414" t="s">
        <v>408</v>
      </c>
      <c r="P594" s="222">
        <f t="shared" si="37"/>
        <v>2</v>
      </c>
      <c r="Q594" s="222">
        <f t="shared" si="38"/>
        <v>1</v>
      </c>
      <c r="R594" s="532" t="str">
        <f t="shared" si="39"/>
        <v>Gastos_custeados_por_captação</v>
      </c>
      <c r="S594" s="467" t="s">
        <v>1000</v>
      </c>
      <c r="T594" s="467">
        <v>2640</v>
      </c>
      <c r="U594" s="496"/>
      <c r="V594" s="496"/>
      <c r="W594" s="496"/>
    </row>
    <row r="595" spans="1:23" ht="57" customHeight="1" x14ac:dyDescent="0.2">
      <c r="A595" s="510">
        <f t="shared" si="36"/>
        <v>592</v>
      </c>
      <c r="B595" s="428">
        <v>44595</v>
      </c>
      <c r="C595" s="431">
        <v>44562</v>
      </c>
      <c r="D595" s="415" t="s">
        <v>468</v>
      </c>
      <c r="E595" s="415" t="s">
        <v>468</v>
      </c>
      <c r="F595" s="425">
        <v>2522.5500000000002</v>
      </c>
      <c r="G595" s="427" t="s">
        <v>702</v>
      </c>
      <c r="H595" s="415" t="s">
        <v>468</v>
      </c>
      <c r="I595" s="473" t="s">
        <v>2404</v>
      </c>
      <c r="J595" s="415" t="s">
        <v>1014</v>
      </c>
      <c r="K595" s="415" t="s">
        <v>806</v>
      </c>
      <c r="L595" s="415" t="s">
        <v>1341</v>
      </c>
      <c r="M595" s="415">
        <v>1551</v>
      </c>
      <c r="N595" s="414">
        <v>44594</v>
      </c>
      <c r="O595" s="414" t="s">
        <v>408</v>
      </c>
      <c r="P595" s="222">
        <f t="shared" si="37"/>
        <v>2</v>
      </c>
      <c r="Q595" s="222">
        <f t="shared" si="38"/>
        <v>1</v>
      </c>
      <c r="R595" s="532" t="str">
        <f t="shared" si="39"/>
        <v>Gastos_custeados_por_captação</v>
      </c>
      <c r="S595" s="467" t="s">
        <v>1000</v>
      </c>
      <c r="T595" s="467">
        <v>2672</v>
      </c>
      <c r="U595" s="496"/>
      <c r="V595" s="496"/>
      <c r="W595" s="496"/>
    </row>
    <row r="596" spans="1:23" ht="57" customHeight="1" x14ac:dyDescent="0.2">
      <c r="A596" s="510">
        <f t="shared" si="36"/>
        <v>593</v>
      </c>
      <c r="B596" s="428">
        <v>44595</v>
      </c>
      <c r="C596" s="431">
        <v>44562</v>
      </c>
      <c r="D596" s="415" t="s">
        <v>468</v>
      </c>
      <c r="E596" s="415" t="s">
        <v>468</v>
      </c>
      <c r="F596" s="425">
        <v>2200</v>
      </c>
      <c r="G596" s="427" t="s">
        <v>700</v>
      </c>
      <c r="H596" s="415" t="s">
        <v>468</v>
      </c>
      <c r="I596" s="473" t="s">
        <v>2455</v>
      </c>
      <c r="J596" s="415" t="s">
        <v>2456</v>
      </c>
      <c r="K596" s="415" t="s">
        <v>806</v>
      </c>
      <c r="L596" s="415" t="s">
        <v>807</v>
      </c>
      <c r="M596" s="415" t="s">
        <v>1608</v>
      </c>
      <c r="N596" s="414">
        <v>44594</v>
      </c>
      <c r="O596" s="414" t="s">
        <v>408</v>
      </c>
      <c r="P596" s="222">
        <f t="shared" si="37"/>
        <v>2</v>
      </c>
      <c r="Q596" s="222">
        <f t="shared" si="38"/>
        <v>1</v>
      </c>
      <c r="R596" s="532" t="str">
        <f t="shared" si="39"/>
        <v>Gastos_custeados_por_captação</v>
      </c>
      <c r="S596" s="467" t="s">
        <v>1000</v>
      </c>
      <c r="T596" s="467">
        <v>2693</v>
      </c>
      <c r="U596" s="496"/>
      <c r="V596" s="496"/>
      <c r="W596" s="496"/>
    </row>
    <row r="597" spans="1:23" ht="57" customHeight="1" x14ac:dyDescent="0.2">
      <c r="A597" s="510">
        <f t="shared" si="36"/>
        <v>594</v>
      </c>
      <c r="B597" s="428">
        <v>44595</v>
      </c>
      <c r="C597" s="431">
        <v>44562</v>
      </c>
      <c r="D597" s="415" t="s">
        <v>468</v>
      </c>
      <c r="E597" s="415" t="s">
        <v>468</v>
      </c>
      <c r="F597" s="425">
        <v>2694.72</v>
      </c>
      <c r="G597" s="427" t="s">
        <v>694</v>
      </c>
      <c r="H597" s="415" t="s">
        <v>468</v>
      </c>
      <c r="I597" s="473" t="s">
        <v>2457</v>
      </c>
      <c r="J597" s="415" t="s">
        <v>2410</v>
      </c>
      <c r="K597" s="415" t="s">
        <v>806</v>
      </c>
      <c r="L597" s="415" t="s">
        <v>807</v>
      </c>
      <c r="M597" s="415" t="s">
        <v>1608</v>
      </c>
      <c r="N597" s="414">
        <v>44594</v>
      </c>
      <c r="O597" s="414" t="s">
        <v>408</v>
      </c>
      <c r="P597" s="222">
        <f t="shared" si="37"/>
        <v>2</v>
      </c>
      <c r="Q597" s="222">
        <f t="shared" si="38"/>
        <v>1</v>
      </c>
      <c r="R597" s="532" t="str">
        <f t="shared" si="39"/>
        <v>Gastos_custeados_por_captação</v>
      </c>
      <c r="S597" s="467" t="s">
        <v>1000</v>
      </c>
      <c r="T597" s="467">
        <v>2663</v>
      </c>
      <c r="U597" s="496"/>
      <c r="V597" s="496"/>
      <c r="W597" s="496"/>
    </row>
    <row r="598" spans="1:23" ht="57" customHeight="1" x14ac:dyDescent="0.2">
      <c r="A598" s="510">
        <f t="shared" si="36"/>
        <v>595</v>
      </c>
      <c r="B598" s="428">
        <v>44595</v>
      </c>
      <c r="C598" s="431">
        <v>44562</v>
      </c>
      <c r="D598" s="415" t="s">
        <v>468</v>
      </c>
      <c r="E598" s="415" t="s">
        <v>468</v>
      </c>
      <c r="F598" s="425">
        <v>4312</v>
      </c>
      <c r="G598" s="427" t="s">
        <v>719</v>
      </c>
      <c r="H598" s="415" t="s">
        <v>468</v>
      </c>
      <c r="I598" s="473" t="s">
        <v>850</v>
      </c>
      <c r="J598" s="415" t="s">
        <v>863</v>
      </c>
      <c r="K598" s="415" t="s">
        <v>806</v>
      </c>
      <c r="L598" s="415" t="s">
        <v>807</v>
      </c>
      <c r="M598" s="415" t="s">
        <v>1696</v>
      </c>
      <c r="N598" s="414">
        <v>44594</v>
      </c>
      <c r="O598" s="414" t="s">
        <v>408</v>
      </c>
      <c r="P598" s="222">
        <f t="shared" si="37"/>
        <v>2</v>
      </c>
      <c r="Q598" s="222">
        <f t="shared" si="38"/>
        <v>1</v>
      </c>
      <c r="R598" s="532" t="str">
        <f t="shared" si="39"/>
        <v>Gastos_custeados_por_captação</v>
      </c>
      <c r="S598" s="467" t="s">
        <v>1000</v>
      </c>
      <c r="T598" s="467">
        <v>2776</v>
      </c>
      <c r="U598" s="496"/>
      <c r="V598" s="496"/>
      <c r="W598" s="496"/>
    </row>
    <row r="599" spans="1:23" ht="36" x14ac:dyDescent="0.2">
      <c r="A599" s="510">
        <f t="shared" si="36"/>
        <v>596</v>
      </c>
      <c r="B599" s="428">
        <v>44595</v>
      </c>
      <c r="C599" s="431">
        <v>44562</v>
      </c>
      <c r="D599" s="415" t="s">
        <v>468</v>
      </c>
      <c r="E599" s="415" t="s">
        <v>468</v>
      </c>
      <c r="F599" s="425">
        <v>116.77</v>
      </c>
      <c r="G599" s="427" t="s">
        <v>2462</v>
      </c>
      <c r="H599" s="415" t="s">
        <v>468</v>
      </c>
      <c r="I599" s="473" t="s">
        <v>764</v>
      </c>
      <c r="J599" s="415" t="s">
        <v>310</v>
      </c>
      <c r="K599" s="415" t="s">
        <v>1220</v>
      </c>
      <c r="L599" s="415" t="s">
        <v>1281</v>
      </c>
      <c r="M599" s="546">
        <v>222024549766</v>
      </c>
      <c r="N599" s="414">
        <v>44594</v>
      </c>
      <c r="O599" s="414" t="s">
        <v>408</v>
      </c>
      <c r="P599" s="222">
        <f t="shared" si="37"/>
        <v>2</v>
      </c>
      <c r="Q599" s="222">
        <f t="shared" si="38"/>
        <v>1</v>
      </c>
      <c r="R599" s="532" t="str">
        <f t="shared" si="39"/>
        <v>Gastos_custeados_por_captação</v>
      </c>
      <c r="S599" s="467" t="s">
        <v>310</v>
      </c>
      <c r="T599" s="467" t="s">
        <v>310</v>
      </c>
      <c r="U599" s="496"/>
      <c r="V599" s="496"/>
      <c r="W599" s="496"/>
    </row>
    <row r="600" spans="1:23" ht="72" x14ac:dyDescent="0.2">
      <c r="A600" s="510">
        <f t="shared" si="36"/>
        <v>597</v>
      </c>
      <c r="B600" s="428">
        <v>44596</v>
      </c>
      <c r="C600" s="431">
        <v>44562</v>
      </c>
      <c r="D600" s="415" t="s">
        <v>468</v>
      </c>
      <c r="E600" s="415" t="s">
        <v>468</v>
      </c>
      <c r="F600" s="425">
        <v>3920</v>
      </c>
      <c r="G600" s="427" t="s">
        <v>699</v>
      </c>
      <c r="H600" s="415" t="s">
        <v>468</v>
      </c>
      <c r="I600" s="473" t="s">
        <v>865</v>
      </c>
      <c r="J600" s="415" t="s">
        <v>866</v>
      </c>
      <c r="K600" s="415" t="s">
        <v>830</v>
      </c>
      <c r="L600" s="415" t="s">
        <v>32</v>
      </c>
      <c r="M600" s="415" t="s">
        <v>1503</v>
      </c>
      <c r="N600" s="414">
        <v>44600</v>
      </c>
      <c r="O600" s="414" t="s">
        <v>402</v>
      </c>
      <c r="P600" s="222">
        <f t="shared" si="37"/>
        <v>2</v>
      </c>
      <c r="Q600" s="222">
        <f t="shared" si="38"/>
        <v>1</v>
      </c>
      <c r="R600" s="532" t="str">
        <f t="shared" si="39"/>
        <v>Gastos_custeados_por_captação</v>
      </c>
      <c r="S600" s="467" t="s">
        <v>1000</v>
      </c>
      <c r="T600" s="467">
        <v>2710</v>
      </c>
      <c r="U600" s="496"/>
      <c r="V600" s="496"/>
      <c r="W600" s="496"/>
    </row>
    <row r="601" spans="1:23" ht="36" x14ac:dyDescent="0.2">
      <c r="A601" s="510">
        <f t="shared" si="36"/>
        <v>598</v>
      </c>
      <c r="B601" s="428">
        <v>44596</v>
      </c>
      <c r="C601" s="433">
        <v>44562</v>
      </c>
      <c r="D601" s="415" t="s">
        <v>182</v>
      </c>
      <c r="E601" s="415" t="s">
        <v>1</v>
      </c>
      <c r="F601" s="425">
        <v>4562.1499999999996</v>
      </c>
      <c r="G601" s="427" t="s">
        <v>1544</v>
      </c>
      <c r="H601" s="415" t="s">
        <v>310</v>
      </c>
      <c r="I601" s="473" t="s">
        <v>907</v>
      </c>
      <c r="J601" s="415" t="s">
        <v>908</v>
      </c>
      <c r="K601" s="415" t="s">
        <v>806</v>
      </c>
      <c r="L601" s="415" t="s">
        <v>909</v>
      </c>
      <c r="M601" s="415" t="s">
        <v>310</v>
      </c>
      <c r="N601" s="414">
        <v>44596</v>
      </c>
      <c r="O601" s="414" t="s">
        <v>400</v>
      </c>
      <c r="P601" s="222">
        <f t="shared" si="37"/>
        <v>2</v>
      </c>
      <c r="Q601" s="222">
        <f t="shared" si="38"/>
        <v>1</v>
      </c>
      <c r="R601" s="532" t="str">
        <f t="shared" si="39"/>
        <v>Gastos_com_Pessoal</v>
      </c>
      <c r="S601" s="467" t="s">
        <v>310</v>
      </c>
      <c r="T601" s="467" t="s">
        <v>310</v>
      </c>
      <c r="U601" s="496"/>
      <c r="V601" s="496"/>
      <c r="W601" s="496"/>
    </row>
    <row r="602" spans="1:23" ht="36" x14ac:dyDescent="0.2">
      <c r="A602" s="510">
        <f t="shared" si="36"/>
        <v>599</v>
      </c>
      <c r="B602" s="428">
        <v>44596</v>
      </c>
      <c r="C602" s="433">
        <v>44562</v>
      </c>
      <c r="D602" s="415" t="s">
        <v>182</v>
      </c>
      <c r="E602" s="415" t="s">
        <v>1</v>
      </c>
      <c r="F602" s="425">
        <v>2077.66</v>
      </c>
      <c r="G602" s="427" t="s">
        <v>1546</v>
      </c>
      <c r="H602" s="415" t="s">
        <v>310</v>
      </c>
      <c r="I602" s="473" t="s">
        <v>911</v>
      </c>
      <c r="J602" s="415" t="s">
        <v>912</v>
      </c>
      <c r="K602" s="415" t="s">
        <v>806</v>
      </c>
      <c r="L602" s="415" t="s">
        <v>909</v>
      </c>
      <c r="M602" s="415" t="s">
        <v>310</v>
      </c>
      <c r="N602" s="414">
        <v>44596</v>
      </c>
      <c r="O602" s="414" t="s">
        <v>400</v>
      </c>
      <c r="P602" s="222">
        <f t="shared" si="37"/>
        <v>2</v>
      </c>
      <c r="Q602" s="222">
        <f t="shared" si="38"/>
        <v>1</v>
      </c>
      <c r="R602" s="532" t="str">
        <f t="shared" si="39"/>
        <v>Gastos_com_Pessoal</v>
      </c>
      <c r="S602" s="467" t="s">
        <v>310</v>
      </c>
      <c r="T602" s="467" t="s">
        <v>310</v>
      </c>
      <c r="U602" s="496"/>
      <c r="V602" s="496"/>
      <c r="W602" s="496"/>
    </row>
    <row r="603" spans="1:23" ht="36" x14ac:dyDescent="0.2">
      <c r="A603" s="510">
        <f t="shared" si="36"/>
        <v>600</v>
      </c>
      <c r="B603" s="428">
        <v>44596</v>
      </c>
      <c r="C603" s="433">
        <v>44562</v>
      </c>
      <c r="D603" s="415" t="s">
        <v>182</v>
      </c>
      <c r="E603" s="415" t="s">
        <v>1</v>
      </c>
      <c r="F603" s="425">
        <v>2261.98</v>
      </c>
      <c r="G603" s="427" t="s">
        <v>1547</v>
      </c>
      <c r="H603" s="415" t="s">
        <v>310</v>
      </c>
      <c r="I603" s="473" t="s">
        <v>914</v>
      </c>
      <c r="J603" s="415" t="s">
        <v>915</v>
      </c>
      <c r="K603" s="415" t="s">
        <v>806</v>
      </c>
      <c r="L603" s="415" t="s">
        <v>909</v>
      </c>
      <c r="M603" s="415" t="s">
        <v>310</v>
      </c>
      <c r="N603" s="414">
        <v>44596</v>
      </c>
      <c r="O603" s="414" t="s">
        <v>400</v>
      </c>
      <c r="P603" s="222">
        <f t="shared" si="37"/>
        <v>2</v>
      </c>
      <c r="Q603" s="222">
        <f t="shared" si="38"/>
        <v>1</v>
      </c>
      <c r="R603" s="532" t="str">
        <f t="shared" si="39"/>
        <v>Gastos_com_Pessoal</v>
      </c>
      <c r="S603" s="467" t="s">
        <v>310</v>
      </c>
      <c r="T603" s="467" t="s">
        <v>310</v>
      </c>
      <c r="U603" s="496"/>
      <c r="V603" s="496"/>
      <c r="W603" s="496"/>
    </row>
    <row r="604" spans="1:23" ht="36" x14ac:dyDescent="0.2">
      <c r="A604" s="510">
        <f t="shared" si="36"/>
        <v>601</v>
      </c>
      <c r="B604" s="428">
        <v>44596</v>
      </c>
      <c r="C604" s="433">
        <v>44562</v>
      </c>
      <c r="D604" s="415" t="s">
        <v>182</v>
      </c>
      <c r="E604" s="415" t="s">
        <v>1</v>
      </c>
      <c r="F604" s="425">
        <v>2095.64</v>
      </c>
      <c r="G604" s="427" t="s">
        <v>1546</v>
      </c>
      <c r="H604" s="415" t="s">
        <v>310</v>
      </c>
      <c r="I604" s="473" t="s">
        <v>916</v>
      </c>
      <c r="J604" s="415" t="s">
        <v>917</v>
      </c>
      <c r="K604" s="415" t="s">
        <v>806</v>
      </c>
      <c r="L604" s="415" t="s">
        <v>909</v>
      </c>
      <c r="M604" s="415" t="s">
        <v>310</v>
      </c>
      <c r="N604" s="414">
        <v>44596</v>
      </c>
      <c r="O604" s="414" t="s">
        <v>400</v>
      </c>
      <c r="P604" s="222">
        <f t="shared" si="37"/>
        <v>2</v>
      </c>
      <c r="Q604" s="222">
        <f t="shared" si="38"/>
        <v>1</v>
      </c>
      <c r="R604" s="532" t="str">
        <f t="shared" si="39"/>
        <v>Gastos_com_Pessoal</v>
      </c>
      <c r="S604" s="467" t="s">
        <v>310</v>
      </c>
      <c r="T604" s="467" t="s">
        <v>310</v>
      </c>
      <c r="U604" s="496"/>
      <c r="V604" s="496"/>
      <c r="W604" s="496"/>
    </row>
    <row r="605" spans="1:23" ht="36" x14ac:dyDescent="0.2">
      <c r="A605" s="510">
        <f t="shared" si="36"/>
        <v>602</v>
      </c>
      <c r="B605" s="428">
        <v>44596</v>
      </c>
      <c r="C605" s="433">
        <v>44562</v>
      </c>
      <c r="D605" s="415" t="s">
        <v>182</v>
      </c>
      <c r="E605" s="415" t="s">
        <v>1</v>
      </c>
      <c r="F605" s="425">
        <v>2095.64</v>
      </c>
      <c r="G605" s="427" t="s">
        <v>1546</v>
      </c>
      <c r="H605" s="415" t="s">
        <v>310</v>
      </c>
      <c r="I605" s="473" t="s">
        <v>918</v>
      </c>
      <c r="J605" s="415" t="s">
        <v>919</v>
      </c>
      <c r="K605" s="415" t="s">
        <v>806</v>
      </c>
      <c r="L605" s="415" t="s">
        <v>909</v>
      </c>
      <c r="M605" s="415" t="s">
        <v>310</v>
      </c>
      <c r="N605" s="414">
        <v>44596</v>
      </c>
      <c r="O605" s="414" t="s">
        <v>400</v>
      </c>
      <c r="P605" s="222">
        <f t="shared" si="37"/>
        <v>2</v>
      </c>
      <c r="Q605" s="222">
        <f t="shared" si="38"/>
        <v>1</v>
      </c>
      <c r="R605" s="532" t="str">
        <f t="shared" si="39"/>
        <v>Gastos_com_Pessoal</v>
      </c>
      <c r="S605" s="467" t="s">
        <v>310</v>
      </c>
      <c r="T605" s="467" t="s">
        <v>310</v>
      </c>
      <c r="U605" s="496"/>
      <c r="V605" s="496"/>
      <c r="W605" s="496"/>
    </row>
    <row r="606" spans="1:23" ht="36" x14ac:dyDescent="0.2">
      <c r="A606" s="510">
        <f t="shared" si="36"/>
        <v>603</v>
      </c>
      <c r="B606" s="428">
        <v>44596</v>
      </c>
      <c r="C606" s="433">
        <v>44562</v>
      </c>
      <c r="D606" s="415" t="s">
        <v>182</v>
      </c>
      <c r="E606" s="415" t="s">
        <v>1</v>
      </c>
      <c r="F606" s="425">
        <v>2091.25</v>
      </c>
      <c r="G606" s="427" t="s">
        <v>1546</v>
      </c>
      <c r="H606" s="415" t="s">
        <v>310</v>
      </c>
      <c r="I606" s="473" t="s">
        <v>920</v>
      </c>
      <c r="J606" s="415" t="s">
        <v>921</v>
      </c>
      <c r="K606" s="415" t="s">
        <v>806</v>
      </c>
      <c r="L606" s="415" t="s">
        <v>909</v>
      </c>
      <c r="M606" s="415" t="s">
        <v>310</v>
      </c>
      <c r="N606" s="414">
        <v>44596</v>
      </c>
      <c r="O606" s="414" t="s">
        <v>400</v>
      </c>
      <c r="P606" s="222">
        <f t="shared" si="37"/>
        <v>2</v>
      </c>
      <c r="Q606" s="222">
        <f t="shared" si="38"/>
        <v>1</v>
      </c>
      <c r="R606" s="532" t="str">
        <f t="shared" si="39"/>
        <v>Gastos_com_Pessoal</v>
      </c>
      <c r="S606" s="467" t="s">
        <v>310</v>
      </c>
      <c r="T606" s="467" t="s">
        <v>310</v>
      </c>
      <c r="U606" s="496"/>
      <c r="V606" s="496"/>
      <c r="W606" s="496"/>
    </row>
    <row r="607" spans="1:23" ht="36" x14ac:dyDescent="0.2">
      <c r="A607" s="510">
        <f t="shared" si="36"/>
        <v>604</v>
      </c>
      <c r="B607" s="428">
        <v>44596</v>
      </c>
      <c r="C607" s="433">
        <v>44562</v>
      </c>
      <c r="D607" s="415" t="s">
        <v>182</v>
      </c>
      <c r="E607" s="415" t="s">
        <v>1</v>
      </c>
      <c r="F607" s="425">
        <v>4419.2299999999996</v>
      </c>
      <c r="G607" s="427" t="s">
        <v>1548</v>
      </c>
      <c r="H607" s="415" t="s">
        <v>310</v>
      </c>
      <c r="I607" s="473" t="s">
        <v>923</v>
      </c>
      <c r="J607" s="415" t="s">
        <v>924</v>
      </c>
      <c r="K607" s="415" t="s">
        <v>806</v>
      </c>
      <c r="L607" s="415" t="s">
        <v>909</v>
      </c>
      <c r="M607" s="415" t="s">
        <v>310</v>
      </c>
      <c r="N607" s="414">
        <v>44596</v>
      </c>
      <c r="O607" s="414" t="s">
        <v>400</v>
      </c>
      <c r="P607" s="222">
        <f t="shared" si="37"/>
        <v>2</v>
      </c>
      <c r="Q607" s="222">
        <f t="shared" si="38"/>
        <v>1</v>
      </c>
      <c r="R607" s="532" t="str">
        <f t="shared" si="39"/>
        <v>Gastos_com_Pessoal</v>
      </c>
      <c r="S607" s="467" t="s">
        <v>310</v>
      </c>
      <c r="T607" s="467" t="s">
        <v>310</v>
      </c>
      <c r="U607" s="496"/>
      <c r="V607" s="496"/>
      <c r="W607" s="496"/>
    </row>
    <row r="608" spans="1:23" ht="36" x14ac:dyDescent="0.2">
      <c r="A608" s="510">
        <f t="shared" si="36"/>
        <v>605</v>
      </c>
      <c r="B608" s="428">
        <v>44596</v>
      </c>
      <c r="C608" s="433">
        <v>44562</v>
      </c>
      <c r="D608" s="415" t="s">
        <v>182</v>
      </c>
      <c r="E608" s="415" t="s">
        <v>1</v>
      </c>
      <c r="F608" s="425">
        <v>2077.66</v>
      </c>
      <c r="G608" s="427" t="s">
        <v>1546</v>
      </c>
      <c r="H608" s="415" t="s">
        <v>310</v>
      </c>
      <c r="I608" s="473" t="s">
        <v>926</v>
      </c>
      <c r="J608" s="415" t="s">
        <v>927</v>
      </c>
      <c r="K608" s="415" t="s">
        <v>806</v>
      </c>
      <c r="L608" s="415" t="s">
        <v>909</v>
      </c>
      <c r="M608" s="415" t="s">
        <v>310</v>
      </c>
      <c r="N608" s="414">
        <v>44596</v>
      </c>
      <c r="O608" s="414" t="s">
        <v>400</v>
      </c>
      <c r="P608" s="222">
        <f t="shared" si="37"/>
        <v>2</v>
      </c>
      <c r="Q608" s="222">
        <f t="shared" si="38"/>
        <v>1</v>
      </c>
      <c r="R608" s="532" t="str">
        <f t="shared" si="39"/>
        <v>Gastos_com_Pessoal</v>
      </c>
      <c r="S608" s="467" t="s">
        <v>310</v>
      </c>
      <c r="T608" s="467" t="s">
        <v>310</v>
      </c>
      <c r="U608" s="496"/>
      <c r="V608" s="496"/>
      <c r="W608" s="496"/>
    </row>
    <row r="609" spans="1:23" ht="36" x14ac:dyDescent="0.2">
      <c r="A609" s="510">
        <f t="shared" si="36"/>
        <v>606</v>
      </c>
      <c r="B609" s="428">
        <v>44596</v>
      </c>
      <c r="C609" s="424">
        <v>44562</v>
      </c>
      <c r="D609" s="415" t="s">
        <v>182</v>
      </c>
      <c r="E609" s="415" t="s">
        <v>1</v>
      </c>
      <c r="F609" s="425">
        <v>103.9</v>
      </c>
      <c r="G609" s="427" t="s">
        <v>1554</v>
      </c>
      <c r="H609" s="415" t="s">
        <v>310</v>
      </c>
      <c r="I609" s="473" t="s">
        <v>929</v>
      </c>
      <c r="J609" s="415" t="s">
        <v>930</v>
      </c>
      <c r="K609" s="415" t="s">
        <v>806</v>
      </c>
      <c r="L609" s="415" t="s">
        <v>925</v>
      </c>
      <c r="M609" s="415" t="s">
        <v>310</v>
      </c>
      <c r="N609" s="414">
        <v>44596</v>
      </c>
      <c r="O609" s="414" t="s">
        <v>400</v>
      </c>
      <c r="P609" s="222">
        <f t="shared" si="37"/>
        <v>2</v>
      </c>
      <c r="Q609" s="222">
        <f t="shared" si="38"/>
        <v>1</v>
      </c>
      <c r="R609" s="532" t="str">
        <f t="shared" si="39"/>
        <v>Gastos_com_Pessoal</v>
      </c>
      <c r="S609" s="467" t="s">
        <v>310</v>
      </c>
      <c r="T609" s="467" t="s">
        <v>310</v>
      </c>
      <c r="U609" s="496"/>
      <c r="V609" s="496"/>
      <c r="W609" s="496"/>
    </row>
    <row r="610" spans="1:23" ht="36" x14ac:dyDescent="0.2">
      <c r="A610" s="510">
        <f t="shared" si="36"/>
        <v>607</v>
      </c>
      <c r="B610" s="428">
        <v>44596</v>
      </c>
      <c r="C610" s="424">
        <v>44562</v>
      </c>
      <c r="D610" s="415" t="s">
        <v>182</v>
      </c>
      <c r="E610" s="415" t="s">
        <v>1</v>
      </c>
      <c r="F610" s="425">
        <v>2095.64</v>
      </c>
      <c r="G610" s="427" t="s">
        <v>1549</v>
      </c>
      <c r="H610" s="415" t="s">
        <v>310</v>
      </c>
      <c r="I610" s="473" t="s">
        <v>932</v>
      </c>
      <c r="J610" s="415" t="s">
        <v>933</v>
      </c>
      <c r="K610" s="415" t="s">
        <v>806</v>
      </c>
      <c r="L610" s="415" t="s">
        <v>909</v>
      </c>
      <c r="M610" s="415" t="s">
        <v>310</v>
      </c>
      <c r="N610" s="414">
        <v>44596</v>
      </c>
      <c r="O610" s="414" t="s">
        <v>400</v>
      </c>
      <c r="P610" s="222">
        <f t="shared" si="37"/>
        <v>2</v>
      </c>
      <c r="Q610" s="222">
        <f t="shared" si="38"/>
        <v>1</v>
      </c>
      <c r="R610" s="532" t="str">
        <f t="shared" si="39"/>
        <v>Gastos_com_Pessoal</v>
      </c>
      <c r="S610" s="467" t="s">
        <v>310</v>
      </c>
      <c r="T610" s="467" t="s">
        <v>310</v>
      </c>
      <c r="U610" s="496"/>
      <c r="V610" s="496"/>
      <c r="W610" s="496"/>
    </row>
    <row r="611" spans="1:23" ht="36" x14ac:dyDescent="0.2">
      <c r="A611" s="510">
        <f t="shared" si="36"/>
        <v>608</v>
      </c>
      <c r="B611" s="428">
        <v>44596</v>
      </c>
      <c r="C611" s="424">
        <v>44562</v>
      </c>
      <c r="D611" s="415" t="s">
        <v>182</v>
      </c>
      <c r="E611" s="415" t="s">
        <v>1</v>
      </c>
      <c r="F611" s="425">
        <v>2095.64</v>
      </c>
      <c r="G611" s="427" t="s">
        <v>1546</v>
      </c>
      <c r="H611" s="415" t="s">
        <v>310</v>
      </c>
      <c r="I611" s="473" t="s">
        <v>935</v>
      </c>
      <c r="J611" s="415" t="s">
        <v>936</v>
      </c>
      <c r="K611" s="415" t="s">
        <v>806</v>
      </c>
      <c r="L611" s="415" t="s">
        <v>909</v>
      </c>
      <c r="M611" s="415" t="s">
        <v>310</v>
      </c>
      <c r="N611" s="414">
        <v>44596</v>
      </c>
      <c r="O611" s="414" t="s">
        <v>400</v>
      </c>
      <c r="P611" s="222">
        <f t="shared" si="37"/>
        <v>2</v>
      </c>
      <c r="Q611" s="222">
        <f t="shared" si="38"/>
        <v>1</v>
      </c>
      <c r="R611" s="532" t="str">
        <f t="shared" si="39"/>
        <v>Gastos_com_Pessoal</v>
      </c>
      <c r="S611" s="467" t="s">
        <v>310</v>
      </c>
      <c r="T611" s="467" t="s">
        <v>310</v>
      </c>
      <c r="U611" s="496"/>
      <c r="V611" s="496"/>
      <c r="W611" s="496"/>
    </row>
    <row r="612" spans="1:23" ht="36" x14ac:dyDescent="0.2">
      <c r="A612" s="510">
        <f t="shared" si="36"/>
        <v>609</v>
      </c>
      <c r="B612" s="428">
        <v>44596</v>
      </c>
      <c r="C612" s="424">
        <v>44562</v>
      </c>
      <c r="D612" s="415" t="s">
        <v>182</v>
      </c>
      <c r="E612" s="415" t="s">
        <v>1</v>
      </c>
      <c r="F612" s="425">
        <v>2842.67</v>
      </c>
      <c r="G612" s="427" t="s">
        <v>1550</v>
      </c>
      <c r="H612" s="415" t="s">
        <v>310</v>
      </c>
      <c r="I612" s="473" t="s">
        <v>938</v>
      </c>
      <c r="J612" s="415" t="s">
        <v>939</v>
      </c>
      <c r="K612" s="415" t="s">
        <v>806</v>
      </c>
      <c r="L612" s="415" t="s">
        <v>909</v>
      </c>
      <c r="M612" s="415" t="s">
        <v>310</v>
      </c>
      <c r="N612" s="414">
        <v>44596</v>
      </c>
      <c r="O612" s="414" t="s">
        <v>400</v>
      </c>
      <c r="P612" s="222">
        <f t="shared" si="37"/>
        <v>2</v>
      </c>
      <c r="Q612" s="222">
        <f t="shared" si="38"/>
        <v>1</v>
      </c>
      <c r="R612" s="532" t="str">
        <f t="shared" si="39"/>
        <v>Gastos_com_Pessoal</v>
      </c>
      <c r="S612" s="467" t="s">
        <v>310</v>
      </c>
      <c r="T612" s="467" t="s">
        <v>310</v>
      </c>
      <c r="U612" s="496"/>
      <c r="V612" s="496"/>
      <c r="W612" s="496"/>
    </row>
    <row r="613" spans="1:23" ht="36" x14ac:dyDescent="0.2">
      <c r="A613" s="510">
        <f t="shared" si="36"/>
        <v>610</v>
      </c>
      <c r="B613" s="428">
        <v>44596</v>
      </c>
      <c r="C613" s="424">
        <v>44562</v>
      </c>
      <c r="D613" s="415" t="s">
        <v>182</v>
      </c>
      <c r="E613" s="415" t="s">
        <v>1</v>
      </c>
      <c r="F613" s="425">
        <v>10662.87</v>
      </c>
      <c r="G613" s="427" t="s">
        <v>1551</v>
      </c>
      <c r="H613" s="415" t="s">
        <v>310</v>
      </c>
      <c r="I613" s="473" t="s">
        <v>941</v>
      </c>
      <c r="J613" s="415" t="s">
        <v>942</v>
      </c>
      <c r="K613" s="415" t="s">
        <v>806</v>
      </c>
      <c r="L613" s="415" t="s">
        <v>909</v>
      </c>
      <c r="M613" s="415" t="s">
        <v>310</v>
      </c>
      <c r="N613" s="414">
        <v>44596</v>
      </c>
      <c r="O613" s="414" t="s">
        <v>400</v>
      </c>
      <c r="P613" s="222">
        <f t="shared" si="37"/>
        <v>2</v>
      </c>
      <c r="Q613" s="222">
        <f t="shared" si="38"/>
        <v>1</v>
      </c>
      <c r="R613" s="532" t="str">
        <f t="shared" si="39"/>
        <v>Gastos_com_Pessoal</v>
      </c>
      <c r="S613" s="467" t="s">
        <v>310</v>
      </c>
      <c r="T613" s="467" t="s">
        <v>310</v>
      </c>
      <c r="U613" s="496"/>
      <c r="V613" s="496"/>
      <c r="W613" s="496"/>
    </row>
    <row r="614" spans="1:23" ht="36" x14ac:dyDescent="0.2">
      <c r="A614" s="510">
        <f t="shared" si="36"/>
        <v>611</v>
      </c>
      <c r="B614" s="428">
        <v>44596</v>
      </c>
      <c r="C614" s="424">
        <v>44562</v>
      </c>
      <c r="D614" s="415" t="s">
        <v>182</v>
      </c>
      <c r="E614" s="415" t="s">
        <v>1</v>
      </c>
      <c r="F614" s="425">
        <v>2095.64</v>
      </c>
      <c r="G614" s="427" t="s">
        <v>1546</v>
      </c>
      <c r="H614" s="415" t="s">
        <v>310</v>
      </c>
      <c r="I614" s="473" t="s">
        <v>943</v>
      </c>
      <c r="J614" s="415" t="s">
        <v>1553</v>
      </c>
      <c r="K614" s="415" t="s">
        <v>806</v>
      </c>
      <c r="L614" s="415" t="s">
        <v>909</v>
      </c>
      <c r="M614" s="415" t="s">
        <v>310</v>
      </c>
      <c r="N614" s="414">
        <v>44596</v>
      </c>
      <c r="O614" s="414" t="s">
        <v>400</v>
      </c>
      <c r="P614" s="222">
        <f t="shared" si="37"/>
        <v>2</v>
      </c>
      <c r="Q614" s="222">
        <f t="shared" si="38"/>
        <v>1</v>
      </c>
      <c r="R614" s="532" t="str">
        <f t="shared" si="39"/>
        <v>Gastos_com_Pessoal</v>
      </c>
      <c r="S614" s="467" t="s">
        <v>310</v>
      </c>
      <c r="T614" s="467" t="s">
        <v>310</v>
      </c>
      <c r="U614" s="496"/>
      <c r="V614" s="496"/>
      <c r="W614" s="496"/>
    </row>
    <row r="615" spans="1:23" ht="36" x14ac:dyDescent="0.2">
      <c r="A615" s="510">
        <f t="shared" si="36"/>
        <v>612</v>
      </c>
      <c r="B615" s="428">
        <v>44596</v>
      </c>
      <c r="C615" s="424">
        <v>44562</v>
      </c>
      <c r="D615" s="415" t="s">
        <v>182</v>
      </c>
      <c r="E615" s="415" t="s">
        <v>1</v>
      </c>
      <c r="F615" s="425">
        <v>575.52</v>
      </c>
      <c r="G615" s="427" t="s">
        <v>1552</v>
      </c>
      <c r="H615" s="415" t="s">
        <v>310</v>
      </c>
      <c r="I615" s="473" t="s">
        <v>946</v>
      </c>
      <c r="J615" s="415" t="s">
        <v>947</v>
      </c>
      <c r="K615" s="415" t="s">
        <v>806</v>
      </c>
      <c r="L615" s="415" t="s">
        <v>909</v>
      </c>
      <c r="M615" s="415" t="s">
        <v>310</v>
      </c>
      <c r="N615" s="414">
        <v>44596</v>
      </c>
      <c r="O615" s="414" t="s">
        <v>400</v>
      </c>
      <c r="P615" s="222">
        <f t="shared" si="37"/>
        <v>2</v>
      </c>
      <c r="Q615" s="222">
        <f t="shared" si="38"/>
        <v>1</v>
      </c>
      <c r="R615" s="532" t="str">
        <f t="shared" si="39"/>
        <v>Gastos_com_Pessoal</v>
      </c>
      <c r="S615" s="467" t="s">
        <v>310</v>
      </c>
      <c r="T615" s="467" t="s">
        <v>310</v>
      </c>
      <c r="U615" s="496"/>
      <c r="V615" s="496"/>
      <c r="W615" s="496"/>
    </row>
    <row r="616" spans="1:23" s="308" customFormat="1" ht="36" x14ac:dyDescent="0.2">
      <c r="A616" s="510">
        <f t="shared" si="36"/>
        <v>613</v>
      </c>
      <c r="B616" s="428">
        <v>44596</v>
      </c>
      <c r="C616" s="424">
        <v>44562</v>
      </c>
      <c r="D616" s="415" t="s">
        <v>182</v>
      </c>
      <c r="E616" s="415" t="s">
        <v>1</v>
      </c>
      <c r="F616" s="425">
        <v>4562.1499999999996</v>
      </c>
      <c r="G616" s="427" t="s">
        <v>1555</v>
      </c>
      <c r="H616" s="415" t="s">
        <v>310</v>
      </c>
      <c r="I616" s="473" t="s">
        <v>949</v>
      </c>
      <c r="J616" s="415" t="s">
        <v>950</v>
      </c>
      <c r="K616" s="415" t="s">
        <v>806</v>
      </c>
      <c r="L616" s="415" t="s">
        <v>909</v>
      </c>
      <c r="M616" s="415" t="s">
        <v>310</v>
      </c>
      <c r="N616" s="414">
        <v>44596</v>
      </c>
      <c r="O616" s="414" t="s">
        <v>400</v>
      </c>
      <c r="P616" s="222">
        <f t="shared" si="37"/>
        <v>2</v>
      </c>
      <c r="Q616" s="222">
        <f t="shared" si="38"/>
        <v>1</v>
      </c>
      <c r="R616" s="532" t="str">
        <f t="shared" si="39"/>
        <v>Gastos_com_Pessoal</v>
      </c>
      <c r="S616" s="467" t="s">
        <v>310</v>
      </c>
      <c r="T616" s="467" t="s">
        <v>310</v>
      </c>
      <c r="U616" s="496"/>
      <c r="V616" s="496"/>
      <c r="W616" s="496"/>
    </row>
    <row r="617" spans="1:23" ht="36" x14ac:dyDescent="0.2">
      <c r="A617" s="510">
        <f t="shared" si="36"/>
        <v>614</v>
      </c>
      <c r="B617" s="428">
        <v>44596</v>
      </c>
      <c r="C617" s="424">
        <v>44562</v>
      </c>
      <c r="D617" s="415" t="s">
        <v>182</v>
      </c>
      <c r="E617" s="415" t="s">
        <v>1</v>
      </c>
      <c r="F617" s="425">
        <v>4403.68</v>
      </c>
      <c r="G617" s="427" t="s">
        <v>1556</v>
      </c>
      <c r="H617" s="415" t="s">
        <v>310</v>
      </c>
      <c r="I617" s="473" t="s">
        <v>952</v>
      </c>
      <c r="J617" s="415" t="s">
        <v>953</v>
      </c>
      <c r="K617" s="415" t="s">
        <v>830</v>
      </c>
      <c r="L617" s="415" t="s">
        <v>909</v>
      </c>
      <c r="M617" s="415" t="s">
        <v>310</v>
      </c>
      <c r="N617" s="414">
        <v>44596</v>
      </c>
      <c r="O617" s="414" t="s">
        <v>400</v>
      </c>
      <c r="P617" s="222">
        <f t="shared" si="37"/>
        <v>2</v>
      </c>
      <c r="Q617" s="222">
        <f t="shared" si="38"/>
        <v>1</v>
      </c>
      <c r="R617" s="532" t="str">
        <f t="shared" si="39"/>
        <v>Gastos_com_Pessoal</v>
      </c>
      <c r="S617" s="467" t="s">
        <v>310</v>
      </c>
      <c r="T617" s="467" t="s">
        <v>310</v>
      </c>
      <c r="U617" s="496"/>
      <c r="V617" s="496"/>
      <c r="W617" s="496"/>
    </row>
    <row r="618" spans="1:23" ht="36" x14ac:dyDescent="0.2">
      <c r="A618" s="510">
        <f t="shared" si="36"/>
        <v>615</v>
      </c>
      <c r="B618" s="428">
        <v>44596</v>
      </c>
      <c r="C618" s="424">
        <v>44562</v>
      </c>
      <c r="D618" s="415" t="s">
        <v>182</v>
      </c>
      <c r="E618" s="415" t="s">
        <v>1</v>
      </c>
      <c r="F618" s="425">
        <v>2077.66</v>
      </c>
      <c r="G618" s="427" t="s">
        <v>1546</v>
      </c>
      <c r="H618" s="415" t="s">
        <v>310</v>
      </c>
      <c r="I618" s="473" t="s">
        <v>954</v>
      </c>
      <c r="J618" s="415" t="s">
        <v>955</v>
      </c>
      <c r="K618" s="415" t="s">
        <v>830</v>
      </c>
      <c r="L618" s="415" t="s">
        <v>909</v>
      </c>
      <c r="M618" s="415" t="s">
        <v>310</v>
      </c>
      <c r="N618" s="414">
        <v>44596</v>
      </c>
      <c r="O618" s="414" t="s">
        <v>400</v>
      </c>
      <c r="P618" s="222">
        <f t="shared" si="37"/>
        <v>2</v>
      </c>
      <c r="Q618" s="222">
        <f t="shared" si="38"/>
        <v>1</v>
      </c>
      <c r="R618" s="532" t="str">
        <f t="shared" si="39"/>
        <v>Gastos_com_Pessoal</v>
      </c>
      <c r="S618" s="467" t="s">
        <v>310</v>
      </c>
      <c r="T618" s="467" t="s">
        <v>310</v>
      </c>
      <c r="U618" s="496"/>
      <c r="V618" s="496"/>
      <c r="W618" s="496"/>
    </row>
    <row r="619" spans="1:23" ht="36" x14ac:dyDescent="0.2">
      <c r="A619" s="510">
        <f t="shared" si="36"/>
        <v>616</v>
      </c>
      <c r="B619" s="428">
        <v>44596</v>
      </c>
      <c r="C619" s="424">
        <v>44562</v>
      </c>
      <c r="D619" s="415" t="s">
        <v>182</v>
      </c>
      <c r="E619" s="415" t="s">
        <v>1</v>
      </c>
      <c r="F619" s="435">
        <v>2840.9</v>
      </c>
      <c r="G619" s="427" t="s">
        <v>1557</v>
      </c>
      <c r="H619" s="434" t="s">
        <v>310</v>
      </c>
      <c r="I619" s="473" t="s">
        <v>957</v>
      </c>
      <c r="J619" s="415" t="s">
        <v>958</v>
      </c>
      <c r="K619" s="415" t="s">
        <v>830</v>
      </c>
      <c r="L619" s="415" t="s">
        <v>909</v>
      </c>
      <c r="M619" s="415" t="s">
        <v>310</v>
      </c>
      <c r="N619" s="414">
        <v>44596</v>
      </c>
      <c r="O619" s="414" t="s">
        <v>400</v>
      </c>
      <c r="P619" s="222">
        <f t="shared" si="37"/>
        <v>2</v>
      </c>
      <c r="Q619" s="222">
        <f t="shared" si="38"/>
        <v>1</v>
      </c>
      <c r="R619" s="532" t="str">
        <f t="shared" si="39"/>
        <v>Gastos_com_Pessoal</v>
      </c>
      <c r="S619" s="467" t="s">
        <v>310</v>
      </c>
      <c r="T619" s="467" t="s">
        <v>310</v>
      </c>
      <c r="U619" s="496"/>
      <c r="V619" s="496"/>
      <c r="W619" s="496"/>
    </row>
    <row r="620" spans="1:23" ht="36" x14ac:dyDescent="0.2">
      <c r="A620" s="510">
        <f t="shared" si="36"/>
        <v>617</v>
      </c>
      <c r="B620" s="428">
        <v>44596</v>
      </c>
      <c r="C620" s="424">
        <v>44562</v>
      </c>
      <c r="D620" s="415" t="s">
        <v>182</v>
      </c>
      <c r="E620" s="415" t="s">
        <v>1</v>
      </c>
      <c r="F620" s="425">
        <v>2882.58</v>
      </c>
      <c r="G620" s="427" t="s">
        <v>1557</v>
      </c>
      <c r="H620" s="415" t="s">
        <v>310</v>
      </c>
      <c r="I620" s="473" t="s">
        <v>959</v>
      </c>
      <c r="J620" s="415" t="s">
        <v>960</v>
      </c>
      <c r="K620" s="415" t="s">
        <v>830</v>
      </c>
      <c r="L620" s="415" t="s">
        <v>909</v>
      </c>
      <c r="M620" s="415" t="s">
        <v>310</v>
      </c>
      <c r="N620" s="414">
        <v>44596</v>
      </c>
      <c r="O620" s="414" t="s">
        <v>400</v>
      </c>
      <c r="P620" s="222">
        <f t="shared" si="37"/>
        <v>2</v>
      </c>
      <c r="Q620" s="222">
        <f t="shared" si="38"/>
        <v>1</v>
      </c>
      <c r="R620" s="532" t="str">
        <f t="shared" si="39"/>
        <v>Gastos_com_Pessoal</v>
      </c>
      <c r="S620" s="467" t="s">
        <v>310</v>
      </c>
      <c r="T620" s="467" t="s">
        <v>310</v>
      </c>
      <c r="U620" s="496"/>
      <c r="V620" s="496"/>
      <c r="W620" s="496"/>
    </row>
    <row r="621" spans="1:23" ht="36" x14ac:dyDescent="0.2">
      <c r="A621" s="510">
        <f t="shared" si="36"/>
        <v>618</v>
      </c>
      <c r="B621" s="428">
        <v>44596</v>
      </c>
      <c r="C621" s="424">
        <v>44562</v>
      </c>
      <c r="D621" s="415" t="s">
        <v>182</v>
      </c>
      <c r="E621" s="415" t="s">
        <v>1</v>
      </c>
      <c r="F621" s="425">
        <v>2077.66</v>
      </c>
      <c r="G621" s="427" t="s">
        <v>1559</v>
      </c>
      <c r="H621" s="415" t="s">
        <v>310</v>
      </c>
      <c r="I621" s="473" t="s">
        <v>961</v>
      </c>
      <c r="J621" s="415" t="s">
        <v>962</v>
      </c>
      <c r="K621" s="415" t="s">
        <v>830</v>
      </c>
      <c r="L621" s="415" t="s">
        <v>909</v>
      </c>
      <c r="M621" s="415" t="s">
        <v>310</v>
      </c>
      <c r="N621" s="414">
        <v>44596</v>
      </c>
      <c r="O621" s="414" t="s">
        <v>400</v>
      </c>
      <c r="P621" s="222">
        <f t="shared" si="37"/>
        <v>2</v>
      </c>
      <c r="Q621" s="222">
        <f t="shared" si="38"/>
        <v>1</v>
      </c>
      <c r="R621" s="532" t="str">
        <f t="shared" si="39"/>
        <v>Gastos_com_Pessoal</v>
      </c>
      <c r="S621" s="467" t="s">
        <v>310</v>
      </c>
      <c r="T621" s="467" t="s">
        <v>310</v>
      </c>
      <c r="U621" s="496"/>
      <c r="V621" s="496"/>
      <c r="W621" s="496"/>
    </row>
    <row r="622" spans="1:23" ht="36" x14ac:dyDescent="0.2">
      <c r="A622" s="510">
        <f t="shared" si="36"/>
        <v>619</v>
      </c>
      <c r="B622" s="428">
        <v>44596</v>
      </c>
      <c r="C622" s="424">
        <v>44562</v>
      </c>
      <c r="D622" s="415" t="s">
        <v>182</v>
      </c>
      <c r="E622" s="415" t="s">
        <v>1</v>
      </c>
      <c r="F622" s="425">
        <v>3226.72</v>
      </c>
      <c r="G622" s="427" t="s">
        <v>1561</v>
      </c>
      <c r="H622" s="415" t="s">
        <v>310</v>
      </c>
      <c r="I622" s="473" t="s">
        <v>963</v>
      </c>
      <c r="J622" s="415" t="s">
        <v>964</v>
      </c>
      <c r="K622" s="415" t="s">
        <v>830</v>
      </c>
      <c r="L622" s="415" t="s">
        <v>909</v>
      </c>
      <c r="M622" s="415" t="s">
        <v>310</v>
      </c>
      <c r="N622" s="414">
        <v>44596</v>
      </c>
      <c r="O622" s="414" t="s">
        <v>400</v>
      </c>
      <c r="P622" s="222">
        <f t="shared" si="37"/>
        <v>2</v>
      </c>
      <c r="Q622" s="222">
        <f t="shared" si="38"/>
        <v>1</v>
      </c>
      <c r="R622" s="532" t="str">
        <f t="shared" si="39"/>
        <v>Gastos_com_Pessoal</v>
      </c>
      <c r="S622" s="467" t="s">
        <v>310</v>
      </c>
      <c r="T622" s="467" t="s">
        <v>310</v>
      </c>
      <c r="U622" s="496"/>
      <c r="V622" s="496"/>
      <c r="W622" s="496"/>
    </row>
    <row r="623" spans="1:23" ht="36" x14ac:dyDescent="0.2">
      <c r="A623" s="510">
        <f t="shared" si="36"/>
        <v>620</v>
      </c>
      <c r="B623" s="428">
        <v>44596</v>
      </c>
      <c r="C623" s="424">
        <v>44562</v>
      </c>
      <c r="D623" s="415" t="s">
        <v>182</v>
      </c>
      <c r="E623" s="415" t="s">
        <v>1</v>
      </c>
      <c r="F623" s="425">
        <v>2985.82</v>
      </c>
      <c r="G623" s="427" t="s">
        <v>1562</v>
      </c>
      <c r="H623" s="415" t="s">
        <v>310</v>
      </c>
      <c r="I623" s="473" t="s">
        <v>966</v>
      </c>
      <c r="J623" s="415" t="s">
        <v>967</v>
      </c>
      <c r="K623" s="415" t="s">
        <v>830</v>
      </c>
      <c r="L623" s="415" t="s">
        <v>909</v>
      </c>
      <c r="M623" s="415" t="s">
        <v>310</v>
      </c>
      <c r="N623" s="414">
        <v>44596</v>
      </c>
      <c r="O623" s="414" t="s">
        <v>400</v>
      </c>
      <c r="P623" s="222">
        <f t="shared" si="37"/>
        <v>2</v>
      </c>
      <c r="Q623" s="222">
        <f t="shared" si="38"/>
        <v>1</v>
      </c>
      <c r="R623" s="532" t="str">
        <f t="shared" si="39"/>
        <v>Gastos_com_Pessoal</v>
      </c>
      <c r="S623" s="467" t="s">
        <v>310</v>
      </c>
      <c r="T623" s="467" t="s">
        <v>310</v>
      </c>
      <c r="U623" s="496"/>
      <c r="V623" s="496"/>
      <c r="W623" s="496"/>
    </row>
    <row r="624" spans="1:23" ht="36" x14ac:dyDescent="0.2">
      <c r="A624" s="510">
        <f t="shared" si="36"/>
        <v>621</v>
      </c>
      <c r="B624" s="428">
        <v>44596</v>
      </c>
      <c r="C624" s="424">
        <v>44562</v>
      </c>
      <c r="D624" s="415" t="s">
        <v>182</v>
      </c>
      <c r="E624" s="415" t="s">
        <v>1</v>
      </c>
      <c r="F624" s="425">
        <v>2033.5</v>
      </c>
      <c r="G624" s="427" t="s">
        <v>1563</v>
      </c>
      <c r="H624" s="415" t="s">
        <v>310</v>
      </c>
      <c r="I624" s="473" t="s">
        <v>969</v>
      </c>
      <c r="J624" s="415" t="s">
        <v>970</v>
      </c>
      <c r="K624" s="415" t="s">
        <v>830</v>
      </c>
      <c r="L624" s="415" t="s">
        <v>909</v>
      </c>
      <c r="M624" s="415" t="s">
        <v>310</v>
      </c>
      <c r="N624" s="414">
        <v>44596</v>
      </c>
      <c r="O624" s="414" t="s">
        <v>400</v>
      </c>
      <c r="P624" s="222">
        <f t="shared" si="37"/>
        <v>2</v>
      </c>
      <c r="Q624" s="222">
        <f t="shared" si="38"/>
        <v>1</v>
      </c>
      <c r="R624" s="532" t="str">
        <f t="shared" si="39"/>
        <v>Gastos_com_Pessoal</v>
      </c>
      <c r="S624" s="467" t="s">
        <v>310</v>
      </c>
      <c r="T624" s="467" t="s">
        <v>310</v>
      </c>
      <c r="U624" s="496"/>
      <c r="V624" s="496"/>
      <c r="W624" s="496"/>
    </row>
    <row r="625" spans="1:23" ht="36" x14ac:dyDescent="0.2">
      <c r="A625" s="510">
        <f t="shared" si="36"/>
        <v>622</v>
      </c>
      <c r="B625" s="428">
        <v>44596</v>
      </c>
      <c r="C625" s="424">
        <v>44562</v>
      </c>
      <c r="D625" s="415" t="s">
        <v>182</v>
      </c>
      <c r="E625" s="415" t="s">
        <v>1</v>
      </c>
      <c r="F625" s="425">
        <v>2261.98</v>
      </c>
      <c r="G625" s="427" t="s">
        <v>1564</v>
      </c>
      <c r="H625" s="415" t="s">
        <v>310</v>
      </c>
      <c r="I625" s="473" t="s">
        <v>972</v>
      </c>
      <c r="J625" s="415" t="s">
        <v>973</v>
      </c>
      <c r="K625" s="415" t="s">
        <v>830</v>
      </c>
      <c r="L625" s="415" t="s">
        <v>909</v>
      </c>
      <c r="M625" s="415" t="s">
        <v>310</v>
      </c>
      <c r="N625" s="414">
        <v>44596</v>
      </c>
      <c r="O625" s="414" t="s">
        <v>400</v>
      </c>
      <c r="P625" s="222">
        <f t="shared" si="37"/>
        <v>2</v>
      </c>
      <c r="Q625" s="222">
        <f t="shared" si="38"/>
        <v>1</v>
      </c>
      <c r="R625" s="532" t="str">
        <f t="shared" si="39"/>
        <v>Gastos_com_Pessoal</v>
      </c>
      <c r="S625" s="467" t="s">
        <v>310</v>
      </c>
      <c r="T625" s="467" t="s">
        <v>310</v>
      </c>
      <c r="U625" s="496"/>
      <c r="V625" s="496"/>
      <c r="W625" s="496"/>
    </row>
    <row r="626" spans="1:23" ht="36" x14ac:dyDescent="0.2">
      <c r="A626" s="510">
        <f t="shared" si="36"/>
        <v>623</v>
      </c>
      <c r="B626" s="428">
        <v>44596</v>
      </c>
      <c r="C626" s="424">
        <v>44562</v>
      </c>
      <c r="D626" s="415" t="s">
        <v>182</v>
      </c>
      <c r="E626" s="415" t="s">
        <v>1</v>
      </c>
      <c r="F626" s="425">
        <v>2095.64</v>
      </c>
      <c r="G626" s="427" t="s">
        <v>1566</v>
      </c>
      <c r="H626" s="415" t="s">
        <v>310</v>
      </c>
      <c r="I626" s="473" t="s">
        <v>975</v>
      </c>
      <c r="J626" s="415" t="s">
        <v>1565</v>
      </c>
      <c r="K626" s="415" t="s">
        <v>830</v>
      </c>
      <c r="L626" s="415" t="s">
        <v>909</v>
      </c>
      <c r="M626" s="415" t="s">
        <v>310</v>
      </c>
      <c r="N626" s="414">
        <v>44596</v>
      </c>
      <c r="O626" s="414" t="s">
        <v>400</v>
      </c>
      <c r="P626" s="222">
        <f t="shared" si="37"/>
        <v>2</v>
      </c>
      <c r="Q626" s="222">
        <f t="shared" si="38"/>
        <v>1</v>
      </c>
      <c r="R626" s="532" t="str">
        <f t="shared" si="39"/>
        <v>Gastos_com_Pessoal</v>
      </c>
      <c r="S626" s="467" t="s">
        <v>310</v>
      </c>
      <c r="T626" s="467" t="s">
        <v>310</v>
      </c>
      <c r="U626" s="496"/>
      <c r="V626" s="496"/>
      <c r="W626" s="496"/>
    </row>
    <row r="627" spans="1:23" ht="36" x14ac:dyDescent="0.2">
      <c r="A627" s="510">
        <f t="shared" si="36"/>
        <v>624</v>
      </c>
      <c r="B627" s="428">
        <v>44596</v>
      </c>
      <c r="C627" s="424">
        <v>44562</v>
      </c>
      <c r="D627" s="415" t="s">
        <v>182</v>
      </c>
      <c r="E627" s="415" t="s">
        <v>1</v>
      </c>
      <c r="F627" s="425">
        <v>153.54</v>
      </c>
      <c r="G627" s="427" t="s">
        <v>1554</v>
      </c>
      <c r="H627" s="415" t="s">
        <v>310</v>
      </c>
      <c r="I627" s="473" t="s">
        <v>828</v>
      </c>
      <c r="J627" s="415" t="s">
        <v>829</v>
      </c>
      <c r="K627" s="415" t="s">
        <v>830</v>
      </c>
      <c r="L627" s="415" t="s">
        <v>909</v>
      </c>
      <c r="M627" s="415" t="s">
        <v>310</v>
      </c>
      <c r="N627" s="414">
        <v>44596</v>
      </c>
      <c r="O627" s="414" t="s">
        <v>400</v>
      </c>
      <c r="P627" s="222">
        <f t="shared" si="37"/>
        <v>2</v>
      </c>
      <c r="Q627" s="222">
        <f t="shared" si="38"/>
        <v>1</v>
      </c>
      <c r="R627" s="532" t="str">
        <f t="shared" si="39"/>
        <v>Gastos_com_Pessoal</v>
      </c>
      <c r="S627" s="467" t="s">
        <v>310</v>
      </c>
      <c r="T627" s="467" t="s">
        <v>310</v>
      </c>
      <c r="U627" s="496"/>
      <c r="V627" s="496"/>
      <c r="W627" s="496"/>
    </row>
    <row r="628" spans="1:23" ht="36" x14ac:dyDescent="0.2">
      <c r="A628" s="510">
        <f t="shared" si="36"/>
        <v>625</v>
      </c>
      <c r="B628" s="428">
        <v>44596</v>
      </c>
      <c r="C628" s="424">
        <v>44562</v>
      </c>
      <c r="D628" s="415" t="s">
        <v>182</v>
      </c>
      <c r="E628" s="415" t="s">
        <v>1</v>
      </c>
      <c r="F628" s="425">
        <v>2882.58</v>
      </c>
      <c r="G628" s="427" t="s">
        <v>1567</v>
      </c>
      <c r="H628" s="415" t="s">
        <v>310</v>
      </c>
      <c r="I628" s="473" t="s">
        <v>977</v>
      </c>
      <c r="J628" s="415" t="s">
        <v>978</v>
      </c>
      <c r="K628" s="415" t="s">
        <v>830</v>
      </c>
      <c r="L628" s="415" t="s">
        <v>909</v>
      </c>
      <c r="M628" s="415" t="s">
        <v>310</v>
      </c>
      <c r="N628" s="414">
        <v>44596</v>
      </c>
      <c r="O628" s="414" t="s">
        <v>400</v>
      </c>
      <c r="P628" s="222">
        <f t="shared" si="37"/>
        <v>2</v>
      </c>
      <c r="Q628" s="222">
        <f t="shared" si="38"/>
        <v>1</v>
      </c>
      <c r="R628" s="532" t="str">
        <f t="shared" si="39"/>
        <v>Gastos_com_Pessoal</v>
      </c>
      <c r="S628" s="467" t="s">
        <v>310</v>
      </c>
      <c r="T628" s="467" t="s">
        <v>310</v>
      </c>
      <c r="U628" s="496"/>
      <c r="V628" s="496"/>
      <c r="W628" s="496"/>
    </row>
    <row r="629" spans="1:23" ht="36" x14ac:dyDescent="0.2">
      <c r="A629" s="510">
        <f t="shared" si="36"/>
        <v>626</v>
      </c>
      <c r="B629" s="428">
        <v>44596</v>
      </c>
      <c r="C629" s="424">
        <v>44562</v>
      </c>
      <c r="D629" s="415" t="s">
        <v>182</v>
      </c>
      <c r="E629" s="415" t="s">
        <v>1</v>
      </c>
      <c r="F629" s="425">
        <v>2077.66</v>
      </c>
      <c r="G629" s="427" t="s">
        <v>1568</v>
      </c>
      <c r="H629" s="415" t="s">
        <v>310</v>
      </c>
      <c r="I629" s="473" t="s">
        <v>980</v>
      </c>
      <c r="J629" s="415" t="s">
        <v>981</v>
      </c>
      <c r="K629" s="415" t="s">
        <v>830</v>
      </c>
      <c r="L629" s="415" t="s">
        <v>909</v>
      </c>
      <c r="M629" s="415" t="s">
        <v>310</v>
      </c>
      <c r="N629" s="414">
        <v>44596</v>
      </c>
      <c r="O629" s="414" t="s">
        <v>400</v>
      </c>
      <c r="P629" s="222">
        <f t="shared" si="37"/>
        <v>2</v>
      </c>
      <c r="Q629" s="222">
        <f t="shared" si="38"/>
        <v>1</v>
      </c>
      <c r="R629" s="532" t="str">
        <f t="shared" si="39"/>
        <v>Gastos_com_Pessoal</v>
      </c>
      <c r="S629" s="467" t="s">
        <v>310</v>
      </c>
      <c r="T629" s="467" t="s">
        <v>310</v>
      </c>
      <c r="U629" s="496"/>
      <c r="V629" s="496"/>
      <c r="W629" s="496"/>
    </row>
    <row r="630" spans="1:23" ht="36" x14ac:dyDescent="0.2">
      <c r="A630" s="510">
        <f t="shared" si="36"/>
        <v>627</v>
      </c>
      <c r="B630" s="428">
        <v>44596</v>
      </c>
      <c r="C630" s="424">
        <v>44562</v>
      </c>
      <c r="D630" s="415" t="s">
        <v>182</v>
      </c>
      <c r="E630" s="415" t="s">
        <v>1</v>
      </c>
      <c r="F630" s="425">
        <v>2077.66</v>
      </c>
      <c r="G630" s="427" t="s">
        <v>1568</v>
      </c>
      <c r="H630" s="415" t="s">
        <v>310</v>
      </c>
      <c r="I630" s="473" t="s">
        <v>982</v>
      </c>
      <c r="J630" s="415" t="s">
        <v>983</v>
      </c>
      <c r="K630" s="415" t="s">
        <v>830</v>
      </c>
      <c r="L630" s="415" t="s">
        <v>909</v>
      </c>
      <c r="M630" s="415" t="s">
        <v>310</v>
      </c>
      <c r="N630" s="414">
        <v>44596</v>
      </c>
      <c r="O630" s="414" t="s">
        <v>400</v>
      </c>
      <c r="P630" s="222">
        <f t="shared" si="37"/>
        <v>2</v>
      </c>
      <c r="Q630" s="222">
        <f t="shared" si="38"/>
        <v>1</v>
      </c>
      <c r="R630" s="532" t="str">
        <f t="shared" si="39"/>
        <v>Gastos_com_Pessoal</v>
      </c>
      <c r="S630" s="467" t="s">
        <v>310</v>
      </c>
      <c r="T630" s="467" t="s">
        <v>310</v>
      </c>
      <c r="U630" s="496"/>
      <c r="V630" s="496"/>
      <c r="W630" s="496"/>
    </row>
    <row r="631" spans="1:23" ht="36" x14ac:dyDescent="0.2">
      <c r="A631" s="510">
        <f t="shared" si="36"/>
        <v>628</v>
      </c>
      <c r="B631" s="428">
        <v>44596</v>
      </c>
      <c r="C631" s="424">
        <v>44562</v>
      </c>
      <c r="D631" s="415" t="s">
        <v>182</v>
      </c>
      <c r="E631" s="415" t="s">
        <v>1</v>
      </c>
      <c r="F631" s="425">
        <v>2758.13</v>
      </c>
      <c r="G631" s="427" t="s">
        <v>1569</v>
      </c>
      <c r="H631" s="415" t="s">
        <v>310</v>
      </c>
      <c r="I631" s="473" t="s">
        <v>985</v>
      </c>
      <c r="J631" s="415" t="s">
        <v>986</v>
      </c>
      <c r="K631" s="415" t="s">
        <v>830</v>
      </c>
      <c r="L631" s="415" t="s">
        <v>909</v>
      </c>
      <c r="M631" s="415" t="s">
        <v>310</v>
      </c>
      <c r="N631" s="414">
        <v>44596</v>
      </c>
      <c r="O631" s="414" t="s">
        <v>400</v>
      </c>
      <c r="P631" s="222">
        <f t="shared" si="37"/>
        <v>2</v>
      </c>
      <c r="Q631" s="222">
        <f t="shared" si="38"/>
        <v>1</v>
      </c>
      <c r="R631" s="532" t="str">
        <f t="shared" si="39"/>
        <v>Gastos_com_Pessoal</v>
      </c>
      <c r="S631" s="467" t="s">
        <v>310</v>
      </c>
      <c r="T631" s="467" t="s">
        <v>310</v>
      </c>
      <c r="U631" s="496"/>
      <c r="V631" s="496"/>
      <c r="W631" s="496"/>
    </row>
    <row r="632" spans="1:23" ht="36" x14ac:dyDescent="0.2">
      <c r="A632" s="510">
        <f t="shared" si="36"/>
        <v>629</v>
      </c>
      <c r="B632" s="428">
        <v>44596</v>
      </c>
      <c r="C632" s="424">
        <v>44562</v>
      </c>
      <c r="D632" s="415" t="s">
        <v>182</v>
      </c>
      <c r="E632" s="415" t="s">
        <v>1</v>
      </c>
      <c r="F632" s="425">
        <v>2077.66</v>
      </c>
      <c r="G632" s="427" t="s">
        <v>1546</v>
      </c>
      <c r="H632" s="415" t="s">
        <v>310</v>
      </c>
      <c r="I632" s="473" t="s">
        <v>987</v>
      </c>
      <c r="J632" s="415" t="s">
        <v>988</v>
      </c>
      <c r="K632" s="415" t="s">
        <v>830</v>
      </c>
      <c r="L632" s="415" t="s">
        <v>909</v>
      </c>
      <c r="M632" s="415" t="s">
        <v>310</v>
      </c>
      <c r="N632" s="414">
        <v>44596</v>
      </c>
      <c r="O632" s="414" t="s">
        <v>400</v>
      </c>
      <c r="P632" s="222">
        <f t="shared" si="37"/>
        <v>2</v>
      </c>
      <c r="Q632" s="222">
        <f t="shared" si="38"/>
        <v>1</v>
      </c>
      <c r="R632" s="532" t="str">
        <f t="shared" si="39"/>
        <v>Gastos_com_Pessoal</v>
      </c>
      <c r="S632" s="467" t="s">
        <v>310</v>
      </c>
      <c r="T632" s="467" t="s">
        <v>310</v>
      </c>
      <c r="U632" s="496"/>
      <c r="V632" s="496"/>
      <c r="W632" s="496"/>
    </row>
    <row r="633" spans="1:23" ht="36" x14ac:dyDescent="0.2">
      <c r="A633" s="510">
        <f t="shared" si="36"/>
        <v>630</v>
      </c>
      <c r="B633" s="428">
        <v>44596</v>
      </c>
      <c r="C633" s="424">
        <v>44562</v>
      </c>
      <c r="D633" s="415" t="s">
        <v>182</v>
      </c>
      <c r="E633" s="415" t="s">
        <v>1</v>
      </c>
      <c r="F633" s="425">
        <v>7898.62</v>
      </c>
      <c r="G633" s="427" t="s">
        <v>1570</v>
      </c>
      <c r="H633" s="415" t="s">
        <v>310</v>
      </c>
      <c r="I633" s="473" t="s">
        <v>990</v>
      </c>
      <c r="J633" s="415" t="s">
        <v>991</v>
      </c>
      <c r="K633" s="415" t="s">
        <v>830</v>
      </c>
      <c r="L633" s="415" t="s">
        <v>909</v>
      </c>
      <c r="M633" s="415" t="s">
        <v>310</v>
      </c>
      <c r="N633" s="414">
        <v>44596</v>
      </c>
      <c r="O633" s="414" t="s">
        <v>400</v>
      </c>
      <c r="P633" s="222">
        <f t="shared" si="37"/>
        <v>2</v>
      </c>
      <c r="Q633" s="222">
        <f t="shared" si="38"/>
        <v>1</v>
      </c>
      <c r="R633" s="532" t="str">
        <f t="shared" si="39"/>
        <v>Gastos_com_Pessoal</v>
      </c>
      <c r="S633" s="467" t="s">
        <v>310</v>
      </c>
      <c r="T633" s="467" t="s">
        <v>310</v>
      </c>
      <c r="U633" s="496"/>
      <c r="V633" s="496"/>
      <c r="W633" s="496"/>
    </row>
    <row r="634" spans="1:23" ht="36" x14ac:dyDescent="0.2">
      <c r="A634" s="510">
        <f t="shared" si="36"/>
        <v>631</v>
      </c>
      <c r="B634" s="428">
        <v>44596</v>
      </c>
      <c r="C634" s="424">
        <v>44562</v>
      </c>
      <c r="D634" s="415" t="s">
        <v>182</v>
      </c>
      <c r="E634" s="415" t="s">
        <v>1</v>
      </c>
      <c r="F634" s="425">
        <v>2064.5700000000002</v>
      </c>
      <c r="G634" s="427" t="s">
        <v>1546</v>
      </c>
      <c r="H634" s="415" t="s">
        <v>310</v>
      </c>
      <c r="I634" s="473" t="s">
        <v>992</v>
      </c>
      <c r="J634" s="415" t="s">
        <v>993</v>
      </c>
      <c r="K634" s="415" t="s">
        <v>830</v>
      </c>
      <c r="L634" s="415" t="s">
        <v>909</v>
      </c>
      <c r="M634" s="415" t="s">
        <v>310</v>
      </c>
      <c r="N634" s="414">
        <v>44596</v>
      </c>
      <c r="O634" s="414" t="s">
        <v>400</v>
      </c>
      <c r="P634" s="222">
        <f t="shared" si="37"/>
        <v>2</v>
      </c>
      <c r="Q634" s="222">
        <f t="shared" si="38"/>
        <v>1</v>
      </c>
      <c r="R634" s="532" t="str">
        <f t="shared" si="39"/>
        <v>Gastos_com_Pessoal</v>
      </c>
      <c r="S634" s="467" t="s">
        <v>310</v>
      </c>
      <c r="T634" s="467" t="s">
        <v>310</v>
      </c>
      <c r="U634" s="496"/>
      <c r="V634" s="496"/>
      <c r="W634" s="496"/>
    </row>
    <row r="635" spans="1:23" ht="36" x14ac:dyDescent="0.2">
      <c r="A635" s="510">
        <f t="shared" si="36"/>
        <v>632</v>
      </c>
      <c r="B635" s="428">
        <v>44596</v>
      </c>
      <c r="C635" s="424">
        <v>44562</v>
      </c>
      <c r="D635" s="415" t="s">
        <v>182</v>
      </c>
      <c r="E635" s="415" t="s">
        <v>1</v>
      </c>
      <c r="F635" s="425">
        <v>2111.1799999999998</v>
      </c>
      <c r="G635" s="427" t="s">
        <v>1549</v>
      </c>
      <c r="H635" s="415" t="s">
        <v>310</v>
      </c>
      <c r="I635" s="473" t="s">
        <v>994</v>
      </c>
      <c r="J635" s="415" t="s">
        <v>995</v>
      </c>
      <c r="K635" s="415" t="s">
        <v>830</v>
      </c>
      <c r="L635" s="415" t="s">
        <v>909</v>
      </c>
      <c r="M635" s="415" t="s">
        <v>310</v>
      </c>
      <c r="N635" s="414">
        <v>44596</v>
      </c>
      <c r="O635" s="414" t="s">
        <v>400</v>
      </c>
      <c r="P635" s="222">
        <f t="shared" si="37"/>
        <v>2</v>
      </c>
      <c r="Q635" s="222">
        <f t="shared" si="38"/>
        <v>1</v>
      </c>
      <c r="R635" s="532" t="str">
        <f t="shared" si="39"/>
        <v>Gastos_com_Pessoal</v>
      </c>
      <c r="S635" s="467" t="s">
        <v>310</v>
      </c>
      <c r="T635" s="467" t="s">
        <v>310</v>
      </c>
      <c r="U635" s="496"/>
      <c r="V635" s="496"/>
      <c r="W635" s="496"/>
    </row>
    <row r="636" spans="1:23" ht="36" x14ac:dyDescent="0.2">
      <c r="A636" s="510">
        <f t="shared" si="36"/>
        <v>633</v>
      </c>
      <c r="B636" s="428">
        <v>44596</v>
      </c>
      <c r="C636" s="424">
        <v>44562</v>
      </c>
      <c r="D636" s="415" t="s">
        <v>182</v>
      </c>
      <c r="E636" s="415" t="s">
        <v>1</v>
      </c>
      <c r="F636" s="425">
        <v>2882.58</v>
      </c>
      <c r="G636" s="427" t="s">
        <v>1571</v>
      </c>
      <c r="H636" s="415" t="s">
        <v>310</v>
      </c>
      <c r="I636" s="473" t="s">
        <v>996</v>
      </c>
      <c r="J636" s="415" t="s">
        <v>997</v>
      </c>
      <c r="K636" s="415" t="s">
        <v>830</v>
      </c>
      <c r="L636" s="415" t="s">
        <v>909</v>
      </c>
      <c r="M636" s="415" t="s">
        <v>310</v>
      </c>
      <c r="N636" s="414">
        <v>44596</v>
      </c>
      <c r="O636" s="414" t="s">
        <v>400</v>
      </c>
      <c r="P636" s="222">
        <f t="shared" si="37"/>
        <v>2</v>
      </c>
      <c r="Q636" s="222">
        <f t="shared" si="38"/>
        <v>1</v>
      </c>
      <c r="R636" s="532" t="str">
        <f t="shared" si="39"/>
        <v>Gastos_com_Pessoal</v>
      </c>
      <c r="S636" s="467" t="s">
        <v>310</v>
      </c>
      <c r="T636" s="467" t="s">
        <v>310</v>
      </c>
      <c r="U636" s="496"/>
      <c r="V636" s="496"/>
      <c r="W636" s="496"/>
    </row>
    <row r="637" spans="1:23" ht="36" x14ac:dyDescent="0.2">
      <c r="A637" s="510">
        <f t="shared" si="36"/>
        <v>634</v>
      </c>
      <c r="B637" s="428">
        <v>44596</v>
      </c>
      <c r="C637" s="424">
        <v>44562</v>
      </c>
      <c r="D637" s="415" t="s">
        <v>182</v>
      </c>
      <c r="E637" s="415" t="s">
        <v>1</v>
      </c>
      <c r="F637" s="425">
        <v>2046.59</v>
      </c>
      <c r="G637" s="440" t="s">
        <v>1549</v>
      </c>
      <c r="H637" s="415" t="s">
        <v>310</v>
      </c>
      <c r="I637" s="474" t="s">
        <v>1167</v>
      </c>
      <c r="J637" s="434" t="s">
        <v>1168</v>
      </c>
      <c r="K637" s="415" t="s">
        <v>830</v>
      </c>
      <c r="L637" s="415" t="s">
        <v>909</v>
      </c>
      <c r="M637" s="415" t="s">
        <v>310</v>
      </c>
      <c r="N637" s="414">
        <v>44596</v>
      </c>
      <c r="O637" s="414" t="s">
        <v>400</v>
      </c>
      <c r="P637" s="222">
        <f t="shared" si="37"/>
        <v>2</v>
      </c>
      <c r="Q637" s="222">
        <f t="shared" si="38"/>
        <v>1</v>
      </c>
      <c r="R637" s="532" t="str">
        <f t="shared" si="39"/>
        <v>Gastos_com_Pessoal</v>
      </c>
      <c r="S637" s="467" t="s">
        <v>310</v>
      </c>
      <c r="T637" s="467" t="s">
        <v>310</v>
      </c>
      <c r="U637" s="496"/>
      <c r="V637" s="496"/>
      <c r="W637" s="496"/>
    </row>
    <row r="638" spans="1:23" ht="36" x14ac:dyDescent="0.2">
      <c r="A638" s="510">
        <f t="shared" si="36"/>
        <v>635</v>
      </c>
      <c r="B638" s="428">
        <v>44596</v>
      </c>
      <c r="C638" s="424">
        <v>44562</v>
      </c>
      <c r="D638" s="415" t="s">
        <v>182</v>
      </c>
      <c r="E638" s="415" t="s">
        <v>1</v>
      </c>
      <c r="F638" s="425">
        <v>840.86</v>
      </c>
      <c r="G638" s="440" t="s">
        <v>1572</v>
      </c>
      <c r="H638" s="415" t="s">
        <v>310</v>
      </c>
      <c r="I638" s="473" t="s">
        <v>1169</v>
      </c>
      <c r="J638" s="415" t="s">
        <v>1170</v>
      </c>
      <c r="K638" s="415" t="s">
        <v>830</v>
      </c>
      <c r="L638" s="415" t="s">
        <v>909</v>
      </c>
      <c r="M638" s="415" t="s">
        <v>310</v>
      </c>
      <c r="N638" s="414">
        <v>44596</v>
      </c>
      <c r="O638" s="414" t="s">
        <v>400</v>
      </c>
      <c r="P638" s="222">
        <f t="shared" si="37"/>
        <v>2</v>
      </c>
      <c r="Q638" s="222">
        <f t="shared" si="38"/>
        <v>1</v>
      </c>
      <c r="R638" s="532" t="str">
        <f t="shared" si="39"/>
        <v>Gastos_com_Pessoal</v>
      </c>
      <c r="S638" s="467" t="s">
        <v>310</v>
      </c>
      <c r="T638" s="467" t="s">
        <v>310</v>
      </c>
      <c r="U638" s="496"/>
      <c r="V638" s="496"/>
      <c r="W638" s="496"/>
    </row>
    <row r="639" spans="1:23" ht="36" x14ac:dyDescent="0.2">
      <c r="A639" s="510">
        <f t="shared" si="36"/>
        <v>636</v>
      </c>
      <c r="B639" s="428">
        <v>44596</v>
      </c>
      <c r="C639" s="424">
        <v>44562</v>
      </c>
      <c r="D639" s="415" t="s">
        <v>182</v>
      </c>
      <c r="E639" s="415" t="s">
        <v>1</v>
      </c>
      <c r="F639" s="425">
        <v>2077.66</v>
      </c>
      <c r="G639" s="440" t="s">
        <v>1546</v>
      </c>
      <c r="H639" s="415" t="s">
        <v>310</v>
      </c>
      <c r="I639" s="473" t="s">
        <v>1171</v>
      </c>
      <c r="J639" s="415" t="s">
        <v>1172</v>
      </c>
      <c r="K639" s="415" t="s">
        <v>830</v>
      </c>
      <c r="L639" s="415" t="s">
        <v>909</v>
      </c>
      <c r="M639" s="415" t="s">
        <v>310</v>
      </c>
      <c r="N639" s="414">
        <v>44596</v>
      </c>
      <c r="O639" s="414" t="s">
        <v>400</v>
      </c>
      <c r="P639" s="222">
        <f t="shared" si="37"/>
        <v>2</v>
      </c>
      <c r="Q639" s="222">
        <f t="shared" si="38"/>
        <v>1</v>
      </c>
      <c r="R639" s="532" t="str">
        <f t="shared" si="39"/>
        <v>Gastos_com_Pessoal</v>
      </c>
      <c r="S639" s="467" t="s">
        <v>310</v>
      </c>
      <c r="T639" s="467" t="s">
        <v>310</v>
      </c>
      <c r="U639" s="496"/>
      <c r="V639" s="496"/>
      <c r="W639" s="496"/>
    </row>
    <row r="640" spans="1:23" ht="36" x14ac:dyDescent="0.2">
      <c r="A640" s="510">
        <f t="shared" si="36"/>
        <v>637</v>
      </c>
      <c r="B640" s="428">
        <v>44596</v>
      </c>
      <c r="C640" s="424">
        <v>44562</v>
      </c>
      <c r="D640" s="415" t="s">
        <v>182</v>
      </c>
      <c r="E640" s="415" t="s">
        <v>1</v>
      </c>
      <c r="F640" s="435">
        <v>1904.49</v>
      </c>
      <c r="G640" s="440" t="s">
        <v>1546</v>
      </c>
      <c r="H640" s="415" t="s">
        <v>310</v>
      </c>
      <c r="I640" s="473" t="s">
        <v>1173</v>
      </c>
      <c r="J640" s="415" t="s">
        <v>1174</v>
      </c>
      <c r="K640" s="415" t="s">
        <v>830</v>
      </c>
      <c r="L640" s="415" t="s">
        <v>909</v>
      </c>
      <c r="M640" s="415" t="s">
        <v>310</v>
      </c>
      <c r="N640" s="414">
        <v>44596</v>
      </c>
      <c r="O640" s="414" t="s">
        <v>400</v>
      </c>
      <c r="P640" s="222">
        <f t="shared" si="37"/>
        <v>2</v>
      </c>
      <c r="Q640" s="222">
        <f t="shared" si="38"/>
        <v>1</v>
      </c>
      <c r="R640" s="532" t="str">
        <f t="shared" si="39"/>
        <v>Gastos_com_Pessoal</v>
      </c>
      <c r="S640" s="467" t="s">
        <v>310</v>
      </c>
      <c r="T640" s="467" t="s">
        <v>310</v>
      </c>
      <c r="U640" s="496"/>
      <c r="V640" s="496"/>
      <c r="W640" s="496"/>
    </row>
    <row r="641" spans="1:23" ht="36" x14ac:dyDescent="0.2">
      <c r="A641" s="510">
        <f t="shared" si="36"/>
        <v>638</v>
      </c>
      <c r="B641" s="428">
        <v>44596</v>
      </c>
      <c r="C641" s="424">
        <v>44562</v>
      </c>
      <c r="D641" s="415" t="s">
        <v>182</v>
      </c>
      <c r="E641" s="415" t="s">
        <v>1</v>
      </c>
      <c r="F641" s="425">
        <v>2077.66</v>
      </c>
      <c r="G641" s="440" t="s">
        <v>1546</v>
      </c>
      <c r="H641" s="415" t="s">
        <v>310</v>
      </c>
      <c r="I641" s="473" t="s">
        <v>1175</v>
      </c>
      <c r="J641" s="415" t="s">
        <v>1176</v>
      </c>
      <c r="K641" s="415" t="s">
        <v>830</v>
      </c>
      <c r="L641" s="415" t="s">
        <v>909</v>
      </c>
      <c r="M641" s="415" t="s">
        <v>310</v>
      </c>
      <c r="N641" s="414">
        <v>44596</v>
      </c>
      <c r="O641" s="414" t="s">
        <v>400</v>
      </c>
      <c r="P641" s="222">
        <f t="shared" si="37"/>
        <v>2</v>
      </c>
      <c r="Q641" s="222">
        <f t="shared" si="38"/>
        <v>1</v>
      </c>
      <c r="R641" s="532" t="str">
        <f t="shared" si="39"/>
        <v>Gastos_com_Pessoal</v>
      </c>
      <c r="S641" s="467" t="s">
        <v>310</v>
      </c>
      <c r="T641" s="467" t="s">
        <v>310</v>
      </c>
      <c r="U641" s="496"/>
      <c r="V641" s="496"/>
      <c r="W641" s="496"/>
    </row>
    <row r="642" spans="1:23" ht="36" x14ac:dyDescent="0.2">
      <c r="A642" s="510">
        <f t="shared" si="36"/>
        <v>639</v>
      </c>
      <c r="B642" s="428">
        <v>44596</v>
      </c>
      <c r="C642" s="424">
        <v>44562</v>
      </c>
      <c r="D642" s="415" t="s">
        <v>182</v>
      </c>
      <c r="E642" s="415" t="s">
        <v>1</v>
      </c>
      <c r="F642" s="425">
        <v>2095.64</v>
      </c>
      <c r="G642" s="440" t="s">
        <v>1546</v>
      </c>
      <c r="H642" s="415" t="s">
        <v>310</v>
      </c>
      <c r="I642" s="473" t="s">
        <v>1177</v>
      </c>
      <c r="J642" s="415" t="s">
        <v>1178</v>
      </c>
      <c r="K642" s="415" t="s">
        <v>830</v>
      </c>
      <c r="L642" s="415" t="s">
        <v>909</v>
      </c>
      <c r="M642" s="415" t="s">
        <v>310</v>
      </c>
      <c r="N642" s="414">
        <v>44596</v>
      </c>
      <c r="O642" s="414" t="s">
        <v>400</v>
      </c>
      <c r="P642" s="222">
        <f t="shared" si="37"/>
        <v>2</v>
      </c>
      <c r="Q642" s="222">
        <f t="shared" si="38"/>
        <v>1</v>
      </c>
      <c r="R642" s="532" t="str">
        <f t="shared" si="39"/>
        <v>Gastos_com_Pessoal</v>
      </c>
      <c r="S642" s="467" t="s">
        <v>310</v>
      </c>
      <c r="T642" s="467" t="s">
        <v>310</v>
      </c>
      <c r="U642" s="496"/>
      <c r="V642" s="496"/>
      <c r="W642" s="496"/>
    </row>
    <row r="643" spans="1:23" ht="36" x14ac:dyDescent="0.2">
      <c r="A643" s="510">
        <f t="shared" si="36"/>
        <v>640</v>
      </c>
      <c r="B643" s="428">
        <v>44596</v>
      </c>
      <c r="C643" s="424">
        <v>44562</v>
      </c>
      <c r="D643" s="415" t="s">
        <v>182</v>
      </c>
      <c r="E643" s="415" t="s">
        <v>1</v>
      </c>
      <c r="F643" s="425">
        <v>2843.71</v>
      </c>
      <c r="G643" s="440" t="s">
        <v>1573</v>
      </c>
      <c r="H643" s="415" t="s">
        <v>310</v>
      </c>
      <c r="I643" s="473" t="s">
        <v>1179</v>
      </c>
      <c r="J643" s="415" t="s">
        <v>1180</v>
      </c>
      <c r="K643" s="415" t="s">
        <v>830</v>
      </c>
      <c r="L643" s="415" t="s">
        <v>909</v>
      </c>
      <c r="M643" s="415" t="s">
        <v>310</v>
      </c>
      <c r="N643" s="414">
        <v>44596</v>
      </c>
      <c r="O643" s="414" t="s">
        <v>400</v>
      </c>
      <c r="P643" s="222">
        <f t="shared" si="37"/>
        <v>2</v>
      </c>
      <c r="Q643" s="222">
        <f t="shared" si="38"/>
        <v>1</v>
      </c>
      <c r="R643" s="532" t="str">
        <f t="shared" si="39"/>
        <v>Gastos_com_Pessoal</v>
      </c>
      <c r="S643" s="467" t="s">
        <v>310</v>
      </c>
      <c r="T643" s="467" t="s">
        <v>310</v>
      </c>
      <c r="U643" s="496"/>
      <c r="V643" s="496"/>
      <c r="W643" s="496"/>
    </row>
    <row r="644" spans="1:23" ht="36" x14ac:dyDescent="0.2">
      <c r="A644" s="510">
        <f t="shared" si="36"/>
        <v>641</v>
      </c>
      <c r="B644" s="428">
        <v>44596</v>
      </c>
      <c r="C644" s="424">
        <v>44562</v>
      </c>
      <c r="D644" s="415" t="s">
        <v>182</v>
      </c>
      <c r="E644" s="415" t="s">
        <v>1</v>
      </c>
      <c r="F644" s="425">
        <v>2838.1</v>
      </c>
      <c r="G644" s="440" t="s">
        <v>1571</v>
      </c>
      <c r="H644" s="415" t="s">
        <v>310</v>
      </c>
      <c r="I644" s="474" t="s">
        <v>1181</v>
      </c>
      <c r="J644" s="434" t="s">
        <v>1574</v>
      </c>
      <c r="K644" s="415" t="s">
        <v>830</v>
      </c>
      <c r="L644" s="415" t="s">
        <v>909</v>
      </c>
      <c r="M644" s="415" t="s">
        <v>310</v>
      </c>
      <c r="N644" s="414">
        <v>44596</v>
      </c>
      <c r="O644" s="414" t="s">
        <v>400</v>
      </c>
      <c r="P644" s="222">
        <f t="shared" si="37"/>
        <v>2</v>
      </c>
      <c r="Q644" s="222">
        <f t="shared" si="38"/>
        <v>1</v>
      </c>
      <c r="R644" s="532" t="str">
        <f t="shared" si="39"/>
        <v>Gastos_com_Pessoal</v>
      </c>
      <c r="S644" s="467" t="s">
        <v>310</v>
      </c>
      <c r="T644" s="467" t="s">
        <v>310</v>
      </c>
      <c r="U644" s="496"/>
      <c r="V644" s="496"/>
      <c r="W644" s="496"/>
    </row>
    <row r="645" spans="1:23" ht="36" x14ac:dyDescent="0.2">
      <c r="A645" s="510">
        <f t="shared" ref="A645:A708" si="40">IF(B645="","",ROW()-ROW($A$3))</f>
        <v>642</v>
      </c>
      <c r="B645" s="428">
        <v>44596</v>
      </c>
      <c r="C645" s="424">
        <v>44562</v>
      </c>
      <c r="D645" s="415" t="s">
        <v>182</v>
      </c>
      <c r="E645" s="415" t="s">
        <v>1</v>
      </c>
      <c r="F645" s="425">
        <v>2095.64</v>
      </c>
      <c r="G645" s="440" t="s">
        <v>1575</v>
      </c>
      <c r="H645" s="415" t="s">
        <v>310</v>
      </c>
      <c r="I645" s="473" t="s">
        <v>1182</v>
      </c>
      <c r="J645" s="415" t="s">
        <v>1183</v>
      </c>
      <c r="K645" s="415" t="s">
        <v>830</v>
      </c>
      <c r="L645" s="415" t="s">
        <v>909</v>
      </c>
      <c r="M645" s="415" t="s">
        <v>310</v>
      </c>
      <c r="N645" s="414">
        <v>44596</v>
      </c>
      <c r="O645" s="414" t="s">
        <v>400</v>
      </c>
      <c r="P645" s="222">
        <f t="shared" ref="P645:P708" si="41">IF(B645=0,0,IF(YEAR(B645)=$Q$1,MONTH(B645)-$P$1+1,(YEAR(B645)-$Q$1)*12-$P$1+1+MONTH(B645)))</f>
        <v>2</v>
      </c>
      <c r="Q645" s="222">
        <f t="shared" ref="Q645:Q708" si="42">IF(C645=0,0,IF(YEAR(C645)=$Q$1,MONTH(C645)-$P$1+1,(YEAR(C645)-$Q$1)*12-$P$1+1+MONTH(C645)))</f>
        <v>1</v>
      </c>
      <c r="R645" s="532" t="str">
        <f t="shared" ref="R645:R708" si="43">SUBSTITUTE(D645," ","_")</f>
        <v>Gastos_com_Pessoal</v>
      </c>
      <c r="S645" s="467" t="s">
        <v>310</v>
      </c>
      <c r="T645" s="467" t="s">
        <v>310</v>
      </c>
      <c r="U645" s="496"/>
      <c r="V645" s="496"/>
      <c r="W645" s="496"/>
    </row>
    <row r="646" spans="1:23" ht="36" x14ac:dyDescent="0.2">
      <c r="A646" s="510">
        <f t="shared" si="40"/>
        <v>643</v>
      </c>
      <c r="B646" s="428">
        <v>44596</v>
      </c>
      <c r="C646" s="424">
        <v>44562</v>
      </c>
      <c r="D646" s="415" t="s">
        <v>182</v>
      </c>
      <c r="E646" s="415" t="s">
        <v>1</v>
      </c>
      <c r="F646" s="425">
        <v>2900.56</v>
      </c>
      <c r="G646" s="440" t="s">
        <v>1567</v>
      </c>
      <c r="H646" s="415" t="s">
        <v>310</v>
      </c>
      <c r="I646" s="474" t="s">
        <v>1184</v>
      </c>
      <c r="J646" s="434" t="s">
        <v>1185</v>
      </c>
      <c r="K646" s="415" t="s">
        <v>830</v>
      </c>
      <c r="L646" s="415" t="s">
        <v>909</v>
      </c>
      <c r="M646" s="415" t="s">
        <v>310</v>
      </c>
      <c r="N646" s="414">
        <v>44596</v>
      </c>
      <c r="O646" s="414" t="s">
        <v>400</v>
      </c>
      <c r="P646" s="222">
        <f t="shared" si="41"/>
        <v>2</v>
      </c>
      <c r="Q646" s="222">
        <f t="shared" si="42"/>
        <v>1</v>
      </c>
      <c r="R646" s="532" t="str">
        <f t="shared" si="43"/>
        <v>Gastos_com_Pessoal</v>
      </c>
      <c r="S646" s="467" t="s">
        <v>310</v>
      </c>
      <c r="T646" s="467" t="s">
        <v>310</v>
      </c>
      <c r="U646" s="496"/>
      <c r="V646" s="496"/>
      <c r="W646" s="496"/>
    </row>
    <row r="647" spans="1:23" ht="36" x14ac:dyDescent="0.2">
      <c r="A647" s="510">
        <f t="shared" si="40"/>
        <v>644</v>
      </c>
      <c r="B647" s="428">
        <v>44596</v>
      </c>
      <c r="C647" s="424">
        <v>44562</v>
      </c>
      <c r="D647" s="415" t="s">
        <v>182</v>
      </c>
      <c r="E647" s="415" t="s">
        <v>1</v>
      </c>
      <c r="F647" s="425">
        <v>2882.58</v>
      </c>
      <c r="G647" s="440" t="s">
        <v>1567</v>
      </c>
      <c r="H647" s="415" t="s">
        <v>310</v>
      </c>
      <c r="I647" s="473" t="s">
        <v>1186</v>
      </c>
      <c r="J647" s="415" t="s">
        <v>1187</v>
      </c>
      <c r="K647" s="415" t="s">
        <v>830</v>
      </c>
      <c r="L647" s="415" t="s">
        <v>909</v>
      </c>
      <c r="M647" s="415" t="s">
        <v>310</v>
      </c>
      <c r="N647" s="414">
        <v>44596</v>
      </c>
      <c r="O647" s="414" t="s">
        <v>400</v>
      </c>
      <c r="P647" s="222">
        <f t="shared" si="41"/>
        <v>2</v>
      </c>
      <c r="Q647" s="222">
        <f t="shared" si="42"/>
        <v>1</v>
      </c>
      <c r="R647" s="532" t="str">
        <f t="shared" si="43"/>
        <v>Gastos_com_Pessoal</v>
      </c>
      <c r="S647" s="467" t="s">
        <v>310</v>
      </c>
      <c r="T647" s="467" t="s">
        <v>310</v>
      </c>
      <c r="U647" s="496"/>
      <c r="V647" s="496"/>
      <c r="W647" s="496"/>
    </row>
    <row r="648" spans="1:23" s="309" customFormat="1" ht="36" x14ac:dyDescent="0.2">
      <c r="A648" s="510">
        <f t="shared" si="40"/>
        <v>645</v>
      </c>
      <c r="B648" s="428">
        <v>44596</v>
      </c>
      <c r="C648" s="424">
        <v>44562</v>
      </c>
      <c r="D648" s="415" t="s">
        <v>182</v>
      </c>
      <c r="E648" s="415" t="s">
        <v>1</v>
      </c>
      <c r="F648" s="425">
        <v>2882.58</v>
      </c>
      <c r="G648" s="440" t="s">
        <v>1567</v>
      </c>
      <c r="H648" s="415" t="s">
        <v>310</v>
      </c>
      <c r="I648" s="473" t="s">
        <v>1188</v>
      </c>
      <c r="J648" s="415" t="s">
        <v>1189</v>
      </c>
      <c r="K648" s="415" t="s">
        <v>830</v>
      </c>
      <c r="L648" s="415" t="s">
        <v>909</v>
      </c>
      <c r="M648" s="415" t="s">
        <v>310</v>
      </c>
      <c r="N648" s="414">
        <v>44596</v>
      </c>
      <c r="O648" s="414" t="s">
        <v>400</v>
      </c>
      <c r="P648" s="222">
        <f t="shared" si="41"/>
        <v>2</v>
      </c>
      <c r="Q648" s="222">
        <f t="shared" si="42"/>
        <v>1</v>
      </c>
      <c r="R648" s="532" t="str">
        <f t="shared" si="43"/>
        <v>Gastos_com_Pessoal</v>
      </c>
      <c r="S648" s="467" t="s">
        <v>310</v>
      </c>
      <c r="T648" s="467" t="s">
        <v>310</v>
      </c>
      <c r="U648" s="496"/>
      <c r="V648" s="496"/>
      <c r="W648" s="496"/>
    </row>
    <row r="649" spans="1:23" ht="36" x14ac:dyDescent="0.2">
      <c r="A649" s="510">
        <f t="shared" si="40"/>
        <v>646</v>
      </c>
      <c r="B649" s="428">
        <v>44596</v>
      </c>
      <c r="C649" s="424">
        <v>44562</v>
      </c>
      <c r="D649" s="415" t="s">
        <v>182</v>
      </c>
      <c r="E649" s="415" t="s">
        <v>1</v>
      </c>
      <c r="F649" s="425">
        <v>2077.66</v>
      </c>
      <c r="G649" s="440" t="s">
        <v>1546</v>
      </c>
      <c r="H649" s="415" t="s">
        <v>310</v>
      </c>
      <c r="I649" s="398" t="s">
        <v>1190</v>
      </c>
      <c r="J649" s="399" t="s">
        <v>1191</v>
      </c>
      <c r="K649" s="415" t="s">
        <v>830</v>
      </c>
      <c r="L649" s="415" t="s">
        <v>909</v>
      </c>
      <c r="M649" s="415" t="s">
        <v>310</v>
      </c>
      <c r="N649" s="414">
        <v>44596</v>
      </c>
      <c r="O649" s="414" t="s">
        <v>400</v>
      </c>
      <c r="P649" s="222">
        <f t="shared" si="41"/>
        <v>2</v>
      </c>
      <c r="Q649" s="222">
        <f t="shared" si="42"/>
        <v>1</v>
      </c>
      <c r="R649" s="532" t="str">
        <f t="shared" si="43"/>
        <v>Gastos_com_Pessoal</v>
      </c>
      <c r="S649" s="467" t="s">
        <v>310</v>
      </c>
      <c r="T649" s="467" t="s">
        <v>310</v>
      </c>
      <c r="U649" s="496"/>
      <c r="V649" s="496"/>
      <c r="W649" s="496"/>
    </row>
    <row r="650" spans="1:23" ht="36" x14ac:dyDescent="0.2">
      <c r="A650" s="510">
        <f t="shared" si="40"/>
        <v>647</v>
      </c>
      <c r="B650" s="428">
        <v>44596</v>
      </c>
      <c r="C650" s="424">
        <v>44562</v>
      </c>
      <c r="D650" s="415" t="s">
        <v>182</v>
      </c>
      <c r="E650" s="415" t="s">
        <v>1</v>
      </c>
      <c r="F650" s="425">
        <v>2882.58</v>
      </c>
      <c r="G650" s="440" t="s">
        <v>1567</v>
      </c>
      <c r="H650" s="415" t="s">
        <v>310</v>
      </c>
      <c r="I650" s="473" t="s">
        <v>1192</v>
      </c>
      <c r="J650" s="434" t="s">
        <v>1576</v>
      </c>
      <c r="K650" s="415" t="s">
        <v>830</v>
      </c>
      <c r="L650" s="415" t="s">
        <v>909</v>
      </c>
      <c r="M650" s="415" t="s">
        <v>310</v>
      </c>
      <c r="N650" s="414">
        <v>44596</v>
      </c>
      <c r="O650" s="414" t="s">
        <v>400</v>
      </c>
      <c r="P650" s="222">
        <f t="shared" si="41"/>
        <v>2</v>
      </c>
      <c r="Q650" s="222">
        <f t="shared" si="42"/>
        <v>1</v>
      </c>
      <c r="R650" s="532" t="str">
        <f t="shared" si="43"/>
        <v>Gastos_com_Pessoal</v>
      </c>
      <c r="S650" s="467" t="s">
        <v>310</v>
      </c>
      <c r="T650" s="467" t="s">
        <v>310</v>
      </c>
      <c r="U650" s="496"/>
      <c r="V650" s="496"/>
      <c r="W650" s="496"/>
    </row>
    <row r="651" spans="1:23" ht="36" x14ac:dyDescent="0.2">
      <c r="A651" s="510">
        <f t="shared" si="40"/>
        <v>648</v>
      </c>
      <c r="B651" s="428">
        <v>44596</v>
      </c>
      <c r="C651" s="424">
        <v>44562</v>
      </c>
      <c r="D651" s="415" t="s">
        <v>182</v>
      </c>
      <c r="E651" s="415" t="s">
        <v>1</v>
      </c>
      <c r="F651" s="425">
        <v>1044.1099999999999</v>
      </c>
      <c r="G651" s="440" t="s">
        <v>1577</v>
      </c>
      <c r="H651" s="415" t="s">
        <v>310</v>
      </c>
      <c r="I651" s="473" t="s">
        <v>1194</v>
      </c>
      <c r="J651" s="415" t="s">
        <v>1195</v>
      </c>
      <c r="K651" s="415" t="s">
        <v>830</v>
      </c>
      <c r="L651" s="415" t="s">
        <v>909</v>
      </c>
      <c r="M651" s="415" t="s">
        <v>310</v>
      </c>
      <c r="N651" s="414">
        <v>44596</v>
      </c>
      <c r="O651" s="414" t="s">
        <v>400</v>
      </c>
      <c r="P651" s="222">
        <f t="shared" si="41"/>
        <v>2</v>
      </c>
      <c r="Q651" s="222">
        <f t="shared" si="42"/>
        <v>1</v>
      </c>
      <c r="R651" s="532" t="str">
        <f t="shared" si="43"/>
        <v>Gastos_com_Pessoal</v>
      </c>
      <c r="S651" s="467" t="s">
        <v>310</v>
      </c>
      <c r="T651" s="467" t="s">
        <v>310</v>
      </c>
      <c r="U651" s="496"/>
      <c r="V651" s="496"/>
      <c r="W651" s="496"/>
    </row>
    <row r="652" spans="1:23" ht="36" x14ac:dyDescent="0.2">
      <c r="A652" s="510">
        <f t="shared" si="40"/>
        <v>649</v>
      </c>
      <c r="B652" s="428">
        <v>44596</v>
      </c>
      <c r="C652" s="424">
        <v>44562</v>
      </c>
      <c r="D652" s="415" t="s">
        <v>182</v>
      </c>
      <c r="E652" s="415" t="s">
        <v>1</v>
      </c>
      <c r="F652" s="425">
        <v>1553.49</v>
      </c>
      <c r="G652" s="440" t="s">
        <v>1579</v>
      </c>
      <c r="H652" s="415" t="s">
        <v>310</v>
      </c>
      <c r="I652" s="473" t="s">
        <v>1196</v>
      </c>
      <c r="J652" s="415" t="s">
        <v>1197</v>
      </c>
      <c r="K652" s="415" t="s">
        <v>830</v>
      </c>
      <c r="L652" s="415" t="s">
        <v>909</v>
      </c>
      <c r="M652" s="415" t="s">
        <v>310</v>
      </c>
      <c r="N652" s="414">
        <v>44596</v>
      </c>
      <c r="O652" s="414" t="s">
        <v>400</v>
      </c>
      <c r="P652" s="222">
        <f t="shared" si="41"/>
        <v>2</v>
      </c>
      <c r="Q652" s="222">
        <f t="shared" si="42"/>
        <v>1</v>
      </c>
      <c r="R652" s="532" t="str">
        <f t="shared" si="43"/>
        <v>Gastos_com_Pessoal</v>
      </c>
      <c r="S652" s="467" t="s">
        <v>310</v>
      </c>
      <c r="T652" s="467" t="s">
        <v>310</v>
      </c>
      <c r="U652" s="496"/>
      <c r="V652" s="496"/>
      <c r="W652" s="496"/>
    </row>
    <row r="653" spans="1:23" ht="36" x14ac:dyDescent="0.2">
      <c r="A653" s="510">
        <f t="shared" si="40"/>
        <v>650</v>
      </c>
      <c r="B653" s="428">
        <v>44596</v>
      </c>
      <c r="C653" s="424">
        <v>44562</v>
      </c>
      <c r="D653" s="415" t="s">
        <v>182</v>
      </c>
      <c r="E653" s="415" t="s">
        <v>1</v>
      </c>
      <c r="F653" s="425">
        <v>2077.66</v>
      </c>
      <c r="G653" s="440" t="s">
        <v>1546</v>
      </c>
      <c r="H653" s="415" t="s">
        <v>310</v>
      </c>
      <c r="I653" s="473" t="s">
        <v>1198</v>
      </c>
      <c r="J653" s="415" t="s">
        <v>1578</v>
      </c>
      <c r="K653" s="415" t="s">
        <v>830</v>
      </c>
      <c r="L653" s="415" t="s">
        <v>909</v>
      </c>
      <c r="M653" s="415" t="s">
        <v>310</v>
      </c>
      <c r="N653" s="414">
        <v>44596</v>
      </c>
      <c r="O653" s="414" t="s">
        <v>400</v>
      </c>
      <c r="P653" s="222">
        <f t="shared" si="41"/>
        <v>2</v>
      </c>
      <c r="Q653" s="222">
        <f t="shared" si="42"/>
        <v>1</v>
      </c>
      <c r="R653" s="532" t="str">
        <f t="shared" si="43"/>
        <v>Gastos_com_Pessoal</v>
      </c>
      <c r="S653" s="467" t="s">
        <v>310</v>
      </c>
      <c r="T653" s="467" t="s">
        <v>310</v>
      </c>
      <c r="U653" s="496"/>
      <c r="V653" s="496"/>
      <c r="W653" s="496"/>
    </row>
    <row r="654" spans="1:23" ht="36" x14ac:dyDescent="0.2">
      <c r="A654" s="510">
        <f t="shared" si="40"/>
        <v>651</v>
      </c>
      <c r="B654" s="428">
        <v>44596</v>
      </c>
      <c r="C654" s="424">
        <v>44562</v>
      </c>
      <c r="D654" s="415" t="s">
        <v>182</v>
      </c>
      <c r="E654" s="415" t="s">
        <v>1</v>
      </c>
      <c r="F654" s="425">
        <v>1774.56</v>
      </c>
      <c r="G654" s="440" t="s">
        <v>1546</v>
      </c>
      <c r="H654" s="415" t="s">
        <v>310</v>
      </c>
      <c r="I654" s="473" t="s">
        <v>1200</v>
      </c>
      <c r="J654" s="415" t="s">
        <v>1201</v>
      </c>
      <c r="K654" s="415" t="s">
        <v>830</v>
      </c>
      <c r="L654" s="415" t="s">
        <v>909</v>
      </c>
      <c r="M654" s="415" t="s">
        <v>310</v>
      </c>
      <c r="N654" s="414">
        <v>44596</v>
      </c>
      <c r="O654" s="414" t="s">
        <v>400</v>
      </c>
      <c r="P654" s="222">
        <f t="shared" si="41"/>
        <v>2</v>
      </c>
      <c r="Q654" s="222">
        <f t="shared" si="42"/>
        <v>1</v>
      </c>
      <c r="R654" s="532" t="str">
        <f t="shared" si="43"/>
        <v>Gastos_com_Pessoal</v>
      </c>
      <c r="S654" s="467" t="s">
        <v>310</v>
      </c>
      <c r="T654" s="467" t="s">
        <v>310</v>
      </c>
      <c r="U654" s="496"/>
      <c r="V654" s="496"/>
      <c r="W654" s="496"/>
    </row>
    <row r="655" spans="1:23" ht="36" x14ac:dyDescent="0.2">
      <c r="A655" s="510">
        <f t="shared" si="40"/>
        <v>652</v>
      </c>
      <c r="B655" s="428">
        <v>44596</v>
      </c>
      <c r="C655" s="424">
        <v>44562</v>
      </c>
      <c r="D655" s="415" t="s">
        <v>182</v>
      </c>
      <c r="E655" s="415" t="s">
        <v>1</v>
      </c>
      <c r="F655" s="425">
        <v>2077.66</v>
      </c>
      <c r="G655" s="440" t="s">
        <v>1546</v>
      </c>
      <c r="H655" s="415" t="s">
        <v>310</v>
      </c>
      <c r="I655" s="473" t="s">
        <v>1202</v>
      </c>
      <c r="J655" s="415" t="s">
        <v>1201</v>
      </c>
      <c r="K655" s="415" t="s">
        <v>830</v>
      </c>
      <c r="L655" s="415" t="s">
        <v>909</v>
      </c>
      <c r="M655" s="415" t="s">
        <v>310</v>
      </c>
      <c r="N655" s="414">
        <v>44596</v>
      </c>
      <c r="O655" s="414" t="s">
        <v>400</v>
      </c>
      <c r="P655" s="222">
        <f t="shared" si="41"/>
        <v>2</v>
      </c>
      <c r="Q655" s="222">
        <f t="shared" si="42"/>
        <v>1</v>
      </c>
      <c r="R655" s="532" t="str">
        <f t="shared" si="43"/>
        <v>Gastos_com_Pessoal</v>
      </c>
      <c r="S655" s="467" t="s">
        <v>310</v>
      </c>
      <c r="T655" s="467" t="s">
        <v>310</v>
      </c>
      <c r="U655" s="496"/>
      <c r="V655" s="496"/>
      <c r="W655" s="496"/>
    </row>
    <row r="656" spans="1:23" ht="36" x14ac:dyDescent="0.2">
      <c r="A656" s="510">
        <f t="shared" si="40"/>
        <v>653</v>
      </c>
      <c r="B656" s="428">
        <v>44596</v>
      </c>
      <c r="C656" s="424">
        <v>44562</v>
      </c>
      <c r="D656" s="415" t="s">
        <v>182</v>
      </c>
      <c r="E656" s="415" t="s">
        <v>1</v>
      </c>
      <c r="F656" s="425">
        <v>2095.64</v>
      </c>
      <c r="G656" s="440" t="s">
        <v>1580</v>
      </c>
      <c r="H656" s="415" t="s">
        <v>310</v>
      </c>
      <c r="I656" s="473" t="s">
        <v>1203</v>
      </c>
      <c r="J656" s="415" t="s">
        <v>1582</v>
      </c>
      <c r="K656" s="415" t="s">
        <v>830</v>
      </c>
      <c r="L656" s="415" t="s">
        <v>909</v>
      </c>
      <c r="M656" s="415" t="s">
        <v>310</v>
      </c>
      <c r="N656" s="414">
        <v>44596</v>
      </c>
      <c r="O656" s="414" t="s">
        <v>400</v>
      </c>
      <c r="P656" s="222">
        <f t="shared" si="41"/>
        <v>2</v>
      </c>
      <c r="Q656" s="222">
        <f t="shared" si="42"/>
        <v>1</v>
      </c>
      <c r="R656" s="532" t="str">
        <f t="shared" si="43"/>
        <v>Gastos_com_Pessoal</v>
      </c>
      <c r="S656" s="467" t="s">
        <v>310</v>
      </c>
      <c r="T656" s="467" t="s">
        <v>310</v>
      </c>
      <c r="U656" s="496"/>
      <c r="V656" s="496"/>
      <c r="W656" s="496"/>
    </row>
    <row r="657" spans="1:23" ht="36" x14ac:dyDescent="0.2">
      <c r="A657" s="510">
        <f t="shared" si="40"/>
        <v>654</v>
      </c>
      <c r="B657" s="428">
        <v>44596</v>
      </c>
      <c r="C657" s="424">
        <v>44562</v>
      </c>
      <c r="D657" s="415" t="s">
        <v>182</v>
      </c>
      <c r="E657" s="415" t="s">
        <v>1</v>
      </c>
      <c r="F657" s="425">
        <v>2029.7</v>
      </c>
      <c r="G657" s="440" t="s">
        <v>1546</v>
      </c>
      <c r="H657" s="415" t="s">
        <v>310</v>
      </c>
      <c r="I657" s="473" t="s">
        <v>1205</v>
      </c>
      <c r="J657" s="415" t="s">
        <v>1583</v>
      </c>
      <c r="K657" s="415" t="s">
        <v>830</v>
      </c>
      <c r="L657" s="415" t="s">
        <v>909</v>
      </c>
      <c r="M657" s="415" t="s">
        <v>310</v>
      </c>
      <c r="N657" s="414">
        <v>44596</v>
      </c>
      <c r="O657" s="414" t="s">
        <v>400</v>
      </c>
      <c r="P657" s="222">
        <f t="shared" si="41"/>
        <v>2</v>
      </c>
      <c r="Q657" s="222">
        <f t="shared" si="42"/>
        <v>1</v>
      </c>
      <c r="R657" s="532" t="str">
        <f t="shared" si="43"/>
        <v>Gastos_com_Pessoal</v>
      </c>
      <c r="S657" s="467" t="s">
        <v>310</v>
      </c>
      <c r="T657" s="467" t="s">
        <v>310</v>
      </c>
      <c r="U657" s="496"/>
      <c r="V657" s="496"/>
      <c r="W657" s="496"/>
    </row>
    <row r="658" spans="1:23" ht="36" x14ac:dyDescent="0.2">
      <c r="A658" s="510">
        <f t="shared" si="40"/>
        <v>655</v>
      </c>
      <c r="B658" s="428">
        <v>44596</v>
      </c>
      <c r="C658" s="424">
        <v>44562</v>
      </c>
      <c r="D658" s="415" t="s">
        <v>182</v>
      </c>
      <c r="E658" s="415" t="s">
        <v>1</v>
      </c>
      <c r="F658" s="425">
        <v>1456.13</v>
      </c>
      <c r="G658" s="440" t="s">
        <v>1581</v>
      </c>
      <c r="H658" s="415" t="s">
        <v>310</v>
      </c>
      <c r="I658" s="473" t="s">
        <v>1207</v>
      </c>
      <c r="J658" s="415" t="s">
        <v>1584</v>
      </c>
      <c r="K658" s="415" t="s">
        <v>830</v>
      </c>
      <c r="L658" s="415" t="s">
        <v>909</v>
      </c>
      <c r="M658" s="415" t="s">
        <v>310</v>
      </c>
      <c r="N658" s="414">
        <v>44596</v>
      </c>
      <c r="O658" s="414" t="s">
        <v>400</v>
      </c>
      <c r="P658" s="222">
        <f t="shared" si="41"/>
        <v>2</v>
      </c>
      <c r="Q658" s="222">
        <f t="shared" si="42"/>
        <v>1</v>
      </c>
      <c r="R658" s="532" t="str">
        <f t="shared" si="43"/>
        <v>Gastos_com_Pessoal</v>
      </c>
      <c r="S658" s="467" t="s">
        <v>310</v>
      </c>
      <c r="T658" s="467" t="s">
        <v>310</v>
      </c>
      <c r="U658" s="496"/>
      <c r="V658" s="496"/>
      <c r="W658" s="496"/>
    </row>
    <row r="659" spans="1:23" ht="24" x14ac:dyDescent="0.2">
      <c r="A659" s="510">
        <f t="shared" si="40"/>
        <v>656</v>
      </c>
      <c r="B659" s="428">
        <v>44596</v>
      </c>
      <c r="C659" s="424">
        <v>44593</v>
      </c>
      <c r="D659" s="415" t="s">
        <v>271</v>
      </c>
      <c r="E659" s="415" t="s">
        <v>71</v>
      </c>
      <c r="F659" s="425">
        <v>10.45</v>
      </c>
      <c r="G659" s="427" t="s">
        <v>1232</v>
      </c>
      <c r="H659" s="415" t="s">
        <v>310</v>
      </c>
      <c r="I659" s="398" t="s">
        <v>881</v>
      </c>
      <c r="J659" s="418" t="s">
        <v>882</v>
      </c>
      <c r="K659" s="418" t="s">
        <v>883</v>
      </c>
      <c r="L659" s="399" t="s">
        <v>798</v>
      </c>
      <c r="M659" s="544" t="s">
        <v>310</v>
      </c>
      <c r="N659" s="414">
        <v>44596</v>
      </c>
      <c r="O659" s="414" t="s">
        <v>400</v>
      </c>
      <c r="P659" s="222">
        <f t="shared" si="41"/>
        <v>2</v>
      </c>
      <c r="Q659" s="222">
        <f t="shared" si="42"/>
        <v>2</v>
      </c>
      <c r="R659" s="532" t="str">
        <f t="shared" si="43"/>
        <v>Gastos_Gerais</v>
      </c>
      <c r="S659" s="467" t="s">
        <v>310</v>
      </c>
      <c r="T659" s="467" t="s">
        <v>310</v>
      </c>
      <c r="U659" s="496"/>
      <c r="V659" s="496"/>
      <c r="W659" s="496"/>
    </row>
    <row r="660" spans="1:23" ht="24" x14ac:dyDescent="0.2">
      <c r="A660" s="510">
        <f t="shared" si="40"/>
        <v>657</v>
      </c>
      <c r="B660" s="428">
        <v>44596</v>
      </c>
      <c r="C660" s="424">
        <v>44593</v>
      </c>
      <c r="D660" s="415" t="s">
        <v>271</v>
      </c>
      <c r="E660" s="415" t="s">
        <v>71</v>
      </c>
      <c r="F660" s="425">
        <v>10.45</v>
      </c>
      <c r="G660" s="427" t="s">
        <v>1233</v>
      </c>
      <c r="H660" s="415" t="s">
        <v>310</v>
      </c>
      <c r="I660" s="398" t="s">
        <v>881</v>
      </c>
      <c r="J660" s="418" t="s">
        <v>882</v>
      </c>
      <c r="K660" s="418" t="s">
        <v>883</v>
      </c>
      <c r="L660" s="399" t="s">
        <v>798</v>
      </c>
      <c r="M660" s="544" t="s">
        <v>310</v>
      </c>
      <c r="N660" s="414">
        <v>44596</v>
      </c>
      <c r="O660" s="414" t="s">
        <v>400</v>
      </c>
      <c r="P660" s="222">
        <f t="shared" si="41"/>
        <v>2</v>
      </c>
      <c r="Q660" s="222">
        <f t="shared" si="42"/>
        <v>2</v>
      </c>
      <c r="R660" s="532" t="str">
        <f t="shared" si="43"/>
        <v>Gastos_Gerais</v>
      </c>
      <c r="S660" s="467" t="s">
        <v>310</v>
      </c>
      <c r="T660" s="467" t="s">
        <v>310</v>
      </c>
      <c r="U660" s="496"/>
      <c r="V660" s="496"/>
      <c r="W660" s="496"/>
    </row>
    <row r="661" spans="1:23" ht="24" x14ac:dyDescent="0.2">
      <c r="A661" s="510">
        <f t="shared" si="40"/>
        <v>658</v>
      </c>
      <c r="B661" s="428">
        <v>44596</v>
      </c>
      <c r="C661" s="424">
        <v>44593</v>
      </c>
      <c r="D661" s="415" t="s">
        <v>271</v>
      </c>
      <c r="E661" s="415" t="s">
        <v>71</v>
      </c>
      <c r="F661" s="425">
        <v>10.45</v>
      </c>
      <c r="G661" s="427" t="s">
        <v>1246</v>
      </c>
      <c r="H661" s="415" t="s">
        <v>310</v>
      </c>
      <c r="I661" s="398" t="s">
        <v>881</v>
      </c>
      <c r="J661" s="418" t="s">
        <v>882</v>
      </c>
      <c r="K661" s="418" t="s">
        <v>883</v>
      </c>
      <c r="L661" s="399" t="s">
        <v>798</v>
      </c>
      <c r="M661" s="544" t="s">
        <v>310</v>
      </c>
      <c r="N661" s="414">
        <v>44596</v>
      </c>
      <c r="O661" s="414" t="s">
        <v>400</v>
      </c>
      <c r="P661" s="222">
        <f t="shared" si="41"/>
        <v>2</v>
      </c>
      <c r="Q661" s="222">
        <f t="shared" si="42"/>
        <v>2</v>
      </c>
      <c r="R661" s="532" t="str">
        <f t="shared" si="43"/>
        <v>Gastos_Gerais</v>
      </c>
      <c r="S661" s="467" t="s">
        <v>310</v>
      </c>
      <c r="T661" s="467" t="s">
        <v>310</v>
      </c>
      <c r="U661" s="496"/>
      <c r="V661" s="496"/>
      <c r="W661" s="496"/>
    </row>
    <row r="662" spans="1:23" ht="24" x14ac:dyDescent="0.2">
      <c r="A662" s="510">
        <f t="shared" si="40"/>
        <v>659</v>
      </c>
      <c r="B662" s="428">
        <v>44596</v>
      </c>
      <c r="C662" s="424">
        <v>44593</v>
      </c>
      <c r="D662" s="415" t="s">
        <v>271</v>
      </c>
      <c r="E662" s="415" t="s">
        <v>71</v>
      </c>
      <c r="F662" s="425">
        <v>10.45</v>
      </c>
      <c r="G662" s="427" t="s">
        <v>1246</v>
      </c>
      <c r="H662" s="415" t="s">
        <v>310</v>
      </c>
      <c r="I662" s="398" t="s">
        <v>881</v>
      </c>
      <c r="J662" s="418" t="s">
        <v>882</v>
      </c>
      <c r="K662" s="418" t="s">
        <v>883</v>
      </c>
      <c r="L662" s="399" t="s">
        <v>798</v>
      </c>
      <c r="M662" s="544" t="s">
        <v>310</v>
      </c>
      <c r="N662" s="414">
        <v>44596</v>
      </c>
      <c r="O662" s="414" t="s">
        <v>400</v>
      </c>
      <c r="P662" s="222">
        <f t="shared" si="41"/>
        <v>2</v>
      </c>
      <c r="Q662" s="222">
        <f t="shared" si="42"/>
        <v>2</v>
      </c>
      <c r="R662" s="532" t="str">
        <f t="shared" si="43"/>
        <v>Gastos_Gerais</v>
      </c>
      <c r="S662" s="467" t="s">
        <v>310</v>
      </c>
      <c r="T662" s="467" t="s">
        <v>310</v>
      </c>
      <c r="U662" s="496"/>
      <c r="V662" s="496"/>
      <c r="W662" s="496"/>
    </row>
    <row r="663" spans="1:23" ht="24" x14ac:dyDescent="0.2">
      <c r="A663" s="510">
        <f t="shared" si="40"/>
        <v>660</v>
      </c>
      <c r="B663" s="428">
        <v>44596</v>
      </c>
      <c r="C663" s="424">
        <v>44593</v>
      </c>
      <c r="D663" s="415" t="s">
        <v>271</v>
      </c>
      <c r="E663" s="415" t="s">
        <v>71</v>
      </c>
      <c r="F663" s="425">
        <v>10.45</v>
      </c>
      <c r="G663" s="427" t="s">
        <v>1233</v>
      </c>
      <c r="H663" s="415" t="s">
        <v>310</v>
      </c>
      <c r="I663" s="398" t="s">
        <v>881</v>
      </c>
      <c r="J663" s="418" t="s">
        <v>882</v>
      </c>
      <c r="K663" s="418" t="s">
        <v>883</v>
      </c>
      <c r="L663" s="399" t="s">
        <v>798</v>
      </c>
      <c r="M663" s="544" t="s">
        <v>310</v>
      </c>
      <c r="N663" s="414">
        <v>44596</v>
      </c>
      <c r="O663" s="414" t="s">
        <v>400</v>
      </c>
      <c r="P663" s="222">
        <f t="shared" si="41"/>
        <v>2</v>
      </c>
      <c r="Q663" s="222">
        <f t="shared" si="42"/>
        <v>2</v>
      </c>
      <c r="R663" s="532" t="str">
        <f t="shared" si="43"/>
        <v>Gastos_Gerais</v>
      </c>
      <c r="S663" s="467" t="s">
        <v>310</v>
      </c>
      <c r="T663" s="467" t="s">
        <v>310</v>
      </c>
      <c r="U663" s="496"/>
      <c r="V663" s="496"/>
      <c r="W663" s="496"/>
    </row>
    <row r="664" spans="1:23" ht="24" x14ac:dyDescent="0.2">
      <c r="A664" s="510">
        <f t="shared" si="40"/>
        <v>661</v>
      </c>
      <c r="B664" s="428">
        <v>44596</v>
      </c>
      <c r="C664" s="424">
        <v>44593</v>
      </c>
      <c r="D664" s="415" t="s">
        <v>271</v>
      </c>
      <c r="E664" s="415" t="s">
        <v>71</v>
      </c>
      <c r="F664" s="425">
        <v>10.45</v>
      </c>
      <c r="G664" s="427" t="s">
        <v>1585</v>
      </c>
      <c r="H664" s="415" t="s">
        <v>310</v>
      </c>
      <c r="I664" s="398" t="s">
        <v>881</v>
      </c>
      <c r="J664" s="418" t="s">
        <v>882</v>
      </c>
      <c r="K664" s="418" t="s">
        <v>883</v>
      </c>
      <c r="L664" s="399" t="s">
        <v>798</v>
      </c>
      <c r="M664" s="544" t="s">
        <v>310</v>
      </c>
      <c r="N664" s="414">
        <v>44596</v>
      </c>
      <c r="O664" s="414" t="s">
        <v>400</v>
      </c>
      <c r="P664" s="222">
        <f t="shared" si="41"/>
        <v>2</v>
      </c>
      <c r="Q664" s="222">
        <f t="shared" si="42"/>
        <v>2</v>
      </c>
      <c r="R664" s="532" t="str">
        <f t="shared" si="43"/>
        <v>Gastos_Gerais</v>
      </c>
      <c r="S664" s="467" t="s">
        <v>310</v>
      </c>
      <c r="T664" s="467" t="s">
        <v>310</v>
      </c>
      <c r="U664" s="496"/>
      <c r="V664" s="496"/>
      <c r="W664" s="496"/>
    </row>
    <row r="665" spans="1:23" ht="24" x14ac:dyDescent="0.2">
      <c r="A665" s="510">
        <f t="shared" si="40"/>
        <v>662</v>
      </c>
      <c r="B665" s="428">
        <v>44596</v>
      </c>
      <c r="C665" s="424">
        <v>44593</v>
      </c>
      <c r="D665" s="415" t="s">
        <v>271</v>
      </c>
      <c r="E665" s="415" t="s">
        <v>71</v>
      </c>
      <c r="F665" s="425">
        <v>10.45</v>
      </c>
      <c r="G665" s="427" t="s">
        <v>1235</v>
      </c>
      <c r="H665" s="415" t="s">
        <v>310</v>
      </c>
      <c r="I665" s="398" t="s">
        <v>881</v>
      </c>
      <c r="J665" s="418" t="s">
        <v>882</v>
      </c>
      <c r="K665" s="418" t="s">
        <v>883</v>
      </c>
      <c r="L665" s="399" t="s">
        <v>798</v>
      </c>
      <c r="M665" s="544" t="s">
        <v>310</v>
      </c>
      <c r="N665" s="414">
        <v>44596</v>
      </c>
      <c r="O665" s="414" t="s">
        <v>400</v>
      </c>
      <c r="P665" s="222">
        <f t="shared" si="41"/>
        <v>2</v>
      </c>
      <c r="Q665" s="222">
        <f t="shared" si="42"/>
        <v>2</v>
      </c>
      <c r="R665" s="532" t="str">
        <f t="shared" si="43"/>
        <v>Gastos_Gerais</v>
      </c>
      <c r="S665" s="467" t="s">
        <v>310</v>
      </c>
      <c r="T665" s="467" t="s">
        <v>310</v>
      </c>
      <c r="U665" s="496"/>
      <c r="V665" s="496"/>
      <c r="W665" s="496"/>
    </row>
    <row r="666" spans="1:23" ht="24" x14ac:dyDescent="0.2">
      <c r="A666" s="510">
        <f t="shared" si="40"/>
        <v>663</v>
      </c>
      <c r="B666" s="428">
        <v>44596</v>
      </c>
      <c r="C666" s="424">
        <v>44593</v>
      </c>
      <c r="D666" s="415" t="s">
        <v>271</v>
      </c>
      <c r="E666" s="415" t="s">
        <v>71</v>
      </c>
      <c r="F666" s="425">
        <v>10.45</v>
      </c>
      <c r="G666" s="427" t="s">
        <v>1233</v>
      </c>
      <c r="H666" s="415" t="s">
        <v>310</v>
      </c>
      <c r="I666" s="398" t="s">
        <v>881</v>
      </c>
      <c r="J666" s="418" t="s">
        <v>882</v>
      </c>
      <c r="K666" s="418" t="s">
        <v>883</v>
      </c>
      <c r="L666" s="399" t="s">
        <v>798</v>
      </c>
      <c r="M666" s="544" t="s">
        <v>310</v>
      </c>
      <c r="N666" s="414">
        <v>44596</v>
      </c>
      <c r="O666" s="414" t="s">
        <v>400</v>
      </c>
      <c r="P666" s="222">
        <f t="shared" si="41"/>
        <v>2</v>
      </c>
      <c r="Q666" s="222">
        <f t="shared" si="42"/>
        <v>2</v>
      </c>
      <c r="R666" s="532" t="str">
        <f t="shared" si="43"/>
        <v>Gastos_Gerais</v>
      </c>
      <c r="S666" s="467" t="s">
        <v>310</v>
      </c>
      <c r="T666" s="467" t="s">
        <v>310</v>
      </c>
      <c r="U666" s="496"/>
      <c r="V666" s="496"/>
      <c r="W666" s="496"/>
    </row>
    <row r="667" spans="1:23" ht="24" x14ac:dyDescent="0.2">
      <c r="A667" s="510">
        <f t="shared" si="40"/>
        <v>664</v>
      </c>
      <c r="B667" s="428">
        <v>44596</v>
      </c>
      <c r="C667" s="424">
        <v>44593</v>
      </c>
      <c r="D667" s="415" t="s">
        <v>271</v>
      </c>
      <c r="E667" s="415" t="s">
        <v>71</v>
      </c>
      <c r="F667" s="425">
        <v>10.45</v>
      </c>
      <c r="G667" s="427" t="s">
        <v>1587</v>
      </c>
      <c r="H667" s="415" t="s">
        <v>310</v>
      </c>
      <c r="I667" s="398" t="s">
        <v>881</v>
      </c>
      <c r="J667" s="418" t="s">
        <v>882</v>
      </c>
      <c r="K667" s="418" t="s">
        <v>883</v>
      </c>
      <c r="L667" s="399" t="s">
        <v>798</v>
      </c>
      <c r="M667" s="544" t="s">
        <v>310</v>
      </c>
      <c r="N667" s="414">
        <v>44596</v>
      </c>
      <c r="O667" s="414" t="s">
        <v>400</v>
      </c>
      <c r="P667" s="222">
        <f t="shared" si="41"/>
        <v>2</v>
      </c>
      <c r="Q667" s="222">
        <f t="shared" si="42"/>
        <v>2</v>
      </c>
      <c r="R667" s="532" t="str">
        <f t="shared" si="43"/>
        <v>Gastos_Gerais</v>
      </c>
      <c r="S667" s="467" t="s">
        <v>310</v>
      </c>
      <c r="T667" s="467" t="s">
        <v>310</v>
      </c>
      <c r="U667" s="496"/>
      <c r="V667" s="496"/>
      <c r="W667" s="496"/>
    </row>
    <row r="668" spans="1:23" ht="24" x14ac:dyDescent="0.2">
      <c r="A668" s="510">
        <f t="shared" si="40"/>
        <v>665</v>
      </c>
      <c r="B668" s="428">
        <v>44596</v>
      </c>
      <c r="C668" s="424">
        <v>44593</v>
      </c>
      <c r="D668" s="415" t="s">
        <v>271</v>
      </c>
      <c r="E668" s="415" t="s">
        <v>71</v>
      </c>
      <c r="F668" s="425">
        <v>10.45</v>
      </c>
      <c r="G668" s="427" t="s">
        <v>1233</v>
      </c>
      <c r="H668" s="415" t="s">
        <v>310</v>
      </c>
      <c r="I668" s="398" t="s">
        <v>881</v>
      </c>
      <c r="J668" s="418" t="s">
        <v>882</v>
      </c>
      <c r="K668" s="418" t="s">
        <v>883</v>
      </c>
      <c r="L668" s="399" t="s">
        <v>798</v>
      </c>
      <c r="M668" s="544" t="s">
        <v>310</v>
      </c>
      <c r="N668" s="414">
        <v>44596</v>
      </c>
      <c r="O668" s="414" t="s">
        <v>400</v>
      </c>
      <c r="P668" s="222">
        <f t="shared" si="41"/>
        <v>2</v>
      </c>
      <c r="Q668" s="222">
        <f t="shared" si="42"/>
        <v>2</v>
      </c>
      <c r="R668" s="532" t="str">
        <f t="shared" si="43"/>
        <v>Gastos_Gerais</v>
      </c>
      <c r="S668" s="467" t="s">
        <v>310</v>
      </c>
      <c r="T668" s="467" t="s">
        <v>310</v>
      </c>
      <c r="U668" s="496"/>
      <c r="V668" s="496"/>
      <c r="W668" s="496"/>
    </row>
    <row r="669" spans="1:23" ht="24" x14ac:dyDescent="0.2">
      <c r="A669" s="510">
        <f t="shared" si="40"/>
        <v>666</v>
      </c>
      <c r="B669" s="428">
        <v>44596</v>
      </c>
      <c r="C669" s="424">
        <v>44593</v>
      </c>
      <c r="D669" s="415" t="s">
        <v>271</v>
      </c>
      <c r="E669" s="415" t="s">
        <v>71</v>
      </c>
      <c r="F669" s="425">
        <v>10.45</v>
      </c>
      <c r="G669" s="427" t="s">
        <v>1586</v>
      </c>
      <c r="H669" s="415" t="s">
        <v>310</v>
      </c>
      <c r="I669" s="398" t="s">
        <v>881</v>
      </c>
      <c r="J669" s="418" t="s">
        <v>882</v>
      </c>
      <c r="K669" s="418" t="s">
        <v>883</v>
      </c>
      <c r="L669" s="399" t="s">
        <v>798</v>
      </c>
      <c r="M669" s="544" t="s">
        <v>310</v>
      </c>
      <c r="N669" s="414">
        <v>44596</v>
      </c>
      <c r="O669" s="414" t="s">
        <v>400</v>
      </c>
      <c r="P669" s="222">
        <f t="shared" si="41"/>
        <v>2</v>
      </c>
      <c r="Q669" s="222">
        <f t="shared" si="42"/>
        <v>2</v>
      </c>
      <c r="R669" s="532" t="str">
        <f t="shared" si="43"/>
        <v>Gastos_Gerais</v>
      </c>
      <c r="S669" s="467" t="s">
        <v>310</v>
      </c>
      <c r="T669" s="467" t="s">
        <v>310</v>
      </c>
      <c r="U669" s="496"/>
      <c r="V669" s="496"/>
      <c r="W669" s="496"/>
    </row>
    <row r="670" spans="1:23" ht="24" x14ac:dyDescent="0.2">
      <c r="A670" s="510">
        <f t="shared" si="40"/>
        <v>667</v>
      </c>
      <c r="B670" s="428">
        <v>44596</v>
      </c>
      <c r="C670" s="424">
        <v>44593</v>
      </c>
      <c r="D670" s="415" t="s">
        <v>271</v>
      </c>
      <c r="E670" s="415" t="s">
        <v>71</v>
      </c>
      <c r="F670" s="425">
        <v>10.45</v>
      </c>
      <c r="G670" s="427" t="s">
        <v>1588</v>
      </c>
      <c r="H670" s="415" t="s">
        <v>310</v>
      </c>
      <c r="I670" s="398" t="s">
        <v>881</v>
      </c>
      <c r="J670" s="418" t="s">
        <v>882</v>
      </c>
      <c r="K670" s="418" t="s">
        <v>883</v>
      </c>
      <c r="L670" s="399" t="s">
        <v>798</v>
      </c>
      <c r="M670" s="544" t="s">
        <v>310</v>
      </c>
      <c r="N670" s="414">
        <v>44596</v>
      </c>
      <c r="O670" s="414" t="s">
        <v>400</v>
      </c>
      <c r="P670" s="222">
        <f t="shared" si="41"/>
        <v>2</v>
      </c>
      <c r="Q670" s="222">
        <f t="shared" si="42"/>
        <v>2</v>
      </c>
      <c r="R670" s="532" t="str">
        <f t="shared" si="43"/>
        <v>Gastos_Gerais</v>
      </c>
      <c r="S670" s="467" t="s">
        <v>310</v>
      </c>
      <c r="T670" s="467" t="s">
        <v>310</v>
      </c>
      <c r="U670" s="496"/>
      <c r="V670" s="496"/>
      <c r="W670" s="496"/>
    </row>
    <row r="671" spans="1:23" ht="24" x14ac:dyDescent="0.2">
      <c r="A671" s="510">
        <f t="shared" si="40"/>
        <v>668</v>
      </c>
      <c r="B671" s="428">
        <v>44596</v>
      </c>
      <c r="C671" s="424">
        <v>44593</v>
      </c>
      <c r="D671" s="415" t="s">
        <v>271</v>
      </c>
      <c r="E671" s="415" t="s">
        <v>71</v>
      </c>
      <c r="F671" s="425">
        <v>10.45</v>
      </c>
      <c r="G671" s="427" t="s">
        <v>1233</v>
      </c>
      <c r="H671" s="415" t="s">
        <v>310</v>
      </c>
      <c r="I671" s="398" t="s">
        <v>881</v>
      </c>
      <c r="J671" s="418" t="s">
        <v>882</v>
      </c>
      <c r="K671" s="418" t="s">
        <v>883</v>
      </c>
      <c r="L671" s="399" t="s">
        <v>798</v>
      </c>
      <c r="M671" s="544" t="s">
        <v>310</v>
      </c>
      <c r="N671" s="414">
        <v>44596</v>
      </c>
      <c r="O671" s="414" t="s">
        <v>400</v>
      </c>
      <c r="P671" s="222">
        <f t="shared" si="41"/>
        <v>2</v>
      </c>
      <c r="Q671" s="222">
        <f t="shared" si="42"/>
        <v>2</v>
      </c>
      <c r="R671" s="532" t="str">
        <f t="shared" si="43"/>
        <v>Gastos_Gerais</v>
      </c>
      <c r="S671" s="467" t="s">
        <v>310</v>
      </c>
      <c r="T671" s="467" t="s">
        <v>310</v>
      </c>
      <c r="U671" s="496"/>
      <c r="V671" s="496"/>
      <c r="W671" s="496"/>
    </row>
    <row r="672" spans="1:23" ht="24" x14ac:dyDescent="0.2">
      <c r="A672" s="510">
        <f t="shared" si="40"/>
        <v>669</v>
      </c>
      <c r="B672" s="428">
        <v>44596</v>
      </c>
      <c r="C672" s="424">
        <v>44593</v>
      </c>
      <c r="D672" s="415" t="s">
        <v>271</v>
      </c>
      <c r="E672" s="415" t="s">
        <v>71</v>
      </c>
      <c r="F672" s="425">
        <v>10.45</v>
      </c>
      <c r="G672" s="427" t="s">
        <v>1233</v>
      </c>
      <c r="H672" s="415" t="s">
        <v>310</v>
      </c>
      <c r="I672" s="398" t="s">
        <v>881</v>
      </c>
      <c r="J672" s="418" t="s">
        <v>882</v>
      </c>
      <c r="K672" s="418" t="s">
        <v>883</v>
      </c>
      <c r="L672" s="399" t="s">
        <v>798</v>
      </c>
      <c r="M672" s="544" t="s">
        <v>310</v>
      </c>
      <c r="N672" s="414">
        <v>44596</v>
      </c>
      <c r="O672" s="414" t="s">
        <v>400</v>
      </c>
      <c r="P672" s="222">
        <f t="shared" si="41"/>
        <v>2</v>
      </c>
      <c r="Q672" s="222">
        <f t="shared" si="42"/>
        <v>2</v>
      </c>
      <c r="R672" s="532" t="str">
        <f t="shared" si="43"/>
        <v>Gastos_Gerais</v>
      </c>
      <c r="S672" s="467" t="s">
        <v>310</v>
      </c>
      <c r="T672" s="467" t="s">
        <v>310</v>
      </c>
      <c r="U672" s="496"/>
      <c r="V672" s="496"/>
      <c r="W672" s="496"/>
    </row>
    <row r="673" spans="1:23" ht="24" x14ac:dyDescent="0.2">
      <c r="A673" s="510">
        <f t="shared" si="40"/>
        <v>670</v>
      </c>
      <c r="B673" s="428">
        <v>44596</v>
      </c>
      <c r="C673" s="424">
        <v>44593</v>
      </c>
      <c r="D673" s="415" t="s">
        <v>271</v>
      </c>
      <c r="E673" s="415" t="s">
        <v>71</v>
      </c>
      <c r="F673" s="425">
        <v>10.45</v>
      </c>
      <c r="G673" s="427" t="s">
        <v>1245</v>
      </c>
      <c r="H673" s="415" t="s">
        <v>310</v>
      </c>
      <c r="I673" s="398" t="s">
        <v>881</v>
      </c>
      <c r="J673" s="418" t="s">
        <v>882</v>
      </c>
      <c r="K673" s="418" t="s">
        <v>883</v>
      </c>
      <c r="L673" s="399" t="s">
        <v>798</v>
      </c>
      <c r="M673" s="544" t="s">
        <v>310</v>
      </c>
      <c r="N673" s="414">
        <v>44596</v>
      </c>
      <c r="O673" s="414" t="s">
        <v>400</v>
      </c>
      <c r="P673" s="222">
        <f t="shared" si="41"/>
        <v>2</v>
      </c>
      <c r="Q673" s="222">
        <f t="shared" si="42"/>
        <v>2</v>
      </c>
      <c r="R673" s="532" t="str">
        <f t="shared" si="43"/>
        <v>Gastos_Gerais</v>
      </c>
      <c r="S673" s="467" t="s">
        <v>310</v>
      </c>
      <c r="T673" s="467" t="s">
        <v>310</v>
      </c>
      <c r="U673" s="496"/>
      <c r="V673" s="496"/>
      <c r="W673" s="496"/>
    </row>
    <row r="674" spans="1:23" ht="24" x14ac:dyDescent="0.2">
      <c r="A674" s="510">
        <f t="shared" si="40"/>
        <v>671</v>
      </c>
      <c r="B674" s="428">
        <v>44596</v>
      </c>
      <c r="C674" s="424">
        <v>44593</v>
      </c>
      <c r="D674" s="415" t="s">
        <v>271</v>
      </c>
      <c r="E674" s="415" t="s">
        <v>71</v>
      </c>
      <c r="F674" s="425">
        <v>10.45</v>
      </c>
      <c r="G674" s="427" t="s">
        <v>1233</v>
      </c>
      <c r="H674" s="415" t="s">
        <v>310</v>
      </c>
      <c r="I674" s="398" t="s">
        <v>881</v>
      </c>
      <c r="J674" s="418" t="s">
        <v>882</v>
      </c>
      <c r="K674" s="418" t="s">
        <v>883</v>
      </c>
      <c r="L674" s="399" t="s">
        <v>798</v>
      </c>
      <c r="M674" s="544" t="s">
        <v>310</v>
      </c>
      <c r="N674" s="414">
        <v>44596</v>
      </c>
      <c r="O674" s="414" t="s">
        <v>400</v>
      </c>
      <c r="P674" s="222">
        <f t="shared" si="41"/>
        <v>2</v>
      </c>
      <c r="Q674" s="222">
        <f t="shared" si="42"/>
        <v>2</v>
      </c>
      <c r="R674" s="532" t="str">
        <f t="shared" si="43"/>
        <v>Gastos_Gerais</v>
      </c>
      <c r="S674" s="467" t="s">
        <v>310</v>
      </c>
      <c r="T674" s="467" t="s">
        <v>310</v>
      </c>
      <c r="U674" s="496"/>
      <c r="V674" s="496"/>
      <c r="W674" s="496"/>
    </row>
    <row r="675" spans="1:23" ht="24" x14ac:dyDescent="0.2">
      <c r="A675" s="510">
        <f t="shared" si="40"/>
        <v>672</v>
      </c>
      <c r="B675" s="428">
        <v>44596</v>
      </c>
      <c r="C675" s="424">
        <v>44593</v>
      </c>
      <c r="D675" s="415" t="s">
        <v>271</v>
      </c>
      <c r="E675" s="415" t="s">
        <v>71</v>
      </c>
      <c r="F675" s="425">
        <v>10.45</v>
      </c>
      <c r="G675" s="427" t="s">
        <v>1240</v>
      </c>
      <c r="H675" s="415" t="s">
        <v>310</v>
      </c>
      <c r="I675" s="398" t="s">
        <v>881</v>
      </c>
      <c r="J675" s="418" t="s">
        <v>882</v>
      </c>
      <c r="K675" s="418" t="s">
        <v>883</v>
      </c>
      <c r="L675" s="399" t="s">
        <v>798</v>
      </c>
      <c r="M675" s="544" t="s">
        <v>310</v>
      </c>
      <c r="N675" s="414">
        <v>44596</v>
      </c>
      <c r="O675" s="414" t="s">
        <v>400</v>
      </c>
      <c r="P675" s="222">
        <f t="shared" si="41"/>
        <v>2</v>
      </c>
      <c r="Q675" s="222">
        <f t="shared" si="42"/>
        <v>2</v>
      </c>
      <c r="R675" s="532" t="str">
        <f t="shared" si="43"/>
        <v>Gastos_Gerais</v>
      </c>
      <c r="S675" s="467" t="s">
        <v>310</v>
      </c>
      <c r="T675" s="467" t="s">
        <v>310</v>
      </c>
      <c r="U675" s="496"/>
      <c r="V675" s="496"/>
      <c r="W675" s="496"/>
    </row>
    <row r="676" spans="1:23" ht="24" x14ac:dyDescent="0.2">
      <c r="A676" s="510">
        <f t="shared" si="40"/>
        <v>673</v>
      </c>
      <c r="B676" s="428">
        <v>44596</v>
      </c>
      <c r="C676" s="424">
        <v>44593</v>
      </c>
      <c r="D676" s="415" t="s">
        <v>271</v>
      </c>
      <c r="E676" s="415" t="s">
        <v>71</v>
      </c>
      <c r="F676" s="425">
        <v>10.45</v>
      </c>
      <c r="G676" s="427" t="s">
        <v>1233</v>
      </c>
      <c r="H676" s="415" t="s">
        <v>310</v>
      </c>
      <c r="I676" s="398" t="s">
        <v>881</v>
      </c>
      <c r="J676" s="418" t="s">
        <v>882</v>
      </c>
      <c r="K676" s="418" t="s">
        <v>883</v>
      </c>
      <c r="L676" s="399" t="s">
        <v>798</v>
      </c>
      <c r="M676" s="544" t="s">
        <v>310</v>
      </c>
      <c r="N676" s="414">
        <v>44596</v>
      </c>
      <c r="O676" s="414" t="s">
        <v>400</v>
      </c>
      <c r="P676" s="222">
        <f t="shared" si="41"/>
        <v>2</v>
      </c>
      <c r="Q676" s="222">
        <f t="shared" si="42"/>
        <v>2</v>
      </c>
      <c r="R676" s="532" t="str">
        <f t="shared" si="43"/>
        <v>Gastos_Gerais</v>
      </c>
      <c r="S676" s="467" t="s">
        <v>310</v>
      </c>
      <c r="T676" s="467" t="s">
        <v>310</v>
      </c>
      <c r="U676" s="496"/>
      <c r="V676" s="496"/>
      <c r="W676" s="496"/>
    </row>
    <row r="677" spans="1:23" ht="24" x14ac:dyDescent="0.2">
      <c r="A677" s="510">
        <f t="shared" si="40"/>
        <v>674</v>
      </c>
      <c r="B677" s="428">
        <v>44596</v>
      </c>
      <c r="C677" s="424">
        <v>44593</v>
      </c>
      <c r="D677" s="415" t="s">
        <v>271</v>
      </c>
      <c r="E677" s="415" t="s">
        <v>71</v>
      </c>
      <c r="F677" s="425">
        <v>10.45</v>
      </c>
      <c r="G677" s="427" t="s">
        <v>1233</v>
      </c>
      <c r="H677" s="415" t="s">
        <v>310</v>
      </c>
      <c r="I677" s="398" t="s">
        <v>881</v>
      </c>
      <c r="J677" s="418" t="s">
        <v>882</v>
      </c>
      <c r="K677" s="418" t="s">
        <v>883</v>
      </c>
      <c r="L677" s="399" t="s">
        <v>798</v>
      </c>
      <c r="M677" s="544" t="s">
        <v>310</v>
      </c>
      <c r="N677" s="414">
        <v>44596</v>
      </c>
      <c r="O677" s="414" t="s">
        <v>400</v>
      </c>
      <c r="P677" s="222">
        <f t="shared" si="41"/>
        <v>2</v>
      </c>
      <c r="Q677" s="222">
        <f t="shared" si="42"/>
        <v>2</v>
      </c>
      <c r="R677" s="532" t="str">
        <f t="shared" si="43"/>
        <v>Gastos_Gerais</v>
      </c>
      <c r="S677" s="467" t="s">
        <v>310</v>
      </c>
      <c r="T677" s="467" t="s">
        <v>310</v>
      </c>
      <c r="U677" s="496"/>
      <c r="V677" s="496"/>
      <c r="W677" s="496"/>
    </row>
    <row r="678" spans="1:23" ht="24" x14ac:dyDescent="0.2">
      <c r="A678" s="510">
        <f t="shared" si="40"/>
        <v>675</v>
      </c>
      <c r="B678" s="428">
        <v>44596</v>
      </c>
      <c r="C678" s="424">
        <v>44593</v>
      </c>
      <c r="D678" s="415" t="s">
        <v>271</v>
      </c>
      <c r="E678" s="415" t="s">
        <v>71</v>
      </c>
      <c r="F678" s="425">
        <v>10.45</v>
      </c>
      <c r="G678" s="427" t="s">
        <v>1246</v>
      </c>
      <c r="H678" s="415" t="s">
        <v>310</v>
      </c>
      <c r="I678" s="398" t="s">
        <v>881</v>
      </c>
      <c r="J678" s="418" t="s">
        <v>882</v>
      </c>
      <c r="K678" s="418" t="s">
        <v>883</v>
      </c>
      <c r="L678" s="399" t="s">
        <v>798</v>
      </c>
      <c r="M678" s="544" t="s">
        <v>310</v>
      </c>
      <c r="N678" s="414">
        <v>44596</v>
      </c>
      <c r="O678" s="414" t="s">
        <v>400</v>
      </c>
      <c r="P678" s="222">
        <f t="shared" si="41"/>
        <v>2</v>
      </c>
      <c r="Q678" s="222">
        <f t="shared" si="42"/>
        <v>2</v>
      </c>
      <c r="R678" s="532" t="str">
        <f t="shared" si="43"/>
        <v>Gastos_Gerais</v>
      </c>
      <c r="S678" s="467" t="s">
        <v>310</v>
      </c>
      <c r="T678" s="467" t="s">
        <v>310</v>
      </c>
      <c r="U678" s="496"/>
      <c r="V678" s="496"/>
      <c r="W678" s="496"/>
    </row>
    <row r="679" spans="1:23" ht="24" x14ac:dyDescent="0.2">
      <c r="A679" s="510">
        <f t="shared" si="40"/>
        <v>676</v>
      </c>
      <c r="B679" s="428">
        <v>44596</v>
      </c>
      <c r="C679" s="424">
        <v>44593</v>
      </c>
      <c r="D679" s="415" t="s">
        <v>271</v>
      </c>
      <c r="E679" s="415" t="s">
        <v>71</v>
      </c>
      <c r="F679" s="425">
        <v>10.45</v>
      </c>
      <c r="G679" s="427" t="s">
        <v>1589</v>
      </c>
      <c r="H679" s="415" t="s">
        <v>310</v>
      </c>
      <c r="I679" s="398" t="s">
        <v>881</v>
      </c>
      <c r="J679" s="418" t="s">
        <v>882</v>
      </c>
      <c r="K679" s="418" t="s">
        <v>883</v>
      </c>
      <c r="L679" s="399" t="s">
        <v>798</v>
      </c>
      <c r="M679" s="544" t="s">
        <v>310</v>
      </c>
      <c r="N679" s="414">
        <v>44596</v>
      </c>
      <c r="O679" s="414" t="s">
        <v>400</v>
      </c>
      <c r="P679" s="222">
        <f t="shared" si="41"/>
        <v>2</v>
      </c>
      <c r="Q679" s="222">
        <f t="shared" si="42"/>
        <v>2</v>
      </c>
      <c r="R679" s="532" t="str">
        <f t="shared" si="43"/>
        <v>Gastos_Gerais</v>
      </c>
      <c r="S679" s="467" t="s">
        <v>310</v>
      </c>
      <c r="T679" s="467" t="s">
        <v>310</v>
      </c>
      <c r="U679" s="496"/>
      <c r="V679" s="496"/>
      <c r="W679" s="496"/>
    </row>
    <row r="680" spans="1:23" ht="24" x14ac:dyDescent="0.2">
      <c r="A680" s="510">
        <f t="shared" si="40"/>
        <v>677</v>
      </c>
      <c r="B680" s="428">
        <v>44596</v>
      </c>
      <c r="C680" s="424">
        <v>44593</v>
      </c>
      <c r="D680" s="415" t="s">
        <v>271</v>
      </c>
      <c r="E680" s="415" t="s">
        <v>71</v>
      </c>
      <c r="F680" s="425">
        <v>10.45</v>
      </c>
      <c r="G680" s="427" t="s">
        <v>1233</v>
      </c>
      <c r="H680" s="415" t="s">
        <v>310</v>
      </c>
      <c r="I680" s="398" t="s">
        <v>881</v>
      </c>
      <c r="J680" s="418" t="s">
        <v>882</v>
      </c>
      <c r="K680" s="418" t="s">
        <v>883</v>
      </c>
      <c r="L680" s="399" t="s">
        <v>798</v>
      </c>
      <c r="M680" s="544" t="s">
        <v>310</v>
      </c>
      <c r="N680" s="414">
        <v>44596</v>
      </c>
      <c r="O680" s="414" t="s">
        <v>400</v>
      </c>
      <c r="P680" s="222">
        <f t="shared" si="41"/>
        <v>2</v>
      </c>
      <c r="Q680" s="222">
        <f t="shared" si="42"/>
        <v>2</v>
      </c>
      <c r="R680" s="532" t="str">
        <f t="shared" si="43"/>
        <v>Gastos_Gerais</v>
      </c>
      <c r="S680" s="467" t="s">
        <v>310</v>
      </c>
      <c r="T680" s="467" t="s">
        <v>310</v>
      </c>
      <c r="U680" s="496"/>
      <c r="V680" s="496"/>
      <c r="W680" s="496"/>
    </row>
    <row r="681" spans="1:23" ht="24" x14ac:dyDescent="0.2">
      <c r="A681" s="510">
        <f t="shared" si="40"/>
        <v>678</v>
      </c>
      <c r="B681" s="428">
        <v>44596</v>
      </c>
      <c r="C681" s="424">
        <v>44593</v>
      </c>
      <c r="D681" s="415" t="s">
        <v>271</v>
      </c>
      <c r="E681" s="415" t="s">
        <v>71</v>
      </c>
      <c r="F681" s="425">
        <v>10.45</v>
      </c>
      <c r="G681" s="427" t="s">
        <v>1233</v>
      </c>
      <c r="H681" s="415" t="s">
        <v>310</v>
      </c>
      <c r="I681" s="398" t="s">
        <v>881</v>
      </c>
      <c r="J681" s="418" t="s">
        <v>882</v>
      </c>
      <c r="K681" s="418" t="s">
        <v>883</v>
      </c>
      <c r="L681" s="399" t="s">
        <v>798</v>
      </c>
      <c r="M681" s="544" t="s">
        <v>310</v>
      </c>
      <c r="N681" s="414">
        <v>44596</v>
      </c>
      <c r="O681" s="414" t="s">
        <v>400</v>
      </c>
      <c r="P681" s="222">
        <f t="shared" si="41"/>
        <v>2</v>
      </c>
      <c r="Q681" s="222">
        <f t="shared" si="42"/>
        <v>2</v>
      </c>
      <c r="R681" s="532" t="str">
        <f t="shared" si="43"/>
        <v>Gastos_Gerais</v>
      </c>
      <c r="S681" s="467" t="s">
        <v>310</v>
      </c>
      <c r="T681" s="467" t="s">
        <v>310</v>
      </c>
      <c r="U681" s="496"/>
      <c r="V681" s="496"/>
      <c r="W681" s="496"/>
    </row>
    <row r="682" spans="1:23" ht="24" x14ac:dyDescent="0.2">
      <c r="A682" s="510">
        <f t="shared" si="40"/>
        <v>679</v>
      </c>
      <c r="B682" s="428">
        <v>44596</v>
      </c>
      <c r="C682" s="424">
        <v>44593</v>
      </c>
      <c r="D682" s="415" t="s">
        <v>271</v>
      </c>
      <c r="E682" s="415" t="s">
        <v>71</v>
      </c>
      <c r="F682" s="425">
        <v>10.45</v>
      </c>
      <c r="G682" s="427" t="s">
        <v>1233</v>
      </c>
      <c r="H682" s="415" t="s">
        <v>310</v>
      </c>
      <c r="I682" s="398" t="s">
        <v>881</v>
      </c>
      <c r="J682" s="418" t="s">
        <v>882</v>
      </c>
      <c r="K682" s="418" t="s">
        <v>883</v>
      </c>
      <c r="L682" s="399" t="s">
        <v>798</v>
      </c>
      <c r="M682" s="544" t="s">
        <v>310</v>
      </c>
      <c r="N682" s="414">
        <v>44596</v>
      </c>
      <c r="O682" s="414" t="s">
        <v>400</v>
      </c>
      <c r="P682" s="222">
        <f t="shared" si="41"/>
        <v>2</v>
      </c>
      <c r="Q682" s="222">
        <f t="shared" si="42"/>
        <v>2</v>
      </c>
      <c r="R682" s="532" t="str">
        <f t="shared" si="43"/>
        <v>Gastos_Gerais</v>
      </c>
      <c r="S682" s="467" t="s">
        <v>310</v>
      </c>
      <c r="T682" s="467" t="s">
        <v>310</v>
      </c>
      <c r="U682" s="496"/>
      <c r="V682" s="496"/>
      <c r="W682" s="496"/>
    </row>
    <row r="683" spans="1:23" ht="24" x14ac:dyDescent="0.2">
      <c r="A683" s="510">
        <f t="shared" si="40"/>
        <v>680</v>
      </c>
      <c r="B683" s="428">
        <v>44596</v>
      </c>
      <c r="C683" s="424">
        <v>44593</v>
      </c>
      <c r="D683" s="415" t="s">
        <v>271</v>
      </c>
      <c r="E683" s="415" t="s">
        <v>71</v>
      </c>
      <c r="F683" s="425">
        <v>10.45</v>
      </c>
      <c r="G683" s="427" t="s">
        <v>1233</v>
      </c>
      <c r="H683" s="415" t="s">
        <v>310</v>
      </c>
      <c r="I683" s="398" t="s">
        <v>881</v>
      </c>
      <c r="J683" s="418" t="s">
        <v>882</v>
      </c>
      <c r="K683" s="418" t="s">
        <v>883</v>
      </c>
      <c r="L683" s="399" t="s">
        <v>798</v>
      </c>
      <c r="M683" s="544" t="s">
        <v>310</v>
      </c>
      <c r="N683" s="414">
        <v>44596</v>
      </c>
      <c r="O683" s="414" t="s">
        <v>400</v>
      </c>
      <c r="P683" s="222">
        <f t="shared" si="41"/>
        <v>2</v>
      </c>
      <c r="Q683" s="222">
        <f t="shared" si="42"/>
        <v>2</v>
      </c>
      <c r="R683" s="532" t="str">
        <f t="shared" si="43"/>
        <v>Gastos_Gerais</v>
      </c>
      <c r="S683" s="467" t="s">
        <v>310</v>
      </c>
      <c r="T683" s="467" t="s">
        <v>310</v>
      </c>
      <c r="U683" s="496"/>
      <c r="V683" s="496"/>
      <c r="W683" s="496"/>
    </row>
    <row r="684" spans="1:23" ht="24" x14ac:dyDescent="0.2">
      <c r="A684" s="510">
        <f t="shared" si="40"/>
        <v>681</v>
      </c>
      <c r="B684" s="428">
        <v>44596</v>
      </c>
      <c r="C684" s="424">
        <v>44593</v>
      </c>
      <c r="D684" s="415" t="s">
        <v>271</v>
      </c>
      <c r="E684" s="415" t="s">
        <v>71</v>
      </c>
      <c r="F684" s="425">
        <v>10.45</v>
      </c>
      <c r="G684" s="427" t="s">
        <v>1233</v>
      </c>
      <c r="H684" s="415" t="s">
        <v>310</v>
      </c>
      <c r="I684" s="398" t="s">
        <v>881</v>
      </c>
      <c r="J684" s="418" t="s">
        <v>882</v>
      </c>
      <c r="K684" s="418" t="s">
        <v>883</v>
      </c>
      <c r="L684" s="399" t="s">
        <v>798</v>
      </c>
      <c r="M684" s="544" t="s">
        <v>310</v>
      </c>
      <c r="N684" s="414">
        <v>44596</v>
      </c>
      <c r="O684" s="414" t="s">
        <v>400</v>
      </c>
      <c r="P684" s="222">
        <f t="shared" si="41"/>
        <v>2</v>
      </c>
      <c r="Q684" s="222">
        <f t="shared" si="42"/>
        <v>2</v>
      </c>
      <c r="R684" s="532" t="str">
        <f t="shared" si="43"/>
        <v>Gastos_Gerais</v>
      </c>
      <c r="S684" s="467" t="s">
        <v>310</v>
      </c>
      <c r="T684" s="467" t="s">
        <v>310</v>
      </c>
      <c r="U684" s="496"/>
      <c r="V684" s="496"/>
      <c r="W684" s="496"/>
    </row>
    <row r="685" spans="1:23" ht="24" x14ac:dyDescent="0.2">
      <c r="A685" s="510">
        <f t="shared" si="40"/>
        <v>682</v>
      </c>
      <c r="B685" s="428">
        <v>44596</v>
      </c>
      <c r="C685" s="424">
        <v>44593</v>
      </c>
      <c r="D685" s="415" t="s">
        <v>271</v>
      </c>
      <c r="E685" s="415" t="s">
        <v>71</v>
      </c>
      <c r="F685" s="425">
        <v>10.45</v>
      </c>
      <c r="G685" s="427" t="s">
        <v>1239</v>
      </c>
      <c r="H685" s="415" t="s">
        <v>310</v>
      </c>
      <c r="I685" s="398" t="s">
        <v>881</v>
      </c>
      <c r="J685" s="418" t="s">
        <v>882</v>
      </c>
      <c r="K685" s="418" t="s">
        <v>883</v>
      </c>
      <c r="L685" s="399" t="s">
        <v>798</v>
      </c>
      <c r="M685" s="544" t="s">
        <v>310</v>
      </c>
      <c r="N685" s="414">
        <v>44596</v>
      </c>
      <c r="O685" s="414" t="s">
        <v>400</v>
      </c>
      <c r="P685" s="222">
        <f t="shared" si="41"/>
        <v>2</v>
      </c>
      <c r="Q685" s="222">
        <f t="shared" si="42"/>
        <v>2</v>
      </c>
      <c r="R685" s="532" t="str">
        <f t="shared" si="43"/>
        <v>Gastos_Gerais</v>
      </c>
      <c r="S685" s="467" t="s">
        <v>310</v>
      </c>
      <c r="T685" s="467" t="s">
        <v>310</v>
      </c>
      <c r="U685" s="496"/>
      <c r="V685" s="496"/>
      <c r="W685" s="496"/>
    </row>
    <row r="686" spans="1:23" ht="24" x14ac:dyDescent="0.2">
      <c r="A686" s="510">
        <f t="shared" si="40"/>
        <v>683</v>
      </c>
      <c r="B686" s="428">
        <v>44596</v>
      </c>
      <c r="C686" s="424">
        <v>44593</v>
      </c>
      <c r="D686" s="415" t="s">
        <v>271</v>
      </c>
      <c r="E686" s="415" t="s">
        <v>71</v>
      </c>
      <c r="F686" s="425">
        <v>10.45</v>
      </c>
      <c r="G686" s="427" t="s">
        <v>1246</v>
      </c>
      <c r="H686" s="415" t="s">
        <v>310</v>
      </c>
      <c r="I686" s="398" t="s">
        <v>881</v>
      </c>
      <c r="J686" s="418" t="s">
        <v>882</v>
      </c>
      <c r="K686" s="418" t="s">
        <v>883</v>
      </c>
      <c r="L686" s="399" t="s">
        <v>798</v>
      </c>
      <c r="M686" s="544" t="s">
        <v>310</v>
      </c>
      <c r="N686" s="414">
        <v>44596</v>
      </c>
      <c r="O686" s="414" t="s">
        <v>400</v>
      </c>
      <c r="P686" s="222">
        <f t="shared" si="41"/>
        <v>2</v>
      </c>
      <c r="Q686" s="222">
        <f t="shared" si="42"/>
        <v>2</v>
      </c>
      <c r="R686" s="532" t="str">
        <f t="shared" si="43"/>
        <v>Gastos_Gerais</v>
      </c>
      <c r="S686" s="467" t="s">
        <v>310</v>
      </c>
      <c r="T686" s="467" t="s">
        <v>310</v>
      </c>
      <c r="U686" s="496"/>
      <c r="V686" s="496"/>
      <c r="W686" s="496"/>
    </row>
    <row r="687" spans="1:23" ht="24" x14ac:dyDescent="0.2">
      <c r="A687" s="510">
        <f t="shared" si="40"/>
        <v>684</v>
      </c>
      <c r="B687" s="428">
        <v>44596</v>
      </c>
      <c r="C687" s="424">
        <v>44593</v>
      </c>
      <c r="D687" s="415" t="s">
        <v>271</v>
      </c>
      <c r="E687" s="415" t="s">
        <v>71</v>
      </c>
      <c r="F687" s="425">
        <v>10.45</v>
      </c>
      <c r="G687" s="427" t="s">
        <v>1233</v>
      </c>
      <c r="H687" s="415" t="s">
        <v>310</v>
      </c>
      <c r="I687" s="398" t="s">
        <v>881</v>
      </c>
      <c r="J687" s="418" t="s">
        <v>882</v>
      </c>
      <c r="K687" s="418" t="s">
        <v>883</v>
      </c>
      <c r="L687" s="399" t="s">
        <v>798</v>
      </c>
      <c r="M687" s="544" t="s">
        <v>310</v>
      </c>
      <c r="N687" s="414">
        <v>44596</v>
      </c>
      <c r="O687" s="414" t="s">
        <v>400</v>
      </c>
      <c r="P687" s="222">
        <f t="shared" si="41"/>
        <v>2</v>
      </c>
      <c r="Q687" s="222">
        <f t="shared" si="42"/>
        <v>2</v>
      </c>
      <c r="R687" s="532" t="str">
        <f t="shared" si="43"/>
        <v>Gastos_Gerais</v>
      </c>
      <c r="S687" s="467" t="s">
        <v>310</v>
      </c>
      <c r="T687" s="467" t="s">
        <v>310</v>
      </c>
      <c r="U687" s="496"/>
      <c r="V687" s="496"/>
      <c r="W687" s="496"/>
    </row>
    <row r="688" spans="1:23" ht="24" x14ac:dyDescent="0.2">
      <c r="A688" s="510">
        <f t="shared" si="40"/>
        <v>685</v>
      </c>
      <c r="B688" s="428">
        <v>44596</v>
      </c>
      <c r="C688" s="424">
        <v>44593</v>
      </c>
      <c r="D688" s="415" t="s">
        <v>271</v>
      </c>
      <c r="E688" s="415" t="s">
        <v>71</v>
      </c>
      <c r="F688" s="425">
        <v>10.45</v>
      </c>
      <c r="G688" s="427" t="s">
        <v>1247</v>
      </c>
      <c r="H688" s="415" t="s">
        <v>310</v>
      </c>
      <c r="I688" s="398" t="s">
        <v>881</v>
      </c>
      <c r="J688" s="418" t="s">
        <v>882</v>
      </c>
      <c r="K688" s="418" t="s">
        <v>883</v>
      </c>
      <c r="L688" s="399" t="s">
        <v>798</v>
      </c>
      <c r="M688" s="544" t="s">
        <v>310</v>
      </c>
      <c r="N688" s="414">
        <v>44596</v>
      </c>
      <c r="O688" s="414" t="s">
        <v>400</v>
      </c>
      <c r="P688" s="222">
        <f t="shared" si="41"/>
        <v>2</v>
      </c>
      <c r="Q688" s="222">
        <f t="shared" si="42"/>
        <v>2</v>
      </c>
      <c r="R688" s="532" t="str">
        <f t="shared" si="43"/>
        <v>Gastos_Gerais</v>
      </c>
      <c r="S688" s="467" t="s">
        <v>310</v>
      </c>
      <c r="T688" s="467" t="s">
        <v>310</v>
      </c>
      <c r="U688" s="496"/>
      <c r="V688" s="496"/>
      <c r="W688" s="496"/>
    </row>
    <row r="689" spans="1:23" ht="24" x14ac:dyDescent="0.2">
      <c r="A689" s="510">
        <f t="shared" si="40"/>
        <v>686</v>
      </c>
      <c r="B689" s="428">
        <v>44596</v>
      </c>
      <c r="C689" s="424">
        <v>44593</v>
      </c>
      <c r="D689" s="415" t="s">
        <v>271</v>
      </c>
      <c r="E689" s="415" t="s">
        <v>71</v>
      </c>
      <c r="F689" s="425">
        <v>10.45</v>
      </c>
      <c r="G689" s="427" t="s">
        <v>1247</v>
      </c>
      <c r="H689" s="415" t="s">
        <v>310</v>
      </c>
      <c r="I689" s="398" t="s">
        <v>881</v>
      </c>
      <c r="J689" s="418" t="s">
        <v>882</v>
      </c>
      <c r="K689" s="418" t="s">
        <v>883</v>
      </c>
      <c r="L689" s="399" t="s">
        <v>798</v>
      </c>
      <c r="M689" s="544" t="s">
        <v>310</v>
      </c>
      <c r="N689" s="414">
        <v>44596</v>
      </c>
      <c r="O689" s="414" t="s">
        <v>400</v>
      </c>
      <c r="P689" s="222">
        <f t="shared" si="41"/>
        <v>2</v>
      </c>
      <c r="Q689" s="222">
        <f t="shared" si="42"/>
        <v>2</v>
      </c>
      <c r="R689" s="532" t="str">
        <f t="shared" si="43"/>
        <v>Gastos_Gerais</v>
      </c>
      <c r="S689" s="467" t="s">
        <v>310</v>
      </c>
      <c r="T689" s="467" t="s">
        <v>310</v>
      </c>
      <c r="U689" s="496"/>
      <c r="V689" s="496"/>
      <c r="W689" s="496"/>
    </row>
    <row r="690" spans="1:23" ht="24" x14ac:dyDescent="0.2">
      <c r="A690" s="510">
        <f t="shared" si="40"/>
        <v>687</v>
      </c>
      <c r="B690" s="428">
        <v>44596</v>
      </c>
      <c r="C690" s="424">
        <v>44593</v>
      </c>
      <c r="D690" s="415" t="s">
        <v>271</v>
      </c>
      <c r="E690" s="415" t="s">
        <v>71</v>
      </c>
      <c r="F690" s="425">
        <v>10.45</v>
      </c>
      <c r="G690" s="427" t="s">
        <v>1247</v>
      </c>
      <c r="H690" s="415" t="s">
        <v>310</v>
      </c>
      <c r="I690" s="398" t="s">
        <v>881</v>
      </c>
      <c r="J690" s="418" t="s">
        <v>882</v>
      </c>
      <c r="K690" s="418" t="s">
        <v>883</v>
      </c>
      <c r="L690" s="399" t="s">
        <v>798</v>
      </c>
      <c r="M690" s="544" t="s">
        <v>310</v>
      </c>
      <c r="N690" s="414">
        <v>44596</v>
      </c>
      <c r="O690" s="414" t="s">
        <v>400</v>
      </c>
      <c r="P690" s="222">
        <f t="shared" si="41"/>
        <v>2</v>
      </c>
      <c r="Q690" s="222">
        <f t="shared" si="42"/>
        <v>2</v>
      </c>
      <c r="R690" s="532" t="str">
        <f t="shared" si="43"/>
        <v>Gastos_Gerais</v>
      </c>
      <c r="S690" s="467" t="s">
        <v>310</v>
      </c>
      <c r="T690" s="467" t="s">
        <v>310</v>
      </c>
      <c r="U690" s="496"/>
      <c r="V690" s="496"/>
      <c r="W690" s="496"/>
    </row>
    <row r="691" spans="1:23" ht="24" x14ac:dyDescent="0.2">
      <c r="A691" s="510">
        <f t="shared" si="40"/>
        <v>688</v>
      </c>
      <c r="B691" s="428">
        <v>44596</v>
      </c>
      <c r="C691" s="424">
        <v>44593</v>
      </c>
      <c r="D691" s="415" t="s">
        <v>271</v>
      </c>
      <c r="E691" s="415" t="s">
        <v>71</v>
      </c>
      <c r="F691" s="425">
        <v>10.45</v>
      </c>
      <c r="G691" s="427" t="s">
        <v>1233</v>
      </c>
      <c r="H691" s="415" t="s">
        <v>310</v>
      </c>
      <c r="I691" s="398" t="s">
        <v>881</v>
      </c>
      <c r="J691" s="418" t="s">
        <v>882</v>
      </c>
      <c r="K691" s="418" t="s">
        <v>883</v>
      </c>
      <c r="L691" s="399" t="s">
        <v>798</v>
      </c>
      <c r="M691" s="544" t="s">
        <v>310</v>
      </c>
      <c r="N691" s="414">
        <v>44596</v>
      </c>
      <c r="O691" s="414" t="s">
        <v>400</v>
      </c>
      <c r="P691" s="222">
        <f t="shared" si="41"/>
        <v>2</v>
      </c>
      <c r="Q691" s="222">
        <f t="shared" si="42"/>
        <v>2</v>
      </c>
      <c r="R691" s="532" t="str">
        <f t="shared" si="43"/>
        <v>Gastos_Gerais</v>
      </c>
      <c r="S691" s="467" t="s">
        <v>310</v>
      </c>
      <c r="T691" s="467" t="s">
        <v>310</v>
      </c>
      <c r="U691" s="496"/>
      <c r="V691" s="496"/>
      <c r="W691" s="496"/>
    </row>
    <row r="692" spans="1:23" ht="36" x14ac:dyDescent="0.2">
      <c r="A692" s="510">
        <f t="shared" si="40"/>
        <v>689</v>
      </c>
      <c r="B692" s="428">
        <v>44596</v>
      </c>
      <c r="C692" s="424">
        <v>44531</v>
      </c>
      <c r="D692" s="415" t="s">
        <v>468</v>
      </c>
      <c r="E692" s="415" t="s">
        <v>468</v>
      </c>
      <c r="F692" s="425">
        <v>-52.26</v>
      </c>
      <c r="G692" s="427" t="s">
        <v>2463</v>
      </c>
      <c r="H692" s="415" t="s">
        <v>468</v>
      </c>
      <c r="I692" s="473" t="s">
        <v>2437</v>
      </c>
      <c r="J692" s="415" t="s">
        <v>796</v>
      </c>
      <c r="K692" s="415" t="s">
        <v>797</v>
      </c>
      <c r="L692" s="415" t="s">
        <v>798</v>
      </c>
      <c r="M692" s="415" t="s">
        <v>310</v>
      </c>
      <c r="N692" s="414">
        <v>44596</v>
      </c>
      <c r="O692" s="414" t="s">
        <v>408</v>
      </c>
      <c r="P692" s="222">
        <f t="shared" si="41"/>
        <v>2</v>
      </c>
      <c r="Q692" s="222">
        <f t="shared" si="42"/>
        <v>0</v>
      </c>
      <c r="R692" s="532" t="str">
        <f t="shared" si="43"/>
        <v>Gastos_custeados_por_captação</v>
      </c>
      <c r="S692" s="467" t="s">
        <v>310</v>
      </c>
      <c r="T692" s="467" t="s">
        <v>310</v>
      </c>
      <c r="U692" s="496"/>
      <c r="V692" s="496"/>
      <c r="W692" s="496"/>
    </row>
    <row r="693" spans="1:23" ht="36" x14ac:dyDescent="0.2">
      <c r="A693" s="510">
        <f t="shared" si="40"/>
        <v>690</v>
      </c>
      <c r="B693" s="428">
        <v>44596</v>
      </c>
      <c r="C693" s="424">
        <v>44531</v>
      </c>
      <c r="D693" s="415" t="s">
        <v>468</v>
      </c>
      <c r="E693" s="415" t="s">
        <v>468</v>
      </c>
      <c r="F693" s="425">
        <v>327.93</v>
      </c>
      <c r="G693" s="427" t="s">
        <v>2467</v>
      </c>
      <c r="H693" s="415" t="s">
        <v>468</v>
      </c>
      <c r="I693" s="398" t="s">
        <v>764</v>
      </c>
      <c r="J693" s="418" t="s">
        <v>310</v>
      </c>
      <c r="K693" s="418" t="s">
        <v>1220</v>
      </c>
      <c r="L693" s="399" t="s">
        <v>1281</v>
      </c>
      <c r="M693" s="544">
        <v>222025532069</v>
      </c>
      <c r="N693" s="414">
        <v>44596</v>
      </c>
      <c r="O693" s="414" t="s">
        <v>408</v>
      </c>
      <c r="P693" s="222">
        <f t="shared" si="41"/>
        <v>2</v>
      </c>
      <c r="Q693" s="222">
        <f t="shared" si="42"/>
        <v>0</v>
      </c>
      <c r="R693" s="532" t="str">
        <f t="shared" si="43"/>
        <v>Gastos_custeados_por_captação</v>
      </c>
      <c r="S693" s="467" t="s">
        <v>310</v>
      </c>
      <c r="T693" s="467" t="s">
        <v>310</v>
      </c>
      <c r="U693" s="496"/>
      <c r="V693" s="496"/>
      <c r="W693" s="496"/>
    </row>
    <row r="694" spans="1:23" ht="36" x14ac:dyDescent="0.2">
      <c r="A694" s="510">
        <f t="shared" si="40"/>
        <v>691</v>
      </c>
      <c r="B694" s="428">
        <v>44596</v>
      </c>
      <c r="C694" s="424">
        <v>44562</v>
      </c>
      <c r="D694" s="415" t="s">
        <v>468</v>
      </c>
      <c r="E694" s="415" t="s">
        <v>468</v>
      </c>
      <c r="F694" s="425">
        <v>2750</v>
      </c>
      <c r="G694" s="427" t="s">
        <v>694</v>
      </c>
      <c r="H694" s="415" t="s">
        <v>468</v>
      </c>
      <c r="I694" s="398" t="s">
        <v>2468</v>
      </c>
      <c r="J694" s="418" t="s">
        <v>1018</v>
      </c>
      <c r="K694" s="418" t="s">
        <v>830</v>
      </c>
      <c r="L694" s="399" t="s">
        <v>807</v>
      </c>
      <c r="M694" s="415" t="s">
        <v>842</v>
      </c>
      <c r="N694" s="414">
        <v>44596</v>
      </c>
      <c r="O694" s="414" t="s">
        <v>408</v>
      </c>
      <c r="P694" s="222">
        <f t="shared" si="41"/>
        <v>2</v>
      </c>
      <c r="Q694" s="222">
        <f t="shared" si="42"/>
        <v>1</v>
      </c>
      <c r="R694" s="532" t="str">
        <f t="shared" si="43"/>
        <v>Gastos_custeados_por_captação</v>
      </c>
      <c r="S694" s="467" t="s">
        <v>1000</v>
      </c>
      <c r="T694" s="467">
        <v>2661</v>
      </c>
      <c r="U694" s="496"/>
      <c r="V694" s="496"/>
      <c r="W694" s="496"/>
    </row>
    <row r="695" spans="1:23" ht="36" x14ac:dyDescent="0.2">
      <c r="A695" s="510">
        <f t="shared" si="40"/>
        <v>692</v>
      </c>
      <c r="B695" s="428">
        <v>44596</v>
      </c>
      <c r="C695" s="424">
        <v>44593</v>
      </c>
      <c r="D695" s="415" t="s">
        <v>468</v>
      </c>
      <c r="E695" s="415" t="s">
        <v>468</v>
      </c>
      <c r="F695" s="425">
        <v>10.45</v>
      </c>
      <c r="G695" s="427" t="s">
        <v>2469</v>
      </c>
      <c r="H695" s="415" t="s">
        <v>468</v>
      </c>
      <c r="I695" s="398" t="s">
        <v>881</v>
      </c>
      <c r="J695" s="418" t="s">
        <v>882</v>
      </c>
      <c r="K695" s="418" t="s">
        <v>883</v>
      </c>
      <c r="L695" s="399" t="s">
        <v>798</v>
      </c>
      <c r="M695" s="544" t="s">
        <v>310</v>
      </c>
      <c r="N695" s="414">
        <v>44596</v>
      </c>
      <c r="O695" s="414" t="s">
        <v>408</v>
      </c>
      <c r="P695" s="222">
        <f t="shared" si="41"/>
        <v>2</v>
      </c>
      <c r="Q695" s="222">
        <f t="shared" si="42"/>
        <v>2</v>
      </c>
      <c r="R695" s="532" t="str">
        <f t="shared" si="43"/>
        <v>Gastos_custeados_por_captação</v>
      </c>
      <c r="S695" s="467" t="s">
        <v>310</v>
      </c>
      <c r="T695" s="467" t="s">
        <v>310</v>
      </c>
      <c r="U695" s="496"/>
      <c r="V695" s="496"/>
      <c r="W695" s="496"/>
    </row>
    <row r="696" spans="1:23" ht="63" customHeight="1" x14ac:dyDescent="0.2">
      <c r="A696" s="510">
        <f t="shared" si="40"/>
        <v>693</v>
      </c>
      <c r="B696" s="428">
        <v>44596</v>
      </c>
      <c r="C696" s="424">
        <v>44593</v>
      </c>
      <c r="D696" s="415" t="s">
        <v>468</v>
      </c>
      <c r="E696" s="415" t="s">
        <v>468</v>
      </c>
      <c r="F696" s="425">
        <v>10.45</v>
      </c>
      <c r="G696" s="427" t="s">
        <v>2469</v>
      </c>
      <c r="H696" s="415" t="s">
        <v>468</v>
      </c>
      <c r="I696" s="398" t="s">
        <v>881</v>
      </c>
      <c r="J696" s="418" t="s">
        <v>882</v>
      </c>
      <c r="K696" s="418" t="s">
        <v>883</v>
      </c>
      <c r="L696" s="399" t="s">
        <v>798</v>
      </c>
      <c r="M696" s="544" t="s">
        <v>310</v>
      </c>
      <c r="N696" s="414">
        <v>44596</v>
      </c>
      <c r="O696" s="414" t="s">
        <v>408</v>
      </c>
      <c r="P696" s="222">
        <f t="shared" si="41"/>
        <v>2</v>
      </c>
      <c r="Q696" s="222">
        <f t="shared" si="42"/>
        <v>2</v>
      </c>
      <c r="R696" s="532" t="str">
        <f t="shared" si="43"/>
        <v>Gastos_custeados_por_captação</v>
      </c>
      <c r="S696" s="467" t="s">
        <v>310</v>
      </c>
      <c r="T696" s="467" t="s">
        <v>310</v>
      </c>
      <c r="U696" s="496"/>
      <c r="V696" s="496"/>
      <c r="W696" s="496"/>
    </row>
    <row r="697" spans="1:23" ht="36" x14ac:dyDescent="0.2">
      <c r="A697" s="510">
        <f t="shared" si="40"/>
        <v>694</v>
      </c>
      <c r="B697" s="428">
        <v>44596</v>
      </c>
      <c r="C697" s="424">
        <v>44593</v>
      </c>
      <c r="D697" s="415" t="s">
        <v>468</v>
      </c>
      <c r="E697" s="415" t="s">
        <v>468</v>
      </c>
      <c r="F697" s="425">
        <v>10.45</v>
      </c>
      <c r="G697" s="427" t="s">
        <v>2469</v>
      </c>
      <c r="H697" s="415" t="s">
        <v>468</v>
      </c>
      <c r="I697" s="398" t="s">
        <v>881</v>
      </c>
      <c r="J697" s="418" t="s">
        <v>882</v>
      </c>
      <c r="K697" s="418" t="s">
        <v>883</v>
      </c>
      <c r="L697" s="399" t="s">
        <v>798</v>
      </c>
      <c r="M697" s="544" t="s">
        <v>310</v>
      </c>
      <c r="N697" s="414">
        <v>44596</v>
      </c>
      <c r="O697" s="414" t="s">
        <v>408</v>
      </c>
      <c r="P697" s="222">
        <f t="shared" si="41"/>
        <v>2</v>
      </c>
      <c r="Q697" s="222">
        <f t="shared" si="42"/>
        <v>2</v>
      </c>
      <c r="R697" s="532" t="str">
        <f t="shared" si="43"/>
        <v>Gastos_custeados_por_captação</v>
      </c>
      <c r="S697" s="467" t="s">
        <v>310</v>
      </c>
      <c r="T697" s="467" t="s">
        <v>310</v>
      </c>
      <c r="U697" s="496"/>
      <c r="V697" s="496"/>
      <c r="W697" s="496"/>
    </row>
    <row r="698" spans="1:23" ht="45.75" customHeight="1" x14ac:dyDescent="0.2">
      <c r="A698" s="510">
        <f t="shared" si="40"/>
        <v>695</v>
      </c>
      <c r="B698" s="428">
        <v>44596</v>
      </c>
      <c r="C698" s="431">
        <v>44562</v>
      </c>
      <c r="D698" s="415" t="s">
        <v>468</v>
      </c>
      <c r="E698" s="415" t="s">
        <v>468</v>
      </c>
      <c r="F698" s="425">
        <v>6000</v>
      </c>
      <c r="G698" s="427" t="s">
        <v>669</v>
      </c>
      <c r="H698" s="415" t="s">
        <v>468</v>
      </c>
      <c r="I698" s="473" t="s">
        <v>2848</v>
      </c>
      <c r="J698" s="415" t="s">
        <v>1085</v>
      </c>
      <c r="K698" s="415" t="s">
        <v>830</v>
      </c>
      <c r="L698" s="415" t="s">
        <v>32</v>
      </c>
      <c r="M698" s="415" t="s">
        <v>1308</v>
      </c>
      <c r="N698" s="414">
        <v>44596</v>
      </c>
      <c r="O698" s="414" t="s">
        <v>407</v>
      </c>
      <c r="P698" s="222">
        <f t="shared" si="41"/>
        <v>2</v>
      </c>
      <c r="Q698" s="222">
        <f t="shared" si="42"/>
        <v>1</v>
      </c>
      <c r="R698" s="532" t="str">
        <f t="shared" si="43"/>
        <v>Gastos_custeados_por_captação</v>
      </c>
      <c r="S698" s="467" t="s">
        <v>1000</v>
      </c>
      <c r="T698" s="467">
        <v>2725</v>
      </c>
      <c r="U698" s="496"/>
      <c r="V698" s="496"/>
      <c r="W698" s="496"/>
    </row>
    <row r="699" spans="1:23" ht="36" x14ac:dyDescent="0.2">
      <c r="A699" s="510">
        <f t="shared" si="40"/>
        <v>696</v>
      </c>
      <c r="B699" s="428">
        <v>44596</v>
      </c>
      <c r="C699" s="424">
        <v>44562</v>
      </c>
      <c r="D699" s="415" t="s">
        <v>468</v>
      </c>
      <c r="E699" s="415" t="s">
        <v>468</v>
      </c>
      <c r="F699" s="425">
        <v>4311.5600000000004</v>
      </c>
      <c r="G699" s="427" t="s">
        <v>693</v>
      </c>
      <c r="H699" s="415" t="s">
        <v>468</v>
      </c>
      <c r="I699" s="398" t="s">
        <v>2464</v>
      </c>
      <c r="J699" s="418" t="s">
        <v>1124</v>
      </c>
      <c r="K699" s="418" t="s">
        <v>830</v>
      </c>
      <c r="L699" s="399" t="s">
        <v>32</v>
      </c>
      <c r="M699" s="415" t="s">
        <v>842</v>
      </c>
      <c r="N699" s="414">
        <v>44595</v>
      </c>
      <c r="O699" s="414" t="s">
        <v>408</v>
      </c>
      <c r="P699" s="222">
        <f t="shared" si="41"/>
        <v>2</v>
      </c>
      <c r="Q699" s="222">
        <f t="shared" si="42"/>
        <v>1</v>
      </c>
      <c r="R699" s="532" t="str">
        <f t="shared" si="43"/>
        <v>Gastos_custeados_por_captação</v>
      </c>
      <c r="S699" s="467" t="s">
        <v>1000</v>
      </c>
      <c r="T699" s="467">
        <v>2642</v>
      </c>
      <c r="U699" s="496"/>
      <c r="V699" s="496"/>
      <c r="W699" s="496"/>
    </row>
    <row r="700" spans="1:23" ht="36" x14ac:dyDescent="0.2">
      <c r="A700" s="510">
        <f t="shared" si="40"/>
        <v>697</v>
      </c>
      <c r="B700" s="428">
        <v>44596</v>
      </c>
      <c r="C700" s="424">
        <v>44562</v>
      </c>
      <c r="D700" s="415" t="s">
        <v>468</v>
      </c>
      <c r="E700" s="415" t="s">
        <v>468</v>
      </c>
      <c r="F700" s="425">
        <v>2650</v>
      </c>
      <c r="G700" s="427" t="s">
        <v>697</v>
      </c>
      <c r="H700" s="415" t="s">
        <v>468</v>
      </c>
      <c r="I700" s="398" t="s">
        <v>2466</v>
      </c>
      <c r="J700" s="418" t="s">
        <v>1128</v>
      </c>
      <c r="K700" s="418" t="s">
        <v>830</v>
      </c>
      <c r="L700" s="399" t="s">
        <v>32</v>
      </c>
      <c r="M700" s="415" t="s">
        <v>1608</v>
      </c>
      <c r="N700" s="414">
        <v>44595</v>
      </c>
      <c r="O700" s="414" t="s">
        <v>408</v>
      </c>
      <c r="P700" s="222">
        <f t="shared" si="41"/>
        <v>2</v>
      </c>
      <c r="Q700" s="222">
        <f t="shared" si="42"/>
        <v>1</v>
      </c>
      <c r="R700" s="532" t="str">
        <f t="shared" si="43"/>
        <v>Gastos_custeados_por_captação</v>
      </c>
      <c r="S700" s="467" t="s">
        <v>1000</v>
      </c>
      <c r="T700" s="467">
        <v>2687</v>
      </c>
      <c r="U700" s="496"/>
      <c r="V700" s="496"/>
      <c r="W700" s="496"/>
    </row>
    <row r="701" spans="1:23" ht="108" x14ac:dyDescent="0.2">
      <c r="A701" s="510">
        <f t="shared" si="40"/>
        <v>698</v>
      </c>
      <c r="B701" s="428">
        <v>44596</v>
      </c>
      <c r="C701" s="424">
        <v>44562</v>
      </c>
      <c r="D701" s="415" t="s">
        <v>468</v>
      </c>
      <c r="E701" s="415" t="s">
        <v>468</v>
      </c>
      <c r="F701" s="541">
        <v>2537.5500000000002</v>
      </c>
      <c r="G701" s="427" t="s">
        <v>2564</v>
      </c>
      <c r="H701" s="415" t="s">
        <v>468</v>
      </c>
      <c r="I701" s="398" t="s">
        <v>1748</v>
      </c>
      <c r="J701" s="418" t="s">
        <v>1027</v>
      </c>
      <c r="K701" s="418" t="s">
        <v>806</v>
      </c>
      <c r="L701" s="399" t="s">
        <v>839</v>
      </c>
      <c r="M701" s="544">
        <v>1552</v>
      </c>
      <c r="N701" s="414">
        <v>44595</v>
      </c>
      <c r="O701" s="414" t="s">
        <v>401</v>
      </c>
      <c r="P701" s="222">
        <f t="shared" si="41"/>
        <v>2</v>
      </c>
      <c r="Q701" s="222">
        <f t="shared" si="42"/>
        <v>1</v>
      </c>
      <c r="R701" s="532" t="str">
        <f t="shared" si="43"/>
        <v>Gastos_custeados_por_captação</v>
      </c>
      <c r="S701" s="467" t="s">
        <v>1000</v>
      </c>
      <c r="T701" s="467">
        <v>2716</v>
      </c>
      <c r="U701" s="496"/>
      <c r="V701" s="496"/>
      <c r="W701" s="496"/>
    </row>
    <row r="702" spans="1:23" ht="108" x14ac:dyDescent="0.2">
      <c r="A702" s="510">
        <f t="shared" si="40"/>
        <v>699</v>
      </c>
      <c r="B702" s="428">
        <v>44596</v>
      </c>
      <c r="C702" s="424">
        <v>44562</v>
      </c>
      <c r="D702" s="415" t="s">
        <v>468</v>
      </c>
      <c r="E702" s="415" t="s">
        <v>468</v>
      </c>
      <c r="F702" s="541">
        <v>2000</v>
      </c>
      <c r="G702" s="427" t="s">
        <v>675</v>
      </c>
      <c r="H702" s="415" t="s">
        <v>468</v>
      </c>
      <c r="I702" s="398" t="s">
        <v>1697</v>
      </c>
      <c r="J702" s="418" t="s">
        <v>1015</v>
      </c>
      <c r="K702" s="418" t="s">
        <v>806</v>
      </c>
      <c r="L702" s="399" t="s">
        <v>807</v>
      </c>
      <c r="M702" s="415" t="s">
        <v>1608</v>
      </c>
      <c r="N702" s="414">
        <v>44595</v>
      </c>
      <c r="O702" s="414" t="s">
        <v>401</v>
      </c>
      <c r="P702" s="222">
        <f t="shared" si="41"/>
        <v>2</v>
      </c>
      <c r="Q702" s="222">
        <f t="shared" si="42"/>
        <v>1</v>
      </c>
      <c r="R702" s="532" t="str">
        <f t="shared" si="43"/>
        <v>Gastos_custeados_por_captação</v>
      </c>
      <c r="S702" s="467" t="s">
        <v>1000</v>
      </c>
      <c r="T702" s="467">
        <v>2713</v>
      </c>
      <c r="U702" s="496"/>
      <c r="V702" s="496"/>
      <c r="W702" s="496"/>
    </row>
    <row r="703" spans="1:23" ht="72" x14ac:dyDescent="0.2">
      <c r="A703" s="510">
        <f t="shared" si="40"/>
        <v>700</v>
      </c>
      <c r="B703" s="428">
        <v>44596</v>
      </c>
      <c r="C703" s="431">
        <v>44562</v>
      </c>
      <c r="D703" s="415" t="s">
        <v>468</v>
      </c>
      <c r="E703" s="415" t="s">
        <v>468</v>
      </c>
      <c r="F703" s="541">
        <v>2522.5500000000002</v>
      </c>
      <c r="G703" s="427" t="s">
        <v>670</v>
      </c>
      <c r="H703" s="415" t="s">
        <v>468</v>
      </c>
      <c r="I703" s="398" t="s">
        <v>2358</v>
      </c>
      <c r="J703" s="418" t="s">
        <v>1132</v>
      </c>
      <c r="K703" s="415" t="s">
        <v>830</v>
      </c>
      <c r="L703" s="399" t="s">
        <v>839</v>
      </c>
      <c r="M703" s="415">
        <v>1553</v>
      </c>
      <c r="N703" s="414">
        <v>44595</v>
      </c>
      <c r="O703" s="414" t="s">
        <v>402</v>
      </c>
      <c r="P703" s="222">
        <f t="shared" si="41"/>
        <v>2</v>
      </c>
      <c r="Q703" s="222">
        <f t="shared" si="42"/>
        <v>1</v>
      </c>
      <c r="R703" s="532" t="str">
        <f t="shared" si="43"/>
        <v>Gastos_custeados_por_captação</v>
      </c>
      <c r="S703" s="467" t="s">
        <v>1000</v>
      </c>
      <c r="T703" s="467">
        <v>2723</v>
      </c>
      <c r="U703" s="496"/>
      <c r="V703" s="496"/>
      <c r="W703" s="496"/>
    </row>
    <row r="704" spans="1:23" ht="168" x14ac:dyDescent="0.2">
      <c r="A704" s="510">
        <f t="shared" si="40"/>
        <v>701</v>
      </c>
      <c r="B704" s="428">
        <v>44596</v>
      </c>
      <c r="C704" s="431">
        <v>44562</v>
      </c>
      <c r="D704" s="415" t="s">
        <v>468</v>
      </c>
      <c r="E704" s="415" t="s">
        <v>468</v>
      </c>
      <c r="F704" s="425">
        <v>7054.16</v>
      </c>
      <c r="G704" s="427" t="s">
        <v>2849</v>
      </c>
      <c r="H704" s="415" t="s">
        <v>468</v>
      </c>
      <c r="I704" s="473" t="s">
        <v>2814</v>
      </c>
      <c r="J704" s="415" t="s">
        <v>2815</v>
      </c>
      <c r="K704" s="415" t="s">
        <v>830</v>
      </c>
      <c r="L704" s="415" t="s">
        <v>1341</v>
      </c>
      <c r="M704" s="415">
        <v>1554</v>
      </c>
      <c r="N704" s="414">
        <v>44595</v>
      </c>
      <c r="O704" s="414" t="s">
        <v>407</v>
      </c>
      <c r="P704" s="222">
        <f t="shared" si="41"/>
        <v>2</v>
      </c>
      <c r="Q704" s="222">
        <f t="shared" si="42"/>
        <v>1</v>
      </c>
      <c r="R704" s="532" t="str">
        <f t="shared" si="43"/>
        <v>Gastos_custeados_por_captação</v>
      </c>
      <c r="S704" s="467" t="s">
        <v>1000</v>
      </c>
      <c r="T704" s="467">
        <v>1793</v>
      </c>
      <c r="U704" s="496"/>
      <c r="V704" s="496"/>
      <c r="W704" s="496"/>
    </row>
    <row r="705" spans="1:23" ht="36" x14ac:dyDescent="0.2">
      <c r="A705" s="510">
        <f t="shared" si="40"/>
        <v>702</v>
      </c>
      <c r="B705" s="428">
        <v>44596</v>
      </c>
      <c r="C705" s="424">
        <v>44562</v>
      </c>
      <c r="D705" s="415" t="s">
        <v>468</v>
      </c>
      <c r="E705" s="415" t="s">
        <v>468</v>
      </c>
      <c r="F705" s="425">
        <v>3820</v>
      </c>
      <c r="G705" s="427" t="s">
        <v>695</v>
      </c>
      <c r="H705" s="415" t="s">
        <v>468</v>
      </c>
      <c r="I705" s="398" t="s">
        <v>2405</v>
      </c>
      <c r="J705" s="418" t="s">
        <v>1030</v>
      </c>
      <c r="K705" s="418" t="s">
        <v>830</v>
      </c>
      <c r="L705" s="399" t="s">
        <v>32</v>
      </c>
      <c r="M705" s="415" t="s">
        <v>842</v>
      </c>
      <c r="N705" s="414">
        <v>44594</v>
      </c>
      <c r="O705" s="414" t="s">
        <v>408</v>
      </c>
      <c r="P705" s="222">
        <f t="shared" si="41"/>
        <v>2</v>
      </c>
      <c r="Q705" s="222">
        <f t="shared" si="42"/>
        <v>1</v>
      </c>
      <c r="R705" s="532" t="str">
        <f t="shared" si="43"/>
        <v>Gastos_custeados_por_captação</v>
      </c>
      <c r="S705" s="467" t="s">
        <v>1000</v>
      </c>
      <c r="T705" s="467">
        <v>2631</v>
      </c>
      <c r="U705" s="496"/>
      <c r="V705" s="496"/>
      <c r="W705" s="496"/>
    </row>
    <row r="706" spans="1:23" ht="60" x14ac:dyDescent="0.2">
      <c r="A706" s="510">
        <f t="shared" si="40"/>
        <v>703</v>
      </c>
      <c r="B706" s="428">
        <v>44596</v>
      </c>
      <c r="C706" s="424">
        <v>44562</v>
      </c>
      <c r="D706" s="415" t="s">
        <v>468</v>
      </c>
      <c r="E706" s="415" t="s">
        <v>468</v>
      </c>
      <c r="F706" s="425">
        <v>4400</v>
      </c>
      <c r="G706" s="427" t="s">
        <v>701</v>
      </c>
      <c r="H706" s="415" t="s">
        <v>468</v>
      </c>
      <c r="I706" s="398" t="s">
        <v>2465</v>
      </c>
      <c r="J706" s="418" t="s">
        <v>1131</v>
      </c>
      <c r="K706" s="418" t="s">
        <v>830</v>
      </c>
      <c r="L706" s="399" t="s">
        <v>32</v>
      </c>
      <c r="M706" s="415" t="s">
        <v>1608</v>
      </c>
      <c r="N706" s="414">
        <v>44594</v>
      </c>
      <c r="O706" s="414" t="s">
        <v>408</v>
      </c>
      <c r="P706" s="222">
        <f t="shared" si="41"/>
        <v>2</v>
      </c>
      <c r="Q706" s="222">
        <f t="shared" si="42"/>
        <v>1</v>
      </c>
      <c r="R706" s="532" t="str">
        <f t="shared" si="43"/>
        <v>Gastos_custeados_por_captação</v>
      </c>
      <c r="S706" s="467" t="s">
        <v>1000</v>
      </c>
      <c r="T706" s="467">
        <v>2641</v>
      </c>
      <c r="U706" s="496"/>
      <c r="V706" s="496"/>
      <c r="W706" s="496"/>
    </row>
    <row r="707" spans="1:23" ht="36" x14ac:dyDescent="0.2">
      <c r="A707" s="510">
        <f t="shared" si="40"/>
        <v>704</v>
      </c>
      <c r="B707" s="428">
        <v>44596</v>
      </c>
      <c r="C707" s="424">
        <v>44562</v>
      </c>
      <c r="D707" s="415" t="s">
        <v>468</v>
      </c>
      <c r="E707" s="415" t="s">
        <v>468</v>
      </c>
      <c r="F707" s="425">
        <v>2750</v>
      </c>
      <c r="G707" s="427" t="s">
        <v>694</v>
      </c>
      <c r="H707" s="415" t="s">
        <v>468</v>
      </c>
      <c r="I707" s="398" t="s">
        <v>2406</v>
      </c>
      <c r="J707" s="418" t="s">
        <v>1121</v>
      </c>
      <c r="K707" s="418" t="s">
        <v>830</v>
      </c>
      <c r="L707" s="399" t="s">
        <v>32</v>
      </c>
      <c r="M707" s="415" t="s">
        <v>1503</v>
      </c>
      <c r="N707" s="414">
        <v>44594</v>
      </c>
      <c r="O707" s="414" t="s">
        <v>408</v>
      </c>
      <c r="P707" s="222">
        <f t="shared" si="41"/>
        <v>2</v>
      </c>
      <c r="Q707" s="222">
        <f t="shared" si="42"/>
        <v>1</v>
      </c>
      <c r="R707" s="532" t="str">
        <f t="shared" si="43"/>
        <v>Gastos_custeados_por_captação</v>
      </c>
      <c r="S707" s="467" t="s">
        <v>1000</v>
      </c>
      <c r="T707" s="467">
        <v>2662</v>
      </c>
      <c r="U707" s="496"/>
      <c r="V707" s="496"/>
      <c r="W707" s="496"/>
    </row>
    <row r="708" spans="1:23" ht="24" x14ac:dyDescent="0.2">
      <c r="A708" s="510">
        <f t="shared" si="40"/>
        <v>705</v>
      </c>
      <c r="B708" s="428">
        <v>44596</v>
      </c>
      <c r="C708" s="424">
        <v>44562</v>
      </c>
      <c r="D708" s="415" t="s">
        <v>271</v>
      </c>
      <c r="E708" s="415" t="s">
        <v>85</v>
      </c>
      <c r="F708" s="425">
        <v>109.48</v>
      </c>
      <c r="G708" s="437" t="s">
        <v>491</v>
      </c>
      <c r="H708" s="415" t="s">
        <v>750</v>
      </c>
      <c r="I708" s="474" t="s">
        <v>765</v>
      </c>
      <c r="J708" s="434" t="s">
        <v>892</v>
      </c>
      <c r="K708" s="418" t="s">
        <v>893</v>
      </c>
      <c r="L708" s="399" t="s">
        <v>807</v>
      </c>
      <c r="M708" s="415">
        <v>71504932</v>
      </c>
      <c r="N708" s="455">
        <v>44578</v>
      </c>
      <c r="O708" s="414" t="s">
        <v>400</v>
      </c>
      <c r="P708" s="222">
        <f t="shared" si="41"/>
        <v>2</v>
      </c>
      <c r="Q708" s="222">
        <f t="shared" si="42"/>
        <v>1</v>
      </c>
      <c r="R708" s="532" t="str">
        <f t="shared" si="43"/>
        <v>Gastos_Gerais</v>
      </c>
      <c r="S708" s="467" t="s">
        <v>310</v>
      </c>
      <c r="T708" s="467" t="s">
        <v>310</v>
      </c>
      <c r="U708" s="496"/>
      <c r="V708" s="496"/>
      <c r="W708" s="496"/>
    </row>
    <row r="709" spans="1:23" ht="60" x14ac:dyDescent="0.2">
      <c r="A709" s="510">
        <f t="shared" ref="A709:A772" si="44">IF(B709="","",ROW()-ROW($A$3))</f>
        <v>706</v>
      </c>
      <c r="B709" s="428">
        <v>44596</v>
      </c>
      <c r="C709" s="431">
        <v>44562</v>
      </c>
      <c r="D709" s="415" t="s">
        <v>468</v>
      </c>
      <c r="E709" s="415" t="s">
        <v>468</v>
      </c>
      <c r="F709" s="425">
        <v>847</v>
      </c>
      <c r="G709" s="427" t="s">
        <v>2683</v>
      </c>
      <c r="H709" s="415" t="s">
        <v>468</v>
      </c>
      <c r="I709" s="473" t="s">
        <v>1302</v>
      </c>
      <c r="J709" s="415" t="s">
        <v>1066</v>
      </c>
      <c r="K709" s="415" t="s">
        <v>830</v>
      </c>
      <c r="L709" s="415" t="s">
        <v>32</v>
      </c>
      <c r="M709" s="415">
        <v>65366</v>
      </c>
      <c r="N709" s="414">
        <v>44566</v>
      </c>
      <c r="O709" s="414" t="s">
        <v>404</v>
      </c>
      <c r="P709" s="222">
        <f t="shared" ref="P709:P772" si="45">IF(B709=0,0,IF(YEAR(B709)=$Q$1,MONTH(B709)-$P$1+1,(YEAR(B709)-$Q$1)*12-$P$1+1+MONTH(B709)))</f>
        <v>2</v>
      </c>
      <c r="Q709" s="222">
        <f t="shared" ref="Q709:Q772" si="46">IF(C709=0,0,IF(YEAR(C709)=$Q$1,MONTH(C709)-$P$1+1,(YEAR(C709)-$Q$1)*12-$P$1+1+MONTH(C709)))</f>
        <v>1</v>
      </c>
      <c r="R709" s="532" t="str">
        <f t="shared" ref="R709:R772" si="47">SUBSTITUTE(D709," ","_")</f>
        <v>Gastos_custeados_por_captação</v>
      </c>
      <c r="S709" s="467" t="s">
        <v>1303</v>
      </c>
      <c r="T709" s="467">
        <v>2746</v>
      </c>
      <c r="U709" s="496"/>
      <c r="V709" s="496"/>
      <c r="W709" s="496"/>
    </row>
    <row r="710" spans="1:23" ht="48" x14ac:dyDescent="0.2">
      <c r="A710" s="510">
        <f t="shared" si="44"/>
        <v>707</v>
      </c>
      <c r="B710" s="428">
        <v>44599</v>
      </c>
      <c r="C710" s="431">
        <v>44562</v>
      </c>
      <c r="D710" s="415" t="s">
        <v>271</v>
      </c>
      <c r="E710" s="415" t="s">
        <v>297</v>
      </c>
      <c r="F710" s="425">
        <v>-12.45</v>
      </c>
      <c r="G710" s="427" t="s">
        <v>1611</v>
      </c>
      <c r="H710" s="415" t="s">
        <v>309</v>
      </c>
      <c r="I710" s="473" t="s">
        <v>795</v>
      </c>
      <c r="J710" s="415" t="s">
        <v>796</v>
      </c>
      <c r="K710" s="415" t="s">
        <v>797</v>
      </c>
      <c r="L710" s="415" t="s">
        <v>798</v>
      </c>
      <c r="M710" s="415" t="s">
        <v>310</v>
      </c>
      <c r="N710" s="414">
        <v>44599</v>
      </c>
      <c r="O710" s="414" t="s">
        <v>400</v>
      </c>
      <c r="P710" s="222">
        <f t="shared" si="45"/>
        <v>2</v>
      </c>
      <c r="Q710" s="222">
        <f t="shared" si="46"/>
        <v>1</v>
      </c>
      <c r="R710" s="532" t="str">
        <f t="shared" si="47"/>
        <v>Gastos_Gerais</v>
      </c>
      <c r="S710" s="467" t="s">
        <v>310</v>
      </c>
      <c r="T710" s="467" t="s">
        <v>310</v>
      </c>
      <c r="U710" s="496"/>
      <c r="V710" s="496"/>
      <c r="W710" s="496"/>
    </row>
    <row r="711" spans="1:23" ht="48" x14ac:dyDescent="0.2">
      <c r="A711" s="510">
        <f t="shared" si="44"/>
        <v>708</v>
      </c>
      <c r="B711" s="428">
        <v>44599</v>
      </c>
      <c r="C711" s="431">
        <v>44562</v>
      </c>
      <c r="D711" s="415" t="s">
        <v>271</v>
      </c>
      <c r="E711" s="415" t="s">
        <v>297</v>
      </c>
      <c r="F711" s="425">
        <v>-24.9</v>
      </c>
      <c r="G711" s="427" t="s">
        <v>1612</v>
      </c>
      <c r="H711" s="415" t="s">
        <v>309</v>
      </c>
      <c r="I711" s="473" t="s">
        <v>795</v>
      </c>
      <c r="J711" s="415" t="s">
        <v>796</v>
      </c>
      <c r="K711" s="415" t="s">
        <v>797</v>
      </c>
      <c r="L711" s="415" t="s">
        <v>798</v>
      </c>
      <c r="M711" s="415" t="s">
        <v>310</v>
      </c>
      <c r="N711" s="414">
        <v>44599</v>
      </c>
      <c r="O711" s="414" t="s">
        <v>400</v>
      </c>
      <c r="P711" s="222">
        <f t="shared" si="45"/>
        <v>2</v>
      </c>
      <c r="Q711" s="222">
        <f t="shared" si="46"/>
        <v>1</v>
      </c>
      <c r="R711" s="532" t="str">
        <f t="shared" si="47"/>
        <v>Gastos_Gerais</v>
      </c>
      <c r="S711" s="467" t="s">
        <v>310</v>
      </c>
      <c r="T711" s="467" t="s">
        <v>310</v>
      </c>
      <c r="U711" s="496"/>
      <c r="V711" s="496"/>
      <c r="W711" s="496"/>
    </row>
    <row r="712" spans="1:23" ht="60" x14ac:dyDescent="0.2">
      <c r="A712" s="510">
        <f t="shared" si="44"/>
        <v>709</v>
      </c>
      <c r="B712" s="428">
        <v>44599</v>
      </c>
      <c r="C712" s="424">
        <v>44562</v>
      </c>
      <c r="D712" s="415" t="s">
        <v>271</v>
      </c>
      <c r="E712" s="415" t="s">
        <v>59</v>
      </c>
      <c r="F712" s="425">
        <v>-2244.85</v>
      </c>
      <c r="G712" s="427" t="s">
        <v>1616</v>
      </c>
      <c r="H712" s="415" t="s">
        <v>309</v>
      </c>
      <c r="I712" s="473" t="s">
        <v>795</v>
      </c>
      <c r="J712" s="415" t="s">
        <v>796</v>
      </c>
      <c r="K712" s="415" t="s">
        <v>797</v>
      </c>
      <c r="L712" s="415" t="s">
        <v>798</v>
      </c>
      <c r="M712" s="415" t="s">
        <v>310</v>
      </c>
      <c r="N712" s="414">
        <v>44599</v>
      </c>
      <c r="O712" s="414" t="s">
        <v>400</v>
      </c>
      <c r="P712" s="222">
        <f t="shared" si="45"/>
        <v>2</v>
      </c>
      <c r="Q712" s="222">
        <f t="shared" si="46"/>
        <v>1</v>
      </c>
      <c r="R712" s="532" t="str">
        <f t="shared" si="47"/>
        <v>Gastos_Gerais</v>
      </c>
      <c r="S712" s="467" t="s">
        <v>310</v>
      </c>
      <c r="T712" s="467" t="s">
        <v>310</v>
      </c>
      <c r="U712" s="496"/>
      <c r="V712" s="496"/>
      <c r="W712" s="496"/>
    </row>
    <row r="713" spans="1:23" ht="48" x14ac:dyDescent="0.2">
      <c r="A713" s="510">
        <f t="shared" si="44"/>
        <v>710</v>
      </c>
      <c r="B713" s="428">
        <v>44599</v>
      </c>
      <c r="C713" s="431">
        <v>44562</v>
      </c>
      <c r="D713" s="415" t="s">
        <v>271</v>
      </c>
      <c r="E713" s="415" t="s">
        <v>297</v>
      </c>
      <c r="F713" s="425">
        <v>-273.89999999999998</v>
      </c>
      <c r="G713" s="427" t="s">
        <v>1613</v>
      </c>
      <c r="H713" s="415" t="s">
        <v>309</v>
      </c>
      <c r="I713" s="473" t="s">
        <v>795</v>
      </c>
      <c r="J713" s="415" t="s">
        <v>796</v>
      </c>
      <c r="K713" s="415" t="s">
        <v>797</v>
      </c>
      <c r="L713" s="415" t="s">
        <v>798</v>
      </c>
      <c r="M713" s="415" t="s">
        <v>310</v>
      </c>
      <c r="N713" s="414">
        <v>44599</v>
      </c>
      <c r="O713" s="414" t="s">
        <v>400</v>
      </c>
      <c r="P713" s="222">
        <f t="shared" si="45"/>
        <v>2</v>
      </c>
      <c r="Q713" s="222">
        <f t="shared" si="46"/>
        <v>1</v>
      </c>
      <c r="R713" s="532" t="str">
        <f t="shared" si="47"/>
        <v>Gastos_Gerais</v>
      </c>
      <c r="S713" s="467" t="s">
        <v>310</v>
      </c>
      <c r="T713" s="467" t="s">
        <v>310</v>
      </c>
      <c r="U713" s="496"/>
      <c r="V713" s="496"/>
      <c r="W713" s="496"/>
    </row>
    <row r="714" spans="1:23" ht="60" x14ac:dyDescent="0.2">
      <c r="A714" s="510">
        <f t="shared" si="44"/>
        <v>711</v>
      </c>
      <c r="B714" s="428">
        <v>44599</v>
      </c>
      <c r="C714" s="424">
        <v>44562</v>
      </c>
      <c r="D714" s="415" t="s">
        <v>182</v>
      </c>
      <c r="E714" s="415" t="s">
        <v>4</v>
      </c>
      <c r="F714" s="425">
        <v>-2527.02</v>
      </c>
      <c r="G714" s="427" t="s">
        <v>1625</v>
      </c>
      <c r="H714" s="415" t="s">
        <v>310</v>
      </c>
      <c r="I714" s="473" t="s">
        <v>795</v>
      </c>
      <c r="J714" s="415" t="s">
        <v>796</v>
      </c>
      <c r="K714" s="415" t="s">
        <v>797</v>
      </c>
      <c r="L714" s="415" t="s">
        <v>798</v>
      </c>
      <c r="M714" s="415" t="s">
        <v>310</v>
      </c>
      <c r="N714" s="414">
        <v>44599</v>
      </c>
      <c r="O714" s="414" t="s">
        <v>400</v>
      </c>
      <c r="P714" s="222">
        <f t="shared" si="45"/>
        <v>2</v>
      </c>
      <c r="Q714" s="222">
        <f t="shared" si="46"/>
        <v>1</v>
      </c>
      <c r="R714" s="532" t="str">
        <f t="shared" si="47"/>
        <v>Gastos_com_Pessoal</v>
      </c>
      <c r="S714" s="467" t="s">
        <v>310</v>
      </c>
      <c r="T714" s="467" t="s">
        <v>310</v>
      </c>
      <c r="U714" s="496"/>
      <c r="V714" s="496"/>
      <c r="W714" s="496"/>
    </row>
    <row r="715" spans="1:23" ht="60" x14ac:dyDescent="0.2">
      <c r="A715" s="510">
        <f t="shared" si="44"/>
        <v>712</v>
      </c>
      <c r="B715" s="428">
        <v>44599</v>
      </c>
      <c r="C715" s="424">
        <v>44562</v>
      </c>
      <c r="D715" s="415" t="s">
        <v>271</v>
      </c>
      <c r="E715" s="415" t="s">
        <v>186</v>
      </c>
      <c r="F715" s="425">
        <v>-154.06</v>
      </c>
      <c r="G715" s="427" t="s">
        <v>887</v>
      </c>
      <c r="H715" s="415" t="s">
        <v>309</v>
      </c>
      <c r="I715" s="474" t="s">
        <v>795</v>
      </c>
      <c r="J715" s="434" t="s">
        <v>796</v>
      </c>
      <c r="K715" s="434" t="s">
        <v>797</v>
      </c>
      <c r="L715" s="434" t="s">
        <v>798</v>
      </c>
      <c r="M715" s="436" t="s">
        <v>310</v>
      </c>
      <c r="N715" s="414">
        <v>44599</v>
      </c>
      <c r="O715" s="414" t="s">
        <v>400</v>
      </c>
      <c r="P715" s="222">
        <f t="shared" si="45"/>
        <v>2</v>
      </c>
      <c r="Q715" s="222">
        <f t="shared" si="46"/>
        <v>1</v>
      </c>
      <c r="R715" s="532" t="str">
        <f t="shared" si="47"/>
        <v>Gastos_Gerais</v>
      </c>
      <c r="S715" s="467" t="s">
        <v>310</v>
      </c>
      <c r="T715" s="467" t="s">
        <v>310</v>
      </c>
      <c r="U715" s="496"/>
      <c r="V715" s="496"/>
      <c r="W715" s="496"/>
    </row>
    <row r="716" spans="1:23" ht="60" x14ac:dyDescent="0.2">
      <c r="A716" s="510">
        <f t="shared" si="44"/>
        <v>713</v>
      </c>
      <c r="B716" s="428">
        <v>44599</v>
      </c>
      <c r="C716" s="424">
        <v>44562</v>
      </c>
      <c r="D716" s="415" t="s">
        <v>271</v>
      </c>
      <c r="E716" s="415" t="s">
        <v>186</v>
      </c>
      <c r="F716" s="435">
        <v>-188.04</v>
      </c>
      <c r="G716" s="437" t="s">
        <v>887</v>
      </c>
      <c r="H716" s="415" t="s">
        <v>309</v>
      </c>
      <c r="I716" s="474" t="s">
        <v>795</v>
      </c>
      <c r="J716" s="434" t="s">
        <v>796</v>
      </c>
      <c r="K716" s="434" t="s">
        <v>797</v>
      </c>
      <c r="L716" s="434" t="s">
        <v>798</v>
      </c>
      <c r="M716" s="436" t="s">
        <v>310</v>
      </c>
      <c r="N716" s="414">
        <v>44599</v>
      </c>
      <c r="O716" s="414" t="s">
        <v>400</v>
      </c>
      <c r="P716" s="222">
        <f t="shared" si="45"/>
        <v>2</v>
      </c>
      <c r="Q716" s="222">
        <f t="shared" si="46"/>
        <v>1</v>
      </c>
      <c r="R716" s="532" t="str">
        <f t="shared" si="47"/>
        <v>Gastos_Gerais</v>
      </c>
      <c r="S716" s="467" t="s">
        <v>310</v>
      </c>
      <c r="T716" s="467" t="s">
        <v>310</v>
      </c>
      <c r="U716" s="496"/>
      <c r="V716" s="496"/>
      <c r="W716" s="496"/>
    </row>
    <row r="717" spans="1:23" ht="48" x14ac:dyDescent="0.2">
      <c r="A717" s="510">
        <f t="shared" si="44"/>
        <v>714</v>
      </c>
      <c r="B717" s="428">
        <v>44599</v>
      </c>
      <c r="C717" s="431">
        <v>44562</v>
      </c>
      <c r="D717" s="415" t="s">
        <v>271</v>
      </c>
      <c r="E717" s="415" t="s">
        <v>9</v>
      </c>
      <c r="F717" s="435">
        <v>-1741.71</v>
      </c>
      <c r="G717" s="437" t="s">
        <v>1622</v>
      </c>
      <c r="H717" s="415" t="s">
        <v>309</v>
      </c>
      <c r="I717" s="474" t="s">
        <v>795</v>
      </c>
      <c r="J717" s="434" t="s">
        <v>796</v>
      </c>
      <c r="K717" s="434" t="s">
        <v>797</v>
      </c>
      <c r="L717" s="434" t="s">
        <v>798</v>
      </c>
      <c r="M717" s="436" t="s">
        <v>310</v>
      </c>
      <c r="N717" s="414">
        <v>44599</v>
      </c>
      <c r="O717" s="414" t="s">
        <v>400</v>
      </c>
      <c r="P717" s="222">
        <f t="shared" si="45"/>
        <v>2</v>
      </c>
      <c r="Q717" s="222">
        <f t="shared" si="46"/>
        <v>1</v>
      </c>
      <c r="R717" s="532" t="str">
        <f t="shared" si="47"/>
        <v>Gastos_Gerais</v>
      </c>
      <c r="S717" s="467" t="s">
        <v>310</v>
      </c>
      <c r="T717" s="467" t="s">
        <v>310</v>
      </c>
      <c r="U717" s="496"/>
      <c r="V717" s="496"/>
      <c r="W717" s="496"/>
    </row>
    <row r="718" spans="1:23" ht="48" x14ac:dyDescent="0.2">
      <c r="A718" s="510">
        <f t="shared" si="44"/>
        <v>715</v>
      </c>
      <c r="B718" s="428">
        <v>44599</v>
      </c>
      <c r="C718" s="424">
        <v>44562</v>
      </c>
      <c r="D718" s="415" t="s">
        <v>182</v>
      </c>
      <c r="E718" s="415" t="s">
        <v>4</v>
      </c>
      <c r="F718" s="425">
        <v>-120</v>
      </c>
      <c r="G718" s="427" t="s">
        <v>1626</v>
      </c>
      <c r="H718" s="415" t="s">
        <v>310</v>
      </c>
      <c r="I718" s="473" t="s">
        <v>795</v>
      </c>
      <c r="J718" s="415" t="s">
        <v>796</v>
      </c>
      <c r="K718" s="415" t="s">
        <v>797</v>
      </c>
      <c r="L718" s="415" t="s">
        <v>798</v>
      </c>
      <c r="M718" s="415" t="s">
        <v>310</v>
      </c>
      <c r="N718" s="414">
        <v>44599</v>
      </c>
      <c r="O718" s="414" t="s">
        <v>400</v>
      </c>
      <c r="P718" s="222">
        <f t="shared" si="45"/>
        <v>2</v>
      </c>
      <c r="Q718" s="222">
        <f t="shared" si="46"/>
        <v>1</v>
      </c>
      <c r="R718" s="532" t="str">
        <f t="shared" si="47"/>
        <v>Gastos_com_Pessoal</v>
      </c>
      <c r="S718" s="467" t="s">
        <v>310</v>
      </c>
      <c r="T718" s="467" t="s">
        <v>310</v>
      </c>
      <c r="U718" s="496"/>
      <c r="V718" s="496"/>
      <c r="W718" s="496"/>
    </row>
    <row r="719" spans="1:23" ht="48" x14ac:dyDescent="0.2">
      <c r="A719" s="510">
        <f t="shared" si="44"/>
        <v>716</v>
      </c>
      <c r="B719" s="428">
        <v>44599</v>
      </c>
      <c r="C719" s="424">
        <v>44593</v>
      </c>
      <c r="D719" s="415" t="s">
        <v>34</v>
      </c>
      <c r="E719" s="415" t="s">
        <v>330</v>
      </c>
      <c r="F719" s="425">
        <v>650000</v>
      </c>
      <c r="G719" s="427" t="s">
        <v>1930</v>
      </c>
      <c r="H719" s="415" t="s">
        <v>310</v>
      </c>
      <c r="I719" s="473" t="s">
        <v>795</v>
      </c>
      <c r="J719" s="415" t="s">
        <v>796</v>
      </c>
      <c r="K719" s="415" t="s">
        <v>797</v>
      </c>
      <c r="L719" s="415" t="s">
        <v>1305</v>
      </c>
      <c r="M719" s="415" t="s">
        <v>310</v>
      </c>
      <c r="N719" s="414">
        <v>44599</v>
      </c>
      <c r="O719" s="414" t="s">
        <v>400</v>
      </c>
      <c r="P719" s="222">
        <f t="shared" si="45"/>
        <v>2</v>
      </c>
      <c r="Q719" s="222">
        <f t="shared" si="46"/>
        <v>2</v>
      </c>
      <c r="R719" s="532" t="str">
        <f t="shared" si="47"/>
        <v>Receitas</v>
      </c>
      <c r="S719" s="467" t="s">
        <v>310</v>
      </c>
      <c r="T719" s="467" t="s">
        <v>310</v>
      </c>
      <c r="U719" s="496"/>
      <c r="V719" s="496"/>
      <c r="W719" s="496"/>
    </row>
    <row r="720" spans="1:23" ht="48" x14ac:dyDescent="0.2">
      <c r="A720" s="510">
        <f t="shared" si="44"/>
        <v>717</v>
      </c>
      <c r="B720" s="428">
        <v>44599</v>
      </c>
      <c r="C720" s="431">
        <v>44562</v>
      </c>
      <c r="D720" s="415" t="s">
        <v>271</v>
      </c>
      <c r="E720" s="415" t="s">
        <v>90</v>
      </c>
      <c r="F720" s="425">
        <v>6000</v>
      </c>
      <c r="G720" s="427" t="s">
        <v>696</v>
      </c>
      <c r="H720" s="415" t="s">
        <v>750</v>
      </c>
      <c r="I720" s="473" t="s">
        <v>785</v>
      </c>
      <c r="J720" s="415" t="s">
        <v>1126</v>
      </c>
      <c r="K720" s="415" t="s">
        <v>806</v>
      </c>
      <c r="L720" s="434" t="s">
        <v>807</v>
      </c>
      <c r="M720" s="415" t="s">
        <v>1608</v>
      </c>
      <c r="N720" s="414">
        <v>44599</v>
      </c>
      <c r="O720" s="414" t="s">
        <v>400</v>
      </c>
      <c r="P720" s="222">
        <f t="shared" si="45"/>
        <v>2</v>
      </c>
      <c r="Q720" s="222">
        <f t="shared" si="46"/>
        <v>1</v>
      </c>
      <c r="R720" s="532" t="str">
        <f t="shared" si="47"/>
        <v>Gastos_Gerais</v>
      </c>
      <c r="S720" s="467" t="s">
        <v>1000</v>
      </c>
      <c r="T720" s="467">
        <v>2690</v>
      </c>
      <c r="U720" s="496"/>
      <c r="V720" s="496"/>
      <c r="W720" s="496"/>
    </row>
    <row r="721" spans="1:23" ht="24" x14ac:dyDescent="0.2">
      <c r="A721" s="510">
        <f t="shared" si="44"/>
        <v>718</v>
      </c>
      <c r="B721" s="428">
        <v>44599</v>
      </c>
      <c r="C721" s="424">
        <v>44562</v>
      </c>
      <c r="D721" s="415" t="s">
        <v>182</v>
      </c>
      <c r="E721" s="415" t="s">
        <v>4</v>
      </c>
      <c r="F721" s="425">
        <v>18952.27</v>
      </c>
      <c r="G721" s="440" t="s">
        <v>1624</v>
      </c>
      <c r="H721" s="415" t="s">
        <v>310</v>
      </c>
      <c r="I721" s="398" t="s">
        <v>1219</v>
      </c>
      <c r="J721" s="418" t="s">
        <v>310</v>
      </c>
      <c r="K721" s="418" t="s">
        <v>1220</v>
      </c>
      <c r="L721" s="399" t="s">
        <v>4</v>
      </c>
      <c r="M721" s="543" t="s">
        <v>310</v>
      </c>
      <c r="N721" s="414">
        <v>44599</v>
      </c>
      <c r="O721" s="414" t="s">
        <v>400</v>
      </c>
      <c r="P721" s="222">
        <f t="shared" si="45"/>
        <v>2</v>
      </c>
      <c r="Q721" s="222">
        <f t="shared" si="46"/>
        <v>1</v>
      </c>
      <c r="R721" s="532" t="str">
        <f t="shared" si="47"/>
        <v>Gastos_com_Pessoal</v>
      </c>
      <c r="S721" s="467" t="s">
        <v>310</v>
      </c>
      <c r="T721" s="467" t="s">
        <v>310</v>
      </c>
      <c r="U721" s="496"/>
      <c r="V721" s="496"/>
      <c r="W721" s="496"/>
    </row>
    <row r="722" spans="1:23" ht="60" x14ac:dyDescent="0.2">
      <c r="A722" s="510">
        <f t="shared" si="44"/>
        <v>719</v>
      </c>
      <c r="B722" s="428">
        <v>44599</v>
      </c>
      <c r="C722" s="431">
        <v>44562</v>
      </c>
      <c r="D722" s="415" t="s">
        <v>271</v>
      </c>
      <c r="E722" s="415" t="s">
        <v>460</v>
      </c>
      <c r="F722" s="435">
        <v>5000</v>
      </c>
      <c r="G722" s="427" t="s">
        <v>654</v>
      </c>
      <c r="H722" s="434" t="s">
        <v>750</v>
      </c>
      <c r="I722" s="473" t="s">
        <v>856</v>
      </c>
      <c r="J722" s="415" t="s">
        <v>1077</v>
      </c>
      <c r="K722" s="434" t="s">
        <v>830</v>
      </c>
      <c r="L722" s="434" t="s">
        <v>807</v>
      </c>
      <c r="M722" s="434">
        <v>137</v>
      </c>
      <c r="N722" s="414">
        <v>44599</v>
      </c>
      <c r="O722" s="414" t="s">
        <v>400</v>
      </c>
      <c r="P722" s="222">
        <f t="shared" si="45"/>
        <v>2</v>
      </c>
      <c r="Q722" s="222">
        <f t="shared" si="46"/>
        <v>1</v>
      </c>
      <c r="R722" s="532" t="str">
        <f t="shared" si="47"/>
        <v>Gastos_Gerais</v>
      </c>
      <c r="S722" s="467" t="s">
        <v>1000</v>
      </c>
      <c r="T722" s="467">
        <v>2689</v>
      </c>
      <c r="U722" s="496"/>
      <c r="V722" s="496"/>
      <c r="W722" s="496"/>
    </row>
    <row r="723" spans="1:23" ht="36" x14ac:dyDescent="0.2">
      <c r="A723" s="510">
        <f t="shared" si="44"/>
        <v>720</v>
      </c>
      <c r="B723" s="428">
        <v>44599</v>
      </c>
      <c r="C723" s="424">
        <v>44593</v>
      </c>
      <c r="D723" s="415" t="s">
        <v>271</v>
      </c>
      <c r="E723" s="415" t="s">
        <v>71</v>
      </c>
      <c r="F723" s="425">
        <v>10.45</v>
      </c>
      <c r="G723" s="427" t="s">
        <v>1627</v>
      </c>
      <c r="H723" s="415" t="s">
        <v>309</v>
      </c>
      <c r="I723" s="398" t="s">
        <v>881</v>
      </c>
      <c r="J723" s="418" t="s">
        <v>882</v>
      </c>
      <c r="K723" s="418" t="s">
        <v>883</v>
      </c>
      <c r="L723" s="399" t="s">
        <v>798</v>
      </c>
      <c r="M723" s="544" t="s">
        <v>310</v>
      </c>
      <c r="N723" s="414">
        <v>44599</v>
      </c>
      <c r="O723" s="414" t="s">
        <v>400</v>
      </c>
      <c r="P723" s="222">
        <f t="shared" si="45"/>
        <v>2</v>
      </c>
      <c r="Q723" s="222">
        <f t="shared" si="46"/>
        <v>2</v>
      </c>
      <c r="R723" s="532" t="str">
        <f t="shared" si="47"/>
        <v>Gastos_Gerais</v>
      </c>
      <c r="S723" s="467" t="s">
        <v>310</v>
      </c>
      <c r="T723" s="467" t="s">
        <v>310</v>
      </c>
      <c r="U723" s="496"/>
      <c r="V723" s="496"/>
      <c r="W723" s="496"/>
    </row>
    <row r="724" spans="1:23" ht="36" x14ac:dyDescent="0.2">
      <c r="A724" s="510">
        <f t="shared" si="44"/>
        <v>721</v>
      </c>
      <c r="B724" s="428">
        <v>44599</v>
      </c>
      <c r="C724" s="424">
        <v>44593</v>
      </c>
      <c r="D724" s="415" t="s">
        <v>271</v>
      </c>
      <c r="E724" s="415" t="s">
        <v>71</v>
      </c>
      <c r="F724" s="425">
        <v>10.45</v>
      </c>
      <c r="G724" s="427" t="s">
        <v>1628</v>
      </c>
      <c r="H724" s="415" t="s">
        <v>750</v>
      </c>
      <c r="I724" s="398" t="s">
        <v>881</v>
      </c>
      <c r="J724" s="418" t="s">
        <v>882</v>
      </c>
      <c r="K724" s="418" t="s">
        <v>883</v>
      </c>
      <c r="L724" s="399" t="s">
        <v>798</v>
      </c>
      <c r="M724" s="544" t="s">
        <v>310</v>
      </c>
      <c r="N724" s="414">
        <v>44599</v>
      </c>
      <c r="O724" s="414" t="s">
        <v>400</v>
      </c>
      <c r="P724" s="222">
        <f t="shared" si="45"/>
        <v>2</v>
      </c>
      <c r="Q724" s="222">
        <f t="shared" si="46"/>
        <v>2</v>
      </c>
      <c r="R724" s="532" t="str">
        <f t="shared" si="47"/>
        <v>Gastos_Gerais</v>
      </c>
      <c r="S724" s="467" t="s">
        <v>310</v>
      </c>
      <c r="T724" s="467" t="s">
        <v>310</v>
      </c>
      <c r="U724" s="496"/>
      <c r="V724" s="496"/>
      <c r="W724" s="496"/>
    </row>
    <row r="725" spans="1:23" ht="36" x14ac:dyDescent="0.2">
      <c r="A725" s="510">
        <f t="shared" si="44"/>
        <v>722</v>
      </c>
      <c r="B725" s="428">
        <v>44599</v>
      </c>
      <c r="C725" s="424">
        <v>44593</v>
      </c>
      <c r="D725" s="415" t="s">
        <v>271</v>
      </c>
      <c r="E725" s="415" t="s">
        <v>71</v>
      </c>
      <c r="F725" s="425">
        <v>10.45</v>
      </c>
      <c r="G725" s="427" t="s">
        <v>1630</v>
      </c>
      <c r="H725" s="415" t="s">
        <v>758</v>
      </c>
      <c r="I725" s="398" t="s">
        <v>881</v>
      </c>
      <c r="J725" s="418" t="s">
        <v>882</v>
      </c>
      <c r="K725" s="418" t="s">
        <v>883</v>
      </c>
      <c r="L725" s="399" t="s">
        <v>798</v>
      </c>
      <c r="M725" s="544" t="s">
        <v>310</v>
      </c>
      <c r="N725" s="414">
        <v>44599</v>
      </c>
      <c r="O725" s="414" t="s">
        <v>400</v>
      </c>
      <c r="P725" s="222">
        <f t="shared" si="45"/>
        <v>2</v>
      </c>
      <c r="Q725" s="222">
        <f t="shared" si="46"/>
        <v>2</v>
      </c>
      <c r="R725" s="532" t="str">
        <f t="shared" si="47"/>
        <v>Gastos_Gerais</v>
      </c>
      <c r="S725" s="467" t="s">
        <v>310</v>
      </c>
      <c r="T725" s="467" t="s">
        <v>310</v>
      </c>
      <c r="U725" s="496"/>
      <c r="V725" s="496"/>
      <c r="W725" s="496"/>
    </row>
    <row r="726" spans="1:23" ht="48" x14ac:dyDescent="0.2">
      <c r="A726" s="510">
        <f t="shared" si="44"/>
        <v>723</v>
      </c>
      <c r="B726" s="428">
        <v>44599</v>
      </c>
      <c r="C726" s="424">
        <v>44593</v>
      </c>
      <c r="D726" s="415" t="s">
        <v>271</v>
      </c>
      <c r="E726" s="415" t="s">
        <v>71</v>
      </c>
      <c r="F726" s="425">
        <v>10.45</v>
      </c>
      <c r="G726" s="427" t="s">
        <v>1629</v>
      </c>
      <c r="H726" s="415" t="s">
        <v>759</v>
      </c>
      <c r="I726" s="398" t="s">
        <v>881</v>
      </c>
      <c r="J726" s="418" t="s">
        <v>882</v>
      </c>
      <c r="K726" s="418" t="s">
        <v>883</v>
      </c>
      <c r="L726" s="399" t="s">
        <v>798</v>
      </c>
      <c r="M726" s="544" t="s">
        <v>310</v>
      </c>
      <c r="N726" s="414">
        <v>44599</v>
      </c>
      <c r="O726" s="414" t="s">
        <v>400</v>
      </c>
      <c r="P726" s="222">
        <f t="shared" si="45"/>
        <v>2</v>
      </c>
      <c r="Q726" s="222">
        <f t="shared" si="46"/>
        <v>2</v>
      </c>
      <c r="R726" s="532" t="str">
        <f t="shared" si="47"/>
        <v>Gastos_Gerais</v>
      </c>
      <c r="S726" s="467" t="s">
        <v>310</v>
      </c>
      <c r="T726" s="467" t="s">
        <v>310</v>
      </c>
      <c r="U726" s="496"/>
      <c r="V726" s="496"/>
      <c r="W726" s="496"/>
    </row>
    <row r="727" spans="1:23" ht="24" x14ac:dyDescent="0.2">
      <c r="A727" s="510">
        <f t="shared" si="44"/>
        <v>724</v>
      </c>
      <c r="B727" s="428">
        <v>44599</v>
      </c>
      <c r="C727" s="424">
        <v>44593</v>
      </c>
      <c r="D727" s="415" t="s">
        <v>271</v>
      </c>
      <c r="E727" s="415" t="s">
        <v>71</v>
      </c>
      <c r="F727" s="425">
        <v>153</v>
      </c>
      <c r="G727" s="427" t="s">
        <v>880</v>
      </c>
      <c r="H727" s="415" t="s">
        <v>309</v>
      </c>
      <c r="I727" s="398" t="s">
        <v>881</v>
      </c>
      <c r="J727" s="418" t="s">
        <v>882</v>
      </c>
      <c r="K727" s="418" t="s">
        <v>883</v>
      </c>
      <c r="L727" s="399" t="s">
        <v>798</v>
      </c>
      <c r="M727" s="544" t="s">
        <v>310</v>
      </c>
      <c r="N727" s="414">
        <v>44599</v>
      </c>
      <c r="O727" s="414" t="s">
        <v>400</v>
      </c>
      <c r="P727" s="222">
        <f t="shared" si="45"/>
        <v>2</v>
      </c>
      <c r="Q727" s="222">
        <f t="shared" si="46"/>
        <v>2</v>
      </c>
      <c r="R727" s="532" t="str">
        <f t="shared" si="47"/>
        <v>Gastos_Gerais</v>
      </c>
      <c r="S727" s="467" t="s">
        <v>310</v>
      </c>
      <c r="T727" s="467" t="s">
        <v>310</v>
      </c>
      <c r="U727" s="496"/>
      <c r="V727" s="496"/>
      <c r="W727" s="496"/>
    </row>
    <row r="728" spans="1:23" ht="84" x14ac:dyDescent="0.2">
      <c r="A728" s="510">
        <f t="shared" si="44"/>
        <v>725</v>
      </c>
      <c r="B728" s="428">
        <v>44599</v>
      </c>
      <c r="C728" s="431">
        <v>44501</v>
      </c>
      <c r="D728" s="415" t="s">
        <v>271</v>
      </c>
      <c r="E728" s="415" t="s">
        <v>456</v>
      </c>
      <c r="F728" s="425">
        <v>1500</v>
      </c>
      <c r="G728" s="427" t="s">
        <v>596</v>
      </c>
      <c r="H728" s="415" t="s">
        <v>759</v>
      </c>
      <c r="I728" s="473" t="s">
        <v>1306</v>
      </c>
      <c r="J728" s="415" t="s">
        <v>1056</v>
      </c>
      <c r="K728" s="434" t="s">
        <v>830</v>
      </c>
      <c r="L728" s="415" t="s">
        <v>807</v>
      </c>
      <c r="M728" s="415" t="s">
        <v>842</v>
      </c>
      <c r="N728" s="414">
        <v>44596</v>
      </c>
      <c r="O728" s="414" t="s">
        <v>400</v>
      </c>
      <c r="P728" s="222">
        <f t="shared" si="45"/>
        <v>2</v>
      </c>
      <c r="Q728" s="222">
        <f t="shared" si="46"/>
        <v>-1</v>
      </c>
      <c r="R728" s="532" t="str">
        <f t="shared" si="47"/>
        <v>Gastos_Gerais</v>
      </c>
      <c r="S728" s="467" t="s">
        <v>998</v>
      </c>
      <c r="T728" s="467">
        <v>2496</v>
      </c>
      <c r="U728" s="496"/>
      <c r="V728" s="496"/>
      <c r="W728" s="496"/>
    </row>
    <row r="729" spans="1:23" ht="72" x14ac:dyDescent="0.2">
      <c r="A729" s="510">
        <f t="shared" si="44"/>
        <v>726</v>
      </c>
      <c r="B729" s="428">
        <v>44599</v>
      </c>
      <c r="C729" s="431">
        <v>44562</v>
      </c>
      <c r="D729" s="415" t="s">
        <v>468</v>
      </c>
      <c r="E729" s="415" t="s">
        <v>468</v>
      </c>
      <c r="F729" s="425">
        <v>2939.7</v>
      </c>
      <c r="G729" s="427" t="s">
        <v>713</v>
      </c>
      <c r="H729" s="415" t="s">
        <v>468</v>
      </c>
      <c r="I729" s="398" t="s">
        <v>2627</v>
      </c>
      <c r="J729" s="418" t="s">
        <v>1137</v>
      </c>
      <c r="K729" s="418" t="s">
        <v>830</v>
      </c>
      <c r="L729" s="399" t="s">
        <v>807</v>
      </c>
      <c r="M729" s="434" t="s">
        <v>1608</v>
      </c>
      <c r="N729" s="414">
        <v>44596</v>
      </c>
      <c r="O729" s="414" t="s">
        <v>402</v>
      </c>
      <c r="P729" s="222">
        <f t="shared" si="45"/>
        <v>2</v>
      </c>
      <c r="Q729" s="222">
        <f t="shared" si="46"/>
        <v>1</v>
      </c>
      <c r="R729" s="532" t="str">
        <f t="shared" si="47"/>
        <v>Gastos_custeados_por_captação</v>
      </c>
      <c r="S729" s="467" t="s">
        <v>1000</v>
      </c>
      <c r="T729" s="467">
        <v>2728</v>
      </c>
      <c r="U729" s="496"/>
      <c r="V729" s="496"/>
      <c r="W729" s="496"/>
    </row>
    <row r="730" spans="1:23" ht="72" x14ac:dyDescent="0.2">
      <c r="A730" s="510">
        <f t="shared" si="44"/>
        <v>727</v>
      </c>
      <c r="B730" s="428">
        <v>44599</v>
      </c>
      <c r="C730" s="431">
        <v>44562</v>
      </c>
      <c r="D730" s="415" t="s">
        <v>468</v>
      </c>
      <c r="E730" s="415" t="s">
        <v>468</v>
      </c>
      <c r="F730" s="425">
        <v>4560.8599999999997</v>
      </c>
      <c r="G730" s="427" t="s">
        <v>670</v>
      </c>
      <c r="H730" s="415" t="s">
        <v>468</v>
      </c>
      <c r="I730" s="398" t="s">
        <v>2850</v>
      </c>
      <c r="J730" s="418" t="s">
        <v>1086</v>
      </c>
      <c r="K730" s="418" t="s">
        <v>830</v>
      </c>
      <c r="L730" s="399" t="s">
        <v>839</v>
      </c>
      <c r="M730" s="434">
        <v>1561</v>
      </c>
      <c r="N730" s="414">
        <v>44596</v>
      </c>
      <c r="O730" s="414" t="s">
        <v>407</v>
      </c>
      <c r="P730" s="222">
        <f t="shared" si="45"/>
        <v>2</v>
      </c>
      <c r="Q730" s="222">
        <f t="shared" si="46"/>
        <v>1</v>
      </c>
      <c r="R730" s="532" t="str">
        <f t="shared" si="47"/>
        <v>Gastos_custeados_por_captação</v>
      </c>
      <c r="S730" s="467" t="s">
        <v>1000</v>
      </c>
      <c r="T730" s="467">
        <v>2724</v>
      </c>
      <c r="U730" s="496"/>
      <c r="V730" s="496"/>
      <c r="W730" s="496"/>
    </row>
    <row r="731" spans="1:23" ht="24" x14ac:dyDescent="0.2">
      <c r="A731" s="510">
        <f t="shared" si="44"/>
        <v>728</v>
      </c>
      <c r="B731" s="428">
        <v>44599</v>
      </c>
      <c r="C731" s="431">
        <v>44562</v>
      </c>
      <c r="D731" s="415" t="s">
        <v>271</v>
      </c>
      <c r="E731" s="415" t="s">
        <v>9</v>
      </c>
      <c r="F731" s="425">
        <v>6314.6</v>
      </c>
      <c r="G731" s="427" t="s">
        <v>729</v>
      </c>
      <c r="H731" s="415" t="s">
        <v>309</v>
      </c>
      <c r="I731" s="473" t="s">
        <v>1620</v>
      </c>
      <c r="J731" s="415" t="s">
        <v>841</v>
      </c>
      <c r="K731" s="415" t="s">
        <v>806</v>
      </c>
      <c r="L731" s="415" t="s">
        <v>807</v>
      </c>
      <c r="M731" s="415" t="s">
        <v>1621</v>
      </c>
      <c r="N731" s="414">
        <v>44595</v>
      </c>
      <c r="O731" s="414" t="s">
        <v>400</v>
      </c>
      <c r="P731" s="222">
        <f t="shared" si="45"/>
        <v>2</v>
      </c>
      <c r="Q731" s="222">
        <f t="shared" si="46"/>
        <v>1</v>
      </c>
      <c r="R731" s="532" t="str">
        <f t="shared" si="47"/>
        <v>Gastos_Gerais</v>
      </c>
      <c r="S731" s="467" t="s">
        <v>1000</v>
      </c>
      <c r="T731" s="467">
        <v>2780</v>
      </c>
      <c r="U731" s="496"/>
      <c r="V731" s="496"/>
      <c r="W731" s="496"/>
    </row>
    <row r="732" spans="1:23" ht="156" x14ac:dyDescent="0.2">
      <c r="A732" s="510">
        <f t="shared" si="44"/>
        <v>729</v>
      </c>
      <c r="B732" s="428">
        <v>44599</v>
      </c>
      <c r="C732" s="431">
        <v>44562</v>
      </c>
      <c r="D732" s="415" t="s">
        <v>271</v>
      </c>
      <c r="E732" s="415" t="s">
        <v>90</v>
      </c>
      <c r="F732" s="425">
        <v>4000</v>
      </c>
      <c r="G732" s="427" t="s">
        <v>656</v>
      </c>
      <c r="H732" s="415" t="s">
        <v>758</v>
      </c>
      <c r="I732" s="473" t="s">
        <v>1609</v>
      </c>
      <c r="J732" s="415" t="s">
        <v>1016</v>
      </c>
      <c r="K732" s="434" t="s">
        <v>830</v>
      </c>
      <c r="L732" s="434" t="s">
        <v>807</v>
      </c>
      <c r="M732" s="415" t="s">
        <v>1608</v>
      </c>
      <c r="N732" s="414">
        <v>44595</v>
      </c>
      <c r="O732" s="414" t="s">
        <v>400</v>
      </c>
      <c r="P732" s="222">
        <f t="shared" si="45"/>
        <v>2</v>
      </c>
      <c r="Q732" s="222">
        <f t="shared" si="46"/>
        <v>1</v>
      </c>
      <c r="R732" s="532" t="str">
        <f t="shared" si="47"/>
        <v>Gastos_Gerais</v>
      </c>
      <c r="S732" s="467" t="s">
        <v>1000</v>
      </c>
      <c r="T732" s="467">
        <v>2712</v>
      </c>
      <c r="U732" s="496"/>
      <c r="V732" s="496"/>
      <c r="W732" s="496"/>
    </row>
    <row r="733" spans="1:23" ht="108" x14ac:dyDescent="0.2">
      <c r="A733" s="510">
        <f t="shared" si="44"/>
        <v>730</v>
      </c>
      <c r="B733" s="428">
        <v>44599</v>
      </c>
      <c r="C733" s="431">
        <v>44562</v>
      </c>
      <c r="D733" s="415" t="s">
        <v>271</v>
      </c>
      <c r="E733" s="415" t="s">
        <v>297</v>
      </c>
      <c r="F733" s="425">
        <v>996</v>
      </c>
      <c r="G733" s="427" t="s">
        <v>2127</v>
      </c>
      <c r="H733" s="415" t="s">
        <v>309</v>
      </c>
      <c r="I733" s="473" t="s">
        <v>776</v>
      </c>
      <c r="J733" s="415" t="s">
        <v>1036</v>
      </c>
      <c r="K733" s="415" t="s">
        <v>812</v>
      </c>
      <c r="L733" s="415" t="s">
        <v>807</v>
      </c>
      <c r="M733" s="415">
        <v>40848</v>
      </c>
      <c r="N733" s="414">
        <v>44593</v>
      </c>
      <c r="O733" s="414" t="s">
        <v>400</v>
      </c>
      <c r="P733" s="222">
        <f t="shared" si="45"/>
        <v>2</v>
      </c>
      <c r="Q733" s="222">
        <f t="shared" si="46"/>
        <v>1</v>
      </c>
      <c r="R733" s="532" t="str">
        <f t="shared" si="47"/>
        <v>Gastos_Gerais</v>
      </c>
      <c r="S733" s="467" t="s">
        <v>1000</v>
      </c>
      <c r="T733" s="489">
        <v>1141</v>
      </c>
      <c r="U733" s="496"/>
      <c r="V733" s="496"/>
      <c r="W733" s="496"/>
    </row>
    <row r="734" spans="1:23" ht="84" x14ac:dyDescent="0.2">
      <c r="A734" s="510">
        <f t="shared" si="44"/>
        <v>731</v>
      </c>
      <c r="B734" s="428">
        <v>44599</v>
      </c>
      <c r="C734" s="424">
        <v>44562</v>
      </c>
      <c r="D734" s="415" t="s">
        <v>271</v>
      </c>
      <c r="E734" s="415" t="s">
        <v>59</v>
      </c>
      <c r="F734" s="425">
        <v>7977.25</v>
      </c>
      <c r="G734" s="427" t="s">
        <v>1615</v>
      </c>
      <c r="H734" s="415" t="s">
        <v>309</v>
      </c>
      <c r="I734" s="473" t="s">
        <v>859</v>
      </c>
      <c r="J734" s="415" t="s">
        <v>860</v>
      </c>
      <c r="K734" s="434" t="s">
        <v>830</v>
      </c>
      <c r="L734" s="415" t="s">
        <v>807</v>
      </c>
      <c r="M734" s="415" t="s">
        <v>1614</v>
      </c>
      <c r="N734" s="414">
        <v>44575</v>
      </c>
      <c r="O734" s="414" t="s">
        <v>400</v>
      </c>
      <c r="P734" s="222">
        <f t="shared" si="45"/>
        <v>2</v>
      </c>
      <c r="Q734" s="222">
        <f t="shared" si="46"/>
        <v>1</v>
      </c>
      <c r="R734" s="532" t="str">
        <f t="shared" si="47"/>
        <v>Gastos_Gerais</v>
      </c>
      <c r="S734" s="467" t="s">
        <v>1000</v>
      </c>
      <c r="T734" s="489">
        <v>1114</v>
      </c>
      <c r="U734" s="496"/>
      <c r="V734" s="496"/>
      <c r="W734" s="496"/>
    </row>
    <row r="735" spans="1:23" ht="156" x14ac:dyDescent="0.2">
      <c r="A735" s="510">
        <f t="shared" si="44"/>
        <v>732</v>
      </c>
      <c r="B735" s="428">
        <v>44599</v>
      </c>
      <c r="C735" s="431">
        <v>44562</v>
      </c>
      <c r="D735" s="415" t="s">
        <v>271</v>
      </c>
      <c r="E735" s="415" t="s">
        <v>186</v>
      </c>
      <c r="F735" s="425">
        <v>712</v>
      </c>
      <c r="G735" s="427" t="s">
        <v>545</v>
      </c>
      <c r="H735" s="415" t="s">
        <v>309</v>
      </c>
      <c r="I735" s="473" t="s">
        <v>1610</v>
      </c>
      <c r="J735" s="415" t="s">
        <v>890</v>
      </c>
      <c r="K735" s="415" t="s">
        <v>812</v>
      </c>
      <c r="L735" s="415" t="s">
        <v>807</v>
      </c>
      <c r="M735" s="415">
        <v>2187</v>
      </c>
      <c r="N735" s="414">
        <v>44574</v>
      </c>
      <c r="O735" s="414" t="s">
        <v>400</v>
      </c>
      <c r="P735" s="222">
        <f t="shared" si="45"/>
        <v>2</v>
      </c>
      <c r="Q735" s="222">
        <f t="shared" si="46"/>
        <v>1</v>
      </c>
      <c r="R735" s="532" t="str">
        <f t="shared" si="47"/>
        <v>Gastos_Gerais</v>
      </c>
      <c r="S735" s="467" t="s">
        <v>1000</v>
      </c>
      <c r="T735" s="467">
        <v>1873</v>
      </c>
      <c r="U735" s="496"/>
      <c r="V735" s="496"/>
      <c r="W735" s="496"/>
    </row>
    <row r="736" spans="1:23" ht="156" x14ac:dyDescent="0.2">
      <c r="A736" s="510">
        <f t="shared" si="44"/>
        <v>733</v>
      </c>
      <c r="B736" s="428">
        <v>44599</v>
      </c>
      <c r="C736" s="431">
        <v>44562</v>
      </c>
      <c r="D736" s="415" t="s">
        <v>271</v>
      </c>
      <c r="E736" s="415" t="s">
        <v>186</v>
      </c>
      <c r="F736" s="425">
        <v>556.21</v>
      </c>
      <c r="G736" s="427" t="s">
        <v>545</v>
      </c>
      <c r="H736" s="415" t="s">
        <v>309</v>
      </c>
      <c r="I736" s="473" t="s">
        <v>1610</v>
      </c>
      <c r="J736" s="415" t="s">
        <v>890</v>
      </c>
      <c r="K736" s="415" t="s">
        <v>812</v>
      </c>
      <c r="L736" s="415" t="s">
        <v>807</v>
      </c>
      <c r="M736" s="415">
        <v>2188</v>
      </c>
      <c r="N736" s="414">
        <v>44574</v>
      </c>
      <c r="O736" s="414" t="s">
        <v>400</v>
      </c>
      <c r="P736" s="222">
        <f t="shared" si="45"/>
        <v>2</v>
      </c>
      <c r="Q736" s="222">
        <f t="shared" si="46"/>
        <v>1</v>
      </c>
      <c r="R736" s="532" t="str">
        <f t="shared" si="47"/>
        <v>Gastos_Gerais</v>
      </c>
      <c r="S736" s="467" t="s">
        <v>1000</v>
      </c>
      <c r="T736" s="467">
        <v>1873</v>
      </c>
      <c r="U736" s="496"/>
      <c r="V736" s="496"/>
      <c r="W736" s="496"/>
    </row>
    <row r="737" spans="1:23" ht="60" x14ac:dyDescent="0.2">
      <c r="A737" s="510">
        <f t="shared" si="44"/>
        <v>734</v>
      </c>
      <c r="B737" s="428">
        <v>44600</v>
      </c>
      <c r="C737" s="431">
        <v>44593</v>
      </c>
      <c r="D737" s="415" t="s">
        <v>468</v>
      </c>
      <c r="E737" s="415" t="s">
        <v>468</v>
      </c>
      <c r="F737" s="425">
        <v>134.58000000000001</v>
      </c>
      <c r="G737" s="427" t="s">
        <v>1604</v>
      </c>
      <c r="H737" s="415" t="s">
        <v>468</v>
      </c>
      <c r="I737" s="398" t="s">
        <v>2986</v>
      </c>
      <c r="J737" s="418" t="s">
        <v>1603</v>
      </c>
      <c r="K737" s="418" t="s">
        <v>812</v>
      </c>
      <c r="L737" s="399" t="s">
        <v>807</v>
      </c>
      <c r="M737" s="544">
        <v>15833</v>
      </c>
      <c r="N737" s="414">
        <v>44627</v>
      </c>
      <c r="O737" s="414" t="s">
        <v>405</v>
      </c>
      <c r="P737" s="222">
        <f t="shared" si="45"/>
        <v>2</v>
      </c>
      <c r="Q737" s="222">
        <f t="shared" si="46"/>
        <v>2</v>
      </c>
      <c r="R737" s="532" t="str">
        <f t="shared" si="47"/>
        <v>Gastos_custeados_por_captação</v>
      </c>
      <c r="S737" s="467" t="s">
        <v>1303</v>
      </c>
      <c r="T737" s="467">
        <v>2849</v>
      </c>
      <c r="U737" s="496"/>
      <c r="V737" s="496"/>
      <c r="W737" s="496"/>
    </row>
    <row r="738" spans="1:23" ht="60" x14ac:dyDescent="0.2">
      <c r="A738" s="510">
        <f t="shared" si="44"/>
        <v>735</v>
      </c>
      <c r="B738" s="428">
        <v>44600</v>
      </c>
      <c r="C738" s="431">
        <v>44593</v>
      </c>
      <c r="D738" s="415" t="s">
        <v>468</v>
      </c>
      <c r="E738" s="415" t="s">
        <v>468</v>
      </c>
      <c r="F738" s="425">
        <v>78.7</v>
      </c>
      <c r="G738" s="427" t="s">
        <v>2379</v>
      </c>
      <c r="H738" s="415" t="s">
        <v>468</v>
      </c>
      <c r="I738" s="398" t="s">
        <v>2337</v>
      </c>
      <c r="J738" s="418" t="s">
        <v>1602</v>
      </c>
      <c r="K738" s="418" t="s">
        <v>812</v>
      </c>
      <c r="L738" s="399" t="s">
        <v>807</v>
      </c>
      <c r="M738" s="544" t="s">
        <v>2377</v>
      </c>
      <c r="N738" s="414">
        <v>44601</v>
      </c>
      <c r="O738" s="414" t="s">
        <v>405</v>
      </c>
      <c r="P738" s="222">
        <f t="shared" si="45"/>
        <v>2</v>
      </c>
      <c r="Q738" s="222">
        <f t="shared" si="46"/>
        <v>2</v>
      </c>
      <c r="R738" s="532" t="str">
        <f t="shared" si="47"/>
        <v>Gastos_custeados_por_captação</v>
      </c>
      <c r="S738" s="467" t="s">
        <v>1303</v>
      </c>
      <c r="T738" s="467">
        <v>2848</v>
      </c>
      <c r="U738" s="496"/>
      <c r="V738" s="496"/>
      <c r="W738" s="496"/>
    </row>
    <row r="739" spans="1:23" ht="60" x14ac:dyDescent="0.2">
      <c r="A739" s="510">
        <f t="shared" si="44"/>
        <v>736</v>
      </c>
      <c r="B739" s="428">
        <v>44600</v>
      </c>
      <c r="C739" s="431">
        <v>44593</v>
      </c>
      <c r="D739" s="415" t="s">
        <v>468</v>
      </c>
      <c r="E739" s="415" t="s">
        <v>468</v>
      </c>
      <c r="F739" s="425">
        <v>90.03</v>
      </c>
      <c r="G739" s="427" t="s">
        <v>1606</v>
      </c>
      <c r="H739" s="415" t="s">
        <v>468</v>
      </c>
      <c r="I739" s="398" t="s">
        <v>2378</v>
      </c>
      <c r="J739" s="418" t="s">
        <v>1605</v>
      </c>
      <c r="K739" s="418" t="s">
        <v>812</v>
      </c>
      <c r="L739" s="399" t="s">
        <v>807</v>
      </c>
      <c r="M739" s="544">
        <v>10725</v>
      </c>
      <c r="N739" s="414">
        <v>44601</v>
      </c>
      <c r="O739" s="414" t="s">
        <v>405</v>
      </c>
      <c r="P739" s="222">
        <f t="shared" si="45"/>
        <v>2</v>
      </c>
      <c r="Q739" s="222">
        <f t="shared" si="46"/>
        <v>2</v>
      </c>
      <c r="R739" s="532" t="str">
        <f t="shared" si="47"/>
        <v>Gastos_custeados_por_captação</v>
      </c>
      <c r="S739" s="467" t="s">
        <v>1303</v>
      </c>
      <c r="T739" s="467">
        <v>2872</v>
      </c>
      <c r="U739" s="496"/>
      <c r="V739" s="496"/>
      <c r="W739" s="496"/>
    </row>
    <row r="740" spans="1:23" ht="48" x14ac:dyDescent="0.2">
      <c r="A740" s="510">
        <f t="shared" si="44"/>
        <v>737</v>
      </c>
      <c r="B740" s="428">
        <v>44600</v>
      </c>
      <c r="C740" s="431">
        <v>44501</v>
      </c>
      <c r="D740" s="415" t="s">
        <v>271</v>
      </c>
      <c r="E740" s="415" t="s">
        <v>456</v>
      </c>
      <c r="F740" s="435">
        <v>87.5</v>
      </c>
      <c r="G740" s="427" t="s">
        <v>602</v>
      </c>
      <c r="H740" s="415" t="s">
        <v>759</v>
      </c>
      <c r="I740" s="473" t="s">
        <v>764</v>
      </c>
      <c r="J740" s="545" t="s">
        <v>310</v>
      </c>
      <c r="K740" s="415" t="s">
        <v>1220</v>
      </c>
      <c r="L740" s="415" t="s">
        <v>1281</v>
      </c>
      <c r="M740" s="436" t="s">
        <v>1645</v>
      </c>
      <c r="N740" s="414">
        <v>44600</v>
      </c>
      <c r="O740" s="414" t="s">
        <v>400</v>
      </c>
      <c r="P740" s="222">
        <f t="shared" si="45"/>
        <v>2</v>
      </c>
      <c r="Q740" s="222">
        <f t="shared" si="46"/>
        <v>-1</v>
      </c>
      <c r="R740" s="532" t="str">
        <f t="shared" si="47"/>
        <v>Gastos_Gerais</v>
      </c>
      <c r="S740" s="467" t="s">
        <v>310</v>
      </c>
      <c r="T740" s="467" t="s">
        <v>310</v>
      </c>
      <c r="U740" s="496"/>
      <c r="V740" s="496"/>
      <c r="W740" s="496"/>
    </row>
    <row r="741" spans="1:23" ht="36" x14ac:dyDescent="0.2">
      <c r="A741" s="510">
        <f t="shared" si="44"/>
        <v>738</v>
      </c>
      <c r="B741" s="428">
        <v>44600</v>
      </c>
      <c r="C741" s="431">
        <v>44501</v>
      </c>
      <c r="D741" s="415" t="s">
        <v>271</v>
      </c>
      <c r="E741" s="415" t="s">
        <v>453</v>
      </c>
      <c r="F741" s="425">
        <v>27</v>
      </c>
      <c r="G741" s="427" t="s">
        <v>1646</v>
      </c>
      <c r="H741" s="415" t="s">
        <v>754</v>
      </c>
      <c r="I741" s="473" t="s">
        <v>764</v>
      </c>
      <c r="J741" s="545" t="s">
        <v>310</v>
      </c>
      <c r="K741" s="415" t="s">
        <v>1220</v>
      </c>
      <c r="L741" s="415" t="s">
        <v>1281</v>
      </c>
      <c r="M741" s="438" t="s">
        <v>1647</v>
      </c>
      <c r="N741" s="414">
        <v>44600</v>
      </c>
      <c r="O741" s="414" t="s">
        <v>400</v>
      </c>
      <c r="P741" s="222">
        <f t="shared" si="45"/>
        <v>2</v>
      </c>
      <c r="Q741" s="222">
        <f t="shared" si="46"/>
        <v>-1</v>
      </c>
      <c r="R741" s="532" t="str">
        <f t="shared" si="47"/>
        <v>Gastos_Gerais</v>
      </c>
      <c r="S741" s="467" t="s">
        <v>310</v>
      </c>
      <c r="T741" s="467" t="s">
        <v>310</v>
      </c>
      <c r="U741" s="496"/>
      <c r="V741" s="496"/>
      <c r="W741" s="496"/>
    </row>
    <row r="742" spans="1:23" s="307" customFormat="1" ht="24" x14ac:dyDescent="0.2">
      <c r="A742" s="510">
        <f t="shared" si="44"/>
        <v>739</v>
      </c>
      <c r="B742" s="428">
        <v>44600</v>
      </c>
      <c r="C742" s="431">
        <v>44531</v>
      </c>
      <c r="D742" s="415" t="s">
        <v>271</v>
      </c>
      <c r="E742" s="415" t="s">
        <v>453</v>
      </c>
      <c r="F742" s="425">
        <v>120</v>
      </c>
      <c r="G742" s="427" t="s">
        <v>1227</v>
      </c>
      <c r="H742" s="415" t="s">
        <v>752</v>
      </c>
      <c r="I742" s="473" t="s">
        <v>764</v>
      </c>
      <c r="J742" s="545" t="s">
        <v>310</v>
      </c>
      <c r="K742" s="415" t="s">
        <v>1220</v>
      </c>
      <c r="L742" s="415" t="s">
        <v>1281</v>
      </c>
      <c r="M742" s="438" t="s">
        <v>1648</v>
      </c>
      <c r="N742" s="414">
        <v>44600</v>
      </c>
      <c r="O742" s="414" t="s">
        <v>400</v>
      </c>
      <c r="P742" s="222">
        <f t="shared" si="45"/>
        <v>2</v>
      </c>
      <c r="Q742" s="222">
        <f t="shared" si="46"/>
        <v>0</v>
      </c>
      <c r="R742" s="532" t="str">
        <f t="shared" si="47"/>
        <v>Gastos_Gerais</v>
      </c>
      <c r="S742" s="467" t="s">
        <v>310</v>
      </c>
      <c r="T742" s="467" t="s">
        <v>310</v>
      </c>
      <c r="U742" s="496"/>
      <c r="V742" s="496"/>
      <c r="W742" s="496"/>
    </row>
    <row r="743" spans="1:23" s="307" customFormat="1" ht="24" x14ac:dyDescent="0.2">
      <c r="A743" s="510">
        <f t="shared" si="44"/>
        <v>740</v>
      </c>
      <c r="B743" s="428">
        <v>44600</v>
      </c>
      <c r="C743" s="431">
        <v>44531</v>
      </c>
      <c r="D743" s="415" t="s">
        <v>271</v>
      </c>
      <c r="E743" s="415" t="s">
        <v>453</v>
      </c>
      <c r="F743" s="425">
        <v>120</v>
      </c>
      <c r="G743" s="427" t="s">
        <v>1268</v>
      </c>
      <c r="H743" s="415" t="s">
        <v>752</v>
      </c>
      <c r="I743" s="473" t="s">
        <v>764</v>
      </c>
      <c r="J743" s="545" t="s">
        <v>310</v>
      </c>
      <c r="K743" s="415" t="s">
        <v>1220</v>
      </c>
      <c r="L743" s="415" t="s">
        <v>1281</v>
      </c>
      <c r="M743" s="438" t="s">
        <v>1649</v>
      </c>
      <c r="N743" s="414">
        <v>44600</v>
      </c>
      <c r="O743" s="414" t="s">
        <v>400</v>
      </c>
      <c r="P743" s="222">
        <f t="shared" si="45"/>
        <v>2</v>
      </c>
      <c r="Q743" s="222">
        <f t="shared" si="46"/>
        <v>0</v>
      </c>
      <c r="R743" s="532" t="str">
        <f t="shared" si="47"/>
        <v>Gastos_Gerais</v>
      </c>
      <c r="S743" s="467" t="s">
        <v>310</v>
      </c>
      <c r="T743" s="467" t="s">
        <v>310</v>
      </c>
      <c r="U743" s="496"/>
      <c r="V743" s="496"/>
      <c r="W743" s="496"/>
    </row>
    <row r="744" spans="1:23" ht="36" x14ac:dyDescent="0.2">
      <c r="A744" s="510">
        <f t="shared" si="44"/>
        <v>741</v>
      </c>
      <c r="B744" s="428">
        <v>44600</v>
      </c>
      <c r="C744" s="431">
        <v>44531</v>
      </c>
      <c r="D744" s="415" t="s">
        <v>271</v>
      </c>
      <c r="E744" s="415" t="s">
        <v>456</v>
      </c>
      <c r="F744" s="425">
        <v>300</v>
      </c>
      <c r="G744" s="427" t="s">
        <v>1650</v>
      </c>
      <c r="H744" s="415" t="s">
        <v>755</v>
      </c>
      <c r="I744" s="473" t="s">
        <v>764</v>
      </c>
      <c r="J744" s="545" t="s">
        <v>310</v>
      </c>
      <c r="K744" s="415" t="s">
        <v>1220</v>
      </c>
      <c r="L744" s="415" t="s">
        <v>1281</v>
      </c>
      <c r="M744" s="439">
        <v>222026545334</v>
      </c>
      <c r="N744" s="414">
        <v>44600</v>
      </c>
      <c r="O744" s="414" t="s">
        <v>400</v>
      </c>
      <c r="P744" s="222">
        <f t="shared" si="45"/>
        <v>2</v>
      </c>
      <c r="Q744" s="222">
        <f t="shared" si="46"/>
        <v>0</v>
      </c>
      <c r="R744" s="532" t="str">
        <f t="shared" si="47"/>
        <v>Gastos_Gerais</v>
      </c>
      <c r="S744" s="467" t="s">
        <v>310</v>
      </c>
      <c r="T744" s="467" t="s">
        <v>310</v>
      </c>
      <c r="U744" s="496"/>
      <c r="V744" s="496"/>
      <c r="W744" s="496"/>
    </row>
    <row r="745" spans="1:23" ht="36" x14ac:dyDescent="0.2">
      <c r="A745" s="510">
        <f t="shared" si="44"/>
        <v>742</v>
      </c>
      <c r="B745" s="428">
        <v>44600</v>
      </c>
      <c r="C745" s="431">
        <v>44531</v>
      </c>
      <c r="D745" s="415" t="s">
        <v>271</v>
      </c>
      <c r="E745" s="415" t="s">
        <v>453</v>
      </c>
      <c r="F745" s="425">
        <v>76</v>
      </c>
      <c r="G745" s="427" t="s">
        <v>1299</v>
      </c>
      <c r="H745" s="415" t="s">
        <v>752</v>
      </c>
      <c r="I745" s="473" t="s">
        <v>764</v>
      </c>
      <c r="J745" s="545" t="s">
        <v>310</v>
      </c>
      <c r="K745" s="415" t="s">
        <v>1220</v>
      </c>
      <c r="L745" s="415" t="s">
        <v>1281</v>
      </c>
      <c r="M745" s="546">
        <v>222026546144</v>
      </c>
      <c r="N745" s="414">
        <v>44600</v>
      </c>
      <c r="O745" s="414" t="s">
        <v>400</v>
      </c>
      <c r="P745" s="222">
        <f t="shared" si="45"/>
        <v>2</v>
      </c>
      <c r="Q745" s="222">
        <f t="shared" si="46"/>
        <v>0</v>
      </c>
      <c r="R745" s="532" t="str">
        <f t="shared" si="47"/>
        <v>Gastos_Gerais</v>
      </c>
      <c r="S745" s="467" t="s">
        <v>310</v>
      </c>
      <c r="T745" s="467" t="s">
        <v>310</v>
      </c>
      <c r="U745" s="496"/>
      <c r="V745" s="496"/>
      <c r="W745" s="496"/>
    </row>
    <row r="746" spans="1:23" ht="24" x14ac:dyDescent="0.2">
      <c r="A746" s="510">
        <f t="shared" si="44"/>
        <v>743</v>
      </c>
      <c r="B746" s="428">
        <v>44600</v>
      </c>
      <c r="C746" s="431">
        <v>44531</v>
      </c>
      <c r="D746" s="415" t="s">
        <v>271</v>
      </c>
      <c r="E746" s="415" t="s">
        <v>453</v>
      </c>
      <c r="F746" s="425">
        <v>76</v>
      </c>
      <c r="G746" s="427" t="s">
        <v>1311</v>
      </c>
      <c r="H746" s="415" t="s">
        <v>752</v>
      </c>
      <c r="I746" s="473" t="s">
        <v>764</v>
      </c>
      <c r="J746" s="545" t="s">
        <v>310</v>
      </c>
      <c r="K746" s="415" t="s">
        <v>1220</v>
      </c>
      <c r="L746" s="415" t="s">
        <v>1281</v>
      </c>
      <c r="M746" s="546">
        <v>222026546730</v>
      </c>
      <c r="N746" s="414">
        <v>44600</v>
      </c>
      <c r="O746" s="414" t="s">
        <v>400</v>
      </c>
      <c r="P746" s="222">
        <f t="shared" si="45"/>
        <v>2</v>
      </c>
      <c r="Q746" s="222">
        <f t="shared" si="46"/>
        <v>0</v>
      </c>
      <c r="R746" s="532" t="str">
        <f t="shared" si="47"/>
        <v>Gastos_Gerais</v>
      </c>
      <c r="S746" s="467" t="s">
        <v>310</v>
      </c>
      <c r="T746" s="467" t="s">
        <v>310</v>
      </c>
      <c r="U746" s="496"/>
      <c r="V746" s="496"/>
      <c r="W746" s="496"/>
    </row>
    <row r="747" spans="1:23" ht="36" x14ac:dyDescent="0.2">
      <c r="A747" s="510">
        <f t="shared" si="44"/>
        <v>744</v>
      </c>
      <c r="B747" s="428">
        <v>44600</v>
      </c>
      <c r="C747" s="431">
        <v>44501</v>
      </c>
      <c r="D747" s="415" t="s">
        <v>271</v>
      </c>
      <c r="E747" s="415" t="s">
        <v>456</v>
      </c>
      <c r="F747" s="425">
        <v>45</v>
      </c>
      <c r="G747" s="427" t="s">
        <v>1375</v>
      </c>
      <c r="H747" s="415" t="s">
        <v>760</v>
      </c>
      <c r="I747" s="473" t="s">
        <v>764</v>
      </c>
      <c r="J747" s="545" t="s">
        <v>310</v>
      </c>
      <c r="K747" s="415" t="s">
        <v>1220</v>
      </c>
      <c r="L747" s="415" t="s">
        <v>1281</v>
      </c>
      <c r="M747" s="546">
        <v>222026547205</v>
      </c>
      <c r="N747" s="414">
        <v>44600</v>
      </c>
      <c r="O747" s="414" t="s">
        <v>400</v>
      </c>
      <c r="P747" s="222">
        <f t="shared" si="45"/>
        <v>2</v>
      </c>
      <c r="Q747" s="222">
        <f t="shared" si="46"/>
        <v>-1</v>
      </c>
      <c r="R747" s="532" t="str">
        <f t="shared" si="47"/>
        <v>Gastos_Gerais</v>
      </c>
      <c r="S747" s="467" t="s">
        <v>310</v>
      </c>
      <c r="T747" s="467" t="s">
        <v>310</v>
      </c>
      <c r="U747" s="496"/>
      <c r="V747" s="496"/>
      <c r="W747" s="496"/>
    </row>
    <row r="748" spans="1:23" ht="48" x14ac:dyDescent="0.2">
      <c r="A748" s="510">
        <f t="shared" si="44"/>
        <v>745</v>
      </c>
      <c r="B748" s="428">
        <v>44600</v>
      </c>
      <c r="C748" s="431">
        <v>44531</v>
      </c>
      <c r="D748" s="415" t="s">
        <v>271</v>
      </c>
      <c r="E748" s="415" t="s">
        <v>453</v>
      </c>
      <c r="F748" s="425">
        <v>120</v>
      </c>
      <c r="G748" s="427" t="s">
        <v>1342</v>
      </c>
      <c r="H748" s="415" t="s">
        <v>759</v>
      </c>
      <c r="I748" s="473" t="s">
        <v>764</v>
      </c>
      <c r="J748" s="545" t="s">
        <v>310</v>
      </c>
      <c r="K748" s="415" t="s">
        <v>1220</v>
      </c>
      <c r="L748" s="415" t="s">
        <v>1281</v>
      </c>
      <c r="M748" s="546">
        <v>222026548279</v>
      </c>
      <c r="N748" s="414">
        <v>44600</v>
      </c>
      <c r="O748" s="414" t="s">
        <v>400</v>
      </c>
      <c r="P748" s="222">
        <f t="shared" si="45"/>
        <v>2</v>
      </c>
      <c r="Q748" s="222">
        <f t="shared" si="46"/>
        <v>0</v>
      </c>
      <c r="R748" s="532" t="str">
        <f t="shared" si="47"/>
        <v>Gastos_Gerais</v>
      </c>
      <c r="S748" s="467" t="s">
        <v>310</v>
      </c>
      <c r="T748" s="467" t="s">
        <v>310</v>
      </c>
      <c r="U748" s="496"/>
      <c r="V748" s="496"/>
      <c r="W748" s="496"/>
    </row>
    <row r="749" spans="1:23" ht="48" x14ac:dyDescent="0.2">
      <c r="A749" s="510">
        <f t="shared" si="44"/>
        <v>746</v>
      </c>
      <c r="B749" s="428">
        <v>44600</v>
      </c>
      <c r="C749" s="431">
        <v>44501</v>
      </c>
      <c r="D749" s="415" t="s">
        <v>271</v>
      </c>
      <c r="E749" s="415" t="s">
        <v>90</v>
      </c>
      <c r="F749" s="425">
        <v>35</v>
      </c>
      <c r="G749" s="427" t="s">
        <v>1347</v>
      </c>
      <c r="H749" s="415" t="s">
        <v>759</v>
      </c>
      <c r="I749" s="473" t="s">
        <v>764</v>
      </c>
      <c r="J749" s="545" t="s">
        <v>310</v>
      </c>
      <c r="K749" s="415" t="s">
        <v>1220</v>
      </c>
      <c r="L749" s="415" t="s">
        <v>1281</v>
      </c>
      <c r="M749" s="546">
        <v>222026548864</v>
      </c>
      <c r="N749" s="414">
        <v>44600</v>
      </c>
      <c r="O749" s="414" t="s">
        <v>400</v>
      </c>
      <c r="P749" s="222">
        <f t="shared" si="45"/>
        <v>2</v>
      </c>
      <c r="Q749" s="222">
        <f t="shared" si="46"/>
        <v>-1</v>
      </c>
      <c r="R749" s="532" t="str">
        <f t="shared" si="47"/>
        <v>Gastos_Gerais</v>
      </c>
      <c r="S749" s="467" t="s">
        <v>310</v>
      </c>
      <c r="T749" s="467" t="s">
        <v>310</v>
      </c>
      <c r="U749" s="496"/>
      <c r="V749" s="496"/>
      <c r="W749" s="496"/>
    </row>
    <row r="750" spans="1:23" ht="24" x14ac:dyDescent="0.2">
      <c r="A750" s="510">
        <f t="shared" si="44"/>
        <v>747</v>
      </c>
      <c r="B750" s="428">
        <v>44600</v>
      </c>
      <c r="C750" s="431">
        <v>44562</v>
      </c>
      <c r="D750" s="415" t="s">
        <v>271</v>
      </c>
      <c r="E750" s="415" t="s">
        <v>466</v>
      </c>
      <c r="F750" s="425">
        <v>75</v>
      </c>
      <c r="G750" s="427" t="s">
        <v>1459</v>
      </c>
      <c r="H750" s="415" t="s">
        <v>752</v>
      </c>
      <c r="I750" s="473" t="s">
        <v>764</v>
      </c>
      <c r="J750" s="545" t="s">
        <v>310</v>
      </c>
      <c r="K750" s="415" t="s">
        <v>1220</v>
      </c>
      <c r="L750" s="415" t="s">
        <v>1281</v>
      </c>
      <c r="M750" s="546">
        <v>222026549593</v>
      </c>
      <c r="N750" s="414">
        <v>44600</v>
      </c>
      <c r="O750" s="414" t="s">
        <v>400</v>
      </c>
      <c r="P750" s="222">
        <f t="shared" si="45"/>
        <v>2</v>
      </c>
      <c r="Q750" s="222">
        <f t="shared" si="46"/>
        <v>1</v>
      </c>
      <c r="R750" s="532" t="str">
        <f t="shared" si="47"/>
        <v>Gastos_Gerais</v>
      </c>
      <c r="S750" s="467" t="s">
        <v>310</v>
      </c>
      <c r="T750" s="467" t="s">
        <v>310</v>
      </c>
      <c r="U750" s="496"/>
      <c r="V750" s="496"/>
      <c r="W750" s="496"/>
    </row>
    <row r="751" spans="1:23" ht="24" x14ac:dyDescent="0.2">
      <c r="A751" s="510">
        <f t="shared" si="44"/>
        <v>748</v>
      </c>
      <c r="B751" s="428">
        <v>44600</v>
      </c>
      <c r="C751" s="431">
        <v>44531</v>
      </c>
      <c r="D751" s="415" t="s">
        <v>271</v>
      </c>
      <c r="E751" s="415" t="s">
        <v>90</v>
      </c>
      <c r="F751" s="425">
        <v>3.6</v>
      </c>
      <c r="G751" s="427" t="s">
        <v>651</v>
      </c>
      <c r="H751" s="415" t="s">
        <v>750</v>
      </c>
      <c r="I751" s="473" t="s">
        <v>764</v>
      </c>
      <c r="J751" s="545" t="s">
        <v>310</v>
      </c>
      <c r="K751" s="415" t="s">
        <v>1220</v>
      </c>
      <c r="L751" s="415" t="s">
        <v>1281</v>
      </c>
      <c r="M751" s="546">
        <v>222026550095</v>
      </c>
      <c r="N751" s="414">
        <v>44600</v>
      </c>
      <c r="O751" s="414" t="s">
        <v>400</v>
      </c>
      <c r="P751" s="222">
        <f t="shared" si="45"/>
        <v>2</v>
      </c>
      <c r="Q751" s="222">
        <f t="shared" si="46"/>
        <v>0</v>
      </c>
      <c r="R751" s="532" t="str">
        <f t="shared" si="47"/>
        <v>Gastos_Gerais</v>
      </c>
      <c r="S751" s="467" t="s">
        <v>310</v>
      </c>
      <c r="T751" s="467" t="s">
        <v>310</v>
      </c>
      <c r="U751" s="496"/>
      <c r="V751" s="496"/>
      <c r="W751" s="496"/>
    </row>
    <row r="752" spans="1:23" ht="24" x14ac:dyDescent="0.2">
      <c r="A752" s="510">
        <f t="shared" si="44"/>
        <v>749</v>
      </c>
      <c r="B752" s="428">
        <v>44600</v>
      </c>
      <c r="C752" s="431">
        <v>44531</v>
      </c>
      <c r="D752" s="415" t="s">
        <v>271</v>
      </c>
      <c r="E752" s="415" t="s">
        <v>90</v>
      </c>
      <c r="F752" s="425">
        <v>71.05</v>
      </c>
      <c r="G752" s="427" t="s">
        <v>530</v>
      </c>
      <c r="H752" s="415" t="s">
        <v>309</v>
      </c>
      <c r="I752" s="473" t="s">
        <v>764</v>
      </c>
      <c r="J752" s="545" t="s">
        <v>310</v>
      </c>
      <c r="K752" s="415" t="s">
        <v>1220</v>
      </c>
      <c r="L752" s="415" t="s">
        <v>1281</v>
      </c>
      <c r="M752" s="546">
        <v>222026550176</v>
      </c>
      <c r="N752" s="414">
        <v>44600</v>
      </c>
      <c r="O752" s="414" t="s">
        <v>400</v>
      </c>
      <c r="P752" s="222">
        <f t="shared" si="45"/>
        <v>2</v>
      </c>
      <c r="Q752" s="222">
        <f t="shared" si="46"/>
        <v>0</v>
      </c>
      <c r="R752" s="532" t="str">
        <f t="shared" si="47"/>
        <v>Gastos_Gerais</v>
      </c>
      <c r="S752" s="467" t="s">
        <v>310</v>
      </c>
      <c r="T752" s="467" t="s">
        <v>310</v>
      </c>
      <c r="U752" s="496"/>
      <c r="V752" s="496"/>
      <c r="W752" s="496"/>
    </row>
    <row r="753" spans="1:23" ht="24" x14ac:dyDescent="0.2">
      <c r="A753" s="510">
        <f t="shared" si="44"/>
        <v>750</v>
      </c>
      <c r="B753" s="428">
        <v>44600</v>
      </c>
      <c r="C753" s="431">
        <v>44501</v>
      </c>
      <c r="D753" s="415" t="s">
        <v>271</v>
      </c>
      <c r="E753" s="415" t="s">
        <v>460</v>
      </c>
      <c r="F753" s="425">
        <v>162.6</v>
      </c>
      <c r="G753" s="427" t="s">
        <v>1651</v>
      </c>
      <c r="H753" s="415" t="s">
        <v>750</v>
      </c>
      <c r="I753" s="473" t="s">
        <v>764</v>
      </c>
      <c r="J753" s="545" t="s">
        <v>310</v>
      </c>
      <c r="K753" s="415" t="s">
        <v>1220</v>
      </c>
      <c r="L753" s="415" t="s">
        <v>1281</v>
      </c>
      <c r="M753" s="546">
        <v>222026550680</v>
      </c>
      <c r="N753" s="414">
        <v>44600</v>
      </c>
      <c r="O753" s="414" t="s">
        <v>400</v>
      </c>
      <c r="P753" s="222">
        <f t="shared" si="45"/>
        <v>2</v>
      </c>
      <c r="Q753" s="222">
        <f t="shared" si="46"/>
        <v>-1</v>
      </c>
      <c r="R753" s="532" t="str">
        <f t="shared" si="47"/>
        <v>Gastos_Gerais</v>
      </c>
      <c r="S753" s="467" t="s">
        <v>310</v>
      </c>
      <c r="T753" s="467" t="s">
        <v>310</v>
      </c>
      <c r="U753" s="496"/>
      <c r="V753" s="496"/>
      <c r="W753" s="496"/>
    </row>
    <row r="754" spans="1:23" ht="36" x14ac:dyDescent="0.2">
      <c r="A754" s="510">
        <f t="shared" si="44"/>
        <v>751</v>
      </c>
      <c r="B754" s="428">
        <v>44600</v>
      </c>
      <c r="C754" s="431">
        <v>44531</v>
      </c>
      <c r="D754" s="415" t="s">
        <v>271</v>
      </c>
      <c r="E754" s="415" t="s">
        <v>442</v>
      </c>
      <c r="F754" s="425">
        <v>69</v>
      </c>
      <c r="G754" s="427" t="s">
        <v>1279</v>
      </c>
      <c r="H754" s="415" t="s">
        <v>755</v>
      </c>
      <c r="I754" s="473" t="s">
        <v>764</v>
      </c>
      <c r="J754" s="545" t="s">
        <v>310</v>
      </c>
      <c r="K754" s="415" t="s">
        <v>1220</v>
      </c>
      <c r="L754" s="415" t="s">
        <v>1281</v>
      </c>
      <c r="M754" s="546">
        <v>222026551571</v>
      </c>
      <c r="N754" s="414">
        <v>44600</v>
      </c>
      <c r="O754" s="414" t="s">
        <v>400</v>
      </c>
      <c r="P754" s="222">
        <f t="shared" si="45"/>
        <v>2</v>
      </c>
      <c r="Q754" s="222">
        <f t="shared" si="46"/>
        <v>0</v>
      </c>
      <c r="R754" s="532" t="str">
        <f t="shared" si="47"/>
        <v>Gastos_Gerais</v>
      </c>
      <c r="S754" s="467" t="s">
        <v>310</v>
      </c>
      <c r="T754" s="467" t="s">
        <v>310</v>
      </c>
      <c r="U754" s="496"/>
      <c r="V754" s="496"/>
      <c r="W754" s="496"/>
    </row>
    <row r="755" spans="1:23" ht="24" x14ac:dyDescent="0.2">
      <c r="A755" s="510">
        <f t="shared" si="44"/>
        <v>752</v>
      </c>
      <c r="B755" s="428">
        <v>44600</v>
      </c>
      <c r="C755" s="431">
        <v>44531</v>
      </c>
      <c r="D755" s="415" t="s">
        <v>271</v>
      </c>
      <c r="E755" s="415" t="s">
        <v>90</v>
      </c>
      <c r="F755" s="425">
        <v>77.180000000000007</v>
      </c>
      <c r="G755" s="437" t="s">
        <v>487</v>
      </c>
      <c r="H755" s="415" t="s">
        <v>309</v>
      </c>
      <c r="I755" s="473" t="s">
        <v>764</v>
      </c>
      <c r="J755" s="545" t="s">
        <v>310</v>
      </c>
      <c r="K755" s="415" t="s">
        <v>1220</v>
      </c>
      <c r="L755" s="415" t="s">
        <v>1281</v>
      </c>
      <c r="M755" s="546">
        <v>222026552543</v>
      </c>
      <c r="N755" s="414">
        <v>44600</v>
      </c>
      <c r="O755" s="414" t="s">
        <v>400</v>
      </c>
      <c r="P755" s="222">
        <f t="shared" si="45"/>
        <v>2</v>
      </c>
      <c r="Q755" s="222">
        <f t="shared" si="46"/>
        <v>0</v>
      </c>
      <c r="R755" s="532" t="str">
        <f t="shared" si="47"/>
        <v>Gastos_Gerais</v>
      </c>
      <c r="S755" s="467" t="s">
        <v>310</v>
      </c>
      <c r="T755" s="467" t="s">
        <v>310</v>
      </c>
      <c r="U755" s="496"/>
      <c r="V755" s="496"/>
      <c r="W755" s="496"/>
    </row>
    <row r="756" spans="1:23" ht="24" x14ac:dyDescent="0.2">
      <c r="A756" s="510">
        <f t="shared" si="44"/>
        <v>753</v>
      </c>
      <c r="B756" s="428">
        <v>44600</v>
      </c>
      <c r="C756" s="431">
        <v>44531</v>
      </c>
      <c r="D756" s="415" t="s">
        <v>271</v>
      </c>
      <c r="E756" s="415" t="s">
        <v>446</v>
      </c>
      <c r="F756" s="425">
        <v>200</v>
      </c>
      <c r="G756" s="427" t="s">
        <v>1336</v>
      </c>
      <c r="H756" s="415" t="s">
        <v>752</v>
      </c>
      <c r="I756" s="473" t="s">
        <v>764</v>
      </c>
      <c r="J756" s="545" t="s">
        <v>310</v>
      </c>
      <c r="K756" s="415" t="s">
        <v>1220</v>
      </c>
      <c r="L756" s="415" t="s">
        <v>1281</v>
      </c>
      <c r="M756" s="546">
        <v>222026552977</v>
      </c>
      <c r="N756" s="414">
        <v>44600</v>
      </c>
      <c r="O756" s="414" t="s">
        <v>400</v>
      </c>
      <c r="P756" s="222">
        <f t="shared" si="45"/>
        <v>2</v>
      </c>
      <c r="Q756" s="222">
        <f t="shared" si="46"/>
        <v>0</v>
      </c>
      <c r="R756" s="532" t="str">
        <f t="shared" si="47"/>
        <v>Gastos_Gerais</v>
      </c>
      <c r="S756" s="467" t="s">
        <v>310</v>
      </c>
      <c r="T756" s="467" t="s">
        <v>310</v>
      </c>
      <c r="U756" s="496"/>
      <c r="V756" s="496"/>
      <c r="W756" s="496"/>
    </row>
    <row r="757" spans="1:23" ht="24" x14ac:dyDescent="0.2">
      <c r="A757" s="510">
        <f t="shared" si="44"/>
        <v>754</v>
      </c>
      <c r="B757" s="428">
        <v>44600</v>
      </c>
      <c r="C757" s="431">
        <v>44531</v>
      </c>
      <c r="D757" s="415" t="s">
        <v>271</v>
      </c>
      <c r="E757" s="415" t="s">
        <v>9</v>
      </c>
      <c r="F757" s="425">
        <v>93.72</v>
      </c>
      <c r="G757" s="437" t="s">
        <v>483</v>
      </c>
      <c r="H757" s="415" t="s">
        <v>309</v>
      </c>
      <c r="I757" s="473" t="s">
        <v>764</v>
      </c>
      <c r="J757" s="545" t="s">
        <v>310</v>
      </c>
      <c r="K757" s="415" t="s">
        <v>1220</v>
      </c>
      <c r="L757" s="415" t="s">
        <v>1281</v>
      </c>
      <c r="M757" s="439">
        <v>222026553434</v>
      </c>
      <c r="N757" s="414">
        <v>44600</v>
      </c>
      <c r="O757" s="414" t="s">
        <v>400</v>
      </c>
      <c r="P757" s="222">
        <f t="shared" si="45"/>
        <v>2</v>
      </c>
      <c r="Q757" s="222">
        <f t="shared" si="46"/>
        <v>0</v>
      </c>
      <c r="R757" s="532" t="str">
        <f t="shared" si="47"/>
        <v>Gastos_Gerais</v>
      </c>
      <c r="S757" s="467" t="s">
        <v>310</v>
      </c>
      <c r="T757" s="467" t="s">
        <v>310</v>
      </c>
      <c r="U757" s="496"/>
      <c r="V757" s="496"/>
      <c r="W757" s="496"/>
    </row>
    <row r="758" spans="1:23" ht="24" x14ac:dyDescent="0.2">
      <c r="A758" s="510">
        <f t="shared" si="44"/>
        <v>755</v>
      </c>
      <c r="B758" s="428">
        <v>44600</v>
      </c>
      <c r="C758" s="431">
        <v>44531</v>
      </c>
      <c r="D758" s="415" t="s">
        <v>271</v>
      </c>
      <c r="E758" s="415" t="s">
        <v>90</v>
      </c>
      <c r="F758" s="425">
        <v>150.75</v>
      </c>
      <c r="G758" s="437" t="s">
        <v>1351</v>
      </c>
      <c r="H758" s="415" t="s">
        <v>309</v>
      </c>
      <c r="I758" s="473" t="s">
        <v>764</v>
      </c>
      <c r="J758" s="545" t="s">
        <v>310</v>
      </c>
      <c r="K758" s="415" t="s">
        <v>1220</v>
      </c>
      <c r="L758" s="415" t="s">
        <v>1281</v>
      </c>
      <c r="M758" s="439">
        <v>222026553868</v>
      </c>
      <c r="N758" s="414">
        <v>44600</v>
      </c>
      <c r="O758" s="414" t="s">
        <v>400</v>
      </c>
      <c r="P758" s="222">
        <f t="shared" si="45"/>
        <v>2</v>
      </c>
      <c r="Q758" s="222">
        <f t="shared" si="46"/>
        <v>0</v>
      </c>
      <c r="R758" s="532" t="str">
        <f t="shared" si="47"/>
        <v>Gastos_Gerais</v>
      </c>
      <c r="S758" s="467" t="s">
        <v>310</v>
      </c>
      <c r="T758" s="467" t="s">
        <v>310</v>
      </c>
      <c r="U758" s="496"/>
      <c r="V758" s="496"/>
      <c r="W758" s="496"/>
    </row>
    <row r="759" spans="1:23" ht="36" x14ac:dyDescent="0.2">
      <c r="A759" s="510">
        <f t="shared" si="44"/>
        <v>756</v>
      </c>
      <c r="B759" s="428">
        <v>44600</v>
      </c>
      <c r="C759" s="431">
        <v>44531</v>
      </c>
      <c r="D759" s="415" t="s">
        <v>271</v>
      </c>
      <c r="E759" s="415" t="s">
        <v>456</v>
      </c>
      <c r="F759" s="425">
        <v>28</v>
      </c>
      <c r="G759" s="427" t="s">
        <v>617</v>
      </c>
      <c r="H759" s="415" t="s">
        <v>755</v>
      </c>
      <c r="I759" s="473" t="s">
        <v>764</v>
      </c>
      <c r="J759" s="545" t="s">
        <v>310</v>
      </c>
      <c r="K759" s="415" t="s">
        <v>1220</v>
      </c>
      <c r="L759" s="415" t="s">
        <v>1281</v>
      </c>
      <c r="M759" s="439">
        <v>222026554406</v>
      </c>
      <c r="N759" s="414">
        <v>44600</v>
      </c>
      <c r="O759" s="414" t="s">
        <v>400</v>
      </c>
      <c r="P759" s="222">
        <f t="shared" si="45"/>
        <v>2</v>
      </c>
      <c r="Q759" s="222">
        <f t="shared" si="46"/>
        <v>0</v>
      </c>
      <c r="R759" s="532" t="str">
        <f t="shared" si="47"/>
        <v>Gastos_Gerais</v>
      </c>
      <c r="S759" s="467" t="s">
        <v>310</v>
      </c>
      <c r="T759" s="467" t="s">
        <v>310</v>
      </c>
      <c r="U759" s="496"/>
      <c r="V759" s="496"/>
      <c r="W759" s="496"/>
    </row>
    <row r="760" spans="1:23" ht="24" x14ac:dyDescent="0.2">
      <c r="A760" s="510">
        <f t="shared" si="44"/>
        <v>757</v>
      </c>
      <c r="B760" s="428">
        <v>44600</v>
      </c>
      <c r="C760" s="431">
        <v>44531</v>
      </c>
      <c r="D760" s="415" t="s">
        <v>271</v>
      </c>
      <c r="E760" s="415" t="s">
        <v>90</v>
      </c>
      <c r="F760" s="435">
        <v>152.25</v>
      </c>
      <c r="G760" s="427" t="s">
        <v>1652</v>
      </c>
      <c r="H760" s="415" t="s">
        <v>309</v>
      </c>
      <c r="I760" s="473" t="s">
        <v>764</v>
      </c>
      <c r="J760" s="545" t="s">
        <v>310</v>
      </c>
      <c r="K760" s="415" t="s">
        <v>1220</v>
      </c>
      <c r="L760" s="415" t="s">
        <v>1281</v>
      </c>
      <c r="M760" s="546">
        <v>222026555216</v>
      </c>
      <c r="N760" s="414">
        <v>44600</v>
      </c>
      <c r="O760" s="414" t="s">
        <v>400</v>
      </c>
      <c r="P760" s="222">
        <f t="shared" si="45"/>
        <v>2</v>
      </c>
      <c r="Q760" s="222">
        <f t="shared" si="46"/>
        <v>0</v>
      </c>
      <c r="R760" s="532" t="str">
        <f t="shared" si="47"/>
        <v>Gastos_Gerais</v>
      </c>
      <c r="S760" s="467" t="s">
        <v>310</v>
      </c>
      <c r="T760" s="467" t="s">
        <v>310</v>
      </c>
      <c r="U760" s="496"/>
      <c r="V760" s="496"/>
      <c r="W760" s="496"/>
    </row>
    <row r="761" spans="1:23" ht="24" x14ac:dyDescent="0.2">
      <c r="A761" s="510">
        <f t="shared" si="44"/>
        <v>758</v>
      </c>
      <c r="B761" s="428">
        <v>44600</v>
      </c>
      <c r="C761" s="431">
        <v>44501</v>
      </c>
      <c r="D761" s="415" t="s">
        <v>271</v>
      </c>
      <c r="E761" s="415" t="s">
        <v>456</v>
      </c>
      <c r="F761" s="435">
        <v>35</v>
      </c>
      <c r="G761" s="427" t="s">
        <v>1309</v>
      </c>
      <c r="H761" s="415" t="s">
        <v>752</v>
      </c>
      <c r="I761" s="473" t="s">
        <v>764</v>
      </c>
      <c r="J761" s="545" t="s">
        <v>310</v>
      </c>
      <c r="K761" s="415" t="s">
        <v>1220</v>
      </c>
      <c r="L761" s="415" t="s">
        <v>1281</v>
      </c>
      <c r="M761" s="546">
        <v>222026556450</v>
      </c>
      <c r="N761" s="414">
        <v>44600</v>
      </c>
      <c r="O761" s="414" t="s">
        <v>400</v>
      </c>
      <c r="P761" s="222">
        <f t="shared" si="45"/>
        <v>2</v>
      </c>
      <c r="Q761" s="222">
        <f t="shared" si="46"/>
        <v>-1</v>
      </c>
      <c r="R761" s="532" t="str">
        <f t="shared" si="47"/>
        <v>Gastos_Gerais</v>
      </c>
      <c r="S761" s="467" t="s">
        <v>310</v>
      </c>
      <c r="T761" s="467" t="s">
        <v>310</v>
      </c>
      <c r="U761" s="496"/>
      <c r="V761" s="496"/>
      <c r="W761" s="496"/>
    </row>
    <row r="762" spans="1:23" ht="24" x14ac:dyDescent="0.2">
      <c r="A762" s="510">
        <f t="shared" si="44"/>
        <v>759</v>
      </c>
      <c r="B762" s="428">
        <v>44600</v>
      </c>
      <c r="C762" s="431">
        <v>44531</v>
      </c>
      <c r="D762" s="415" t="s">
        <v>271</v>
      </c>
      <c r="E762" s="415" t="s">
        <v>467</v>
      </c>
      <c r="F762" s="425">
        <v>140</v>
      </c>
      <c r="G762" s="427" t="s">
        <v>1504</v>
      </c>
      <c r="H762" s="415" t="s">
        <v>752</v>
      </c>
      <c r="I762" s="473" t="s">
        <v>764</v>
      </c>
      <c r="J762" s="545" t="s">
        <v>310</v>
      </c>
      <c r="K762" s="415" t="s">
        <v>1220</v>
      </c>
      <c r="L762" s="415" t="s">
        <v>1281</v>
      </c>
      <c r="M762" s="546">
        <v>222026556964</v>
      </c>
      <c r="N762" s="414">
        <v>44600</v>
      </c>
      <c r="O762" s="414" t="s">
        <v>400</v>
      </c>
      <c r="P762" s="222">
        <f t="shared" si="45"/>
        <v>2</v>
      </c>
      <c r="Q762" s="222">
        <f t="shared" si="46"/>
        <v>0</v>
      </c>
      <c r="R762" s="532" t="str">
        <f t="shared" si="47"/>
        <v>Gastos_Gerais</v>
      </c>
      <c r="S762" s="467" t="s">
        <v>310</v>
      </c>
      <c r="T762" s="467" t="s">
        <v>310</v>
      </c>
      <c r="U762" s="496"/>
      <c r="V762" s="496"/>
      <c r="W762" s="496"/>
    </row>
    <row r="763" spans="1:23" ht="36" x14ac:dyDescent="0.2">
      <c r="A763" s="510">
        <f t="shared" si="44"/>
        <v>760</v>
      </c>
      <c r="B763" s="428">
        <v>44600</v>
      </c>
      <c r="C763" s="431">
        <v>44531</v>
      </c>
      <c r="D763" s="415" t="s">
        <v>271</v>
      </c>
      <c r="E763" s="415" t="s">
        <v>186</v>
      </c>
      <c r="F763" s="425">
        <v>116.58</v>
      </c>
      <c r="G763" s="427" t="s">
        <v>1429</v>
      </c>
      <c r="H763" s="415" t="s">
        <v>751</v>
      </c>
      <c r="I763" s="473" t="s">
        <v>764</v>
      </c>
      <c r="J763" s="545" t="s">
        <v>310</v>
      </c>
      <c r="K763" s="415" t="s">
        <v>1220</v>
      </c>
      <c r="L763" s="415" t="s">
        <v>1281</v>
      </c>
      <c r="M763" s="546">
        <v>222026559122</v>
      </c>
      <c r="N763" s="414">
        <v>44600</v>
      </c>
      <c r="O763" s="414" t="s">
        <v>400</v>
      </c>
      <c r="P763" s="222">
        <f t="shared" si="45"/>
        <v>2</v>
      </c>
      <c r="Q763" s="222">
        <f t="shared" si="46"/>
        <v>0</v>
      </c>
      <c r="R763" s="532" t="str">
        <f t="shared" si="47"/>
        <v>Gastos_Gerais</v>
      </c>
      <c r="S763" s="467" t="s">
        <v>310</v>
      </c>
      <c r="T763" s="467" t="s">
        <v>310</v>
      </c>
      <c r="U763" s="496"/>
      <c r="V763" s="496"/>
      <c r="W763" s="496"/>
    </row>
    <row r="764" spans="1:23" ht="24" x14ac:dyDescent="0.2">
      <c r="A764" s="510">
        <f t="shared" si="44"/>
        <v>761</v>
      </c>
      <c r="B764" s="428">
        <v>44600</v>
      </c>
      <c r="C764" s="431">
        <v>44501</v>
      </c>
      <c r="D764" s="415" t="s">
        <v>271</v>
      </c>
      <c r="E764" s="415" t="s">
        <v>465</v>
      </c>
      <c r="F764" s="435">
        <v>9.68</v>
      </c>
      <c r="G764" s="427" t="s">
        <v>1466</v>
      </c>
      <c r="H764" s="415" t="s">
        <v>756</v>
      </c>
      <c r="I764" s="473" t="s">
        <v>764</v>
      </c>
      <c r="J764" s="545" t="s">
        <v>310</v>
      </c>
      <c r="K764" s="415" t="s">
        <v>1220</v>
      </c>
      <c r="L764" s="415" t="s">
        <v>1281</v>
      </c>
      <c r="M764" s="439">
        <v>222026560562</v>
      </c>
      <c r="N764" s="414">
        <v>44600</v>
      </c>
      <c r="O764" s="414" t="s">
        <v>400</v>
      </c>
      <c r="P764" s="222">
        <f t="shared" si="45"/>
        <v>2</v>
      </c>
      <c r="Q764" s="222">
        <f t="shared" si="46"/>
        <v>-1</v>
      </c>
      <c r="R764" s="532" t="str">
        <f t="shared" si="47"/>
        <v>Gastos_Gerais</v>
      </c>
      <c r="S764" s="467" t="s">
        <v>310</v>
      </c>
      <c r="T764" s="467" t="s">
        <v>310</v>
      </c>
      <c r="U764" s="496"/>
      <c r="V764" s="496"/>
      <c r="W764" s="496"/>
    </row>
    <row r="765" spans="1:23" ht="24" x14ac:dyDescent="0.2">
      <c r="A765" s="510">
        <f t="shared" si="44"/>
        <v>762</v>
      </c>
      <c r="B765" s="428">
        <v>44600</v>
      </c>
      <c r="C765" s="466">
        <v>44562</v>
      </c>
      <c r="D765" s="415" t="s">
        <v>271</v>
      </c>
      <c r="E765" s="415" t="s">
        <v>178</v>
      </c>
      <c r="F765" s="435">
        <v>9.5399999999999991</v>
      </c>
      <c r="G765" s="427" t="s">
        <v>1657</v>
      </c>
      <c r="H765" s="434" t="s">
        <v>309</v>
      </c>
      <c r="I765" s="473" t="s">
        <v>764</v>
      </c>
      <c r="J765" s="545" t="s">
        <v>310</v>
      </c>
      <c r="K765" s="415" t="s">
        <v>1220</v>
      </c>
      <c r="L765" s="415" t="s">
        <v>1281</v>
      </c>
      <c r="M765" s="439">
        <v>222026561968</v>
      </c>
      <c r="N765" s="414">
        <v>44600</v>
      </c>
      <c r="O765" s="414" t="s">
        <v>400</v>
      </c>
      <c r="P765" s="222">
        <f t="shared" si="45"/>
        <v>2</v>
      </c>
      <c r="Q765" s="222">
        <f t="shared" si="46"/>
        <v>1</v>
      </c>
      <c r="R765" s="532" t="str">
        <f t="shared" si="47"/>
        <v>Gastos_Gerais</v>
      </c>
      <c r="S765" s="467" t="s">
        <v>310</v>
      </c>
      <c r="T765" s="467" t="s">
        <v>310</v>
      </c>
      <c r="U765" s="496"/>
      <c r="V765" s="496"/>
      <c r="W765" s="496"/>
    </row>
    <row r="766" spans="1:23" ht="24" x14ac:dyDescent="0.2">
      <c r="A766" s="510">
        <f t="shared" si="44"/>
        <v>763</v>
      </c>
      <c r="B766" s="428">
        <v>44600</v>
      </c>
      <c r="C766" s="431">
        <v>44562</v>
      </c>
      <c r="D766" s="415" t="s">
        <v>271</v>
      </c>
      <c r="E766" s="415" t="s">
        <v>297</v>
      </c>
      <c r="F766" s="435">
        <v>114.55</v>
      </c>
      <c r="G766" s="427" t="s">
        <v>1334</v>
      </c>
      <c r="H766" s="415" t="s">
        <v>752</v>
      </c>
      <c r="I766" s="473" t="s">
        <v>764</v>
      </c>
      <c r="J766" s="545" t="s">
        <v>310</v>
      </c>
      <c r="K766" s="415" t="s">
        <v>1220</v>
      </c>
      <c r="L766" s="415" t="s">
        <v>1281</v>
      </c>
      <c r="M766" s="546">
        <v>222026562182</v>
      </c>
      <c r="N766" s="414">
        <v>44600</v>
      </c>
      <c r="O766" s="414" t="s">
        <v>400</v>
      </c>
      <c r="P766" s="222">
        <f t="shared" si="45"/>
        <v>2</v>
      </c>
      <c r="Q766" s="222">
        <f t="shared" si="46"/>
        <v>1</v>
      </c>
      <c r="R766" s="532" t="str">
        <f t="shared" si="47"/>
        <v>Gastos_Gerais</v>
      </c>
      <c r="S766" s="467" t="s">
        <v>310</v>
      </c>
      <c r="T766" s="467" t="s">
        <v>310</v>
      </c>
      <c r="U766" s="496"/>
      <c r="V766" s="496"/>
      <c r="W766" s="496"/>
    </row>
    <row r="767" spans="1:23" ht="48" x14ac:dyDescent="0.2">
      <c r="A767" s="510">
        <f t="shared" si="44"/>
        <v>764</v>
      </c>
      <c r="B767" s="428">
        <v>44600</v>
      </c>
      <c r="C767" s="431">
        <v>44562</v>
      </c>
      <c r="D767" s="415" t="s">
        <v>271</v>
      </c>
      <c r="E767" s="415" t="s">
        <v>88</v>
      </c>
      <c r="F767" s="435">
        <v>30</v>
      </c>
      <c r="G767" s="427" t="s">
        <v>1658</v>
      </c>
      <c r="H767" s="415" t="s">
        <v>759</v>
      </c>
      <c r="I767" s="473" t="s">
        <v>764</v>
      </c>
      <c r="J767" s="545" t="s">
        <v>310</v>
      </c>
      <c r="K767" s="415" t="s">
        <v>1220</v>
      </c>
      <c r="L767" s="415" t="s">
        <v>1281</v>
      </c>
      <c r="M767" s="546">
        <v>222026562859</v>
      </c>
      <c r="N767" s="414">
        <v>44600</v>
      </c>
      <c r="O767" s="414" t="s">
        <v>400</v>
      </c>
      <c r="P767" s="222">
        <f t="shared" si="45"/>
        <v>2</v>
      </c>
      <c r="Q767" s="222">
        <f t="shared" si="46"/>
        <v>1</v>
      </c>
      <c r="R767" s="532" t="str">
        <f t="shared" si="47"/>
        <v>Gastos_Gerais</v>
      </c>
      <c r="S767" s="467" t="s">
        <v>310</v>
      </c>
      <c r="T767" s="467" t="s">
        <v>310</v>
      </c>
      <c r="U767" s="496"/>
      <c r="V767" s="496"/>
      <c r="W767" s="496"/>
    </row>
    <row r="768" spans="1:23" ht="24" x14ac:dyDescent="0.2">
      <c r="A768" s="510">
        <f t="shared" si="44"/>
        <v>765</v>
      </c>
      <c r="B768" s="428">
        <v>44600</v>
      </c>
      <c r="C768" s="433">
        <v>44562</v>
      </c>
      <c r="D768" s="434" t="s">
        <v>182</v>
      </c>
      <c r="E768" s="434" t="s">
        <v>179</v>
      </c>
      <c r="F768" s="425">
        <v>10.63</v>
      </c>
      <c r="G768" s="437" t="s">
        <v>1535</v>
      </c>
      <c r="H768" s="434" t="s">
        <v>310</v>
      </c>
      <c r="I768" s="473" t="s">
        <v>764</v>
      </c>
      <c r="J768" s="545" t="s">
        <v>310</v>
      </c>
      <c r="K768" s="415" t="s">
        <v>1220</v>
      </c>
      <c r="L768" s="415" t="s">
        <v>1281</v>
      </c>
      <c r="M768" s="546">
        <v>222026572730</v>
      </c>
      <c r="N768" s="414">
        <v>44600</v>
      </c>
      <c r="O768" s="414" t="s">
        <v>400</v>
      </c>
      <c r="P768" s="222">
        <f t="shared" si="45"/>
        <v>2</v>
      </c>
      <c r="Q768" s="222">
        <f t="shared" si="46"/>
        <v>1</v>
      </c>
      <c r="R768" s="532" t="str">
        <f t="shared" si="47"/>
        <v>Gastos_com_Pessoal</v>
      </c>
      <c r="S768" s="467" t="s">
        <v>310</v>
      </c>
      <c r="T768" s="467" t="s">
        <v>310</v>
      </c>
      <c r="U768" s="496"/>
      <c r="V768" s="496"/>
      <c r="W768" s="496"/>
    </row>
    <row r="769" spans="1:23" ht="24" x14ac:dyDescent="0.2">
      <c r="A769" s="510">
        <f t="shared" si="44"/>
        <v>766</v>
      </c>
      <c r="B769" s="428">
        <v>44600</v>
      </c>
      <c r="C769" s="433">
        <v>44562</v>
      </c>
      <c r="D769" s="434" t="s">
        <v>182</v>
      </c>
      <c r="E769" s="434" t="s">
        <v>179</v>
      </c>
      <c r="F769" s="425">
        <v>18.55</v>
      </c>
      <c r="G769" s="437" t="s">
        <v>1527</v>
      </c>
      <c r="H769" s="434" t="s">
        <v>310</v>
      </c>
      <c r="I769" s="473" t="s">
        <v>764</v>
      </c>
      <c r="J769" s="545" t="s">
        <v>310</v>
      </c>
      <c r="K769" s="415" t="s">
        <v>1220</v>
      </c>
      <c r="L769" s="415" t="s">
        <v>1281</v>
      </c>
      <c r="M769" s="546">
        <v>222026572811</v>
      </c>
      <c r="N769" s="414">
        <v>44600</v>
      </c>
      <c r="O769" s="414" t="s">
        <v>400</v>
      </c>
      <c r="P769" s="222">
        <f t="shared" si="45"/>
        <v>2</v>
      </c>
      <c r="Q769" s="222">
        <f t="shared" si="46"/>
        <v>1</v>
      </c>
      <c r="R769" s="532" t="str">
        <f t="shared" si="47"/>
        <v>Gastos_com_Pessoal</v>
      </c>
      <c r="S769" s="467" t="s">
        <v>310</v>
      </c>
      <c r="T769" s="467" t="s">
        <v>310</v>
      </c>
      <c r="U769" s="496"/>
      <c r="V769" s="496"/>
      <c r="W769" s="496"/>
    </row>
    <row r="770" spans="1:23" ht="24" x14ac:dyDescent="0.2">
      <c r="A770" s="510">
        <f t="shared" si="44"/>
        <v>767</v>
      </c>
      <c r="B770" s="428">
        <v>44600</v>
      </c>
      <c r="C770" s="433">
        <v>44562</v>
      </c>
      <c r="D770" s="415" t="s">
        <v>182</v>
      </c>
      <c r="E770" s="415" t="s">
        <v>161</v>
      </c>
      <c r="F770" s="425">
        <v>0.05</v>
      </c>
      <c r="G770" s="427" t="s">
        <v>1659</v>
      </c>
      <c r="H770" s="434" t="s">
        <v>310</v>
      </c>
      <c r="I770" s="473" t="s">
        <v>764</v>
      </c>
      <c r="J770" s="545" t="s">
        <v>310</v>
      </c>
      <c r="K770" s="415" t="s">
        <v>1220</v>
      </c>
      <c r="L770" s="415" t="s">
        <v>1281</v>
      </c>
      <c r="M770" s="546">
        <v>222026573621</v>
      </c>
      <c r="N770" s="414">
        <v>44600</v>
      </c>
      <c r="O770" s="414" t="s">
        <v>400</v>
      </c>
      <c r="P770" s="222">
        <f t="shared" si="45"/>
        <v>2</v>
      </c>
      <c r="Q770" s="222">
        <f t="shared" si="46"/>
        <v>1</v>
      </c>
      <c r="R770" s="532" t="str">
        <f t="shared" si="47"/>
        <v>Gastos_com_Pessoal</v>
      </c>
      <c r="S770" s="467" t="s">
        <v>310</v>
      </c>
      <c r="T770" s="467" t="s">
        <v>310</v>
      </c>
      <c r="U770" s="496"/>
      <c r="V770" s="496"/>
      <c r="W770" s="496"/>
    </row>
    <row r="771" spans="1:23" ht="24" x14ac:dyDescent="0.2">
      <c r="A771" s="510">
        <f t="shared" si="44"/>
        <v>768</v>
      </c>
      <c r="B771" s="428">
        <v>44600</v>
      </c>
      <c r="C771" s="433">
        <v>44562</v>
      </c>
      <c r="D771" s="415" t="s">
        <v>182</v>
      </c>
      <c r="E771" s="415" t="s">
        <v>161</v>
      </c>
      <c r="F771" s="425">
        <v>0.09</v>
      </c>
      <c r="G771" s="427" t="s">
        <v>1660</v>
      </c>
      <c r="H771" s="434" t="s">
        <v>310</v>
      </c>
      <c r="I771" s="473" t="s">
        <v>764</v>
      </c>
      <c r="J771" s="545" t="s">
        <v>310</v>
      </c>
      <c r="K771" s="415" t="s">
        <v>1220</v>
      </c>
      <c r="L771" s="415" t="s">
        <v>1281</v>
      </c>
      <c r="M771" s="546">
        <v>222026574512</v>
      </c>
      <c r="N771" s="414">
        <v>44600</v>
      </c>
      <c r="O771" s="414" t="s">
        <v>400</v>
      </c>
      <c r="P771" s="222">
        <f t="shared" si="45"/>
        <v>2</v>
      </c>
      <c r="Q771" s="222">
        <f t="shared" si="46"/>
        <v>1</v>
      </c>
      <c r="R771" s="532" t="str">
        <f t="shared" si="47"/>
        <v>Gastos_com_Pessoal</v>
      </c>
      <c r="S771" s="467" t="s">
        <v>310</v>
      </c>
      <c r="T771" s="467" t="s">
        <v>310</v>
      </c>
      <c r="U771" s="496"/>
      <c r="V771" s="496"/>
      <c r="W771" s="496"/>
    </row>
    <row r="772" spans="1:23" ht="24" x14ac:dyDescent="0.2">
      <c r="A772" s="510">
        <f t="shared" si="44"/>
        <v>769</v>
      </c>
      <c r="B772" s="428">
        <v>44600</v>
      </c>
      <c r="C772" s="424">
        <v>44531</v>
      </c>
      <c r="D772" s="415" t="s">
        <v>182</v>
      </c>
      <c r="E772" s="415" t="s">
        <v>1</v>
      </c>
      <c r="F772" s="425">
        <v>12.02</v>
      </c>
      <c r="G772" s="427" t="s">
        <v>1663</v>
      </c>
      <c r="H772" s="434" t="s">
        <v>310</v>
      </c>
      <c r="I772" s="473" t="s">
        <v>764</v>
      </c>
      <c r="J772" s="545" t="s">
        <v>310</v>
      </c>
      <c r="K772" s="415" t="s">
        <v>1220</v>
      </c>
      <c r="L772" s="415" t="s">
        <v>1281</v>
      </c>
      <c r="M772" s="546">
        <v>222026574784</v>
      </c>
      <c r="N772" s="414">
        <v>44600</v>
      </c>
      <c r="O772" s="414" t="s">
        <v>400</v>
      </c>
      <c r="P772" s="222">
        <f t="shared" si="45"/>
        <v>2</v>
      </c>
      <c r="Q772" s="222">
        <f t="shared" si="46"/>
        <v>0</v>
      </c>
      <c r="R772" s="532" t="str">
        <f t="shared" si="47"/>
        <v>Gastos_com_Pessoal</v>
      </c>
      <c r="S772" s="467" t="s">
        <v>310</v>
      </c>
      <c r="T772" s="467" t="s">
        <v>310</v>
      </c>
      <c r="U772" s="496"/>
      <c r="V772" s="496"/>
      <c r="W772" s="496"/>
    </row>
    <row r="773" spans="1:23" ht="24" x14ac:dyDescent="0.2">
      <c r="A773" s="510">
        <f t="shared" ref="A773:A836" si="48">IF(B773="","",ROW()-ROW($A$3))</f>
        <v>770</v>
      </c>
      <c r="B773" s="428">
        <v>44600</v>
      </c>
      <c r="C773" s="431">
        <v>44562</v>
      </c>
      <c r="D773" s="415" t="s">
        <v>182</v>
      </c>
      <c r="E773" s="415" t="s">
        <v>161</v>
      </c>
      <c r="F773" s="425">
        <v>0.12</v>
      </c>
      <c r="G773" s="427" t="s">
        <v>1661</v>
      </c>
      <c r="H773" s="415" t="s">
        <v>310</v>
      </c>
      <c r="I773" s="473" t="s">
        <v>764</v>
      </c>
      <c r="J773" s="545" t="s">
        <v>310</v>
      </c>
      <c r="K773" s="415" t="s">
        <v>1220</v>
      </c>
      <c r="L773" s="415" t="s">
        <v>1281</v>
      </c>
      <c r="M773" s="546">
        <v>222026575160</v>
      </c>
      <c r="N773" s="414">
        <v>44600</v>
      </c>
      <c r="O773" s="414" t="s">
        <v>400</v>
      </c>
      <c r="P773" s="222">
        <f t="shared" ref="P773:P836" si="49">IF(B773=0,0,IF(YEAR(B773)=$Q$1,MONTH(B773)-$P$1+1,(YEAR(B773)-$Q$1)*12-$P$1+1+MONTH(B773)))</f>
        <v>2</v>
      </c>
      <c r="Q773" s="222">
        <f t="shared" ref="Q773:Q836" si="50">IF(C773=0,0,IF(YEAR(C773)=$Q$1,MONTH(C773)-$P$1+1,(YEAR(C773)-$Q$1)*12-$P$1+1+MONTH(C773)))</f>
        <v>1</v>
      </c>
      <c r="R773" s="532" t="str">
        <f t="shared" ref="R773:R836" si="51">SUBSTITUTE(D773," ","_")</f>
        <v>Gastos_com_Pessoal</v>
      </c>
      <c r="S773" s="467" t="s">
        <v>310</v>
      </c>
      <c r="T773" s="467" t="s">
        <v>310</v>
      </c>
      <c r="U773" s="496"/>
      <c r="V773" s="496"/>
      <c r="W773" s="496"/>
    </row>
    <row r="774" spans="1:23" ht="24" x14ac:dyDescent="0.2">
      <c r="A774" s="510">
        <f t="shared" si="48"/>
        <v>771</v>
      </c>
      <c r="B774" s="428">
        <v>44600</v>
      </c>
      <c r="C774" s="424">
        <v>44593</v>
      </c>
      <c r="D774" s="415" t="s">
        <v>182</v>
      </c>
      <c r="E774" s="415" t="s">
        <v>325</v>
      </c>
      <c r="F774" s="425">
        <v>209.62</v>
      </c>
      <c r="G774" s="427" t="s">
        <v>1662</v>
      </c>
      <c r="H774" s="434" t="s">
        <v>310</v>
      </c>
      <c r="I774" s="473" t="s">
        <v>764</v>
      </c>
      <c r="J774" s="545" t="s">
        <v>310</v>
      </c>
      <c r="K774" s="415" t="s">
        <v>1220</v>
      </c>
      <c r="L774" s="415" t="s">
        <v>1281</v>
      </c>
      <c r="M774" s="546">
        <v>222026575675</v>
      </c>
      <c r="N774" s="414">
        <v>44600</v>
      </c>
      <c r="O774" s="414" t="s">
        <v>400</v>
      </c>
      <c r="P774" s="222">
        <f t="shared" si="49"/>
        <v>2</v>
      </c>
      <c r="Q774" s="222">
        <f t="shared" si="50"/>
        <v>2</v>
      </c>
      <c r="R774" s="532" t="str">
        <f t="shared" si="51"/>
        <v>Gastos_com_Pessoal</v>
      </c>
      <c r="S774" s="467" t="s">
        <v>310</v>
      </c>
      <c r="T774" s="467" t="s">
        <v>310</v>
      </c>
      <c r="U774" s="496"/>
      <c r="V774" s="496"/>
      <c r="W774" s="496"/>
    </row>
    <row r="775" spans="1:23" ht="156" x14ac:dyDescent="0.2">
      <c r="A775" s="510">
        <f t="shared" si="48"/>
        <v>772</v>
      </c>
      <c r="B775" s="428">
        <v>44600</v>
      </c>
      <c r="C775" s="431">
        <v>44562</v>
      </c>
      <c r="D775" s="415" t="s">
        <v>271</v>
      </c>
      <c r="E775" s="415" t="s">
        <v>90</v>
      </c>
      <c r="F775" s="435">
        <v>2000</v>
      </c>
      <c r="G775" s="427" t="s">
        <v>656</v>
      </c>
      <c r="H775" s="415" t="s">
        <v>760</v>
      </c>
      <c r="I775" s="473" t="s">
        <v>1656</v>
      </c>
      <c r="J775" s="434" t="s">
        <v>1655</v>
      </c>
      <c r="K775" s="434" t="s">
        <v>830</v>
      </c>
      <c r="L775" s="434" t="s">
        <v>807</v>
      </c>
      <c r="M775" s="434" t="s">
        <v>1608</v>
      </c>
      <c r="N775" s="455">
        <v>44600</v>
      </c>
      <c r="O775" s="414" t="s">
        <v>400</v>
      </c>
      <c r="P775" s="222">
        <f t="shared" si="49"/>
        <v>2</v>
      </c>
      <c r="Q775" s="222">
        <f t="shared" si="50"/>
        <v>1</v>
      </c>
      <c r="R775" s="532" t="str">
        <f t="shared" si="51"/>
        <v>Gastos_Gerais</v>
      </c>
      <c r="S775" s="467" t="s">
        <v>1000</v>
      </c>
      <c r="T775" s="467">
        <v>2711</v>
      </c>
      <c r="U775" s="496"/>
      <c r="V775" s="496"/>
      <c r="W775" s="496"/>
    </row>
    <row r="776" spans="1:23" ht="24" x14ac:dyDescent="0.2">
      <c r="A776" s="510">
        <f t="shared" si="48"/>
        <v>773</v>
      </c>
      <c r="B776" s="428">
        <v>44600</v>
      </c>
      <c r="C776" s="424">
        <v>44593</v>
      </c>
      <c r="D776" s="415" t="s">
        <v>271</v>
      </c>
      <c r="E776" s="415" t="s">
        <v>71</v>
      </c>
      <c r="F776" s="425">
        <v>10.45</v>
      </c>
      <c r="G776" s="427" t="s">
        <v>1653</v>
      </c>
      <c r="H776" s="415" t="s">
        <v>310</v>
      </c>
      <c r="I776" s="398" t="s">
        <v>881</v>
      </c>
      <c r="J776" s="418" t="s">
        <v>882</v>
      </c>
      <c r="K776" s="418" t="s">
        <v>883</v>
      </c>
      <c r="L776" s="399" t="s">
        <v>798</v>
      </c>
      <c r="M776" s="544" t="s">
        <v>310</v>
      </c>
      <c r="N776" s="414">
        <v>44600</v>
      </c>
      <c r="O776" s="414" t="s">
        <v>400</v>
      </c>
      <c r="P776" s="222">
        <f t="shared" si="49"/>
        <v>2</v>
      </c>
      <c r="Q776" s="222">
        <f t="shared" si="50"/>
        <v>2</v>
      </c>
      <c r="R776" s="532" t="str">
        <f t="shared" si="51"/>
        <v>Gastos_Gerais</v>
      </c>
      <c r="S776" s="467" t="s">
        <v>310</v>
      </c>
      <c r="T776" s="467" t="s">
        <v>310</v>
      </c>
      <c r="U776" s="496"/>
      <c r="V776" s="496"/>
      <c r="W776" s="496"/>
    </row>
    <row r="777" spans="1:23" ht="36" x14ac:dyDescent="0.2">
      <c r="A777" s="510">
        <f t="shared" si="48"/>
        <v>774</v>
      </c>
      <c r="B777" s="428">
        <v>44600</v>
      </c>
      <c r="C777" s="424">
        <v>44593</v>
      </c>
      <c r="D777" s="415" t="s">
        <v>271</v>
      </c>
      <c r="E777" s="415" t="s">
        <v>71</v>
      </c>
      <c r="F777" s="425">
        <v>10.45</v>
      </c>
      <c r="G777" s="427" t="s">
        <v>1654</v>
      </c>
      <c r="H777" s="415" t="s">
        <v>751</v>
      </c>
      <c r="I777" s="398" t="s">
        <v>881</v>
      </c>
      <c r="J777" s="418" t="s">
        <v>882</v>
      </c>
      <c r="K777" s="418" t="s">
        <v>883</v>
      </c>
      <c r="L777" s="399" t="s">
        <v>798</v>
      </c>
      <c r="M777" s="544" t="s">
        <v>310</v>
      </c>
      <c r="N777" s="414">
        <v>44600</v>
      </c>
      <c r="O777" s="414" t="s">
        <v>400</v>
      </c>
      <c r="P777" s="222">
        <f t="shared" si="49"/>
        <v>2</v>
      </c>
      <c r="Q777" s="222">
        <f t="shared" si="50"/>
        <v>2</v>
      </c>
      <c r="R777" s="532" t="str">
        <f t="shared" si="51"/>
        <v>Gastos_Gerais</v>
      </c>
      <c r="S777" s="467" t="s">
        <v>310</v>
      </c>
      <c r="T777" s="467" t="s">
        <v>310</v>
      </c>
      <c r="U777" s="496"/>
      <c r="V777" s="496"/>
      <c r="W777" s="496"/>
    </row>
    <row r="778" spans="1:23" ht="48" x14ac:dyDescent="0.2">
      <c r="A778" s="510">
        <f t="shared" si="48"/>
        <v>775</v>
      </c>
      <c r="B778" s="428">
        <v>44600</v>
      </c>
      <c r="C778" s="431">
        <v>44531</v>
      </c>
      <c r="D778" s="415" t="s">
        <v>468</v>
      </c>
      <c r="E778" s="415" t="s">
        <v>468</v>
      </c>
      <c r="F778" s="425">
        <v>75</v>
      </c>
      <c r="G778" s="427" t="s">
        <v>2359</v>
      </c>
      <c r="H778" s="415" t="s">
        <v>468</v>
      </c>
      <c r="I778" s="398" t="s">
        <v>764</v>
      </c>
      <c r="J778" s="418" t="s">
        <v>310</v>
      </c>
      <c r="K778" s="418" t="s">
        <v>1220</v>
      </c>
      <c r="L778" s="399" t="s">
        <v>1281</v>
      </c>
      <c r="M778" s="544" t="s">
        <v>2361</v>
      </c>
      <c r="N778" s="414">
        <v>44600</v>
      </c>
      <c r="O778" s="414" t="s">
        <v>403</v>
      </c>
      <c r="P778" s="222">
        <f t="shared" si="49"/>
        <v>2</v>
      </c>
      <c r="Q778" s="222">
        <f t="shared" si="50"/>
        <v>0</v>
      </c>
      <c r="R778" s="532" t="str">
        <f t="shared" si="51"/>
        <v>Gastos_custeados_por_captação</v>
      </c>
      <c r="S778" s="467" t="s">
        <v>310</v>
      </c>
      <c r="T778" s="467" t="s">
        <v>310</v>
      </c>
      <c r="U778" s="496"/>
      <c r="V778" s="496"/>
      <c r="W778" s="496"/>
    </row>
    <row r="779" spans="1:23" ht="36" x14ac:dyDescent="0.2">
      <c r="A779" s="510">
        <f t="shared" si="48"/>
        <v>776</v>
      </c>
      <c r="B779" s="428">
        <v>44600</v>
      </c>
      <c r="C779" s="431">
        <v>44562</v>
      </c>
      <c r="D779" s="415" t="s">
        <v>468</v>
      </c>
      <c r="E779" s="415" t="s">
        <v>468</v>
      </c>
      <c r="F779" s="459">
        <v>75</v>
      </c>
      <c r="G779" s="399" t="s">
        <v>2470</v>
      </c>
      <c r="H779" s="415" t="s">
        <v>468</v>
      </c>
      <c r="I779" s="398" t="s">
        <v>764</v>
      </c>
      <c r="J779" s="418" t="s">
        <v>310</v>
      </c>
      <c r="K779" s="418" t="s">
        <v>1220</v>
      </c>
      <c r="L779" s="399" t="s">
        <v>1281</v>
      </c>
      <c r="M779" s="464">
        <v>222027162021</v>
      </c>
      <c r="N779" s="414">
        <v>44600</v>
      </c>
      <c r="O779" s="414" t="s">
        <v>408</v>
      </c>
      <c r="P779" s="222">
        <f t="shared" si="49"/>
        <v>2</v>
      </c>
      <c r="Q779" s="222">
        <f t="shared" si="50"/>
        <v>1</v>
      </c>
      <c r="R779" s="532" t="str">
        <f t="shared" si="51"/>
        <v>Gastos_custeados_por_captação</v>
      </c>
      <c r="S779" s="467" t="s">
        <v>310</v>
      </c>
      <c r="T779" s="467" t="s">
        <v>310</v>
      </c>
      <c r="U779" s="496"/>
      <c r="V779" s="496"/>
      <c r="W779" s="496"/>
    </row>
    <row r="780" spans="1:23" ht="36" x14ac:dyDescent="0.2">
      <c r="A780" s="510">
        <f t="shared" si="48"/>
        <v>777</v>
      </c>
      <c r="B780" s="428">
        <v>44600</v>
      </c>
      <c r="C780" s="431">
        <v>44562</v>
      </c>
      <c r="D780" s="415" t="s">
        <v>468</v>
      </c>
      <c r="E780" s="415" t="s">
        <v>468</v>
      </c>
      <c r="F780" s="459">
        <v>125</v>
      </c>
      <c r="G780" s="399" t="s">
        <v>2471</v>
      </c>
      <c r="H780" s="415" t="s">
        <v>468</v>
      </c>
      <c r="I780" s="398" t="s">
        <v>764</v>
      </c>
      <c r="J780" s="418" t="s">
        <v>310</v>
      </c>
      <c r="K780" s="418" t="s">
        <v>1220</v>
      </c>
      <c r="L780" s="399" t="s">
        <v>1281</v>
      </c>
      <c r="M780" s="464">
        <v>222027161998</v>
      </c>
      <c r="N780" s="414">
        <v>44600</v>
      </c>
      <c r="O780" s="414" t="s">
        <v>408</v>
      </c>
      <c r="P780" s="222">
        <f t="shared" si="49"/>
        <v>2</v>
      </c>
      <c r="Q780" s="222">
        <f t="shared" si="50"/>
        <v>1</v>
      </c>
      <c r="R780" s="532" t="str">
        <f t="shared" si="51"/>
        <v>Gastos_custeados_por_captação</v>
      </c>
      <c r="S780" s="467" t="s">
        <v>310</v>
      </c>
      <c r="T780" s="467" t="s">
        <v>310</v>
      </c>
      <c r="U780" s="496"/>
      <c r="V780" s="496"/>
      <c r="W780" s="496"/>
    </row>
    <row r="781" spans="1:23" ht="36" x14ac:dyDescent="0.2">
      <c r="A781" s="510">
        <f t="shared" si="48"/>
        <v>778</v>
      </c>
      <c r="B781" s="428">
        <v>44600</v>
      </c>
      <c r="C781" s="431">
        <v>44562</v>
      </c>
      <c r="D781" s="415" t="s">
        <v>468</v>
      </c>
      <c r="E781" s="415" t="s">
        <v>468</v>
      </c>
      <c r="F781" s="459">
        <v>50</v>
      </c>
      <c r="G781" s="399" t="s">
        <v>2472</v>
      </c>
      <c r="H781" s="415" t="s">
        <v>468</v>
      </c>
      <c r="I781" s="398" t="s">
        <v>764</v>
      </c>
      <c r="J781" s="418" t="s">
        <v>310</v>
      </c>
      <c r="K781" s="418" t="s">
        <v>1220</v>
      </c>
      <c r="L781" s="399" t="s">
        <v>1281</v>
      </c>
      <c r="M781" s="464">
        <v>222027162102</v>
      </c>
      <c r="N781" s="414">
        <v>44600</v>
      </c>
      <c r="O781" s="414" t="s">
        <v>408</v>
      </c>
      <c r="P781" s="222">
        <f t="shared" si="49"/>
        <v>2</v>
      </c>
      <c r="Q781" s="222">
        <f t="shared" si="50"/>
        <v>1</v>
      </c>
      <c r="R781" s="532" t="str">
        <f t="shared" si="51"/>
        <v>Gastos_custeados_por_captação</v>
      </c>
      <c r="S781" s="467" t="s">
        <v>310</v>
      </c>
      <c r="T781" s="467" t="s">
        <v>310</v>
      </c>
      <c r="U781" s="496"/>
      <c r="V781" s="496"/>
      <c r="W781" s="496"/>
    </row>
    <row r="782" spans="1:23" ht="36" x14ac:dyDescent="0.2">
      <c r="A782" s="510">
        <f t="shared" si="48"/>
        <v>779</v>
      </c>
      <c r="B782" s="428">
        <v>44600</v>
      </c>
      <c r="C782" s="431">
        <v>44562</v>
      </c>
      <c r="D782" s="415" t="s">
        <v>468</v>
      </c>
      <c r="E782" s="415" t="s">
        <v>468</v>
      </c>
      <c r="F782" s="459">
        <v>157.5</v>
      </c>
      <c r="G782" s="399" t="s">
        <v>2473</v>
      </c>
      <c r="H782" s="415" t="s">
        <v>468</v>
      </c>
      <c r="I782" s="398" t="s">
        <v>764</v>
      </c>
      <c r="J782" s="418" t="s">
        <v>310</v>
      </c>
      <c r="K782" s="418" t="s">
        <v>1220</v>
      </c>
      <c r="L782" s="399" t="s">
        <v>1281</v>
      </c>
      <c r="M782" s="464">
        <v>222027162293</v>
      </c>
      <c r="N782" s="414">
        <v>44600</v>
      </c>
      <c r="O782" s="414" t="s">
        <v>408</v>
      </c>
      <c r="P782" s="222">
        <f t="shared" si="49"/>
        <v>2</v>
      </c>
      <c r="Q782" s="222">
        <f t="shared" si="50"/>
        <v>1</v>
      </c>
      <c r="R782" s="532" t="str">
        <f t="shared" si="51"/>
        <v>Gastos_custeados_por_captação</v>
      </c>
      <c r="S782" s="467" t="s">
        <v>310</v>
      </c>
      <c r="T782" s="467" t="s">
        <v>310</v>
      </c>
      <c r="U782" s="496"/>
      <c r="V782" s="496"/>
      <c r="W782" s="496"/>
    </row>
    <row r="783" spans="1:23" ht="60" x14ac:dyDescent="0.2">
      <c r="A783" s="510">
        <f t="shared" si="48"/>
        <v>780</v>
      </c>
      <c r="B783" s="428">
        <v>44600</v>
      </c>
      <c r="C783" s="431">
        <v>44531</v>
      </c>
      <c r="D783" s="415" t="s">
        <v>468</v>
      </c>
      <c r="E783" s="415" t="s">
        <v>468</v>
      </c>
      <c r="F783" s="541">
        <v>125</v>
      </c>
      <c r="G783" s="399" t="s">
        <v>2566</v>
      </c>
      <c r="H783" s="415" t="s">
        <v>468</v>
      </c>
      <c r="I783" s="398" t="s">
        <v>764</v>
      </c>
      <c r="J783" s="418" t="s">
        <v>310</v>
      </c>
      <c r="K783" s="418" t="s">
        <v>1220</v>
      </c>
      <c r="L783" s="399" t="s">
        <v>1281</v>
      </c>
      <c r="M783" s="464">
        <v>222027177568</v>
      </c>
      <c r="N783" s="414">
        <v>44600</v>
      </c>
      <c r="O783" s="414" t="s">
        <v>401</v>
      </c>
      <c r="P783" s="222">
        <f t="shared" si="49"/>
        <v>2</v>
      </c>
      <c r="Q783" s="222">
        <f t="shared" si="50"/>
        <v>0</v>
      </c>
      <c r="R783" s="532" t="str">
        <f t="shared" si="51"/>
        <v>Gastos_custeados_por_captação</v>
      </c>
      <c r="S783" s="467" t="s">
        <v>310</v>
      </c>
      <c r="T783" s="467" t="s">
        <v>310</v>
      </c>
      <c r="U783" s="496"/>
      <c r="V783" s="496"/>
      <c r="W783" s="496"/>
    </row>
    <row r="784" spans="1:23" ht="60" x14ac:dyDescent="0.2">
      <c r="A784" s="510">
        <f t="shared" si="48"/>
        <v>781</v>
      </c>
      <c r="B784" s="428">
        <v>44600</v>
      </c>
      <c r="C784" s="431">
        <v>44531</v>
      </c>
      <c r="D784" s="415" t="s">
        <v>468</v>
      </c>
      <c r="E784" s="415" t="s">
        <v>468</v>
      </c>
      <c r="F784" s="541">
        <v>125</v>
      </c>
      <c r="G784" s="399" t="s">
        <v>2567</v>
      </c>
      <c r="H784" s="415" t="s">
        <v>468</v>
      </c>
      <c r="I784" s="398" t="s">
        <v>764</v>
      </c>
      <c r="J784" s="418" t="s">
        <v>310</v>
      </c>
      <c r="K784" s="418" t="s">
        <v>1220</v>
      </c>
      <c r="L784" s="399" t="s">
        <v>1281</v>
      </c>
      <c r="M784" s="464">
        <v>222027177720</v>
      </c>
      <c r="N784" s="414">
        <v>44600</v>
      </c>
      <c r="O784" s="414" t="s">
        <v>401</v>
      </c>
      <c r="P784" s="222">
        <f t="shared" si="49"/>
        <v>2</v>
      </c>
      <c r="Q784" s="222">
        <f t="shared" si="50"/>
        <v>0</v>
      </c>
      <c r="R784" s="532" t="str">
        <f t="shared" si="51"/>
        <v>Gastos_custeados_por_captação</v>
      </c>
      <c r="S784" s="467" t="s">
        <v>310</v>
      </c>
      <c r="T784" s="467" t="s">
        <v>310</v>
      </c>
      <c r="U784" s="496"/>
      <c r="V784" s="496"/>
      <c r="W784" s="496"/>
    </row>
    <row r="785" spans="1:23" ht="60" x14ac:dyDescent="0.2">
      <c r="A785" s="510">
        <f t="shared" si="48"/>
        <v>782</v>
      </c>
      <c r="B785" s="428">
        <v>44600</v>
      </c>
      <c r="C785" s="431">
        <v>44531</v>
      </c>
      <c r="D785" s="415" t="s">
        <v>468</v>
      </c>
      <c r="E785" s="415" t="s">
        <v>468</v>
      </c>
      <c r="F785" s="541">
        <v>75</v>
      </c>
      <c r="G785" s="399" t="s">
        <v>2568</v>
      </c>
      <c r="H785" s="415" t="s">
        <v>468</v>
      </c>
      <c r="I785" s="398" t="s">
        <v>764</v>
      </c>
      <c r="J785" s="418" t="s">
        <v>310</v>
      </c>
      <c r="K785" s="418" t="s">
        <v>1220</v>
      </c>
      <c r="L785" s="399" t="s">
        <v>1281</v>
      </c>
      <c r="M785" s="464">
        <v>222027177991</v>
      </c>
      <c r="N785" s="414">
        <v>44600</v>
      </c>
      <c r="O785" s="414" t="s">
        <v>401</v>
      </c>
      <c r="P785" s="222">
        <f t="shared" si="49"/>
        <v>2</v>
      </c>
      <c r="Q785" s="222">
        <f t="shared" si="50"/>
        <v>0</v>
      </c>
      <c r="R785" s="532" t="str">
        <f t="shared" si="51"/>
        <v>Gastos_custeados_por_captação</v>
      </c>
      <c r="S785" s="467" t="s">
        <v>310</v>
      </c>
      <c r="T785" s="467" t="s">
        <v>310</v>
      </c>
      <c r="U785" s="496"/>
      <c r="V785" s="496"/>
      <c r="W785" s="496"/>
    </row>
    <row r="786" spans="1:23" ht="60" x14ac:dyDescent="0.2">
      <c r="A786" s="510">
        <f t="shared" si="48"/>
        <v>783</v>
      </c>
      <c r="B786" s="428">
        <v>44600</v>
      </c>
      <c r="C786" s="431">
        <v>44562</v>
      </c>
      <c r="D786" s="415" t="s">
        <v>468</v>
      </c>
      <c r="E786" s="415" t="s">
        <v>468</v>
      </c>
      <c r="F786" s="541">
        <v>150</v>
      </c>
      <c r="G786" s="399" t="s">
        <v>2569</v>
      </c>
      <c r="H786" s="415" t="s">
        <v>468</v>
      </c>
      <c r="I786" s="398" t="s">
        <v>764</v>
      </c>
      <c r="J786" s="418" t="s">
        <v>310</v>
      </c>
      <c r="K786" s="418" t="s">
        <v>1220</v>
      </c>
      <c r="L786" s="399" t="s">
        <v>1281</v>
      </c>
      <c r="M786" s="464">
        <v>222027178025</v>
      </c>
      <c r="N786" s="414">
        <v>44600</v>
      </c>
      <c r="O786" s="414" t="s">
        <v>401</v>
      </c>
      <c r="P786" s="222">
        <f t="shared" si="49"/>
        <v>2</v>
      </c>
      <c r="Q786" s="222">
        <f t="shared" si="50"/>
        <v>1</v>
      </c>
      <c r="R786" s="532" t="str">
        <f t="shared" si="51"/>
        <v>Gastos_custeados_por_captação</v>
      </c>
      <c r="S786" s="467" t="s">
        <v>310</v>
      </c>
      <c r="T786" s="467" t="s">
        <v>310</v>
      </c>
      <c r="U786" s="496"/>
      <c r="V786" s="496"/>
      <c r="W786" s="496"/>
    </row>
    <row r="787" spans="1:23" ht="60" x14ac:dyDescent="0.2">
      <c r="A787" s="510">
        <f t="shared" si="48"/>
        <v>784</v>
      </c>
      <c r="B787" s="428">
        <v>44600</v>
      </c>
      <c r="C787" s="431">
        <v>44531</v>
      </c>
      <c r="D787" s="415" t="s">
        <v>468</v>
      </c>
      <c r="E787" s="415" t="s">
        <v>468</v>
      </c>
      <c r="F787" s="541">
        <v>110.55</v>
      </c>
      <c r="G787" s="399" t="s">
        <v>2570</v>
      </c>
      <c r="H787" s="415" t="s">
        <v>468</v>
      </c>
      <c r="I787" s="398" t="s">
        <v>764</v>
      </c>
      <c r="J787" s="418" t="s">
        <v>310</v>
      </c>
      <c r="K787" s="418" t="s">
        <v>1220</v>
      </c>
      <c r="L787" s="399" t="s">
        <v>1281</v>
      </c>
      <c r="M787" s="464">
        <v>222027178530</v>
      </c>
      <c r="N787" s="414">
        <v>44600</v>
      </c>
      <c r="O787" s="414" t="s">
        <v>401</v>
      </c>
      <c r="P787" s="222">
        <f t="shared" si="49"/>
        <v>2</v>
      </c>
      <c r="Q787" s="222">
        <f t="shared" si="50"/>
        <v>0</v>
      </c>
      <c r="R787" s="532" t="str">
        <f t="shared" si="51"/>
        <v>Gastos_custeados_por_captação</v>
      </c>
      <c r="S787" s="467" t="s">
        <v>310</v>
      </c>
      <c r="T787" s="467" t="s">
        <v>310</v>
      </c>
      <c r="U787" s="496"/>
      <c r="V787" s="496"/>
      <c r="W787" s="496"/>
    </row>
    <row r="788" spans="1:23" ht="60" x14ac:dyDescent="0.2">
      <c r="A788" s="510">
        <f t="shared" si="48"/>
        <v>785</v>
      </c>
      <c r="B788" s="428">
        <v>44600</v>
      </c>
      <c r="C788" s="431">
        <v>44531</v>
      </c>
      <c r="D788" s="415" t="s">
        <v>468</v>
      </c>
      <c r="E788" s="415" t="s">
        <v>468</v>
      </c>
      <c r="F788" s="541">
        <v>55.27</v>
      </c>
      <c r="G788" s="399" t="s">
        <v>2571</v>
      </c>
      <c r="H788" s="415" t="s">
        <v>468</v>
      </c>
      <c r="I788" s="398" t="s">
        <v>764</v>
      </c>
      <c r="J788" s="418" t="s">
        <v>310</v>
      </c>
      <c r="K788" s="418" t="s">
        <v>1220</v>
      </c>
      <c r="L788" s="399" t="s">
        <v>1281</v>
      </c>
      <c r="M788" s="464">
        <v>222027179005</v>
      </c>
      <c r="N788" s="414">
        <v>44600</v>
      </c>
      <c r="O788" s="414" t="s">
        <v>401</v>
      </c>
      <c r="P788" s="222">
        <f t="shared" si="49"/>
        <v>2</v>
      </c>
      <c r="Q788" s="222">
        <f t="shared" si="50"/>
        <v>0</v>
      </c>
      <c r="R788" s="532" t="str">
        <f t="shared" si="51"/>
        <v>Gastos_custeados_por_captação</v>
      </c>
      <c r="S788" s="467" t="s">
        <v>310</v>
      </c>
      <c r="T788" s="467" t="s">
        <v>310</v>
      </c>
      <c r="U788" s="496"/>
      <c r="V788" s="496"/>
      <c r="W788" s="496"/>
    </row>
    <row r="789" spans="1:23" ht="60" x14ac:dyDescent="0.2">
      <c r="A789" s="510">
        <f t="shared" si="48"/>
        <v>786</v>
      </c>
      <c r="B789" s="428">
        <v>44600</v>
      </c>
      <c r="C789" s="431">
        <v>44531</v>
      </c>
      <c r="D789" s="415" t="s">
        <v>468</v>
      </c>
      <c r="E789" s="415" t="s">
        <v>468</v>
      </c>
      <c r="F789" s="541">
        <v>30.81</v>
      </c>
      <c r="G789" s="399" t="s">
        <v>2572</v>
      </c>
      <c r="H789" s="415" t="s">
        <v>468</v>
      </c>
      <c r="I789" s="398" t="s">
        <v>764</v>
      </c>
      <c r="J789" s="418" t="s">
        <v>310</v>
      </c>
      <c r="K789" s="418" t="s">
        <v>1220</v>
      </c>
      <c r="L789" s="399" t="s">
        <v>1281</v>
      </c>
      <c r="M789" s="464">
        <v>222027179269</v>
      </c>
      <c r="N789" s="414">
        <v>44600</v>
      </c>
      <c r="O789" s="414" t="s">
        <v>401</v>
      </c>
      <c r="P789" s="222">
        <f t="shared" si="49"/>
        <v>2</v>
      </c>
      <c r="Q789" s="222">
        <f t="shared" si="50"/>
        <v>0</v>
      </c>
      <c r="R789" s="532" t="str">
        <f t="shared" si="51"/>
        <v>Gastos_custeados_por_captação</v>
      </c>
      <c r="S789" s="467" t="s">
        <v>310</v>
      </c>
      <c r="T789" s="467" t="s">
        <v>310</v>
      </c>
      <c r="U789" s="496"/>
      <c r="V789" s="496"/>
      <c r="W789" s="496"/>
    </row>
    <row r="790" spans="1:23" ht="60" x14ac:dyDescent="0.2">
      <c r="A790" s="510">
        <f t="shared" si="48"/>
        <v>787</v>
      </c>
      <c r="B790" s="428">
        <v>44600</v>
      </c>
      <c r="C790" s="431">
        <v>44531</v>
      </c>
      <c r="D790" s="415" t="s">
        <v>468</v>
      </c>
      <c r="E790" s="415" t="s">
        <v>468</v>
      </c>
      <c r="F790" s="541">
        <v>80</v>
      </c>
      <c r="G790" s="399" t="s">
        <v>2573</v>
      </c>
      <c r="H790" s="415" t="s">
        <v>468</v>
      </c>
      <c r="I790" s="398" t="s">
        <v>764</v>
      </c>
      <c r="J790" s="418" t="s">
        <v>310</v>
      </c>
      <c r="K790" s="418" t="s">
        <v>1220</v>
      </c>
      <c r="L790" s="399" t="s">
        <v>1281</v>
      </c>
      <c r="M790" s="464">
        <v>222027179692</v>
      </c>
      <c r="N790" s="414">
        <v>44600</v>
      </c>
      <c r="O790" s="414" t="s">
        <v>401</v>
      </c>
      <c r="P790" s="222">
        <f t="shared" si="49"/>
        <v>2</v>
      </c>
      <c r="Q790" s="222">
        <f t="shared" si="50"/>
        <v>0</v>
      </c>
      <c r="R790" s="532" t="str">
        <f t="shared" si="51"/>
        <v>Gastos_custeados_por_captação</v>
      </c>
      <c r="S790" s="467" t="s">
        <v>310</v>
      </c>
      <c r="T790" s="467" t="s">
        <v>310</v>
      </c>
      <c r="U790" s="496"/>
      <c r="V790" s="496"/>
      <c r="W790" s="496"/>
    </row>
    <row r="791" spans="1:23" ht="60" x14ac:dyDescent="0.2">
      <c r="A791" s="510">
        <f t="shared" si="48"/>
        <v>788</v>
      </c>
      <c r="B791" s="428">
        <v>44600</v>
      </c>
      <c r="C791" s="431">
        <v>44531</v>
      </c>
      <c r="D791" s="415" t="s">
        <v>468</v>
      </c>
      <c r="E791" s="415" t="s">
        <v>468</v>
      </c>
      <c r="F791" s="541">
        <v>110</v>
      </c>
      <c r="G791" s="399" t="s">
        <v>2574</v>
      </c>
      <c r="H791" s="415" t="s">
        <v>468</v>
      </c>
      <c r="I791" s="398" t="s">
        <v>764</v>
      </c>
      <c r="J791" s="418" t="s">
        <v>310</v>
      </c>
      <c r="K791" s="418" t="s">
        <v>1220</v>
      </c>
      <c r="L791" s="399" t="s">
        <v>1281</v>
      </c>
      <c r="M791" s="464">
        <v>222027179854</v>
      </c>
      <c r="N791" s="414">
        <v>44600</v>
      </c>
      <c r="O791" s="414" t="s">
        <v>401</v>
      </c>
      <c r="P791" s="222">
        <f t="shared" si="49"/>
        <v>2</v>
      </c>
      <c r="Q791" s="222">
        <f t="shared" si="50"/>
        <v>0</v>
      </c>
      <c r="R791" s="532" t="str">
        <f t="shared" si="51"/>
        <v>Gastos_custeados_por_captação</v>
      </c>
      <c r="S791" s="467" t="s">
        <v>310</v>
      </c>
      <c r="T791" s="467" t="s">
        <v>310</v>
      </c>
      <c r="U791" s="496"/>
      <c r="V791" s="496"/>
      <c r="W791" s="496"/>
    </row>
    <row r="792" spans="1:23" ht="60" x14ac:dyDescent="0.2">
      <c r="A792" s="510">
        <f t="shared" si="48"/>
        <v>789</v>
      </c>
      <c r="B792" s="428">
        <v>44600</v>
      </c>
      <c r="C792" s="431">
        <v>44531</v>
      </c>
      <c r="D792" s="415" t="s">
        <v>468</v>
      </c>
      <c r="E792" s="415" t="s">
        <v>468</v>
      </c>
      <c r="F792" s="541">
        <v>120</v>
      </c>
      <c r="G792" s="399" t="s">
        <v>2575</v>
      </c>
      <c r="H792" s="415" t="s">
        <v>468</v>
      </c>
      <c r="I792" s="398" t="s">
        <v>764</v>
      </c>
      <c r="J792" s="418" t="s">
        <v>310</v>
      </c>
      <c r="K792" s="418" t="s">
        <v>1220</v>
      </c>
      <c r="L792" s="399" t="s">
        <v>1281</v>
      </c>
      <c r="M792" s="464">
        <v>222027181751</v>
      </c>
      <c r="N792" s="414">
        <v>44600</v>
      </c>
      <c r="O792" s="414" t="s">
        <v>401</v>
      </c>
      <c r="P792" s="222">
        <f t="shared" si="49"/>
        <v>2</v>
      </c>
      <c r="Q792" s="222">
        <f t="shared" si="50"/>
        <v>0</v>
      </c>
      <c r="R792" s="532" t="str">
        <f t="shared" si="51"/>
        <v>Gastos_custeados_por_captação</v>
      </c>
      <c r="S792" s="467" t="s">
        <v>310</v>
      </c>
      <c r="T792" s="467" t="s">
        <v>310</v>
      </c>
      <c r="U792" s="496"/>
      <c r="V792" s="496"/>
      <c r="W792" s="496"/>
    </row>
    <row r="793" spans="1:23" ht="72" x14ac:dyDescent="0.2">
      <c r="A793" s="510">
        <f t="shared" si="48"/>
        <v>790</v>
      </c>
      <c r="B793" s="428">
        <v>44600</v>
      </c>
      <c r="C793" s="431">
        <v>44501</v>
      </c>
      <c r="D793" s="415" t="s">
        <v>468</v>
      </c>
      <c r="E793" s="415" t="s">
        <v>468</v>
      </c>
      <c r="F793" s="459">
        <v>30</v>
      </c>
      <c r="G793" s="399" t="s">
        <v>2629</v>
      </c>
      <c r="H793" s="415" t="s">
        <v>468</v>
      </c>
      <c r="I793" s="398" t="s">
        <v>764</v>
      </c>
      <c r="J793" s="418" t="s">
        <v>310</v>
      </c>
      <c r="K793" s="418" t="s">
        <v>1220</v>
      </c>
      <c r="L793" s="399" t="s">
        <v>1281</v>
      </c>
      <c r="M793" s="464">
        <v>222027163850</v>
      </c>
      <c r="N793" s="414">
        <v>44600</v>
      </c>
      <c r="O793" s="414" t="s">
        <v>402</v>
      </c>
      <c r="P793" s="222">
        <f t="shared" si="49"/>
        <v>2</v>
      </c>
      <c r="Q793" s="222">
        <f t="shared" si="50"/>
        <v>-1</v>
      </c>
      <c r="R793" s="532" t="str">
        <f t="shared" si="51"/>
        <v>Gastos_custeados_por_captação</v>
      </c>
      <c r="S793" s="467" t="s">
        <v>310</v>
      </c>
      <c r="T793" s="467" t="s">
        <v>310</v>
      </c>
      <c r="U793" s="496"/>
      <c r="V793" s="496"/>
      <c r="W793" s="496"/>
    </row>
    <row r="794" spans="1:23" ht="72" x14ac:dyDescent="0.2">
      <c r="A794" s="510">
        <f t="shared" si="48"/>
        <v>791</v>
      </c>
      <c r="B794" s="428">
        <v>44600</v>
      </c>
      <c r="C794" s="431">
        <v>44531</v>
      </c>
      <c r="D794" s="415" t="s">
        <v>468</v>
      </c>
      <c r="E794" s="415" t="s">
        <v>468</v>
      </c>
      <c r="F794" s="459">
        <v>596</v>
      </c>
      <c r="G794" s="399" t="s">
        <v>2630</v>
      </c>
      <c r="H794" s="415" t="s">
        <v>468</v>
      </c>
      <c r="I794" s="398" t="s">
        <v>764</v>
      </c>
      <c r="J794" s="418" t="s">
        <v>310</v>
      </c>
      <c r="K794" s="418" t="s">
        <v>1220</v>
      </c>
      <c r="L794" s="399" t="s">
        <v>1281</v>
      </c>
      <c r="M794" s="464">
        <v>222027163931</v>
      </c>
      <c r="N794" s="414">
        <v>44600</v>
      </c>
      <c r="O794" s="414" t="s">
        <v>402</v>
      </c>
      <c r="P794" s="222">
        <f t="shared" si="49"/>
        <v>2</v>
      </c>
      <c r="Q794" s="222">
        <f t="shared" si="50"/>
        <v>0</v>
      </c>
      <c r="R794" s="532" t="str">
        <f t="shared" si="51"/>
        <v>Gastos_custeados_por_captação</v>
      </c>
      <c r="S794" s="467" t="s">
        <v>310</v>
      </c>
      <c r="T794" s="467" t="s">
        <v>310</v>
      </c>
      <c r="U794" s="496"/>
      <c r="V794" s="496"/>
      <c r="W794" s="496"/>
    </row>
    <row r="795" spans="1:23" ht="72" x14ac:dyDescent="0.2">
      <c r="A795" s="510">
        <f t="shared" si="48"/>
        <v>792</v>
      </c>
      <c r="B795" s="428">
        <v>44600</v>
      </c>
      <c r="C795" s="431">
        <v>44531</v>
      </c>
      <c r="D795" s="415" t="s">
        <v>468</v>
      </c>
      <c r="E795" s="415" t="s">
        <v>468</v>
      </c>
      <c r="F795" s="459">
        <v>75</v>
      </c>
      <c r="G795" s="399" t="s">
        <v>2631</v>
      </c>
      <c r="H795" s="415" t="s">
        <v>468</v>
      </c>
      <c r="I795" s="398" t="s">
        <v>764</v>
      </c>
      <c r="J795" s="418" t="s">
        <v>310</v>
      </c>
      <c r="K795" s="418" t="s">
        <v>1220</v>
      </c>
      <c r="L795" s="399" t="s">
        <v>1281</v>
      </c>
      <c r="M795" s="464">
        <v>222027164075</v>
      </c>
      <c r="N795" s="414">
        <v>44600</v>
      </c>
      <c r="O795" s="414" t="s">
        <v>402</v>
      </c>
      <c r="P795" s="222">
        <f t="shared" si="49"/>
        <v>2</v>
      </c>
      <c r="Q795" s="222">
        <f t="shared" si="50"/>
        <v>0</v>
      </c>
      <c r="R795" s="532" t="str">
        <f t="shared" si="51"/>
        <v>Gastos_custeados_por_captação</v>
      </c>
      <c r="S795" s="467" t="s">
        <v>310</v>
      </c>
      <c r="T795" s="467" t="s">
        <v>310</v>
      </c>
      <c r="U795" s="496"/>
      <c r="V795" s="496"/>
      <c r="W795" s="496"/>
    </row>
    <row r="796" spans="1:23" ht="72" x14ac:dyDescent="0.2">
      <c r="A796" s="510">
        <f t="shared" si="48"/>
        <v>793</v>
      </c>
      <c r="B796" s="428">
        <v>44600</v>
      </c>
      <c r="C796" s="431">
        <v>44531</v>
      </c>
      <c r="D796" s="415" t="s">
        <v>468</v>
      </c>
      <c r="E796" s="415" t="s">
        <v>468</v>
      </c>
      <c r="F796" s="459">
        <v>20.88</v>
      </c>
      <c r="G796" s="399" t="s">
        <v>2632</v>
      </c>
      <c r="H796" s="415" t="s">
        <v>468</v>
      </c>
      <c r="I796" s="398" t="s">
        <v>764</v>
      </c>
      <c r="J796" s="418" t="s">
        <v>310</v>
      </c>
      <c r="K796" s="418" t="s">
        <v>1220</v>
      </c>
      <c r="L796" s="399" t="s">
        <v>1281</v>
      </c>
      <c r="M796" s="464">
        <v>222027164156</v>
      </c>
      <c r="N796" s="414">
        <v>44600</v>
      </c>
      <c r="O796" s="414" t="s">
        <v>402</v>
      </c>
      <c r="P796" s="222">
        <f t="shared" si="49"/>
        <v>2</v>
      </c>
      <c r="Q796" s="222">
        <f t="shared" si="50"/>
        <v>0</v>
      </c>
      <c r="R796" s="532" t="str">
        <f t="shared" si="51"/>
        <v>Gastos_custeados_por_captação</v>
      </c>
      <c r="S796" s="467" t="s">
        <v>310</v>
      </c>
      <c r="T796" s="467" t="s">
        <v>310</v>
      </c>
      <c r="U796" s="496"/>
      <c r="V796" s="496"/>
      <c r="W796" s="496"/>
    </row>
    <row r="797" spans="1:23" ht="72" x14ac:dyDescent="0.2">
      <c r="A797" s="510">
        <f t="shared" si="48"/>
        <v>794</v>
      </c>
      <c r="B797" s="428">
        <v>44600</v>
      </c>
      <c r="C797" s="431">
        <v>44409</v>
      </c>
      <c r="D797" s="415" t="s">
        <v>468</v>
      </c>
      <c r="E797" s="415" t="s">
        <v>468</v>
      </c>
      <c r="F797" s="459">
        <v>8.9499999999999993</v>
      </c>
      <c r="G797" s="399" t="s">
        <v>2633</v>
      </c>
      <c r="H797" s="415" t="s">
        <v>468</v>
      </c>
      <c r="I797" s="398" t="s">
        <v>764</v>
      </c>
      <c r="J797" s="418" t="s">
        <v>310</v>
      </c>
      <c r="K797" s="418" t="s">
        <v>1220</v>
      </c>
      <c r="L797" s="399" t="s">
        <v>1281</v>
      </c>
      <c r="M797" s="464">
        <v>222027164237</v>
      </c>
      <c r="N797" s="414">
        <v>44600</v>
      </c>
      <c r="O797" s="414" t="s">
        <v>402</v>
      </c>
      <c r="P797" s="222">
        <f t="shared" si="49"/>
        <v>2</v>
      </c>
      <c r="Q797" s="222">
        <f t="shared" si="50"/>
        <v>-4</v>
      </c>
      <c r="R797" s="532" t="str">
        <f t="shared" si="51"/>
        <v>Gastos_custeados_por_captação</v>
      </c>
      <c r="S797" s="467" t="s">
        <v>310</v>
      </c>
      <c r="T797" s="467" t="s">
        <v>310</v>
      </c>
      <c r="U797" s="496"/>
      <c r="V797" s="496"/>
      <c r="W797" s="496"/>
    </row>
    <row r="798" spans="1:23" ht="72" x14ac:dyDescent="0.2">
      <c r="A798" s="510">
        <f t="shared" si="48"/>
        <v>795</v>
      </c>
      <c r="B798" s="428">
        <v>44600</v>
      </c>
      <c r="C798" s="431">
        <v>44409</v>
      </c>
      <c r="D798" s="415" t="s">
        <v>468</v>
      </c>
      <c r="E798" s="415" t="s">
        <v>468</v>
      </c>
      <c r="F798" s="459">
        <v>108.75</v>
      </c>
      <c r="G798" s="399" t="s">
        <v>2634</v>
      </c>
      <c r="H798" s="415" t="s">
        <v>468</v>
      </c>
      <c r="I798" s="398" t="s">
        <v>764</v>
      </c>
      <c r="J798" s="418" t="s">
        <v>310</v>
      </c>
      <c r="K798" s="418" t="s">
        <v>1220</v>
      </c>
      <c r="L798" s="399" t="s">
        <v>1281</v>
      </c>
      <c r="M798" s="464">
        <v>222027164318</v>
      </c>
      <c r="N798" s="414">
        <v>44600</v>
      </c>
      <c r="O798" s="414" t="s">
        <v>402</v>
      </c>
      <c r="P798" s="222">
        <f t="shared" si="49"/>
        <v>2</v>
      </c>
      <c r="Q798" s="222">
        <f t="shared" si="50"/>
        <v>-4</v>
      </c>
      <c r="R798" s="532" t="str">
        <f t="shared" si="51"/>
        <v>Gastos_custeados_por_captação</v>
      </c>
      <c r="S798" s="467" t="s">
        <v>310</v>
      </c>
      <c r="T798" s="467" t="s">
        <v>310</v>
      </c>
      <c r="U798" s="496"/>
      <c r="V798" s="496"/>
      <c r="W798" s="496"/>
    </row>
    <row r="799" spans="1:23" ht="72" x14ac:dyDescent="0.2">
      <c r="A799" s="510">
        <f t="shared" si="48"/>
        <v>796</v>
      </c>
      <c r="B799" s="428">
        <v>44600</v>
      </c>
      <c r="C799" s="431">
        <v>44531</v>
      </c>
      <c r="D799" s="415" t="s">
        <v>468</v>
      </c>
      <c r="E799" s="415" t="s">
        <v>468</v>
      </c>
      <c r="F799" s="459">
        <v>76.05</v>
      </c>
      <c r="G799" s="399" t="s">
        <v>2635</v>
      </c>
      <c r="H799" s="415" t="s">
        <v>468</v>
      </c>
      <c r="I799" s="398" t="s">
        <v>764</v>
      </c>
      <c r="J799" s="418" t="s">
        <v>310</v>
      </c>
      <c r="K799" s="418" t="s">
        <v>1220</v>
      </c>
      <c r="L799" s="399" t="s">
        <v>1281</v>
      </c>
      <c r="M799" s="464">
        <v>222027164407</v>
      </c>
      <c r="N799" s="414">
        <v>44600</v>
      </c>
      <c r="O799" s="414" t="s">
        <v>402</v>
      </c>
      <c r="P799" s="222">
        <f t="shared" si="49"/>
        <v>2</v>
      </c>
      <c r="Q799" s="222">
        <f t="shared" si="50"/>
        <v>0</v>
      </c>
      <c r="R799" s="532" t="str">
        <f t="shared" si="51"/>
        <v>Gastos_custeados_por_captação</v>
      </c>
      <c r="S799" s="467" t="s">
        <v>310</v>
      </c>
      <c r="T799" s="467" t="s">
        <v>310</v>
      </c>
      <c r="U799" s="496"/>
      <c r="V799" s="496"/>
      <c r="W799" s="496"/>
    </row>
    <row r="800" spans="1:23" ht="72" x14ac:dyDescent="0.2">
      <c r="A800" s="510">
        <f t="shared" si="48"/>
        <v>797</v>
      </c>
      <c r="B800" s="428">
        <v>44600</v>
      </c>
      <c r="C800" s="431">
        <v>44562</v>
      </c>
      <c r="D800" s="415" t="s">
        <v>468</v>
      </c>
      <c r="E800" s="415" t="s">
        <v>468</v>
      </c>
      <c r="F800" s="459">
        <v>2000</v>
      </c>
      <c r="G800" s="399" t="s">
        <v>2636</v>
      </c>
      <c r="H800" s="415" t="s">
        <v>468</v>
      </c>
      <c r="I800" s="398" t="s">
        <v>1656</v>
      </c>
      <c r="J800" s="418" t="s">
        <v>1655</v>
      </c>
      <c r="K800" s="418" t="s">
        <v>830</v>
      </c>
      <c r="L800" s="399" t="s">
        <v>32</v>
      </c>
      <c r="M800" s="415" t="s">
        <v>848</v>
      </c>
      <c r="N800" s="414">
        <v>44600</v>
      </c>
      <c r="O800" s="414" t="s">
        <v>402</v>
      </c>
      <c r="P800" s="222">
        <f t="shared" si="49"/>
        <v>2</v>
      </c>
      <c r="Q800" s="222">
        <f t="shared" si="50"/>
        <v>1</v>
      </c>
      <c r="R800" s="532" t="str">
        <f t="shared" si="51"/>
        <v>Gastos_custeados_por_captação</v>
      </c>
      <c r="S800" s="467" t="s">
        <v>1000</v>
      </c>
      <c r="T800" s="467">
        <v>2711</v>
      </c>
      <c r="U800" s="496"/>
      <c r="V800" s="496"/>
      <c r="W800" s="496"/>
    </row>
    <row r="801" spans="1:23" ht="60" x14ac:dyDescent="0.2">
      <c r="A801" s="510">
        <f t="shared" si="48"/>
        <v>798</v>
      </c>
      <c r="B801" s="428">
        <v>44600</v>
      </c>
      <c r="C801" s="431">
        <v>44562</v>
      </c>
      <c r="D801" s="415" t="s">
        <v>468</v>
      </c>
      <c r="E801" s="415" t="s">
        <v>468</v>
      </c>
      <c r="F801" s="459">
        <v>13230</v>
      </c>
      <c r="G801" s="399" t="s">
        <v>2684</v>
      </c>
      <c r="H801" s="415" t="s">
        <v>468</v>
      </c>
      <c r="I801" s="473" t="s">
        <v>2437</v>
      </c>
      <c r="J801" s="415" t="s">
        <v>796</v>
      </c>
      <c r="K801" s="415" t="s">
        <v>797</v>
      </c>
      <c r="L801" s="415" t="s">
        <v>798</v>
      </c>
      <c r="M801" s="415" t="s">
        <v>310</v>
      </c>
      <c r="N801" s="414">
        <v>44600</v>
      </c>
      <c r="O801" s="414" t="s">
        <v>404</v>
      </c>
      <c r="P801" s="222">
        <f t="shared" si="49"/>
        <v>2</v>
      </c>
      <c r="Q801" s="222">
        <f t="shared" si="50"/>
        <v>1</v>
      </c>
      <c r="R801" s="532" t="str">
        <f t="shared" si="51"/>
        <v>Gastos_custeados_por_captação</v>
      </c>
      <c r="S801" s="467" t="s">
        <v>310</v>
      </c>
      <c r="T801" s="467" t="s">
        <v>310</v>
      </c>
      <c r="U801" s="496"/>
      <c r="V801" s="496"/>
      <c r="W801" s="496"/>
    </row>
    <row r="802" spans="1:23" ht="60" x14ac:dyDescent="0.2">
      <c r="A802" s="510">
        <f t="shared" si="48"/>
        <v>799</v>
      </c>
      <c r="B802" s="428">
        <v>44600</v>
      </c>
      <c r="C802" s="424">
        <v>44409</v>
      </c>
      <c r="D802" s="415" t="s">
        <v>468</v>
      </c>
      <c r="E802" s="415" t="s">
        <v>468</v>
      </c>
      <c r="F802" s="459">
        <v>19.04</v>
      </c>
      <c r="G802" s="399" t="s">
        <v>2685</v>
      </c>
      <c r="H802" s="415" t="s">
        <v>468</v>
      </c>
      <c r="I802" s="398" t="s">
        <v>764</v>
      </c>
      <c r="J802" s="418" t="s">
        <v>310</v>
      </c>
      <c r="K802" s="418" t="s">
        <v>1220</v>
      </c>
      <c r="L802" s="399" t="s">
        <v>1281</v>
      </c>
      <c r="M802" s="546">
        <v>222027175190</v>
      </c>
      <c r="N802" s="414">
        <v>44600</v>
      </c>
      <c r="O802" s="414" t="s">
        <v>404</v>
      </c>
      <c r="P802" s="222">
        <f t="shared" si="49"/>
        <v>2</v>
      </c>
      <c r="Q802" s="222">
        <f t="shared" si="50"/>
        <v>-4</v>
      </c>
      <c r="R802" s="532" t="str">
        <f t="shared" si="51"/>
        <v>Gastos_custeados_por_captação</v>
      </c>
      <c r="S802" s="467" t="s">
        <v>310</v>
      </c>
      <c r="T802" s="467" t="s">
        <v>310</v>
      </c>
      <c r="U802" s="496"/>
      <c r="V802" s="496"/>
      <c r="W802" s="496"/>
    </row>
    <row r="803" spans="1:23" ht="72" x14ac:dyDescent="0.2">
      <c r="A803" s="510">
        <f t="shared" si="48"/>
        <v>800</v>
      </c>
      <c r="B803" s="428">
        <v>44600</v>
      </c>
      <c r="C803" s="424">
        <v>44531</v>
      </c>
      <c r="D803" s="415" t="s">
        <v>468</v>
      </c>
      <c r="E803" s="415" t="s">
        <v>468</v>
      </c>
      <c r="F803" s="459">
        <v>403.8</v>
      </c>
      <c r="G803" s="399" t="s">
        <v>2851</v>
      </c>
      <c r="H803" s="415" t="s">
        <v>468</v>
      </c>
      <c r="I803" s="398" t="s">
        <v>764</v>
      </c>
      <c r="J803" s="418" t="s">
        <v>310</v>
      </c>
      <c r="K803" s="418" t="s">
        <v>1220</v>
      </c>
      <c r="L803" s="399" t="s">
        <v>1281</v>
      </c>
      <c r="M803" s="464">
        <v>222026777626</v>
      </c>
      <c r="N803" s="469">
        <v>44600</v>
      </c>
      <c r="O803" s="414" t="s">
        <v>407</v>
      </c>
      <c r="P803" s="222">
        <f t="shared" si="49"/>
        <v>2</v>
      </c>
      <c r="Q803" s="222">
        <f t="shared" si="50"/>
        <v>0</v>
      </c>
      <c r="R803" s="532" t="str">
        <f t="shared" si="51"/>
        <v>Gastos_custeados_por_captação</v>
      </c>
      <c r="S803" s="467" t="s">
        <v>310</v>
      </c>
      <c r="T803" s="467" t="s">
        <v>310</v>
      </c>
      <c r="U803" s="496"/>
      <c r="V803" s="496"/>
      <c r="W803" s="496"/>
    </row>
    <row r="804" spans="1:23" ht="72" x14ac:dyDescent="0.2">
      <c r="A804" s="510">
        <f t="shared" si="48"/>
        <v>801</v>
      </c>
      <c r="B804" s="428">
        <v>44600</v>
      </c>
      <c r="C804" s="424">
        <v>44531</v>
      </c>
      <c r="D804" s="415" t="s">
        <v>468</v>
      </c>
      <c r="E804" s="415" t="s">
        <v>468</v>
      </c>
      <c r="F804" s="459">
        <v>180.9</v>
      </c>
      <c r="G804" s="399" t="s">
        <v>2852</v>
      </c>
      <c r="H804" s="415" t="s">
        <v>468</v>
      </c>
      <c r="I804" s="398" t="s">
        <v>764</v>
      </c>
      <c r="J804" s="418" t="s">
        <v>310</v>
      </c>
      <c r="K804" s="418" t="s">
        <v>1220</v>
      </c>
      <c r="L804" s="399" t="s">
        <v>1281</v>
      </c>
      <c r="M804" s="464">
        <v>222026779246</v>
      </c>
      <c r="N804" s="469">
        <v>44600</v>
      </c>
      <c r="O804" s="414" t="s">
        <v>407</v>
      </c>
      <c r="P804" s="222">
        <f t="shared" si="49"/>
        <v>2</v>
      </c>
      <c r="Q804" s="222">
        <f t="shared" si="50"/>
        <v>0</v>
      </c>
      <c r="R804" s="532" t="str">
        <f t="shared" si="51"/>
        <v>Gastos_custeados_por_captação</v>
      </c>
      <c r="S804" s="467" t="s">
        <v>310</v>
      </c>
      <c r="T804" s="467" t="s">
        <v>310</v>
      </c>
      <c r="U804" s="496"/>
      <c r="V804" s="496"/>
      <c r="W804" s="496"/>
    </row>
    <row r="805" spans="1:23" ht="72" x14ac:dyDescent="0.2">
      <c r="A805" s="510">
        <f t="shared" si="48"/>
        <v>802</v>
      </c>
      <c r="B805" s="428">
        <v>44600</v>
      </c>
      <c r="C805" s="424">
        <v>44531</v>
      </c>
      <c r="D805" s="415" t="s">
        <v>468</v>
      </c>
      <c r="E805" s="415" t="s">
        <v>468</v>
      </c>
      <c r="F805" s="459">
        <v>75</v>
      </c>
      <c r="G805" s="399" t="s">
        <v>2853</v>
      </c>
      <c r="H805" s="415" t="s">
        <v>468</v>
      </c>
      <c r="I805" s="398" t="s">
        <v>764</v>
      </c>
      <c r="J805" s="418" t="s">
        <v>310</v>
      </c>
      <c r="K805" s="418" t="s">
        <v>1220</v>
      </c>
      <c r="L805" s="399" t="s">
        <v>1281</v>
      </c>
      <c r="M805" s="464">
        <v>222026780333</v>
      </c>
      <c r="N805" s="469">
        <v>44600</v>
      </c>
      <c r="O805" s="414" t="s">
        <v>407</v>
      </c>
      <c r="P805" s="222">
        <f t="shared" si="49"/>
        <v>2</v>
      </c>
      <c r="Q805" s="222">
        <f t="shared" si="50"/>
        <v>0</v>
      </c>
      <c r="R805" s="532" t="str">
        <f t="shared" si="51"/>
        <v>Gastos_custeados_por_captação</v>
      </c>
      <c r="S805" s="467" t="s">
        <v>310</v>
      </c>
      <c r="T805" s="467" t="s">
        <v>310</v>
      </c>
      <c r="U805" s="496"/>
      <c r="V805" s="496"/>
      <c r="W805" s="496"/>
    </row>
    <row r="806" spans="1:23" ht="72" x14ac:dyDescent="0.2">
      <c r="A806" s="510">
        <f t="shared" si="48"/>
        <v>803</v>
      </c>
      <c r="B806" s="428">
        <v>44600</v>
      </c>
      <c r="C806" s="424">
        <v>44531</v>
      </c>
      <c r="D806" s="415" t="s">
        <v>468</v>
      </c>
      <c r="E806" s="415" t="s">
        <v>468</v>
      </c>
      <c r="F806" s="459">
        <v>122.5</v>
      </c>
      <c r="G806" s="399" t="s">
        <v>2854</v>
      </c>
      <c r="H806" s="415" t="s">
        <v>468</v>
      </c>
      <c r="I806" s="398" t="s">
        <v>764</v>
      </c>
      <c r="J806" s="418" t="s">
        <v>310</v>
      </c>
      <c r="K806" s="418" t="s">
        <v>1220</v>
      </c>
      <c r="L806" s="399" t="s">
        <v>1281</v>
      </c>
      <c r="M806" s="464">
        <v>222026780767</v>
      </c>
      <c r="N806" s="469">
        <v>44600</v>
      </c>
      <c r="O806" s="414" t="s">
        <v>407</v>
      </c>
      <c r="P806" s="222">
        <f t="shared" si="49"/>
        <v>2</v>
      </c>
      <c r="Q806" s="222">
        <f t="shared" si="50"/>
        <v>0</v>
      </c>
      <c r="R806" s="532" t="str">
        <f t="shared" si="51"/>
        <v>Gastos_custeados_por_captação</v>
      </c>
      <c r="S806" s="467" t="s">
        <v>310</v>
      </c>
      <c r="T806" s="467" t="s">
        <v>310</v>
      </c>
      <c r="U806" s="496"/>
      <c r="V806" s="496"/>
      <c r="W806" s="496"/>
    </row>
    <row r="807" spans="1:23" ht="72" x14ac:dyDescent="0.2">
      <c r="A807" s="510">
        <f t="shared" si="48"/>
        <v>804</v>
      </c>
      <c r="B807" s="428">
        <v>44600</v>
      </c>
      <c r="C807" s="424">
        <v>44531</v>
      </c>
      <c r="D807" s="415" t="s">
        <v>468</v>
      </c>
      <c r="E807" s="415" t="s">
        <v>468</v>
      </c>
      <c r="F807" s="459">
        <v>122.5</v>
      </c>
      <c r="G807" s="399" t="s">
        <v>2855</v>
      </c>
      <c r="H807" s="415" t="s">
        <v>468</v>
      </c>
      <c r="I807" s="398" t="s">
        <v>764</v>
      </c>
      <c r="J807" s="418" t="s">
        <v>310</v>
      </c>
      <c r="K807" s="418" t="s">
        <v>1220</v>
      </c>
      <c r="L807" s="399" t="s">
        <v>1281</v>
      </c>
      <c r="M807" s="464">
        <v>222026781224</v>
      </c>
      <c r="N807" s="469">
        <v>44600</v>
      </c>
      <c r="O807" s="414" t="s">
        <v>407</v>
      </c>
      <c r="P807" s="222">
        <f t="shared" si="49"/>
        <v>2</v>
      </c>
      <c r="Q807" s="222">
        <f t="shared" si="50"/>
        <v>0</v>
      </c>
      <c r="R807" s="532" t="str">
        <f t="shared" si="51"/>
        <v>Gastos_custeados_por_captação</v>
      </c>
      <c r="S807" s="467" t="s">
        <v>310</v>
      </c>
      <c r="T807" s="467" t="s">
        <v>310</v>
      </c>
      <c r="U807" s="496"/>
      <c r="V807" s="496"/>
      <c r="W807" s="496"/>
    </row>
    <row r="808" spans="1:23" ht="72" x14ac:dyDescent="0.2">
      <c r="A808" s="510">
        <f t="shared" si="48"/>
        <v>805</v>
      </c>
      <c r="B808" s="428">
        <v>44600</v>
      </c>
      <c r="C808" s="424">
        <v>44531</v>
      </c>
      <c r="D808" s="415" t="s">
        <v>468</v>
      </c>
      <c r="E808" s="415" t="s">
        <v>468</v>
      </c>
      <c r="F808" s="459">
        <v>135</v>
      </c>
      <c r="G808" s="399" t="s">
        <v>2856</v>
      </c>
      <c r="H808" s="415" t="s">
        <v>468</v>
      </c>
      <c r="I808" s="398" t="s">
        <v>764</v>
      </c>
      <c r="J808" s="418" t="s">
        <v>310</v>
      </c>
      <c r="K808" s="418" t="s">
        <v>1220</v>
      </c>
      <c r="L808" s="399" t="s">
        <v>1281</v>
      </c>
      <c r="M808" s="464">
        <v>222026781577</v>
      </c>
      <c r="N808" s="469">
        <v>44600</v>
      </c>
      <c r="O808" s="414" t="s">
        <v>407</v>
      </c>
      <c r="P808" s="222">
        <f t="shared" si="49"/>
        <v>2</v>
      </c>
      <c r="Q808" s="222">
        <f t="shared" si="50"/>
        <v>0</v>
      </c>
      <c r="R808" s="532" t="str">
        <f t="shared" si="51"/>
        <v>Gastos_custeados_por_captação</v>
      </c>
      <c r="S808" s="467" t="s">
        <v>310</v>
      </c>
      <c r="T808" s="467" t="s">
        <v>310</v>
      </c>
      <c r="U808" s="496"/>
      <c r="V808" s="496"/>
      <c r="W808" s="496"/>
    </row>
    <row r="809" spans="1:23" ht="72" x14ac:dyDescent="0.2">
      <c r="A809" s="510">
        <f t="shared" si="48"/>
        <v>806</v>
      </c>
      <c r="B809" s="428">
        <v>44600</v>
      </c>
      <c r="C809" s="424">
        <v>44531</v>
      </c>
      <c r="D809" s="415" t="s">
        <v>468</v>
      </c>
      <c r="E809" s="415" t="s">
        <v>468</v>
      </c>
      <c r="F809" s="459">
        <v>122.5</v>
      </c>
      <c r="G809" s="399" t="s">
        <v>2857</v>
      </c>
      <c r="H809" s="415" t="s">
        <v>468</v>
      </c>
      <c r="I809" s="398" t="s">
        <v>764</v>
      </c>
      <c r="J809" s="418" t="s">
        <v>310</v>
      </c>
      <c r="K809" s="418" t="s">
        <v>1220</v>
      </c>
      <c r="L809" s="399" t="s">
        <v>1281</v>
      </c>
      <c r="M809" s="464">
        <v>222026781909</v>
      </c>
      <c r="N809" s="469">
        <v>44600</v>
      </c>
      <c r="O809" s="414" t="s">
        <v>407</v>
      </c>
      <c r="P809" s="222">
        <f t="shared" si="49"/>
        <v>2</v>
      </c>
      <c r="Q809" s="222">
        <f t="shared" si="50"/>
        <v>0</v>
      </c>
      <c r="R809" s="532" t="str">
        <f t="shared" si="51"/>
        <v>Gastos_custeados_por_captação</v>
      </c>
      <c r="S809" s="467" t="s">
        <v>310</v>
      </c>
      <c r="T809" s="467" t="s">
        <v>310</v>
      </c>
      <c r="U809" s="496"/>
      <c r="V809" s="496"/>
      <c r="W809" s="496"/>
    </row>
    <row r="810" spans="1:23" ht="72" x14ac:dyDescent="0.2">
      <c r="A810" s="510">
        <f t="shared" si="48"/>
        <v>807</v>
      </c>
      <c r="B810" s="428">
        <v>44600</v>
      </c>
      <c r="C810" s="424">
        <v>44531</v>
      </c>
      <c r="D810" s="415" t="s">
        <v>468</v>
      </c>
      <c r="E810" s="415" t="s">
        <v>468</v>
      </c>
      <c r="F810" s="459">
        <v>122.5</v>
      </c>
      <c r="G810" s="399" t="s">
        <v>2858</v>
      </c>
      <c r="H810" s="415" t="s">
        <v>468</v>
      </c>
      <c r="I810" s="398" t="s">
        <v>764</v>
      </c>
      <c r="J810" s="418" t="s">
        <v>310</v>
      </c>
      <c r="K810" s="418" t="s">
        <v>1220</v>
      </c>
      <c r="L810" s="399" t="s">
        <v>1281</v>
      </c>
      <c r="M810" s="464">
        <v>222026782387</v>
      </c>
      <c r="N810" s="469">
        <v>44600</v>
      </c>
      <c r="O810" s="414" t="s">
        <v>407</v>
      </c>
      <c r="P810" s="222">
        <f t="shared" si="49"/>
        <v>2</v>
      </c>
      <c r="Q810" s="222">
        <f t="shared" si="50"/>
        <v>0</v>
      </c>
      <c r="R810" s="532" t="str">
        <f t="shared" si="51"/>
        <v>Gastos_custeados_por_captação</v>
      </c>
      <c r="S810" s="467" t="s">
        <v>310</v>
      </c>
      <c r="T810" s="467" t="s">
        <v>310</v>
      </c>
      <c r="U810" s="496"/>
      <c r="V810" s="496"/>
      <c r="W810" s="496"/>
    </row>
    <row r="811" spans="1:23" ht="72" x14ac:dyDescent="0.2">
      <c r="A811" s="510">
        <f t="shared" si="48"/>
        <v>808</v>
      </c>
      <c r="B811" s="428">
        <v>44600</v>
      </c>
      <c r="C811" s="424">
        <v>44531</v>
      </c>
      <c r="D811" s="415" t="s">
        <v>468</v>
      </c>
      <c r="E811" s="415" t="s">
        <v>468</v>
      </c>
      <c r="F811" s="459">
        <v>75</v>
      </c>
      <c r="G811" s="399" t="s">
        <v>2859</v>
      </c>
      <c r="H811" s="415" t="s">
        <v>468</v>
      </c>
      <c r="I811" s="398" t="s">
        <v>764</v>
      </c>
      <c r="J811" s="418" t="s">
        <v>310</v>
      </c>
      <c r="K811" s="418" t="s">
        <v>1220</v>
      </c>
      <c r="L811" s="399" t="s">
        <v>1281</v>
      </c>
      <c r="M811" s="464">
        <v>222026782549</v>
      </c>
      <c r="N811" s="469">
        <v>44600</v>
      </c>
      <c r="O811" s="414" t="s">
        <v>407</v>
      </c>
      <c r="P811" s="222">
        <f t="shared" si="49"/>
        <v>2</v>
      </c>
      <c r="Q811" s="222">
        <f t="shared" si="50"/>
        <v>0</v>
      </c>
      <c r="R811" s="532" t="str">
        <f t="shared" si="51"/>
        <v>Gastos_custeados_por_captação</v>
      </c>
      <c r="S811" s="467" t="s">
        <v>310</v>
      </c>
      <c r="T811" s="467" t="s">
        <v>310</v>
      </c>
      <c r="U811" s="496"/>
      <c r="V811" s="496"/>
      <c r="W811" s="496"/>
    </row>
    <row r="812" spans="1:23" ht="72" x14ac:dyDescent="0.2">
      <c r="A812" s="510">
        <f t="shared" si="48"/>
        <v>809</v>
      </c>
      <c r="B812" s="428">
        <v>44600</v>
      </c>
      <c r="C812" s="424">
        <v>44531</v>
      </c>
      <c r="D812" s="415" t="s">
        <v>468</v>
      </c>
      <c r="E812" s="415" t="s">
        <v>468</v>
      </c>
      <c r="F812" s="459">
        <v>175</v>
      </c>
      <c r="G812" s="399" t="s">
        <v>2860</v>
      </c>
      <c r="H812" s="415" t="s">
        <v>468</v>
      </c>
      <c r="I812" s="398" t="s">
        <v>764</v>
      </c>
      <c r="J812" s="418" t="s">
        <v>310</v>
      </c>
      <c r="K812" s="418" t="s">
        <v>1220</v>
      </c>
      <c r="L812" s="399" t="s">
        <v>1281</v>
      </c>
      <c r="M812" s="464">
        <v>222026783197</v>
      </c>
      <c r="N812" s="469">
        <v>44600</v>
      </c>
      <c r="O812" s="414" t="s">
        <v>407</v>
      </c>
      <c r="P812" s="222">
        <f t="shared" si="49"/>
        <v>2</v>
      </c>
      <c r="Q812" s="222">
        <f t="shared" si="50"/>
        <v>0</v>
      </c>
      <c r="R812" s="532" t="str">
        <f t="shared" si="51"/>
        <v>Gastos_custeados_por_captação</v>
      </c>
      <c r="S812" s="467" t="s">
        <v>310</v>
      </c>
      <c r="T812" s="467" t="s">
        <v>310</v>
      </c>
      <c r="U812" s="496"/>
      <c r="V812" s="496"/>
      <c r="W812" s="496"/>
    </row>
    <row r="813" spans="1:23" ht="72" x14ac:dyDescent="0.2">
      <c r="A813" s="510">
        <f t="shared" si="48"/>
        <v>810</v>
      </c>
      <c r="B813" s="428">
        <v>44600</v>
      </c>
      <c r="C813" s="424">
        <v>44531</v>
      </c>
      <c r="D813" s="415" t="s">
        <v>468</v>
      </c>
      <c r="E813" s="415" t="s">
        <v>468</v>
      </c>
      <c r="F813" s="459">
        <v>150</v>
      </c>
      <c r="G813" s="399" t="s">
        <v>2861</v>
      </c>
      <c r="H813" s="415" t="s">
        <v>468</v>
      </c>
      <c r="I813" s="398" t="s">
        <v>764</v>
      </c>
      <c r="J813" s="418" t="s">
        <v>310</v>
      </c>
      <c r="K813" s="418" t="s">
        <v>1220</v>
      </c>
      <c r="L813" s="399" t="s">
        <v>1281</v>
      </c>
      <c r="M813" s="464">
        <v>222026783510</v>
      </c>
      <c r="N813" s="469">
        <v>44600</v>
      </c>
      <c r="O813" s="414" t="s">
        <v>407</v>
      </c>
      <c r="P813" s="222">
        <f t="shared" si="49"/>
        <v>2</v>
      </c>
      <c r="Q813" s="222">
        <f t="shared" si="50"/>
        <v>0</v>
      </c>
      <c r="R813" s="532" t="str">
        <f t="shared" si="51"/>
        <v>Gastos_custeados_por_captação</v>
      </c>
      <c r="S813" s="467" t="s">
        <v>310</v>
      </c>
      <c r="T813" s="467" t="s">
        <v>310</v>
      </c>
      <c r="U813" s="496"/>
      <c r="V813" s="496"/>
      <c r="W813" s="496"/>
    </row>
    <row r="814" spans="1:23" ht="72" x14ac:dyDescent="0.2">
      <c r="A814" s="510">
        <f t="shared" si="48"/>
        <v>811</v>
      </c>
      <c r="B814" s="428">
        <v>44600</v>
      </c>
      <c r="C814" s="424">
        <v>44531</v>
      </c>
      <c r="D814" s="415" t="s">
        <v>468</v>
      </c>
      <c r="E814" s="415" t="s">
        <v>468</v>
      </c>
      <c r="F814" s="459">
        <v>37.5</v>
      </c>
      <c r="G814" s="399" t="s">
        <v>2862</v>
      </c>
      <c r="H814" s="415" t="s">
        <v>468</v>
      </c>
      <c r="I814" s="398" t="s">
        <v>764</v>
      </c>
      <c r="J814" s="418" t="s">
        <v>310</v>
      </c>
      <c r="K814" s="418" t="s">
        <v>1220</v>
      </c>
      <c r="L814" s="399" t="s">
        <v>1281</v>
      </c>
      <c r="M814" s="464">
        <v>222026783863</v>
      </c>
      <c r="N814" s="469">
        <v>44600</v>
      </c>
      <c r="O814" s="414" t="s">
        <v>407</v>
      </c>
      <c r="P814" s="222">
        <f t="shared" si="49"/>
        <v>2</v>
      </c>
      <c r="Q814" s="222">
        <f t="shared" si="50"/>
        <v>0</v>
      </c>
      <c r="R814" s="532" t="str">
        <f t="shared" si="51"/>
        <v>Gastos_custeados_por_captação</v>
      </c>
      <c r="S814" s="467" t="s">
        <v>310</v>
      </c>
      <c r="T814" s="467" t="s">
        <v>310</v>
      </c>
      <c r="U814" s="496"/>
      <c r="V814" s="496"/>
      <c r="W814" s="496"/>
    </row>
    <row r="815" spans="1:23" ht="72" x14ac:dyDescent="0.2">
      <c r="A815" s="510">
        <f t="shared" si="48"/>
        <v>812</v>
      </c>
      <c r="B815" s="428">
        <v>44600</v>
      </c>
      <c r="C815" s="424">
        <v>44531</v>
      </c>
      <c r="D815" s="415" t="s">
        <v>468</v>
      </c>
      <c r="E815" s="415" t="s">
        <v>468</v>
      </c>
      <c r="F815" s="459">
        <v>500</v>
      </c>
      <c r="G815" s="399" t="s">
        <v>2863</v>
      </c>
      <c r="H815" s="415" t="s">
        <v>468</v>
      </c>
      <c r="I815" s="398" t="s">
        <v>764</v>
      </c>
      <c r="J815" s="418" t="s">
        <v>310</v>
      </c>
      <c r="K815" s="418" t="s">
        <v>1220</v>
      </c>
      <c r="L815" s="399" t="s">
        <v>1281</v>
      </c>
      <c r="M815" s="464">
        <v>222026784754</v>
      </c>
      <c r="N815" s="469">
        <v>44600</v>
      </c>
      <c r="O815" s="414" t="s">
        <v>407</v>
      </c>
      <c r="P815" s="222">
        <f t="shared" si="49"/>
        <v>2</v>
      </c>
      <c r="Q815" s="222">
        <f t="shared" si="50"/>
        <v>0</v>
      </c>
      <c r="R815" s="532" t="str">
        <f t="shared" si="51"/>
        <v>Gastos_custeados_por_captação</v>
      </c>
      <c r="S815" s="467" t="s">
        <v>310</v>
      </c>
      <c r="T815" s="467" t="s">
        <v>310</v>
      </c>
      <c r="U815" s="496"/>
      <c r="V815" s="496"/>
      <c r="W815" s="496"/>
    </row>
    <row r="816" spans="1:23" ht="72" x14ac:dyDescent="0.2">
      <c r="A816" s="510">
        <f t="shared" si="48"/>
        <v>813</v>
      </c>
      <c r="B816" s="428">
        <v>44600</v>
      </c>
      <c r="C816" s="424">
        <v>44531</v>
      </c>
      <c r="D816" s="415" t="s">
        <v>468</v>
      </c>
      <c r="E816" s="415" t="s">
        <v>468</v>
      </c>
      <c r="F816" s="459">
        <v>600</v>
      </c>
      <c r="G816" s="399" t="s">
        <v>2864</v>
      </c>
      <c r="H816" s="415" t="s">
        <v>468</v>
      </c>
      <c r="I816" s="398" t="s">
        <v>764</v>
      </c>
      <c r="J816" s="418" t="s">
        <v>310</v>
      </c>
      <c r="K816" s="418" t="s">
        <v>1220</v>
      </c>
      <c r="L816" s="399" t="s">
        <v>1281</v>
      </c>
      <c r="M816" s="464">
        <v>222026785050</v>
      </c>
      <c r="N816" s="469">
        <v>44600</v>
      </c>
      <c r="O816" s="414" t="s">
        <v>407</v>
      </c>
      <c r="P816" s="222">
        <f t="shared" si="49"/>
        <v>2</v>
      </c>
      <c r="Q816" s="222">
        <f t="shared" si="50"/>
        <v>0</v>
      </c>
      <c r="R816" s="532" t="str">
        <f t="shared" si="51"/>
        <v>Gastos_custeados_por_captação</v>
      </c>
      <c r="S816" s="467" t="s">
        <v>310</v>
      </c>
      <c r="T816" s="467" t="s">
        <v>310</v>
      </c>
      <c r="U816" s="496"/>
      <c r="V816" s="496"/>
      <c r="W816" s="496"/>
    </row>
    <row r="817" spans="1:23" ht="72" x14ac:dyDescent="0.2">
      <c r="A817" s="510">
        <f t="shared" si="48"/>
        <v>814</v>
      </c>
      <c r="B817" s="428">
        <v>44600</v>
      </c>
      <c r="C817" s="424">
        <v>44531</v>
      </c>
      <c r="D817" s="415" t="s">
        <v>468</v>
      </c>
      <c r="E817" s="415" t="s">
        <v>468</v>
      </c>
      <c r="F817" s="459">
        <v>161.87</v>
      </c>
      <c r="G817" s="399" t="s">
        <v>2865</v>
      </c>
      <c r="H817" s="415" t="s">
        <v>468</v>
      </c>
      <c r="I817" s="398" t="s">
        <v>764</v>
      </c>
      <c r="J817" s="418" t="s">
        <v>310</v>
      </c>
      <c r="K817" s="418" t="s">
        <v>1220</v>
      </c>
      <c r="L817" s="399" t="s">
        <v>1281</v>
      </c>
      <c r="M817" s="464">
        <v>222026785645</v>
      </c>
      <c r="N817" s="469">
        <v>44600</v>
      </c>
      <c r="O817" s="414" t="s">
        <v>407</v>
      </c>
      <c r="P817" s="222">
        <f t="shared" si="49"/>
        <v>2</v>
      </c>
      <c r="Q817" s="222">
        <f t="shared" si="50"/>
        <v>0</v>
      </c>
      <c r="R817" s="532" t="str">
        <f t="shared" si="51"/>
        <v>Gastos_custeados_por_captação</v>
      </c>
      <c r="S817" s="467" t="s">
        <v>310</v>
      </c>
      <c r="T817" s="467" t="s">
        <v>310</v>
      </c>
      <c r="U817" s="496"/>
      <c r="V817" s="496"/>
      <c r="W817" s="496"/>
    </row>
    <row r="818" spans="1:23" ht="72" x14ac:dyDescent="0.2">
      <c r="A818" s="510">
        <f t="shared" si="48"/>
        <v>815</v>
      </c>
      <c r="B818" s="428">
        <v>44600</v>
      </c>
      <c r="C818" s="424">
        <v>44531</v>
      </c>
      <c r="D818" s="415" t="s">
        <v>468</v>
      </c>
      <c r="E818" s="415" t="s">
        <v>468</v>
      </c>
      <c r="F818" s="459">
        <v>731.4</v>
      </c>
      <c r="G818" s="399" t="s">
        <v>2866</v>
      </c>
      <c r="H818" s="415" t="s">
        <v>468</v>
      </c>
      <c r="I818" s="398" t="s">
        <v>764</v>
      </c>
      <c r="J818" s="418" t="s">
        <v>310</v>
      </c>
      <c r="K818" s="418" t="s">
        <v>1220</v>
      </c>
      <c r="L818" s="399" t="s">
        <v>1281</v>
      </c>
      <c r="M818" s="464">
        <v>222026786102</v>
      </c>
      <c r="N818" s="469">
        <v>44600</v>
      </c>
      <c r="O818" s="414" t="s">
        <v>407</v>
      </c>
      <c r="P818" s="222">
        <f t="shared" si="49"/>
        <v>2</v>
      </c>
      <c r="Q818" s="222">
        <f t="shared" si="50"/>
        <v>0</v>
      </c>
      <c r="R818" s="532" t="str">
        <f t="shared" si="51"/>
        <v>Gastos_custeados_por_captação</v>
      </c>
      <c r="S818" s="467" t="s">
        <v>310</v>
      </c>
      <c r="T818" s="467" t="s">
        <v>310</v>
      </c>
      <c r="U818" s="496"/>
      <c r="V818" s="496"/>
      <c r="W818" s="496"/>
    </row>
    <row r="819" spans="1:23" ht="72" x14ac:dyDescent="0.2">
      <c r="A819" s="510">
        <f t="shared" si="48"/>
        <v>816</v>
      </c>
      <c r="B819" s="428">
        <v>44600</v>
      </c>
      <c r="C819" s="424">
        <v>44531</v>
      </c>
      <c r="D819" s="415" t="s">
        <v>468</v>
      </c>
      <c r="E819" s="415" t="s">
        <v>468</v>
      </c>
      <c r="F819" s="459">
        <v>252</v>
      </c>
      <c r="G819" s="399" t="s">
        <v>2867</v>
      </c>
      <c r="H819" s="415" t="s">
        <v>468</v>
      </c>
      <c r="I819" s="398" t="s">
        <v>764</v>
      </c>
      <c r="J819" s="418" t="s">
        <v>310</v>
      </c>
      <c r="K819" s="418" t="s">
        <v>1220</v>
      </c>
      <c r="L819" s="399" t="s">
        <v>1281</v>
      </c>
      <c r="M819" s="464">
        <v>222026786455</v>
      </c>
      <c r="N819" s="469">
        <v>44600</v>
      </c>
      <c r="O819" s="414" t="s">
        <v>407</v>
      </c>
      <c r="P819" s="222">
        <f t="shared" si="49"/>
        <v>2</v>
      </c>
      <c r="Q819" s="222">
        <f t="shared" si="50"/>
        <v>0</v>
      </c>
      <c r="R819" s="532" t="str">
        <f t="shared" si="51"/>
        <v>Gastos_custeados_por_captação</v>
      </c>
      <c r="S819" s="467" t="s">
        <v>310</v>
      </c>
      <c r="T819" s="467" t="s">
        <v>310</v>
      </c>
      <c r="U819" s="496"/>
      <c r="V819" s="496"/>
      <c r="W819" s="496"/>
    </row>
    <row r="820" spans="1:23" ht="72" x14ac:dyDescent="0.2">
      <c r="A820" s="510">
        <f t="shared" si="48"/>
        <v>817</v>
      </c>
      <c r="B820" s="428">
        <v>44600</v>
      </c>
      <c r="C820" s="424">
        <v>44531</v>
      </c>
      <c r="D820" s="415" t="s">
        <v>468</v>
      </c>
      <c r="E820" s="415" t="s">
        <v>468</v>
      </c>
      <c r="F820" s="459">
        <v>140.69999999999999</v>
      </c>
      <c r="G820" s="399" t="s">
        <v>2868</v>
      </c>
      <c r="H820" s="415" t="s">
        <v>468</v>
      </c>
      <c r="I820" s="398" t="s">
        <v>764</v>
      </c>
      <c r="J820" s="418" t="s">
        <v>310</v>
      </c>
      <c r="K820" s="418" t="s">
        <v>1220</v>
      </c>
      <c r="L820" s="399" t="s">
        <v>1281</v>
      </c>
      <c r="M820" s="464">
        <v>222026786960</v>
      </c>
      <c r="N820" s="469">
        <v>44600</v>
      </c>
      <c r="O820" s="414" t="s">
        <v>407</v>
      </c>
      <c r="P820" s="222">
        <f t="shared" si="49"/>
        <v>2</v>
      </c>
      <c r="Q820" s="222">
        <f t="shared" si="50"/>
        <v>0</v>
      </c>
      <c r="R820" s="532" t="str">
        <f t="shared" si="51"/>
        <v>Gastos_custeados_por_captação</v>
      </c>
      <c r="S820" s="467" t="s">
        <v>310</v>
      </c>
      <c r="T820" s="467" t="s">
        <v>310</v>
      </c>
      <c r="U820" s="496"/>
      <c r="V820" s="496"/>
      <c r="W820" s="496"/>
    </row>
    <row r="821" spans="1:23" ht="72" x14ac:dyDescent="0.2">
      <c r="A821" s="510">
        <f t="shared" si="48"/>
        <v>818</v>
      </c>
      <c r="B821" s="428">
        <v>44600</v>
      </c>
      <c r="C821" s="424">
        <v>44531</v>
      </c>
      <c r="D821" s="415" t="s">
        <v>468</v>
      </c>
      <c r="E821" s="415" t="s">
        <v>468</v>
      </c>
      <c r="F821" s="459">
        <v>124.04</v>
      </c>
      <c r="G821" s="399" t="s">
        <v>2869</v>
      </c>
      <c r="H821" s="415" t="s">
        <v>468</v>
      </c>
      <c r="I821" s="398" t="s">
        <v>764</v>
      </c>
      <c r="J821" s="418" t="s">
        <v>310</v>
      </c>
      <c r="K821" s="418" t="s">
        <v>1220</v>
      </c>
      <c r="L821" s="399" t="s">
        <v>1281</v>
      </c>
      <c r="M821" s="464">
        <v>222026787265</v>
      </c>
      <c r="N821" s="469">
        <v>44600</v>
      </c>
      <c r="O821" s="414" t="s">
        <v>407</v>
      </c>
      <c r="P821" s="222">
        <f t="shared" si="49"/>
        <v>2</v>
      </c>
      <c r="Q821" s="222">
        <f t="shared" si="50"/>
        <v>0</v>
      </c>
      <c r="R821" s="532" t="str">
        <f t="shared" si="51"/>
        <v>Gastos_custeados_por_captação</v>
      </c>
      <c r="S821" s="467" t="s">
        <v>310</v>
      </c>
      <c r="T821" s="467" t="s">
        <v>310</v>
      </c>
      <c r="U821" s="496"/>
      <c r="V821" s="496"/>
      <c r="W821" s="496"/>
    </row>
    <row r="822" spans="1:23" ht="72" x14ac:dyDescent="0.2">
      <c r="A822" s="510">
        <f t="shared" si="48"/>
        <v>819</v>
      </c>
      <c r="B822" s="428">
        <v>44600</v>
      </c>
      <c r="C822" s="424">
        <v>44531</v>
      </c>
      <c r="D822" s="415" t="s">
        <v>468</v>
      </c>
      <c r="E822" s="415" t="s">
        <v>468</v>
      </c>
      <c r="F822" s="459">
        <v>108</v>
      </c>
      <c r="G822" s="399" t="s">
        <v>2870</v>
      </c>
      <c r="H822" s="415" t="s">
        <v>468</v>
      </c>
      <c r="I822" s="398" t="s">
        <v>764</v>
      </c>
      <c r="J822" s="418" t="s">
        <v>310</v>
      </c>
      <c r="K822" s="418" t="s">
        <v>1220</v>
      </c>
      <c r="L822" s="399" t="s">
        <v>1281</v>
      </c>
      <c r="M822" s="464">
        <v>222026787699</v>
      </c>
      <c r="N822" s="469">
        <v>44600</v>
      </c>
      <c r="O822" s="414" t="s">
        <v>407</v>
      </c>
      <c r="P822" s="222">
        <f t="shared" si="49"/>
        <v>2</v>
      </c>
      <c r="Q822" s="222">
        <f t="shared" si="50"/>
        <v>0</v>
      </c>
      <c r="R822" s="532" t="str">
        <f t="shared" si="51"/>
        <v>Gastos_custeados_por_captação</v>
      </c>
      <c r="S822" s="467" t="s">
        <v>310</v>
      </c>
      <c r="T822" s="467" t="s">
        <v>310</v>
      </c>
      <c r="U822" s="496"/>
      <c r="V822" s="496"/>
      <c r="W822" s="496"/>
    </row>
    <row r="823" spans="1:23" ht="72" x14ac:dyDescent="0.2">
      <c r="A823" s="510">
        <f t="shared" si="48"/>
        <v>820</v>
      </c>
      <c r="B823" s="428">
        <v>44600</v>
      </c>
      <c r="C823" s="424">
        <v>44531</v>
      </c>
      <c r="D823" s="415" t="s">
        <v>468</v>
      </c>
      <c r="E823" s="415" t="s">
        <v>468</v>
      </c>
      <c r="F823" s="459">
        <v>27.1</v>
      </c>
      <c r="G823" s="399" t="s">
        <v>2871</v>
      </c>
      <c r="H823" s="415" t="s">
        <v>468</v>
      </c>
      <c r="I823" s="398" t="s">
        <v>764</v>
      </c>
      <c r="J823" s="418" t="s">
        <v>310</v>
      </c>
      <c r="K823" s="418" t="s">
        <v>1220</v>
      </c>
      <c r="L823" s="399" t="s">
        <v>1281</v>
      </c>
      <c r="M823" s="464">
        <v>222026788075</v>
      </c>
      <c r="N823" s="469">
        <v>44600</v>
      </c>
      <c r="O823" s="414" t="s">
        <v>407</v>
      </c>
      <c r="P823" s="222">
        <f t="shared" si="49"/>
        <v>2</v>
      </c>
      <c r="Q823" s="222">
        <f t="shared" si="50"/>
        <v>0</v>
      </c>
      <c r="R823" s="532" t="str">
        <f t="shared" si="51"/>
        <v>Gastos_custeados_por_captação</v>
      </c>
      <c r="S823" s="467" t="s">
        <v>310</v>
      </c>
      <c r="T823" s="467" t="s">
        <v>310</v>
      </c>
      <c r="U823" s="496"/>
      <c r="V823" s="496"/>
      <c r="W823" s="496"/>
    </row>
    <row r="824" spans="1:23" ht="72" x14ac:dyDescent="0.2">
      <c r="A824" s="510">
        <f t="shared" si="48"/>
        <v>821</v>
      </c>
      <c r="B824" s="428">
        <v>44600</v>
      </c>
      <c r="C824" s="424">
        <v>44531</v>
      </c>
      <c r="D824" s="415" t="s">
        <v>468</v>
      </c>
      <c r="E824" s="415" t="s">
        <v>468</v>
      </c>
      <c r="F824" s="459">
        <v>38.700000000000003</v>
      </c>
      <c r="G824" s="399" t="s">
        <v>2872</v>
      </c>
      <c r="H824" s="415" t="s">
        <v>468</v>
      </c>
      <c r="I824" s="398" t="s">
        <v>764</v>
      </c>
      <c r="J824" s="418" t="s">
        <v>310</v>
      </c>
      <c r="K824" s="418" t="s">
        <v>1220</v>
      </c>
      <c r="L824" s="399" t="s">
        <v>1281</v>
      </c>
      <c r="M824" s="464">
        <v>222026788407</v>
      </c>
      <c r="N824" s="469">
        <v>44600</v>
      </c>
      <c r="O824" s="414" t="s">
        <v>407</v>
      </c>
      <c r="P824" s="222">
        <f t="shared" si="49"/>
        <v>2</v>
      </c>
      <c r="Q824" s="222">
        <f t="shared" si="50"/>
        <v>0</v>
      </c>
      <c r="R824" s="532" t="str">
        <f t="shared" si="51"/>
        <v>Gastos_custeados_por_captação</v>
      </c>
      <c r="S824" s="467" t="s">
        <v>310</v>
      </c>
      <c r="T824" s="467" t="s">
        <v>310</v>
      </c>
      <c r="U824" s="496"/>
      <c r="V824" s="496"/>
      <c r="W824" s="496"/>
    </row>
    <row r="825" spans="1:23" ht="72" x14ac:dyDescent="0.2">
      <c r="A825" s="510">
        <f t="shared" si="48"/>
        <v>822</v>
      </c>
      <c r="B825" s="428">
        <v>44600</v>
      </c>
      <c r="C825" s="424">
        <v>44531</v>
      </c>
      <c r="D825" s="415" t="s">
        <v>468</v>
      </c>
      <c r="E825" s="415" t="s">
        <v>468</v>
      </c>
      <c r="F825" s="459">
        <v>35.090000000000003</v>
      </c>
      <c r="G825" s="399" t="s">
        <v>2873</v>
      </c>
      <c r="H825" s="415" t="s">
        <v>468</v>
      </c>
      <c r="I825" s="398" t="s">
        <v>764</v>
      </c>
      <c r="J825" s="418" t="s">
        <v>310</v>
      </c>
      <c r="K825" s="418" t="s">
        <v>1220</v>
      </c>
      <c r="L825" s="399" t="s">
        <v>1281</v>
      </c>
      <c r="M825" s="464">
        <v>222026788660</v>
      </c>
      <c r="N825" s="469">
        <v>44600</v>
      </c>
      <c r="O825" s="414" t="s">
        <v>407</v>
      </c>
      <c r="P825" s="222">
        <f t="shared" si="49"/>
        <v>2</v>
      </c>
      <c r="Q825" s="222">
        <f t="shared" si="50"/>
        <v>0</v>
      </c>
      <c r="R825" s="532" t="str">
        <f t="shared" si="51"/>
        <v>Gastos_custeados_por_captação</v>
      </c>
      <c r="S825" s="467" t="s">
        <v>310</v>
      </c>
      <c r="T825" s="467" t="s">
        <v>310</v>
      </c>
      <c r="U825" s="496"/>
      <c r="V825" s="496"/>
      <c r="W825" s="496"/>
    </row>
    <row r="826" spans="1:23" ht="72" x14ac:dyDescent="0.2">
      <c r="A826" s="510">
        <f t="shared" si="48"/>
        <v>823</v>
      </c>
      <c r="B826" s="428">
        <v>44600</v>
      </c>
      <c r="C826" s="424">
        <v>44531</v>
      </c>
      <c r="D826" s="415" t="s">
        <v>468</v>
      </c>
      <c r="E826" s="415" t="s">
        <v>468</v>
      </c>
      <c r="F826" s="459">
        <v>6.63</v>
      </c>
      <c r="G826" s="399" t="s">
        <v>2874</v>
      </c>
      <c r="H826" s="415" t="s">
        <v>468</v>
      </c>
      <c r="I826" s="398" t="s">
        <v>764</v>
      </c>
      <c r="J826" s="418" t="s">
        <v>310</v>
      </c>
      <c r="K826" s="418" t="s">
        <v>1220</v>
      </c>
      <c r="L826" s="399" t="s">
        <v>1281</v>
      </c>
      <c r="M826" s="464">
        <v>222026788903</v>
      </c>
      <c r="N826" s="469">
        <v>44600</v>
      </c>
      <c r="O826" s="414" t="s">
        <v>407</v>
      </c>
      <c r="P826" s="222">
        <f t="shared" si="49"/>
        <v>2</v>
      </c>
      <c r="Q826" s="222">
        <f t="shared" si="50"/>
        <v>0</v>
      </c>
      <c r="R826" s="532" t="str">
        <f t="shared" si="51"/>
        <v>Gastos_custeados_por_captação</v>
      </c>
      <c r="S826" s="467" t="s">
        <v>310</v>
      </c>
      <c r="T826" s="467" t="s">
        <v>310</v>
      </c>
      <c r="U826" s="496"/>
      <c r="V826" s="496"/>
      <c r="W826" s="496"/>
    </row>
    <row r="827" spans="1:23" ht="72" x14ac:dyDescent="0.2">
      <c r="A827" s="510">
        <f t="shared" si="48"/>
        <v>824</v>
      </c>
      <c r="B827" s="428">
        <v>44600</v>
      </c>
      <c r="C827" s="424">
        <v>44531</v>
      </c>
      <c r="D827" s="415" t="s">
        <v>468</v>
      </c>
      <c r="E827" s="415" t="s">
        <v>468</v>
      </c>
      <c r="F827" s="459">
        <v>26.8</v>
      </c>
      <c r="G827" s="399" t="s">
        <v>2875</v>
      </c>
      <c r="H827" s="415" t="s">
        <v>468</v>
      </c>
      <c r="I827" s="398" t="s">
        <v>764</v>
      </c>
      <c r="J827" s="418" t="s">
        <v>310</v>
      </c>
      <c r="K827" s="418" t="s">
        <v>1220</v>
      </c>
      <c r="L827" s="399" t="s">
        <v>1281</v>
      </c>
      <c r="M827" s="464">
        <v>222026789047</v>
      </c>
      <c r="N827" s="469">
        <v>44600</v>
      </c>
      <c r="O827" s="414" t="s">
        <v>407</v>
      </c>
      <c r="P827" s="222">
        <f t="shared" si="49"/>
        <v>2</v>
      </c>
      <c r="Q827" s="222">
        <f t="shared" si="50"/>
        <v>0</v>
      </c>
      <c r="R827" s="532" t="str">
        <f t="shared" si="51"/>
        <v>Gastos_custeados_por_captação</v>
      </c>
      <c r="S827" s="467" t="s">
        <v>310</v>
      </c>
      <c r="T827" s="467" t="s">
        <v>310</v>
      </c>
      <c r="U827" s="496"/>
      <c r="V827" s="496"/>
      <c r="W827" s="496"/>
    </row>
    <row r="828" spans="1:23" ht="72" x14ac:dyDescent="0.2">
      <c r="A828" s="510">
        <f t="shared" si="48"/>
        <v>825</v>
      </c>
      <c r="B828" s="428">
        <v>44600</v>
      </c>
      <c r="C828" s="424">
        <v>44531</v>
      </c>
      <c r="D828" s="415" t="s">
        <v>468</v>
      </c>
      <c r="E828" s="415" t="s">
        <v>468</v>
      </c>
      <c r="F828" s="459">
        <v>375.61</v>
      </c>
      <c r="G828" s="399" t="s">
        <v>2876</v>
      </c>
      <c r="H828" s="415" t="s">
        <v>468</v>
      </c>
      <c r="I828" s="398" t="s">
        <v>764</v>
      </c>
      <c r="J828" s="418" t="s">
        <v>310</v>
      </c>
      <c r="K828" s="418" t="s">
        <v>1220</v>
      </c>
      <c r="L828" s="399" t="s">
        <v>1281</v>
      </c>
      <c r="M828" s="464">
        <v>222026789209</v>
      </c>
      <c r="N828" s="469">
        <v>44600</v>
      </c>
      <c r="O828" s="414" t="s">
        <v>407</v>
      </c>
      <c r="P828" s="222">
        <f t="shared" si="49"/>
        <v>2</v>
      </c>
      <c r="Q828" s="222">
        <f t="shared" si="50"/>
        <v>0</v>
      </c>
      <c r="R828" s="532" t="str">
        <f t="shared" si="51"/>
        <v>Gastos_custeados_por_captação</v>
      </c>
      <c r="S828" s="467" t="s">
        <v>310</v>
      </c>
      <c r="T828" s="467" t="s">
        <v>310</v>
      </c>
      <c r="U828" s="496"/>
      <c r="V828" s="496"/>
      <c r="W828" s="496"/>
    </row>
    <row r="829" spans="1:23" ht="72" x14ac:dyDescent="0.2">
      <c r="A829" s="510">
        <f t="shared" si="48"/>
        <v>826</v>
      </c>
      <c r="B829" s="428">
        <v>44600</v>
      </c>
      <c r="C829" s="424">
        <v>44531</v>
      </c>
      <c r="D829" s="415" t="s">
        <v>468</v>
      </c>
      <c r="E829" s="415" t="s">
        <v>468</v>
      </c>
      <c r="F829" s="459">
        <v>5.8</v>
      </c>
      <c r="G829" s="399" t="s">
        <v>2877</v>
      </c>
      <c r="H829" s="415" t="s">
        <v>468</v>
      </c>
      <c r="I829" s="398" t="s">
        <v>764</v>
      </c>
      <c r="J829" s="418" t="s">
        <v>310</v>
      </c>
      <c r="K829" s="418" t="s">
        <v>1220</v>
      </c>
      <c r="L829" s="399" t="s">
        <v>1281</v>
      </c>
      <c r="M829" s="464">
        <v>222026789713</v>
      </c>
      <c r="N829" s="469">
        <v>44600</v>
      </c>
      <c r="O829" s="414" t="s">
        <v>407</v>
      </c>
      <c r="P829" s="222">
        <f t="shared" si="49"/>
        <v>2</v>
      </c>
      <c r="Q829" s="222">
        <f t="shared" si="50"/>
        <v>0</v>
      </c>
      <c r="R829" s="532" t="str">
        <f t="shared" si="51"/>
        <v>Gastos_custeados_por_captação</v>
      </c>
      <c r="S829" s="467" t="s">
        <v>310</v>
      </c>
      <c r="T829" s="467" t="s">
        <v>310</v>
      </c>
      <c r="U829" s="496"/>
      <c r="V829" s="496"/>
      <c r="W829" s="496"/>
    </row>
    <row r="830" spans="1:23" ht="72" x14ac:dyDescent="0.2">
      <c r="A830" s="510">
        <f t="shared" si="48"/>
        <v>827</v>
      </c>
      <c r="B830" s="428">
        <v>44600</v>
      </c>
      <c r="C830" s="424">
        <v>44531</v>
      </c>
      <c r="D830" s="415" t="s">
        <v>468</v>
      </c>
      <c r="E830" s="415" t="s">
        <v>468</v>
      </c>
      <c r="F830" s="459">
        <v>207.99</v>
      </c>
      <c r="G830" s="399" t="s">
        <v>2878</v>
      </c>
      <c r="H830" s="415" t="s">
        <v>468</v>
      </c>
      <c r="I830" s="398" t="s">
        <v>764</v>
      </c>
      <c r="J830" s="418" t="s">
        <v>310</v>
      </c>
      <c r="K830" s="418" t="s">
        <v>1220</v>
      </c>
      <c r="L830" s="399" t="s">
        <v>1281</v>
      </c>
      <c r="M830" s="464">
        <v>222026789802</v>
      </c>
      <c r="N830" s="469">
        <v>44600</v>
      </c>
      <c r="O830" s="414" t="s">
        <v>407</v>
      </c>
      <c r="P830" s="222">
        <f t="shared" si="49"/>
        <v>2</v>
      </c>
      <c r="Q830" s="222">
        <f t="shared" si="50"/>
        <v>0</v>
      </c>
      <c r="R830" s="532" t="str">
        <f t="shared" si="51"/>
        <v>Gastos_custeados_por_captação</v>
      </c>
      <c r="S830" s="467" t="s">
        <v>310</v>
      </c>
      <c r="T830" s="467" t="s">
        <v>310</v>
      </c>
      <c r="U830" s="496"/>
      <c r="V830" s="496"/>
      <c r="W830" s="496"/>
    </row>
    <row r="831" spans="1:23" ht="72" x14ac:dyDescent="0.2">
      <c r="A831" s="510">
        <f t="shared" si="48"/>
        <v>828</v>
      </c>
      <c r="B831" s="428">
        <v>44600</v>
      </c>
      <c r="C831" s="424">
        <v>44531</v>
      </c>
      <c r="D831" s="415" t="s">
        <v>468</v>
      </c>
      <c r="E831" s="415" t="s">
        <v>468</v>
      </c>
      <c r="F831" s="459">
        <v>205.69</v>
      </c>
      <c r="G831" s="399" t="s">
        <v>2879</v>
      </c>
      <c r="H831" s="415" t="s">
        <v>468</v>
      </c>
      <c r="I831" s="398" t="s">
        <v>764</v>
      </c>
      <c r="J831" s="418" t="s">
        <v>310</v>
      </c>
      <c r="K831" s="418" t="s">
        <v>1220</v>
      </c>
      <c r="L831" s="399" t="s">
        <v>1281</v>
      </c>
      <c r="M831" s="464">
        <v>222026790053</v>
      </c>
      <c r="N831" s="469">
        <v>44600</v>
      </c>
      <c r="O831" s="414" t="s">
        <v>407</v>
      </c>
      <c r="P831" s="222">
        <f t="shared" si="49"/>
        <v>2</v>
      </c>
      <c r="Q831" s="222">
        <f t="shared" si="50"/>
        <v>0</v>
      </c>
      <c r="R831" s="532" t="str">
        <f t="shared" si="51"/>
        <v>Gastos_custeados_por_captação</v>
      </c>
      <c r="S831" s="467" t="s">
        <v>310</v>
      </c>
      <c r="T831" s="467" t="s">
        <v>310</v>
      </c>
      <c r="U831" s="496"/>
      <c r="V831" s="496"/>
      <c r="W831" s="496"/>
    </row>
    <row r="832" spans="1:23" ht="72" x14ac:dyDescent="0.2">
      <c r="A832" s="510">
        <f t="shared" si="48"/>
        <v>829</v>
      </c>
      <c r="B832" s="428">
        <v>44600</v>
      </c>
      <c r="C832" s="424">
        <v>44531</v>
      </c>
      <c r="D832" s="415" t="s">
        <v>468</v>
      </c>
      <c r="E832" s="415" t="s">
        <v>468</v>
      </c>
      <c r="F832" s="459">
        <v>47.91</v>
      </c>
      <c r="G832" s="399" t="s">
        <v>2880</v>
      </c>
      <c r="H832" s="415" t="s">
        <v>468</v>
      </c>
      <c r="I832" s="398" t="s">
        <v>764</v>
      </c>
      <c r="J832" s="418" t="s">
        <v>310</v>
      </c>
      <c r="K832" s="418" t="s">
        <v>1220</v>
      </c>
      <c r="L832" s="399" t="s">
        <v>1281</v>
      </c>
      <c r="M832" s="464">
        <v>222026790215</v>
      </c>
      <c r="N832" s="469">
        <v>44600</v>
      </c>
      <c r="O832" s="414" t="s">
        <v>407</v>
      </c>
      <c r="P832" s="222">
        <f t="shared" si="49"/>
        <v>2</v>
      </c>
      <c r="Q832" s="222">
        <f t="shared" si="50"/>
        <v>0</v>
      </c>
      <c r="R832" s="532" t="str">
        <f t="shared" si="51"/>
        <v>Gastos_custeados_por_captação</v>
      </c>
      <c r="S832" s="467" t="s">
        <v>310</v>
      </c>
      <c r="T832" s="467" t="s">
        <v>310</v>
      </c>
      <c r="U832" s="496"/>
      <c r="V832" s="496"/>
      <c r="W832" s="496"/>
    </row>
    <row r="833" spans="1:23" ht="72" x14ac:dyDescent="0.2">
      <c r="A833" s="510">
        <f t="shared" si="48"/>
        <v>830</v>
      </c>
      <c r="B833" s="428">
        <v>44600</v>
      </c>
      <c r="C833" s="424">
        <v>44531</v>
      </c>
      <c r="D833" s="415" t="s">
        <v>468</v>
      </c>
      <c r="E833" s="415" t="s">
        <v>468</v>
      </c>
      <c r="F833" s="459">
        <v>1136.8</v>
      </c>
      <c r="G833" s="399" t="s">
        <v>2881</v>
      </c>
      <c r="H833" s="415" t="s">
        <v>468</v>
      </c>
      <c r="I833" s="398" t="s">
        <v>764</v>
      </c>
      <c r="J833" s="418" t="s">
        <v>310</v>
      </c>
      <c r="K833" s="418" t="s">
        <v>1220</v>
      </c>
      <c r="L833" s="399" t="s">
        <v>1281</v>
      </c>
      <c r="M833" s="464">
        <v>222026790487</v>
      </c>
      <c r="N833" s="469">
        <v>44600</v>
      </c>
      <c r="O833" s="414" t="s">
        <v>407</v>
      </c>
      <c r="P833" s="222">
        <f t="shared" si="49"/>
        <v>2</v>
      </c>
      <c r="Q833" s="222">
        <f t="shared" si="50"/>
        <v>0</v>
      </c>
      <c r="R833" s="532" t="str">
        <f t="shared" si="51"/>
        <v>Gastos_custeados_por_captação</v>
      </c>
      <c r="S833" s="467" t="s">
        <v>310</v>
      </c>
      <c r="T833" s="467" t="s">
        <v>310</v>
      </c>
      <c r="U833" s="496"/>
      <c r="V833" s="496"/>
      <c r="W833" s="496"/>
    </row>
    <row r="834" spans="1:23" ht="156" x14ac:dyDescent="0.2">
      <c r="A834" s="510">
        <f t="shared" si="48"/>
        <v>831</v>
      </c>
      <c r="B834" s="428">
        <v>44600</v>
      </c>
      <c r="C834" s="433">
        <v>44409</v>
      </c>
      <c r="D834" s="415" t="s">
        <v>271</v>
      </c>
      <c r="E834" s="415" t="s">
        <v>297</v>
      </c>
      <c r="F834" s="425">
        <v>1000</v>
      </c>
      <c r="G834" s="427" t="s">
        <v>544</v>
      </c>
      <c r="H834" s="415" t="s">
        <v>751</v>
      </c>
      <c r="I834" s="473" t="s">
        <v>1230</v>
      </c>
      <c r="J834" s="415" t="s">
        <v>1039</v>
      </c>
      <c r="K834" s="415" t="s">
        <v>830</v>
      </c>
      <c r="L834" s="415" t="s">
        <v>807</v>
      </c>
      <c r="M834" s="415" t="s">
        <v>842</v>
      </c>
      <c r="N834" s="414">
        <v>44599</v>
      </c>
      <c r="O834" s="414" t="s">
        <v>400</v>
      </c>
      <c r="P834" s="222">
        <f t="shared" si="49"/>
        <v>2</v>
      </c>
      <c r="Q834" s="222">
        <f t="shared" si="50"/>
        <v>-4</v>
      </c>
      <c r="R834" s="532" t="str">
        <f t="shared" si="51"/>
        <v>Gastos_Gerais</v>
      </c>
      <c r="S834" s="467" t="s">
        <v>1000</v>
      </c>
      <c r="T834" s="467">
        <v>1876</v>
      </c>
      <c r="U834" s="496"/>
      <c r="V834" s="496"/>
      <c r="W834" s="496"/>
    </row>
    <row r="835" spans="1:23" ht="60" x14ac:dyDescent="0.2">
      <c r="A835" s="510">
        <f t="shared" si="48"/>
        <v>832</v>
      </c>
      <c r="B835" s="428">
        <v>44600</v>
      </c>
      <c r="C835" s="431">
        <v>44562</v>
      </c>
      <c r="D835" s="415" t="s">
        <v>468</v>
      </c>
      <c r="E835" s="415" t="s">
        <v>468</v>
      </c>
      <c r="F835" s="425">
        <v>3834.88</v>
      </c>
      <c r="G835" s="427" t="s">
        <v>2375</v>
      </c>
      <c r="H835" s="415" t="s">
        <v>468</v>
      </c>
      <c r="I835" s="398" t="s">
        <v>2376</v>
      </c>
      <c r="J835" s="418" t="s">
        <v>1143</v>
      </c>
      <c r="K835" s="418" t="s">
        <v>830</v>
      </c>
      <c r="L835" s="399" t="s">
        <v>839</v>
      </c>
      <c r="M835" s="544">
        <v>1562</v>
      </c>
      <c r="N835" s="414">
        <v>44599</v>
      </c>
      <c r="O835" s="414" t="s">
        <v>405</v>
      </c>
      <c r="P835" s="222">
        <f t="shared" si="49"/>
        <v>2</v>
      </c>
      <c r="Q835" s="222">
        <f t="shared" si="50"/>
        <v>1</v>
      </c>
      <c r="R835" s="532" t="str">
        <f t="shared" si="51"/>
        <v>Gastos_custeados_por_captação</v>
      </c>
      <c r="S835" s="467" t="s">
        <v>1000</v>
      </c>
      <c r="T835" s="467">
        <v>2781</v>
      </c>
      <c r="U835" s="496"/>
      <c r="V835" s="496"/>
      <c r="W835" s="496"/>
    </row>
    <row r="836" spans="1:23" ht="72" x14ac:dyDescent="0.2">
      <c r="A836" s="510">
        <f t="shared" si="48"/>
        <v>833</v>
      </c>
      <c r="B836" s="428">
        <v>44600</v>
      </c>
      <c r="C836" s="431">
        <v>44562</v>
      </c>
      <c r="D836" s="415" t="s">
        <v>468</v>
      </c>
      <c r="E836" s="415" t="s">
        <v>468</v>
      </c>
      <c r="F836" s="541">
        <v>3866.26</v>
      </c>
      <c r="G836" s="399" t="s">
        <v>715</v>
      </c>
      <c r="H836" s="415" t="s">
        <v>468</v>
      </c>
      <c r="I836" s="398" t="s">
        <v>2576</v>
      </c>
      <c r="J836" s="418" t="s">
        <v>1139</v>
      </c>
      <c r="K836" s="418" t="s">
        <v>830</v>
      </c>
      <c r="L836" s="399" t="s">
        <v>807</v>
      </c>
      <c r="M836" s="415" t="s">
        <v>2168</v>
      </c>
      <c r="N836" s="414">
        <v>44598</v>
      </c>
      <c r="O836" s="414" t="s">
        <v>401</v>
      </c>
      <c r="P836" s="222">
        <f t="shared" si="49"/>
        <v>2</v>
      </c>
      <c r="Q836" s="222">
        <f t="shared" si="50"/>
        <v>1</v>
      </c>
      <c r="R836" s="532" t="str">
        <f t="shared" si="51"/>
        <v>Gastos_custeados_por_captação</v>
      </c>
      <c r="S836" s="467" t="s">
        <v>998</v>
      </c>
      <c r="T836" s="467">
        <v>2718</v>
      </c>
      <c r="U836" s="496"/>
      <c r="V836" s="496"/>
      <c r="W836" s="496"/>
    </row>
    <row r="837" spans="1:23" ht="72" x14ac:dyDescent="0.2">
      <c r="A837" s="510">
        <f t="shared" ref="A837:A900" si="52">IF(B837="","",ROW()-ROW($A$3))</f>
        <v>834</v>
      </c>
      <c r="B837" s="428">
        <v>44600</v>
      </c>
      <c r="C837" s="431">
        <v>44562</v>
      </c>
      <c r="D837" s="415" t="s">
        <v>468</v>
      </c>
      <c r="E837" s="415" t="s">
        <v>468</v>
      </c>
      <c r="F837" s="459">
        <v>2939.7</v>
      </c>
      <c r="G837" s="399" t="s">
        <v>713</v>
      </c>
      <c r="H837" s="415" t="s">
        <v>468</v>
      </c>
      <c r="I837" s="398" t="s">
        <v>2627</v>
      </c>
      <c r="J837" s="418" t="s">
        <v>1137</v>
      </c>
      <c r="K837" s="418" t="s">
        <v>830</v>
      </c>
      <c r="L837" s="399" t="s">
        <v>32</v>
      </c>
      <c r="M837" s="415" t="s">
        <v>1786</v>
      </c>
      <c r="N837" s="414">
        <v>44598</v>
      </c>
      <c r="O837" s="414" t="s">
        <v>402</v>
      </c>
      <c r="P837" s="222">
        <f t="shared" ref="P837:P900" si="53">IF(B837=0,0,IF(YEAR(B837)=$Q$1,MONTH(B837)-$P$1+1,(YEAR(B837)-$Q$1)*12-$P$1+1+MONTH(B837)))</f>
        <v>2</v>
      </c>
      <c r="Q837" s="222">
        <f t="shared" ref="Q837:Q900" si="54">IF(C837=0,0,IF(YEAR(C837)=$Q$1,MONTH(C837)-$P$1+1,(YEAR(C837)-$Q$1)*12-$P$1+1+MONTH(C837)))</f>
        <v>1</v>
      </c>
      <c r="R837" s="532" t="str">
        <f t="shared" ref="R837:R900" si="55">SUBSTITUTE(D837," ","_")</f>
        <v>Gastos_custeados_por_captação</v>
      </c>
      <c r="S837" s="467" t="s">
        <v>1000</v>
      </c>
      <c r="T837" s="467">
        <v>2727</v>
      </c>
      <c r="U837" s="496"/>
      <c r="V837" s="496"/>
      <c r="W837" s="496"/>
    </row>
    <row r="838" spans="1:23" ht="72" x14ac:dyDescent="0.2">
      <c r="A838" s="510">
        <f t="shared" si="52"/>
        <v>835</v>
      </c>
      <c r="B838" s="428">
        <v>44600</v>
      </c>
      <c r="C838" s="431">
        <v>44562</v>
      </c>
      <c r="D838" s="415" t="s">
        <v>468</v>
      </c>
      <c r="E838" s="415" t="s">
        <v>468</v>
      </c>
      <c r="F838" s="459">
        <v>5389.45</v>
      </c>
      <c r="G838" s="399" t="s">
        <v>2519</v>
      </c>
      <c r="H838" s="415" t="s">
        <v>468</v>
      </c>
      <c r="I838" s="398" t="s">
        <v>2628</v>
      </c>
      <c r="J838" s="418" t="s">
        <v>2518</v>
      </c>
      <c r="K838" s="418" t="s">
        <v>830</v>
      </c>
      <c r="L838" s="399" t="s">
        <v>807</v>
      </c>
      <c r="M838" s="415" t="s">
        <v>1308</v>
      </c>
      <c r="N838" s="414">
        <v>44596</v>
      </c>
      <c r="O838" s="414" t="s">
        <v>402</v>
      </c>
      <c r="P838" s="222">
        <f t="shared" si="53"/>
        <v>2</v>
      </c>
      <c r="Q838" s="222">
        <f t="shared" si="54"/>
        <v>1</v>
      </c>
      <c r="R838" s="532" t="str">
        <f t="shared" si="55"/>
        <v>Gastos_custeados_por_captação</v>
      </c>
      <c r="S838" s="467" t="s">
        <v>1000</v>
      </c>
      <c r="T838" s="467">
        <v>1511</v>
      </c>
      <c r="U838" s="496"/>
      <c r="V838" s="496"/>
      <c r="W838" s="496"/>
    </row>
    <row r="839" spans="1:23" ht="48" x14ac:dyDescent="0.2">
      <c r="A839" s="510">
        <f t="shared" si="52"/>
        <v>836</v>
      </c>
      <c r="B839" s="428">
        <v>44601</v>
      </c>
      <c r="C839" s="433">
        <v>44562</v>
      </c>
      <c r="D839" s="415" t="s">
        <v>271</v>
      </c>
      <c r="E839" s="415" t="s">
        <v>2</v>
      </c>
      <c r="F839" s="425">
        <v>-2643.58</v>
      </c>
      <c r="G839" s="427" t="s">
        <v>1685</v>
      </c>
      <c r="H839" s="415" t="s">
        <v>309</v>
      </c>
      <c r="I839" s="473" t="s">
        <v>795</v>
      </c>
      <c r="J839" s="415" t="s">
        <v>796</v>
      </c>
      <c r="K839" s="415" t="s">
        <v>797</v>
      </c>
      <c r="L839" s="415" t="s">
        <v>798</v>
      </c>
      <c r="M839" s="415" t="s">
        <v>310</v>
      </c>
      <c r="N839" s="414">
        <v>44601</v>
      </c>
      <c r="O839" s="414" t="s">
        <v>400</v>
      </c>
      <c r="P839" s="222">
        <f t="shared" si="53"/>
        <v>2</v>
      </c>
      <c r="Q839" s="222">
        <f t="shared" si="54"/>
        <v>1</v>
      </c>
      <c r="R839" s="532" t="str">
        <f t="shared" si="55"/>
        <v>Gastos_Gerais</v>
      </c>
      <c r="S839" s="467" t="s">
        <v>310</v>
      </c>
      <c r="T839" s="467" t="s">
        <v>310</v>
      </c>
      <c r="U839" s="496"/>
      <c r="V839" s="496"/>
      <c r="W839" s="496"/>
    </row>
    <row r="840" spans="1:23" ht="48" x14ac:dyDescent="0.2">
      <c r="A840" s="510">
        <f t="shared" si="52"/>
        <v>837</v>
      </c>
      <c r="B840" s="428">
        <v>44601</v>
      </c>
      <c r="C840" s="433">
        <v>44562</v>
      </c>
      <c r="D840" s="415" t="s">
        <v>271</v>
      </c>
      <c r="E840" s="415" t="s">
        <v>3</v>
      </c>
      <c r="F840" s="425">
        <v>-451.27</v>
      </c>
      <c r="G840" s="427" t="s">
        <v>2135</v>
      </c>
      <c r="H840" s="415" t="s">
        <v>309</v>
      </c>
      <c r="I840" s="473" t="s">
        <v>795</v>
      </c>
      <c r="J840" s="415" t="s">
        <v>796</v>
      </c>
      <c r="K840" s="415" t="s">
        <v>797</v>
      </c>
      <c r="L840" s="415" t="s">
        <v>798</v>
      </c>
      <c r="M840" s="415" t="s">
        <v>310</v>
      </c>
      <c r="N840" s="414">
        <v>44601</v>
      </c>
      <c r="O840" s="414" t="s">
        <v>400</v>
      </c>
      <c r="P840" s="222">
        <f t="shared" si="53"/>
        <v>2</v>
      </c>
      <c r="Q840" s="222">
        <f t="shared" si="54"/>
        <v>1</v>
      </c>
      <c r="R840" s="532" t="str">
        <f t="shared" si="55"/>
        <v>Gastos_Gerais</v>
      </c>
      <c r="S840" s="467" t="s">
        <v>310</v>
      </c>
      <c r="T840" s="467" t="s">
        <v>310</v>
      </c>
      <c r="U840" s="496"/>
      <c r="V840" s="496"/>
      <c r="W840" s="496"/>
    </row>
    <row r="841" spans="1:23" ht="36" x14ac:dyDescent="0.2">
      <c r="A841" s="510">
        <f t="shared" si="52"/>
        <v>838</v>
      </c>
      <c r="B841" s="428">
        <v>44601</v>
      </c>
      <c r="C841" s="424">
        <v>44593</v>
      </c>
      <c r="D841" s="415" t="s">
        <v>271</v>
      </c>
      <c r="E841" s="415" t="s">
        <v>71</v>
      </c>
      <c r="F841" s="425">
        <v>10.45</v>
      </c>
      <c r="G841" s="427" t="s">
        <v>1679</v>
      </c>
      <c r="H841" s="415" t="s">
        <v>752</v>
      </c>
      <c r="I841" s="398" t="s">
        <v>881</v>
      </c>
      <c r="J841" s="418" t="s">
        <v>882</v>
      </c>
      <c r="K841" s="418" t="s">
        <v>883</v>
      </c>
      <c r="L841" s="399" t="s">
        <v>798</v>
      </c>
      <c r="M841" s="544" t="s">
        <v>310</v>
      </c>
      <c r="N841" s="414">
        <v>44601</v>
      </c>
      <c r="O841" s="414" t="s">
        <v>400</v>
      </c>
      <c r="P841" s="222">
        <f t="shared" si="53"/>
        <v>2</v>
      </c>
      <c r="Q841" s="222">
        <f t="shared" si="54"/>
        <v>2</v>
      </c>
      <c r="R841" s="532" t="str">
        <f t="shared" si="55"/>
        <v>Gastos_Gerais</v>
      </c>
      <c r="S841" s="467" t="s">
        <v>310</v>
      </c>
      <c r="T841" s="467" t="s">
        <v>310</v>
      </c>
      <c r="U841" s="496"/>
      <c r="V841" s="496"/>
      <c r="W841" s="496"/>
    </row>
    <row r="842" spans="1:23" ht="36" x14ac:dyDescent="0.2">
      <c r="A842" s="510">
        <f t="shared" si="52"/>
        <v>839</v>
      </c>
      <c r="B842" s="428">
        <v>44601</v>
      </c>
      <c r="C842" s="424">
        <v>44593</v>
      </c>
      <c r="D842" s="415" t="s">
        <v>271</v>
      </c>
      <c r="E842" s="415" t="s">
        <v>71</v>
      </c>
      <c r="F842" s="425">
        <v>10.45</v>
      </c>
      <c r="G842" s="427" t="s">
        <v>1681</v>
      </c>
      <c r="H842" s="415" t="s">
        <v>749</v>
      </c>
      <c r="I842" s="398" t="s">
        <v>881</v>
      </c>
      <c r="J842" s="418" t="s">
        <v>882</v>
      </c>
      <c r="K842" s="418" t="s">
        <v>883</v>
      </c>
      <c r="L842" s="399" t="s">
        <v>798</v>
      </c>
      <c r="M842" s="544" t="s">
        <v>310</v>
      </c>
      <c r="N842" s="414">
        <v>44601</v>
      </c>
      <c r="O842" s="414" t="s">
        <v>400</v>
      </c>
      <c r="P842" s="222">
        <f t="shared" si="53"/>
        <v>2</v>
      </c>
      <c r="Q842" s="222">
        <f t="shared" si="54"/>
        <v>2</v>
      </c>
      <c r="R842" s="532" t="str">
        <f t="shared" si="55"/>
        <v>Gastos_Gerais</v>
      </c>
      <c r="S842" s="467" t="s">
        <v>310</v>
      </c>
      <c r="T842" s="467" t="s">
        <v>310</v>
      </c>
      <c r="U842" s="496"/>
      <c r="V842" s="496"/>
      <c r="W842" s="496"/>
    </row>
    <row r="843" spans="1:23" ht="36" x14ac:dyDescent="0.2">
      <c r="A843" s="510">
        <f t="shared" si="52"/>
        <v>840</v>
      </c>
      <c r="B843" s="428">
        <v>44601</v>
      </c>
      <c r="C843" s="424">
        <v>44593</v>
      </c>
      <c r="D843" s="415" t="s">
        <v>271</v>
      </c>
      <c r="E843" s="415" t="s">
        <v>71</v>
      </c>
      <c r="F843" s="425">
        <v>10.45</v>
      </c>
      <c r="G843" s="437" t="s">
        <v>1931</v>
      </c>
      <c r="H843" s="415" t="s">
        <v>309</v>
      </c>
      <c r="I843" s="398" t="s">
        <v>881</v>
      </c>
      <c r="J843" s="418" t="s">
        <v>882</v>
      </c>
      <c r="K843" s="418" t="s">
        <v>883</v>
      </c>
      <c r="L843" s="399" t="s">
        <v>798</v>
      </c>
      <c r="M843" s="544" t="s">
        <v>310</v>
      </c>
      <c r="N843" s="414">
        <v>44601</v>
      </c>
      <c r="O843" s="414" t="s">
        <v>400</v>
      </c>
      <c r="P843" s="222">
        <f t="shared" si="53"/>
        <v>2</v>
      </c>
      <c r="Q843" s="222">
        <f t="shared" si="54"/>
        <v>2</v>
      </c>
      <c r="R843" s="532" t="str">
        <f t="shared" si="55"/>
        <v>Gastos_Gerais</v>
      </c>
      <c r="S843" s="467" t="s">
        <v>310</v>
      </c>
      <c r="T843" s="467" t="s">
        <v>310</v>
      </c>
      <c r="U843" s="496"/>
      <c r="V843" s="496"/>
      <c r="W843" s="496"/>
    </row>
    <row r="844" spans="1:23" ht="36" x14ac:dyDescent="0.2">
      <c r="A844" s="510">
        <f t="shared" si="52"/>
        <v>841</v>
      </c>
      <c r="B844" s="428">
        <v>44601</v>
      </c>
      <c r="C844" s="431">
        <v>44562</v>
      </c>
      <c r="D844" s="415" t="s">
        <v>271</v>
      </c>
      <c r="E844" s="415" t="s">
        <v>453</v>
      </c>
      <c r="F844" s="425">
        <v>103.2</v>
      </c>
      <c r="G844" s="427" t="s">
        <v>740</v>
      </c>
      <c r="H844" s="415" t="s">
        <v>749</v>
      </c>
      <c r="I844" s="473" t="s">
        <v>1667</v>
      </c>
      <c r="J844" s="415" t="s">
        <v>1158</v>
      </c>
      <c r="K844" s="415" t="s">
        <v>806</v>
      </c>
      <c r="L844" s="415" t="s">
        <v>839</v>
      </c>
      <c r="M844" s="415">
        <v>1566</v>
      </c>
      <c r="N844" s="414">
        <v>44599</v>
      </c>
      <c r="O844" s="414" t="s">
        <v>400</v>
      </c>
      <c r="P844" s="222">
        <f t="shared" si="53"/>
        <v>2</v>
      </c>
      <c r="Q844" s="222">
        <f t="shared" si="54"/>
        <v>1</v>
      </c>
      <c r="R844" s="532" t="str">
        <f t="shared" si="55"/>
        <v>Gastos_Gerais</v>
      </c>
      <c r="S844" s="467" t="s">
        <v>998</v>
      </c>
      <c r="T844" s="467">
        <v>2806</v>
      </c>
      <c r="U844" s="496"/>
      <c r="V844" s="496"/>
      <c r="W844" s="496"/>
    </row>
    <row r="845" spans="1:23" ht="36" x14ac:dyDescent="0.2">
      <c r="A845" s="510">
        <f t="shared" si="52"/>
        <v>842</v>
      </c>
      <c r="B845" s="428">
        <v>44601</v>
      </c>
      <c r="C845" s="431">
        <v>44562</v>
      </c>
      <c r="D845" s="415" t="s">
        <v>271</v>
      </c>
      <c r="E845" s="415" t="s">
        <v>453</v>
      </c>
      <c r="F845" s="425">
        <v>206.4</v>
      </c>
      <c r="G845" s="427" t="s">
        <v>741</v>
      </c>
      <c r="H845" s="415" t="s">
        <v>749</v>
      </c>
      <c r="I845" s="473" t="s">
        <v>1669</v>
      </c>
      <c r="J845" s="415" t="s">
        <v>1159</v>
      </c>
      <c r="K845" s="415" t="s">
        <v>806</v>
      </c>
      <c r="L845" s="415" t="s">
        <v>839</v>
      </c>
      <c r="M845" s="415">
        <v>1565</v>
      </c>
      <c r="N845" s="414">
        <v>44599</v>
      </c>
      <c r="O845" s="414" t="s">
        <v>400</v>
      </c>
      <c r="P845" s="222">
        <f t="shared" si="53"/>
        <v>2</v>
      </c>
      <c r="Q845" s="222">
        <f t="shared" si="54"/>
        <v>1</v>
      </c>
      <c r="R845" s="532" t="str">
        <f t="shared" si="55"/>
        <v>Gastos_Gerais</v>
      </c>
      <c r="S845" s="467" t="s">
        <v>998</v>
      </c>
      <c r="T845" s="467">
        <v>2807</v>
      </c>
      <c r="U845" s="496"/>
      <c r="V845" s="496"/>
      <c r="W845" s="496"/>
    </row>
    <row r="846" spans="1:23" ht="36" x14ac:dyDescent="0.2">
      <c r="A846" s="510">
        <f t="shared" si="52"/>
        <v>843</v>
      </c>
      <c r="B846" s="428">
        <v>44601</v>
      </c>
      <c r="C846" s="431">
        <v>44562</v>
      </c>
      <c r="D846" s="415" t="s">
        <v>271</v>
      </c>
      <c r="E846" s="415" t="s">
        <v>453</v>
      </c>
      <c r="F846" s="425">
        <v>534</v>
      </c>
      <c r="G846" s="427" t="s">
        <v>742</v>
      </c>
      <c r="H846" s="415" t="s">
        <v>749</v>
      </c>
      <c r="I846" s="473" t="s">
        <v>1671</v>
      </c>
      <c r="J846" s="415" t="s">
        <v>1160</v>
      </c>
      <c r="K846" s="415" t="s">
        <v>806</v>
      </c>
      <c r="L846" s="415" t="s">
        <v>839</v>
      </c>
      <c r="M846" s="415">
        <v>1563</v>
      </c>
      <c r="N846" s="414">
        <v>44599</v>
      </c>
      <c r="O846" s="414" t="s">
        <v>400</v>
      </c>
      <c r="P846" s="222">
        <f t="shared" si="53"/>
        <v>2</v>
      </c>
      <c r="Q846" s="222">
        <f t="shared" si="54"/>
        <v>1</v>
      </c>
      <c r="R846" s="532" t="str">
        <f t="shared" si="55"/>
        <v>Gastos_Gerais</v>
      </c>
      <c r="S846" s="467" t="s">
        <v>998</v>
      </c>
      <c r="T846" s="467">
        <v>2787</v>
      </c>
      <c r="U846" s="496"/>
      <c r="V846" s="496"/>
      <c r="W846" s="496"/>
    </row>
    <row r="847" spans="1:23" ht="60" x14ac:dyDescent="0.2">
      <c r="A847" s="510">
        <f t="shared" si="52"/>
        <v>844</v>
      </c>
      <c r="B847" s="428">
        <v>44601</v>
      </c>
      <c r="C847" s="431">
        <v>44562</v>
      </c>
      <c r="D847" s="415" t="s">
        <v>271</v>
      </c>
      <c r="E847" s="415" t="s">
        <v>453</v>
      </c>
      <c r="F847" s="425">
        <v>1998.6</v>
      </c>
      <c r="G847" s="427" t="s">
        <v>607</v>
      </c>
      <c r="H847" s="415" t="s">
        <v>752</v>
      </c>
      <c r="I847" s="473" t="s">
        <v>1267</v>
      </c>
      <c r="J847" s="415" t="s">
        <v>1059</v>
      </c>
      <c r="K847" s="415" t="s">
        <v>806</v>
      </c>
      <c r="L847" s="415" t="s">
        <v>839</v>
      </c>
      <c r="M847" s="415">
        <v>1568</v>
      </c>
      <c r="N847" s="414">
        <v>44599</v>
      </c>
      <c r="O847" s="414" t="s">
        <v>400</v>
      </c>
      <c r="P847" s="222">
        <f t="shared" si="53"/>
        <v>2</v>
      </c>
      <c r="Q847" s="222">
        <f t="shared" si="54"/>
        <v>1</v>
      </c>
      <c r="R847" s="532" t="str">
        <f t="shared" si="55"/>
        <v>Gastos_Gerais</v>
      </c>
      <c r="S847" s="467" t="s">
        <v>1000</v>
      </c>
      <c r="T847" s="467">
        <v>2550</v>
      </c>
      <c r="U847" s="496"/>
      <c r="V847" s="496"/>
      <c r="W847" s="496"/>
    </row>
    <row r="848" spans="1:23" ht="60" x14ac:dyDescent="0.2">
      <c r="A848" s="510">
        <f t="shared" si="52"/>
        <v>845</v>
      </c>
      <c r="B848" s="428">
        <v>44601</v>
      </c>
      <c r="C848" s="431">
        <v>44562</v>
      </c>
      <c r="D848" s="415" t="s">
        <v>271</v>
      </c>
      <c r="E848" s="415" t="s">
        <v>453</v>
      </c>
      <c r="F848" s="425">
        <v>537.6</v>
      </c>
      <c r="G848" s="427" t="s">
        <v>613</v>
      </c>
      <c r="H848" s="415" t="s">
        <v>752</v>
      </c>
      <c r="I848" s="473" t="s">
        <v>1226</v>
      </c>
      <c r="J848" s="415" t="s">
        <v>1061</v>
      </c>
      <c r="K848" s="415" t="s">
        <v>830</v>
      </c>
      <c r="L848" s="415" t="s">
        <v>839</v>
      </c>
      <c r="M848" s="415">
        <v>1567</v>
      </c>
      <c r="N848" s="414">
        <v>44599</v>
      </c>
      <c r="O848" s="414" t="s">
        <v>400</v>
      </c>
      <c r="P848" s="222">
        <f t="shared" si="53"/>
        <v>2</v>
      </c>
      <c r="Q848" s="222">
        <f t="shared" si="54"/>
        <v>1</v>
      </c>
      <c r="R848" s="532" t="str">
        <f t="shared" si="55"/>
        <v>Gastos_Gerais</v>
      </c>
      <c r="S848" s="467" t="s">
        <v>998</v>
      </c>
      <c r="T848" s="467">
        <v>2551</v>
      </c>
      <c r="U848" s="496"/>
      <c r="V848" s="496"/>
      <c r="W848" s="496"/>
    </row>
    <row r="849" spans="1:23" ht="36" x14ac:dyDescent="0.2">
      <c r="A849" s="510">
        <f t="shared" si="52"/>
        <v>846</v>
      </c>
      <c r="B849" s="428">
        <v>44601</v>
      </c>
      <c r="C849" s="431">
        <v>44562</v>
      </c>
      <c r="D849" s="415" t="s">
        <v>271</v>
      </c>
      <c r="E849" s="415" t="s">
        <v>456</v>
      </c>
      <c r="F849" s="425">
        <v>206.4</v>
      </c>
      <c r="G849" s="427" t="s">
        <v>745</v>
      </c>
      <c r="H849" s="415" t="s">
        <v>749</v>
      </c>
      <c r="I849" s="473" t="s">
        <v>1680</v>
      </c>
      <c r="J849" s="415" t="s">
        <v>1164</v>
      </c>
      <c r="K849" s="415" t="s">
        <v>830</v>
      </c>
      <c r="L849" s="415" t="s">
        <v>839</v>
      </c>
      <c r="M849" s="415">
        <v>1564</v>
      </c>
      <c r="N849" s="414">
        <v>44599</v>
      </c>
      <c r="O849" s="414" t="s">
        <v>400</v>
      </c>
      <c r="P849" s="222">
        <f t="shared" si="53"/>
        <v>2</v>
      </c>
      <c r="Q849" s="222">
        <f t="shared" si="54"/>
        <v>1</v>
      </c>
      <c r="R849" s="532" t="str">
        <f t="shared" si="55"/>
        <v>Gastos_Gerais</v>
      </c>
      <c r="S849" s="467" t="s">
        <v>998</v>
      </c>
      <c r="T849" s="467">
        <v>2805</v>
      </c>
      <c r="U849" s="496"/>
      <c r="V849" s="496"/>
      <c r="W849" s="496"/>
    </row>
    <row r="850" spans="1:23" ht="96" x14ac:dyDescent="0.2">
      <c r="A850" s="510">
        <f t="shared" si="52"/>
        <v>847</v>
      </c>
      <c r="B850" s="428">
        <v>44601</v>
      </c>
      <c r="C850" s="424">
        <v>44562</v>
      </c>
      <c r="D850" s="415" t="s">
        <v>271</v>
      </c>
      <c r="E850" s="415" t="s">
        <v>92</v>
      </c>
      <c r="F850" s="425">
        <v>250</v>
      </c>
      <c r="G850" s="427" t="s">
        <v>1684</v>
      </c>
      <c r="H850" s="415" t="s">
        <v>309</v>
      </c>
      <c r="I850" s="473" t="s">
        <v>1304</v>
      </c>
      <c r="J850" s="415" t="s">
        <v>1033</v>
      </c>
      <c r="K850" s="415" t="s">
        <v>830</v>
      </c>
      <c r="L850" s="415" t="s">
        <v>1305</v>
      </c>
      <c r="M850" s="415" t="s">
        <v>310</v>
      </c>
      <c r="N850" s="414">
        <v>44593</v>
      </c>
      <c r="O850" s="414" t="s">
        <v>400</v>
      </c>
      <c r="P850" s="222">
        <f t="shared" si="53"/>
        <v>2</v>
      </c>
      <c r="Q850" s="222">
        <f t="shared" si="54"/>
        <v>1</v>
      </c>
      <c r="R850" s="532" t="str">
        <f t="shared" si="55"/>
        <v>Gastos_Gerais</v>
      </c>
      <c r="S850" s="467" t="s">
        <v>1000</v>
      </c>
      <c r="T850" s="489">
        <v>2842</v>
      </c>
      <c r="U850" s="496"/>
      <c r="V850" s="496"/>
      <c r="W850" s="496"/>
    </row>
    <row r="851" spans="1:23" ht="24" x14ac:dyDescent="0.2">
      <c r="A851" s="510">
        <f t="shared" si="52"/>
        <v>848</v>
      </c>
      <c r="B851" s="428">
        <v>44601</v>
      </c>
      <c r="C851" s="433">
        <v>44562</v>
      </c>
      <c r="D851" s="415" t="s">
        <v>271</v>
      </c>
      <c r="E851" s="415" t="s">
        <v>2</v>
      </c>
      <c r="F851" s="425">
        <v>8128.76</v>
      </c>
      <c r="G851" s="437" t="s">
        <v>496</v>
      </c>
      <c r="H851" s="415" t="s">
        <v>309</v>
      </c>
      <c r="I851" s="474" t="s">
        <v>767</v>
      </c>
      <c r="J851" s="434" t="s">
        <v>1020</v>
      </c>
      <c r="K851" s="415" t="s">
        <v>812</v>
      </c>
      <c r="L851" s="415" t="s">
        <v>1305</v>
      </c>
      <c r="M851" s="415">
        <v>2</v>
      </c>
      <c r="N851" s="414">
        <v>44580</v>
      </c>
      <c r="O851" s="414" t="s">
        <v>400</v>
      </c>
      <c r="P851" s="222">
        <f t="shared" si="53"/>
        <v>2</v>
      </c>
      <c r="Q851" s="222">
        <f t="shared" si="54"/>
        <v>1</v>
      </c>
      <c r="R851" s="532" t="str">
        <f t="shared" si="55"/>
        <v>Gastos_Gerais</v>
      </c>
      <c r="S851" s="467" t="s">
        <v>310</v>
      </c>
      <c r="T851" s="467" t="s">
        <v>310</v>
      </c>
      <c r="U851" s="496"/>
      <c r="V851" s="496"/>
      <c r="W851" s="496"/>
    </row>
    <row r="852" spans="1:23" ht="24" x14ac:dyDescent="0.2">
      <c r="A852" s="510">
        <f t="shared" si="52"/>
        <v>849</v>
      </c>
      <c r="B852" s="428">
        <v>44601</v>
      </c>
      <c r="C852" s="433">
        <v>44562</v>
      </c>
      <c r="D852" s="415" t="s">
        <v>271</v>
      </c>
      <c r="E852" s="415" t="s">
        <v>3</v>
      </c>
      <c r="F852" s="425">
        <v>1708.71</v>
      </c>
      <c r="G852" s="437" t="s">
        <v>1695</v>
      </c>
      <c r="H852" s="415" t="s">
        <v>309</v>
      </c>
      <c r="I852" s="474" t="s">
        <v>767</v>
      </c>
      <c r="J852" s="434" t="s">
        <v>1020</v>
      </c>
      <c r="K852" s="415" t="s">
        <v>812</v>
      </c>
      <c r="L852" s="415" t="s">
        <v>1305</v>
      </c>
      <c r="M852" s="415">
        <v>2</v>
      </c>
      <c r="N852" s="414">
        <v>44580</v>
      </c>
      <c r="O852" s="414" t="s">
        <v>400</v>
      </c>
      <c r="P852" s="222">
        <f t="shared" si="53"/>
        <v>2</v>
      </c>
      <c r="Q852" s="222">
        <f t="shared" si="54"/>
        <v>1</v>
      </c>
      <c r="R852" s="532" t="str">
        <f t="shared" si="55"/>
        <v>Gastos_Gerais</v>
      </c>
      <c r="S852" s="467" t="s">
        <v>310</v>
      </c>
      <c r="T852" s="467" t="s">
        <v>310</v>
      </c>
      <c r="U852" s="496"/>
      <c r="V852" s="496"/>
      <c r="W852" s="496"/>
    </row>
    <row r="853" spans="1:23" ht="72" x14ac:dyDescent="0.2">
      <c r="A853" s="510">
        <f t="shared" si="52"/>
        <v>850</v>
      </c>
      <c r="B853" s="428">
        <v>44602</v>
      </c>
      <c r="C853" s="424">
        <v>44593</v>
      </c>
      <c r="D853" s="415" t="s">
        <v>468</v>
      </c>
      <c r="E853" s="415" t="s">
        <v>468</v>
      </c>
      <c r="F853" s="459">
        <v>153</v>
      </c>
      <c r="G853" s="427" t="s">
        <v>880</v>
      </c>
      <c r="H853" s="415" t="s">
        <v>468</v>
      </c>
      <c r="I853" s="398" t="s">
        <v>881</v>
      </c>
      <c r="J853" s="418" t="s">
        <v>882</v>
      </c>
      <c r="K853" s="418" t="s">
        <v>883</v>
      </c>
      <c r="L853" s="399" t="s">
        <v>798</v>
      </c>
      <c r="M853" s="544" t="s">
        <v>310</v>
      </c>
      <c r="N853" s="414">
        <v>44606</v>
      </c>
      <c r="O853" s="414" t="s">
        <v>402</v>
      </c>
      <c r="P853" s="222">
        <f t="shared" si="53"/>
        <v>2</v>
      </c>
      <c r="Q853" s="222">
        <f t="shared" si="54"/>
        <v>2</v>
      </c>
      <c r="R853" s="532" t="str">
        <f t="shared" si="55"/>
        <v>Gastos_custeados_por_captação</v>
      </c>
      <c r="S853" s="467" t="s">
        <v>310</v>
      </c>
      <c r="T853" s="467" t="s">
        <v>310</v>
      </c>
      <c r="U853" s="496"/>
      <c r="V853" s="496"/>
      <c r="W853" s="496"/>
    </row>
    <row r="854" spans="1:23" ht="60" x14ac:dyDescent="0.2">
      <c r="A854" s="510">
        <f t="shared" si="52"/>
        <v>851</v>
      </c>
      <c r="B854" s="428">
        <v>44602</v>
      </c>
      <c r="C854" s="431">
        <v>44562</v>
      </c>
      <c r="D854" s="415" t="s">
        <v>271</v>
      </c>
      <c r="E854" s="415" t="s">
        <v>187</v>
      </c>
      <c r="F854" s="435">
        <v>-184.87</v>
      </c>
      <c r="G854" s="427" t="s">
        <v>1702</v>
      </c>
      <c r="H854" s="415" t="s">
        <v>309</v>
      </c>
      <c r="I854" s="473" t="s">
        <v>795</v>
      </c>
      <c r="J854" s="415" t="s">
        <v>796</v>
      </c>
      <c r="K854" s="415" t="s">
        <v>797</v>
      </c>
      <c r="L854" s="415" t="s">
        <v>798</v>
      </c>
      <c r="M854" s="415" t="s">
        <v>310</v>
      </c>
      <c r="N854" s="455">
        <v>44602</v>
      </c>
      <c r="O854" s="414" t="s">
        <v>400</v>
      </c>
      <c r="P854" s="222">
        <f t="shared" si="53"/>
        <v>2</v>
      </c>
      <c r="Q854" s="222">
        <f t="shared" si="54"/>
        <v>1</v>
      </c>
      <c r="R854" s="532" t="str">
        <f t="shared" si="55"/>
        <v>Gastos_Gerais</v>
      </c>
      <c r="S854" s="467" t="s">
        <v>310</v>
      </c>
      <c r="T854" s="467" t="s">
        <v>310</v>
      </c>
      <c r="U854" s="496"/>
      <c r="V854" s="496"/>
      <c r="W854" s="496"/>
    </row>
    <row r="855" spans="1:23" ht="48" x14ac:dyDescent="0.2">
      <c r="A855" s="510">
        <f t="shared" si="52"/>
        <v>852</v>
      </c>
      <c r="B855" s="428">
        <v>44602</v>
      </c>
      <c r="C855" s="424">
        <v>44562</v>
      </c>
      <c r="D855" s="415" t="s">
        <v>271</v>
      </c>
      <c r="E855" s="415" t="s">
        <v>178</v>
      </c>
      <c r="F855" s="425">
        <v>-69.989999999999995</v>
      </c>
      <c r="G855" s="427" t="s">
        <v>1929</v>
      </c>
      <c r="H855" s="415" t="s">
        <v>309</v>
      </c>
      <c r="I855" s="473" t="s">
        <v>795</v>
      </c>
      <c r="J855" s="415" t="s">
        <v>796</v>
      </c>
      <c r="K855" s="415" t="s">
        <v>797</v>
      </c>
      <c r="L855" s="415" t="s">
        <v>798</v>
      </c>
      <c r="M855" s="415" t="s">
        <v>310</v>
      </c>
      <c r="N855" s="455">
        <v>44602</v>
      </c>
      <c r="O855" s="414" t="s">
        <v>400</v>
      </c>
      <c r="P855" s="222">
        <f t="shared" si="53"/>
        <v>2</v>
      </c>
      <c r="Q855" s="222">
        <f t="shared" si="54"/>
        <v>1</v>
      </c>
      <c r="R855" s="532" t="str">
        <f t="shared" si="55"/>
        <v>Gastos_Gerais</v>
      </c>
      <c r="S855" s="467" t="s">
        <v>310</v>
      </c>
      <c r="T855" s="467" t="s">
        <v>310</v>
      </c>
      <c r="U855" s="496"/>
      <c r="V855" s="496"/>
      <c r="W855" s="496"/>
    </row>
    <row r="856" spans="1:23" ht="36" x14ac:dyDescent="0.2">
      <c r="A856" s="510">
        <f t="shared" si="52"/>
        <v>853</v>
      </c>
      <c r="B856" s="428">
        <v>44602</v>
      </c>
      <c r="C856" s="424">
        <v>44593</v>
      </c>
      <c r="D856" s="415" t="s">
        <v>271</v>
      </c>
      <c r="E856" s="415" t="s">
        <v>71</v>
      </c>
      <c r="F856" s="425">
        <v>10.45</v>
      </c>
      <c r="G856" s="427" t="s">
        <v>1707</v>
      </c>
      <c r="H856" s="415" t="s">
        <v>752</v>
      </c>
      <c r="I856" s="398" t="s">
        <v>881</v>
      </c>
      <c r="J856" s="418" t="s">
        <v>882</v>
      </c>
      <c r="K856" s="418" t="s">
        <v>883</v>
      </c>
      <c r="L856" s="399" t="s">
        <v>798</v>
      </c>
      <c r="M856" s="544" t="s">
        <v>310</v>
      </c>
      <c r="N856" s="414">
        <v>44602</v>
      </c>
      <c r="O856" s="414" t="s">
        <v>400</v>
      </c>
      <c r="P856" s="222">
        <f t="shared" si="53"/>
        <v>2</v>
      </c>
      <c r="Q856" s="222">
        <f t="shared" si="54"/>
        <v>2</v>
      </c>
      <c r="R856" s="532" t="str">
        <f t="shared" si="55"/>
        <v>Gastos_Gerais</v>
      </c>
      <c r="S856" s="467" t="s">
        <v>310</v>
      </c>
      <c r="T856" s="467" t="s">
        <v>310</v>
      </c>
      <c r="U856" s="496"/>
      <c r="V856" s="496"/>
      <c r="W856" s="496"/>
    </row>
    <row r="857" spans="1:23" ht="36" x14ac:dyDescent="0.2">
      <c r="A857" s="510">
        <f t="shared" si="52"/>
        <v>854</v>
      </c>
      <c r="B857" s="428">
        <v>44602</v>
      </c>
      <c r="C857" s="424">
        <v>44593</v>
      </c>
      <c r="D857" s="415" t="s">
        <v>271</v>
      </c>
      <c r="E857" s="415" t="s">
        <v>71</v>
      </c>
      <c r="F857" s="425">
        <v>10.45</v>
      </c>
      <c r="G857" s="427" t="s">
        <v>1699</v>
      </c>
      <c r="H857" s="415" t="s">
        <v>748</v>
      </c>
      <c r="I857" s="398" t="s">
        <v>881</v>
      </c>
      <c r="J857" s="418" t="s">
        <v>882</v>
      </c>
      <c r="K857" s="418" t="s">
        <v>883</v>
      </c>
      <c r="L857" s="399" t="s">
        <v>798</v>
      </c>
      <c r="M857" s="544" t="s">
        <v>310</v>
      </c>
      <c r="N857" s="414">
        <v>44602</v>
      </c>
      <c r="O857" s="414" t="s">
        <v>400</v>
      </c>
      <c r="P857" s="222">
        <f t="shared" si="53"/>
        <v>2</v>
      </c>
      <c r="Q857" s="222">
        <f t="shared" si="54"/>
        <v>2</v>
      </c>
      <c r="R857" s="532" t="str">
        <f t="shared" si="55"/>
        <v>Gastos_Gerais</v>
      </c>
      <c r="S857" s="467" t="s">
        <v>310</v>
      </c>
      <c r="T857" s="467" t="s">
        <v>310</v>
      </c>
      <c r="U857" s="496"/>
      <c r="V857" s="496"/>
      <c r="W857" s="496"/>
    </row>
    <row r="858" spans="1:23" ht="36" x14ac:dyDescent="0.2">
      <c r="A858" s="510">
        <f t="shared" si="52"/>
        <v>855</v>
      </c>
      <c r="B858" s="428">
        <v>44602</v>
      </c>
      <c r="C858" s="424">
        <v>44593</v>
      </c>
      <c r="D858" s="415" t="s">
        <v>271</v>
      </c>
      <c r="E858" s="415" t="s">
        <v>71</v>
      </c>
      <c r="F858" s="425">
        <v>10.45</v>
      </c>
      <c r="G858" s="427" t="s">
        <v>1710</v>
      </c>
      <c r="H858" s="415" t="s">
        <v>752</v>
      </c>
      <c r="I858" s="398" t="s">
        <v>881</v>
      </c>
      <c r="J858" s="418" t="s">
        <v>882</v>
      </c>
      <c r="K858" s="418" t="s">
        <v>883</v>
      </c>
      <c r="L858" s="399" t="s">
        <v>798</v>
      </c>
      <c r="M858" s="544" t="s">
        <v>310</v>
      </c>
      <c r="N858" s="414">
        <v>44602</v>
      </c>
      <c r="O858" s="414" t="s">
        <v>400</v>
      </c>
      <c r="P858" s="222">
        <f t="shared" si="53"/>
        <v>2</v>
      </c>
      <c r="Q858" s="222">
        <f t="shared" si="54"/>
        <v>2</v>
      </c>
      <c r="R858" s="532" t="str">
        <f t="shared" si="55"/>
        <v>Gastos_Gerais</v>
      </c>
      <c r="S858" s="467" t="s">
        <v>310</v>
      </c>
      <c r="T858" s="467" t="s">
        <v>310</v>
      </c>
      <c r="U858" s="496"/>
      <c r="V858" s="496"/>
      <c r="W858" s="496"/>
    </row>
    <row r="859" spans="1:23" ht="36" x14ac:dyDescent="0.2">
      <c r="A859" s="510">
        <f t="shared" si="52"/>
        <v>856</v>
      </c>
      <c r="B859" s="428">
        <v>44602</v>
      </c>
      <c r="C859" s="424">
        <v>44593</v>
      </c>
      <c r="D859" s="415" t="s">
        <v>271</v>
      </c>
      <c r="E859" s="415" t="s">
        <v>71</v>
      </c>
      <c r="F859" s="425">
        <v>10.45</v>
      </c>
      <c r="G859" s="427" t="s">
        <v>1713</v>
      </c>
      <c r="H859" s="415" t="s">
        <v>756</v>
      </c>
      <c r="I859" s="398" t="s">
        <v>881</v>
      </c>
      <c r="J859" s="418" t="s">
        <v>882</v>
      </c>
      <c r="K859" s="418" t="s">
        <v>883</v>
      </c>
      <c r="L859" s="399" t="s">
        <v>798</v>
      </c>
      <c r="M859" s="544" t="s">
        <v>310</v>
      </c>
      <c r="N859" s="414">
        <v>44602</v>
      </c>
      <c r="O859" s="414" t="s">
        <v>400</v>
      </c>
      <c r="P859" s="222">
        <f t="shared" si="53"/>
        <v>2</v>
      </c>
      <c r="Q859" s="222">
        <f t="shared" si="54"/>
        <v>2</v>
      </c>
      <c r="R859" s="532" t="str">
        <f t="shared" si="55"/>
        <v>Gastos_Gerais</v>
      </c>
      <c r="S859" s="467" t="s">
        <v>310</v>
      </c>
      <c r="T859" s="467" t="s">
        <v>310</v>
      </c>
      <c r="U859" s="496"/>
      <c r="V859" s="496"/>
      <c r="W859" s="496"/>
    </row>
    <row r="860" spans="1:23" ht="36" x14ac:dyDescent="0.2">
      <c r="A860" s="510">
        <f t="shared" si="52"/>
        <v>857</v>
      </c>
      <c r="B860" s="428">
        <v>44602</v>
      </c>
      <c r="C860" s="424">
        <v>44593</v>
      </c>
      <c r="D860" s="415" t="s">
        <v>271</v>
      </c>
      <c r="E860" s="415" t="s">
        <v>71</v>
      </c>
      <c r="F860" s="425">
        <v>10.45</v>
      </c>
      <c r="G860" s="427" t="s">
        <v>1698</v>
      </c>
      <c r="H860" s="415" t="s">
        <v>758</v>
      </c>
      <c r="I860" s="398" t="s">
        <v>881</v>
      </c>
      <c r="J860" s="418" t="s">
        <v>882</v>
      </c>
      <c r="K860" s="418" t="s">
        <v>883</v>
      </c>
      <c r="L860" s="399" t="s">
        <v>798</v>
      </c>
      <c r="M860" s="544" t="s">
        <v>310</v>
      </c>
      <c r="N860" s="414">
        <v>44602</v>
      </c>
      <c r="O860" s="414" t="s">
        <v>400</v>
      </c>
      <c r="P860" s="222">
        <f t="shared" si="53"/>
        <v>2</v>
      </c>
      <c r="Q860" s="222">
        <f t="shared" si="54"/>
        <v>2</v>
      </c>
      <c r="R860" s="532" t="str">
        <f t="shared" si="55"/>
        <v>Gastos_Gerais</v>
      </c>
      <c r="S860" s="467" t="s">
        <v>310</v>
      </c>
      <c r="T860" s="467" t="s">
        <v>310</v>
      </c>
      <c r="U860" s="496"/>
      <c r="V860" s="496"/>
      <c r="W860" s="496"/>
    </row>
    <row r="861" spans="1:23" ht="120" x14ac:dyDescent="0.2">
      <c r="A861" s="510">
        <f t="shared" si="52"/>
        <v>858</v>
      </c>
      <c r="B861" s="428">
        <v>44602</v>
      </c>
      <c r="C861" s="466">
        <v>44562</v>
      </c>
      <c r="D861" s="415" t="s">
        <v>271</v>
      </c>
      <c r="E861" s="415" t="s">
        <v>456</v>
      </c>
      <c r="F861" s="435">
        <v>1500</v>
      </c>
      <c r="G861" s="427" t="s">
        <v>709</v>
      </c>
      <c r="H861" s="434" t="s">
        <v>752</v>
      </c>
      <c r="I861" s="473" t="s">
        <v>1389</v>
      </c>
      <c r="J861" s="415" t="s">
        <v>1134</v>
      </c>
      <c r="K861" s="415" t="s">
        <v>806</v>
      </c>
      <c r="L861" s="415" t="s">
        <v>32</v>
      </c>
      <c r="M861" s="415" t="s">
        <v>1608</v>
      </c>
      <c r="N861" s="414">
        <v>44601</v>
      </c>
      <c r="O861" s="414" t="s">
        <v>400</v>
      </c>
      <c r="P861" s="222">
        <f t="shared" si="53"/>
        <v>2</v>
      </c>
      <c r="Q861" s="222">
        <f t="shared" si="54"/>
        <v>1</v>
      </c>
      <c r="R861" s="532" t="str">
        <f t="shared" si="55"/>
        <v>Gastos_Gerais</v>
      </c>
      <c r="S861" s="467" t="s">
        <v>1000</v>
      </c>
      <c r="T861" s="467">
        <v>2771</v>
      </c>
      <c r="U861" s="496"/>
      <c r="V861" s="496"/>
      <c r="W861" s="496"/>
    </row>
    <row r="862" spans="1:23" ht="72" x14ac:dyDescent="0.2">
      <c r="A862" s="510">
        <f t="shared" si="52"/>
        <v>859</v>
      </c>
      <c r="B862" s="428">
        <v>44602</v>
      </c>
      <c r="C862" s="431">
        <v>44562</v>
      </c>
      <c r="D862" s="415" t="s">
        <v>271</v>
      </c>
      <c r="E862" s="415" t="s">
        <v>453</v>
      </c>
      <c r="F862" s="425">
        <v>1411.2</v>
      </c>
      <c r="G862" s="427" t="s">
        <v>738</v>
      </c>
      <c r="H862" s="415" t="s">
        <v>752</v>
      </c>
      <c r="I862" s="473" t="s">
        <v>1706</v>
      </c>
      <c r="J862" s="415" t="s">
        <v>1156</v>
      </c>
      <c r="K862" s="415" t="s">
        <v>830</v>
      </c>
      <c r="L862" s="415" t="s">
        <v>839</v>
      </c>
      <c r="M862" s="415">
        <v>1571</v>
      </c>
      <c r="N862" s="414">
        <v>44601</v>
      </c>
      <c r="O862" s="414" t="s">
        <v>400</v>
      </c>
      <c r="P862" s="222">
        <f t="shared" si="53"/>
        <v>2</v>
      </c>
      <c r="Q862" s="222">
        <f t="shared" si="54"/>
        <v>1</v>
      </c>
      <c r="R862" s="532" t="str">
        <f t="shared" si="55"/>
        <v>Gastos_Gerais</v>
      </c>
      <c r="S862" s="467" t="s">
        <v>1000</v>
      </c>
      <c r="T862" s="467">
        <v>2816</v>
      </c>
      <c r="U862" s="496"/>
      <c r="V862" s="496"/>
      <c r="W862" s="496"/>
    </row>
    <row r="863" spans="1:23" ht="60" x14ac:dyDescent="0.2">
      <c r="A863" s="510">
        <f t="shared" si="52"/>
        <v>860</v>
      </c>
      <c r="B863" s="428">
        <v>44602</v>
      </c>
      <c r="C863" s="431">
        <v>44501</v>
      </c>
      <c r="D863" s="415" t="s">
        <v>271</v>
      </c>
      <c r="E863" s="415" t="s">
        <v>454</v>
      </c>
      <c r="F863" s="425">
        <v>965</v>
      </c>
      <c r="G863" s="427" t="s">
        <v>600</v>
      </c>
      <c r="H863" s="415" t="s">
        <v>752</v>
      </c>
      <c r="I863" s="473" t="s">
        <v>1307</v>
      </c>
      <c r="J863" s="415" t="s">
        <v>1055</v>
      </c>
      <c r="K863" s="415" t="s">
        <v>830</v>
      </c>
      <c r="L863" s="415" t="s">
        <v>32</v>
      </c>
      <c r="M863" s="415" t="s">
        <v>1711</v>
      </c>
      <c r="N863" s="414">
        <v>44601</v>
      </c>
      <c r="O863" s="414" t="s">
        <v>400</v>
      </c>
      <c r="P863" s="222">
        <f t="shared" si="53"/>
        <v>2</v>
      </c>
      <c r="Q863" s="222">
        <f t="shared" si="54"/>
        <v>-1</v>
      </c>
      <c r="R863" s="532" t="str">
        <f t="shared" si="55"/>
        <v>Gastos_Gerais</v>
      </c>
      <c r="S863" s="467" t="s">
        <v>1000</v>
      </c>
      <c r="T863" s="467">
        <v>2534</v>
      </c>
      <c r="U863" s="496"/>
      <c r="V863" s="496"/>
      <c r="W863" s="496"/>
    </row>
    <row r="864" spans="1:23" ht="108" x14ac:dyDescent="0.2">
      <c r="A864" s="510">
        <f t="shared" si="52"/>
        <v>861</v>
      </c>
      <c r="B864" s="428">
        <v>44602</v>
      </c>
      <c r="C864" s="424">
        <v>44562</v>
      </c>
      <c r="D864" s="415" t="s">
        <v>271</v>
      </c>
      <c r="E864" s="415" t="s">
        <v>90</v>
      </c>
      <c r="F864" s="425">
        <v>1000</v>
      </c>
      <c r="G864" s="427" t="s">
        <v>675</v>
      </c>
      <c r="H864" s="415" t="s">
        <v>758</v>
      </c>
      <c r="I864" s="473" t="s">
        <v>1697</v>
      </c>
      <c r="J864" s="415" t="s">
        <v>1015</v>
      </c>
      <c r="K864" s="415" t="s">
        <v>830</v>
      </c>
      <c r="L864" s="415" t="s">
        <v>807</v>
      </c>
      <c r="M864" s="415" t="s">
        <v>1308</v>
      </c>
      <c r="N864" s="414">
        <v>44601</v>
      </c>
      <c r="O864" s="414" t="s">
        <v>400</v>
      </c>
      <c r="P864" s="222">
        <f t="shared" si="53"/>
        <v>2</v>
      </c>
      <c r="Q864" s="222">
        <f t="shared" si="54"/>
        <v>1</v>
      </c>
      <c r="R864" s="532" t="str">
        <f t="shared" si="55"/>
        <v>Gastos_Gerais</v>
      </c>
      <c r="S864" s="467" t="s">
        <v>1000</v>
      </c>
      <c r="T864" s="467">
        <v>2713</v>
      </c>
      <c r="U864" s="496"/>
      <c r="V864" s="496"/>
      <c r="W864" s="496"/>
    </row>
    <row r="865" spans="1:23" ht="35.1" customHeight="1" x14ac:dyDescent="0.2">
      <c r="A865" s="510">
        <f t="shared" si="52"/>
        <v>862</v>
      </c>
      <c r="B865" s="428">
        <v>44602</v>
      </c>
      <c r="C865" s="431">
        <v>44562</v>
      </c>
      <c r="D865" s="415" t="s">
        <v>468</v>
      </c>
      <c r="E865" s="415" t="s">
        <v>468</v>
      </c>
      <c r="F865" s="459">
        <v>2693.07</v>
      </c>
      <c r="G865" s="427" t="s">
        <v>706</v>
      </c>
      <c r="H865" s="415" t="s">
        <v>468</v>
      </c>
      <c r="I865" s="398" t="s">
        <v>1811</v>
      </c>
      <c r="J865" s="418" t="s">
        <v>1023</v>
      </c>
      <c r="K865" s="418" t="s">
        <v>830</v>
      </c>
      <c r="L865" s="399" t="s">
        <v>807</v>
      </c>
      <c r="M865" s="418" t="s">
        <v>1786</v>
      </c>
      <c r="N865" s="414">
        <v>44601</v>
      </c>
      <c r="O865" s="414" t="s">
        <v>402</v>
      </c>
      <c r="P865" s="222">
        <f t="shared" si="53"/>
        <v>2</v>
      </c>
      <c r="Q865" s="222">
        <f t="shared" si="54"/>
        <v>1</v>
      </c>
      <c r="R865" s="532" t="str">
        <f t="shared" si="55"/>
        <v>Gastos_custeados_por_captação</v>
      </c>
      <c r="S865" s="467" t="s">
        <v>1000</v>
      </c>
      <c r="T865" s="467">
        <v>2730</v>
      </c>
      <c r="U865" s="496"/>
      <c r="V865" s="496"/>
      <c r="W865" s="496"/>
    </row>
    <row r="866" spans="1:23" ht="35.1" customHeight="1" x14ac:dyDescent="0.2">
      <c r="A866" s="510">
        <f t="shared" si="52"/>
        <v>863</v>
      </c>
      <c r="B866" s="428">
        <v>44602</v>
      </c>
      <c r="C866" s="431">
        <v>44593</v>
      </c>
      <c r="D866" s="415" t="s">
        <v>271</v>
      </c>
      <c r="E866" s="415" t="s">
        <v>90</v>
      </c>
      <c r="F866" s="425">
        <v>3920</v>
      </c>
      <c r="G866" s="427" t="s">
        <v>699</v>
      </c>
      <c r="H866" s="415" t="s">
        <v>748</v>
      </c>
      <c r="I866" s="473" t="s">
        <v>865</v>
      </c>
      <c r="J866" s="415" t="s">
        <v>866</v>
      </c>
      <c r="K866" s="415" t="s">
        <v>830</v>
      </c>
      <c r="L866" s="415" t="s">
        <v>32</v>
      </c>
      <c r="M866" s="415" t="s">
        <v>1696</v>
      </c>
      <c r="N866" s="414">
        <v>44600</v>
      </c>
      <c r="O866" s="414" t="s">
        <v>400</v>
      </c>
      <c r="P866" s="222">
        <f t="shared" si="53"/>
        <v>2</v>
      </c>
      <c r="Q866" s="222">
        <f t="shared" si="54"/>
        <v>2</v>
      </c>
      <c r="R866" s="532" t="str">
        <f t="shared" si="55"/>
        <v>Gastos_Gerais</v>
      </c>
      <c r="S866" s="467" t="s">
        <v>1000</v>
      </c>
      <c r="T866" s="467">
        <v>2710</v>
      </c>
      <c r="U866" s="496"/>
      <c r="V866" s="496"/>
      <c r="W866" s="496"/>
    </row>
    <row r="867" spans="1:23" ht="35.1" customHeight="1" x14ac:dyDescent="0.2">
      <c r="A867" s="510">
        <f t="shared" si="52"/>
        <v>864</v>
      </c>
      <c r="B867" s="428">
        <v>44602</v>
      </c>
      <c r="C867" s="431">
        <v>44562</v>
      </c>
      <c r="D867" s="415" t="s">
        <v>271</v>
      </c>
      <c r="E867" s="415" t="s">
        <v>187</v>
      </c>
      <c r="F867" s="425">
        <v>700</v>
      </c>
      <c r="G867" s="427" t="s">
        <v>640</v>
      </c>
      <c r="H867" s="415" t="s">
        <v>309</v>
      </c>
      <c r="I867" s="473" t="s">
        <v>1701</v>
      </c>
      <c r="J867" s="415" t="s">
        <v>1071</v>
      </c>
      <c r="K867" s="415" t="s">
        <v>812</v>
      </c>
      <c r="L867" s="415" t="s">
        <v>32</v>
      </c>
      <c r="M867" s="415" t="s">
        <v>1700</v>
      </c>
      <c r="N867" s="414">
        <v>44594</v>
      </c>
      <c r="O867" s="414" t="s">
        <v>400</v>
      </c>
      <c r="P867" s="222">
        <f t="shared" si="53"/>
        <v>2</v>
      </c>
      <c r="Q867" s="222">
        <f t="shared" si="54"/>
        <v>1</v>
      </c>
      <c r="R867" s="532" t="str">
        <f t="shared" si="55"/>
        <v>Gastos_Gerais</v>
      </c>
      <c r="S867" s="467" t="s">
        <v>1000</v>
      </c>
      <c r="T867" s="467">
        <v>2666</v>
      </c>
      <c r="U867" s="496"/>
      <c r="V867" s="496"/>
      <c r="W867" s="496"/>
    </row>
    <row r="868" spans="1:23" ht="35.1" customHeight="1" x14ac:dyDescent="0.2">
      <c r="A868" s="510">
        <f t="shared" si="52"/>
        <v>865</v>
      </c>
      <c r="B868" s="428">
        <v>44602</v>
      </c>
      <c r="C868" s="424">
        <v>44562</v>
      </c>
      <c r="D868" s="415" t="s">
        <v>271</v>
      </c>
      <c r="E868" s="415" t="s">
        <v>88</v>
      </c>
      <c r="F868" s="425">
        <v>97.51</v>
      </c>
      <c r="G868" s="427" t="s">
        <v>716</v>
      </c>
      <c r="H868" s="415" t="s">
        <v>756</v>
      </c>
      <c r="I868" s="473" t="s">
        <v>1715</v>
      </c>
      <c r="J868" s="415" t="s">
        <v>1140</v>
      </c>
      <c r="K868" s="415" t="s">
        <v>830</v>
      </c>
      <c r="L868" s="415" t="s">
        <v>32</v>
      </c>
      <c r="M868" s="415" t="s">
        <v>1714</v>
      </c>
      <c r="N868" s="414">
        <v>44594</v>
      </c>
      <c r="O868" s="414" t="s">
        <v>400</v>
      </c>
      <c r="P868" s="222">
        <f t="shared" si="53"/>
        <v>2</v>
      </c>
      <c r="Q868" s="222">
        <f t="shared" si="54"/>
        <v>1</v>
      </c>
      <c r="R868" s="532" t="str">
        <f t="shared" si="55"/>
        <v>Gastos_Gerais</v>
      </c>
      <c r="S868" s="467" t="s">
        <v>998</v>
      </c>
      <c r="T868" s="467">
        <v>2795</v>
      </c>
      <c r="U868" s="496"/>
      <c r="V868" s="496"/>
      <c r="W868" s="496"/>
    </row>
    <row r="869" spans="1:23" s="309" customFormat="1" ht="35.1" customHeight="1" x14ac:dyDescent="0.2">
      <c r="A869" s="510">
        <f t="shared" si="52"/>
        <v>866</v>
      </c>
      <c r="B869" s="428">
        <v>44602</v>
      </c>
      <c r="C869" s="431">
        <v>44562</v>
      </c>
      <c r="D869" s="415" t="s">
        <v>271</v>
      </c>
      <c r="E869" s="415" t="s">
        <v>183</v>
      </c>
      <c r="F869" s="425">
        <v>140.24</v>
      </c>
      <c r="G869" s="427" t="s">
        <v>551</v>
      </c>
      <c r="H869" s="415" t="s">
        <v>753</v>
      </c>
      <c r="I869" s="473" t="s">
        <v>1705</v>
      </c>
      <c r="J869" s="415" t="s">
        <v>1704</v>
      </c>
      <c r="K869" s="415" t="s">
        <v>1404</v>
      </c>
      <c r="L869" s="415" t="s">
        <v>32</v>
      </c>
      <c r="M869" s="415">
        <v>3858343</v>
      </c>
      <c r="N869" s="414">
        <v>44583</v>
      </c>
      <c r="O869" s="414" t="s">
        <v>400</v>
      </c>
      <c r="P869" s="222">
        <f t="shared" si="53"/>
        <v>2</v>
      </c>
      <c r="Q869" s="222">
        <f t="shared" si="54"/>
        <v>1</v>
      </c>
      <c r="R869" s="532" t="str">
        <f t="shared" si="55"/>
        <v>Gastos_Gerais</v>
      </c>
      <c r="S869" s="467" t="s">
        <v>1000</v>
      </c>
      <c r="T869" s="467">
        <v>1997</v>
      </c>
      <c r="U869" s="496"/>
      <c r="V869" s="496"/>
      <c r="W869" s="496"/>
    </row>
    <row r="870" spans="1:23" s="309" customFormat="1" ht="35.1" customHeight="1" x14ac:dyDescent="0.2">
      <c r="A870" s="510">
        <f t="shared" si="52"/>
        <v>867</v>
      </c>
      <c r="B870" s="428">
        <v>44602</v>
      </c>
      <c r="C870" s="431">
        <v>44562</v>
      </c>
      <c r="D870" s="415" t="s">
        <v>271</v>
      </c>
      <c r="E870" s="415" t="s">
        <v>141</v>
      </c>
      <c r="F870" s="425">
        <v>584.1</v>
      </c>
      <c r="G870" s="427" t="s">
        <v>708</v>
      </c>
      <c r="H870" s="415" t="s">
        <v>753</v>
      </c>
      <c r="I870" s="473" t="s">
        <v>1302</v>
      </c>
      <c r="J870" s="415" t="s">
        <v>1066</v>
      </c>
      <c r="K870" s="415" t="s">
        <v>812</v>
      </c>
      <c r="L870" s="415" t="s">
        <v>32</v>
      </c>
      <c r="M870" s="415">
        <v>65498</v>
      </c>
      <c r="N870" s="414">
        <v>44572</v>
      </c>
      <c r="O870" s="414" t="s">
        <v>400</v>
      </c>
      <c r="P870" s="222">
        <f t="shared" si="53"/>
        <v>2</v>
      </c>
      <c r="Q870" s="222">
        <f t="shared" si="54"/>
        <v>1</v>
      </c>
      <c r="R870" s="532" t="str">
        <f t="shared" si="55"/>
        <v>Gastos_Gerais</v>
      </c>
      <c r="S870" s="467" t="s">
        <v>999</v>
      </c>
      <c r="T870" s="467">
        <v>2769</v>
      </c>
      <c r="U870" s="496"/>
      <c r="V870" s="496"/>
      <c r="W870" s="496"/>
    </row>
    <row r="871" spans="1:23" s="309" customFormat="1" ht="35.1" customHeight="1" x14ac:dyDescent="0.2">
      <c r="A871" s="510">
        <f t="shared" si="52"/>
        <v>868</v>
      </c>
      <c r="B871" s="428">
        <v>44602</v>
      </c>
      <c r="C871" s="424">
        <v>44562</v>
      </c>
      <c r="D871" s="415" t="s">
        <v>271</v>
      </c>
      <c r="E871" s="415" t="s">
        <v>178</v>
      </c>
      <c r="F871" s="425">
        <v>255.46</v>
      </c>
      <c r="G871" s="427" t="s">
        <v>482</v>
      </c>
      <c r="H871" s="415" t="s">
        <v>309</v>
      </c>
      <c r="I871" s="473" t="s">
        <v>1276</v>
      </c>
      <c r="J871" s="415" t="s">
        <v>1017</v>
      </c>
      <c r="K871" s="415" t="s">
        <v>812</v>
      </c>
      <c r="L871" s="415" t="s">
        <v>32</v>
      </c>
      <c r="M871" s="415" t="s">
        <v>1703</v>
      </c>
      <c r="N871" s="414">
        <v>44569</v>
      </c>
      <c r="O871" s="414" t="s">
        <v>400</v>
      </c>
      <c r="P871" s="222">
        <f t="shared" si="53"/>
        <v>2</v>
      </c>
      <c r="Q871" s="222">
        <f t="shared" si="54"/>
        <v>1</v>
      </c>
      <c r="R871" s="532" t="str">
        <f t="shared" si="55"/>
        <v>Gastos_Gerais</v>
      </c>
      <c r="S871" s="467" t="s">
        <v>1000</v>
      </c>
      <c r="T871" s="489">
        <v>1133</v>
      </c>
      <c r="U871" s="496"/>
      <c r="V871" s="496"/>
      <c r="W871" s="496"/>
    </row>
    <row r="872" spans="1:23" ht="56.25" customHeight="1" x14ac:dyDescent="0.2">
      <c r="A872" s="510">
        <f t="shared" si="52"/>
        <v>869</v>
      </c>
      <c r="B872" s="428">
        <v>44603</v>
      </c>
      <c r="C872" s="466">
        <v>44562</v>
      </c>
      <c r="D872" s="415" t="s">
        <v>271</v>
      </c>
      <c r="E872" s="415" t="s">
        <v>456</v>
      </c>
      <c r="F872" s="425">
        <v>-1500</v>
      </c>
      <c r="G872" s="427" t="s">
        <v>1731</v>
      </c>
      <c r="H872" s="434" t="s">
        <v>752</v>
      </c>
      <c r="I872" s="473" t="s">
        <v>795</v>
      </c>
      <c r="J872" s="415" t="s">
        <v>796</v>
      </c>
      <c r="K872" s="415" t="s">
        <v>797</v>
      </c>
      <c r="L872" s="415" t="s">
        <v>798</v>
      </c>
      <c r="M872" s="415" t="s">
        <v>310</v>
      </c>
      <c r="N872" s="414">
        <v>44603</v>
      </c>
      <c r="O872" s="414" t="s">
        <v>400</v>
      </c>
      <c r="P872" s="222">
        <f t="shared" si="53"/>
        <v>2</v>
      </c>
      <c r="Q872" s="222">
        <f t="shared" si="54"/>
        <v>1</v>
      </c>
      <c r="R872" s="532" t="str">
        <f t="shared" si="55"/>
        <v>Gastos_Gerais</v>
      </c>
      <c r="S872" s="467" t="s">
        <v>310</v>
      </c>
      <c r="T872" s="467" t="s">
        <v>310</v>
      </c>
      <c r="U872" s="496"/>
      <c r="V872" s="496"/>
      <c r="W872" s="496"/>
    </row>
    <row r="873" spans="1:23" ht="36" x14ac:dyDescent="0.2">
      <c r="A873" s="510">
        <f t="shared" si="52"/>
        <v>870</v>
      </c>
      <c r="B873" s="428">
        <v>44603</v>
      </c>
      <c r="C873" s="424">
        <v>44593</v>
      </c>
      <c r="D873" s="415" t="s">
        <v>271</v>
      </c>
      <c r="E873" s="415" t="s">
        <v>71</v>
      </c>
      <c r="F873" s="425">
        <v>10.45</v>
      </c>
      <c r="G873" s="427" t="s">
        <v>1732</v>
      </c>
      <c r="H873" s="415" t="s">
        <v>750</v>
      </c>
      <c r="I873" s="398" t="s">
        <v>881</v>
      </c>
      <c r="J873" s="418" t="s">
        <v>882</v>
      </c>
      <c r="K873" s="418" t="s">
        <v>883</v>
      </c>
      <c r="L873" s="399" t="s">
        <v>798</v>
      </c>
      <c r="M873" s="544" t="s">
        <v>310</v>
      </c>
      <c r="N873" s="414">
        <v>44603</v>
      </c>
      <c r="O873" s="414" t="s">
        <v>400</v>
      </c>
      <c r="P873" s="222">
        <f t="shared" si="53"/>
        <v>2</v>
      </c>
      <c r="Q873" s="222">
        <f t="shared" si="54"/>
        <v>2</v>
      </c>
      <c r="R873" s="532" t="str">
        <f t="shared" si="55"/>
        <v>Gastos_Gerais</v>
      </c>
      <c r="S873" s="467" t="s">
        <v>310</v>
      </c>
      <c r="T873" s="467" t="s">
        <v>310</v>
      </c>
      <c r="U873" s="496"/>
      <c r="V873" s="496"/>
      <c r="W873" s="496"/>
    </row>
    <row r="874" spans="1:23" ht="36" x14ac:dyDescent="0.2">
      <c r="A874" s="510">
        <f t="shared" si="52"/>
        <v>871</v>
      </c>
      <c r="B874" s="428">
        <v>44603</v>
      </c>
      <c r="C874" s="424">
        <v>44593</v>
      </c>
      <c r="D874" s="415" t="s">
        <v>271</v>
      </c>
      <c r="E874" s="415" t="s">
        <v>71</v>
      </c>
      <c r="F874" s="425">
        <v>10.45</v>
      </c>
      <c r="G874" s="427" t="s">
        <v>1732</v>
      </c>
      <c r="H874" s="415" t="s">
        <v>750</v>
      </c>
      <c r="I874" s="398" t="s">
        <v>881</v>
      </c>
      <c r="J874" s="418" t="s">
        <v>882</v>
      </c>
      <c r="K874" s="418" t="s">
        <v>883</v>
      </c>
      <c r="L874" s="399" t="s">
        <v>798</v>
      </c>
      <c r="M874" s="544" t="s">
        <v>310</v>
      </c>
      <c r="N874" s="414">
        <v>44603</v>
      </c>
      <c r="O874" s="414" t="s">
        <v>400</v>
      </c>
      <c r="P874" s="222">
        <f t="shared" si="53"/>
        <v>2</v>
      </c>
      <c r="Q874" s="222">
        <f t="shared" si="54"/>
        <v>2</v>
      </c>
      <c r="R874" s="532" t="str">
        <f t="shared" si="55"/>
        <v>Gastos_Gerais</v>
      </c>
      <c r="S874" s="467" t="s">
        <v>310</v>
      </c>
      <c r="T874" s="467" t="s">
        <v>310</v>
      </c>
      <c r="U874" s="496"/>
      <c r="V874" s="496"/>
      <c r="W874" s="496"/>
    </row>
    <row r="875" spans="1:23" ht="36" x14ac:dyDescent="0.2">
      <c r="A875" s="510">
        <f t="shared" si="52"/>
        <v>872</v>
      </c>
      <c r="B875" s="428">
        <v>44603</v>
      </c>
      <c r="C875" s="424">
        <v>44593</v>
      </c>
      <c r="D875" s="415" t="s">
        <v>271</v>
      </c>
      <c r="E875" s="415" t="s">
        <v>71</v>
      </c>
      <c r="F875" s="425">
        <v>10.45</v>
      </c>
      <c r="G875" s="427" t="s">
        <v>1733</v>
      </c>
      <c r="H875" s="415" t="s">
        <v>749</v>
      </c>
      <c r="I875" s="398" t="s">
        <v>881</v>
      </c>
      <c r="J875" s="418" t="s">
        <v>882</v>
      </c>
      <c r="K875" s="418" t="s">
        <v>883</v>
      </c>
      <c r="L875" s="399" t="s">
        <v>798</v>
      </c>
      <c r="M875" s="544" t="s">
        <v>310</v>
      </c>
      <c r="N875" s="414">
        <v>44603</v>
      </c>
      <c r="O875" s="414" t="s">
        <v>400</v>
      </c>
      <c r="P875" s="222">
        <f t="shared" si="53"/>
        <v>2</v>
      </c>
      <c r="Q875" s="222">
        <f t="shared" si="54"/>
        <v>2</v>
      </c>
      <c r="R875" s="532" t="str">
        <f t="shared" si="55"/>
        <v>Gastos_Gerais</v>
      </c>
      <c r="S875" s="467" t="s">
        <v>310</v>
      </c>
      <c r="T875" s="467" t="s">
        <v>310</v>
      </c>
      <c r="U875" s="496"/>
      <c r="V875" s="496"/>
      <c r="W875" s="496"/>
    </row>
    <row r="876" spans="1:23" ht="36" x14ac:dyDescent="0.2">
      <c r="A876" s="510">
        <f t="shared" si="52"/>
        <v>873</v>
      </c>
      <c r="B876" s="428">
        <v>44603</v>
      </c>
      <c r="C876" s="424">
        <v>44593</v>
      </c>
      <c r="D876" s="415" t="s">
        <v>271</v>
      </c>
      <c r="E876" s="415" t="s">
        <v>71</v>
      </c>
      <c r="F876" s="425">
        <v>10.45</v>
      </c>
      <c r="G876" s="427" t="s">
        <v>1734</v>
      </c>
      <c r="H876" s="415" t="s">
        <v>758</v>
      </c>
      <c r="I876" s="398" t="s">
        <v>881</v>
      </c>
      <c r="J876" s="418" t="s">
        <v>882</v>
      </c>
      <c r="K876" s="418" t="s">
        <v>883</v>
      </c>
      <c r="L876" s="399" t="s">
        <v>798</v>
      </c>
      <c r="M876" s="544" t="s">
        <v>310</v>
      </c>
      <c r="N876" s="414">
        <v>44603</v>
      </c>
      <c r="O876" s="414" t="s">
        <v>400</v>
      </c>
      <c r="P876" s="222">
        <f t="shared" si="53"/>
        <v>2</v>
      </c>
      <c r="Q876" s="222">
        <f t="shared" si="54"/>
        <v>2</v>
      </c>
      <c r="R876" s="532" t="str">
        <f t="shared" si="55"/>
        <v>Gastos_Gerais</v>
      </c>
      <c r="S876" s="467" t="s">
        <v>310</v>
      </c>
      <c r="T876" s="467" t="s">
        <v>310</v>
      </c>
      <c r="U876" s="496"/>
      <c r="V876" s="496"/>
      <c r="W876" s="496"/>
    </row>
    <row r="877" spans="1:23" ht="36" x14ac:dyDescent="0.2">
      <c r="A877" s="510">
        <f t="shared" si="52"/>
        <v>874</v>
      </c>
      <c r="B877" s="428">
        <v>44603</v>
      </c>
      <c r="C877" s="424">
        <v>44562</v>
      </c>
      <c r="D877" s="415" t="s">
        <v>468</v>
      </c>
      <c r="E877" s="415" t="s">
        <v>468</v>
      </c>
      <c r="F877" s="459">
        <v>7349.25</v>
      </c>
      <c r="G877" s="427" t="s">
        <v>2474</v>
      </c>
      <c r="H877" s="415" t="s">
        <v>468</v>
      </c>
      <c r="I877" s="398" t="s">
        <v>2475</v>
      </c>
      <c r="J877" s="418" t="s">
        <v>1350</v>
      </c>
      <c r="K877" s="418" t="s">
        <v>830</v>
      </c>
      <c r="L877" s="399" t="s">
        <v>807</v>
      </c>
      <c r="M877" s="415" t="s">
        <v>1308</v>
      </c>
      <c r="N877" s="414">
        <v>44603</v>
      </c>
      <c r="O877" s="414" t="s">
        <v>408</v>
      </c>
      <c r="P877" s="222">
        <f t="shared" si="53"/>
        <v>2</v>
      </c>
      <c r="Q877" s="222">
        <f t="shared" si="54"/>
        <v>1</v>
      </c>
      <c r="R877" s="532" t="str">
        <f t="shared" si="55"/>
        <v>Gastos_custeados_por_captação</v>
      </c>
      <c r="S877" s="467" t="s">
        <v>1000</v>
      </c>
      <c r="T877" s="467">
        <v>2158</v>
      </c>
      <c r="U877" s="496"/>
      <c r="V877" s="496"/>
      <c r="W877" s="496"/>
    </row>
    <row r="878" spans="1:23" ht="36" x14ac:dyDescent="0.2">
      <c r="A878" s="510">
        <f t="shared" si="52"/>
        <v>875</v>
      </c>
      <c r="B878" s="428">
        <v>44603</v>
      </c>
      <c r="C878" s="424">
        <v>44593</v>
      </c>
      <c r="D878" s="415" t="s">
        <v>468</v>
      </c>
      <c r="E878" s="415" t="s">
        <v>468</v>
      </c>
      <c r="F878" s="459">
        <v>10.45</v>
      </c>
      <c r="G878" s="427" t="s">
        <v>2469</v>
      </c>
      <c r="H878" s="415" t="s">
        <v>468</v>
      </c>
      <c r="I878" s="398" t="s">
        <v>881</v>
      </c>
      <c r="J878" s="418" t="s">
        <v>882</v>
      </c>
      <c r="K878" s="418" t="s">
        <v>883</v>
      </c>
      <c r="L878" s="399" t="s">
        <v>798</v>
      </c>
      <c r="M878" s="544" t="s">
        <v>310</v>
      </c>
      <c r="N878" s="414">
        <v>44603</v>
      </c>
      <c r="O878" s="414" t="s">
        <v>408</v>
      </c>
      <c r="P878" s="222">
        <f t="shared" si="53"/>
        <v>2</v>
      </c>
      <c r="Q878" s="222">
        <f t="shared" si="54"/>
        <v>2</v>
      </c>
      <c r="R878" s="532" t="str">
        <f t="shared" si="55"/>
        <v>Gastos_custeados_por_captação</v>
      </c>
      <c r="S878" s="467" t="s">
        <v>310</v>
      </c>
      <c r="T878" s="467" t="s">
        <v>310</v>
      </c>
      <c r="U878" s="496"/>
      <c r="V878" s="496"/>
      <c r="W878" s="496"/>
    </row>
    <row r="879" spans="1:23" ht="36" x14ac:dyDescent="0.2">
      <c r="A879" s="510">
        <f t="shared" si="52"/>
        <v>876</v>
      </c>
      <c r="B879" s="428">
        <v>44603</v>
      </c>
      <c r="C879" s="424">
        <v>44593</v>
      </c>
      <c r="D879" s="415" t="s">
        <v>468</v>
      </c>
      <c r="E879" s="415" t="s">
        <v>468</v>
      </c>
      <c r="F879" s="459">
        <v>10.45</v>
      </c>
      <c r="G879" s="427" t="s">
        <v>2469</v>
      </c>
      <c r="H879" s="415" t="s">
        <v>468</v>
      </c>
      <c r="I879" s="398" t="s">
        <v>881</v>
      </c>
      <c r="J879" s="418" t="s">
        <v>882</v>
      </c>
      <c r="K879" s="418" t="s">
        <v>883</v>
      </c>
      <c r="L879" s="399" t="s">
        <v>798</v>
      </c>
      <c r="M879" s="544" t="s">
        <v>310</v>
      </c>
      <c r="N879" s="414">
        <v>44603</v>
      </c>
      <c r="O879" s="414" t="s">
        <v>408</v>
      </c>
      <c r="P879" s="222">
        <f t="shared" si="53"/>
        <v>2</v>
      </c>
      <c r="Q879" s="222">
        <f t="shared" si="54"/>
        <v>2</v>
      </c>
      <c r="R879" s="532" t="str">
        <f t="shared" si="55"/>
        <v>Gastos_custeados_por_captação</v>
      </c>
      <c r="S879" s="467" t="s">
        <v>310</v>
      </c>
      <c r="T879" s="467" t="s">
        <v>310</v>
      </c>
      <c r="U879" s="496"/>
      <c r="V879" s="496"/>
      <c r="W879" s="496"/>
    </row>
    <row r="880" spans="1:23" ht="60" x14ac:dyDescent="0.2">
      <c r="A880" s="510">
        <f t="shared" si="52"/>
        <v>877</v>
      </c>
      <c r="B880" s="428">
        <v>44603</v>
      </c>
      <c r="C880" s="431">
        <v>44562</v>
      </c>
      <c r="D880" s="415" t="s">
        <v>468</v>
      </c>
      <c r="E880" s="415" t="s">
        <v>468</v>
      </c>
      <c r="F880" s="425">
        <v>1500</v>
      </c>
      <c r="G880" s="427" t="s">
        <v>1731</v>
      </c>
      <c r="H880" s="434" t="s">
        <v>468</v>
      </c>
      <c r="I880" s="473" t="s">
        <v>795</v>
      </c>
      <c r="J880" s="415" t="s">
        <v>796</v>
      </c>
      <c r="K880" s="415" t="s">
        <v>797</v>
      </c>
      <c r="L880" s="415" t="s">
        <v>798</v>
      </c>
      <c r="M880" s="415" t="s">
        <v>310</v>
      </c>
      <c r="N880" s="414">
        <v>44603</v>
      </c>
      <c r="O880" s="414" t="s">
        <v>404</v>
      </c>
      <c r="P880" s="222">
        <f t="shared" si="53"/>
        <v>2</v>
      </c>
      <c r="Q880" s="222">
        <f t="shared" si="54"/>
        <v>1</v>
      </c>
      <c r="R880" s="532" t="str">
        <f t="shared" si="55"/>
        <v>Gastos_custeados_por_captação</v>
      </c>
      <c r="S880" s="467" t="s">
        <v>310</v>
      </c>
      <c r="T880" s="467" t="s">
        <v>310</v>
      </c>
      <c r="U880" s="496"/>
      <c r="V880" s="496"/>
      <c r="W880" s="496"/>
    </row>
    <row r="881" spans="1:23" ht="36" x14ac:dyDescent="0.2">
      <c r="A881" s="510">
        <f t="shared" si="52"/>
        <v>878</v>
      </c>
      <c r="B881" s="428">
        <v>44603</v>
      </c>
      <c r="C881" s="431">
        <v>44531</v>
      </c>
      <c r="D881" s="415" t="s">
        <v>271</v>
      </c>
      <c r="E881" s="415" t="s">
        <v>442</v>
      </c>
      <c r="F881" s="425">
        <v>480</v>
      </c>
      <c r="G881" s="427" t="s">
        <v>639</v>
      </c>
      <c r="H881" s="415" t="s">
        <v>757</v>
      </c>
      <c r="I881" s="473" t="s">
        <v>1723</v>
      </c>
      <c r="J881" s="415" t="s">
        <v>1070</v>
      </c>
      <c r="K881" s="415" t="s">
        <v>806</v>
      </c>
      <c r="L881" s="399" t="s">
        <v>32</v>
      </c>
      <c r="M881" s="544">
        <v>68</v>
      </c>
      <c r="N881" s="414">
        <v>44602</v>
      </c>
      <c r="O881" s="414" t="s">
        <v>400</v>
      </c>
      <c r="P881" s="222">
        <f t="shared" si="53"/>
        <v>2</v>
      </c>
      <c r="Q881" s="222">
        <f t="shared" si="54"/>
        <v>0</v>
      </c>
      <c r="R881" s="532" t="str">
        <f t="shared" si="55"/>
        <v>Gastos_Gerais</v>
      </c>
      <c r="S881" s="467" t="s">
        <v>998</v>
      </c>
      <c r="T881" s="467">
        <v>2655</v>
      </c>
      <c r="U881" s="496"/>
      <c r="V881" s="496"/>
      <c r="W881" s="496"/>
    </row>
    <row r="882" spans="1:23" ht="108" x14ac:dyDescent="0.2">
      <c r="A882" s="510">
        <f t="shared" si="52"/>
        <v>879</v>
      </c>
      <c r="B882" s="428">
        <v>44603</v>
      </c>
      <c r="C882" s="431">
        <v>44562</v>
      </c>
      <c r="D882" s="415" t="s">
        <v>271</v>
      </c>
      <c r="E882" s="415" t="s">
        <v>462</v>
      </c>
      <c r="F882" s="425">
        <v>3000</v>
      </c>
      <c r="G882" s="427" t="s">
        <v>675</v>
      </c>
      <c r="H882" s="415" t="s">
        <v>749</v>
      </c>
      <c r="I882" s="473" t="s">
        <v>1727</v>
      </c>
      <c r="J882" s="415" t="s">
        <v>1088</v>
      </c>
      <c r="K882" s="415" t="s">
        <v>830</v>
      </c>
      <c r="L882" s="399" t="s">
        <v>32</v>
      </c>
      <c r="M882" s="418" t="s">
        <v>848</v>
      </c>
      <c r="N882" s="414">
        <v>44602</v>
      </c>
      <c r="O882" s="414" t="s">
        <v>400</v>
      </c>
      <c r="P882" s="222">
        <f t="shared" si="53"/>
        <v>2</v>
      </c>
      <c r="Q882" s="222">
        <f t="shared" si="54"/>
        <v>1</v>
      </c>
      <c r="R882" s="532" t="str">
        <f t="shared" si="55"/>
        <v>Gastos_Gerais</v>
      </c>
      <c r="S882" s="467" t="s">
        <v>1000</v>
      </c>
      <c r="T882" s="467">
        <v>2714</v>
      </c>
      <c r="U882" s="496"/>
      <c r="V882" s="496"/>
      <c r="W882" s="496"/>
    </row>
    <row r="883" spans="1:23" ht="68.25" customHeight="1" x14ac:dyDescent="0.2">
      <c r="A883" s="510">
        <f t="shared" si="52"/>
        <v>880</v>
      </c>
      <c r="B883" s="428">
        <v>44603</v>
      </c>
      <c r="C883" s="424">
        <v>44562</v>
      </c>
      <c r="D883" s="415" t="s">
        <v>468</v>
      </c>
      <c r="E883" s="415" t="s">
        <v>468</v>
      </c>
      <c r="F883" s="459">
        <v>2750</v>
      </c>
      <c r="G883" s="427" t="s">
        <v>694</v>
      </c>
      <c r="H883" s="415" t="s">
        <v>468</v>
      </c>
      <c r="I883" s="398" t="s">
        <v>2476</v>
      </c>
      <c r="J883" s="418" t="s">
        <v>2477</v>
      </c>
      <c r="K883" s="418" t="s">
        <v>830</v>
      </c>
      <c r="L883" s="399" t="s">
        <v>807</v>
      </c>
      <c r="M883" s="415" t="s">
        <v>842</v>
      </c>
      <c r="N883" s="414">
        <v>44602</v>
      </c>
      <c r="O883" s="414" t="s">
        <v>408</v>
      </c>
      <c r="P883" s="222">
        <f t="shared" si="53"/>
        <v>2</v>
      </c>
      <c r="Q883" s="222">
        <f t="shared" si="54"/>
        <v>1</v>
      </c>
      <c r="R883" s="532" t="str">
        <f t="shared" si="55"/>
        <v>Gastos_custeados_por_captação</v>
      </c>
      <c r="S883" s="467" t="s">
        <v>1000</v>
      </c>
      <c r="T883" s="467">
        <v>2740</v>
      </c>
      <c r="U883" s="496"/>
      <c r="V883" s="496"/>
      <c r="W883" s="496"/>
    </row>
    <row r="884" spans="1:23" ht="72" x14ac:dyDescent="0.2">
      <c r="A884" s="510">
        <f t="shared" si="52"/>
        <v>881</v>
      </c>
      <c r="B884" s="428">
        <v>44603</v>
      </c>
      <c r="C884" s="431">
        <v>44562</v>
      </c>
      <c r="D884" s="415" t="s">
        <v>468</v>
      </c>
      <c r="E884" s="415" t="s">
        <v>468</v>
      </c>
      <c r="F884" s="425">
        <v>2693.07</v>
      </c>
      <c r="G884" s="427" t="s">
        <v>2383</v>
      </c>
      <c r="H884" s="415" t="s">
        <v>468</v>
      </c>
      <c r="I884" s="398" t="s">
        <v>1811</v>
      </c>
      <c r="J884" s="418" t="s">
        <v>1023</v>
      </c>
      <c r="K884" s="418" t="s">
        <v>830</v>
      </c>
      <c r="L884" s="399" t="s">
        <v>32</v>
      </c>
      <c r="M884" s="544">
        <v>20226</v>
      </c>
      <c r="N884" s="414">
        <v>44602</v>
      </c>
      <c r="O884" s="414" t="s">
        <v>402</v>
      </c>
      <c r="P884" s="222">
        <f t="shared" si="53"/>
        <v>2</v>
      </c>
      <c r="Q884" s="222">
        <f t="shared" si="54"/>
        <v>1</v>
      </c>
      <c r="R884" s="532" t="str">
        <f t="shared" si="55"/>
        <v>Gastos_custeados_por_captação</v>
      </c>
      <c r="S884" s="467" t="s">
        <v>1000</v>
      </c>
      <c r="T884" s="467">
        <v>2732</v>
      </c>
      <c r="U884" s="496"/>
      <c r="V884" s="496"/>
      <c r="W884" s="496"/>
    </row>
    <row r="885" spans="1:23" ht="96" x14ac:dyDescent="0.2">
      <c r="A885" s="510">
        <f t="shared" si="52"/>
        <v>882</v>
      </c>
      <c r="B885" s="428">
        <v>44603</v>
      </c>
      <c r="C885" s="431">
        <v>44562</v>
      </c>
      <c r="D885" s="415" t="s">
        <v>271</v>
      </c>
      <c r="E885" s="415" t="s">
        <v>460</v>
      </c>
      <c r="F885" s="425">
        <v>7956.46</v>
      </c>
      <c r="G885" s="427" t="s">
        <v>583</v>
      </c>
      <c r="H885" s="415" t="s">
        <v>750</v>
      </c>
      <c r="I885" s="473" t="s">
        <v>1229</v>
      </c>
      <c r="J885" s="415" t="s">
        <v>1051</v>
      </c>
      <c r="K885" s="415" t="s">
        <v>830</v>
      </c>
      <c r="L885" s="399" t="s">
        <v>32</v>
      </c>
      <c r="M885" s="418" t="s">
        <v>1711</v>
      </c>
      <c r="N885" s="414">
        <v>44601</v>
      </c>
      <c r="O885" s="414" t="s">
        <v>400</v>
      </c>
      <c r="P885" s="222">
        <f t="shared" si="53"/>
        <v>2</v>
      </c>
      <c r="Q885" s="222">
        <f t="shared" si="54"/>
        <v>1</v>
      </c>
      <c r="R885" s="532" t="str">
        <f t="shared" si="55"/>
        <v>Gastos_Gerais</v>
      </c>
      <c r="S885" s="467" t="s">
        <v>998</v>
      </c>
      <c r="T885" s="467">
        <v>2397</v>
      </c>
      <c r="U885" s="496"/>
      <c r="V885" s="496"/>
      <c r="W885" s="496"/>
    </row>
    <row r="886" spans="1:23" ht="84" x14ac:dyDescent="0.2">
      <c r="A886" s="510">
        <f t="shared" si="52"/>
        <v>883</v>
      </c>
      <c r="B886" s="428">
        <v>44603</v>
      </c>
      <c r="C886" s="431">
        <v>44501</v>
      </c>
      <c r="D886" s="415" t="s">
        <v>271</v>
      </c>
      <c r="E886" s="415" t="s">
        <v>460</v>
      </c>
      <c r="F886" s="425">
        <v>5821.8</v>
      </c>
      <c r="G886" s="427" t="s">
        <v>582</v>
      </c>
      <c r="H886" s="415" t="s">
        <v>750</v>
      </c>
      <c r="I886" s="473" t="s">
        <v>1229</v>
      </c>
      <c r="J886" s="415" t="s">
        <v>1051</v>
      </c>
      <c r="K886" s="415" t="s">
        <v>830</v>
      </c>
      <c r="L886" s="399" t="s">
        <v>32</v>
      </c>
      <c r="M886" s="418" t="s">
        <v>1724</v>
      </c>
      <c r="N886" s="414">
        <v>44601</v>
      </c>
      <c r="O886" s="414" t="s">
        <v>400</v>
      </c>
      <c r="P886" s="222">
        <f t="shared" si="53"/>
        <v>2</v>
      </c>
      <c r="Q886" s="222">
        <f t="shared" si="54"/>
        <v>-1</v>
      </c>
      <c r="R886" s="532" t="str">
        <f t="shared" si="55"/>
        <v>Gastos_Gerais</v>
      </c>
      <c r="S886" s="467" t="s">
        <v>1000</v>
      </c>
      <c r="T886" s="467">
        <v>2397</v>
      </c>
      <c r="U886" s="496"/>
      <c r="V886" s="496"/>
      <c r="W886" s="496"/>
    </row>
    <row r="887" spans="1:23" ht="36" x14ac:dyDescent="0.2">
      <c r="A887" s="510">
        <f t="shared" si="52"/>
        <v>884</v>
      </c>
      <c r="B887" s="428">
        <v>44603</v>
      </c>
      <c r="C887" s="431">
        <v>44562</v>
      </c>
      <c r="D887" s="415" t="s">
        <v>271</v>
      </c>
      <c r="E887" s="415" t="s">
        <v>453</v>
      </c>
      <c r="F887" s="425">
        <v>2118.6</v>
      </c>
      <c r="G887" s="427" t="s">
        <v>731</v>
      </c>
      <c r="H887" s="415" t="s">
        <v>758</v>
      </c>
      <c r="I887" s="473" t="s">
        <v>1728</v>
      </c>
      <c r="J887" s="415" t="s">
        <v>1152</v>
      </c>
      <c r="K887" s="415" t="s">
        <v>830</v>
      </c>
      <c r="L887" s="399" t="s">
        <v>839</v>
      </c>
      <c r="M887" s="544">
        <v>1573</v>
      </c>
      <c r="N887" s="414">
        <v>44601</v>
      </c>
      <c r="O887" s="414" t="s">
        <v>400</v>
      </c>
      <c r="P887" s="222">
        <f t="shared" si="53"/>
        <v>2</v>
      </c>
      <c r="Q887" s="222">
        <f t="shared" si="54"/>
        <v>1</v>
      </c>
      <c r="R887" s="532" t="str">
        <f t="shared" si="55"/>
        <v>Gastos_Gerais</v>
      </c>
      <c r="S887" s="467" t="s">
        <v>998</v>
      </c>
      <c r="T887" s="467">
        <v>2800</v>
      </c>
      <c r="U887" s="496"/>
      <c r="V887" s="496"/>
      <c r="W887" s="496"/>
    </row>
    <row r="888" spans="1:23" ht="60" x14ac:dyDescent="0.2">
      <c r="A888" s="510">
        <f t="shared" si="52"/>
        <v>885</v>
      </c>
      <c r="B888" s="428">
        <v>44603</v>
      </c>
      <c r="C888" s="424">
        <v>44593</v>
      </c>
      <c r="D888" s="415" t="s">
        <v>468</v>
      </c>
      <c r="E888" s="415" t="s">
        <v>468</v>
      </c>
      <c r="F888" s="541">
        <v>2462.5500000000002</v>
      </c>
      <c r="G888" s="427" t="s">
        <v>714</v>
      </c>
      <c r="H888" s="434" t="s">
        <v>468</v>
      </c>
      <c r="I888" s="398" t="s">
        <v>2529</v>
      </c>
      <c r="J888" s="418" t="s">
        <v>1138</v>
      </c>
      <c r="K888" s="418" t="s">
        <v>830</v>
      </c>
      <c r="L888" s="399" t="s">
        <v>839</v>
      </c>
      <c r="M888" s="544">
        <v>1572</v>
      </c>
      <c r="N888" s="455">
        <v>44601</v>
      </c>
      <c r="O888" s="414" t="s">
        <v>401</v>
      </c>
      <c r="P888" s="222">
        <f t="shared" si="53"/>
        <v>2</v>
      </c>
      <c r="Q888" s="222">
        <f t="shared" si="54"/>
        <v>2</v>
      </c>
      <c r="R888" s="532" t="str">
        <f t="shared" si="55"/>
        <v>Gastos_custeados_por_captação</v>
      </c>
      <c r="S888" s="467" t="s">
        <v>1000</v>
      </c>
      <c r="T888" s="467">
        <v>2719</v>
      </c>
      <c r="U888" s="496"/>
      <c r="V888" s="496"/>
      <c r="W888" s="496"/>
    </row>
    <row r="889" spans="1:23" ht="24" x14ac:dyDescent="0.2">
      <c r="A889" s="510">
        <f t="shared" si="52"/>
        <v>886</v>
      </c>
      <c r="B889" s="428">
        <v>44606</v>
      </c>
      <c r="C889" s="424">
        <v>44562</v>
      </c>
      <c r="D889" s="415" t="s">
        <v>271</v>
      </c>
      <c r="E889" s="415" t="s">
        <v>297</v>
      </c>
      <c r="F889" s="425">
        <v>21908.73</v>
      </c>
      <c r="G889" s="427" t="s">
        <v>519</v>
      </c>
      <c r="H889" s="415" t="s">
        <v>750</v>
      </c>
      <c r="I889" s="473" t="s">
        <v>774</v>
      </c>
      <c r="J889" s="415" t="s">
        <v>844</v>
      </c>
      <c r="K889" s="415" t="s">
        <v>812</v>
      </c>
      <c r="L889" s="415" t="s">
        <v>310</v>
      </c>
      <c r="M889" s="415" t="s">
        <v>310</v>
      </c>
      <c r="N889" s="414">
        <v>44607</v>
      </c>
      <c r="O889" s="414" t="s">
        <v>400</v>
      </c>
      <c r="P889" s="222">
        <f t="shared" si="53"/>
        <v>2</v>
      </c>
      <c r="Q889" s="222">
        <f t="shared" si="54"/>
        <v>1</v>
      </c>
      <c r="R889" s="532" t="str">
        <f t="shared" si="55"/>
        <v>Gastos_Gerais</v>
      </c>
      <c r="S889" s="467" t="s">
        <v>310</v>
      </c>
      <c r="T889" s="467" t="s">
        <v>310</v>
      </c>
      <c r="U889" s="496"/>
      <c r="V889" s="496"/>
      <c r="W889" s="496"/>
    </row>
    <row r="890" spans="1:23" ht="36" x14ac:dyDescent="0.2">
      <c r="A890" s="510">
        <f t="shared" si="52"/>
        <v>887</v>
      </c>
      <c r="B890" s="428">
        <v>44606</v>
      </c>
      <c r="C890" s="424">
        <v>44593</v>
      </c>
      <c r="D890" s="415" t="s">
        <v>271</v>
      </c>
      <c r="E890" s="415" t="s">
        <v>71</v>
      </c>
      <c r="F890" s="425">
        <v>10.45</v>
      </c>
      <c r="G890" s="427" t="s">
        <v>1745</v>
      </c>
      <c r="H890" s="415" t="s">
        <v>757</v>
      </c>
      <c r="I890" s="398" t="s">
        <v>881</v>
      </c>
      <c r="J890" s="418" t="s">
        <v>882</v>
      </c>
      <c r="K890" s="418" t="s">
        <v>883</v>
      </c>
      <c r="L890" s="399" t="s">
        <v>798</v>
      </c>
      <c r="M890" s="544" t="s">
        <v>310</v>
      </c>
      <c r="N890" s="414">
        <v>44606</v>
      </c>
      <c r="O890" s="414" t="s">
        <v>400</v>
      </c>
      <c r="P890" s="222">
        <f t="shared" si="53"/>
        <v>2</v>
      </c>
      <c r="Q890" s="222">
        <f t="shared" si="54"/>
        <v>2</v>
      </c>
      <c r="R890" s="532" t="str">
        <f t="shared" si="55"/>
        <v>Gastos_Gerais</v>
      </c>
      <c r="S890" s="467" t="s">
        <v>310</v>
      </c>
      <c r="T890" s="467" t="s">
        <v>310</v>
      </c>
      <c r="U890" s="496"/>
      <c r="V890" s="496"/>
      <c r="W890" s="496"/>
    </row>
    <row r="891" spans="1:23" s="307" customFormat="1" ht="36" x14ac:dyDescent="0.2">
      <c r="A891" s="510">
        <f t="shared" si="52"/>
        <v>888</v>
      </c>
      <c r="B891" s="428">
        <v>44606</v>
      </c>
      <c r="C891" s="424">
        <v>44593</v>
      </c>
      <c r="D891" s="415" t="s">
        <v>468</v>
      </c>
      <c r="E891" s="415" t="s">
        <v>468</v>
      </c>
      <c r="F891" s="459">
        <v>-20000</v>
      </c>
      <c r="G891" s="427" t="s">
        <v>2436</v>
      </c>
      <c r="H891" s="415" t="s">
        <v>468</v>
      </c>
      <c r="I891" s="460" t="s">
        <v>2437</v>
      </c>
      <c r="J891" s="461" t="s">
        <v>796</v>
      </c>
      <c r="K891" s="461" t="s">
        <v>797</v>
      </c>
      <c r="L891" s="460" t="s">
        <v>798</v>
      </c>
      <c r="M891" s="461" t="s">
        <v>310</v>
      </c>
      <c r="N891" s="414">
        <v>44606</v>
      </c>
      <c r="O891" s="414" t="s">
        <v>408</v>
      </c>
      <c r="P891" s="222">
        <f t="shared" si="53"/>
        <v>2</v>
      </c>
      <c r="Q891" s="222">
        <f t="shared" si="54"/>
        <v>2</v>
      </c>
      <c r="R891" s="532" t="str">
        <f t="shared" si="55"/>
        <v>Gastos_custeados_por_captação</v>
      </c>
      <c r="S891" s="467" t="s">
        <v>310</v>
      </c>
      <c r="T891" s="467" t="s">
        <v>310</v>
      </c>
      <c r="U891" s="496"/>
      <c r="V891" s="496"/>
      <c r="W891" s="496"/>
    </row>
    <row r="892" spans="1:23" ht="43.5" customHeight="1" x14ac:dyDescent="0.2">
      <c r="A892" s="510">
        <f t="shared" si="52"/>
        <v>889</v>
      </c>
      <c r="B892" s="428">
        <v>44606</v>
      </c>
      <c r="C892" s="424">
        <v>44593</v>
      </c>
      <c r="D892" s="415" t="s">
        <v>468</v>
      </c>
      <c r="E892" s="415" t="s">
        <v>468</v>
      </c>
      <c r="F892" s="459">
        <v>153</v>
      </c>
      <c r="G892" s="427" t="s">
        <v>880</v>
      </c>
      <c r="H892" s="415" t="s">
        <v>468</v>
      </c>
      <c r="I892" s="398" t="s">
        <v>881</v>
      </c>
      <c r="J892" s="418" t="s">
        <v>882</v>
      </c>
      <c r="K892" s="418" t="s">
        <v>883</v>
      </c>
      <c r="L892" s="399" t="s">
        <v>798</v>
      </c>
      <c r="M892" s="544" t="s">
        <v>310</v>
      </c>
      <c r="N892" s="414">
        <v>44606</v>
      </c>
      <c r="O892" s="414" t="s">
        <v>408</v>
      </c>
      <c r="P892" s="222">
        <f t="shared" si="53"/>
        <v>2</v>
      </c>
      <c r="Q892" s="222">
        <f t="shared" si="54"/>
        <v>2</v>
      </c>
      <c r="R892" s="532" t="str">
        <f t="shared" si="55"/>
        <v>Gastos_custeados_por_captação</v>
      </c>
      <c r="S892" s="467" t="s">
        <v>310</v>
      </c>
      <c r="T892" s="467" t="s">
        <v>310</v>
      </c>
      <c r="U892" s="496"/>
      <c r="V892" s="496"/>
      <c r="W892" s="496"/>
    </row>
    <row r="893" spans="1:23" ht="60" x14ac:dyDescent="0.2">
      <c r="A893" s="510">
        <f t="shared" si="52"/>
        <v>890</v>
      </c>
      <c r="B893" s="428">
        <v>44606</v>
      </c>
      <c r="C893" s="431">
        <v>44562</v>
      </c>
      <c r="D893" s="415" t="s">
        <v>468</v>
      </c>
      <c r="E893" s="415" t="s">
        <v>468</v>
      </c>
      <c r="F893" s="459">
        <v>980</v>
      </c>
      <c r="G893" s="427" t="s">
        <v>746</v>
      </c>
      <c r="H893" s="415" t="s">
        <v>468</v>
      </c>
      <c r="I893" s="398" t="s">
        <v>2686</v>
      </c>
      <c r="J893" s="418" t="s">
        <v>1079</v>
      </c>
      <c r="K893" s="418" t="s">
        <v>812</v>
      </c>
      <c r="L893" s="399" t="s">
        <v>826</v>
      </c>
      <c r="M893" s="544" t="s">
        <v>310</v>
      </c>
      <c r="N893" s="414">
        <v>44606</v>
      </c>
      <c r="O893" s="414" t="s">
        <v>404</v>
      </c>
      <c r="P893" s="222">
        <f t="shared" si="53"/>
        <v>2</v>
      </c>
      <c r="Q893" s="222">
        <f t="shared" si="54"/>
        <v>1</v>
      </c>
      <c r="R893" s="532" t="str">
        <f t="shared" si="55"/>
        <v>Gastos_custeados_por_captação</v>
      </c>
      <c r="S893" s="467" t="s">
        <v>998</v>
      </c>
      <c r="T893" s="467">
        <v>2824</v>
      </c>
      <c r="U893" s="496"/>
      <c r="V893" s="496"/>
      <c r="W893" s="496"/>
    </row>
    <row r="894" spans="1:23" ht="72" x14ac:dyDescent="0.2">
      <c r="A894" s="510">
        <f t="shared" si="52"/>
        <v>891</v>
      </c>
      <c r="B894" s="428">
        <v>44606</v>
      </c>
      <c r="C894" s="424">
        <v>44593</v>
      </c>
      <c r="D894" s="415" t="s">
        <v>468</v>
      </c>
      <c r="E894" s="415" t="s">
        <v>468</v>
      </c>
      <c r="F894" s="425">
        <v>20000</v>
      </c>
      <c r="G894" s="437" t="s">
        <v>2436</v>
      </c>
      <c r="H894" s="415" t="s">
        <v>468</v>
      </c>
      <c r="I894" s="473" t="s">
        <v>795</v>
      </c>
      <c r="J894" s="415" t="s">
        <v>796</v>
      </c>
      <c r="K894" s="415" t="s">
        <v>797</v>
      </c>
      <c r="L894" s="415" t="s">
        <v>798</v>
      </c>
      <c r="M894" s="415" t="s">
        <v>310</v>
      </c>
      <c r="N894" s="455">
        <v>44606</v>
      </c>
      <c r="O894" s="414" t="s">
        <v>407</v>
      </c>
      <c r="P894" s="222">
        <f t="shared" si="53"/>
        <v>2</v>
      </c>
      <c r="Q894" s="222">
        <f t="shared" si="54"/>
        <v>2</v>
      </c>
      <c r="R894" s="532" t="str">
        <f t="shared" si="55"/>
        <v>Gastos_custeados_por_captação</v>
      </c>
      <c r="S894" s="467" t="s">
        <v>310</v>
      </c>
      <c r="T894" s="467" t="s">
        <v>310</v>
      </c>
      <c r="U894" s="496"/>
      <c r="V894" s="496"/>
      <c r="W894" s="496"/>
    </row>
    <row r="895" spans="1:23" ht="108" x14ac:dyDescent="0.2">
      <c r="A895" s="510">
        <f t="shared" si="52"/>
        <v>892</v>
      </c>
      <c r="B895" s="428">
        <v>44606</v>
      </c>
      <c r="C895" s="431">
        <v>44562</v>
      </c>
      <c r="D895" s="415" t="s">
        <v>271</v>
      </c>
      <c r="E895" s="415" t="s">
        <v>90</v>
      </c>
      <c r="F895" s="425">
        <v>2053.31</v>
      </c>
      <c r="G895" s="427" t="s">
        <v>658</v>
      </c>
      <c r="H895" s="415" t="s">
        <v>760</v>
      </c>
      <c r="I895" s="473" t="s">
        <v>1748</v>
      </c>
      <c r="J895" s="415" t="s">
        <v>1027</v>
      </c>
      <c r="K895" s="415" t="s">
        <v>806</v>
      </c>
      <c r="L895" s="415" t="s">
        <v>839</v>
      </c>
      <c r="M895" s="415">
        <v>1570</v>
      </c>
      <c r="N895" s="414">
        <v>44600</v>
      </c>
      <c r="O895" s="414" t="s">
        <v>400</v>
      </c>
      <c r="P895" s="222">
        <f t="shared" si="53"/>
        <v>2</v>
      </c>
      <c r="Q895" s="222">
        <f t="shared" si="54"/>
        <v>1</v>
      </c>
      <c r="R895" s="532" t="str">
        <f t="shared" si="55"/>
        <v>Gastos_Gerais</v>
      </c>
      <c r="S895" s="467" t="s">
        <v>1000</v>
      </c>
      <c r="T895" s="467">
        <v>2716</v>
      </c>
      <c r="U895" s="496"/>
      <c r="V895" s="496"/>
      <c r="W895" s="496"/>
    </row>
    <row r="896" spans="1:23" ht="72" x14ac:dyDescent="0.2">
      <c r="A896" s="510">
        <f t="shared" si="52"/>
        <v>893</v>
      </c>
      <c r="B896" s="428">
        <v>44606</v>
      </c>
      <c r="C896" s="424">
        <v>44531</v>
      </c>
      <c r="D896" s="415" t="s">
        <v>468</v>
      </c>
      <c r="E896" s="415" t="s">
        <v>468</v>
      </c>
      <c r="F896" s="425">
        <v>3605</v>
      </c>
      <c r="G896" s="437" t="s">
        <v>682</v>
      </c>
      <c r="H896" s="415" t="s">
        <v>468</v>
      </c>
      <c r="I896" s="473" t="s">
        <v>2882</v>
      </c>
      <c r="J896" s="415" t="s">
        <v>1097</v>
      </c>
      <c r="K896" s="415" t="s">
        <v>830</v>
      </c>
      <c r="L896" s="415" t="s">
        <v>1341</v>
      </c>
      <c r="M896" s="415">
        <v>1569</v>
      </c>
      <c r="N896" s="455">
        <v>44600</v>
      </c>
      <c r="O896" s="414" t="s">
        <v>407</v>
      </c>
      <c r="P896" s="222">
        <f t="shared" si="53"/>
        <v>2</v>
      </c>
      <c r="Q896" s="222">
        <f t="shared" si="54"/>
        <v>0</v>
      </c>
      <c r="R896" s="532" t="str">
        <f t="shared" si="55"/>
        <v>Gastos_custeados_por_captação</v>
      </c>
      <c r="S896" s="467" t="s">
        <v>998</v>
      </c>
      <c r="T896" s="467">
        <v>2491</v>
      </c>
      <c r="U896" s="496"/>
      <c r="V896" s="496"/>
      <c r="W896" s="496"/>
    </row>
    <row r="897" spans="1:23" ht="48" x14ac:dyDescent="0.2">
      <c r="A897" s="510">
        <f t="shared" si="52"/>
        <v>894</v>
      </c>
      <c r="B897" s="428">
        <v>44606</v>
      </c>
      <c r="C897" s="424">
        <v>44562</v>
      </c>
      <c r="D897" s="415" t="s">
        <v>271</v>
      </c>
      <c r="E897" s="415" t="s">
        <v>92</v>
      </c>
      <c r="F897" s="425">
        <v>-132.05000000000001</v>
      </c>
      <c r="G897" s="427" t="s">
        <v>1746</v>
      </c>
      <c r="H897" s="415" t="s">
        <v>309</v>
      </c>
      <c r="I897" s="473" t="s">
        <v>795</v>
      </c>
      <c r="J897" s="415" t="s">
        <v>796</v>
      </c>
      <c r="K897" s="415" t="s">
        <v>797</v>
      </c>
      <c r="L897" s="399" t="s">
        <v>798</v>
      </c>
      <c r="M897" s="544" t="s">
        <v>310</v>
      </c>
      <c r="N897" s="414">
        <v>44596</v>
      </c>
      <c r="O897" s="414" t="s">
        <v>400</v>
      </c>
      <c r="P897" s="222">
        <f t="shared" si="53"/>
        <v>2</v>
      </c>
      <c r="Q897" s="222">
        <f t="shared" si="54"/>
        <v>1</v>
      </c>
      <c r="R897" s="532" t="str">
        <f t="shared" si="55"/>
        <v>Gastos_Gerais</v>
      </c>
      <c r="S897" s="467" t="s">
        <v>310</v>
      </c>
      <c r="T897" s="467" t="s">
        <v>310</v>
      </c>
      <c r="U897" s="496"/>
      <c r="V897" s="496"/>
      <c r="W897" s="496"/>
    </row>
    <row r="898" spans="1:23" ht="48" x14ac:dyDescent="0.2">
      <c r="A898" s="510">
        <f t="shared" si="52"/>
        <v>895</v>
      </c>
      <c r="B898" s="428">
        <v>44606</v>
      </c>
      <c r="C898" s="424">
        <v>44562</v>
      </c>
      <c r="D898" s="415" t="s">
        <v>271</v>
      </c>
      <c r="E898" s="415" t="s">
        <v>92</v>
      </c>
      <c r="F898" s="425">
        <v>500</v>
      </c>
      <c r="G898" s="427" t="s">
        <v>692</v>
      </c>
      <c r="H898" s="415" t="s">
        <v>309</v>
      </c>
      <c r="I898" s="460" t="s">
        <v>1371</v>
      </c>
      <c r="J898" s="415" t="s">
        <v>1123</v>
      </c>
      <c r="K898" s="415" t="s">
        <v>812</v>
      </c>
      <c r="L898" s="415" t="s">
        <v>1372</v>
      </c>
      <c r="M898" s="415" t="s">
        <v>1742</v>
      </c>
      <c r="N898" s="414">
        <v>44594</v>
      </c>
      <c r="O898" s="414" t="s">
        <v>400</v>
      </c>
      <c r="P898" s="222">
        <f t="shared" si="53"/>
        <v>2</v>
      </c>
      <c r="Q898" s="222">
        <f t="shared" si="54"/>
        <v>1</v>
      </c>
      <c r="R898" s="532" t="str">
        <f t="shared" si="55"/>
        <v>Gastos_Gerais</v>
      </c>
      <c r="S898" s="467" t="s">
        <v>1000</v>
      </c>
      <c r="T898" s="467">
        <v>2665</v>
      </c>
      <c r="U898" s="496"/>
      <c r="V898" s="496"/>
      <c r="W898" s="496"/>
    </row>
    <row r="899" spans="1:23" ht="48" x14ac:dyDescent="0.2">
      <c r="A899" s="510">
        <f t="shared" si="52"/>
        <v>896</v>
      </c>
      <c r="B899" s="428">
        <v>44606</v>
      </c>
      <c r="C899" s="431">
        <v>44531</v>
      </c>
      <c r="D899" s="415" t="s">
        <v>271</v>
      </c>
      <c r="E899" s="415" t="s">
        <v>453</v>
      </c>
      <c r="F899" s="425">
        <v>1174.8</v>
      </c>
      <c r="G899" s="427" t="s">
        <v>648</v>
      </c>
      <c r="H899" s="415" t="s">
        <v>757</v>
      </c>
      <c r="I899" s="473" t="s">
        <v>1352</v>
      </c>
      <c r="J899" s="415" t="s">
        <v>1057</v>
      </c>
      <c r="K899" s="415" t="s">
        <v>830</v>
      </c>
      <c r="L899" s="415" t="s">
        <v>839</v>
      </c>
      <c r="M899" s="415">
        <v>1550</v>
      </c>
      <c r="N899" s="414">
        <v>44593</v>
      </c>
      <c r="O899" s="414" t="s">
        <v>400</v>
      </c>
      <c r="P899" s="222">
        <f t="shared" si="53"/>
        <v>2</v>
      </c>
      <c r="Q899" s="222">
        <f t="shared" si="54"/>
        <v>0</v>
      </c>
      <c r="R899" s="532" t="str">
        <f t="shared" si="55"/>
        <v>Gastos_Gerais</v>
      </c>
      <c r="S899" s="467" t="s">
        <v>998</v>
      </c>
      <c r="T899" s="467">
        <v>2656</v>
      </c>
      <c r="U899" s="496"/>
      <c r="V899" s="496"/>
      <c r="W899" s="496"/>
    </row>
    <row r="900" spans="1:23" ht="48" x14ac:dyDescent="0.2">
      <c r="A900" s="510">
        <f t="shared" si="52"/>
        <v>897</v>
      </c>
      <c r="B900" s="428">
        <v>44606</v>
      </c>
      <c r="C900" s="424">
        <v>44562</v>
      </c>
      <c r="D900" s="415" t="s">
        <v>271</v>
      </c>
      <c r="E900" s="415" t="s">
        <v>163</v>
      </c>
      <c r="F900" s="425">
        <v>-75.52</v>
      </c>
      <c r="G900" s="427" t="s">
        <v>1747</v>
      </c>
      <c r="H900" s="415" t="s">
        <v>309</v>
      </c>
      <c r="I900" s="473" t="s">
        <v>795</v>
      </c>
      <c r="J900" s="415" t="s">
        <v>796</v>
      </c>
      <c r="K900" s="415" t="s">
        <v>797</v>
      </c>
      <c r="L900" s="415" t="s">
        <v>798</v>
      </c>
      <c r="M900" s="415" t="s">
        <v>310</v>
      </c>
      <c r="N900" s="414">
        <v>44589</v>
      </c>
      <c r="O900" s="414" t="s">
        <v>400</v>
      </c>
      <c r="P900" s="222">
        <f t="shared" si="53"/>
        <v>2</v>
      </c>
      <c r="Q900" s="222">
        <f t="shared" si="54"/>
        <v>1</v>
      </c>
      <c r="R900" s="532" t="str">
        <f t="shared" si="55"/>
        <v>Gastos_Gerais</v>
      </c>
      <c r="S900" s="467" t="s">
        <v>310</v>
      </c>
      <c r="T900" s="467" t="s">
        <v>310</v>
      </c>
      <c r="U900" s="496"/>
      <c r="V900" s="496"/>
      <c r="W900" s="496"/>
    </row>
    <row r="901" spans="1:23" ht="24" x14ac:dyDescent="0.2">
      <c r="A901" s="510">
        <f t="shared" ref="A901:A961" si="56">IF(B901="","",ROW()-ROW($A$3))</f>
        <v>898</v>
      </c>
      <c r="B901" s="428">
        <v>44606</v>
      </c>
      <c r="C901" s="433">
        <v>44562</v>
      </c>
      <c r="D901" s="415" t="s">
        <v>271</v>
      </c>
      <c r="E901" s="415" t="s">
        <v>163</v>
      </c>
      <c r="F901" s="435">
        <v>285.95</v>
      </c>
      <c r="G901" s="437" t="s">
        <v>1326</v>
      </c>
      <c r="H901" s="434" t="s">
        <v>309</v>
      </c>
      <c r="I901" s="474" t="s">
        <v>768</v>
      </c>
      <c r="J901" s="434" t="s">
        <v>1021</v>
      </c>
      <c r="K901" s="434" t="s">
        <v>1404</v>
      </c>
      <c r="L901" s="415" t="s">
        <v>807</v>
      </c>
      <c r="M901" s="434" t="s">
        <v>1743</v>
      </c>
      <c r="N901" s="455">
        <v>44580</v>
      </c>
      <c r="O901" s="414" t="s">
        <v>400</v>
      </c>
      <c r="P901" s="222">
        <f t="shared" ref="P901:P961" si="57">IF(B901=0,0,IF(YEAR(B901)=$Q$1,MONTH(B901)-$P$1+1,(YEAR(B901)-$Q$1)*12-$P$1+1+MONTH(B901)))</f>
        <v>2</v>
      </c>
      <c r="Q901" s="222">
        <f t="shared" ref="Q901:Q961" si="58">IF(C901=0,0,IF(YEAR(C901)=$Q$1,MONTH(C901)-$P$1+1,(YEAR(C901)-$Q$1)*12-$P$1+1+MONTH(C901)))</f>
        <v>1</v>
      </c>
      <c r="R901" s="532" t="str">
        <f t="shared" ref="R901:R961" si="59">SUBSTITUTE(D901," ","_")</f>
        <v>Gastos_Gerais</v>
      </c>
      <c r="S901" s="467" t="s">
        <v>310</v>
      </c>
      <c r="T901" s="467" t="s">
        <v>310</v>
      </c>
      <c r="U901" s="496"/>
      <c r="V901" s="496"/>
      <c r="W901" s="496"/>
    </row>
    <row r="902" spans="1:23" ht="48" x14ac:dyDescent="0.2">
      <c r="A902" s="510">
        <f t="shared" si="56"/>
        <v>899</v>
      </c>
      <c r="B902" s="428">
        <v>44607</v>
      </c>
      <c r="C902" s="431">
        <v>44562</v>
      </c>
      <c r="D902" s="415" t="s">
        <v>271</v>
      </c>
      <c r="E902" s="415" t="s">
        <v>84</v>
      </c>
      <c r="F902" s="425">
        <v>-33.14</v>
      </c>
      <c r="G902" s="427" t="s">
        <v>1762</v>
      </c>
      <c r="H902" s="415" t="s">
        <v>309</v>
      </c>
      <c r="I902" s="473" t="s">
        <v>795</v>
      </c>
      <c r="J902" s="415" t="s">
        <v>796</v>
      </c>
      <c r="K902" s="415" t="s">
        <v>797</v>
      </c>
      <c r="L902" s="415" t="s">
        <v>798</v>
      </c>
      <c r="M902" s="415" t="s">
        <v>310</v>
      </c>
      <c r="N902" s="414">
        <v>44608</v>
      </c>
      <c r="O902" s="414" t="s">
        <v>400</v>
      </c>
      <c r="P902" s="222">
        <f t="shared" si="57"/>
        <v>2</v>
      </c>
      <c r="Q902" s="222">
        <f t="shared" si="58"/>
        <v>1</v>
      </c>
      <c r="R902" s="532" t="str">
        <f t="shared" si="59"/>
        <v>Gastos_Gerais</v>
      </c>
      <c r="S902" s="467" t="s">
        <v>310</v>
      </c>
      <c r="T902" s="467" t="s">
        <v>310</v>
      </c>
      <c r="U902" s="496"/>
      <c r="V902" s="496"/>
      <c r="W902" s="496"/>
    </row>
    <row r="903" spans="1:23" ht="48" x14ac:dyDescent="0.2">
      <c r="A903" s="510">
        <f t="shared" si="56"/>
        <v>900</v>
      </c>
      <c r="B903" s="428">
        <v>44607</v>
      </c>
      <c r="C903" s="433">
        <v>44593</v>
      </c>
      <c r="D903" s="415" t="s">
        <v>182</v>
      </c>
      <c r="E903" s="415" t="s">
        <v>325</v>
      </c>
      <c r="F903" s="425">
        <v>-225.4</v>
      </c>
      <c r="G903" s="427" t="s">
        <v>1378</v>
      </c>
      <c r="H903" s="415" t="s">
        <v>310</v>
      </c>
      <c r="I903" s="473" t="s">
        <v>795</v>
      </c>
      <c r="J903" s="415" t="s">
        <v>796</v>
      </c>
      <c r="K903" s="415" t="s">
        <v>797</v>
      </c>
      <c r="L903" s="415" t="s">
        <v>798</v>
      </c>
      <c r="M903" s="415" t="s">
        <v>310</v>
      </c>
      <c r="N903" s="414">
        <v>44607</v>
      </c>
      <c r="O903" s="414" t="s">
        <v>400</v>
      </c>
      <c r="P903" s="222">
        <f t="shared" si="57"/>
        <v>2</v>
      </c>
      <c r="Q903" s="222">
        <f t="shared" si="58"/>
        <v>2</v>
      </c>
      <c r="R903" s="532" t="str">
        <f t="shared" si="59"/>
        <v>Gastos_com_Pessoal</v>
      </c>
      <c r="S903" s="467" t="s">
        <v>310</v>
      </c>
      <c r="T903" s="467" t="s">
        <v>310</v>
      </c>
      <c r="U903" s="496"/>
      <c r="V903" s="496"/>
      <c r="W903" s="496"/>
    </row>
    <row r="904" spans="1:23" ht="48" x14ac:dyDescent="0.2">
      <c r="A904" s="510">
        <f t="shared" si="56"/>
        <v>901</v>
      </c>
      <c r="B904" s="428">
        <v>44607</v>
      </c>
      <c r="C904" s="433">
        <v>44593</v>
      </c>
      <c r="D904" s="415" t="s">
        <v>182</v>
      </c>
      <c r="E904" s="415" t="s">
        <v>325</v>
      </c>
      <c r="F904" s="425">
        <v>-3451.91</v>
      </c>
      <c r="G904" s="427" t="s">
        <v>1382</v>
      </c>
      <c r="H904" s="415" t="s">
        <v>310</v>
      </c>
      <c r="I904" s="473" t="s">
        <v>795</v>
      </c>
      <c r="J904" s="415" t="s">
        <v>796</v>
      </c>
      <c r="K904" s="415" t="s">
        <v>797</v>
      </c>
      <c r="L904" s="415" t="s">
        <v>798</v>
      </c>
      <c r="M904" s="415" t="s">
        <v>310</v>
      </c>
      <c r="N904" s="414">
        <v>44607</v>
      </c>
      <c r="O904" s="414" t="s">
        <v>400</v>
      </c>
      <c r="P904" s="222">
        <f t="shared" si="57"/>
        <v>2</v>
      </c>
      <c r="Q904" s="222">
        <f t="shared" si="58"/>
        <v>2</v>
      </c>
      <c r="R904" s="532" t="str">
        <f t="shared" si="59"/>
        <v>Gastos_com_Pessoal</v>
      </c>
      <c r="S904" s="467" t="s">
        <v>310</v>
      </c>
      <c r="T904" s="467" t="s">
        <v>310</v>
      </c>
      <c r="U904" s="496"/>
      <c r="V904" s="496"/>
      <c r="W904" s="496"/>
    </row>
    <row r="905" spans="1:23" ht="36" x14ac:dyDescent="0.2">
      <c r="A905" s="510">
        <f t="shared" si="56"/>
        <v>902</v>
      </c>
      <c r="B905" s="428">
        <v>44607</v>
      </c>
      <c r="C905" s="424">
        <v>44593</v>
      </c>
      <c r="D905" s="415" t="s">
        <v>271</v>
      </c>
      <c r="E905" s="415" t="s">
        <v>71</v>
      </c>
      <c r="F905" s="425">
        <v>10.45</v>
      </c>
      <c r="G905" s="427" t="s">
        <v>1780</v>
      </c>
      <c r="H905" s="415" t="s">
        <v>752</v>
      </c>
      <c r="I905" s="398" t="s">
        <v>881</v>
      </c>
      <c r="J905" s="418" t="s">
        <v>882</v>
      </c>
      <c r="K905" s="418" t="s">
        <v>883</v>
      </c>
      <c r="L905" s="399" t="s">
        <v>798</v>
      </c>
      <c r="M905" s="544" t="s">
        <v>310</v>
      </c>
      <c r="N905" s="414">
        <v>44607</v>
      </c>
      <c r="O905" s="414" t="s">
        <v>400</v>
      </c>
      <c r="P905" s="222">
        <f t="shared" si="57"/>
        <v>2</v>
      </c>
      <c r="Q905" s="222">
        <f t="shared" si="58"/>
        <v>2</v>
      </c>
      <c r="R905" s="532" t="str">
        <f t="shared" si="59"/>
        <v>Gastos_Gerais</v>
      </c>
      <c r="S905" s="467" t="s">
        <v>310</v>
      </c>
      <c r="T905" s="467" t="s">
        <v>310</v>
      </c>
      <c r="U905" s="496"/>
      <c r="V905" s="496"/>
      <c r="W905" s="496"/>
    </row>
    <row r="906" spans="1:23" ht="36" x14ac:dyDescent="0.2">
      <c r="A906" s="510">
        <f t="shared" si="56"/>
        <v>903</v>
      </c>
      <c r="B906" s="428">
        <v>44607</v>
      </c>
      <c r="C906" s="424">
        <v>44593</v>
      </c>
      <c r="D906" s="415" t="s">
        <v>271</v>
      </c>
      <c r="E906" s="415" t="s">
        <v>71</v>
      </c>
      <c r="F906" s="425">
        <v>10.45</v>
      </c>
      <c r="G906" s="427" t="s">
        <v>1775</v>
      </c>
      <c r="H906" s="415" t="s">
        <v>752</v>
      </c>
      <c r="I906" s="398" t="s">
        <v>881</v>
      </c>
      <c r="J906" s="418" t="s">
        <v>882</v>
      </c>
      <c r="K906" s="418" t="s">
        <v>883</v>
      </c>
      <c r="L906" s="399" t="s">
        <v>798</v>
      </c>
      <c r="M906" s="544" t="s">
        <v>310</v>
      </c>
      <c r="N906" s="414">
        <v>44607</v>
      </c>
      <c r="O906" s="414" t="s">
        <v>400</v>
      </c>
      <c r="P906" s="222">
        <f t="shared" si="57"/>
        <v>2</v>
      </c>
      <c r="Q906" s="222">
        <f t="shared" si="58"/>
        <v>2</v>
      </c>
      <c r="R906" s="532" t="str">
        <f t="shared" si="59"/>
        <v>Gastos_Gerais</v>
      </c>
      <c r="S906" s="467" t="s">
        <v>310</v>
      </c>
      <c r="T906" s="467" t="s">
        <v>310</v>
      </c>
      <c r="U906" s="496"/>
      <c r="V906" s="496"/>
      <c r="W906" s="496"/>
    </row>
    <row r="907" spans="1:23" ht="36" x14ac:dyDescent="0.2">
      <c r="A907" s="510">
        <f t="shared" si="56"/>
        <v>904</v>
      </c>
      <c r="B907" s="428">
        <v>44607</v>
      </c>
      <c r="C907" s="424">
        <v>44593</v>
      </c>
      <c r="D907" s="415" t="s">
        <v>271</v>
      </c>
      <c r="E907" s="415" t="s">
        <v>71</v>
      </c>
      <c r="F907" s="425">
        <v>10.45</v>
      </c>
      <c r="G907" s="427" t="s">
        <v>1765</v>
      </c>
      <c r="H907" s="415" t="s">
        <v>793</v>
      </c>
      <c r="I907" s="398" t="s">
        <v>881</v>
      </c>
      <c r="J907" s="418" t="s">
        <v>882</v>
      </c>
      <c r="K907" s="418" t="s">
        <v>883</v>
      </c>
      <c r="L907" s="399" t="s">
        <v>798</v>
      </c>
      <c r="M907" s="544" t="s">
        <v>310</v>
      </c>
      <c r="N907" s="414">
        <v>44607</v>
      </c>
      <c r="O907" s="414" t="s">
        <v>400</v>
      </c>
      <c r="P907" s="222">
        <f t="shared" si="57"/>
        <v>2</v>
      </c>
      <c r="Q907" s="222">
        <f t="shared" si="58"/>
        <v>2</v>
      </c>
      <c r="R907" s="532" t="str">
        <f t="shared" si="59"/>
        <v>Gastos_Gerais</v>
      </c>
      <c r="S907" s="467" t="s">
        <v>310</v>
      </c>
      <c r="T907" s="467" t="s">
        <v>310</v>
      </c>
      <c r="U907" s="496"/>
      <c r="V907" s="496"/>
      <c r="W907" s="496"/>
    </row>
    <row r="908" spans="1:23" ht="45.75" customHeight="1" x14ac:dyDescent="0.2">
      <c r="A908" s="510">
        <f t="shared" si="56"/>
        <v>905</v>
      </c>
      <c r="B908" s="428">
        <v>44607</v>
      </c>
      <c r="C908" s="431">
        <v>44562</v>
      </c>
      <c r="D908" s="415" t="s">
        <v>271</v>
      </c>
      <c r="E908" s="415" t="s">
        <v>453</v>
      </c>
      <c r="F908" s="425">
        <v>1998.6</v>
      </c>
      <c r="G908" s="427" t="s">
        <v>667</v>
      </c>
      <c r="H908" s="415" t="s">
        <v>752</v>
      </c>
      <c r="I908" s="473" t="s">
        <v>1766</v>
      </c>
      <c r="J908" s="415" t="s">
        <v>1083</v>
      </c>
      <c r="K908" s="415" t="s">
        <v>806</v>
      </c>
      <c r="L908" s="415" t="s">
        <v>839</v>
      </c>
      <c r="M908" s="415">
        <v>1574</v>
      </c>
      <c r="N908" s="414">
        <v>44606</v>
      </c>
      <c r="O908" s="414" t="s">
        <v>400</v>
      </c>
      <c r="P908" s="222">
        <f t="shared" si="57"/>
        <v>2</v>
      </c>
      <c r="Q908" s="222">
        <f t="shared" si="58"/>
        <v>1</v>
      </c>
      <c r="R908" s="532" t="str">
        <f t="shared" si="59"/>
        <v>Gastos_Gerais</v>
      </c>
      <c r="S908" s="467" t="s">
        <v>1000</v>
      </c>
      <c r="T908" s="467">
        <v>2737</v>
      </c>
      <c r="U908" s="496"/>
      <c r="V908" s="496"/>
      <c r="W908" s="496"/>
    </row>
    <row r="909" spans="1:23" ht="48" x14ac:dyDescent="0.2">
      <c r="A909" s="510">
        <f t="shared" si="56"/>
        <v>906</v>
      </c>
      <c r="B909" s="428">
        <v>44607</v>
      </c>
      <c r="C909" s="431">
        <v>44562</v>
      </c>
      <c r="D909" s="415" t="s">
        <v>271</v>
      </c>
      <c r="E909" s="415" t="s">
        <v>453</v>
      </c>
      <c r="F909" s="425">
        <v>1998.6</v>
      </c>
      <c r="G909" s="427" t="s">
        <v>667</v>
      </c>
      <c r="H909" s="415" t="s">
        <v>752</v>
      </c>
      <c r="I909" s="473" t="s">
        <v>1771</v>
      </c>
      <c r="J909" s="415" t="s">
        <v>1770</v>
      </c>
      <c r="K909" s="415" t="s">
        <v>830</v>
      </c>
      <c r="L909" s="415" t="s">
        <v>839</v>
      </c>
      <c r="M909" s="415">
        <v>1576</v>
      </c>
      <c r="N909" s="414">
        <v>44606</v>
      </c>
      <c r="O909" s="414" t="s">
        <v>400</v>
      </c>
      <c r="P909" s="222">
        <f t="shared" si="57"/>
        <v>2</v>
      </c>
      <c r="Q909" s="222">
        <f t="shared" si="58"/>
        <v>1</v>
      </c>
      <c r="R909" s="532" t="str">
        <f t="shared" si="59"/>
        <v>Gastos_Gerais</v>
      </c>
      <c r="S909" s="467" t="s">
        <v>1000</v>
      </c>
      <c r="T909" s="467">
        <v>2739</v>
      </c>
      <c r="U909" s="496"/>
      <c r="V909" s="496"/>
      <c r="W909" s="496"/>
    </row>
    <row r="910" spans="1:23" ht="48" x14ac:dyDescent="0.2">
      <c r="A910" s="510">
        <f t="shared" si="56"/>
        <v>907</v>
      </c>
      <c r="B910" s="428">
        <v>44607</v>
      </c>
      <c r="C910" s="431">
        <v>44562</v>
      </c>
      <c r="D910" s="415" t="s">
        <v>271</v>
      </c>
      <c r="E910" s="415" t="s">
        <v>453</v>
      </c>
      <c r="F910" s="425">
        <v>1998.6</v>
      </c>
      <c r="G910" s="427" t="s">
        <v>668</v>
      </c>
      <c r="H910" s="415" t="s">
        <v>752</v>
      </c>
      <c r="I910" s="473" t="s">
        <v>1776</v>
      </c>
      <c r="J910" s="415" t="s">
        <v>1084</v>
      </c>
      <c r="K910" s="415" t="s">
        <v>830</v>
      </c>
      <c r="L910" s="415" t="s">
        <v>839</v>
      </c>
      <c r="M910" s="415">
        <v>1575</v>
      </c>
      <c r="N910" s="414">
        <v>44606</v>
      </c>
      <c r="O910" s="414" t="s">
        <v>400</v>
      </c>
      <c r="P910" s="222">
        <f t="shared" si="57"/>
        <v>2</v>
      </c>
      <c r="Q910" s="222">
        <f t="shared" si="58"/>
        <v>1</v>
      </c>
      <c r="R910" s="532" t="str">
        <f t="shared" si="59"/>
        <v>Gastos_Gerais</v>
      </c>
      <c r="S910" s="467" t="s">
        <v>1000</v>
      </c>
      <c r="T910" s="467">
        <v>2738</v>
      </c>
      <c r="U910" s="496"/>
      <c r="V910" s="496"/>
      <c r="W910" s="496"/>
    </row>
    <row r="911" spans="1:23" ht="60" x14ac:dyDescent="0.2">
      <c r="A911" s="510">
        <f t="shared" si="56"/>
        <v>908</v>
      </c>
      <c r="B911" s="428">
        <v>44607</v>
      </c>
      <c r="C911" s="431">
        <v>44593</v>
      </c>
      <c r="D911" s="415" t="s">
        <v>271</v>
      </c>
      <c r="E911" s="415" t="s">
        <v>62</v>
      </c>
      <c r="F911" s="425">
        <v>428.4</v>
      </c>
      <c r="G911" s="427" t="s">
        <v>1644</v>
      </c>
      <c r="H911" s="415" t="s">
        <v>793</v>
      </c>
      <c r="I911" s="473" t="s">
        <v>1764</v>
      </c>
      <c r="J911" s="415" t="s">
        <v>1643</v>
      </c>
      <c r="K911" s="415" t="s">
        <v>830</v>
      </c>
      <c r="L911" s="415" t="s">
        <v>32</v>
      </c>
      <c r="M911" s="415">
        <v>23375</v>
      </c>
      <c r="N911" s="414">
        <v>44604</v>
      </c>
      <c r="O911" s="414" t="s">
        <v>400</v>
      </c>
      <c r="P911" s="222">
        <f t="shared" si="57"/>
        <v>2</v>
      </c>
      <c r="Q911" s="222">
        <f t="shared" si="58"/>
        <v>2</v>
      </c>
      <c r="R911" s="532" t="str">
        <f t="shared" si="59"/>
        <v>Gastos_Gerais</v>
      </c>
      <c r="S911" s="467" t="s">
        <v>999</v>
      </c>
      <c r="T911" s="467">
        <v>2882</v>
      </c>
      <c r="U911" s="496"/>
      <c r="V911" s="496"/>
      <c r="W911" s="496"/>
    </row>
    <row r="912" spans="1:23" ht="60" x14ac:dyDescent="0.2">
      <c r="A912" s="510">
        <f t="shared" si="56"/>
        <v>909</v>
      </c>
      <c r="B912" s="428">
        <v>44607</v>
      </c>
      <c r="C912" s="424">
        <v>44562</v>
      </c>
      <c r="D912" s="415" t="s">
        <v>468</v>
      </c>
      <c r="E912" s="415" t="s">
        <v>468</v>
      </c>
      <c r="F912" s="425">
        <v>978.3</v>
      </c>
      <c r="G912" s="427" t="s">
        <v>2380</v>
      </c>
      <c r="H912" s="415" t="s">
        <v>468</v>
      </c>
      <c r="I912" s="398" t="s">
        <v>2381</v>
      </c>
      <c r="J912" s="418" t="s">
        <v>2382</v>
      </c>
      <c r="K912" s="418" t="s">
        <v>830</v>
      </c>
      <c r="L912" s="399" t="s">
        <v>807</v>
      </c>
      <c r="M912" s="544">
        <v>20221</v>
      </c>
      <c r="N912" s="414">
        <v>44602</v>
      </c>
      <c r="O912" s="414" t="s">
        <v>405</v>
      </c>
      <c r="P912" s="222">
        <f t="shared" si="57"/>
        <v>2</v>
      </c>
      <c r="Q912" s="222">
        <f t="shared" si="58"/>
        <v>1</v>
      </c>
      <c r="R912" s="532" t="str">
        <f t="shared" si="59"/>
        <v>Gastos_custeados_por_captação</v>
      </c>
      <c r="S912" s="467" t="s">
        <v>1000</v>
      </c>
      <c r="T912" s="467">
        <v>1633</v>
      </c>
      <c r="U912" s="496"/>
      <c r="V912" s="496"/>
      <c r="W912" s="496"/>
    </row>
    <row r="913" spans="1:23" ht="72" x14ac:dyDescent="0.2">
      <c r="A913" s="510">
        <f t="shared" si="56"/>
        <v>910</v>
      </c>
      <c r="B913" s="428">
        <v>44607</v>
      </c>
      <c r="C913" s="424">
        <v>44562</v>
      </c>
      <c r="D913" s="415" t="s">
        <v>468</v>
      </c>
      <c r="E913" s="415" t="s">
        <v>468</v>
      </c>
      <c r="F913" s="425">
        <v>11739.6</v>
      </c>
      <c r="G913" s="427" t="s">
        <v>2380</v>
      </c>
      <c r="H913" s="415" t="s">
        <v>468</v>
      </c>
      <c r="I913" s="398" t="s">
        <v>2381</v>
      </c>
      <c r="J913" s="418" t="s">
        <v>2382</v>
      </c>
      <c r="K913" s="418" t="s">
        <v>830</v>
      </c>
      <c r="L913" s="399" t="s">
        <v>807</v>
      </c>
      <c r="M913" s="544">
        <v>2022</v>
      </c>
      <c r="N913" s="414">
        <v>44602</v>
      </c>
      <c r="O913" s="414" t="s">
        <v>402</v>
      </c>
      <c r="P913" s="222">
        <f t="shared" si="57"/>
        <v>2</v>
      </c>
      <c r="Q913" s="222">
        <f t="shared" si="58"/>
        <v>1</v>
      </c>
      <c r="R913" s="532" t="str">
        <f t="shared" si="59"/>
        <v>Gastos_custeados_por_captação</v>
      </c>
      <c r="S913" s="467" t="s">
        <v>1000</v>
      </c>
      <c r="T913" s="467">
        <v>1633</v>
      </c>
      <c r="U913" s="496"/>
      <c r="V913" s="496"/>
      <c r="W913" s="496"/>
    </row>
    <row r="914" spans="1:23" ht="60" x14ac:dyDescent="0.2">
      <c r="A914" s="510">
        <f t="shared" si="56"/>
        <v>911</v>
      </c>
      <c r="B914" s="428">
        <v>44607</v>
      </c>
      <c r="C914" s="424">
        <v>44562</v>
      </c>
      <c r="D914" s="415" t="s">
        <v>468</v>
      </c>
      <c r="E914" s="415" t="s">
        <v>468</v>
      </c>
      <c r="F914" s="425">
        <v>3260.8</v>
      </c>
      <c r="G914" s="427" t="s">
        <v>2577</v>
      </c>
      <c r="H914" s="415" t="s">
        <v>468</v>
      </c>
      <c r="I914" s="398" t="s">
        <v>2578</v>
      </c>
      <c r="J914" s="418" t="s">
        <v>2579</v>
      </c>
      <c r="K914" s="418" t="s">
        <v>830</v>
      </c>
      <c r="L914" s="399" t="s">
        <v>839</v>
      </c>
      <c r="M914" s="544">
        <v>1556</v>
      </c>
      <c r="N914" s="414">
        <v>44596</v>
      </c>
      <c r="O914" s="414" t="s">
        <v>401</v>
      </c>
      <c r="P914" s="222">
        <f t="shared" si="57"/>
        <v>2</v>
      </c>
      <c r="Q914" s="222">
        <f t="shared" si="58"/>
        <v>1</v>
      </c>
      <c r="R914" s="532" t="str">
        <f t="shared" si="59"/>
        <v>Gastos_custeados_por_captação</v>
      </c>
      <c r="S914" s="467" t="s">
        <v>1000</v>
      </c>
      <c r="T914" s="467">
        <v>2720</v>
      </c>
      <c r="U914" s="496"/>
      <c r="V914" s="496"/>
      <c r="W914" s="496"/>
    </row>
    <row r="915" spans="1:23" ht="24" x14ac:dyDescent="0.2">
      <c r="A915" s="510">
        <f t="shared" si="56"/>
        <v>912</v>
      </c>
      <c r="B915" s="428">
        <v>44607</v>
      </c>
      <c r="C915" s="431">
        <v>44562</v>
      </c>
      <c r="D915" s="415" t="s">
        <v>271</v>
      </c>
      <c r="E915" s="415" t="s">
        <v>84</v>
      </c>
      <c r="F915" s="425">
        <v>125.5</v>
      </c>
      <c r="G915" s="437" t="s">
        <v>1761</v>
      </c>
      <c r="H915" s="415" t="s">
        <v>309</v>
      </c>
      <c r="I915" s="474" t="s">
        <v>766</v>
      </c>
      <c r="J915" s="415" t="s">
        <v>1019</v>
      </c>
      <c r="K915" s="415" t="s">
        <v>1392</v>
      </c>
      <c r="L915" s="399" t="s">
        <v>1372</v>
      </c>
      <c r="M915" s="415" t="s">
        <v>1763</v>
      </c>
      <c r="N915" s="414">
        <v>44594</v>
      </c>
      <c r="O915" s="414" t="s">
        <v>400</v>
      </c>
      <c r="P915" s="222">
        <f t="shared" si="57"/>
        <v>2</v>
      </c>
      <c r="Q915" s="222">
        <f t="shared" si="58"/>
        <v>1</v>
      </c>
      <c r="R915" s="532" t="str">
        <f t="shared" si="59"/>
        <v>Gastos_Gerais</v>
      </c>
      <c r="S915" s="467" t="s">
        <v>310</v>
      </c>
      <c r="T915" s="467" t="s">
        <v>310</v>
      </c>
      <c r="U915" s="496"/>
      <c r="V915" s="496"/>
      <c r="W915" s="496"/>
    </row>
    <row r="916" spans="1:23" ht="48" x14ac:dyDescent="0.2">
      <c r="A916" s="510">
        <f t="shared" si="56"/>
        <v>913</v>
      </c>
      <c r="B916" s="428">
        <v>44607</v>
      </c>
      <c r="C916" s="431">
        <v>44562</v>
      </c>
      <c r="D916" s="415" t="s">
        <v>271</v>
      </c>
      <c r="E916" s="415" t="s">
        <v>91</v>
      </c>
      <c r="F916" s="425">
        <v>188.6</v>
      </c>
      <c r="G916" s="437" t="s">
        <v>471</v>
      </c>
      <c r="H916" s="415" t="s">
        <v>309</v>
      </c>
      <c r="I916" s="474" t="s">
        <v>1505</v>
      </c>
      <c r="J916" s="434" t="s">
        <v>1009</v>
      </c>
      <c r="K916" s="415" t="s">
        <v>812</v>
      </c>
      <c r="L916" s="415" t="s">
        <v>32</v>
      </c>
      <c r="M916" s="415">
        <v>3884344</v>
      </c>
      <c r="N916" s="414">
        <v>44593</v>
      </c>
      <c r="O916" s="414" t="s">
        <v>400</v>
      </c>
      <c r="P916" s="222">
        <f t="shared" si="57"/>
        <v>2</v>
      </c>
      <c r="Q916" s="222">
        <f t="shared" si="58"/>
        <v>1</v>
      </c>
      <c r="R916" s="532" t="str">
        <f t="shared" si="59"/>
        <v>Gastos_Gerais</v>
      </c>
      <c r="S916" s="467" t="s">
        <v>1000</v>
      </c>
      <c r="T916" s="467">
        <v>1142</v>
      </c>
      <c r="U916" s="496"/>
      <c r="V916" s="496"/>
      <c r="W916" s="496"/>
    </row>
    <row r="917" spans="1:23" ht="108" x14ac:dyDescent="0.2">
      <c r="A917" s="510">
        <f t="shared" si="56"/>
        <v>914</v>
      </c>
      <c r="B917" s="428">
        <v>44607</v>
      </c>
      <c r="C917" s="433">
        <v>44593</v>
      </c>
      <c r="D917" s="415" t="s">
        <v>182</v>
      </c>
      <c r="E917" s="415" t="s">
        <v>325</v>
      </c>
      <c r="F917" s="425">
        <v>23081.599999999999</v>
      </c>
      <c r="G917" s="427" t="s">
        <v>1399</v>
      </c>
      <c r="H917" s="415" t="s">
        <v>310</v>
      </c>
      <c r="I917" s="474" t="s">
        <v>773</v>
      </c>
      <c r="J917" s="415" t="s">
        <v>1397</v>
      </c>
      <c r="K917" s="415" t="s">
        <v>812</v>
      </c>
      <c r="L917" s="415" t="s">
        <v>32</v>
      </c>
      <c r="M917" s="415" t="s">
        <v>1757</v>
      </c>
      <c r="N917" s="414">
        <v>44569</v>
      </c>
      <c r="O917" s="414" t="s">
        <v>400</v>
      </c>
      <c r="P917" s="222">
        <f t="shared" si="57"/>
        <v>2</v>
      </c>
      <c r="Q917" s="222">
        <f t="shared" si="58"/>
        <v>2</v>
      </c>
      <c r="R917" s="532" t="str">
        <f t="shared" si="59"/>
        <v>Gastos_com_Pessoal</v>
      </c>
      <c r="S917" s="467" t="s">
        <v>310</v>
      </c>
      <c r="T917" s="467" t="s">
        <v>310</v>
      </c>
      <c r="U917" s="496"/>
      <c r="V917" s="496"/>
      <c r="W917" s="496"/>
    </row>
    <row r="918" spans="1:23" ht="108" x14ac:dyDescent="0.2">
      <c r="A918" s="510">
        <f t="shared" si="56"/>
        <v>915</v>
      </c>
      <c r="B918" s="428">
        <v>44607</v>
      </c>
      <c r="C918" s="433">
        <v>44531</v>
      </c>
      <c r="D918" s="415" t="s">
        <v>182</v>
      </c>
      <c r="E918" s="415" t="s">
        <v>1</v>
      </c>
      <c r="F918" s="425">
        <v>1277.98</v>
      </c>
      <c r="G918" s="427" t="s">
        <v>1396</v>
      </c>
      <c r="H918" s="415" t="s">
        <v>310</v>
      </c>
      <c r="I918" s="474" t="s">
        <v>773</v>
      </c>
      <c r="J918" s="415" t="s">
        <v>1397</v>
      </c>
      <c r="K918" s="415" t="s">
        <v>812</v>
      </c>
      <c r="L918" s="415" t="s">
        <v>32</v>
      </c>
      <c r="M918" s="415" t="s">
        <v>1758</v>
      </c>
      <c r="N918" s="414">
        <v>44565</v>
      </c>
      <c r="O918" s="414" t="s">
        <v>400</v>
      </c>
      <c r="P918" s="222">
        <f t="shared" si="57"/>
        <v>2</v>
      </c>
      <c r="Q918" s="222">
        <f t="shared" si="58"/>
        <v>0</v>
      </c>
      <c r="R918" s="532" t="str">
        <f t="shared" si="59"/>
        <v>Gastos_com_Pessoal</v>
      </c>
      <c r="S918" s="467" t="s">
        <v>310</v>
      </c>
      <c r="T918" s="467" t="s">
        <v>310</v>
      </c>
      <c r="U918" s="496"/>
      <c r="V918" s="496"/>
      <c r="W918" s="496"/>
    </row>
    <row r="919" spans="1:23" ht="48" x14ac:dyDescent="0.2">
      <c r="A919" s="510">
        <f t="shared" si="56"/>
        <v>916</v>
      </c>
      <c r="B919" s="428">
        <v>44608</v>
      </c>
      <c r="C919" s="431">
        <v>44562</v>
      </c>
      <c r="D919" s="415" t="s">
        <v>271</v>
      </c>
      <c r="E919" s="415" t="s">
        <v>297</v>
      </c>
      <c r="F919" s="425">
        <v>183.57</v>
      </c>
      <c r="G919" s="427" t="s">
        <v>1801</v>
      </c>
      <c r="H919" s="415" t="s">
        <v>751</v>
      </c>
      <c r="I919" s="473" t="s">
        <v>1388</v>
      </c>
      <c r="J919" s="399" t="s">
        <v>1022</v>
      </c>
      <c r="K919" s="418" t="s">
        <v>806</v>
      </c>
      <c r="L919" s="399" t="s">
        <v>1305</v>
      </c>
      <c r="M919" s="418" t="s">
        <v>310</v>
      </c>
      <c r="N919" s="414">
        <v>44609</v>
      </c>
      <c r="O919" s="414" t="s">
        <v>400</v>
      </c>
      <c r="P919" s="222">
        <f t="shared" si="57"/>
        <v>2</v>
      </c>
      <c r="Q919" s="222">
        <f t="shared" si="58"/>
        <v>1</v>
      </c>
      <c r="R919" s="532" t="str">
        <f t="shared" si="59"/>
        <v>Gastos_Gerais</v>
      </c>
      <c r="S919" s="467" t="s">
        <v>1000</v>
      </c>
      <c r="T919" s="467">
        <v>1336</v>
      </c>
      <c r="U919" s="496"/>
      <c r="V919" s="496"/>
      <c r="W919" s="496"/>
    </row>
    <row r="920" spans="1:23" ht="72" x14ac:dyDescent="0.2">
      <c r="A920" s="510">
        <f t="shared" si="56"/>
        <v>917</v>
      </c>
      <c r="B920" s="428">
        <v>44608</v>
      </c>
      <c r="C920" s="431">
        <v>44562</v>
      </c>
      <c r="D920" s="415" t="s">
        <v>271</v>
      </c>
      <c r="E920" s="415" t="s">
        <v>456</v>
      </c>
      <c r="F920" s="425">
        <v>362.66</v>
      </c>
      <c r="G920" s="427" t="s">
        <v>737</v>
      </c>
      <c r="H920" s="415" t="s">
        <v>759</v>
      </c>
      <c r="I920" s="473" t="s">
        <v>1388</v>
      </c>
      <c r="J920" s="415" t="s">
        <v>1022</v>
      </c>
      <c r="K920" s="418" t="s">
        <v>806</v>
      </c>
      <c r="L920" s="399" t="s">
        <v>1305</v>
      </c>
      <c r="M920" s="544" t="s">
        <v>310</v>
      </c>
      <c r="N920" s="414">
        <v>44609</v>
      </c>
      <c r="O920" s="414" t="s">
        <v>400</v>
      </c>
      <c r="P920" s="222">
        <f t="shared" si="57"/>
        <v>2</v>
      </c>
      <c r="Q920" s="222">
        <f t="shared" si="58"/>
        <v>1</v>
      </c>
      <c r="R920" s="532" t="str">
        <f t="shared" si="59"/>
        <v>Gastos_Gerais</v>
      </c>
      <c r="S920" s="467" t="s">
        <v>1000</v>
      </c>
      <c r="T920" s="467">
        <v>1586</v>
      </c>
      <c r="U920" s="496"/>
      <c r="V920" s="496"/>
      <c r="W920" s="496"/>
    </row>
    <row r="921" spans="1:23" ht="156" x14ac:dyDescent="0.2">
      <c r="A921" s="510">
        <f t="shared" si="56"/>
        <v>918</v>
      </c>
      <c r="B921" s="428">
        <v>44608</v>
      </c>
      <c r="C921" s="424">
        <v>44562</v>
      </c>
      <c r="D921" s="415" t="s">
        <v>271</v>
      </c>
      <c r="E921" s="415" t="s">
        <v>453</v>
      </c>
      <c r="F921" s="425">
        <v>4899.5</v>
      </c>
      <c r="G921" s="427" t="s">
        <v>1789</v>
      </c>
      <c r="H921" s="415" t="s">
        <v>748</v>
      </c>
      <c r="I921" s="473" t="s">
        <v>1787</v>
      </c>
      <c r="J921" s="415" t="s">
        <v>1788</v>
      </c>
      <c r="K921" s="415" t="s">
        <v>830</v>
      </c>
      <c r="L921" s="415" t="s">
        <v>32</v>
      </c>
      <c r="M921" s="415" t="s">
        <v>842</v>
      </c>
      <c r="N921" s="414">
        <v>44608</v>
      </c>
      <c r="O921" s="414" t="s">
        <v>400</v>
      </c>
      <c r="P921" s="222">
        <f t="shared" si="57"/>
        <v>2</v>
      </c>
      <c r="Q921" s="222">
        <f t="shared" si="58"/>
        <v>1</v>
      </c>
      <c r="R921" s="532" t="str">
        <f t="shared" si="59"/>
        <v>Gastos_Gerais</v>
      </c>
      <c r="S921" s="467" t="s">
        <v>1000</v>
      </c>
      <c r="T921" s="467">
        <v>2785</v>
      </c>
      <c r="U921" s="496"/>
      <c r="V921" s="496"/>
      <c r="W921" s="496"/>
    </row>
    <row r="922" spans="1:23" ht="36" x14ac:dyDescent="0.2">
      <c r="A922" s="510">
        <f t="shared" si="56"/>
        <v>919</v>
      </c>
      <c r="B922" s="428">
        <v>44608</v>
      </c>
      <c r="C922" s="424">
        <v>44593</v>
      </c>
      <c r="D922" s="415" t="s">
        <v>271</v>
      </c>
      <c r="E922" s="415" t="s">
        <v>71</v>
      </c>
      <c r="F922" s="425">
        <v>10.45</v>
      </c>
      <c r="G922" s="427" t="s">
        <v>1805</v>
      </c>
      <c r="H922" s="415" t="s">
        <v>309</v>
      </c>
      <c r="I922" s="398" t="s">
        <v>881</v>
      </c>
      <c r="J922" s="418" t="s">
        <v>882</v>
      </c>
      <c r="K922" s="418" t="s">
        <v>883</v>
      </c>
      <c r="L922" s="399" t="s">
        <v>798</v>
      </c>
      <c r="M922" s="544" t="s">
        <v>310</v>
      </c>
      <c r="N922" s="414">
        <v>44608</v>
      </c>
      <c r="O922" s="414" t="s">
        <v>400</v>
      </c>
      <c r="P922" s="222">
        <f t="shared" si="57"/>
        <v>2</v>
      </c>
      <c r="Q922" s="222">
        <f t="shared" si="58"/>
        <v>2</v>
      </c>
      <c r="R922" s="532" t="str">
        <f t="shared" si="59"/>
        <v>Gastos_Gerais</v>
      </c>
      <c r="S922" s="467" t="s">
        <v>310</v>
      </c>
      <c r="T922" s="467" t="s">
        <v>310</v>
      </c>
      <c r="U922" s="496"/>
      <c r="V922" s="496"/>
      <c r="W922" s="496"/>
    </row>
    <row r="923" spans="1:23" ht="36" x14ac:dyDescent="0.2">
      <c r="A923" s="510">
        <f t="shared" si="56"/>
        <v>920</v>
      </c>
      <c r="B923" s="428">
        <v>44608</v>
      </c>
      <c r="C923" s="424">
        <v>44593</v>
      </c>
      <c r="D923" s="415" t="s">
        <v>271</v>
      </c>
      <c r="E923" s="415" t="s">
        <v>71</v>
      </c>
      <c r="F923" s="425">
        <v>10.45</v>
      </c>
      <c r="G923" s="427" t="s">
        <v>1799</v>
      </c>
      <c r="H923" s="415" t="s">
        <v>793</v>
      </c>
      <c r="I923" s="398" t="s">
        <v>881</v>
      </c>
      <c r="J923" s="418" t="s">
        <v>882</v>
      </c>
      <c r="K923" s="418" t="s">
        <v>883</v>
      </c>
      <c r="L923" s="399" t="s">
        <v>798</v>
      </c>
      <c r="M923" s="544" t="s">
        <v>310</v>
      </c>
      <c r="N923" s="414">
        <v>44608</v>
      </c>
      <c r="O923" s="414" t="s">
        <v>400</v>
      </c>
      <c r="P923" s="222">
        <f t="shared" si="57"/>
        <v>2</v>
      </c>
      <c r="Q923" s="222">
        <f t="shared" si="58"/>
        <v>2</v>
      </c>
      <c r="R923" s="532" t="str">
        <f t="shared" si="59"/>
        <v>Gastos_Gerais</v>
      </c>
      <c r="S923" s="467" t="s">
        <v>310</v>
      </c>
      <c r="T923" s="467" t="s">
        <v>310</v>
      </c>
      <c r="U923" s="496"/>
      <c r="V923" s="496"/>
      <c r="W923" s="496"/>
    </row>
    <row r="924" spans="1:23" ht="36" x14ac:dyDescent="0.2">
      <c r="A924" s="510">
        <f t="shared" si="56"/>
        <v>921</v>
      </c>
      <c r="B924" s="428">
        <v>44608</v>
      </c>
      <c r="C924" s="424">
        <v>44593</v>
      </c>
      <c r="D924" s="415" t="s">
        <v>271</v>
      </c>
      <c r="E924" s="415" t="s">
        <v>71</v>
      </c>
      <c r="F924" s="425">
        <v>10.45</v>
      </c>
      <c r="G924" s="427" t="s">
        <v>1798</v>
      </c>
      <c r="H924" s="415" t="s">
        <v>748</v>
      </c>
      <c r="I924" s="398" t="s">
        <v>881</v>
      </c>
      <c r="J924" s="418" t="s">
        <v>882</v>
      </c>
      <c r="K924" s="418" t="s">
        <v>883</v>
      </c>
      <c r="L924" s="399" t="s">
        <v>798</v>
      </c>
      <c r="M924" s="544" t="s">
        <v>310</v>
      </c>
      <c r="N924" s="414">
        <v>44608</v>
      </c>
      <c r="O924" s="414" t="s">
        <v>400</v>
      </c>
      <c r="P924" s="222">
        <f t="shared" si="57"/>
        <v>2</v>
      </c>
      <c r="Q924" s="222">
        <f t="shared" si="58"/>
        <v>2</v>
      </c>
      <c r="R924" s="532" t="str">
        <f t="shared" si="59"/>
        <v>Gastos_Gerais</v>
      </c>
      <c r="S924" s="467" t="s">
        <v>310</v>
      </c>
      <c r="T924" s="467" t="s">
        <v>310</v>
      </c>
      <c r="U924" s="496"/>
      <c r="V924" s="496"/>
      <c r="W924" s="496"/>
    </row>
    <row r="925" spans="1:23" ht="36" x14ac:dyDescent="0.2">
      <c r="A925" s="510">
        <f t="shared" si="56"/>
        <v>922</v>
      </c>
      <c r="B925" s="428">
        <v>44608</v>
      </c>
      <c r="C925" s="424">
        <v>44593</v>
      </c>
      <c r="D925" s="415" t="s">
        <v>271</v>
      </c>
      <c r="E925" s="415" t="s">
        <v>71</v>
      </c>
      <c r="F925" s="425">
        <v>10.45</v>
      </c>
      <c r="G925" s="427" t="s">
        <v>1796</v>
      </c>
      <c r="H925" s="415" t="s">
        <v>754</v>
      </c>
      <c r="I925" s="398" t="s">
        <v>881</v>
      </c>
      <c r="J925" s="418" t="s">
        <v>882</v>
      </c>
      <c r="K925" s="418" t="s">
        <v>883</v>
      </c>
      <c r="L925" s="399" t="s">
        <v>798</v>
      </c>
      <c r="M925" s="544" t="s">
        <v>310</v>
      </c>
      <c r="N925" s="414">
        <v>44608</v>
      </c>
      <c r="O925" s="414" t="s">
        <v>400</v>
      </c>
      <c r="P925" s="222">
        <f t="shared" si="57"/>
        <v>2</v>
      </c>
      <c r="Q925" s="222">
        <f t="shared" si="58"/>
        <v>2</v>
      </c>
      <c r="R925" s="532" t="str">
        <f t="shared" si="59"/>
        <v>Gastos_Gerais</v>
      </c>
      <c r="S925" s="467" t="s">
        <v>310</v>
      </c>
      <c r="T925" s="467" t="s">
        <v>310</v>
      </c>
      <c r="U925" s="496"/>
      <c r="V925" s="496"/>
      <c r="W925" s="496"/>
    </row>
    <row r="926" spans="1:23" ht="36" x14ac:dyDescent="0.2">
      <c r="A926" s="510">
        <f t="shared" si="56"/>
        <v>923</v>
      </c>
      <c r="B926" s="428">
        <v>44608</v>
      </c>
      <c r="C926" s="424">
        <v>44593</v>
      </c>
      <c r="D926" s="415" t="s">
        <v>271</v>
      </c>
      <c r="E926" s="415" t="s">
        <v>71</v>
      </c>
      <c r="F926" s="425">
        <v>10.45</v>
      </c>
      <c r="G926" s="427" t="s">
        <v>1797</v>
      </c>
      <c r="H926" s="415" t="s">
        <v>754</v>
      </c>
      <c r="I926" s="398" t="s">
        <v>881</v>
      </c>
      <c r="J926" s="418" t="s">
        <v>882</v>
      </c>
      <c r="K926" s="418" t="s">
        <v>883</v>
      </c>
      <c r="L926" s="399" t="s">
        <v>798</v>
      </c>
      <c r="M926" s="544" t="s">
        <v>310</v>
      </c>
      <c r="N926" s="414">
        <v>44608</v>
      </c>
      <c r="O926" s="414" t="s">
        <v>400</v>
      </c>
      <c r="P926" s="222">
        <f t="shared" si="57"/>
        <v>2</v>
      </c>
      <c r="Q926" s="222">
        <f t="shared" si="58"/>
        <v>2</v>
      </c>
      <c r="R926" s="532" t="str">
        <f t="shared" si="59"/>
        <v>Gastos_Gerais</v>
      </c>
      <c r="S926" s="467" t="s">
        <v>310</v>
      </c>
      <c r="T926" s="467" t="s">
        <v>310</v>
      </c>
      <c r="U926" s="496"/>
      <c r="V926" s="496"/>
      <c r="W926" s="496"/>
    </row>
    <row r="927" spans="1:23" ht="72" x14ac:dyDescent="0.2">
      <c r="A927" s="510">
        <f t="shared" si="56"/>
        <v>924</v>
      </c>
      <c r="B927" s="428">
        <v>44608</v>
      </c>
      <c r="C927" s="431">
        <v>44562</v>
      </c>
      <c r="D927" s="415" t="s">
        <v>271</v>
      </c>
      <c r="E927" s="415" t="s">
        <v>456</v>
      </c>
      <c r="F927" s="425">
        <v>1482.97</v>
      </c>
      <c r="G927" s="427" t="s">
        <v>552</v>
      </c>
      <c r="H927" s="415" t="s">
        <v>755</v>
      </c>
      <c r="I927" s="473" t="s">
        <v>1785</v>
      </c>
      <c r="J927" s="415" t="s">
        <v>1044</v>
      </c>
      <c r="K927" s="415" t="s">
        <v>812</v>
      </c>
      <c r="L927" s="415" t="s">
        <v>32</v>
      </c>
      <c r="M927" s="415" t="s">
        <v>1784</v>
      </c>
      <c r="N927" s="414">
        <v>44607</v>
      </c>
      <c r="O927" s="414" t="s">
        <v>400</v>
      </c>
      <c r="P927" s="222">
        <f t="shared" si="57"/>
        <v>2</v>
      </c>
      <c r="Q927" s="222">
        <f t="shared" si="58"/>
        <v>1</v>
      </c>
      <c r="R927" s="532" t="str">
        <f t="shared" si="59"/>
        <v>Gastos_Gerais</v>
      </c>
      <c r="S927" s="467" t="s">
        <v>1000</v>
      </c>
      <c r="T927" s="467">
        <v>1371</v>
      </c>
      <c r="U927" s="496"/>
      <c r="V927" s="496"/>
      <c r="W927" s="496"/>
    </row>
    <row r="928" spans="1:23" ht="84" x14ac:dyDescent="0.2">
      <c r="A928" s="510">
        <f t="shared" si="56"/>
        <v>925</v>
      </c>
      <c r="B928" s="428">
        <v>44608</v>
      </c>
      <c r="C928" s="431">
        <v>44593</v>
      </c>
      <c r="D928" s="415" t="s">
        <v>271</v>
      </c>
      <c r="E928" s="415" t="s">
        <v>452</v>
      </c>
      <c r="F928" s="425">
        <v>3750</v>
      </c>
      <c r="G928" s="427" t="s">
        <v>1717</v>
      </c>
      <c r="H928" s="415" t="s">
        <v>793</v>
      </c>
      <c r="I928" s="473" t="s">
        <v>1790</v>
      </c>
      <c r="J928" s="415" t="s">
        <v>1716</v>
      </c>
      <c r="K928" s="415" t="s">
        <v>830</v>
      </c>
      <c r="L928" s="415" t="s">
        <v>32</v>
      </c>
      <c r="M928" s="415" t="s">
        <v>1786</v>
      </c>
      <c r="N928" s="414">
        <v>44607</v>
      </c>
      <c r="O928" s="414" t="s">
        <v>400</v>
      </c>
      <c r="P928" s="222">
        <f t="shared" si="57"/>
        <v>2</v>
      </c>
      <c r="Q928" s="222">
        <f t="shared" si="58"/>
        <v>2</v>
      </c>
      <c r="R928" s="532" t="str">
        <f t="shared" si="59"/>
        <v>Gastos_Gerais</v>
      </c>
      <c r="S928" s="467" t="s">
        <v>1000</v>
      </c>
      <c r="T928" s="467">
        <v>2855</v>
      </c>
      <c r="U928" s="496"/>
      <c r="V928" s="496"/>
      <c r="W928" s="496"/>
    </row>
    <row r="929" spans="1:23" ht="36" x14ac:dyDescent="0.2">
      <c r="A929" s="510">
        <f t="shared" si="56"/>
        <v>926</v>
      </c>
      <c r="B929" s="428">
        <v>44608</v>
      </c>
      <c r="C929" s="431">
        <v>44593</v>
      </c>
      <c r="D929" s="415" t="s">
        <v>271</v>
      </c>
      <c r="E929" s="415" t="s">
        <v>450</v>
      </c>
      <c r="F929" s="425">
        <v>793.8</v>
      </c>
      <c r="G929" s="427" t="s">
        <v>1642</v>
      </c>
      <c r="H929" s="415" t="s">
        <v>754</v>
      </c>
      <c r="I929" s="473" t="s">
        <v>865</v>
      </c>
      <c r="J929" s="415" t="s">
        <v>866</v>
      </c>
      <c r="K929" s="415" t="s">
        <v>830</v>
      </c>
      <c r="L929" s="415" t="s">
        <v>32</v>
      </c>
      <c r="M929" s="415" t="s">
        <v>1793</v>
      </c>
      <c r="N929" s="414">
        <v>44607</v>
      </c>
      <c r="O929" s="414" t="s">
        <v>400</v>
      </c>
      <c r="P929" s="222">
        <f t="shared" si="57"/>
        <v>2</v>
      </c>
      <c r="Q929" s="222">
        <f t="shared" si="58"/>
        <v>2</v>
      </c>
      <c r="R929" s="532" t="str">
        <f t="shared" si="59"/>
        <v>Gastos_Gerais</v>
      </c>
      <c r="S929" s="467" t="s">
        <v>1000</v>
      </c>
      <c r="T929" s="467">
        <v>2853</v>
      </c>
      <c r="U929" s="496"/>
      <c r="V929" s="496"/>
      <c r="W929" s="496"/>
    </row>
    <row r="930" spans="1:23" ht="60" x14ac:dyDescent="0.2">
      <c r="A930" s="510">
        <f t="shared" si="56"/>
        <v>927</v>
      </c>
      <c r="B930" s="428">
        <v>44608</v>
      </c>
      <c r="C930" s="431">
        <v>44593</v>
      </c>
      <c r="D930" s="415" t="s">
        <v>271</v>
      </c>
      <c r="E930" s="415" t="s">
        <v>446</v>
      </c>
      <c r="F930" s="425">
        <v>1960</v>
      </c>
      <c r="G930" s="427" t="s">
        <v>1639</v>
      </c>
      <c r="H930" s="415" t="s">
        <v>754</v>
      </c>
      <c r="I930" s="473" t="s">
        <v>865</v>
      </c>
      <c r="J930" s="415" t="s">
        <v>866</v>
      </c>
      <c r="K930" s="415" t="s">
        <v>830</v>
      </c>
      <c r="L930" s="415" t="s">
        <v>32</v>
      </c>
      <c r="M930" s="415" t="s">
        <v>1795</v>
      </c>
      <c r="N930" s="414">
        <v>44607</v>
      </c>
      <c r="O930" s="414" t="s">
        <v>400</v>
      </c>
      <c r="P930" s="222">
        <f t="shared" si="57"/>
        <v>2</v>
      </c>
      <c r="Q930" s="222">
        <f t="shared" si="58"/>
        <v>2</v>
      </c>
      <c r="R930" s="532" t="str">
        <f t="shared" si="59"/>
        <v>Gastos_Gerais</v>
      </c>
      <c r="S930" s="467" t="s">
        <v>1000</v>
      </c>
      <c r="T930" s="467">
        <v>2854</v>
      </c>
      <c r="U930" s="496"/>
      <c r="V930" s="496"/>
      <c r="W930" s="496"/>
    </row>
    <row r="931" spans="1:23" ht="48" x14ac:dyDescent="0.2">
      <c r="A931" s="510">
        <f t="shared" si="56"/>
        <v>928</v>
      </c>
      <c r="B931" s="428">
        <v>44608</v>
      </c>
      <c r="C931" s="431">
        <v>44593</v>
      </c>
      <c r="D931" s="415" t="s">
        <v>468</v>
      </c>
      <c r="E931" s="415" t="s">
        <v>468</v>
      </c>
      <c r="F931" s="425">
        <v>150.11000000000001</v>
      </c>
      <c r="G931" s="427" t="s">
        <v>2362</v>
      </c>
      <c r="H931" s="415" t="s">
        <v>468</v>
      </c>
      <c r="I931" s="398" t="s">
        <v>2363</v>
      </c>
      <c r="J931" s="418" t="s">
        <v>1754</v>
      </c>
      <c r="K931" s="418" t="s">
        <v>812</v>
      </c>
      <c r="L931" s="399" t="s">
        <v>807</v>
      </c>
      <c r="M931" s="544">
        <v>1337</v>
      </c>
      <c r="N931" s="414">
        <v>44607</v>
      </c>
      <c r="O931" s="414" t="s">
        <v>403</v>
      </c>
      <c r="P931" s="222">
        <f t="shared" si="57"/>
        <v>2</v>
      </c>
      <c r="Q931" s="222">
        <f t="shared" si="58"/>
        <v>2</v>
      </c>
      <c r="R931" s="532" t="str">
        <f t="shared" si="59"/>
        <v>Gastos_custeados_por_captação</v>
      </c>
      <c r="S931" s="467" t="s">
        <v>999</v>
      </c>
      <c r="T931" s="467">
        <v>2892</v>
      </c>
      <c r="U931" s="496"/>
      <c r="V931" s="496"/>
      <c r="W931" s="496"/>
    </row>
    <row r="932" spans="1:23" ht="72" x14ac:dyDescent="0.2">
      <c r="A932" s="510">
        <f t="shared" si="56"/>
        <v>929</v>
      </c>
      <c r="B932" s="428">
        <v>44608</v>
      </c>
      <c r="C932" s="431">
        <v>44531</v>
      </c>
      <c r="D932" s="415" t="s">
        <v>468</v>
      </c>
      <c r="E932" s="415" t="s">
        <v>468</v>
      </c>
      <c r="F932" s="425">
        <v>720</v>
      </c>
      <c r="G932" s="427" t="s">
        <v>2883</v>
      </c>
      <c r="H932" s="415" t="s">
        <v>468</v>
      </c>
      <c r="I932" s="398" t="s">
        <v>785</v>
      </c>
      <c r="J932" s="418" t="s">
        <v>1126</v>
      </c>
      <c r="K932" s="418" t="s">
        <v>830</v>
      </c>
      <c r="L932" s="399" t="s">
        <v>807</v>
      </c>
      <c r="M932" s="544">
        <v>31755420</v>
      </c>
      <c r="N932" s="414">
        <v>44607</v>
      </c>
      <c r="O932" s="414" t="s">
        <v>407</v>
      </c>
      <c r="P932" s="222">
        <f t="shared" si="57"/>
        <v>2</v>
      </c>
      <c r="Q932" s="222">
        <f t="shared" si="58"/>
        <v>0</v>
      </c>
      <c r="R932" s="532" t="str">
        <f t="shared" si="59"/>
        <v>Gastos_custeados_por_captação</v>
      </c>
      <c r="S932" s="467" t="s">
        <v>999</v>
      </c>
      <c r="T932" s="467">
        <v>2567</v>
      </c>
      <c r="U932" s="496"/>
      <c r="V932" s="496"/>
      <c r="W932" s="496"/>
    </row>
    <row r="933" spans="1:23" ht="60" x14ac:dyDescent="0.2">
      <c r="A933" s="510">
        <f t="shared" si="56"/>
        <v>930</v>
      </c>
      <c r="B933" s="428">
        <v>44608</v>
      </c>
      <c r="C933" s="431">
        <v>44562</v>
      </c>
      <c r="D933" s="415" t="s">
        <v>468</v>
      </c>
      <c r="E933" s="415" t="s">
        <v>468</v>
      </c>
      <c r="F933" s="425">
        <v>2500</v>
      </c>
      <c r="G933" s="427" t="s">
        <v>703</v>
      </c>
      <c r="H933" s="415" t="s">
        <v>468</v>
      </c>
      <c r="I933" s="398" t="s">
        <v>2687</v>
      </c>
      <c r="J933" s="418" t="s">
        <v>2688</v>
      </c>
      <c r="K933" s="418" t="s">
        <v>830</v>
      </c>
      <c r="L933" s="399" t="s">
        <v>807</v>
      </c>
      <c r="M933" s="544">
        <v>2022</v>
      </c>
      <c r="N933" s="414">
        <v>44602</v>
      </c>
      <c r="O933" s="414" t="s">
        <v>404</v>
      </c>
      <c r="P933" s="222">
        <f t="shared" si="57"/>
        <v>2</v>
      </c>
      <c r="Q933" s="222">
        <f t="shared" si="58"/>
        <v>1</v>
      </c>
      <c r="R933" s="532" t="str">
        <f t="shared" si="59"/>
        <v>Gastos_custeados_por_captação</v>
      </c>
      <c r="S933" s="467" t="s">
        <v>1000</v>
      </c>
      <c r="T933" s="467">
        <v>2726</v>
      </c>
      <c r="U933" s="496"/>
      <c r="V933" s="496"/>
      <c r="W933" s="496"/>
    </row>
    <row r="934" spans="1:23" ht="144" x14ac:dyDescent="0.2">
      <c r="A934" s="510">
        <f t="shared" si="56"/>
        <v>931</v>
      </c>
      <c r="B934" s="428">
        <v>44608</v>
      </c>
      <c r="C934" s="424">
        <v>44562</v>
      </c>
      <c r="D934" s="415" t="s">
        <v>271</v>
      </c>
      <c r="E934" s="415" t="s">
        <v>297</v>
      </c>
      <c r="F934" s="425">
        <v>150.41</v>
      </c>
      <c r="G934" s="427" t="s">
        <v>1802</v>
      </c>
      <c r="H934" s="415" t="s">
        <v>309</v>
      </c>
      <c r="I934" s="473" t="s">
        <v>1803</v>
      </c>
      <c r="J934" s="415" t="s">
        <v>991</v>
      </c>
      <c r="K934" s="415" t="s">
        <v>830</v>
      </c>
      <c r="L934" s="415" t="s">
        <v>1804</v>
      </c>
      <c r="M934" s="415" t="s">
        <v>310</v>
      </c>
      <c r="N934" s="414">
        <v>44564</v>
      </c>
      <c r="O934" s="414" t="s">
        <v>400</v>
      </c>
      <c r="P934" s="222">
        <f t="shared" si="57"/>
        <v>2</v>
      </c>
      <c r="Q934" s="222">
        <f t="shared" si="58"/>
        <v>1</v>
      </c>
      <c r="R934" s="532" t="str">
        <f t="shared" si="59"/>
        <v>Gastos_Gerais</v>
      </c>
      <c r="S934" s="467" t="s">
        <v>998</v>
      </c>
      <c r="T934" s="467">
        <v>2741</v>
      </c>
      <c r="U934" s="496"/>
      <c r="V934" s="496"/>
      <c r="W934" s="496"/>
    </row>
    <row r="935" spans="1:23" ht="60" x14ac:dyDescent="0.2">
      <c r="A935" s="510">
        <f t="shared" si="56"/>
        <v>932</v>
      </c>
      <c r="B935" s="428">
        <v>44609</v>
      </c>
      <c r="C935" s="431">
        <v>44562</v>
      </c>
      <c r="D935" s="415" t="s">
        <v>468</v>
      </c>
      <c r="E935" s="415" t="s">
        <v>468</v>
      </c>
      <c r="F935" s="425">
        <v>4440.8599999999997</v>
      </c>
      <c r="G935" s="427" t="s">
        <v>698</v>
      </c>
      <c r="H935" s="415" t="s">
        <v>468</v>
      </c>
      <c r="I935" s="398" t="s">
        <v>2689</v>
      </c>
      <c r="J935" s="418" t="s">
        <v>1129</v>
      </c>
      <c r="K935" s="418" t="s">
        <v>830</v>
      </c>
      <c r="L935" s="399" t="s">
        <v>839</v>
      </c>
      <c r="M935" s="544">
        <v>1509</v>
      </c>
      <c r="N935" s="414">
        <v>44821</v>
      </c>
      <c r="O935" s="414" t="s">
        <v>404</v>
      </c>
      <c r="P935" s="222">
        <f t="shared" si="57"/>
        <v>2</v>
      </c>
      <c r="Q935" s="222">
        <f t="shared" si="58"/>
        <v>1</v>
      </c>
      <c r="R935" s="532" t="str">
        <f t="shared" si="59"/>
        <v>Gastos_custeados_por_captação</v>
      </c>
      <c r="S935" s="467" t="s">
        <v>1000</v>
      </c>
      <c r="T935" s="467">
        <v>2722</v>
      </c>
      <c r="U935" s="496"/>
      <c r="V935" s="496"/>
      <c r="W935" s="496"/>
    </row>
    <row r="936" spans="1:23" ht="36" x14ac:dyDescent="0.2">
      <c r="A936" s="510">
        <f t="shared" si="56"/>
        <v>933</v>
      </c>
      <c r="B936" s="428">
        <v>44609</v>
      </c>
      <c r="C936" s="424">
        <v>44593</v>
      </c>
      <c r="D936" s="415" t="s">
        <v>182</v>
      </c>
      <c r="E936" s="415" t="s">
        <v>161</v>
      </c>
      <c r="F936" s="425">
        <v>14.25</v>
      </c>
      <c r="G936" s="550" t="s">
        <v>1823</v>
      </c>
      <c r="H936" s="415" t="s">
        <v>310</v>
      </c>
      <c r="I936" s="473" t="s">
        <v>1496</v>
      </c>
      <c r="J936" s="415" t="s">
        <v>1497</v>
      </c>
      <c r="K936" s="415" t="s">
        <v>830</v>
      </c>
      <c r="L936" s="415" t="s">
        <v>807</v>
      </c>
      <c r="M936" s="415" t="s">
        <v>2324</v>
      </c>
      <c r="N936" s="414">
        <v>44613</v>
      </c>
      <c r="O936" s="414" t="s">
        <v>400</v>
      </c>
      <c r="P936" s="222">
        <f t="shared" si="57"/>
        <v>2</v>
      </c>
      <c r="Q936" s="222">
        <f t="shared" si="58"/>
        <v>2</v>
      </c>
      <c r="R936" s="532" t="str">
        <f t="shared" si="59"/>
        <v>Gastos_com_Pessoal</v>
      </c>
      <c r="S936" s="467" t="s">
        <v>310</v>
      </c>
      <c r="T936" s="467" t="s">
        <v>310</v>
      </c>
      <c r="U936" s="496"/>
      <c r="V936" s="496"/>
      <c r="W936" s="496"/>
    </row>
    <row r="937" spans="1:23" ht="36" x14ac:dyDescent="0.2">
      <c r="A937" s="510">
        <f t="shared" si="56"/>
        <v>934</v>
      </c>
      <c r="B937" s="428">
        <v>44609</v>
      </c>
      <c r="C937" s="424">
        <v>44593</v>
      </c>
      <c r="D937" s="415" t="s">
        <v>182</v>
      </c>
      <c r="E937" s="415" t="s">
        <v>287</v>
      </c>
      <c r="F937" s="425">
        <v>2073.15</v>
      </c>
      <c r="G937" s="427" t="s">
        <v>2637</v>
      </c>
      <c r="H937" s="415" t="s">
        <v>310</v>
      </c>
      <c r="I937" s="473" t="s">
        <v>1207</v>
      </c>
      <c r="J937" s="415" t="s">
        <v>1584</v>
      </c>
      <c r="K937" s="415" t="s">
        <v>830</v>
      </c>
      <c r="L937" s="415" t="s">
        <v>925</v>
      </c>
      <c r="M937" s="415" t="s">
        <v>310</v>
      </c>
      <c r="N937" s="414">
        <v>44609</v>
      </c>
      <c r="O937" s="414" t="s">
        <v>400</v>
      </c>
      <c r="P937" s="222">
        <f t="shared" si="57"/>
        <v>2</v>
      </c>
      <c r="Q937" s="222">
        <f t="shared" si="58"/>
        <v>2</v>
      </c>
      <c r="R937" s="532" t="str">
        <f t="shared" si="59"/>
        <v>Gastos_com_Pessoal</v>
      </c>
      <c r="S937" s="467" t="s">
        <v>310</v>
      </c>
      <c r="T937" s="467" t="s">
        <v>310</v>
      </c>
      <c r="U937" s="496"/>
      <c r="V937" s="496"/>
      <c r="W937" s="496"/>
    </row>
    <row r="938" spans="1:23" ht="36" x14ac:dyDescent="0.2">
      <c r="A938" s="510">
        <f t="shared" si="56"/>
        <v>935</v>
      </c>
      <c r="B938" s="428">
        <v>44609</v>
      </c>
      <c r="C938" s="424">
        <v>44593</v>
      </c>
      <c r="D938" s="415" t="s">
        <v>271</v>
      </c>
      <c r="E938" s="415" t="s">
        <v>71</v>
      </c>
      <c r="F938" s="425">
        <v>10.45</v>
      </c>
      <c r="G938" s="427" t="s">
        <v>1822</v>
      </c>
      <c r="H938" s="415" t="s">
        <v>310</v>
      </c>
      <c r="I938" s="398" t="s">
        <v>881</v>
      </c>
      <c r="J938" s="418" t="s">
        <v>882</v>
      </c>
      <c r="K938" s="418" t="s">
        <v>883</v>
      </c>
      <c r="L938" s="399" t="s">
        <v>798</v>
      </c>
      <c r="M938" s="544" t="s">
        <v>310</v>
      </c>
      <c r="N938" s="414">
        <v>44609</v>
      </c>
      <c r="O938" s="414" t="s">
        <v>400</v>
      </c>
      <c r="P938" s="222">
        <f t="shared" si="57"/>
        <v>2</v>
      </c>
      <c r="Q938" s="222">
        <f t="shared" si="58"/>
        <v>2</v>
      </c>
      <c r="R938" s="532" t="str">
        <f t="shared" si="59"/>
        <v>Gastos_Gerais</v>
      </c>
      <c r="S938" s="467" t="s">
        <v>310</v>
      </c>
      <c r="T938" s="467" t="s">
        <v>310</v>
      </c>
      <c r="U938" s="496"/>
      <c r="V938" s="496"/>
      <c r="W938" s="496"/>
    </row>
    <row r="939" spans="1:23" ht="36" x14ac:dyDescent="0.2">
      <c r="A939" s="510">
        <f t="shared" si="56"/>
        <v>936</v>
      </c>
      <c r="B939" s="428">
        <v>44609</v>
      </c>
      <c r="C939" s="424">
        <v>44593</v>
      </c>
      <c r="D939" s="415" t="s">
        <v>271</v>
      </c>
      <c r="E939" s="415" t="s">
        <v>71</v>
      </c>
      <c r="F939" s="425">
        <v>10.45</v>
      </c>
      <c r="G939" s="427" t="s">
        <v>1824</v>
      </c>
      <c r="H939" s="415" t="s">
        <v>310</v>
      </c>
      <c r="I939" s="398" t="s">
        <v>881</v>
      </c>
      <c r="J939" s="418" t="s">
        <v>882</v>
      </c>
      <c r="K939" s="418" t="s">
        <v>883</v>
      </c>
      <c r="L939" s="399" t="s">
        <v>798</v>
      </c>
      <c r="M939" s="544" t="s">
        <v>310</v>
      </c>
      <c r="N939" s="414">
        <v>44609</v>
      </c>
      <c r="O939" s="414" t="s">
        <v>400</v>
      </c>
      <c r="P939" s="222">
        <f t="shared" si="57"/>
        <v>2</v>
      </c>
      <c r="Q939" s="222">
        <f t="shared" si="58"/>
        <v>2</v>
      </c>
      <c r="R939" s="532" t="str">
        <f t="shared" si="59"/>
        <v>Gastos_Gerais</v>
      </c>
      <c r="S939" s="467" t="s">
        <v>310</v>
      </c>
      <c r="T939" s="467" t="s">
        <v>310</v>
      </c>
      <c r="U939" s="496"/>
      <c r="V939" s="496"/>
      <c r="W939" s="496"/>
    </row>
    <row r="940" spans="1:23" ht="53.25" customHeight="1" x14ac:dyDescent="0.2">
      <c r="A940" s="510">
        <f t="shared" si="56"/>
        <v>937</v>
      </c>
      <c r="B940" s="428">
        <v>44609</v>
      </c>
      <c r="C940" s="424">
        <v>44593</v>
      </c>
      <c r="D940" s="415" t="s">
        <v>271</v>
      </c>
      <c r="E940" s="415" t="s">
        <v>71</v>
      </c>
      <c r="F940" s="425">
        <v>10.45</v>
      </c>
      <c r="G940" s="427" t="s">
        <v>1818</v>
      </c>
      <c r="H940" s="415" t="s">
        <v>759</v>
      </c>
      <c r="I940" s="398" t="s">
        <v>881</v>
      </c>
      <c r="J940" s="418" t="s">
        <v>882</v>
      </c>
      <c r="K940" s="418" t="s">
        <v>883</v>
      </c>
      <c r="L940" s="399" t="s">
        <v>798</v>
      </c>
      <c r="M940" s="544" t="s">
        <v>310</v>
      </c>
      <c r="N940" s="414">
        <v>44609</v>
      </c>
      <c r="O940" s="414" t="s">
        <v>400</v>
      </c>
      <c r="P940" s="222">
        <f t="shared" si="57"/>
        <v>2</v>
      </c>
      <c r="Q940" s="222">
        <f t="shared" si="58"/>
        <v>2</v>
      </c>
      <c r="R940" s="532" t="str">
        <f t="shared" si="59"/>
        <v>Gastos_Gerais</v>
      </c>
      <c r="S940" s="467" t="s">
        <v>310</v>
      </c>
      <c r="T940" s="467" t="s">
        <v>310</v>
      </c>
      <c r="U940" s="496"/>
      <c r="V940" s="496"/>
      <c r="W940" s="496"/>
    </row>
    <row r="941" spans="1:23" ht="36" x14ac:dyDescent="0.2">
      <c r="A941" s="510">
        <f t="shared" si="56"/>
        <v>938</v>
      </c>
      <c r="B941" s="428">
        <v>44609</v>
      </c>
      <c r="C941" s="424">
        <v>44593</v>
      </c>
      <c r="D941" s="415" t="s">
        <v>271</v>
      </c>
      <c r="E941" s="415" t="s">
        <v>71</v>
      </c>
      <c r="F941" s="425">
        <v>10.45</v>
      </c>
      <c r="G941" s="427" t="s">
        <v>1819</v>
      </c>
      <c r="H941" s="415" t="s">
        <v>752</v>
      </c>
      <c r="I941" s="398" t="s">
        <v>881</v>
      </c>
      <c r="J941" s="418" t="s">
        <v>882</v>
      </c>
      <c r="K941" s="418" t="s">
        <v>883</v>
      </c>
      <c r="L941" s="399" t="s">
        <v>798</v>
      </c>
      <c r="M941" s="544" t="s">
        <v>310</v>
      </c>
      <c r="N941" s="414">
        <v>44609</v>
      </c>
      <c r="O941" s="414" t="s">
        <v>400</v>
      </c>
      <c r="P941" s="222">
        <f t="shared" si="57"/>
        <v>2</v>
      </c>
      <c r="Q941" s="222">
        <f t="shared" si="58"/>
        <v>2</v>
      </c>
      <c r="R941" s="532" t="str">
        <f t="shared" si="59"/>
        <v>Gastos_Gerais</v>
      </c>
      <c r="S941" s="467" t="s">
        <v>310</v>
      </c>
      <c r="T941" s="467" t="s">
        <v>310</v>
      </c>
      <c r="U941" s="496"/>
      <c r="V941" s="496"/>
      <c r="W941" s="496"/>
    </row>
    <row r="942" spans="1:23" ht="36" x14ac:dyDescent="0.2">
      <c r="A942" s="510">
        <f t="shared" si="56"/>
        <v>939</v>
      </c>
      <c r="B942" s="428">
        <v>44609</v>
      </c>
      <c r="C942" s="424">
        <v>44593</v>
      </c>
      <c r="D942" s="415" t="s">
        <v>271</v>
      </c>
      <c r="E942" s="415" t="s">
        <v>71</v>
      </c>
      <c r="F942" s="425">
        <v>10.45</v>
      </c>
      <c r="G942" s="427" t="s">
        <v>1825</v>
      </c>
      <c r="H942" s="415" t="s">
        <v>757</v>
      </c>
      <c r="I942" s="398" t="s">
        <v>881</v>
      </c>
      <c r="J942" s="418" t="s">
        <v>882</v>
      </c>
      <c r="K942" s="418" t="s">
        <v>883</v>
      </c>
      <c r="L942" s="399" t="s">
        <v>798</v>
      </c>
      <c r="M942" s="544" t="s">
        <v>310</v>
      </c>
      <c r="N942" s="414">
        <v>44609</v>
      </c>
      <c r="O942" s="414" t="s">
        <v>400</v>
      </c>
      <c r="P942" s="222">
        <f t="shared" si="57"/>
        <v>2</v>
      </c>
      <c r="Q942" s="222">
        <f t="shared" si="58"/>
        <v>2</v>
      </c>
      <c r="R942" s="532" t="str">
        <f t="shared" si="59"/>
        <v>Gastos_Gerais</v>
      </c>
      <c r="S942" s="467" t="s">
        <v>310</v>
      </c>
      <c r="T942" s="467" t="s">
        <v>310</v>
      </c>
      <c r="U942" s="496"/>
      <c r="V942" s="496"/>
      <c r="W942" s="496"/>
    </row>
    <row r="943" spans="1:23" ht="36" x14ac:dyDescent="0.2">
      <c r="A943" s="510">
        <f t="shared" si="56"/>
        <v>940</v>
      </c>
      <c r="B943" s="428">
        <v>44609</v>
      </c>
      <c r="C943" s="424">
        <v>44593</v>
      </c>
      <c r="D943" s="415" t="s">
        <v>271</v>
      </c>
      <c r="E943" s="415" t="s">
        <v>71</v>
      </c>
      <c r="F943" s="425">
        <v>10.45</v>
      </c>
      <c r="G943" s="427" t="s">
        <v>1820</v>
      </c>
      <c r="H943" s="415" t="s">
        <v>756</v>
      </c>
      <c r="I943" s="398" t="s">
        <v>881</v>
      </c>
      <c r="J943" s="418" t="s">
        <v>882</v>
      </c>
      <c r="K943" s="418" t="s">
        <v>883</v>
      </c>
      <c r="L943" s="399" t="s">
        <v>798</v>
      </c>
      <c r="M943" s="544" t="s">
        <v>310</v>
      </c>
      <c r="N943" s="414">
        <v>44609</v>
      </c>
      <c r="O943" s="414" t="s">
        <v>400</v>
      </c>
      <c r="P943" s="222">
        <f t="shared" si="57"/>
        <v>2</v>
      </c>
      <c r="Q943" s="222">
        <f t="shared" si="58"/>
        <v>2</v>
      </c>
      <c r="R943" s="532" t="str">
        <f t="shared" si="59"/>
        <v>Gastos_Gerais</v>
      </c>
      <c r="S943" s="467" t="s">
        <v>310</v>
      </c>
      <c r="T943" s="467" t="s">
        <v>310</v>
      </c>
      <c r="U943" s="496"/>
      <c r="V943" s="496"/>
      <c r="W943" s="496"/>
    </row>
    <row r="944" spans="1:23" ht="36" x14ac:dyDescent="0.2">
      <c r="A944" s="510">
        <f t="shared" si="56"/>
        <v>941</v>
      </c>
      <c r="B944" s="428">
        <v>44609</v>
      </c>
      <c r="C944" s="424">
        <v>44593</v>
      </c>
      <c r="D944" s="415" t="s">
        <v>271</v>
      </c>
      <c r="E944" s="415" t="s">
        <v>71</v>
      </c>
      <c r="F944" s="425">
        <v>10.45</v>
      </c>
      <c r="G944" s="427" t="s">
        <v>1732</v>
      </c>
      <c r="H944" s="415" t="s">
        <v>750</v>
      </c>
      <c r="I944" s="398" t="s">
        <v>881</v>
      </c>
      <c r="J944" s="418" t="s">
        <v>882</v>
      </c>
      <c r="K944" s="418" t="s">
        <v>883</v>
      </c>
      <c r="L944" s="399" t="s">
        <v>798</v>
      </c>
      <c r="M944" s="544" t="s">
        <v>310</v>
      </c>
      <c r="N944" s="414">
        <v>44609</v>
      </c>
      <c r="O944" s="414" t="s">
        <v>400</v>
      </c>
      <c r="P944" s="222">
        <f t="shared" si="57"/>
        <v>2</v>
      </c>
      <c r="Q944" s="222">
        <f t="shared" si="58"/>
        <v>2</v>
      </c>
      <c r="R944" s="532" t="str">
        <f t="shared" si="59"/>
        <v>Gastos_Gerais</v>
      </c>
      <c r="S944" s="467" t="s">
        <v>310</v>
      </c>
      <c r="T944" s="467" t="s">
        <v>310</v>
      </c>
      <c r="U944" s="496"/>
      <c r="V944" s="496"/>
      <c r="W944" s="496"/>
    </row>
    <row r="945" spans="1:23" ht="60" x14ac:dyDescent="0.2">
      <c r="A945" s="510">
        <f t="shared" si="56"/>
        <v>942</v>
      </c>
      <c r="B945" s="428">
        <v>44609</v>
      </c>
      <c r="C945" s="431">
        <v>44562</v>
      </c>
      <c r="D945" s="415" t="s">
        <v>271</v>
      </c>
      <c r="E945" s="415" t="s">
        <v>456</v>
      </c>
      <c r="F945" s="425">
        <v>2693.07</v>
      </c>
      <c r="G945" s="427" t="s">
        <v>706</v>
      </c>
      <c r="H945" s="415" t="s">
        <v>756</v>
      </c>
      <c r="I945" s="473" t="s">
        <v>1811</v>
      </c>
      <c r="J945" s="415" t="s">
        <v>1023</v>
      </c>
      <c r="K945" s="415" t="s">
        <v>830</v>
      </c>
      <c r="L945" s="415" t="s">
        <v>32</v>
      </c>
      <c r="M945" s="415" t="s">
        <v>1540</v>
      </c>
      <c r="N945" s="414">
        <v>44608</v>
      </c>
      <c r="O945" s="414" t="s">
        <v>400</v>
      </c>
      <c r="P945" s="222">
        <f t="shared" si="57"/>
        <v>2</v>
      </c>
      <c r="Q945" s="222">
        <f t="shared" si="58"/>
        <v>1</v>
      </c>
      <c r="R945" s="532" t="str">
        <f t="shared" si="59"/>
        <v>Gastos_Gerais</v>
      </c>
      <c r="S945" s="467" t="s">
        <v>1000</v>
      </c>
      <c r="T945" s="467">
        <v>2730</v>
      </c>
      <c r="U945" s="496"/>
      <c r="V945" s="496"/>
      <c r="W945" s="496"/>
    </row>
    <row r="946" spans="1:23" ht="96" x14ac:dyDescent="0.2">
      <c r="A946" s="510">
        <f t="shared" si="56"/>
        <v>943</v>
      </c>
      <c r="B946" s="428">
        <v>44609</v>
      </c>
      <c r="C946" s="431">
        <v>44593</v>
      </c>
      <c r="D946" s="415" t="s">
        <v>271</v>
      </c>
      <c r="E946" s="415" t="s">
        <v>460</v>
      </c>
      <c r="F946" s="425">
        <v>530.42999999999995</v>
      </c>
      <c r="G946" s="427" t="s">
        <v>1537</v>
      </c>
      <c r="H946" s="415" t="s">
        <v>750</v>
      </c>
      <c r="I946" s="473" t="s">
        <v>1229</v>
      </c>
      <c r="J946" s="415" t="s">
        <v>1051</v>
      </c>
      <c r="K946" s="415" t="s">
        <v>830</v>
      </c>
      <c r="L946" s="415" t="s">
        <v>32</v>
      </c>
      <c r="M946" s="415" t="s">
        <v>1813</v>
      </c>
      <c r="N946" s="414">
        <v>44608</v>
      </c>
      <c r="O946" s="414" t="s">
        <v>400</v>
      </c>
      <c r="P946" s="222">
        <f t="shared" si="57"/>
        <v>2</v>
      </c>
      <c r="Q946" s="222">
        <f t="shared" si="58"/>
        <v>2</v>
      </c>
      <c r="R946" s="532" t="str">
        <f t="shared" si="59"/>
        <v>Gastos_Gerais</v>
      </c>
      <c r="S946" s="467" t="s">
        <v>998</v>
      </c>
      <c r="T946" s="467">
        <v>2397</v>
      </c>
      <c r="U946" s="496"/>
      <c r="V946" s="496"/>
      <c r="W946" s="496"/>
    </row>
    <row r="947" spans="1:23" ht="60" x14ac:dyDescent="0.2">
      <c r="A947" s="510">
        <f t="shared" si="56"/>
        <v>944</v>
      </c>
      <c r="B947" s="428">
        <v>44609</v>
      </c>
      <c r="C947" s="431">
        <v>44562</v>
      </c>
      <c r="D947" s="415" t="s">
        <v>468</v>
      </c>
      <c r="E947" s="415" t="s">
        <v>468</v>
      </c>
      <c r="F947" s="425">
        <v>2693.07</v>
      </c>
      <c r="G947" s="427" t="s">
        <v>2383</v>
      </c>
      <c r="H947" s="415" t="s">
        <v>468</v>
      </c>
      <c r="I947" s="398" t="s">
        <v>1811</v>
      </c>
      <c r="J947" s="418" t="s">
        <v>1023</v>
      </c>
      <c r="K947" s="418" t="s">
        <v>830</v>
      </c>
      <c r="L947" s="399" t="s">
        <v>32</v>
      </c>
      <c r="M947" s="544">
        <v>20227</v>
      </c>
      <c r="N947" s="414">
        <v>44608</v>
      </c>
      <c r="O947" s="414" t="s">
        <v>405</v>
      </c>
      <c r="P947" s="222">
        <f t="shared" si="57"/>
        <v>2</v>
      </c>
      <c r="Q947" s="222">
        <f t="shared" si="58"/>
        <v>1</v>
      </c>
      <c r="R947" s="532" t="str">
        <f t="shared" si="59"/>
        <v>Gastos_custeados_por_captação</v>
      </c>
      <c r="S947" s="467" t="s">
        <v>1000</v>
      </c>
      <c r="T947" s="467">
        <v>2732</v>
      </c>
      <c r="U947" s="496"/>
      <c r="V947" s="496"/>
      <c r="W947" s="496"/>
    </row>
    <row r="948" spans="1:23" ht="48" x14ac:dyDescent="0.2">
      <c r="A948" s="510">
        <f t="shared" si="56"/>
        <v>945</v>
      </c>
      <c r="B948" s="428">
        <v>44609</v>
      </c>
      <c r="C948" s="431">
        <v>44531</v>
      </c>
      <c r="D948" s="415" t="s">
        <v>271</v>
      </c>
      <c r="E948" s="415" t="s">
        <v>465</v>
      </c>
      <c r="F948" s="425">
        <v>488.88</v>
      </c>
      <c r="G948" s="427" t="s">
        <v>624</v>
      </c>
      <c r="H948" s="415" t="s">
        <v>759</v>
      </c>
      <c r="I948" s="473" t="s">
        <v>1405</v>
      </c>
      <c r="J948" s="415" t="s">
        <v>1040</v>
      </c>
      <c r="K948" s="415" t="s">
        <v>830</v>
      </c>
      <c r="L948" s="399" t="s">
        <v>807</v>
      </c>
      <c r="M948" s="415" t="s">
        <v>1816</v>
      </c>
      <c r="N948" s="414">
        <v>44599</v>
      </c>
      <c r="O948" s="414" t="s">
        <v>400</v>
      </c>
      <c r="P948" s="222">
        <f t="shared" si="57"/>
        <v>2</v>
      </c>
      <c r="Q948" s="222">
        <f t="shared" si="58"/>
        <v>0</v>
      </c>
      <c r="R948" s="532" t="str">
        <f t="shared" si="59"/>
        <v>Gastos_Gerais</v>
      </c>
      <c r="S948" s="467" t="s">
        <v>1000</v>
      </c>
      <c r="T948" s="467">
        <v>2604</v>
      </c>
      <c r="U948" s="496"/>
      <c r="V948" s="496"/>
      <c r="W948" s="496"/>
    </row>
    <row r="949" spans="1:23" ht="48" x14ac:dyDescent="0.2">
      <c r="A949" s="510">
        <f t="shared" si="56"/>
        <v>946</v>
      </c>
      <c r="B949" s="428">
        <v>44609</v>
      </c>
      <c r="C949" s="431">
        <v>44531</v>
      </c>
      <c r="D949" s="415" t="s">
        <v>271</v>
      </c>
      <c r="E949" s="415" t="s">
        <v>465</v>
      </c>
      <c r="F949" s="425">
        <v>1338.6</v>
      </c>
      <c r="G949" s="427" t="s">
        <v>625</v>
      </c>
      <c r="H949" s="415" t="s">
        <v>752</v>
      </c>
      <c r="I949" s="473" t="s">
        <v>1405</v>
      </c>
      <c r="J949" s="415" t="s">
        <v>1040</v>
      </c>
      <c r="K949" s="415" t="s">
        <v>830</v>
      </c>
      <c r="L949" s="399" t="s">
        <v>807</v>
      </c>
      <c r="M949" s="415" t="s">
        <v>1815</v>
      </c>
      <c r="N949" s="414">
        <v>44599</v>
      </c>
      <c r="O949" s="414" t="s">
        <v>400</v>
      </c>
      <c r="P949" s="222">
        <f t="shared" si="57"/>
        <v>2</v>
      </c>
      <c r="Q949" s="222">
        <f t="shared" si="58"/>
        <v>0</v>
      </c>
      <c r="R949" s="532" t="str">
        <f t="shared" si="59"/>
        <v>Gastos_Gerais</v>
      </c>
      <c r="S949" s="467" t="s">
        <v>998</v>
      </c>
      <c r="T949" s="467">
        <v>2599</v>
      </c>
      <c r="U949" s="496"/>
      <c r="V949" s="496"/>
      <c r="W949" s="496"/>
    </row>
    <row r="950" spans="1:23" ht="48" x14ac:dyDescent="0.2">
      <c r="A950" s="510">
        <f t="shared" si="56"/>
        <v>947</v>
      </c>
      <c r="B950" s="428">
        <v>44609</v>
      </c>
      <c r="C950" s="433">
        <v>44562</v>
      </c>
      <c r="D950" s="415" t="s">
        <v>271</v>
      </c>
      <c r="E950" s="415" t="s">
        <v>164</v>
      </c>
      <c r="F950" s="425">
        <v>-176.12</v>
      </c>
      <c r="G950" s="427" t="s">
        <v>1810</v>
      </c>
      <c r="H950" s="415" t="s">
        <v>309</v>
      </c>
      <c r="I950" s="473" t="s">
        <v>795</v>
      </c>
      <c r="J950" s="415" t="s">
        <v>796</v>
      </c>
      <c r="K950" s="415" t="s">
        <v>797</v>
      </c>
      <c r="L950" s="415" t="s">
        <v>798</v>
      </c>
      <c r="M950" s="415" t="s">
        <v>310</v>
      </c>
      <c r="N950" s="414">
        <v>44596</v>
      </c>
      <c r="O950" s="414" t="s">
        <v>400</v>
      </c>
      <c r="P950" s="222">
        <f t="shared" si="57"/>
        <v>2</v>
      </c>
      <c r="Q950" s="222">
        <f t="shared" si="58"/>
        <v>1</v>
      </c>
      <c r="R950" s="532" t="str">
        <f t="shared" si="59"/>
        <v>Gastos_Gerais</v>
      </c>
      <c r="S950" s="467" t="s">
        <v>310</v>
      </c>
      <c r="T950" s="467" t="s">
        <v>310</v>
      </c>
      <c r="U950" s="496"/>
      <c r="V950" s="496"/>
      <c r="W950" s="496"/>
    </row>
    <row r="951" spans="1:23" ht="24" x14ac:dyDescent="0.2">
      <c r="A951" s="510">
        <f t="shared" si="56"/>
        <v>948</v>
      </c>
      <c r="B951" s="428">
        <v>44609</v>
      </c>
      <c r="C951" s="433">
        <v>44562</v>
      </c>
      <c r="D951" s="415" t="s">
        <v>271</v>
      </c>
      <c r="E951" s="415" t="s">
        <v>164</v>
      </c>
      <c r="F951" s="425">
        <v>666.88</v>
      </c>
      <c r="G951" s="427" t="s">
        <v>1403</v>
      </c>
      <c r="H951" s="415" t="s">
        <v>309</v>
      </c>
      <c r="I951" s="474" t="s">
        <v>768</v>
      </c>
      <c r="J951" s="434" t="s">
        <v>1021</v>
      </c>
      <c r="K951" s="415" t="s">
        <v>812</v>
      </c>
      <c r="L951" s="415" t="s">
        <v>1372</v>
      </c>
      <c r="M951" s="415" t="s">
        <v>310</v>
      </c>
      <c r="N951" s="414">
        <v>44593</v>
      </c>
      <c r="O951" s="414" t="s">
        <v>400</v>
      </c>
      <c r="P951" s="222">
        <f t="shared" si="57"/>
        <v>2</v>
      </c>
      <c r="Q951" s="222">
        <f t="shared" si="58"/>
        <v>1</v>
      </c>
      <c r="R951" s="532" t="str">
        <f t="shared" si="59"/>
        <v>Gastos_Gerais</v>
      </c>
      <c r="S951" s="467" t="s">
        <v>310</v>
      </c>
      <c r="T951" s="467" t="s">
        <v>310</v>
      </c>
      <c r="U951" s="496"/>
      <c r="V951" s="496"/>
      <c r="W951" s="496"/>
    </row>
    <row r="952" spans="1:23" ht="48" x14ac:dyDescent="0.2">
      <c r="A952" s="510">
        <f t="shared" si="56"/>
        <v>949</v>
      </c>
      <c r="B952" s="428">
        <v>44609</v>
      </c>
      <c r="C952" s="424">
        <v>44562</v>
      </c>
      <c r="D952" s="415" t="s">
        <v>271</v>
      </c>
      <c r="E952" s="415" t="s">
        <v>85</v>
      </c>
      <c r="F952" s="425">
        <v>-74.959999999999994</v>
      </c>
      <c r="G952" s="427" t="s">
        <v>1809</v>
      </c>
      <c r="H952" s="415" t="s">
        <v>309</v>
      </c>
      <c r="I952" s="473" t="s">
        <v>795</v>
      </c>
      <c r="J952" s="415" t="s">
        <v>796</v>
      </c>
      <c r="K952" s="415" t="s">
        <v>797</v>
      </c>
      <c r="L952" s="415" t="s">
        <v>798</v>
      </c>
      <c r="M952" s="415" t="s">
        <v>310</v>
      </c>
      <c r="N952" s="414">
        <v>44589</v>
      </c>
      <c r="O952" s="414" t="s">
        <v>400</v>
      </c>
      <c r="P952" s="222">
        <f t="shared" si="57"/>
        <v>2</v>
      </c>
      <c r="Q952" s="222">
        <f t="shared" si="58"/>
        <v>1</v>
      </c>
      <c r="R952" s="532" t="str">
        <f t="shared" si="59"/>
        <v>Gastos_Gerais</v>
      </c>
      <c r="S952" s="467" t="s">
        <v>310</v>
      </c>
      <c r="T952" s="467" t="s">
        <v>310</v>
      </c>
      <c r="U952" s="496"/>
      <c r="V952" s="496"/>
      <c r="W952" s="496"/>
    </row>
    <row r="953" spans="1:23" ht="24" x14ac:dyDescent="0.2">
      <c r="A953" s="510">
        <f t="shared" si="56"/>
        <v>950</v>
      </c>
      <c r="B953" s="428">
        <v>44609</v>
      </c>
      <c r="C953" s="424">
        <v>44562</v>
      </c>
      <c r="D953" s="415" t="s">
        <v>271</v>
      </c>
      <c r="E953" s="415" t="s">
        <v>85</v>
      </c>
      <c r="F953" s="425">
        <v>283.83999999999997</v>
      </c>
      <c r="G953" s="427" t="s">
        <v>491</v>
      </c>
      <c r="H953" s="415" t="s">
        <v>309</v>
      </c>
      <c r="I953" s="474" t="s">
        <v>765</v>
      </c>
      <c r="J953" s="434" t="s">
        <v>892</v>
      </c>
      <c r="K953" s="415" t="s">
        <v>893</v>
      </c>
      <c r="L953" s="399" t="s">
        <v>807</v>
      </c>
      <c r="M953" s="415">
        <v>72289950</v>
      </c>
      <c r="N953" s="414">
        <v>44588</v>
      </c>
      <c r="O953" s="414" t="s">
        <v>400</v>
      </c>
      <c r="P953" s="222">
        <f t="shared" si="57"/>
        <v>2</v>
      </c>
      <c r="Q953" s="222">
        <f t="shared" si="58"/>
        <v>1</v>
      </c>
      <c r="R953" s="532" t="str">
        <f t="shared" si="59"/>
        <v>Gastos_Gerais</v>
      </c>
      <c r="S953" s="467" t="s">
        <v>310</v>
      </c>
      <c r="T953" s="467" t="s">
        <v>310</v>
      </c>
      <c r="U953" s="496"/>
      <c r="V953" s="496"/>
      <c r="W953" s="496"/>
    </row>
    <row r="954" spans="1:23" ht="48" x14ac:dyDescent="0.2">
      <c r="A954" s="510">
        <f t="shared" si="56"/>
        <v>951</v>
      </c>
      <c r="B954" s="428">
        <v>44610</v>
      </c>
      <c r="C954" s="424">
        <v>44562</v>
      </c>
      <c r="D954" s="415" t="s">
        <v>468</v>
      </c>
      <c r="E954" s="415" t="s">
        <v>468</v>
      </c>
      <c r="F954" s="425">
        <v>-775</v>
      </c>
      <c r="G954" s="456" t="s">
        <v>1856</v>
      </c>
      <c r="H954" s="415" t="s">
        <v>468</v>
      </c>
      <c r="I954" s="473" t="s">
        <v>795</v>
      </c>
      <c r="J954" s="415" t="s">
        <v>796</v>
      </c>
      <c r="K954" s="415" t="s">
        <v>797</v>
      </c>
      <c r="L954" s="415" t="s">
        <v>798</v>
      </c>
      <c r="M954" s="415" t="s">
        <v>310</v>
      </c>
      <c r="N954" s="414">
        <v>44610</v>
      </c>
      <c r="O954" s="414" t="s">
        <v>400</v>
      </c>
      <c r="P954" s="222">
        <f t="shared" si="57"/>
        <v>2</v>
      </c>
      <c r="Q954" s="222">
        <f t="shared" si="58"/>
        <v>1</v>
      </c>
      <c r="R954" s="532" t="str">
        <f t="shared" si="59"/>
        <v>Gastos_custeados_por_captação</v>
      </c>
      <c r="S954" s="467" t="s">
        <v>310</v>
      </c>
      <c r="T954" s="467" t="s">
        <v>310</v>
      </c>
      <c r="U954" s="496"/>
      <c r="V954" s="496"/>
      <c r="W954" s="496"/>
    </row>
    <row r="955" spans="1:23" ht="48" x14ac:dyDescent="0.2">
      <c r="A955" s="510">
        <f t="shared" si="56"/>
        <v>952</v>
      </c>
      <c r="B955" s="428">
        <v>44610</v>
      </c>
      <c r="C955" s="424">
        <v>44562</v>
      </c>
      <c r="D955" s="415" t="s">
        <v>468</v>
      </c>
      <c r="E955" s="415" t="s">
        <v>468</v>
      </c>
      <c r="F955" s="425">
        <v>-3410</v>
      </c>
      <c r="G955" s="456" t="s">
        <v>1857</v>
      </c>
      <c r="H955" s="415" t="s">
        <v>468</v>
      </c>
      <c r="I955" s="473" t="s">
        <v>795</v>
      </c>
      <c r="J955" s="415" t="s">
        <v>796</v>
      </c>
      <c r="K955" s="415" t="s">
        <v>797</v>
      </c>
      <c r="L955" s="415" t="s">
        <v>798</v>
      </c>
      <c r="M955" s="415" t="s">
        <v>310</v>
      </c>
      <c r="N955" s="414">
        <v>44610</v>
      </c>
      <c r="O955" s="414" t="s">
        <v>400</v>
      </c>
      <c r="P955" s="222">
        <f t="shared" si="57"/>
        <v>2</v>
      </c>
      <c r="Q955" s="222">
        <f t="shared" si="58"/>
        <v>1</v>
      </c>
      <c r="R955" s="532" t="str">
        <f t="shared" si="59"/>
        <v>Gastos_custeados_por_captação</v>
      </c>
      <c r="S955" s="467" t="s">
        <v>310</v>
      </c>
      <c r="T955" s="467" t="s">
        <v>310</v>
      </c>
      <c r="U955" s="496"/>
      <c r="V955" s="496"/>
      <c r="W955" s="496"/>
    </row>
    <row r="956" spans="1:23" ht="48" x14ac:dyDescent="0.2">
      <c r="A956" s="510">
        <f t="shared" si="56"/>
        <v>953</v>
      </c>
      <c r="B956" s="428">
        <v>44610</v>
      </c>
      <c r="C956" s="424">
        <v>44562</v>
      </c>
      <c r="D956" s="415" t="s">
        <v>468</v>
      </c>
      <c r="E956" s="415" t="s">
        <v>468</v>
      </c>
      <c r="F956" s="425">
        <v>-465</v>
      </c>
      <c r="G956" s="456" t="s">
        <v>1858</v>
      </c>
      <c r="H956" s="415" t="s">
        <v>468</v>
      </c>
      <c r="I956" s="473" t="s">
        <v>795</v>
      </c>
      <c r="J956" s="415" t="s">
        <v>796</v>
      </c>
      <c r="K956" s="415" t="s">
        <v>797</v>
      </c>
      <c r="L956" s="415" t="s">
        <v>798</v>
      </c>
      <c r="M956" s="415" t="s">
        <v>310</v>
      </c>
      <c r="N956" s="414">
        <v>44610</v>
      </c>
      <c r="O956" s="414" t="s">
        <v>400</v>
      </c>
      <c r="P956" s="222">
        <f t="shared" si="57"/>
        <v>2</v>
      </c>
      <c r="Q956" s="222">
        <f t="shared" si="58"/>
        <v>1</v>
      </c>
      <c r="R956" s="532" t="str">
        <f t="shared" si="59"/>
        <v>Gastos_custeados_por_captação</v>
      </c>
      <c r="S956" s="467" t="s">
        <v>310</v>
      </c>
      <c r="T956" s="467" t="s">
        <v>310</v>
      </c>
      <c r="U956" s="496"/>
      <c r="V956" s="496"/>
      <c r="W956" s="496"/>
    </row>
    <row r="957" spans="1:23" ht="48" x14ac:dyDescent="0.2">
      <c r="A957" s="510">
        <f t="shared" si="56"/>
        <v>954</v>
      </c>
      <c r="B957" s="428">
        <v>44610</v>
      </c>
      <c r="C957" s="424">
        <v>44562</v>
      </c>
      <c r="D957" s="415" t="s">
        <v>271</v>
      </c>
      <c r="E957" s="415" t="s">
        <v>90</v>
      </c>
      <c r="F957" s="425">
        <v>-6359.83</v>
      </c>
      <c r="G957" s="456" t="s">
        <v>1849</v>
      </c>
      <c r="H957" s="415" t="s">
        <v>310</v>
      </c>
      <c r="I957" s="473" t="s">
        <v>795</v>
      </c>
      <c r="J957" s="415" t="s">
        <v>796</v>
      </c>
      <c r="K957" s="415" t="s">
        <v>797</v>
      </c>
      <c r="L957" s="415" t="s">
        <v>798</v>
      </c>
      <c r="M957" s="415" t="s">
        <v>310</v>
      </c>
      <c r="N957" s="414">
        <v>44610</v>
      </c>
      <c r="O957" s="414" t="s">
        <v>400</v>
      </c>
      <c r="P957" s="222">
        <f t="shared" si="57"/>
        <v>2</v>
      </c>
      <c r="Q957" s="222">
        <f t="shared" si="58"/>
        <v>1</v>
      </c>
      <c r="R957" s="532" t="str">
        <f t="shared" si="59"/>
        <v>Gastos_Gerais</v>
      </c>
      <c r="S957" s="467" t="s">
        <v>310</v>
      </c>
      <c r="T957" s="467" t="s">
        <v>310</v>
      </c>
      <c r="U957" s="496"/>
      <c r="V957" s="496"/>
      <c r="W957" s="496"/>
    </row>
    <row r="958" spans="1:23" ht="48" x14ac:dyDescent="0.2">
      <c r="A958" s="510">
        <f t="shared" si="56"/>
        <v>955</v>
      </c>
      <c r="B958" s="428">
        <v>44610</v>
      </c>
      <c r="C958" s="424">
        <v>44562</v>
      </c>
      <c r="D958" s="415" t="s">
        <v>182</v>
      </c>
      <c r="E958" s="415" t="s">
        <v>1</v>
      </c>
      <c r="F958" s="425">
        <v>-11258.86</v>
      </c>
      <c r="G958" s="440" t="s">
        <v>1848</v>
      </c>
      <c r="H958" s="415" t="s">
        <v>310</v>
      </c>
      <c r="I958" s="473" t="s">
        <v>795</v>
      </c>
      <c r="J958" s="415" t="s">
        <v>796</v>
      </c>
      <c r="K958" s="415" t="s">
        <v>797</v>
      </c>
      <c r="L958" s="415" t="s">
        <v>798</v>
      </c>
      <c r="M958" s="415" t="s">
        <v>310</v>
      </c>
      <c r="N958" s="414">
        <v>44610</v>
      </c>
      <c r="O958" s="414" t="s">
        <v>400</v>
      </c>
      <c r="P958" s="222">
        <f t="shared" si="57"/>
        <v>2</v>
      </c>
      <c r="Q958" s="222">
        <f t="shared" si="58"/>
        <v>1</v>
      </c>
      <c r="R958" s="532" t="str">
        <f t="shared" si="59"/>
        <v>Gastos_com_Pessoal</v>
      </c>
      <c r="S958" s="467" t="s">
        <v>310</v>
      </c>
      <c r="T958" s="467" t="s">
        <v>310</v>
      </c>
      <c r="U958" s="496"/>
      <c r="V958" s="496"/>
      <c r="W958" s="496"/>
    </row>
    <row r="959" spans="1:23" ht="48" x14ac:dyDescent="0.2">
      <c r="A959" s="510">
        <f t="shared" si="56"/>
        <v>956</v>
      </c>
      <c r="B959" s="428">
        <v>44610</v>
      </c>
      <c r="C959" s="424">
        <v>44562</v>
      </c>
      <c r="D959" s="415" t="s">
        <v>271</v>
      </c>
      <c r="E959" s="415" t="s">
        <v>90</v>
      </c>
      <c r="F959" s="425">
        <v>-594</v>
      </c>
      <c r="G959" s="440" t="s">
        <v>1859</v>
      </c>
      <c r="H959" s="415" t="s">
        <v>310</v>
      </c>
      <c r="I959" s="473" t="s">
        <v>795</v>
      </c>
      <c r="J959" s="415" t="s">
        <v>796</v>
      </c>
      <c r="K959" s="415" t="s">
        <v>797</v>
      </c>
      <c r="L959" s="415" t="s">
        <v>798</v>
      </c>
      <c r="M959" s="415" t="s">
        <v>310</v>
      </c>
      <c r="N959" s="414">
        <v>44610</v>
      </c>
      <c r="O959" s="414" t="s">
        <v>400</v>
      </c>
      <c r="P959" s="222">
        <f t="shared" si="57"/>
        <v>2</v>
      </c>
      <c r="Q959" s="222">
        <f t="shared" si="58"/>
        <v>1</v>
      </c>
      <c r="R959" s="532" t="str">
        <f t="shared" si="59"/>
        <v>Gastos_Gerais</v>
      </c>
      <c r="S959" s="467" t="s">
        <v>310</v>
      </c>
      <c r="T959" s="467" t="s">
        <v>310</v>
      </c>
      <c r="U959" s="496"/>
      <c r="V959" s="496"/>
      <c r="W959" s="496"/>
    </row>
    <row r="960" spans="1:23" ht="48" x14ac:dyDescent="0.2">
      <c r="A960" s="510">
        <f t="shared" si="56"/>
        <v>957</v>
      </c>
      <c r="B960" s="428">
        <v>44610</v>
      </c>
      <c r="C960" s="424">
        <v>44562</v>
      </c>
      <c r="D960" s="415" t="s">
        <v>468</v>
      </c>
      <c r="E960" s="415" t="s">
        <v>468</v>
      </c>
      <c r="F960" s="425">
        <v>-11165.09</v>
      </c>
      <c r="G960" s="440" t="s">
        <v>1860</v>
      </c>
      <c r="H960" s="415" t="s">
        <v>468</v>
      </c>
      <c r="I960" s="473" t="s">
        <v>795</v>
      </c>
      <c r="J960" s="415" t="s">
        <v>796</v>
      </c>
      <c r="K960" s="415" t="s">
        <v>797</v>
      </c>
      <c r="L960" s="415" t="s">
        <v>798</v>
      </c>
      <c r="M960" s="415" t="s">
        <v>310</v>
      </c>
      <c r="N960" s="414">
        <v>44610</v>
      </c>
      <c r="O960" s="414" t="s">
        <v>400</v>
      </c>
      <c r="P960" s="222">
        <f t="shared" si="57"/>
        <v>2</v>
      </c>
      <c r="Q960" s="222">
        <f t="shared" si="58"/>
        <v>1</v>
      </c>
      <c r="R960" s="532" t="str">
        <f t="shared" si="59"/>
        <v>Gastos_custeados_por_captação</v>
      </c>
      <c r="S960" s="467" t="s">
        <v>310</v>
      </c>
      <c r="T960" s="467" t="s">
        <v>310</v>
      </c>
      <c r="U960" s="496"/>
      <c r="V960" s="496"/>
      <c r="W960" s="496"/>
    </row>
    <row r="961" spans="1:23" ht="48" x14ac:dyDescent="0.2">
      <c r="A961" s="510">
        <f t="shared" si="56"/>
        <v>958</v>
      </c>
      <c r="B961" s="428">
        <v>44610</v>
      </c>
      <c r="C961" s="424">
        <v>44562</v>
      </c>
      <c r="D961" s="415" t="s">
        <v>468</v>
      </c>
      <c r="E961" s="415" t="s">
        <v>468</v>
      </c>
      <c r="F961" s="425">
        <v>-302.25</v>
      </c>
      <c r="G961" s="440" t="s">
        <v>1861</v>
      </c>
      <c r="H961" s="415" t="s">
        <v>468</v>
      </c>
      <c r="I961" s="473" t="s">
        <v>795</v>
      </c>
      <c r="J961" s="415" t="s">
        <v>796</v>
      </c>
      <c r="K961" s="415" t="s">
        <v>797</v>
      </c>
      <c r="L961" s="415" t="s">
        <v>798</v>
      </c>
      <c r="M961" s="415" t="s">
        <v>310</v>
      </c>
      <c r="N961" s="414">
        <v>44610</v>
      </c>
      <c r="O961" s="414" t="s">
        <v>400</v>
      </c>
      <c r="P961" s="222">
        <f t="shared" si="57"/>
        <v>2</v>
      </c>
      <c r="Q961" s="222">
        <f t="shared" si="58"/>
        <v>1</v>
      </c>
      <c r="R961" s="532" t="str">
        <f t="shared" si="59"/>
        <v>Gastos_custeados_por_captação</v>
      </c>
      <c r="S961" s="467" t="s">
        <v>310</v>
      </c>
      <c r="T961" s="467" t="s">
        <v>310</v>
      </c>
      <c r="U961" s="496"/>
      <c r="V961" s="496"/>
      <c r="W961" s="496"/>
    </row>
    <row r="962" spans="1:23" ht="48" x14ac:dyDescent="0.2">
      <c r="A962" s="510">
        <f>IF(B962="","",ROW()-ROW($A$3))</f>
        <v>959</v>
      </c>
      <c r="B962" s="428">
        <v>44610</v>
      </c>
      <c r="C962" s="424">
        <v>44562</v>
      </c>
      <c r="D962" s="415" t="s">
        <v>468</v>
      </c>
      <c r="E962" s="415" t="s">
        <v>468</v>
      </c>
      <c r="F962" s="425">
        <v>-499.32</v>
      </c>
      <c r="G962" s="55" t="s">
        <v>6708</v>
      </c>
      <c r="H962" s="415" t="s">
        <v>468</v>
      </c>
      <c r="I962" s="473" t="s">
        <v>795</v>
      </c>
      <c r="J962" s="415" t="s">
        <v>796</v>
      </c>
      <c r="K962" s="415" t="s">
        <v>797</v>
      </c>
      <c r="L962" s="415" t="s">
        <v>798</v>
      </c>
      <c r="M962" s="415" t="s">
        <v>310</v>
      </c>
      <c r="N962" s="414">
        <v>44610</v>
      </c>
      <c r="O962" s="414" t="s">
        <v>400</v>
      </c>
      <c r="P962" s="222">
        <f>IF(B962=0,0,IF(YEAR(B962)=$Q$1,MONTH(B962)-$P$1+1,(YEAR(B962)-$Q$1)*12-$P$1+1+MONTH(B962)))</f>
        <v>2</v>
      </c>
      <c r="Q962" s="222">
        <f>IF(C962=0,0,IF(YEAR(C962)=$Q$1,MONTH(C962)-$P$1+1,(YEAR(C962)-$Q$1)*12-$P$1+1+MONTH(C962)))</f>
        <v>1</v>
      </c>
      <c r="R962" s="532" t="str">
        <f>SUBSTITUTE(D962," ","_")</f>
        <v>Gastos_custeados_por_captação</v>
      </c>
      <c r="S962" s="467" t="s">
        <v>310</v>
      </c>
      <c r="T962" s="467" t="s">
        <v>310</v>
      </c>
    </row>
    <row r="963" spans="1:23" ht="48" x14ac:dyDescent="0.2">
      <c r="A963" s="510">
        <f t="shared" ref="A963:A994" si="60">IF(B963="","",ROW()-ROW($A$3))</f>
        <v>960</v>
      </c>
      <c r="B963" s="428">
        <v>44610</v>
      </c>
      <c r="C963" s="424">
        <v>44562</v>
      </c>
      <c r="D963" s="415" t="s">
        <v>468</v>
      </c>
      <c r="E963" s="415" t="s">
        <v>468</v>
      </c>
      <c r="F963" s="425">
        <v>-1550</v>
      </c>
      <c r="G963" s="440" t="s">
        <v>1852</v>
      </c>
      <c r="H963" s="415" t="s">
        <v>468</v>
      </c>
      <c r="I963" s="473" t="s">
        <v>795</v>
      </c>
      <c r="J963" s="415" t="s">
        <v>796</v>
      </c>
      <c r="K963" s="415" t="s">
        <v>797</v>
      </c>
      <c r="L963" s="415" t="s">
        <v>798</v>
      </c>
      <c r="M963" s="415" t="s">
        <v>310</v>
      </c>
      <c r="N963" s="414">
        <v>44610</v>
      </c>
      <c r="O963" s="414" t="s">
        <v>400</v>
      </c>
      <c r="P963" s="222">
        <f t="shared" ref="P963:P994" si="61">IF(B963=0,0,IF(YEAR(B963)=$Q$1,MONTH(B963)-$P$1+1,(YEAR(B963)-$Q$1)*12-$P$1+1+MONTH(B963)))</f>
        <v>2</v>
      </c>
      <c r="Q963" s="222">
        <f t="shared" ref="Q963:Q994" si="62">IF(C963=0,0,IF(YEAR(C963)=$Q$1,MONTH(C963)-$P$1+1,(YEAR(C963)-$Q$1)*12-$P$1+1+MONTH(C963)))</f>
        <v>1</v>
      </c>
      <c r="R963" s="532" t="str">
        <f t="shared" ref="R963:R994" si="63">SUBSTITUTE(D963," ","_")</f>
        <v>Gastos_custeados_por_captação</v>
      </c>
      <c r="S963" s="467" t="s">
        <v>310</v>
      </c>
      <c r="T963" s="467" t="s">
        <v>310</v>
      </c>
      <c r="U963" s="496"/>
      <c r="V963" s="496"/>
      <c r="W963" s="496"/>
    </row>
    <row r="964" spans="1:23" ht="36" x14ac:dyDescent="0.2">
      <c r="A964" s="510">
        <f t="shared" si="60"/>
        <v>961</v>
      </c>
      <c r="B964" s="428">
        <v>44610</v>
      </c>
      <c r="C964" s="424">
        <v>44531</v>
      </c>
      <c r="D964" s="415" t="s">
        <v>271</v>
      </c>
      <c r="E964" s="415" t="s">
        <v>90</v>
      </c>
      <c r="F964" s="425">
        <v>594</v>
      </c>
      <c r="G964" s="427" t="s">
        <v>1839</v>
      </c>
      <c r="H964" s="415" t="s">
        <v>755</v>
      </c>
      <c r="I964" s="398" t="s">
        <v>1461</v>
      </c>
      <c r="J964" s="418" t="s">
        <v>310</v>
      </c>
      <c r="K964" s="418" t="s">
        <v>1220</v>
      </c>
      <c r="L964" s="399" t="s">
        <v>1368</v>
      </c>
      <c r="M964" s="544" t="s">
        <v>1840</v>
      </c>
      <c r="N964" s="414">
        <v>44610</v>
      </c>
      <c r="O964" s="414" t="s">
        <v>400</v>
      </c>
      <c r="P964" s="222">
        <f t="shared" si="61"/>
        <v>2</v>
      </c>
      <c r="Q964" s="222">
        <f t="shared" si="62"/>
        <v>0</v>
      </c>
      <c r="R964" s="532" t="str">
        <f t="shared" si="63"/>
        <v>Gastos_Gerais</v>
      </c>
      <c r="S964" s="467" t="s">
        <v>310</v>
      </c>
      <c r="T964" s="467" t="s">
        <v>310</v>
      </c>
      <c r="U964" s="496"/>
      <c r="V964" s="496"/>
      <c r="W964" s="496"/>
    </row>
    <row r="965" spans="1:23" ht="24" x14ac:dyDescent="0.2">
      <c r="A965" s="510">
        <f t="shared" si="60"/>
        <v>962</v>
      </c>
      <c r="B965" s="428">
        <v>44610</v>
      </c>
      <c r="C965" s="424">
        <v>44531</v>
      </c>
      <c r="D965" s="415" t="s">
        <v>271</v>
      </c>
      <c r="E965" s="415" t="s">
        <v>90</v>
      </c>
      <c r="F965" s="425">
        <v>19.8</v>
      </c>
      <c r="G965" s="427" t="s">
        <v>652</v>
      </c>
      <c r="H965" s="415" t="s">
        <v>750</v>
      </c>
      <c r="I965" s="398" t="s">
        <v>1461</v>
      </c>
      <c r="J965" s="418" t="s">
        <v>310</v>
      </c>
      <c r="K965" s="418" t="s">
        <v>1220</v>
      </c>
      <c r="L965" s="399" t="s">
        <v>1368</v>
      </c>
      <c r="M965" s="544" t="s">
        <v>1840</v>
      </c>
      <c r="N965" s="414">
        <v>44610</v>
      </c>
      <c r="O965" s="414" t="s">
        <v>400</v>
      </c>
      <c r="P965" s="222">
        <f t="shared" si="61"/>
        <v>2</v>
      </c>
      <c r="Q965" s="222">
        <f t="shared" si="62"/>
        <v>0</v>
      </c>
      <c r="R965" s="532" t="str">
        <f t="shared" si="63"/>
        <v>Gastos_Gerais</v>
      </c>
      <c r="S965" s="467" t="s">
        <v>310</v>
      </c>
      <c r="T965" s="467" t="s">
        <v>310</v>
      </c>
      <c r="U965" s="496"/>
      <c r="V965" s="496"/>
      <c r="W965" s="496"/>
    </row>
    <row r="966" spans="1:23" ht="36" x14ac:dyDescent="0.2">
      <c r="A966" s="510">
        <f t="shared" si="60"/>
        <v>963</v>
      </c>
      <c r="B966" s="428">
        <v>44610</v>
      </c>
      <c r="C966" s="431">
        <v>44531</v>
      </c>
      <c r="D966" s="415" t="s">
        <v>271</v>
      </c>
      <c r="E966" s="415" t="s">
        <v>456</v>
      </c>
      <c r="F966" s="425">
        <v>599.14</v>
      </c>
      <c r="G966" s="427" t="s">
        <v>1841</v>
      </c>
      <c r="H966" s="415" t="s">
        <v>755</v>
      </c>
      <c r="I966" s="398" t="s">
        <v>1461</v>
      </c>
      <c r="J966" s="418" t="s">
        <v>310</v>
      </c>
      <c r="K966" s="418" t="s">
        <v>1220</v>
      </c>
      <c r="L966" s="399" t="s">
        <v>1368</v>
      </c>
      <c r="M966" s="544" t="s">
        <v>1842</v>
      </c>
      <c r="N966" s="414">
        <v>44610</v>
      </c>
      <c r="O966" s="414" t="s">
        <v>400</v>
      </c>
      <c r="P966" s="222">
        <f t="shared" si="61"/>
        <v>2</v>
      </c>
      <c r="Q966" s="222">
        <f t="shared" si="62"/>
        <v>0</v>
      </c>
      <c r="R966" s="532" t="str">
        <f t="shared" si="63"/>
        <v>Gastos_Gerais</v>
      </c>
      <c r="S966" s="467" t="s">
        <v>310</v>
      </c>
      <c r="T966" s="467" t="s">
        <v>310</v>
      </c>
      <c r="U966" s="496"/>
      <c r="V966" s="496"/>
      <c r="W966" s="496"/>
    </row>
    <row r="967" spans="1:23" ht="24" x14ac:dyDescent="0.2">
      <c r="A967" s="510">
        <f t="shared" si="60"/>
        <v>964</v>
      </c>
      <c r="B967" s="428">
        <v>44610</v>
      </c>
      <c r="C967" s="431">
        <v>44531</v>
      </c>
      <c r="D967" s="415" t="s">
        <v>271</v>
      </c>
      <c r="E967" s="415" t="s">
        <v>453</v>
      </c>
      <c r="F967" s="425">
        <v>17.399999999999999</v>
      </c>
      <c r="G967" s="427" t="s">
        <v>1843</v>
      </c>
      <c r="H967" s="415" t="s">
        <v>752</v>
      </c>
      <c r="I967" s="398" t="s">
        <v>1461</v>
      </c>
      <c r="J967" s="418" t="s">
        <v>310</v>
      </c>
      <c r="K967" s="418" t="s">
        <v>1220</v>
      </c>
      <c r="L967" s="399" t="s">
        <v>1368</v>
      </c>
      <c r="M967" s="544" t="s">
        <v>1842</v>
      </c>
      <c r="N967" s="414">
        <v>44610</v>
      </c>
      <c r="O967" s="414" t="s">
        <v>400</v>
      </c>
      <c r="P967" s="222">
        <f t="shared" si="61"/>
        <v>2</v>
      </c>
      <c r="Q967" s="222">
        <f t="shared" si="62"/>
        <v>0</v>
      </c>
      <c r="R967" s="532" t="str">
        <f t="shared" si="63"/>
        <v>Gastos_Gerais</v>
      </c>
      <c r="S967" s="467" t="s">
        <v>310</v>
      </c>
      <c r="T967" s="467" t="s">
        <v>310</v>
      </c>
      <c r="U967" s="496"/>
      <c r="V967" s="496"/>
      <c r="W967" s="496"/>
    </row>
    <row r="968" spans="1:23" ht="48" x14ac:dyDescent="0.2">
      <c r="A968" s="510">
        <f t="shared" si="60"/>
        <v>965</v>
      </c>
      <c r="B968" s="428">
        <v>44610</v>
      </c>
      <c r="C968" s="431">
        <v>44531</v>
      </c>
      <c r="D968" s="415" t="s">
        <v>271</v>
      </c>
      <c r="E968" s="415" t="s">
        <v>453</v>
      </c>
      <c r="F968" s="425">
        <v>17.399999999999999</v>
      </c>
      <c r="G968" s="427" t="s">
        <v>1343</v>
      </c>
      <c r="H968" s="415" t="s">
        <v>759</v>
      </c>
      <c r="I968" s="398" t="s">
        <v>1461</v>
      </c>
      <c r="J968" s="418" t="s">
        <v>310</v>
      </c>
      <c r="K968" s="418" t="s">
        <v>1220</v>
      </c>
      <c r="L968" s="399" t="s">
        <v>1368</v>
      </c>
      <c r="M968" s="544" t="s">
        <v>1842</v>
      </c>
      <c r="N968" s="414">
        <v>44610</v>
      </c>
      <c r="O968" s="414" t="s">
        <v>400</v>
      </c>
      <c r="P968" s="222">
        <f t="shared" si="61"/>
        <v>2</v>
      </c>
      <c r="Q968" s="222">
        <f t="shared" si="62"/>
        <v>0</v>
      </c>
      <c r="R968" s="532" t="str">
        <f t="shared" si="63"/>
        <v>Gastos_Gerais</v>
      </c>
      <c r="S968" s="467" t="s">
        <v>310</v>
      </c>
      <c r="T968" s="467" t="s">
        <v>310</v>
      </c>
      <c r="U968" s="496"/>
      <c r="V968" s="496"/>
      <c r="W968" s="496"/>
    </row>
    <row r="969" spans="1:23" ht="24" x14ac:dyDescent="0.2">
      <c r="A969" s="510">
        <f t="shared" si="60"/>
        <v>966</v>
      </c>
      <c r="B969" s="428">
        <v>44610</v>
      </c>
      <c r="C969" s="431">
        <v>44531</v>
      </c>
      <c r="D969" s="415" t="s">
        <v>271</v>
      </c>
      <c r="E969" s="415" t="s">
        <v>453</v>
      </c>
      <c r="F969" s="425">
        <v>17.399999999999999</v>
      </c>
      <c r="G969" s="427" t="s">
        <v>1269</v>
      </c>
      <c r="H969" s="415" t="s">
        <v>752</v>
      </c>
      <c r="I969" s="398" t="s">
        <v>1461</v>
      </c>
      <c r="J969" s="418" t="s">
        <v>310</v>
      </c>
      <c r="K969" s="418" t="s">
        <v>1220</v>
      </c>
      <c r="L969" s="399" t="s">
        <v>1368</v>
      </c>
      <c r="M969" s="544" t="s">
        <v>1842</v>
      </c>
      <c r="N969" s="414">
        <v>44610</v>
      </c>
      <c r="O969" s="414" t="s">
        <v>400</v>
      </c>
      <c r="P969" s="222">
        <f t="shared" si="61"/>
        <v>2</v>
      </c>
      <c r="Q969" s="222">
        <f t="shared" si="62"/>
        <v>0</v>
      </c>
      <c r="R969" s="532" t="str">
        <f t="shared" si="63"/>
        <v>Gastos_Gerais</v>
      </c>
      <c r="S969" s="467" t="s">
        <v>310</v>
      </c>
      <c r="T969" s="467" t="s">
        <v>310</v>
      </c>
      <c r="U969" s="496"/>
      <c r="V969" s="496"/>
      <c r="W969" s="496"/>
    </row>
    <row r="970" spans="1:23" ht="36" x14ac:dyDescent="0.2">
      <c r="A970" s="510">
        <f t="shared" si="60"/>
        <v>967</v>
      </c>
      <c r="B970" s="428">
        <v>44610</v>
      </c>
      <c r="C970" s="431">
        <v>44501</v>
      </c>
      <c r="D970" s="415" t="s">
        <v>271</v>
      </c>
      <c r="E970" s="415" t="s">
        <v>453</v>
      </c>
      <c r="F970" s="425">
        <v>33.42</v>
      </c>
      <c r="G970" s="427" t="s">
        <v>1354</v>
      </c>
      <c r="H970" s="415" t="s">
        <v>757</v>
      </c>
      <c r="I970" s="398" t="s">
        <v>1461</v>
      </c>
      <c r="J970" s="418" t="s">
        <v>310</v>
      </c>
      <c r="K970" s="418" t="s">
        <v>1220</v>
      </c>
      <c r="L970" s="399" t="s">
        <v>1368</v>
      </c>
      <c r="M970" s="544" t="s">
        <v>1842</v>
      </c>
      <c r="N970" s="414">
        <v>44610</v>
      </c>
      <c r="O970" s="414" t="s">
        <v>400</v>
      </c>
      <c r="P970" s="222">
        <f t="shared" si="61"/>
        <v>2</v>
      </c>
      <c r="Q970" s="222">
        <f t="shared" si="62"/>
        <v>-1</v>
      </c>
      <c r="R970" s="532" t="str">
        <f t="shared" si="63"/>
        <v>Gastos_Gerais</v>
      </c>
      <c r="S970" s="467" t="s">
        <v>310</v>
      </c>
      <c r="T970" s="467" t="s">
        <v>310</v>
      </c>
      <c r="U970" s="496"/>
      <c r="V970" s="496"/>
      <c r="W970" s="496"/>
    </row>
    <row r="971" spans="1:23" ht="24" x14ac:dyDescent="0.2">
      <c r="A971" s="510">
        <f t="shared" si="60"/>
        <v>968</v>
      </c>
      <c r="B971" s="428">
        <v>44610</v>
      </c>
      <c r="C971" s="424">
        <v>44531</v>
      </c>
      <c r="D971" s="415" t="s">
        <v>182</v>
      </c>
      <c r="E971" s="415" t="s">
        <v>1</v>
      </c>
      <c r="F971" s="425">
        <v>12631.92</v>
      </c>
      <c r="G971" s="427" t="s">
        <v>2311</v>
      </c>
      <c r="H971" s="415" t="s">
        <v>310</v>
      </c>
      <c r="I971" s="398" t="s">
        <v>1461</v>
      </c>
      <c r="J971" s="418" t="s">
        <v>310</v>
      </c>
      <c r="K971" s="418" t="s">
        <v>1220</v>
      </c>
      <c r="L971" s="399" t="s">
        <v>1368</v>
      </c>
      <c r="M971" s="415" t="s">
        <v>310</v>
      </c>
      <c r="N971" s="414">
        <v>44610</v>
      </c>
      <c r="O971" s="414" t="s">
        <v>400</v>
      </c>
      <c r="P971" s="222">
        <f t="shared" si="61"/>
        <v>2</v>
      </c>
      <c r="Q971" s="222">
        <f t="shared" si="62"/>
        <v>0</v>
      </c>
      <c r="R971" s="532" t="str">
        <f t="shared" si="63"/>
        <v>Gastos_com_Pessoal</v>
      </c>
      <c r="S971" s="467" t="s">
        <v>310</v>
      </c>
      <c r="T971" s="467" t="s">
        <v>310</v>
      </c>
      <c r="U971" s="496"/>
      <c r="V971" s="496"/>
      <c r="W971" s="496"/>
    </row>
    <row r="972" spans="1:23" ht="24" x14ac:dyDescent="0.2">
      <c r="A972" s="510">
        <f t="shared" si="60"/>
        <v>969</v>
      </c>
      <c r="B972" s="428">
        <v>44610</v>
      </c>
      <c r="C972" s="431">
        <v>44562</v>
      </c>
      <c r="D972" s="415" t="s">
        <v>182</v>
      </c>
      <c r="E972" s="415" t="s">
        <v>287</v>
      </c>
      <c r="F972" s="425">
        <v>184.36</v>
      </c>
      <c r="G972" s="427" t="s">
        <v>1513</v>
      </c>
      <c r="H972" s="415" t="s">
        <v>310</v>
      </c>
      <c r="I972" s="398" t="s">
        <v>1461</v>
      </c>
      <c r="J972" s="418" t="s">
        <v>310</v>
      </c>
      <c r="K972" s="418" t="s">
        <v>1220</v>
      </c>
      <c r="L972" s="399" t="s">
        <v>1368</v>
      </c>
      <c r="M972" s="415" t="s">
        <v>310</v>
      </c>
      <c r="N972" s="414">
        <v>44610</v>
      </c>
      <c r="O972" s="414" t="s">
        <v>400</v>
      </c>
      <c r="P972" s="222">
        <f t="shared" si="61"/>
        <v>2</v>
      </c>
      <c r="Q972" s="222">
        <f t="shared" si="62"/>
        <v>1</v>
      </c>
      <c r="R972" s="532" t="str">
        <f t="shared" si="63"/>
        <v>Gastos_com_Pessoal</v>
      </c>
      <c r="S972" s="467" t="s">
        <v>310</v>
      </c>
      <c r="T972" s="467" t="s">
        <v>310</v>
      </c>
      <c r="U972" s="496"/>
      <c r="V972" s="496"/>
      <c r="W972" s="496"/>
    </row>
    <row r="973" spans="1:23" ht="24" x14ac:dyDescent="0.2">
      <c r="A973" s="510">
        <f t="shared" si="60"/>
        <v>970</v>
      </c>
      <c r="B973" s="428">
        <v>44610</v>
      </c>
      <c r="C973" s="431">
        <v>44562</v>
      </c>
      <c r="D973" s="415" t="s">
        <v>182</v>
      </c>
      <c r="E973" s="415" t="s">
        <v>287</v>
      </c>
      <c r="F973" s="425">
        <v>112.74</v>
      </c>
      <c r="G973" s="427" t="s">
        <v>1516</v>
      </c>
      <c r="H973" s="415" t="s">
        <v>310</v>
      </c>
      <c r="I973" s="398" t="s">
        <v>1461</v>
      </c>
      <c r="J973" s="418" t="s">
        <v>310</v>
      </c>
      <c r="K973" s="418" t="s">
        <v>1220</v>
      </c>
      <c r="L973" s="399" t="s">
        <v>1368</v>
      </c>
      <c r="M973" s="415" t="s">
        <v>310</v>
      </c>
      <c r="N973" s="414">
        <v>44610</v>
      </c>
      <c r="O973" s="414" t="s">
        <v>400</v>
      </c>
      <c r="P973" s="222">
        <f t="shared" si="61"/>
        <v>2</v>
      </c>
      <c r="Q973" s="222">
        <f t="shared" si="62"/>
        <v>1</v>
      </c>
      <c r="R973" s="532" t="str">
        <f t="shared" si="63"/>
        <v>Gastos_com_Pessoal</v>
      </c>
      <c r="S973" s="467" t="s">
        <v>310</v>
      </c>
      <c r="T973" s="467" t="s">
        <v>310</v>
      </c>
      <c r="U973" s="496"/>
      <c r="V973" s="496"/>
      <c r="W973" s="496"/>
    </row>
    <row r="974" spans="1:23" ht="24" x14ac:dyDescent="0.2">
      <c r="A974" s="510">
        <f t="shared" si="60"/>
        <v>971</v>
      </c>
      <c r="B974" s="428">
        <v>44610</v>
      </c>
      <c r="C974" s="431">
        <v>44562</v>
      </c>
      <c r="D974" s="415" t="s">
        <v>182</v>
      </c>
      <c r="E974" s="415" t="s">
        <v>287</v>
      </c>
      <c r="F974" s="425">
        <v>519.19000000000005</v>
      </c>
      <c r="G974" s="427" t="s">
        <v>1515</v>
      </c>
      <c r="H974" s="415" t="s">
        <v>310</v>
      </c>
      <c r="I974" s="398" t="s">
        <v>1461</v>
      </c>
      <c r="J974" s="418" t="s">
        <v>310</v>
      </c>
      <c r="K974" s="418" t="s">
        <v>1220</v>
      </c>
      <c r="L974" s="399" t="s">
        <v>1368</v>
      </c>
      <c r="M974" s="415" t="s">
        <v>310</v>
      </c>
      <c r="N974" s="414">
        <v>44610</v>
      </c>
      <c r="O974" s="414" t="s">
        <v>400</v>
      </c>
      <c r="P974" s="222">
        <f t="shared" si="61"/>
        <v>2</v>
      </c>
      <c r="Q974" s="222">
        <f t="shared" si="62"/>
        <v>1</v>
      </c>
      <c r="R974" s="532" t="str">
        <f t="shared" si="63"/>
        <v>Gastos_com_Pessoal</v>
      </c>
      <c r="S974" s="467" t="s">
        <v>310</v>
      </c>
      <c r="T974" s="467" t="s">
        <v>310</v>
      </c>
      <c r="U974" s="496"/>
      <c r="V974" s="496"/>
      <c r="W974" s="496"/>
    </row>
    <row r="975" spans="1:23" ht="24" x14ac:dyDescent="0.2">
      <c r="A975" s="510">
        <f t="shared" si="60"/>
        <v>972</v>
      </c>
      <c r="B975" s="428">
        <v>44610</v>
      </c>
      <c r="C975" s="431">
        <v>44562</v>
      </c>
      <c r="D975" s="415" t="s">
        <v>182</v>
      </c>
      <c r="E975" s="415" t="s">
        <v>287</v>
      </c>
      <c r="F975" s="425">
        <v>225.29</v>
      </c>
      <c r="G975" s="427" t="s">
        <v>1514</v>
      </c>
      <c r="H975" s="415" t="s">
        <v>310</v>
      </c>
      <c r="I975" s="398" t="s">
        <v>1461</v>
      </c>
      <c r="J975" s="418" t="s">
        <v>310</v>
      </c>
      <c r="K975" s="418" t="s">
        <v>1220</v>
      </c>
      <c r="L975" s="399" t="s">
        <v>1368</v>
      </c>
      <c r="M975" s="415" t="s">
        <v>310</v>
      </c>
      <c r="N975" s="414">
        <v>44610</v>
      </c>
      <c r="O975" s="414" t="s">
        <v>400</v>
      </c>
      <c r="P975" s="222">
        <f t="shared" si="61"/>
        <v>2</v>
      </c>
      <c r="Q975" s="222">
        <f t="shared" si="62"/>
        <v>1</v>
      </c>
      <c r="R975" s="532" t="str">
        <f t="shared" si="63"/>
        <v>Gastos_com_Pessoal</v>
      </c>
      <c r="S975" s="467" t="s">
        <v>310</v>
      </c>
      <c r="T975" s="467" t="s">
        <v>310</v>
      </c>
      <c r="U975" s="496"/>
      <c r="V975" s="496"/>
      <c r="W975" s="496"/>
    </row>
    <row r="976" spans="1:23" ht="24" x14ac:dyDescent="0.2">
      <c r="A976" s="510">
        <f t="shared" si="60"/>
        <v>973</v>
      </c>
      <c r="B976" s="428">
        <v>44610</v>
      </c>
      <c r="C976" s="433">
        <v>44531</v>
      </c>
      <c r="D976" s="415" t="s">
        <v>271</v>
      </c>
      <c r="E976" s="415" t="s">
        <v>2</v>
      </c>
      <c r="F976" s="435">
        <v>1881</v>
      </c>
      <c r="G976" s="437" t="s">
        <v>494</v>
      </c>
      <c r="H976" s="434" t="s">
        <v>309</v>
      </c>
      <c r="I976" s="398" t="s">
        <v>1461</v>
      </c>
      <c r="J976" s="415" t="s">
        <v>310</v>
      </c>
      <c r="K976" s="418" t="s">
        <v>1220</v>
      </c>
      <c r="L976" s="415" t="s">
        <v>1368</v>
      </c>
      <c r="M976" s="415" t="s">
        <v>310</v>
      </c>
      <c r="N976" s="414">
        <v>44610</v>
      </c>
      <c r="O976" s="414" t="s">
        <v>400</v>
      </c>
      <c r="P976" s="222">
        <f t="shared" si="61"/>
        <v>2</v>
      </c>
      <c r="Q976" s="222">
        <f t="shared" si="62"/>
        <v>0</v>
      </c>
      <c r="R976" s="532" t="str">
        <f t="shared" si="63"/>
        <v>Gastos_Gerais</v>
      </c>
      <c r="S976" s="467" t="s">
        <v>310</v>
      </c>
      <c r="T976" s="467" t="s">
        <v>310</v>
      </c>
      <c r="U976" s="496"/>
      <c r="V976" s="496"/>
      <c r="W976" s="496"/>
    </row>
    <row r="977" spans="1:23" ht="24" x14ac:dyDescent="0.2">
      <c r="A977" s="510">
        <f t="shared" si="60"/>
        <v>974</v>
      </c>
      <c r="B977" s="428">
        <v>44610</v>
      </c>
      <c r="C977" s="431">
        <v>44531</v>
      </c>
      <c r="D977" s="415" t="s">
        <v>271</v>
      </c>
      <c r="E977" s="415" t="s">
        <v>449</v>
      </c>
      <c r="F977" s="425">
        <v>1330.64</v>
      </c>
      <c r="G977" s="427" t="s">
        <v>1413</v>
      </c>
      <c r="H977" s="415" t="s">
        <v>752</v>
      </c>
      <c r="I977" s="398" t="s">
        <v>1461</v>
      </c>
      <c r="J977" s="415" t="s">
        <v>310</v>
      </c>
      <c r="K977" s="418" t="s">
        <v>1220</v>
      </c>
      <c r="L977" s="415" t="s">
        <v>1368</v>
      </c>
      <c r="M977" s="415" t="s">
        <v>310</v>
      </c>
      <c r="N977" s="414">
        <v>44610</v>
      </c>
      <c r="O977" s="414" t="s">
        <v>400</v>
      </c>
      <c r="P977" s="222">
        <f t="shared" si="61"/>
        <v>2</v>
      </c>
      <c r="Q977" s="222">
        <f t="shared" si="62"/>
        <v>0</v>
      </c>
      <c r="R977" s="532" t="str">
        <f t="shared" si="63"/>
        <v>Gastos_Gerais</v>
      </c>
      <c r="S977" s="467" t="s">
        <v>310</v>
      </c>
      <c r="T977" s="467" t="s">
        <v>310</v>
      </c>
      <c r="U977" s="496"/>
      <c r="V977" s="496"/>
      <c r="W977" s="496"/>
    </row>
    <row r="978" spans="1:23" ht="24" x14ac:dyDescent="0.2">
      <c r="A978" s="510">
        <f t="shared" si="60"/>
        <v>975</v>
      </c>
      <c r="B978" s="428">
        <v>44610</v>
      </c>
      <c r="C978" s="433">
        <v>44531</v>
      </c>
      <c r="D978" s="415" t="s">
        <v>182</v>
      </c>
      <c r="E978" s="415" t="s">
        <v>1</v>
      </c>
      <c r="F978" s="425">
        <v>11.21</v>
      </c>
      <c r="G978" s="437" t="s">
        <v>1760</v>
      </c>
      <c r="H978" s="415" t="s">
        <v>310</v>
      </c>
      <c r="I978" s="398" t="s">
        <v>1461</v>
      </c>
      <c r="J978" s="418" t="s">
        <v>310</v>
      </c>
      <c r="K978" s="418" t="s">
        <v>1220</v>
      </c>
      <c r="L978" s="415" t="s">
        <v>1368</v>
      </c>
      <c r="M978" s="415" t="s">
        <v>310</v>
      </c>
      <c r="N978" s="414">
        <v>44610</v>
      </c>
      <c r="O978" s="414" t="s">
        <v>400</v>
      </c>
      <c r="P978" s="222">
        <f t="shared" si="61"/>
        <v>2</v>
      </c>
      <c r="Q978" s="222">
        <f t="shared" si="62"/>
        <v>0</v>
      </c>
      <c r="R978" s="532" t="str">
        <f t="shared" si="63"/>
        <v>Gastos_com_Pessoal</v>
      </c>
      <c r="S978" s="467" t="s">
        <v>310</v>
      </c>
      <c r="T978" s="467" t="s">
        <v>310</v>
      </c>
      <c r="U978" s="496"/>
      <c r="V978" s="496"/>
      <c r="W978" s="496"/>
    </row>
    <row r="979" spans="1:23" ht="24" x14ac:dyDescent="0.2">
      <c r="A979" s="510">
        <f t="shared" si="60"/>
        <v>976</v>
      </c>
      <c r="B979" s="428">
        <v>44610</v>
      </c>
      <c r="C979" s="424">
        <v>44562</v>
      </c>
      <c r="D979" s="415" t="s">
        <v>271</v>
      </c>
      <c r="E979" s="415" t="s">
        <v>59</v>
      </c>
      <c r="F979" s="425">
        <v>127.5</v>
      </c>
      <c r="G979" s="427" t="s">
        <v>1617</v>
      </c>
      <c r="H979" s="415" t="s">
        <v>309</v>
      </c>
      <c r="I979" s="398" t="s">
        <v>1461</v>
      </c>
      <c r="J979" s="415" t="s">
        <v>310</v>
      </c>
      <c r="K979" s="418" t="s">
        <v>1220</v>
      </c>
      <c r="L979" s="415" t="s">
        <v>1368</v>
      </c>
      <c r="M979" s="415" t="s">
        <v>310</v>
      </c>
      <c r="N979" s="414">
        <v>44610</v>
      </c>
      <c r="O979" s="414" t="s">
        <v>400</v>
      </c>
      <c r="P979" s="222">
        <f t="shared" si="61"/>
        <v>2</v>
      </c>
      <c r="Q979" s="222">
        <f t="shared" si="62"/>
        <v>1</v>
      </c>
      <c r="R979" s="532" t="str">
        <f t="shared" si="63"/>
        <v>Gastos_Gerais</v>
      </c>
      <c r="S979" s="467" t="s">
        <v>310</v>
      </c>
      <c r="T979" s="467" t="s">
        <v>310</v>
      </c>
      <c r="U979" s="496"/>
      <c r="V979" s="496"/>
      <c r="W979" s="496"/>
    </row>
    <row r="980" spans="1:23" ht="24" x14ac:dyDescent="0.2">
      <c r="A980" s="510">
        <f t="shared" si="60"/>
        <v>977</v>
      </c>
      <c r="B980" s="428">
        <v>44610</v>
      </c>
      <c r="C980" s="431">
        <v>44531</v>
      </c>
      <c r="D980" s="415" t="s">
        <v>271</v>
      </c>
      <c r="E980" s="415" t="s">
        <v>186</v>
      </c>
      <c r="F980" s="425">
        <v>27.12</v>
      </c>
      <c r="G980" s="427" t="s">
        <v>546</v>
      </c>
      <c r="H980" s="415" t="s">
        <v>309</v>
      </c>
      <c r="I980" s="398" t="s">
        <v>1461</v>
      </c>
      <c r="J980" s="415" t="s">
        <v>310</v>
      </c>
      <c r="K980" s="418" t="s">
        <v>1220</v>
      </c>
      <c r="L980" s="415" t="s">
        <v>1368</v>
      </c>
      <c r="M980" s="415" t="s">
        <v>310</v>
      </c>
      <c r="N980" s="414">
        <v>44610</v>
      </c>
      <c r="O980" s="414" t="s">
        <v>400</v>
      </c>
      <c r="P980" s="222">
        <f t="shared" si="61"/>
        <v>2</v>
      </c>
      <c r="Q980" s="222">
        <f t="shared" si="62"/>
        <v>0</v>
      </c>
      <c r="R980" s="532" t="str">
        <f t="shared" si="63"/>
        <v>Gastos_Gerais</v>
      </c>
      <c r="S980" s="467" t="s">
        <v>310</v>
      </c>
      <c r="T980" s="467" t="s">
        <v>310</v>
      </c>
      <c r="U980" s="496"/>
      <c r="V980" s="496"/>
      <c r="W980" s="496"/>
    </row>
    <row r="981" spans="1:23" ht="24" x14ac:dyDescent="0.2">
      <c r="A981" s="510">
        <f t="shared" si="60"/>
        <v>978</v>
      </c>
      <c r="B981" s="428">
        <v>44610</v>
      </c>
      <c r="C981" s="433">
        <v>44531</v>
      </c>
      <c r="D981" s="415" t="s">
        <v>182</v>
      </c>
      <c r="E981" s="415" t="s">
        <v>179</v>
      </c>
      <c r="F981" s="425">
        <v>17.34</v>
      </c>
      <c r="G981" s="437" t="s">
        <v>512</v>
      </c>
      <c r="H981" s="415" t="s">
        <v>310</v>
      </c>
      <c r="I981" s="398" t="s">
        <v>1461</v>
      </c>
      <c r="J981" s="415" t="s">
        <v>310</v>
      </c>
      <c r="K981" s="418" t="s">
        <v>1220</v>
      </c>
      <c r="L981" s="415" t="s">
        <v>1368</v>
      </c>
      <c r="M981" s="415" t="s">
        <v>310</v>
      </c>
      <c r="N981" s="414">
        <v>44610</v>
      </c>
      <c r="O981" s="414" t="s">
        <v>400</v>
      </c>
      <c r="P981" s="222">
        <f t="shared" si="61"/>
        <v>2</v>
      </c>
      <c r="Q981" s="222">
        <f t="shared" si="62"/>
        <v>0</v>
      </c>
      <c r="R981" s="532" t="str">
        <f t="shared" si="63"/>
        <v>Gastos_com_Pessoal</v>
      </c>
      <c r="S981" s="467" t="s">
        <v>310</v>
      </c>
      <c r="T981" s="467" t="s">
        <v>310</v>
      </c>
      <c r="U981" s="496"/>
      <c r="V981" s="496"/>
      <c r="W981" s="496"/>
    </row>
    <row r="982" spans="1:23" ht="24" x14ac:dyDescent="0.2">
      <c r="A982" s="510">
        <f t="shared" si="60"/>
        <v>979</v>
      </c>
      <c r="B982" s="428">
        <v>44610</v>
      </c>
      <c r="C982" s="431">
        <v>44531</v>
      </c>
      <c r="D982" s="415" t="s">
        <v>271</v>
      </c>
      <c r="E982" s="415" t="s">
        <v>59</v>
      </c>
      <c r="F982" s="425">
        <v>232.5</v>
      </c>
      <c r="G982" s="427" t="s">
        <v>485</v>
      </c>
      <c r="H982" s="415" t="s">
        <v>309</v>
      </c>
      <c r="I982" s="398" t="s">
        <v>1461</v>
      </c>
      <c r="J982" s="415" t="s">
        <v>310</v>
      </c>
      <c r="K982" s="418" t="s">
        <v>1220</v>
      </c>
      <c r="L982" s="415" t="s">
        <v>1368</v>
      </c>
      <c r="M982" s="415" t="s">
        <v>310</v>
      </c>
      <c r="N982" s="414">
        <v>44610</v>
      </c>
      <c r="O982" s="414" t="s">
        <v>400</v>
      </c>
      <c r="P982" s="222">
        <f t="shared" si="61"/>
        <v>2</v>
      </c>
      <c r="Q982" s="222">
        <f t="shared" si="62"/>
        <v>0</v>
      </c>
      <c r="R982" s="532" t="str">
        <f t="shared" si="63"/>
        <v>Gastos_Gerais</v>
      </c>
      <c r="S982" s="467" t="s">
        <v>310</v>
      </c>
      <c r="T982" s="467" t="s">
        <v>310</v>
      </c>
      <c r="U982" s="496"/>
      <c r="V982" s="496"/>
      <c r="W982" s="496"/>
    </row>
    <row r="983" spans="1:23" ht="24" x14ac:dyDescent="0.2">
      <c r="A983" s="510">
        <f t="shared" si="60"/>
        <v>980</v>
      </c>
      <c r="B983" s="428">
        <v>44610</v>
      </c>
      <c r="C983" s="433">
        <v>44501</v>
      </c>
      <c r="D983" s="415" t="s">
        <v>182</v>
      </c>
      <c r="E983" s="415" t="s">
        <v>1</v>
      </c>
      <c r="F983" s="425">
        <v>23.09</v>
      </c>
      <c r="G983" s="437" t="s">
        <v>1285</v>
      </c>
      <c r="H983" s="415" t="s">
        <v>310</v>
      </c>
      <c r="I983" s="398" t="s">
        <v>1461</v>
      </c>
      <c r="J983" s="415" t="s">
        <v>310</v>
      </c>
      <c r="K983" s="418" t="s">
        <v>1220</v>
      </c>
      <c r="L983" s="415" t="s">
        <v>1368</v>
      </c>
      <c r="M983" s="415" t="s">
        <v>310</v>
      </c>
      <c r="N983" s="414">
        <v>44610</v>
      </c>
      <c r="O983" s="414" t="s">
        <v>400</v>
      </c>
      <c r="P983" s="222">
        <f t="shared" si="61"/>
        <v>2</v>
      </c>
      <c r="Q983" s="222">
        <f t="shared" si="62"/>
        <v>-1</v>
      </c>
      <c r="R983" s="532" t="str">
        <f t="shared" si="63"/>
        <v>Gastos_com_Pessoal</v>
      </c>
      <c r="S983" s="467" t="s">
        <v>310</v>
      </c>
      <c r="T983" s="467" t="s">
        <v>310</v>
      </c>
      <c r="U983" s="496"/>
      <c r="V983" s="496"/>
      <c r="W983" s="496"/>
    </row>
    <row r="984" spans="1:23" ht="24" x14ac:dyDescent="0.2">
      <c r="A984" s="510">
        <f t="shared" si="60"/>
        <v>981</v>
      </c>
      <c r="B984" s="428">
        <v>44610</v>
      </c>
      <c r="C984" s="433">
        <v>44531</v>
      </c>
      <c r="D984" s="415" t="s">
        <v>182</v>
      </c>
      <c r="E984" s="415" t="s">
        <v>179</v>
      </c>
      <c r="F984" s="425">
        <v>25.23</v>
      </c>
      <c r="G984" s="437" t="s">
        <v>510</v>
      </c>
      <c r="H984" s="415" t="s">
        <v>310</v>
      </c>
      <c r="I984" s="398" t="s">
        <v>1461</v>
      </c>
      <c r="J984" s="415" t="s">
        <v>310</v>
      </c>
      <c r="K984" s="418" t="s">
        <v>1220</v>
      </c>
      <c r="L984" s="415" t="s">
        <v>1368</v>
      </c>
      <c r="M984" s="415" t="s">
        <v>310</v>
      </c>
      <c r="N984" s="414">
        <v>44610</v>
      </c>
      <c r="O984" s="414" t="s">
        <v>400</v>
      </c>
      <c r="P984" s="222">
        <f t="shared" si="61"/>
        <v>2</v>
      </c>
      <c r="Q984" s="222">
        <f t="shared" si="62"/>
        <v>0</v>
      </c>
      <c r="R984" s="532" t="str">
        <f t="shared" si="63"/>
        <v>Gastos_com_Pessoal</v>
      </c>
      <c r="S984" s="467" t="s">
        <v>310</v>
      </c>
      <c r="T984" s="467" t="s">
        <v>310</v>
      </c>
      <c r="U984" s="496"/>
      <c r="V984" s="496"/>
      <c r="W984" s="496"/>
    </row>
    <row r="985" spans="1:23" ht="24" x14ac:dyDescent="0.2">
      <c r="A985" s="510">
        <f t="shared" si="60"/>
        <v>982</v>
      </c>
      <c r="B985" s="428">
        <v>44610</v>
      </c>
      <c r="C985" s="431">
        <v>44562</v>
      </c>
      <c r="D985" s="415" t="s">
        <v>271</v>
      </c>
      <c r="E985" s="415" t="s">
        <v>453</v>
      </c>
      <c r="F985" s="425">
        <v>372</v>
      </c>
      <c r="G985" s="427" t="s">
        <v>1502</v>
      </c>
      <c r="H985" s="415" t="s">
        <v>748</v>
      </c>
      <c r="I985" s="398" t="s">
        <v>1461</v>
      </c>
      <c r="J985" s="415" t="s">
        <v>310</v>
      </c>
      <c r="K985" s="418" t="s">
        <v>1220</v>
      </c>
      <c r="L985" s="415" t="s">
        <v>1368</v>
      </c>
      <c r="M985" s="415" t="s">
        <v>310</v>
      </c>
      <c r="N985" s="414">
        <v>44610</v>
      </c>
      <c r="O985" s="414" t="s">
        <v>400</v>
      </c>
      <c r="P985" s="222">
        <f t="shared" si="61"/>
        <v>2</v>
      </c>
      <c r="Q985" s="222">
        <f t="shared" si="62"/>
        <v>1</v>
      </c>
      <c r="R985" s="532" t="str">
        <f t="shared" si="63"/>
        <v>Gastos_Gerais</v>
      </c>
      <c r="S985" s="467" t="s">
        <v>310</v>
      </c>
      <c r="T985" s="467" t="s">
        <v>310</v>
      </c>
      <c r="U985" s="496"/>
      <c r="V985" s="496"/>
      <c r="W985" s="496"/>
    </row>
    <row r="986" spans="1:23" ht="36" x14ac:dyDescent="0.2">
      <c r="A986" s="510">
        <f t="shared" si="60"/>
        <v>983</v>
      </c>
      <c r="B986" s="428">
        <v>44610</v>
      </c>
      <c r="C986" s="431">
        <v>44531</v>
      </c>
      <c r="D986" s="415" t="s">
        <v>271</v>
      </c>
      <c r="E986" s="415" t="s">
        <v>456</v>
      </c>
      <c r="F986" s="425">
        <v>1860</v>
      </c>
      <c r="G986" s="427" t="s">
        <v>1846</v>
      </c>
      <c r="H986" s="415" t="s">
        <v>755</v>
      </c>
      <c r="I986" s="398" t="s">
        <v>1461</v>
      </c>
      <c r="J986" s="415" t="s">
        <v>310</v>
      </c>
      <c r="K986" s="418" t="s">
        <v>1220</v>
      </c>
      <c r="L986" s="415" t="s">
        <v>1368</v>
      </c>
      <c r="M986" s="415" t="s">
        <v>310</v>
      </c>
      <c r="N986" s="414">
        <v>44610</v>
      </c>
      <c r="O986" s="414" t="s">
        <v>400</v>
      </c>
      <c r="P986" s="222">
        <f t="shared" si="61"/>
        <v>2</v>
      </c>
      <c r="Q986" s="222">
        <f t="shared" si="62"/>
        <v>0</v>
      </c>
      <c r="R986" s="532" t="str">
        <f t="shared" si="63"/>
        <v>Gastos_Gerais</v>
      </c>
      <c r="S986" s="467" t="s">
        <v>310</v>
      </c>
      <c r="T986" s="467" t="s">
        <v>310</v>
      </c>
      <c r="U986" s="496"/>
      <c r="V986" s="496"/>
      <c r="W986" s="496"/>
    </row>
    <row r="987" spans="1:23" ht="24" x14ac:dyDescent="0.2">
      <c r="A987" s="510">
        <f t="shared" si="60"/>
        <v>984</v>
      </c>
      <c r="B987" s="428">
        <v>44610</v>
      </c>
      <c r="C987" s="431">
        <v>44531</v>
      </c>
      <c r="D987" s="415" t="s">
        <v>271</v>
      </c>
      <c r="E987" s="415" t="s">
        <v>453</v>
      </c>
      <c r="F987" s="425">
        <v>471.2</v>
      </c>
      <c r="G987" s="427" t="s">
        <v>1312</v>
      </c>
      <c r="H987" s="415" t="s">
        <v>752</v>
      </c>
      <c r="I987" s="398" t="s">
        <v>1461</v>
      </c>
      <c r="J987" s="415" t="s">
        <v>310</v>
      </c>
      <c r="K987" s="418" t="s">
        <v>1220</v>
      </c>
      <c r="L987" s="415" t="s">
        <v>1368</v>
      </c>
      <c r="M987" s="415" t="s">
        <v>310</v>
      </c>
      <c r="N987" s="414">
        <v>44610</v>
      </c>
      <c r="O987" s="414" t="s">
        <v>400</v>
      </c>
      <c r="P987" s="222">
        <f t="shared" si="61"/>
        <v>2</v>
      </c>
      <c r="Q987" s="222">
        <f t="shared" si="62"/>
        <v>0</v>
      </c>
      <c r="R987" s="532" t="str">
        <f t="shared" si="63"/>
        <v>Gastos_Gerais</v>
      </c>
      <c r="S987" s="467" t="s">
        <v>310</v>
      </c>
      <c r="T987" s="467" t="s">
        <v>310</v>
      </c>
      <c r="U987" s="496"/>
      <c r="V987" s="496"/>
      <c r="W987" s="496"/>
    </row>
    <row r="988" spans="1:23" ht="48" x14ac:dyDescent="0.2">
      <c r="A988" s="510">
        <f t="shared" si="60"/>
        <v>985</v>
      </c>
      <c r="B988" s="428">
        <v>44610</v>
      </c>
      <c r="C988" s="431">
        <v>44501</v>
      </c>
      <c r="D988" s="415" t="s">
        <v>271</v>
      </c>
      <c r="E988" s="415" t="s">
        <v>90</v>
      </c>
      <c r="F988" s="425">
        <v>217</v>
      </c>
      <c r="G988" s="427" t="s">
        <v>1348</v>
      </c>
      <c r="H988" s="415" t="s">
        <v>759</v>
      </c>
      <c r="I988" s="398" t="s">
        <v>1461</v>
      </c>
      <c r="J988" s="415" t="s">
        <v>310</v>
      </c>
      <c r="K988" s="418" t="s">
        <v>1220</v>
      </c>
      <c r="L988" s="415" t="s">
        <v>1368</v>
      </c>
      <c r="M988" s="415" t="s">
        <v>310</v>
      </c>
      <c r="N988" s="414">
        <v>44610</v>
      </c>
      <c r="O988" s="414" t="s">
        <v>400</v>
      </c>
      <c r="P988" s="222">
        <f t="shared" si="61"/>
        <v>2</v>
      </c>
      <c r="Q988" s="222">
        <f t="shared" si="62"/>
        <v>-1</v>
      </c>
      <c r="R988" s="532" t="str">
        <f t="shared" si="63"/>
        <v>Gastos_Gerais</v>
      </c>
      <c r="S988" s="467" t="s">
        <v>310</v>
      </c>
      <c r="T988" s="467" t="s">
        <v>310</v>
      </c>
      <c r="U988" s="496"/>
      <c r="V988" s="496"/>
      <c r="W988" s="496"/>
    </row>
    <row r="989" spans="1:23" ht="36" x14ac:dyDescent="0.2">
      <c r="A989" s="510">
        <f t="shared" si="60"/>
        <v>986</v>
      </c>
      <c r="B989" s="428">
        <v>44610</v>
      </c>
      <c r="C989" s="431">
        <v>44531</v>
      </c>
      <c r="D989" s="415" t="s">
        <v>271</v>
      </c>
      <c r="E989" s="415" t="s">
        <v>453</v>
      </c>
      <c r="F989" s="425">
        <v>471.2</v>
      </c>
      <c r="G989" s="427" t="s">
        <v>1300</v>
      </c>
      <c r="H989" s="415" t="s">
        <v>752</v>
      </c>
      <c r="I989" s="398" t="s">
        <v>1461</v>
      </c>
      <c r="J989" s="415" t="s">
        <v>310</v>
      </c>
      <c r="K989" s="418" t="s">
        <v>1220</v>
      </c>
      <c r="L989" s="415" t="s">
        <v>1368</v>
      </c>
      <c r="M989" s="415" t="s">
        <v>310</v>
      </c>
      <c r="N989" s="414">
        <v>44610</v>
      </c>
      <c r="O989" s="414" t="s">
        <v>400</v>
      </c>
      <c r="P989" s="222">
        <f t="shared" si="61"/>
        <v>2</v>
      </c>
      <c r="Q989" s="222">
        <f t="shared" si="62"/>
        <v>0</v>
      </c>
      <c r="R989" s="532" t="str">
        <f t="shared" si="63"/>
        <v>Gastos_Gerais</v>
      </c>
      <c r="S989" s="467" t="s">
        <v>310</v>
      </c>
      <c r="T989" s="467" t="s">
        <v>310</v>
      </c>
      <c r="U989" s="496"/>
      <c r="V989" s="496"/>
      <c r="W989" s="496"/>
    </row>
    <row r="990" spans="1:23" ht="48" x14ac:dyDescent="0.2">
      <c r="A990" s="510">
        <f t="shared" si="60"/>
        <v>987</v>
      </c>
      <c r="B990" s="428">
        <v>44610</v>
      </c>
      <c r="C990" s="431">
        <v>44501</v>
      </c>
      <c r="D990" s="415" t="s">
        <v>271</v>
      </c>
      <c r="E990" s="415" t="s">
        <v>456</v>
      </c>
      <c r="F990" s="425">
        <v>542.5</v>
      </c>
      <c r="G990" s="427" t="s">
        <v>603</v>
      </c>
      <c r="H990" s="415" t="s">
        <v>759</v>
      </c>
      <c r="I990" s="398" t="s">
        <v>1461</v>
      </c>
      <c r="J990" s="415" t="s">
        <v>310</v>
      </c>
      <c r="K990" s="418" t="s">
        <v>1220</v>
      </c>
      <c r="L990" s="415" t="s">
        <v>1368</v>
      </c>
      <c r="M990" s="415" t="s">
        <v>310</v>
      </c>
      <c r="N990" s="414">
        <v>44610</v>
      </c>
      <c r="O990" s="414" t="s">
        <v>400</v>
      </c>
      <c r="P990" s="222">
        <f t="shared" si="61"/>
        <v>2</v>
      </c>
      <c r="Q990" s="222">
        <f t="shared" si="62"/>
        <v>-1</v>
      </c>
      <c r="R990" s="532" t="str">
        <f t="shared" si="63"/>
        <v>Gastos_Gerais</v>
      </c>
      <c r="S990" s="467" t="s">
        <v>310</v>
      </c>
      <c r="T990" s="467" t="s">
        <v>310</v>
      </c>
      <c r="U990" s="496"/>
      <c r="V990" s="496"/>
      <c r="W990" s="496"/>
    </row>
    <row r="991" spans="1:23" ht="24" x14ac:dyDescent="0.2">
      <c r="A991" s="510">
        <f t="shared" si="60"/>
        <v>988</v>
      </c>
      <c r="B991" s="428">
        <v>44610</v>
      </c>
      <c r="C991" s="431">
        <v>44562</v>
      </c>
      <c r="D991" s="415" t="s">
        <v>271</v>
      </c>
      <c r="E991" s="415" t="s">
        <v>466</v>
      </c>
      <c r="F991" s="425">
        <v>465</v>
      </c>
      <c r="G991" s="427" t="s">
        <v>1460</v>
      </c>
      <c r="H991" s="415" t="s">
        <v>752</v>
      </c>
      <c r="I991" s="398" t="s">
        <v>1461</v>
      </c>
      <c r="J991" s="415" t="s">
        <v>310</v>
      </c>
      <c r="K991" s="418" t="s">
        <v>1220</v>
      </c>
      <c r="L991" s="415" t="s">
        <v>1368</v>
      </c>
      <c r="M991" s="415" t="s">
        <v>310</v>
      </c>
      <c r="N991" s="414">
        <v>44610</v>
      </c>
      <c r="O991" s="414" t="s">
        <v>400</v>
      </c>
      <c r="P991" s="222">
        <f t="shared" si="61"/>
        <v>2</v>
      </c>
      <c r="Q991" s="222">
        <f t="shared" si="62"/>
        <v>1</v>
      </c>
      <c r="R991" s="532" t="str">
        <f t="shared" si="63"/>
        <v>Gastos_Gerais</v>
      </c>
      <c r="S991" s="467" t="s">
        <v>310</v>
      </c>
      <c r="T991" s="467" t="s">
        <v>310</v>
      </c>
      <c r="U991" s="496"/>
      <c r="V991" s="496"/>
      <c r="W991" s="496"/>
    </row>
    <row r="992" spans="1:23" ht="24" x14ac:dyDescent="0.2">
      <c r="A992" s="510">
        <f t="shared" si="60"/>
        <v>989</v>
      </c>
      <c r="B992" s="428">
        <v>44610</v>
      </c>
      <c r="C992" s="431">
        <v>44531</v>
      </c>
      <c r="D992" s="415" t="s">
        <v>271</v>
      </c>
      <c r="E992" s="415" t="s">
        <v>453</v>
      </c>
      <c r="F992" s="425">
        <v>744</v>
      </c>
      <c r="G992" s="427" t="s">
        <v>1228</v>
      </c>
      <c r="H992" s="415" t="s">
        <v>752</v>
      </c>
      <c r="I992" s="398" t="s">
        <v>1461</v>
      </c>
      <c r="J992" s="415" t="s">
        <v>310</v>
      </c>
      <c r="K992" s="418" t="s">
        <v>1220</v>
      </c>
      <c r="L992" s="415" t="s">
        <v>1368</v>
      </c>
      <c r="M992" s="415" t="s">
        <v>310</v>
      </c>
      <c r="N992" s="414">
        <v>44610</v>
      </c>
      <c r="O992" s="414" t="s">
        <v>400</v>
      </c>
      <c r="P992" s="222">
        <f t="shared" si="61"/>
        <v>2</v>
      </c>
      <c r="Q992" s="222">
        <f t="shared" si="62"/>
        <v>0</v>
      </c>
      <c r="R992" s="532" t="str">
        <f t="shared" si="63"/>
        <v>Gastos_Gerais</v>
      </c>
      <c r="S992" s="467" t="s">
        <v>310</v>
      </c>
      <c r="T992" s="467" t="s">
        <v>310</v>
      </c>
      <c r="U992" s="496"/>
      <c r="V992" s="496"/>
      <c r="W992" s="496"/>
    </row>
    <row r="993" spans="1:23" ht="48" x14ac:dyDescent="0.2">
      <c r="A993" s="510">
        <f t="shared" si="60"/>
        <v>990</v>
      </c>
      <c r="B993" s="428">
        <v>44610</v>
      </c>
      <c r="C993" s="431">
        <v>44531</v>
      </c>
      <c r="D993" s="415" t="s">
        <v>271</v>
      </c>
      <c r="E993" s="415" t="s">
        <v>453</v>
      </c>
      <c r="F993" s="425">
        <v>744</v>
      </c>
      <c r="G993" s="427" t="s">
        <v>1344</v>
      </c>
      <c r="H993" s="415" t="s">
        <v>759</v>
      </c>
      <c r="I993" s="398" t="s">
        <v>1461</v>
      </c>
      <c r="J993" s="415" t="s">
        <v>310</v>
      </c>
      <c r="K993" s="418" t="s">
        <v>1220</v>
      </c>
      <c r="L993" s="415" t="s">
        <v>1368</v>
      </c>
      <c r="M993" s="415" t="s">
        <v>310</v>
      </c>
      <c r="N993" s="414">
        <v>44610</v>
      </c>
      <c r="O993" s="414" t="s">
        <v>400</v>
      </c>
      <c r="P993" s="222">
        <f t="shared" si="61"/>
        <v>2</v>
      </c>
      <c r="Q993" s="222">
        <f t="shared" si="62"/>
        <v>0</v>
      </c>
      <c r="R993" s="532" t="str">
        <f t="shared" si="63"/>
        <v>Gastos_Gerais</v>
      </c>
      <c r="S993" s="467" t="s">
        <v>310</v>
      </c>
      <c r="T993" s="467" t="s">
        <v>310</v>
      </c>
      <c r="U993" s="496"/>
      <c r="V993" s="496"/>
      <c r="W993" s="496"/>
    </row>
    <row r="994" spans="1:23" ht="36" x14ac:dyDescent="0.2">
      <c r="A994" s="510">
        <f t="shared" si="60"/>
        <v>991</v>
      </c>
      <c r="B994" s="428">
        <v>44610</v>
      </c>
      <c r="C994" s="431">
        <v>44501</v>
      </c>
      <c r="D994" s="415" t="s">
        <v>271</v>
      </c>
      <c r="E994" s="415" t="s">
        <v>456</v>
      </c>
      <c r="F994" s="425">
        <v>279</v>
      </c>
      <c r="G994" s="427" t="s">
        <v>1376</v>
      </c>
      <c r="H994" s="415" t="s">
        <v>760</v>
      </c>
      <c r="I994" s="398" t="s">
        <v>1461</v>
      </c>
      <c r="J994" s="415" t="s">
        <v>310</v>
      </c>
      <c r="K994" s="418" t="s">
        <v>1220</v>
      </c>
      <c r="L994" s="415" t="s">
        <v>1368</v>
      </c>
      <c r="M994" s="415" t="s">
        <v>310</v>
      </c>
      <c r="N994" s="414">
        <v>44610</v>
      </c>
      <c r="O994" s="414" t="s">
        <v>400</v>
      </c>
      <c r="P994" s="222">
        <f t="shared" si="61"/>
        <v>2</v>
      </c>
      <c r="Q994" s="222">
        <f t="shared" si="62"/>
        <v>-1</v>
      </c>
      <c r="R994" s="532" t="str">
        <f t="shared" si="63"/>
        <v>Gastos_Gerais</v>
      </c>
      <c r="S994" s="467" t="s">
        <v>310</v>
      </c>
      <c r="T994" s="467" t="s">
        <v>310</v>
      </c>
      <c r="U994" s="496"/>
      <c r="V994" s="496"/>
      <c r="W994" s="496"/>
    </row>
    <row r="995" spans="1:23" ht="36" x14ac:dyDescent="0.2">
      <c r="A995" s="510">
        <f t="shared" ref="A995:A1023" si="64">IF(B995="","",ROW()-ROW($A$3))</f>
        <v>992</v>
      </c>
      <c r="B995" s="428">
        <v>44610</v>
      </c>
      <c r="C995" s="431">
        <v>44501</v>
      </c>
      <c r="D995" s="415" t="s">
        <v>271</v>
      </c>
      <c r="E995" s="415" t="s">
        <v>453</v>
      </c>
      <c r="F995" s="425">
        <v>279</v>
      </c>
      <c r="G995" s="427" t="s">
        <v>1845</v>
      </c>
      <c r="H995" s="415" t="s">
        <v>754</v>
      </c>
      <c r="I995" s="398" t="s">
        <v>1461</v>
      </c>
      <c r="J995" s="415" t="s">
        <v>310</v>
      </c>
      <c r="K995" s="418" t="s">
        <v>1220</v>
      </c>
      <c r="L995" s="415" t="s">
        <v>1368</v>
      </c>
      <c r="M995" s="415" t="s">
        <v>310</v>
      </c>
      <c r="N995" s="414">
        <v>44610</v>
      </c>
      <c r="O995" s="414" t="s">
        <v>400</v>
      </c>
      <c r="P995" s="222">
        <f t="shared" ref="P995:P1022" si="65">IF(B995=0,0,IF(YEAR(B995)=$Q$1,MONTH(B995)-$P$1+1,(YEAR(B995)-$Q$1)*12-$P$1+1+MONTH(B995)))</f>
        <v>2</v>
      </c>
      <c r="Q995" s="222">
        <f t="shared" ref="Q995:Q1022" si="66">IF(C995=0,0,IF(YEAR(C995)=$Q$1,MONTH(C995)-$P$1+1,(YEAR(C995)-$Q$1)*12-$P$1+1+MONTH(C995)))</f>
        <v>-1</v>
      </c>
      <c r="R995" s="532" t="str">
        <f t="shared" ref="R995:R1022" si="67">SUBSTITUTE(D995," ","_")</f>
        <v>Gastos_Gerais</v>
      </c>
      <c r="S995" s="467" t="s">
        <v>310</v>
      </c>
      <c r="T995" s="467" t="s">
        <v>310</v>
      </c>
      <c r="U995" s="496"/>
      <c r="V995" s="496"/>
      <c r="W995" s="496"/>
    </row>
    <row r="996" spans="1:23" ht="24" x14ac:dyDescent="0.2">
      <c r="A996" s="510">
        <f t="shared" si="64"/>
        <v>993</v>
      </c>
      <c r="B996" s="428">
        <v>44610</v>
      </c>
      <c r="C996" s="431">
        <v>44531</v>
      </c>
      <c r="D996" s="415" t="s">
        <v>271</v>
      </c>
      <c r="E996" s="415" t="s">
        <v>453</v>
      </c>
      <c r="F996" s="425">
        <v>744</v>
      </c>
      <c r="G996" s="427" t="s">
        <v>1270</v>
      </c>
      <c r="H996" s="415" t="s">
        <v>752</v>
      </c>
      <c r="I996" s="398" t="s">
        <v>1461</v>
      </c>
      <c r="J996" s="415" t="s">
        <v>310</v>
      </c>
      <c r="K996" s="418" t="s">
        <v>1220</v>
      </c>
      <c r="L996" s="415" t="s">
        <v>1368</v>
      </c>
      <c r="M996" s="415" t="s">
        <v>310</v>
      </c>
      <c r="N996" s="414">
        <v>44610</v>
      </c>
      <c r="O996" s="414" t="s">
        <v>400</v>
      </c>
      <c r="P996" s="222">
        <f t="shared" si="65"/>
        <v>2</v>
      </c>
      <c r="Q996" s="222">
        <f t="shared" si="66"/>
        <v>0</v>
      </c>
      <c r="R996" s="532" t="str">
        <f t="shared" si="67"/>
        <v>Gastos_Gerais</v>
      </c>
      <c r="S996" s="467" t="s">
        <v>310</v>
      </c>
      <c r="T996" s="467" t="s">
        <v>310</v>
      </c>
      <c r="U996" s="496"/>
      <c r="V996" s="496"/>
      <c r="W996" s="496"/>
    </row>
    <row r="997" spans="1:23" ht="36" x14ac:dyDescent="0.2">
      <c r="A997" s="510">
        <f t="shared" si="64"/>
        <v>994</v>
      </c>
      <c r="B997" s="428">
        <v>44610</v>
      </c>
      <c r="C997" s="431">
        <v>44501</v>
      </c>
      <c r="D997" s="415" t="s">
        <v>271</v>
      </c>
      <c r="E997" s="415" t="s">
        <v>453</v>
      </c>
      <c r="F997" s="425">
        <v>818.4</v>
      </c>
      <c r="G997" s="427" t="s">
        <v>1355</v>
      </c>
      <c r="H997" s="415" t="s">
        <v>757</v>
      </c>
      <c r="I997" s="398" t="s">
        <v>1461</v>
      </c>
      <c r="J997" s="415" t="s">
        <v>310</v>
      </c>
      <c r="K997" s="418" t="s">
        <v>1220</v>
      </c>
      <c r="L997" s="415" t="s">
        <v>1368</v>
      </c>
      <c r="M997" s="415" t="s">
        <v>310</v>
      </c>
      <c r="N997" s="414">
        <v>44610</v>
      </c>
      <c r="O997" s="414" t="s">
        <v>400</v>
      </c>
      <c r="P997" s="222">
        <f t="shared" si="65"/>
        <v>2</v>
      </c>
      <c r="Q997" s="222">
        <f t="shared" si="66"/>
        <v>-1</v>
      </c>
      <c r="R997" s="532" t="str">
        <f t="shared" si="67"/>
        <v>Gastos_Gerais</v>
      </c>
      <c r="S997" s="467" t="s">
        <v>310</v>
      </c>
      <c r="T997" s="467" t="s">
        <v>310</v>
      </c>
      <c r="U997" s="496"/>
      <c r="V997" s="496"/>
      <c r="W997" s="496"/>
    </row>
    <row r="998" spans="1:23" ht="24" x14ac:dyDescent="0.2">
      <c r="A998" s="510">
        <f t="shared" si="64"/>
        <v>995</v>
      </c>
      <c r="B998" s="428">
        <v>44610</v>
      </c>
      <c r="C998" s="433">
        <v>44562</v>
      </c>
      <c r="D998" s="415" t="s">
        <v>271</v>
      </c>
      <c r="E998" s="415" t="s">
        <v>90</v>
      </c>
      <c r="F998" s="425">
        <v>6359.83</v>
      </c>
      <c r="G998" s="440" t="s">
        <v>1847</v>
      </c>
      <c r="H998" s="415" t="s">
        <v>310</v>
      </c>
      <c r="I998" s="398" t="s">
        <v>1461</v>
      </c>
      <c r="J998" s="415" t="s">
        <v>310</v>
      </c>
      <c r="K998" s="418" t="s">
        <v>1220</v>
      </c>
      <c r="L998" s="415" t="s">
        <v>1368</v>
      </c>
      <c r="M998" s="415" t="s">
        <v>310</v>
      </c>
      <c r="N998" s="414">
        <v>44610</v>
      </c>
      <c r="O998" s="414" t="s">
        <v>400</v>
      </c>
      <c r="P998" s="222">
        <f t="shared" si="65"/>
        <v>2</v>
      </c>
      <c r="Q998" s="222">
        <f t="shared" si="66"/>
        <v>1</v>
      </c>
      <c r="R998" s="532" t="str">
        <f t="shared" si="67"/>
        <v>Gastos_Gerais</v>
      </c>
      <c r="S998" s="467" t="s">
        <v>310</v>
      </c>
      <c r="T998" s="467" t="s">
        <v>310</v>
      </c>
      <c r="U998" s="496"/>
      <c r="V998" s="496"/>
      <c r="W998" s="496"/>
    </row>
    <row r="999" spans="1:23" ht="36" x14ac:dyDescent="0.2">
      <c r="A999" s="510">
        <f t="shared" si="64"/>
        <v>996</v>
      </c>
      <c r="B999" s="428">
        <v>44610</v>
      </c>
      <c r="C999" s="433">
        <v>44562</v>
      </c>
      <c r="D999" s="415" t="s">
        <v>182</v>
      </c>
      <c r="E999" s="415" t="s">
        <v>1</v>
      </c>
      <c r="F999" s="425">
        <v>11258.86</v>
      </c>
      <c r="G999" s="440" t="s">
        <v>1863</v>
      </c>
      <c r="H999" s="415" t="s">
        <v>310</v>
      </c>
      <c r="I999" s="398" t="s">
        <v>1461</v>
      </c>
      <c r="J999" s="415" t="s">
        <v>310</v>
      </c>
      <c r="K999" s="418" t="s">
        <v>1220</v>
      </c>
      <c r="L999" s="415" t="s">
        <v>1368</v>
      </c>
      <c r="M999" s="415" t="s">
        <v>310</v>
      </c>
      <c r="N999" s="414">
        <v>44610</v>
      </c>
      <c r="O999" s="414" t="s">
        <v>400</v>
      </c>
      <c r="P999" s="222">
        <f t="shared" si="65"/>
        <v>2</v>
      </c>
      <c r="Q999" s="222">
        <f t="shared" si="66"/>
        <v>1</v>
      </c>
      <c r="R999" s="532" t="str">
        <f t="shared" si="67"/>
        <v>Gastos_com_Pessoal</v>
      </c>
      <c r="S999" s="467" t="s">
        <v>310</v>
      </c>
      <c r="T999" s="467" t="s">
        <v>310</v>
      </c>
      <c r="U999" s="496"/>
      <c r="V999" s="496"/>
      <c r="W999" s="496"/>
    </row>
    <row r="1000" spans="1:23" ht="36" x14ac:dyDescent="0.2">
      <c r="A1000" s="510">
        <f t="shared" si="64"/>
        <v>997</v>
      </c>
      <c r="B1000" s="428">
        <v>44610</v>
      </c>
      <c r="C1000" s="433">
        <v>44562</v>
      </c>
      <c r="D1000" s="415" t="s">
        <v>468</v>
      </c>
      <c r="E1000" s="415" t="s">
        <v>468</v>
      </c>
      <c r="F1000" s="425">
        <v>3410</v>
      </c>
      <c r="G1000" s="440" t="s">
        <v>1850</v>
      </c>
      <c r="H1000" s="415" t="s">
        <v>468</v>
      </c>
      <c r="I1000" s="398" t="s">
        <v>1461</v>
      </c>
      <c r="J1000" s="415" t="s">
        <v>310</v>
      </c>
      <c r="K1000" s="418" t="s">
        <v>1220</v>
      </c>
      <c r="L1000" s="415" t="s">
        <v>1368</v>
      </c>
      <c r="M1000" s="415" t="s">
        <v>310</v>
      </c>
      <c r="N1000" s="414">
        <v>44610</v>
      </c>
      <c r="O1000" s="414" t="s">
        <v>400</v>
      </c>
      <c r="P1000" s="222">
        <f t="shared" si="65"/>
        <v>2</v>
      </c>
      <c r="Q1000" s="222">
        <f t="shared" si="66"/>
        <v>1</v>
      </c>
      <c r="R1000" s="532" t="str">
        <f t="shared" si="67"/>
        <v>Gastos_custeados_por_captação</v>
      </c>
      <c r="S1000" s="467" t="s">
        <v>310</v>
      </c>
      <c r="T1000" s="467" t="s">
        <v>310</v>
      </c>
      <c r="U1000" s="496"/>
      <c r="V1000" s="496"/>
      <c r="W1000" s="496"/>
    </row>
    <row r="1001" spans="1:23" ht="36" x14ac:dyDescent="0.2">
      <c r="A1001" s="510">
        <f t="shared" si="64"/>
        <v>998</v>
      </c>
      <c r="B1001" s="428">
        <v>44610</v>
      </c>
      <c r="C1001" s="433">
        <v>44562</v>
      </c>
      <c r="D1001" s="415" t="s">
        <v>468</v>
      </c>
      <c r="E1001" s="415" t="s">
        <v>468</v>
      </c>
      <c r="F1001" s="425">
        <v>1550</v>
      </c>
      <c r="G1001" s="440" t="s">
        <v>1851</v>
      </c>
      <c r="H1001" s="415" t="s">
        <v>468</v>
      </c>
      <c r="I1001" s="398" t="s">
        <v>1461</v>
      </c>
      <c r="J1001" s="415" t="s">
        <v>310</v>
      </c>
      <c r="K1001" s="418" t="s">
        <v>1220</v>
      </c>
      <c r="L1001" s="415" t="s">
        <v>1368</v>
      </c>
      <c r="M1001" s="415" t="s">
        <v>310</v>
      </c>
      <c r="N1001" s="414">
        <v>44610</v>
      </c>
      <c r="O1001" s="414" t="s">
        <v>400</v>
      </c>
      <c r="P1001" s="222">
        <f t="shared" si="65"/>
        <v>2</v>
      </c>
      <c r="Q1001" s="222">
        <f t="shared" si="66"/>
        <v>1</v>
      </c>
      <c r="R1001" s="532" t="str">
        <f t="shared" si="67"/>
        <v>Gastos_custeados_por_captação</v>
      </c>
      <c r="S1001" s="467" t="s">
        <v>310</v>
      </c>
      <c r="T1001" s="467" t="s">
        <v>310</v>
      </c>
      <c r="U1001" s="496"/>
      <c r="V1001" s="496"/>
      <c r="W1001" s="496"/>
    </row>
    <row r="1002" spans="1:23" ht="36" x14ac:dyDescent="0.2">
      <c r="A1002" s="510">
        <f t="shared" si="64"/>
        <v>999</v>
      </c>
      <c r="B1002" s="428">
        <v>44610</v>
      </c>
      <c r="C1002" s="433">
        <v>44562</v>
      </c>
      <c r="D1002" s="415" t="s">
        <v>468</v>
      </c>
      <c r="E1002" s="415" t="s">
        <v>468</v>
      </c>
      <c r="F1002" s="425">
        <v>11165.09</v>
      </c>
      <c r="G1002" s="440" t="s">
        <v>1853</v>
      </c>
      <c r="H1002" s="415" t="s">
        <v>468</v>
      </c>
      <c r="I1002" s="398" t="s">
        <v>1461</v>
      </c>
      <c r="J1002" s="415" t="s">
        <v>310</v>
      </c>
      <c r="K1002" s="418" t="s">
        <v>1220</v>
      </c>
      <c r="L1002" s="415" t="s">
        <v>1368</v>
      </c>
      <c r="M1002" s="415" t="s">
        <v>310</v>
      </c>
      <c r="N1002" s="414">
        <v>44610</v>
      </c>
      <c r="O1002" s="414" t="s">
        <v>400</v>
      </c>
      <c r="P1002" s="222">
        <f t="shared" si="65"/>
        <v>2</v>
      </c>
      <c r="Q1002" s="222">
        <f t="shared" si="66"/>
        <v>1</v>
      </c>
      <c r="R1002" s="532" t="str">
        <f t="shared" si="67"/>
        <v>Gastos_custeados_por_captação</v>
      </c>
      <c r="S1002" s="467" t="s">
        <v>310</v>
      </c>
      <c r="T1002" s="467" t="s">
        <v>310</v>
      </c>
      <c r="U1002" s="496"/>
      <c r="V1002" s="496"/>
      <c r="W1002" s="496"/>
    </row>
    <row r="1003" spans="1:23" ht="36" x14ac:dyDescent="0.2">
      <c r="A1003" s="510">
        <f t="shared" si="64"/>
        <v>1000</v>
      </c>
      <c r="B1003" s="428">
        <v>44610</v>
      </c>
      <c r="C1003" s="433">
        <v>44562</v>
      </c>
      <c r="D1003" s="415" t="s">
        <v>468</v>
      </c>
      <c r="E1003" s="415" t="s">
        <v>468</v>
      </c>
      <c r="F1003" s="425">
        <v>465</v>
      </c>
      <c r="G1003" s="440" t="s">
        <v>1854</v>
      </c>
      <c r="H1003" s="415" t="s">
        <v>468</v>
      </c>
      <c r="I1003" s="398" t="s">
        <v>1461</v>
      </c>
      <c r="J1003" s="415" t="s">
        <v>310</v>
      </c>
      <c r="K1003" s="418" t="s">
        <v>1220</v>
      </c>
      <c r="L1003" s="415" t="s">
        <v>1368</v>
      </c>
      <c r="M1003" s="415" t="s">
        <v>310</v>
      </c>
      <c r="N1003" s="414">
        <v>44610</v>
      </c>
      <c r="O1003" s="414" t="s">
        <v>400</v>
      </c>
      <c r="P1003" s="222">
        <f t="shared" si="65"/>
        <v>2</v>
      </c>
      <c r="Q1003" s="222">
        <f t="shared" si="66"/>
        <v>1</v>
      </c>
      <c r="R1003" s="532" t="str">
        <f t="shared" si="67"/>
        <v>Gastos_custeados_por_captação</v>
      </c>
      <c r="S1003" s="467" t="s">
        <v>310</v>
      </c>
      <c r="T1003" s="467" t="s">
        <v>310</v>
      </c>
      <c r="U1003" s="496"/>
      <c r="V1003" s="496"/>
      <c r="W1003" s="496"/>
    </row>
    <row r="1004" spans="1:23" ht="36" x14ac:dyDescent="0.2">
      <c r="A1004" s="510">
        <f t="shared" si="64"/>
        <v>1001</v>
      </c>
      <c r="B1004" s="428">
        <v>44610</v>
      </c>
      <c r="C1004" s="433">
        <v>44562</v>
      </c>
      <c r="D1004" s="415" t="s">
        <v>468</v>
      </c>
      <c r="E1004" s="415" t="s">
        <v>468</v>
      </c>
      <c r="F1004" s="425">
        <v>775</v>
      </c>
      <c r="G1004" s="440" t="s">
        <v>1855</v>
      </c>
      <c r="H1004" s="415" t="s">
        <v>468</v>
      </c>
      <c r="I1004" s="398" t="s">
        <v>1461</v>
      </c>
      <c r="J1004" s="415" t="s">
        <v>310</v>
      </c>
      <c r="K1004" s="418" t="s">
        <v>1220</v>
      </c>
      <c r="L1004" s="415" t="s">
        <v>1368</v>
      </c>
      <c r="M1004" s="415" t="s">
        <v>310</v>
      </c>
      <c r="N1004" s="414">
        <v>44610</v>
      </c>
      <c r="O1004" s="414" t="s">
        <v>400</v>
      </c>
      <c r="P1004" s="222">
        <f t="shared" si="65"/>
        <v>2</v>
      </c>
      <c r="Q1004" s="222">
        <f t="shared" si="66"/>
        <v>1</v>
      </c>
      <c r="R1004" s="532" t="str">
        <f t="shared" si="67"/>
        <v>Gastos_custeados_por_captação</v>
      </c>
      <c r="S1004" s="467" t="s">
        <v>310</v>
      </c>
      <c r="T1004" s="467" t="s">
        <v>310</v>
      </c>
      <c r="U1004" s="496"/>
      <c r="V1004" s="496"/>
      <c r="W1004" s="496"/>
    </row>
    <row r="1005" spans="1:23" ht="36" x14ac:dyDescent="0.2">
      <c r="A1005" s="510">
        <f t="shared" si="64"/>
        <v>1002</v>
      </c>
      <c r="B1005" s="428">
        <v>44610</v>
      </c>
      <c r="C1005" s="433">
        <v>44562</v>
      </c>
      <c r="D1005" s="415" t="s">
        <v>468</v>
      </c>
      <c r="E1005" s="415" t="s">
        <v>468</v>
      </c>
      <c r="F1005" s="425">
        <v>302.25</v>
      </c>
      <c r="G1005" s="440" t="s">
        <v>1862</v>
      </c>
      <c r="H1005" s="415" t="s">
        <v>468</v>
      </c>
      <c r="I1005" s="398" t="s">
        <v>1461</v>
      </c>
      <c r="J1005" s="415" t="s">
        <v>310</v>
      </c>
      <c r="K1005" s="418" t="s">
        <v>1220</v>
      </c>
      <c r="L1005" s="415" t="s">
        <v>1368</v>
      </c>
      <c r="M1005" s="415" t="s">
        <v>310</v>
      </c>
      <c r="N1005" s="414">
        <v>44610</v>
      </c>
      <c r="O1005" s="414" t="s">
        <v>400</v>
      </c>
      <c r="P1005" s="222">
        <f t="shared" si="65"/>
        <v>2</v>
      </c>
      <c r="Q1005" s="222">
        <f t="shared" si="66"/>
        <v>1</v>
      </c>
      <c r="R1005" s="532" t="str">
        <f t="shared" si="67"/>
        <v>Gastos_custeados_por_captação</v>
      </c>
      <c r="S1005" s="467" t="s">
        <v>310</v>
      </c>
      <c r="T1005" s="467" t="s">
        <v>310</v>
      </c>
      <c r="U1005" s="496"/>
      <c r="V1005" s="496"/>
      <c r="W1005" s="496"/>
    </row>
    <row r="1006" spans="1:23" ht="24" x14ac:dyDescent="0.2">
      <c r="A1006" s="510">
        <f t="shared" si="64"/>
        <v>1003</v>
      </c>
      <c r="B1006" s="428">
        <v>44610</v>
      </c>
      <c r="C1006" s="433">
        <v>44562</v>
      </c>
      <c r="D1006" s="415" t="s">
        <v>182</v>
      </c>
      <c r="E1006" s="415" t="s">
        <v>1</v>
      </c>
      <c r="F1006" s="425">
        <v>499.32</v>
      </c>
      <c r="G1006" s="456" t="s">
        <v>1864</v>
      </c>
      <c r="H1006" s="415" t="s">
        <v>310</v>
      </c>
      <c r="I1006" s="398" t="s">
        <v>1461</v>
      </c>
      <c r="J1006" s="415" t="s">
        <v>310</v>
      </c>
      <c r="K1006" s="418" t="s">
        <v>1220</v>
      </c>
      <c r="L1006" s="415" t="s">
        <v>1368</v>
      </c>
      <c r="M1006" s="415" t="s">
        <v>310</v>
      </c>
      <c r="N1006" s="414">
        <v>44610</v>
      </c>
      <c r="O1006" s="414" t="s">
        <v>400</v>
      </c>
      <c r="P1006" s="222">
        <f t="shared" si="65"/>
        <v>2</v>
      </c>
      <c r="Q1006" s="222">
        <f t="shared" si="66"/>
        <v>1</v>
      </c>
      <c r="R1006" s="532" t="str">
        <f t="shared" si="67"/>
        <v>Gastos_com_Pessoal</v>
      </c>
      <c r="S1006" s="467" t="s">
        <v>310</v>
      </c>
      <c r="T1006" s="467" t="s">
        <v>310</v>
      </c>
      <c r="U1006" s="496"/>
      <c r="V1006" s="496"/>
      <c r="W1006" s="496"/>
    </row>
    <row r="1007" spans="1:23" ht="24" x14ac:dyDescent="0.2">
      <c r="A1007" s="510">
        <f t="shared" si="64"/>
        <v>1004</v>
      </c>
      <c r="B1007" s="428">
        <v>44610</v>
      </c>
      <c r="C1007" s="433">
        <v>44562</v>
      </c>
      <c r="D1007" s="415" t="s">
        <v>182</v>
      </c>
      <c r="E1007" s="415" t="s">
        <v>1</v>
      </c>
      <c r="F1007" s="425">
        <v>16126.1</v>
      </c>
      <c r="G1007" s="427" t="s">
        <v>1945</v>
      </c>
      <c r="H1007" s="415" t="s">
        <v>310</v>
      </c>
      <c r="I1007" s="398" t="s">
        <v>1461</v>
      </c>
      <c r="J1007" s="415" t="s">
        <v>310</v>
      </c>
      <c r="K1007" s="415" t="s">
        <v>1220</v>
      </c>
      <c r="L1007" s="415" t="s">
        <v>1368</v>
      </c>
      <c r="M1007" s="415" t="s">
        <v>310</v>
      </c>
      <c r="N1007" s="414">
        <v>44610</v>
      </c>
      <c r="O1007" s="414" t="s">
        <v>400</v>
      </c>
      <c r="P1007" s="222">
        <f t="shared" si="65"/>
        <v>2</v>
      </c>
      <c r="Q1007" s="222">
        <f t="shared" si="66"/>
        <v>1</v>
      </c>
      <c r="R1007" s="532" t="str">
        <f t="shared" si="67"/>
        <v>Gastos_com_Pessoal</v>
      </c>
      <c r="S1007" s="467" t="s">
        <v>310</v>
      </c>
      <c r="T1007" s="467" t="s">
        <v>310</v>
      </c>
      <c r="U1007" s="496"/>
      <c r="V1007" s="496"/>
      <c r="W1007" s="496"/>
    </row>
    <row r="1008" spans="1:23" ht="24" x14ac:dyDescent="0.2">
      <c r="A1008" s="510">
        <f t="shared" si="64"/>
        <v>1005</v>
      </c>
      <c r="B1008" s="428">
        <v>44610</v>
      </c>
      <c r="C1008" s="433">
        <v>44562</v>
      </c>
      <c r="D1008" s="415" t="s">
        <v>182</v>
      </c>
      <c r="E1008" s="415" t="s">
        <v>252</v>
      </c>
      <c r="F1008" s="425">
        <v>51916.51</v>
      </c>
      <c r="G1008" s="427" t="s">
        <v>1946</v>
      </c>
      <c r="H1008" s="415" t="s">
        <v>310</v>
      </c>
      <c r="I1008" s="398" t="s">
        <v>1461</v>
      </c>
      <c r="J1008" s="415" t="s">
        <v>310</v>
      </c>
      <c r="K1008" s="415" t="s">
        <v>1220</v>
      </c>
      <c r="L1008" s="415" t="s">
        <v>1368</v>
      </c>
      <c r="M1008" s="415" t="s">
        <v>310</v>
      </c>
      <c r="N1008" s="414">
        <v>44610</v>
      </c>
      <c r="O1008" s="414" t="s">
        <v>400</v>
      </c>
      <c r="P1008" s="222">
        <f t="shared" si="65"/>
        <v>2</v>
      </c>
      <c r="Q1008" s="222">
        <f t="shared" si="66"/>
        <v>1</v>
      </c>
      <c r="R1008" s="532" t="str">
        <f t="shared" si="67"/>
        <v>Gastos_com_Pessoal</v>
      </c>
      <c r="S1008" s="467" t="s">
        <v>310</v>
      </c>
      <c r="T1008" s="467" t="s">
        <v>310</v>
      </c>
      <c r="U1008" s="496"/>
      <c r="V1008" s="496"/>
      <c r="W1008" s="496"/>
    </row>
    <row r="1009" spans="1:23" ht="36" x14ac:dyDescent="0.2">
      <c r="A1009" s="510">
        <f t="shared" si="64"/>
        <v>1006</v>
      </c>
      <c r="B1009" s="428">
        <v>44610</v>
      </c>
      <c r="C1009" s="424">
        <v>44593</v>
      </c>
      <c r="D1009" s="415" t="s">
        <v>271</v>
      </c>
      <c r="E1009" s="415" t="s">
        <v>71</v>
      </c>
      <c r="F1009" s="425">
        <v>10.45</v>
      </c>
      <c r="G1009" s="427" t="s">
        <v>1825</v>
      </c>
      <c r="H1009" s="415" t="s">
        <v>757</v>
      </c>
      <c r="I1009" s="398" t="s">
        <v>881</v>
      </c>
      <c r="J1009" s="418" t="s">
        <v>882</v>
      </c>
      <c r="K1009" s="418" t="s">
        <v>883</v>
      </c>
      <c r="L1009" s="399" t="s">
        <v>798</v>
      </c>
      <c r="M1009" s="544" t="s">
        <v>310</v>
      </c>
      <c r="N1009" s="414">
        <v>44610</v>
      </c>
      <c r="O1009" s="414" t="s">
        <v>400</v>
      </c>
      <c r="P1009" s="222">
        <f t="shared" si="65"/>
        <v>2</v>
      </c>
      <c r="Q1009" s="222">
        <f t="shared" si="66"/>
        <v>2</v>
      </c>
      <c r="R1009" s="532" t="str">
        <f t="shared" si="67"/>
        <v>Gastos_Gerais</v>
      </c>
      <c r="S1009" s="467" t="s">
        <v>310</v>
      </c>
      <c r="T1009" s="467" t="s">
        <v>310</v>
      </c>
      <c r="U1009" s="496"/>
      <c r="V1009" s="496"/>
      <c r="W1009" s="496"/>
    </row>
    <row r="1010" spans="1:23" ht="48" x14ac:dyDescent="0.2">
      <c r="A1010" s="510">
        <f t="shared" si="64"/>
        <v>1007</v>
      </c>
      <c r="B1010" s="428">
        <v>44610</v>
      </c>
      <c r="C1010" s="431">
        <v>44531</v>
      </c>
      <c r="D1010" s="415" t="s">
        <v>468</v>
      </c>
      <c r="E1010" s="415" t="s">
        <v>468</v>
      </c>
      <c r="F1010" s="425">
        <v>775</v>
      </c>
      <c r="G1010" s="427" t="s">
        <v>2364</v>
      </c>
      <c r="H1010" s="415" t="s">
        <v>468</v>
      </c>
      <c r="I1010" s="473" t="s">
        <v>795</v>
      </c>
      <c r="J1010" s="415" t="s">
        <v>796</v>
      </c>
      <c r="K1010" s="415" t="s">
        <v>797</v>
      </c>
      <c r="L1010" s="415" t="s">
        <v>798</v>
      </c>
      <c r="M1010" s="415" t="s">
        <v>310</v>
      </c>
      <c r="N1010" s="414">
        <v>44610</v>
      </c>
      <c r="O1010" s="414" t="s">
        <v>403</v>
      </c>
      <c r="P1010" s="222">
        <f t="shared" si="65"/>
        <v>2</v>
      </c>
      <c r="Q1010" s="222">
        <f t="shared" si="66"/>
        <v>0</v>
      </c>
      <c r="R1010" s="532" t="str">
        <f t="shared" si="67"/>
        <v>Gastos_custeados_por_captação</v>
      </c>
      <c r="S1010" s="467" t="s">
        <v>310</v>
      </c>
      <c r="T1010" s="467" t="s">
        <v>310</v>
      </c>
      <c r="U1010" s="496"/>
      <c r="V1010" s="496"/>
      <c r="W1010" s="496"/>
    </row>
    <row r="1011" spans="1:23" ht="48" x14ac:dyDescent="0.2">
      <c r="A1011" s="510">
        <f t="shared" si="64"/>
        <v>1008</v>
      </c>
      <c r="B1011" s="428">
        <v>44610</v>
      </c>
      <c r="C1011" s="431">
        <v>44531</v>
      </c>
      <c r="D1011" s="415" t="s">
        <v>468</v>
      </c>
      <c r="E1011" s="415" t="s">
        <v>468</v>
      </c>
      <c r="F1011" s="425">
        <v>24.08</v>
      </c>
      <c r="G1011" s="427" t="s">
        <v>2589</v>
      </c>
      <c r="H1011" s="415" t="s">
        <v>468</v>
      </c>
      <c r="I1011" s="473" t="s">
        <v>1461</v>
      </c>
      <c r="J1011" s="415" t="s">
        <v>310</v>
      </c>
      <c r="K1011" s="415" t="s">
        <v>1220</v>
      </c>
      <c r="L1011" s="415" t="s">
        <v>1368</v>
      </c>
      <c r="M1011" s="415" t="s">
        <v>310</v>
      </c>
      <c r="N1011" s="414">
        <v>44610</v>
      </c>
      <c r="O1011" s="414" t="s">
        <v>403</v>
      </c>
      <c r="P1011" s="222">
        <f t="shared" si="65"/>
        <v>2</v>
      </c>
      <c r="Q1011" s="222">
        <f t="shared" si="66"/>
        <v>0</v>
      </c>
      <c r="R1011" s="532" t="str">
        <f t="shared" si="67"/>
        <v>Gastos_custeados_por_captação</v>
      </c>
      <c r="S1011" s="467" t="s">
        <v>310</v>
      </c>
      <c r="T1011" s="467" t="s">
        <v>310</v>
      </c>
      <c r="U1011" s="496"/>
      <c r="V1011" s="496"/>
      <c r="W1011" s="496"/>
    </row>
    <row r="1012" spans="1:23" ht="60" x14ac:dyDescent="0.2">
      <c r="A1012" s="510">
        <f t="shared" si="64"/>
        <v>1009</v>
      </c>
      <c r="B1012" s="428">
        <v>44610</v>
      </c>
      <c r="C1012" s="431">
        <v>44593</v>
      </c>
      <c r="D1012" s="415" t="s">
        <v>468</v>
      </c>
      <c r="E1012" s="415" t="s">
        <v>468</v>
      </c>
      <c r="F1012" s="425">
        <v>38.549999999999997</v>
      </c>
      <c r="G1012" s="427" t="s">
        <v>2384</v>
      </c>
      <c r="H1012" s="415" t="s">
        <v>468</v>
      </c>
      <c r="I1012" s="398" t="s">
        <v>881</v>
      </c>
      <c r="J1012" s="418" t="s">
        <v>882</v>
      </c>
      <c r="K1012" s="418" t="s">
        <v>883</v>
      </c>
      <c r="L1012" s="399" t="s">
        <v>798</v>
      </c>
      <c r="M1012" s="544" t="s">
        <v>310</v>
      </c>
      <c r="N1012" s="414">
        <v>44610</v>
      </c>
      <c r="O1012" s="414" t="s">
        <v>405</v>
      </c>
      <c r="P1012" s="222">
        <f t="shared" si="65"/>
        <v>2</v>
      </c>
      <c r="Q1012" s="222">
        <f t="shared" si="66"/>
        <v>2</v>
      </c>
      <c r="R1012" s="532" t="str">
        <f t="shared" si="67"/>
        <v>Gastos_custeados_por_captação</v>
      </c>
      <c r="S1012" s="467" t="s">
        <v>310</v>
      </c>
      <c r="T1012" s="467" t="s">
        <v>310</v>
      </c>
      <c r="U1012" s="496"/>
      <c r="V1012" s="496"/>
      <c r="W1012" s="496"/>
    </row>
    <row r="1013" spans="1:23" ht="60" x14ac:dyDescent="0.2">
      <c r="A1013" s="510">
        <f t="shared" si="64"/>
        <v>1010</v>
      </c>
      <c r="B1013" s="428">
        <v>44610</v>
      </c>
      <c r="C1013" s="431">
        <v>44593</v>
      </c>
      <c r="D1013" s="415" t="s">
        <v>468</v>
      </c>
      <c r="E1013" s="415" t="s">
        <v>468</v>
      </c>
      <c r="F1013" s="425">
        <v>10145.799999999999</v>
      </c>
      <c r="G1013" s="427" t="s">
        <v>2385</v>
      </c>
      <c r="H1013" s="415" t="s">
        <v>468</v>
      </c>
      <c r="I1013" s="473" t="s">
        <v>2388</v>
      </c>
      <c r="J1013" s="415">
        <v>814473238</v>
      </c>
      <c r="K1013" s="415" t="s">
        <v>2389</v>
      </c>
      <c r="L1013" s="415" t="s">
        <v>2390</v>
      </c>
      <c r="M1013" s="415" t="s">
        <v>310</v>
      </c>
      <c r="N1013" s="414">
        <v>44610</v>
      </c>
      <c r="O1013" s="414" t="s">
        <v>405</v>
      </c>
      <c r="P1013" s="222">
        <f t="shared" si="65"/>
        <v>2</v>
      </c>
      <c r="Q1013" s="222">
        <f t="shared" si="66"/>
        <v>2</v>
      </c>
      <c r="R1013" s="532" t="str">
        <f t="shared" si="67"/>
        <v>Gastos_custeados_por_captação</v>
      </c>
      <c r="S1013" s="467" t="s">
        <v>998</v>
      </c>
      <c r="T1013" s="467">
        <v>2909</v>
      </c>
      <c r="U1013" s="496"/>
      <c r="V1013" s="496"/>
      <c r="W1013" s="496"/>
    </row>
    <row r="1014" spans="1:23" ht="60" x14ac:dyDescent="0.2">
      <c r="A1014" s="510">
        <f t="shared" si="64"/>
        <v>1011</v>
      </c>
      <c r="B1014" s="428">
        <v>44610</v>
      </c>
      <c r="C1014" s="431">
        <v>44593</v>
      </c>
      <c r="D1014" s="415" t="s">
        <v>468</v>
      </c>
      <c r="E1014" s="415" t="s">
        <v>468</v>
      </c>
      <c r="F1014" s="425">
        <v>440</v>
      </c>
      <c r="G1014" s="427" t="s">
        <v>2386</v>
      </c>
      <c r="H1014" s="415" t="s">
        <v>468</v>
      </c>
      <c r="I1014" s="398" t="s">
        <v>881</v>
      </c>
      <c r="J1014" s="418" t="s">
        <v>882</v>
      </c>
      <c r="K1014" s="418" t="s">
        <v>883</v>
      </c>
      <c r="L1014" s="399" t="s">
        <v>798</v>
      </c>
      <c r="M1014" s="544" t="s">
        <v>310</v>
      </c>
      <c r="N1014" s="414">
        <v>44610</v>
      </c>
      <c r="O1014" s="414" t="s">
        <v>405</v>
      </c>
      <c r="P1014" s="222">
        <f t="shared" si="65"/>
        <v>2</v>
      </c>
      <c r="Q1014" s="222">
        <f t="shared" si="66"/>
        <v>2</v>
      </c>
      <c r="R1014" s="532" t="str">
        <f t="shared" si="67"/>
        <v>Gastos_custeados_por_captação</v>
      </c>
      <c r="S1014" s="467" t="s">
        <v>310</v>
      </c>
      <c r="T1014" s="467" t="s">
        <v>310</v>
      </c>
      <c r="U1014" s="496"/>
      <c r="V1014" s="496"/>
      <c r="W1014" s="496"/>
    </row>
    <row r="1015" spans="1:23" ht="60" x14ac:dyDescent="0.2">
      <c r="A1015" s="510">
        <f t="shared" si="64"/>
        <v>1012</v>
      </c>
      <c r="B1015" s="428">
        <v>44610</v>
      </c>
      <c r="C1015" s="431">
        <v>44593</v>
      </c>
      <c r="D1015" s="415" t="s">
        <v>468</v>
      </c>
      <c r="E1015" s="415" t="s">
        <v>468</v>
      </c>
      <c r="F1015" s="425">
        <v>1804.01</v>
      </c>
      <c r="G1015" s="427" t="s">
        <v>2387</v>
      </c>
      <c r="H1015" s="415" t="s">
        <v>468</v>
      </c>
      <c r="I1015" s="398" t="s">
        <v>881</v>
      </c>
      <c r="J1015" s="418" t="s">
        <v>882</v>
      </c>
      <c r="K1015" s="418" t="s">
        <v>883</v>
      </c>
      <c r="L1015" s="399" t="s">
        <v>798</v>
      </c>
      <c r="M1015" s="544" t="s">
        <v>310</v>
      </c>
      <c r="N1015" s="414">
        <v>44610</v>
      </c>
      <c r="O1015" s="414" t="s">
        <v>405</v>
      </c>
      <c r="P1015" s="222">
        <f t="shared" si="65"/>
        <v>2</v>
      </c>
      <c r="Q1015" s="222">
        <f t="shared" si="66"/>
        <v>2</v>
      </c>
      <c r="R1015" s="532" t="str">
        <f t="shared" si="67"/>
        <v>Gastos_custeados_por_captação</v>
      </c>
      <c r="S1015" s="467" t="s">
        <v>310</v>
      </c>
      <c r="T1015" s="467" t="s">
        <v>310</v>
      </c>
      <c r="U1015" s="496"/>
      <c r="V1015" s="496"/>
      <c r="W1015" s="496"/>
    </row>
    <row r="1016" spans="1:23" ht="48" x14ac:dyDescent="0.2">
      <c r="A1016" s="510">
        <f t="shared" si="64"/>
        <v>1013</v>
      </c>
      <c r="B1016" s="428">
        <v>44610</v>
      </c>
      <c r="C1016" s="431">
        <v>44593</v>
      </c>
      <c r="D1016" s="415" t="s">
        <v>468</v>
      </c>
      <c r="E1016" s="415" t="s">
        <v>468</v>
      </c>
      <c r="F1016" s="459">
        <v>775</v>
      </c>
      <c r="G1016" s="399" t="s">
        <v>2478</v>
      </c>
      <c r="H1016" s="415" t="s">
        <v>468</v>
      </c>
      <c r="I1016" s="473" t="s">
        <v>795</v>
      </c>
      <c r="J1016" s="415" t="s">
        <v>796</v>
      </c>
      <c r="K1016" s="415" t="s">
        <v>797</v>
      </c>
      <c r="L1016" s="415" t="s">
        <v>798</v>
      </c>
      <c r="M1016" s="415" t="s">
        <v>310</v>
      </c>
      <c r="N1016" s="414">
        <v>44610</v>
      </c>
      <c r="O1016" s="414" t="s">
        <v>408</v>
      </c>
      <c r="P1016" s="222">
        <f t="shared" si="65"/>
        <v>2</v>
      </c>
      <c r="Q1016" s="222">
        <f t="shared" si="66"/>
        <v>2</v>
      </c>
      <c r="R1016" s="532" t="str">
        <f t="shared" si="67"/>
        <v>Gastos_custeados_por_captação</v>
      </c>
      <c r="S1016" s="467" t="s">
        <v>310</v>
      </c>
      <c r="T1016" s="467" t="s">
        <v>310</v>
      </c>
      <c r="U1016" s="496"/>
      <c r="V1016" s="496"/>
      <c r="W1016" s="496"/>
    </row>
    <row r="1017" spans="1:23" ht="48" x14ac:dyDescent="0.2">
      <c r="A1017" s="510">
        <f t="shared" si="64"/>
        <v>1014</v>
      </c>
      <c r="B1017" s="428">
        <v>44610</v>
      </c>
      <c r="C1017" s="431">
        <v>44593</v>
      </c>
      <c r="D1017" s="415" t="s">
        <v>468</v>
      </c>
      <c r="E1017" s="415" t="s">
        <v>468</v>
      </c>
      <c r="F1017" s="459">
        <v>775</v>
      </c>
      <c r="G1017" s="399" t="s">
        <v>2479</v>
      </c>
      <c r="H1017" s="415" t="s">
        <v>468</v>
      </c>
      <c r="I1017" s="473" t="s">
        <v>795</v>
      </c>
      <c r="J1017" s="415" t="s">
        <v>796</v>
      </c>
      <c r="K1017" s="415" t="s">
        <v>797</v>
      </c>
      <c r="L1017" s="415" t="s">
        <v>798</v>
      </c>
      <c r="M1017" s="415" t="s">
        <v>310</v>
      </c>
      <c r="N1017" s="414">
        <v>44610</v>
      </c>
      <c r="O1017" s="414" t="s">
        <v>408</v>
      </c>
      <c r="P1017" s="222">
        <f t="shared" si="65"/>
        <v>2</v>
      </c>
      <c r="Q1017" s="222">
        <f t="shared" si="66"/>
        <v>2</v>
      </c>
      <c r="R1017" s="532" t="str">
        <f t="shared" si="67"/>
        <v>Gastos_custeados_por_captação</v>
      </c>
      <c r="S1017" s="467" t="s">
        <v>310</v>
      </c>
      <c r="T1017" s="467" t="s">
        <v>310</v>
      </c>
      <c r="U1017" s="496"/>
      <c r="V1017" s="496"/>
      <c r="W1017" s="496"/>
    </row>
    <row r="1018" spans="1:23" ht="36" x14ac:dyDescent="0.2">
      <c r="A1018" s="510">
        <f t="shared" si="64"/>
        <v>1015</v>
      </c>
      <c r="B1018" s="428">
        <v>44610</v>
      </c>
      <c r="C1018" s="431">
        <v>44593</v>
      </c>
      <c r="D1018" s="415" t="s">
        <v>468</v>
      </c>
      <c r="E1018" s="415" t="s">
        <v>468</v>
      </c>
      <c r="F1018" s="459">
        <v>24.08</v>
      </c>
      <c r="G1018" s="399" t="s">
        <v>2480</v>
      </c>
      <c r="H1018" s="415" t="s">
        <v>468</v>
      </c>
      <c r="I1018" s="473" t="s">
        <v>1461</v>
      </c>
      <c r="J1018" s="415" t="s">
        <v>310</v>
      </c>
      <c r="K1018" s="415" t="s">
        <v>1220</v>
      </c>
      <c r="L1018" s="415" t="s">
        <v>1368</v>
      </c>
      <c r="M1018" s="415" t="s">
        <v>310</v>
      </c>
      <c r="N1018" s="414">
        <v>44610</v>
      </c>
      <c r="O1018" s="414" t="s">
        <v>408</v>
      </c>
      <c r="P1018" s="222">
        <f t="shared" si="65"/>
        <v>2</v>
      </c>
      <c r="Q1018" s="222">
        <f t="shared" si="66"/>
        <v>2</v>
      </c>
      <c r="R1018" s="532" t="str">
        <f t="shared" si="67"/>
        <v>Gastos_custeados_por_captação</v>
      </c>
      <c r="S1018" s="467" t="s">
        <v>310</v>
      </c>
      <c r="T1018" s="467" t="s">
        <v>310</v>
      </c>
      <c r="U1018" s="496"/>
      <c r="V1018" s="496"/>
      <c r="W1018" s="496"/>
    </row>
    <row r="1019" spans="1:23" ht="36" x14ac:dyDescent="0.2">
      <c r="A1019" s="510">
        <f t="shared" si="64"/>
        <v>1016</v>
      </c>
      <c r="B1019" s="428">
        <v>44610</v>
      </c>
      <c r="C1019" s="431">
        <v>44593</v>
      </c>
      <c r="D1019" s="415" t="s">
        <v>468</v>
      </c>
      <c r="E1019" s="415" t="s">
        <v>468</v>
      </c>
      <c r="F1019" s="459">
        <v>24.08</v>
      </c>
      <c r="G1019" s="399" t="s">
        <v>2481</v>
      </c>
      <c r="H1019" s="415" t="s">
        <v>468</v>
      </c>
      <c r="I1019" s="473" t="s">
        <v>1461</v>
      </c>
      <c r="J1019" s="415" t="s">
        <v>310</v>
      </c>
      <c r="K1019" s="415" t="s">
        <v>1220</v>
      </c>
      <c r="L1019" s="415" t="s">
        <v>1368</v>
      </c>
      <c r="M1019" s="415" t="s">
        <v>310</v>
      </c>
      <c r="N1019" s="414">
        <v>44610</v>
      </c>
      <c r="O1019" s="414" t="s">
        <v>408</v>
      </c>
      <c r="P1019" s="222">
        <f t="shared" si="65"/>
        <v>2</v>
      </c>
      <c r="Q1019" s="222">
        <f t="shared" si="66"/>
        <v>2</v>
      </c>
      <c r="R1019" s="532" t="str">
        <f t="shared" si="67"/>
        <v>Gastos_custeados_por_captação</v>
      </c>
      <c r="S1019" s="467" t="s">
        <v>310</v>
      </c>
      <c r="T1019" s="467" t="s">
        <v>310</v>
      </c>
      <c r="U1019" s="496"/>
      <c r="V1019" s="496"/>
      <c r="W1019" s="496"/>
    </row>
    <row r="1020" spans="1:23" ht="60" x14ac:dyDescent="0.2">
      <c r="A1020" s="510">
        <f t="shared" si="64"/>
        <v>1017</v>
      </c>
      <c r="B1020" s="428">
        <v>44610</v>
      </c>
      <c r="C1020" s="431">
        <v>44562</v>
      </c>
      <c r="D1020" s="415" t="s">
        <v>468</v>
      </c>
      <c r="E1020" s="415" t="s">
        <v>468</v>
      </c>
      <c r="F1020" s="541">
        <v>930</v>
      </c>
      <c r="G1020" s="399" t="s">
        <v>2580</v>
      </c>
      <c r="H1020" s="415" t="s">
        <v>468</v>
      </c>
      <c r="I1020" s="473" t="s">
        <v>795</v>
      </c>
      <c r="J1020" s="415" t="s">
        <v>796</v>
      </c>
      <c r="K1020" s="415" t="s">
        <v>797</v>
      </c>
      <c r="L1020" s="415" t="s">
        <v>798</v>
      </c>
      <c r="M1020" s="415" t="s">
        <v>310</v>
      </c>
      <c r="N1020" s="414">
        <v>44610</v>
      </c>
      <c r="O1020" s="414" t="s">
        <v>401</v>
      </c>
      <c r="P1020" s="222">
        <f t="shared" si="65"/>
        <v>2</v>
      </c>
      <c r="Q1020" s="222">
        <f t="shared" si="66"/>
        <v>1</v>
      </c>
      <c r="R1020" s="532" t="str">
        <f t="shared" si="67"/>
        <v>Gastos_custeados_por_captação</v>
      </c>
      <c r="S1020" s="467" t="s">
        <v>310</v>
      </c>
      <c r="T1020" s="467" t="s">
        <v>310</v>
      </c>
      <c r="U1020" s="535"/>
      <c r="V1020" s="535"/>
      <c r="W1020" s="535"/>
    </row>
    <row r="1021" spans="1:23" ht="60" x14ac:dyDescent="0.2">
      <c r="A1021" s="510">
        <f t="shared" si="64"/>
        <v>1018</v>
      </c>
      <c r="B1021" s="428">
        <v>44610</v>
      </c>
      <c r="C1021" s="431">
        <v>44562</v>
      </c>
      <c r="D1021" s="415" t="s">
        <v>468</v>
      </c>
      <c r="E1021" s="415" t="s">
        <v>468</v>
      </c>
      <c r="F1021" s="541">
        <v>775</v>
      </c>
      <c r="G1021" s="399" t="s">
        <v>2581</v>
      </c>
      <c r="H1021" s="415" t="s">
        <v>468</v>
      </c>
      <c r="I1021" s="473" t="s">
        <v>795</v>
      </c>
      <c r="J1021" s="415" t="s">
        <v>796</v>
      </c>
      <c r="K1021" s="415" t="s">
        <v>797</v>
      </c>
      <c r="L1021" s="415" t="s">
        <v>798</v>
      </c>
      <c r="M1021" s="415" t="s">
        <v>310</v>
      </c>
      <c r="N1021" s="414">
        <v>44610</v>
      </c>
      <c r="O1021" s="414" t="s">
        <v>401</v>
      </c>
      <c r="P1021" s="222">
        <f t="shared" si="65"/>
        <v>2</v>
      </c>
      <c r="Q1021" s="222">
        <f t="shared" si="66"/>
        <v>1</v>
      </c>
      <c r="R1021" s="532" t="str">
        <f t="shared" si="67"/>
        <v>Gastos_custeados_por_captação</v>
      </c>
      <c r="S1021" s="467" t="s">
        <v>310</v>
      </c>
      <c r="T1021" s="467" t="s">
        <v>310</v>
      </c>
      <c r="U1021" s="496"/>
      <c r="V1021" s="496"/>
      <c r="W1021" s="496"/>
    </row>
    <row r="1022" spans="1:23" ht="60" x14ac:dyDescent="0.2">
      <c r="A1022" s="510">
        <f t="shared" si="64"/>
        <v>1019</v>
      </c>
      <c r="B1022" s="428">
        <v>44610</v>
      </c>
      <c r="C1022" s="431">
        <v>44562</v>
      </c>
      <c r="D1022" s="415" t="s">
        <v>468</v>
      </c>
      <c r="E1022" s="415" t="s">
        <v>468</v>
      </c>
      <c r="F1022" s="541">
        <v>775</v>
      </c>
      <c r="G1022" s="399" t="s">
        <v>2582</v>
      </c>
      <c r="H1022" s="415" t="s">
        <v>468</v>
      </c>
      <c r="I1022" s="473" t="s">
        <v>795</v>
      </c>
      <c r="J1022" s="415" t="s">
        <v>796</v>
      </c>
      <c r="K1022" s="415" t="s">
        <v>797</v>
      </c>
      <c r="L1022" s="415" t="s">
        <v>798</v>
      </c>
      <c r="M1022" s="415" t="s">
        <v>310</v>
      </c>
      <c r="N1022" s="414">
        <v>44610</v>
      </c>
      <c r="O1022" s="414" t="s">
        <v>401</v>
      </c>
      <c r="P1022" s="222">
        <f t="shared" si="65"/>
        <v>2</v>
      </c>
      <c r="Q1022" s="222">
        <f t="shared" si="66"/>
        <v>1</v>
      </c>
      <c r="R1022" s="532" t="str">
        <f t="shared" si="67"/>
        <v>Gastos_custeados_por_captação</v>
      </c>
      <c r="S1022" s="467" t="s">
        <v>310</v>
      </c>
      <c r="T1022" s="467" t="s">
        <v>310</v>
      </c>
      <c r="U1022" s="496"/>
      <c r="V1022" s="496"/>
      <c r="W1022" s="496"/>
    </row>
    <row r="1023" spans="1:23" ht="60" x14ac:dyDescent="0.2">
      <c r="A1023" s="510">
        <f t="shared" si="64"/>
        <v>1020</v>
      </c>
      <c r="B1023" s="428">
        <v>44610</v>
      </c>
      <c r="C1023" s="431">
        <v>44562</v>
      </c>
      <c r="D1023" s="415" t="s">
        <v>468</v>
      </c>
      <c r="E1023" s="415" t="s">
        <v>468</v>
      </c>
      <c r="F1023" s="541">
        <v>930</v>
      </c>
      <c r="G1023" s="399" t="s">
        <v>2583</v>
      </c>
      <c r="H1023" s="415" t="s">
        <v>468</v>
      </c>
      <c r="I1023" s="473" t="s">
        <v>795</v>
      </c>
      <c r="J1023" s="415" t="s">
        <v>796</v>
      </c>
      <c r="K1023" s="415" t="s">
        <v>797</v>
      </c>
      <c r="L1023" s="415" t="s">
        <v>798</v>
      </c>
      <c r="M1023" s="415" t="s">
        <v>310</v>
      </c>
      <c r="N1023" s="414">
        <v>44610</v>
      </c>
      <c r="O1023" s="414" t="s">
        <v>401</v>
      </c>
      <c r="P1023" s="222">
        <f t="shared" ref="P1023:P1085" si="68">IF(B1023=0,0,IF(YEAR(B1023)=$Q$1,MONTH(B1023)-$P$1+1,(YEAR(B1023)-$Q$1)*12-$P$1+1+MONTH(B1023)))</f>
        <v>2</v>
      </c>
      <c r="Q1023" s="222">
        <f t="shared" ref="Q1023:Q1085" si="69">IF(C1023=0,0,IF(YEAR(C1023)=$Q$1,MONTH(C1023)-$P$1+1,(YEAR(C1023)-$Q$1)*12-$P$1+1+MONTH(C1023)))</f>
        <v>1</v>
      </c>
      <c r="R1023" s="532" t="str">
        <f t="shared" ref="R1023:R1085" si="70">SUBSTITUTE(D1023," ","_")</f>
        <v>Gastos_custeados_por_captação</v>
      </c>
      <c r="S1023" s="467" t="s">
        <v>310</v>
      </c>
      <c r="T1023" s="467" t="s">
        <v>310</v>
      </c>
      <c r="U1023" s="496"/>
      <c r="V1023" s="496"/>
      <c r="W1023" s="496"/>
    </row>
    <row r="1024" spans="1:23" ht="60" x14ac:dyDescent="0.2">
      <c r="A1024" s="510">
        <f t="shared" ref="A1024:A1086" si="71">IF(B1024="","",ROW()-ROW($A$3))</f>
        <v>1021</v>
      </c>
      <c r="B1024" s="428">
        <v>44610</v>
      </c>
      <c r="C1024" s="431">
        <v>44562</v>
      </c>
      <c r="D1024" s="415" t="s">
        <v>468</v>
      </c>
      <c r="E1024" s="415" t="s">
        <v>468</v>
      </c>
      <c r="F1024" s="541">
        <v>57.45</v>
      </c>
      <c r="G1024" s="399" t="s">
        <v>2584</v>
      </c>
      <c r="H1024" s="415" t="s">
        <v>468</v>
      </c>
      <c r="I1024" s="473" t="s">
        <v>1461</v>
      </c>
      <c r="J1024" s="415" t="s">
        <v>310</v>
      </c>
      <c r="K1024" s="415" t="s">
        <v>1220</v>
      </c>
      <c r="L1024" s="415" t="s">
        <v>1368</v>
      </c>
      <c r="M1024" s="415" t="s">
        <v>310</v>
      </c>
      <c r="N1024" s="414">
        <v>44610</v>
      </c>
      <c r="O1024" s="414" t="s">
        <v>401</v>
      </c>
      <c r="P1024" s="222">
        <f t="shared" si="68"/>
        <v>2</v>
      </c>
      <c r="Q1024" s="222">
        <f t="shared" si="69"/>
        <v>1</v>
      </c>
      <c r="R1024" s="532" t="str">
        <f t="shared" si="70"/>
        <v>Gastos_custeados_por_captação</v>
      </c>
      <c r="S1024" s="467" t="s">
        <v>310</v>
      </c>
      <c r="T1024" s="467" t="s">
        <v>310</v>
      </c>
      <c r="U1024" s="496"/>
      <c r="V1024" s="496"/>
      <c r="W1024" s="496"/>
    </row>
    <row r="1025" spans="1:23" ht="60" x14ac:dyDescent="0.2">
      <c r="A1025" s="510">
        <f t="shared" si="71"/>
        <v>1022</v>
      </c>
      <c r="B1025" s="428">
        <v>44610</v>
      </c>
      <c r="C1025" s="431">
        <v>44562</v>
      </c>
      <c r="D1025" s="415" t="s">
        <v>468</v>
      </c>
      <c r="E1025" s="415" t="s">
        <v>468</v>
      </c>
      <c r="F1025" s="541">
        <v>24.08</v>
      </c>
      <c r="G1025" s="399" t="s">
        <v>2585</v>
      </c>
      <c r="H1025" s="415" t="s">
        <v>468</v>
      </c>
      <c r="I1025" s="473" t="s">
        <v>1461</v>
      </c>
      <c r="J1025" s="415" t="s">
        <v>310</v>
      </c>
      <c r="K1025" s="415" t="s">
        <v>1220</v>
      </c>
      <c r="L1025" s="415" t="s">
        <v>1368</v>
      </c>
      <c r="M1025" s="415" t="s">
        <v>310</v>
      </c>
      <c r="N1025" s="414">
        <v>44610</v>
      </c>
      <c r="O1025" s="414" t="s">
        <v>401</v>
      </c>
      <c r="P1025" s="222">
        <f t="shared" si="68"/>
        <v>2</v>
      </c>
      <c r="Q1025" s="222">
        <f t="shared" si="69"/>
        <v>1</v>
      </c>
      <c r="R1025" s="532" t="str">
        <f t="shared" si="70"/>
        <v>Gastos_custeados_por_captação</v>
      </c>
      <c r="S1025" s="467" t="s">
        <v>310</v>
      </c>
      <c r="T1025" s="467" t="s">
        <v>310</v>
      </c>
      <c r="U1025" s="496"/>
      <c r="V1025" s="496"/>
      <c r="W1025" s="496"/>
    </row>
    <row r="1026" spans="1:23" ht="60" x14ac:dyDescent="0.2">
      <c r="A1026" s="510">
        <f t="shared" si="71"/>
        <v>1023</v>
      </c>
      <c r="B1026" s="428">
        <v>44610</v>
      </c>
      <c r="C1026" s="431">
        <v>44562</v>
      </c>
      <c r="D1026" s="415" t="s">
        <v>468</v>
      </c>
      <c r="E1026" s="415" t="s">
        <v>468</v>
      </c>
      <c r="F1026" s="541">
        <v>24.08</v>
      </c>
      <c r="G1026" s="399" t="s">
        <v>2586</v>
      </c>
      <c r="H1026" s="415" t="s">
        <v>468</v>
      </c>
      <c r="I1026" s="473" t="s">
        <v>1461</v>
      </c>
      <c r="J1026" s="415" t="s">
        <v>310</v>
      </c>
      <c r="K1026" s="415" t="s">
        <v>1220</v>
      </c>
      <c r="L1026" s="415" t="s">
        <v>1368</v>
      </c>
      <c r="M1026" s="415" t="s">
        <v>310</v>
      </c>
      <c r="N1026" s="414">
        <v>44610</v>
      </c>
      <c r="O1026" s="414" t="s">
        <v>401</v>
      </c>
      <c r="P1026" s="222">
        <f t="shared" si="68"/>
        <v>2</v>
      </c>
      <c r="Q1026" s="222">
        <f t="shared" si="69"/>
        <v>1</v>
      </c>
      <c r="R1026" s="532" t="str">
        <f t="shared" si="70"/>
        <v>Gastos_custeados_por_captação</v>
      </c>
      <c r="S1026" s="467" t="s">
        <v>310</v>
      </c>
      <c r="T1026" s="467" t="s">
        <v>310</v>
      </c>
      <c r="U1026" s="496"/>
      <c r="V1026" s="496"/>
      <c r="W1026" s="496"/>
    </row>
    <row r="1027" spans="1:23" ht="60" x14ac:dyDescent="0.2">
      <c r="A1027" s="510">
        <f t="shared" si="71"/>
        <v>1024</v>
      </c>
      <c r="B1027" s="428">
        <v>44610</v>
      </c>
      <c r="C1027" s="431">
        <v>44562</v>
      </c>
      <c r="D1027" s="415" t="s">
        <v>468</v>
      </c>
      <c r="E1027" s="415" t="s">
        <v>468</v>
      </c>
      <c r="F1027" s="541">
        <v>57.45</v>
      </c>
      <c r="G1027" s="399" t="s">
        <v>2587</v>
      </c>
      <c r="H1027" s="415" t="s">
        <v>468</v>
      </c>
      <c r="I1027" s="473" t="s">
        <v>1461</v>
      </c>
      <c r="J1027" s="415" t="s">
        <v>310</v>
      </c>
      <c r="K1027" s="415" t="s">
        <v>1220</v>
      </c>
      <c r="L1027" s="415" t="s">
        <v>1368</v>
      </c>
      <c r="M1027" s="415" t="s">
        <v>310</v>
      </c>
      <c r="N1027" s="414">
        <v>44610</v>
      </c>
      <c r="O1027" s="414" t="s">
        <v>401</v>
      </c>
      <c r="P1027" s="222">
        <f t="shared" si="68"/>
        <v>2</v>
      </c>
      <c r="Q1027" s="222">
        <f t="shared" si="69"/>
        <v>1</v>
      </c>
      <c r="R1027" s="532" t="str">
        <f t="shared" si="70"/>
        <v>Gastos_custeados_por_captação</v>
      </c>
      <c r="S1027" s="467" t="s">
        <v>310</v>
      </c>
      <c r="T1027" s="467" t="s">
        <v>310</v>
      </c>
      <c r="U1027" s="496"/>
      <c r="V1027" s="496"/>
      <c r="W1027" s="496"/>
    </row>
    <row r="1028" spans="1:23" ht="60" x14ac:dyDescent="0.2">
      <c r="A1028" s="510">
        <f t="shared" si="71"/>
        <v>1025</v>
      </c>
      <c r="B1028" s="428">
        <v>44610</v>
      </c>
      <c r="C1028" s="431">
        <v>44531</v>
      </c>
      <c r="D1028" s="415" t="s">
        <v>468</v>
      </c>
      <c r="E1028" s="415" t="s">
        <v>468</v>
      </c>
      <c r="F1028" s="541">
        <v>60</v>
      </c>
      <c r="G1028" s="399" t="s">
        <v>2588</v>
      </c>
      <c r="H1028" s="415" t="s">
        <v>468</v>
      </c>
      <c r="I1028" s="473" t="s">
        <v>1461</v>
      </c>
      <c r="J1028" s="415" t="s">
        <v>310</v>
      </c>
      <c r="K1028" s="415" t="s">
        <v>1220</v>
      </c>
      <c r="L1028" s="415" t="s">
        <v>1368</v>
      </c>
      <c r="M1028" s="415" t="s">
        <v>310</v>
      </c>
      <c r="N1028" s="414">
        <v>44610</v>
      </c>
      <c r="O1028" s="414" t="s">
        <v>401</v>
      </c>
      <c r="P1028" s="222">
        <f t="shared" si="68"/>
        <v>2</v>
      </c>
      <c r="Q1028" s="222">
        <f t="shared" si="69"/>
        <v>0</v>
      </c>
      <c r="R1028" s="532" t="str">
        <f t="shared" si="70"/>
        <v>Gastos_custeados_por_captação</v>
      </c>
      <c r="S1028" s="467" t="s">
        <v>310</v>
      </c>
      <c r="T1028" s="467" t="s">
        <v>310</v>
      </c>
      <c r="U1028" s="496"/>
      <c r="V1028" s="496"/>
      <c r="W1028" s="496"/>
    </row>
    <row r="1029" spans="1:23" ht="72" x14ac:dyDescent="0.2">
      <c r="A1029" s="510">
        <f t="shared" si="71"/>
        <v>1026</v>
      </c>
      <c r="B1029" s="428">
        <v>44610</v>
      </c>
      <c r="C1029" s="431">
        <v>44531</v>
      </c>
      <c r="D1029" s="415" t="s">
        <v>468</v>
      </c>
      <c r="E1029" s="415" t="s">
        <v>468</v>
      </c>
      <c r="F1029" s="459">
        <v>465</v>
      </c>
      <c r="G1029" s="399" t="s">
        <v>2638</v>
      </c>
      <c r="H1029" s="415" t="s">
        <v>468</v>
      </c>
      <c r="I1029" s="473" t="s">
        <v>795</v>
      </c>
      <c r="J1029" s="415" t="s">
        <v>796</v>
      </c>
      <c r="K1029" s="415" t="s">
        <v>797</v>
      </c>
      <c r="L1029" s="415" t="s">
        <v>798</v>
      </c>
      <c r="M1029" s="415" t="s">
        <v>310</v>
      </c>
      <c r="N1029" s="414">
        <v>44610</v>
      </c>
      <c r="O1029" s="414" t="s">
        <v>402</v>
      </c>
      <c r="P1029" s="222">
        <f t="shared" si="68"/>
        <v>2</v>
      </c>
      <c r="Q1029" s="222">
        <f t="shared" si="69"/>
        <v>0</v>
      </c>
      <c r="R1029" s="532" t="str">
        <f t="shared" si="70"/>
        <v>Gastos_custeados_por_captação</v>
      </c>
      <c r="S1029" s="467" t="s">
        <v>310</v>
      </c>
      <c r="T1029" s="467" t="s">
        <v>310</v>
      </c>
      <c r="U1029" s="496"/>
      <c r="V1029" s="496"/>
      <c r="W1029" s="496"/>
    </row>
    <row r="1030" spans="1:23" ht="72" x14ac:dyDescent="0.2">
      <c r="A1030" s="510">
        <f t="shared" si="71"/>
        <v>1027</v>
      </c>
      <c r="B1030" s="428">
        <v>44610</v>
      </c>
      <c r="C1030" s="431">
        <v>44531</v>
      </c>
      <c r="D1030" s="415" t="s">
        <v>468</v>
      </c>
      <c r="E1030" s="415" t="s">
        <v>468</v>
      </c>
      <c r="F1030" s="459">
        <v>505.64</v>
      </c>
      <c r="G1030" s="399" t="s">
        <v>2639</v>
      </c>
      <c r="H1030" s="415" t="s">
        <v>468</v>
      </c>
      <c r="I1030" s="473" t="s">
        <v>1461</v>
      </c>
      <c r="J1030" s="415" t="s">
        <v>310</v>
      </c>
      <c r="K1030" s="415" t="s">
        <v>1220</v>
      </c>
      <c r="L1030" s="415" t="s">
        <v>1368</v>
      </c>
      <c r="M1030" s="415" t="s">
        <v>310</v>
      </c>
      <c r="N1030" s="414">
        <v>44610</v>
      </c>
      <c r="O1030" s="414" t="s">
        <v>402</v>
      </c>
      <c r="P1030" s="222">
        <f t="shared" si="68"/>
        <v>2</v>
      </c>
      <c r="Q1030" s="222">
        <f t="shared" si="69"/>
        <v>0</v>
      </c>
      <c r="R1030" s="532" t="str">
        <f t="shared" si="70"/>
        <v>Gastos_custeados_por_captação</v>
      </c>
      <c r="S1030" s="467" t="s">
        <v>310</v>
      </c>
      <c r="T1030" s="467" t="s">
        <v>310</v>
      </c>
      <c r="U1030" s="496"/>
      <c r="V1030" s="496"/>
      <c r="W1030" s="496"/>
    </row>
    <row r="1031" spans="1:23" ht="60" x14ac:dyDescent="0.2">
      <c r="A1031" s="510">
        <f t="shared" si="71"/>
        <v>1028</v>
      </c>
      <c r="B1031" s="428">
        <v>44610</v>
      </c>
      <c r="C1031" s="424">
        <v>44593</v>
      </c>
      <c r="D1031" s="415" t="s">
        <v>271</v>
      </c>
      <c r="E1031" s="415" t="s">
        <v>453</v>
      </c>
      <c r="F1031" s="425">
        <v>1720</v>
      </c>
      <c r="G1031" s="427" t="s">
        <v>1597</v>
      </c>
      <c r="H1031" s="415" t="s">
        <v>757</v>
      </c>
      <c r="I1031" s="475" t="s">
        <v>1836</v>
      </c>
      <c r="J1031" s="415" t="s">
        <v>1596</v>
      </c>
      <c r="K1031" s="418" t="s">
        <v>830</v>
      </c>
      <c r="L1031" s="399" t="s">
        <v>839</v>
      </c>
      <c r="M1031" s="544">
        <v>1580</v>
      </c>
      <c r="N1031" s="414">
        <v>44609</v>
      </c>
      <c r="O1031" s="414" t="s">
        <v>400</v>
      </c>
      <c r="P1031" s="222">
        <f t="shared" si="68"/>
        <v>2</v>
      </c>
      <c r="Q1031" s="222">
        <f t="shared" si="69"/>
        <v>2</v>
      </c>
      <c r="R1031" s="532" t="str">
        <f t="shared" si="70"/>
        <v>Gastos_Gerais</v>
      </c>
      <c r="S1031" s="467" t="s">
        <v>998</v>
      </c>
      <c r="T1031" s="467">
        <v>2844</v>
      </c>
      <c r="U1031" s="496"/>
      <c r="V1031" s="496"/>
      <c r="W1031" s="496"/>
    </row>
    <row r="1032" spans="1:23" ht="48" x14ac:dyDescent="0.2">
      <c r="A1032" s="510">
        <f t="shared" si="71"/>
        <v>1029</v>
      </c>
      <c r="B1032" s="428">
        <v>44613</v>
      </c>
      <c r="C1032" s="433">
        <v>44562</v>
      </c>
      <c r="D1032" s="415" t="s">
        <v>271</v>
      </c>
      <c r="E1032" s="415" t="s">
        <v>183</v>
      </c>
      <c r="F1032" s="425">
        <v>-93.06</v>
      </c>
      <c r="G1032" s="440" t="s">
        <v>1873</v>
      </c>
      <c r="H1032" s="434" t="s">
        <v>309</v>
      </c>
      <c r="I1032" s="473" t="s">
        <v>795</v>
      </c>
      <c r="J1032" s="415" t="s">
        <v>796</v>
      </c>
      <c r="K1032" s="415" t="s">
        <v>797</v>
      </c>
      <c r="L1032" s="415" t="s">
        <v>798</v>
      </c>
      <c r="M1032" s="415" t="s">
        <v>310</v>
      </c>
      <c r="N1032" s="414">
        <v>44613</v>
      </c>
      <c r="O1032" s="414" t="s">
        <v>400</v>
      </c>
      <c r="P1032" s="222">
        <f t="shared" si="68"/>
        <v>2</v>
      </c>
      <c r="Q1032" s="222">
        <f t="shared" si="69"/>
        <v>1</v>
      </c>
      <c r="R1032" s="532" t="str">
        <f t="shared" si="70"/>
        <v>Gastos_Gerais</v>
      </c>
      <c r="S1032" s="467" t="s">
        <v>310</v>
      </c>
      <c r="T1032" s="467" t="s">
        <v>310</v>
      </c>
      <c r="U1032" s="496"/>
      <c r="V1032" s="496"/>
      <c r="W1032" s="496"/>
    </row>
    <row r="1033" spans="1:23" ht="36" x14ac:dyDescent="0.2">
      <c r="A1033" s="510">
        <f t="shared" si="71"/>
        <v>1030</v>
      </c>
      <c r="B1033" s="428">
        <v>44613</v>
      </c>
      <c r="C1033" s="424">
        <v>44593</v>
      </c>
      <c r="D1033" s="415" t="s">
        <v>468</v>
      </c>
      <c r="E1033" s="415" t="s">
        <v>468</v>
      </c>
      <c r="F1033" s="425">
        <v>10.45</v>
      </c>
      <c r="G1033" s="427" t="s">
        <v>2469</v>
      </c>
      <c r="H1033" s="415" t="s">
        <v>468</v>
      </c>
      <c r="I1033" s="398" t="s">
        <v>881</v>
      </c>
      <c r="J1033" s="418" t="s">
        <v>882</v>
      </c>
      <c r="K1033" s="418" t="s">
        <v>883</v>
      </c>
      <c r="L1033" s="399" t="s">
        <v>798</v>
      </c>
      <c r="M1033" s="544" t="s">
        <v>310</v>
      </c>
      <c r="N1033" s="414">
        <v>44613</v>
      </c>
      <c r="O1033" s="414" t="s">
        <v>408</v>
      </c>
      <c r="P1033" s="222">
        <f t="shared" si="68"/>
        <v>2</v>
      </c>
      <c r="Q1033" s="222">
        <f t="shared" si="69"/>
        <v>2</v>
      </c>
      <c r="R1033" s="532" t="str">
        <f t="shared" si="70"/>
        <v>Gastos_custeados_por_captação</v>
      </c>
      <c r="S1033" s="467" t="s">
        <v>310</v>
      </c>
      <c r="T1033" s="467" t="s">
        <v>310</v>
      </c>
      <c r="U1033" s="496"/>
      <c r="V1033" s="496"/>
      <c r="W1033" s="496"/>
    </row>
    <row r="1034" spans="1:23" ht="108" x14ac:dyDescent="0.2">
      <c r="A1034" s="510">
        <f t="shared" si="71"/>
        <v>1031</v>
      </c>
      <c r="B1034" s="428">
        <v>44613</v>
      </c>
      <c r="C1034" s="431">
        <v>44562</v>
      </c>
      <c r="D1034" s="415" t="s">
        <v>468</v>
      </c>
      <c r="E1034" s="415" t="s">
        <v>468</v>
      </c>
      <c r="F1034" s="425">
        <v>3180.8</v>
      </c>
      <c r="G1034" s="437" t="s">
        <v>1736</v>
      </c>
      <c r="H1034" s="415" t="s">
        <v>468</v>
      </c>
      <c r="I1034" s="474" t="s">
        <v>2482</v>
      </c>
      <c r="J1034" s="434" t="s">
        <v>1735</v>
      </c>
      <c r="K1034" s="418" t="s">
        <v>830</v>
      </c>
      <c r="L1034" s="399" t="s">
        <v>839</v>
      </c>
      <c r="M1034" s="544">
        <v>1584</v>
      </c>
      <c r="N1034" s="414">
        <v>44610</v>
      </c>
      <c r="O1034" s="414" t="s">
        <v>408</v>
      </c>
      <c r="P1034" s="222">
        <f t="shared" si="68"/>
        <v>2</v>
      </c>
      <c r="Q1034" s="222">
        <f t="shared" si="69"/>
        <v>1</v>
      </c>
      <c r="R1034" s="532" t="str">
        <f t="shared" si="70"/>
        <v>Gastos_custeados_por_captação</v>
      </c>
      <c r="S1034" s="467" t="s">
        <v>1000</v>
      </c>
      <c r="T1034" s="467">
        <v>2759</v>
      </c>
      <c r="U1034" s="496"/>
      <c r="V1034" s="496"/>
      <c r="W1034" s="496"/>
    </row>
    <row r="1035" spans="1:23" ht="24" x14ac:dyDescent="0.2">
      <c r="A1035" s="510">
        <f t="shared" si="71"/>
        <v>1032</v>
      </c>
      <c r="B1035" s="428">
        <v>44613</v>
      </c>
      <c r="C1035" s="433">
        <v>44562</v>
      </c>
      <c r="D1035" s="415" t="s">
        <v>271</v>
      </c>
      <c r="E1035" s="415" t="s">
        <v>183</v>
      </c>
      <c r="F1035" s="425">
        <v>352.38</v>
      </c>
      <c r="G1035" s="437" t="s">
        <v>1431</v>
      </c>
      <c r="H1035" s="434" t="s">
        <v>309</v>
      </c>
      <c r="I1035" s="474" t="s">
        <v>768</v>
      </c>
      <c r="J1035" s="434" t="s">
        <v>1021</v>
      </c>
      <c r="K1035" s="418" t="s">
        <v>812</v>
      </c>
      <c r="L1035" s="399" t="s">
        <v>1372</v>
      </c>
      <c r="M1035" s="544" t="s">
        <v>1874</v>
      </c>
      <c r="N1035" s="414">
        <v>44593</v>
      </c>
      <c r="O1035" s="414" t="s">
        <v>400</v>
      </c>
      <c r="P1035" s="222">
        <f t="shared" si="68"/>
        <v>2</v>
      </c>
      <c r="Q1035" s="222">
        <f t="shared" si="69"/>
        <v>1</v>
      </c>
      <c r="R1035" s="532" t="str">
        <f t="shared" si="70"/>
        <v>Gastos_Gerais</v>
      </c>
      <c r="S1035" s="467" t="s">
        <v>310</v>
      </c>
      <c r="T1035" s="467" t="s">
        <v>310</v>
      </c>
      <c r="U1035" s="496"/>
      <c r="V1035" s="496"/>
      <c r="W1035" s="496"/>
    </row>
    <row r="1036" spans="1:23" ht="48" x14ac:dyDescent="0.2">
      <c r="A1036" s="510">
        <f t="shared" si="71"/>
        <v>1033</v>
      </c>
      <c r="B1036" s="428">
        <v>44613</v>
      </c>
      <c r="C1036" s="433">
        <v>44562</v>
      </c>
      <c r="D1036" s="415" t="s">
        <v>271</v>
      </c>
      <c r="E1036" s="415" t="s">
        <v>88</v>
      </c>
      <c r="F1036" s="425">
        <v>970</v>
      </c>
      <c r="G1036" s="427" t="s">
        <v>711</v>
      </c>
      <c r="H1036" s="415" t="s">
        <v>759</v>
      </c>
      <c r="I1036" s="473" t="s">
        <v>2325</v>
      </c>
      <c r="J1036" s="415" t="s">
        <v>1136</v>
      </c>
      <c r="K1036" s="415" t="s">
        <v>806</v>
      </c>
      <c r="L1036" s="399" t="s">
        <v>32</v>
      </c>
      <c r="M1036" s="551" t="s">
        <v>1331</v>
      </c>
      <c r="N1036" s="414">
        <v>44585</v>
      </c>
      <c r="O1036" s="414" t="s">
        <v>400</v>
      </c>
      <c r="P1036" s="222">
        <f t="shared" si="68"/>
        <v>2</v>
      </c>
      <c r="Q1036" s="222">
        <f t="shared" si="69"/>
        <v>1</v>
      </c>
      <c r="R1036" s="532" t="str">
        <f t="shared" si="70"/>
        <v>Gastos_Gerais</v>
      </c>
      <c r="S1036" s="467" t="s">
        <v>998</v>
      </c>
      <c r="T1036" s="467">
        <v>2658</v>
      </c>
      <c r="U1036" s="496"/>
      <c r="V1036" s="496"/>
      <c r="W1036" s="496"/>
    </row>
    <row r="1037" spans="1:23" ht="72" x14ac:dyDescent="0.2">
      <c r="A1037" s="510">
        <f t="shared" si="71"/>
        <v>1034</v>
      </c>
      <c r="B1037" s="428">
        <v>44613</v>
      </c>
      <c r="C1037" s="424">
        <v>44562</v>
      </c>
      <c r="D1037" s="415" t="s">
        <v>468</v>
      </c>
      <c r="E1037" s="415" t="s">
        <v>468</v>
      </c>
      <c r="F1037" s="425">
        <v>812.7</v>
      </c>
      <c r="G1037" s="427" t="s">
        <v>2641</v>
      </c>
      <c r="H1037" s="415" t="s">
        <v>468</v>
      </c>
      <c r="I1037" s="398" t="s">
        <v>2640</v>
      </c>
      <c r="J1037" s="418" t="s">
        <v>2642</v>
      </c>
      <c r="K1037" s="418" t="s">
        <v>812</v>
      </c>
      <c r="L1037" s="399" t="s">
        <v>2643</v>
      </c>
      <c r="M1037" s="544">
        <v>5757</v>
      </c>
      <c r="N1037" s="414">
        <v>44585</v>
      </c>
      <c r="O1037" s="414" t="s">
        <v>402</v>
      </c>
      <c r="P1037" s="222">
        <f t="shared" si="68"/>
        <v>2</v>
      </c>
      <c r="Q1037" s="222">
        <f t="shared" si="69"/>
        <v>1</v>
      </c>
      <c r="R1037" s="532" t="str">
        <f t="shared" si="70"/>
        <v>Gastos_custeados_por_captação</v>
      </c>
      <c r="S1037" s="467" t="s">
        <v>1303</v>
      </c>
      <c r="T1037" s="467">
        <v>2817</v>
      </c>
      <c r="U1037" s="496"/>
      <c r="V1037" s="496"/>
      <c r="W1037" s="496"/>
    </row>
    <row r="1038" spans="1:23" ht="84" x14ac:dyDescent="0.2">
      <c r="A1038" s="510">
        <f t="shared" si="71"/>
        <v>1035</v>
      </c>
      <c r="B1038" s="428">
        <v>44613</v>
      </c>
      <c r="C1038" s="424"/>
      <c r="D1038" s="415" t="s">
        <v>468</v>
      </c>
      <c r="E1038" s="415" t="s">
        <v>468</v>
      </c>
      <c r="F1038" s="425">
        <v>26863.200000000001</v>
      </c>
      <c r="G1038" s="427" t="s">
        <v>2884</v>
      </c>
      <c r="H1038" s="415" t="s">
        <v>468</v>
      </c>
      <c r="I1038" s="398" t="s">
        <v>2885</v>
      </c>
      <c r="J1038" s="418" t="s">
        <v>1720</v>
      </c>
      <c r="K1038" s="418" t="s">
        <v>830</v>
      </c>
      <c r="L1038" s="399" t="s">
        <v>807</v>
      </c>
      <c r="M1038" s="551" t="s">
        <v>1724</v>
      </c>
      <c r="N1038" s="414">
        <v>44582</v>
      </c>
      <c r="O1038" s="414" t="s">
        <v>407</v>
      </c>
      <c r="P1038" s="222">
        <f t="shared" si="68"/>
        <v>2</v>
      </c>
      <c r="Q1038" s="222">
        <f t="shared" si="69"/>
        <v>0</v>
      </c>
      <c r="R1038" s="532" t="str">
        <f t="shared" si="70"/>
        <v>Gastos_custeados_por_captação</v>
      </c>
      <c r="S1038" s="467" t="s">
        <v>1000</v>
      </c>
      <c r="T1038" s="467">
        <v>1794</v>
      </c>
      <c r="U1038" s="496"/>
      <c r="V1038" s="496"/>
      <c r="W1038" s="496"/>
    </row>
    <row r="1039" spans="1:23" ht="144" x14ac:dyDescent="0.2">
      <c r="A1039" s="510">
        <f t="shared" si="71"/>
        <v>1036</v>
      </c>
      <c r="B1039" s="428">
        <v>44614</v>
      </c>
      <c r="C1039" s="431">
        <v>44136</v>
      </c>
      <c r="D1039" s="415" t="s">
        <v>271</v>
      </c>
      <c r="E1039" s="415" t="s">
        <v>183</v>
      </c>
      <c r="F1039" s="425">
        <v>1054.73</v>
      </c>
      <c r="G1039" s="437" t="s">
        <v>470</v>
      </c>
      <c r="H1039" s="434" t="s">
        <v>748</v>
      </c>
      <c r="I1039" s="474" t="s">
        <v>1486</v>
      </c>
      <c r="J1039" s="418" t="s">
        <v>1487</v>
      </c>
      <c r="K1039" s="418" t="s">
        <v>812</v>
      </c>
      <c r="L1039" s="399" t="s">
        <v>807</v>
      </c>
      <c r="M1039" s="544">
        <v>675719</v>
      </c>
      <c r="N1039" s="414">
        <v>44616</v>
      </c>
      <c r="O1039" s="414" t="s">
        <v>400</v>
      </c>
      <c r="P1039" s="222">
        <f t="shared" si="68"/>
        <v>2</v>
      </c>
      <c r="Q1039" s="222">
        <f t="shared" si="69"/>
        <v>-13</v>
      </c>
      <c r="R1039" s="532" t="str">
        <f t="shared" si="70"/>
        <v>Gastos_Gerais</v>
      </c>
      <c r="S1039" s="467" t="s">
        <v>1000</v>
      </c>
      <c r="T1039" s="467">
        <v>528</v>
      </c>
      <c r="U1039" s="496"/>
      <c r="V1039" s="496"/>
      <c r="W1039" s="496"/>
    </row>
    <row r="1040" spans="1:23" ht="41.25" customHeight="1" x14ac:dyDescent="0.2">
      <c r="A1040" s="510">
        <f t="shared" si="71"/>
        <v>1037</v>
      </c>
      <c r="B1040" s="428">
        <v>44614</v>
      </c>
      <c r="C1040" s="424">
        <v>44593</v>
      </c>
      <c r="D1040" s="415" t="s">
        <v>271</v>
      </c>
      <c r="E1040" s="415" t="s">
        <v>71</v>
      </c>
      <c r="F1040" s="425">
        <v>10.45</v>
      </c>
      <c r="G1040" s="427" t="s">
        <v>1879</v>
      </c>
      <c r="H1040" s="415" t="s">
        <v>752</v>
      </c>
      <c r="I1040" s="398" t="s">
        <v>881</v>
      </c>
      <c r="J1040" s="418" t="s">
        <v>882</v>
      </c>
      <c r="K1040" s="418" t="s">
        <v>883</v>
      </c>
      <c r="L1040" s="399" t="s">
        <v>798</v>
      </c>
      <c r="M1040" s="544" t="s">
        <v>310</v>
      </c>
      <c r="N1040" s="414">
        <v>44614</v>
      </c>
      <c r="O1040" s="414" t="s">
        <v>400</v>
      </c>
      <c r="P1040" s="222">
        <f t="shared" si="68"/>
        <v>2</v>
      </c>
      <c r="Q1040" s="222">
        <f t="shared" si="69"/>
        <v>2</v>
      </c>
      <c r="R1040" s="532" t="str">
        <f t="shared" si="70"/>
        <v>Gastos_Gerais</v>
      </c>
      <c r="S1040" s="467" t="s">
        <v>310</v>
      </c>
      <c r="T1040" s="467" t="s">
        <v>310</v>
      </c>
      <c r="U1040" s="496"/>
      <c r="V1040" s="496"/>
      <c r="W1040" s="496"/>
    </row>
    <row r="1041" spans="1:23" ht="36" x14ac:dyDescent="0.2">
      <c r="A1041" s="510">
        <f t="shared" si="71"/>
        <v>1038</v>
      </c>
      <c r="B1041" s="428">
        <v>44614</v>
      </c>
      <c r="C1041" s="424">
        <v>44593</v>
      </c>
      <c r="D1041" s="415" t="s">
        <v>468</v>
      </c>
      <c r="E1041" s="415" t="s">
        <v>468</v>
      </c>
      <c r="F1041" s="425">
        <v>10.45</v>
      </c>
      <c r="G1041" s="427" t="s">
        <v>2469</v>
      </c>
      <c r="H1041" s="415" t="s">
        <v>468</v>
      </c>
      <c r="I1041" s="398" t="s">
        <v>881</v>
      </c>
      <c r="J1041" s="418" t="s">
        <v>882</v>
      </c>
      <c r="K1041" s="418" t="s">
        <v>883</v>
      </c>
      <c r="L1041" s="399" t="s">
        <v>798</v>
      </c>
      <c r="M1041" s="544" t="s">
        <v>310</v>
      </c>
      <c r="N1041" s="414">
        <v>44614</v>
      </c>
      <c r="O1041" s="414" t="s">
        <v>408</v>
      </c>
      <c r="P1041" s="222">
        <f t="shared" si="68"/>
        <v>2</v>
      </c>
      <c r="Q1041" s="222">
        <f t="shared" si="69"/>
        <v>2</v>
      </c>
      <c r="R1041" s="532" t="str">
        <f t="shared" si="70"/>
        <v>Gastos_custeados_por_captação</v>
      </c>
      <c r="S1041" s="467" t="s">
        <v>310</v>
      </c>
      <c r="T1041" s="467" t="s">
        <v>310</v>
      </c>
      <c r="U1041" s="496"/>
      <c r="V1041" s="496"/>
      <c r="W1041" s="496"/>
    </row>
    <row r="1042" spans="1:23" ht="72" x14ac:dyDescent="0.2">
      <c r="A1042" s="510">
        <f t="shared" si="71"/>
        <v>1039</v>
      </c>
      <c r="B1042" s="428">
        <v>44614</v>
      </c>
      <c r="C1042" s="424">
        <v>44501</v>
      </c>
      <c r="D1042" s="415" t="s">
        <v>468</v>
      </c>
      <c r="E1042" s="415" t="s">
        <v>468</v>
      </c>
      <c r="F1042" s="459">
        <v>480.1</v>
      </c>
      <c r="G1042" s="399" t="s">
        <v>2911</v>
      </c>
      <c r="H1042" s="415" t="s">
        <v>468</v>
      </c>
      <c r="I1042" s="460" t="s">
        <v>2896</v>
      </c>
      <c r="J1042" s="468" t="s">
        <v>2901</v>
      </c>
      <c r="K1042" s="418" t="s">
        <v>830</v>
      </c>
      <c r="L1042" s="399" t="s">
        <v>807</v>
      </c>
      <c r="M1042" s="464">
        <v>371</v>
      </c>
      <c r="N1042" s="469">
        <v>44614</v>
      </c>
      <c r="O1042" s="414" t="s">
        <v>407</v>
      </c>
      <c r="P1042" s="222">
        <f t="shared" si="68"/>
        <v>2</v>
      </c>
      <c r="Q1042" s="222">
        <f t="shared" si="69"/>
        <v>-1</v>
      </c>
      <c r="R1042" s="532" t="str">
        <f t="shared" si="70"/>
        <v>Gastos_custeados_por_captação</v>
      </c>
      <c r="S1042" s="467" t="s">
        <v>998</v>
      </c>
      <c r="T1042" s="467">
        <v>2384</v>
      </c>
      <c r="U1042" s="496"/>
      <c r="V1042" s="496"/>
      <c r="W1042" s="496"/>
    </row>
    <row r="1043" spans="1:23" ht="48" x14ac:dyDescent="0.2">
      <c r="A1043" s="510">
        <f t="shared" si="71"/>
        <v>1040</v>
      </c>
      <c r="B1043" s="428">
        <v>44614</v>
      </c>
      <c r="C1043" s="424">
        <v>44593</v>
      </c>
      <c r="D1043" s="415" t="s">
        <v>468</v>
      </c>
      <c r="E1043" s="415" t="s">
        <v>468</v>
      </c>
      <c r="F1043" s="425">
        <v>14700</v>
      </c>
      <c r="G1043" s="427" t="s">
        <v>1600</v>
      </c>
      <c r="H1043" s="415" t="s">
        <v>468</v>
      </c>
      <c r="I1043" s="398" t="s">
        <v>2483</v>
      </c>
      <c r="J1043" s="418" t="s">
        <v>1601</v>
      </c>
      <c r="K1043" s="418" t="s">
        <v>830</v>
      </c>
      <c r="L1043" s="399" t="s">
        <v>807</v>
      </c>
      <c r="M1043" s="551" t="s">
        <v>848</v>
      </c>
      <c r="N1043" s="414">
        <v>44613</v>
      </c>
      <c r="O1043" s="414" t="s">
        <v>408</v>
      </c>
      <c r="P1043" s="222">
        <f t="shared" si="68"/>
        <v>2</v>
      </c>
      <c r="Q1043" s="222">
        <f t="shared" si="69"/>
        <v>2</v>
      </c>
      <c r="R1043" s="532" t="str">
        <f t="shared" si="70"/>
        <v>Gastos_custeados_por_captação</v>
      </c>
      <c r="S1043" s="467" t="s">
        <v>1000</v>
      </c>
      <c r="T1043" s="467">
        <v>2835</v>
      </c>
      <c r="U1043" s="496"/>
      <c r="V1043" s="496"/>
      <c r="W1043" s="496"/>
    </row>
    <row r="1044" spans="1:23" ht="72" x14ac:dyDescent="0.2">
      <c r="A1044" s="510">
        <f t="shared" si="71"/>
        <v>1041</v>
      </c>
      <c r="B1044" s="428">
        <v>44614</v>
      </c>
      <c r="C1044" s="424">
        <v>44531</v>
      </c>
      <c r="D1044" s="415" t="s">
        <v>468</v>
      </c>
      <c r="E1044" s="415" t="s">
        <v>468</v>
      </c>
      <c r="F1044" s="459">
        <v>10795.28</v>
      </c>
      <c r="G1044" s="399" t="s">
        <v>2902</v>
      </c>
      <c r="H1044" s="415" t="s">
        <v>468</v>
      </c>
      <c r="I1044" s="460" t="s">
        <v>2886</v>
      </c>
      <c r="J1044" s="468" t="s">
        <v>2890</v>
      </c>
      <c r="K1044" s="418" t="s">
        <v>830</v>
      </c>
      <c r="L1044" s="399" t="s">
        <v>807</v>
      </c>
      <c r="M1044" s="464">
        <v>20225</v>
      </c>
      <c r="N1044" s="469">
        <v>44613</v>
      </c>
      <c r="O1044" s="414" t="s">
        <v>407</v>
      </c>
      <c r="P1044" s="222">
        <f t="shared" si="68"/>
        <v>2</v>
      </c>
      <c r="Q1044" s="222">
        <f t="shared" si="69"/>
        <v>0</v>
      </c>
      <c r="R1044" s="532" t="str">
        <f t="shared" si="70"/>
        <v>Gastos_custeados_por_captação</v>
      </c>
      <c r="S1044" s="467" t="s">
        <v>998</v>
      </c>
      <c r="T1044" s="467">
        <v>1980</v>
      </c>
      <c r="U1044" s="496"/>
      <c r="V1044" s="496"/>
      <c r="W1044" s="496"/>
    </row>
    <row r="1045" spans="1:23" ht="72" x14ac:dyDescent="0.2">
      <c r="A1045" s="510">
        <f t="shared" si="71"/>
        <v>1042</v>
      </c>
      <c r="B1045" s="428">
        <v>44614</v>
      </c>
      <c r="C1045" s="424">
        <v>44440</v>
      </c>
      <c r="D1045" s="415" t="s">
        <v>468</v>
      </c>
      <c r="E1045" s="415" t="s">
        <v>468</v>
      </c>
      <c r="F1045" s="459">
        <v>534</v>
      </c>
      <c r="G1045" s="399" t="s">
        <v>2903</v>
      </c>
      <c r="H1045" s="415" t="s">
        <v>468</v>
      </c>
      <c r="I1045" s="460" t="s">
        <v>2887</v>
      </c>
      <c r="J1045" s="468" t="s">
        <v>2891</v>
      </c>
      <c r="K1045" s="418" t="s">
        <v>830</v>
      </c>
      <c r="L1045" s="399" t="s">
        <v>839</v>
      </c>
      <c r="M1045" s="464">
        <v>1587</v>
      </c>
      <c r="N1045" s="469">
        <v>44613</v>
      </c>
      <c r="O1045" s="414" t="s">
        <v>407</v>
      </c>
      <c r="P1045" s="222">
        <f t="shared" si="68"/>
        <v>2</v>
      </c>
      <c r="Q1045" s="222">
        <f t="shared" si="69"/>
        <v>-3</v>
      </c>
      <c r="R1045" s="532" t="str">
        <f t="shared" si="70"/>
        <v>Gastos_custeados_por_captação</v>
      </c>
      <c r="S1045" s="467" t="s">
        <v>998</v>
      </c>
      <c r="T1045" s="467">
        <v>1978</v>
      </c>
      <c r="U1045" s="496"/>
      <c r="V1045" s="496"/>
      <c r="W1045" s="496"/>
    </row>
    <row r="1046" spans="1:23" ht="72" x14ac:dyDescent="0.2">
      <c r="A1046" s="510">
        <f t="shared" si="71"/>
        <v>1043</v>
      </c>
      <c r="B1046" s="428">
        <v>44614</v>
      </c>
      <c r="C1046" s="424">
        <v>44440</v>
      </c>
      <c r="D1046" s="415" t="s">
        <v>468</v>
      </c>
      <c r="E1046" s="415" t="s">
        <v>468</v>
      </c>
      <c r="F1046" s="459">
        <v>482.15</v>
      </c>
      <c r="G1046" s="399" t="s">
        <v>2907</v>
      </c>
      <c r="H1046" s="415" t="s">
        <v>468</v>
      </c>
      <c r="I1046" s="460" t="s">
        <v>2906</v>
      </c>
      <c r="J1046" s="468" t="s">
        <v>1035</v>
      </c>
      <c r="K1046" s="418" t="s">
        <v>830</v>
      </c>
      <c r="L1046" s="399" t="s">
        <v>807</v>
      </c>
      <c r="M1046" s="464">
        <v>315</v>
      </c>
      <c r="N1046" s="469">
        <v>44613</v>
      </c>
      <c r="O1046" s="414" t="s">
        <v>407</v>
      </c>
      <c r="P1046" s="222">
        <f t="shared" si="68"/>
        <v>2</v>
      </c>
      <c r="Q1046" s="222">
        <f t="shared" si="69"/>
        <v>-3</v>
      </c>
      <c r="R1046" s="532" t="str">
        <f t="shared" si="70"/>
        <v>Gastos_custeados_por_captação</v>
      </c>
      <c r="S1046" s="467" t="s">
        <v>998</v>
      </c>
      <c r="T1046" s="467">
        <v>2039</v>
      </c>
      <c r="U1046" s="496"/>
      <c r="V1046" s="496"/>
      <c r="W1046" s="496"/>
    </row>
    <row r="1047" spans="1:23" ht="72" x14ac:dyDescent="0.2">
      <c r="A1047" s="510">
        <f t="shared" si="71"/>
        <v>1044</v>
      </c>
      <c r="B1047" s="428">
        <v>44614</v>
      </c>
      <c r="C1047" s="424">
        <v>44440</v>
      </c>
      <c r="D1047" s="415" t="s">
        <v>468</v>
      </c>
      <c r="E1047" s="415" t="s">
        <v>468</v>
      </c>
      <c r="F1047" s="459">
        <v>1000</v>
      </c>
      <c r="G1047" s="399" t="s">
        <v>2908</v>
      </c>
      <c r="H1047" s="415" t="s">
        <v>468</v>
      </c>
      <c r="I1047" s="460" t="s">
        <v>2892</v>
      </c>
      <c r="J1047" s="468" t="s">
        <v>2897</v>
      </c>
      <c r="K1047" s="418" t="s">
        <v>830</v>
      </c>
      <c r="L1047" s="399" t="s">
        <v>807</v>
      </c>
      <c r="M1047" s="464">
        <v>168</v>
      </c>
      <c r="N1047" s="469">
        <v>44613</v>
      </c>
      <c r="O1047" s="414" t="s">
        <v>407</v>
      </c>
      <c r="P1047" s="222">
        <f t="shared" si="68"/>
        <v>2</v>
      </c>
      <c r="Q1047" s="222">
        <f t="shared" si="69"/>
        <v>-3</v>
      </c>
      <c r="R1047" s="532" t="str">
        <f t="shared" si="70"/>
        <v>Gastos_custeados_por_captação</v>
      </c>
      <c r="S1047" s="467" t="s">
        <v>998</v>
      </c>
      <c r="T1047" s="467">
        <v>2038</v>
      </c>
      <c r="U1047" s="496"/>
      <c r="V1047" s="496"/>
      <c r="W1047" s="496"/>
    </row>
    <row r="1048" spans="1:23" ht="72" x14ac:dyDescent="0.2">
      <c r="A1048" s="510">
        <f t="shared" si="71"/>
        <v>1045</v>
      </c>
      <c r="B1048" s="428">
        <v>44614</v>
      </c>
      <c r="C1048" s="424">
        <v>44501</v>
      </c>
      <c r="D1048" s="415" t="s">
        <v>468</v>
      </c>
      <c r="E1048" s="415" t="s">
        <v>468</v>
      </c>
      <c r="F1048" s="459">
        <v>500</v>
      </c>
      <c r="G1048" s="399" t="s">
        <v>2909</v>
      </c>
      <c r="H1048" s="415" t="s">
        <v>468</v>
      </c>
      <c r="I1048" s="460" t="s">
        <v>2893</v>
      </c>
      <c r="J1048" s="468" t="s">
        <v>2898</v>
      </c>
      <c r="K1048" s="418" t="s">
        <v>830</v>
      </c>
      <c r="L1048" s="399" t="s">
        <v>807</v>
      </c>
      <c r="M1048" s="464">
        <v>71</v>
      </c>
      <c r="N1048" s="469">
        <v>44613</v>
      </c>
      <c r="O1048" s="414" t="s">
        <v>407</v>
      </c>
      <c r="P1048" s="222">
        <f t="shared" si="68"/>
        <v>2</v>
      </c>
      <c r="Q1048" s="222">
        <f t="shared" si="69"/>
        <v>-1</v>
      </c>
      <c r="R1048" s="532" t="str">
        <f t="shared" si="70"/>
        <v>Gastos_custeados_por_captação</v>
      </c>
      <c r="S1048" s="467" t="s">
        <v>998</v>
      </c>
      <c r="T1048" s="467">
        <v>2429</v>
      </c>
      <c r="U1048" s="496"/>
      <c r="V1048" s="496"/>
      <c r="W1048" s="496"/>
    </row>
    <row r="1049" spans="1:23" ht="72" x14ac:dyDescent="0.2">
      <c r="A1049" s="510">
        <f t="shared" si="71"/>
        <v>1046</v>
      </c>
      <c r="B1049" s="428">
        <v>44614</v>
      </c>
      <c r="C1049" s="424">
        <v>44501</v>
      </c>
      <c r="D1049" s="415" t="s">
        <v>468</v>
      </c>
      <c r="E1049" s="415" t="s">
        <v>468</v>
      </c>
      <c r="F1049" s="459">
        <v>420</v>
      </c>
      <c r="G1049" s="399" t="s">
        <v>2907</v>
      </c>
      <c r="H1049" s="415" t="s">
        <v>468</v>
      </c>
      <c r="I1049" s="460" t="s">
        <v>2894</v>
      </c>
      <c r="J1049" s="468" t="s">
        <v>2899</v>
      </c>
      <c r="K1049" s="418" t="s">
        <v>830</v>
      </c>
      <c r="L1049" s="399" t="s">
        <v>839</v>
      </c>
      <c r="M1049" s="464">
        <v>1588</v>
      </c>
      <c r="N1049" s="469">
        <v>44613</v>
      </c>
      <c r="O1049" s="414" t="s">
        <v>407</v>
      </c>
      <c r="P1049" s="222">
        <f t="shared" si="68"/>
        <v>2</v>
      </c>
      <c r="Q1049" s="222">
        <f t="shared" si="69"/>
        <v>-1</v>
      </c>
      <c r="R1049" s="532" t="str">
        <f t="shared" si="70"/>
        <v>Gastos_custeados_por_captação</v>
      </c>
      <c r="S1049" s="467" t="s">
        <v>998</v>
      </c>
      <c r="T1049" s="467">
        <v>1928</v>
      </c>
      <c r="U1049" s="496"/>
      <c r="V1049" s="496"/>
      <c r="W1049" s="496"/>
    </row>
    <row r="1050" spans="1:23" ht="72" x14ac:dyDescent="0.2">
      <c r="A1050" s="510">
        <f t="shared" si="71"/>
        <v>1047</v>
      </c>
      <c r="B1050" s="428">
        <v>44614</v>
      </c>
      <c r="C1050" s="424">
        <v>44501</v>
      </c>
      <c r="D1050" s="415" t="s">
        <v>468</v>
      </c>
      <c r="E1050" s="415" t="s">
        <v>468</v>
      </c>
      <c r="F1050" s="459">
        <v>3406.1</v>
      </c>
      <c r="G1050" s="399" t="s">
        <v>2910</v>
      </c>
      <c r="H1050" s="415" t="s">
        <v>468</v>
      </c>
      <c r="I1050" s="460" t="s">
        <v>2895</v>
      </c>
      <c r="J1050" s="468" t="s">
        <v>2900</v>
      </c>
      <c r="K1050" s="418" t="s">
        <v>830</v>
      </c>
      <c r="L1050" s="399" t="s">
        <v>839</v>
      </c>
      <c r="M1050" s="464">
        <v>1586</v>
      </c>
      <c r="N1050" s="469">
        <v>44613</v>
      </c>
      <c r="O1050" s="414" t="s">
        <v>407</v>
      </c>
      <c r="P1050" s="222">
        <f t="shared" si="68"/>
        <v>2</v>
      </c>
      <c r="Q1050" s="222">
        <f t="shared" si="69"/>
        <v>-1</v>
      </c>
      <c r="R1050" s="532" t="str">
        <f t="shared" si="70"/>
        <v>Gastos_custeados_por_captação</v>
      </c>
      <c r="S1050" s="467" t="s">
        <v>998</v>
      </c>
      <c r="T1050" s="467">
        <v>2306</v>
      </c>
      <c r="U1050" s="496"/>
      <c r="V1050" s="496"/>
      <c r="W1050" s="496"/>
    </row>
    <row r="1051" spans="1:23" ht="48" x14ac:dyDescent="0.2">
      <c r="A1051" s="510">
        <f t="shared" si="71"/>
        <v>1048</v>
      </c>
      <c r="B1051" s="428">
        <v>44614</v>
      </c>
      <c r="C1051" s="431">
        <v>44593</v>
      </c>
      <c r="D1051" s="415" t="s">
        <v>271</v>
      </c>
      <c r="E1051" s="415" t="s">
        <v>466</v>
      </c>
      <c r="F1051" s="425">
        <v>1260</v>
      </c>
      <c r="G1051" s="427" t="s">
        <v>722</v>
      </c>
      <c r="H1051" s="415" t="s">
        <v>752</v>
      </c>
      <c r="I1051" s="473" t="s">
        <v>1458</v>
      </c>
      <c r="J1051" s="415" t="s">
        <v>1144</v>
      </c>
      <c r="K1051" s="415" t="s">
        <v>806</v>
      </c>
      <c r="L1051" s="399" t="s">
        <v>839</v>
      </c>
      <c r="M1051" s="544">
        <v>1583</v>
      </c>
      <c r="N1051" s="414">
        <v>44610</v>
      </c>
      <c r="O1051" s="414" t="s">
        <v>400</v>
      </c>
      <c r="P1051" s="222">
        <f t="shared" si="68"/>
        <v>2</v>
      </c>
      <c r="Q1051" s="222">
        <f t="shared" si="69"/>
        <v>2</v>
      </c>
      <c r="R1051" s="532" t="str">
        <f t="shared" si="70"/>
        <v>Gastos_Gerais</v>
      </c>
      <c r="S1051" s="467" t="s">
        <v>998</v>
      </c>
      <c r="T1051" s="467">
        <v>2577</v>
      </c>
      <c r="U1051" s="496"/>
      <c r="V1051" s="496"/>
      <c r="W1051" s="496"/>
    </row>
    <row r="1052" spans="1:23" ht="48" x14ac:dyDescent="0.2">
      <c r="A1052" s="510">
        <f t="shared" si="71"/>
        <v>1049</v>
      </c>
      <c r="B1052" s="428">
        <v>44614</v>
      </c>
      <c r="C1052" s="431">
        <v>44562</v>
      </c>
      <c r="D1052" s="415" t="s">
        <v>271</v>
      </c>
      <c r="E1052" s="415" t="s">
        <v>453</v>
      </c>
      <c r="F1052" s="425">
        <v>672</v>
      </c>
      <c r="G1052" s="427" t="s">
        <v>664</v>
      </c>
      <c r="H1052" s="415" t="s">
        <v>752</v>
      </c>
      <c r="I1052" s="473" t="s">
        <v>2326</v>
      </c>
      <c r="J1052" s="415" t="s">
        <v>1080</v>
      </c>
      <c r="K1052" s="418" t="s">
        <v>1353</v>
      </c>
      <c r="L1052" s="399" t="s">
        <v>839</v>
      </c>
      <c r="M1052" s="544">
        <v>1581</v>
      </c>
      <c r="N1052" s="414">
        <v>44610</v>
      </c>
      <c r="O1052" s="414" t="s">
        <v>400</v>
      </c>
      <c r="P1052" s="222">
        <f t="shared" si="68"/>
        <v>2</v>
      </c>
      <c r="Q1052" s="222">
        <f t="shared" si="69"/>
        <v>1</v>
      </c>
      <c r="R1052" s="532" t="str">
        <f t="shared" si="70"/>
        <v>Gastos_Gerais</v>
      </c>
      <c r="S1052" s="467" t="s">
        <v>998</v>
      </c>
      <c r="T1052" s="467">
        <v>2736</v>
      </c>
      <c r="U1052" s="496"/>
      <c r="V1052" s="496"/>
      <c r="W1052" s="496"/>
    </row>
    <row r="1053" spans="1:23" ht="72" x14ac:dyDescent="0.2">
      <c r="A1053" s="510">
        <f t="shared" si="71"/>
        <v>1050</v>
      </c>
      <c r="B1053" s="428">
        <v>44614</v>
      </c>
      <c r="C1053" s="431">
        <v>44593</v>
      </c>
      <c r="D1053" s="415" t="s">
        <v>468</v>
      </c>
      <c r="E1053" s="415" t="s">
        <v>468</v>
      </c>
      <c r="F1053" s="459">
        <v>4003.43</v>
      </c>
      <c r="G1053" s="399" t="s">
        <v>2904</v>
      </c>
      <c r="H1053" s="415" t="s">
        <v>468</v>
      </c>
      <c r="I1053" s="460" t="s">
        <v>2888</v>
      </c>
      <c r="J1053" s="468" t="s">
        <v>1594</v>
      </c>
      <c r="K1053" s="418" t="s">
        <v>830</v>
      </c>
      <c r="L1053" s="399" t="s">
        <v>807</v>
      </c>
      <c r="M1053" s="464">
        <v>202245</v>
      </c>
      <c r="N1053" s="469">
        <v>44609</v>
      </c>
      <c r="O1053" s="414" t="s">
        <v>407</v>
      </c>
      <c r="P1053" s="222">
        <f t="shared" si="68"/>
        <v>2</v>
      </c>
      <c r="Q1053" s="222">
        <f t="shared" si="69"/>
        <v>2</v>
      </c>
      <c r="R1053" s="532" t="str">
        <f t="shared" si="70"/>
        <v>Gastos_custeados_por_captação</v>
      </c>
      <c r="S1053" s="467" t="s">
        <v>998</v>
      </c>
      <c r="T1053" s="467">
        <v>2834</v>
      </c>
      <c r="U1053" s="496"/>
      <c r="V1053" s="496"/>
      <c r="W1053" s="496"/>
    </row>
    <row r="1054" spans="1:23" ht="72" x14ac:dyDescent="0.2">
      <c r="A1054" s="510">
        <f t="shared" si="71"/>
        <v>1051</v>
      </c>
      <c r="B1054" s="428">
        <v>44614</v>
      </c>
      <c r="C1054" s="431">
        <v>44593</v>
      </c>
      <c r="D1054" s="415" t="s">
        <v>468</v>
      </c>
      <c r="E1054" s="415" t="s">
        <v>468</v>
      </c>
      <c r="F1054" s="459">
        <v>1811.89</v>
      </c>
      <c r="G1054" s="399" t="s">
        <v>2905</v>
      </c>
      <c r="H1054" s="415" t="s">
        <v>468</v>
      </c>
      <c r="I1054" s="460" t="s">
        <v>2888</v>
      </c>
      <c r="J1054" s="468" t="s">
        <v>1594</v>
      </c>
      <c r="K1054" s="418" t="s">
        <v>830</v>
      </c>
      <c r="L1054" s="399" t="s">
        <v>807</v>
      </c>
      <c r="M1054" s="464">
        <v>202246</v>
      </c>
      <c r="N1054" s="469">
        <v>44609</v>
      </c>
      <c r="O1054" s="414" t="s">
        <v>407</v>
      </c>
      <c r="P1054" s="222">
        <f t="shared" si="68"/>
        <v>2</v>
      </c>
      <c r="Q1054" s="222">
        <f t="shared" si="69"/>
        <v>2</v>
      </c>
      <c r="R1054" s="532" t="str">
        <f t="shared" si="70"/>
        <v>Gastos_custeados_por_captação</v>
      </c>
      <c r="S1054" s="467" t="s">
        <v>998</v>
      </c>
      <c r="T1054" s="467">
        <v>2850</v>
      </c>
      <c r="U1054" s="496"/>
      <c r="V1054" s="496"/>
      <c r="W1054" s="496"/>
    </row>
    <row r="1055" spans="1:23" ht="72" x14ac:dyDescent="0.2">
      <c r="A1055" s="510">
        <f t="shared" si="71"/>
        <v>1052</v>
      </c>
      <c r="B1055" s="428">
        <v>44614</v>
      </c>
      <c r="C1055" s="431">
        <v>44593</v>
      </c>
      <c r="D1055" s="415" t="s">
        <v>468</v>
      </c>
      <c r="E1055" s="415" t="s">
        <v>468</v>
      </c>
      <c r="F1055" s="459">
        <v>2124.4699999999998</v>
      </c>
      <c r="G1055" s="399" t="s">
        <v>2905</v>
      </c>
      <c r="H1055" s="415" t="s">
        <v>468</v>
      </c>
      <c r="I1055" s="460" t="s">
        <v>2888</v>
      </c>
      <c r="J1055" s="468" t="s">
        <v>1594</v>
      </c>
      <c r="K1055" s="418" t="s">
        <v>830</v>
      </c>
      <c r="L1055" s="399" t="s">
        <v>807</v>
      </c>
      <c r="M1055" s="464">
        <v>202244</v>
      </c>
      <c r="N1055" s="469">
        <v>44609</v>
      </c>
      <c r="O1055" s="414" t="s">
        <v>407</v>
      </c>
      <c r="P1055" s="222">
        <f t="shared" si="68"/>
        <v>2</v>
      </c>
      <c r="Q1055" s="222">
        <f t="shared" si="69"/>
        <v>2</v>
      </c>
      <c r="R1055" s="532" t="str">
        <f t="shared" si="70"/>
        <v>Gastos_custeados_por_captação</v>
      </c>
      <c r="S1055" s="467" t="s">
        <v>1000</v>
      </c>
      <c r="T1055" s="467">
        <v>2851</v>
      </c>
      <c r="U1055" s="496"/>
      <c r="V1055" s="496"/>
      <c r="W1055" s="496"/>
    </row>
    <row r="1056" spans="1:23" ht="24" x14ac:dyDescent="0.2">
      <c r="A1056" s="510">
        <f t="shared" si="71"/>
        <v>1053</v>
      </c>
      <c r="B1056" s="428">
        <v>44614</v>
      </c>
      <c r="C1056" s="433">
        <v>44593</v>
      </c>
      <c r="D1056" s="415" t="s">
        <v>271</v>
      </c>
      <c r="E1056" s="415" t="s">
        <v>84</v>
      </c>
      <c r="F1056" s="425">
        <v>25.06</v>
      </c>
      <c r="G1056" s="437" t="s">
        <v>1479</v>
      </c>
      <c r="H1056" s="434" t="s">
        <v>750</v>
      </c>
      <c r="I1056" s="474" t="s">
        <v>766</v>
      </c>
      <c r="J1056" s="415" t="s">
        <v>1019</v>
      </c>
      <c r="K1056" s="418" t="s">
        <v>1392</v>
      </c>
      <c r="L1056" s="399" t="s">
        <v>1372</v>
      </c>
      <c r="M1056" s="544" t="s">
        <v>1883</v>
      </c>
      <c r="N1056" s="414">
        <v>44604</v>
      </c>
      <c r="O1056" s="414" t="s">
        <v>400</v>
      </c>
      <c r="P1056" s="222">
        <f t="shared" si="68"/>
        <v>2</v>
      </c>
      <c r="Q1056" s="222">
        <f t="shared" si="69"/>
        <v>2</v>
      </c>
      <c r="R1056" s="532" t="str">
        <f t="shared" si="70"/>
        <v>Gastos_Gerais</v>
      </c>
      <c r="S1056" s="467" t="s">
        <v>310</v>
      </c>
      <c r="T1056" s="467" t="s">
        <v>310</v>
      </c>
      <c r="U1056" s="496"/>
      <c r="V1056" s="496"/>
      <c r="W1056" s="496"/>
    </row>
    <row r="1057" spans="1:23" ht="72" x14ac:dyDescent="0.2">
      <c r="A1057" s="510">
        <f t="shared" si="71"/>
        <v>1054</v>
      </c>
      <c r="B1057" s="428">
        <v>44614</v>
      </c>
      <c r="C1057" s="424">
        <v>44562</v>
      </c>
      <c r="D1057" s="415" t="s">
        <v>468</v>
      </c>
      <c r="E1057" s="415" t="s">
        <v>468</v>
      </c>
      <c r="F1057" s="425">
        <v>349.14</v>
      </c>
      <c r="G1057" s="427" t="s">
        <v>2620</v>
      </c>
      <c r="H1057" s="415" t="s">
        <v>468</v>
      </c>
      <c r="I1057" s="398" t="s">
        <v>2644</v>
      </c>
      <c r="J1057" s="418" t="s">
        <v>2622</v>
      </c>
      <c r="K1057" s="418" t="s">
        <v>812</v>
      </c>
      <c r="L1057" s="399" t="s">
        <v>807</v>
      </c>
      <c r="M1057" s="544">
        <v>106318</v>
      </c>
      <c r="N1057" s="414">
        <v>44579</v>
      </c>
      <c r="O1057" s="414" t="s">
        <v>402</v>
      </c>
      <c r="P1057" s="222">
        <f t="shared" si="68"/>
        <v>2</v>
      </c>
      <c r="Q1057" s="222">
        <f t="shared" si="69"/>
        <v>1</v>
      </c>
      <c r="R1057" s="532" t="str">
        <f t="shared" si="70"/>
        <v>Gastos_custeados_por_captação</v>
      </c>
      <c r="S1057" s="467" t="s">
        <v>1303</v>
      </c>
      <c r="T1057" s="467">
        <v>2813</v>
      </c>
      <c r="U1057" s="496"/>
      <c r="V1057" s="496"/>
      <c r="W1057" s="496"/>
    </row>
    <row r="1058" spans="1:23" ht="24" x14ac:dyDescent="0.2">
      <c r="A1058" s="510">
        <f t="shared" si="71"/>
        <v>1055</v>
      </c>
      <c r="B1058" s="428">
        <v>44615</v>
      </c>
      <c r="C1058" s="433">
        <v>44593</v>
      </c>
      <c r="D1058" s="415" t="s">
        <v>182</v>
      </c>
      <c r="E1058" s="415" t="s">
        <v>6</v>
      </c>
      <c r="F1058" s="425">
        <v>4798.88</v>
      </c>
      <c r="G1058" s="440" t="s">
        <v>1493</v>
      </c>
      <c r="H1058" s="415" t="s">
        <v>310</v>
      </c>
      <c r="I1058" s="474" t="s">
        <v>1486</v>
      </c>
      <c r="J1058" s="418" t="s">
        <v>1487</v>
      </c>
      <c r="K1058" s="418" t="s">
        <v>812</v>
      </c>
      <c r="L1058" s="399" t="s">
        <v>807</v>
      </c>
      <c r="M1058" s="544">
        <v>834993</v>
      </c>
      <c r="N1058" s="414">
        <v>44621</v>
      </c>
      <c r="O1058" s="414" t="s">
        <v>400</v>
      </c>
      <c r="P1058" s="222">
        <f t="shared" si="68"/>
        <v>2</v>
      </c>
      <c r="Q1058" s="222">
        <f t="shared" si="69"/>
        <v>2</v>
      </c>
      <c r="R1058" s="532" t="str">
        <f t="shared" si="70"/>
        <v>Gastos_com_Pessoal</v>
      </c>
      <c r="S1058" s="467" t="s">
        <v>310</v>
      </c>
      <c r="T1058" s="467" t="s">
        <v>310</v>
      </c>
      <c r="U1058" s="496"/>
      <c r="V1058" s="496"/>
      <c r="W1058" s="496"/>
    </row>
    <row r="1059" spans="1:23" ht="24" x14ac:dyDescent="0.2">
      <c r="A1059" s="510">
        <f t="shared" si="71"/>
        <v>1056</v>
      </c>
      <c r="B1059" s="428">
        <v>44615</v>
      </c>
      <c r="C1059" s="433">
        <v>44593</v>
      </c>
      <c r="D1059" s="415" t="s">
        <v>182</v>
      </c>
      <c r="E1059" s="415" t="s">
        <v>6</v>
      </c>
      <c r="F1059" s="425">
        <v>22729.9</v>
      </c>
      <c r="G1059" s="440" t="s">
        <v>1494</v>
      </c>
      <c r="H1059" s="415" t="s">
        <v>310</v>
      </c>
      <c r="I1059" s="474" t="s">
        <v>1486</v>
      </c>
      <c r="J1059" s="418" t="s">
        <v>1487</v>
      </c>
      <c r="K1059" s="418" t="s">
        <v>812</v>
      </c>
      <c r="L1059" s="399" t="s">
        <v>807</v>
      </c>
      <c r="M1059" s="544">
        <v>829263</v>
      </c>
      <c r="N1059" s="414">
        <v>44621</v>
      </c>
      <c r="O1059" s="414" t="s">
        <v>400</v>
      </c>
      <c r="P1059" s="222">
        <f t="shared" si="68"/>
        <v>2</v>
      </c>
      <c r="Q1059" s="222">
        <f t="shared" si="69"/>
        <v>2</v>
      </c>
      <c r="R1059" s="532" t="str">
        <f t="shared" si="70"/>
        <v>Gastos_com_Pessoal</v>
      </c>
      <c r="S1059" s="467" t="s">
        <v>310</v>
      </c>
      <c r="T1059" s="467" t="s">
        <v>310</v>
      </c>
      <c r="U1059" s="496"/>
      <c r="V1059" s="496"/>
      <c r="W1059" s="496"/>
    </row>
    <row r="1060" spans="1:23" ht="36" x14ac:dyDescent="0.2">
      <c r="A1060" s="510">
        <f t="shared" si="71"/>
        <v>1057</v>
      </c>
      <c r="B1060" s="428">
        <v>44615</v>
      </c>
      <c r="C1060" s="424">
        <v>44593</v>
      </c>
      <c r="D1060" s="415" t="s">
        <v>271</v>
      </c>
      <c r="E1060" s="415" t="s">
        <v>71</v>
      </c>
      <c r="F1060" s="425">
        <v>10.45</v>
      </c>
      <c r="G1060" s="427" t="s">
        <v>1891</v>
      </c>
      <c r="H1060" s="415" t="s">
        <v>755</v>
      </c>
      <c r="I1060" s="398" t="s">
        <v>881</v>
      </c>
      <c r="J1060" s="418" t="s">
        <v>882</v>
      </c>
      <c r="K1060" s="418" t="s">
        <v>883</v>
      </c>
      <c r="L1060" s="399" t="s">
        <v>798</v>
      </c>
      <c r="M1060" s="544" t="s">
        <v>310</v>
      </c>
      <c r="N1060" s="414">
        <v>44615</v>
      </c>
      <c r="O1060" s="414" t="s">
        <v>400</v>
      </c>
      <c r="P1060" s="222">
        <f t="shared" si="68"/>
        <v>2</v>
      </c>
      <c r="Q1060" s="222">
        <f t="shared" si="69"/>
        <v>2</v>
      </c>
      <c r="R1060" s="532" t="str">
        <f t="shared" si="70"/>
        <v>Gastos_Gerais</v>
      </c>
      <c r="S1060" s="467" t="s">
        <v>310</v>
      </c>
      <c r="T1060" s="467" t="s">
        <v>310</v>
      </c>
      <c r="U1060" s="496"/>
      <c r="V1060" s="496"/>
      <c r="W1060" s="496"/>
    </row>
    <row r="1061" spans="1:23" ht="36" x14ac:dyDescent="0.2">
      <c r="A1061" s="510">
        <f t="shared" si="71"/>
        <v>1058</v>
      </c>
      <c r="B1061" s="428">
        <v>44615</v>
      </c>
      <c r="C1061" s="424">
        <v>44593</v>
      </c>
      <c r="D1061" s="415" t="s">
        <v>271</v>
      </c>
      <c r="E1061" s="415" t="s">
        <v>71</v>
      </c>
      <c r="F1061" s="425">
        <v>10.45</v>
      </c>
      <c r="G1061" s="427" t="s">
        <v>1894</v>
      </c>
      <c r="H1061" s="415" t="s">
        <v>756</v>
      </c>
      <c r="I1061" s="398" t="s">
        <v>881</v>
      </c>
      <c r="J1061" s="418" t="s">
        <v>882</v>
      </c>
      <c r="K1061" s="418" t="s">
        <v>883</v>
      </c>
      <c r="L1061" s="399" t="s">
        <v>798</v>
      </c>
      <c r="M1061" s="544" t="s">
        <v>310</v>
      </c>
      <c r="N1061" s="414">
        <v>44615</v>
      </c>
      <c r="O1061" s="414" t="s">
        <v>400</v>
      </c>
      <c r="P1061" s="222">
        <f t="shared" si="68"/>
        <v>2</v>
      </c>
      <c r="Q1061" s="222">
        <f t="shared" si="69"/>
        <v>2</v>
      </c>
      <c r="R1061" s="532" t="str">
        <f t="shared" si="70"/>
        <v>Gastos_Gerais</v>
      </c>
      <c r="S1061" s="467" t="s">
        <v>310</v>
      </c>
      <c r="T1061" s="467" t="s">
        <v>310</v>
      </c>
      <c r="U1061" s="496"/>
      <c r="V1061" s="496"/>
      <c r="W1061" s="496"/>
    </row>
    <row r="1062" spans="1:23" ht="36" x14ac:dyDescent="0.2">
      <c r="A1062" s="510">
        <f t="shared" si="71"/>
        <v>1059</v>
      </c>
      <c r="B1062" s="428">
        <v>44615</v>
      </c>
      <c r="C1062" s="424">
        <v>44593</v>
      </c>
      <c r="D1062" s="415" t="s">
        <v>271</v>
      </c>
      <c r="E1062" s="415" t="s">
        <v>71</v>
      </c>
      <c r="F1062" s="425">
        <v>10.45</v>
      </c>
      <c r="G1062" s="427" t="s">
        <v>1897</v>
      </c>
      <c r="H1062" s="415" t="s">
        <v>752</v>
      </c>
      <c r="I1062" s="398" t="s">
        <v>881</v>
      </c>
      <c r="J1062" s="418" t="s">
        <v>882</v>
      </c>
      <c r="K1062" s="418" t="s">
        <v>883</v>
      </c>
      <c r="L1062" s="399" t="s">
        <v>798</v>
      </c>
      <c r="M1062" s="544" t="s">
        <v>310</v>
      </c>
      <c r="N1062" s="414">
        <v>44615</v>
      </c>
      <c r="O1062" s="414" t="s">
        <v>400</v>
      </c>
      <c r="P1062" s="222">
        <f t="shared" si="68"/>
        <v>2</v>
      </c>
      <c r="Q1062" s="222">
        <f t="shared" si="69"/>
        <v>2</v>
      </c>
      <c r="R1062" s="532" t="str">
        <f t="shared" si="70"/>
        <v>Gastos_Gerais</v>
      </c>
      <c r="S1062" s="467" t="s">
        <v>310</v>
      </c>
      <c r="T1062" s="467" t="s">
        <v>310</v>
      </c>
      <c r="U1062" s="496"/>
      <c r="V1062" s="496"/>
      <c r="W1062" s="496"/>
    </row>
    <row r="1063" spans="1:23" ht="72" x14ac:dyDescent="0.2">
      <c r="A1063" s="510">
        <f t="shared" si="71"/>
        <v>1060</v>
      </c>
      <c r="B1063" s="428">
        <v>44615</v>
      </c>
      <c r="C1063" s="424">
        <v>44562</v>
      </c>
      <c r="D1063" s="415" t="s">
        <v>468</v>
      </c>
      <c r="E1063" s="415" t="s">
        <v>468</v>
      </c>
      <c r="F1063" s="459">
        <v>3.23</v>
      </c>
      <c r="G1063" s="399" t="s">
        <v>2645</v>
      </c>
      <c r="H1063" s="415" t="s">
        <v>468</v>
      </c>
      <c r="I1063" s="398" t="s">
        <v>881</v>
      </c>
      <c r="J1063" s="418" t="s">
        <v>882</v>
      </c>
      <c r="K1063" s="418" t="s">
        <v>883</v>
      </c>
      <c r="L1063" s="399" t="s">
        <v>798</v>
      </c>
      <c r="M1063" s="544" t="s">
        <v>310</v>
      </c>
      <c r="N1063" s="414">
        <v>44615</v>
      </c>
      <c r="O1063" s="414" t="s">
        <v>402</v>
      </c>
      <c r="P1063" s="222">
        <f t="shared" si="68"/>
        <v>2</v>
      </c>
      <c r="Q1063" s="222">
        <f t="shared" si="69"/>
        <v>1</v>
      </c>
      <c r="R1063" s="532" t="str">
        <f t="shared" si="70"/>
        <v>Gastos_custeados_por_captação</v>
      </c>
      <c r="S1063" s="467" t="s">
        <v>310</v>
      </c>
      <c r="T1063" s="467" t="s">
        <v>310</v>
      </c>
      <c r="U1063" s="496"/>
      <c r="V1063" s="496"/>
      <c r="W1063" s="496"/>
    </row>
    <row r="1064" spans="1:23" ht="72" x14ac:dyDescent="0.2">
      <c r="A1064" s="510">
        <f t="shared" si="71"/>
        <v>1061</v>
      </c>
      <c r="B1064" s="428">
        <v>44615</v>
      </c>
      <c r="C1064" s="424">
        <v>44562</v>
      </c>
      <c r="D1064" s="415" t="s">
        <v>468</v>
      </c>
      <c r="E1064" s="415" t="s">
        <v>468</v>
      </c>
      <c r="F1064" s="459">
        <v>850</v>
      </c>
      <c r="G1064" s="399" t="s">
        <v>2650</v>
      </c>
      <c r="H1064" s="415" t="s">
        <v>468</v>
      </c>
      <c r="I1064" s="552" t="s">
        <v>2651</v>
      </c>
      <c r="J1064" s="418">
        <v>2117025</v>
      </c>
      <c r="K1064" s="418" t="s">
        <v>2389</v>
      </c>
      <c r="L1064" s="399" t="s">
        <v>1305</v>
      </c>
      <c r="M1064" s="544" t="s">
        <v>310</v>
      </c>
      <c r="N1064" s="414">
        <v>44615</v>
      </c>
      <c r="O1064" s="414" t="s">
        <v>402</v>
      </c>
      <c r="P1064" s="222">
        <f t="shared" si="68"/>
        <v>2</v>
      </c>
      <c r="Q1064" s="222">
        <f t="shared" si="69"/>
        <v>1</v>
      </c>
      <c r="R1064" s="532" t="str">
        <f t="shared" si="70"/>
        <v>Gastos_custeados_por_captação</v>
      </c>
      <c r="S1064" s="467" t="s">
        <v>998</v>
      </c>
      <c r="T1064" s="467">
        <v>2424</v>
      </c>
      <c r="U1064" s="496"/>
      <c r="V1064" s="496"/>
      <c r="W1064" s="496"/>
    </row>
    <row r="1065" spans="1:23" ht="72" x14ac:dyDescent="0.2">
      <c r="A1065" s="510">
        <f t="shared" si="71"/>
        <v>1062</v>
      </c>
      <c r="B1065" s="428">
        <v>44615</v>
      </c>
      <c r="C1065" s="424">
        <v>44562</v>
      </c>
      <c r="D1065" s="415" t="s">
        <v>468</v>
      </c>
      <c r="E1065" s="415" t="s">
        <v>468</v>
      </c>
      <c r="F1065" s="459">
        <v>550</v>
      </c>
      <c r="G1065" s="399" t="s">
        <v>2646</v>
      </c>
      <c r="H1065" s="415" t="s">
        <v>468</v>
      </c>
      <c r="I1065" s="398" t="s">
        <v>881</v>
      </c>
      <c r="J1065" s="418" t="s">
        <v>882</v>
      </c>
      <c r="K1065" s="418" t="s">
        <v>883</v>
      </c>
      <c r="L1065" s="399" t="s">
        <v>798</v>
      </c>
      <c r="M1065" s="544" t="s">
        <v>310</v>
      </c>
      <c r="N1065" s="414">
        <v>44615</v>
      </c>
      <c r="O1065" s="414" t="s">
        <v>402</v>
      </c>
      <c r="P1065" s="222">
        <f t="shared" si="68"/>
        <v>2</v>
      </c>
      <c r="Q1065" s="222">
        <f t="shared" si="69"/>
        <v>1</v>
      </c>
      <c r="R1065" s="532" t="str">
        <f t="shared" si="70"/>
        <v>Gastos_custeados_por_captação</v>
      </c>
      <c r="S1065" s="467" t="s">
        <v>310</v>
      </c>
      <c r="T1065" s="467" t="s">
        <v>310</v>
      </c>
      <c r="U1065" s="496"/>
      <c r="V1065" s="496"/>
      <c r="W1065" s="496"/>
    </row>
    <row r="1066" spans="1:23" ht="72" x14ac:dyDescent="0.2">
      <c r="A1066" s="510">
        <f t="shared" si="71"/>
        <v>1063</v>
      </c>
      <c r="B1066" s="428">
        <v>44615</v>
      </c>
      <c r="C1066" s="424">
        <v>44562</v>
      </c>
      <c r="D1066" s="415" t="s">
        <v>468</v>
      </c>
      <c r="E1066" s="415" t="s">
        <v>468</v>
      </c>
      <c r="F1066" s="459">
        <v>152.03</v>
      </c>
      <c r="G1066" s="399" t="s">
        <v>2647</v>
      </c>
      <c r="H1066" s="415" t="s">
        <v>468</v>
      </c>
      <c r="I1066" s="552" t="s">
        <v>1461</v>
      </c>
      <c r="J1066" s="418" t="s">
        <v>310</v>
      </c>
      <c r="K1066" s="418" t="s">
        <v>1220</v>
      </c>
      <c r="L1066" s="399" t="s">
        <v>1368</v>
      </c>
      <c r="M1066" s="544" t="s">
        <v>310</v>
      </c>
      <c r="N1066" s="414">
        <v>44615</v>
      </c>
      <c r="O1066" s="414" t="s">
        <v>402</v>
      </c>
      <c r="P1066" s="222">
        <f t="shared" si="68"/>
        <v>2</v>
      </c>
      <c r="Q1066" s="222">
        <f t="shared" si="69"/>
        <v>1</v>
      </c>
      <c r="R1066" s="532" t="str">
        <f t="shared" si="70"/>
        <v>Gastos_custeados_por_captação</v>
      </c>
      <c r="S1066" s="467" t="s">
        <v>310</v>
      </c>
      <c r="T1066" s="467" t="s">
        <v>310</v>
      </c>
      <c r="U1066" s="496"/>
      <c r="V1066" s="496"/>
      <c r="W1066" s="496"/>
    </row>
    <row r="1067" spans="1:23" ht="72" x14ac:dyDescent="0.2">
      <c r="A1067" s="510">
        <f t="shared" si="71"/>
        <v>1064</v>
      </c>
      <c r="B1067" s="428">
        <v>44615</v>
      </c>
      <c r="C1067" s="424">
        <v>44562</v>
      </c>
      <c r="D1067" s="415" t="s">
        <v>468</v>
      </c>
      <c r="E1067" s="415" t="s">
        <v>468</v>
      </c>
      <c r="F1067" s="459">
        <v>87.93</v>
      </c>
      <c r="G1067" s="399" t="s">
        <v>2648</v>
      </c>
      <c r="H1067" s="415" t="s">
        <v>468</v>
      </c>
      <c r="I1067" s="552" t="s">
        <v>1461</v>
      </c>
      <c r="J1067" s="418" t="s">
        <v>310</v>
      </c>
      <c r="K1067" s="418" t="s">
        <v>1220</v>
      </c>
      <c r="L1067" s="399" t="s">
        <v>1368</v>
      </c>
      <c r="M1067" s="544" t="s">
        <v>310</v>
      </c>
      <c r="N1067" s="414">
        <v>44615</v>
      </c>
      <c r="O1067" s="414" t="s">
        <v>402</v>
      </c>
      <c r="P1067" s="222">
        <f t="shared" si="68"/>
        <v>2</v>
      </c>
      <c r="Q1067" s="222">
        <f t="shared" si="69"/>
        <v>1</v>
      </c>
      <c r="R1067" s="532" t="str">
        <f t="shared" si="70"/>
        <v>Gastos_custeados_por_captação</v>
      </c>
      <c r="S1067" s="467" t="s">
        <v>310</v>
      </c>
      <c r="T1067" s="467" t="s">
        <v>310</v>
      </c>
      <c r="U1067" s="496"/>
      <c r="V1067" s="496"/>
      <c r="W1067" s="496"/>
    </row>
    <row r="1068" spans="1:23" ht="72" x14ac:dyDescent="0.2">
      <c r="A1068" s="510">
        <f t="shared" si="71"/>
        <v>1065</v>
      </c>
      <c r="B1068" s="428">
        <v>44615</v>
      </c>
      <c r="C1068" s="424">
        <v>44562</v>
      </c>
      <c r="D1068" s="415" t="s">
        <v>468</v>
      </c>
      <c r="E1068" s="415" t="s">
        <v>468</v>
      </c>
      <c r="F1068" s="459">
        <v>19.09</v>
      </c>
      <c r="G1068" s="399" t="s">
        <v>2649</v>
      </c>
      <c r="H1068" s="415" t="s">
        <v>468</v>
      </c>
      <c r="I1068" s="552" t="s">
        <v>1461</v>
      </c>
      <c r="J1068" s="418" t="s">
        <v>310</v>
      </c>
      <c r="K1068" s="418" t="s">
        <v>1220</v>
      </c>
      <c r="L1068" s="399" t="s">
        <v>1368</v>
      </c>
      <c r="M1068" s="544" t="s">
        <v>310</v>
      </c>
      <c r="N1068" s="414">
        <v>44615</v>
      </c>
      <c r="O1068" s="414" t="s">
        <v>402</v>
      </c>
      <c r="P1068" s="222">
        <f t="shared" si="68"/>
        <v>2</v>
      </c>
      <c r="Q1068" s="222">
        <f t="shared" si="69"/>
        <v>1</v>
      </c>
      <c r="R1068" s="532" t="str">
        <f t="shared" si="70"/>
        <v>Gastos_custeados_por_captação</v>
      </c>
      <c r="S1068" s="467" t="s">
        <v>310</v>
      </c>
      <c r="T1068" s="467" t="s">
        <v>310</v>
      </c>
      <c r="U1068" s="496"/>
      <c r="V1068" s="496"/>
      <c r="W1068" s="496"/>
    </row>
    <row r="1069" spans="1:23" ht="60" x14ac:dyDescent="0.2">
      <c r="A1069" s="510">
        <f t="shared" si="71"/>
        <v>1066</v>
      </c>
      <c r="B1069" s="428">
        <v>44615</v>
      </c>
      <c r="C1069" s="431">
        <v>44562</v>
      </c>
      <c r="D1069" s="415" t="s">
        <v>271</v>
      </c>
      <c r="E1069" s="415" t="s">
        <v>456</v>
      </c>
      <c r="F1069" s="425">
        <v>3176.87</v>
      </c>
      <c r="G1069" s="427" t="s">
        <v>723</v>
      </c>
      <c r="H1069" s="415" t="s">
        <v>756</v>
      </c>
      <c r="I1069" s="473" t="s">
        <v>1893</v>
      </c>
      <c r="J1069" s="415" t="s">
        <v>1145</v>
      </c>
      <c r="K1069" s="418" t="s">
        <v>830</v>
      </c>
      <c r="L1069" s="399" t="s">
        <v>807</v>
      </c>
      <c r="M1069" s="551" t="s">
        <v>1892</v>
      </c>
      <c r="N1069" s="414">
        <v>44614</v>
      </c>
      <c r="O1069" s="414" t="s">
        <v>400</v>
      </c>
      <c r="P1069" s="222">
        <f t="shared" si="68"/>
        <v>2</v>
      </c>
      <c r="Q1069" s="222">
        <f t="shared" si="69"/>
        <v>1</v>
      </c>
      <c r="R1069" s="532" t="str">
        <f t="shared" si="70"/>
        <v>Gastos_Gerais</v>
      </c>
      <c r="S1069" s="467" t="s">
        <v>998</v>
      </c>
      <c r="T1069" s="467">
        <v>2767</v>
      </c>
      <c r="U1069" s="496"/>
      <c r="V1069" s="496"/>
      <c r="W1069" s="496"/>
    </row>
    <row r="1070" spans="1:23" ht="72" x14ac:dyDescent="0.2">
      <c r="A1070" s="510">
        <f t="shared" si="71"/>
        <v>1067</v>
      </c>
      <c r="B1070" s="428">
        <v>44615</v>
      </c>
      <c r="C1070" s="431">
        <v>44562</v>
      </c>
      <c r="D1070" s="415" t="s">
        <v>468</v>
      </c>
      <c r="E1070" s="415" t="s">
        <v>468</v>
      </c>
      <c r="F1070" s="459">
        <v>1998.6</v>
      </c>
      <c r="G1070" s="399" t="s">
        <v>744</v>
      </c>
      <c r="H1070" s="415" t="s">
        <v>468</v>
      </c>
      <c r="I1070" s="552" t="s">
        <v>2690</v>
      </c>
      <c r="J1070" s="418" t="s">
        <v>1162</v>
      </c>
      <c r="K1070" s="418" t="s">
        <v>830</v>
      </c>
      <c r="L1070" s="399" t="s">
        <v>839</v>
      </c>
      <c r="M1070" s="544">
        <v>1590</v>
      </c>
      <c r="N1070" s="414">
        <v>44614</v>
      </c>
      <c r="O1070" s="414" t="s">
        <v>404</v>
      </c>
      <c r="P1070" s="222">
        <f t="shared" si="68"/>
        <v>2</v>
      </c>
      <c r="Q1070" s="222">
        <f t="shared" si="69"/>
        <v>1</v>
      </c>
      <c r="R1070" s="532" t="str">
        <f t="shared" si="70"/>
        <v>Gastos_custeados_por_captação</v>
      </c>
      <c r="S1070" s="467" t="s">
        <v>1000</v>
      </c>
      <c r="T1070" s="467">
        <v>2820</v>
      </c>
      <c r="U1070" s="496"/>
      <c r="V1070" s="496"/>
      <c r="W1070" s="496"/>
    </row>
    <row r="1071" spans="1:23" ht="72" x14ac:dyDescent="0.2">
      <c r="A1071" s="510">
        <f t="shared" si="71"/>
        <v>1068</v>
      </c>
      <c r="B1071" s="428">
        <v>44615</v>
      </c>
      <c r="C1071" s="431">
        <v>44501</v>
      </c>
      <c r="D1071" s="415" t="s">
        <v>468</v>
      </c>
      <c r="E1071" s="415" t="s">
        <v>468</v>
      </c>
      <c r="F1071" s="459">
        <v>500</v>
      </c>
      <c r="G1071" s="399" t="s">
        <v>2907</v>
      </c>
      <c r="H1071" s="415" t="s">
        <v>468</v>
      </c>
      <c r="I1071" s="552" t="s">
        <v>2913</v>
      </c>
      <c r="J1071" s="418" t="s">
        <v>2912</v>
      </c>
      <c r="K1071" s="418" t="s">
        <v>830</v>
      </c>
      <c r="L1071" s="399" t="s">
        <v>807</v>
      </c>
      <c r="M1071" s="544">
        <v>730</v>
      </c>
      <c r="N1071" s="414">
        <v>44614</v>
      </c>
      <c r="O1071" s="414" t="s">
        <v>407</v>
      </c>
      <c r="P1071" s="222">
        <f t="shared" si="68"/>
        <v>2</v>
      </c>
      <c r="Q1071" s="222">
        <f t="shared" si="69"/>
        <v>-1</v>
      </c>
      <c r="R1071" s="532" t="str">
        <f t="shared" si="70"/>
        <v>Gastos_custeados_por_captação</v>
      </c>
      <c r="S1071" s="467" t="s">
        <v>998</v>
      </c>
      <c r="T1071" s="467">
        <v>2113</v>
      </c>
      <c r="U1071" s="496"/>
      <c r="V1071" s="496"/>
      <c r="W1071" s="496"/>
    </row>
    <row r="1072" spans="1:23" ht="96" x14ac:dyDescent="0.2">
      <c r="A1072" s="510">
        <f t="shared" si="71"/>
        <v>1069</v>
      </c>
      <c r="B1072" s="428">
        <v>44615</v>
      </c>
      <c r="C1072" s="431">
        <v>44501</v>
      </c>
      <c r="D1072" s="415" t="s">
        <v>271</v>
      </c>
      <c r="E1072" s="415" t="s">
        <v>297</v>
      </c>
      <c r="F1072" s="425">
        <v>5000</v>
      </c>
      <c r="G1072" s="427" t="s">
        <v>590</v>
      </c>
      <c r="H1072" s="415" t="s">
        <v>755</v>
      </c>
      <c r="I1072" s="473" t="s">
        <v>895</v>
      </c>
      <c r="J1072" s="415" t="s">
        <v>1053</v>
      </c>
      <c r="K1072" s="418" t="s">
        <v>830</v>
      </c>
      <c r="L1072" s="399" t="s">
        <v>32</v>
      </c>
      <c r="M1072" s="551" t="s">
        <v>1890</v>
      </c>
      <c r="N1072" s="414">
        <v>44613</v>
      </c>
      <c r="O1072" s="414" t="s">
        <v>400</v>
      </c>
      <c r="P1072" s="222">
        <f t="shared" si="68"/>
        <v>2</v>
      </c>
      <c r="Q1072" s="222">
        <f t="shared" si="69"/>
        <v>-1</v>
      </c>
      <c r="R1072" s="532" t="str">
        <f t="shared" si="70"/>
        <v>Gastos_Gerais</v>
      </c>
      <c r="S1072" s="467" t="s">
        <v>998</v>
      </c>
      <c r="T1072" s="467">
        <v>2453</v>
      </c>
      <c r="U1072" s="496"/>
      <c r="V1072" s="496"/>
      <c r="W1072" s="496"/>
    </row>
    <row r="1073" spans="1:23" ht="48" x14ac:dyDescent="0.2">
      <c r="A1073" s="510">
        <f t="shared" si="71"/>
        <v>1070</v>
      </c>
      <c r="B1073" s="428">
        <v>44615</v>
      </c>
      <c r="C1073" s="431">
        <v>44562</v>
      </c>
      <c r="D1073" s="415" t="s">
        <v>271</v>
      </c>
      <c r="E1073" s="415" t="s">
        <v>453</v>
      </c>
      <c r="F1073" s="425">
        <v>1478.4</v>
      </c>
      <c r="G1073" s="427" t="s">
        <v>718</v>
      </c>
      <c r="H1073" s="415" t="s">
        <v>752</v>
      </c>
      <c r="I1073" s="473" t="s">
        <v>1896</v>
      </c>
      <c r="J1073" s="415" t="s">
        <v>1142</v>
      </c>
      <c r="K1073" s="418" t="s">
        <v>830</v>
      </c>
      <c r="L1073" s="399" t="s">
        <v>839</v>
      </c>
      <c r="M1073" s="544">
        <v>1589</v>
      </c>
      <c r="N1073" s="414">
        <v>44613</v>
      </c>
      <c r="O1073" s="414" t="s">
        <v>400</v>
      </c>
      <c r="P1073" s="222">
        <f t="shared" si="68"/>
        <v>2</v>
      </c>
      <c r="Q1073" s="222">
        <f t="shared" si="69"/>
        <v>1</v>
      </c>
      <c r="R1073" s="532" t="str">
        <f t="shared" si="70"/>
        <v>Gastos_Gerais</v>
      </c>
      <c r="S1073" s="467" t="s">
        <v>998</v>
      </c>
      <c r="T1073" s="467">
        <v>2735</v>
      </c>
      <c r="U1073" s="496"/>
      <c r="V1073" s="496"/>
      <c r="W1073" s="496"/>
    </row>
    <row r="1074" spans="1:23" ht="36" x14ac:dyDescent="0.2">
      <c r="A1074" s="510">
        <f t="shared" si="71"/>
        <v>1071</v>
      </c>
      <c r="B1074" s="428">
        <v>44616</v>
      </c>
      <c r="C1074" s="424">
        <v>44593</v>
      </c>
      <c r="D1074" s="415" t="s">
        <v>271</v>
      </c>
      <c r="E1074" s="415" t="s">
        <v>71</v>
      </c>
      <c r="F1074" s="425">
        <v>10.45</v>
      </c>
      <c r="G1074" s="427" t="s">
        <v>1916</v>
      </c>
      <c r="H1074" s="415" t="s">
        <v>752</v>
      </c>
      <c r="I1074" s="398" t="s">
        <v>881</v>
      </c>
      <c r="J1074" s="418" t="s">
        <v>882</v>
      </c>
      <c r="K1074" s="418" t="s">
        <v>883</v>
      </c>
      <c r="L1074" s="399" t="s">
        <v>798</v>
      </c>
      <c r="M1074" s="544" t="s">
        <v>310</v>
      </c>
      <c r="N1074" s="414">
        <v>44616</v>
      </c>
      <c r="O1074" s="414" t="s">
        <v>400</v>
      </c>
      <c r="P1074" s="222">
        <f t="shared" si="68"/>
        <v>2</v>
      </c>
      <c r="Q1074" s="222">
        <f t="shared" si="69"/>
        <v>2</v>
      </c>
      <c r="R1074" s="532" t="str">
        <f t="shared" si="70"/>
        <v>Gastos_Gerais</v>
      </c>
      <c r="S1074" s="467" t="s">
        <v>310</v>
      </c>
      <c r="T1074" s="467" t="s">
        <v>310</v>
      </c>
      <c r="U1074" s="496"/>
      <c r="V1074" s="496"/>
      <c r="W1074" s="496"/>
    </row>
    <row r="1075" spans="1:23" ht="36" x14ac:dyDescent="0.2">
      <c r="A1075" s="510">
        <f t="shared" si="71"/>
        <v>1072</v>
      </c>
      <c r="B1075" s="428">
        <v>44616</v>
      </c>
      <c r="C1075" s="424">
        <v>44593</v>
      </c>
      <c r="D1075" s="415" t="s">
        <v>271</v>
      </c>
      <c r="E1075" s="415" t="s">
        <v>71</v>
      </c>
      <c r="F1075" s="425">
        <v>10.45</v>
      </c>
      <c r="G1075" s="427" t="s">
        <v>1918</v>
      </c>
      <c r="H1075" s="415" t="s">
        <v>755</v>
      </c>
      <c r="I1075" s="398" t="s">
        <v>881</v>
      </c>
      <c r="J1075" s="418" t="s">
        <v>882</v>
      </c>
      <c r="K1075" s="418" t="s">
        <v>883</v>
      </c>
      <c r="L1075" s="399" t="s">
        <v>798</v>
      </c>
      <c r="M1075" s="544" t="s">
        <v>310</v>
      </c>
      <c r="N1075" s="414">
        <v>44616</v>
      </c>
      <c r="O1075" s="414" t="s">
        <v>400</v>
      </c>
      <c r="P1075" s="222">
        <f t="shared" si="68"/>
        <v>2</v>
      </c>
      <c r="Q1075" s="222">
        <f t="shared" si="69"/>
        <v>2</v>
      </c>
      <c r="R1075" s="532" t="str">
        <f t="shared" si="70"/>
        <v>Gastos_Gerais</v>
      </c>
      <c r="S1075" s="467" t="s">
        <v>310</v>
      </c>
      <c r="T1075" s="467" t="s">
        <v>310</v>
      </c>
      <c r="U1075" s="496"/>
      <c r="V1075" s="496"/>
      <c r="W1075" s="496"/>
    </row>
    <row r="1076" spans="1:23" ht="48" x14ac:dyDescent="0.2">
      <c r="A1076" s="510">
        <f t="shared" si="71"/>
        <v>1073</v>
      </c>
      <c r="B1076" s="428">
        <v>44616</v>
      </c>
      <c r="C1076" s="424">
        <v>44593</v>
      </c>
      <c r="D1076" s="415" t="s">
        <v>271</v>
      </c>
      <c r="E1076" s="415" t="s">
        <v>71</v>
      </c>
      <c r="F1076" s="425">
        <v>10.45</v>
      </c>
      <c r="G1076" s="427" t="s">
        <v>1920</v>
      </c>
      <c r="H1076" s="415" t="s">
        <v>759</v>
      </c>
      <c r="I1076" s="398" t="s">
        <v>881</v>
      </c>
      <c r="J1076" s="418" t="s">
        <v>882</v>
      </c>
      <c r="K1076" s="418" t="s">
        <v>883</v>
      </c>
      <c r="L1076" s="399" t="s">
        <v>798</v>
      </c>
      <c r="M1076" s="544" t="s">
        <v>310</v>
      </c>
      <c r="N1076" s="414">
        <v>44616</v>
      </c>
      <c r="O1076" s="414" t="s">
        <v>400</v>
      </c>
      <c r="P1076" s="222">
        <f t="shared" si="68"/>
        <v>2</v>
      </c>
      <c r="Q1076" s="222">
        <f t="shared" si="69"/>
        <v>2</v>
      </c>
      <c r="R1076" s="532" t="str">
        <f t="shared" si="70"/>
        <v>Gastos_Gerais</v>
      </c>
      <c r="S1076" s="467" t="s">
        <v>310</v>
      </c>
      <c r="T1076" s="467" t="s">
        <v>310</v>
      </c>
      <c r="U1076" s="496"/>
      <c r="V1076" s="496"/>
      <c r="W1076" s="496"/>
    </row>
    <row r="1077" spans="1:23" ht="72" x14ac:dyDescent="0.2">
      <c r="A1077" s="510">
        <f t="shared" si="71"/>
        <v>1074</v>
      </c>
      <c r="B1077" s="428">
        <v>44616</v>
      </c>
      <c r="C1077" s="431">
        <v>44562</v>
      </c>
      <c r="D1077" s="415" t="s">
        <v>468</v>
      </c>
      <c r="E1077" s="415" t="s">
        <v>468</v>
      </c>
      <c r="F1077" s="459">
        <v>1998.6</v>
      </c>
      <c r="G1077" s="427" t="s">
        <v>744</v>
      </c>
      <c r="H1077" s="415" t="s">
        <v>468</v>
      </c>
      <c r="I1077" s="398" t="s">
        <v>2691</v>
      </c>
      <c r="J1077" s="418" t="s">
        <v>1163</v>
      </c>
      <c r="K1077" s="418" t="s">
        <v>830</v>
      </c>
      <c r="L1077" s="399" t="s">
        <v>839</v>
      </c>
      <c r="M1077" s="544">
        <v>1593</v>
      </c>
      <c r="N1077" s="414">
        <v>44616</v>
      </c>
      <c r="O1077" s="414" t="s">
        <v>404</v>
      </c>
      <c r="P1077" s="222">
        <f t="shared" si="68"/>
        <v>2</v>
      </c>
      <c r="Q1077" s="222">
        <f t="shared" si="69"/>
        <v>1</v>
      </c>
      <c r="R1077" s="532" t="str">
        <f t="shared" si="70"/>
        <v>Gastos_custeados_por_captação</v>
      </c>
      <c r="S1077" s="467" t="s">
        <v>1000</v>
      </c>
      <c r="T1077" s="467">
        <v>2821</v>
      </c>
      <c r="U1077" s="496"/>
      <c r="V1077" s="496"/>
      <c r="W1077" s="496"/>
    </row>
    <row r="1078" spans="1:23" ht="72" x14ac:dyDescent="0.2">
      <c r="A1078" s="510">
        <f t="shared" si="71"/>
        <v>1075</v>
      </c>
      <c r="B1078" s="428">
        <v>44616</v>
      </c>
      <c r="C1078" s="431">
        <v>44562</v>
      </c>
      <c r="D1078" s="415" t="s">
        <v>468</v>
      </c>
      <c r="E1078" s="415" t="s">
        <v>468</v>
      </c>
      <c r="F1078" s="459">
        <v>1998.6</v>
      </c>
      <c r="G1078" s="427" t="s">
        <v>1258</v>
      </c>
      <c r="H1078" s="415" t="s">
        <v>468</v>
      </c>
      <c r="I1078" s="398" t="s">
        <v>2693</v>
      </c>
      <c r="J1078" s="418" t="s">
        <v>1259</v>
      </c>
      <c r="K1078" s="418" t="s">
        <v>830</v>
      </c>
      <c r="L1078" s="399" t="s">
        <v>839</v>
      </c>
      <c r="M1078" s="544">
        <v>1595</v>
      </c>
      <c r="N1078" s="414">
        <v>44616</v>
      </c>
      <c r="O1078" s="414" t="s">
        <v>404</v>
      </c>
      <c r="P1078" s="222">
        <f t="shared" si="68"/>
        <v>2</v>
      </c>
      <c r="Q1078" s="222">
        <f t="shared" si="69"/>
        <v>1</v>
      </c>
      <c r="R1078" s="532" t="str">
        <f t="shared" si="70"/>
        <v>Gastos_custeados_por_captação</v>
      </c>
      <c r="S1078" s="467" t="s">
        <v>1000</v>
      </c>
      <c r="T1078" s="467">
        <v>2827</v>
      </c>
      <c r="U1078" s="496"/>
      <c r="V1078" s="496"/>
      <c r="W1078" s="496"/>
    </row>
    <row r="1079" spans="1:23" ht="72" x14ac:dyDescent="0.2">
      <c r="A1079" s="510">
        <f t="shared" si="71"/>
        <v>1076</v>
      </c>
      <c r="B1079" s="428">
        <v>44616</v>
      </c>
      <c r="C1079" s="431">
        <v>44531</v>
      </c>
      <c r="D1079" s="415" t="s">
        <v>468</v>
      </c>
      <c r="E1079" s="415" t="s">
        <v>468</v>
      </c>
      <c r="F1079" s="459">
        <v>420</v>
      </c>
      <c r="G1079" s="399" t="s">
        <v>2911</v>
      </c>
      <c r="H1079" s="415" t="s">
        <v>468</v>
      </c>
      <c r="I1079" s="460" t="s">
        <v>2919</v>
      </c>
      <c r="J1079" s="468" t="s">
        <v>2914</v>
      </c>
      <c r="K1079" s="418" t="s">
        <v>830</v>
      </c>
      <c r="L1079" s="399" t="s">
        <v>839</v>
      </c>
      <c r="M1079" s="464">
        <v>1592</v>
      </c>
      <c r="N1079" s="469">
        <v>44616</v>
      </c>
      <c r="O1079" s="414" t="s">
        <v>407</v>
      </c>
      <c r="P1079" s="222">
        <f t="shared" si="68"/>
        <v>2</v>
      </c>
      <c r="Q1079" s="222">
        <f t="shared" si="69"/>
        <v>0</v>
      </c>
      <c r="R1079" s="532" t="str">
        <f t="shared" si="70"/>
        <v>Gastos_custeados_por_captação</v>
      </c>
      <c r="S1079" s="467" t="s">
        <v>998</v>
      </c>
      <c r="T1079" s="467">
        <v>2154</v>
      </c>
      <c r="U1079" s="496"/>
      <c r="V1079" s="496"/>
      <c r="W1079" s="496"/>
    </row>
    <row r="1080" spans="1:23" ht="72" x14ac:dyDescent="0.2">
      <c r="A1080" s="510">
        <f t="shared" si="71"/>
        <v>1077</v>
      </c>
      <c r="B1080" s="428">
        <v>44616</v>
      </c>
      <c r="C1080" s="431">
        <v>44531</v>
      </c>
      <c r="D1080" s="415" t="s">
        <v>468</v>
      </c>
      <c r="E1080" s="415" t="s">
        <v>468</v>
      </c>
      <c r="F1080" s="459">
        <v>500</v>
      </c>
      <c r="G1080" s="399" t="s">
        <v>2908</v>
      </c>
      <c r="H1080" s="415" t="s">
        <v>468</v>
      </c>
      <c r="I1080" s="460" t="s">
        <v>2921</v>
      </c>
      <c r="J1080" s="468" t="s">
        <v>2916</v>
      </c>
      <c r="K1080" s="418" t="s">
        <v>830</v>
      </c>
      <c r="L1080" s="399" t="s">
        <v>807</v>
      </c>
      <c r="M1080" s="464">
        <v>785</v>
      </c>
      <c r="N1080" s="469">
        <v>44616</v>
      </c>
      <c r="O1080" s="414" t="s">
        <v>407</v>
      </c>
      <c r="P1080" s="222">
        <f t="shared" si="68"/>
        <v>2</v>
      </c>
      <c r="Q1080" s="222">
        <f t="shared" si="69"/>
        <v>0</v>
      </c>
      <c r="R1080" s="532" t="str">
        <f t="shared" si="70"/>
        <v>Gastos_custeados_por_captação</v>
      </c>
      <c r="S1080" s="467" t="s">
        <v>998</v>
      </c>
      <c r="T1080" s="467">
        <v>2151</v>
      </c>
      <c r="U1080" s="496"/>
      <c r="V1080" s="496"/>
      <c r="W1080" s="496"/>
    </row>
    <row r="1081" spans="1:23" ht="72" x14ac:dyDescent="0.2">
      <c r="A1081" s="510">
        <f t="shared" si="71"/>
        <v>1078</v>
      </c>
      <c r="B1081" s="428">
        <v>44616</v>
      </c>
      <c r="C1081" s="431">
        <v>44531</v>
      </c>
      <c r="D1081" s="415" t="s">
        <v>468</v>
      </c>
      <c r="E1081" s="415" t="s">
        <v>468</v>
      </c>
      <c r="F1081" s="459">
        <v>9648</v>
      </c>
      <c r="G1081" s="399" t="s">
        <v>2926</v>
      </c>
      <c r="H1081" s="415" t="s">
        <v>468</v>
      </c>
      <c r="I1081" s="460" t="s">
        <v>2748</v>
      </c>
      <c r="J1081" s="468" t="s">
        <v>1102</v>
      </c>
      <c r="K1081" s="418" t="s">
        <v>830</v>
      </c>
      <c r="L1081" s="399" t="s">
        <v>807</v>
      </c>
      <c r="M1081" s="464">
        <v>202210</v>
      </c>
      <c r="N1081" s="469">
        <v>44616</v>
      </c>
      <c r="O1081" s="414" t="s">
        <v>407</v>
      </c>
      <c r="P1081" s="222">
        <f t="shared" si="68"/>
        <v>2</v>
      </c>
      <c r="Q1081" s="222">
        <f t="shared" si="69"/>
        <v>0</v>
      </c>
      <c r="R1081" s="532" t="str">
        <f t="shared" si="70"/>
        <v>Gastos_custeados_por_captação</v>
      </c>
      <c r="S1081" s="467" t="s">
        <v>1000</v>
      </c>
      <c r="T1081" s="467">
        <v>2894</v>
      </c>
      <c r="U1081" s="496"/>
      <c r="V1081" s="496"/>
      <c r="W1081" s="496"/>
    </row>
    <row r="1082" spans="1:23" ht="36" x14ac:dyDescent="0.2">
      <c r="A1082" s="510">
        <f t="shared" si="71"/>
        <v>1079</v>
      </c>
      <c r="B1082" s="428">
        <v>44616</v>
      </c>
      <c r="C1082" s="431">
        <v>44593</v>
      </c>
      <c r="D1082" s="415" t="s">
        <v>271</v>
      </c>
      <c r="E1082" s="415" t="s">
        <v>442</v>
      </c>
      <c r="F1082" s="425">
        <v>1150</v>
      </c>
      <c r="G1082" s="427" t="s">
        <v>1741</v>
      </c>
      <c r="H1082" s="415" t="s">
        <v>755</v>
      </c>
      <c r="I1082" s="473" t="s">
        <v>1919</v>
      </c>
      <c r="J1082" s="415" t="s">
        <v>1740</v>
      </c>
      <c r="K1082" s="418" t="s">
        <v>830</v>
      </c>
      <c r="L1082" s="399" t="s">
        <v>807</v>
      </c>
      <c r="M1082" s="551" t="s">
        <v>848</v>
      </c>
      <c r="N1082" s="414">
        <v>44615</v>
      </c>
      <c r="O1082" s="414" t="s">
        <v>400</v>
      </c>
      <c r="P1082" s="222">
        <f t="shared" si="68"/>
        <v>2</v>
      </c>
      <c r="Q1082" s="222">
        <f t="shared" si="69"/>
        <v>2</v>
      </c>
      <c r="R1082" s="532" t="str">
        <f t="shared" si="70"/>
        <v>Gastos_Gerais</v>
      </c>
      <c r="S1082" s="467" t="s">
        <v>998</v>
      </c>
      <c r="T1082" s="467">
        <v>2886</v>
      </c>
      <c r="U1082" s="496"/>
      <c r="V1082" s="496"/>
      <c r="W1082" s="496"/>
    </row>
    <row r="1083" spans="1:23" ht="72" x14ac:dyDescent="0.2">
      <c r="A1083" s="510">
        <f t="shared" si="71"/>
        <v>1080</v>
      </c>
      <c r="B1083" s="428">
        <v>44616</v>
      </c>
      <c r="C1083" s="431">
        <v>44501</v>
      </c>
      <c r="D1083" s="415" t="s">
        <v>271</v>
      </c>
      <c r="E1083" s="415" t="s">
        <v>456</v>
      </c>
      <c r="F1083" s="425">
        <v>2500</v>
      </c>
      <c r="G1083" s="427" t="s">
        <v>599</v>
      </c>
      <c r="H1083" s="415" t="s">
        <v>759</v>
      </c>
      <c r="I1083" s="473" t="s">
        <v>1230</v>
      </c>
      <c r="J1083" s="415" t="s">
        <v>1039</v>
      </c>
      <c r="K1083" s="418" t="s">
        <v>830</v>
      </c>
      <c r="L1083" s="399" t="s">
        <v>807</v>
      </c>
      <c r="M1083" s="551" t="s">
        <v>1608</v>
      </c>
      <c r="N1083" s="414">
        <v>44615</v>
      </c>
      <c r="O1083" s="414" t="s">
        <v>400</v>
      </c>
      <c r="P1083" s="222">
        <f t="shared" si="68"/>
        <v>2</v>
      </c>
      <c r="Q1083" s="222">
        <f t="shared" si="69"/>
        <v>-1</v>
      </c>
      <c r="R1083" s="532" t="str">
        <f t="shared" si="70"/>
        <v>Gastos_Gerais</v>
      </c>
      <c r="S1083" s="467" t="s">
        <v>998</v>
      </c>
      <c r="T1083" s="467">
        <v>2486</v>
      </c>
      <c r="U1083" s="496"/>
      <c r="V1083" s="496"/>
      <c r="W1083" s="496"/>
    </row>
    <row r="1084" spans="1:23" ht="48" x14ac:dyDescent="0.2">
      <c r="A1084" s="510">
        <f t="shared" si="71"/>
        <v>1081</v>
      </c>
      <c r="B1084" s="428">
        <v>44616</v>
      </c>
      <c r="C1084" s="424">
        <v>44593</v>
      </c>
      <c r="D1084" s="415" t="s">
        <v>468</v>
      </c>
      <c r="E1084" s="415" t="s">
        <v>468</v>
      </c>
      <c r="F1084" s="425">
        <v>212.9</v>
      </c>
      <c r="G1084" s="427" t="s">
        <v>2368</v>
      </c>
      <c r="H1084" s="415" t="s">
        <v>468</v>
      </c>
      <c r="I1084" s="398" t="s">
        <v>2369</v>
      </c>
      <c r="J1084" s="418" t="s">
        <v>1889</v>
      </c>
      <c r="K1084" s="418" t="s">
        <v>830</v>
      </c>
      <c r="L1084" s="399" t="s">
        <v>32</v>
      </c>
      <c r="M1084" s="544">
        <v>2433</v>
      </c>
      <c r="N1084" s="414">
        <v>44615</v>
      </c>
      <c r="O1084" s="414" t="s">
        <v>403</v>
      </c>
      <c r="P1084" s="222">
        <f t="shared" si="68"/>
        <v>2</v>
      </c>
      <c r="Q1084" s="222">
        <f t="shared" si="69"/>
        <v>2</v>
      </c>
      <c r="R1084" s="532" t="str">
        <f t="shared" si="70"/>
        <v>Gastos_custeados_por_captação</v>
      </c>
      <c r="S1084" s="467" t="s">
        <v>1303</v>
      </c>
      <c r="T1084" s="467">
        <v>2949</v>
      </c>
      <c r="U1084" s="496"/>
      <c r="V1084" s="496"/>
      <c r="W1084" s="496"/>
    </row>
    <row r="1085" spans="1:23" ht="72" x14ac:dyDescent="0.2">
      <c r="A1085" s="510">
        <f t="shared" si="71"/>
        <v>1082</v>
      </c>
      <c r="B1085" s="428">
        <v>44616</v>
      </c>
      <c r="C1085" s="431">
        <v>44409</v>
      </c>
      <c r="D1085" s="415" t="s">
        <v>468</v>
      </c>
      <c r="E1085" s="415" t="s">
        <v>468</v>
      </c>
      <c r="F1085" s="459">
        <v>840</v>
      </c>
      <c r="G1085" s="399" t="s">
        <v>2924</v>
      </c>
      <c r="H1085" s="415" t="s">
        <v>468</v>
      </c>
      <c r="I1085" s="460" t="s">
        <v>2923</v>
      </c>
      <c r="J1085" s="468" t="s">
        <v>2918</v>
      </c>
      <c r="K1085" s="418" t="s">
        <v>830</v>
      </c>
      <c r="L1085" s="399" t="s">
        <v>839</v>
      </c>
      <c r="M1085" s="464">
        <v>1591</v>
      </c>
      <c r="N1085" s="469">
        <v>44615</v>
      </c>
      <c r="O1085" s="414" t="s">
        <v>407</v>
      </c>
      <c r="P1085" s="222">
        <f t="shared" si="68"/>
        <v>2</v>
      </c>
      <c r="Q1085" s="222">
        <f t="shared" si="69"/>
        <v>-4</v>
      </c>
      <c r="R1085" s="532" t="str">
        <f t="shared" si="70"/>
        <v>Gastos_custeados_por_captação</v>
      </c>
      <c r="S1085" s="467" t="s">
        <v>998</v>
      </c>
      <c r="T1085" s="467">
        <v>2197</v>
      </c>
      <c r="U1085" s="496"/>
      <c r="V1085" s="496"/>
      <c r="W1085" s="496"/>
    </row>
    <row r="1086" spans="1:23" ht="72" x14ac:dyDescent="0.2">
      <c r="A1086" s="510">
        <f t="shared" si="71"/>
        <v>1083</v>
      </c>
      <c r="B1086" s="428">
        <v>44616</v>
      </c>
      <c r="C1086" s="431">
        <v>44409</v>
      </c>
      <c r="D1086" s="415" t="s">
        <v>468</v>
      </c>
      <c r="E1086" s="415" t="s">
        <v>468</v>
      </c>
      <c r="F1086" s="459">
        <v>6000</v>
      </c>
      <c r="G1086" s="399" t="s">
        <v>2925</v>
      </c>
      <c r="H1086" s="415" t="s">
        <v>468</v>
      </c>
      <c r="I1086" s="460" t="s">
        <v>2922</v>
      </c>
      <c r="J1086" s="468" t="s">
        <v>2917</v>
      </c>
      <c r="K1086" s="418" t="s">
        <v>830</v>
      </c>
      <c r="L1086" s="399" t="s">
        <v>807</v>
      </c>
      <c r="M1086" s="464">
        <v>236</v>
      </c>
      <c r="N1086" s="469">
        <v>44614</v>
      </c>
      <c r="O1086" s="414" t="s">
        <v>407</v>
      </c>
      <c r="P1086" s="222">
        <f t="shared" ref="P1086:P1111" si="72">IF(B1086=0,0,IF(YEAR(B1086)=$Q$1,MONTH(B1086)-$P$1+1,(YEAR(B1086)-$Q$1)*12-$P$1+1+MONTH(B1086)))</f>
        <v>2</v>
      </c>
      <c r="Q1086" s="222">
        <f t="shared" ref="Q1086:Q1111" si="73">IF(C1086=0,0,IF(YEAR(C1086)=$Q$1,MONTH(C1086)-$P$1+1,(YEAR(C1086)-$Q$1)*12-$P$1+1+MONTH(C1086)))</f>
        <v>-4</v>
      </c>
      <c r="R1086" s="532" t="str">
        <f t="shared" ref="R1086:R1111" si="74">SUBSTITUTE(D1086," ","_")</f>
        <v>Gastos_custeados_por_captação</v>
      </c>
      <c r="S1086" s="467" t="s">
        <v>998</v>
      </c>
      <c r="T1086" s="467">
        <v>1846</v>
      </c>
      <c r="U1086" s="496"/>
      <c r="V1086" s="496"/>
      <c r="W1086" s="496"/>
    </row>
    <row r="1087" spans="1:23" ht="72" x14ac:dyDescent="0.2">
      <c r="A1087" s="510">
        <f t="shared" ref="A1087:A1149" si="75">IF(B1087="","",ROW()-ROW($A$3))</f>
        <v>1084</v>
      </c>
      <c r="B1087" s="428">
        <v>44616</v>
      </c>
      <c r="C1087" s="431">
        <v>44531</v>
      </c>
      <c r="D1087" s="415" t="s">
        <v>468</v>
      </c>
      <c r="E1087" s="415" t="s">
        <v>468</v>
      </c>
      <c r="F1087" s="459">
        <v>982.8</v>
      </c>
      <c r="G1087" s="399" t="s">
        <v>2924</v>
      </c>
      <c r="H1087" s="415" t="s">
        <v>468</v>
      </c>
      <c r="I1087" s="460" t="s">
        <v>2920</v>
      </c>
      <c r="J1087" s="468" t="s">
        <v>2915</v>
      </c>
      <c r="K1087" s="418" t="s">
        <v>830</v>
      </c>
      <c r="L1087" s="399" t="s">
        <v>839</v>
      </c>
      <c r="M1087" s="464">
        <v>1585</v>
      </c>
      <c r="N1087" s="469">
        <v>44613</v>
      </c>
      <c r="O1087" s="414" t="s">
        <v>407</v>
      </c>
      <c r="P1087" s="222">
        <f t="shared" si="72"/>
        <v>2</v>
      </c>
      <c r="Q1087" s="222">
        <f t="shared" si="73"/>
        <v>0</v>
      </c>
      <c r="R1087" s="532" t="str">
        <f t="shared" si="74"/>
        <v>Gastos_custeados_por_captação</v>
      </c>
      <c r="S1087" s="467" t="s">
        <v>998</v>
      </c>
      <c r="T1087" s="467">
        <v>2851</v>
      </c>
      <c r="U1087" s="496"/>
      <c r="V1087" s="496"/>
      <c r="W1087" s="496"/>
    </row>
    <row r="1088" spans="1:23" ht="60" x14ac:dyDescent="0.2">
      <c r="A1088" s="510">
        <f t="shared" si="75"/>
        <v>1085</v>
      </c>
      <c r="B1088" s="428">
        <v>44616</v>
      </c>
      <c r="C1088" s="424">
        <v>44593</v>
      </c>
      <c r="D1088" s="415" t="s">
        <v>468</v>
      </c>
      <c r="E1088" s="415" t="s">
        <v>468</v>
      </c>
      <c r="F1088" s="425">
        <v>273.60000000000002</v>
      </c>
      <c r="G1088" s="427" t="s">
        <v>2366</v>
      </c>
      <c r="H1088" s="415" t="s">
        <v>468</v>
      </c>
      <c r="I1088" s="398" t="s">
        <v>2365</v>
      </c>
      <c r="J1088" s="418" t="s">
        <v>2367</v>
      </c>
      <c r="K1088" s="418" t="s">
        <v>830</v>
      </c>
      <c r="L1088" s="399" t="s">
        <v>807</v>
      </c>
      <c r="M1088" s="544">
        <v>11563</v>
      </c>
      <c r="N1088" s="414">
        <v>44611</v>
      </c>
      <c r="O1088" s="414" t="s">
        <v>403</v>
      </c>
      <c r="P1088" s="222">
        <f t="shared" si="72"/>
        <v>2</v>
      </c>
      <c r="Q1088" s="222">
        <f t="shared" si="73"/>
        <v>2</v>
      </c>
      <c r="R1088" s="532" t="str">
        <f t="shared" si="74"/>
        <v>Gastos_custeados_por_captação</v>
      </c>
      <c r="S1088" s="467" t="s">
        <v>1303</v>
      </c>
      <c r="T1088" s="467">
        <v>2898</v>
      </c>
      <c r="U1088" s="496"/>
      <c r="V1088" s="496"/>
      <c r="W1088" s="496"/>
    </row>
    <row r="1089" spans="1:23" ht="84" x14ac:dyDescent="0.2">
      <c r="A1089" s="510">
        <f t="shared" si="75"/>
        <v>1086</v>
      </c>
      <c r="B1089" s="428">
        <v>44616</v>
      </c>
      <c r="C1089" s="431">
        <v>44562</v>
      </c>
      <c r="D1089" s="415" t="s">
        <v>271</v>
      </c>
      <c r="E1089" s="415" t="s">
        <v>91</v>
      </c>
      <c r="F1089" s="425">
        <v>1400</v>
      </c>
      <c r="G1089" s="427" t="s">
        <v>678</v>
      </c>
      <c r="H1089" s="415" t="s">
        <v>752</v>
      </c>
      <c r="I1089" s="473" t="s">
        <v>1917</v>
      </c>
      <c r="J1089" s="415" t="s">
        <v>1091</v>
      </c>
      <c r="K1089" s="418" t="s">
        <v>830</v>
      </c>
      <c r="L1089" s="399" t="s">
        <v>807</v>
      </c>
      <c r="M1089" s="544">
        <v>335</v>
      </c>
      <c r="N1089" s="414">
        <v>44609</v>
      </c>
      <c r="O1089" s="414" t="s">
        <v>400</v>
      </c>
      <c r="P1089" s="222">
        <f t="shared" si="72"/>
        <v>2</v>
      </c>
      <c r="Q1089" s="222">
        <f t="shared" si="73"/>
        <v>1</v>
      </c>
      <c r="R1089" s="532" t="str">
        <f t="shared" si="74"/>
        <v>Gastos_Gerais</v>
      </c>
      <c r="S1089" s="467" t="s">
        <v>998</v>
      </c>
      <c r="T1089" s="467">
        <v>2751</v>
      </c>
      <c r="U1089" s="496"/>
      <c r="V1089" s="496"/>
      <c r="W1089" s="496"/>
    </row>
    <row r="1090" spans="1:23" ht="24" x14ac:dyDescent="0.2">
      <c r="A1090" s="510">
        <f t="shared" si="75"/>
        <v>1087</v>
      </c>
      <c r="B1090" s="465">
        <v>44617</v>
      </c>
      <c r="C1090" s="466">
        <v>44593</v>
      </c>
      <c r="D1090" s="415" t="s">
        <v>271</v>
      </c>
      <c r="E1090" s="415" t="s">
        <v>297</v>
      </c>
      <c r="F1090" s="435">
        <v>342</v>
      </c>
      <c r="G1090" s="437" t="s">
        <v>1484</v>
      </c>
      <c r="H1090" s="434" t="s">
        <v>309</v>
      </c>
      <c r="I1090" s="474" t="s">
        <v>1485</v>
      </c>
      <c r="J1090" s="434" t="s">
        <v>1483</v>
      </c>
      <c r="K1090" s="418" t="s">
        <v>812</v>
      </c>
      <c r="L1090" s="434" t="s">
        <v>807</v>
      </c>
      <c r="M1090" s="415">
        <v>5773084</v>
      </c>
      <c r="N1090" s="414">
        <v>44620</v>
      </c>
      <c r="O1090" s="414" t="s">
        <v>400</v>
      </c>
      <c r="P1090" s="222">
        <f t="shared" si="72"/>
        <v>2</v>
      </c>
      <c r="Q1090" s="222">
        <f t="shared" si="73"/>
        <v>2</v>
      </c>
      <c r="R1090" s="532" t="str">
        <f t="shared" si="74"/>
        <v>Gastos_Gerais</v>
      </c>
      <c r="S1090" s="467" t="s">
        <v>1000</v>
      </c>
      <c r="T1090" s="467">
        <v>1551</v>
      </c>
      <c r="U1090" s="496"/>
      <c r="V1090" s="496"/>
      <c r="W1090" s="496"/>
    </row>
    <row r="1091" spans="1:23" ht="24" x14ac:dyDescent="0.2">
      <c r="A1091" s="510">
        <f t="shared" si="75"/>
        <v>1088</v>
      </c>
      <c r="B1091" s="428">
        <v>44617</v>
      </c>
      <c r="C1091" s="424">
        <v>44562</v>
      </c>
      <c r="D1091" s="415" t="s">
        <v>182</v>
      </c>
      <c r="E1091" s="415" t="s">
        <v>267</v>
      </c>
      <c r="F1091" s="435">
        <v>2038.16</v>
      </c>
      <c r="G1091" s="437" t="s">
        <v>1937</v>
      </c>
      <c r="H1091" s="434" t="s">
        <v>310</v>
      </c>
      <c r="I1091" s="398" t="s">
        <v>1461</v>
      </c>
      <c r="J1091" s="434" t="s">
        <v>310</v>
      </c>
      <c r="K1091" s="434" t="s">
        <v>1220</v>
      </c>
      <c r="L1091" s="434" t="s">
        <v>1368</v>
      </c>
      <c r="M1091" s="415" t="s">
        <v>310</v>
      </c>
      <c r="N1091" s="414">
        <v>44617</v>
      </c>
      <c r="O1091" s="414" t="s">
        <v>400</v>
      </c>
      <c r="P1091" s="222">
        <f t="shared" si="72"/>
        <v>2</v>
      </c>
      <c r="Q1091" s="222">
        <f t="shared" si="73"/>
        <v>1</v>
      </c>
      <c r="R1091" s="532" t="str">
        <f t="shared" si="74"/>
        <v>Gastos_com_Pessoal</v>
      </c>
      <c r="S1091" s="467" t="s">
        <v>310</v>
      </c>
      <c r="T1091" s="467" t="s">
        <v>310</v>
      </c>
      <c r="U1091" s="496"/>
      <c r="V1091" s="496"/>
      <c r="W1091" s="496"/>
    </row>
    <row r="1092" spans="1:23" ht="24" x14ac:dyDescent="0.2">
      <c r="A1092" s="510">
        <f t="shared" si="75"/>
        <v>1089</v>
      </c>
      <c r="B1092" s="465">
        <v>44617</v>
      </c>
      <c r="C1092" s="466">
        <v>44562</v>
      </c>
      <c r="D1092" s="415" t="s">
        <v>271</v>
      </c>
      <c r="E1092" s="415" t="s">
        <v>67</v>
      </c>
      <c r="F1092" s="435">
        <v>278.33</v>
      </c>
      <c r="G1092" s="437" t="s">
        <v>1938</v>
      </c>
      <c r="H1092" s="434" t="s">
        <v>310</v>
      </c>
      <c r="I1092" s="398" t="s">
        <v>1461</v>
      </c>
      <c r="J1092" s="434" t="s">
        <v>310</v>
      </c>
      <c r="K1092" s="434" t="s">
        <v>1220</v>
      </c>
      <c r="L1092" s="434" t="s">
        <v>1368</v>
      </c>
      <c r="M1092" s="415" t="s">
        <v>310</v>
      </c>
      <c r="N1092" s="414">
        <v>44617</v>
      </c>
      <c r="O1092" s="414" t="s">
        <v>400</v>
      </c>
      <c r="P1092" s="222">
        <f t="shared" si="72"/>
        <v>2</v>
      </c>
      <c r="Q1092" s="222">
        <f t="shared" si="73"/>
        <v>1</v>
      </c>
      <c r="R1092" s="532" t="str">
        <f t="shared" si="74"/>
        <v>Gastos_Gerais</v>
      </c>
      <c r="S1092" s="467" t="s">
        <v>310</v>
      </c>
      <c r="T1092" s="467" t="s">
        <v>310</v>
      </c>
      <c r="U1092" s="496"/>
      <c r="V1092" s="496"/>
      <c r="W1092" s="496"/>
    </row>
    <row r="1093" spans="1:23" ht="36" x14ac:dyDescent="0.2">
      <c r="A1093" s="510">
        <f t="shared" si="75"/>
        <v>1090</v>
      </c>
      <c r="B1093" s="428">
        <v>44617</v>
      </c>
      <c r="C1093" s="424">
        <v>44593</v>
      </c>
      <c r="D1093" s="415" t="s">
        <v>271</v>
      </c>
      <c r="E1093" s="415" t="s">
        <v>71</v>
      </c>
      <c r="F1093" s="425">
        <v>10.45</v>
      </c>
      <c r="G1093" s="427" t="s">
        <v>1940</v>
      </c>
      <c r="H1093" s="415" t="s">
        <v>755</v>
      </c>
      <c r="I1093" s="398" t="s">
        <v>881</v>
      </c>
      <c r="J1093" s="418" t="s">
        <v>882</v>
      </c>
      <c r="K1093" s="418" t="s">
        <v>883</v>
      </c>
      <c r="L1093" s="399" t="s">
        <v>798</v>
      </c>
      <c r="M1093" s="544" t="s">
        <v>310</v>
      </c>
      <c r="N1093" s="414">
        <v>44617</v>
      </c>
      <c r="O1093" s="414" t="s">
        <v>400</v>
      </c>
      <c r="P1093" s="222">
        <f t="shared" si="72"/>
        <v>2</v>
      </c>
      <c r="Q1093" s="222">
        <f t="shared" si="73"/>
        <v>2</v>
      </c>
      <c r="R1093" s="532" t="str">
        <f t="shared" si="74"/>
        <v>Gastos_Gerais</v>
      </c>
      <c r="S1093" s="467" t="s">
        <v>310</v>
      </c>
      <c r="T1093" s="467" t="s">
        <v>310</v>
      </c>
      <c r="U1093" s="496"/>
      <c r="V1093" s="496"/>
      <c r="W1093" s="496"/>
    </row>
    <row r="1094" spans="1:23" ht="48" x14ac:dyDescent="0.2">
      <c r="A1094" s="510">
        <f t="shared" si="75"/>
        <v>1091</v>
      </c>
      <c r="B1094" s="428">
        <v>44617</v>
      </c>
      <c r="C1094" s="424">
        <v>44562</v>
      </c>
      <c r="D1094" s="415" t="s">
        <v>468</v>
      </c>
      <c r="E1094" s="415" t="s">
        <v>468</v>
      </c>
      <c r="F1094" s="425">
        <v>233.68</v>
      </c>
      <c r="G1094" s="427" t="s">
        <v>2370</v>
      </c>
      <c r="H1094" s="415" t="s">
        <v>468</v>
      </c>
      <c r="I1094" s="398" t="s">
        <v>1461</v>
      </c>
      <c r="J1094" s="461" t="s">
        <v>310</v>
      </c>
      <c r="K1094" s="461" t="s">
        <v>1220</v>
      </c>
      <c r="L1094" s="461" t="s">
        <v>1368</v>
      </c>
      <c r="M1094" s="461" t="s">
        <v>310</v>
      </c>
      <c r="N1094" s="414">
        <v>44617</v>
      </c>
      <c r="O1094" s="414" t="s">
        <v>403</v>
      </c>
      <c r="P1094" s="222">
        <f t="shared" si="72"/>
        <v>2</v>
      </c>
      <c r="Q1094" s="222">
        <f t="shared" si="73"/>
        <v>1</v>
      </c>
      <c r="R1094" s="532" t="str">
        <f t="shared" si="74"/>
        <v>Gastos_custeados_por_captação</v>
      </c>
      <c r="S1094" s="467" t="s">
        <v>310</v>
      </c>
      <c r="T1094" s="467" t="s">
        <v>310</v>
      </c>
      <c r="U1094" s="496"/>
      <c r="V1094" s="496"/>
      <c r="W1094" s="496"/>
    </row>
    <row r="1095" spans="1:23" ht="60" x14ac:dyDescent="0.2">
      <c r="A1095" s="510">
        <f t="shared" si="75"/>
        <v>1092</v>
      </c>
      <c r="B1095" s="428">
        <v>44617</v>
      </c>
      <c r="C1095" s="424">
        <v>44562</v>
      </c>
      <c r="D1095" s="415" t="s">
        <v>468</v>
      </c>
      <c r="E1095" s="415" t="s">
        <v>468</v>
      </c>
      <c r="F1095" s="425">
        <v>261.83</v>
      </c>
      <c r="G1095" s="427" t="s">
        <v>2391</v>
      </c>
      <c r="H1095" s="415" t="s">
        <v>468</v>
      </c>
      <c r="I1095" s="398" t="s">
        <v>1461</v>
      </c>
      <c r="J1095" s="461" t="s">
        <v>310</v>
      </c>
      <c r="K1095" s="461" t="s">
        <v>1220</v>
      </c>
      <c r="L1095" s="461" t="s">
        <v>1368</v>
      </c>
      <c r="M1095" s="461" t="s">
        <v>310</v>
      </c>
      <c r="N1095" s="414">
        <v>44617</v>
      </c>
      <c r="O1095" s="414" t="s">
        <v>405</v>
      </c>
      <c r="P1095" s="222">
        <f t="shared" si="72"/>
        <v>2</v>
      </c>
      <c r="Q1095" s="222">
        <f t="shared" si="73"/>
        <v>1</v>
      </c>
      <c r="R1095" s="532" t="str">
        <f t="shared" si="74"/>
        <v>Gastos_custeados_por_captação</v>
      </c>
      <c r="S1095" s="467" t="s">
        <v>310</v>
      </c>
      <c r="T1095" s="467" t="s">
        <v>310</v>
      </c>
      <c r="U1095" s="496"/>
      <c r="V1095" s="496"/>
      <c r="W1095" s="496"/>
    </row>
    <row r="1096" spans="1:23" ht="60" x14ac:dyDescent="0.2">
      <c r="A1096" s="510">
        <f t="shared" si="75"/>
        <v>1093</v>
      </c>
      <c r="B1096" s="428">
        <v>44617</v>
      </c>
      <c r="C1096" s="424">
        <v>44562</v>
      </c>
      <c r="D1096" s="415" t="s">
        <v>468</v>
      </c>
      <c r="E1096" s="415" t="s">
        <v>468</v>
      </c>
      <c r="F1096" s="425">
        <v>19.2</v>
      </c>
      <c r="G1096" s="427" t="s">
        <v>2391</v>
      </c>
      <c r="H1096" s="415" t="s">
        <v>468</v>
      </c>
      <c r="I1096" s="398" t="s">
        <v>1461</v>
      </c>
      <c r="J1096" s="461" t="s">
        <v>310</v>
      </c>
      <c r="K1096" s="461" t="s">
        <v>1220</v>
      </c>
      <c r="L1096" s="461" t="s">
        <v>1368</v>
      </c>
      <c r="M1096" s="461" t="s">
        <v>310</v>
      </c>
      <c r="N1096" s="414">
        <v>44617</v>
      </c>
      <c r="O1096" s="414" t="s">
        <v>401</v>
      </c>
      <c r="P1096" s="222">
        <f t="shared" si="72"/>
        <v>2</v>
      </c>
      <c r="Q1096" s="222">
        <f t="shared" si="73"/>
        <v>1</v>
      </c>
      <c r="R1096" s="532" t="str">
        <f t="shared" si="74"/>
        <v>Gastos_custeados_por_captação</v>
      </c>
      <c r="S1096" s="467" t="s">
        <v>310</v>
      </c>
      <c r="T1096" s="467" t="s">
        <v>310</v>
      </c>
      <c r="U1096" s="496"/>
      <c r="V1096" s="496"/>
      <c r="W1096" s="496"/>
    </row>
    <row r="1097" spans="1:23" ht="72" x14ac:dyDescent="0.2">
      <c r="A1097" s="510">
        <f t="shared" si="75"/>
        <v>1094</v>
      </c>
      <c r="B1097" s="428">
        <v>44617</v>
      </c>
      <c r="C1097" s="424">
        <v>44562</v>
      </c>
      <c r="D1097" s="415" t="s">
        <v>468</v>
      </c>
      <c r="E1097" s="415" t="s">
        <v>468</v>
      </c>
      <c r="F1097" s="425">
        <v>127.47</v>
      </c>
      <c r="G1097" s="427" t="s">
        <v>2391</v>
      </c>
      <c r="H1097" s="415" t="s">
        <v>468</v>
      </c>
      <c r="I1097" s="398" t="s">
        <v>1461</v>
      </c>
      <c r="J1097" s="461" t="s">
        <v>310</v>
      </c>
      <c r="K1097" s="461" t="s">
        <v>1220</v>
      </c>
      <c r="L1097" s="461" t="s">
        <v>1368</v>
      </c>
      <c r="M1097" s="461" t="s">
        <v>310</v>
      </c>
      <c r="N1097" s="414">
        <v>44617</v>
      </c>
      <c r="O1097" s="414" t="s">
        <v>402</v>
      </c>
      <c r="P1097" s="222">
        <f t="shared" si="72"/>
        <v>2</v>
      </c>
      <c r="Q1097" s="222">
        <f t="shared" si="73"/>
        <v>1</v>
      </c>
      <c r="R1097" s="532" t="str">
        <f t="shared" si="74"/>
        <v>Gastos_custeados_por_captação</v>
      </c>
      <c r="S1097" s="467" t="s">
        <v>310</v>
      </c>
      <c r="T1097" s="467" t="s">
        <v>310</v>
      </c>
      <c r="U1097" s="496"/>
      <c r="V1097" s="496"/>
      <c r="W1097" s="496"/>
    </row>
    <row r="1098" spans="1:23" ht="72" x14ac:dyDescent="0.2">
      <c r="A1098" s="510">
        <f t="shared" si="75"/>
        <v>1095</v>
      </c>
      <c r="B1098" s="428">
        <v>44617</v>
      </c>
      <c r="C1098" s="431">
        <v>44562</v>
      </c>
      <c r="D1098" s="415" t="s">
        <v>468</v>
      </c>
      <c r="E1098" s="415" t="s">
        <v>468</v>
      </c>
      <c r="F1098" s="459">
        <v>1998.6</v>
      </c>
      <c r="G1098" s="427" t="s">
        <v>1260</v>
      </c>
      <c r="H1098" s="415" t="s">
        <v>468</v>
      </c>
      <c r="I1098" s="398" t="s">
        <v>2694</v>
      </c>
      <c r="J1098" s="461" t="s">
        <v>1257</v>
      </c>
      <c r="K1098" s="461" t="s">
        <v>830</v>
      </c>
      <c r="L1098" s="461" t="s">
        <v>839</v>
      </c>
      <c r="M1098" s="461">
        <v>1597</v>
      </c>
      <c r="N1098" s="414">
        <v>44617</v>
      </c>
      <c r="O1098" s="414" t="s">
        <v>404</v>
      </c>
      <c r="P1098" s="222">
        <f t="shared" si="72"/>
        <v>2</v>
      </c>
      <c r="Q1098" s="222">
        <f t="shared" si="73"/>
        <v>1</v>
      </c>
      <c r="R1098" s="532" t="str">
        <f t="shared" si="74"/>
        <v>Gastos_custeados_por_captação</v>
      </c>
      <c r="S1098" s="467" t="s">
        <v>1000</v>
      </c>
      <c r="T1098" s="467">
        <v>2830</v>
      </c>
      <c r="U1098" s="496"/>
      <c r="V1098" s="496"/>
      <c r="W1098" s="496"/>
    </row>
    <row r="1099" spans="1:23" ht="84" x14ac:dyDescent="0.2">
      <c r="A1099" s="510">
        <f t="shared" si="75"/>
        <v>1096</v>
      </c>
      <c r="B1099" s="428">
        <v>44617</v>
      </c>
      <c r="C1099" s="431">
        <v>44562</v>
      </c>
      <c r="D1099" s="415" t="s">
        <v>468</v>
      </c>
      <c r="E1099" s="415" t="s">
        <v>468</v>
      </c>
      <c r="F1099" s="459">
        <v>1998.6</v>
      </c>
      <c r="G1099" s="427" t="s">
        <v>1262</v>
      </c>
      <c r="H1099" s="415" t="s">
        <v>468</v>
      </c>
      <c r="I1099" s="398" t="s">
        <v>2692</v>
      </c>
      <c r="J1099" s="461" t="s">
        <v>1261</v>
      </c>
      <c r="K1099" s="461" t="s">
        <v>830</v>
      </c>
      <c r="L1099" s="461" t="s">
        <v>839</v>
      </c>
      <c r="M1099" s="461">
        <v>1596</v>
      </c>
      <c r="N1099" s="414">
        <v>44617</v>
      </c>
      <c r="O1099" s="414" t="s">
        <v>404</v>
      </c>
      <c r="P1099" s="222">
        <f t="shared" si="72"/>
        <v>2</v>
      </c>
      <c r="Q1099" s="222">
        <f t="shared" si="73"/>
        <v>1</v>
      </c>
      <c r="R1099" s="532" t="str">
        <f t="shared" si="74"/>
        <v>Gastos_custeados_por_captação</v>
      </c>
      <c r="S1099" s="467" t="s">
        <v>1000</v>
      </c>
      <c r="T1099" s="467">
        <v>2828</v>
      </c>
      <c r="U1099" s="496"/>
      <c r="V1099" s="496"/>
      <c r="W1099" s="496"/>
    </row>
    <row r="1100" spans="1:23" ht="60" x14ac:dyDescent="0.2">
      <c r="A1100" s="510">
        <f t="shared" si="75"/>
        <v>1097</v>
      </c>
      <c r="B1100" s="428">
        <v>44617</v>
      </c>
      <c r="C1100" s="424">
        <v>44562</v>
      </c>
      <c r="D1100" s="415" t="s">
        <v>468</v>
      </c>
      <c r="E1100" s="415" t="s">
        <v>468</v>
      </c>
      <c r="F1100" s="425">
        <v>345.49</v>
      </c>
      <c r="G1100" s="427" t="s">
        <v>2391</v>
      </c>
      <c r="H1100" s="415" t="s">
        <v>468</v>
      </c>
      <c r="I1100" s="398" t="s">
        <v>1461</v>
      </c>
      <c r="J1100" s="461" t="s">
        <v>310</v>
      </c>
      <c r="K1100" s="461" t="s">
        <v>1220</v>
      </c>
      <c r="L1100" s="461" t="s">
        <v>1368</v>
      </c>
      <c r="M1100" s="461" t="s">
        <v>310</v>
      </c>
      <c r="N1100" s="414">
        <v>44617</v>
      </c>
      <c r="O1100" s="414" t="s">
        <v>404</v>
      </c>
      <c r="P1100" s="222">
        <f t="shared" si="72"/>
        <v>2</v>
      </c>
      <c r="Q1100" s="222">
        <f t="shared" si="73"/>
        <v>1</v>
      </c>
      <c r="R1100" s="532" t="str">
        <f t="shared" si="74"/>
        <v>Gastos_custeados_por_captação</v>
      </c>
      <c r="S1100" s="467" t="s">
        <v>310</v>
      </c>
      <c r="T1100" s="467" t="s">
        <v>310</v>
      </c>
      <c r="U1100" s="496"/>
      <c r="V1100" s="496"/>
      <c r="W1100" s="496"/>
    </row>
    <row r="1101" spans="1:23" ht="72" x14ac:dyDescent="0.2">
      <c r="A1101" s="510">
        <f t="shared" si="75"/>
        <v>1098</v>
      </c>
      <c r="B1101" s="428">
        <v>44617</v>
      </c>
      <c r="C1101" s="431">
        <v>44593</v>
      </c>
      <c r="D1101" s="415" t="s">
        <v>468</v>
      </c>
      <c r="E1101" s="415" t="s">
        <v>468</v>
      </c>
      <c r="F1101" s="459">
        <v>4821.5</v>
      </c>
      <c r="G1101" s="399" t="s">
        <v>2938</v>
      </c>
      <c r="H1101" s="415" t="s">
        <v>468</v>
      </c>
      <c r="I1101" s="460" t="s">
        <v>2889</v>
      </c>
      <c r="J1101" s="468" t="s">
        <v>2933</v>
      </c>
      <c r="K1101" s="461" t="s">
        <v>830</v>
      </c>
      <c r="L1101" s="461" t="s">
        <v>807</v>
      </c>
      <c r="M1101" s="464">
        <v>317</v>
      </c>
      <c r="N1101" s="469">
        <v>44617</v>
      </c>
      <c r="O1101" s="414" t="s">
        <v>407</v>
      </c>
      <c r="P1101" s="222">
        <f t="shared" si="72"/>
        <v>2</v>
      </c>
      <c r="Q1101" s="222">
        <f t="shared" si="73"/>
        <v>2</v>
      </c>
      <c r="R1101" s="532" t="str">
        <f t="shared" si="74"/>
        <v>Gastos_custeados_por_captação</v>
      </c>
      <c r="S1101" s="467" t="s">
        <v>1000</v>
      </c>
      <c r="T1101" s="467">
        <v>2863</v>
      </c>
      <c r="U1101" s="496"/>
      <c r="V1101" s="496"/>
      <c r="W1101" s="496"/>
    </row>
    <row r="1102" spans="1:23" ht="60" x14ac:dyDescent="0.2">
      <c r="A1102" s="510">
        <f t="shared" si="75"/>
        <v>1099</v>
      </c>
      <c r="B1102" s="428">
        <v>44617</v>
      </c>
      <c r="C1102" s="424">
        <v>44562</v>
      </c>
      <c r="D1102" s="415" t="s">
        <v>271</v>
      </c>
      <c r="E1102" s="415" t="s">
        <v>297</v>
      </c>
      <c r="F1102" s="425">
        <v>1200</v>
      </c>
      <c r="G1102" s="427" t="s">
        <v>665</v>
      </c>
      <c r="H1102" s="415" t="s">
        <v>755</v>
      </c>
      <c r="I1102" s="398" t="s">
        <v>1939</v>
      </c>
      <c r="J1102" s="418" t="s">
        <v>1081</v>
      </c>
      <c r="K1102" s="418" t="s">
        <v>830</v>
      </c>
      <c r="L1102" s="399" t="s">
        <v>807</v>
      </c>
      <c r="M1102" s="415" t="s">
        <v>848</v>
      </c>
      <c r="N1102" s="414">
        <v>44616</v>
      </c>
      <c r="O1102" s="414" t="s">
        <v>400</v>
      </c>
      <c r="P1102" s="222">
        <f t="shared" si="72"/>
        <v>2</v>
      </c>
      <c r="Q1102" s="222">
        <f t="shared" si="73"/>
        <v>1</v>
      </c>
      <c r="R1102" s="532" t="str">
        <f t="shared" si="74"/>
        <v>Gastos_Gerais</v>
      </c>
      <c r="S1102" s="467" t="s">
        <v>998</v>
      </c>
      <c r="T1102" s="467">
        <v>2694</v>
      </c>
      <c r="U1102" s="496"/>
      <c r="V1102" s="496"/>
      <c r="W1102" s="496"/>
    </row>
    <row r="1103" spans="1:23" ht="72" x14ac:dyDescent="0.2">
      <c r="A1103" s="510">
        <f t="shared" si="75"/>
        <v>1100</v>
      </c>
      <c r="B1103" s="428">
        <v>44617</v>
      </c>
      <c r="C1103" s="424">
        <v>44501</v>
      </c>
      <c r="D1103" s="415" t="s">
        <v>468</v>
      </c>
      <c r="E1103" s="415" t="s">
        <v>468</v>
      </c>
      <c r="F1103" s="459">
        <v>500</v>
      </c>
      <c r="G1103" s="399" t="s">
        <v>2907</v>
      </c>
      <c r="H1103" s="415" t="s">
        <v>468</v>
      </c>
      <c r="I1103" s="460" t="s">
        <v>2927</v>
      </c>
      <c r="J1103" s="468" t="s">
        <v>2932</v>
      </c>
      <c r="K1103" s="461" t="s">
        <v>830</v>
      </c>
      <c r="L1103" s="461" t="s">
        <v>807</v>
      </c>
      <c r="M1103" s="464">
        <v>428</v>
      </c>
      <c r="N1103" s="469">
        <v>44616</v>
      </c>
      <c r="O1103" s="414" t="s">
        <v>407</v>
      </c>
      <c r="P1103" s="222">
        <f t="shared" si="72"/>
        <v>2</v>
      </c>
      <c r="Q1103" s="222">
        <f t="shared" si="73"/>
        <v>-1</v>
      </c>
      <c r="R1103" s="532" t="str">
        <f t="shared" si="74"/>
        <v>Gastos_custeados_por_captação</v>
      </c>
      <c r="S1103" s="467" t="s">
        <v>998</v>
      </c>
      <c r="T1103" s="467">
        <v>2143</v>
      </c>
      <c r="U1103" s="496"/>
      <c r="V1103" s="496"/>
      <c r="W1103" s="496"/>
    </row>
    <row r="1104" spans="1:23" ht="72" x14ac:dyDescent="0.2">
      <c r="A1104" s="510">
        <f t="shared" si="75"/>
        <v>1101</v>
      </c>
      <c r="B1104" s="428">
        <v>44617</v>
      </c>
      <c r="C1104" s="424">
        <v>44470</v>
      </c>
      <c r="D1104" s="415" t="s">
        <v>468</v>
      </c>
      <c r="E1104" s="415" t="s">
        <v>468</v>
      </c>
      <c r="F1104" s="459">
        <v>4290</v>
      </c>
      <c r="G1104" s="399" t="s">
        <v>2937</v>
      </c>
      <c r="H1104" s="415" t="s">
        <v>468</v>
      </c>
      <c r="I1104" s="460" t="s">
        <v>2928</v>
      </c>
      <c r="J1104" s="468" t="s">
        <v>1025</v>
      </c>
      <c r="K1104" s="461" t="s">
        <v>830</v>
      </c>
      <c r="L1104" s="461" t="s">
        <v>807</v>
      </c>
      <c r="M1104" s="464">
        <v>202213</v>
      </c>
      <c r="N1104" s="469">
        <v>44616</v>
      </c>
      <c r="O1104" s="414" t="s">
        <v>407</v>
      </c>
      <c r="P1104" s="222">
        <f t="shared" si="72"/>
        <v>2</v>
      </c>
      <c r="Q1104" s="222">
        <f t="shared" si="73"/>
        <v>-2</v>
      </c>
      <c r="R1104" s="532" t="str">
        <f t="shared" si="74"/>
        <v>Gastos_custeados_por_captação</v>
      </c>
      <c r="S1104" s="467" t="s">
        <v>998</v>
      </c>
      <c r="T1104" s="467">
        <v>2169</v>
      </c>
      <c r="U1104" s="496"/>
      <c r="V1104" s="496"/>
      <c r="W1104" s="496"/>
    </row>
    <row r="1105" spans="1:23" ht="72" x14ac:dyDescent="0.2">
      <c r="A1105" s="510">
        <f t="shared" si="75"/>
        <v>1102</v>
      </c>
      <c r="B1105" s="428">
        <v>44617</v>
      </c>
      <c r="C1105" s="424">
        <v>44470</v>
      </c>
      <c r="D1105" s="415" t="s">
        <v>468</v>
      </c>
      <c r="E1105" s="415" t="s">
        <v>468</v>
      </c>
      <c r="F1105" s="459">
        <v>500</v>
      </c>
      <c r="G1105" s="399" t="s">
        <v>2911</v>
      </c>
      <c r="H1105" s="415" t="s">
        <v>468</v>
      </c>
      <c r="I1105" s="460" t="s">
        <v>2931</v>
      </c>
      <c r="J1105" s="468" t="s">
        <v>2935</v>
      </c>
      <c r="K1105" s="461" t="s">
        <v>830</v>
      </c>
      <c r="L1105" s="461" t="s">
        <v>807</v>
      </c>
      <c r="M1105" s="464">
        <v>57</v>
      </c>
      <c r="N1105" s="469">
        <v>44616</v>
      </c>
      <c r="O1105" s="414" t="s">
        <v>407</v>
      </c>
      <c r="P1105" s="222">
        <f t="shared" si="72"/>
        <v>2</v>
      </c>
      <c r="Q1105" s="222">
        <f t="shared" si="73"/>
        <v>-2</v>
      </c>
      <c r="R1105" s="532" t="str">
        <f t="shared" si="74"/>
        <v>Gastos_custeados_por_captação</v>
      </c>
      <c r="S1105" s="467" t="s">
        <v>998</v>
      </c>
      <c r="T1105" s="467">
        <v>2182</v>
      </c>
      <c r="U1105" s="496"/>
      <c r="V1105" s="496"/>
      <c r="W1105" s="496"/>
    </row>
    <row r="1106" spans="1:23" ht="72" x14ac:dyDescent="0.2">
      <c r="A1106" s="510">
        <f t="shared" si="75"/>
        <v>1103</v>
      </c>
      <c r="B1106" s="428">
        <v>44617</v>
      </c>
      <c r="C1106" s="424">
        <v>44409</v>
      </c>
      <c r="D1106" s="415" t="s">
        <v>468</v>
      </c>
      <c r="E1106" s="415" t="s">
        <v>468</v>
      </c>
      <c r="F1106" s="459">
        <v>1100</v>
      </c>
      <c r="G1106" s="399" t="s">
        <v>2909</v>
      </c>
      <c r="H1106" s="415" t="s">
        <v>468</v>
      </c>
      <c r="I1106" s="460" t="s">
        <v>2930</v>
      </c>
      <c r="J1106" s="468" t="s">
        <v>2934</v>
      </c>
      <c r="K1106" s="461" t="s">
        <v>830</v>
      </c>
      <c r="L1106" s="461" t="s">
        <v>807</v>
      </c>
      <c r="M1106" s="464">
        <v>241</v>
      </c>
      <c r="N1106" s="469">
        <v>44613</v>
      </c>
      <c r="O1106" s="414" t="s">
        <v>407</v>
      </c>
      <c r="P1106" s="222">
        <f t="shared" si="72"/>
        <v>2</v>
      </c>
      <c r="Q1106" s="222">
        <f t="shared" si="73"/>
        <v>-4</v>
      </c>
      <c r="R1106" s="532" t="str">
        <f t="shared" si="74"/>
        <v>Gastos_custeados_por_captação</v>
      </c>
      <c r="S1106" s="467" t="s">
        <v>998</v>
      </c>
      <c r="T1106" s="467">
        <v>1882</v>
      </c>
      <c r="U1106" s="496"/>
      <c r="V1106" s="496"/>
      <c r="W1106" s="496"/>
    </row>
    <row r="1107" spans="1:23" ht="60" x14ac:dyDescent="0.2">
      <c r="A1107" s="510">
        <f t="shared" si="75"/>
        <v>1104</v>
      </c>
      <c r="B1107" s="428">
        <v>44617</v>
      </c>
      <c r="C1107" s="424">
        <v>44562</v>
      </c>
      <c r="D1107" s="415" t="s">
        <v>271</v>
      </c>
      <c r="E1107" s="415" t="s">
        <v>186</v>
      </c>
      <c r="F1107" s="425">
        <v>2911.59</v>
      </c>
      <c r="G1107" s="427" t="s">
        <v>526</v>
      </c>
      <c r="H1107" s="415" t="s">
        <v>751</v>
      </c>
      <c r="I1107" s="473" t="s">
        <v>1427</v>
      </c>
      <c r="J1107" s="415" t="s">
        <v>1029</v>
      </c>
      <c r="K1107" s="415" t="s">
        <v>812</v>
      </c>
      <c r="L1107" s="415" t="s">
        <v>807</v>
      </c>
      <c r="M1107" s="415" t="s">
        <v>1935</v>
      </c>
      <c r="N1107" s="414">
        <v>44596</v>
      </c>
      <c r="O1107" s="414" t="s">
        <v>400</v>
      </c>
      <c r="P1107" s="222">
        <f t="shared" si="72"/>
        <v>2</v>
      </c>
      <c r="Q1107" s="222">
        <f t="shared" si="73"/>
        <v>1</v>
      </c>
      <c r="R1107" s="532" t="str">
        <f t="shared" si="74"/>
        <v>Gastos_Gerais</v>
      </c>
      <c r="S1107" s="467" t="s">
        <v>1000</v>
      </c>
      <c r="T1107" s="467">
        <v>1501</v>
      </c>
      <c r="U1107" s="496"/>
      <c r="V1107" s="496"/>
      <c r="W1107" s="496"/>
    </row>
    <row r="1108" spans="1:23" ht="72" x14ac:dyDescent="0.2">
      <c r="A1108" s="510">
        <f t="shared" si="75"/>
        <v>1105</v>
      </c>
      <c r="B1108" s="428">
        <v>44617</v>
      </c>
      <c r="C1108" s="424">
        <v>44562</v>
      </c>
      <c r="D1108" s="415" t="s">
        <v>468</v>
      </c>
      <c r="E1108" s="415" t="s">
        <v>468</v>
      </c>
      <c r="F1108" s="459">
        <v>1186.83</v>
      </c>
      <c r="G1108" s="399" t="s">
        <v>2936</v>
      </c>
      <c r="H1108" s="415" t="s">
        <v>468</v>
      </c>
      <c r="I1108" s="460" t="s">
        <v>2929</v>
      </c>
      <c r="J1108" s="468" t="s">
        <v>310</v>
      </c>
      <c r="K1108" s="461" t="s">
        <v>1220</v>
      </c>
      <c r="L1108" s="461" t="s">
        <v>1368</v>
      </c>
      <c r="M1108" s="464" t="s">
        <v>310</v>
      </c>
      <c r="N1108" s="469">
        <v>44592</v>
      </c>
      <c r="O1108" s="414" t="s">
        <v>407</v>
      </c>
      <c r="P1108" s="222">
        <f t="shared" si="72"/>
        <v>2</v>
      </c>
      <c r="Q1108" s="222">
        <f t="shared" si="73"/>
        <v>1</v>
      </c>
      <c r="R1108" s="532" t="str">
        <f t="shared" si="74"/>
        <v>Gastos_custeados_por_captação</v>
      </c>
      <c r="S1108" s="467" t="s">
        <v>310</v>
      </c>
      <c r="T1108" s="467" t="s">
        <v>310</v>
      </c>
      <c r="U1108" s="496"/>
      <c r="V1108" s="496"/>
      <c r="W1108" s="496"/>
    </row>
    <row r="1109" spans="1:23" ht="48" x14ac:dyDescent="0.2">
      <c r="A1109" s="510">
        <f t="shared" si="75"/>
        <v>1106</v>
      </c>
      <c r="B1109" s="428">
        <v>44620</v>
      </c>
      <c r="C1109" s="424">
        <v>44593</v>
      </c>
      <c r="D1109" s="415" t="s">
        <v>295</v>
      </c>
      <c r="E1109" s="415" t="s">
        <v>295</v>
      </c>
      <c r="F1109" s="425">
        <v>6342.27</v>
      </c>
      <c r="G1109" s="456" t="s">
        <v>1941</v>
      </c>
      <c r="H1109" s="415" t="s">
        <v>310</v>
      </c>
      <c r="I1109" s="460" t="s">
        <v>1520</v>
      </c>
      <c r="J1109" s="461" t="s">
        <v>796</v>
      </c>
      <c r="K1109" s="461" t="s">
        <v>797</v>
      </c>
      <c r="L1109" s="461" t="s">
        <v>798</v>
      </c>
      <c r="M1109" s="549" t="s">
        <v>310</v>
      </c>
      <c r="N1109" s="414">
        <v>44620</v>
      </c>
      <c r="O1109" s="414" t="s">
        <v>400</v>
      </c>
      <c r="P1109" s="222">
        <f t="shared" si="72"/>
        <v>2</v>
      </c>
      <c r="Q1109" s="222">
        <f t="shared" si="73"/>
        <v>2</v>
      </c>
      <c r="R1109" s="532" t="str">
        <f t="shared" si="74"/>
        <v>Rendimentos_de_Aplicações_Fin.</v>
      </c>
      <c r="S1109" s="467" t="s">
        <v>310</v>
      </c>
      <c r="T1109" s="467" t="s">
        <v>310</v>
      </c>
      <c r="U1109" s="496"/>
      <c r="V1109" s="496"/>
      <c r="W1109" s="496"/>
    </row>
    <row r="1110" spans="1:23" ht="24" x14ac:dyDescent="0.2">
      <c r="A1110" s="510">
        <f t="shared" si="75"/>
        <v>1107</v>
      </c>
      <c r="B1110" s="428">
        <v>44620</v>
      </c>
      <c r="C1110" s="424">
        <v>44593</v>
      </c>
      <c r="D1110" s="415" t="s">
        <v>271</v>
      </c>
      <c r="E1110" s="461" t="s">
        <v>78</v>
      </c>
      <c r="F1110" s="425">
        <v>725.25</v>
      </c>
      <c r="G1110" s="456" t="s">
        <v>1942</v>
      </c>
      <c r="H1110" s="415" t="s">
        <v>310</v>
      </c>
      <c r="I1110" s="398" t="s">
        <v>1461</v>
      </c>
      <c r="J1110" s="461" t="s">
        <v>310</v>
      </c>
      <c r="K1110" s="461" t="s">
        <v>1220</v>
      </c>
      <c r="L1110" s="461" t="s">
        <v>1368</v>
      </c>
      <c r="M1110" s="461" t="s">
        <v>310</v>
      </c>
      <c r="N1110" s="414">
        <v>44620</v>
      </c>
      <c r="O1110" s="414" t="s">
        <v>400</v>
      </c>
      <c r="P1110" s="222">
        <f t="shared" si="72"/>
        <v>2</v>
      </c>
      <c r="Q1110" s="222">
        <f t="shared" si="73"/>
        <v>2</v>
      </c>
      <c r="R1110" s="532" t="str">
        <f t="shared" si="74"/>
        <v>Gastos_Gerais</v>
      </c>
      <c r="S1110" s="467" t="s">
        <v>310</v>
      </c>
      <c r="T1110" s="467" t="s">
        <v>310</v>
      </c>
      <c r="U1110" s="496"/>
      <c r="V1110" s="496"/>
      <c r="W1110" s="496"/>
    </row>
    <row r="1111" spans="1:23" ht="24" x14ac:dyDescent="0.2">
      <c r="A1111" s="510">
        <f t="shared" si="75"/>
        <v>1108</v>
      </c>
      <c r="B1111" s="428">
        <v>44620</v>
      </c>
      <c r="C1111" s="424">
        <v>44593</v>
      </c>
      <c r="D1111" s="415" t="s">
        <v>271</v>
      </c>
      <c r="E1111" s="461" t="s">
        <v>68</v>
      </c>
      <c r="F1111" s="425">
        <v>318.18</v>
      </c>
      <c r="G1111" s="456" t="s">
        <v>1943</v>
      </c>
      <c r="H1111" s="415" t="s">
        <v>310</v>
      </c>
      <c r="I1111" s="398" t="s">
        <v>1461</v>
      </c>
      <c r="J1111" s="461" t="s">
        <v>310</v>
      </c>
      <c r="K1111" s="461" t="s">
        <v>1220</v>
      </c>
      <c r="L1111" s="461" t="s">
        <v>1368</v>
      </c>
      <c r="M1111" s="461" t="s">
        <v>310</v>
      </c>
      <c r="N1111" s="414">
        <v>44620</v>
      </c>
      <c r="O1111" s="414" t="s">
        <v>400</v>
      </c>
      <c r="P1111" s="222">
        <f t="shared" si="72"/>
        <v>2</v>
      </c>
      <c r="Q1111" s="222">
        <f t="shared" si="73"/>
        <v>2</v>
      </c>
      <c r="R1111" s="532" t="str">
        <f t="shared" si="74"/>
        <v>Gastos_Gerais</v>
      </c>
      <c r="S1111" s="467" t="s">
        <v>310</v>
      </c>
      <c r="T1111" s="467" t="s">
        <v>310</v>
      </c>
      <c r="U1111" s="496"/>
      <c r="V1111" s="496"/>
      <c r="W1111" s="496"/>
    </row>
    <row r="1112" spans="1:23" ht="24" x14ac:dyDescent="0.2">
      <c r="A1112" s="510">
        <f t="shared" si="75"/>
        <v>1109</v>
      </c>
      <c r="B1112" s="465">
        <v>44622</v>
      </c>
      <c r="C1112" s="466">
        <v>44621</v>
      </c>
      <c r="D1112" s="415" t="s">
        <v>182</v>
      </c>
      <c r="E1112" s="415" t="s">
        <v>161</v>
      </c>
      <c r="F1112" s="425">
        <v>1484.02</v>
      </c>
      <c r="G1112" s="427" t="s">
        <v>1495</v>
      </c>
      <c r="H1112" s="415" t="s">
        <v>310</v>
      </c>
      <c r="I1112" s="473" t="s">
        <v>2008</v>
      </c>
      <c r="J1112" s="548" t="s">
        <v>2009</v>
      </c>
      <c r="K1112" s="415" t="s">
        <v>812</v>
      </c>
      <c r="L1112" s="415" t="s">
        <v>807</v>
      </c>
      <c r="M1112" s="415" t="s">
        <v>3000</v>
      </c>
      <c r="N1112" s="414">
        <v>44628</v>
      </c>
      <c r="O1112" s="414" t="s">
        <v>400</v>
      </c>
      <c r="P1112" s="222">
        <f t="shared" ref="P1112:P1174" si="76">IF(B1112=0,0,IF(YEAR(B1112)=$Q$1,MONTH(B1112)-$P$1+1,(YEAR(B1112)-$Q$1)*12-$P$1+1+MONTH(B1112)))</f>
        <v>3</v>
      </c>
      <c r="Q1112" s="222">
        <f t="shared" ref="Q1112:Q1174" si="77">IF(C1112=0,0,IF(YEAR(C1112)=$Q$1,MONTH(C1112)-$P$1+1,(YEAR(C1112)-$Q$1)*12-$P$1+1+MONTH(C1112)))</f>
        <v>3</v>
      </c>
      <c r="R1112" s="532" t="str">
        <f t="shared" ref="R1112:R1174" si="78">SUBSTITUTE(D1112," ","_")</f>
        <v>Gastos_com_Pessoal</v>
      </c>
      <c r="S1112" s="467" t="s">
        <v>310</v>
      </c>
      <c r="T1112" s="467" t="s">
        <v>310</v>
      </c>
      <c r="U1112" s="496"/>
      <c r="V1112" s="496"/>
      <c r="W1112" s="496"/>
    </row>
    <row r="1113" spans="1:23" ht="24" x14ac:dyDescent="0.2">
      <c r="A1113" s="510">
        <f t="shared" si="75"/>
        <v>1110</v>
      </c>
      <c r="B1113" s="465">
        <v>44622</v>
      </c>
      <c r="C1113" s="466">
        <v>44621</v>
      </c>
      <c r="D1113" s="415" t="s">
        <v>182</v>
      </c>
      <c r="E1113" s="415" t="s">
        <v>161</v>
      </c>
      <c r="F1113" s="425">
        <v>1120.23</v>
      </c>
      <c r="G1113" s="427" t="s">
        <v>1495</v>
      </c>
      <c r="H1113" s="415" t="s">
        <v>310</v>
      </c>
      <c r="I1113" s="473" t="s">
        <v>1496</v>
      </c>
      <c r="J1113" s="548" t="s">
        <v>1497</v>
      </c>
      <c r="K1113" s="415" t="s">
        <v>812</v>
      </c>
      <c r="L1113" s="415" t="s">
        <v>807</v>
      </c>
      <c r="M1113" s="415" t="s">
        <v>2998</v>
      </c>
      <c r="N1113" s="414">
        <v>44624</v>
      </c>
      <c r="O1113" s="414" t="s">
        <v>400</v>
      </c>
      <c r="P1113" s="222">
        <f t="shared" si="76"/>
        <v>3</v>
      </c>
      <c r="Q1113" s="222">
        <f t="shared" si="77"/>
        <v>3</v>
      </c>
      <c r="R1113" s="532" t="str">
        <f t="shared" si="78"/>
        <v>Gastos_com_Pessoal</v>
      </c>
      <c r="S1113" s="467" t="s">
        <v>310</v>
      </c>
      <c r="T1113" s="467" t="s">
        <v>310</v>
      </c>
      <c r="U1113" s="496"/>
      <c r="V1113" s="496"/>
      <c r="W1113" s="496"/>
    </row>
    <row r="1114" spans="1:23" ht="48" x14ac:dyDescent="0.2">
      <c r="A1114" s="510">
        <f t="shared" si="75"/>
        <v>1111</v>
      </c>
      <c r="B1114" s="428">
        <v>44622</v>
      </c>
      <c r="C1114" s="424">
        <v>44593</v>
      </c>
      <c r="D1114" s="415" t="s">
        <v>182</v>
      </c>
      <c r="E1114" s="415" t="s">
        <v>179</v>
      </c>
      <c r="F1114" s="425">
        <v>-15.12</v>
      </c>
      <c r="G1114" s="427" t="s">
        <v>2005</v>
      </c>
      <c r="H1114" s="415" t="s">
        <v>310</v>
      </c>
      <c r="I1114" s="473" t="s">
        <v>795</v>
      </c>
      <c r="J1114" s="415" t="s">
        <v>796</v>
      </c>
      <c r="K1114" s="415" t="s">
        <v>797</v>
      </c>
      <c r="L1114" s="415" t="s">
        <v>798</v>
      </c>
      <c r="M1114" s="415" t="s">
        <v>310</v>
      </c>
      <c r="N1114" s="414">
        <v>44622</v>
      </c>
      <c r="O1114" s="414" t="s">
        <v>400</v>
      </c>
      <c r="P1114" s="222">
        <f t="shared" si="76"/>
        <v>3</v>
      </c>
      <c r="Q1114" s="222">
        <f t="shared" si="77"/>
        <v>2</v>
      </c>
      <c r="R1114" s="532" t="str">
        <f t="shared" si="78"/>
        <v>Gastos_com_Pessoal</v>
      </c>
      <c r="S1114" s="467" t="s">
        <v>310</v>
      </c>
      <c r="T1114" s="467" t="s">
        <v>310</v>
      </c>
      <c r="U1114" s="496"/>
      <c r="V1114" s="496"/>
      <c r="W1114" s="496"/>
    </row>
    <row r="1115" spans="1:23" ht="48" x14ac:dyDescent="0.2">
      <c r="A1115" s="510">
        <f t="shared" si="75"/>
        <v>1112</v>
      </c>
      <c r="B1115" s="428">
        <v>44622</v>
      </c>
      <c r="C1115" s="424">
        <v>44593</v>
      </c>
      <c r="D1115" s="415" t="s">
        <v>182</v>
      </c>
      <c r="E1115" s="415" t="s">
        <v>8</v>
      </c>
      <c r="F1115" s="425">
        <v>-23.2</v>
      </c>
      <c r="G1115" s="427" t="s">
        <v>2006</v>
      </c>
      <c r="H1115" s="415" t="s">
        <v>310</v>
      </c>
      <c r="I1115" s="473" t="s">
        <v>795</v>
      </c>
      <c r="J1115" s="415" t="s">
        <v>796</v>
      </c>
      <c r="K1115" s="415" t="s">
        <v>797</v>
      </c>
      <c r="L1115" s="415" t="s">
        <v>798</v>
      </c>
      <c r="M1115" s="415" t="s">
        <v>310</v>
      </c>
      <c r="N1115" s="414">
        <v>44622</v>
      </c>
      <c r="O1115" s="414" t="s">
        <v>400</v>
      </c>
      <c r="P1115" s="222">
        <f t="shared" si="76"/>
        <v>3</v>
      </c>
      <c r="Q1115" s="222">
        <f t="shared" si="77"/>
        <v>2</v>
      </c>
      <c r="R1115" s="532" t="str">
        <f t="shared" si="78"/>
        <v>Gastos_com_Pessoal</v>
      </c>
      <c r="S1115" s="467" t="s">
        <v>310</v>
      </c>
      <c r="T1115" s="467" t="s">
        <v>310</v>
      </c>
      <c r="U1115" s="496"/>
      <c r="V1115" s="496"/>
      <c r="W1115" s="496"/>
    </row>
    <row r="1116" spans="1:23" ht="48" x14ac:dyDescent="0.2">
      <c r="A1116" s="510">
        <f t="shared" si="75"/>
        <v>1113</v>
      </c>
      <c r="B1116" s="428">
        <v>44622</v>
      </c>
      <c r="C1116" s="424">
        <v>44593</v>
      </c>
      <c r="D1116" s="415" t="s">
        <v>182</v>
      </c>
      <c r="E1116" s="415" t="s">
        <v>8</v>
      </c>
      <c r="F1116" s="425">
        <v>-23.2</v>
      </c>
      <c r="G1116" s="427" t="s">
        <v>2006</v>
      </c>
      <c r="H1116" s="415" t="s">
        <v>310</v>
      </c>
      <c r="I1116" s="473" t="s">
        <v>795</v>
      </c>
      <c r="J1116" s="415" t="s">
        <v>796</v>
      </c>
      <c r="K1116" s="415" t="s">
        <v>797</v>
      </c>
      <c r="L1116" s="415" t="s">
        <v>798</v>
      </c>
      <c r="M1116" s="415" t="s">
        <v>310</v>
      </c>
      <c r="N1116" s="414">
        <v>44622</v>
      </c>
      <c r="O1116" s="414" t="s">
        <v>400</v>
      </c>
      <c r="P1116" s="222">
        <f t="shared" si="76"/>
        <v>3</v>
      </c>
      <c r="Q1116" s="222">
        <f t="shared" si="77"/>
        <v>2</v>
      </c>
      <c r="R1116" s="532" t="str">
        <f t="shared" si="78"/>
        <v>Gastos_com_Pessoal</v>
      </c>
      <c r="S1116" s="467" t="s">
        <v>310</v>
      </c>
      <c r="T1116" s="467" t="s">
        <v>310</v>
      </c>
      <c r="U1116" s="496"/>
      <c r="V1116" s="496"/>
      <c r="W1116" s="496"/>
    </row>
    <row r="1117" spans="1:23" ht="48" x14ac:dyDescent="0.2">
      <c r="A1117" s="510">
        <f t="shared" si="75"/>
        <v>1114</v>
      </c>
      <c r="B1117" s="428">
        <v>44622</v>
      </c>
      <c r="C1117" s="424">
        <v>44593</v>
      </c>
      <c r="D1117" s="415" t="s">
        <v>182</v>
      </c>
      <c r="E1117" s="415" t="s">
        <v>179</v>
      </c>
      <c r="F1117" s="425">
        <v>-105.84</v>
      </c>
      <c r="G1117" s="427" t="s">
        <v>2007</v>
      </c>
      <c r="H1117" s="415" t="s">
        <v>310</v>
      </c>
      <c r="I1117" s="473" t="s">
        <v>795</v>
      </c>
      <c r="J1117" s="415" t="s">
        <v>796</v>
      </c>
      <c r="K1117" s="415" t="s">
        <v>797</v>
      </c>
      <c r="L1117" s="415" t="s">
        <v>798</v>
      </c>
      <c r="M1117" s="415" t="s">
        <v>310</v>
      </c>
      <c r="N1117" s="414">
        <v>44622</v>
      </c>
      <c r="O1117" s="414" t="s">
        <v>400</v>
      </c>
      <c r="P1117" s="222">
        <f t="shared" si="76"/>
        <v>3</v>
      </c>
      <c r="Q1117" s="222">
        <f t="shared" si="77"/>
        <v>2</v>
      </c>
      <c r="R1117" s="532" t="str">
        <f t="shared" si="78"/>
        <v>Gastos_com_Pessoal</v>
      </c>
      <c r="S1117" s="467" t="s">
        <v>310</v>
      </c>
      <c r="T1117" s="467" t="s">
        <v>310</v>
      </c>
      <c r="U1117" s="496"/>
      <c r="V1117" s="496"/>
      <c r="W1117" s="496"/>
    </row>
    <row r="1118" spans="1:23" ht="36" customHeight="1" x14ac:dyDescent="0.2">
      <c r="A1118" s="510">
        <f t="shared" si="75"/>
        <v>1115</v>
      </c>
      <c r="B1118" s="428">
        <v>44622</v>
      </c>
      <c r="C1118" s="424">
        <v>44593</v>
      </c>
      <c r="D1118" s="415" t="s">
        <v>182</v>
      </c>
      <c r="E1118" s="415" t="s">
        <v>8</v>
      </c>
      <c r="F1118" s="425">
        <v>-139.19999999999999</v>
      </c>
      <c r="G1118" s="427" t="s">
        <v>2006</v>
      </c>
      <c r="H1118" s="415" t="s">
        <v>310</v>
      </c>
      <c r="I1118" s="473" t="s">
        <v>795</v>
      </c>
      <c r="J1118" s="415" t="s">
        <v>796</v>
      </c>
      <c r="K1118" s="415" t="s">
        <v>797</v>
      </c>
      <c r="L1118" s="415" t="s">
        <v>798</v>
      </c>
      <c r="M1118" s="415" t="s">
        <v>310</v>
      </c>
      <c r="N1118" s="414">
        <v>44622</v>
      </c>
      <c r="O1118" s="414" t="s">
        <v>400</v>
      </c>
      <c r="P1118" s="222">
        <f t="shared" si="76"/>
        <v>3</v>
      </c>
      <c r="Q1118" s="222">
        <f t="shared" si="77"/>
        <v>2</v>
      </c>
      <c r="R1118" s="532" t="str">
        <f t="shared" si="78"/>
        <v>Gastos_com_Pessoal</v>
      </c>
      <c r="S1118" s="467" t="s">
        <v>310</v>
      </c>
      <c r="T1118" s="467" t="s">
        <v>310</v>
      </c>
      <c r="U1118" s="496"/>
      <c r="V1118" s="496"/>
      <c r="W1118" s="496"/>
    </row>
    <row r="1119" spans="1:23" ht="45" customHeight="1" x14ac:dyDescent="0.2">
      <c r="A1119" s="510">
        <f t="shared" si="75"/>
        <v>1116</v>
      </c>
      <c r="B1119" s="428">
        <v>44622</v>
      </c>
      <c r="C1119" s="431">
        <v>44562</v>
      </c>
      <c r="D1119" s="415" t="s">
        <v>271</v>
      </c>
      <c r="E1119" s="415" t="s">
        <v>456</v>
      </c>
      <c r="F1119" s="425">
        <v>1960</v>
      </c>
      <c r="G1119" s="427" t="s">
        <v>1291</v>
      </c>
      <c r="H1119" s="415" t="s">
        <v>758</v>
      </c>
      <c r="I1119" s="398" t="s">
        <v>2018</v>
      </c>
      <c r="J1119" s="418" t="s">
        <v>1292</v>
      </c>
      <c r="K1119" s="418" t="s">
        <v>830</v>
      </c>
      <c r="L1119" s="399" t="s">
        <v>32</v>
      </c>
      <c r="M1119" s="415" t="s">
        <v>842</v>
      </c>
      <c r="N1119" s="414">
        <v>44616</v>
      </c>
      <c r="O1119" s="414" t="s">
        <v>400</v>
      </c>
      <c r="P1119" s="222">
        <f t="shared" si="76"/>
        <v>3</v>
      </c>
      <c r="Q1119" s="222">
        <f t="shared" si="77"/>
        <v>1</v>
      </c>
      <c r="R1119" s="532" t="str">
        <f t="shared" si="78"/>
        <v>Gastos_Gerais</v>
      </c>
      <c r="S1119" s="467" t="s">
        <v>1000</v>
      </c>
      <c r="T1119" s="467">
        <v>2794</v>
      </c>
      <c r="U1119" s="496"/>
      <c r="V1119" s="496"/>
      <c r="W1119" s="496"/>
    </row>
    <row r="1120" spans="1:23" ht="36" x14ac:dyDescent="0.2">
      <c r="A1120" s="510">
        <f t="shared" si="75"/>
        <v>1117</v>
      </c>
      <c r="B1120" s="428">
        <v>44622</v>
      </c>
      <c r="C1120" s="431">
        <v>44562</v>
      </c>
      <c r="D1120" s="415" t="s">
        <v>271</v>
      </c>
      <c r="E1120" s="415" t="s">
        <v>456</v>
      </c>
      <c r="F1120" s="425">
        <v>4900</v>
      </c>
      <c r="G1120" s="427" t="s">
        <v>1291</v>
      </c>
      <c r="H1120" s="415" t="s">
        <v>758</v>
      </c>
      <c r="I1120" s="398" t="s">
        <v>2018</v>
      </c>
      <c r="J1120" s="418" t="s">
        <v>1292</v>
      </c>
      <c r="K1120" s="418" t="s">
        <v>830</v>
      </c>
      <c r="L1120" s="399" t="s">
        <v>32</v>
      </c>
      <c r="M1120" s="415" t="s">
        <v>1608</v>
      </c>
      <c r="N1120" s="414">
        <v>44616</v>
      </c>
      <c r="O1120" s="414" t="s">
        <v>400</v>
      </c>
      <c r="P1120" s="222">
        <f t="shared" si="76"/>
        <v>3</v>
      </c>
      <c r="Q1120" s="222">
        <f t="shared" si="77"/>
        <v>1</v>
      </c>
      <c r="R1120" s="532" t="str">
        <f t="shared" si="78"/>
        <v>Gastos_Gerais</v>
      </c>
      <c r="S1120" s="467" t="s">
        <v>1000</v>
      </c>
      <c r="T1120" s="467">
        <v>2794</v>
      </c>
      <c r="U1120" s="496"/>
      <c r="V1120" s="496"/>
      <c r="W1120" s="496"/>
    </row>
    <row r="1121" spans="1:23" ht="24" x14ac:dyDescent="0.2">
      <c r="A1121" s="510">
        <f t="shared" si="75"/>
        <v>1118</v>
      </c>
      <c r="B1121" s="465">
        <v>44622</v>
      </c>
      <c r="C1121" s="424">
        <v>44593</v>
      </c>
      <c r="D1121" s="415" t="s">
        <v>182</v>
      </c>
      <c r="E1121" s="415" t="s">
        <v>179</v>
      </c>
      <c r="F1121" s="425">
        <v>546.13</v>
      </c>
      <c r="G1121" s="437" t="s">
        <v>513</v>
      </c>
      <c r="H1121" s="415" t="s">
        <v>310</v>
      </c>
      <c r="I1121" s="474" t="s">
        <v>771</v>
      </c>
      <c r="J1121" s="415" t="s">
        <v>819</v>
      </c>
      <c r="K1121" s="415" t="s">
        <v>812</v>
      </c>
      <c r="L1121" s="415" t="s">
        <v>807</v>
      </c>
      <c r="M1121" s="415" t="s">
        <v>2011</v>
      </c>
      <c r="N1121" s="414">
        <v>44609</v>
      </c>
      <c r="O1121" s="414" t="s">
        <v>400</v>
      </c>
      <c r="P1121" s="222">
        <f t="shared" si="76"/>
        <v>3</v>
      </c>
      <c r="Q1121" s="222">
        <f t="shared" si="77"/>
        <v>2</v>
      </c>
      <c r="R1121" s="532" t="str">
        <f t="shared" si="78"/>
        <v>Gastos_com_Pessoal</v>
      </c>
      <c r="S1121" s="467" t="s">
        <v>310</v>
      </c>
      <c r="T1121" s="467" t="s">
        <v>310</v>
      </c>
      <c r="U1121" s="496"/>
      <c r="V1121" s="496"/>
      <c r="W1121" s="496"/>
    </row>
    <row r="1122" spans="1:23" ht="36" customHeight="1" x14ac:dyDescent="0.2">
      <c r="A1122" s="510">
        <f t="shared" si="75"/>
        <v>1119</v>
      </c>
      <c r="B1122" s="465">
        <v>44622</v>
      </c>
      <c r="C1122" s="424">
        <v>44593</v>
      </c>
      <c r="D1122" s="415" t="s">
        <v>182</v>
      </c>
      <c r="E1122" s="415" t="s">
        <v>8</v>
      </c>
      <c r="F1122" s="425">
        <v>1554.39</v>
      </c>
      <c r="G1122" s="437" t="s">
        <v>506</v>
      </c>
      <c r="H1122" s="415" t="s">
        <v>310</v>
      </c>
      <c r="I1122" s="474" t="s">
        <v>770</v>
      </c>
      <c r="J1122" s="415" t="s">
        <v>796</v>
      </c>
      <c r="K1122" s="415" t="s">
        <v>812</v>
      </c>
      <c r="L1122" s="415" t="s">
        <v>826</v>
      </c>
      <c r="M1122" s="548">
        <v>8134322</v>
      </c>
      <c r="N1122" s="414">
        <v>44609</v>
      </c>
      <c r="O1122" s="414" t="s">
        <v>400</v>
      </c>
      <c r="P1122" s="222">
        <f t="shared" si="76"/>
        <v>3</v>
      </c>
      <c r="Q1122" s="222">
        <f t="shared" si="77"/>
        <v>2</v>
      </c>
      <c r="R1122" s="532" t="str">
        <f t="shared" si="78"/>
        <v>Gastos_com_Pessoal</v>
      </c>
      <c r="S1122" s="467" t="s">
        <v>310</v>
      </c>
      <c r="T1122" s="467" t="s">
        <v>310</v>
      </c>
      <c r="U1122" s="496"/>
      <c r="V1122" s="496"/>
      <c r="W1122" s="496"/>
    </row>
    <row r="1123" spans="1:23" ht="72" x14ac:dyDescent="0.2">
      <c r="A1123" s="510">
        <f t="shared" si="75"/>
        <v>1120</v>
      </c>
      <c r="B1123" s="428">
        <v>44622</v>
      </c>
      <c r="C1123" s="424">
        <v>44593</v>
      </c>
      <c r="D1123" s="415" t="s">
        <v>271</v>
      </c>
      <c r="E1123" s="415" t="s">
        <v>297</v>
      </c>
      <c r="F1123" s="425">
        <v>241.92</v>
      </c>
      <c r="G1123" s="437" t="s">
        <v>475</v>
      </c>
      <c r="H1123" s="415" t="s">
        <v>309</v>
      </c>
      <c r="I1123" s="473" t="s">
        <v>1517</v>
      </c>
      <c r="J1123" s="434" t="s">
        <v>1012</v>
      </c>
      <c r="K1123" s="415" t="s">
        <v>812</v>
      </c>
      <c r="L1123" s="415" t="s">
        <v>807</v>
      </c>
      <c r="M1123" s="415">
        <v>33801</v>
      </c>
      <c r="N1123" s="414">
        <v>44595</v>
      </c>
      <c r="O1123" s="414" t="s">
        <v>400</v>
      </c>
      <c r="P1123" s="222">
        <f t="shared" si="76"/>
        <v>3</v>
      </c>
      <c r="Q1123" s="222">
        <f t="shared" si="77"/>
        <v>2</v>
      </c>
      <c r="R1123" s="532" t="str">
        <f t="shared" si="78"/>
        <v>Gastos_Gerais</v>
      </c>
      <c r="S1123" s="467" t="s">
        <v>1000</v>
      </c>
      <c r="T1123" s="467">
        <v>1672</v>
      </c>
      <c r="U1123" s="496"/>
      <c r="V1123" s="496"/>
      <c r="W1123" s="496"/>
    </row>
    <row r="1124" spans="1:23" ht="24" x14ac:dyDescent="0.2">
      <c r="A1124" s="510">
        <f t="shared" si="75"/>
        <v>1121</v>
      </c>
      <c r="B1124" s="465">
        <v>44622</v>
      </c>
      <c r="C1124" s="424">
        <v>44593</v>
      </c>
      <c r="D1124" s="415" t="s">
        <v>182</v>
      </c>
      <c r="E1124" s="415" t="s">
        <v>179</v>
      </c>
      <c r="F1124" s="425">
        <v>377.49</v>
      </c>
      <c r="G1124" s="437" t="s">
        <v>2010</v>
      </c>
      <c r="H1124" s="415" t="s">
        <v>310</v>
      </c>
      <c r="I1124" s="474" t="s">
        <v>771</v>
      </c>
      <c r="J1124" s="415" t="s">
        <v>819</v>
      </c>
      <c r="K1124" s="415" t="s">
        <v>812</v>
      </c>
      <c r="L1124" s="415" t="s">
        <v>807</v>
      </c>
      <c r="M1124" s="415" t="s">
        <v>2014</v>
      </c>
      <c r="N1124" s="414">
        <v>44579</v>
      </c>
      <c r="O1124" s="414" t="s">
        <v>400</v>
      </c>
      <c r="P1124" s="222">
        <f t="shared" si="76"/>
        <v>3</v>
      </c>
      <c r="Q1124" s="222">
        <f t="shared" si="77"/>
        <v>2</v>
      </c>
      <c r="R1124" s="532" t="str">
        <f t="shared" si="78"/>
        <v>Gastos_com_Pessoal</v>
      </c>
      <c r="S1124" s="467" t="s">
        <v>310</v>
      </c>
      <c r="T1124" s="467" t="s">
        <v>310</v>
      </c>
      <c r="U1124" s="496"/>
      <c r="V1124" s="496"/>
      <c r="W1124" s="496"/>
    </row>
    <row r="1125" spans="1:23" ht="180" x14ac:dyDescent="0.2">
      <c r="A1125" s="510">
        <f t="shared" si="75"/>
        <v>1122</v>
      </c>
      <c r="B1125" s="590">
        <v>44622</v>
      </c>
      <c r="C1125" s="424">
        <v>44409</v>
      </c>
      <c r="D1125" s="415" t="s">
        <v>468</v>
      </c>
      <c r="E1125" s="415" t="s">
        <v>468</v>
      </c>
      <c r="F1125" s="459">
        <v>38328</v>
      </c>
      <c r="G1125" s="587" t="s">
        <v>3100</v>
      </c>
      <c r="H1125" s="415" t="s">
        <v>468</v>
      </c>
      <c r="I1125" s="461" t="s">
        <v>2084</v>
      </c>
      <c r="J1125" s="468" t="s">
        <v>3057</v>
      </c>
      <c r="K1125" s="415" t="s">
        <v>812</v>
      </c>
      <c r="L1125" s="415" t="s">
        <v>807</v>
      </c>
      <c r="M1125" s="415" t="s">
        <v>3075</v>
      </c>
      <c r="N1125" s="469">
        <v>44613</v>
      </c>
      <c r="O1125" s="414" t="s">
        <v>407</v>
      </c>
      <c r="P1125" s="222">
        <f t="shared" si="76"/>
        <v>3</v>
      </c>
      <c r="Q1125" s="222">
        <f t="shared" si="77"/>
        <v>-4</v>
      </c>
      <c r="R1125" s="415" t="str">
        <f t="shared" si="78"/>
        <v>Gastos_custeados_por_captação</v>
      </c>
      <c r="S1125" s="467" t="s">
        <v>998</v>
      </c>
      <c r="T1125" s="467">
        <v>1794</v>
      </c>
      <c r="U1125" s="497"/>
      <c r="V1125" s="497"/>
      <c r="W1125" s="497"/>
    </row>
    <row r="1126" spans="1:23" ht="72" x14ac:dyDescent="0.2">
      <c r="A1126" s="510">
        <f t="shared" si="75"/>
        <v>1123</v>
      </c>
      <c r="B1126" s="590">
        <v>44622</v>
      </c>
      <c r="C1126" s="424">
        <v>44593</v>
      </c>
      <c r="D1126" s="415" t="s">
        <v>468</v>
      </c>
      <c r="E1126" s="415" t="s">
        <v>468</v>
      </c>
      <c r="F1126" s="459">
        <v>319.2</v>
      </c>
      <c r="G1126" s="461" t="s">
        <v>1634</v>
      </c>
      <c r="H1126" s="415" t="s">
        <v>468</v>
      </c>
      <c r="I1126" s="461" t="s">
        <v>2701</v>
      </c>
      <c r="J1126" s="468" t="s">
        <v>1633</v>
      </c>
      <c r="K1126" s="415" t="s">
        <v>812</v>
      </c>
      <c r="L1126" s="415" t="s">
        <v>807</v>
      </c>
      <c r="M1126" s="415" t="s">
        <v>3076</v>
      </c>
      <c r="N1126" s="469">
        <v>44604</v>
      </c>
      <c r="O1126" s="414" t="s">
        <v>407</v>
      </c>
      <c r="P1126" s="222">
        <f t="shared" si="76"/>
        <v>3</v>
      </c>
      <c r="Q1126" s="222">
        <f t="shared" si="77"/>
        <v>2</v>
      </c>
      <c r="R1126" s="415" t="str">
        <f t="shared" si="78"/>
        <v>Gastos_custeados_por_captação</v>
      </c>
      <c r="S1126" s="467" t="s">
        <v>998</v>
      </c>
      <c r="T1126" s="467">
        <v>2864</v>
      </c>
      <c r="U1126" s="497"/>
      <c r="V1126" s="497"/>
      <c r="W1126" s="497"/>
    </row>
    <row r="1127" spans="1:23" ht="84" x14ac:dyDescent="0.2">
      <c r="A1127" s="510">
        <f t="shared" si="75"/>
        <v>1124</v>
      </c>
      <c r="B1127" s="590">
        <v>44622</v>
      </c>
      <c r="C1127" s="424">
        <v>44470</v>
      </c>
      <c r="D1127" s="415" t="s">
        <v>468</v>
      </c>
      <c r="E1127" s="415" t="s">
        <v>468</v>
      </c>
      <c r="F1127" s="459">
        <v>482.5</v>
      </c>
      <c r="G1127" s="587" t="s">
        <v>3101</v>
      </c>
      <c r="H1127" s="415" t="s">
        <v>468</v>
      </c>
      <c r="I1127" s="461" t="s">
        <v>3029</v>
      </c>
      <c r="J1127" s="468" t="s">
        <v>3058</v>
      </c>
      <c r="K1127" s="415" t="s">
        <v>830</v>
      </c>
      <c r="L1127" s="415" t="s">
        <v>807</v>
      </c>
      <c r="M1127" s="415">
        <v>273</v>
      </c>
      <c r="N1127" s="469">
        <v>44617</v>
      </c>
      <c r="O1127" s="414" t="s">
        <v>407</v>
      </c>
      <c r="P1127" s="222">
        <f t="shared" si="76"/>
        <v>3</v>
      </c>
      <c r="Q1127" s="222">
        <f t="shared" si="77"/>
        <v>-2</v>
      </c>
      <c r="R1127" s="415" t="str">
        <f t="shared" si="78"/>
        <v>Gastos_custeados_por_captação</v>
      </c>
      <c r="S1127" s="467" t="s">
        <v>998</v>
      </c>
      <c r="T1127" s="467">
        <v>2181</v>
      </c>
      <c r="U1127" s="497"/>
      <c r="V1127" s="497"/>
      <c r="W1127" s="497"/>
    </row>
    <row r="1128" spans="1:23" ht="48" x14ac:dyDescent="0.2">
      <c r="A1128" s="510">
        <f t="shared" si="75"/>
        <v>1125</v>
      </c>
      <c r="B1128" s="428">
        <v>44623</v>
      </c>
      <c r="C1128" s="466">
        <v>44562</v>
      </c>
      <c r="D1128" s="415" t="s">
        <v>271</v>
      </c>
      <c r="E1128" s="415" t="s">
        <v>164</v>
      </c>
      <c r="F1128" s="435">
        <v>-204.23</v>
      </c>
      <c r="G1128" s="427" t="s">
        <v>1810</v>
      </c>
      <c r="H1128" s="415" t="s">
        <v>309</v>
      </c>
      <c r="I1128" s="473" t="s">
        <v>795</v>
      </c>
      <c r="J1128" s="415" t="s">
        <v>796</v>
      </c>
      <c r="K1128" s="415" t="s">
        <v>797</v>
      </c>
      <c r="L1128" s="415" t="s">
        <v>798</v>
      </c>
      <c r="M1128" s="415" t="s">
        <v>310</v>
      </c>
      <c r="N1128" s="414">
        <v>44623</v>
      </c>
      <c r="O1128" s="414" t="s">
        <v>400</v>
      </c>
      <c r="P1128" s="222">
        <f t="shared" si="76"/>
        <v>3</v>
      </c>
      <c r="Q1128" s="222">
        <f t="shared" si="77"/>
        <v>1</v>
      </c>
      <c r="R1128" s="532" t="str">
        <f t="shared" si="78"/>
        <v>Gastos_Gerais</v>
      </c>
      <c r="S1128" s="467" t="s">
        <v>310</v>
      </c>
      <c r="T1128" s="467" t="s">
        <v>310</v>
      </c>
      <c r="U1128" s="496"/>
      <c r="V1128" s="496"/>
      <c r="W1128" s="496"/>
    </row>
    <row r="1129" spans="1:23" ht="48" x14ac:dyDescent="0.2">
      <c r="A1129" s="510">
        <f t="shared" si="75"/>
        <v>1126</v>
      </c>
      <c r="B1129" s="428">
        <v>44623</v>
      </c>
      <c r="C1129" s="466">
        <v>44562</v>
      </c>
      <c r="D1129" s="415" t="s">
        <v>315</v>
      </c>
      <c r="E1129" s="415" t="s">
        <v>315</v>
      </c>
      <c r="F1129" s="435">
        <v>5090.76</v>
      </c>
      <c r="G1129" s="437" t="s">
        <v>2020</v>
      </c>
      <c r="H1129" s="434" t="s">
        <v>310</v>
      </c>
      <c r="I1129" s="474" t="s">
        <v>1473</v>
      </c>
      <c r="J1129" s="434" t="s">
        <v>796</v>
      </c>
      <c r="K1129" s="434" t="s">
        <v>797</v>
      </c>
      <c r="L1129" s="434" t="s">
        <v>798</v>
      </c>
      <c r="M1129" s="436" t="s">
        <v>310</v>
      </c>
      <c r="N1129" s="414">
        <v>44623</v>
      </c>
      <c r="O1129" s="414" t="s">
        <v>400</v>
      </c>
      <c r="P1129" s="222">
        <f t="shared" si="76"/>
        <v>3</v>
      </c>
      <c r="Q1129" s="222">
        <f t="shared" si="77"/>
        <v>1</v>
      </c>
      <c r="R1129" s="532" t="str">
        <f t="shared" si="78"/>
        <v>Transferência_para_Reserva_de_Recursos</v>
      </c>
      <c r="S1129" s="467" t="s">
        <v>310</v>
      </c>
      <c r="T1129" s="467" t="s">
        <v>310</v>
      </c>
      <c r="U1129" s="496"/>
      <c r="V1129" s="496"/>
      <c r="W1129" s="496"/>
    </row>
    <row r="1130" spans="1:23" ht="24" x14ac:dyDescent="0.2">
      <c r="A1130" s="510">
        <f t="shared" si="75"/>
        <v>1127</v>
      </c>
      <c r="B1130" s="428">
        <v>44623</v>
      </c>
      <c r="C1130" s="431">
        <v>44593</v>
      </c>
      <c r="D1130" s="415" t="s">
        <v>271</v>
      </c>
      <c r="E1130" s="415" t="s">
        <v>297</v>
      </c>
      <c r="F1130" s="425">
        <v>180.57</v>
      </c>
      <c r="G1130" s="427" t="s">
        <v>1607</v>
      </c>
      <c r="H1130" s="415" t="s">
        <v>309</v>
      </c>
      <c r="I1130" s="398" t="s">
        <v>2022</v>
      </c>
      <c r="J1130" s="418" t="s">
        <v>310</v>
      </c>
      <c r="K1130" s="418" t="s">
        <v>830</v>
      </c>
      <c r="L1130" s="399" t="s">
        <v>2023</v>
      </c>
      <c r="M1130" s="544" t="s">
        <v>310</v>
      </c>
      <c r="N1130" s="414">
        <v>44623</v>
      </c>
      <c r="O1130" s="414" t="s">
        <v>400</v>
      </c>
      <c r="P1130" s="222">
        <f t="shared" si="76"/>
        <v>3</v>
      </c>
      <c r="Q1130" s="222">
        <f t="shared" si="77"/>
        <v>2</v>
      </c>
      <c r="R1130" s="532" t="str">
        <f t="shared" si="78"/>
        <v>Gastos_Gerais</v>
      </c>
      <c r="S1130" s="467" t="s">
        <v>998</v>
      </c>
      <c r="T1130" s="467">
        <v>2862</v>
      </c>
      <c r="U1130" s="496"/>
      <c r="V1130" s="496"/>
      <c r="W1130" s="496"/>
    </row>
    <row r="1131" spans="1:23" ht="72" x14ac:dyDescent="0.2">
      <c r="A1131" s="510">
        <f t="shared" si="75"/>
        <v>1128</v>
      </c>
      <c r="B1131" s="428">
        <v>44623</v>
      </c>
      <c r="C1131" s="466">
        <v>44562</v>
      </c>
      <c r="D1131" s="415" t="s">
        <v>468</v>
      </c>
      <c r="E1131" s="415" t="s">
        <v>468</v>
      </c>
      <c r="F1131" s="425">
        <v>1955.88</v>
      </c>
      <c r="G1131" s="427" t="s">
        <v>2817</v>
      </c>
      <c r="H1131" s="415" t="s">
        <v>468</v>
      </c>
      <c r="I1131" s="398" t="s">
        <v>1226</v>
      </c>
      <c r="J1131" s="470" t="s">
        <v>1061</v>
      </c>
      <c r="K1131" s="418" t="s">
        <v>830</v>
      </c>
      <c r="L1131" s="399" t="s">
        <v>839</v>
      </c>
      <c r="M1131" s="544">
        <v>1594</v>
      </c>
      <c r="N1131" s="414">
        <v>44616</v>
      </c>
      <c r="O1131" s="414" t="s">
        <v>404</v>
      </c>
      <c r="P1131" s="222">
        <f t="shared" si="76"/>
        <v>3</v>
      </c>
      <c r="Q1131" s="222">
        <f t="shared" si="77"/>
        <v>1</v>
      </c>
      <c r="R1131" s="532" t="str">
        <f t="shared" si="78"/>
        <v>Gastos_custeados_por_captação</v>
      </c>
      <c r="S1131" s="467" t="s">
        <v>1000</v>
      </c>
      <c r="T1131" s="467">
        <v>2845</v>
      </c>
      <c r="U1131" s="496"/>
      <c r="V1131" s="496"/>
      <c r="W1131" s="496"/>
    </row>
    <row r="1132" spans="1:23" ht="72" x14ac:dyDescent="0.2">
      <c r="A1132" s="510">
        <f t="shared" si="75"/>
        <v>1129</v>
      </c>
      <c r="B1132" s="428">
        <v>44623</v>
      </c>
      <c r="C1132" s="466">
        <v>44562</v>
      </c>
      <c r="D1132" s="415" t="s">
        <v>468</v>
      </c>
      <c r="E1132" s="415" t="s">
        <v>468</v>
      </c>
      <c r="F1132" s="425">
        <v>739.2</v>
      </c>
      <c r="G1132" s="553" t="s">
        <v>1401</v>
      </c>
      <c r="H1132" s="415" t="s">
        <v>468</v>
      </c>
      <c r="I1132" s="554" t="s">
        <v>2818</v>
      </c>
      <c r="J1132" s="470" t="s">
        <v>1402</v>
      </c>
      <c r="K1132" s="418" t="s">
        <v>830</v>
      </c>
      <c r="L1132" s="399" t="s">
        <v>839</v>
      </c>
      <c r="M1132" s="544">
        <v>1578</v>
      </c>
      <c r="N1132" s="414">
        <v>44609</v>
      </c>
      <c r="O1132" s="414" t="s">
        <v>404</v>
      </c>
      <c r="P1132" s="222">
        <f t="shared" si="76"/>
        <v>3</v>
      </c>
      <c r="Q1132" s="222">
        <f t="shared" si="77"/>
        <v>1</v>
      </c>
      <c r="R1132" s="532" t="str">
        <f t="shared" si="78"/>
        <v>Gastos_custeados_por_captação</v>
      </c>
      <c r="S1132" s="467" t="s">
        <v>998</v>
      </c>
      <c r="T1132" s="467">
        <v>2831</v>
      </c>
      <c r="U1132" s="496"/>
      <c r="V1132" s="496"/>
      <c r="W1132" s="496"/>
    </row>
    <row r="1133" spans="1:23" ht="24" x14ac:dyDescent="0.2">
      <c r="A1133" s="510">
        <f t="shared" si="75"/>
        <v>1130</v>
      </c>
      <c r="B1133" s="428">
        <v>44623</v>
      </c>
      <c r="C1133" s="466">
        <v>44562</v>
      </c>
      <c r="D1133" s="415" t="s">
        <v>271</v>
      </c>
      <c r="E1133" s="415" t="s">
        <v>164</v>
      </c>
      <c r="F1133" s="435">
        <v>773.3</v>
      </c>
      <c r="G1133" s="437" t="s">
        <v>1403</v>
      </c>
      <c r="H1133" s="434" t="s">
        <v>309</v>
      </c>
      <c r="I1133" s="474" t="s">
        <v>769</v>
      </c>
      <c r="J1133" s="434" t="s">
        <v>1478</v>
      </c>
      <c r="K1133" s="434" t="s">
        <v>1404</v>
      </c>
      <c r="L1133" s="434" t="s">
        <v>1372</v>
      </c>
      <c r="M1133" s="415">
        <v>4656677961</v>
      </c>
      <c r="N1133" s="414">
        <v>44599</v>
      </c>
      <c r="O1133" s="414" t="s">
        <v>400</v>
      </c>
      <c r="P1133" s="222">
        <f t="shared" si="76"/>
        <v>3</v>
      </c>
      <c r="Q1133" s="222">
        <f t="shared" si="77"/>
        <v>1</v>
      </c>
      <c r="R1133" s="532" t="str">
        <f t="shared" si="78"/>
        <v>Gastos_Gerais</v>
      </c>
      <c r="S1133" s="467" t="s">
        <v>310</v>
      </c>
      <c r="T1133" s="467" t="s">
        <v>310</v>
      </c>
      <c r="U1133" s="496"/>
      <c r="V1133" s="496"/>
      <c r="W1133" s="496"/>
    </row>
    <row r="1134" spans="1:23" ht="84" x14ac:dyDescent="0.2">
      <c r="A1134" s="510">
        <f t="shared" si="75"/>
        <v>1131</v>
      </c>
      <c r="B1134" s="428">
        <v>44623</v>
      </c>
      <c r="C1134" s="431">
        <v>44593</v>
      </c>
      <c r="D1134" s="415" t="s">
        <v>271</v>
      </c>
      <c r="E1134" s="415" t="s">
        <v>141</v>
      </c>
      <c r="F1134" s="425">
        <v>972.25</v>
      </c>
      <c r="G1134" s="427" t="s">
        <v>1522</v>
      </c>
      <c r="H1134" s="415" t="s">
        <v>468</v>
      </c>
      <c r="I1134" s="398" t="s">
        <v>2021</v>
      </c>
      <c r="J1134" s="418" t="s">
        <v>1523</v>
      </c>
      <c r="K1134" s="418" t="s">
        <v>812</v>
      </c>
      <c r="L1134" s="399" t="s">
        <v>807</v>
      </c>
      <c r="M1134" s="544">
        <v>81417</v>
      </c>
      <c r="N1134" s="414">
        <v>44593</v>
      </c>
      <c r="O1134" s="414" t="s">
        <v>400</v>
      </c>
      <c r="P1134" s="222">
        <f t="shared" si="76"/>
        <v>3</v>
      </c>
      <c r="Q1134" s="222">
        <f t="shared" si="77"/>
        <v>2</v>
      </c>
      <c r="R1134" s="532" t="str">
        <f t="shared" si="78"/>
        <v>Gastos_Gerais</v>
      </c>
      <c r="S1134" s="467" t="s">
        <v>1303</v>
      </c>
      <c r="T1134" s="467">
        <v>2841</v>
      </c>
      <c r="U1134" s="496"/>
      <c r="V1134" s="496"/>
      <c r="W1134" s="496"/>
    </row>
    <row r="1135" spans="1:23" ht="48" x14ac:dyDescent="0.2">
      <c r="A1135" s="510">
        <f t="shared" si="75"/>
        <v>1132</v>
      </c>
      <c r="B1135" s="428">
        <v>44624</v>
      </c>
      <c r="C1135" s="424">
        <v>44621</v>
      </c>
      <c r="D1135" s="415" t="s">
        <v>34</v>
      </c>
      <c r="E1135" s="415" t="s">
        <v>167</v>
      </c>
      <c r="F1135" s="425">
        <v>1000</v>
      </c>
      <c r="G1135" s="427" t="s">
        <v>2025</v>
      </c>
      <c r="H1135" s="415" t="s">
        <v>310</v>
      </c>
      <c r="I1135" s="473" t="s">
        <v>795</v>
      </c>
      <c r="J1135" s="415" t="s">
        <v>796</v>
      </c>
      <c r="K1135" s="415" t="s">
        <v>797</v>
      </c>
      <c r="L1135" s="415" t="s">
        <v>798</v>
      </c>
      <c r="M1135" s="415" t="s">
        <v>310</v>
      </c>
      <c r="N1135" s="414">
        <v>44624</v>
      </c>
      <c r="O1135" s="414" t="s">
        <v>400</v>
      </c>
      <c r="P1135" s="222">
        <f t="shared" si="76"/>
        <v>3</v>
      </c>
      <c r="Q1135" s="222">
        <f t="shared" si="77"/>
        <v>3</v>
      </c>
      <c r="R1135" s="532" t="str">
        <f t="shared" si="78"/>
        <v>Receitas</v>
      </c>
      <c r="S1135" s="467" t="s">
        <v>310</v>
      </c>
      <c r="T1135" s="467" t="s">
        <v>310</v>
      </c>
      <c r="U1135" s="496"/>
      <c r="V1135" s="496"/>
      <c r="W1135" s="496"/>
    </row>
    <row r="1136" spans="1:23" s="309" customFormat="1" ht="48" x14ac:dyDescent="0.2">
      <c r="A1136" s="510">
        <f t="shared" si="75"/>
        <v>1133</v>
      </c>
      <c r="B1136" s="428">
        <v>44624</v>
      </c>
      <c r="C1136" s="424">
        <v>44621</v>
      </c>
      <c r="D1136" s="415" t="s">
        <v>34</v>
      </c>
      <c r="E1136" s="415" t="s">
        <v>167</v>
      </c>
      <c r="F1136" s="425">
        <v>500</v>
      </c>
      <c r="G1136" s="427" t="s">
        <v>2025</v>
      </c>
      <c r="H1136" s="415" t="s">
        <v>310</v>
      </c>
      <c r="I1136" s="473" t="s">
        <v>795</v>
      </c>
      <c r="J1136" s="415" t="s">
        <v>796</v>
      </c>
      <c r="K1136" s="415" t="s">
        <v>797</v>
      </c>
      <c r="L1136" s="415" t="s">
        <v>798</v>
      </c>
      <c r="M1136" s="415" t="s">
        <v>310</v>
      </c>
      <c r="N1136" s="414">
        <v>44624</v>
      </c>
      <c r="O1136" s="414" t="s">
        <v>400</v>
      </c>
      <c r="P1136" s="222">
        <f t="shared" si="76"/>
        <v>3</v>
      </c>
      <c r="Q1136" s="222">
        <f t="shared" si="77"/>
        <v>3</v>
      </c>
      <c r="R1136" s="532" t="str">
        <f t="shared" si="78"/>
        <v>Receitas</v>
      </c>
      <c r="S1136" s="467" t="s">
        <v>310</v>
      </c>
      <c r="T1136" s="467" t="s">
        <v>310</v>
      </c>
      <c r="U1136" s="496"/>
      <c r="V1136" s="496"/>
      <c r="W1136" s="496"/>
    </row>
    <row r="1137" spans="1:23" ht="48" x14ac:dyDescent="0.2">
      <c r="A1137" s="510">
        <f t="shared" si="75"/>
        <v>1134</v>
      </c>
      <c r="B1137" s="428">
        <v>44624</v>
      </c>
      <c r="C1137" s="424">
        <v>44621</v>
      </c>
      <c r="D1137" s="415" t="s">
        <v>34</v>
      </c>
      <c r="E1137" s="415" t="s">
        <v>167</v>
      </c>
      <c r="F1137" s="425">
        <v>320</v>
      </c>
      <c r="G1137" s="427" t="s">
        <v>2026</v>
      </c>
      <c r="H1137" s="415" t="s">
        <v>310</v>
      </c>
      <c r="I1137" s="473" t="s">
        <v>795</v>
      </c>
      <c r="J1137" s="415" t="s">
        <v>796</v>
      </c>
      <c r="K1137" s="415" t="s">
        <v>797</v>
      </c>
      <c r="L1137" s="415" t="s">
        <v>798</v>
      </c>
      <c r="M1137" s="415" t="s">
        <v>310</v>
      </c>
      <c r="N1137" s="414">
        <v>44624</v>
      </c>
      <c r="O1137" s="414" t="s">
        <v>400</v>
      </c>
      <c r="P1137" s="222">
        <f t="shared" si="76"/>
        <v>3</v>
      </c>
      <c r="Q1137" s="222">
        <f t="shared" si="77"/>
        <v>3</v>
      </c>
      <c r="R1137" s="532" t="str">
        <f t="shared" si="78"/>
        <v>Receitas</v>
      </c>
      <c r="S1137" s="467" t="s">
        <v>310</v>
      </c>
      <c r="T1137" s="467" t="s">
        <v>310</v>
      </c>
      <c r="U1137" s="496"/>
      <c r="V1137" s="496"/>
      <c r="W1137" s="496"/>
    </row>
    <row r="1138" spans="1:23" ht="36" x14ac:dyDescent="0.2">
      <c r="A1138" s="510">
        <f t="shared" si="75"/>
        <v>1135</v>
      </c>
      <c r="B1138" s="428">
        <v>44624</v>
      </c>
      <c r="C1138" s="431">
        <v>44593</v>
      </c>
      <c r="D1138" s="415" t="s">
        <v>182</v>
      </c>
      <c r="E1138" s="415" t="s">
        <v>1</v>
      </c>
      <c r="F1138" s="425">
        <v>4562.1499999999996</v>
      </c>
      <c r="G1138" s="427" t="s">
        <v>2027</v>
      </c>
      <c r="H1138" s="415" t="s">
        <v>310</v>
      </c>
      <c r="I1138" s="473" t="s">
        <v>907</v>
      </c>
      <c r="J1138" s="415" t="s">
        <v>908</v>
      </c>
      <c r="K1138" s="415" t="s">
        <v>806</v>
      </c>
      <c r="L1138" s="415" t="s">
        <v>909</v>
      </c>
      <c r="M1138" s="415" t="s">
        <v>310</v>
      </c>
      <c r="N1138" s="414">
        <v>44624</v>
      </c>
      <c r="O1138" s="414" t="s">
        <v>400</v>
      </c>
      <c r="P1138" s="222">
        <f t="shared" si="76"/>
        <v>3</v>
      </c>
      <c r="Q1138" s="222">
        <f t="shared" si="77"/>
        <v>2</v>
      </c>
      <c r="R1138" s="532" t="str">
        <f t="shared" si="78"/>
        <v>Gastos_com_Pessoal</v>
      </c>
      <c r="S1138" s="467" t="s">
        <v>310</v>
      </c>
      <c r="T1138" s="467" t="s">
        <v>310</v>
      </c>
      <c r="U1138" s="496"/>
      <c r="V1138" s="496"/>
      <c r="W1138" s="496"/>
    </row>
    <row r="1139" spans="1:23" ht="36" x14ac:dyDescent="0.2">
      <c r="A1139" s="510">
        <f t="shared" si="75"/>
        <v>1136</v>
      </c>
      <c r="B1139" s="428">
        <v>44624</v>
      </c>
      <c r="C1139" s="431">
        <v>44593</v>
      </c>
      <c r="D1139" s="415" t="s">
        <v>182</v>
      </c>
      <c r="E1139" s="415" t="s">
        <v>1</v>
      </c>
      <c r="F1139" s="425">
        <v>1939.66</v>
      </c>
      <c r="G1139" s="427" t="s">
        <v>2028</v>
      </c>
      <c r="H1139" s="415" t="s">
        <v>310</v>
      </c>
      <c r="I1139" s="473" t="s">
        <v>911</v>
      </c>
      <c r="J1139" s="415" t="s">
        <v>912</v>
      </c>
      <c r="K1139" s="415" t="s">
        <v>806</v>
      </c>
      <c r="L1139" s="415" t="s">
        <v>909</v>
      </c>
      <c r="M1139" s="415" t="s">
        <v>310</v>
      </c>
      <c r="N1139" s="414">
        <v>44624</v>
      </c>
      <c r="O1139" s="414" t="s">
        <v>400</v>
      </c>
      <c r="P1139" s="222">
        <f t="shared" si="76"/>
        <v>3</v>
      </c>
      <c r="Q1139" s="222">
        <f t="shared" si="77"/>
        <v>2</v>
      </c>
      <c r="R1139" s="532" t="str">
        <f t="shared" si="78"/>
        <v>Gastos_com_Pessoal</v>
      </c>
      <c r="S1139" s="467" t="s">
        <v>310</v>
      </c>
      <c r="T1139" s="467" t="s">
        <v>310</v>
      </c>
      <c r="U1139" s="496"/>
      <c r="V1139" s="496"/>
      <c r="W1139" s="496"/>
    </row>
    <row r="1140" spans="1:23" ht="36" x14ac:dyDescent="0.2">
      <c r="A1140" s="510">
        <f t="shared" si="75"/>
        <v>1137</v>
      </c>
      <c r="B1140" s="428">
        <v>44624</v>
      </c>
      <c r="C1140" s="431">
        <v>44593</v>
      </c>
      <c r="D1140" s="415" t="s">
        <v>182</v>
      </c>
      <c r="E1140" s="415" t="s">
        <v>1</v>
      </c>
      <c r="F1140" s="425">
        <v>2261.98</v>
      </c>
      <c r="G1140" s="427" t="s">
        <v>2029</v>
      </c>
      <c r="H1140" s="415" t="s">
        <v>310</v>
      </c>
      <c r="I1140" s="473" t="s">
        <v>914</v>
      </c>
      <c r="J1140" s="415" t="s">
        <v>915</v>
      </c>
      <c r="K1140" s="415" t="s">
        <v>806</v>
      </c>
      <c r="L1140" s="415" t="s">
        <v>909</v>
      </c>
      <c r="M1140" s="415" t="s">
        <v>310</v>
      </c>
      <c r="N1140" s="414">
        <v>44624</v>
      </c>
      <c r="O1140" s="414" t="s">
        <v>400</v>
      </c>
      <c r="P1140" s="222">
        <f t="shared" si="76"/>
        <v>3</v>
      </c>
      <c r="Q1140" s="222">
        <f t="shared" si="77"/>
        <v>2</v>
      </c>
      <c r="R1140" s="532" t="str">
        <f t="shared" si="78"/>
        <v>Gastos_com_Pessoal</v>
      </c>
      <c r="S1140" s="467" t="s">
        <v>310</v>
      </c>
      <c r="T1140" s="467" t="s">
        <v>310</v>
      </c>
      <c r="U1140" s="496"/>
      <c r="V1140" s="496"/>
      <c r="W1140" s="496"/>
    </row>
    <row r="1141" spans="1:23" ht="36" x14ac:dyDescent="0.2">
      <c r="A1141" s="510">
        <f t="shared" si="75"/>
        <v>1138</v>
      </c>
      <c r="B1141" s="428">
        <v>44624</v>
      </c>
      <c r="C1141" s="431">
        <v>44593</v>
      </c>
      <c r="D1141" s="415" t="s">
        <v>182</v>
      </c>
      <c r="E1141" s="415" t="s">
        <v>1</v>
      </c>
      <c r="F1141" s="425">
        <v>2095.64</v>
      </c>
      <c r="G1141" s="427" t="s">
        <v>2028</v>
      </c>
      <c r="H1141" s="415" t="s">
        <v>310</v>
      </c>
      <c r="I1141" s="473" t="s">
        <v>916</v>
      </c>
      <c r="J1141" s="415" t="s">
        <v>917</v>
      </c>
      <c r="K1141" s="415" t="s">
        <v>806</v>
      </c>
      <c r="L1141" s="415" t="s">
        <v>909</v>
      </c>
      <c r="M1141" s="415" t="s">
        <v>310</v>
      </c>
      <c r="N1141" s="414">
        <v>44624</v>
      </c>
      <c r="O1141" s="414" t="s">
        <v>400</v>
      </c>
      <c r="P1141" s="222">
        <f t="shared" si="76"/>
        <v>3</v>
      </c>
      <c r="Q1141" s="222">
        <f t="shared" si="77"/>
        <v>2</v>
      </c>
      <c r="R1141" s="532" t="str">
        <f t="shared" si="78"/>
        <v>Gastos_com_Pessoal</v>
      </c>
      <c r="S1141" s="467" t="s">
        <v>310</v>
      </c>
      <c r="T1141" s="467" t="s">
        <v>310</v>
      </c>
      <c r="U1141" s="496"/>
      <c r="V1141" s="496"/>
      <c r="W1141" s="496"/>
    </row>
    <row r="1142" spans="1:23" ht="36" x14ac:dyDescent="0.2">
      <c r="A1142" s="510">
        <f t="shared" si="75"/>
        <v>1139</v>
      </c>
      <c r="B1142" s="428">
        <v>44624</v>
      </c>
      <c r="C1142" s="431">
        <v>44593</v>
      </c>
      <c r="D1142" s="415" t="s">
        <v>182</v>
      </c>
      <c r="E1142" s="415" t="s">
        <v>1</v>
      </c>
      <c r="F1142" s="425">
        <v>2095.64</v>
      </c>
      <c r="G1142" s="427" t="s">
        <v>2028</v>
      </c>
      <c r="H1142" s="415" t="s">
        <v>310</v>
      </c>
      <c r="I1142" s="473" t="s">
        <v>918</v>
      </c>
      <c r="J1142" s="415" t="s">
        <v>919</v>
      </c>
      <c r="K1142" s="415" t="s">
        <v>806</v>
      </c>
      <c r="L1142" s="415" t="s">
        <v>909</v>
      </c>
      <c r="M1142" s="415" t="s">
        <v>310</v>
      </c>
      <c r="N1142" s="414">
        <v>44624</v>
      </c>
      <c r="O1142" s="414" t="s">
        <v>400</v>
      </c>
      <c r="P1142" s="222">
        <f t="shared" si="76"/>
        <v>3</v>
      </c>
      <c r="Q1142" s="222">
        <f t="shared" si="77"/>
        <v>2</v>
      </c>
      <c r="R1142" s="532" t="str">
        <f t="shared" si="78"/>
        <v>Gastos_com_Pessoal</v>
      </c>
      <c r="S1142" s="467" t="s">
        <v>310</v>
      </c>
      <c r="T1142" s="467" t="s">
        <v>310</v>
      </c>
      <c r="U1142" s="496"/>
      <c r="V1142" s="496"/>
      <c r="W1142" s="496"/>
    </row>
    <row r="1143" spans="1:23" ht="36" x14ac:dyDescent="0.2">
      <c r="A1143" s="510">
        <f t="shared" si="75"/>
        <v>1140</v>
      </c>
      <c r="B1143" s="428">
        <v>44624</v>
      </c>
      <c r="C1143" s="431">
        <v>44593</v>
      </c>
      <c r="D1143" s="415" t="s">
        <v>182</v>
      </c>
      <c r="E1143" s="415" t="s">
        <v>1</v>
      </c>
      <c r="F1143" s="425">
        <v>2095.64</v>
      </c>
      <c r="G1143" s="427" t="s">
        <v>2028</v>
      </c>
      <c r="H1143" s="415" t="s">
        <v>310</v>
      </c>
      <c r="I1143" s="473" t="s">
        <v>920</v>
      </c>
      <c r="J1143" s="415" t="s">
        <v>921</v>
      </c>
      <c r="K1143" s="415" t="s">
        <v>806</v>
      </c>
      <c r="L1143" s="415" t="s">
        <v>909</v>
      </c>
      <c r="M1143" s="415" t="s">
        <v>310</v>
      </c>
      <c r="N1143" s="414">
        <v>44624</v>
      </c>
      <c r="O1143" s="414" t="s">
        <v>400</v>
      </c>
      <c r="P1143" s="222">
        <f t="shared" si="76"/>
        <v>3</v>
      </c>
      <c r="Q1143" s="222">
        <f t="shared" si="77"/>
        <v>2</v>
      </c>
      <c r="R1143" s="532" t="str">
        <f t="shared" si="78"/>
        <v>Gastos_com_Pessoal</v>
      </c>
      <c r="S1143" s="467" t="s">
        <v>310</v>
      </c>
      <c r="T1143" s="467" t="s">
        <v>310</v>
      </c>
      <c r="U1143" s="496"/>
      <c r="V1143" s="496"/>
      <c r="W1143" s="496"/>
    </row>
    <row r="1144" spans="1:23" ht="36" x14ac:dyDescent="0.2">
      <c r="A1144" s="510">
        <f t="shared" si="75"/>
        <v>1141</v>
      </c>
      <c r="B1144" s="428">
        <v>44624</v>
      </c>
      <c r="C1144" s="431">
        <v>44593</v>
      </c>
      <c r="D1144" s="415" t="s">
        <v>182</v>
      </c>
      <c r="E1144" s="415" t="s">
        <v>1</v>
      </c>
      <c r="F1144" s="425">
        <v>4544.17</v>
      </c>
      <c r="G1144" s="427" t="s">
        <v>2030</v>
      </c>
      <c r="H1144" s="415" t="s">
        <v>310</v>
      </c>
      <c r="I1144" s="473" t="s">
        <v>923</v>
      </c>
      <c r="J1144" s="415" t="s">
        <v>924</v>
      </c>
      <c r="K1144" s="415" t="s">
        <v>806</v>
      </c>
      <c r="L1144" s="415" t="s">
        <v>909</v>
      </c>
      <c r="M1144" s="415" t="s">
        <v>310</v>
      </c>
      <c r="N1144" s="414">
        <v>44624</v>
      </c>
      <c r="O1144" s="414" t="s">
        <v>400</v>
      </c>
      <c r="P1144" s="222">
        <f t="shared" si="76"/>
        <v>3</v>
      </c>
      <c r="Q1144" s="222">
        <f t="shared" si="77"/>
        <v>2</v>
      </c>
      <c r="R1144" s="532" t="str">
        <f t="shared" si="78"/>
        <v>Gastos_com_Pessoal</v>
      </c>
      <c r="S1144" s="467" t="s">
        <v>310</v>
      </c>
      <c r="T1144" s="467" t="s">
        <v>310</v>
      </c>
      <c r="U1144" s="496"/>
      <c r="V1144" s="496"/>
      <c r="W1144" s="496"/>
    </row>
    <row r="1145" spans="1:23" ht="36" x14ac:dyDescent="0.2">
      <c r="A1145" s="510">
        <f t="shared" si="75"/>
        <v>1142</v>
      </c>
      <c r="B1145" s="428">
        <v>44624</v>
      </c>
      <c r="C1145" s="431">
        <v>44593</v>
      </c>
      <c r="D1145" s="415" t="s">
        <v>182</v>
      </c>
      <c r="E1145" s="415" t="s">
        <v>1</v>
      </c>
      <c r="F1145" s="425">
        <v>2077.66</v>
      </c>
      <c r="G1145" s="427" t="s">
        <v>2028</v>
      </c>
      <c r="H1145" s="415" t="s">
        <v>310</v>
      </c>
      <c r="I1145" s="473" t="s">
        <v>926</v>
      </c>
      <c r="J1145" s="415" t="s">
        <v>927</v>
      </c>
      <c r="K1145" s="415" t="s">
        <v>806</v>
      </c>
      <c r="L1145" s="415" t="s">
        <v>909</v>
      </c>
      <c r="M1145" s="415" t="s">
        <v>310</v>
      </c>
      <c r="N1145" s="414">
        <v>44624</v>
      </c>
      <c r="O1145" s="414" t="s">
        <v>400</v>
      </c>
      <c r="P1145" s="222">
        <f t="shared" si="76"/>
        <v>3</v>
      </c>
      <c r="Q1145" s="222">
        <f t="shared" si="77"/>
        <v>2</v>
      </c>
      <c r="R1145" s="532" t="str">
        <f t="shared" si="78"/>
        <v>Gastos_com_Pessoal</v>
      </c>
      <c r="S1145" s="467" t="s">
        <v>310</v>
      </c>
      <c r="T1145" s="467" t="s">
        <v>310</v>
      </c>
      <c r="U1145" s="496"/>
      <c r="V1145" s="496"/>
      <c r="W1145" s="496"/>
    </row>
    <row r="1146" spans="1:23" ht="36" x14ac:dyDescent="0.2">
      <c r="A1146" s="510">
        <f t="shared" si="75"/>
        <v>1143</v>
      </c>
      <c r="B1146" s="428">
        <v>44624</v>
      </c>
      <c r="C1146" s="431">
        <v>44593</v>
      </c>
      <c r="D1146" s="415" t="s">
        <v>182</v>
      </c>
      <c r="E1146" s="415" t="s">
        <v>1</v>
      </c>
      <c r="F1146" s="425">
        <v>1417.22</v>
      </c>
      <c r="G1146" s="427" t="s">
        <v>2031</v>
      </c>
      <c r="H1146" s="415" t="s">
        <v>310</v>
      </c>
      <c r="I1146" s="473" t="s">
        <v>929</v>
      </c>
      <c r="J1146" s="415" t="s">
        <v>930</v>
      </c>
      <c r="K1146" s="415" t="s">
        <v>806</v>
      </c>
      <c r="L1146" s="415" t="s">
        <v>925</v>
      </c>
      <c r="M1146" s="415" t="s">
        <v>310</v>
      </c>
      <c r="N1146" s="414">
        <v>44624</v>
      </c>
      <c r="O1146" s="414" t="s">
        <v>400</v>
      </c>
      <c r="P1146" s="222">
        <f t="shared" si="76"/>
        <v>3</v>
      </c>
      <c r="Q1146" s="222">
        <f t="shared" si="77"/>
        <v>2</v>
      </c>
      <c r="R1146" s="532" t="str">
        <f t="shared" si="78"/>
        <v>Gastos_com_Pessoal</v>
      </c>
      <c r="S1146" s="467" t="s">
        <v>310</v>
      </c>
      <c r="T1146" s="467" t="s">
        <v>310</v>
      </c>
      <c r="U1146" s="496"/>
      <c r="V1146" s="496"/>
      <c r="W1146" s="496"/>
    </row>
    <row r="1147" spans="1:23" ht="36" x14ac:dyDescent="0.2">
      <c r="A1147" s="510">
        <f t="shared" si="75"/>
        <v>1144</v>
      </c>
      <c r="B1147" s="428">
        <v>44624</v>
      </c>
      <c r="C1147" s="431">
        <v>44593</v>
      </c>
      <c r="D1147" s="415" t="s">
        <v>182</v>
      </c>
      <c r="E1147" s="415" t="s">
        <v>1</v>
      </c>
      <c r="F1147" s="425">
        <v>1957.64</v>
      </c>
      <c r="G1147" s="427" t="s">
        <v>2032</v>
      </c>
      <c r="H1147" s="415" t="s">
        <v>310</v>
      </c>
      <c r="I1147" s="473" t="s">
        <v>932</v>
      </c>
      <c r="J1147" s="415" t="s">
        <v>933</v>
      </c>
      <c r="K1147" s="415" t="s">
        <v>806</v>
      </c>
      <c r="L1147" s="415" t="s">
        <v>909</v>
      </c>
      <c r="M1147" s="415" t="s">
        <v>310</v>
      </c>
      <c r="N1147" s="414">
        <v>44624</v>
      </c>
      <c r="O1147" s="414" t="s">
        <v>400</v>
      </c>
      <c r="P1147" s="222">
        <f t="shared" si="76"/>
        <v>3</v>
      </c>
      <c r="Q1147" s="222">
        <f t="shared" si="77"/>
        <v>2</v>
      </c>
      <c r="R1147" s="532" t="str">
        <f t="shared" si="78"/>
        <v>Gastos_com_Pessoal</v>
      </c>
      <c r="S1147" s="467" t="s">
        <v>310</v>
      </c>
      <c r="T1147" s="467" t="s">
        <v>310</v>
      </c>
      <c r="U1147" s="496"/>
      <c r="V1147" s="496"/>
      <c r="W1147" s="496"/>
    </row>
    <row r="1148" spans="1:23" ht="36" x14ac:dyDescent="0.2">
      <c r="A1148" s="510">
        <f t="shared" si="75"/>
        <v>1145</v>
      </c>
      <c r="B1148" s="428">
        <v>44624</v>
      </c>
      <c r="C1148" s="431">
        <v>44593</v>
      </c>
      <c r="D1148" s="415" t="s">
        <v>182</v>
      </c>
      <c r="E1148" s="415" t="s">
        <v>1</v>
      </c>
      <c r="F1148" s="425">
        <v>1957.64</v>
      </c>
      <c r="G1148" s="427" t="s">
        <v>2028</v>
      </c>
      <c r="H1148" s="415" t="s">
        <v>310</v>
      </c>
      <c r="I1148" s="473" t="s">
        <v>935</v>
      </c>
      <c r="J1148" s="415" t="s">
        <v>936</v>
      </c>
      <c r="K1148" s="415" t="s">
        <v>806</v>
      </c>
      <c r="L1148" s="415" t="s">
        <v>909</v>
      </c>
      <c r="M1148" s="415" t="s">
        <v>310</v>
      </c>
      <c r="N1148" s="414">
        <v>44624</v>
      </c>
      <c r="O1148" s="414" t="s">
        <v>400</v>
      </c>
      <c r="P1148" s="222">
        <f t="shared" si="76"/>
        <v>3</v>
      </c>
      <c r="Q1148" s="222">
        <f t="shared" si="77"/>
        <v>2</v>
      </c>
      <c r="R1148" s="532" t="str">
        <f t="shared" si="78"/>
        <v>Gastos_com_Pessoal</v>
      </c>
      <c r="S1148" s="467" t="s">
        <v>310</v>
      </c>
      <c r="T1148" s="467" t="s">
        <v>310</v>
      </c>
      <c r="U1148" s="496"/>
      <c r="V1148" s="496"/>
      <c r="W1148" s="496"/>
    </row>
    <row r="1149" spans="1:23" ht="36" x14ac:dyDescent="0.2">
      <c r="A1149" s="510">
        <f t="shared" si="75"/>
        <v>1146</v>
      </c>
      <c r="B1149" s="428">
        <v>44624</v>
      </c>
      <c r="C1149" s="431">
        <v>44593</v>
      </c>
      <c r="D1149" s="415" t="s">
        <v>182</v>
      </c>
      <c r="E1149" s="415" t="s">
        <v>1</v>
      </c>
      <c r="F1149" s="425">
        <v>2829.26</v>
      </c>
      <c r="G1149" s="427" t="s">
        <v>2033</v>
      </c>
      <c r="H1149" s="415" t="s">
        <v>310</v>
      </c>
      <c r="I1149" s="473" t="s">
        <v>938</v>
      </c>
      <c r="J1149" s="415" t="s">
        <v>939</v>
      </c>
      <c r="K1149" s="415" t="s">
        <v>806</v>
      </c>
      <c r="L1149" s="415" t="s">
        <v>909</v>
      </c>
      <c r="M1149" s="415" t="s">
        <v>310</v>
      </c>
      <c r="N1149" s="414">
        <v>44624</v>
      </c>
      <c r="O1149" s="414" t="s">
        <v>400</v>
      </c>
      <c r="P1149" s="222">
        <f t="shared" si="76"/>
        <v>3</v>
      </c>
      <c r="Q1149" s="222">
        <f t="shared" si="77"/>
        <v>2</v>
      </c>
      <c r="R1149" s="532" t="str">
        <f t="shared" si="78"/>
        <v>Gastos_com_Pessoal</v>
      </c>
      <c r="S1149" s="467" t="s">
        <v>310</v>
      </c>
      <c r="T1149" s="467" t="s">
        <v>310</v>
      </c>
      <c r="U1149" s="496"/>
      <c r="V1149" s="496"/>
      <c r="W1149" s="496"/>
    </row>
    <row r="1150" spans="1:23" ht="36" x14ac:dyDescent="0.2">
      <c r="A1150" s="510">
        <f t="shared" ref="A1150:A1213" si="79">IF(B1150="","",ROW()-ROW($A$3))</f>
        <v>1147</v>
      </c>
      <c r="B1150" s="428">
        <v>44624</v>
      </c>
      <c r="C1150" s="431">
        <v>44593</v>
      </c>
      <c r="D1150" s="415" t="s">
        <v>182</v>
      </c>
      <c r="E1150" s="415" t="s">
        <v>1</v>
      </c>
      <c r="F1150" s="425">
        <v>12439.34</v>
      </c>
      <c r="G1150" s="427" t="s">
        <v>2034</v>
      </c>
      <c r="H1150" s="415" t="s">
        <v>310</v>
      </c>
      <c r="I1150" s="473" t="s">
        <v>941</v>
      </c>
      <c r="J1150" s="415" t="s">
        <v>942</v>
      </c>
      <c r="K1150" s="415" t="s">
        <v>806</v>
      </c>
      <c r="L1150" s="415" t="s">
        <v>909</v>
      </c>
      <c r="M1150" s="415" t="s">
        <v>310</v>
      </c>
      <c r="N1150" s="414">
        <v>44624</v>
      </c>
      <c r="O1150" s="414" t="s">
        <v>400</v>
      </c>
      <c r="P1150" s="222">
        <f t="shared" si="76"/>
        <v>3</v>
      </c>
      <c r="Q1150" s="222">
        <f t="shared" si="77"/>
        <v>2</v>
      </c>
      <c r="R1150" s="532" t="str">
        <f t="shared" si="78"/>
        <v>Gastos_com_Pessoal</v>
      </c>
      <c r="S1150" s="467" t="s">
        <v>310</v>
      </c>
      <c r="T1150" s="467" t="s">
        <v>310</v>
      </c>
      <c r="U1150" s="496"/>
      <c r="V1150" s="496"/>
      <c r="W1150" s="496"/>
    </row>
    <row r="1151" spans="1:23" ht="36" x14ac:dyDescent="0.2">
      <c r="A1151" s="510">
        <f t="shared" si="79"/>
        <v>1148</v>
      </c>
      <c r="B1151" s="428">
        <v>44624</v>
      </c>
      <c r="C1151" s="431">
        <v>44593</v>
      </c>
      <c r="D1151" s="415" t="s">
        <v>182</v>
      </c>
      <c r="E1151" s="415" t="s">
        <v>1</v>
      </c>
      <c r="F1151" s="425">
        <v>2095.64</v>
      </c>
      <c r="G1151" s="427" t="s">
        <v>2028</v>
      </c>
      <c r="H1151" s="415" t="s">
        <v>310</v>
      </c>
      <c r="I1151" s="473" t="s">
        <v>943</v>
      </c>
      <c r="J1151" s="415" t="s">
        <v>1553</v>
      </c>
      <c r="K1151" s="415" t="s">
        <v>806</v>
      </c>
      <c r="L1151" s="415" t="s">
        <v>909</v>
      </c>
      <c r="M1151" s="415" t="s">
        <v>310</v>
      </c>
      <c r="N1151" s="414">
        <v>44624</v>
      </c>
      <c r="O1151" s="414" t="s">
        <v>400</v>
      </c>
      <c r="P1151" s="222">
        <f t="shared" si="76"/>
        <v>3</v>
      </c>
      <c r="Q1151" s="222">
        <f t="shared" si="77"/>
        <v>2</v>
      </c>
      <c r="R1151" s="532" t="str">
        <f t="shared" si="78"/>
        <v>Gastos_com_Pessoal</v>
      </c>
      <c r="S1151" s="467" t="s">
        <v>310</v>
      </c>
      <c r="T1151" s="467" t="s">
        <v>310</v>
      </c>
      <c r="U1151" s="496"/>
      <c r="V1151" s="496"/>
      <c r="W1151" s="496"/>
    </row>
    <row r="1152" spans="1:23" ht="36" x14ac:dyDescent="0.2">
      <c r="A1152" s="510">
        <f t="shared" si="79"/>
        <v>1149</v>
      </c>
      <c r="B1152" s="428">
        <v>44624</v>
      </c>
      <c r="C1152" s="431">
        <v>44593</v>
      </c>
      <c r="D1152" s="415" t="s">
        <v>182</v>
      </c>
      <c r="E1152" s="415" t="s">
        <v>1</v>
      </c>
      <c r="F1152" s="425">
        <v>2901.97</v>
      </c>
      <c r="G1152" s="427" t="s">
        <v>2035</v>
      </c>
      <c r="H1152" s="415" t="s">
        <v>310</v>
      </c>
      <c r="I1152" s="473" t="s">
        <v>946</v>
      </c>
      <c r="J1152" s="415" t="s">
        <v>947</v>
      </c>
      <c r="K1152" s="415" t="s">
        <v>806</v>
      </c>
      <c r="L1152" s="415" t="s">
        <v>909</v>
      </c>
      <c r="M1152" s="415" t="s">
        <v>310</v>
      </c>
      <c r="N1152" s="414">
        <v>44624</v>
      </c>
      <c r="O1152" s="414" t="s">
        <v>400</v>
      </c>
      <c r="P1152" s="222">
        <f t="shared" si="76"/>
        <v>3</v>
      </c>
      <c r="Q1152" s="222">
        <f t="shared" si="77"/>
        <v>2</v>
      </c>
      <c r="R1152" s="532" t="str">
        <f t="shared" si="78"/>
        <v>Gastos_com_Pessoal</v>
      </c>
      <c r="S1152" s="467" t="s">
        <v>310</v>
      </c>
      <c r="T1152" s="467" t="s">
        <v>310</v>
      </c>
      <c r="U1152" s="496"/>
      <c r="V1152" s="496"/>
      <c r="W1152" s="496"/>
    </row>
    <row r="1153" spans="1:23" ht="36" x14ac:dyDescent="0.2">
      <c r="A1153" s="510">
        <f t="shared" si="79"/>
        <v>1150</v>
      </c>
      <c r="B1153" s="428">
        <v>44624</v>
      </c>
      <c r="C1153" s="431">
        <v>44593</v>
      </c>
      <c r="D1153" s="415" t="s">
        <v>182</v>
      </c>
      <c r="E1153" s="415" t="s">
        <v>1</v>
      </c>
      <c r="F1153" s="425">
        <v>4562.1499999999996</v>
      </c>
      <c r="G1153" s="427" t="s">
        <v>2036</v>
      </c>
      <c r="H1153" s="415" t="s">
        <v>310</v>
      </c>
      <c r="I1153" s="473" t="s">
        <v>949</v>
      </c>
      <c r="J1153" s="415" t="s">
        <v>950</v>
      </c>
      <c r="K1153" s="415" t="s">
        <v>806</v>
      </c>
      <c r="L1153" s="415" t="s">
        <v>909</v>
      </c>
      <c r="M1153" s="415" t="s">
        <v>310</v>
      </c>
      <c r="N1153" s="414">
        <v>44624</v>
      </c>
      <c r="O1153" s="414" t="s">
        <v>400</v>
      </c>
      <c r="P1153" s="222">
        <f t="shared" si="76"/>
        <v>3</v>
      </c>
      <c r="Q1153" s="222">
        <f t="shared" si="77"/>
        <v>2</v>
      </c>
      <c r="R1153" s="532" t="str">
        <f t="shared" si="78"/>
        <v>Gastos_com_Pessoal</v>
      </c>
      <c r="S1153" s="467" t="s">
        <v>310</v>
      </c>
      <c r="T1153" s="467" t="s">
        <v>310</v>
      </c>
      <c r="U1153" s="496"/>
      <c r="V1153" s="496"/>
      <c r="W1153" s="496"/>
    </row>
    <row r="1154" spans="1:23" ht="36" x14ac:dyDescent="0.2">
      <c r="A1154" s="510">
        <f t="shared" si="79"/>
        <v>1151</v>
      </c>
      <c r="B1154" s="428">
        <v>44624</v>
      </c>
      <c r="C1154" s="431">
        <v>44593</v>
      </c>
      <c r="D1154" s="415" t="s">
        <v>182</v>
      </c>
      <c r="E1154" s="415" t="s">
        <v>1</v>
      </c>
      <c r="F1154" s="425">
        <v>2696.03</v>
      </c>
      <c r="G1154" s="440" t="s">
        <v>2037</v>
      </c>
      <c r="H1154" s="415" t="s">
        <v>310</v>
      </c>
      <c r="I1154" s="473" t="s">
        <v>1192</v>
      </c>
      <c r="J1154" s="434" t="s">
        <v>1576</v>
      </c>
      <c r="K1154" s="415" t="s">
        <v>830</v>
      </c>
      <c r="L1154" s="415" t="s">
        <v>909</v>
      </c>
      <c r="M1154" s="415" t="s">
        <v>310</v>
      </c>
      <c r="N1154" s="414">
        <v>44624</v>
      </c>
      <c r="O1154" s="414" t="s">
        <v>400</v>
      </c>
      <c r="P1154" s="222">
        <f t="shared" si="76"/>
        <v>3</v>
      </c>
      <c r="Q1154" s="222">
        <f t="shared" si="77"/>
        <v>2</v>
      </c>
      <c r="R1154" s="532" t="str">
        <f t="shared" si="78"/>
        <v>Gastos_com_Pessoal</v>
      </c>
      <c r="S1154" s="467" t="s">
        <v>310</v>
      </c>
      <c r="T1154" s="467" t="s">
        <v>310</v>
      </c>
      <c r="U1154" s="496"/>
      <c r="V1154" s="496"/>
      <c r="W1154" s="496"/>
    </row>
    <row r="1155" spans="1:23" ht="36" x14ac:dyDescent="0.2">
      <c r="A1155" s="510">
        <f t="shared" si="79"/>
        <v>1152</v>
      </c>
      <c r="B1155" s="428">
        <v>44624</v>
      </c>
      <c r="C1155" s="431">
        <v>44593</v>
      </c>
      <c r="D1155" s="415" t="s">
        <v>182</v>
      </c>
      <c r="E1155" s="415" t="s">
        <v>1</v>
      </c>
      <c r="F1155" s="425">
        <v>2077.66</v>
      </c>
      <c r="G1155" s="427" t="s">
        <v>2028</v>
      </c>
      <c r="H1155" s="415" t="s">
        <v>310</v>
      </c>
      <c r="I1155" s="473" t="s">
        <v>954</v>
      </c>
      <c r="J1155" s="415" t="s">
        <v>955</v>
      </c>
      <c r="K1155" s="415" t="s">
        <v>830</v>
      </c>
      <c r="L1155" s="415" t="s">
        <v>909</v>
      </c>
      <c r="M1155" s="415" t="s">
        <v>310</v>
      </c>
      <c r="N1155" s="414">
        <v>44624</v>
      </c>
      <c r="O1155" s="414" t="s">
        <v>400</v>
      </c>
      <c r="P1155" s="222">
        <f t="shared" si="76"/>
        <v>3</v>
      </c>
      <c r="Q1155" s="222">
        <f t="shared" si="77"/>
        <v>2</v>
      </c>
      <c r="R1155" s="532" t="str">
        <f t="shared" si="78"/>
        <v>Gastos_com_Pessoal</v>
      </c>
      <c r="S1155" s="467" t="s">
        <v>310</v>
      </c>
      <c r="T1155" s="467" t="s">
        <v>310</v>
      </c>
      <c r="U1155" s="496"/>
      <c r="V1155" s="496"/>
      <c r="W1155" s="496"/>
    </row>
    <row r="1156" spans="1:23" ht="36" x14ac:dyDescent="0.2">
      <c r="A1156" s="510">
        <f t="shared" si="79"/>
        <v>1153</v>
      </c>
      <c r="B1156" s="428">
        <v>44624</v>
      </c>
      <c r="C1156" s="431">
        <v>44593</v>
      </c>
      <c r="D1156" s="415" t="s">
        <v>182</v>
      </c>
      <c r="E1156" s="415" t="s">
        <v>1</v>
      </c>
      <c r="F1156" s="425">
        <v>2095.64</v>
      </c>
      <c r="G1156" s="427" t="s">
        <v>2038</v>
      </c>
      <c r="H1156" s="415" t="s">
        <v>310</v>
      </c>
      <c r="I1156" s="473" t="s">
        <v>969</v>
      </c>
      <c r="J1156" s="415" t="s">
        <v>970</v>
      </c>
      <c r="K1156" s="415" t="s">
        <v>830</v>
      </c>
      <c r="L1156" s="415" t="s">
        <v>909</v>
      </c>
      <c r="M1156" s="415" t="s">
        <v>310</v>
      </c>
      <c r="N1156" s="414">
        <v>44624</v>
      </c>
      <c r="O1156" s="414" t="s">
        <v>400</v>
      </c>
      <c r="P1156" s="222">
        <f t="shared" si="76"/>
        <v>3</v>
      </c>
      <c r="Q1156" s="222">
        <f t="shared" si="77"/>
        <v>2</v>
      </c>
      <c r="R1156" s="532" t="str">
        <f t="shared" si="78"/>
        <v>Gastos_com_Pessoal</v>
      </c>
      <c r="S1156" s="467" t="s">
        <v>310</v>
      </c>
      <c r="T1156" s="467" t="s">
        <v>310</v>
      </c>
      <c r="U1156" s="496"/>
      <c r="V1156" s="496"/>
      <c r="W1156" s="496"/>
    </row>
    <row r="1157" spans="1:23" ht="36" x14ac:dyDescent="0.2">
      <c r="A1157" s="510">
        <f t="shared" si="79"/>
        <v>1154</v>
      </c>
      <c r="B1157" s="428">
        <v>44624</v>
      </c>
      <c r="C1157" s="431">
        <v>44593</v>
      </c>
      <c r="D1157" s="415" t="s">
        <v>182</v>
      </c>
      <c r="E1157" s="415" t="s">
        <v>1</v>
      </c>
      <c r="F1157" s="425">
        <v>2095.64</v>
      </c>
      <c r="G1157" s="427" t="s">
        <v>2039</v>
      </c>
      <c r="H1157" s="415" t="s">
        <v>310</v>
      </c>
      <c r="I1157" s="473" t="s">
        <v>975</v>
      </c>
      <c r="J1157" s="415" t="s">
        <v>1565</v>
      </c>
      <c r="K1157" s="415" t="s">
        <v>830</v>
      </c>
      <c r="L1157" s="415" t="s">
        <v>909</v>
      </c>
      <c r="M1157" s="415" t="s">
        <v>310</v>
      </c>
      <c r="N1157" s="414">
        <v>44624</v>
      </c>
      <c r="O1157" s="414" t="s">
        <v>400</v>
      </c>
      <c r="P1157" s="222">
        <f t="shared" si="76"/>
        <v>3</v>
      </c>
      <c r="Q1157" s="222">
        <f t="shared" si="77"/>
        <v>2</v>
      </c>
      <c r="R1157" s="532" t="str">
        <f t="shared" si="78"/>
        <v>Gastos_com_Pessoal</v>
      </c>
      <c r="S1157" s="467" t="s">
        <v>310</v>
      </c>
      <c r="T1157" s="467" t="s">
        <v>310</v>
      </c>
      <c r="U1157" s="496"/>
      <c r="V1157" s="496"/>
      <c r="W1157" s="496"/>
    </row>
    <row r="1158" spans="1:23" ht="36" x14ac:dyDescent="0.2">
      <c r="A1158" s="510">
        <f t="shared" si="79"/>
        <v>1155</v>
      </c>
      <c r="B1158" s="428">
        <v>44624</v>
      </c>
      <c r="C1158" s="431">
        <v>44593</v>
      </c>
      <c r="D1158" s="415" t="s">
        <v>182</v>
      </c>
      <c r="E1158" s="415" t="s">
        <v>1</v>
      </c>
      <c r="F1158" s="425">
        <v>1370.39</v>
      </c>
      <c r="G1158" s="427" t="s">
        <v>2031</v>
      </c>
      <c r="H1158" s="415" t="s">
        <v>310</v>
      </c>
      <c r="I1158" s="473" t="s">
        <v>828</v>
      </c>
      <c r="J1158" s="415" t="s">
        <v>829</v>
      </c>
      <c r="K1158" s="415" t="s">
        <v>830</v>
      </c>
      <c r="L1158" s="415" t="s">
        <v>909</v>
      </c>
      <c r="M1158" s="415" t="s">
        <v>310</v>
      </c>
      <c r="N1158" s="414">
        <v>44624</v>
      </c>
      <c r="O1158" s="414" t="s">
        <v>400</v>
      </c>
      <c r="P1158" s="222">
        <f t="shared" si="76"/>
        <v>3</v>
      </c>
      <c r="Q1158" s="222">
        <f t="shared" si="77"/>
        <v>2</v>
      </c>
      <c r="R1158" s="532" t="str">
        <f t="shared" si="78"/>
        <v>Gastos_com_Pessoal</v>
      </c>
      <c r="S1158" s="467" t="s">
        <v>310</v>
      </c>
      <c r="T1158" s="467" t="s">
        <v>310</v>
      </c>
      <c r="U1158" s="496"/>
      <c r="V1158" s="496"/>
      <c r="W1158" s="496"/>
    </row>
    <row r="1159" spans="1:23" ht="36" x14ac:dyDescent="0.2">
      <c r="A1159" s="510">
        <f t="shared" si="79"/>
        <v>1156</v>
      </c>
      <c r="B1159" s="428">
        <v>44624</v>
      </c>
      <c r="C1159" s="431">
        <v>44593</v>
      </c>
      <c r="D1159" s="415" t="s">
        <v>182</v>
      </c>
      <c r="E1159" s="415" t="s">
        <v>1</v>
      </c>
      <c r="F1159" s="425">
        <v>2095.64</v>
      </c>
      <c r="G1159" s="440" t="s">
        <v>2028</v>
      </c>
      <c r="H1159" s="415" t="s">
        <v>310</v>
      </c>
      <c r="I1159" s="473" t="s">
        <v>1177</v>
      </c>
      <c r="J1159" s="415" t="s">
        <v>1178</v>
      </c>
      <c r="K1159" s="415" t="s">
        <v>830</v>
      </c>
      <c r="L1159" s="415" t="s">
        <v>909</v>
      </c>
      <c r="M1159" s="415" t="s">
        <v>310</v>
      </c>
      <c r="N1159" s="414">
        <v>44624</v>
      </c>
      <c r="O1159" s="414" t="s">
        <v>400</v>
      </c>
      <c r="P1159" s="222">
        <f t="shared" si="76"/>
        <v>3</v>
      </c>
      <c r="Q1159" s="222">
        <f t="shared" si="77"/>
        <v>2</v>
      </c>
      <c r="R1159" s="532" t="str">
        <f t="shared" si="78"/>
        <v>Gastos_com_Pessoal</v>
      </c>
      <c r="S1159" s="467" t="s">
        <v>310</v>
      </c>
      <c r="T1159" s="467" t="s">
        <v>310</v>
      </c>
      <c r="U1159" s="496"/>
      <c r="V1159" s="496"/>
      <c r="W1159" s="496"/>
    </row>
    <row r="1160" spans="1:23" ht="36" x14ac:dyDescent="0.2">
      <c r="A1160" s="510">
        <f t="shared" si="79"/>
        <v>1157</v>
      </c>
      <c r="B1160" s="428">
        <v>44624</v>
      </c>
      <c r="C1160" s="431">
        <v>44593</v>
      </c>
      <c r="D1160" s="415" t="s">
        <v>182</v>
      </c>
      <c r="E1160" s="415" t="s">
        <v>1</v>
      </c>
      <c r="F1160" s="425">
        <v>2111.1799999999998</v>
      </c>
      <c r="G1160" s="427" t="s">
        <v>2032</v>
      </c>
      <c r="H1160" s="415" t="s">
        <v>310</v>
      </c>
      <c r="I1160" s="473" t="s">
        <v>994</v>
      </c>
      <c r="J1160" s="415" t="s">
        <v>995</v>
      </c>
      <c r="K1160" s="415" t="s">
        <v>830</v>
      </c>
      <c r="L1160" s="415" t="s">
        <v>909</v>
      </c>
      <c r="M1160" s="415" t="s">
        <v>310</v>
      </c>
      <c r="N1160" s="414">
        <v>44624</v>
      </c>
      <c r="O1160" s="414" t="s">
        <v>400</v>
      </c>
      <c r="P1160" s="222">
        <f t="shared" si="76"/>
        <v>3</v>
      </c>
      <c r="Q1160" s="222">
        <f t="shared" si="77"/>
        <v>2</v>
      </c>
      <c r="R1160" s="532" t="str">
        <f t="shared" si="78"/>
        <v>Gastos_com_Pessoal</v>
      </c>
      <c r="S1160" s="467" t="s">
        <v>310</v>
      </c>
      <c r="T1160" s="467" t="s">
        <v>310</v>
      </c>
      <c r="U1160" s="496"/>
      <c r="V1160" s="496"/>
      <c r="W1160" s="496"/>
    </row>
    <row r="1161" spans="1:23" ht="36" x14ac:dyDescent="0.2">
      <c r="A1161" s="510">
        <f t="shared" si="79"/>
        <v>1158</v>
      </c>
      <c r="B1161" s="428">
        <v>44624</v>
      </c>
      <c r="C1161" s="431">
        <v>44593</v>
      </c>
      <c r="D1161" s="415" t="s">
        <v>182</v>
      </c>
      <c r="E1161" s="415" t="s">
        <v>1</v>
      </c>
      <c r="F1161" s="425">
        <v>2646.11</v>
      </c>
      <c r="G1161" s="440" t="s">
        <v>2037</v>
      </c>
      <c r="H1161" s="415" t="s">
        <v>310</v>
      </c>
      <c r="I1161" s="473" t="s">
        <v>1186</v>
      </c>
      <c r="J1161" s="415" t="s">
        <v>1187</v>
      </c>
      <c r="K1161" s="415" t="s">
        <v>830</v>
      </c>
      <c r="L1161" s="415" t="s">
        <v>909</v>
      </c>
      <c r="M1161" s="415" t="s">
        <v>310</v>
      </c>
      <c r="N1161" s="414">
        <v>44624</v>
      </c>
      <c r="O1161" s="414" t="s">
        <v>400</v>
      </c>
      <c r="P1161" s="222">
        <f t="shared" si="76"/>
        <v>3</v>
      </c>
      <c r="Q1161" s="222">
        <f t="shared" si="77"/>
        <v>2</v>
      </c>
      <c r="R1161" s="532" t="str">
        <f t="shared" si="78"/>
        <v>Gastos_com_Pessoal</v>
      </c>
      <c r="S1161" s="467" t="s">
        <v>310</v>
      </c>
      <c r="T1161" s="467" t="s">
        <v>310</v>
      </c>
      <c r="U1161" s="496"/>
      <c r="V1161" s="496"/>
      <c r="W1161" s="496"/>
    </row>
    <row r="1162" spans="1:23" ht="36" x14ac:dyDescent="0.2">
      <c r="A1162" s="510">
        <f t="shared" si="79"/>
        <v>1159</v>
      </c>
      <c r="B1162" s="428">
        <v>44624</v>
      </c>
      <c r="C1162" s="431">
        <v>44593</v>
      </c>
      <c r="D1162" s="415" t="s">
        <v>182</v>
      </c>
      <c r="E1162" s="415" t="s">
        <v>1</v>
      </c>
      <c r="F1162" s="425">
        <v>2002.11</v>
      </c>
      <c r="G1162" s="440" t="s">
        <v>2032</v>
      </c>
      <c r="H1162" s="415" t="s">
        <v>310</v>
      </c>
      <c r="I1162" s="474" t="s">
        <v>1167</v>
      </c>
      <c r="J1162" s="434" t="s">
        <v>1168</v>
      </c>
      <c r="K1162" s="415" t="s">
        <v>830</v>
      </c>
      <c r="L1162" s="415" t="s">
        <v>909</v>
      </c>
      <c r="M1162" s="415" t="s">
        <v>310</v>
      </c>
      <c r="N1162" s="414">
        <v>44624</v>
      </c>
      <c r="O1162" s="414" t="s">
        <v>400</v>
      </c>
      <c r="P1162" s="222">
        <f t="shared" si="76"/>
        <v>3</v>
      </c>
      <c r="Q1162" s="222">
        <f t="shared" si="77"/>
        <v>2</v>
      </c>
      <c r="R1162" s="532" t="str">
        <f t="shared" si="78"/>
        <v>Gastos_com_Pessoal</v>
      </c>
      <c r="S1162" s="467" t="s">
        <v>310</v>
      </c>
      <c r="T1162" s="467" t="s">
        <v>310</v>
      </c>
      <c r="U1162" s="496"/>
      <c r="V1162" s="496"/>
      <c r="W1162" s="496"/>
    </row>
    <row r="1163" spans="1:23" ht="36" x14ac:dyDescent="0.2">
      <c r="A1163" s="510">
        <f t="shared" si="79"/>
        <v>1160</v>
      </c>
      <c r="B1163" s="428">
        <v>44624</v>
      </c>
      <c r="C1163" s="431">
        <v>44593</v>
      </c>
      <c r="D1163" s="415" t="s">
        <v>182</v>
      </c>
      <c r="E1163" s="415" t="s">
        <v>1</v>
      </c>
      <c r="F1163" s="425">
        <v>2077.66</v>
      </c>
      <c r="G1163" s="440" t="s">
        <v>2028</v>
      </c>
      <c r="H1163" s="415" t="s">
        <v>310</v>
      </c>
      <c r="I1163" s="473" t="s">
        <v>1171</v>
      </c>
      <c r="J1163" s="415" t="s">
        <v>1172</v>
      </c>
      <c r="K1163" s="415" t="s">
        <v>830</v>
      </c>
      <c r="L1163" s="415" t="s">
        <v>909</v>
      </c>
      <c r="M1163" s="415" t="s">
        <v>310</v>
      </c>
      <c r="N1163" s="414">
        <v>44624</v>
      </c>
      <c r="O1163" s="414" t="s">
        <v>400</v>
      </c>
      <c r="P1163" s="222">
        <f t="shared" si="76"/>
        <v>3</v>
      </c>
      <c r="Q1163" s="222">
        <f t="shared" si="77"/>
        <v>2</v>
      </c>
      <c r="R1163" s="532" t="str">
        <f t="shared" si="78"/>
        <v>Gastos_com_Pessoal</v>
      </c>
      <c r="S1163" s="467" t="s">
        <v>310</v>
      </c>
      <c r="T1163" s="467" t="s">
        <v>310</v>
      </c>
      <c r="U1163" s="496"/>
      <c r="V1163" s="496"/>
      <c r="W1163" s="496"/>
    </row>
    <row r="1164" spans="1:23" ht="36" x14ac:dyDescent="0.2">
      <c r="A1164" s="510">
        <f t="shared" si="79"/>
        <v>1161</v>
      </c>
      <c r="B1164" s="428">
        <v>44624</v>
      </c>
      <c r="C1164" s="431">
        <v>44593</v>
      </c>
      <c r="D1164" s="415" t="s">
        <v>182</v>
      </c>
      <c r="E1164" s="415" t="s">
        <v>1</v>
      </c>
      <c r="F1164" s="425">
        <v>1044.1099999999999</v>
      </c>
      <c r="G1164" s="440" t="s">
        <v>2040</v>
      </c>
      <c r="H1164" s="415" t="s">
        <v>310</v>
      </c>
      <c r="I1164" s="473" t="s">
        <v>1194</v>
      </c>
      <c r="J1164" s="415" t="s">
        <v>1195</v>
      </c>
      <c r="K1164" s="415" t="s">
        <v>830</v>
      </c>
      <c r="L1164" s="415" t="s">
        <v>909</v>
      </c>
      <c r="M1164" s="415" t="s">
        <v>310</v>
      </c>
      <c r="N1164" s="414">
        <v>44624</v>
      </c>
      <c r="O1164" s="414" t="s">
        <v>400</v>
      </c>
      <c r="P1164" s="222">
        <f t="shared" si="76"/>
        <v>3</v>
      </c>
      <c r="Q1164" s="222">
        <f t="shared" si="77"/>
        <v>2</v>
      </c>
      <c r="R1164" s="532" t="str">
        <f t="shared" si="78"/>
        <v>Gastos_com_Pessoal</v>
      </c>
      <c r="S1164" s="467" t="s">
        <v>310</v>
      </c>
      <c r="T1164" s="467" t="s">
        <v>310</v>
      </c>
      <c r="U1164" s="496"/>
      <c r="V1164" s="496"/>
      <c r="W1164" s="496"/>
    </row>
    <row r="1165" spans="1:23" s="309" customFormat="1" ht="36" x14ac:dyDescent="0.2">
      <c r="A1165" s="510">
        <f t="shared" si="79"/>
        <v>1162</v>
      </c>
      <c r="B1165" s="428">
        <v>44624</v>
      </c>
      <c r="C1165" s="431">
        <v>44593</v>
      </c>
      <c r="D1165" s="415" t="s">
        <v>182</v>
      </c>
      <c r="E1165" s="415" t="s">
        <v>1</v>
      </c>
      <c r="F1165" s="435">
        <v>2664.75</v>
      </c>
      <c r="G1165" s="427" t="s">
        <v>2041</v>
      </c>
      <c r="H1165" s="434" t="s">
        <v>310</v>
      </c>
      <c r="I1165" s="473" t="s">
        <v>957</v>
      </c>
      <c r="J1165" s="415" t="s">
        <v>958</v>
      </c>
      <c r="K1165" s="415" t="s">
        <v>830</v>
      </c>
      <c r="L1165" s="415" t="s">
        <v>909</v>
      </c>
      <c r="M1165" s="415" t="s">
        <v>310</v>
      </c>
      <c r="N1165" s="414">
        <v>44624</v>
      </c>
      <c r="O1165" s="414" t="s">
        <v>400</v>
      </c>
      <c r="P1165" s="222">
        <f t="shared" si="76"/>
        <v>3</v>
      </c>
      <c r="Q1165" s="222">
        <f t="shared" si="77"/>
        <v>2</v>
      </c>
      <c r="R1165" s="532" t="str">
        <f t="shared" si="78"/>
        <v>Gastos_com_Pessoal</v>
      </c>
      <c r="S1165" s="467" t="s">
        <v>310</v>
      </c>
      <c r="T1165" s="467" t="s">
        <v>310</v>
      </c>
      <c r="U1165" s="496"/>
      <c r="V1165" s="496"/>
      <c r="W1165" s="496"/>
    </row>
    <row r="1166" spans="1:23" ht="36" x14ac:dyDescent="0.2">
      <c r="A1166" s="510">
        <f t="shared" si="79"/>
        <v>1163</v>
      </c>
      <c r="B1166" s="428">
        <v>44624</v>
      </c>
      <c r="C1166" s="431">
        <v>44593</v>
      </c>
      <c r="D1166" s="415" t="s">
        <v>182</v>
      </c>
      <c r="E1166" s="415" t="s">
        <v>1</v>
      </c>
      <c r="F1166" s="425">
        <v>2261.98</v>
      </c>
      <c r="G1166" s="427" t="s">
        <v>2063</v>
      </c>
      <c r="H1166" s="415" t="s">
        <v>310</v>
      </c>
      <c r="I1166" s="473" t="s">
        <v>972</v>
      </c>
      <c r="J1166" s="415" t="s">
        <v>973</v>
      </c>
      <c r="K1166" s="415" t="s">
        <v>830</v>
      </c>
      <c r="L1166" s="415" t="s">
        <v>909</v>
      </c>
      <c r="M1166" s="415" t="s">
        <v>310</v>
      </c>
      <c r="N1166" s="414">
        <v>44624</v>
      </c>
      <c r="O1166" s="414" t="s">
        <v>400</v>
      </c>
      <c r="P1166" s="222">
        <f t="shared" si="76"/>
        <v>3</v>
      </c>
      <c r="Q1166" s="222">
        <f t="shared" si="77"/>
        <v>2</v>
      </c>
      <c r="R1166" s="532" t="str">
        <f t="shared" si="78"/>
        <v>Gastos_com_Pessoal</v>
      </c>
      <c r="S1166" s="467" t="s">
        <v>310</v>
      </c>
      <c r="T1166" s="467" t="s">
        <v>310</v>
      </c>
      <c r="U1166" s="496"/>
      <c r="V1166" s="496"/>
      <c r="W1166" s="496"/>
    </row>
    <row r="1167" spans="1:23" s="309" customFormat="1" ht="36" x14ac:dyDescent="0.2">
      <c r="A1167" s="510">
        <f t="shared" si="79"/>
        <v>1164</v>
      </c>
      <c r="B1167" s="428">
        <v>44624</v>
      </c>
      <c r="C1167" s="431">
        <v>44593</v>
      </c>
      <c r="D1167" s="415" t="s">
        <v>182</v>
      </c>
      <c r="E1167" s="415" t="s">
        <v>1</v>
      </c>
      <c r="F1167" s="425">
        <v>2820.44</v>
      </c>
      <c r="G1167" s="427" t="s">
        <v>2041</v>
      </c>
      <c r="H1167" s="415" t="s">
        <v>310</v>
      </c>
      <c r="I1167" s="473" t="s">
        <v>959</v>
      </c>
      <c r="J1167" s="415" t="s">
        <v>960</v>
      </c>
      <c r="K1167" s="415" t="s">
        <v>830</v>
      </c>
      <c r="L1167" s="415" t="s">
        <v>909</v>
      </c>
      <c r="M1167" s="415" t="s">
        <v>310</v>
      </c>
      <c r="N1167" s="414">
        <v>44624</v>
      </c>
      <c r="O1167" s="414" t="s">
        <v>400</v>
      </c>
      <c r="P1167" s="222">
        <f t="shared" si="76"/>
        <v>3</v>
      </c>
      <c r="Q1167" s="222">
        <f t="shared" si="77"/>
        <v>2</v>
      </c>
      <c r="R1167" s="532" t="str">
        <f t="shared" si="78"/>
        <v>Gastos_com_Pessoal</v>
      </c>
      <c r="S1167" s="467" t="s">
        <v>310</v>
      </c>
      <c r="T1167" s="467" t="s">
        <v>310</v>
      </c>
      <c r="U1167" s="496"/>
      <c r="V1167" s="496"/>
      <c r="W1167" s="496"/>
    </row>
    <row r="1168" spans="1:23" ht="36" x14ac:dyDescent="0.2">
      <c r="A1168" s="510">
        <f t="shared" si="79"/>
        <v>1165</v>
      </c>
      <c r="B1168" s="428">
        <v>44624</v>
      </c>
      <c r="C1168" s="431">
        <v>44593</v>
      </c>
      <c r="D1168" s="415" t="s">
        <v>182</v>
      </c>
      <c r="E1168" s="415" t="s">
        <v>1</v>
      </c>
      <c r="F1168" s="425">
        <v>1656.18</v>
      </c>
      <c r="G1168" s="440" t="s">
        <v>2042</v>
      </c>
      <c r="H1168" s="415" t="s">
        <v>310</v>
      </c>
      <c r="I1168" s="473" t="s">
        <v>1196</v>
      </c>
      <c r="J1168" s="415" t="s">
        <v>1197</v>
      </c>
      <c r="K1168" s="415" t="s">
        <v>830</v>
      </c>
      <c r="L1168" s="415" t="s">
        <v>909</v>
      </c>
      <c r="M1168" s="415" t="s">
        <v>310</v>
      </c>
      <c r="N1168" s="414">
        <v>44624</v>
      </c>
      <c r="O1168" s="414" t="s">
        <v>400</v>
      </c>
      <c r="P1168" s="222">
        <f t="shared" si="76"/>
        <v>3</v>
      </c>
      <c r="Q1168" s="222">
        <f t="shared" si="77"/>
        <v>2</v>
      </c>
      <c r="R1168" s="532" t="str">
        <f t="shared" si="78"/>
        <v>Gastos_com_Pessoal</v>
      </c>
      <c r="S1168" s="467" t="s">
        <v>310</v>
      </c>
      <c r="T1168" s="467" t="s">
        <v>310</v>
      </c>
      <c r="U1168" s="496"/>
      <c r="V1168" s="496"/>
      <c r="W1168" s="496"/>
    </row>
    <row r="1169" spans="1:23" ht="36" x14ac:dyDescent="0.2">
      <c r="A1169" s="510">
        <f t="shared" si="79"/>
        <v>1166</v>
      </c>
      <c r="B1169" s="428">
        <v>44624</v>
      </c>
      <c r="C1169" s="431">
        <v>44593</v>
      </c>
      <c r="D1169" s="415" t="s">
        <v>182</v>
      </c>
      <c r="E1169" s="415" t="s">
        <v>1</v>
      </c>
      <c r="F1169" s="425">
        <v>2095.64</v>
      </c>
      <c r="G1169" s="427" t="s">
        <v>2028</v>
      </c>
      <c r="H1169" s="415" t="s">
        <v>310</v>
      </c>
      <c r="I1169" s="473" t="s">
        <v>992</v>
      </c>
      <c r="J1169" s="415" t="s">
        <v>993</v>
      </c>
      <c r="K1169" s="415" t="s">
        <v>830</v>
      </c>
      <c r="L1169" s="415" t="s">
        <v>909</v>
      </c>
      <c r="M1169" s="415" t="s">
        <v>310</v>
      </c>
      <c r="N1169" s="414">
        <v>44624</v>
      </c>
      <c r="O1169" s="414" t="s">
        <v>400</v>
      </c>
      <c r="P1169" s="222">
        <f t="shared" si="76"/>
        <v>3</v>
      </c>
      <c r="Q1169" s="222">
        <f t="shared" si="77"/>
        <v>2</v>
      </c>
      <c r="R1169" s="532" t="str">
        <f t="shared" si="78"/>
        <v>Gastos_com_Pessoal</v>
      </c>
      <c r="S1169" s="467" t="s">
        <v>310</v>
      </c>
      <c r="T1169" s="467" t="s">
        <v>310</v>
      </c>
      <c r="U1169" s="496"/>
      <c r="V1169" s="496"/>
      <c r="W1169" s="496"/>
    </row>
    <row r="1170" spans="1:23" ht="36" x14ac:dyDescent="0.2">
      <c r="A1170" s="510">
        <f t="shared" si="79"/>
        <v>1167</v>
      </c>
      <c r="B1170" s="428">
        <v>44624</v>
      </c>
      <c r="C1170" s="431">
        <v>44593</v>
      </c>
      <c r="D1170" s="415" t="s">
        <v>182</v>
      </c>
      <c r="E1170" s="415" t="s">
        <v>1</v>
      </c>
      <c r="F1170" s="425">
        <v>2684.58</v>
      </c>
      <c r="G1170" s="440" t="s">
        <v>2037</v>
      </c>
      <c r="H1170" s="415" t="s">
        <v>310</v>
      </c>
      <c r="I1170" s="473" t="s">
        <v>1188</v>
      </c>
      <c r="J1170" s="415" t="s">
        <v>1189</v>
      </c>
      <c r="K1170" s="415" t="s">
        <v>830</v>
      </c>
      <c r="L1170" s="415" t="s">
        <v>909</v>
      </c>
      <c r="M1170" s="415" t="s">
        <v>310</v>
      </c>
      <c r="N1170" s="414">
        <v>44624</v>
      </c>
      <c r="O1170" s="414" t="s">
        <v>400</v>
      </c>
      <c r="P1170" s="222">
        <f t="shared" si="76"/>
        <v>3</v>
      </c>
      <c r="Q1170" s="222">
        <f t="shared" si="77"/>
        <v>2</v>
      </c>
      <c r="R1170" s="532" t="str">
        <f t="shared" si="78"/>
        <v>Gastos_com_Pessoal</v>
      </c>
      <c r="S1170" s="467" t="s">
        <v>310</v>
      </c>
      <c r="T1170" s="467" t="s">
        <v>310</v>
      </c>
      <c r="U1170" s="496"/>
      <c r="V1170" s="496"/>
      <c r="W1170" s="496"/>
    </row>
    <row r="1171" spans="1:23" ht="36" x14ac:dyDescent="0.2">
      <c r="A1171" s="510">
        <f t="shared" si="79"/>
        <v>1168</v>
      </c>
      <c r="B1171" s="428">
        <v>44624</v>
      </c>
      <c r="C1171" s="431">
        <v>44593</v>
      </c>
      <c r="D1171" s="415" t="s">
        <v>182</v>
      </c>
      <c r="E1171" s="415" t="s">
        <v>1</v>
      </c>
      <c r="F1171" s="425">
        <v>2095.64</v>
      </c>
      <c r="G1171" s="440" t="s">
        <v>2043</v>
      </c>
      <c r="H1171" s="415" t="s">
        <v>310</v>
      </c>
      <c r="I1171" s="473" t="s">
        <v>1182</v>
      </c>
      <c r="J1171" s="415" t="s">
        <v>1183</v>
      </c>
      <c r="K1171" s="415" t="s">
        <v>830</v>
      </c>
      <c r="L1171" s="415" t="s">
        <v>909</v>
      </c>
      <c r="M1171" s="415" t="s">
        <v>310</v>
      </c>
      <c r="N1171" s="414">
        <v>44624</v>
      </c>
      <c r="O1171" s="414" t="s">
        <v>400</v>
      </c>
      <c r="P1171" s="222">
        <f t="shared" si="76"/>
        <v>3</v>
      </c>
      <c r="Q1171" s="222">
        <f t="shared" si="77"/>
        <v>2</v>
      </c>
      <c r="R1171" s="532" t="str">
        <f t="shared" si="78"/>
        <v>Gastos_com_Pessoal</v>
      </c>
      <c r="S1171" s="467" t="s">
        <v>310</v>
      </c>
      <c r="T1171" s="467" t="s">
        <v>310</v>
      </c>
      <c r="U1171" s="496"/>
      <c r="V1171" s="496"/>
      <c r="W1171" s="496"/>
    </row>
    <row r="1172" spans="1:23" ht="36" x14ac:dyDescent="0.2">
      <c r="A1172" s="510">
        <f t="shared" si="79"/>
        <v>1169</v>
      </c>
      <c r="B1172" s="428">
        <v>44624</v>
      </c>
      <c r="C1172" s="431">
        <v>44593</v>
      </c>
      <c r="D1172" s="415" t="s">
        <v>182</v>
      </c>
      <c r="E1172" s="415" t="s">
        <v>1</v>
      </c>
      <c r="F1172" s="435">
        <v>1904.49</v>
      </c>
      <c r="G1172" s="440" t="s">
        <v>2028</v>
      </c>
      <c r="H1172" s="415" t="s">
        <v>310</v>
      </c>
      <c r="I1172" s="473" t="s">
        <v>1173</v>
      </c>
      <c r="J1172" s="415" t="s">
        <v>1174</v>
      </c>
      <c r="K1172" s="415" t="s">
        <v>830</v>
      </c>
      <c r="L1172" s="415" t="s">
        <v>909</v>
      </c>
      <c r="M1172" s="415" t="s">
        <v>310</v>
      </c>
      <c r="N1172" s="414">
        <v>44624</v>
      </c>
      <c r="O1172" s="414" t="s">
        <v>400</v>
      </c>
      <c r="P1172" s="222">
        <f t="shared" si="76"/>
        <v>3</v>
      </c>
      <c r="Q1172" s="222">
        <f t="shared" si="77"/>
        <v>2</v>
      </c>
      <c r="R1172" s="532" t="str">
        <f t="shared" si="78"/>
        <v>Gastos_com_Pessoal</v>
      </c>
      <c r="S1172" s="467" t="s">
        <v>310</v>
      </c>
      <c r="T1172" s="467" t="s">
        <v>310</v>
      </c>
      <c r="U1172" s="496"/>
      <c r="V1172" s="496"/>
      <c r="W1172" s="496"/>
    </row>
    <row r="1173" spans="1:23" ht="36" x14ac:dyDescent="0.2">
      <c r="A1173" s="510">
        <f t="shared" si="79"/>
        <v>1170</v>
      </c>
      <c r="B1173" s="428">
        <v>44624</v>
      </c>
      <c r="C1173" s="431">
        <v>44593</v>
      </c>
      <c r="D1173" s="415" t="s">
        <v>182</v>
      </c>
      <c r="E1173" s="415" t="s">
        <v>1</v>
      </c>
      <c r="F1173" s="425">
        <v>1939.66</v>
      </c>
      <c r="G1173" s="427" t="s">
        <v>2044</v>
      </c>
      <c r="H1173" s="415" t="s">
        <v>310</v>
      </c>
      <c r="I1173" s="473" t="s">
        <v>982</v>
      </c>
      <c r="J1173" s="415" t="s">
        <v>983</v>
      </c>
      <c r="K1173" s="415" t="s">
        <v>830</v>
      </c>
      <c r="L1173" s="415" t="s">
        <v>909</v>
      </c>
      <c r="M1173" s="415" t="s">
        <v>310</v>
      </c>
      <c r="N1173" s="414">
        <v>44624</v>
      </c>
      <c r="O1173" s="414" t="s">
        <v>400</v>
      </c>
      <c r="P1173" s="222">
        <f t="shared" si="76"/>
        <v>3</v>
      </c>
      <c r="Q1173" s="222">
        <f t="shared" si="77"/>
        <v>2</v>
      </c>
      <c r="R1173" s="532" t="str">
        <f t="shared" si="78"/>
        <v>Gastos_com_Pessoal</v>
      </c>
      <c r="S1173" s="467" t="s">
        <v>310</v>
      </c>
      <c r="T1173" s="467" t="s">
        <v>310</v>
      </c>
      <c r="U1173" s="496"/>
      <c r="V1173" s="496"/>
      <c r="W1173" s="496"/>
    </row>
    <row r="1174" spans="1:23" ht="36" x14ac:dyDescent="0.2">
      <c r="A1174" s="510">
        <f t="shared" si="79"/>
        <v>1171</v>
      </c>
      <c r="B1174" s="428">
        <v>44624</v>
      </c>
      <c r="C1174" s="431">
        <v>44593</v>
      </c>
      <c r="D1174" s="415" t="s">
        <v>182</v>
      </c>
      <c r="E1174" s="415" t="s">
        <v>1</v>
      </c>
      <c r="F1174" s="425">
        <v>1908.59</v>
      </c>
      <c r="G1174" s="440" t="s">
        <v>2028</v>
      </c>
      <c r="H1174" s="415" t="s">
        <v>310</v>
      </c>
      <c r="I1174" s="473" t="s">
        <v>1175</v>
      </c>
      <c r="J1174" s="415" t="s">
        <v>1176</v>
      </c>
      <c r="K1174" s="415" t="s">
        <v>830</v>
      </c>
      <c r="L1174" s="415" t="s">
        <v>909</v>
      </c>
      <c r="M1174" s="415" t="s">
        <v>310</v>
      </c>
      <c r="N1174" s="414">
        <v>44624</v>
      </c>
      <c r="O1174" s="414" t="s">
        <v>400</v>
      </c>
      <c r="P1174" s="222">
        <f t="shared" si="76"/>
        <v>3</v>
      </c>
      <c r="Q1174" s="222">
        <f t="shared" si="77"/>
        <v>2</v>
      </c>
      <c r="R1174" s="532" t="str">
        <f t="shared" si="78"/>
        <v>Gastos_com_Pessoal</v>
      </c>
      <c r="S1174" s="467" t="s">
        <v>310</v>
      </c>
      <c r="T1174" s="467" t="s">
        <v>310</v>
      </c>
      <c r="U1174" s="496"/>
      <c r="V1174" s="496"/>
      <c r="W1174" s="496"/>
    </row>
    <row r="1175" spans="1:23" ht="36" x14ac:dyDescent="0.2">
      <c r="A1175" s="510">
        <f t="shared" si="79"/>
        <v>1172</v>
      </c>
      <c r="B1175" s="428">
        <v>44624</v>
      </c>
      <c r="C1175" s="431">
        <v>44593</v>
      </c>
      <c r="D1175" s="415" t="s">
        <v>182</v>
      </c>
      <c r="E1175" s="415" t="s">
        <v>1</v>
      </c>
      <c r="F1175" s="425">
        <v>2851.51</v>
      </c>
      <c r="G1175" s="427" t="s">
        <v>2037</v>
      </c>
      <c r="H1175" s="415" t="s">
        <v>310</v>
      </c>
      <c r="I1175" s="473" t="s">
        <v>977</v>
      </c>
      <c r="J1175" s="415" t="s">
        <v>978</v>
      </c>
      <c r="K1175" s="415" t="s">
        <v>830</v>
      </c>
      <c r="L1175" s="415" t="s">
        <v>909</v>
      </c>
      <c r="M1175" s="415" t="s">
        <v>310</v>
      </c>
      <c r="N1175" s="414">
        <v>44624</v>
      </c>
      <c r="O1175" s="414" t="s">
        <v>400</v>
      </c>
      <c r="P1175" s="222">
        <f t="shared" ref="P1175:P1238" si="80">IF(B1175=0,0,IF(YEAR(B1175)=$Q$1,MONTH(B1175)-$P$1+1,(YEAR(B1175)-$Q$1)*12-$P$1+1+MONTH(B1175)))</f>
        <v>3</v>
      </c>
      <c r="Q1175" s="222">
        <f t="shared" ref="Q1175:Q1238" si="81">IF(C1175=0,0,IF(YEAR(C1175)=$Q$1,MONTH(C1175)-$P$1+1,(YEAR(C1175)-$Q$1)*12-$P$1+1+MONTH(C1175)))</f>
        <v>2</v>
      </c>
      <c r="R1175" s="532" t="str">
        <f t="shared" ref="R1175:R1238" si="82">SUBSTITUTE(D1175," ","_")</f>
        <v>Gastos_com_Pessoal</v>
      </c>
      <c r="S1175" s="467" t="s">
        <v>310</v>
      </c>
      <c r="T1175" s="467" t="s">
        <v>310</v>
      </c>
      <c r="U1175" s="496"/>
      <c r="V1175" s="496"/>
      <c r="W1175" s="496"/>
    </row>
    <row r="1176" spans="1:23" ht="36" x14ac:dyDescent="0.2">
      <c r="A1176" s="510">
        <f t="shared" si="79"/>
        <v>1173</v>
      </c>
      <c r="B1176" s="428">
        <v>44624</v>
      </c>
      <c r="C1176" s="431">
        <v>44593</v>
      </c>
      <c r="D1176" s="415" t="s">
        <v>182</v>
      </c>
      <c r="E1176" s="415" t="s">
        <v>1</v>
      </c>
      <c r="F1176" s="425">
        <v>2064.5700000000002</v>
      </c>
      <c r="G1176" s="440" t="s">
        <v>2028</v>
      </c>
      <c r="H1176" s="415" t="s">
        <v>310</v>
      </c>
      <c r="I1176" s="473" t="s">
        <v>1205</v>
      </c>
      <c r="J1176" s="415" t="s">
        <v>1583</v>
      </c>
      <c r="K1176" s="415" t="s">
        <v>830</v>
      </c>
      <c r="L1176" s="415" t="s">
        <v>909</v>
      </c>
      <c r="M1176" s="415" t="s">
        <v>310</v>
      </c>
      <c r="N1176" s="414">
        <v>44624</v>
      </c>
      <c r="O1176" s="414" t="s">
        <v>400</v>
      </c>
      <c r="P1176" s="222">
        <f t="shared" si="80"/>
        <v>3</v>
      </c>
      <c r="Q1176" s="222">
        <f t="shared" si="81"/>
        <v>2</v>
      </c>
      <c r="R1176" s="532" t="str">
        <f t="shared" si="82"/>
        <v>Gastos_com_Pessoal</v>
      </c>
      <c r="S1176" s="467" t="s">
        <v>310</v>
      </c>
      <c r="T1176" s="467" t="s">
        <v>310</v>
      </c>
      <c r="U1176" s="496"/>
      <c r="V1176" s="496"/>
      <c r="W1176" s="496"/>
    </row>
    <row r="1177" spans="1:23" ht="36" x14ac:dyDescent="0.2">
      <c r="A1177" s="510">
        <f t="shared" si="79"/>
        <v>1174</v>
      </c>
      <c r="B1177" s="428">
        <v>44624</v>
      </c>
      <c r="C1177" s="431">
        <v>44593</v>
      </c>
      <c r="D1177" s="415" t="s">
        <v>182</v>
      </c>
      <c r="E1177" s="415" t="s">
        <v>1</v>
      </c>
      <c r="F1177" s="425">
        <v>948.13</v>
      </c>
      <c r="G1177" s="440" t="s">
        <v>2045</v>
      </c>
      <c r="H1177" s="415" t="s">
        <v>310</v>
      </c>
      <c r="I1177" s="473" t="s">
        <v>1207</v>
      </c>
      <c r="J1177" s="415" t="s">
        <v>1584</v>
      </c>
      <c r="K1177" s="415" t="s">
        <v>830</v>
      </c>
      <c r="L1177" s="415" t="s">
        <v>909</v>
      </c>
      <c r="M1177" s="415" t="s">
        <v>310</v>
      </c>
      <c r="N1177" s="414">
        <v>44624</v>
      </c>
      <c r="O1177" s="414" t="s">
        <v>400</v>
      </c>
      <c r="P1177" s="222">
        <f t="shared" si="80"/>
        <v>3</v>
      </c>
      <c r="Q1177" s="222">
        <f t="shared" si="81"/>
        <v>2</v>
      </c>
      <c r="R1177" s="532" t="str">
        <f t="shared" si="82"/>
        <v>Gastos_com_Pessoal</v>
      </c>
      <c r="S1177" s="467" t="s">
        <v>310</v>
      </c>
      <c r="T1177" s="467" t="s">
        <v>310</v>
      </c>
      <c r="U1177" s="496"/>
      <c r="V1177" s="496"/>
      <c r="W1177" s="496"/>
    </row>
    <row r="1178" spans="1:23" ht="36" x14ac:dyDescent="0.2">
      <c r="A1178" s="510">
        <f t="shared" si="79"/>
        <v>1175</v>
      </c>
      <c r="B1178" s="428">
        <v>44624</v>
      </c>
      <c r="C1178" s="431">
        <v>44593</v>
      </c>
      <c r="D1178" s="415" t="s">
        <v>182</v>
      </c>
      <c r="E1178" s="415" t="s">
        <v>1</v>
      </c>
      <c r="F1178" s="425">
        <v>2077.66</v>
      </c>
      <c r="G1178" s="427" t="s">
        <v>2044</v>
      </c>
      <c r="H1178" s="415" t="s">
        <v>310</v>
      </c>
      <c r="I1178" s="473" t="s">
        <v>980</v>
      </c>
      <c r="J1178" s="415" t="s">
        <v>981</v>
      </c>
      <c r="K1178" s="415" t="s">
        <v>830</v>
      </c>
      <c r="L1178" s="415" t="s">
        <v>909</v>
      </c>
      <c r="M1178" s="415" t="s">
        <v>310</v>
      </c>
      <c r="N1178" s="414">
        <v>44624</v>
      </c>
      <c r="O1178" s="414" t="s">
        <v>400</v>
      </c>
      <c r="P1178" s="222">
        <f t="shared" si="80"/>
        <v>3</v>
      </c>
      <c r="Q1178" s="222">
        <f t="shared" si="81"/>
        <v>2</v>
      </c>
      <c r="R1178" s="532" t="str">
        <f t="shared" si="82"/>
        <v>Gastos_com_Pessoal</v>
      </c>
      <c r="S1178" s="467" t="s">
        <v>310</v>
      </c>
      <c r="T1178" s="467" t="s">
        <v>310</v>
      </c>
      <c r="U1178" s="496"/>
      <c r="V1178" s="496"/>
      <c r="W1178" s="496"/>
    </row>
    <row r="1179" spans="1:23" ht="36" x14ac:dyDescent="0.2">
      <c r="A1179" s="510">
        <f t="shared" si="79"/>
        <v>1176</v>
      </c>
      <c r="B1179" s="428">
        <v>44624</v>
      </c>
      <c r="C1179" s="431">
        <v>44593</v>
      </c>
      <c r="D1179" s="415" t="s">
        <v>182</v>
      </c>
      <c r="E1179" s="415" t="s">
        <v>1</v>
      </c>
      <c r="F1179" s="425">
        <v>10713.52</v>
      </c>
      <c r="G1179" s="427" t="s">
        <v>2046</v>
      </c>
      <c r="H1179" s="415" t="s">
        <v>310</v>
      </c>
      <c r="I1179" s="473" t="s">
        <v>952</v>
      </c>
      <c r="J1179" s="415" t="s">
        <v>953</v>
      </c>
      <c r="K1179" s="415" t="s">
        <v>830</v>
      </c>
      <c r="L1179" s="415" t="s">
        <v>909</v>
      </c>
      <c r="M1179" s="415" t="s">
        <v>310</v>
      </c>
      <c r="N1179" s="414">
        <v>44624</v>
      </c>
      <c r="O1179" s="414" t="s">
        <v>400</v>
      </c>
      <c r="P1179" s="222">
        <f t="shared" si="80"/>
        <v>3</v>
      </c>
      <c r="Q1179" s="222">
        <f t="shared" si="81"/>
        <v>2</v>
      </c>
      <c r="R1179" s="532" t="str">
        <f t="shared" si="82"/>
        <v>Gastos_com_Pessoal</v>
      </c>
      <c r="S1179" s="467" t="s">
        <v>310</v>
      </c>
      <c r="T1179" s="467" t="s">
        <v>310</v>
      </c>
      <c r="U1179" s="496"/>
      <c r="V1179" s="496"/>
      <c r="W1179" s="496"/>
    </row>
    <row r="1180" spans="1:23" ht="36" x14ac:dyDescent="0.2">
      <c r="A1180" s="510">
        <f t="shared" si="79"/>
        <v>1177</v>
      </c>
      <c r="B1180" s="428">
        <v>44624</v>
      </c>
      <c r="C1180" s="431">
        <v>44593</v>
      </c>
      <c r="D1180" s="415" t="s">
        <v>182</v>
      </c>
      <c r="E1180" s="415" t="s">
        <v>1</v>
      </c>
      <c r="F1180" s="425">
        <v>1851.74</v>
      </c>
      <c r="G1180" s="440" t="s">
        <v>2047</v>
      </c>
      <c r="H1180" s="415" t="s">
        <v>310</v>
      </c>
      <c r="I1180" s="473" t="s">
        <v>1169</v>
      </c>
      <c r="J1180" s="415" t="s">
        <v>1170</v>
      </c>
      <c r="K1180" s="415" t="s">
        <v>830</v>
      </c>
      <c r="L1180" s="415" t="s">
        <v>909</v>
      </c>
      <c r="M1180" s="415" t="s">
        <v>310</v>
      </c>
      <c r="N1180" s="414">
        <v>44624</v>
      </c>
      <c r="O1180" s="414" t="s">
        <v>400</v>
      </c>
      <c r="P1180" s="222">
        <f t="shared" si="80"/>
        <v>3</v>
      </c>
      <c r="Q1180" s="222">
        <f t="shared" si="81"/>
        <v>2</v>
      </c>
      <c r="R1180" s="532" t="str">
        <f t="shared" si="82"/>
        <v>Gastos_com_Pessoal</v>
      </c>
      <c r="S1180" s="467" t="s">
        <v>310</v>
      </c>
      <c r="T1180" s="467" t="s">
        <v>310</v>
      </c>
      <c r="U1180" s="496"/>
      <c r="V1180" s="496"/>
      <c r="W1180" s="496"/>
    </row>
    <row r="1181" spans="1:23" ht="36" x14ac:dyDescent="0.2">
      <c r="A1181" s="510">
        <f t="shared" si="79"/>
        <v>1178</v>
      </c>
      <c r="B1181" s="428">
        <v>44624</v>
      </c>
      <c r="C1181" s="431">
        <v>44593</v>
      </c>
      <c r="D1181" s="415" t="s">
        <v>182</v>
      </c>
      <c r="E1181" s="415" t="s">
        <v>1</v>
      </c>
      <c r="F1181" s="425">
        <v>2843.71</v>
      </c>
      <c r="G1181" s="440" t="s">
        <v>2048</v>
      </c>
      <c r="H1181" s="415" t="s">
        <v>310</v>
      </c>
      <c r="I1181" s="473" t="s">
        <v>1179</v>
      </c>
      <c r="J1181" s="415" t="s">
        <v>1180</v>
      </c>
      <c r="K1181" s="415" t="s">
        <v>830</v>
      </c>
      <c r="L1181" s="415" t="s">
        <v>909</v>
      </c>
      <c r="M1181" s="415" t="s">
        <v>310</v>
      </c>
      <c r="N1181" s="414">
        <v>44624</v>
      </c>
      <c r="O1181" s="414" t="s">
        <v>400</v>
      </c>
      <c r="P1181" s="222">
        <f t="shared" si="80"/>
        <v>3</v>
      </c>
      <c r="Q1181" s="222">
        <f t="shared" si="81"/>
        <v>2</v>
      </c>
      <c r="R1181" s="532" t="str">
        <f t="shared" si="82"/>
        <v>Gastos_com_Pessoal</v>
      </c>
      <c r="S1181" s="467" t="s">
        <v>310</v>
      </c>
      <c r="T1181" s="467" t="s">
        <v>310</v>
      </c>
      <c r="U1181" s="496"/>
      <c r="V1181" s="496"/>
      <c r="W1181" s="496"/>
    </row>
    <row r="1182" spans="1:23" ht="36" x14ac:dyDescent="0.2">
      <c r="A1182" s="510">
        <f t="shared" si="79"/>
        <v>1179</v>
      </c>
      <c r="B1182" s="428">
        <v>44624</v>
      </c>
      <c r="C1182" s="431">
        <v>44593</v>
      </c>
      <c r="D1182" s="415" t="s">
        <v>182</v>
      </c>
      <c r="E1182" s="415" t="s">
        <v>1</v>
      </c>
      <c r="F1182" s="425">
        <v>2077.66</v>
      </c>
      <c r="G1182" s="427" t="s">
        <v>2049</v>
      </c>
      <c r="H1182" s="415" t="s">
        <v>310</v>
      </c>
      <c r="I1182" s="473" t="s">
        <v>961</v>
      </c>
      <c r="J1182" s="415" t="s">
        <v>962</v>
      </c>
      <c r="K1182" s="415" t="s">
        <v>830</v>
      </c>
      <c r="L1182" s="415" t="s">
        <v>909</v>
      </c>
      <c r="M1182" s="415" t="s">
        <v>310</v>
      </c>
      <c r="N1182" s="414">
        <v>44624</v>
      </c>
      <c r="O1182" s="414" t="s">
        <v>400</v>
      </c>
      <c r="P1182" s="222">
        <f t="shared" si="80"/>
        <v>3</v>
      </c>
      <c r="Q1182" s="222">
        <f t="shared" si="81"/>
        <v>2</v>
      </c>
      <c r="R1182" s="532" t="str">
        <f t="shared" si="82"/>
        <v>Gastos_com_Pessoal</v>
      </c>
      <c r="S1182" s="467" t="s">
        <v>310</v>
      </c>
      <c r="T1182" s="467" t="s">
        <v>310</v>
      </c>
      <c r="U1182" s="496"/>
      <c r="V1182" s="496"/>
      <c r="W1182" s="496"/>
    </row>
    <row r="1183" spans="1:23" ht="36" x14ac:dyDescent="0.2">
      <c r="A1183" s="510">
        <f t="shared" si="79"/>
        <v>1180</v>
      </c>
      <c r="B1183" s="428">
        <v>44624</v>
      </c>
      <c r="C1183" s="431">
        <v>44593</v>
      </c>
      <c r="D1183" s="415" t="s">
        <v>182</v>
      </c>
      <c r="E1183" s="415" t="s">
        <v>1</v>
      </c>
      <c r="F1183" s="425">
        <v>2985.82</v>
      </c>
      <c r="G1183" s="427" t="s">
        <v>2050</v>
      </c>
      <c r="H1183" s="415" t="s">
        <v>310</v>
      </c>
      <c r="I1183" s="473" t="s">
        <v>966</v>
      </c>
      <c r="J1183" s="415" t="s">
        <v>967</v>
      </c>
      <c r="K1183" s="415" t="s">
        <v>830</v>
      </c>
      <c r="L1183" s="415" t="s">
        <v>909</v>
      </c>
      <c r="M1183" s="415" t="s">
        <v>310</v>
      </c>
      <c r="N1183" s="414">
        <v>44624</v>
      </c>
      <c r="O1183" s="414" t="s">
        <v>400</v>
      </c>
      <c r="P1183" s="222">
        <f t="shared" si="80"/>
        <v>3</v>
      </c>
      <c r="Q1183" s="222">
        <f t="shared" si="81"/>
        <v>2</v>
      </c>
      <c r="R1183" s="532" t="str">
        <f t="shared" si="82"/>
        <v>Gastos_com_Pessoal</v>
      </c>
      <c r="S1183" s="467" t="s">
        <v>310</v>
      </c>
      <c r="T1183" s="467" t="s">
        <v>310</v>
      </c>
      <c r="U1183" s="496"/>
      <c r="V1183" s="496"/>
      <c r="W1183" s="496"/>
    </row>
    <row r="1184" spans="1:23" ht="36" x14ac:dyDescent="0.2">
      <c r="A1184" s="510">
        <f t="shared" si="79"/>
        <v>1181</v>
      </c>
      <c r="B1184" s="428">
        <v>44624</v>
      </c>
      <c r="C1184" s="431">
        <v>44593</v>
      </c>
      <c r="D1184" s="415" t="s">
        <v>182</v>
      </c>
      <c r="E1184" s="415" t="s">
        <v>1</v>
      </c>
      <c r="F1184" s="425">
        <v>2215.66</v>
      </c>
      <c r="G1184" s="440" t="s">
        <v>2028</v>
      </c>
      <c r="H1184" s="415" t="s">
        <v>310</v>
      </c>
      <c r="I1184" s="398" t="s">
        <v>1190</v>
      </c>
      <c r="J1184" s="399" t="s">
        <v>1191</v>
      </c>
      <c r="K1184" s="415" t="s">
        <v>830</v>
      </c>
      <c r="L1184" s="399" t="s">
        <v>909</v>
      </c>
      <c r="M1184" s="415" t="s">
        <v>310</v>
      </c>
      <c r="N1184" s="414">
        <v>44624</v>
      </c>
      <c r="O1184" s="414" t="s">
        <v>400</v>
      </c>
      <c r="P1184" s="222">
        <f t="shared" si="80"/>
        <v>3</v>
      </c>
      <c r="Q1184" s="222">
        <f t="shared" si="81"/>
        <v>2</v>
      </c>
      <c r="R1184" s="532" t="str">
        <f t="shared" si="82"/>
        <v>Gastos_com_Pessoal</v>
      </c>
      <c r="S1184" s="467" t="s">
        <v>310</v>
      </c>
      <c r="T1184" s="467" t="s">
        <v>310</v>
      </c>
      <c r="U1184" s="496"/>
      <c r="V1184" s="496"/>
      <c r="W1184" s="496"/>
    </row>
    <row r="1185" spans="1:23" ht="36" x14ac:dyDescent="0.2">
      <c r="A1185" s="510">
        <f t="shared" si="79"/>
        <v>1182</v>
      </c>
      <c r="B1185" s="428">
        <v>44624</v>
      </c>
      <c r="C1185" s="431">
        <v>44593</v>
      </c>
      <c r="D1185" s="415" t="s">
        <v>182</v>
      </c>
      <c r="E1185" s="415" t="s">
        <v>1</v>
      </c>
      <c r="F1185" s="425">
        <v>447.02</v>
      </c>
      <c r="G1185" s="427" t="s">
        <v>2051</v>
      </c>
      <c r="H1185" s="415" t="s">
        <v>310</v>
      </c>
      <c r="I1185" s="473" t="s">
        <v>963</v>
      </c>
      <c r="J1185" s="415" t="s">
        <v>964</v>
      </c>
      <c r="K1185" s="415" t="s">
        <v>830</v>
      </c>
      <c r="L1185" s="415" t="s">
        <v>909</v>
      </c>
      <c r="M1185" s="415" t="s">
        <v>310</v>
      </c>
      <c r="N1185" s="414">
        <v>44624</v>
      </c>
      <c r="O1185" s="414" t="s">
        <v>400</v>
      </c>
      <c r="P1185" s="222">
        <f t="shared" si="80"/>
        <v>3</v>
      </c>
      <c r="Q1185" s="222">
        <f t="shared" si="81"/>
        <v>2</v>
      </c>
      <c r="R1185" s="532" t="str">
        <f t="shared" si="82"/>
        <v>Gastos_com_Pessoal</v>
      </c>
      <c r="S1185" s="467" t="s">
        <v>310</v>
      </c>
      <c r="T1185" s="467" t="s">
        <v>310</v>
      </c>
      <c r="U1185" s="496"/>
      <c r="V1185" s="496"/>
      <c r="W1185" s="496"/>
    </row>
    <row r="1186" spans="1:23" ht="36" x14ac:dyDescent="0.2">
      <c r="A1186" s="510">
        <f t="shared" si="79"/>
        <v>1183</v>
      </c>
      <c r="B1186" s="428">
        <v>44624</v>
      </c>
      <c r="C1186" s="431">
        <v>44593</v>
      </c>
      <c r="D1186" s="415" t="s">
        <v>182</v>
      </c>
      <c r="E1186" s="415" t="s">
        <v>1</v>
      </c>
      <c r="F1186" s="425">
        <v>2820.44</v>
      </c>
      <c r="G1186" s="440" t="s">
        <v>2052</v>
      </c>
      <c r="H1186" s="415" t="s">
        <v>310</v>
      </c>
      <c r="I1186" s="474" t="s">
        <v>1181</v>
      </c>
      <c r="J1186" s="434" t="s">
        <v>1574</v>
      </c>
      <c r="K1186" s="415" t="s">
        <v>830</v>
      </c>
      <c r="L1186" s="415" t="s">
        <v>909</v>
      </c>
      <c r="M1186" s="415" t="s">
        <v>310</v>
      </c>
      <c r="N1186" s="414">
        <v>44624</v>
      </c>
      <c r="O1186" s="414" t="s">
        <v>400</v>
      </c>
      <c r="P1186" s="222">
        <f t="shared" si="80"/>
        <v>3</v>
      </c>
      <c r="Q1186" s="222">
        <f t="shared" si="81"/>
        <v>2</v>
      </c>
      <c r="R1186" s="532" t="str">
        <f t="shared" si="82"/>
        <v>Gastos_com_Pessoal</v>
      </c>
      <c r="S1186" s="467" t="s">
        <v>310</v>
      </c>
      <c r="T1186" s="467" t="s">
        <v>310</v>
      </c>
      <c r="U1186" s="496"/>
      <c r="V1186" s="496"/>
      <c r="W1186" s="496"/>
    </row>
    <row r="1187" spans="1:23" ht="36" x14ac:dyDescent="0.2">
      <c r="A1187" s="510">
        <f t="shared" si="79"/>
        <v>1184</v>
      </c>
      <c r="B1187" s="428">
        <v>44624</v>
      </c>
      <c r="C1187" s="431">
        <v>44593</v>
      </c>
      <c r="D1187" s="415" t="s">
        <v>182</v>
      </c>
      <c r="E1187" s="415" t="s">
        <v>1</v>
      </c>
      <c r="F1187" s="425">
        <v>10690.45</v>
      </c>
      <c r="G1187" s="427" t="s">
        <v>2053</v>
      </c>
      <c r="H1187" s="415" t="s">
        <v>310</v>
      </c>
      <c r="I1187" s="473" t="s">
        <v>990</v>
      </c>
      <c r="J1187" s="415" t="s">
        <v>991</v>
      </c>
      <c r="K1187" s="415" t="s">
        <v>830</v>
      </c>
      <c r="L1187" s="415" t="s">
        <v>909</v>
      </c>
      <c r="M1187" s="415" t="s">
        <v>310</v>
      </c>
      <c r="N1187" s="414">
        <v>44624</v>
      </c>
      <c r="O1187" s="414" t="s">
        <v>400</v>
      </c>
      <c r="P1187" s="222">
        <f t="shared" si="80"/>
        <v>3</v>
      </c>
      <c r="Q1187" s="222">
        <f t="shared" si="81"/>
        <v>2</v>
      </c>
      <c r="R1187" s="532" t="str">
        <f t="shared" si="82"/>
        <v>Gastos_com_Pessoal</v>
      </c>
      <c r="S1187" s="467" t="s">
        <v>310</v>
      </c>
      <c r="T1187" s="467" t="s">
        <v>310</v>
      </c>
      <c r="U1187" s="496"/>
      <c r="V1187" s="496"/>
      <c r="W1187" s="496"/>
    </row>
    <row r="1188" spans="1:23" ht="36" x14ac:dyDescent="0.2">
      <c r="A1188" s="510">
        <f t="shared" si="79"/>
        <v>1185</v>
      </c>
      <c r="B1188" s="428">
        <v>44624</v>
      </c>
      <c r="C1188" s="431">
        <v>44593</v>
      </c>
      <c r="D1188" s="415" t="s">
        <v>182</v>
      </c>
      <c r="E1188" s="415" t="s">
        <v>1</v>
      </c>
      <c r="F1188" s="425">
        <v>1939.66</v>
      </c>
      <c r="G1188" s="440" t="s">
        <v>2057</v>
      </c>
      <c r="H1188" s="415" t="s">
        <v>310</v>
      </c>
      <c r="I1188" s="473" t="s">
        <v>1198</v>
      </c>
      <c r="J1188" s="415" t="s">
        <v>1197</v>
      </c>
      <c r="K1188" s="415" t="s">
        <v>830</v>
      </c>
      <c r="L1188" s="415" t="s">
        <v>909</v>
      </c>
      <c r="M1188" s="415" t="s">
        <v>310</v>
      </c>
      <c r="N1188" s="414">
        <v>44624</v>
      </c>
      <c r="O1188" s="414" t="s">
        <v>400</v>
      </c>
      <c r="P1188" s="222">
        <f t="shared" si="80"/>
        <v>3</v>
      </c>
      <c r="Q1188" s="222">
        <f t="shared" si="81"/>
        <v>2</v>
      </c>
      <c r="R1188" s="532" t="str">
        <f t="shared" si="82"/>
        <v>Gastos_com_Pessoal</v>
      </c>
      <c r="S1188" s="467" t="s">
        <v>310</v>
      </c>
      <c r="T1188" s="467" t="s">
        <v>310</v>
      </c>
      <c r="U1188" s="496"/>
      <c r="V1188" s="496"/>
      <c r="W1188" s="496"/>
    </row>
    <row r="1189" spans="1:23" ht="36" x14ac:dyDescent="0.2">
      <c r="A1189" s="510">
        <f t="shared" si="79"/>
        <v>1186</v>
      </c>
      <c r="B1189" s="428">
        <v>44624</v>
      </c>
      <c r="C1189" s="431">
        <v>44593</v>
      </c>
      <c r="D1189" s="415" t="s">
        <v>182</v>
      </c>
      <c r="E1189" s="415" t="s">
        <v>1</v>
      </c>
      <c r="F1189" s="425">
        <v>2077.66</v>
      </c>
      <c r="G1189" s="440" t="s">
        <v>2028</v>
      </c>
      <c r="H1189" s="415" t="s">
        <v>310</v>
      </c>
      <c r="I1189" s="473" t="s">
        <v>1202</v>
      </c>
      <c r="J1189" s="415" t="s">
        <v>1201</v>
      </c>
      <c r="K1189" s="415" t="s">
        <v>830</v>
      </c>
      <c r="L1189" s="415" t="s">
        <v>909</v>
      </c>
      <c r="M1189" s="415" t="s">
        <v>310</v>
      </c>
      <c r="N1189" s="414">
        <v>44624</v>
      </c>
      <c r="O1189" s="414" t="s">
        <v>400</v>
      </c>
      <c r="P1189" s="222">
        <f t="shared" si="80"/>
        <v>3</v>
      </c>
      <c r="Q1189" s="222">
        <f t="shared" si="81"/>
        <v>2</v>
      </c>
      <c r="R1189" s="532" t="str">
        <f t="shared" si="82"/>
        <v>Gastos_com_Pessoal</v>
      </c>
      <c r="S1189" s="467" t="s">
        <v>310</v>
      </c>
      <c r="T1189" s="467" t="s">
        <v>310</v>
      </c>
      <c r="U1189" s="496"/>
      <c r="V1189" s="496"/>
      <c r="W1189" s="496"/>
    </row>
    <row r="1190" spans="1:23" s="309" customFormat="1" ht="36" x14ac:dyDescent="0.2">
      <c r="A1190" s="510">
        <f t="shared" si="79"/>
        <v>1187</v>
      </c>
      <c r="B1190" s="428">
        <v>44624</v>
      </c>
      <c r="C1190" s="431">
        <v>44593</v>
      </c>
      <c r="D1190" s="415" t="s">
        <v>182</v>
      </c>
      <c r="E1190" s="415" t="s">
        <v>1</v>
      </c>
      <c r="F1190" s="425">
        <v>2233.64</v>
      </c>
      <c r="G1190" s="440" t="s">
        <v>2058</v>
      </c>
      <c r="H1190" s="415" t="s">
        <v>310</v>
      </c>
      <c r="I1190" s="473" t="s">
        <v>1203</v>
      </c>
      <c r="J1190" s="415" t="s">
        <v>1582</v>
      </c>
      <c r="K1190" s="415" t="s">
        <v>830</v>
      </c>
      <c r="L1190" s="415" t="s">
        <v>909</v>
      </c>
      <c r="M1190" s="415" t="s">
        <v>310</v>
      </c>
      <c r="N1190" s="414">
        <v>44624</v>
      </c>
      <c r="O1190" s="414" t="s">
        <v>400</v>
      </c>
      <c r="P1190" s="222">
        <f t="shared" si="80"/>
        <v>3</v>
      </c>
      <c r="Q1190" s="222">
        <f t="shared" si="81"/>
        <v>2</v>
      </c>
      <c r="R1190" s="532" t="str">
        <f t="shared" si="82"/>
        <v>Gastos_com_Pessoal</v>
      </c>
      <c r="S1190" s="467" t="s">
        <v>310</v>
      </c>
      <c r="T1190" s="467" t="s">
        <v>310</v>
      </c>
      <c r="U1190" s="496"/>
      <c r="V1190" s="496"/>
      <c r="W1190" s="496"/>
    </row>
    <row r="1191" spans="1:23" ht="36" x14ac:dyDescent="0.2">
      <c r="A1191" s="510">
        <f t="shared" si="79"/>
        <v>1188</v>
      </c>
      <c r="B1191" s="428">
        <v>44624</v>
      </c>
      <c r="C1191" s="431">
        <v>44593</v>
      </c>
      <c r="D1191" s="415" t="s">
        <v>182</v>
      </c>
      <c r="E1191" s="415" t="s">
        <v>1</v>
      </c>
      <c r="F1191" s="425">
        <v>2744.58</v>
      </c>
      <c r="G1191" s="427" t="s">
        <v>2052</v>
      </c>
      <c r="H1191" s="415" t="s">
        <v>310</v>
      </c>
      <c r="I1191" s="473" t="s">
        <v>996</v>
      </c>
      <c r="J1191" s="415" t="s">
        <v>997</v>
      </c>
      <c r="K1191" s="415" t="s">
        <v>830</v>
      </c>
      <c r="L1191" s="415" t="s">
        <v>909</v>
      </c>
      <c r="M1191" s="415" t="s">
        <v>310</v>
      </c>
      <c r="N1191" s="414">
        <v>44624</v>
      </c>
      <c r="O1191" s="414" t="s">
        <v>400</v>
      </c>
      <c r="P1191" s="222">
        <f t="shared" si="80"/>
        <v>3</v>
      </c>
      <c r="Q1191" s="222">
        <f t="shared" si="81"/>
        <v>2</v>
      </c>
      <c r="R1191" s="532" t="str">
        <f t="shared" si="82"/>
        <v>Gastos_com_Pessoal</v>
      </c>
      <c r="S1191" s="467" t="s">
        <v>310</v>
      </c>
      <c r="T1191" s="467" t="s">
        <v>310</v>
      </c>
      <c r="U1191" s="496"/>
      <c r="V1191" s="496"/>
      <c r="W1191" s="496"/>
    </row>
    <row r="1192" spans="1:23" ht="36" x14ac:dyDescent="0.2">
      <c r="A1192" s="510">
        <f t="shared" si="79"/>
        <v>1189</v>
      </c>
      <c r="B1192" s="428">
        <v>44624</v>
      </c>
      <c r="C1192" s="431">
        <v>44593</v>
      </c>
      <c r="D1192" s="415" t="s">
        <v>182</v>
      </c>
      <c r="E1192" s="415" t="s">
        <v>1</v>
      </c>
      <c r="F1192" s="425">
        <v>1162.44</v>
      </c>
      <c r="G1192" s="440" t="s">
        <v>2059</v>
      </c>
      <c r="H1192" s="415" t="s">
        <v>310</v>
      </c>
      <c r="I1192" s="473" t="s">
        <v>1200</v>
      </c>
      <c r="J1192" s="415" t="s">
        <v>1199</v>
      </c>
      <c r="K1192" s="415" t="s">
        <v>830</v>
      </c>
      <c r="L1192" s="415" t="s">
        <v>909</v>
      </c>
      <c r="M1192" s="415" t="s">
        <v>310</v>
      </c>
      <c r="N1192" s="414">
        <v>44624</v>
      </c>
      <c r="O1192" s="414" t="s">
        <v>400</v>
      </c>
      <c r="P1192" s="222">
        <f t="shared" si="80"/>
        <v>3</v>
      </c>
      <c r="Q1192" s="222">
        <f t="shared" si="81"/>
        <v>2</v>
      </c>
      <c r="R1192" s="532" t="str">
        <f t="shared" si="82"/>
        <v>Gastos_com_Pessoal</v>
      </c>
      <c r="S1192" s="467" t="s">
        <v>310</v>
      </c>
      <c r="T1192" s="467" t="s">
        <v>310</v>
      </c>
      <c r="U1192" s="496"/>
      <c r="V1192" s="496"/>
      <c r="W1192" s="496"/>
    </row>
    <row r="1193" spans="1:23" ht="36" x14ac:dyDescent="0.2">
      <c r="A1193" s="510">
        <f t="shared" si="79"/>
        <v>1190</v>
      </c>
      <c r="B1193" s="428">
        <v>44624</v>
      </c>
      <c r="C1193" s="431">
        <v>44593</v>
      </c>
      <c r="D1193" s="415" t="s">
        <v>182</v>
      </c>
      <c r="E1193" s="415" t="s">
        <v>1</v>
      </c>
      <c r="F1193" s="425">
        <v>2077.66</v>
      </c>
      <c r="G1193" s="427" t="s">
        <v>2028</v>
      </c>
      <c r="H1193" s="415" t="s">
        <v>310</v>
      </c>
      <c r="I1193" s="473" t="s">
        <v>987</v>
      </c>
      <c r="J1193" s="415" t="s">
        <v>988</v>
      </c>
      <c r="K1193" s="415" t="s">
        <v>830</v>
      </c>
      <c r="L1193" s="434" t="s">
        <v>909</v>
      </c>
      <c r="M1193" s="436" t="s">
        <v>310</v>
      </c>
      <c r="N1193" s="414">
        <v>44624</v>
      </c>
      <c r="O1193" s="414" t="s">
        <v>400</v>
      </c>
      <c r="P1193" s="222">
        <f t="shared" si="80"/>
        <v>3</v>
      </c>
      <c r="Q1193" s="222">
        <f t="shared" si="81"/>
        <v>2</v>
      </c>
      <c r="R1193" s="532" t="str">
        <f t="shared" si="82"/>
        <v>Gastos_com_Pessoal</v>
      </c>
      <c r="S1193" s="467" t="s">
        <v>310</v>
      </c>
      <c r="T1193" s="467" t="s">
        <v>310</v>
      </c>
      <c r="U1193" s="496"/>
      <c r="V1193" s="496"/>
      <c r="W1193" s="496"/>
    </row>
    <row r="1194" spans="1:23" ht="36" x14ac:dyDescent="0.2">
      <c r="A1194" s="510">
        <f t="shared" si="79"/>
        <v>1191</v>
      </c>
      <c r="B1194" s="428">
        <v>44624</v>
      </c>
      <c r="C1194" s="431">
        <v>44593</v>
      </c>
      <c r="D1194" s="415" t="s">
        <v>182</v>
      </c>
      <c r="E1194" s="415" t="s">
        <v>1</v>
      </c>
      <c r="F1194" s="435">
        <v>2900.56</v>
      </c>
      <c r="G1194" s="440" t="s">
        <v>2037</v>
      </c>
      <c r="H1194" s="415" t="s">
        <v>310</v>
      </c>
      <c r="I1194" s="474" t="s">
        <v>1184</v>
      </c>
      <c r="J1194" s="434" t="s">
        <v>1185</v>
      </c>
      <c r="K1194" s="415" t="s">
        <v>830</v>
      </c>
      <c r="L1194" s="434" t="s">
        <v>909</v>
      </c>
      <c r="M1194" s="415" t="s">
        <v>310</v>
      </c>
      <c r="N1194" s="414">
        <v>44624</v>
      </c>
      <c r="O1194" s="414" t="s">
        <v>400</v>
      </c>
      <c r="P1194" s="222">
        <f t="shared" si="80"/>
        <v>3</v>
      </c>
      <c r="Q1194" s="222">
        <f t="shared" si="81"/>
        <v>2</v>
      </c>
      <c r="R1194" s="532" t="str">
        <f t="shared" si="82"/>
        <v>Gastos_com_Pessoal</v>
      </c>
      <c r="S1194" s="467" t="s">
        <v>310</v>
      </c>
      <c r="T1194" s="467" t="s">
        <v>310</v>
      </c>
      <c r="U1194" s="496"/>
      <c r="V1194" s="496"/>
      <c r="W1194" s="496"/>
    </row>
    <row r="1195" spans="1:23" ht="36" x14ac:dyDescent="0.2">
      <c r="A1195" s="510">
        <f t="shared" si="79"/>
        <v>1192</v>
      </c>
      <c r="B1195" s="428">
        <v>44624</v>
      </c>
      <c r="C1195" s="431">
        <v>44593</v>
      </c>
      <c r="D1195" s="415" t="s">
        <v>182</v>
      </c>
      <c r="E1195" s="415" t="s">
        <v>1</v>
      </c>
      <c r="F1195" s="435">
        <v>832.11</v>
      </c>
      <c r="G1195" s="440" t="s">
        <v>2060</v>
      </c>
      <c r="H1195" s="415" t="s">
        <v>310</v>
      </c>
      <c r="I1195" s="474" t="s">
        <v>2061</v>
      </c>
      <c r="J1195" s="434" t="s">
        <v>2062</v>
      </c>
      <c r="K1195" s="415" t="s">
        <v>830</v>
      </c>
      <c r="L1195" s="434" t="s">
        <v>909</v>
      </c>
      <c r="M1195" s="415" t="s">
        <v>310</v>
      </c>
      <c r="N1195" s="414">
        <v>44624</v>
      </c>
      <c r="O1195" s="414" t="s">
        <v>400</v>
      </c>
      <c r="P1195" s="222">
        <f t="shared" si="80"/>
        <v>3</v>
      </c>
      <c r="Q1195" s="222">
        <f t="shared" si="81"/>
        <v>2</v>
      </c>
      <c r="R1195" s="532" t="str">
        <f t="shared" si="82"/>
        <v>Gastos_com_Pessoal</v>
      </c>
      <c r="S1195" s="467" t="s">
        <v>310</v>
      </c>
      <c r="T1195" s="467" t="s">
        <v>310</v>
      </c>
      <c r="U1195" s="496"/>
      <c r="V1195" s="496"/>
      <c r="W1195" s="496"/>
    </row>
    <row r="1196" spans="1:23" ht="24" x14ac:dyDescent="0.2">
      <c r="A1196" s="510">
        <f t="shared" si="79"/>
        <v>1193</v>
      </c>
      <c r="B1196" s="428">
        <v>44624</v>
      </c>
      <c r="C1196" s="424">
        <v>44621</v>
      </c>
      <c r="D1196" s="415" t="s">
        <v>271</v>
      </c>
      <c r="E1196" s="415" t="s">
        <v>71</v>
      </c>
      <c r="F1196" s="425">
        <v>11</v>
      </c>
      <c r="G1196" s="427" t="s">
        <v>1232</v>
      </c>
      <c r="H1196" s="415" t="s">
        <v>310</v>
      </c>
      <c r="I1196" s="398" t="s">
        <v>881</v>
      </c>
      <c r="J1196" s="418" t="s">
        <v>882</v>
      </c>
      <c r="K1196" s="418" t="s">
        <v>883</v>
      </c>
      <c r="L1196" s="399" t="s">
        <v>798</v>
      </c>
      <c r="M1196" s="544" t="s">
        <v>310</v>
      </c>
      <c r="N1196" s="414">
        <v>44624</v>
      </c>
      <c r="O1196" s="414" t="s">
        <v>400</v>
      </c>
      <c r="P1196" s="222">
        <f t="shared" si="80"/>
        <v>3</v>
      </c>
      <c r="Q1196" s="222">
        <f t="shared" si="81"/>
        <v>3</v>
      </c>
      <c r="R1196" s="532" t="str">
        <f t="shared" si="82"/>
        <v>Gastos_Gerais</v>
      </c>
      <c r="S1196" s="467" t="s">
        <v>310</v>
      </c>
      <c r="T1196" s="467" t="s">
        <v>310</v>
      </c>
      <c r="U1196" s="496"/>
      <c r="V1196" s="496"/>
      <c r="W1196" s="496"/>
    </row>
    <row r="1197" spans="1:23" ht="24" x14ac:dyDescent="0.2">
      <c r="A1197" s="510">
        <f t="shared" si="79"/>
        <v>1194</v>
      </c>
      <c r="B1197" s="428">
        <v>44624</v>
      </c>
      <c r="C1197" s="424">
        <v>44621</v>
      </c>
      <c r="D1197" s="415" t="s">
        <v>271</v>
      </c>
      <c r="E1197" s="415" t="s">
        <v>71</v>
      </c>
      <c r="F1197" s="425">
        <v>11</v>
      </c>
      <c r="G1197" s="427" t="s">
        <v>1233</v>
      </c>
      <c r="H1197" s="415" t="s">
        <v>310</v>
      </c>
      <c r="I1197" s="398" t="s">
        <v>881</v>
      </c>
      <c r="J1197" s="418" t="s">
        <v>882</v>
      </c>
      <c r="K1197" s="418" t="s">
        <v>883</v>
      </c>
      <c r="L1197" s="399" t="s">
        <v>798</v>
      </c>
      <c r="M1197" s="544" t="s">
        <v>310</v>
      </c>
      <c r="N1197" s="414">
        <v>44624</v>
      </c>
      <c r="O1197" s="414" t="s">
        <v>400</v>
      </c>
      <c r="P1197" s="222">
        <f t="shared" si="80"/>
        <v>3</v>
      </c>
      <c r="Q1197" s="222">
        <f t="shared" si="81"/>
        <v>3</v>
      </c>
      <c r="R1197" s="532" t="str">
        <f t="shared" si="82"/>
        <v>Gastos_Gerais</v>
      </c>
      <c r="S1197" s="467" t="s">
        <v>310</v>
      </c>
      <c r="T1197" s="467" t="s">
        <v>310</v>
      </c>
      <c r="U1197" s="496"/>
      <c r="V1197" s="496"/>
      <c r="W1197" s="496"/>
    </row>
    <row r="1198" spans="1:23" ht="24" x14ac:dyDescent="0.2">
      <c r="A1198" s="510">
        <f t="shared" si="79"/>
        <v>1195</v>
      </c>
      <c r="B1198" s="428">
        <v>44624</v>
      </c>
      <c r="C1198" s="424">
        <v>44621</v>
      </c>
      <c r="D1198" s="415" t="s">
        <v>271</v>
      </c>
      <c r="E1198" s="415" t="s">
        <v>71</v>
      </c>
      <c r="F1198" s="425">
        <v>11</v>
      </c>
      <c r="G1198" s="427" t="s">
        <v>1246</v>
      </c>
      <c r="H1198" s="415" t="s">
        <v>310</v>
      </c>
      <c r="I1198" s="398" t="s">
        <v>881</v>
      </c>
      <c r="J1198" s="418" t="s">
        <v>882</v>
      </c>
      <c r="K1198" s="418" t="s">
        <v>883</v>
      </c>
      <c r="L1198" s="399" t="s">
        <v>798</v>
      </c>
      <c r="M1198" s="544" t="s">
        <v>310</v>
      </c>
      <c r="N1198" s="414">
        <v>44624</v>
      </c>
      <c r="O1198" s="414" t="s">
        <v>400</v>
      </c>
      <c r="P1198" s="222">
        <f t="shared" si="80"/>
        <v>3</v>
      </c>
      <c r="Q1198" s="222">
        <f t="shared" si="81"/>
        <v>3</v>
      </c>
      <c r="R1198" s="532" t="str">
        <f t="shared" si="82"/>
        <v>Gastos_Gerais</v>
      </c>
      <c r="S1198" s="467" t="s">
        <v>310</v>
      </c>
      <c r="T1198" s="467" t="s">
        <v>310</v>
      </c>
      <c r="U1198" s="496"/>
      <c r="V1198" s="496"/>
      <c r="W1198" s="496"/>
    </row>
    <row r="1199" spans="1:23" s="308" customFormat="1" ht="24" x14ac:dyDescent="0.2">
      <c r="A1199" s="510">
        <f t="shared" si="79"/>
        <v>1196</v>
      </c>
      <c r="B1199" s="428">
        <v>44624</v>
      </c>
      <c r="C1199" s="424">
        <v>44621</v>
      </c>
      <c r="D1199" s="415" t="s">
        <v>271</v>
      </c>
      <c r="E1199" s="415" t="s">
        <v>71</v>
      </c>
      <c r="F1199" s="425">
        <v>11</v>
      </c>
      <c r="G1199" s="427" t="s">
        <v>1246</v>
      </c>
      <c r="H1199" s="415" t="s">
        <v>310</v>
      </c>
      <c r="I1199" s="398" t="s">
        <v>881</v>
      </c>
      <c r="J1199" s="418" t="s">
        <v>882</v>
      </c>
      <c r="K1199" s="418" t="s">
        <v>883</v>
      </c>
      <c r="L1199" s="399" t="s">
        <v>798</v>
      </c>
      <c r="M1199" s="544" t="s">
        <v>310</v>
      </c>
      <c r="N1199" s="414">
        <v>44624</v>
      </c>
      <c r="O1199" s="414" t="s">
        <v>400</v>
      </c>
      <c r="P1199" s="222">
        <f t="shared" si="80"/>
        <v>3</v>
      </c>
      <c r="Q1199" s="222">
        <f t="shared" si="81"/>
        <v>3</v>
      </c>
      <c r="R1199" s="532" t="str">
        <f t="shared" si="82"/>
        <v>Gastos_Gerais</v>
      </c>
      <c r="S1199" s="467" t="s">
        <v>310</v>
      </c>
      <c r="T1199" s="467" t="s">
        <v>310</v>
      </c>
      <c r="U1199" s="496"/>
      <c r="V1199" s="496"/>
      <c r="W1199" s="496"/>
    </row>
    <row r="1200" spans="1:23" ht="24" x14ac:dyDescent="0.2">
      <c r="A1200" s="510">
        <f t="shared" si="79"/>
        <v>1197</v>
      </c>
      <c r="B1200" s="428">
        <v>44624</v>
      </c>
      <c r="C1200" s="424">
        <v>44621</v>
      </c>
      <c r="D1200" s="415" t="s">
        <v>271</v>
      </c>
      <c r="E1200" s="415" t="s">
        <v>71</v>
      </c>
      <c r="F1200" s="425">
        <v>11</v>
      </c>
      <c r="G1200" s="427" t="s">
        <v>1233</v>
      </c>
      <c r="H1200" s="415" t="s">
        <v>310</v>
      </c>
      <c r="I1200" s="398" t="s">
        <v>881</v>
      </c>
      <c r="J1200" s="418" t="s">
        <v>882</v>
      </c>
      <c r="K1200" s="418" t="s">
        <v>883</v>
      </c>
      <c r="L1200" s="399" t="s">
        <v>798</v>
      </c>
      <c r="M1200" s="544" t="s">
        <v>310</v>
      </c>
      <c r="N1200" s="414">
        <v>44624</v>
      </c>
      <c r="O1200" s="414" t="s">
        <v>400</v>
      </c>
      <c r="P1200" s="222">
        <f t="shared" si="80"/>
        <v>3</v>
      </c>
      <c r="Q1200" s="222">
        <f t="shared" si="81"/>
        <v>3</v>
      </c>
      <c r="R1200" s="532" t="str">
        <f t="shared" si="82"/>
        <v>Gastos_Gerais</v>
      </c>
      <c r="S1200" s="467" t="s">
        <v>310</v>
      </c>
      <c r="T1200" s="467" t="s">
        <v>310</v>
      </c>
      <c r="U1200" s="496"/>
      <c r="V1200" s="496"/>
      <c r="W1200" s="496"/>
    </row>
    <row r="1201" spans="1:23" ht="24" x14ac:dyDescent="0.2">
      <c r="A1201" s="510">
        <f t="shared" si="79"/>
        <v>1198</v>
      </c>
      <c r="B1201" s="428">
        <v>44624</v>
      </c>
      <c r="C1201" s="424">
        <v>44621</v>
      </c>
      <c r="D1201" s="415" t="s">
        <v>271</v>
      </c>
      <c r="E1201" s="415" t="s">
        <v>71</v>
      </c>
      <c r="F1201" s="425">
        <v>11</v>
      </c>
      <c r="G1201" s="427" t="s">
        <v>1585</v>
      </c>
      <c r="H1201" s="415" t="s">
        <v>310</v>
      </c>
      <c r="I1201" s="398" t="s">
        <v>881</v>
      </c>
      <c r="J1201" s="418" t="s">
        <v>882</v>
      </c>
      <c r="K1201" s="418" t="s">
        <v>883</v>
      </c>
      <c r="L1201" s="399" t="s">
        <v>798</v>
      </c>
      <c r="M1201" s="544" t="s">
        <v>310</v>
      </c>
      <c r="N1201" s="414">
        <v>44624</v>
      </c>
      <c r="O1201" s="414" t="s">
        <v>400</v>
      </c>
      <c r="P1201" s="222">
        <f t="shared" si="80"/>
        <v>3</v>
      </c>
      <c r="Q1201" s="222">
        <f t="shared" si="81"/>
        <v>3</v>
      </c>
      <c r="R1201" s="532" t="str">
        <f t="shared" si="82"/>
        <v>Gastos_Gerais</v>
      </c>
      <c r="S1201" s="467" t="s">
        <v>310</v>
      </c>
      <c r="T1201" s="467" t="s">
        <v>310</v>
      </c>
      <c r="U1201" s="496"/>
      <c r="V1201" s="496"/>
      <c r="W1201" s="496"/>
    </row>
    <row r="1202" spans="1:23" ht="24" x14ac:dyDescent="0.2">
      <c r="A1202" s="510">
        <f t="shared" si="79"/>
        <v>1199</v>
      </c>
      <c r="B1202" s="428">
        <v>44624</v>
      </c>
      <c r="C1202" s="424">
        <v>44621</v>
      </c>
      <c r="D1202" s="415" t="s">
        <v>271</v>
      </c>
      <c r="E1202" s="415" t="s">
        <v>71</v>
      </c>
      <c r="F1202" s="425">
        <v>11</v>
      </c>
      <c r="G1202" s="427" t="s">
        <v>1235</v>
      </c>
      <c r="H1202" s="415" t="s">
        <v>310</v>
      </c>
      <c r="I1202" s="398" t="s">
        <v>881</v>
      </c>
      <c r="J1202" s="418" t="s">
        <v>882</v>
      </c>
      <c r="K1202" s="418" t="s">
        <v>883</v>
      </c>
      <c r="L1202" s="399" t="s">
        <v>798</v>
      </c>
      <c r="M1202" s="544" t="s">
        <v>310</v>
      </c>
      <c r="N1202" s="414">
        <v>44624</v>
      </c>
      <c r="O1202" s="414" t="s">
        <v>400</v>
      </c>
      <c r="P1202" s="222">
        <f t="shared" si="80"/>
        <v>3</v>
      </c>
      <c r="Q1202" s="222">
        <f t="shared" si="81"/>
        <v>3</v>
      </c>
      <c r="R1202" s="532" t="str">
        <f t="shared" si="82"/>
        <v>Gastos_Gerais</v>
      </c>
      <c r="S1202" s="467" t="s">
        <v>310</v>
      </c>
      <c r="T1202" s="467" t="s">
        <v>310</v>
      </c>
      <c r="U1202" s="496"/>
      <c r="V1202" s="496"/>
      <c r="W1202" s="496"/>
    </row>
    <row r="1203" spans="1:23" s="307" customFormat="1" ht="24" x14ac:dyDescent="0.2">
      <c r="A1203" s="510">
        <f t="shared" si="79"/>
        <v>1200</v>
      </c>
      <c r="B1203" s="428">
        <v>44624</v>
      </c>
      <c r="C1203" s="424">
        <v>44621</v>
      </c>
      <c r="D1203" s="415" t="s">
        <v>271</v>
      </c>
      <c r="E1203" s="415" t="s">
        <v>71</v>
      </c>
      <c r="F1203" s="425">
        <v>11</v>
      </c>
      <c r="G1203" s="427" t="s">
        <v>1233</v>
      </c>
      <c r="H1203" s="415" t="s">
        <v>310</v>
      </c>
      <c r="I1203" s="398" t="s">
        <v>881</v>
      </c>
      <c r="J1203" s="418" t="s">
        <v>882</v>
      </c>
      <c r="K1203" s="418" t="s">
        <v>883</v>
      </c>
      <c r="L1203" s="399" t="s">
        <v>798</v>
      </c>
      <c r="M1203" s="544" t="s">
        <v>310</v>
      </c>
      <c r="N1203" s="414">
        <v>44624</v>
      </c>
      <c r="O1203" s="414" t="s">
        <v>400</v>
      </c>
      <c r="P1203" s="222">
        <f t="shared" si="80"/>
        <v>3</v>
      </c>
      <c r="Q1203" s="222">
        <f t="shared" si="81"/>
        <v>3</v>
      </c>
      <c r="R1203" s="532" t="str">
        <f t="shared" si="82"/>
        <v>Gastos_Gerais</v>
      </c>
      <c r="S1203" s="467" t="s">
        <v>310</v>
      </c>
      <c r="T1203" s="467" t="s">
        <v>310</v>
      </c>
      <c r="U1203" s="496"/>
      <c r="V1203" s="496"/>
      <c r="W1203" s="496"/>
    </row>
    <row r="1204" spans="1:23" ht="24" x14ac:dyDescent="0.2">
      <c r="A1204" s="510">
        <f t="shared" si="79"/>
        <v>1201</v>
      </c>
      <c r="B1204" s="428">
        <v>44624</v>
      </c>
      <c r="C1204" s="424">
        <v>44621</v>
      </c>
      <c r="D1204" s="415" t="s">
        <v>271</v>
      </c>
      <c r="E1204" s="415" t="s">
        <v>71</v>
      </c>
      <c r="F1204" s="425">
        <v>11</v>
      </c>
      <c r="G1204" s="427" t="s">
        <v>1587</v>
      </c>
      <c r="H1204" s="415" t="s">
        <v>310</v>
      </c>
      <c r="I1204" s="398" t="s">
        <v>881</v>
      </c>
      <c r="J1204" s="418" t="s">
        <v>882</v>
      </c>
      <c r="K1204" s="418" t="s">
        <v>883</v>
      </c>
      <c r="L1204" s="399" t="s">
        <v>798</v>
      </c>
      <c r="M1204" s="544" t="s">
        <v>310</v>
      </c>
      <c r="N1204" s="414">
        <v>44624</v>
      </c>
      <c r="O1204" s="414" t="s">
        <v>400</v>
      </c>
      <c r="P1204" s="222">
        <f t="shared" si="80"/>
        <v>3</v>
      </c>
      <c r="Q1204" s="222">
        <f t="shared" si="81"/>
        <v>3</v>
      </c>
      <c r="R1204" s="532" t="str">
        <f t="shared" si="82"/>
        <v>Gastos_Gerais</v>
      </c>
      <c r="S1204" s="467" t="s">
        <v>310</v>
      </c>
      <c r="T1204" s="467" t="s">
        <v>310</v>
      </c>
      <c r="U1204" s="496"/>
      <c r="V1204" s="496"/>
      <c r="W1204" s="496"/>
    </row>
    <row r="1205" spans="1:23" ht="24" x14ac:dyDescent="0.2">
      <c r="A1205" s="510">
        <f t="shared" si="79"/>
        <v>1202</v>
      </c>
      <c r="B1205" s="428">
        <v>44624</v>
      </c>
      <c r="C1205" s="424">
        <v>44621</v>
      </c>
      <c r="D1205" s="415" t="s">
        <v>271</v>
      </c>
      <c r="E1205" s="415" t="s">
        <v>71</v>
      </c>
      <c r="F1205" s="425">
        <v>11</v>
      </c>
      <c r="G1205" s="427" t="s">
        <v>1233</v>
      </c>
      <c r="H1205" s="415" t="s">
        <v>310</v>
      </c>
      <c r="I1205" s="398" t="s">
        <v>881</v>
      </c>
      <c r="J1205" s="418" t="s">
        <v>882</v>
      </c>
      <c r="K1205" s="418" t="s">
        <v>883</v>
      </c>
      <c r="L1205" s="399" t="s">
        <v>798</v>
      </c>
      <c r="M1205" s="544" t="s">
        <v>310</v>
      </c>
      <c r="N1205" s="414">
        <v>44624</v>
      </c>
      <c r="O1205" s="414" t="s">
        <v>400</v>
      </c>
      <c r="P1205" s="222">
        <f t="shared" si="80"/>
        <v>3</v>
      </c>
      <c r="Q1205" s="222">
        <f t="shared" si="81"/>
        <v>3</v>
      </c>
      <c r="R1205" s="532" t="str">
        <f t="shared" si="82"/>
        <v>Gastos_Gerais</v>
      </c>
      <c r="S1205" s="467" t="s">
        <v>310</v>
      </c>
      <c r="T1205" s="467" t="s">
        <v>310</v>
      </c>
      <c r="U1205" s="496"/>
      <c r="V1205" s="496"/>
      <c r="W1205" s="496"/>
    </row>
    <row r="1206" spans="1:23" ht="24" x14ac:dyDescent="0.2">
      <c r="A1206" s="510">
        <f t="shared" si="79"/>
        <v>1203</v>
      </c>
      <c r="B1206" s="428">
        <v>44624</v>
      </c>
      <c r="C1206" s="424">
        <v>44621</v>
      </c>
      <c r="D1206" s="415" t="s">
        <v>271</v>
      </c>
      <c r="E1206" s="415" t="s">
        <v>71</v>
      </c>
      <c r="F1206" s="425">
        <v>11</v>
      </c>
      <c r="G1206" s="427" t="s">
        <v>1586</v>
      </c>
      <c r="H1206" s="415" t="s">
        <v>310</v>
      </c>
      <c r="I1206" s="398" t="s">
        <v>881</v>
      </c>
      <c r="J1206" s="418" t="s">
        <v>882</v>
      </c>
      <c r="K1206" s="418" t="s">
        <v>883</v>
      </c>
      <c r="L1206" s="399" t="s">
        <v>798</v>
      </c>
      <c r="M1206" s="544" t="s">
        <v>310</v>
      </c>
      <c r="N1206" s="414">
        <v>44624</v>
      </c>
      <c r="O1206" s="414" t="s">
        <v>400</v>
      </c>
      <c r="P1206" s="222">
        <f t="shared" si="80"/>
        <v>3</v>
      </c>
      <c r="Q1206" s="222">
        <f t="shared" si="81"/>
        <v>3</v>
      </c>
      <c r="R1206" s="532" t="str">
        <f t="shared" si="82"/>
        <v>Gastos_Gerais</v>
      </c>
      <c r="S1206" s="467" t="s">
        <v>310</v>
      </c>
      <c r="T1206" s="467" t="s">
        <v>310</v>
      </c>
      <c r="U1206" s="496"/>
      <c r="V1206" s="496"/>
      <c r="W1206" s="496"/>
    </row>
    <row r="1207" spans="1:23" s="310" customFormat="1" ht="24" x14ac:dyDescent="0.2">
      <c r="A1207" s="510">
        <f t="shared" si="79"/>
        <v>1204</v>
      </c>
      <c r="B1207" s="428">
        <v>44624</v>
      </c>
      <c r="C1207" s="424">
        <v>44621</v>
      </c>
      <c r="D1207" s="415" t="s">
        <v>271</v>
      </c>
      <c r="E1207" s="415" t="s">
        <v>71</v>
      </c>
      <c r="F1207" s="425">
        <v>11</v>
      </c>
      <c r="G1207" s="427" t="s">
        <v>1588</v>
      </c>
      <c r="H1207" s="415" t="s">
        <v>310</v>
      </c>
      <c r="I1207" s="398" t="s">
        <v>881</v>
      </c>
      <c r="J1207" s="418" t="s">
        <v>882</v>
      </c>
      <c r="K1207" s="418" t="s">
        <v>883</v>
      </c>
      <c r="L1207" s="399" t="s">
        <v>798</v>
      </c>
      <c r="M1207" s="544" t="s">
        <v>310</v>
      </c>
      <c r="N1207" s="414">
        <v>44624</v>
      </c>
      <c r="O1207" s="414" t="s">
        <v>400</v>
      </c>
      <c r="P1207" s="222">
        <f t="shared" si="80"/>
        <v>3</v>
      </c>
      <c r="Q1207" s="222">
        <f t="shared" si="81"/>
        <v>3</v>
      </c>
      <c r="R1207" s="532" t="str">
        <f t="shared" si="82"/>
        <v>Gastos_Gerais</v>
      </c>
      <c r="S1207" s="467" t="s">
        <v>310</v>
      </c>
      <c r="T1207" s="467" t="s">
        <v>310</v>
      </c>
      <c r="U1207" s="496"/>
      <c r="V1207" s="496"/>
      <c r="W1207" s="496"/>
    </row>
    <row r="1208" spans="1:23" s="310" customFormat="1" ht="24" x14ac:dyDescent="0.2">
      <c r="A1208" s="510">
        <f t="shared" si="79"/>
        <v>1205</v>
      </c>
      <c r="B1208" s="428">
        <v>44624</v>
      </c>
      <c r="C1208" s="424">
        <v>44621</v>
      </c>
      <c r="D1208" s="415" t="s">
        <v>271</v>
      </c>
      <c r="E1208" s="415" t="s">
        <v>71</v>
      </c>
      <c r="F1208" s="425">
        <v>11</v>
      </c>
      <c r="G1208" s="427" t="s">
        <v>1233</v>
      </c>
      <c r="H1208" s="415" t="s">
        <v>310</v>
      </c>
      <c r="I1208" s="398" t="s">
        <v>881</v>
      </c>
      <c r="J1208" s="418" t="s">
        <v>882</v>
      </c>
      <c r="K1208" s="418" t="s">
        <v>883</v>
      </c>
      <c r="L1208" s="399" t="s">
        <v>798</v>
      </c>
      <c r="M1208" s="544" t="s">
        <v>310</v>
      </c>
      <c r="N1208" s="414">
        <v>44624</v>
      </c>
      <c r="O1208" s="414" t="s">
        <v>400</v>
      </c>
      <c r="P1208" s="222">
        <f t="shared" si="80"/>
        <v>3</v>
      </c>
      <c r="Q1208" s="222">
        <f t="shared" si="81"/>
        <v>3</v>
      </c>
      <c r="R1208" s="532" t="str">
        <f t="shared" si="82"/>
        <v>Gastos_Gerais</v>
      </c>
      <c r="S1208" s="467" t="s">
        <v>310</v>
      </c>
      <c r="T1208" s="467" t="s">
        <v>310</v>
      </c>
      <c r="U1208" s="496"/>
      <c r="V1208" s="496"/>
      <c r="W1208" s="496"/>
    </row>
    <row r="1209" spans="1:23" ht="24" x14ac:dyDescent="0.2">
      <c r="A1209" s="510">
        <f t="shared" si="79"/>
        <v>1206</v>
      </c>
      <c r="B1209" s="428">
        <v>44624</v>
      </c>
      <c r="C1209" s="424">
        <v>44621</v>
      </c>
      <c r="D1209" s="415" t="s">
        <v>271</v>
      </c>
      <c r="E1209" s="415" t="s">
        <v>71</v>
      </c>
      <c r="F1209" s="425">
        <v>11</v>
      </c>
      <c r="G1209" s="427" t="s">
        <v>1233</v>
      </c>
      <c r="H1209" s="415" t="s">
        <v>310</v>
      </c>
      <c r="I1209" s="398" t="s">
        <v>881</v>
      </c>
      <c r="J1209" s="418" t="s">
        <v>882</v>
      </c>
      <c r="K1209" s="418" t="s">
        <v>883</v>
      </c>
      <c r="L1209" s="399" t="s">
        <v>798</v>
      </c>
      <c r="M1209" s="544" t="s">
        <v>310</v>
      </c>
      <c r="N1209" s="414">
        <v>44624</v>
      </c>
      <c r="O1209" s="414" t="s">
        <v>400</v>
      </c>
      <c r="P1209" s="222">
        <f t="shared" si="80"/>
        <v>3</v>
      </c>
      <c r="Q1209" s="222">
        <f t="shared" si="81"/>
        <v>3</v>
      </c>
      <c r="R1209" s="532" t="str">
        <f t="shared" si="82"/>
        <v>Gastos_Gerais</v>
      </c>
      <c r="S1209" s="467" t="s">
        <v>310</v>
      </c>
      <c r="T1209" s="467" t="s">
        <v>310</v>
      </c>
      <c r="U1209" s="496"/>
      <c r="V1209" s="496"/>
      <c r="W1209" s="496"/>
    </row>
    <row r="1210" spans="1:23" ht="24" x14ac:dyDescent="0.2">
      <c r="A1210" s="510">
        <f t="shared" si="79"/>
        <v>1207</v>
      </c>
      <c r="B1210" s="428">
        <v>44624</v>
      </c>
      <c r="C1210" s="424">
        <v>44621</v>
      </c>
      <c r="D1210" s="415" t="s">
        <v>271</v>
      </c>
      <c r="E1210" s="415" t="s">
        <v>71</v>
      </c>
      <c r="F1210" s="425">
        <v>11</v>
      </c>
      <c r="G1210" s="427" t="s">
        <v>1245</v>
      </c>
      <c r="H1210" s="415" t="s">
        <v>310</v>
      </c>
      <c r="I1210" s="398" t="s">
        <v>881</v>
      </c>
      <c r="J1210" s="418" t="s">
        <v>882</v>
      </c>
      <c r="K1210" s="418" t="s">
        <v>883</v>
      </c>
      <c r="L1210" s="399" t="s">
        <v>798</v>
      </c>
      <c r="M1210" s="544" t="s">
        <v>310</v>
      </c>
      <c r="N1210" s="414">
        <v>44624</v>
      </c>
      <c r="O1210" s="414" t="s">
        <v>400</v>
      </c>
      <c r="P1210" s="222">
        <f t="shared" si="80"/>
        <v>3</v>
      </c>
      <c r="Q1210" s="222">
        <f t="shared" si="81"/>
        <v>3</v>
      </c>
      <c r="R1210" s="532" t="str">
        <f t="shared" si="82"/>
        <v>Gastos_Gerais</v>
      </c>
      <c r="S1210" s="467" t="s">
        <v>310</v>
      </c>
      <c r="T1210" s="467" t="s">
        <v>310</v>
      </c>
      <c r="U1210" s="496"/>
      <c r="V1210" s="496"/>
      <c r="W1210" s="496"/>
    </row>
    <row r="1211" spans="1:23" ht="24" x14ac:dyDescent="0.2">
      <c r="A1211" s="510">
        <f t="shared" si="79"/>
        <v>1208</v>
      </c>
      <c r="B1211" s="428">
        <v>44624</v>
      </c>
      <c r="C1211" s="424">
        <v>44621</v>
      </c>
      <c r="D1211" s="415" t="s">
        <v>271</v>
      </c>
      <c r="E1211" s="415" t="s">
        <v>71</v>
      </c>
      <c r="F1211" s="425">
        <v>11</v>
      </c>
      <c r="G1211" s="427" t="s">
        <v>1233</v>
      </c>
      <c r="H1211" s="415" t="s">
        <v>310</v>
      </c>
      <c r="I1211" s="398" t="s">
        <v>881</v>
      </c>
      <c r="J1211" s="418" t="s">
        <v>882</v>
      </c>
      <c r="K1211" s="418" t="s">
        <v>883</v>
      </c>
      <c r="L1211" s="399" t="s">
        <v>798</v>
      </c>
      <c r="M1211" s="544" t="s">
        <v>310</v>
      </c>
      <c r="N1211" s="414">
        <v>44624</v>
      </c>
      <c r="O1211" s="414" t="s">
        <v>400</v>
      </c>
      <c r="P1211" s="222">
        <f t="shared" si="80"/>
        <v>3</v>
      </c>
      <c r="Q1211" s="222">
        <f t="shared" si="81"/>
        <v>3</v>
      </c>
      <c r="R1211" s="532" t="str">
        <f t="shared" si="82"/>
        <v>Gastos_Gerais</v>
      </c>
      <c r="S1211" s="467" t="s">
        <v>310</v>
      </c>
      <c r="T1211" s="467" t="s">
        <v>310</v>
      </c>
      <c r="U1211" s="496"/>
      <c r="V1211" s="496"/>
      <c r="W1211" s="496"/>
    </row>
    <row r="1212" spans="1:23" ht="24" x14ac:dyDescent="0.2">
      <c r="A1212" s="510">
        <f t="shared" si="79"/>
        <v>1209</v>
      </c>
      <c r="B1212" s="428">
        <v>44624</v>
      </c>
      <c r="C1212" s="424">
        <v>44621</v>
      </c>
      <c r="D1212" s="415" t="s">
        <v>271</v>
      </c>
      <c r="E1212" s="415" t="s">
        <v>71</v>
      </c>
      <c r="F1212" s="425">
        <v>11</v>
      </c>
      <c r="G1212" s="427" t="s">
        <v>1240</v>
      </c>
      <c r="H1212" s="415" t="s">
        <v>310</v>
      </c>
      <c r="I1212" s="398" t="s">
        <v>881</v>
      </c>
      <c r="J1212" s="418" t="s">
        <v>882</v>
      </c>
      <c r="K1212" s="418" t="s">
        <v>883</v>
      </c>
      <c r="L1212" s="399" t="s">
        <v>798</v>
      </c>
      <c r="M1212" s="544" t="s">
        <v>310</v>
      </c>
      <c r="N1212" s="414">
        <v>44624</v>
      </c>
      <c r="O1212" s="414" t="s">
        <v>400</v>
      </c>
      <c r="P1212" s="222">
        <f t="shared" si="80"/>
        <v>3</v>
      </c>
      <c r="Q1212" s="222">
        <f t="shared" si="81"/>
        <v>3</v>
      </c>
      <c r="R1212" s="532" t="str">
        <f t="shared" si="82"/>
        <v>Gastos_Gerais</v>
      </c>
      <c r="S1212" s="467" t="s">
        <v>310</v>
      </c>
      <c r="T1212" s="467" t="s">
        <v>310</v>
      </c>
      <c r="U1212" s="496"/>
      <c r="V1212" s="496"/>
      <c r="W1212" s="496"/>
    </row>
    <row r="1213" spans="1:23" ht="24" x14ac:dyDescent="0.2">
      <c r="A1213" s="510">
        <f t="shared" si="79"/>
        <v>1210</v>
      </c>
      <c r="B1213" s="428">
        <v>44624</v>
      </c>
      <c r="C1213" s="424">
        <v>44621</v>
      </c>
      <c r="D1213" s="415" t="s">
        <v>271</v>
      </c>
      <c r="E1213" s="415" t="s">
        <v>71</v>
      </c>
      <c r="F1213" s="425">
        <v>11</v>
      </c>
      <c r="G1213" s="427" t="s">
        <v>1233</v>
      </c>
      <c r="H1213" s="415" t="s">
        <v>310</v>
      </c>
      <c r="I1213" s="398" t="s">
        <v>881</v>
      </c>
      <c r="J1213" s="418" t="s">
        <v>882</v>
      </c>
      <c r="K1213" s="418" t="s">
        <v>883</v>
      </c>
      <c r="L1213" s="399" t="s">
        <v>798</v>
      </c>
      <c r="M1213" s="544" t="s">
        <v>310</v>
      </c>
      <c r="N1213" s="414">
        <v>44624</v>
      </c>
      <c r="O1213" s="414" t="s">
        <v>400</v>
      </c>
      <c r="P1213" s="222">
        <f t="shared" si="80"/>
        <v>3</v>
      </c>
      <c r="Q1213" s="222">
        <f t="shared" si="81"/>
        <v>3</v>
      </c>
      <c r="R1213" s="532" t="str">
        <f t="shared" si="82"/>
        <v>Gastos_Gerais</v>
      </c>
      <c r="S1213" s="467" t="s">
        <v>310</v>
      </c>
      <c r="T1213" s="467" t="s">
        <v>310</v>
      </c>
      <c r="U1213" s="496"/>
      <c r="V1213" s="496"/>
      <c r="W1213" s="496"/>
    </row>
    <row r="1214" spans="1:23" ht="24" x14ac:dyDescent="0.2">
      <c r="A1214" s="510">
        <f t="shared" ref="A1214:A1277" si="83">IF(B1214="","",ROW()-ROW($A$3))</f>
        <v>1211</v>
      </c>
      <c r="B1214" s="428">
        <v>44624</v>
      </c>
      <c r="C1214" s="424">
        <v>44621</v>
      </c>
      <c r="D1214" s="415" t="s">
        <v>271</v>
      </c>
      <c r="E1214" s="415" t="s">
        <v>71</v>
      </c>
      <c r="F1214" s="425">
        <v>11</v>
      </c>
      <c r="G1214" s="427" t="s">
        <v>1233</v>
      </c>
      <c r="H1214" s="415" t="s">
        <v>310</v>
      </c>
      <c r="I1214" s="398" t="s">
        <v>881</v>
      </c>
      <c r="J1214" s="418" t="s">
        <v>882</v>
      </c>
      <c r="K1214" s="418" t="s">
        <v>883</v>
      </c>
      <c r="L1214" s="399" t="s">
        <v>798</v>
      </c>
      <c r="M1214" s="544" t="s">
        <v>310</v>
      </c>
      <c r="N1214" s="414">
        <v>44624</v>
      </c>
      <c r="O1214" s="414" t="s">
        <v>400</v>
      </c>
      <c r="P1214" s="222">
        <f t="shared" si="80"/>
        <v>3</v>
      </c>
      <c r="Q1214" s="222">
        <f t="shared" si="81"/>
        <v>3</v>
      </c>
      <c r="R1214" s="532" t="str">
        <f t="shared" si="82"/>
        <v>Gastos_Gerais</v>
      </c>
      <c r="S1214" s="467" t="s">
        <v>310</v>
      </c>
      <c r="T1214" s="467" t="s">
        <v>310</v>
      </c>
      <c r="U1214" s="496"/>
      <c r="V1214" s="496"/>
      <c r="W1214" s="496"/>
    </row>
    <row r="1215" spans="1:23" ht="24" x14ac:dyDescent="0.2">
      <c r="A1215" s="510">
        <f t="shared" si="83"/>
        <v>1212</v>
      </c>
      <c r="B1215" s="428">
        <v>44624</v>
      </c>
      <c r="C1215" s="424">
        <v>44621</v>
      </c>
      <c r="D1215" s="415" t="s">
        <v>271</v>
      </c>
      <c r="E1215" s="415" t="s">
        <v>71</v>
      </c>
      <c r="F1215" s="425">
        <v>11</v>
      </c>
      <c r="G1215" s="427" t="s">
        <v>1246</v>
      </c>
      <c r="H1215" s="415" t="s">
        <v>310</v>
      </c>
      <c r="I1215" s="398" t="s">
        <v>881</v>
      </c>
      <c r="J1215" s="418" t="s">
        <v>882</v>
      </c>
      <c r="K1215" s="418" t="s">
        <v>883</v>
      </c>
      <c r="L1215" s="399" t="s">
        <v>798</v>
      </c>
      <c r="M1215" s="544" t="s">
        <v>310</v>
      </c>
      <c r="N1215" s="414">
        <v>44624</v>
      </c>
      <c r="O1215" s="414" t="s">
        <v>400</v>
      </c>
      <c r="P1215" s="222">
        <f t="shared" si="80"/>
        <v>3</v>
      </c>
      <c r="Q1215" s="222">
        <f t="shared" si="81"/>
        <v>3</v>
      </c>
      <c r="R1215" s="532" t="str">
        <f t="shared" si="82"/>
        <v>Gastos_Gerais</v>
      </c>
      <c r="S1215" s="467" t="s">
        <v>310</v>
      </c>
      <c r="T1215" s="467" t="s">
        <v>310</v>
      </c>
      <c r="U1215" s="496"/>
      <c r="V1215" s="496"/>
      <c r="W1215" s="496"/>
    </row>
    <row r="1216" spans="1:23" ht="24" x14ac:dyDescent="0.2">
      <c r="A1216" s="510">
        <f t="shared" si="83"/>
        <v>1213</v>
      </c>
      <c r="B1216" s="428">
        <v>44624</v>
      </c>
      <c r="C1216" s="424">
        <v>44621</v>
      </c>
      <c r="D1216" s="415" t="s">
        <v>271</v>
      </c>
      <c r="E1216" s="415" t="s">
        <v>71</v>
      </c>
      <c r="F1216" s="425">
        <v>11</v>
      </c>
      <c r="G1216" s="427" t="s">
        <v>1589</v>
      </c>
      <c r="H1216" s="415" t="s">
        <v>310</v>
      </c>
      <c r="I1216" s="398" t="s">
        <v>881</v>
      </c>
      <c r="J1216" s="418" t="s">
        <v>882</v>
      </c>
      <c r="K1216" s="418" t="s">
        <v>883</v>
      </c>
      <c r="L1216" s="399" t="s">
        <v>798</v>
      </c>
      <c r="M1216" s="544" t="s">
        <v>310</v>
      </c>
      <c r="N1216" s="414">
        <v>44624</v>
      </c>
      <c r="O1216" s="414" t="s">
        <v>400</v>
      </c>
      <c r="P1216" s="222">
        <f t="shared" si="80"/>
        <v>3</v>
      </c>
      <c r="Q1216" s="222">
        <f t="shared" si="81"/>
        <v>3</v>
      </c>
      <c r="R1216" s="532" t="str">
        <f t="shared" si="82"/>
        <v>Gastos_Gerais</v>
      </c>
      <c r="S1216" s="467" t="s">
        <v>310</v>
      </c>
      <c r="T1216" s="467" t="s">
        <v>310</v>
      </c>
      <c r="U1216" s="496"/>
      <c r="V1216" s="496"/>
      <c r="W1216" s="496"/>
    </row>
    <row r="1217" spans="1:23" ht="24" x14ac:dyDescent="0.2">
      <c r="A1217" s="510">
        <f t="shared" si="83"/>
        <v>1214</v>
      </c>
      <c r="B1217" s="428">
        <v>44624</v>
      </c>
      <c r="C1217" s="424">
        <v>44621</v>
      </c>
      <c r="D1217" s="415" t="s">
        <v>271</v>
      </c>
      <c r="E1217" s="415" t="s">
        <v>71</v>
      </c>
      <c r="F1217" s="425">
        <v>11</v>
      </c>
      <c r="G1217" s="427" t="s">
        <v>1233</v>
      </c>
      <c r="H1217" s="415" t="s">
        <v>310</v>
      </c>
      <c r="I1217" s="398" t="s">
        <v>881</v>
      </c>
      <c r="J1217" s="418" t="s">
        <v>882</v>
      </c>
      <c r="K1217" s="418" t="s">
        <v>883</v>
      </c>
      <c r="L1217" s="399" t="s">
        <v>798</v>
      </c>
      <c r="M1217" s="544" t="s">
        <v>310</v>
      </c>
      <c r="N1217" s="414">
        <v>44624</v>
      </c>
      <c r="O1217" s="414" t="s">
        <v>400</v>
      </c>
      <c r="P1217" s="222">
        <f t="shared" si="80"/>
        <v>3</v>
      </c>
      <c r="Q1217" s="222">
        <f t="shared" si="81"/>
        <v>3</v>
      </c>
      <c r="R1217" s="532" t="str">
        <f t="shared" si="82"/>
        <v>Gastos_Gerais</v>
      </c>
      <c r="S1217" s="467" t="s">
        <v>310</v>
      </c>
      <c r="T1217" s="467" t="s">
        <v>310</v>
      </c>
      <c r="U1217" s="496"/>
      <c r="V1217" s="496"/>
      <c r="W1217" s="496"/>
    </row>
    <row r="1218" spans="1:23" ht="24" x14ac:dyDescent="0.2">
      <c r="A1218" s="510">
        <f t="shared" si="83"/>
        <v>1215</v>
      </c>
      <c r="B1218" s="428">
        <v>44624</v>
      </c>
      <c r="C1218" s="424">
        <v>44621</v>
      </c>
      <c r="D1218" s="415" t="s">
        <v>271</v>
      </c>
      <c r="E1218" s="415" t="s">
        <v>71</v>
      </c>
      <c r="F1218" s="425">
        <v>11</v>
      </c>
      <c r="G1218" s="427" t="s">
        <v>1233</v>
      </c>
      <c r="H1218" s="415" t="s">
        <v>310</v>
      </c>
      <c r="I1218" s="398" t="s">
        <v>881</v>
      </c>
      <c r="J1218" s="418" t="s">
        <v>882</v>
      </c>
      <c r="K1218" s="418" t="s">
        <v>883</v>
      </c>
      <c r="L1218" s="399" t="s">
        <v>798</v>
      </c>
      <c r="M1218" s="544" t="s">
        <v>310</v>
      </c>
      <c r="N1218" s="414">
        <v>44624</v>
      </c>
      <c r="O1218" s="414" t="s">
        <v>400</v>
      </c>
      <c r="P1218" s="222">
        <f t="shared" si="80"/>
        <v>3</v>
      </c>
      <c r="Q1218" s="222">
        <f t="shared" si="81"/>
        <v>3</v>
      </c>
      <c r="R1218" s="532" t="str">
        <f t="shared" si="82"/>
        <v>Gastos_Gerais</v>
      </c>
      <c r="S1218" s="467" t="s">
        <v>310</v>
      </c>
      <c r="T1218" s="467" t="s">
        <v>310</v>
      </c>
      <c r="U1218" s="496"/>
      <c r="V1218" s="496"/>
      <c r="W1218" s="496"/>
    </row>
    <row r="1219" spans="1:23" ht="24" x14ac:dyDescent="0.2">
      <c r="A1219" s="510">
        <f t="shared" si="83"/>
        <v>1216</v>
      </c>
      <c r="B1219" s="428">
        <v>44624</v>
      </c>
      <c r="C1219" s="424">
        <v>44621</v>
      </c>
      <c r="D1219" s="415" t="s">
        <v>271</v>
      </c>
      <c r="E1219" s="415" t="s">
        <v>71</v>
      </c>
      <c r="F1219" s="425">
        <v>11</v>
      </c>
      <c r="G1219" s="427" t="s">
        <v>1233</v>
      </c>
      <c r="H1219" s="415" t="s">
        <v>310</v>
      </c>
      <c r="I1219" s="398" t="s">
        <v>881</v>
      </c>
      <c r="J1219" s="418" t="s">
        <v>882</v>
      </c>
      <c r="K1219" s="418" t="s">
        <v>883</v>
      </c>
      <c r="L1219" s="399" t="s">
        <v>798</v>
      </c>
      <c r="M1219" s="544" t="s">
        <v>310</v>
      </c>
      <c r="N1219" s="414">
        <v>44624</v>
      </c>
      <c r="O1219" s="414" t="s">
        <v>400</v>
      </c>
      <c r="P1219" s="222">
        <f t="shared" si="80"/>
        <v>3</v>
      </c>
      <c r="Q1219" s="222">
        <f t="shared" si="81"/>
        <v>3</v>
      </c>
      <c r="R1219" s="532" t="str">
        <f t="shared" si="82"/>
        <v>Gastos_Gerais</v>
      </c>
      <c r="S1219" s="467" t="s">
        <v>310</v>
      </c>
      <c r="T1219" s="467" t="s">
        <v>310</v>
      </c>
      <c r="U1219" s="496"/>
      <c r="V1219" s="496"/>
      <c r="W1219" s="496"/>
    </row>
    <row r="1220" spans="1:23" ht="24" x14ac:dyDescent="0.2">
      <c r="A1220" s="510">
        <f t="shared" si="83"/>
        <v>1217</v>
      </c>
      <c r="B1220" s="428">
        <v>44624</v>
      </c>
      <c r="C1220" s="424">
        <v>44621</v>
      </c>
      <c r="D1220" s="415" t="s">
        <v>271</v>
      </c>
      <c r="E1220" s="415" t="s">
        <v>71</v>
      </c>
      <c r="F1220" s="425">
        <v>11</v>
      </c>
      <c r="G1220" s="427" t="s">
        <v>1233</v>
      </c>
      <c r="H1220" s="415" t="s">
        <v>310</v>
      </c>
      <c r="I1220" s="398" t="s">
        <v>881</v>
      </c>
      <c r="J1220" s="418" t="s">
        <v>882</v>
      </c>
      <c r="K1220" s="418" t="s">
        <v>883</v>
      </c>
      <c r="L1220" s="399" t="s">
        <v>798</v>
      </c>
      <c r="M1220" s="544" t="s">
        <v>310</v>
      </c>
      <c r="N1220" s="414">
        <v>44624</v>
      </c>
      <c r="O1220" s="414" t="s">
        <v>400</v>
      </c>
      <c r="P1220" s="222">
        <f t="shared" si="80"/>
        <v>3</v>
      </c>
      <c r="Q1220" s="222">
        <f t="shared" si="81"/>
        <v>3</v>
      </c>
      <c r="R1220" s="532" t="str">
        <f t="shared" si="82"/>
        <v>Gastos_Gerais</v>
      </c>
      <c r="S1220" s="467" t="s">
        <v>310</v>
      </c>
      <c r="T1220" s="467" t="s">
        <v>310</v>
      </c>
      <c r="U1220" s="496"/>
      <c r="V1220" s="496"/>
      <c r="W1220" s="496"/>
    </row>
    <row r="1221" spans="1:23" ht="24" x14ac:dyDescent="0.2">
      <c r="A1221" s="510">
        <f t="shared" si="83"/>
        <v>1218</v>
      </c>
      <c r="B1221" s="428">
        <v>44624</v>
      </c>
      <c r="C1221" s="424">
        <v>44621</v>
      </c>
      <c r="D1221" s="415" t="s">
        <v>271</v>
      </c>
      <c r="E1221" s="415" t="s">
        <v>71</v>
      </c>
      <c r="F1221" s="425">
        <v>11</v>
      </c>
      <c r="G1221" s="427" t="s">
        <v>1233</v>
      </c>
      <c r="H1221" s="415" t="s">
        <v>310</v>
      </c>
      <c r="I1221" s="398" t="s">
        <v>881</v>
      </c>
      <c r="J1221" s="418" t="s">
        <v>882</v>
      </c>
      <c r="K1221" s="418" t="s">
        <v>883</v>
      </c>
      <c r="L1221" s="399" t="s">
        <v>798</v>
      </c>
      <c r="M1221" s="544" t="s">
        <v>310</v>
      </c>
      <c r="N1221" s="414">
        <v>44624</v>
      </c>
      <c r="O1221" s="414" t="s">
        <v>400</v>
      </c>
      <c r="P1221" s="222">
        <f t="shared" si="80"/>
        <v>3</v>
      </c>
      <c r="Q1221" s="222">
        <f t="shared" si="81"/>
        <v>3</v>
      </c>
      <c r="R1221" s="532" t="str">
        <f t="shared" si="82"/>
        <v>Gastos_Gerais</v>
      </c>
      <c r="S1221" s="467" t="s">
        <v>310</v>
      </c>
      <c r="T1221" s="467" t="s">
        <v>310</v>
      </c>
      <c r="U1221" s="496"/>
      <c r="V1221" s="496"/>
      <c r="W1221" s="496"/>
    </row>
    <row r="1222" spans="1:23" ht="24" x14ac:dyDescent="0.2">
      <c r="A1222" s="510">
        <f t="shared" si="83"/>
        <v>1219</v>
      </c>
      <c r="B1222" s="428">
        <v>44624</v>
      </c>
      <c r="C1222" s="424">
        <v>44621</v>
      </c>
      <c r="D1222" s="415" t="s">
        <v>271</v>
      </c>
      <c r="E1222" s="415" t="s">
        <v>71</v>
      </c>
      <c r="F1222" s="425">
        <v>11</v>
      </c>
      <c r="G1222" s="427" t="s">
        <v>1239</v>
      </c>
      <c r="H1222" s="415" t="s">
        <v>310</v>
      </c>
      <c r="I1222" s="398" t="s">
        <v>881</v>
      </c>
      <c r="J1222" s="418" t="s">
        <v>882</v>
      </c>
      <c r="K1222" s="418" t="s">
        <v>883</v>
      </c>
      <c r="L1222" s="399" t="s">
        <v>798</v>
      </c>
      <c r="M1222" s="544" t="s">
        <v>310</v>
      </c>
      <c r="N1222" s="414">
        <v>44624</v>
      </c>
      <c r="O1222" s="414" t="s">
        <v>400</v>
      </c>
      <c r="P1222" s="222">
        <f t="shared" si="80"/>
        <v>3</v>
      </c>
      <c r="Q1222" s="222">
        <f t="shared" si="81"/>
        <v>3</v>
      </c>
      <c r="R1222" s="532" t="str">
        <f t="shared" si="82"/>
        <v>Gastos_Gerais</v>
      </c>
      <c r="S1222" s="467" t="s">
        <v>310</v>
      </c>
      <c r="T1222" s="467" t="s">
        <v>310</v>
      </c>
      <c r="U1222" s="496"/>
      <c r="V1222" s="496"/>
      <c r="W1222" s="496"/>
    </row>
    <row r="1223" spans="1:23" ht="24" x14ac:dyDescent="0.2">
      <c r="A1223" s="510">
        <f t="shared" si="83"/>
        <v>1220</v>
      </c>
      <c r="B1223" s="428">
        <v>44624</v>
      </c>
      <c r="C1223" s="424">
        <v>44621</v>
      </c>
      <c r="D1223" s="415" t="s">
        <v>271</v>
      </c>
      <c r="E1223" s="415" t="s">
        <v>71</v>
      </c>
      <c r="F1223" s="425">
        <v>11</v>
      </c>
      <c r="G1223" s="427" t="s">
        <v>1246</v>
      </c>
      <c r="H1223" s="415" t="s">
        <v>310</v>
      </c>
      <c r="I1223" s="398" t="s">
        <v>881</v>
      </c>
      <c r="J1223" s="418" t="s">
        <v>882</v>
      </c>
      <c r="K1223" s="418" t="s">
        <v>883</v>
      </c>
      <c r="L1223" s="399" t="s">
        <v>798</v>
      </c>
      <c r="M1223" s="544" t="s">
        <v>310</v>
      </c>
      <c r="N1223" s="414">
        <v>44624</v>
      </c>
      <c r="O1223" s="414" t="s">
        <v>400</v>
      </c>
      <c r="P1223" s="222">
        <f t="shared" si="80"/>
        <v>3</v>
      </c>
      <c r="Q1223" s="222">
        <f t="shared" si="81"/>
        <v>3</v>
      </c>
      <c r="R1223" s="532" t="str">
        <f t="shared" si="82"/>
        <v>Gastos_Gerais</v>
      </c>
      <c r="S1223" s="467" t="s">
        <v>310</v>
      </c>
      <c r="T1223" s="467" t="s">
        <v>310</v>
      </c>
      <c r="U1223" s="496"/>
      <c r="V1223" s="496"/>
      <c r="W1223" s="496"/>
    </row>
    <row r="1224" spans="1:23" ht="24" x14ac:dyDescent="0.2">
      <c r="A1224" s="510">
        <f t="shared" si="83"/>
        <v>1221</v>
      </c>
      <c r="B1224" s="428">
        <v>44624</v>
      </c>
      <c r="C1224" s="424">
        <v>44621</v>
      </c>
      <c r="D1224" s="415" t="s">
        <v>271</v>
      </c>
      <c r="E1224" s="415" t="s">
        <v>71</v>
      </c>
      <c r="F1224" s="425">
        <v>11</v>
      </c>
      <c r="G1224" s="427" t="s">
        <v>1233</v>
      </c>
      <c r="H1224" s="415" t="s">
        <v>310</v>
      </c>
      <c r="I1224" s="398" t="s">
        <v>881</v>
      </c>
      <c r="J1224" s="418" t="s">
        <v>882</v>
      </c>
      <c r="K1224" s="418" t="s">
        <v>883</v>
      </c>
      <c r="L1224" s="399" t="s">
        <v>798</v>
      </c>
      <c r="M1224" s="544" t="s">
        <v>310</v>
      </c>
      <c r="N1224" s="414">
        <v>44624</v>
      </c>
      <c r="O1224" s="414" t="s">
        <v>400</v>
      </c>
      <c r="P1224" s="222">
        <f t="shared" si="80"/>
        <v>3</v>
      </c>
      <c r="Q1224" s="222">
        <f t="shared" si="81"/>
        <v>3</v>
      </c>
      <c r="R1224" s="532" t="str">
        <f t="shared" si="82"/>
        <v>Gastos_Gerais</v>
      </c>
      <c r="S1224" s="467" t="s">
        <v>310</v>
      </c>
      <c r="T1224" s="467" t="s">
        <v>310</v>
      </c>
      <c r="U1224" s="496"/>
      <c r="V1224" s="496"/>
      <c r="W1224" s="496"/>
    </row>
    <row r="1225" spans="1:23" ht="24" x14ac:dyDescent="0.2">
      <c r="A1225" s="510">
        <f t="shared" si="83"/>
        <v>1222</v>
      </c>
      <c r="B1225" s="428">
        <v>44624</v>
      </c>
      <c r="C1225" s="424">
        <v>44621</v>
      </c>
      <c r="D1225" s="415" t="s">
        <v>271</v>
      </c>
      <c r="E1225" s="415" t="s">
        <v>71</v>
      </c>
      <c r="F1225" s="425">
        <v>11</v>
      </c>
      <c r="G1225" s="427" t="s">
        <v>1247</v>
      </c>
      <c r="H1225" s="415" t="s">
        <v>310</v>
      </c>
      <c r="I1225" s="398" t="s">
        <v>881</v>
      </c>
      <c r="J1225" s="418" t="s">
        <v>882</v>
      </c>
      <c r="K1225" s="418" t="s">
        <v>883</v>
      </c>
      <c r="L1225" s="399" t="s">
        <v>798</v>
      </c>
      <c r="M1225" s="544" t="s">
        <v>310</v>
      </c>
      <c r="N1225" s="414">
        <v>44624</v>
      </c>
      <c r="O1225" s="414" t="s">
        <v>400</v>
      </c>
      <c r="P1225" s="222">
        <f t="shared" si="80"/>
        <v>3</v>
      </c>
      <c r="Q1225" s="222">
        <f t="shared" si="81"/>
        <v>3</v>
      </c>
      <c r="R1225" s="532" t="str">
        <f t="shared" si="82"/>
        <v>Gastos_Gerais</v>
      </c>
      <c r="S1225" s="467" t="s">
        <v>310</v>
      </c>
      <c r="T1225" s="467" t="s">
        <v>310</v>
      </c>
      <c r="U1225" s="496"/>
      <c r="V1225" s="496"/>
      <c r="W1225" s="496"/>
    </row>
    <row r="1226" spans="1:23" ht="24" x14ac:dyDescent="0.2">
      <c r="A1226" s="510">
        <f t="shared" si="83"/>
        <v>1223</v>
      </c>
      <c r="B1226" s="428">
        <v>44624</v>
      </c>
      <c r="C1226" s="424">
        <v>44621</v>
      </c>
      <c r="D1226" s="415" t="s">
        <v>271</v>
      </c>
      <c r="E1226" s="415" t="s">
        <v>71</v>
      </c>
      <c r="F1226" s="425">
        <v>11</v>
      </c>
      <c r="G1226" s="427" t="s">
        <v>1247</v>
      </c>
      <c r="H1226" s="415" t="s">
        <v>310</v>
      </c>
      <c r="I1226" s="398" t="s">
        <v>881</v>
      </c>
      <c r="J1226" s="418" t="s">
        <v>882</v>
      </c>
      <c r="K1226" s="418" t="s">
        <v>883</v>
      </c>
      <c r="L1226" s="399" t="s">
        <v>798</v>
      </c>
      <c r="M1226" s="544" t="s">
        <v>310</v>
      </c>
      <c r="N1226" s="414">
        <v>44624</v>
      </c>
      <c r="O1226" s="414" t="s">
        <v>400</v>
      </c>
      <c r="P1226" s="222">
        <f t="shared" si="80"/>
        <v>3</v>
      </c>
      <c r="Q1226" s="222">
        <f t="shared" si="81"/>
        <v>3</v>
      </c>
      <c r="R1226" s="532" t="str">
        <f t="shared" si="82"/>
        <v>Gastos_Gerais</v>
      </c>
      <c r="S1226" s="467" t="s">
        <v>310</v>
      </c>
      <c r="T1226" s="467" t="s">
        <v>310</v>
      </c>
      <c r="U1226" s="496"/>
      <c r="V1226" s="496"/>
      <c r="W1226" s="496"/>
    </row>
    <row r="1227" spans="1:23" ht="24" x14ac:dyDescent="0.2">
      <c r="A1227" s="510">
        <f t="shared" si="83"/>
        <v>1224</v>
      </c>
      <c r="B1227" s="428">
        <v>44624</v>
      </c>
      <c r="C1227" s="424">
        <v>44621</v>
      </c>
      <c r="D1227" s="415" t="s">
        <v>271</v>
      </c>
      <c r="E1227" s="415" t="s">
        <v>71</v>
      </c>
      <c r="F1227" s="425">
        <v>11</v>
      </c>
      <c r="G1227" s="427" t="s">
        <v>1247</v>
      </c>
      <c r="H1227" s="415" t="s">
        <v>310</v>
      </c>
      <c r="I1227" s="398" t="s">
        <v>881</v>
      </c>
      <c r="J1227" s="418" t="s">
        <v>882</v>
      </c>
      <c r="K1227" s="418" t="s">
        <v>883</v>
      </c>
      <c r="L1227" s="399" t="s">
        <v>798</v>
      </c>
      <c r="M1227" s="544" t="s">
        <v>310</v>
      </c>
      <c r="N1227" s="414">
        <v>44624</v>
      </c>
      <c r="O1227" s="414" t="s">
        <v>400</v>
      </c>
      <c r="P1227" s="222">
        <f t="shared" si="80"/>
        <v>3</v>
      </c>
      <c r="Q1227" s="222">
        <f t="shared" si="81"/>
        <v>3</v>
      </c>
      <c r="R1227" s="532" t="str">
        <f t="shared" si="82"/>
        <v>Gastos_Gerais</v>
      </c>
      <c r="S1227" s="467" t="s">
        <v>310</v>
      </c>
      <c r="T1227" s="467" t="s">
        <v>310</v>
      </c>
      <c r="U1227" s="496"/>
      <c r="V1227" s="496"/>
      <c r="W1227" s="496"/>
    </row>
    <row r="1228" spans="1:23" ht="24" x14ac:dyDescent="0.2">
      <c r="A1228" s="510">
        <f t="shared" si="83"/>
        <v>1225</v>
      </c>
      <c r="B1228" s="428">
        <v>44624</v>
      </c>
      <c r="C1228" s="424">
        <v>44621</v>
      </c>
      <c r="D1228" s="415" t="s">
        <v>271</v>
      </c>
      <c r="E1228" s="415" t="s">
        <v>71</v>
      </c>
      <c r="F1228" s="425">
        <v>11</v>
      </c>
      <c r="G1228" s="427" t="s">
        <v>1233</v>
      </c>
      <c r="H1228" s="415" t="s">
        <v>310</v>
      </c>
      <c r="I1228" s="398" t="s">
        <v>881</v>
      </c>
      <c r="J1228" s="418" t="s">
        <v>882</v>
      </c>
      <c r="K1228" s="418" t="s">
        <v>883</v>
      </c>
      <c r="L1228" s="399" t="s">
        <v>798</v>
      </c>
      <c r="M1228" s="544" t="s">
        <v>310</v>
      </c>
      <c r="N1228" s="414">
        <v>44624</v>
      </c>
      <c r="O1228" s="414" t="s">
        <v>400</v>
      </c>
      <c r="P1228" s="222">
        <f t="shared" si="80"/>
        <v>3</v>
      </c>
      <c r="Q1228" s="222">
        <f t="shared" si="81"/>
        <v>3</v>
      </c>
      <c r="R1228" s="532" t="str">
        <f t="shared" si="82"/>
        <v>Gastos_Gerais</v>
      </c>
      <c r="S1228" s="467" t="s">
        <v>310</v>
      </c>
      <c r="T1228" s="467" t="s">
        <v>310</v>
      </c>
      <c r="U1228" s="496"/>
      <c r="V1228" s="496"/>
      <c r="W1228" s="496"/>
    </row>
    <row r="1229" spans="1:23" ht="24" x14ac:dyDescent="0.2">
      <c r="A1229" s="510">
        <f t="shared" si="83"/>
        <v>1226</v>
      </c>
      <c r="B1229" s="428">
        <v>44624</v>
      </c>
      <c r="C1229" s="424">
        <v>44621</v>
      </c>
      <c r="D1229" s="415" t="s">
        <v>271</v>
      </c>
      <c r="E1229" s="415" t="s">
        <v>71</v>
      </c>
      <c r="F1229" s="425">
        <v>11</v>
      </c>
      <c r="G1229" s="427" t="s">
        <v>1233</v>
      </c>
      <c r="H1229" s="415" t="s">
        <v>310</v>
      </c>
      <c r="I1229" s="398" t="s">
        <v>881</v>
      </c>
      <c r="J1229" s="418" t="s">
        <v>882</v>
      </c>
      <c r="K1229" s="418" t="s">
        <v>883</v>
      </c>
      <c r="L1229" s="399" t="s">
        <v>798</v>
      </c>
      <c r="M1229" s="544" t="s">
        <v>310</v>
      </c>
      <c r="N1229" s="414">
        <v>44624</v>
      </c>
      <c r="O1229" s="414" t="s">
        <v>400</v>
      </c>
      <c r="P1229" s="222">
        <f t="shared" si="80"/>
        <v>3</v>
      </c>
      <c r="Q1229" s="222">
        <f t="shared" si="81"/>
        <v>3</v>
      </c>
      <c r="R1229" s="532" t="str">
        <f t="shared" si="82"/>
        <v>Gastos_Gerais</v>
      </c>
      <c r="S1229" s="467" t="s">
        <v>310</v>
      </c>
      <c r="T1229" s="467" t="s">
        <v>310</v>
      </c>
      <c r="U1229" s="496"/>
      <c r="V1229" s="496"/>
      <c r="W1229" s="496"/>
    </row>
    <row r="1230" spans="1:23" ht="24" x14ac:dyDescent="0.2">
      <c r="A1230" s="510">
        <f t="shared" si="83"/>
        <v>1227</v>
      </c>
      <c r="B1230" s="428">
        <v>44624</v>
      </c>
      <c r="C1230" s="424">
        <v>44621</v>
      </c>
      <c r="D1230" s="415" t="s">
        <v>271</v>
      </c>
      <c r="E1230" s="415" t="s">
        <v>71</v>
      </c>
      <c r="F1230" s="425">
        <v>11</v>
      </c>
      <c r="G1230" s="427" t="s">
        <v>1233</v>
      </c>
      <c r="H1230" s="415" t="s">
        <v>310</v>
      </c>
      <c r="I1230" s="398" t="s">
        <v>881</v>
      </c>
      <c r="J1230" s="418" t="s">
        <v>882</v>
      </c>
      <c r="K1230" s="418" t="s">
        <v>883</v>
      </c>
      <c r="L1230" s="399" t="s">
        <v>798</v>
      </c>
      <c r="M1230" s="544" t="s">
        <v>310</v>
      </c>
      <c r="N1230" s="414">
        <v>44624</v>
      </c>
      <c r="O1230" s="414" t="s">
        <v>400</v>
      </c>
      <c r="P1230" s="222">
        <f t="shared" si="80"/>
        <v>3</v>
      </c>
      <c r="Q1230" s="222">
        <f t="shared" si="81"/>
        <v>3</v>
      </c>
      <c r="R1230" s="532" t="str">
        <f t="shared" si="82"/>
        <v>Gastos_Gerais</v>
      </c>
      <c r="S1230" s="467" t="s">
        <v>310</v>
      </c>
      <c r="T1230" s="467" t="s">
        <v>310</v>
      </c>
      <c r="U1230" s="496"/>
      <c r="V1230" s="496"/>
      <c r="W1230" s="496"/>
    </row>
    <row r="1231" spans="1:23" ht="48" x14ac:dyDescent="0.2">
      <c r="A1231" s="510">
        <f t="shared" si="83"/>
        <v>1228</v>
      </c>
      <c r="B1231" s="428">
        <v>44627</v>
      </c>
      <c r="C1231" s="431">
        <v>44593</v>
      </c>
      <c r="D1231" s="415" t="s">
        <v>271</v>
      </c>
      <c r="E1231" s="415" t="s">
        <v>9</v>
      </c>
      <c r="F1231" s="435">
        <v>-1741.71</v>
      </c>
      <c r="G1231" s="437" t="s">
        <v>1622</v>
      </c>
      <c r="H1231" s="415" t="s">
        <v>309</v>
      </c>
      <c r="I1231" s="474" t="s">
        <v>795</v>
      </c>
      <c r="J1231" s="434" t="s">
        <v>796</v>
      </c>
      <c r="K1231" s="434" t="s">
        <v>797</v>
      </c>
      <c r="L1231" s="434" t="s">
        <v>798</v>
      </c>
      <c r="M1231" s="436" t="s">
        <v>310</v>
      </c>
      <c r="N1231" s="414">
        <v>44627</v>
      </c>
      <c r="O1231" s="414" t="s">
        <v>400</v>
      </c>
      <c r="P1231" s="222">
        <f t="shared" si="80"/>
        <v>3</v>
      </c>
      <c r="Q1231" s="222">
        <f t="shared" si="81"/>
        <v>2</v>
      </c>
      <c r="R1231" s="532" t="str">
        <f t="shared" si="82"/>
        <v>Gastos_Gerais</v>
      </c>
      <c r="S1231" s="467" t="s">
        <v>310</v>
      </c>
      <c r="T1231" s="467" t="s">
        <v>310</v>
      </c>
      <c r="U1231" s="496"/>
      <c r="V1231" s="496"/>
      <c r="W1231" s="496"/>
    </row>
    <row r="1232" spans="1:23" ht="60" x14ac:dyDescent="0.2">
      <c r="A1232" s="510">
        <f t="shared" si="83"/>
        <v>1229</v>
      </c>
      <c r="B1232" s="428">
        <v>44627</v>
      </c>
      <c r="C1232" s="431">
        <v>44593</v>
      </c>
      <c r="D1232" s="415" t="s">
        <v>271</v>
      </c>
      <c r="E1232" s="415" t="s">
        <v>59</v>
      </c>
      <c r="F1232" s="425">
        <v>-2244.85</v>
      </c>
      <c r="G1232" s="427" t="s">
        <v>2066</v>
      </c>
      <c r="H1232" s="415" t="s">
        <v>309</v>
      </c>
      <c r="I1232" s="473" t="s">
        <v>795</v>
      </c>
      <c r="J1232" s="415" t="s">
        <v>796</v>
      </c>
      <c r="K1232" s="415" t="s">
        <v>797</v>
      </c>
      <c r="L1232" s="415" t="s">
        <v>798</v>
      </c>
      <c r="M1232" s="415" t="s">
        <v>310</v>
      </c>
      <c r="N1232" s="414">
        <v>44627</v>
      </c>
      <c r="O1232" s="414" t="s">
        <v>400</v>
      </c>
      <c r="P1232" s="222">
        <f t="shared" si="80"/>
        <v>3</v>
      </c>
      <c r="Q1232" s="222">
        <f t="shared" si="81"/>
        <v>2</v>
      </c>
      <c r="R1232" s="532" t="str">
        <f t="shared" si="82"/>
        <v>Gastos_Gerais</v>
      </c>
      <c r="S1232" s="467" t="s">
        <v>310</v>
      </c>
      <c r="T1232" s="467" t="s">
        <v>310</v>
      </c>
      <c r="U1232" s="496"/>
      <c r="V1232" s="496"/>
      <c r="W1232" s="496"/>
    </row>
    <row r="1233" spans="1:23" ht="60" x14ac:dyDescent="0.2">
      <c r="A1233" s="510">
        <f t="shared" si="83"/>
        <v>1230</v>
      </c>
      <c r="B1233" s="428">
        <v>44627</v>
      </c>
      <c r="C1233" s="431">
        <v>44593</v>
      </c>
      <c r="D1233" s="415" t="s">
        <v>182</v>
      </c>
      <c r="E1233" s="415" t="s">
        <v>4</v>
      </c>
      <c r="F1233" s="425">
        <v>-2527.04</v>
      </c>
      <c r="G1233" s="427" t="s">
        <v>2067</v>
      </c>
      <c r="H1233" s="415" t="s">
        <v>310</v>
      </c>
      <c r="I1233" s="473" t="s">
        <v>795</v>
      </c>
      <c r="J1233" s="415" t="s">
        <v>796</v>
      </c>
      <c r="K1233" s="415" t="s">
        <v>797</v>
      </c>
      <c r="L1233" s="415" t="s">
        <v>798</v>
      </c>
      <c r="M1233" s="415" t="s">
        <v>310</v>
      </c>
      <c r="N1233" s="414">
        <v>44627</v>
      </c>
      <c r="O1233" s="414" t="s">
        <v>400</v>
      </c>
      <c r="P1233" s="222">
        <f t="shared" si="80"/>
        <v>3</v>
      </c>
      <c r="Q1233" s="222">
        <f t="shared" si="81"/>
        <v>2</v>
      </c>
      <c r="R1233" s="532" t="str">
        <f t="shared" si="82"/>
        <v>Gastos_com_Pessoal</v>
      </c>
      <c r="S1233" s="467" t="s">
        <v>310</v>
      </c>
      <c r="T1233" s="467" t="s">
        <v>310</v>
      </c>
      <c r="U1233" s="496"/>
      <c r="V1233" s="496"/>
      <c r="W1233" s="496"/>
    </row>
    <row r="1234" spans="1:23" s="310" customFormat="1" ht="60" x14ac:dyDescent="0.2">
      <c r="A1234" s="510">
        <f t="shared" si="83"/>
        <v>1231</v>
      </c>
      <c r="B1234" s="428">
        <v>44627</v>
      </c>
      <c r="C1234" s="431">
        <v>44593</v>
      </c>
      <c r="D1234" s="415" t="s">
        <v>271</v>
      </c>
      <c r="E1234" s="415" t="s">
        <v>186</v>
      </c>
      <c r="F1234" s="425">
        <v>-154.06</v>
      </c>
      <c r="G1234" s="427" t="s">
        <v>887</v>
      </c>
      <c r="H1234" s="415" t="s">
        <v>309</v>
      </c>
      <c r="I1234" s="473" t="s">
        <v>795</v>
      </c>
      <c r="J1234" s="415" t="s">
        <v>796</v>
      </c>
      <c r="K1234" s="415" t="s">
        <v>797</v>
      </c>
      <c r="L1234" s="415" t="s">
        <v>798</v>
      </c>
      <c r="M1234" s="415" t="s">
        <v>310</v>
      </c>
      <c r="N1234" s="414">
        <v>44627</v>
      </c>
      <c r="O1234" s="414" t="s">
        <v>400</v>
      </c>
      <c r="P1234" s="222">
        <f t="shared" si="80"/>
        <v>3</v>
      </c>
      <c r="Q1234" s="222">
        <f t="shared" si="81"/>
        <v>2</v>
      </c>
      <c r="R1234" s="532" t="str">
        <f t="shared" si="82"/>
        <v>Gastos_Gerais</v>
      </c>
      <c r="S1234" s="467" t="s">
        <v>310</v>
      </c>
      <c r="T1234" s="467" t="s">
        <v>310</v>
      </c>
      <c r="U1234" s="496"/>
      <c r="V1234" s="496"/>
      <c r="W1234" s="496"/>
    </row>
    <row r="1235" spans="1:23" s="310" customFormat="1" ht="60" x14ac:dyDescent="0.2">
      <c r="A1235" s="510">
        <f t="shared" si="83"/>
        <v>1232</v>
      </c>
      <c r="B1235" s="428">
        <v>44627</v>
      </c>
      <c r="C1235" s="431">
        <v>44593</v>
      </c>
      <c r="D1235" s="415" t="s">
        <v>271</v>
      </c>
      <c r="E1235" s="415" t="s">
        <v>186</v>
      </c>
      <c r="F1235" s="435">
        <v>-188.04</v>
      </c>
      <c r="G1235" s="437" t="s">
        <v>887</v>
      </c>
      <c r="H1235" s="434" t="s">
        <v>309</v>
      </c>
      <c r="I1235" s="474" t="s">
        <v>795</v>
      </c>
      <c r="J1235" s="434" t="s">
        <v>796</v>
      </c>
      <c r="K1235" s="434" t="s">
        <v>797</v>
      </c>
      <c r="L1235" s="434" t="s">
        <v>798</v>
      </c>
      <c r="M1235" s="436" t="s">
        <v>310</v>
      </c>
      <c r="N1235" s="414">
        <v>44627</v>
      </c>
      <c r="O1235" s="414" t="s">
        <v>400</v>
      </c>
      <c r="P1235" s="222">
        <f t="shared" si="80"/>
        <v>3</v>
      </c>
      <c r="Q1235" s="222">
        <f t="shared" si="81"/>
        <v>2</v>
      </c>
      <c r="R1235" s="532" t="str">
        <f t="shared" si="82"/>
        <v>Gastos_Gerais</v>
      </c>
      <c r="S1235" s="467" t="s">
        <v>310</v>
      </c>
      <c r="T1235" s="467" t="s">
        <v>310</v>
      </c>
      <c r="U1235" s="496"/>
      <c r="V1235" s="496"/>
      <c r="W1235" s="496"/>
    </row>
    <row r="1236" spans="1:23" ht="48" customHeight="1" x14ac:dyDescent="0.2">
      <c r="A1236" s="510">
        <f t="shared" si="83"/>
        <v>1233</v>
      </c>
      <c r="B1236" s="428">
        <v>44627</v>
      </c>
      <c r="C1236" s="431">
        <v>44593</v>
      </c>
      <c r="D1236" s="415" t="s">
        <v>271</v>
      </c>
      <c r="E1236" s="415" t="s">
        <v>90</v>
      </c>
      <c r="F1236" s="425">
        <v>-1980.75</v>
      </c>
      <c r="G1236" s="427" t="s">
        <v>2068</v>
      </c>
      <c r="H1236" s="415" t="s">
        <v>309</v>
      </c>
      <c r="I1236" s="473" t="s">
        <v>795</v>
      </c>
      <c r="J1236" s="415" t="s">
        <v>796</v>
      </c>
      <c r="K1236" s="415" t="s">
        <v>797</v>
      </c>
      <c r="L1236" s="415" t="s">
        <v>798</v>
      </c>
      <c r="M1236" s="415" t="s">
        <v>310</v>
      </c>
      <c r="N1236" s="414">
        <v>44627</v>
      </c>
      <c r="O1236" s="414" t="s">
        <v>400</v>
      </c>
      <c r="P1236" s="222">
        <f t="shared" si="80"/>
        <v>3</v>
      </c>
      <c r="Q1236" s="222">
        <f t="shared" si="81"/>
        <v>2</v>
      </c>
      <c r="R1236" s="532" t="str">
        <f t="shared" si="82"/>
        <v>Gastos_Gerais</v>
      </c>
      <c r="S1236" s="467" t="s">
        <v>310</v>
      </c>
      <c r="T1236" s="467" t="s">
        <v>310</v>
      </c>
      <c r="U1236" s="496"/>
      <c r="V1236" s="496"/>
      <c r="W1236" s="496"/>
    </row>
    <row r="1237" spans="1:23" ht="48" x14ac:dyDescent="0.2">
      <c r="A1237" s="510">
        <f t="shared" si="83"/>
        <v>1234</v>
      </c>
      <c r="B1237" s="428">
        <v>44627</v>
      </c>
      <c r="C1237" s="431">
        <v>44593</v>
      </c>
      <c r="D1237" s="415" t="s">
        <v>182</v>
      </c>
      <c r="E1237" s="415" t="s">
        <v>4</v>
      </c>
      <c r="F1237" s="425">
        <v>-151.41999999999999</v>
      </c>
      <c r="G1237" s="427" t="s">
        <v>2069</v>
      </c>
      <c r="H1237" s="415" t="s">
        <v>310</v>
      </c>
      <c r="I1237" s="473" t="s">
        <v>795</v>
      </c>
      <c r="J1237" s="415" t="s">
        <v>796</v>
      </c>
      <c r="K1237" s="415" t="s">
        <v>797</v>
      </c>
      <c r="L1237" s="415" t="s">
        <v>798</v>
      </c>
      <c r="M1237" s="415" t="s">
        <v>310</v>
      </c>
      <c r="N1237" s="414">
        <v>44627</v>
      </c>
      <c r="O1237" s="414" t="s">
        <v>400</v>
      </c>
      <c r="P1237" s="222">
        <f t="shared" si="80"/>
        <v>3</v>
      </c>
      <c r="Q1237" s="222">
        <f t="shared" si="81"/>
        <v>2</v>
      </c>
      <c r="R1237" s="532" t="str">
        <f t="shared" si="82"/>
        <v>Gastos_com_Pessoal</v>
      </c>
      <c r="S1237" s="467" t="s">
        <v>310</v>
      </c>
      <c r="T1237" s="467" t="s">
        <v>310</v>
      </c>
      <c r="U1237" s="496"/>
      <c r="V1237" s="496"/>
      <c r="W1237" s="496"/>
    </row>
    <row r="1238" spans="1:23" ht="48" x14ac:dyDescent="0.2">
      <c r="A1238" s="510">
        <f t="shared" si="83"/>
        <v>1235</v>
      </c>
      <c r="B1238" s="428">
        <v>44627</v>
      </c>
      <c r="C1238" s="431">
        <v>44593</v>
      </c>
      <c r="D1238" s="415" t="s">
        <v>34</v>
      </c>
      <c r="E1238" s="415" t="s">
        <v>330</v>
      </c>
      <c r="F1238" s="425">
        <v>906000</v>
      </c>
      <c r="G1238" s="427" t="s">
        <v>1930</v>
      </c>
      <c r="H1238" s="415" t="s">
        <v>310</v>
      </c>
      <c r="I1238" s="473" t="s">
        <v>795</v>
      </c>
      <c r="J1238" s="415" t="s">
        <v>796</v>
      </c>
      <c r="K1238" s="415" t="s">
        <v>797</v>
      </c>
      <c r="L1238" s="415" t="s">
        <v>1305</v>
      </c>
      <c r="M1238" s="415" t="s">
        <v>310</v>
      </c>
      <c r="N1238" s="414">
        <v>44627</v>
      </c>
      <c r="O1238" s="414" t="s">
        <v>400</v>
      </c>
      <c r="P1238" s="222">
        <f t="shared" si="80"/>
        <v>3</v>
      </c>
      <c r="Q1238" s="222">
        <f t="shared" si="81"/>
        <v>2</v>
      </c>
      <c r="R1238" s="532" t="str">
        <f t="shared" si="82"/>
        <v>Receitas</v>
      </c>
      <c r="S1238" s="467" t="s">
        <v>310</v>
      </c>
      <c r="T1238" s="467" t="s">
        <v>310</v>
      </c>
      <c r="U1238" s="496"/>
      <c r="V1238" s="496"/>
      <c r="W1238" s="496"/>
    </row>
    <row r="1239" spans="1:23" ht="36" x14ac:dyDescent="0.2">
      <c r="A1239" s="510">
        <f t="shared" si="83"/>
        <v>1236</v>
      </c>
      <c r="B1239" s="428">
        <v>44627</v>
      </c>
      <c r="C1239" s="431">
        <v>44593</v>
      </c>
      <c r="D1239" s="415" t="s">
        <v>182</v>
      </c>
      <c r="E1239" s="415" t="s">
        <v>1</v>
      </c>
      <c r="F1239" s="425">
        <v>2871.58</v>
      </c>
      <c r="G1239" s="427" t="s">
        <v>2072</v>
      </c>
      <c r="H1239" s="415" t="s">
        <v>310</v>
      </c>
      <c r="I1239" s="473" t="s">
        <v>985</v>
      </c>
      <c r="J1239" s="415" t="s">
        <v>986</v>
      </c>
      <c r="K1239" s="415" t="s">
        <v>830</v>
      </c>
      <c r="L1239" s="415" t="s">
        <v>909</v>
      </c>
      <c r="M1239" s="415" t="s">
        <v>310</v>
      </c>
      <c r="N1239" s="414">
        <v>44627</v>
      </c>
      <c r="O1239" s="414" t="s">
        <v>400</v>
      </c>
      <c r="P1239" s="222">
        <f t="shared" ref="P1239:P1302" si="84">IF(B1239=0,0,IF(YEAR(B1239)=$Q$1,MONTH(B1239)-$P$1+1,(YEAR(B1239)-$Q$1)*12-$P$1+1+MONTH(B1239)))</f>
        <v>3</v>
      </c>
      <c r="Q1239" s="222">
        <f t="shared" ref="Q1239:Q1302" si="85">IF(C1239=0,0,IF(YEAR(C1239)=$Q$1,MONTH(C1239)-$P$1+1,(YEAR(C1239)-$Q$1)*12-$P$1+1+MONTH(C1239)))</f>
        <v>2</v>
      </c>
      <c r="R1239" s="532" t="str">
        <f t="shared" ref="R1239:R1302" si="86">SUBSTITUTE(D1239," ","_")</f>
        <v>Gastos_com_Pessoal</v>
      </c>
      <c r="S1239" s="467" t="s">
        <v>310</v>
      </c>
      <c r="T1239" s="467" t="s">
        <v>310</v>
      </c>
      <c r="U1239" s="496"/>
      <c r="V1239" s="496"/>
      <c r="W1239" s="496"/>
    </row>
    <row r="1240" spans="1:23" ht="24" x14ac:dyDescent="0.2">
      <c r="A1240" s="510">
        <f t="shared" si="83"/>
        <v>1237</v>
      </c>
      <c r="B1240" s="428">
        <v>44627</v>
      </c>
      <c r="C1240" s="431">
        <v>44593</v>
      </c>
      <c r="D1240" s="415" t="s">
        <v>182</v>
      </c>
      <c r="E1240" s="415" t="s">
        <v>4</v>
      </c>
      <c r="F1240" s="425">
        <v>18524.87</v>
      </c>
      <c r="G1240" s="440" t="s">
        <v>2073</v>
      </c>
      <c r="H1240" s="415" t="s">
        <v>310</v>
      </c>
      <c r="I1240" s="398" t="s">
        <v>1219</v>
      </c>
      <c r="J1240" s="418" t="s">
        <v>310</v>
      </c>
      <c r="K1240" s="418" t="s">
        <v>1220</v>
      </c>
      <c r="L1240" s="399" t="s">
        <v>4</v>
      </c>
      <c r="M1240" s="543" t="s">
        <v>310</v>
      </c>
      <c r="N1240" s="414">
        <v>44627</v>
      </c>
      <c r="O1240" s="414" t="s">
        <v>400</v>
      </c>
      <c r="P1240" s="222">
        <f t="shared" si="84"/>
        <v>3</v>
      </c>
      <c r="Q1240" s="222">
        <f t="shared" si="85"/>
        <v>2</v>
      </c>
      <c r="R1240" s="532" t="str">
        <f t="shared" si="86"/>
        <v>Gastos_com_Pessoal</v>
      </c>
      <c r="S1240" s="467" t="s">
        <v>310</v>
      </c>
      <c r="T1240" s="467" t="s">
        <v>310</v>
      </c>
      <c r="U1240" s="496"/>
      <c r="V1240" s="496"/>
      <c r="W1240" s="496"/>
    </row>
    <row r="1241" spans="1:23" ht="24" x14ac:dyDescent="0.2">
      <c r="A1241" s="510">
        <f t="shared" si="83"/>
        <v>1238</v>
      </c>
      <c r="B1241" s="428">
        <v>44627</v>
      </c>
      <c r="C1241" s="431">
        <v>44593</v>
      </c>
      <c r="D1241" s="415" t="s">
        <v>271</v>
      </c>
      <c r="E1241" s="415" t="s">
        <v>297</v>
      </c>
      <c r="F1241" s="425">
        <v>21908.73</v>
      </c>
      <c r="G1241" s="427" t="s">
        <v>520</v>
      </c>
      <c r="H1241" s="415" t="s">
        <v>750</v>
      </c>
      <c r="I1241" s="473" t="s">
        <v>774</v>
      </c>
      <c r="J1241" s="415" t="s">
        <v>844</v>
      </c>
      <c r="K1241" s="415" t="s">
        <v>812</v>
      </c>
      <c r="L1241" s="415" t="s">
        <v>310</v>
      </c>
      <c r="M1241" s="415" t="s">
        <v>310</v>
      </c>
      <c r="N1241" s="414">
        <v>44627</v>
      </c>
      <c r="O1241" s="414" t="s">
        <v>400</v>
      </c>
      <c r="P1241" s="222">
        <f t="shared" si="84"/>
        <v>3</v>
      </c>
      <c r="Q1241" s="222">
        <f t="shared" si="85"/>
        <v>2</v>
      </c>
      <c r="R1241" s="532" t="str">
        <f t="shared" si="86"/>
        <v>Gastos_Gerais</v>
      </c>
      <c r="S1241" s="467" t="s">
        <v>310</v>
      </c>
      <c r="T1241" s="467" t="s">
        <v>310</v>
      </c>
      <c r="U1241" s="496"/>
      <c r="V1241" s="496"/>
      <c r="W1241" s="496"/>
    </row>
    <row r="1242" spans="1:23" ht="24" x14ac:dyDescent="0.2">
      <c r="A1242" s="510">
        <f t="shared" si="83"/>
        <v>1239</v>
      </c>
      <c r="B1242" s="428">
        <v>44627</v>
      </c>
      <c r="C1242" s="424">
        <v>44621</v>
      </c>
      <c r="D1242" s="415" t="s">
        <v>271</v>
      </c>
      <c r="E1242" s="415" t="s">
        <v>71</v>
      </c>
      <c r="F1242" s="425">
        <v>11</v>
      </c>
      <c r="G1242" s="427" t="s">
        <v>2087</v>
      </c>
      <c r="H1242" s="415" t="s">
        <v>310</v>
      </c>
      <c r="I1242" s="398" t="s">
        <v>881</v>
      </c>
      <c r="J1242" s="418" t="s">
        <v>882</v>
      </c>
      <c r="K1242" s="418" t="s">
        <v>883</v>
      </c>
      <c r="L1242" s="399" t="s">
        <v>798</v>
      </c>
      <c r="M1242" s="544" t="s">
        <v>310</v>
      </c>
      <c r="N1242" s="414">
        <v>44627</v>
      </c>
      <c r="O1242" s="414" t="s">
        <v>400</v>
      </c>
      <c r="P1242" s="222">
        <f t="shared" si="84"/>
        <v>3</v>
      </c>
      <c r="Q1242" s="222">
        <f t="shared" si="85"/>
        <v>3</v>
      </c>
      <c r="R1242" s="532" t="str">
        <f t="shared" si="86"/>
        <v>Gastos_Gerais</v>
      </c>
      <c r="S1242" s="467" t="s">
        <v>310</v>
      </c>
      <c r="T1242" s="467" t="s">
        <v>310</v>
      </c>
      <c r="U1242" s="496"/>
      <c r="V1242" s="496"/>
      <c r="W1242" s="496"/>
    </row>
    <row r="1243" spans="1:23" ht="36" x14ac:dyDescent="0.2">
      <c r="A1243" s="510">
        <f t="shared" si="83"/>
        <v>1240</v>
      </c>
      <c r="B1243" s="428">
        <v>44627</v>
      </c>
      <c r="C1243" s="424">
        <v>44621</v>
      </c>
      <c r="D1243" s="415" t="s">
        <v>271</v>
      </c>
      <c r="E1243" s="415" t="s">
        <v>71</v>
      </c>
      <c r="F1243" s="425">
        <v>11</v>
      </c>
      <c r="G1243" s="427" t="s">
        <v>2088</v>
      </c>
      <c r="H1243" s="415" t="s">
        <v>309</v>
      </c>
      <c r="I1243" s="398" t="s">
        <v>881</v>
      </c>
      <c r="J1243" s="418" t="s">
        <v>882</v>
      </c>
      <c r="K1243" s="418" t="s">
        <v>883</v>
      </c>
      <c r="L1243" s="399" t="s">
        <v>798</v>
      </c>
      <c r="M1243" s="544" t="s">
        <v>310</v>
      </c>
      <c r="N1243" s="414">
        <v>44627</v>
      </c>
      <c r="O1243" s="414" t="s">
        <v>400</v>
      </c>
      <c r="P1243" s="222">
        <f t="shared" si="84"/>
        <v>3</v>
      </c>
      <c r="Q1243" s="222">
        <f t="shared" si="85"/>
        <v>3</v>
      </c>
      <c r="R1243" s="532" t="str">
        <f t="shared" si="86"/>
        <v>Gastos_Gerais</v>
      </c>
      <c r="S1243" s="467" t="s">
        <v>310</v>
      </c>
      <c r="T1243" s="467" t="s">
        <v>310</v>
      </c>
      <c r="U1243" s="496"/>
      <c r="V1243" s="496"/>
      <c r="W1243" s="496"/>
    </row>
    <row r="1244" spans="1:23" ht="36" x14ac:dyDescent="0.2">
      <c r="A1244" s="510">
        <f t="shared" si="83"/>
        <v>1241</v>
      </c>
      <c r="B1244" s="428">
        <v>44627</v>
      </c>
      <c r="C1244" s="424">
        <v>44621</v>
      </c>
      <c r="D1244" s="415" t="s">
        <v>271</v>
      </c>
      <c r="E1244" s="415" t="s">
        <v>71</v>
      </c>
      <c r="F1244" s="425">
        <v>11</v>
      </c>
      <c r="G1244" s="427" t="s">
        <v>2089</v>
      </c>
      <c r="H1244" s="415" t="s">
        <v>754</v>
      </c>
      <c r="I1244" s="398" t="s">
        <v>881</v>
      </c>
      <c r="J1244" s="418" t="s">
        <v>882</v>
      </c>
      <c r="K1244" s="418" t="s">
        <v>883</v>
      </c>
      <c r="L1244" s="399" t="s">
        <v>798</v>
      </c>
      <c r="M1244" s="544" t="s">
        <v>310</v>
      </c>
      <c r="N1244" s="414">
        <v>44627</v>
      </c>
      <c r="O1244" s="414" t="s">
        <v>400</v>
      </c>
      <c r="P1244" s="222">
        <f t="shared" si="84"/>
        <v>3</v>
      </c>
      <c r="Q1244" s="222">
        <f t="shared" si="85"/>
        <v>3</v>
      </c>
      <c r="R1244" s="532" t="str">
        <f t="shared" si="86"/>
        <v>Gastos_Gerais</v>
      </c>
      <c r="S1244" s="467" t="s">
        <v>310</v>
      </c>
      <c r="T1244" s="467" t="s">
        <v>310</v>
      </c>
      <c r="U1244" s="496"/>
      <c r="V1244" s="496"/>
      <c r="W1244" s="496"/>
    </row>
    <row r="1245" spans="1:23" ht="36" x14ac:dyDescent="0.2">
      <c r="A1245" s="510">
        <f t="shared" si="83"/>
        <v>1242</v>
      </c>
      <c r="B1245" s="428">
        <v>44627</v>
      </c>
      <c r="C1245" s="424">
        <v>44621</v>
      </c>
      <c r="D1245" s="415" t="s">
        <v>271</v>
      </c>
      <c r="E1245" s="415" t="s">
        <v>71</v>
      </c>
      <c r="F1245" s="425">
        <v>11</v>
      </c>
      <c r="G1245" s="427" t="s">
        <v>2090</v>
      </c>
      <c r="H1245" s="415" t="s">
        <v>758</v>
      </c>
      <c r="I1245" s="398" t="s">
        <v>881</v>
      </c>
      <c r="J1245" s="418" t="s">
        <v>882</v>
      </c>
      <c r="K1245" s="418" t="s">
        <v>883</v>
      </c>
      <c r="L1245" s="399" t="s">
        <v>798</v>
      </c>
      <c r="M1245" s="544" t="s">
        <v>310</v>
      </c>
      <c r="N1245" s="414">
        <v>44627</v>
      </c>
      <c r="O1245" s="414" t="s">
        <v>400</v>
      </c>
      <c r="P1245" s="222">
        <f t="shared" si="84"/>
        <v>3</v>
      </c>
      <c r="Q1245" s="222">
        <f t="shared" si="85"/>
        <v>3</v>
      </c>
      <c r="R1245" s="532" t="str">
        <f t="shared" si="86"/>
        <v>Gastos_Gerais</v>
      </c>
      <c r="S1245" s="467" t="s">
        <v>310</v>
      </c>
      <c r="T1245" s="467" t="s">
        <v>310</v>
      </c>
      <c r="U1245" s="496"/>
      <c r="V1245" s="496"/>
      <c r="W1245" s="496"/>
    </row>
    <row r="1246" spans="1:23" ht="36" x14ac:dyDescent="0.2">
      <c r="A1246" s="510">
        <f t="shared" si="83"/>
        <v>1243</v>
      </c>
      <c r="B1246" s="428">
        <v>44627</v>
      </c>
      <c r="C1246" s="424">
        <v>44621</v>
      </c>
      <c r="D1246" s="415" t="s">
        <v>271</v>
      </c>
      <c r="E1246" s="415" t="s">
        <v>71</v>
      </c>
      <c r="F1246" s="425">
        <v>11</v>
      </c>
      <c r="G1246" s="427" t="s">
        <v>2091</v>
      </c>
      <c r="H1246" s="415" t="s">
        <v>754</v>
      </c>
      <c r="I1246" s="398" t="s">
        <v>881</v>
      </c>
      <c r="J1246" s="418" t="s">
        <v>882</v>
      </c>
      <c r="K1246" s="418" t="s">
        <v>883</v>
      </c>
      <c r="L1246" s="399" t="s">
        <v>798</v>
      </c>
      <c r="M1246" s="544" t="s">
        <v>310</v>
      </c>
      <c r="N1246" s="414">
        <v>44627</v>
      </c>
      <c r="O1246" s="414" t="s">
        <v>400</v>
      </c>
      <c r="P1246" s="222">
        <f t="shared" si="84"/>
        <v>3</v>
      </c>
      <c r="Q1246" s="222">
        <f t="shared" si="85"/>
        <v>3</v>
      </c>
      <c r="R1246" s="532" t="str">
        <f t="shared" si="86"/>
        <v>Gastos_Gerais</v>
      </c>
      <c r="S1246" s="467" t="s">
        <v>310</v>
      </c>
      <c r="T1246" s="467" t="s">
        <v>310</v>
      </c>
      <c r="U1246" s="496"/>
      <c r="V1246" s="496"/>
      <c r="W1246" s="496"/>
    </row>
    <row r="1247" spans="1:23" ht="36" x14ac:dyDescent="0.2">
      <c r="A1247" s="510">
        <f t="shared" si="83"/>
        <v>1244</v>
      </c>
      <c r="B1247" s="428">
        <v>44627</v>
      </c>
      <c r="C1247" s="424">
        <v>44621</v>
      </c>
      <c r="D1247" s="415" t="s">
        <v>271</v>
      </c>
      <c r="E1247" s="415" t="s">
        <v>71</v>
      </c>
      <c r="F1247" s="425">
        <v>11</v>
      </c>
      <c r="G1247" s="427" t="s">
        <v>2092</v>
      </c>
      <c r="H1247" s="415" t="s">
        <v>753</v>
      </c>
      <c r="I1247" s="398" t="s">
        <v>881</v>
      </c>
      <c r="J1247" s="418" t="s">
        <v>882</v>
      </c>
      <c r="K1247" s="418" t="s">
        <v>883</v>
      </c>
      <c r="L1247" s="399" t="s">
        <v>798</v>
      </c>
      <c r="M1247" s="544" t="s">
        <v>310</v>
      </c>
      <c r="N1247" s="414">
        <v>44627</v>
      </c>
      <c r="O1247" s="414" t="s">
        <v>400</v>
      </c>
      <c r="P1247" s="222">
        <f t="shared" si="84"/>
        <v>3</v>
      </c>
      <c r="Q1247" s="222">
        <f t="shared" si="85"/>
        <v>3</v>
      </c>
      <c r="R1247" s="532" t="str">
        <f t="shared" si="86"/>
        <v>Gastos_Gerais</v>
      </c>
      <c r="S1247" s="467" t="s">
        <v>310</v>
      </c>
      <c r="T1247" s="467" t="s">
        <v>310</v>
      </c>
      <c r="U1247" s="496"/>
      <c r="V1247" s="496"/>
      <c r="W1247" s="496"/>
    </row>
    <row r="1248" spans="1:23" ht="36" x14ac:dyDescent="0.2">
      <c r="A1248" s="510">
        <f t="shared" si="83"/>
        <v>1245</v>
      </c>
      <c r="B1248" s="428">
        <v>44627</v>
      </c>
      <c r="C1248" s="424">
        <v>44621</v>
      </c>
      <c r="D1248" s="415" t="s">
        <v>271</v>
      </c>
      <c r="E1248" s="415" t="s">
        <v>71</v>
      </c>
      <c r="F1248" s="425">
        <v>11</v>
      </c>
      <c r="G1248" s="427" t="s">
        <v>2458</v>
      </c>
      <c r="H1248" s="415" t="s">
        <v>309</v>
      </c>
      <c r="I1248" s="398" t="s">
        <v>881</v>
      </c>
      <c r="J1248" s="418" t="s">
        <v>882</v>
      </c>
      <c r="K1248" s="418" t="s">
        <v>883</v>
      </c>
      <c r="L1248" s="399" t="s">
        <v>798</v>
      </c>
      <c r="M1248" s="544" t="s">
        <v>310</v>
      </c>
      <c r="N1248" s="414">
        <v>44627</v>
      </c>
      <c r="O1248" s="414" t="s">
        <v>400</v>
      </c>
      <c r="P1248" s="222">
        <f t="shared" si="84"/>
        <v>3</v>
      </c>
      <c r="Q1248" s="222">
        <f t="shared" si="85"/>
        <v>3</v>
      </c>
      <c r="R1248" s="532" t="str">
        <f t="shared" si="86"/>
        <v>Gastos_Gerais</v>
      </c>
      <c r="S1248" s="467" t="s">
        <v>310</v>
      </c>
      <c r="T1248" s="467" t="s">
        <v>310</v>
      </c>
      <c r="U1248" s="496"/>
      <c r="V1248" s="496"/>
      <c r="W1248" s="496"/>
    </row>
    <row r="1249" spans="1:23" ht="36" x14ac:dyDescent="0.2">
      <c r="A1249" s="510">
        <f t="shared" si="83"/>
        <v>1246</v>
      </c>
      <c r="B1249" s="428">
        <v>44627</v>
      </c>
      <c r="C1249" s="424">
        <v>44621</v>
      </c>
      <c r="D1249" s="415" t="s">
        <v>271</v>
      </c>
      <c r="E1249" s="415" t="s">
        <v>71</v>
      </c>
      <c r="F1249" s="425">
        <v>11</v>
      </c>
      <c r="G1249" s="427" t="s">
        <v>2093</v>
      </c>
      <c r="H1249" s="415" t="s">
        <v>750</v>
      </c>
      <c r="I1249" s="398" t="s">
        <v>881</v>
      </c>
      <c r="J1249" s="418" t="s">
        <v>882</v>
      </c>
      <c r="K1249" s="418" t="s">
        <v>883</v>
      </c>
      <c r="L1249" s="399" t="s">
        <v>798</v>
      </c>
      <c r="M1249" s="544" t="s">
        <v>310</v>
      </c>
      <c r="N1249" s="414">
        <v>44627</v>
      </c>
      <c r="O1249" s="414" t="s">
        <v>400</v>
      </c>
      <c r="P1249" s="222">
        <f t="shared" si="84"/>
        <v>3</v>
      </c>
      <c r="Q1249" s="222">
        <f t="shared" si="85"/>
        <v>3</v>
      </c>
      <c r="R1249" s="532" t="str">
        <f t="shared" si="86"/>
        <v>Gastos_Gerais</v>
      </c>
      <c r="S1249" s="467" t="s">
        <v>310</v>
      </c>
      <c r="T1249" s="467" t="s">
        <v>310</v>
      </c>
      <c r="U1249" s="496"/>
      <c r="V1249" s="496"/>
      <c r="W1249" s="496"/>
    </row>
    <row r="1250" spans="1:23" ht="36" x14ac:dyDescent="0.2">
      <c r="A1250" s="510">
        <f t="shared" si="83"/>
        <v>1247</v>
      </c>
      <c r="B1250" s="428">
        <v>44627</v>
      </c>
      <c r="C1250" s="424">
        <v>44621</v>
      </c>
      <c r="D1250" s="415" t="s">
        <v>271</v>
      </c>
      <c r="E1250" s="415" t="s">
        <v>71</v>
      </c>
      <c r="F1250" s="425">
        <v>11</v>
      </c>
      <c r="G1250" s="427" t="s">
        <v>1799</v>
      </c>
      <c r="H1250" s="415" t="s">
        <v>754</v>
      </c>
      <c r="I1250" s="398" t="s">
        <v>881</v>
      </c>
      <c r="J1250" s="418" t="s">
        <v>882</v>
      </c>
      <c r="K1250" s="418" t="s">
        <v>883</v>
      </c>
      <c r="L1250" s="399" t="s">
        <v>798</v>
      </c>
      <c r="M1250" s="544" t="s">
        <v>310</v>
      </c>
      <c r="N1250" s="414">
        <v>44627</v>
      </c>
      <c r="O1250" s="414" t="s">
        <v>400</v>
      </c>
      <c r="P1250" s="222">
        <f t="shared" si="84"/>
        <v>3</v>
      </c>
      <c r="Q1250" s="222">
        <f t="shared" si="85"/>
        <v>3</v>
      </c>
      <c r="R1250" s="532" t="str">
        <f t="shared" si="86"/>
        <v>Gastos_Gerais</v>
      </c>
      <c r="S1250" s="467" t="s">
        <v>310</v>
      </c>
      <c r="T1250" s="467" t="s">
        <v>310</v>
      </c>
      <c r="U1250" s="496"/>
      <c r="V1250" s="496"/>
      <c r="W1250" s="496"/>
    </row>
    <row r="1251" spans="1:23" ht="24" x14ac:dyDescent="0.2">
      <c r="A1251" s="510">
        <f t="shared" si="83"/>
        <v>1248</v>
      </c>
      <c r="B1251" s="428">
        <v>44627</v>
      </c>
      <c r="C1251" s="424">
        <v>44621</v>
      </c>
      <c r="D1251" s="415" t="s">
        <v>271</v>
      </c>
      <c r="E1251" s="415" t="s">
        <v>71</v>
      </c>
      <c r="F1251" s="425">
        <v>153</v>
      </c>
      <c r="G1251" s="427" t="s">
        <v>880</v>
      </c>
      <c r="H1251" s="415" t="s">
        <v>309</v>
      </c>
      <c r="I1251" s="398" t="s">
        <v>881</v>
      </c>
      <c r="J1251" s="418" t="s">
        <v>882</v>
      </c>
      <c r="K1251" s="418" t="s">
        <v>883</v>
      </c>
      <c r="L1251" s="399" t="s">
        <v>798</v>
      </c>
      <c r="M1251" s="544" t="s">
        <v>310</v>
      </c>
      <c r="N1251" s="414">
        <v>44627</v>
      </c>
      <c r="O1251" s="414" t="s">
        <v>400</v>
      </c>
      <c r="P1251" s="222">
        <f t="shared" si="84"/>
        <v>3</v>
      </c>
      <c r="Q1251" s="222">
        <f t="shared" si="85"/>
        <v>3</v>
      </c>
      <c r="R1251" s="532" t="str">
        <f t="shared" si="86"/>
        <v>Gastos_Gerais</v>
      </c>
      <c r="S1251" s="467" t="s">
        <v>310</v>
      </c>
      <c r="T1251" s="467" t="s">
        <v>310</v>
      </c>
      <c r="U1251" s="496"/>
      <c r="V1251" s="496"/>
      <c r="W1251" s="496"/>
    </row>
    <row r="1252" spans="1:23" ht="60" x14ac:dyDescent="0.2">
      <c r="A1252" s="510">
        <f t="shared" si="83"/>
        <v>1249</v>
      </c>
      <c r="B1252" s="428">
        <v>44627</v>
      </c>
      <c r="C1252" s="431">
        <v>44593</v>
      </c>
      <c r="D1252" s="415" t="s">
        <v>468</v>
      </c>
      <c r="E1252" s="415" t="s">
        <v>468</v>
      </c>
      <c r="F1252" s="425">
        <v>6000</v>
      </c>
      <c r="G1252" s="427" t="s">
        <v>2678</v>
      </c>
      <c r="H1252" s="415" t="s">
        <v>468</v>
      </c>
      <c r="I1252" s="460" t="s">
        <v>2437</v>
      </c>
      <c r="J1252" s="461" t="s">
        <v>796</v>
      </c>
      <c r="K1252" s="461" t="s">
        <v>797</v>
      </c>
      <c r="L1252" s="460" t="s">
        <v>798</v>
      </c>
      <c r="M1252" s="461" t="s">
        <v>310</v>
      </c>
      <c r="N1252" s="414">
        <v>44627</v>
      </c>
      <c r="O1252" s="414" t="s">
        <v>404</v>
      </c>
      <c r="P1252" s="222">
        <f t="shared" si="84"/>
        <v>3</v>
      </c>
      <c r="Q1252" s="222">
        <f t="shared" si="85"/>
        <v>2</v>
      </c>
      <c r="R1252" s="532" t="str">
        <f t="shared" si="86"/>
        <v>Gastos_custeados_por_captação</v>
      </c>
      <c r="S1252" s="467" t="s">
        <v>310</v>
      </c>
      <c r="T1252" s="467" t="s">
        <v>310</v>
      </c>
      <c r="U1252" s="496"/>
      <c r="V1252" s="496"/>
      <c r="W1252" s="496"/>
    </row>
    <row r="1253" spans="1:23" ht="60" x14ac:dyDescent="0.2">
      <c r="A1253" s="510">
        <f t="shared" si="83"/>
        <v>1250</v>
      </c>
      <c r="B1253" s="428">
        <v>44627</v>
      </c>
      <c r="C1253" s="431">
        <v>44593</v>
      </c>
      <c r="D1253" s="415" t="s">
        <v>468</v>
      </c>
      <c r="E1253" s="415" t="s">
        <v>468</v>
      </c>
      <c r="F1253" s="425">
        <v>6000</v>
      </c>
      <c r="G1253" s="427" t="s">
        <v>2679</v>
      </c>
      <c r="H1253" s="415" t="s">
        <v>468</v>
      </c>
      <c r="I1253" s="460" t="s">
        <v>2437</v>
      </c>
      <c r="J1253" s="461" t="s">
        <v>796</v>
      </c>
      <c r="K1253" s="461" t="s">
        <v>797</v>
      </c>
      <c r="L1253" s="460" t="s">
        <v>798</v>
      </c>
      <c r="M1253" s="461" t="s">
        <v>310</v>
      </c>
      <c r="N1253" s="414">
        <v>44627</v>
      </c>
      <c r="O1253" s="414" t="s">
        <v>404</v>
      </c>
      <c r="P1253" s="222">
        <f t="shared" si="84"/>
        <v>3</v>
      </c>
      <c r="Q1253" s="222">
        <f t="shared" si="85"/>
        <v>2</v>
      </c>
      <c r="R1253" s="532" t="str">
        <f t="shared" si="86"/>
        <v>Gastos_custeados_por_captação</v>
      </c>
      <c r="S1253" s="467" t="s">
        <v>310</v>
      </c>
      <c r="T1253" s="467" t="s">
        <v>310</v>
      </c>
      <c r="U1253" s="496"/>
      <c r="V1253" s="496"/>
      <c r="W1253" s="496"/>
    </row>
    <row r="1254" spans="1:23" ht="60" x14ac:dyDescent="0.2">
      <c r="A1254" s="510">
        <f t="shared" si="83"/>
        <v>1251</v>
      </c>
      <c r="B1254" s="428">
        <v>44627</v>
      </c>
      <c r="C1254" s="431">
        <v>44593</v>
      </c>
      <c r="D1254" s="415" t="s">
        <v>468</v>
      </c>
      <c r="E1254" s="415" t="s">
        <v>468</v>
      </c>
      <c r="F1254" s="459">
        <v>5000</v>
      </c>
      <c r="G1254" s="427" t="s">
        <v>2959</v>
      </c>
      <c r="H1254" s="415" t="s">
        <v>468</v>
      </c>
      <c r="I1254" s="460" t="s">
        <v>2437</v>
      </c>
      <c r="J1254" s="461" t="s">
        <v>796</v>
      </c>
      <c r="K1254" s="461" t="s">
        <v>806</v>
      </c>
      <c r="L1254" s="460" t="s">
        <v>1305</v>
      </c>
      <c r="M1254" s="415" t="s">
        <v>310</v>
      </c>
      <c r="N1254" s="469">
        <v>44627</v>
      </c>
      <c r="O1254" s="414" t="s">
        <v>405</v>
      </c>
      <c r="P1254" s="222">
        <f t="shared" si="84"/>
        <v>3</v>
      </c>
      <c r="Q1254" s="222">
        <f t="shared" si="85"/>
        <v>2</v>
      </c>
      <c r="R1254" s="532" t="str">
        <f t="shared" si="86"/>
        <v>Gastos_custeados_por_captação</v>
      </c>
      <c r="S1254" s="467" t="s">
        <v>310</v>
      </c>
      <c r="T1254" s="467" t="s">
        <v>310</v>
      </c>
      <c r="U1254" s="496"/>
      <c r="V1254" s="496"/>
      <c r="W1254" s="496"/>
    </row>
    <row r="1255" spans="1:23" ht="60" x14ac:dyDescent="0.2">
      <c r="A1255" s="510">
        <f t="shared" si="83"/>
        <v>1252</v>
      </c>
      <c r="B1255" s="428">
        <v>44627</v>
      </c>
      <c r="C1255" s="431">
        <v>44593</v>
      </c>
      <c r="D1255" s="415" t="s">
        <v>468</v>
      </c>
      <c r="E1255" s="415" t="s">
        <v>468</v>
      </c>
      <c r="F1255" s="459">
        <v>6000</v>
      </c>
      <c r="G1255" s="427" t="s">
        <v>2960</v>
      </c>
      <c r="H1255" s="415" t="s">
        <v>468</v>
      </c>
      <c r="I1255" s="460" t="s">
        <v>2437</v>
      </c>
      <c r="J1255" s="461" t="s">
        <v>796</v>
      </c>
      <c r="K1255" s="461" t="s">
        <v>806</v>
      </c>
      <c r="L1255" s="460" t="s">
        <v>1305</v>
      </c>
      <c r="M1255" s="415" t="s">
        <v>310</v>
      </c>
      <c r="N1255" s="469">
        <v>44627</v>
      </c>
      <c r="O1255" s="414" t="s">
        <v>405</v>
      </c>
      <c r="P1255" s="222">
        <f t="shared" si="84"/>
        <v>3</v>
      </c>
      <c r="Q1255" s="222">
        <f t="shared" si="85"/>
        <v>2</v>
      </c>
      <c r="R1255" s="532" t="str">
        <f t="shared" si="86"/>
        <v>Gastos_custeados_por_captação</v>
      </c>
      <c r="S1255" s="467" t="s">
        <v>310</v>
      </c>
      <c r="T1255" s="467" t="s">
        <v>310</v>
      </c>
      <c r="U1255" s="496"/>
      <c r="V1255" s="496"/>
      <c r="W1255" s="496"/>
    </row>
    <row r="1256" spans="1:23" ht="36" x14ac:dyDescent="0.2">
      <c r="A1256" s="510">
        <f t="shared" si="83"/>
        <v>1253</v>
      </c>
      <c r="B1256" s="428">
        <v>44627</v>
      </c>
      <c r="C1256" s="431">
        <v>44593</v>
      </c>
      <c r="D1256" s="415" t="s">
        <v>468</v>
      </c>
      <c r="E1256" s="415" t="s">
        <v>468</v>
      </c>
      <c r="F1256" s="459">
        <v>-5000</v>
      </c>
      <c r="G1256" s="399" t="s">
        <v>2438</v>
      </c>
      <c r="H1256" s="415" t="s">
        <v>468</v>
      </c>
      <c r="I1256" s="460" t="s">
        <v>2437</v>
      </c>
      <c r="J1256" s="461" t="s">
        <v>796</v>
      </c>
      <c r="K1256" s="461" t="s">
        <v>806</v>
      </c>
      <c r="L1256" s="460" t="s">
        <v>1305</v>
      </c>
      <c r="M1256" s="415" t="s">
        <v>310</v>
      </c>
      <c r="N1256" s="469">
        <v>44627</v>
      </c>
      <c r="O1256" s="414" t="s">
        <v>408</v>
      </c>
      <c r="P1256" s="222">
        <f t="shared" si="84"/>
        <v>3</v>
      </c>
      <c r="Q1256" s="222">
        <f t="shared" si="85"/>
        <v>2</v>
      </c>
      <c r="R1256" s="532" t="str">
        <f t="shared" si="86"/>
        <v>Gastos_custeados_por_captação</v>
      </c>
      <c r="S1256" s="467" t="s">
        <v>310</v>
      </c>
      <c r="T1256" s="467" t="s">
        <v>310</v>
      </c>
      <c r="U1256" s="496"/>
      <c r="V1256" s="496"/>
      <c r="W1256" s="496"/>
    </row>
    <row r="1257" spans="1:23" ht="36" x14ac:dyDescent="0.2">
      <c r="A1257" s="510">
        <f t="shared" si="83"/>
        <v>1254</v>
      </c>
      <c r="B1257" s="428">
        <v>44627</v>
      </c>
      <c r="C1257" s="431">
        <v>44593</v>
      </c>
      <c r="D1257" s="415" t="s">
        <v>468</v>
      </c>
      <c r="E1257" s="415" t="s">
        <v>468</v>
      </c>
      <c r="F1257" s="459">
        <v>-4350</v>
      </c>
      <c r="G1257" s="399" t="s">
        <v>2439</v>
      </c>
      <c r="H1257" s="415" t="s">
        <v>468</v>
      </c>
      <c r="I1257" s="460" t="s">
        <v>2437</v>
      </c>
      <c r="J1257" s="461" t="s">
        <v>796</v>
      </c>
      <c r="K1257" s="461" t="s">
        <v>806</v>
      </c>
      <c r="L1257" s="460" t="s">
        <v>1305</v>
      </c>
      <c r="M1257" s="415" t="s">
        <v>310</v>
      </c>
      <c r="N1257" s="469">
        <v>44627</v>
      </c>
      <c r="O1257" s="414" t="s">
        <v>408</v>
      </c>
      <c r="P1257" s="222">
        <f t="shared" si="84"/>
        <v>3</v>
      </c>
      <c r="Q1257" s="222">
        <f t="shared" si="85"/>
        <v>2</v>
      </c>
      <c r="R1257" s="532" t="str">
        <f t="shared" si="86"/>
        <v>Gastos_custeados_por_captação</v>
      </c>
      <c r="S1257" s="467" t="s">
        <v>310</v>
      </c>
      <c r="T1257" s="467" t="s">
        <v>310</v>
      </c>
      <c r="U1257" s="496"/>
      <c r="V1257" s="496"/>
      <c r="W1257" s="496"/>
    </row>
    <row r="1258" spans="1:23" ht="36" x14ac:dyDescent="0.2">
      <c r="A1258" s="510">
        <f t="shared" si="83"/>
        <v>1255</v>
      </c>
      <c r="B1258" s="428">
        <v>44627</v>
      </c>
      <c r="C1258" s="431">
        <v>44593</v>
      </c>
      <c r="D1258" s="415" t="s">
        <v>468</v>
      </c>
      <c r="E1258" s="415" t="s">
        <v>468</v>
      </c>
      <c r="F1258" s="459">
        <v>-4500</v>
      </c>
      <c r="G1258" s="399" t="s">
        <v>2440</v>
      </c>
      <c r="H1258" s="415" t="s">
        <v>468</v>
      </c>
      <c r="I1258" s="460" t="s">
        <v>2437</v>
      </c>
      <c r="J1258" s="461" t="s">
        <v>796</v>
      </c>
      <c r="K1258" s="461" t="s">
        <v>806</v>
      </c>
      <c r="L1258" s="460" t="s">
        <v>1305</v>
      </c>
      <c r="M1258" s="415" t="s">
        <v>310</v>
      </c>
      <c r="N1258" s="469">
        <v>44627</v>
      </c>
      <c r="O1258" s="414" t="s">
        <v>408</v>
      </c>
      <c r="P1258" s="222">
        <f t="shared" si="84"/>
        <v>3</v>
      </c>
      <c r="Q1258" s="222">
        <f t="shared" si="85"/>
        <v>2</v>
      </c>
      <c r="R1258" s="532" t="str">
        <f t="shared" si="86"/>
        <v>Gastos_custeados_por_captação</v>
      </c>
      <c r="S1258" s="467" t="s">
        <v>310</v>
      </c>
      <c r="T1258" s="467" t="s">
        <v>310</v>
      </c>
      <c r="U1258" s="496"/>
      <c r="V1258" s="496"/>
      <c r="W1258" s="496"/>
    </row>
    <row r="1259" spans="1:23" ht="36" x14ac:dyDescent="0.2">
      <c r="A1259" s="510">
        <f t="shared" si="83"/>
        <v>1256</v>
      </c>
      <c r="B1259" s="428">
        <v>44627</v>
      </c>
      <c r="C1259" s="431">
        <v>44593</v>
      </c>
      <c r="D1259" s="415" t="s">
        <v>468</v>
      </c>
      <c r="E1259" s="415" t="s">
        <v>468</v>
      </c>
      <c r="F1259" s="459">
        <v>-5000</v>
      </c>
      <c r="G1259" s="399" t="s">
        <v>2987</v>
      </c>
      <c r="H1259" s="415" t="s">
        <v>468</v>
      </c>
      <c r="I1259" s="460" t="s">
        <v>2437</v>
      </c>
      <c r="J1259" s="461" t="s">
        <v>796</v>
      </c>
      <c r="K1259" s="461" t="s">
        <v>806</v>
      </c>
      <c r="L1259" s="460" t="s">
        <v>1305</v>
      </c>
      <c r="M1259" s="415" t="s">
        <v>310</v>
      </c>
      <c r="N1259" s="469">
        <v>44627</v>
      </c>
      <c r="O1259" s="414" t="s">
        <v>408</v>
      </c>
      <c r="P1259" s="222">
        <f t="shared" si="84"/>
        <v>3</v>
      </c>
      <c r="Q1259" s="222">
        <f t="shared" si="85"/>
        <v>2</v>
      </c>
      <c r="R1259" s="532" t="str">
        <f t="shared" si="86"/>
        <v>Gastos_custeados_por_captação</v>
      </c>
      <c r="S1259" s="467" t="s">
        <v>310</v>
      </c>
      <c r="T1259" s="467" t="s">
        <v>310</v>
      </c>
      <c r="U1259" s="496"/>
      <c r="V1259" s="496"/>
      <c r="W1259" s="496"/>
    </row>
    <row r="1260" spans="1:23" ht="36" x14ac:dyDescent="0.2">
      <c r="A1260" s="510">
        <f t="shared" si="83"/>
        <v>1257</v>
      </c>
      <c r="B1260" s="428">
        <v>44627</v>
      </c>
      <c r="C1260" s="431">
        <v>44593</v>
      </c>
      <c r="D1260" s="415" t="s">
        <v>468</v>
      </c>
      <c r="E1260" s="415" t="s">
        <v>468</v>
      </c>
      <c r="F1260" s="459">
        <v>-6000</v>
      </c>
      <c r="G1260" s="399" t="s">
        <v>2988</v>
      </c>
      <c r="H1260" s="415" t="s">
        <v>468</v>
      </c>
      <c r="I1260" s="460" t="s">
        <v>2437</v>
      </c>
      <c r="J1260" s="461" t="s">
        <v>796</v>
      </c>
      <c r="K1260" s="461" t="s">
        <v>806</v>
      </c>
      <c r="L1260" s="460" t="s">
        <v>1305</v>
      </c>
      <c r="M1260" s="415" t="s">
        <v>310</v>
      </c>
      <c r="N1260" s="469">
        <v>44627</v>
      </c>
      <c r="O1260" s="414" t="s">
        <v>408</v>
      </c>
      <c r="P1260" s="222">
        <f t="shared" si="84"/>
        <v>3</v>
      </c>
      <c r="Q1260" s="222">
        <f t="shared" si="85"/>
        <v>2</v>
      </c>
      <c r="R1260" s="532" t="str">
        <f t="shared" si="86"/>
        <v>Gastos_custeados_por_captação</v>
      </c>
      <c r="S1260" s="467" t="s">
        <v>310</v>
      </c>
      <c r="T1260" s="467" t="s">
        <v>310</v>
      </c>
      <c r="U1260" s="496"/>
      <c r="V1260" s="496"/>
      <c r="W1260" s="496"/>
    </row>
    <row r="1261" spans="1:23" ht="36" x14ac:dyDescent="0.2">
      <c r="A1261" s="510">
        <f t="shared" si="83"/>
        <v>1258</v>
      </c>
      <c r="B1261" s="428">
        <v>44627</v>
      </c>
      <c r="C1261" s="431">
        <v>44593</v>
      </c>
      <c r="D1261" s="415" t="s">
        <v>468</v>
      </c>
      <c r="E1261" s="415" t="s">
        <v>468</v>
      </c>
      <c r="F1261" s="459">
        <v>-6000</v>
      </c>
      <c r="G1261" s="399" t="s">
        <v>2441</v>
      </c>
      <c r="H1261" s="415" t="s">
        <v>468</v>
      </c>
      <c r="I1261" s="460" t="s">
        <v>2437</v>
      </c>
      <c r="J1261" s="461" t="s">
        <v>796</v>
      </c>
      <c r="K1261" s="461" t="s">
        <v>806</v>
      </c>
      <c r="L1261" s="460" t="s">
        <v>1305</v>
      </c>
      <c r="M1261" s="415" t="s">
        <v>310</v>
      </c>
      <c r="N1261" s="469">
        <v>44627</v>
      </c>
      <c r="O1261" s="414" t="s">
        <v>408</v>
      </c>
      <c r="P1261" s="222">
        <f t="shared" si="84"/>
        <v>3</v>
      </c>
      <c r="Q1261" s="222">
        <f t="shared" si="85"/>
        <v>2</v>
      </c>
      <c r="R1261" s="532" t="str">
        <f t="shared" si="86"/>
        <v>Gastos_custeados_por_captação</v>
      </c>
      <c r="S1261" s="467" t="s">
        <v>310</v>
      </c>
      <c r="T1261" s="467" t="s">
        <v>310</v>
      </c>
      <c r="U1261" s="496"/>
      <c r="V1261" s="496"/>
      <c r="W1261" s="496"/>
    </row>
    <row r="1262" spans="1:23" ht="36" x14ac:dyDescent="0.2">
      <c r="A1262" s="510">
        <f t="shared" si="83"/>
        <v>1259</v>
      </c>
      <c r="B1262" s="428">
        <v>44627</v>
      </c>
      <c r="C1262" s="431">
        <v>44593</v>
      </c>
      <c r="D1262" s="415" t="s">
        <v>468</v>
      </c>
      <c r="E1262" s="415" t="s">
        <v>468</v>
      </c>
      <c r="F1262" s="459">
        <v>-6000</v>
      </c>
      <c r="G1262" s="399" t="s">
        <v>2442</v>
      </c>
      <c r="H1262" s="415" t="s">
        <v>468</v>
      </c>
      <c r="I1262" s="460" t="s">
        <v>2437</v>
      </c>
      <c r="J1262" s="461" t="s">
        <v>796</v>
      </c>
      <c r="K1262" s="461" t="s">
        <v>806</v>
      </c>
      <c r="L1262" s="460" t="s">
        <v>1305</v>
      </c>
      <c r="M1262" s="415" t="s">
        <v>310</v>
      </c>
      <c r="N1262" s="469">
        <v>44627</v>
      </c>
      <c r="O1262" s="414" t="s">
        <v>408</v>
      </c>
      <c r="P1262" s="222">
        <f t="shared" si="84"/>
        <v>3</v>
      </c>
      <c r="Q1262" s="222">
        <f t="shared" si="85"/>
        <v>2</v>
      </c>
      <c r="R1262" s="532" t="str">
        <f t="shared" si="86"/>
        <v>Gastos_custeados_por_captação</v>
      </c>
      <c r="S1262" s="467" t="s">
        <v>310</v>
      </c>
      <c r="T1262" s="467" t="s">
        <v>310</v>
      </c>
      <c r="U1262" s="496"/>
      <c r="V1262" s="496"/>
      <c r="W1262" s="496"/>
    </row>
    <row r="1263" spans="1:23" ht="36" x14ac:dyDescent="0.2">
      <c r="A1263" s="510">
        <f t="shared" si="83"/>
        <v>1260</v>
      </c>
      <c r="B1263" s="428">
        <v>44627</v>
      </c>
      <c r="C1263" s="431">
        <v>44593</v>
      </c>
      <c r="D1263" s="415" t="s">
        <v>468</v>
      </c>
      <c r="E1263" s="415" t="s">
        <v>468</v>
      </c>
      <c r="F1263" s="459">
        <v>-20000</v>
      </c>
      <c r="G1263" s="399" t="s">
        <v>2436</v>
      </c>
      <c r="H1263" s="415" t="s">
        <v>468</v>
      </c>
      <c r="I1263" s="460" t="s">
        <v>2437</v>
      </c>
      <c r="J1263" s="461" t="s">
        <v>796</v>
      </c>
      <c r="K1263" s="461" t="s">
        <v>806</v>
      </c>
      <c r="L1263" s="460" t="s">
        <v>1305</v>
      </c>
      <c r="M1263" s="415" t="s">
        <v>310</v>
      </c>
      <c r="N1263" s="469">
        <v>44627</v>
      </c>
      <c r="O1263" s="414" t="s">
        <v>408</v>
      </c>
      <c r="P1263" s="222">
        <f t="shared" si="84"/>
        <v>3</v>
      </c>
      <c r="Q1263" s="222">
        <f t="shared" si="85"/>
        <v>2</v>
      </c>
      <c r="R1263" s="532" t="str">
        <f t="shared" si="86"/>
        <v>Gastos_custeados_por_captação</v>
      </c>
      <c r="S1263" s="467" t="s">
        <v>310</v>
      </c>
      <c r="T1263" s="467" t="s">
        <v>310</v>
      </c>
      <c r="U1263" s="496"/>
      <c r="V1263" s="496"/>
      <c r="W1263" s="496"/>
    </row>
    <row r="1264" spans="1:23" ht="24" x14ac:dyDescent="0.2">
      <c r="A1264" s="510">
        <f t="shared" si="83"/>
        <v>1261</v>
      </c>
      <c r="B1264" s="428">
        <v>44627</v>
      </c>
      <c r="C1264" s="431">
        <v>44593</v>
      </c>
      <c r="D1264" s="415" t="s">
        <v>271</v>
      </c>
      <c r="E1264" s="415" t="s">
        <v>9</v>
      </c>
      <c r="F1264" s="425">
        <v>6307.34</v>
      </c>
      <c r="G1264" s="427" t="s">
        <v>729</v>
      </c>
      <c r="H1264" s="415" t="s">
        <v>309</v>
      </c>
      <c r="I1264" s="473" t="s">
        <v>1620</v>
      </c>
      <c r="J1264" s="415" t="s">
        <v>841</v>
      </c>
      <c r="K1264" s="415" t="s">
        <v>806</v>
      </c>
      <c r="L1264" s="415" t="s">
        <v>807</v>
      </c>
      <c r="M1264" s="415" t="s">
        <v>2070</v>
      </c>
      <c r="N1264" s="414">
        <v>44624</v>
      </c>
      <c r="O1264" s="414" t="s">
        <v>400</v>
      </c>
      <c r="P1264" s="222">
        <f t="shared" si="84"/>
        <v>3</v>
      </c>
      <c r="Q1264" s="222">
        <f t="shared" si="85"/>
        <v>2</v>
      </c>
      <c r="R1264" s="532" t="str">
        <f t="shared" si="86"/>
        <v>Gastos_Gerais</v>
      </c>
      <c r="S1264" s="467" t="s">
        <v>1000</v>
      </c>
      <c r="T1264" s="467">
        <v>2780</v>
      </c>
      <c r="U1264" s="496"/>
      <c r="V1264" s="496"/>
      <c r="W1264" s="496"/>
    </row>
    <row r="1265" spans="1:23" ht="36" x14ac:dyDescent="0.2">
      <c r="A1265" s="510">
        <f t="shared" si="83"/>
        <v>1262</v>
      </c>
      <c r="B1265" s="428">
        <v>44627</v>
      </c>
      <c r="C1265" s="431">
        <v>44621</v>
      </c>
      <c r="D1265" s="415" t="s">
        <v>271</v>
      </c>
      <c r="E1265" s="415" t="s">
        <v>450</v>
      </c>
      <c r="F1265" s="425">
        <v>793.8</v>
      </c>
      <c r="G1265" s="440" t="s">
        <v>1642</v>
      </c>
      <c r="H1265" s="415" t="s">
        <v>754</v>
      </c>
      <c r="I1265" s="398" t="s">
        <v>865</v>
      </c>
      <c r="J1265" s="418" t="s">
        <v>866</v>
      </c>
      <c r="K1265" s="418" t="s">
        <v>830</v>
      </c>
      <c r="L1265" s="399" t="s">
        <v>32</v>
      </c>
      <c r="M1265" s="543" t="s">
        <v>1428</v>
      </c>
      <c r="N1265" s="414">
        <v>44624</v>
      </c>
      <c r="O1265" s="414" t="s">
        <v>400</v>
      </c>
      <c r="P1265" s="222">
        <f t="shared" si="84"/>
        <v>3</v>
      </c>
      <c r="Q1265" s="222">
        <f t="shared" si="85"/>
        <v>3</v>
      </c>
      <c r="R1265" s="532" t="str">
        <f t="shared" si="86"/>
        <v>Gastos_Gerais</v>
      </c>
      <c r="S1265" s="467" t="s">
        <v>998</v>
      </c>
      <c r="T1265" s="467">
        <v>2853</v>
      </c>
      <c r="U1265" s="496"/>
      <c r="V1265" s="496"/>
      <c r="W1265" s="496"/>
    </row>
    <row r="1266" spans="1:23" ht="60" x14ac:dyDescent="0.2">
      <c r="A1266" s="510">
        <f t="shared" si="83"/>
        <v>1263</v>
      </c>
      <c r="B1266" s="428">
        <v>44627</v>
      </c>
      <c r="C1266" s="431">
        <v>44621</v>
      </c>
      <c r="D1266" s="415" t="s">
        <v>271</v>
      </c>
      <c r="E1266" s="415" t="s">
        <v>464</v>
      </c>
      <c r="F1266" s="425">
        <v>1960</v>
      </c>
      <c r="G1266" s="427" t="s">
        <v>1639</v>
      </c>
      <c r="H1266" s="415" t="s">
        <v>754</v>
      </c>
      <c r="I1266" s="473" t="s">
        <v>2079</v>
      </c>
      <c r="J1266" s="415" t="s">
        <v>866</v>
      </c>
      <c r="K1266" s="415" t="s">
        <v>830</v>
      </c>
      <c r="L1266" s="415" t="s">
        <v>807</v>
      </c>
      <c r="M1266" s="415" t="s">
        <v>1892</v>
      </c>
      <c r="N1266" s="414">
        <v>44624</v>
      </c>
      <c r="O1266" s="414" t="s">
        <v>400</v>
      </c>
      <c r="P1266" s="222">
        <f t="shared" si="84"/>
        <v>3</v>
      </c>
      <c r="Q1266" s="222">
        <f t="shared" si="85"/>
        <v>3</v>
      </c>
      <c r="R1266" s="532" t="str">
        <f t="shared" si="86"/>
        <v>Gastos_Gerais</v>
      </c>
      <c r="S1266" s="467" t="s">
        <v>998</v>
      </c>
      <c r="T1266" s="467">
        <v>2854</v>
      </c>
      <c r="U1266" s="496"/>
      <c r="V1266" s="496"/>
      <c r="W1266" s="496"/>
    </row>
    <row r="1267" spans="1:23" ht="48" x14ac:dyDescent="0.2">
      <c r="A1267" s="510">
        <f t="shared" si="83"/>
        <v>1264</v>
      </c>
      <c r="B1267" s="428">
        <v>44627</v>
      </c>
      <c r="C1267" s="431">
        <v>44593</v>
      </c>
      <c r="D1267" s="415" t="s">
        <v>271</v>
      </c>
      <c r="E1267" s="415" t="s">
        <v>297</v>
      </c>
      <c r="F1267" s="425">
        <v>1036.56</v>
      </c>
      <c r="G1267" s="427" t="s">
        <v>2081</v>
      </c>
      <c r="H1267" s="415" t="s">
        <v>753</v>
      </c>
      <c r="I1267" s="473" t="s">
        <v>872</v>
      </c>
      <c r="J1267" s="415" t="s">
        <v>873</v>
      </c>
      <c r="K1267" s="415" t="s">
        <v>830</v>
      </c>
      <c r="L1267" s="415" t="s">
        <v>807</v>
      </c>
      <c r="M1267" s="415" t="s">
        <v>1892</v>
      </c>
      <c r="N1267" s="414">
        <v>44624</v>
      </c>
      <c r="O1267" s="414" t="s">
        <v>400</v>
      </c>
      <c r="P1267" s="222">
        <f t="shared" si="84"/>
        <v>3</v>
      </c>
      <c r="Q1267" s="222">
        <f t="shared" si="85"/>
        <v>2</v>
      </c>
      <c r="R1267" s="532" t="str">
        <f t="shared" si="86"/>
        <v>Gastos_Gerais</v>
      </c>
      <c r="S1267" s="467" t="s">
        <v>998</v>
      </c>
      <c r="T1267" s="467">
        <v>2870</v>
      </c>
      <c r="U1267" s="496"/>
      <c r="V1267" s="496"/>
      <c r="W1267" s="496"/>
    </row>
    <row r="1268" spans="1:23" ht="84" x14ac:dyDescent="0.2">
      <c r="A1268" s="510">
        <f t="shared" si="83"/>
        <v>1265</v>
      </c>
      <c r="B1268" s="428">
        <v>44627</v>
      </c>
      <c r="C1268" s="424">
        <v>44621</v>
      </c>
      <c r="D1268" s="415" t="s">
        <v>271</v>
      </c>
      <c r="E1268" s="415" t="s">
        <v>452</v>
      </c>
      <c r="F1268" s="425">
        <v>3750</v>
      </c>
      <c r="G1268" s="427" t="s">
        <v>1717</v>
      </c>
      <c r="H1268" s="415" t="s">
        <v>754</v>
      </c>
      <c r="I1268" s="473" t="s">
        <v>1790</v>
      </c>
      <c r="J1268" s="415" t="s">
        <v>1716</v>
      </c>
      <c r="K1268" s="415" t="s">
        <v>830</v>
      </c>
      <c r="L1268" s="415" t="s">
        <v>32</v>
      </c>
      <c r="M1268" s="415" t="s">
        <v>1503</v>
      </c>
      <c r="N1268" s="414">
        <v>44624</v>
      </c>
      <c r="O1268" s="414" t="s">
        <v>400</v>
      </c>
      <c r="P1268" s="222">
        <f t="shared" si="84"/>
        <v>3</v>
      </c>
      <c r="Q1268" s="222">
        <f t="shared" si="85"/>
        <v>3</v>
      </c>
      <c r="R1268" s="532" t="str">
        <f t="shared" si="86"/>
        <v>Gastos_Gerais</v>
      </c>
      <c r="S1268" s="467" t="s">
        <v>998</v>
      </c>
      <c r="T1268" s="467">
        <v>2855</v>
      </c>
      <c r="U1268" s="496"/>
      <c r="V1268" s="496"/>
      <c r="W1268" s="496"/>
    </row>
    <row r="1269" spans="1:23" ht="36" x14ac:dyDescent="0.2">
      <c r="A1269" s="510">
        <f t="shared" si="83"/>
        <v>1266</v>
      </c>
      <c r="B1269" s="428">
        <v>44627</v>
      </c>
      <c r="C1269" s="431">
        <v>44593</v>
      </c>
      <c r="D1269" s="415" t="s">
        <v>468</v>
      </c>
      <c r="E1269" s="415" t="s">
        <v>468</v>
      </c>
      <c r="F1269" s="459">
        <v>4312</v>
      </c>
      <c r="G1269" s="427" t="s">
        <v>719</v>
      </c>
      <c r="H1269" s="415" t="s">
        <v>468</v>
      </c>
      <c r="I1269" s="460" t="s">
        <v>850</v>
      </c>
      <c r="J1269" s="461" t="s">
        <v>863</v>
      </c>
      <c r="K1269" s="461" t="s">
        <v>830</v>
      </c>
      <c r="L1269" s="460" t="s">
        <v>807</v>
      </c>
      <c r="M1269" s="464">
        <v>20224</v>
      </c>
      <c r="N1269" s="469">
        <v>44624</v>
      </c>
      <c r="O1269" s="414" t="s">
        <v>408</v>
      </c>
      <c r="P1269" s="222">
        <f t="shared" si="84"/>
        <v>3</v>
      </c>
      <c r="Q1269" s="222">
        <f t="shared" si="85"/>
        <v>2</v>
      </c>
      <c r="R1269" s="532" t="str">
        <f t="shared" si="86"/>
        <v>Gastos_custeados_por_captação</v>
      </c>
      <c r="S1269" s="467" t="s">
        <v>1000</v>
      </c>
      <c r="T1269" s="467">
        <v>2776</v>
      </c>
      <c r="U1269" s="496"/>
      <c r="V1269" s="496"/>
      <c r="W1269" s="496"/>
    </row>
    <row r="1270" spans="1:23" ht="36" x14ac:dyDescent="0.2">
      <c r="A1270" s="510">
        <f t="shared" si="83"/>
        <v>1267</v>
      </c>
      <c r="B1270" s="428">
        <v>44627</v>
      </c>
      <c r="C1270" s="431">
        <v>44593</v>
      </c>
      <c r="D1270" s="415" t="s">
        <v>468</v>
      </c>
      <c r="E1270" s="415" t="s">
        <v>468</v>
      </c>
      <c r="F1270" s="459">
        <v>2694.72</v>
      </c>
      <c r="G1270" s="427" t="s">
        <v>694</v>
      </c>
      <c r="H1270" s="415" t="s">
        <v>468</v>
      </c>
      <c r="I1270" s="460" t="s">
        <v>2940</v>
      </c>
      <c r="J1270" s="461" t="s">
        <v>2410</v>
      </c>
      <c r="K1270" s="461" t="s">
        <v>830</v>
      </c>
      <c r="L1270" s="460" t="s">
        <v>807</v>
      </c>
      <c r="M1270" s="464">
        <v>20226</v>
      </c>
      <c r="N1270" s="469">
        <v>44624</v>
      </c>
      <c r="O1270" s="414" t="s">
        <v>408</v>
      </c>
      <c r="P1270" s="222">
        <f t="shared" si="84"/>
        <v>3</v>
      </c>
      <c r="Q1270" s="222">
        <f t="shared" si="85"/>
        <v>2</v>
      </c>
      <c r="R1270" s="532" t="str">
        <f t="shared" si="86"/>
        <v>Gastos_custeados_por_captação</v>
      </c>
      <c r="S1270" s="467" t="s">
        <v>1000</v>
      </c>
      <c r="T1270" s="467">
        <v>2663</v>
      </c>
      <c r="U1270" s="496"/>
      <c r="V1270" s="496"/>
      <c r="W1270" s="496"/>
    </row>
    <row r="1271" spans="1:23" ht="36" x14ac:dyDescent="0.2">
      <c r="A1271" s="510">
        <f t="shared" si="83"/>
        <v>1268</v>
      </c>
      <c r="B1271" s="428">
        <v>44627</v>
      </c>
      <c r="C1271" s="431">
        <v>44593</v>
      </c>
      <c r="D1271" s="415" t="s">
        <v>468</v>
      </c>
      <c r="E1271" s="415" t="s">
        <v>468</v>
      </c>
      <c r="F1271" s="459">
        <v>2750</v>
      </c>
      <c r="G1271" s="427" t="s">
        <v>2941</v>
      </c>
      <c r="H1271" s="415" t="s">
        <v>468</v>
      </c>
      <c r="I1271" s="460" t="s">
        <v>2406</v>
      </c>
      <c r="J1271" s="461" t="s">
        <v>1121</v>
      </c>
      <c r="K1271" s="461" t="s">
        <v>830</v>
      </c>
      <c r="L1271" s="460" t="s">
        <v>807</v>
      </c>
      <c r="M1271" s="464">
        <v>202210</v>
      </c>
      <c r="N1271" s="469">
        <v>44624</v>
      </c>
      <c r="O1271" s="414" t="s">
        <v>408</v>
      </c>
      <c r="P1271" s="222">
        <f t="shared" si="84"/>
        <v>3</v>
      </c>
      <c r="Q1271" s="222">
        <f t="shared" si="85"/>
        <v>2</v>
      </c>
      <c r="R1271" s="532" t="str">
        <f t="shared" si="86"/>
        <v>Gastos_custeados_por_captação</v>
      </c>
      <c r="S1271" s="467" t="s">
        <v>1000</v>
      </c>
      <c r="T1271" s="467">
        <v>2662</v>
      </c>
      <c r="U1271" s="496"/>
      <c r="V1271" s="496"/>
      <c r="W1271" s="496"/>
    </row>
    <row r="1272" spans="1:23" ht="48" x14ac:dyDescent="0.2">
      <c r="A1272" s="510">
        <f t="shared" si="83"/>
        <v>1269</v>
      </c>
      <c r="B1272" s="428">
        <v>44627</v>
      </c>
      <c r="C1272" s="431">
        <v>44593</v>
      </c>
      <c r="D1272" s="415" t="s">
        <v>468</v>
      </c>
      <c r="E1272" s="415" t="s">
        <v>468</v>
      </c>
      <c r="F1272" s="459">
        <v>2522.5500000000002</v>
      </c>
      <c r="G1272" s="427" t="s">
        <v>702</v>
      </c>
      <c r="H1272" s="415" t="s">
        <v>468</v>
      </c>
      <c r="I1272" s="460" t="s">
        <v>2404</v>
      </c>
      <c r="J1272" s="461" t="s">
        <v>1014</v>
      </c>
      <c r="K1272" s="461" t="s">
        <v>830</v>
      </c>
      <c r="L1272" s="460" t="s">
        <v>839</v>
      </c>
      <c r="M1272" s="464">
        <v>1600</v>
      </c>
      <c r="N1272" s="469">
        <v>44624</v>
      </c>
      <c r="O1272" s="414" t="s">
        <v>408</v>
      </c>
      <c r="P1272" s="222">
        <f t="shared" si="84"/>
        <v>3</v>
      </c>
      <c r="Q1272" s="222">
        <f t="shared" si="85"/>
        <v>2</v>
      </c>
      <c r="R1272" s="532" t="str">
        <f t="shared" si="86"/>
        <v>Gastos_custeados_por_captação</v>
      </c>
      <c r="S1272" s="467" t="s">
        <v>1000</v>
      </c>
      <c r="T1272" s="467">
        <v>2672</v>
      </c>
      <c r="U1272" s="496"/>
      <c r="V1272" s="496"/>
      <c r="W1272" s="496"/>
    </row>
    <row r="1273" spans="1:23" ht="60" x14ac:dyDescent="0.2">
      <c r="A1273" s="510">
        <f t="shared" si="83"/>
        <v>1270</v>
      </c>
      <c r="B1273" s="428">
        <v>44627</v>
      </c>
      <c r="C1273" s="431">
        <v>44593</v>
      </c>
      <c r="D1273" s="415" t="s">
        <v>468</v>
      </c>
      <c r="E1273" s="415" t="s">
        <v>468</v>
      </c>
      <c r="F1273" s="459">
        <v>4400</v>
      </c>
      <c r="G1273" s="427" t="s">
        <v>701</v>
      </c>
      <c r="H1273" s="415" t="s">
        <v>468</v>
      </c>
      <c r="I1273" s="460" t="s">
        <v>2944</v>
      </c>
      <c r="J1273" s="461" t="s">
        <v>1131</v>
      </c>
      <c r="K1273" s="461" t="s">
        <v>830</v>
      </c>
      <c r="L1273" s="460" t="s">
        <v>807</v>
      </c>
      <c r="M1273" s="464">
        <v>20224</v>
      </c>
      <c r="N1273" s="469">
        <v>44624</v>
      </c>
      <c r="O1273" s="414" t="s">
        <v>408</v>
      </c>
      <c r="P1273" s="222">
        <f t="shared" si="84"/>
        <v>3</v>
      </c>
      <c r="Q1273" s="222">
        <f t="shared" si="85"/>
        <v>2</v>
      </c>
      <c r="R1273" s="532" t="str">
        <f t="shared" si="86"/>
        <v>Gastos_custeados_por_captação</v>
      </c>
      <c r="S1273" s="467" t="s">
        <v>1000</v>
      </c>
      <c r="T1273" s="467">
        <v>2641</v>
      </c>
      <c r="U1273" s="496"/>
      <c r="V1273" s="496"/>
      <c r="W1273" s="496"/>
    </row>
    <row r="1274" spans="1:23" ht="36" x14ac:dyDescent="0.2">
      <c r="A1274" s="510">
        <f t="shared" si="83"/>
        <v>1271</v>
      </c>
      <c r="B1274" s="428">
        <v>44627</v>
      </c>
      <c r="C1274" s="431">
        <v>44593</v>
      </c>
      <c r="D1274" s="415" t="s">
        <v>468</v>
      </c>
      <c r="E1274" s="415" t="s">
        <v>468</v>
      </c>
      <c r="F1274" s="498">
        <v>4400</v>
      </c>
      <c r="G1274" s="482" t="s">
        <v>691</v>
      </c>
      <c r="H1274" s="415" t="s">
        <v>468</v>
      </c>
      <c r="I1274" s="460" t="s">
        <v>2945</v>
      </c>
      <c r="J1274" s="461" t="s">
        <v>1122</v>
      </c>
      <c r="K1274" s="461" t="s">
        <v>830</v>
      </c>
      <c r="L1274" s="460" t="s">
        <v>807</v>
      </c>
      <c r="M1274" s="464">
        <v>20224</v>
      </c>
      <c r="N1274" s="469">
        <v>44624</v>
      </c>
      <c r="O1274" s="414" t="s">
        <v>408</v>
      </c>
      <c r="P1274" s="222">
        <f t="shared" si="84"/>
        <v>3</v>
      </c>
      <c r="Q1274" s="222">
        <f t="shared" si="85"/>
        <v>2</v>
      </c>
      <c r="R1274" s="532" t="str">
        <f t="shared" si="86"/>
        <v>Gastos_custeados_por_captação</v>
      </c>
      <c r="S1274" s="467" t="s">
        <v>1000</v>
      </c>
      <c r="T1274" s="467">
        <v>2640</v>
      </c>
      <c r="U1274" s="496"/>
      <c r="V1274" s="496"/>
      <c r="W1274" s="496"/>
    </row>
    <row r="1275" spans="1:23" ht="36" x14ac:dyDescent="0.2">
      <c r="A1275" s="510">
        <f t="shared" si="83"/>
        <v>1272</v>
      </c>
      <c r="B1275" s="428">
        <v>44627</v>
      </c>
      <c r="C1275" s="431">
        <v>44593</v>
      </c>
      <c r="D1275" s="415" t="s">
        <v>468</v>
      </c>
      <c r="E1275" s="415" t="s">
        <v>468</v>
      </c>
      <c r="F1275" s="498">
        <v>3820</v>
      </c>
      <c r="G1275" s="482" t="s">
        <v>695</v>
      </c>
      <c r="H1275" s="415" t="s">
        <v>468</v>
      </c>
      <c r="I1275" s="460" t="s">
        <v>2405</v>
      </c>
      <c r="J1275" s="461" t="s">
        <v>1030</v>
      </c>
      <c r="K1275" s="461" t="s">
        <v>830</v>
      </c>
      <c r="L1275" s="460" t="s">
        <v>807</v>
      </c>
      <c r="M1275" s="464">
        <v>20223</v>
      </c>
      <c r="N1275" s="469">
        <v>44624</v>
      </c>
      <c r="O1275" s="414" t="s">
        <v>408</v>
      </c>
      <c r="P1275" s="222">
        <f t="shared" si="84"/>
        <v>3</v>
      </c>
      <c r="Q1275" s="222">
        <f t="shared" si="85"/>
        <v>2</v>
      </c>
      <c r="R1275" s="532" t="str">
        <f t="shared" si="86"/>
        <v>Gastos_custeados_por_captação</v>
      </c>
      <c r="S1275" s="467" t="s">
        <v>1000</v>
      </c>
      <c r="T1275" s="467">
        <v>2631</v>
      </c>
      <c r="U1275" s="496"/>
      <c r="V1275" s="496"/>
      <c r="W1275" s="496"/>
    </row>
    <row r="1276" spans="1:23" ht="36" x14ac:dyDescent="0.2">
      <c r="A1276" s="510">
        <f t="shared" si="83"/>
        <v>1273</v>
      </c>
      <c r="B1276" s="428">
        <v>44627</v>
      </c>
      <c r="C1276" s="431">
        <v>44593</v>
      </c>
      <c r="D1276" s="415" t="s">
        <v>468</v>
      </c>
      <c r="E1276" s="415" t="s">
        <v>468</v>
      </c>
      <c r="F1276" s="498">
        <v>2750</v>
      </c>
      <c r="G1276" s="482" t="s">
        <v>694</v>
      </c>
      <c r="H1276" s="415" t="s">
        <v>468</v>
      </c>
      <c r="I1276" s="460" t="s">
        <v>1224</v>
      </c>
      <c r="J1276" s="461" t="s">
        <v>1018</v>
      </c>
      <c r="K1276" s="461" t="s">
        <v>830</v>
      </c>
      <c r="L1276" s="460" t="s">
        <v>807</v>
      </c>
      <c r="M1276" s="464">
        <v>20225</v>
      </c>
      <c r="N1276" s="469">
        <v>44624</v>
      </c>
      <c r="O1276" s="414" t="s">
        <v>408</v>
      </c>
      <c r="P1276" s="222">
        <f t="shared" si="84"/>
        <v>3</v>
      </c>
      <c r="Q1276" s="222">
        <f t="shared" si="85"/>
        <v>2</v>
      </c>
      <c r="R1276" s="532" t="str">
        <f t="shared" si="86"/>
        <v>Gastos_custeados_por_captação</v>
      </c>
      <c r="S1276" s="467" t="s">
        <v>1000</v>
      </c>
      <c r="T1276" s="467">
        <v>2661</v>
      </c>
      <c r="U1276" s="496"/>
      <c r="V1276" s="496"/>
      <c r="W1276" s="496"/>
    </row>
    <row r="1277" spans="1:23" ht="36" x14ac:dyDescent="0.2">
      <c r="A1277" s="510">
        <f t="shared" si="83"/>
        <v>1274</v>
      </c>
      <c r="B1277" s="428">
        <v>44627</v>
      </c>
      <c r="C1277" s="431">
        <v>44593</v>
      </c>
      <c r="D1277" s="415" t="s">
        <v>468</v>
      </c>
      <c r="E1277" s="415" t="s">
        <v>468</v>
      </c>
      <c r="F1277" s="498">
        <v>4000</v>
      </c>
      <c r="G1277" s="482" t="s">
        <v>710</v>
      </c>
      <c r="H1277" s="415" t="s">
        <v>468</v>
      </c>
      <c r="I1277" s="460" t="s">
        <v>2454</v>
      </c>
      <c r="J1277" s="461" t="s">
        <v>1135</v>
      </c>
      <c r="K1277" s="461" t="s">
        <v>830</v>
      </c>
      <c r="L1277" s="460" t="s">
        <v>807</v>
      </c>
      <c r="M1277" s="464">
        <v>20223</v>
      </c>
      <c r="N1277" s="469">
        <v>44624</v>
      </c>
      <c r="O1277" s="414" t="s">
        <v>408</v>
      </c>
      <c r="P1277" s="222">
        <f t="shared" si="84"/>
        <v>3</v>
      </c>
      <c r="Q1277" s="222">
        <f t="shared" si="85"/>
        <v>2</v>
      </c>
      <c r="R1277" s="532" t="str">
        <f t="shared" si="86"/>
        <v>Gastos_custeados_por_captação</v>
      </c>
      <c r="S1277" s="467" t="s">
        <v>1000</v>
      </c>
      <c r="T1277" s="467">
        <v>2757</v>
      </c>
      <c r="U1277" s="496"/>
      <c r="V1277" s="496"/>
      <c r="W1277" s="496"/>
    </row>
    <row r="1278" spans="1:23" ht="108" x14ac:dyDescent="0.2">
      <c r="A1278" s="510">
        <f t="shared" ref="A1278:A1341" si="87">IF(B1278="","",ROW()-ROW($A$3))</f>
        <v>1275</v>
      </c>
      <c r="B1278" s="428">
        <v>44627</v>
      </c>
      <c r="C1278" s="431">
        <v>44593</v>
      </c>
      <c r="D1278" s="415" t="s">
        <v>271</v>
      </c>
      <c r="E1278" s="415" t="s">
        <v>90</v>
      </c>
      <c r="F1278" s="481">
        <v>7350</v>
      </c>
      <c r="G1278" s="482" t="s">
        <v>862</v>
      </c>
      <c r="H1278" s="415" t="s">
        <v>309</v>
      </c>
      <c r="I1278" s="473" t="s">
        <v>850</v>
      </c>
      <c r="J1278" s="415" t="s">
        <v>863</v>
      </c>
      <c r="K1278" s="415" t="s">
        <v>830</v>
      </c>
      <c r="L1278" s="415" t="s">
        <v>807</v>
      </c>
      <c r="M1278" s="415" t="s">
        <v>1793</v>
      </c>
      <c r="N1278" s="414">
        <v>44623</v>
      </c>
      <c r="O1278" s="414" t="s">
        <v>400</v>
      </c>
      <c r="P1278" s="222">
        <f t="shared" si="84"/>
        <v>3</v>
      </c>
      <c r="Q1278" s="222">
        <f t="shared" si="85"/>
        <v>2</v>
      </c>
      <c r="R1278" s="532" t="str">
        <f t="shared" si="86"/>
        <v>Gastos_Gerais</v>
      </c>
      <c r="S1278" s="467" t="s">
        <v>1000</v>
      </c>
      <c r="T1278" s="467">
        <v>1134</v>
      </c>
      <c r="U1278" s="496"/>
      <c r="V1278" s="496"/>
      <c r="W1278" s="496"/>
    </row>
    <row r="1279" spans="1:23" ht="36" x14ac:dyDescent="0.2">
      <c r="A1279" s="510">
        <f t="shared" si="87"/>
        <v>1276</v>
      </c>
      <c r="B1279" s="428">
        <v>44627</v>
      </c>
      <c r="C1279" s="431">
        <v>44593</v>
      </c>
      <c r="D1279" s="415" t="s">
        <v>468</v>
      </c>
      <c r="E1279" s="415" t="s">
        <v>468</v>
      </c>
      <c r="F1279" s="498">
        <v>2650</v>
      </c>
      <c r="G1279" s="482" t="s">
        <v>697</v>
      </c>
      <c r="H1279" s="415" t="s">
        <v>468</v>
      </c>
      <c r="I1279" s="460" t="s">
        <v>2466</v>
      </c>
      <c r="J1279" s="461" t="s">
        <v>1128</v>
      </c>
      <c r="K1279" s="461" t="s">
        <v>830</v>
      </c>
      <c r="L1279" s="460" t="s">
        <v>807</v>
      </c>
      <c r="M1279" s="464">
        <v>20228</v>
      </c>
      <c r="N1279" s="469">
        <v>44623</v>
      </c>
      <c r="O1279" s="414" t="s">
        <v>408</v>
      </c>
      <c r="P1279" s="222">
        <f t="shared" si="84"/>
        <v>3</v>
      </c>
      <c r="Q1279" s="222">
        <f t="shared" si="85"/>
        <v>2</v>
      </c>
      <c r="R1279" s="532" t="str">
        <f t="shared" si="86"/>
        <v>Gastos_custeados_por_captação</v>
      </c>
      <c r="S1279" s="467" t="s">
        <v>1000</v>
      </c>
      <c r="T1279" s="467">
        <v>2687</v>
      </c>
      <c r="U1279" s="496"/>
      <c r="V1279" s="496"/>
      <c r="W1279" s="496"/>
    </row>
    <row r="1280" spans="1:23" ht="156" x14ac:dyDescent="0.2">
      <c r="A1280" s="510">
        <f t="shared" si="87"/>
        <v>1277</v>
      </c>
      <c r="B1280" s="428">
        <v>44627</v>
      </c>
      <c r="C1280" s="431">
        <v>44593</v>
      </c>
      <c r="D1280" s="415" t="s">
        <v>271</v>
      </c>
      <c r="E1280" s="415" t="s">
        <v>186</v>
      </c>
      <c r="F1280" s="481">
        <v>556.21</v>
      </c>
      <c r="G1280" s="482" t="s">
        <v>545</v>
      </c>
      <c r="H1280" s="415" t="s">
        <v>309</v>
      </c>
      <c r="I1280" s="473" t="s">
        <v>1610</v>
      </c>
      <c r="J1280" s="415" t="s">
        <v>890</v>
      </c>
      <c r="K1280" s="415" t="s">
        <v>812</v>
      </c>
      <c r="L1280" s="415" t="s">
        <v>807</v>
      </c>
      <c r="M1280" s="415">
        <v>2382</v>
      </c>
      <c r="N1280" s="414">
        <v>44617</v>
      </c>
      <c r="O1280" s="414" t="s">
        <v>400</v>
      </c>
      <c r="P1280" s="222">
        <f t="shared" si="84"/>
        <v>3</v>
      </c>
      <c r="Q1280" s="222">
        <f t="shared" si="85"/>
        <v>2</v>
      </c>
      <c r="R1280" s="532" t="str">
        <f t="shared" si="86"/>
        <v>Gastos_Gerais</v>
      </c>
      <c r="S1280" s="467" t="s">
        <v>1000</v>
      </c>
      <c r="T1280" s="467">
        <v>1873</v>
      </c>
      <c r="U1280" s="496"/>
      <c r="V1280" s="496"/>
      <c r="W1280" s="496"/>
    </row>
    <row r="1281" spans="1:23" ht="156" x14ac:dyDescent="0.2">
      <c r="A1281" s="510">
        <f t="shared" si="87"/>
        <v>1278</v>
      </c>
      <c r="B1281" s="428">
        <v>44627</v>
      </c>
      <c r="C1281" s="431">
        <v>44593</v>
      </c>
      <c r="D1281" s="415" t="s">
        <v>271</v>
      </c>
      <c r="E1281" s="415" t="s">
        <v>186</v>
      </c>
      <c r="F1281" s="481">
        <v>712</v>
      </c>
      <c r="G1281" s="486" t="s">
        <v>545</v>
      </c>
      <c r="H1281" s="415" t="s">
        <v>309</v>
      </c>
      <c r="I1281" s="473" t="s">
        <v>1610</v>
      </c>
      <c r="J1281" s="415" t="s">
        <v>890</v>
      </c>
      <c r="K1281" s="415" t="s">
        <v>812</v>
      </c>
      <c r="L1281" s="415" t="s">
        <v>807</v>
      </c>
      <c r="M1281" s="415">
        <v>2311</v>
      </c>
      <c r="N1281" s="414">
        <v>44617</v>
      </c>
      <c r="O1281" s="414" t="s">
        <v>400</v>
      </c>
      <c r="P1281" s="222">
        <f t="shared" si="84"/>
        <v>3</v>
      </c>
      <c r="Q1281" s="222">
        <f t="shared" si="85"/>
        <v>2</v>
      </c>
      <c r="R1281" s="532" t="str">
        <f t="shared" si="86"/>
        <v>Gastos_Gerais</v>
      </c>
      <c r="S1281" s="467" t="s">
        <v>1000</v>
      </c>
      <c r="T1281" s="467">
        <v>1873</v>
      </c>
      <c r="U1281" s="496"/>
      <c r="V1281" s="496"/>
      <c r="W1281" s="496"/>
    </row>
    <row r="1282" spans="1:23" ht="36" x14ac:dyDescent="0.2">
      <c r="A1282" s="510">
        <f t="shared" si="87"/>
        <v>1279</v>
      </c>
      <c r="B1282" s="428">
        <v>44627</v>
      </c>
      <c r="C1282" s="431">
        <v>44593</v>
      </c>
      <c r="D1282" s="415" t="s">
        <v>271</v>
      </c>
      <c r="E1282" s="415" t="s">
        <v>456</v>
      </c>
      <c r="F1282" s="555">
        <v>14373</v>
      </c>
      <c r="G1282" s="427" t="s">
        <v>1721</v>
      </c>
      <c r="H1282" s="415" t="s">
        <v>755</v>
      </c>
      <c r="I1282" s="473" t="s">
        <v>2084</v>
      </c>
      <c r="J1282" s="415" t="s">
        <v>1720</v>
      </c>
      <c r="K1282" s="415" t="s">
        <v>812</v>
      </c>
      <c r="L1282" s="415" t="s">
        <v>807</v>
      </c>
      <c r="M1282" s="415" t="s">
        <v>2085</v>
      </c>
      <c r="N1282" s="414">
        <v>44615</v>
      </c>
      <c r="O1282" s="414" t="s">
        <v>400</v>
      </c>
      <c r="P1282" s="222">
        <f t="shared" si="84"/>
        <v>3</v>
      </c>
      <c r="Q1282" s="222">
        <f t="shared" si="85"/>
        <v>2</v>
      </c>
      <c r="R1282" s="532" t="str">
        <f t="shared" si="86"/>
        <v>Gastos_Gerais</v>
      </c>
      <c r="S1282" s="467" t="s">
        <v>1000</v>
      </c>
      <c r="T1282" s="467">
        <v>2891</v>
      </c>
      <c r="U1282" s="496"/>
      <c r="V1282" s="496"/>
      <c r="W1282" s="496"/>
    </row>
    <row r="1283" spans="1:23" ht="84" x14ac:dyDescent="0.2">
      <c r="A1283" s="510">
        <f t="shared" si="87"/>
        <v>1280</v>
      </c>
      <c r="B1283" s="428">
        <v>44627</v>
      </c>
      <c r="C1283" s="431">
        <v>44593</v>
      </c>
      <c r="D1283" s="415" t="s">
        <v>271</v>
      </c>
      <c r="E1283" s="415" t="s">
        <v>59</v>
      </c>
      <c r="F1283" s="555">
        <v>7977.25</v>
      </c>
      <c r="G1283" s="427" t="s">
        <v>1615</v>
      </c>
      <c r="H1283" s="415" t="s">
        <v>309</v>
      </c>
      <c r="I1283" s="473" t="s">
        <v>859</v>
      </c>
      <c r="J1283" s="415" t="s">
        <v>860</v>
      </c>
      <c r="K1283" s="434" t="s">
        <v>830</v>
      </c>
      <c r="L1283" s="415" t="s">
        <v>807</v>
      </c>
      <c r="M1283" s="415" t="s">
        <v>2074</v>
      </c>
      <c r="N1283" s="414">
        <v>44608</v>
      </c>
      <c r="O1283" s="414" t="s">
        <v>400</v>
      </c>
      <c r="P1283" s="222">
        <f t="shared" si="84"/>
        <v>3</v>
      </c>
      <c r="Q1283" s="222">
        <f t="shared" si="85"/>
        <v>2</v>
      </c>
      <c r="R1283" s="532" t="str">
        <f t="shared" si="86"/>
        <v>Gastos_Gerais</v>
      </c>
      <c r="S1283" s="467" t="s">
        <v>1000</v>
      </c>
      <c r="T1283" s="489">
        <v>1114</v>
      </c>
      <c r="U1283" s="496"/>
      <c r="V1283" s="496"/>
      <c r="W1283" s="496"/>
    </row>
    <row r="1284" spans="1:23" ht="36" x14ac:dyDescent="0.2">
      <c r="A1284" s="510">
        <f t="shared" si="87"/>
        <v>1281</v>
      </c>
      <c r="B1284" s="428">
        <v>44627</v>
      </c>
      <c r="C1284" s="431">
        <v>44593</v>
      </c>
      <c r="D1284" s="415" t="s">
        <v>468</v>
      </c>
      <c r="E1284" s="415" t="s">
        <v>468</v>
      </c>
      <c r="F1284" s="556">
        <v>1500</v>
      </c>
      <c r="G1284" s="427" t="s">
        <v>2947</v>
      </c>
      <c r="H1284" s="415" t="s">
        <v>468</v>
      </c>
      <c r="I1284" s="460" t="s">
        <v>2948</v>
      </c>
      <c r="J1284" s="461" t="s">
        <v>2414</v>
      </c>
      <c r="K1284" s="461" t="s">
        <v>830</v>
      </c>
      <c r="L1284" s="460" t="s">
        <v>807</v>
      </c>
      <c r="M1284" s="464">
        <v>56556</v>
      </c>
      <c r="N1284" s="469">
        <v>44596</v>
      </c>
      <c r="O1284" s="414" t="s">
        <v>408</v>
      </c>
      <c r="P1284" s="222">
        <f t="shared" si="84"/>
        <v>3</v>
      </c>
      <c r="Q1284" s="222">
        <f t="shared" si="85"/>
        <v>2</v>
      </c>
      <c r="R1284" s="532" t="str">
        <f t="shared" si="86"/>
        <v>Gastos_custeados_por_captação</v>
      </c>
      <c r="S1284" s="467" t="s">
        <v>1000</v>
      </c>
      <c r="T1284" s="467">
        <v>2456</v>
      </c>
      <c r="U1284" s="496"/>
      <c r="V1284" s="496"/>
      <c r="W1284" s="496"/>
    </row>
    <row r="1285" spans="1:23" ht="72" x14ac:dyDescent="0.2">
      <c r="A1285" s="510">
        <f t="shared" si="87"/>
        <v>1282</v>
      </c>
      <c r="B1285" s="428">
        <v>44627</v>
      </c>
      <c r="C1285" s="431">
        <v>44593</v>
      </c>
      <c r="D1285" s="415" t="s">
        <v>468</v>
      </c>
      <c r="E1285" s="415" t="s">
        <v>468</v>
      </c>
      <c r="F1285" s="530">
        <v>5000</v>
      </c>
      <c r="G1285" s="427" t="s">
        <v>2438</v>
      </c>
      <c r="H1285" s="415" t="s">
        <v>468</v>
      </c>
      <c r="I1285" s="460" t="s">
        <v>2437</v>
      </c>
      <c r="J1285" s="461" t="s">
        <v>796</v>
      </c>
      <c r="K1285" s="461" t="s">
        <v>806</v>
      </c>
      <c r="L1285" s="460" t="s">
        <v>1305</v>
      </c>
      <c r="M1285" s="415" t="s">
        <v>310</v>
      </c>
      <c r="N1285" s="469">
        <v>44627</v>
      </c>
      <c r="O1285" s="414" t="s">
        <v>402</v>
      </c>
      <c r="P1285" s="222">
        <f t="shared" si="84"/>
        <v>3</v>
      </c>
      <c r="Q1285" s="222">
        <f t="shared" si="85"/>
        <v>2</v>
      </c>
      <c r="R1285" s="532" t="str">
        <f t="shared" si="86"/>
        <v>Gastos_custeados_por_captação</v>
      </c>
      <c r="S1285" s="467" t="s">
        <v>310</v>
      </c>
      <c r="T1285" s="467" t="s">
        <v>310</v>
      </c>
      <c r="U1285" s="496"/>
      <c r="V1285" s="496"/>
      <c r="W1285" s="496"/>
    </row>
    <row r="1286" spans="1:23" ht="72" x14ac:dyDescent="0.2">
      <c r="A1286" s="510">
        <f t="shared" si="87"/>
        <v>1283</v>
      </c>
      <c r="B1286" s="428">
        <v>44627</v>
      </c>
      <c r="C1286" s="431">
        <v>44593</v>
      </c>
      <c r="D1286" s="415" t="s">
        <v>468</v>
      </c>
      <c r="E1286" s="415" t="s">
        <v>468</v>
      </c>
      <c r="F1286" s="530">
        <v>4350</v>
      </c>
      <c r="G1286" s="427" t="s">
        <v>2438</v>
      </c>
      <c r="H1286" s="415" t="s">
        <v>468</v>
      </c>
      <c r="I1286" s="460" t="s">
        <v>2437</v>
      </c>
      <c r="J1286" s="461" t="s">
        <v>796</v>
      </c>
      <c r="K1286" s="461" t="s">
        <v>806</v>
      </c>
      <c r="L1286" s="460" t="s">
        <v>1305</v>
      </c>
      <c r="M1286" s="415" t="s">
        <v>310</v>
      </c>
      <c r="N1286" s="469">
        <v>44627</v>
      </c>
      <c r="O1286" s="414" t="s">
        <v>402</v>
      </c>
      <c r="P1286" s="222">
        <f t="shared" si="84"/>
        <v>3</v>
      </c>
      <c r="Q1286" s="222">
        <f t="shared" si="85"/>
        <v>2</v>
      </c>
      <c r="R1286" s="532" t="str">
        <f t="shared" si="86"/>
        <v>Gastos_custeados_por_captação</v>
      </c>
      <c r="S1286" s="467" t="s">
        <v>310</v>
      </c>
      <c r="T1286" s="467" t="s">
        <v>310</v>
      </c>
      <c r="U1286" s="496"/>
      <c r="V1286" s="496"/>
      <c r="W1286" s="496"/>
    </row>
    <row r="1287" spans="1:23" ht="72" x14ac:dyDescent="0.2">
      <c r="A1287" s="510">
        <f t="shared" si="87"/>
        <v>1284</v>
      </c>
      <c r="B1287" s="428">
        <v>44627</v>
      </c>
      <c r="C1287" s="431">
        <v>44593</v>
      </c>
      <c r="D1287" s="415" t="s">
        <v>468</v>
      </c>
      <c r="E1287" s="415" t="s">
        <v>468</v>
      </c>
      <c r="F1287" s="530">
        <v>4500</v>
      </c>
      <c r="G1287" s="427" t="s">
        <v>2438</v>
      </c>
      <c r="H1287" s="415" t="s">
        <v>468</v>
      </c>
      <c r="I1287" s="460" t="s">
        <v>2437</v>
      </c>
      <c r="J1287" s="461" t="s">
        <v>796</v>
      </c>
      <c r="K1287" s="461" t="s">
        <v>806</v>
      </c>
      <c r="L1287" s="460" t="s">
        <v>1305</v>
      </c>
      <c r="M1287" s="415" t="s">
        <v>310</v>
      </c>
      <c r="N1287" s="469">
        <v>44627</v>
      </c>
      <c r="O1287" s="414" t="s">
        <v>402</v>
      </c>
      <c r="P1287" s="222">
        <f t="shared" si="84"/>
        <v>3</v>
      </c>
      <c r="Q1287" s="222">
        <f t="shared" si="85"/>
        <v>2</v>
      </c>
      <c r="R1287" s="532" t="str">
        <f t="shared" si="86"/>
        <v>Gastos_custeados_por_captação</v>
      </c>
      <c r="S1287" s="467" t="s">
        <v>310</v>
      </c>
      <c r="T1287" s="467" t="s">
        <v>310</v>
      </c>
      <c r="U1287" s="496"/>
      <c r="V1287" s="496"/>
      <c r="W1287" s="496"/>
    </row>
    <row r="1288" spans="1:23" ht="72" x14ac:dyDescent="0.2">
      <c r="A1288" s="510">
        <f t="shared" si="87"/>
        <v>1285</v>
      </c>
      <c r="B1288" s="590">
        <v>44627</v>
      </c>
      <c r="C1288" s="424">
        <v>44593</v>
      </c>
      <c r="D1288" s="415" t="s">
        <v>468</v>
      </c>
      <c r="E1288" s="415" t="s">
        <v>468</v>
      </c>
      <c r="F1288" s="459">
        <v>20000</v>
      </c>
      <c r="G1288" s="427" t="s">
        <v>2436</v>
      </c>
      <c r="H1288" s="415" t="s">
        <v>468</v>
      </c>
      <c r="I1288" s="461" t="s">
        <v>3030</v>
      </c>
      <c r="J1288" s="468" t="s">
        <v>796</v>
      </c>
      <c r="K1288" s="415" t="s">
        <v>806</v>
      </c>
      <c r="L1288" s="464" t="s">
        <v>1305</v>
      </c>
      <c r="M1288" s="464" t="s">
        <v>310</v>
      </c>
      <c r="N1288" s="469">
        <v>44627</v>
      </c>
      <c r="O1288" s="414" t="s">
        <v>407</v>
      </c>
      <c r="P1288" s="222">
        <f t="shared" si="84"/>
        <v>3</v>
      </c>
      <c r="Q1288" s="222">
        <f t="shared" si="85"/>
        <v>2</v>
      </c>
      <c r="R1288" s="415" t="str">
        <f t="shared" si="86"/>
        <v>Gastos_custeados_por_captação</v>
      </c>
      <c r="S1288" s="467" t="s">
        <v>310</v>
      </c>
      <c r="T1288" s="467" t="s">
        <v>310</v>
      </c>
      <c r="U1288" s="497"/>
      <c r="V1288" s="497"/>
      <c r="W1288" s="497"/>
    </row>
    <row r="1289" spans="1:23" ht="132" x14ac:dyDescent="0.2">
      <c r="A1289" s="510">
        <f t="shared" si="87"/>
        <v>1286</v>
      </c>
      <c r="B1289" s="590">
        <v>44627</v>
      </c>
      <c r="C1289" s="424">
        <v>44470</v>
      </c>
      <c r="D1289" s="415" t="s">
        <v>468</v>
      </c>
      <c r="E1289" s="415" t="s">
        <v>468</v>
      </c>
      <c r="F1289" s="459">
        <v>420</v>
      </c>
      <c r="G1289" s="587" t="s">
        <v>3102</v>
      </c>
      <c r="H1289" s="415" t="s">
        <v>468</v>
      </c>
      <c r="I1289" s="461" t="s">
        <v>3031</v>
      </c>
      <c r="J1289" s="468" t="s">
        <v>3059</v>
      </c>
      <c r="K1289" s="415" t="s">
        <v>830</v>
      </c>
      <c r="L1289" s="415" t="s">
        <v>839</v>
      </c>
      <c r="M1289" s="464">
        <v>1598</v>
      </c>
      <c r="N1289" s="469">
        <v>44623</v>
      </c>
      <c r="O1289" s="414" t="s">
        <v>407</v>
      </c>
      <c r="P1289" s="222">
        <f t="shared" si="84"/>
        <v>3</v>
      </c>
      <c r="Q1289" s="222">
        <f t="shared" si="85"/>
        <v>-2</v>
      </c>
      <c r="R1289" s="415" t="str">
        <f t="shared" si="86"/>
        <v>Gastos_custeados_por_captação</v>
      </c>
      <c r="S1289" s="467" t="s">
        <v>998</v>
      </c>
      <c r="T1289" s="467">
        <v>2205</v>
      </c>
      <c r="U1289" s="497"/>
      <c r="V1289" s="497"/>
      <c r="W1289" s="497"/>
    </row>
    <row r="1290" spans="1:23" ht="72" x14ac:dyDescent="0.2">
      <c r="A1290" s="510">
        <f t="shared" si="87"/>
        <v>1287</v>
      </c>
      <c r="B1290" s="590">
        <v>44627</v>
      </c>
      <c r="C1290" s="424">
        <v>44470</v>
      </c>
      <c r="D1290" s="415" t="s">
        <v>468</v>
      </c>
      <c r="E1290" s="415" t="s">
        <v>468</v>
      </c>
      <c r="F1290" s="459">
        <v>500</v>
      </c>
      <c r="G1290" s="427" t="s">
        <v>3103</v>
      </c>
      <c r="H1290" s="415" t="s">
        <v>468</v>
      </c>
      <c r="I1290" s="461" t="s">
        <v>3032</v>
      </c>
      <c r="J1290" s="468" t="s">
        <v>1100</v>
      </c>
      <c r="K1290" s="415" t="s">
        <v>830</v>
      </c>
      <c r="L1290" s="415" t="s">
        <v>807</v>
      </c>
      <c r="M1290" s="464">
        <v>213</v>
      </c>
      <c r="N1290" s="469">
        <v>44623</v>
      </c>
      <c r="O1290" s="414" t="s">
        <v>407</v>
      </c>
      <c r="P1290" s="222">
        <f t="shared" si="84"/>
        <v>3</v>
      </c>
      <c r="Q1290" s="222">
        <f t="shared" si="85"/>
        <v>-2</v>
      </c>
      <c r="R1290" s="415" t="str">
        <f t="shared" si="86"/>
        <v>Gastos_custeados_por_captação</v>
      </c>
      <c r="S1290" s="467" t="s">
        <v>998</v>
      </c>
      <c r="T1290" s="467">
        <v>2300</v>
      </c>
      <c r="U1290" s="497"/>
      <c r="V1290" s="497"/>
      <c r="W1290" s="497"/>
    </row>
    <row r="1291" spans="1:23" ht="99.75" customHeight="1" x14ac:dyDescent="0.2">
      <c r="A1291" s="510">
        <f t="shared" si="87"/>
        <v>1288</v>
      </c>
      <c r="B1291" s="590">
        <v>44627</v>
      </c>
      <c r="C1291" s="424">
        <v>44593</v>
      </c>
      <c r="D1291" s="415" t="s">
        <v>468</v>
      </c>
      <c r="E1291" s="415" t="s">
        <v>468</v>
      </c>
      <c r="F1291" s="459">
        <v>19404</v>
      </c>
      <c r="G1291" s="461" t="s">
        <v>736</v>
      </c>
      <c r="H1291" s="415" t="s">
        <v>468</v>
      </c>
      <c r="I1291" s="461" t="s">
        <v>2141</v>
      </c>
      <c r="J1291" s="468" t="s">
        <v>3060</v>
      </c>
      <c r="K1291" s="415" t="s">
        <v>830</v>
      </c>
      <c r="L1291" s="415" t="s">
        <v>807</v>
      </c>
      <c r="M1291" s="464">
        <v>202</v>
      </c>
      <c r="N1291" s="469">
        <v>44624</v>
      </c>
      <c r="O1291" s="414" t="s">
        <v>407</v>
      </c>
      <c r="P1291" s="222">
        <f t="shared" si="84"/>
        <v>3</v>
      </c>
      <c r="Q1291" s="222">
        <f t="shared" si="85"/>
        <v>2</v>
      </c>
      <c r="R1291" s="415" t="str">
        <f t="shared" si="86"/>
        <v>Gastos_custeados_por_captação</v>
      </c>
      <c r="S1291" s="467" t="s">
        <v>1000</v>
      </c>
      <c r="T1291" s="467">
        <v>2815</v>
      </c>
      <c r="U1291" s="497"/>
      <c r="V1291" s="497"/>
      <c r="W1291" s="497"/>
    </row>
    <row r="1292" spans="1:23" ht="50.1" customHeight="1" x14ac:dyDescent="0.2">
      <c r="A1292" s="510">
        <f t="shared" si="87"/>
        <v>1289</v>
      </c>
      <c r="B1292" s="428">
        <v>44628</v>
      </c>
      <c r="C1292" s="466">
        <v>44621</v>
      </c>
      <c r="D1292" s="415" t="s">
        <v>468</v>
      </c>
      <c r="E1292" s="415" t="s">
        <v>468</v>
      </c>
      <c r="F1292" s="459">
        <v>1786.33</v>
      </c>
      <c r="G1292" s="553" t="s">
        <v>1971</v>
      </c>
      <c r="H1292" s="415" t="s">
        <v>468</v>
      </c>
      <c r="I1292" s="460" t="s">
        <v>2964</v>
      </c>
      <c r="J1292" s="468" t="s">
        <v>2965</v>
      </c>
      <c r="K1292" s="399" t="s">
        <v>812</v>
      </c>
      <c r="L1292" s="544" t="s">
        <v>32</v>
      </c>
      <c r="M1292" s="464">
        <v>13648547</v>
      </c>
      <c r="N1292" s="469">
        <v>44629</v>
      </c>
      <c r="O1292" s="414" t="s">
        <v>405</v>
      </c>
      <c r="P1292" s="222">
        <f t="shared" si="84"/>
        <v>3</v>
      </c>
      <c r="Q1292" s="222">
        <f t="shared" si="85"/>
        <v>3</v>
      </c>
      <c r="R1292" s="532" t="str">
        <f t="shared" si="86"/>
        <v>Gastos_custeados_por_captação</v>
      </c>
      <c r="S1292" s="489" t="s">
        <v>1303</v>
      </c>
      <c r="T1292" s="489">
        <v>3060</v>
      </c>
      <c r="U1292" s="496"/>
      <c r="V1292" s="496"/>
      <c r="W1292" s="496"/>
    </row>
    <row r="1293" spans="1:23" ht="50.1" customHeight="1" x14ac:dyDescent="0.2">
      <c r="A1293" s="510">
        <f t="shared" si="87"/>
        <v>1290</v>
      </c>
      <c r="B1293" s="428">
        <v>44628</v>
      </c>
      <c r="C1293" s="431">
        <v>44593</v>
      </c>
      <c r="D1293" s="415" t="s">
        <v>271</v>
      </c>
      <c r="E1293" s="415" t="s">
        <v>297</v>
      </c>
      <c r="F1293" s="425">
        <v>-14.47</v>
      </c>
      <c r="G1293" s="427" t="s">
        <v>2094</v>
      </c>
      <c r="H1293" s="415" t="s">
        <v>309</v>
      </c>
      <c r="I1293" s="473" t="s">
        <v>795</v>
      </c>
      <c r="J1293" s="415" t="s">
        <v>796</v>
      </c>
      <c r="K1293" s="415" t="s">
        <v>797</v>
      </c>
      <c r="L1293" s="415" t="s">
        <v>798</v>
      </c>
      <c r="M1293" s="415" t="s">
        <v>310</v>
      </c>
      <c r="N1293" s="414">
        <v>44628</v>
      </c>
      <c r="O1293" s="414" t="s">
        <v>400</v>
      </c>
      <c r="P1293" s="222">
        <f t="shared" si="84"/>
        <v>3</v>
      </c>
      <c r="Q1293" s="222">
        <f t="shared" si="85"/>
        <v>2</v>
      </c>
      <c r="R1293" s="532" t="str">
        <f t="shared" si="86"/>
        <v>Gastos_Gerais</v>
      </c>
      <c r="S1293" s="467" t="s">
        <v>310</v>
      </c>
      <c r="T1293" s="467" t="s">
        <v>310</v>
      </c>
      <c r="U1293" s="496"/>
      <c r="V1293" s="496"/>
      <c r="W1293" s="496"/>
    </row>
    <row r="1294" spans="1:23" ht="50.1" customHeight="1" x14ac:dyDescent="0.2">
      <c r="A1294" s="510">
        <f t="shared" si="87"/>
        <v>1291</v>
      </c>
      <c r="B1294" s="428">
        <v>44628</v>
      </c>
      <c r="C1294" s="431">
        <v>44593</v>
      </c>
      <c r="D1294" s="415" t="s">
        <v>271</v>
      </c>
      <c r="E1294" s="415" t="s">
        <v>297</v>
      </c>
      <c r="F1294" s="425">
        <v>-28.94</v>
      </c>
      <c r="G1294" s="427" t="s">
        <v>2095</v>
      </c>
      <c r="H1294" s="415" t="s">
        <v>309</v>
      </c>
      <c r="I1294" s="473" t="s">
        <v>795</v>
      </c>
      <c r="J1294" s="415" t="s">
        <v>796</v>
      </c>
      <c r="K1294" s="415" t="s">
        <v>797</v>
      </c>
      <c r="L1294" s="415" t="s">
        <v>798</v>
      </c>
      <c r="M1294" s="415" t="s">
        <v>310</v>
      </c>
      <c r="N1294" s="414">
        <v>44628</v>
      </c>
      <c r="O1294" s="414" t="s">
        <v>400</v>
      </c>
      <c r="P1294" s="222">
        <f t="shared" si="84"/>
        <v>3</v>
      </c>
      <c r="Q1294" s="222">
        <f t="shared" si="85"/>
        <v>2</v>
      </c>
      <c r="R1294" s="532" t="str">
        <f t="shared" si="86"/>
        <v>Gastos_Gerais</v>
      </c>
      <c r="S1294" s="467" t="s">
        <v>310</v>
      </c>
      <c r="T1294" s="467" t="s">
        <v>310</v>
      </c>
      <c r="U1294" s="496"/>
      <c r="V1294" s="496"/>
      <c r="W1294" s="496"/>
    </row>
    <row r="1295" spans="1:23" ht="50.1" customHeight="1" x14ac:dyDescent="0.2">
      <c r="A1295" s="510">
        <f t="shared" si="87"/>
        <v>1292</v>
      </c>
      <c r="B1295" s="428">
        <v>44628</v>
      </c>
      <c r="C1295" s="431">
        <v>44593</v>
      </c>
      <c r="D1295" s="415" t="s">
        <v>271</v>
      </c>
      <c r="E1295" s="415" t="s">
        <v>297</v>
      </c>
      <c r="F1295" s="425">
        <v>-289.39999999999998</v>
      </c>
      <c r="G1295" s="427" t="s">
        <v>2096</v>
      </c>
      <c r="H1295" s="415" t="s">
        <v>309</v>
      </c>
      <c r="I1295" s="473" t="s">
        <v>795</v>
      </c>
      <c r="J1295" s="415" t="s">
        <v>796</v>
      </c>
      <c r="K1295" s="415" t="s">
        <v>797</v>
      </c>
      <c r="L1295" s="415" t="s">
        <v>798</v>
      </c>
      <c r="M1295" s="415" t="s">
        <v>310</v>
      </c>
      <c r="N1295" s="414">
        <v>44628</v>
      </c>
      <c r="O1295" s="414" t="s">
        <v>400</v>
      </c>
      <c r="P1295" s="222">
        <f t="shared" si="84"/>
        <v>3</v>
      </c>
      <c r="Q1295" s="222">
        <f t="shared" si="85"/>
        <v>2</v>
      </c>
      <c r="R1295" s="532" t="str">
        <f t="shared" si="86"/>
        <v>Gastos_Gerais</v>
      </c>
      <c r="S1295" s="467" t="s">
        <v>310</v>
      </c>
      <c r="T1295" s="467" t="s">
        <v>310</v>
      </c>
      <c r="U1295" s="496"/>
      <c r="V1295" s="496"/>
      <c r="W1295" s="496"/>
    </row>
    <row r="1296" spans="1:23" ht="50.1" customHeight="1" x14ac:dyDescent="0.2">
      <c r="A1296" s="510">
        <f t="shared" si="87"/>
        <v>1293</v>
      </c>
      <c r="B1296" s="428">
        <v>44628</v>
      </c>
      <c r="C1296" s="431">
        <v>44562</v>
      </c>
      <c r="D1296" s="415" t="s">
        <v>271</v>
      </c>
      <c r="E1296" s="415" t="s">
        <v>1791</v>
      </c>
      <c r="F1296" s="425">
        <v>100.5</v>
      </c>
      <c r="G1296" s="427" t="s">
        <v>1792</v>
      </c>
      <c r="H1296" s="415" t="s">
        <v>748</v>
      </c>
      <c r="I1296" s="473" t="s">
        <v>764</v>
      </c>
      <c r="J1296" s="415" t="s">
        <v>310</v>
      </c>
      <c r="K1296" s="415" t="s">
        <v>1220</v>
      </c>
      <c r="L1296" s="415" t="s">
        <v>1281</v>
      </c>
      <c r="M1296" s="546">
        <v>222047535710</v>
      </c>
      <c r="N1296" s="414">
        <v>44628</v>
      </c>
      <c r="O1296" s="414" t="s">
        <v>400</v>
      </c>
      <c r="P1296" s="222">
        <f t="shared" si="84"/>
        <v>3</v>
      </c>
      <c r="Q1296" s="222">
        <f t="shared" si="85"/>
        <v>1</v>
      </c>
      <c r="R1296" s="532" t="str">
        <f t="shared" si="86"/>
        <v>Gastos_Gerais</v>
      </c>
      <c r="S1296" s="467" t="s">
        <v>310</v>
      </c>
      <c r="T1296" s="467" t="s">
        <v>310</v>
      </c>
      <c r="U1296" s="496"/>
      <c r="V1296" s="496"/>
      <c r="W1296" s="496"/>
    </row>
    <row r="1297" spans="1:23" ht="50.1" customHeight="1" x14ac:dyDescent="0.2">
      <c r="A1297" s="510">
        <f t="shared" si="87"/>
        <v>1294</v>
      </c>
      <c r="B1297" s="428">
        <v>44628</v>
      </c>
      <c r="C1297" s="424">
        <v>44562</v>
      </c>
      <c r="D1297" s="415" t="s">
        <v>271</v>
      </c>
      <c r="E1297" s="415" t="s">
        <v>90</v>
      </c>
      <c r="F1297" s="425">
        <v>150</v>
      </c>
      <c r="G1297" s="427" t="s">
        <v>2097</v>
      </c>
      <c r="H1297" s="415" t="s">
        <v>309</v>
      </c>
      <c r="I1297" s="473" t="s">
        <v>764</v>
      </c>
      <c r="J1297" s="415" t="s">
        <v>310</v>
      </c>
      <c r="K1297" s="415" t="s">
        <v>1220</v>
      </c>
      <c r="L1297" s="415" t="s">
        <v>1281</v>
      </c>
      <c r="M1297" s="546">
        <v>222047536601</v>
      </c>
      <c r="N1297" s="414">
        <v>44628</v>
      </c>
      <c r="O1297" s="414" t="s">
        <v>400</v>
      </c>
      <c r="P1297" s="222">
        <f t="shared" si="84"/>
        <v>3</v>
      </c>
      <c r="Q1297" s="222">
        <f t="shared" si="85"/>
        <v>1</v>
      </c>
      <c r="R1297" s="532" t="str">
        <f t="shared" si="86"/>
        <v>Gastos_Gerais</v>
      </c>
      <c r="S1297" s="467" t="s">
        <v>310</v>
      </c>
      <c r="T1297" s="467" t="s">
        <v>310</v>
      </c>
      <c r="U1297" s="496"/>
      <c r="V1297" s="496"/>
      <c r="W1297" s="496"/>
    </row>
    <row r="1298" spans="1:23" ht="50.1" customHeight="1" x14ac:dyDescent="0.2">
      <c r="A1298" s="510">
        <f t="shared" si="87"/>
        <v>1295</v>
      </c>
      <c r="B1298" s="428">
        <v>44628</v>
      </c>
      <c r="C1298" s="431">
        <v>44562</v>
      </c>
      <c r="D1298" s="415" t="s">
        <v>271</v>
      </c>
      <c r="E1298" s="415" t="s">
        <v>456</v>
      </c>
      <c r="F1298" s="425">
        <v>56.92</v>
      </c>
      <c r="G1298" s="427" t="s">
        <v>1812</v>
      </c>
      <c r="H1298" s="415" t="s">
        <v>756</v>
      </c>
      <c r="I1298" s="473" t="s">
        <v>764</v>
      </c>
      <c r="J1298" s="415" t="s">
        <v>310</v>
      </c>
      <c r="K1298" s="415" t="s">
        <v>1220</v>
      </c>
      <c r="L1298" s="415" t="s">
        <v>1281</v>
      </c>
      <c r="M1298" s="546" t="s">
        <v>2098</v>
      </c>
      <c r="N1298" s="414">
        <v>44628</v>
      </c>
      <c r="O1298" s="414" t="s">
        <v>400</v>
      </c>
      <c r="P1298" s="222">
        <f t="shared" si="84"/>
        <v>3</v>
      </c>
      <c r="Q1298" s="222">
        <f t="shared" si="85"/>
        <v>1</v>
      </c>
      <c r="R1298" s="532" t="str">
        <f t="shared" si="86"/>
        <v>Gastos_Gerais</v>
      </c>
      <c r="S1298" s="467" t="s">
        <v>310</v>
      </c>
      <c r="T1298" s="467" t="s">
        <v>310</v>
      </c>
      <c r="U1298" s="496"/>
      <c r="V1298" s="496"/>
      <c r="W1298" s="496"/>
    </row>
    <row r="1299" spans="1:23" ht="50.1" customHeight="1" x14ac:dyDescent="0.2">
      <c r="A1299" s="510">
        <f t="shared" si="87"/>
        <v>1296</v>
      </c>
      <c r="B1299" s="428">
        <v>44628</v>
      </c>
      <c r="C1299" s="431">
        <v>44621</v>
      </c>
      <c r="D1299" s="415" t="s">
        <v>271</v>
      </c>
      <c r="E1299" s="415" t="s">
        <v>464</v>
      </c>
      <c r="F1299" s="425">
        <v>40</v>
      </c>
      <c r="G1299" s="427" t="s">
        <v>2080</v>
      </c>
      <c r="H1299" s="415" t="s">
        <v>754</v>
      </c>
      <c r="I1299" s="473" t="s">
        <v>764</v>
      </c>
      <c r="J1299" s="415" t="s">
        <v>310</v>
      </c>
      <c r="K1299" s="415" t="s">
        <v>1220</v>
      </c>
      <c r="L1299" s="415" t="s">
        <v>1281</v>
      </c>
      <c r="M1299" s="546">
        <v>222047537500</v>
      </c>
      <c r="N1299" s="414">
        <v>44628</v>
      </c>
      <c r="O1299" s="414" t="s">
        <v>400</v>
      </c>
      <c r="P1299" s="222">
        <f t="shared" si="84"/>
        <v>3</v>
      </c>
      <c r="Q1299" s="222">
        <f t="shared" si="85"/>
        <v>3</v>
      </c>
      <c r="R1299" s="532" t="str">
        <f t="shared" si="86"/>
        <v>Gastos_Gerais</v>
      </c>
      <c r="S1299" s="467" t="s">
        <v>310</v>
      </c>
      <c r="T1299" s="467" t="s">
        <v>310</v>
      </c>
      <c r="U1299" s="496"/>
      <c r="V1299" s="496"/>
      <c r="W1299" s="496"/>
    </row>
    <row r="1300" spans="1:23" ht="50.1" customHeight="1" x14ac:dyDescent="0.2">
      <c r="A1300" s="510">
        <f t="shared" si="87"/>
        <v>1297</v>
      </c>
      <c r="B1300" s="428">
        <v>44628</v>
      </c>
      <c r="C1300" s="424">
        <v>44593</v>
      </c>
      <c r="D1300" s="415" t="s">
        <v>271</v>
      </c>
      <c r="E1300" s="415" t="s">
        <v>450</v>
      </c>
      <c r="F1300" s="425">
        <v>16.2</v>
      </c>
      <c r="G1300" s="427" t="s">
        <v>1794</v>
      </c>
      <c r="H1300" s="415" t="s">
        <v>754</v>
      </c>
      <c r="I1300" s="473" t="s">
        <v>764</v>
      </c>
      <c r="J1300" s="415" t="s">
        <v>310</v>
      </c>
      <c r="K1300" s="415" t="s">
        <v>1220</v>
      </c>
      <c r="L1300" s="415" t="s">
        <v>1281</v>
      </c>
      <c r="M1300" s="546" t="s">
        <v>2105</v>
      </c>
      <c r="N1300" s="414">
        <v>44628</v>
      </c>
      <c r="O1300" s="414" t="s">
        <v>400</v>
      </c>
      <c r="P1300" s="222">
        <f t="shared" si="84"/>
        <v>3</v>
      </c>
      <c r="Q1300" s="222">
        <f t="shared" si="85"/>
        <v>2</v>
      </c>
      <c r="R1300" s="532" t="str">
        <f t="shared" si="86"/>
        <v>Gastos_Gerais</v>
      </c>
      <c r="S1300" s="467" t="s">
        <v>310</v>
      </c>
      <c r="T1300" s="467" t="s">
        <v>310</v>
      </c>
      <c r="U1300" s="496"/>
      <c r="V1300" s="496"/>
      <c r="W1300" s="496"/>
    </row>
    <row r="1301" spans="1:23" ht="50.1" customHeight="1" x14ac:dyDescent="0.2">
      <c r="A1301" s="510">
        <f t="shared" si="87"/>
        <v>1298</v>
      </c>
      <c r="B1301" s="428">
        <v>44628</v>
      </c>
      <c r="C1301" s="424">
        <v>44562</v>
      </c>
      <c r="D1301" s="415" t="s">
        <v>271</v>
      </c>
      <c r="E1301" s="415" t="s">
        <v>456</v>
      </c>
      <c r="F1301" s="425">
        <v>73.12</v>
      </c>
      <c r="G1301" s="427" t="s">
        <v>1895</v>
      </c>
      <c r="H1301" s="415" t="s">
        <v>756</v>
      </c>
      <c r="I1301" s="473" t="s">
        <v>764</v>
      </c>
      <c r="J1301" s="415" t="s">
        <v>310</v>
      </c>
      <c r="K1301" s="415" t="s">
        <v>1220</v>
      </c>
      <c r="L1301" s="415" t="s">
        <v>1281</v>
      </c>
      <c r="M1301" s="546">
        <v>222047538574</v>
      </c>
      <c r="N1301" s="414">
        <v>44628</v>
      </c>
      <c r="O1301" s="414" t="s">
        <v>400</v>
      </c>
      <c r="P1301" s="222">
        <f t="shared" si="84"/>
        <v>3</v>
      </c>
      <c r="Q1301" s="222">
        <f t="shared" si="85"/>
        <v>1</v>
      </c>
      <c r="R1301" s="532" t="str">
        <f t="shared" si="86"/>
        <v>Gastos_Gerais</v>
      </c>
      <c r="S1301" s="467" t="s">
        <v>310</v>
      </c>
      <c r="T1301" s="467" t="s">
        <v>310</v>
      </c>
      <c r="U1301" s="496"/>
      <c r="V1301" s="496"/>
      <c r="W1301" s="496"/>
    </row>
    <row r="1302" spans="1:23" ht="50.1" customHeight="1" x14ac:dyDescent="0.2">
      <c r="A1302" s="510">
        <f t="shared" si="87"/>
        <v>1299</v>
      </c>
      <c r="B1302" s="428">
        <v>44628</v>
      </c>
      <c r="C1302" s="424">
        <v>44562</v>
      </c>
      <c r="D1302" s="415" t="s">
        <v>271</v>
      </c>
      <c r="E1302" s="415" t="s">
        <v>460</v>
      </c>
      <c r="F1302" s="425">
        <v>243.54</v>
      </c>
      <c r="G1302" s="427" t="s">
        <v>1726</v>
      </c>
      <c r="H1302" s="415" t="s">
        <v>750</v>
      </c>
      <c r="I1302" s="473" t="s">
        <v>764</v>
      </c>
      <c r="J1302" s="415" t="s">
        <v>310</v>
      </c>
      <c r="K1302" s="415" t="s">
        <v>1220</v>
      </c>
      <c r="L1302" s="415" t="s">
        <v>1281</v>
      </c>
      <c r="M1302" s="546" t="s">
        <v>2106</v>
      </c>
      <c r="N1302" s="414">
        <v>44628</v>
      </c>
      <c r="O1302" s="414" t="s">
        <v>400</v>
      </c>
      <c r="P1302" s="222">
        <f t="shared" si="84"/>
        <v>3</v>
      </c>
      <c r="Q1302" s="222">
        <f t="shared" si="85"/>
        <v>1</v>
      </c>
      <c r="R1302" s="532" t="str">
        <f t="shared" si="86"/>
        <v>Gastos_Gerais</v>
      </c>
      <c r="S1302" s="467" t="s">
        <v>310</v>
      </c>
      <c r="T1302" s="467" t="s">
        <v>310</v>
      </c>
      <c r="U1302" s="496"/>
      <c r="V1302" s="496"/>
      <c r="W1302" s="496"/>
    </row>
    <row r="1303" spans="1:23" ht="50.1" customHeight="1" x14ac:dyDescent="0.2">
      <c r="A1303" s="510">
        <f t="shared" si="87"/>
        <v>1300</v>
      </c>
      <c r="B1303" s="428">
        <v>44628</v>
      </c>
      <c r="C1303" s="424">
        <v>44501</v>
      </c>
      <c r="D1303" s="415" t="s">
        <v>271</v>
      </c>
      <c r="E1303" s="415" t="s">
        <v>454</v>
      </c>
      <c r="F1303" s="425">
        <v>35</v>
      </c>
      <c r="G1303" s="427" t="s">
        <v>1712</v>
      </c>
      <c r="H1303" s="415" t="s">
        <v>752</v>
      </c>
      <c r="I1303" s="473" t="s">
        <v>764</v>
      </c>
      <c r="J1303" s="415" t="s">
        <v>310</v>
      </c>
      <c r="K1303" s="415" t="s">
        <v>1220</v>
      </c>
      <c r="L1303" s="415" t="s">
        <v>1281</v>
      </c>
      <c r="M1303" s="546" t="s">
        <v>2107</v>
      </c>
      <c r="N1303" s="414">
        <v>44628</v>
      </c>
      <c r="O1303" s="414" t="s">
        <v>400</v>
      </c>
      <c r="P1303" s="222">
        <f t="shared" ref="P1303:P1366" si="88">IF(B1303=0,0,IF(YEAR(B1303)=$Q$1,MONTH(B1303)-$P$1+1,(YEAR(B1303)-$Q$1)*12-$P$1+1+MONTH(B1303)))</f>
        <v>3</v>
      </c>
      <c r="Q1303" s="222">
        <f t="shared" ref="Q1303:Q1366" si="89">IF(C1303=0,0,IF(YEAR(C1303)=$Q$1,MONTH(C1303)-$P$1+1,(YEAR(C1303)-$Q$1)*12-$P$1+1+MONTH(C1303)))</f>
        <v>-1</v>
      </c>
      <c r="R1303" s="532" t="str">
        <f t="shared" ref="R1303:R1366" si="90">SUBSTITUTE(D1303," ","_")</f>
        <v>Gastos_Gerais</v>
      </c>
      <c r="S1303" s="467" t="s">
        <v>310</v>
      </c>
      <c r="T1303" s="467" t="s">
        <v>310</v>
      </c>
      <c r="U1303" s="496"/>
      <c r="V1303" s="496"/>
      <c r="W1303" s="496"/>
    </row>
    <row r="1304" spans="1:23" ht="50.1" customHeight="1" x14ac:dyDescent="0.2">
      <c r="A1304" s="510">
        <f t="shared" si="87"/>
        <v>1301</v>
      </c>
      <c r="B1304" s="428">
        <v>44628</v>
      </c>
      <c r="C1304" s="424">
        <v>44501</v>
      </c>
      <c r="D1304" s="415" t="s">
        <v>271</v>
      </c>
      <c r="E1304" s="415" t="s">
        <v>460</v>
      </c>
      <c r="F1304" s="425">
        <v>178.2</v>
      </c>
      <c r="G1304" s="427" t="s">
        <v>1725</v>
      </c>
      <c r="H1304" s="415" t="s">
        <v>750</v>
      </c>
      <c r="I1304" s="473" t="s">
        <v>764</v>
      </c>
      <c r="J1304" s="415" t="s">
        <v>310</v>
      </c>
      <c r="K1304" s="415" t="s">
        <v>1220</v>
      </c>
      <c r="L1304" s="415" t="s">
        <v>1281</v>
      </c>
      <c r="M1304" s="546">
        <v>222047541362</v>
      </c>
      <c r="N1304" s="414">
        <v>44628</v>
      </c>
      <c r="O1304" s="414" t="s">
        <v>400</v>
      </c>
      <c r="P1304" s="222">
        <f t="shared" si="88"/>
        <v>3</v>
      </c>
      <c r="Q1304" s="222">
        <f t="shared" si="89"/>
        <v>-1</v>
      </c>
      <c r="R1304" s="532" t="str">
        <f t="shared" si="90"/>
        <v>Gastos_Gerais</v>
      </c>
      <c r="S1304" s="467" t="s">
        <v>310</v>
      </c>
      <c r="T1304" s="467" t="s">
        <v>310</v>
      </c>
      <c r="U1304" s="496"/>
      <c r="V1304" s="496"/>
      <c r="W1304" s="496"/>
    </row>
    <row r="1305" spans="1:23" ht="50.1" customHeight="1" x14ac:dyDescent="0.2">
      <c r="A1305" s="510">
        <f t="shared" si="87"/>
        <v>1302</v>
      </c>
      <c r="B1305" s="428">
        <v>44628</v>
      </c>
      <c r="C1305" s="424">
        <v>44593</v>
      </c>
      <c r="D1305" s="415" t="s">
        <v>271</v>
      </c>
      <c r="E1305" s="415" t="s">
        <v>460</v>
      </c>
      <c r="F1305" s="425">
        <v>16.239999999999998</v>
      </c>
      <c r="G1305" s="427" t="s">
        <v>1814</v>
      </c>
      <c r="H1305" s="415" t="s">
        <v>750</v>
      </c>
      <c r="I1305" s="473" t="s">
        <v>764</v>
      </c>
      <c r="J1305" s="415" t="s">
        <v>310</v>
      </c>
      <c r="K1305" s="415" t="s">
        <v>1220</v>
      </c>
      <c r="L1305" s="415" t="s">
        <v>1281</v>
      </c>
      <c r="M1305" s="546" t="s">
        <v>2108</v>
      </c>
      <c r="N1305" s="414">
        <v>44628</v>
      </c>
      <c r="O1305" s="414" t="s">
        <v>400</v>
      </c>
      <c r="P1305" s="222">
        <f t="shared" si="88"/>
        <v>3</v>
      </c>
      <c r="Q1305" s="222">
        <f t="shared" si="89"/>
        <v>2</v>
      </c>
      <c r="R1305" s="532" t="str">
        <f t="shared" si="90"/>
        <v>Gastos_Gerais</v>
      </c>
      <c r="S1305" s="467" t="s">
        <v>310</v>
      </c>
      <c r="T1305" s="467" t="s">
        <v>310</v>
      </c>
      <c r="U1305" s="496"/>
      <c r="V1305" s="496"/>
      <c r="W1305" s="496"/>
    </row>
    <row r="1306" spans="1:23" ht="50.1" customHeight="1" x14ac:dyDescent="0.2">
      <c r="A1306" s="510">
        <f t="shared" si="87"/>
        <v>1303</v>
      </c>
      <c r="B1306" s="428">
        <v>44628</v>
      </c>
      <c r="C1306" s="424">
        <v>44562</v>
      </c>
      <c r="D1306" s="415" t="s">
        <v>271</v>
      </c>
      <c r="E1306" s="415" t="s">
        <v>9</v>
      </c>
      <c r="F1306" s="425">
        <v>280.27999999999997</v>
      </c>
      <c r="G1306" s="427" t="s">
        <v>1623</v>
      </c>
      <c r="H1306" s="415" t="s">
        <v>309</v>
      </c>
      <c r="I1306" s="473" t="s">
        <v>764</v>
      </c>
      <c r="J1306" s="415" t="s">
        <v>310</v>
      </c>
      <c r="K1306" s="415" t="s">
        <v>1220</v>
      </c>
      <c r="L1306" s="415" t="s">
        <v>1281</v>
      </c>
      <c r="M1306" s="546">
        <v>222047542768</v>
      </c>
      <c r="N1306" s="414">
        <v>44628</v>
      </c>
      <c r="O1306" s="414" t="s">
        <v>400</v>
      </c>
      <c r="P1306" s="222">
        <f t="shared" si="88"/>
        <v>3</v>
      </c>
      <c r="Q1306" s="222">
        <f t="shared" si="89"/>
        <v>1</v>
      </c>
      <c r="R1306" s="532" t="str">
        <f t="shared" si="90"/>
        <v>Gastos_Gerais</v>
      </c>
      <c r="S1306" s="467" t="s">
        <v>310</v>
      </c>
      <c r="T1306" s="467" t="s">
        <v>310</v>
      </c>
      <c r="U1306" s="496"/>
      <c r="V1306" s="496"/>
      <c r="W1306" s="496"/>
    </row>
    <row r="1307" spans="1:23" ht="50.1" customHeight="1" x14ac:dyDescent="0.2">
      <c r="A1307" s="510">
        <f t="shared" si="87"/>
        <v>1304</v>
      </c>
      <c r="B1307" s="428">
        <v>44628</v>
      </c>
      <c r="C1307" s="424">
        <v>44562</v>
      </c>
      <c r="D1307" s="415" t="s">
        <v>271</v>
      </c>
      <c r="E1307" s="415" t="s">
        <v>186</v>
      </c>
      <c r="F1307" s="425">
        <v>116.58</v>
      </c>
      <c r="G1307" s="427" t="s">
        <v>1936</v>
      </c>
      <c r="H1307" s="415" t="s">
        <v>751</v>
      </c>
      <c r="I1307" s="473" t="s">
        <v>764</v>
      </c>
      <c r="J1307" s="415" t="s">
        <v>310</v>
      </c>
      <c r="K1307" s="415" t="s">
        <v>1220</v>
      </c>
      <c r="L1307" s="415" t="s">
        <v>1281</v>
      </c>
      <c r="M1307" s="546">
        <v>222047543306</v>
      </c>
      <c r="N1307" s="414">
        <v>44628</v>
      </c>
      <c r="O1307" s="414" t="s">
        <v>400</v>
      </c>
      <c r="P1307" s="222">
        <f t="shared" si="88"/>
        <v>3</v>
      </c>
      <c r="Q1307" s="222">
        <f t="shared" si="89"/>
        <v>1</v>
      </c>
      <c r="R1307" s="532" t="str">
        <f t="shared" si="90"/>
        <v>Gastos_Gerais</v>
      </c>
      <c r="S1307" s="467" t="s">
        <v>310</v>
      </c>
      <c r="T1307" s="467" t="s">
        <v>310</v>
      </c>
      <c r="U1307" s="496"/>
      <c r="V1307" s="496"/>
      <c r="W1307" s="496"/>
    </row>
    <row r="1308" spans="1:23" ht="50.1" customHeight="1" x14ac:dyDescent="0.2">
      <c r="A1308" s="510">
        <f t="shared" si="87"/>
        <v>1305</v>
      </c>
      <c r="B1308" s="428">
        <v>44628</v>
      </c>
      <c r="C1308" s="424">
        <v>44562</v>
      </c>
      <c r="D1308" s="415" t="s">
        <v>271</v>
      </c>
      <c r="E1308" s="415" t="s">
        <v>88</v>
      </c>
      <c r="F1308" s="425">
        <v>2.69</v>
      </c>
      <c r="G1308" s="427" t="s">
        <v>2109</v>
      </c>
      <c r="H1308" s="415" t="s">
        <v>756</v>
      </c>
      <c r="I1308" s="473" t="s">
        <v>764</v>
      </c>
      <c r="J1308" s="415" t="s">
        <v>310</v>
      </c>
      <c r="K1308" s="415" t="s">
        <v>1220</v>
      </c>
      <c r="L1308" s="415" t="s">
        <v>1281</v>
      </c>
      <c r="M1308" s="546" t="s">
        <v>2110</v>
      </c>
      <c r="N1308" s="414">
        <v>44628</v>
      </c>
      <c r="O1308" s="414" t="s">
        <v>400</v>
      </c>
      <c r="P1308" s="222">
        <f t="shared" si="88"/>
        <v>3</v>
      </c>
      <c r="Q1308" s="222">
        <f t="shared" si="89"/>
        <v>1</v>
      </c>
      <c r="R1308" s="532" t="str">
        <f t="shared" si="90"/>
        <v>Gastos_Gerais</v>
      </c>
      <c r="S1308" s="467" t="s">
        <v>310</v>
      </c>
      <c r="T1308" s="467" t="s">
        <v>310</v>
      </c>
      <c r="U1308" s="496"/>
      <c r="V1308" s="496"/>
      <c r="W1308" s="496"/>
    </row>
    <row r="1309" spans="1:23" ht="50.1" customHeight="1" x14ac:dyDescent="0.2">
      <c r="A1309" s="510">
        <f t="shared" si="87"/>
        <v>1306</v>
      </c>
      <c r="B1309" s="428">
        <v>44628</v>
      </c>
      <c r="C1309" s="424">
        <v>44531</v>
      </c>
      <c r="D1309" s="415" t="s">
        <v>271</v>
      </c>
      <c r="E1309" s="415" t="s">
        <v>465</v>
      </c>
      <c r="F1309" s="425">
        <v>41.4</v>
      </c>
      <c r="G1309" s="427" t="s">
        <v>1817</v>
      </c>
      <c r="H1309" s="415" t="s">
        <v>752</v>
      </c>
      <c r="I1309" s="473" t="s">
        <v>764</v>
      </c>
      <c r="J1309" s="415" t="s">
        <v>310</v>
      </c>
      <c r="K1309" s="415" t="s">
        <v>1220</v>
      </c>
      <c r="L1309" s="415" t="s">
        <v>1281</v>
      </c>
      <c r="M1309" s="546">
        <v>222047544205</v>
      </c>
      <c r="N1309" s="414">
        <v>44628</v>
      </c>
      <c r="O1309" s="414" t="s">
        <v>400</v>
      </c>
      <c r="P1309" s="222">
        <f t="shared" si="88"/>
        <v>3</v>
      </c>
      <c r="Q1309" s="222">
        <f t="shared" si="89"/>
        <v>0</v>
      </c>
      <c r="R1309" s="532" t="str">
        <f t="shared" si="90"/>
        <v>Gastos_Gerais</v>
      </c>
      <c r="S1309" s="467" t="s">
        <v>310</v>
      </c>
      <c r="T1309" s="467" t="s">
        <v>310</v>
      </c>
      <c r="U1309" s="496"/>
      <c r="V1309" s="496"/>
      <c r="W1309" s="496"/>
    </row>
    <row r="1310" spans="1:23" ht="50.1" customHeight="1" x14ac:dyDescent="0.2">
      <c r="A1310" s="510">
        <f t="shared" si="87"/>
        <v>1307</v>
      </c>
      <c r="B1310" s="428">
        <v>44628</v>
      </c>
      <c r="C1310" s="424">
        <v>44531</v>
      </c>
      <c r="D1310" s="415" t="s">
        <v>271</v>
      </c>
      <c r="E1310" s="415" t="s">
        <v>465</v>
      </c>
      <c r="F1310" s="425">
        <v>15.12</v>
      </c>
      <c r="G1310" s="427" t="s">
        <v>1821</v>
      </c>
      <c r="H1310" s="415" t="s">
        <v>759</v>
      </c>
      <c r="I1310" s="473" t="s">
        <v>764</v>
      </c>
      <c r="J1310" s="415" t="s">
        <v>310</v>
      </c>
      <c r="K1310" s="415" t="s">
        <v>1220</v>
      </c>
      <c r="L1310" s="415" t="s">
        <v>1281</v>
      </c>
      <c r="M1310" s="546">
        <v>222047544388</v>
      </c>
      <c r="N1310" s="414">
        <v>44628</v>
      </c>
      <c r="O1310" s="414" t="s">
        <v>400</v>
      </c>
      <c r="P1310" s="222">
        <f t="shared" si="88"/>
        <v>3</v>
      </c>
      <c r="Q1310" s="222">
        <f t="shared" si="89"/>
        <v>0</v>
      </c>
      <c r="R1310" s="532" t="str">
        <f t="shared" si="90"/>
        <v>Gastos_Gerais</v>
      </c>
      <c r="S1310" s="467" t="s">
        <v>310</v>
      </c>
      <c r="T1310" s="467" t="s">
        <v>310</v>
      </c>
      <c r="U1310" s="496"/>
      <c r="V1310" s="496"/>
      <c r="W1310" s="496"/>
    </row>
    <row r="1311" spans="1:23" ht="50.1" customHeight="1" x14ac:dyDescent="0.2">
      <c r="A1311" s="510">
        <f t="shared" si="87"/>
        <v>1308</v>
      </c>
      <c r="B1311" s="428">
        <v>44628</v>
      </c>
      <c r="C1311" s="466">
        <v>44593</v>
      </c>
      <c r="D1311" s="415" t="s">
        <v>271</v>
      </c>
      <c r="E1311" s="415" t="s">
        <v>178</v>
      </c>
      <c r="F1311" s="425">
        <v>9.5399999999999991</v>
      </c>
      <c r="G1311" s="427" t="s">
        <v>2111</v>
      </c>
      <c r="H1311" s="415" t="s">
        <v>309</v>
      </c>
      <c r="I1311" s="473" t="s">
        <v>764</v>
      </c>
      <c r="J1311" s="415" t="s">
        <v>310</v>
      </c>
      <c r="K1311" s="415" t="s">
        <v>1220</v>
      </c>
      <c r="L1311" s="415" t="s">
        <v>1281</v>
      </c>
      <c r="M1311" s="546" t="s">
        <v>2112</v>
      </c>
      <c r="N1311" s="414">
        <v>44628</v>
      </c>
      <c r="O1311" s="414" t="s">
        <v>400</v>
      </c>
      <c r="P1311" s="222">
        <f t="shared" si="88"/>
        <v>3</v>
      </c>
      <c r="Q1311" s="222">
        <f t="shared" si="89"/>
        <v>2</v>
      </c>
      <c r="R1311" s="532" t="str">
        <f t="shared" si="90"/>
        <v>Gastos_Gerais</v>
      </c>
      <c r="S1311" s="467" t="s">
        <v>310</v>
      </c>
      <c r="T1311" s="467" t="s">
        <v>310</v>
      </c>
      <c r="U1311" s="496"/>
      <c r="V1311" s="496"/>
      <c r="W1311" s="496"/>
    </row>
    <row r="1312" spans="1:23" ht="50.1" customHeight="1" x14ac:dyDescent="0.2">
      <c r="A1312" s="510">
        <f t="shared" si="87"/>
        <v>1309</v>
      </c>
      <c r="B1312" s="428">
        <v>44628</v>
      </c>
      <c r="C1312" s="424">
        <v>44562</v>
      </c>
      <c r="D1312" s="415" t="s">
        <v>271</v>
      </c>
      <c r="E1312" s="415" t="s">
        <v>297</v>
      </c>
      <c r="F1312" s="425">
        <v>38.020000000000003</v>
      </c>
      <c r="G1312" s="427" t="s">
        <v>1800</v>
      </c>
      <c r="H1312" s="415" t="s">
        <v>755</v>
      </c>
      <c r="I1312" s="473" t="s">
        <v>764</v>
      </c>
      <c r="J1312" s="415" t="s">
        <v>310</v>
      </c>
      <c r="K1312" s="415" t="s">
        <v>1220</v>
      </c>
      <c r="L1312" s="415" t="s">
        <v>1281</v>
      </c>
      <c r="M1312" s="546" t="s">
        <v>2113</v>
      </c>
      <c r="N1312" s="414">
        <v>44628</v>
      </c>
      <c r="O1312" s="414" t="s">
        <v>400</v>
      </c>
      <c r="P1312" s="222">
        <f t="shared" si="88"/>
        <v>3</v>
      </c>
      <c r="Q1312" s="222">
        <f t="shared" si="89"/>
        <v>1</v>
      </c>
      <c r="R1312" s="532" t="str">
        <f t="shared" si="90"/>
        <v>Gastos_Gerais</v>
      </c>
      <c r="S1312" s="467" t="s">
        <v>310</v>
      </c>
      <c r="T1312" s="467" t="s">
        <v>310</v>
      </c>
      <c r="U1312" s="496"/>
      <c r="V1312" s="496"/>
      <c r="W1312" s="496"/>
    </row>
    <row r="1313" spans="1:23" ht="50.1" customHeight="1" x14ac:dyDescent="0.2">
      <c r="A1313" s="510">
        <f t="shared" si="87"/>
        <v>1310</v>
      </c>
      <c r="B1313" s="428">
        <v>44628</v>
      </c>
      <c r="C1313" s="424">
        <v>44593</v>
      </c>
      <c r="D1313" s="415" t="s">
        <v>182</v>
      </c>
      <c r="E1313" s="415" t="s">
        <v>179</v>
      </c>
      <c r="F1313" s="425">
        <v>10.16</v>
      </c>
      <c r="G1313" s="427" t="s">
        <v>2015</v>
      </c>
      <c r="H1313" s="415" t="s">
        <v>310</v>
      </c>
      <c r="I1313" s="473" t="s">
        <v>764</v>
      </c>
      <c r="J1313" s="415" t="s">
        <v>310</v>
      </c>
      <c r="K1313" s="415" t="s">
        <v>1220</v>
      </c>
      <c r="L1313" s="415" t="s">
        <v>1281</v>
      </c>
      <c r="M1313" s="546" t="s">
        <v>2114</v>
      </c>
      <c r="N1313" s="414">
        <v>44628</v>
      </c>
      <c r="O1313" s="414" t="s">
        <v>400</v>
      </c>
      <c r="P1313" s="222">
        <f t="shared" si="88"/>
        <v>3</v>
      </c>
      <c r="Q1313" s="222">
        <f t="shared" si="89"/>
        <v>2</v>
      </c>
      <c r="R1313" s="532" t="str">
        <f t="shared" si="90"/>
        <v>Gastos_com_Pessoal</v>
      </c>
      <c r="S1313" s="467" t="s">
        <v>310</v>
      </c>
      <c r="T1313" s="467" t="s">
        <v>310</v>
      </c>
      <c r="U1313" s="496"/>
      <c r="V1313" s="496"/>
      <c r="W1313" s="496"/>
    </row>
    <row r="1314" spans="1:23" ht="50.1" customHeight="1" x14ac:dyDescent="0.2">
      <c r="A1314" s="510">
        <f t="shared" si="87"/>
        <v>1311</v>
      </c>
      <c r="B1314" s="428">
        <v>44628</v>
      </c>
      <c r="C1314" s="424">
        <v>44593</v>
      </c>
      <c r="D1314" s="415" t="s">
        <v>182</v>
      </c>
      <c r="E1314" s="415" t="s">
        <v>179</v>
      </c>
      <c r="F1314" s="425">
        <v>17.739999999999998</v>
      </c>
      <c r="G1314" s="427" t="s">
        <v>2012</v>
      </c>
      <c r="H1314" s="415" t="s">
        <v>310</v>
      </c>
      <c r="I1314" s="473" t="s">
        <v>764</v>
      </c>
      <c r="J1314" s="415" t="s">
        <v>310</v>
      </c>
      <c r="K1314" s="415" t="s">
        <v>1220</v>
      </c>
      <c r="L1314" s="415" t="s">
        <v>1281</v>
      </c>
      <c r="M1314" s="546">
        <v>222047547999</v>
      </c>
      <c r="N1314" s="414">
        <v>44628</v>
      </c>
      <c r="O1314" s="414" t="s">
        <v>400</v>
      </c>
      <c r="P1314" s="222">
        <f t="shared" si="88"/>
        <v>3</v>
      </c>
      <c r="Q1314" s="222">
        <f t="shared" si="89"/>
        <v>2</v>
      </c>
      <c r="R1314" s="532" t="str">
        <f t="shared" si="90"/>
        <v>Gastos_com_Pessoal</v>
      </c>
      <c r="S1314" s="467" t="s">
        <v>310</v>
      </c>
      <c r="T1314" s="467" t="s">
        <v>310</v>
      </c>
      <c r="U1314" s="496"/>
      <c r="V1314" s="496"/>
      <c r="W1314" s="496"/>
    </row>
    <row r="1315" spans="1:23" ht="50.1" customHeight="1" x14ac:dyDescent="0.2">
      <c r="A1315" s="510">
        <f t="shared" si="87"/>
        <v>1312</v>
      </c>
      <c r="B1315" s="428">
        <v>44628</v>
      </c>
      <c r="C1315" s="424">
        <v>44593</v>
      </c>
      <c r="D1315" s="415" t="s">
        <v>182</v>
      </c>
      <c r="E1315" s="415" t="s">
        <v>161</v>
      </c>
      <c r="F1315" s="425">
        <v>0.75</v>
      </c>
      <c r="G1315" s="427" t="s">
        <v>2115</v>
      </c>
      <c r="H1315" s="415" t="s">
        <v>310</v>
      </c>
      <c r="I1315" s="473" t="s">
        <v>764</v>
      </c>
      <c r="J1315" s="415" t="s">
        <v>310</v>
      </c>
      <c r="K1315" s="415" t="s">
        <v>1220</v>
      </c>
      <c r="L1315" s="415" t="s">
        <v>1281</v>
      </c>
      <c r="M1315" s="546">
        <v>222047548375</v>
      </c>
      <c r="N1315" s="414">
        <v>44628</v>
      </c>
      <c r="O1315" s="414" t="s">
        <v>400</v>
      </c>
      <c r="P1315" s="222">
        <f t="shared" si="88"/>
        <v>3</v>
      </c>
      <c r="Q1315" s="222">
        <f t="shared" si="89"/>
        <v>2</v>
      </c>
      <c r="R1315" s="532" t="str">
        <f t="shared" si="90"/>
        <v>Gastos_com_Pessoal</v>
      </c>
      <c r="S1315" s="467" t="s">
        <v>310</v>
      </c>
      <c r="T1315" s="467" t="s">
        <v>310</v>
      </c>
      <c r="U1315" s="496"/>
      <c r="V1315" s="496"/>
      <c r="W1315" s="496"/>
    </row>
    <row r="1316" spans="1:23" ht="50.1" customHeight="1" x14ac:dyDescent="0.2">
      <c r="A1316" s="510">
        <f t="shared" si="87"/>
        <v>1313</v>
      </c>
      <c r="B1316" s="428">
        <v>44628</v>
      </c>
      <c r="C1316" s="424">
        <v>44593</v>
      </c>
      <c r="D1316" s="415" t="s">
        <v>182</v>
      </c>
      <c r="E1316" s="415" t="s">
        <v>161</v>
      </c>
      <c r="F1316" s="425">
        <v>0.27</v>
      </c>
      <c r="G1316" s="427" t="s">
        <v>2116</v>
      </c>
      <c r="H1316" s="415" t="s">
        <v>310</v>
      </c>
      <c r="I1316" s="473" t="s">
        <v>764</v>
      </c>
      <c r="J1316" s="415" t="s">
        <v>310</v>
      </c>
      <c r="K1316" s="415" t="s">
        <v>1220</v>
      </c>
      <c r="L1316" s="415" t="s">
        <v>1281</v>
      </c>
      <c r="M1316" s="546">
        <v>222047548880</v>
      </c>
      <c r="N1316" s="414">
        <v>44628</v>
      </c>
      <c r="O1316" s="414" t="s">
        <v>400</v>
      </c>
      <c r="P1316" s="222">
        <f t="shared" si="88"/>
        <v>3</v>
      </c>
      <c r="Q1316" s="222">
        <f t="shared" si="89"/>
        <v>2</v>
      </c>
      <c r="R1316" s="532" t="str">
        <f t="shared" si="90"/>
        <v>Gastos_com_Pessoal</v>
      </c>
      <c r="S1316" s="467" t="s">
        <v>310</v>
      </c>
      <c r="T1316" s="467" t="s">
        <v>310</v>
      </c>
      <c r="U1316" s="496"/>
      <c r="V1316" s="496"/>
      <c r="W1316" s="496"/>
    </row>
    <row r="1317" spans="1:23" ht="50.1" customHeight="1" x14ac:dyDescent="0.2">
      <c r="A1317" s="510">
        <f t="shared" si="87"/>
        <v>1314</v>
      </c>
      <c r="B1317" s="428">
        <v>44628</v>
      </c>
      <c r="C1317" s="424">
        <v>44562</v>
      </c>
      <c r="D1317" s="415" t="s">
        <v>182</v>
      </c>
      <c r="E1317" s="415" t="s">
        <v>1</v>
      </c>
      <c r="F1317" s="425">
        <v>14.02</v>
      </c>
      <c r="G1317" s="427" t="s">
        <v>2117</v>
      </c>
      <c r="H1317" s="415" t="s">
        <v>310</v>
      </c>
      <c r="I1317" s="473" t="s">
        <v>764</v>
      </c>
      <c r="J1317" s="415" t="s">
        <v>310</v>
      </c>
      <c r="K1317" s="415" t="s">
        <v>1220</v>
      </c>
      <c r="L1317" s="415" t="s">
        <v>1281</v>
      </c>
      <c r="M1317" s="546">
        <v>222047549347</v>
      </c>
      <c r="N1317" s="414">
        <v>44628</v>
      </c>
      <c r="O1317" s="414" t="s">
        <v>400</v>
      </c>
      <c r="P1317" s="222">
        <f t="shared" si="88"/>
        <v>3</v>
      </c>
      <c r="Q1317" s="222">
        <f t="shared" si="89"/>
        <v>1</v>
      </c>
      <c r="R1317" s="532" t="str">
        <f t="shared" si="90"/>
        <v>Gastos_com_Pessoal</v>
      </c>
      <c r="S1317" s="467" t="s">
        <v>310</v>
      </c>
      <c r="T1317" s="467" t="s">
        <v>310</v>
      </c>
      <c r="U1317" s="496"/>
      <c r="V1317" s="496"/>
      <c r="W1317" s="496"/>
    </row>
    <row r="1318" spans="1:23" ht="50.1" customHeight="1" x14ac:dyDescent="0.2">
      <c r="A1318" s="510">
        <f t="shared" si="87"/>
        <v>1315</v>
      </c>
      <c r="B1318" s="428">
        <v>44628</v>
      </c>
      <c r="C1318" s="424">
        <v>44621</v>
      </c>
      <c r="D1318" s="415" t="s">
        <v>182</v>
      </c>
      <c r="E1318" s="415" t="s">
        <v>325</v>
      </c>
      <c r="F1318" s="425">
        <v>217.96</v>
      </c>
      <c r="G1318" s="427" t="s">
        <v>2118</v>
      </c>
      <c r="H1318" s="415" t="s">
        <v>310</v>
      </c>
      <c r="I1318" s="473" t="s">
        <v>764</v>
      </c>
      <c r="J1318" s="415" t="s">
        <v>310</v>
      </c>
      <c r="K1318" s="415" t="s">
        <v>1220</v>
      </c>
      <c r="L1318" s="415" t="s">
        <v>1281</v>
      </c>
      <c r="M1318" s="546">
        <v>222047549509</v>
      </c>
      <c r="N1318" s="414">
        <v>44628</v>
      </c>
      <c r="O1318" s="414" t="s">
        <v>400</v>
      </c>
      <c r="P1318" s="222">
        <f t="shared" si="88"/>
        <v>3</v>
      </c>
      <c r="Q1318" s="222">
        <f t="shared" si="89"/>
        <v>3</v>
      </c>
      <c r="R1318" s="532" t="str">
        <f t="shared" si="90"/>
        <v>Gastos_com_Pessoal</v>
      </c>
      <c r="S1318" s="467" t="s">
        <v>310</v>
      </c>
      <c r="T1318" s="467" t="s">
        <v>310</v>
      </c>
      <c r="U1318" s="496"/>
      <c r="V1318" s="496"/>
      <c r="W1318" s="496"/>
    </row>
    <row r="1319" spans="1:23" ht="50.1" customHeight="1" x14ac:dyDescent="0.2">
      <c r="A1319" s="510">
        <f t="shared" si="87"/>
        <v>1316</v>
      </c>
      <c r="B1319" s="428">
        <v>44628</v>
      </c>
      <c r="C1319" s="424">
        <v>44562</v>
      </c>
      <c r="D1319" s="415" t="s">
        <v>271</v>
      </c>
      <c r="E1319" s="415" t="s">
        <v>456</v>
      </c>
      <c r="F1319" s="425">
        <v>40</v>
      </c>
      <c r="G1319" s="427" t="s">
        <v>2017</v>
      </c>
      <c r="H1319" s="415" t="s">
        <v>758</v>
      </c>
      <c r="I1319" s="473" t="s">
        <v>764</v>
      </c>
      <c r="J1319" s="415" t="s">
        <v>310</v>
      </c>
      <c r="K1319" s="415" t="s">
        <v>1220</v>
      </c>
      <c r="L1319" s="415" t="s">
        <v>1281</v>
      </c>
      <c r="M1319" s="546" t="s">
        <v>2119</v>
      </c>
      <c r="N1319" s="414">
        <v>44628</v>
      </c>
      <c r="O1319" s="414" t="s">
        <v>400</v>
      </c>
      <c r="P1319" s="222">
        <f t="shared" si="88"/>
        <v>3</v>
      </c>
      <c r="Q1319" s="222">
        <f t="shared" si="89"/>
        <v>1</v>
      </c>
      <c r="R1319" s="532" t="str">
        <f t="shared" si="90"/>
        <v>Gastos_Gerais</v>
      </c>
      <c r="S1319" s="467" t="s">
        <v>310</v>
      </c>
      <c r="T1319" s="467" t="s">
        <v>310</v>
      </c>
      <c r="U1319" s="496"/>
      <c r="V1319" s="496"/>
      <c r="W1319" s="496"/>
    </row>
    <row r="1320" spans="1:23" ht="50.1" customHeight="1" x14ac:dyDescent="0.2">
      <c r="A1320" s="510">
        <f t="shared" si="87"/>
        <v>1317</v>
      </c>
      <c r="B1320" s="428">
        <v>44628</v>
      </c>
      <c r="C1320" s="424">
        <v>44562</v>
      </c>
      <c r="D1320" s="415" t="s">
        <v>271</v>
      </c>
      <c r="E1320" s="415" t="s">
        <v>456</v>
      </c>
      <c r="F1320" s="425">
        <v>100</v>
      </c>
      <c r="G1320" s="427" t="s">
        <v>2019</v>
      </c>
      <c r="H1320" s="415" t="s">
        <v>758</v>
      </c>
      <c r="I1320" s="473" t="s">
        <v>764</v>
      </c>
      <c r="J1320" s="415" t="s">
        <v>310</v>
      </c>
      <c r="K1320" s="415" t="s">
        <v>1220</v>
      </c>
      <c r="L1320" s="415" t="s">
        <v>1281</v>
      </c>
      <c r="M1320" s="546">
        <v>222047551406</v>
      </c>
      <c r="N1320" s="414">
        <v>44628</v>
      </c>
      <c r="O1320" s="414" t="s">
        <v>400</v>
      </c>
      <c r="P1320" s="222">
        <f t="shared" si="88"/>
        <v>3</v>
      </c>
      <c r="Q1320" s="222">
        <f t="shared" si="89"/>
        <v>1</v>
      </c>
      <c r="R1320" s="532" t="str">
        <f t="shared" si="90"/>
        <v>Gastos_Gerais</v>
      </c>
      <c r="S1320" s="467" t="s">
        <v>310</v>
      </c>
      <c r="T1320" s="467" t="s">
        <v>310</v>
      </c>
      <c r="U1320" s="496"/>
      <c r="V1320" s="496"/>
      <c r="W1320" s="496"/>
    </row>
    <row r="1321" spans="1:23" ht="50.1" customHeight="1" x14ac:dyDescent="0.2">
      <c r="A1321" s="510">
        <f t="shared" si="87"/>
        <v>1318</v>
      </c>
      <c r="B1321" s="428">
        <v>44628</v>
      </c>
      <c r="C1321" s="424">
        <v>44593</v>
      </c>
      <c r="D1321" s="415" t="s">
        <v>271</v>
      </c>
      <c r="E1321" s="415" t="s">
        <v>456</v>
      </c>
      <c r="F1321" s="425">
        <v>627</v>
      </c>
      <c r="G1321" s="427" t="s">
        <v>2086</v>
      </c>
      <c r="H1321" s="415" t="s">
        <v>755</v>
      </c>
      <c r="I1321" s="473" t="s">
        <v>764</v>
      </c>
      <c r="J1321" s="415" t="s">
        <v>310</v>
      </c>
      <c r="K1321" s="415" t="s">
        <v>1220</v>
      </c>
      <c r="L1321" s="415" t="s">
        <v>1281</v>
      </c>
      <c r="M1321" s="546">
        <v>222047551910</v>
      </c>
      <c r="N1321" s="414">
        <v>44628</v>
      </c>
      <c r="O1321" s="414" t="s">
        <v>400</v>
      </c>
      <c r="P1321" s="222">
        <f t="shared" si="88"/>
        <v>3</v>
      </c>
      <c r="Q1321" s="222">
        <f t="shared" si="89"/>
        <v>2</v>
      </c>
      <c r="R1321" s="532" t="str">
        <f t="shared" si="90"/>
        <v>Gastos_Gerais</v>
      </c>
      <c r="S1321" s="467" t="s">
        <v>310</v>
      </c>
      <c r="T1321" s="467" t="s">
        <v>310</v>
      </c>
      <c r="U1321" s="496"/>
      <c r="V1321" s="496"/>
      <c r="W1321" s="496"/>
    </row>
    <row r="1322" spans="1:23" ht="50.1" customHeight="1" x14ac:dyDescent="0.2">
      <c r="A1322" s="510">
        <f t="shared" si="87"/>
        <v>1319</v>
      </c>
      <c r="B1322" s="428">
        <v>44628</v>
      </c>
      <c r="C1322" s="424">
        <v>44562</v>
      </c>
      <c r="D1322" s="415" t="s">
        <v>271</v>
      </c>
      <c r="E1322" s="415" t="s">
        <v>456</v>
      </c>
      <c r="F1322" s="425">
        <v>7.2</v>
      </c>
      <c r="G1322" s="427" t="s">
        <v>1682</v>
      </c>
      <c r="H1322" s="415" t="s">
        <v>749</v>
      </c>
      <c r="I1322" s="473" t="s">
        <v>764</v>
      </c>
      <c r="J1322" s="415" t="s">
        <v>310</v>
      </c>
      <c r="K1322" s="415" t="s">
        <v>1220</v>
      </c>
      <c r="L1322" s="415" t="s">
        <v>1281</v>
      </c>
      <c r="M1322" s="546" t="s">
        <v>2120</v>
      </c>
      <c r="N1322" s="414">
        <v>44628</v>
      </c>
      <c r="O1322" s="414" t="s">
        <v>400</v>
      </c>
      <c r="P1322" s="222">
        <f t="shared" si="88"/>
        <v>3</v>
      </c>
      <c r="Q1322" s="222">
        <f t="shared" si="89"/>
        <v>1</v>
      </c>
      <c r="R1322" s="532" t="str">
        <f t="shared" si="90"/>
        <v>Gastos_Gerais</v>
      </c>
      <c r="S1322" s="467" t="s">
        <v>310</v>
      </c>
      <c r="T1322" s="467" t="s">
        <v>310</v>
      </c>
      <c r="U1322" s="496"/>
      <c r="V1322" s="496"/>
      <c r="W1322" s="496"/>
    </row>
    <row r="1323" spans="1:23" ht="50.1" customHeight="1" x14ac:dyDescent="0.2">
      <c r="A1323" s="510">
        <f t="shared" si="87"/>
        <v>1320</v>
      </c>
      <c r="B1323" s="428">
        <v>44628</v>
      </c>
      <c r="C1323" s="424">
        <v>44562</v>
      </c>
      <c r="D1323" s="415" t="s">
        <v>271</v>
      </c>
      <c r="E1323" s="415" t="s">
        <v>1791</v>
      </c>
      <c r="F1323" s="425">
        <v>7.2</v>
      </c>
      <c r="G1323" s="427" t="s">
        <v>1675</v>
      </c>
      <c r="H1323" s="415" t="s">
        <v>749</v>
      </c>
      <c r="I1323" s="473" t="s">
        <v>764</v>
      </c>
      <c r="J1323" s="415" t="s">
        <v>310</v>
      </c>
      <c r="K1323" s="415" t="s">
        <v>1220</v>
      </c>
      <c r="L1323" s="415" t="s">
        <v>1281</v>
      </c>
      <c r="M1323" s="546" t="s">
        <v>2121</v>
      </c>
      <c r="N1323" s="414">
        <v>44628</v>
      </c>
      <c r="O1323" s="414" t="s">
        <v>400</v>
      </c>
      <c r="P1323" s="222">
        <f t="shared" si="88"/>
        <v>3</v>
      </c>
      <c r="Q1323" s="222">
        <f t="shared" si="89"/>
        <v>1</v>
      </c>
      <c r="R1323" s="532" t="str">
        <f t="shared" si="90"/>
        <v>Gastos_Gerais</v>
      </c>
      <c r="S1323" s="467" t="s">
        <v>310</v>
      </c>
      <c r="T1323" s="467" t="s">
        <v>310</v>
      </c>
      <c r="U1323" s="496"/>
      <c r="V1323" s="496"/>
      <c r="W1323" s="496"/>
    </row>
    <row r="1324" spans="1:23" ht="50.1" customHeight="1" x14ac:dyDescent="0.2">
      <c r="A1324" s="510">
        <f t="shared" si="87"/>
        <v>1321</v>
      </c>
      <c r="B1324" s="428">
        <v>44628</v>
      </c>
      <c r="C1324" s="424">
        <v>44562</v>
      </c>
      <c r="D1324" s="415" t="s">
        <v>271</v>
      </c>
      <c r="E1324" s="415" t="s">
        <v>1791</v>
      </c>
      <c r="F1324" s="425">
        <v>3.6</v>
      </c>
      <c r="G1324" s="427" t="s">
        <v>1676</v>
      </c>
      <c r="H1324" s="415" t="s">
        <v>749</v>
      </c>
      <c r="I1324" s="473" t="s">
        <v>764</v>
      </c>
      <c r="J1324" s="415" t="s">
        <v>310</v>
      </c>
      <c r="K1324" s="415" t="s">
        <v>1220</v>
      </c>
      <c r="L1324" s="415" t="s">
        <v>1281</v>
      </c>
      <c r="M1324" s="546">
        <v>222047554421</v>
      </c>
      <c r="N1324" s="414">
        <v>44628</v>
      </c>
      <c r="O1324" s="414" t="s">
        <v>400</v>
      </c>
      <c r="P1324" s="222">
        <f t="shared" si="88"/>
        <v>3</v>
      </c>
      <c r="Q1324" s="222">
        <f t="shared" si="89"/>
        <v>1</v>
      </c>
      <c r="R1324" s="532" t="str">
        <f t="shared" si="90"/>
        <v>Gastos_Gerais</v>
      </c>
      <c r="S1324" s="467" t="s">
        <v>310</v>
      </c>
      <c r="T1324" s="467" t="s">
        <v>310</v>
      </c>
      <c r="U1324" s="496"/>
      <c r="V1324" s="496"/>
      <c r="W1324" s="496"/>
    </row>
    <row r="1325" spans="1:23" ht="50.1" customHeight="1" x14ac:dyDescent="0.2">
      <c r="A1325" s="510">
        <f t="shared" si="87"/>
        <v>1322</v>
      </c>
      <c r="B1325" s="428">
        <v>44628</v>
      </c>
      <c r="C1325" s="424">
        <v>44562</v>
      </c>
      <c r="D1325" s="415" t="s">
        <v>271</v>
      </c>
      <c r="E1325" s="415" t="s">
        <v>1791</v>
      </c>
      <c r="F1325" s="425">
        <v>32</v>
      </c>
      <c r="G1325" s="427" t="s">
        <v>1677</v>
      </c>
      <c r="H1325" s="415" t="s">
        <v>752</v>
      </c>
      <c r="I1325" s="473" t="s">
        <v>764</v>
      </c>
      <c r="J1325" s="415" t="s">
        <v>310</v>
      </c>
      <c r="K1325" s="415" t="s">
        <v>1220</v>
      </c>
      <c r="L1325" s="415" t="s">
        <v>1281</v>
      </c>
      <c r="M1325" s="546">
        <v>222047554693</v>
      </c>
      <c r="N1325" s="414">
        <v>44628</v>
      </c>
      <c r="O1325" s="414" t="s">
        <v>400</v>
      </c>
      <c r="P1325" s="222">
        <f t="shared" si="88"/>
        <v>3</v>
      </c>
      <c r="Q1325" s="222">
        <f t="shared" si="89"/>
        <v>1</v>
      </c>
      <c r="R1325" s="532" t="str">
        <f t="shared" si="90"/>
        <v>Gastos_Gerais</v>
      </c>
      <c r="S1325" s="467" t="s">
        <v>310</v>
      </c>
      <c r="T1325" s="467" t="s">
        <v>310</v>
      </c>
      <c r="U1325" s="496"/>
      <c r="V1325" s="496"/>
      <c r="W1325" s="496"/>
    </row>
    <row r="1326" spans="1:23" ht="50.1" customHeight="1" x14ac:dyDescent="0.2">
      <c r="A1326" s="510">
        <f t="shared" si="87"/>
        <v>1323</v>
      </c>
      <c r="B1326" s="428">
        <v>44628</v>
      </c>
      <c r="C1326" s="424">
        <v>44562</v>
      </c>
      <c r="D1326" s="415" t="s">
        <v>271</v>
      </c>
      <c r="E1326" s="415" t="s">
        <v>1791</v>
      </c>
      <c r="F1326" s="425">
        <v>120</v>
      </c>
      <c r="G1326" s="427" t="s">
        <v>2123</v>
      </c>
      <c r="H1326" s="415" t="s">
        <v>752</v>
      </c>
      <c r="I1326" s="473" t="s">
        <v>764</v>
      </c>
      <c r="J1326" s="415" t="s">
        <v>310</v>
      </c>
      <c r="K1326" s="415" t="s">
        <v>1220</v>
      </c>
      <c r="L1326" s="415" t="s">
        <v>1281</v>
      </c>
      <c r="M1326" s="546" t="s">
        <v>2122</v>
      </c>
      <c r="N1326" s="414">
        <v>44628</v>
      </c>
      <c r="O1326" s="414" t="s">
        <v>400</v>
      </c>
      <c r="P1326" s="222">
        <f t="shared" si="88"/>
        <v>3</v>
      </c>
      <c r="Q1326" s="222">
        <f t="shared" si="89"/>
        <v>1</v>
      </c>
      <c r="R1326" s="532" t="str">
        <f t="shared" si="90"/>
        <v>Gastos_Gerais</v>
      </c>
      <c r="S1326" s="467" t="s">
        <v>310</v>
      </c>
      <c r="T1326" s="467" t="s">
        <v>310</v>
      </c>
      <c r="U1326" s="496"/>
      <c r="V1326" s="496"/>
      <c r="W1326" s="496"/>
    </row>
    <row r="1327" spans="1:23" ht="50.1" customHeight="1" x14ac:dyDescent="0.2">
      <c r="A1327" s="510">
        <f t="shared" si="87"/>
        <v>1324</v>
      </c>
      <c r="B1327" s="428">
        <v>44628</v>
      </c>
      <c r="C1327" s="424">
        <v>44562</v>
      </c>
      <c r="D1327" s="415" t="s">
        <v>271</v>
      </c>
      <c r="E1327" s="415" t="s">
        <v>90</v>
      </c>
      <c r="F1327" s="425">
        <v>75</v>
      </c>
      <c r="G1327" s="427" t="s">
        <v>1749</v>
      </c>
      <c r="H1327" s="415" t="s">
        <v>760</v>
      </c>
      <c r="I1327" s="473" t="s">
        <v>764</v>
      </c>
      <c r="J1327" s="415" t="s">
        <v>310</v>
      </c>
      <c r="K1327" s="415" t="s">
        <v>1220</v>
      </c>
      <c r="L1327" s="415" t="s">
        <v>1281</v>
      </c>
      <c r="M1327" s="546">
        <v>222047555150</v>
      </c>
      <c r="N1327" s="414">
        <v>44628</v>
      </c>
      <c r="O1327" s="414" t="s">
        <v>400</v>
      </c>
      <c r="P1327" s="222">
        <f t="shared" si="88"/>
        <v>3</v>
      </c>
      <c r="Q1327" s="222">
        <f t="shared" si="89"/>
        <v>1</v>
      </c>
      <c r="R1327" s="532" t="str">
        <f t="shared" si="90"/>
        <v>Gastos_Gerais</v>
      </c>
      <c r="S1327" s="467" t="s">
        <v>310</v>
      </c>
      <c r="T1327" s="467" t="s">
        <v>310</v>
      </c>
      <c r="U1327" s="496"/>
      <c r="V1327" s="496"/>
      <c r="W1327" s="496"/>
    </row>
    <row r="1328" spans="1:23" ht="144.75" customHeight="1" x14ac:dyDescent="0.2">
      <c r="A1328" s="510">
        <f t="shared" si="87"/>
        <v>1325</v>
      </c>
      <c r="B1328" s="428">
        <v>44628</v>
      </c>
      <c r="C1328" s="424">
        <v>44562</v>
      </c>
      <c r="D1328" s="415" t="s">
        <v>271</v>
      </c>
      <c r="E1328" s="415" t="s">
        <v>1791</v>
      </c>
      <c r="F1328" s="425">
        <v>84</v>
      </c>
      <c r="G1328" s="427" t="s">
        <v>1708</v>
      </c>
      <c r="H1328" s="415" t="s">
        <v>752</v>
      </c>
      <c r="I1328" s="473" t="s">
        <v>764</v>
      </c>
      <c r="J1328" s="415" t="s">
        <v>310</v>
      </c>
      <c r="K1328" s="415" t="s">
        <v>1220</v>
      </c>
      <c r="L1328" s="415" t="s">
        <v>1281</v>
      </c>
      <c r="M1328" s="546">
        <v>22204755531</v>
      </c>
      <c r="N1328" s="414">
        <v>44628</v>
      </c>
      <c r="O1328" s="414" t="s">
        <v>400</v>
      </c>
      <c r="P1328" s="222">
        <f t="shared" si="88"/>
        <v>3</v>
      </c>
      <c r="Q1328" s="222">
        <f t="shared" si="89"/>
        <v>1</v>
      </c>
      <c r="R1328" s="532" t="str">
        <f t="shared" si="90"/>
        <v>Gastos_Gerais</v>
      </c>
      <c r="S1328" s="467" t="s">
        <v>310</v>
      </c>
      <c r="T1328" s="467" t="s">
        <v>310</v>
      </c>
      <c r="U1328" s="496"/>
      <c r="V1328" s="496"/>
      <c r="W1328" s="496"/>
    </row>
    <row r="1329" spans="1:23" ht="23.45" customHeight="1" x14ac:dyDescent="0.2">
      <c r="A1329" s="510">
        <f t="shared" si="87"/>
        <v>1326</v>
      </c>
      <c r="B1329" s="428">
        <v>44628</v>
      </c>
      <c r="C1329" s="424">
        <v>44562</v>
      </c>
      <c r="D1329" s="415" t="s">
        <v>271</v>
      </c>
      <c r="E1329" s="415" t="s">
        <v>1791</v>
      </c>
      <c r="F1329" s="425">
        <v>120</v>
      </c>
      <c r="G1329" s="427" t="s">
        <v>1767</v>
      </c>
      <c r="H1329" s="415" t="s">
        <v>752</v>
      </c>
      <c r="I1329" s="473" t="s">
        <v>764</v>
      </c>
      <c r="J1329" s="415" t="s">
        <v>310</v>
      </c>
      <c r="K1329" s="415" t="s">
        <v>1220</v>
      </c>
      <c r="L1329" s="415" t="s">
        <v>1281</v>
      </c>
      <c r="M1329" s="546" t="s">
        <v>2124</v>
      </c>
      <c r="N1329" s="414">
        <v>44628</v>
      </c>
      <c r="O1329" s="414" t="s">
        <v>400</v>
      </c>
      <c r="P1329" s="222">
        <f t="shared" si="88"/>
        <v>3</v>
      </c>
      <c r="Q1329" s="222">
        <f t="shared" si="89"/>
        <v>1</v>
      </c>
      <c r="R1329" s="532" t="str">
        <f t="shared" si="90"/>
        <v>Gastos_Gerais</v>
      </c>
      <c r="S1329" s="467" t="s">
        <v>310</v>
      </c>
      <c r="T1329" s="467" t="s">
        <v>310</v>
      </c>
      <c r="U1329" s="496"/>
      <c r="V1329" s="496"/>
      <c r="W1329" s="496"/>
    </row>
    <row r="1330" spans="1:23" ht="23.45" customHeight="1" x14ac:dyDescent="0.2">
      <c r="A1330" s="510">
        <f t="shared" si="87"/>
        <v>1327</v>
      </c>
      <c r="B1330" s="428">
        <v>44628</v>
      </c>
      <c r="C1330" s="424">
        <v>44562</v>
      </c>
      <c r="D1330" s="415" t="s">
        <v>271</v>
      </c>
      <c r="E1330" s="415" t="s">
        <v>1791</v>
      </c>
      <c r="F1330" s="425">
        <v>120</v>
      </c>
      <c r="G1330" s="427" t="s">
        <v>1777</v>
      </c>
      <c r="H1330" s="415" t="s">
        <v>752</v>
      </c>
      <c r="I1330" s="473" t="s">
        <v>764</v>
      </c>
      <c r="J1330" s="415" t="s">
        <v>310</v>
      </c>
      <c r="K1330" s="415" t="s">
        <v>1220</v>
      </c>
      <c r="L1330" s="415" t="s">
        <v>1281</v>
      </c>
      <c r="M1330" s="546">
        <v>222047556475</v>
      </c>
      <c r="N1330" s="414">
        <v>44628</v>
      </c>
      <c r="O1330" s="414" t="s">
        <v>400</v>
      </c>
      <c r="P1330" s="222">
        <f t="shared" si="88"/>
        <v>3</v>
      </c>
      <c r="Q1330" s="222">
        <f t="shared" si="89"/>
        <v>1</v>
      </c>
      <c r="R1330" s="532" t="str">
        <f t="shared" si="90"/>
        <v>Gastos_Gerais</v>
      </c>
      <c r="S1330" s="467" t="s">
        <v>310</v>
      </c>
      <c r="T1330" s="467" t="s">
        <v>310</v>
      </c>
      <c r="U1330" s="496"/>
      <c r="V1330" s="496"/>
      <c r="W1330" s="496"/>
    </row>
    <row r="1331" spans="1:23" ht="23.45" customHeight="1" x14ac:dyDescent="0.2">
      <c r="A1331" s="510">
        <f t="shared" si="87"/>
        <v>1328</v>
      </c>
      <c r="B1331" s="428">
        <v>44628</v>
      </c>
      <c r="C1331" s="424">
        <v>44562</v>
      </c>
      <c r="D1331" s="415" t="s">
        <v>271</v>
      </c>
      <c r="E1331" s="415" t="s">
        <v>1791</v>
      </c>
      <c r="F1331" s="425">
        <v>120</v>
      </c>
      <c r="G1331" s="427" t="s">
        <v>1772</v>
      </c>
      <c r="H1331" s="415" t="s">
        <v>752</v>
      </c>
      <c r="I1331" s="473" t="s">
        <v>764</v>
      </c>
      <c r="J1331" s="415" t="s">
        <v>310</v>
      </c>
      <c r="K1331" s="415" t="s">
        <v>1220</v>
      </c>
      <c r="L1331" s="415" t="s">
        <v>1281</v>
      </c>
      <c r="M1331" s="546">
        <v>222047556637</v>
      </c>
      <c r="N1331" s="414">
        <v>44628</v>
      </c>
      <c r="O1331" s="414" t="s">
        <v>400</v>
      </c>
      <c r="P1331" s="222">
        <f t="shared" si="88"/>
        <v>3</v>
      </c>
      <c r="Q1331" s="222">
        <f t="shared" si="89"/>
        <v>1</v>
      </c>
      <c r="R1331" s="532" t="str">
        <f t="shared" si="90"/>
        <v>Gastos_Gerais</v>
      </c>
      <c r="S1331" s="467" t="s">
        <v>310</v>
      </c>
      <c r="T1331" s="467" t="s">
        <v>310</v>
      </c>
      <c r="U1331" s="496"/>
      <c r="V1331" s="496"/>
      <c r="W1331" s="496"/>
    </row>
    <row r="1332" spans="1:23" ht="23.45" customHeight="1" x14ac:dyDescent="0.2">
      <c r="A1332" s="510">
        <f t="shared" si="87"/>
        <v>1329</v>
      </c>
      <c r="B1332" s="428">
        <v>44628</v>
      </c>
      <c r="C1332" s="424">
        <v>44593</v>
      </c>
      <c r="D1332" s="415" t="s">
        <v>271</v>
      </c>
      <c r="E1332" s="415" t="s">
        <v>1791</v>
      </c>
      <c r="F1332" s="425">
        <v>60</v>
      </c>
      <c r="G1332" s="427" t="s">
        <v>1837</v>
      </c>
      <c r="H1332" s="415" t="s">
        <v>757</v>
      </c>
      <c r="I1332" s="473" t="s">
        <v>764</v>
      </c>
      <c r="J1332" s="415" t="s">
        <v>310</v>
      </c>
      <c r="K1332" s="415" t="s">
        <v>1220</v>
      </c>
      <c r="L1332" s="415" t="s">
        <v>1281</v>
      </c>
      <c r="M1332" s="546">
        <v>222047557013</v>
      </c>
      <c r="N1332" s="414">
        <v>44628</v>
      </c>
      <c r="O1332" s="414" t="s">
        <v>400</v>
      </c>
      <c r="P1332" s="222">
        <f t="shared" si="88"/>
        <v>3</v>
      </c>
      <c r="Q1332" s="222">
        <f t="shared" si="89"/>
        <v>2</v>
      </c>
      <c r="R1332" s="532" t="str">
        <f t="shared" si="90"/>
        <v>Gastos_Gerais</v>
      </c>
      <c r="S1332" s="467" t="s">
        <v>310</v>
      </c>
      <c r="T1332" s="467" t="s">
        <v>310</v>
      </c>
      <c r="U1332" s="496"/>
      <c r="V1332" s="496"/>
      <c r="W1332" s="496"/>
    </row>
    <row r="1333" spans="1:23" ht="23.45" customHeight="1" x14ac:dyDescent="0.2">
      <c r="A1333" s="510">
        <f t="shared" si="87"/>
        <v>1330</v>
      </c>
      <c r="B1333" s="428">
        <v>44628</v>
      </c>
      <c r="C1333" s="424">
        <v>44562</v>
      </c>
      <c r="D1333" s="415" t="s">
        <v>271</v>
      </c>
      <c r="E1333" s="415" t="s">
        <v>1791</v>
      </c>
      <c r="F1333" s="425">
        <v>40</v>
      </c>
      <c r="G1333" s="427" t="s">
        <v>1880</v>
      </c>
      <c r="H1333" s="415" t="s">
        <v>752</v>
      </c>
      <c r="I1333" s="473" t="s">
        <v>764</v>
      </c>
      <c r="J1333" s="415" t="s">
        <v>310</v>
      </c>
      <c r="K1333" s="415" t="s">
        <v>1220</v>
      </c>
      <c r="L1333" s="415" t="s">
        <v>1281</v>
      </c>
      <c r="M1333" s="546" t="s">
        <v>2125</v>
      </c>
      <c r="N1333" s="414">
        <v>44628</v>
      </c>
      <c r="O1333" s="414" t="s">
        <v>400</v>
      </c>
      <c r="P1333" s="222">
        <f t="shared" si="88"/>
        <v>3</v>
      </c>
      <c r="Q1333" s="222">
        <f t="shared" si="89"/>
        <v>1</v>
      </c>
      <c r="R1333" s="532" t="str">
        <f t="shared" si="90"/>
        <v>Gastos_Gerais</v>
      </c>
      <c r="S1333" s="467" t="s">
        <v>310</v>
      </c>
      <c r="T1333" s="467" t="s">
        <v>310</v>
      </c>
      <c r="U1333" s="496"/>
      <c r="V1333" s="496"/>
      <c r="W1333" s="496"/>
    </row>
    <row r="1334" spans="1:23" ht="23.45" customHeight="1" x14ac:dyDescent="0.2">
      <c r="A1334" s="510">
        <f t="shared" si="87"/>
        <v>1331</v>
      </c>
      <c r="B1334" s="428">
        <v>44628</v>
      </c>
      <c r="C1334" s="424">
        <v>44593</v>
      </c>
      <c r="D1334" s="415" t="s">
        <v>271</v>
      </c>
      <c r="E1334" s="415" t="s">
        <v>466</v>
      </c>
      <c r="F1334" s="425">
        <v>75</v>
      </c>
      <c r="G1334" s="427" t="s">
        <v>1878</v>
      </c>
      <c r="H1334" s="415" t="s">
        <v>752</v>
      </c>
      <c r="I1334" s="473" t="s">
        <v>764</v>
      </c>
      <c r="J1334" s="415" t="s">
        <v>310</v>
      </c>
      <c r="K1334" s="415" t="s">
        <v>1220</v>
      </c>
      <c r="L1334" s="415" t="s">
        <v>1281</v>
      </c>
      <c r="M1334" s="546" t="s">
        <v>2126</v>
      </c>
      <c r="N1334" s="414">
        <v>44628</v>
      </c>
      <c r="O1334" s="414" t="s">
        <v>400</v>
      </c>
      <c r="P1334" s="222">
        <f t="shared" si="88"/>
        <v>3</v>
      </c>
      <c r="Q1334" s="222">
        <f t="shared" si="89"/>
        <v>2</v>
      </c>
      <c r="R1334" s="532" t="str">
        <f t="shared" si="90"/>
        <v>Gastos_Gerais</v>
      </c>
      <c r="S1334" s="467" t="s">
        <v>310</v>
      </c>
      <c r="T1334" s="467" t="s">
        <v>310</v>
      </c>
      <c r="U1334" s="496"/>
      <c r="V1334" s="496"/>
      <c r="W1334" s="496"/>
    </row>
    <row r="1335" spans="1:23" ht="23.45" customHeight="1" x14ac:dyDescent="0.2">
      <c r="A1335" s="510">
        <f t="shared" si="87"/>
        <v>1332</v>
      </c>
      <c r="B1335" s="428">
        <v>44628</v>
      </c>
      <c r="C1335" s="424">
        <v>44562</v>
      </c>
      <c r="D1335" s="415" t="s">
        <v>271</v>
      </c>
      <c r="E1335" s="415" t="s">
        <v>1791</v>
      </c>
      <c r="F1335" s="425">
        <v>88</v>
      </c>
      <c r="G1335" s="427" t="s">
        <v>1898</v>
      </c>
      <c r="H1335" s="415" t="s">
        <v>752</v>
      </c>
      <c r="I1335" s="473" t="s">
        <v>764</v>
      </c>
      <c r="J1335" s="415" t="s">
        <v>310</v>
      </c>
      <c r="K1335" s="415" t="s">
        <v>1220</v>
      </c>
      <c r="L1335" s="415" t="s">
        <v>1281</v>
      </c>
      <c r="M1335" s="546">
        <v>222047557528</v>
      </c>
      <c r="N1335" s="414">
        <v>44628</v>
      </c>
      <c r="O1335" s="414" t="s">
        <v>400</v>
      </c>
      <c r="P1335" s="222">
        <f t="shared" si="88"/>
        <v>3</v>
      </c>
      <c r="Q1335" s="222">
        <f t="shared" si="89"/>
        <v>1</v>
      </c>
      <c r="R1335" s="532" t="str">
        <f t="shared" si="90"/>
        <v>Gastos_Gerais</v>
      </c>
      <c r="S1335" s="467" t="s">
        <v>310</v>
      </c>
      <c r="T1335" s="467" t="s">
        <v>310</v>
      </c>
      <c r="U1335" s="496"/>
      <c r="V1335" s="496"/>
      <c r="W1335" s="496"/>
    </row>
    <row r="1336" spans="1:23" ht="23.45" customHeight="1" x14ac:dyDescent="0.2">
      <c r="A1336" s="510">
        <f t="shared" si="87"/>
        <v>1333</v>
      </c>
      <c r="B1336" s="428">
        <v>44628</v>
      </c>
      <c r="C1336" s="466">
        <v>44562</v>
      </c>
      <c r="D1336" s="415" t="s">
        <v>468</v>
      </c>
      <c r="E1336" s="415" t="s">
        <v>468</v>
      </c>
      <c r="F1336" s="425">
        <v>44</v>
      </c>
      <c r="G1336" s="427" t="s">
        <v>2819</v>
      </c>
      <c r="H1336" s="415" t="s">
        <v>468</v>
      </c>
      <c r="I1336" s="473" t="s">
        <v>764</v>
      </c>
      <c r="J1336" s="415" t="s">
        <v>310</v>
      </c>
      <c r="K1336" s="415" t="s">
        <v>1220</v>
      </c>
      <c r="L1336" s="415" t="s">
        <v>1281</v>
      </c>
      <c r="M1336" s="464">
        <v>222047600717</v>
      </c>
      <c r="N1336" s="414">
        <v>44628</v>
      </c>
      <c r="O1336" s="414" t="s">
        <v>404</v>
      </c>
      <c r="P1336" s="222">
        <f t="shared" si="88"/>
        <v>3</v>
      </c>
      <c r="Q1336" s="222">
        <f t="shared" si="89"/>
        <v>1</v>
      </c>
      <c r="R1336" s="532" t="str">
        <f t="shared" si="90"/>
        <v>Gastos_custeados_por_captação</v>
      </c>
      <c r="S1336" s="467" t="s">
        <v>310</v>
      </c>
      <c r="T1336" s="467" t="s">
        <v>310</v>
      </c>
      <c r="U1336" s="496"/>
      <c r="V1336" s="496"/>
      <c r="W1336" s="496"/>
    </row>
    <row r="1337" spans="1:23" ht="95.25" customHeight="1" x14ac:dyDescent="0.2">
      <c r="A1337" s="510">
        <f t="shared" si="87"/>
        <v>1334</v>
      </c>
      <c r="B1337" s="428">
        <v>44628</v>
      </c>
      <c r="C1337" s="466">
        <v>44562</v>
      </c>
      <c r="D1337" s="415" t="s">
        <v>468</v>
      </c>
      <c r="E1337" s="415" t="s">
        <v>468</v>
      </c>
      <c r="F1337" s="425">
        <v>300</v>
      </c>
      <c r="G1337" s="427" t="s">
        <v>2820</v>
      </c>
      <c r="H1337" s="415" t="s">
        <v>468</v>
      </c>
      <c r="I1337" s="473" t="s">
        <v>764</v>
      </c>
      <c r="J1337" s="415" t="s">
        <v>310</v>
      </c>
      <c r="K1337" s="415" t="s">
        <v>1220</v>
      </c>
      <c r="L1337" s="415" t="s">
        <v>1281</v>
      </c>
      <c r="M1337" s="464">
        <v>222047601101</v>
      </c>
      <c r="N1337" s="414">
        <v>44628</v>
      </c>
      <c r="O1337" s="414" t="s">
        <v>404</v>
      </c>
      <c r="P1337" s="222">
        <f t="shared" si="88"/>
        <v>3</v>
      </c>
      <c r="Q1337" s="222">
        <f t="shared" si="89"/>
        <v>1</v>
      </c>
      <c r="R1337" s="532" t="str">
        <f t="shared" si="90"/>
        <v>Gastos_custeados_por_captação</v>
      </c>
      <c r="S1337" s="467" t="s">
        <v>310</v>
      </c>
      <c r="T1337" s="467" t="s">
        <v>310</v>
      </c>
      <c r="U1337" s="496"/>
      <c r="V1337" s="496"/>
      <c r="W1337" s="496"/>
    </row>
    <row r="1338" spans="1:23" ht="69" customHeight="1" x14ac:dyDescent="0.2">
      <c r="A1338" s="510">
        <f t="shared" si="87"/>
        <v>1335</v>
      </c>
      <c r="B1338" s="428">
        <v>44628</v>
      </c>
      <c r="C1338" s="466">
        <v>44562</v>
      </c>
      <c r="D1338" s="415" t="s">
        <v>468</v>
      </c>
      <c r="E1338" s="415" t="s">
        <v>468</v>
      </c>
      <c r="F1338" s="425">
        <v>120</v>
      </c>
      <c r="G1338" s="427" t="s">
        <v>2821</v>
      </c>
      <c r="H1338" s="415" t="s">
        <v>468</v>
      </c>
      <c r="I1338" s="473" t="s">
        <v>764</v>
      </c>
      <c r="J1338" s="415" t="s">
        <v>310</v>
      </c>
      <c r="K1338" s="415" t="s">
        <v>1220</v>
      </c>
      <c r="L1338" s="415" t="s">
        <v>1281</v>
      </c>
      <c r="M1338" s="464">
        <v>222047601365</v>
      </c>
      <c r="N1338" s="414">
        <v>44628</v>
      </c>
      <c r="O1338" s="414" t="s">
        <v>404</v>
      </c>
      <c r="P1338" s="222">
        <f t="shared" si="88"/>
        <v>3</v>
      </c>
      <c r="Q1338" s="222">
        <f t="shared" si="89"/>
        <v>1</v>
      </c>
      <c r="R1338" s="532" t="str">
        <f t="shared" si="90"/>
        <v>Gastos_custeados_por_captação</v>
      </c>
      <c r="S1338" s="467" t="s">
        <v>310</v>
      </c>
      <c r="T1338" s="467" t="s">
        <v>310</v>
      </c>
      <c r="U1338" s="496"/>
      <c r="V1338" s="496"/>
      <c r="W1338" s="496"/>
    </row>
    <row r="1339" spans="1:23" ht="95.25" customHeight="1" x14ac:dyDescent="0.2">
      <c r="A1339" s="510">
        <f t="shared" si="87"/>
        <v>1336</v>
      </c>
      <c r="B1339" s="428">
        <v>44628</v>
      </c>
      <c r="C1339" s="466">
        <v>44562</v>
      </c>
      <c r="D1339" s="415" t="s">
        <v>468</v>
      </c>
      <c r="E1339" s="415" t="s">
        <v>468</v>
      </c>
      <c r="F1339" s="425">
        <v>120</v>
      </c>
      <c r="G1339" s="427" t="s">
        <v>2822</v>
      </c>
      <c r="H1339" s="415" t="s">
        <v>468</v>
      </c>
      <c r="I1339" s="473" t="s">
        <v>764</v>
      </c>
      <c r="J1339" s="415" t="s">
        <v>310</v>
      </c>
      <c r="K1339" s="415" t="s">
        <v>1220</v>
      </c>
      <c r="L1339" s="415" t="s">
        <v>1281</v>
      </c>
      <c r="M1339" s="464">
        <v>222047601608</v>
      </c>
      <c r="N1339" s="414">
        <v>44628</v>
      </c>
      <c r="O1339" s="414" t="s">
        <v>404</v>
      </c>
      <c r="P1339" s="222">
        <f t="shared" si="88"/>
        <v>3</v>
      </c>
      <c r="Q1339" s="222">
        <f t="shared" si="89"/>
        <v>1</v>
      </c>
      <c r="R1339" s="532" t="str">
        <f t="shared" si="90"/>
        <v>Gastos_custeados_por_captação</v>
      </c>
      <c r="S1339" s="467" t="s">
        <v>310</v>
      </c>
      <c r="T1339" s="467" t="s">
        <v>310</v>
      </c>
      <c r="U1339" s="496"/>
      <c r="V1339" s="496"/>
      <c r="W1339" s="496"/>
    </row>
    <row r="1340" spans="1:23" ht="95.25" customHeight="1" x14ac:dyDescent="0.2">
      <c r="A1340" s="510">
        <f t="shared" si="87"/>
        <v>1337</v>
      </c>
      <c r="B1340" s="428">
        <v>44628</v>
      </c>
      <c r="C1340" s="466">
        <v>44562</v>
      </c>
      <c r="D1340" s="415" t="s">
        <v>468</v>
      </c>
      <c r="E1340" s="415" t="s">
        <v>468</v>
      </c>
      <c r="F1340" s="425">
        <v>120</v>
      </c>
      <c r="G1340" s="427" t="s">
        <v>2823</v>
      </c>
      <c r="H1340" s="415" t="s">
        <v>468</v>
      </c>
      <c r="I1340" s="473" t="s">
        <v>764</v>
      </c>
      <c r="J1340" s="415" t="s">
        <v>310</v>
      </c>
      <c r="K1340" s="415" t="s">
        <v>1220</v>
      </c>
      <c r="L1340" s="415" t="s">
        <v>1281</v>
      </c>
      <c r="M1340" s="464">
        <v>222047601950</v>
      </c>
      <c r="N1340" s="414">
        <v>44628</v>
      </c>
      <c r="O1340" s="414" t="s">
        <v>404</v>
      </c>
      <c r="P1340" s="222">
        <f t="shared" si="88"/>
        <v>3</v>
      </c>
      <c r="Q1340" s="222">
        <f t="shared" si="89"/>
        <v>1</v>
      </c>
      <c r="R1340" s="532" t="str">
        <f t="shared" si="90"/>
        <v>Gastos_custeados_por_captação</v>
      </c>
      <c r="S1340" s="467" t="s">
        <v>310</v>
      </c>
      <c r="T1340" s="467" t="s">
        <v>310</v>
      </c>
      <c r="U1340" s="496"/>
      <c r="V1340" s="496"/>
      <c r="W1340" s="496"/>
    </row>
    <row r="1341" spans="1:23" ht="95.25" customHeight="1" x14ac:dyDescent="0.2">
      <c r="A1341" s="510">
        <f t="shared" si="87"/>
        <v>1338</v>
      </c>
      <c r="B1341" s="428">
        <v>44628</v>
      </c>
      <c r="C1341" s="466">
        <v>44562</v>
      </c>
      <c r="D1341" s="415" t="s">
        <v>468</v>
      </c>
      <c r="E1341" s="415" t="s">
        <v>468</v>
      </c>
      <c r="F1341" s="425">
        <v>120</v>
      </c>
      <c r="G1341" s="427" t="s">
        <v>2824</v>
      </c>
      <c r="H1341" s="415" t="s">
        <v>468</v>
      </c>
      <c r="I1341" s="473" t="s">
        <v>764</v>
      </c>
      <c r="J1341" s="415" t="s">
        <v>310</v>
      </c>
      <c r="K1341" s="415" t="s">
        <v>1220</v>
      </c>
      <c r="L1341" s="415" t="s">
        <v>1281</v>
      </c>
      <c r="M1341" s="464">
        <v>222047602094</v>
      </c>
      <c r="N1341" s="414">
        <v>44628</v>
      </c>
      <c r="O1341" s="414" t="s">
        <v>404</v>
      </c>
      <c r="P1341" s="222">
        <f t="shared" si="88"/>
        <v>3</v>
      </c>
      <c r="Q1341" s="222">
        <f t="shared" si="89"/>
        <v>1</v>
      </c>
      <c r="R1341" s="532" t="str">
        <f t="shared" si="90"/>
        <v>Gastos_custeados_por_captação</v>
      </c>
      <c r="S1341" s="467" t="s">
        <v>310</v>
      </c>
      <c r="T1341" s="467" t="s">
        <v>310</v>
      </c>
      <c r="U1341" s="496"/>
      <c r="V1341" s="496"/>
      <c r="W1341" s="496"/>
    </row>
    <row r="1342" spans="1:23" ht="95.25" customHeight="1" x14ac:dyDescent="0.2">
      <c r="A1342" s="510">
        <f t="shared" ref="A1342:A1405" si="91">IF(B1342="","",ROW()-ROW($A$3))</f>
        <v>1339</v>
      </c>
      <c r="B1342" s="428">
        <v>44628</v>
      </c>
      <c r="C1342" s="466">
        <v>44562</v>
      </c>
      <c r="D1342" s="415" t="s">
        <v>468</v>
      </c>
      <c r="E1342" s="415" t="s">
        <v>468</v>
      </c>
      <c r="F1342" s="425">
        <v>120</v>
      </c>
      <c r="G1342" s="427" t="s">
        <v>2825</v>
      </c>
      <c r="H1342" s="415" t="s">
        <v>468</v>
      </c>
      <c r="I1342" s="473" t="s">
        <v>764</v>
      </c>
      <c r="J1342" s="415" t="s">
        <v>310</v>
      </c>
      <c r="K1342" s="415" t="s">
        <v>1220</v>
      </c>
      <c r="L1342" s="415" t="s">
        <v>1281</v>
      </c>
      <c r="M1342" s="464">
        <v>222047602256</v>
      </c>
      <c r="N1342" s="414">
        <v>44628</v>
      </c>
      <c r="O1342" s="414" t="s">
        <v>404</v>
      </c>
      <c r="P1342" s="222">
        <f t="shared" si="88"/>
        <v>3</v>
      </c>
      <c r="Q1342" s="222">
        <f t="shared" si="89"/>
        <v>1</v>
      </c>
      <c r="R1342" s="532" t="str">
        <f t="shared" si="90"/>
        <v>Gastos_custeados_por_captação</v>
      </c>
      <c r="S1342" s="467" t="s">
        <v>310</v>
      </c>
      <c r="T1342" s="467" t="s">
        <v>310</v>
      </c>
      <c r="U1342" s="496"/>
      <c r="V1342" s="496"/>
      <c r="W1342" s="496"/>
    </row>
    <row r="1343" spans="1:23" ht="95.25" customHeight="1" x14ac:dyDescent="0.2">
      <c r="A1343" s="510">
        <f t="shared" si="91"/>
        <v>1340</v>
      </c>
      <c r="B1343" s="428">
        <v>44628</v>
      </c>
      <c r="C1343" s="466">
        <v>44562</v>
      </c>
      <c r="D1343" s="415" t="s">
        <v>468</v>
      </c>
      <c r="E1343" s="415" t="s">
        <v>468</v>
      </c>
      <c r="F1343" s="425">
        <v>120</v>
      </c>
      <c r="G1343" s="427" t="s">
        <v>2826</v>
      </c>
      <c r="H1343" s="415" t="s">
        <v>468</v>
      </c>
      <c r="I1343" s="473" t="s">
        <v>764</v>
      </c>
      <c r="J1343" s="415" t="s">
        <v>310</v>
      </c>
      <c r="K1343" s="415" t="s">
        <v>1220</v>
      </c>
      <c r="L1343" s="415" t="s">
        <v>1281</v>
      </c>
      <c r="M1343" s="464">
        <v>222047602507</v>
      </c>
      <c r="N1343" s="414">
        <v>44628</v>
      </c>
      <c r="O1343" s="414" t="s">
        <v>404</v>
      </c>
      <c r="P1343" s="222">
        <f t="shared" si="88"/>
        <v>3</v>
      </c>
      <c r="Q1343" s="222">
        <f t="shared" si="89"/>
        <v>1</v>
      </c>
      <c r="R1343" s="532" t="str">
        <f t="shared" si="90"/>
        <v>Gastos_custeados_por_captação</v>
      </c>
      <c r="S1343" s="467" t="s">
        <v>310</v>
      </c>
      <c r="T1343" s="467" t="s">
        <v>310</v>
      </c>
      <c r="U1343" s="496"/>
      <c r="V1343" s="496"/>
      <c r="W1343" s="496"/>
    </row>
    <row r="1344" spans="1:23" ht="95.25" customHeight="1" x14ac:dyDescent="0.2">
      <c r="A1344" s="510">
        <f t="shared" si="91"/>
        <v>1341</v>
      </c>
      <c r="B1344" s="428">
        <v>44628</v>
      </c>
      <c r="C1344" s="466">
        <v>44562</v>
      </c>
      <c r="D1344" s="415" t="s">
        <v>468</v>
      </c>
      <c r="E1344" s="415" t="s">
        <v>468</v>
      </c>
      <c r="F1344" s="459">
        <v>300</v>
      </c>
      <c r="G1344" s="399" t="s">
        <v>2950</v>
      </c>
      <c r="H1344" s="415" t="s">
        <v>468</v>
      </c>
      <c r="I1344" s="473" t="s">
        <v>764</v>
      </c>
      <c r="J1344" s="470" t="s">
        <v>310</v>
      </c>
      <c r="K1344" s="415" t="s">
        <v>1220</v>
      </c>
      <c r="L1344" s="415" t="s">
        <v>1281</v>
      </c>
      <c r="M1344" s="464">
        <v>222047574104</v>
      </c>
      <c r="N1344" s="469">
        <v>44628</v>
      </c>
      <c r="O1344" s="414" t="s">
        <v>408</v>
      </c>
      <c r="P1344" s="222">
        <f t="shared" si="88"/>
        <v>3</v>
      </c>
      <c r="Q1344" s="222">
        <f t="shared" si="89"/>
        <v>1</v>
      </c>
      <c r="R1344" s="532" t="str">
        <f t="shared" si="90"/>
        <v>Gastos_custeados_por_captação</v>
      </c>
      <c r="S1344" s="467" t="s">
        <v>310</v>
      </c>
      <c r="T1344" s="489" t="s">
        <v>310</v>
      </c>
      <c r="U1344" s="496"/>
      <c r="V1344" s="496"/>
      <c r="W1344" s="496"/>
    </row>
    <row r="1345" spans="1:23" ht="95.25" customHeight="1" x14ac:dyDescent="0.2">
      <c r="A1345" s="510">
        <f t="shared" si="91"/>
        <v>1342</v>
      </c>
      <c r="B1345" s="428">
        <v>44628</v>
      </c>
      <c r="C1345" s="466">
        <v>44562</v>
      </c>
      <c r="D1345" s="415" t="s">
        <v>468</v>
      </c>
      <c r="E1345" s="415" t="s">
        <v>468</v>
      </c>
      <c r="F1345" s="459">
        <v>88.44</v>
      </c>
      <c r="G1345" s="471" t="s">
        <v>2951</v>
      </c>
      <c r="H1345" s="415" t="s">
        <v>468</v>
      </c>
      <c r="I1345" s="473" t="s">
        <v>764</v>
      </c>
      <c r="J1345" s="470" t="s">
        <v>310</v>
      </c>
      <c r="K1345" s="415" t="s">
        <v>1220</v>
      </c>
      <c r="L1345" s="415" t="s">
        <v>1281</v>
      </c>
      <c r="M1345" s="464">
        <v>222047574619</v>
      </c>
      <c r="N1345" s="469">
        <v>44628</v>
      </c>
      <c r="O1345" s="414" t="s">
        <v>408</v>
      </c>
      <c r="P1345" s="222">
        <f t="shared" si="88"/>
        <v>3</v>
      </c>
      <c r="Q1345" s="222">
        <f t="shared" si="89"/>
        <v>1</v>
      </c>
      <c r="R1345" s="532" t="str">
        <f t="shared" si="90"/>
        <v>Gastos_custeados_por_captação</v>
      </c>
      <c r="S1345" s="467" t="s">
        <v>310</v>
      </c>
      <c r="T1345" s="489" t="s">
        <v>310</v>
      </c>
      <c r="U1345" s="496"/>
      <c r="V1345" s="496"/>
      <c r="W1345" s="496"/>
    </row>
    <row r="1346" spans="1:23" ht="95.25" customHeight="1" x14ac:dyDescent="0.2">
      <c r="A1346" s="510">
        <f t="shared" si="91"/>
        <v>1343</v>
      </c>
      <c r="B1346" s="428">
        <v>44628</v>
      </c>
      <c r="C1346" s="466">
        <v>44562</v>
      </c>
      <c r="D1346" s="415" t="s">
        <v>468</v>
      </c>
      <c r="E1346" s="415" t="s">
        <v>468</v>
      </c>
      <c r="F1346" s="459">
        <v>180</v>
      </c>
      <c r="G1346" s="399" t="s">
        <v>2952</v>
      </c>
      <c r="H1346" s="415" t="s">
        <v>468</v>
      </c>
      <c r="I1346" s="473" t="s">
        <v>764</v>
      </c>
      <c r="J1346" s="470" t="s">
        <v>310</v>
      </c>
      <c r="K1346" s="415" t="s">
        <v>1220</v>
      </c>
      <c r="L1346" s="415" t="s">
        <v>1281</v>
      </c>
      <c r="M1346" s="464">
        <v>222047575186</v>
      </c>
      <c r="N1346" s="469">
        <v>44628</v>
      </c>
      <c r="O1346" s="414" t="s">
        <v>408</v>
      </c>
      <c r="P1346" s="222">
        <f t="shared" si="88"/>
        <v>3</v>
      </c>
      <c r="Q1346" s="222">
        <f t="shared" si="89"/>
        <v>1</v>
      </c>
      <c r="R1346" s="532" t="str">
        <f t="shared" si="90"/>
        <v>Gastos_custeados_por_captação</v>
      </c>
      <c r="S1346" s="467" t="s">
        <v>310</v>
      </c>
      <c r="T1346" s="489" t="s">
        <v>310</v>
      </c>
      <c r="U1346" s="496"/>
      <c r="V1346" s="496"/>
      <c r="W1346" s="496"/>
    </row>
    <row r="1347" spans="1:23" ht="95.25" customHeight="1" x14ac:dyDescent="0.2">
      <c r="A1347" s="510">
        <f t="shared" si="91"/>
        <v>1344</v>
      </c>
      <c r="B1347" s="428">
        <v>44628</v>
      </c>
      <c r="C1347" s="466">
        <v>44562</v>
      </c>
      <c r="D1347" s="415" t="s">
        <v>468</v>
      </c>
      <c r="E1347" s="415" t="s">
        <v>468</v>
      </c>
      <c r="F1347" s="459">
        <v>55.28</v>
      </c>
      <c r="G1347" s="399" t="s">
        <v>2953</v>
      </c>
      <c r="H1347" s="415" t="s">
        <v>468</v>
      </c>
      <c r="I1347" s="473" t="s">
        <v>764</v>
      </c>
      <c r="J1347" s="470" t="s">
        <v>310</v>
      </c>
      <c r="K1347" s="415" t="s">
        <v>1220</v>
      </c>
      <c r="L1347" s="415" t="s">
        <v>1281</v>
      </c>
      <c r="M1347" s="464">
        <v>222047575500</v>
      </c>
      <c r="N1347" s="469">
        <v>44628</v>
      </c>
      <c r="O1347" s="414" t="s">
        <v>408</v>
      </c>
      <c r="P1347" s="222">
        <f t="shared" si="88"/>
        <v>3</v>
      </c>
      <c r="Q1347" s="222">
        <f t="shared" si="89"/>
        <v>1</v>
      </c>
      <c r="R1347" s="532" t="str">
        <f t="shared" si="90"/>
        <v>Gastos_custeados_por_captação</v>
      </c>
      <c r="S1347" s="467" t="s">
        <v>310</v>
      </c>
      <c r="T1347" s="489" t="s">
        <v>310</v>
      </c>
      <c r="U1347" s="496"/>
      <c r="V1347" s="496"/>
      <c r="W1347" s="496"/>
    </row>
    <row r="1348" spans="1:23" ht="95.25" customHeight="1" x14ac:dyDescent="0.2">
      <c r="A1348" s="510">
        <f t="shared" si="91"/>
        <v>1345</v>
      </c>
      <c r="B1348" s="428">
        <v>44628</v>
      </c>
      <c r="C1348" s="466">
        <v>44562</v>
      </c>
      <c r="D1348" s="415" t="s">
        <v>468</v>
      </c>
      <c r="E1348" s="415" t="s">
        <v>468</v>
      </c>
      <c r="F1348" s="459">
        <v>150.75</v>
      </c>
      <c r="G1348" s="399" t="s">
        <v>2954</v>
      </c>
      <c r="H1348" s="415" t="s">
        <v>468</v>
      </c>
      <c r="I1348" s="473" t="s">
        <v>764</v>
      </c>
      <c r="J1348" s="470" t="s">
        <v>310</v>
      </c>
      <c r="K1348" s="415" t="s">
        <v>1220</v>
      </c>
      <c r="L1348" s="415" t="s">
        <v>1281</v>
      </c>
      <c r="M1348" s="464">
        <v>222047576239</v>
      </c>
      <c r="N1348" s="469">
        <v>44628</v>
      </c>
      <c r="O1348" s="414" t="s">
        <v>408</v>
      </c>
      <c r="P1348" s="222">
        <f t="shared" si="88"/>
        <v>3</v>
      </c>
      <c r="Q1348" s="222">
        <f t="shared" si="89"/>
        <v>1</v>
      </c>
      <c r="R1348" s="532" t="str">
        <f t="shared" si="90"/>
        <v>Gastos_custeados_por_captação</v>
      </c>
      <c r="S1348" s="467" t="s">
        <v>310</v>
      </c>
      <c r="T1348" s="489" t="s">
        <v>310</v>
      </c>
      <c r="U1348" s="496"/>
      <c r="V1348" s="496"/>
      <c r="W1348" s="496"/>
    </row>
    <row r="1349" spans="1:23" ht="72.75" customHeight="1" x14ac:dyDescent="0.2">
      <c r="A1349" s="510">
        <f t="shared" si="91"/>
        <v>1346</v>
      </c>
      <c r="B1349" s="428">
        <v>44628</v>
      </c>
      <c r="C1349" s="466">
        <v>44562</v>
      </c>
      <c r="D1349" s="415" t="s">
        <v>468</v>
      </c>
      <c r="E1349" s="415" t="s">
        <v>468</v>
      </c>
      <c r="F1349" s="459">
        <v>88</v>
      </c>
      <c r="G1349" s="399" t="s">
        <v>2955</v>
      </c>
      <c r="H1349" s="415" t="s">
        <v>468</v>
      </c>
      <c r="I1349" s="473" t="s">
        <v>764</v>
      </c>
      <c r="J1349" s="470" t="s">
        <v>310</v>
      </c>
      <c r="K1349" s="415" t="s">
        <v>1220</v>
      </c>
      <c r="L1349" s="415" t="s">
        <v>1281</v>
      </c>
      <c r="M1349" s="464">
        <v>222047576662</v>
      </c>
      <c r="N1349" s="469">
        <v>44628</v>
      </c>
      <c r="O1349" s="414" t="s">
        <v>408</v>
      </c>
      <c r="P1349" s="222">
        <f t="shared" si="88"/>
        <v>3</v>
      </c>
      <c r="Q1349" s="222">
        <f t="shared" si="89"/>
        <v>1</v>
      </c>
      <c r="R1349" s="532" t="str">
        <f t="shared" si="90"/>
        <v>Gastos_custeados_por_captação</v>
      </c>
      <c r="S1349" s="467" t="s">
        <v>310</v>
      </c>
      <c r="T1349" s="489" t="s">
        <v>310</v>
      </c>
      <c r="U1349" s="496"/>
      <c r="V1349" s="496"/>
      <c r="W1349" s="496"/>
    </row>
    <row r="1350" spans="1:23" ht="72.75" customHeight="1" x14ac:dyDescent="0.2">
      <c r="A1350" s="510">
        <f t="shared" si="91"/>
        <v>1347</v>
      </c>
      <c r="B1350" s="428">
        <v>44628</v>
      </c>
      <c r="C1350" s="466">
        <v>44562</v>
      </c>
      <c r="D1350" s="415" t="s">
        <v>468</v>
      </c>
      <c r="E1350" s="415" t="s">
        <v>468</v>
      </c>
      <c r="F1350" s="459">
        <v>90</v>
      </c>
      <c r="G1350" s="399" t="s">
        <v>2956</v>
      </c>
      <c r="H1350" s="415" t="s">
        <v>468</v>
      </c>
      <c r="I1350" s="473" t="s">
        <v>764</v>
      </c>
      <c r="J1350" s="470" t="s">
        <v>310</v>
      </c>
      <c r="K1350" s="415" t="s">
        <v>1220</v>
      </c>
      <c r="L1350" s="415" t="s">
        <v>1281</v>
      </c>
      <c r="M1350" s="464">
        <v>222047576743</v>
      </c>
      <c r="N1350" s="469">
        <v>44628</v>
      </c>
      <c r="O1350" s="414" t="s">
        <v>408</v>
      </c>
      <c r="P1350" s="222">
        <f t="shared" si="88"/>
        <v>3</v>
      </c>
      <c r="Q1350" s="222">
        <f t="shared" si="89"/>
        <v>1</v>
      </c>
      <c r="R1350" s="532" t="str">
        <f t="shared" si="90"/>
        <v>Gastos_custeados_por_captação</v>
      </c>
      <c r="S1350" s="467" t="s">
        <v>310</v>
      </c>
      <c r="T1350" s="489" t="s">
        <v>310</v>
      </c>
      <c r="U1350" s="496"/>
      <c r="V1350" s="496"/>
      <c r="W1350" s="496"/>
    </row>
    <row r="1351" spans="1:23" ht="33.6" customHeight="1" x14ac:dyDescent="0.2">
      <c r="A1351" s="510">
        <f t="shared" si="91"/>
        <v>1348</v>
      </c>
      <c r="B1351" s="428">
        <v>44628</v>
      </c>
      <c r="C1351" s="466">
        <v>44562</v>
      </c>
      <c r="D1351" s="415" t="s">
        <v>468</v>
      </c>
      <c r="E1351" s="415" t="s">
        <v>468</v>
      </c>
      <c r="F1351" s="459">
        <v>200</v>
      </c>
      <c r="G1351" s="399" t="s">
        <v>2957</v>
      </c>
      <c r="H1351" s="415" t="s">
        <v>468</v>
      </c>
      <c r="I1351" s="473" t="s">
        <v>764</v>
      </c>
      <c r="J1351" s="470" t="s">
        <v>310</v>
      </c>
      <c r="K1351" s="415" t="s">
        <v>1220</v>
      </c>
      <c r="L1351" s="415" t="s">
        <v>1281</v>
      </c>
      <c r="M1351" s="485">
        <v>222047576905</v>
      </c>
      <c r="N1351" s="469">
        <v>44628</v>
      </c>
      <c r="O1351" s="414" t="s">
        <v>408</v>
      </c>
      <c r="P1351" s="222">
        <f t="shared" si="88"/>
        <v>3</v>
      </c>
      <c r="Q1351" s="222">
        <f t="shared" si="89"/>
        <v>1</v>
      </c>
      <c r="R1351" s="532" t="str">
        <f t="shared" si="90"/>
        <v>Gastos_custeados_por_captação</v>
      </c>
      <c r="S1351" s="467" t="s">
        <v>310</v>
      </c>
      <c r="T1351" s="489" t="s">
        <v>310</v>
      </c>
      <c r="U1351" s="496"/>
      <c r="V1351" s="496"/>
      <c r="W1351" s="496"/>
    </row>
    <row r="1352" spans="1:23" ht="118.5" customHeight="1" x14ac:dyDescent="0.2">
      <c r="A1352" s="510">
        <f t="shared" si="91"/>
        <v>1349</v>
      </c>
      <c r="B1352" s="428">
        <v>44628</v>
      </c>
      <c r="C1352" s="466">
        <v>44621</v>
      </c>
      <c r="D1352" s="415" t="s">
        <v>468</v>
      </c>
      <c r="E1352" s="415" t="s">
        <v>468</v>
      </c>
      <c r="F1352" s="459">
        <v>11</v>
      </c>
      <c r="G1352" s="399" t="s">
        <v>2958</v>
      </c>
      <c r="H1352" s="399" t="s">
        <v>468</v>
      </c>
      <c r="I1352" s="399" t="s">
        <v>881</v>
      </c>
      <c r="J1352" s="475" t="s">
        <v>882</v>
      </c>
      <c r="K1352" s="418" t="s">
        <v>883</v>
      </c>
      <c r="L1352" s="399" t="s">
        <v>798</v>
      </c>
      <c r="M1352" s="557" t="s">
        <v>310</v>
      </c>
      <c r="N1352" s="469">
        <v>44628</v>
      </c>
      <c r="O1352" s="414" t="s">
        <v>408</v>
      </c>
      <c r="P1352" s="222">
        <f t="shared" si="88"/>
        <v>3</v>
      </c>
      <c r="Q1352" s="222">
        <f t="shared" si="89"/>
        <v>3</v>
      </c>
      <c r="R1352" s="532" t="str">
        <f t="shared" si="90"/>
        <v>Gastos_custeados_por_captação</v>
      </c>
      <c r="S1352" s="489" t="s">
        <v>310</v>
      </c>
      <c r="T1352" s="489" t="s">
        <v>310</v>
      </c>
      <c r="U1352" s="496"/>
      <c r="V1352" s="496"/>
      <c r="W1352" s="496"/>
    </row>
    <row r="1353" spans="1:23" ht="33" customHeight="1" x14ac:dyDescent="0.2">
      <c r="A1353" s="510">
        <f t="shared" si="91"/>
        <v>1350</v>
      </c>
      <c r="B1353" s="428">
        <v>44628</v>
      </c>
      <c r="C1353" s="466">
        <v>44562</v>
      </c>
      <c r="D1353" s="415" t="s">
        <v>468</v>
      </c>
      <c r="E1353" s="415" t="s">
        <v>468</v>
      </c>
      <c r="F1353" s="459">
        <v>21.7</v>
      </c>
      <c r="G1353" s="427" t="s">
        <v>2961</v>
      </c>
      <c r="H1353" s="415" t="s">
        <v>468</v>
      </c>
      <c r="I1353" s="399" t="s">
        <v>881</v>
      </c>
      <c r="J1353" s="475" t="s">
        <v>882</v>
      </c>
      <c r="K1353" s="415" t="s">
        <v>1220</v>
      </c>
      <c r="L1353" s="415" t="s">
        <v>1281</v>
      </c>
      <c r="M1353" s="485">
        <v>222047564494</v>
      </c>
      <c r="N1353" s="469">
        <v>44628</v>
      </c>
      <c r="O1353" s="414" t="s">
        <v>405</v>
      </c>
      <c r="P1353" s="222">
        <f t="shared" si="88"/>
        <v>3</v>
      </c>
      <c r="Q1353" s="222">
        <f t="shared" si="89"/>
        <v>1</v>
      </c>
      <c r="R1353" s="532" t="str">
        <f t="shared" si="90"/>
        <v>Gastos_custeados_por_captação</v>
      </c>
      <c r="S1353" s="489" t="s">
        <v>310</v>
      </c>
      <c r="T1353" s="489" t="s">
        <v>310</v>
      </c>
      <c r="U1353" s="496"/>
      <c r="V1353" s="496"/>
      <c r="W1353" s="496"/>
    </row>
    <row r="1354" spans="1:23" ht="60" x14ac:dyDescent="0.2">
      <c r="A1354" s="510">
        <f t="shared" si="91"/>
        <v>1351</v>
      </c>
      <c r="B1354" s="428">
        <v>44628</v>
      </c>
      <c r="C1354" s="466">
        <v>44562</v>
      </c>
      <c r="D1354" s="415" t="s">
        <v>468</v>
      </c>
      <c r="E1354" s="415" t="s">
        <v>468</v>
      </c>
      <c r="F1354" s="459">
        <v>56.93</v>
      </c>
      <c r="G1354" s="427" t="s">
        <v>2962</v>
      </c>
      <c r="H1354" s="415" t="s">
        <v>468</v>
      </c>
      <c r="I1354" s="479" t="s">
        <v>764</v>
      </c>
      <c r="J1354" s="483" t="s">
        <v>310</v>
      </c>
      <c r="K1354" s="415" t="s">
        <v>1220</v>
      </c>
      <c r="L1354" s="415" t="s">
        <v>1281</v>
      </c>
      <c r="M1354" s="485">
        <v>222047564737</v>
      </c>
      <c r="N1354" s="469">
        <v>44628</v>
      </c>
      <c r="O1354" s="414" t="s">
        <v>405</v>
      </c>
      <c r="P1354" s="222">
        <f t="shared" si="88"/>
        <v>3</v>
      </c>
      <c r="Q1354" s="222">
        <f t="shared" si="89"/>
        <v>1</v>
      </c>
      <c r="R1354" s="532" t="str">
        <f t="shared" si="90"/>
        <v>Gastos_custeados_por_captação</v>
      </c>
      <c r="S1354" s="489" t="s">
        <v>310</v>
      </c>
      <c r="T1354" s="489" t="s">
        <v>310</v>
      </c>
      <c r="U1354" s="496"/>
      <c r="V1354" s="496"/>
      <c r="W1354" s="496"/>
    </row>
    <row r="1355" spans="1:23" ht="60" x14ac:dyDescent="0.2">
      <c r="A1355" s="510">
        <f t="shared" si="91"/>
        <v>1352</v>
      </c>
      <c r="B1355" s="428">
        <v>44628</v>
      </c>
      <c r="C1355" s="466">
        <v>44562</v>
      </c>
      <c r="D1355" s="415" t="s">
        <v>468</v>
      </c>
      <c r="E1355" s="415" t="s">
        <v>468</v>
      </c>
      <c r="F1355" s="498">
        <v>250</v>
      </c>
      <c r="G1355" s="482" t="s">
        <v>2963</v>
      </c>
      <c r="H1355" s="415" t="s">
        <v>468</v>
      </c>
      <c r="I1355" s="473" t="s">
        <v>764</v>
      </c>
      <c r="J1355" s="470" t="s">
        <v>310</v>
      </c>
      <c r="K1355" s="415" t="s">
        <v>1220</v>
      </c>
      <c r="L1355" s="415" t="s">
        <v>1281</v>
      </c>
      <c r="M1355" s="485">
        <v>222047565032</v>
      </c>
      <c r="N1355" s="487">
        <v>44628</v>
      </c>
      <c r="O1355" s="414" t="s">
        <v>405</v>
      </c>
      <c r="P1355" s="222">
        <f t="shared" si="88"/>
        <v>3</v>
      </c>
      <c r="Q1355" s="222">
        <f t="shared" si="89"/>
        <v>1</v>
      </c>
      <c r="R1355" s="532" t="str">
        <f t="shared" si="90"/>
        <v>Gastos_custeados_por_captação</v>
      </c>
      <c r="S1355" s="489" t="s">
        <v>310</v>
      </c>
      <c r="T1355" s="489" t="s">
        <v>310</v>
      </c>
      <c r="U1355" s="496"/>
      <c r="V1355" s="496"/>
      <c r="W1355" s="496"/>
    </row>
    <row r="1356" spans="1:23" ht="84" x14ac:dyDescent="0.2">
      <c r="A1356" s="510">
        <f t="shared" si="91"/>
        <v>1353</v>
      </c>
      <c r="B1356" s="428">
        <v>44628</v>
      </c>
      <c r="C1356" s="466">
        <v>44562</v>
      </c>
      <c r="D1356" s="415" t="s">
        <v>468</v>
      </c>
      <c r="E1356" s="415" t="s">
        <v>468</v>
      </c>
      <c r="F1356" s="481">
        <v>1075.2</v>
      </c>
      <c r="G1356" s="482" t="s">
        <v>1256</v>
      </c>
      <c r="H1356" s="415" t="s">
        <v>468</v>
      </c>
      <c r="I1356" s="473" t="s">
        <v>2827</v>
      </c>
      <c r="J1356" s="470" t="s">
        <v>1255</v>
      </c>
      <c r="K1356" s="415" t="s">
        <v>830</v>
      </c>
      <c r="L1356" s="415" t="s">
        <v>1341</v>
      </c>
      <c r="M1356" s="525">
        <v>1607</v>
      </c>
      <c r="N1356" s="558">
        <v>44627</v>
      </c>
      <c r="O1356" s="414" t="s">
        <v>404</v>
      </c>
      <c r="P1356" s="222">
        <f t="shared" si="88"/>
        <v>3</v>
      </c>
      <c r="Q1356" s="222">
        <f t="shared" si="89"/>
        <v>1</v>
      </c>
      <c r="R1356" s="532" t="str">
        <f t="shared" si="90"/>
        <v>Gastos_custeados_por_captação</v>
      </c>
      <c r="S1356" s="467" t="s">
        <v>998</v>
      </c>
      <c r="T1356" s="489">
        <v>2829</v>
      </c>
      <c r="U1356" s="496"/>
      <c r="V1356" s="496"/>
      <c r="W1356" s="496"/>
    </row>
    <row r="1357" spans="1:23" ht="36" x14ac:dyDescent="0.2">
      <c r="A1357" s="510">
        <f t="shared" si="91"/>
        <v>1354</v>
      </c>
      <c r="B1357" s="428">
        <v>44628</v>
      </c>
      <c r="C1357" s="466">
        <v>44593</v>
      </c>
      <c r="D1357" s="415" t="s">
        <v>468</v>
      </c>
      <c r="E1357" s="415" t="s">
        <v>468</v>
      </c>
      <c r="F1357" s="498">
        <v>2200</v>
      </c>
      <c r="G1357" s="488" t="s">
        <v>3246</v>
      </c>
      <c r="H1357" s="415" t="s">
        <v>468</v>
      </c>
      <c r="I1357" s="473" t="s">
        <v>2455</v>
      </c>
      <c r="J1357" s="470" t="s">
        <v>2456</v>
      </c>
      <c r="K1357" s="461" t="s">
        <v>830</v>
      </c>
      <c r="L1357" s="460" t="s">
        <v>807</v>
      </c>
      <c r="M1357" s="485">
        <v>20225</v>
      </c>
      <c r="N1357" s="487">
        <v>44627</v>
      </c>
      <c r="O1357" s="414" t="s">
        <v>408</v>
      </c>
      <c r="P1357" s="222">
        <f t="shared" si="88"/>
        <v>3</v>
      </c>
      <c r="Q1357" s="222">
        <f t="shared" si="89"/>
        <v>2</v>
      </c>
      <c r="R1357" s="532" t="str">
        <f t="shared" si="90"/>
        <v>Gastos_custeados_por_captação</v>
      </c>
      <c r="S1357" s="467" t="s">
        <v>1000</v>
      </c>
      <c r="T1357" s="489">
        <v>2693</v>
      </c>
      <c r="U1357" s="496"/>
      <c r="V1357" s="496"/>
      <c r="W1357" s="496"/>
    </row>
    <row r="1358" spans="1:23" ht="36" x14ac:dyDescent="0.2">
      <c r="A1358" s="510">
        <f t="shared" si="91"/>
        <v>1355</v>
      </c>
      <c r="B1358" s="428">
        <v>44628</v>
      </c>
      <c r="C1358" s="431">
        <v>44593</v>
      </c>
      <c r="D1358" s="415" t="s">
        <v>468</v>
      </c>
      <c r="E1358" s="415" t="s">
        <v>468</v>
      </c>
      <c r="F1358" s="498">
        <v>4311.5600000000004</v>
      </c>
      <c r="G1358" s="482" t="s">
        <v>693</v>
      </c>
      <c r="H1358" s="415" t="s">
        <v>468</v>
      </c>
      <c r="I1358" s="460" t="s">
        <v>2464</v>
      </c>
      <c r="J1358" s="461" t="s">
        <v>1124</v>
      </c>
      <c r="K1358" s="461" t="s">
        <v>830</v>
      </c>
      <c r="L1358" s="460" t="s">
        <v>807</v>
      </c>
      <c r="M1358" s="485">
        <v>20223</v>
      </c>
      <c r="N1358" s="487">
        <v>44624</v>
      </c>
      <c r="O1358" s="414" t="s">
        <v>408</v>
      </c>
      <c r="P1358" s="222">
        <f t="shared" si="88"/>
        <v>3</v>
      </c>
      <c r="Q1358" s="222">
        <f t="shared" si="89"/>
        <v>2</v>
      </c>
      <c r="R1358" s="532" t="str">
        <f t="shared" si="90"/>
        <v>Gastos_custeados_por_captação</v>
      </c>
      <c r="S1358" s="467" t="s">
        <v>1000</v>
      </c>
      <c r="T1358" s="467">
        <v>2642</v>
      </c>
      <c r="U1358" s="496"/>
      <c r="V1358" s="496"/>
      <c r="W1358" s="496"/>
    </row>
    <row r="1359" spans="1:23" ht="108" x14ac:dyDescent="0.2">
      <c r="A1359" s="510">
        <f t="shared" si="91"/>
        <v>1356</v>
      </c>
      <c r="B1359" s="428">
        <v>44628</v>
      </c>
      <c r="C1359" s="431">
        <v>44593</v>
      </c>
      <c r="D1359" s="415" t="s">
        <v>271</v>
      </c>
      <c r="E1359" s="415" t="s">
        <v>297</v>
      </c>
      <c r="F1359" s="481">
        <v>1143.1300000000001</v>
      </c>
      <c r="G1359" s="482" t="s">
        <v>2127</v>
      </c>
      <c r="H1359" s="415" t="s">
        <v>309</v>
      </c>
      <c r="I1359" s="473" t="s">
        <v>776</v>
      </c>
      <c r="J1359" s="415" t="s">
        <v>1036</v>
      </c>
      <c r="K1359" s="415" t="s">
        <v>812</v>
      </c>
      <c r="L1359" s="415" t="s">
        <v>807</v>
      </c>
      <c r="M1359" s="525">
        <v>42075</v>
      </c>
      <c r="N1359" s="558">
        <v>44621</v>
      </c>
      <c r="O1359" s="414" t="s">
        <v>400</v>
      </c>
      <c r="P1359" s="222">
        <f t="shared" si="88"/>
        <v>3</v>
      </c>
      <c r="Q1359" s="222">
        <f t="shared" si="89"/>
        <v>2</v>
      </c>
      <c r="R1359" s="532" t="str">
        <f t="shared" si="90"/>
        <v>Gastos_Gerais</v>
      </c>
      <c r="S1359" s="467" t="s">
        <v>1000</v>
      </c>
      <c r="T1359" s="489">
        <v>1141</v>
      </c>
      <c r="U1359" s="496"/>
      <c r="V1359" s="496"/>
      <c r="W1359" s="496"/>
    </row>
    <row r="1360" spans="1:23" ht="36" x14ac:dyDescent="0.2">
      <c r="A1360" s="510">
        <f t="shared" si="91"/>
        <v>1357</v>
      </c>
      <c r="B1360" s="428">
        <v>44628</v>
      </c>
      <c r="C1360" s="466">
        <v>44621</v>
      </c>
      <c r="D1360" s="415" t="s">
        <v>468</v>
      </c>
      <c r="E1360" s="415" t="s">
        <v>468</v>
      </c>
      <c r="F1360" s="481">
        <v>11</v>
      </c>
      <c r="G1360" s="482" t="s">
        <v>2469</v>
      </c>
      <c r="H1360" s="415" t="s">
        <v>468</v>
      </c>
      <c r="I1360" s="398" t="s">
        <v>881</v>
      </c>
      <c r="J1360" s="418" t="s">
        <v>882</v>
      </c>
      <c r="K1360" s="418" t="s">
        <v>883</v>
      </c>
      <c r="L1360" s="399" t="s">
        <v>798</v>
      </c>
      <c r="M1360" s="557" t="s">
        <v>310</v>
      </c>
      <c r="N1360" s="558">
        <v>44601</v>
      </c>
      <c r="O1360" s="414" t="s">
        <v>408</v>
      </c>
      <c r="P1360" s="222">
        <f t="shared" si="88"/>
        <v>3</v>
      </c>
      <c r="Q1360" s="222">
        <f t="shared" si="89"/>
        <v>3</v>
      </c>
      <c r="R1360" s="532" t="str">
        <f t="shared" si="90"/>
        <v>Gastos_custeados_por_captação</v>
      </c>
      <c r="S1360" s="467" t="s">
        <v>310</v>
      </c>
      <c r="T1360" s="489" t="s">
        <v>310</v>
      </c>
      <c r="U1360" s="496"/>
      <c r="V1360" s="496"/>
      <c r="W1360" s="496"/>
    </row>
    <row r="1361" spans="1:23" ht="36" x14ac:dyDescent="0.2">
      <c r="A1361" s="510">
        <f t="shared" si="91"/>
        <v>1358</v>
      </c>
      <c r="B1361" s="428">
        <v>44628</v>
      </c>
      <c r="C1361" s="466">
        <v>44621</v>
      </c>
      <c r="D1361" s="415" t="s">
        <v>468</v>
      </c>
      <c r="E1361" s="415" t="s">
        <v>468</v>
      </c>
      <c r="F1361" s="498">
        <v>11</v>
      </c>
      <c r="G1361" s="488" t="s">
        <v>2958</v>
      </c>
      <c r="H1361" s="399" t="s">
        <v>468</v>
      </c>
      <c r="I1361" s="399" t="s">
        <v>881</v>
      </c>
      <c r="J1361" s="475" t="s">
        <v>882</v>
      </c>
      <c r="K1361" s="418" t="s">
        <v>883</v>
      </c>
      <c r="L1361" s="399" t="s">
        <v>798</v>
      </c>
      <c r="M1361" s="557" t="s">
        <v>310</v>
      </c>
      <c r="N1361" s="558">
        <v>44601</v>
      </c>
      <c r="O1361" s="414" t="s">
        <v>408</v>
      </c>
      <c r="P1361" s="222">
        <f t="shared" si="88"/>
        <v>3</v>
      </c>
      <c r="Q1361" s="222">
        <f t="shared" si="89"/>
        <v>3</v>
      </c>
      <c r="R1361" s="532" t="str">
        <f t="shared" si="90"/>
        <v>Gastos_custeados_por_captação</v>
      </c>
      <c r="S1361" s="489" t="s">
        <v>310</v>
      </c>
      <c r="T1361" s="489" t="s">
        <v>310</v>
      </c>
      <c r="U1361" s="496"/>
      <c r="V1361" s="496"/>
      <c r="W1361" s="496"/>
    </row>
    <row r="1362" spans="1:23" ht="72" x14ac:dyDescent="0.2">
      <c r="A1362" s="510">
        <f t="shared" si="91"/>
        <v>1359</v>
      </c>
      <c r="B1362" s="590">
        <v>44628</v>
      </c>
      <c r="C1362" s="424">
        <v>44470</v>
      </c>
      <c r="D1362" s="415" t="s">
        <v>468</v>
      </c>
      <c r="E1362" s="415" t="s">
        <v>468</v>
      </c>
      <c r="F1362" s="498">
        <v>88</v>
      </c>
      <c r="G1362" s="482" t="s">
        <v>3104</v>
      </c>
      <c r="H1362" s="415" t="s">
        <v>468</v>
      </c>
      <c r="I1362" s="399" t="s">
        <v>881</v>
      </c>
      <c r="J1362" s="475" t="s">
        <v>882</v>
      </c>
      <c r="K1362" s="415" t="s">
        <v>1220</v>
      </c>
      <c r="L1362" s="415" t="s">
        <v>1281</v>
      </c>
      <c r="M1362" s="485">
        <v>222047578282</v>
      </c>
      <c r="N1362" s="487">
        <v>44628</v>
      </c>
      <c r="O1362" s="414" t="s">
        <v>407</v>
      </c>
      <c r="P1362" s="222">
        <f t="shared" si="88"/>
        <v>3</v>
      </c>
      <c r="Q1362" s="222">
        <f t="shared" si="89"/>
        <v>-2</v>
      </c>
      <c r="R1362" s="415" t="str">
        <f t="shared" si="90"/>
        <v>Gastos_custeados_por_captação</v>
      </c>
      <c r="S1362" s="467" t="s">
        <v>310</v>
      </c>
      <c r="T1362" s="467" t="s">
        <v>310</v>
      </c>
      <c r="U1362" s="497"/>
      <c r="V1362" s="497"/>
      <c r="W1362" s="497"/>
    </row>
    <row r="1363" spans="1:23" ht="72" x14ac:dyDescent="0.2">
      <c r="A1363" s="510">
        <f t="shared" si="91"/>
        <v>1360</v>
      </c>
      <c r="B1363" s="590">
        <v>44628</v>
      </c>
      <c r="C1363" s="424">
        <v>44409</v>
      </c>
      <c r="D1363" s="415" t="s">
        <v>468</v>
      </c>
      <c r="E1363" s="415" t="s">
        <v>468</v>
      </c>
      <c r="F1363" s="498">
        <v>1672</v>
      </c>
      <c r="G1363" s="482" t="s">
        <v>3105</v>
      </c>
      <c r="H1363" s="415" t="s">
        <v>468</v>
      </c>
      <c r="I1363" s="461" t="s">
        <v>2752</v>
      </c>
      <c r="J1363" s="415" t="s">
        <v>310</v>
      </c>
      <c r="K1363" s="415" t="s">
        <v>1220</v>
      </c>
      <c r="L1363" s="415" t="s">
        <v>1281</v>
      </c>
      <c r="M1363" s="485">
        <v>222047581232</v>
      </c>
      <c r="N1363" s="487">
        <v>44628</v>
      </c>
      <c r="O1363" s="414" t="s">
        <v>407</v>
      </c>
      <c r="P1363" s="222">
        <f t="shared" si="88"/>
        <v>3</v>
      </c>
      <c r="Q1363" s="222">
        <f t="shared" si="89"/>
        <v>-4</v>
      </c>
      <c r="R1363" s="415" t="str">
        <f t="shared" si="90"/>
        <v>Gastos_custeados_por_captação</v>
      </c>
      <c r="S1363" s="467" t="s">
        <v>310</v>
      </c>
      <c r="T1363" s="467" t="s">
        <v>310</v>
      </c>
      <c r="U1363" s="497"/>
      <c r="V1363" s="497"/>
      <c r="W1363" s="497"/>
    </row>
    <row r="1364" spans="1:23" ht="72" x14ac:dyDescent="0.2">
      <c r="A1364" s="510">
        <f t="shared" si="91"/>
        <v>1361</v>
      </c>
      <c r="B1364" s="590">
        <v>44628</v>
      </c>
      <c r="C1364" s="424">
        <v>44531</v>
      </c>
      <c r="D1364" s="415" t="s">
        <v>468</v>
      </c>
      <c r="E1364" s="415" t="s">
        <v>468</v>
      </c>
      <c r="F1364" s="498">
        <v>607.5</v>
      </c>
      <c r="G1364" s="482" t="s">
        <v>3106</v>
      </c>
      <c r="H1364" s="415" t="s">
        <v>468</v>
      </c>
      <c r="I1364" s="461" t="s">
        <v>2752</v>
      </c>
      <c r="J1364" s="415" t="s">
        <v>310</v>
      </c>
      <c r="K1364" s="415" t="s">
        <v>1220</v>
      </c>
      <c r="L1364" s="415" t="s">
        <v>1281</v>
      </c>
      <c r="M1364" s="485">
        <v>222047581585</v>
      </c>
      <c r="N1364" s="487">
        <v>44628</v>
      </c>
      <c r="O1364" s="414" t="s">
        <v>407</v>
      </c>
      <c r="P1364" s="222">
        <f t="shared" si="88"/>
        <v>3</v>
      </c>
      <c r="Q1364" s="222">
        <f t="shared" si="89"/>
        <v>0</v>
      </c>
      <c r="R1364" s="415" t="str">
        <f t="shared" si="90"/>
        <v>Gastos_custeados_por_captação</v>
      </c>
      <c r="S1364" s="467" t="s">
        <v>310</v>
      </c>
      <c r="T1364" s="467" t="s">
        <v>310</v>
      </c>
      <c r="U1364" s="497"/>
      <c r="V1364" s="497"/>
      <c r="W1364" s="497"/>
    </row>
    <row r="1365" spans="1:23" ht="72" x14ac:dyDescent="0.2">
      <c r="A1365" s="510">
        <f t="shared" si="91"/>
        <v>1362</v>
      </c>
      <c r="B1365" s="590">
        <v>44628</v>
      </c>
      <c r="C1365" s="559">
        <v>44593</v>
      </c>
      <c r="D1365" s="357" t="s">
        <v>468</v>
      </c>
      <c r="E1365" s="357" t="s">
        <v>468</v>
      </c>
      <c r="F1365" s="498">
        <v>0.53</v>
      </c>
      <c r="G1365" s="482" t="s">
        <v>3107</v>
      </c>
      <c r="H1365" s="415" t="s">
        <v>468</v>
      </c>
      <c r="I1365" s="461" t="s">
        <v>2752</v>
      </c>
      <c r="J1365" s="415" t="s">
        <v>310</v>
      </c>
      <c r="K1365" s="415" t="s">
        <v>1220</v>
      </c>
      <c r="L1365" s="415" t="s">
        <v>1281</v>
      </c>
      <c r="M1365" s="485">
        <v>222047582123</v>
      </c>
      <c r="N1365" s="487">
        <v>44628</v>
      </c>
      <c r="O1365" s="414" t="s">
        <v>407</v>
      </c>
      <c r="P1365" s="222">
        <f t="shared" si="88"/>
        <v>3</v>
      </c>
      <c r="Q1365" s="222">
        <f t="shared" si="89"/>
        <v>2</v>
      </c>
      <c r="R1365" s="415" t="str">
        <f t="shared" si="90"/>
        <v>Gastos_custeados_por_captação</v>
      </c>
      <c r="S1365" s="467" t="s">
        <v>310</v>
      </c>
      <c r="T1365" s="467" t="s">
        <v>310</v>
      </c>
      <c r="U1365" s="497"/>
      <c r="V1365" s="497"/>
      <c r="W1365" s="497"/>
    </row>
    <row r="1366" spans="1:23" ht="72" x14ac:dyDescent="0.2">
      <c r="A1366" s="510">
        <f t="shared" si="91"/>
        <v>1363</v>
      </c>
      <c r="B1366" s="590">
        <v>44628</v>
      </c>
      <c r="C1366" s="424">
        <v>44593</v>
      </c>
      <c r="D1366" s="415" t="s">
        <v>468</v>
      </c>
      <c r="E1366" s="415" t="s">
        <v>468</v>
      </c>
      <c r="F1366" s="459">
        <v>1.21</v>
      </c>
      <c r="G1366" s="427" t="s">
        <v>3108</v>
      </c>
      <c r="H1366" s="415" t="s">
        <v>468</v>
      </c>
      <c r="I1366" s="461" t="s">
        <v>2752</v>
      </c>
      <c r="J1366" s="415" t="s">
        <v>310</v>
      </c>
      <c r="K1366" s="415" t="s">
        <v>1220</v>
      </c>
      <c r="L1366" s="415" t="s">
        <v>1281</v>
      </c>
      <c r="M1366" s="464">
        <v>222047582980</v>
      </c>
      <c r="N1366" s="469">
        <v>44628</v>
      </c>
      <c r="O1366" s="414" t="s">
        <v>407</v>
      </c>
      <c r="P1366" s="222">
        <f t="shared" si="88"/>
        <v>3</v>
      </c>
      <c r="Q1366" s="222">
        <f t="shared" si="89"/>
        <v>2</v>
      </c>
      <c r="R1366" s="415" t="str">
        <f t="shared" si="90"/>
        <v>Gastos_custeados_por_captação</v>
      </c>
      <c r="S1366" s="467" t="s">
        <v>310</v>
      </c>
      <c r="T1366" s="467" t="s">
        <v>310</v>
      </c>
      <c r="U1366" s="497"/>
      <c r="V1366" s="497"/>
      <c r="W1366" s="497"/>
    </row>
    <row r="1367" spans="1:23" ht="72" x14ac:dyDescent="0.2">
      <c r="A1367" s="510">
        <f t="shared" si="91"/>
        <v>1364</v>
      </c>
      <c r="B1367" s="590">
        <v>44628</v>
      </c>
      <c r="C1367" s="424">
        <v>44593</v>
      </c>
      <c r="D1367" s="415" t="s">
        <v>468</v>
      </c>
      <c r="E1367" s="415" t="s">
        <v>468</v>
      </c>
      <c r="F1367" s="459">
        <v>1.51</v>
      </c>
      <c r="G1367" s="427" t="s">
        <v>3109</v>
      </c>
      <c r="H1367" s="415" t="s">
        <v>468</v>
      </c>
      <c r="I1367" s="461" t="s">
        <v>2752</v>
      </c>
      <c r="J1367" s="415" t="s">
        <v>310</v>
      </c>
      <c r="K1367" s="415" t="s">
        <v>1220</v>
      </c>
      <c r="L1367" s="415" t="s">
        <v>1281</v>
      </c>
      <c r="M1367" s="464">
        <v>222047583103</v>
      </c>
      <c r="N1367" s="469">
        <v>44628</v>
      </c>
      <c r="O1367" s="414" t="s">
        <v>407</v>
      </c>
      <c r="P1367" s="222">
        <f t="shared" ref="P1367:P1430" si="92">IF(B1367=0,0,IF(YEAR(B1367)=$Q$1,MONTH(B1367)-$P$1+1,(YEAR(B1367)-$Q$1)*12-$P$1+1+MONTH(B1367)))</f>
        <v>3</v>
      </c>
      <c r="Q1367" s="222">
        <f t="shared" ref="Q1367:Q1430" si="93">IF(C1367=0,0,IF(YEAR(C1367)=$Q$1,MONTH(C1367)-$P$1+1,(YEAR(C1367)-$Q$1)*12-$P$1+1+MONTH(C1367)))</f>
        <v>2</v>
      </c>
      <c r="R1367" s="415" t="str">
        <f t="shared" ref="R1367:R1430" si="94">SUBSTITUTE(D1367," ","_")</f>
        <v>Gastos_custeados_por_captação</v>
      </c>
      <c r="S1367" s="467" t="s">
        <v>310</v>
      </c>
      <c r="T1367" s="467" t="s">
        <v>310</v>
      </c>
      <c r="U1367" s="497"/>
      <c r="V1367" s="497"/>
      <c r="W1367" s="497"/>
    </row>
    <row r="1368" spans="1:23" ht="72" x14ac:dyDescent="0.2">
      <c r="A1368" s="510">
        <f t="shared" si="91"/>
        <v>1365</v>
      </c>
      <c r="B1368" s="590">
        <v>44628</v>
      </c>
      <c r="C1368" s="424">
        <v>44593</v>
      </c>
      <c r="D1368" s="415" t="s">
        <v>468</v>
      </c>
      <c r="E1368" s="415" t="s">
        <v>468</v>
      </c>
      <c r="F1368" s="459">
        <v>7.55</v>
      </c>
      <c r="G1368" s="427" t="s">
        <v>3110</v>
      </c>
      <c r="H1368" s="415" t="s">
        <v>468</v>
      </c>
      <c r="I1368" s="461" t="s">
        <v>2752</v>
      </c>
      <c r="J1368" s="415" t="s">
        <v>310</v>
      </c>
      <c r="K1368" s="415" t="s">
        <v>1220</v>
      </c>
      <c r="L1368" s="415" t="s">
        <v>1281</v>
      </c>
      <c r="M1368" s="464">
        <v>22204758352</v>
      </c>
      <c r="N1368" s="469">
        <v>44628</v>
      </c>
      <c r="O1368" s="414" t="s">
        <v>407</v>
      </c>
      <c r="P1368" s="222">
        <f t="shared" si="92"/>
        <v>3</v>
      </c>
      <c r="Q1368" s="222">
        <f t="shared" si="93"/>
        <v>2</v>
      </c>
      <c r="R1368" s="415" t="str">
        <f t="shared" si="94"/>
        <v>Gastos_custeados_por_captação</v>
      </c>
      <c r="S1368" s="467" t="s">
        <v>310</v>
      </c>
      <c r="T1368" s="467" t="s">
        <v>310</v>
      </c>
      <c r="U1368" s="497"/>
      <c r="V1368" s="497"/>
      <c r="W1368" s="497"/>
    </row>
    <row r="1369" spans="1:23" ht="72" x14ac:dyDescent="0.2">
      <c r="A1369" s="510">
        <f t="shared" si="91"/>
        <v>1366</v>
      </c>
      <c r="B1369" s="590">
        <v>44628</v>
      </c>
      <c r="C1369" s="424">
        <v>44593</v>
      </c>
      <c r="D1369" s="415" t="s">
        <v>468</v>
      </c>
      <c r="E1369" s="415" t="s">
        <v>468</v>
      </c>
      <c r="F1369" s="459">
        <v>9.25</v>
      </c>
      <c r="G1369" s="427" t="s">
        <v>3111</v>
      </c>
      <c r="H1369" s="415" t="s">
        <v>468</v>
      </c>
      <c r="I1369" s="461" t="s">
        <v>2752</v>
      </c>
      <c r="J1369" s="415" t="s">
        <v>310</v>
      </c>
      <c r="K1369" s="415" t="s">
        <v>1220</v>
      </c>
      <c r="L1369" s="415" t="s">
        <v>1281</v>
      </c>
      <c r="M1369" s="464">
        <v>222047584096</v>
      </c>
      <c r="N1369" s="469">
        <v>44628</v>
      </c>
      <c r="O1369" s="414" t="s">
        <v>407</v>
      </c>
      <c r="P1369" s="222">
        <f t="shared" si="92"/>
        <v>3</v>
      </c>
      <c r="Q1369" s="222">
        <f t="shared" si="93"/>
        <v>2</v>
      </c>
      <c r="R1369" s="415" t="str">
        <f t="shared" si="94"/>
        <v>Gastos_custeados_por_captação</v>
      </c>
      <c r="S1369" s="467" t="s">
        <v>310</v>
      </c>
      <c r="T1369" s="467" t="s">
        <v>310</v>
      </c>
      <c r="U1369" s="497"/>
      <c r="V1369" s="497"/>
      <c r="W1369" s="497"/>
    </row>
    <row r="1370" spans="1:23" ht="72" x14ac:dyDescent="0.2">
      <c r="A1370" s="510">
        <f t="shared" si="91"/>
        <v>1367</v>
      </c>
      <c r="B1370" s="590">
        <v>44628</v>
      </c>
      <c r="C1370" s="424">
        <v>44531</v>
      </c>
      <c r="D1370" s="415" t="s">
        <v>468</v>
      </c>
      <c r="E1370" s="415" t="s">
        <v>468</v>
      </c>
      <c r="F1370" s="459">
        <v>352</v>
      </c>
      <c r="G1370" s="427" t="s">
        <v>3112</v>
      </c>
      <c r="H1370" s="415" t="s">
        <v>468</v>
      </c>
      <c r="I1370" s="461" t="s">
        <v>2752</v>
      </c>
      <c r="J1370" s="415" t="s">
        <v>310</v>
      </c>
      <c r="K1370" s="415" t="s">
        <v>1220</v>
      </c>
      <c r="L1370" s="415" t="s">
        <v>1281</v>
      </c>
      <c r="M1370" s="464">
        <v>222047584843</v>
      </c>
      <c r="N1370" s="469">
        <v>44628</v>
      </c>
      <c r="O1370" s="414" t="s">
        <v>407</v>
      </c>
      <c r="P1370" s="222">
        <f t="shared" si="92"/>
        <v>3</v>
      </c>
      <c r="Q1370" s="222">
        <f t="shared" si="93"/>
        <v>0</v>
      </c>
      <c r="R1370" s="415" t="str">
        <f t="shared" si="94"/>
        <v>Gastos_custeados_por_captação</v>
      </c>
      <c r="S1370" s="467" t="s">
        <v>310</v>
      </c>
      <c r="T1370" s="467" t="s">
        <v>310</v>
      </c>
      <c r="U1370" s="497"/>
      <c r="V1370" s="497"/>
      <c r="W1370" s="497"/>
    </row>
    <row r="1371" spans="1:23" ht="72" x14ac:dyDescent="0.2">
      <c r="A1371" s="510">
        <f t="shared" si="91"/>
        <v>1368</v>
      </c>
      <c r="B1371" s="590">
        <v>44628</v>
      </c>
      <c r="C1371" s="424">
        <v>44562</v>
      </c>
      <c r="D1371" s="415" t="s">
        <v>468</v>
      </c>
      <c r="E1371" s="415" t="s">
        <v>468</v>
      </c>
      <c r="F1371" s="459">
        <v>500</v>
      </c>
      <c r="G1371" s="427" t="s">
        <v>3113</v>
      </c>
      <c r="H1371" s="415" t="s">
        <v>468</v>
      </c>
      <c r="I1371" s="461" t="s">
        <v>2752</v>
      </c>
      <c r="J1371" s="415" t="s">
        <v>310</v>
      </c>
      <c r="K1371" s="415" t="s">
        <v>1220</v>
      </c>
      <c r="L1371" s="415" t="s">
        <v>1281</v>
      </c>
      <c r="M1371" s="464">
        <v>222047585491</v>
      </c>
      <c r="N1371" s="469">
        <v>44628</v>
      </c>
      <c r="O1371" s="414" t="s">
        <v>407</v>
      </c>
      <c r="P1371" s="222">
        <f t="shared" si="92"/>
        <v>3</v>
      </c>
      <c r="Q1371" s="222">
        <f t="shared" si="93"/>
        <v>1</v>
      </c>
      <c r="R1371" s="415" t="str">
        <f t="shared" si="94"/>
        <v>Gastos_custeados_por_captação</v>
      </c>
      <c r="S1371" s="467" t="s">
        <v>310</v>
      </c>
      <c r="T1371" s="467" t="s">
        <v>310</v>
      </c>
      <c r="U1371" s="497"/>
      <c r="V1371" s="497"/>
      <c r="W1371" s="497"/>
    </row>
    <row r="1372" spans="1:23" ht="72" x14ac:dyDescent="0.2">
      <c r="A1372" s="510">
        <f t="shared" si="91"/>
        <v>1369</v>
      </c>
      <c r="B1372" s="590">
        <v>44628</v>
      </c>
      <c r="C1372" s="424">
        <v>44562</v>
      </c>
      <c r="D1372" s="415" t="s">
        <v>468</v>
      </c>
      <c r="E1372" s="415" t="s">
        <v>468</v>
      </c>
      <c r="F1372" s="459">
        <v>180</v>
      </c>
      <c r="G1372" s="427" t="s">
        <v>3114</v>
      </c>
      <c r="H1372" s="415" t="s">
        <v>468</v>
      </c>
      <c r="I1372" s="461" t="s">
        <v>2752</v>
      </c>
      <c r="J1372" s="415" t="s">
        <v>310</v>
      </c>
      <c r="K1372" s="415" t="s">
        <v>1220</v>
      </c>
      <c r="L1372" s="415" t="s">
        <v>1281</v>
      </c>
      <c r="M1372" s="464">
        <v>222047585653</v>
      </c>
      <c r="N1372" s="469">
        <v>44628</v>
      </c>
      <c r="O1372" s="414" t="s">
        <v>407</v>
      </c>
      <c r="P1372" s="222">
        <f t="shared" si="92"/>
        <v>3</v>
      </c>
      <c r="Q1372" s="222">
        <f t="shared" si="93"/>
        <v>1</v>
      </c>
      <c r="R1372" s="415" t="str">
        <f t="shared" si="94"/>
        <v>Gastos_custeados_por_captação</v>
      </c>
      <c r="S1372" s="467" t="s">
        <v>310</v>
      </c>
      <c r="T1372" s="467" t="s">
        <v>310</v>
      </c>
      <c r="U1372" s="497"/>
      <c r="V1372" s="497"/>
      <c r="W1372" s="497"/>
    </row>
    <row r="1373" spans="1:23" ht="72" x14ac:dyDescent="0.2">
      <c r="A1373" s="510">
        <f t="shared" si="91"/>
        <v>1370</v>
      </c>
      <c r="B1373" s="590">
        <v>44628</v>
      </c>
      <c r="C1373" s="424">
        <v>44531</v>
      </c>
      <c r="D1373" s="415" t="s">
        <v>468</v>
      </c>
      <c r="E1373" s="415" t="s">
        <v>468</v>
      </c>
      <c r="F1373" s="459">
        <v>135</v>
      </c>
      <c r="G1373" s="427" t="s">
        <v>3115</v>
      </c>
      <c r="H1373" s="415" t="s">
        <v>468</v>
      </c>
      <c r="I1373" s="461" t="s">
        <v>2752</v>
      </c>
      <c r="J1373" s="415" t="s">
        <v>310</v>
      </c>
      <c r="K1373" s="415" t="s">
        <v>1220</v>
      </c>
      <c r="L1373" s="415" t="s">
        <v>1281</v>
      </c>
      <c r="M1373" s="464">
        <v>222047585815</v>
      </c>
      <c r="N1373" s="469">
        <v>44628</v>
      </c>
      <c r="O1373" s="414" t="s">
        <v>407</v>
      </c>
      <c r="P1373" s="222">
        <f t="shared" si="92"/>
        <v>3</v>
      </c>
      <c r="Q1373" s="222">
        <f t="shared" si="93"/>
        <v>0</v>
      </c>
      <c r="R1373" s="415" t="str">
        <f t="shared" si="94"/>
        <v>Gastos_custeados_por_captação</v>
      </c>
      <c r="S1373" s="467" t="s">
        <v>310</v>
      </c>
      <c r="T1373" s="467" t="s">
        <v>310</v>
      </c>
      <c r="U1373" s="497"/>
      <c r="V1373" s="497"/>
      <c r="W1373" s="497"/>
    </row>
    <row r="1374" spans="1:23" ht="72" x14ac:dyDescent="0.2">
      <c r="A1374" s="510">
        <f t="shared" si="91"/>
        <v>1371</v>
      </c>
      <c r="B1374" s="590">
        <v>44628</v>
      </c>
      <c r="C1374" s="424">
        <v>44531</v>
      </c>
      <c r="D1374" s="415" t="s">
        <v>468</v>
      </c>
      <c r="E1374" s="415" t="s">
        <v>468</v>
      </c>
      <c r="F1374" s="459">
        <v>58.5</v>
      </c>
      <c r="G1374" s="427" t="s">
        <v>3116</v>
      </c>
      <c r="H1374" s="415" t="s">
        <v>468</v>
      </c>
      <c r="I1374" s="461" t="s">
        <v>2752</v>
      </c>
      <c r="J1374" s="415" t="s">
        <v>310</v>
      </c>
      <c r="K1374" s="415" t="s">
        <v>1220</v>
      </c>
      <c r="L1374" s="415" t="s">
        <v>1281</v>
      </c>
      <c r="M1374" s="464">
        <v>222047586030</v>
      </c>
      <c r="N1374" s="469">
        <v>44628</v>
      </c>
      <c r="O1374" s="414" t="s">
        <v>407</v>
      </c>
      <c r="P1374" s="222">
        <f t="shared" si="92"/>
        <v>3</v>
      </c>
      <c r="Q1374" s="222">
        <f t="shared" si="93"/>
        <v>0</v>
      </c>
      <c r="R1374" s="415" t="str">
        <f t="shared" si="94"/>
        <v>Gastos_custeados_por_captação</v>
      </c>
      <c r="S1374" s="467" t="s">
        <v>310</v>
      </c>
      <c r="T1374" s="467" t="s">
        <v>310</v>
      </c>
      <c r="U1374" s="497"/>
      <c r="V1374" s="497"/>
      <c r="W1374" s="497"/>
    </row>
    <row r="1375" spans="1:23" ht="72" x14ac:dyDescent="0.2">
      <c r="A1375" s="510">
        <f t="shared" si="91"/>
        <v>1372</v>
      </c>
      <c r="B1375" s="590">
        <v>44628</v>
      </c>
      <c r="C1375" s="424">
        <v>44501</v>
      </c>
      <c r="D1375" s="415" t="s">
        <v>468</v>
      </c>
      <c r="E1375" s="415" t="s">
        <v>468</v>
      </c>
      <c r="F1375" s="459">
        <v>126</v>
      </c>
      <c r="G1375" s="427" t="s">
        <v>3117</v>
      </c>
      <c r="H1375" s="415" t="s">
        <v>468</v>
      </c>
      <c r="I1375" s="461" t="s">
        <v>2752</v>
      </c>
      <c r="J1375" s="415" t="s">
        <v>310</v>
      </c>
      <c r="K1375" s="415" t="s">
        <v>1220</v>
      </c>
      <c r="L1375" s="415" t="s">
        <v>1281</v>
      </c>
      <c r="M1375" s="464">
        <v>222047586200</v>
      </c>
      <c r="N1375" s="469">
        <v>44628</v>
      </c>
      <c r="O1375" s="414" t="s">
        <v>407</v>
      </c>
      <c r="P1375" s="222">
        <f t="shared" si="92"/>
        <v>3</v>
      </c>
      <c r="Q1375" s="222">
        <f t="shared" si="93"/>
        <v>-1</v>
      </c>
      <c r="R1375" s="415" t="str">
        <f t="shared" si="94"/>
        <v>Gastos_custeados_por_captação</v>
      </c>
      <c r="S1375" s="467" t="s">
        <v>310</v>
      </c>
      <c r="T1375" s="467" t="s">
        <v>310</v>
      </c>
      <c r="U1375" s="497"/>
      <c r="V1375" s="497"/>
      <c r="W1375" s="497"/>
    </row>
    <row r="1376" spans="1:23" ht="72" x14ac:dyDescent="0.2">
      <c r="A1376" s="510">
        <f t="shared" si="91"/>
        <v>1373</v>
      </c>
      <c r="B1376" s="590">
        <v>44628</v>
      </c>
      <c r="C1376" s="424">
        <v>44501</v>
      </c>
      <c r="D1376" s="415" t="s">
        <v>468</v>
      </c>
      <c r="E1376" s="415" t="s">
        <v>468</v>
      </c>
      <c r="F1376" s="459">
        <v>25</v>
      </c>
      <c r="G1376" s="427" t="s">
        <v>3118</v>
      </c>
      <c r="H1376" s="415" t="s">
        <v>468</v>
      </c>
      <c r="I1376" s="461" t="s">
        <v>2752</v>
      </c>
      <c r="J1376" s="415" t="s">
        <v>310</v>
      </c>
      <c r="K1376" s="415" t="s">
        <v>1220</v>
      </c>
      <c r="L1376" s="415" t="s">
        <v>1281</v>
      </c>
      <c r="M1376" s="464">
        <v>222047586625</v>
      </c>
      <c r="N1376" s="469">
        <v>44628</v>
      </c>
      <c r="O1376" s="414" t="s">
        <v>407</v>
      </c>
      <c r="P1376" s="222">
        <f t="shared" si="92"/>
        <v>3</v>
      </c>
      <c r="Q1376" s="222">
        <f t="shared" si="93"/>
        <v>-1</v>
      </c>
      <c r="R1376" s="415" t="str">
        <f t="shared" si="94"/>
        <v>Gastos_custeados_por_captação</v>
      </c>
      <c r="S1376" s="467" t="s">
        <v>310</v>
      </c>
      <c r="T1376" s="467" t="s">
        <v>310</v>
      </c>
      <c r="U1376" s="497"/>
      <c r="V1376" s="497"/>
      <c r="W1376" s="497"/>
    </row>
    <row r="1377" spans="1:23" ht="72" x14ac:dyDescent="0.2">
      <c r="A1377" s="510">
        <f t="shared" si="91"/>
        <v>1374</v>
      </c>
      <c r="B1377" s="590">
        <v>44628</v>
      </c>
      <c r="C1377" s="424">
        <v>44409</v>
      </c>
      <c r="D1377" s="415" t="s">
        <v>468</v>
      </c>
      <c r="E1377" s="415" t="s">
        <v>468</v>
      </c>
      <c r="F1377" s="459">
        <v>50</v>
      </c>
      <c r="G1377" s="427" t="s">
        <v>3119</v>
      </c>
      <c r="H1377" s="415" t="s">
        <v>468</v>
      </c>
      <c r="I1377" s="461" t="s">
        <v>2752</v>
      </c>
      <c r="J1377" s="415" t="s">
        <v>310</v>
      </c>
      <c r="K1377" s="415" t="s">
        <v>1220</v>
      </c>
      <c r="L1377" s="415" t="s">
        <v>1281</v>
      </c>
      <c r="M1377" s="464">
        <v>222047586897</v>
      </c>
      <c r="N1377" s="469">
        <v>44628</v>
      </c>
      <c r="O1377" s="414" t="s">
        <v>407</v>
      </c>
      <c r="P1377" s="222">
        <f t="shared" si="92"/>
        <v>3</v>
      </c>
      <c r="Q1377" s="222">
        <f t="shared" si="93"/>
        <v>-4</v>
      </c>
      <c r="R1377" s="415" t="str">
        <f t="shared" si="94"/>
        <v>Gastos_custeados_por_captação</v>
      </c>
      <c r="S1377" s="467" t="s">
        <v>310</v>
      </c>
      <c r="T1377" s="467" t="s">
        <v>310</v>
      </c>
      <c r="U1377" s="497"/>
      <c r="V1377" s="497"/>
      <c r="W1377" s="497"/>
    </row>
    <row r="1378" spans="1:23" ht="72" x14ac:dyDescent="0.2">
      <c r="A1378" s="510">
        <f t="shared" si="91"/>
        <v>1375</v>
      </c>
      <c r="B1378" s="590">
        <v>44628</v>
      </c>
      <c r="C1378" s="424">
        <v>44531</v>
      </c>
      <c r="D1378" s="415" t="s">
        <v>468</v>
      </c>
      <c r="E1378" s="415" t="s">
        <v>468</v>
      </c>
      <c r="F1378" s="459">
        <v>25</v>
      </c>
      <c r="G1378" s="427" t="s">
        <v>3120</v>
      </c>
      <c r="H1378" s="415" t="s">
        <v>468</v>
      </c>
      <c r="I1378" s="461" t="s">
        <v>2752</v>
      </c>
      <c r="J1378" s="415" t="s">
        <v>310</v>
      </c>
      <c r="K1378" s="415" t="s">
        <v>1220</v>
      </c>
      <c r="L1378" s="415" t="s">
        <v>1281</v>
      </c>
      <c r="M1378" s="464">
        <v>222047587001</v>
      </c>
      <c r="N1378" s="469">
        <v>44628</v>
      </c>
      <c r="O1378" s="414" t="s">
        <v>407</v>
      </c>
      <c r="P1378" s="222">
        <f t="shared" si="92"/>
        <v>3</v>
      </c>
      <c r="Q1378" s="222">
        <f t="shared" si="93"/>
        <v>0</v>
      </c>
      <c r="R1378" s="415" t="str">
        <f t="shared" si="94"/>
        <v>Gastos_custeados_por_captação</v>
      </c>
      <c r="S1378" s="467" t="s">
        <v>310</v>
      </c>
      <c r="T1378" s="467" t="s">
        <v>310</v>
      </c>
      <c r="U1378" s="497"/>
      <c r="V1378" s="497"/>
      <c r="W1378" s="497"/>
    </row>
    <row r="1379" spans="1:23" ht="72" x14ac:dyDescent="0.2">
      <c r="A1379" s="510">
        <f t="shared" si="91"/>
        <v>1376</v>
      </c>
      <c r="B1379" s="590">
        <v>44628</v>
      </c>
      <c r="C1379" s="424">
        <v>44470</v>
      </c>
      <c r="D1379" s="415" t="s">
        <v>468</v>
      </c>
      <c r="E1379" s="415" t="s">
        <v>468</v>
      </c>
      <c r="F1379" s="459">
        <v>17.5</v>
      </c>
      <c r="G1379" s="427" t="s">
        <v>3121</v>
      </c>
      <c r="H1379" s="415" t="s">
        <v>468</v>
      </c>
      <c r="I1379" s="461" t="s">
        <v>2752</v>
      </c>
      <c r="J1379" s="415" t="s">
        <v>310</v>
      </c>
      <c r="K1379" s="415" t="s">
        <v>1220</v>
      </c>
      <c r="L1379" s="415" t="s">
        <v>1281</v>
      </c>
      <c r="M1379" s="464">
        <v>222047587273</v>
      </c>
      <c r="N1379" s="469">
        <v>44628</v>
      </c>
      <c r="O1379" s="414" t="s">
        <v>407</v>
      </c>
      <c r="P1379" s="222">
        <f t="shared" si="92"/>
        <v>3</v>
      </c>
      <c r="Q1379" s="222">
        <f t="shared" si="93"/>
        <v>-2</v>
      </c>
      <c r="R1379" s="415" t="str">
        <f t="shared" si="94"/>
        <v>Gastos_custeados_por_captação</v>
      </c>
      <c r="S1379" s="467" t="s">
        <v>310</v>
      </c>
      <c r="T1379" s="467" t="s">
        <v>310</v>
      </c>
      <c r="U1379" s="497"/>
      <c r="V1379" s="497"/>
      <c r="W1379" s="497"/>
    </row>
    <row r="1380" spans="1:23" ht="72" x14ac:dyDescent="0.2">
      <c r="A1380" s="510">
        <f t="shared" si="91"/>
        <v>1377</v>
      </c>
      <c r="B1380" s="590">
        <v>44628</v>
      </c>
      <c r="C1380" s="424">
        <v>44440</v>
      </c>
      <c r="D1380" s="415" t="s">
        <v>468</v>
      </c>
      <c r="E1380" s="415" t="s">
        <v>468</v>
      </c>
      <c r="F1380" s="459">
        <v>17.850000000000001</v>
      </c>
      <c r="G1380" s="427" t="s">
        <v>3122</v>
      </c>
      <c r="H1380" s="415" t="s">
        <v>468</v>
      </c>
      <c r="I1380" s="461" t="s">
        <v>2752</v>
      </c>
      <c r="J1380" s="415" t="s">
        <v>310</v>
      </c>
      <c r="K1380" s="415" t="s">
        <v>1220</v>
      </c>
      <c r="L1380" s="415" t="s">
        <v>1281</v>
      </c>
      <c r="M1380" s="464">
        <v>222047587516</v>
      </c>
      <c r="N1380" s="469">
        <v>44628</v>
      </c>
      <c r="O1380" s="414" t="s">
        <v>407</v>
      </c>
      <c r="P1380" s="222">
        <f t="shared" si="92"/>
        <v>3</v>
      </c>
      <c r="Q1380" s="222">
        <f t="shared" si="93"/>
        <v>-3</v>
      </c>
      <c r="R1380" s="415" t="str">
        <f t="shared" si="94"/>
        <v>Gastos_custeados_por_captação</v>
      </c>
      <c r="S1380" s="467" t="s">
        <v>310</v>
      </c>
      <c r="T1380" s="467" t="s">
        <v>310</v>
      </c>
      <c r="U1380" s="497"/>
      <c r="V1380" s="497"/>
      <c r="W1380" s="497"/>
    </row>
    <row r="1381" spans="1:23" ht="72" x14ac:dyDescent="0.2">
      <c r="A1381" s="510">
        <f t="shared" si="91"/>
        <v>1378</v>
      </c>
      <c r="B1381" s="590">
        <v>44628</v>
      </c>
      <c r="C1381" s="424">
        <v>44593</v>
      </c>
      <c r="D1381" s="415" t="s">
        <v>468</v>
      </c>
      <c r="E1381" s="415" t="s">
        <v>468</v>
      </c>
      <c r="F1381" s="459">
        <v>178.5</v>
      </c>
      <c r="G1381" s="427" t="s">
        <v>3123</v>
      </c>
      <c r="H1381" s="415" t="s">
        <v>468</v>
      </c>
      <c r="I1381" s="461" t="s">
        <v>2752</v>
      </c>
      <c r="J1381" s="415" t="s">
        <v>310</v>
      </c>
      <c r="K1381" s="415" t="s">
        <v>1220</v>
      </c>
      <c r="L1381" s="415" t="s">
        <v>1281</v>
      </c>
      <c r="M1381" s="464">
        <v>222047587869</v>
      </c>
      <c r="N1381" s="469">
        <v>44628</v>
      </c>
      <c r="O1381" s="414" t="s">
        <v>407</v>
      </c>
      <c r="P1381" s="222">
        <f t="shared" si="92"/>
        <v>3</v>
      </c>
      <c r="Q1381" s="222">
        <f t="shared" si="93"/>
        <v>2</v>
      </c>
      <c r="R1381" s="415" t="str">
        <f t="shared" si="94"/>
        <v>Gastos_custeados_por_captação</v>
      </c>
      <c r="S1381" s="467" t="s">
        <v>310</v>
      </c>
      <c r="T1381" s="467" t="s">
        <v>310</v>
      </c>
      <c r="U1381" s="497"/>
      <c r="V1381" s="497"/>
      <c r="W1381" s="497"/>
    </row>
    <row r="1382" spans="1:23" ht="72" x14ac:dyDescent="0.2">
      <c r="A1382" s="510">
        <f t="shared" si="91"/>
        <v>1379</v>
      </c>
      <c r="B1382" s="590">
        <v>44628</v>
      </c>
      <c r="C1382" s="424">
        <v>44501</v>
      </c>
      <c r="D1382" s="415" t="s">
        <v>468</v>
      </c>
      <c r="E1382" s="415" t="s">
        <v>468</v>
      </c>
      <c r="F1382" s="459">
        <v>19.899999999999999</v>
      </c>
      <c r="G1382" s="427" t="s">
        <v>3124</v>
      </c>
      <c r="H1382" s="415" t="s">
        <v>468</v>
      </c>
      <c r="I1382" s="461" t="s">
        <v>2752</v>
      </c>
      <c r="J1382" s="415" t="s">
        <v>310</v>
      </c>
      <c r="K1382" s="415" t="s">
        <v>1220</v>
      </c>
      <c r="L1382" s="415" t="s">
        <v>1281</v>
      </c>
      <c r="M1382" s="464">
        <v>222047588245</v>
      </c>
      <c r="N1382" s="469">
        <v>44628</v>
      </c>
      <c r="O1382" s="414" t="s">
        <v>407</v>
      </c>
      <c r="P1382" s="222">
        <f t="shared" si="92"/>
        <v>3</v>
      </c>
      <c r="Q1382" s="222">
        <f t="shared" si="93"/>
        <v>-1</v>
      </c>
      <c r="R1382" s="415" t="str">
        <f t="shared" si="94"/>
        <v>Gastos_custeados_por_captação</v>
      </c>
      <c r="S1382" s="467" t="s">
        <v>310</v>
      </c>
      <c r="T1382" s="467" t="s">
        <v>310</v>
      </c>
      <c r="U1382" s="497"/>
      <c r="V1382" s="497"/>
      <c r="W1382" s="497"/>
    </row>
    <row r="1383" spans="1:23" ht="108" x14ac:dyDescent="0.2">
      <c r="A1383" s="510">
        <f t="shared" si="91"/>
        <v>1380</v>
      </c>
      <c r="B1383" s="428">
        <v>44629</v>
      </c>
      <c r="C1383" s="424">
        <v>44621</v>
      </c>
      <c r="D1383" s="415" t="s">
        <v>468</v>
      </c>
      <c r="E1383" s="415" t="s">
        <v>468</v>
      </c>
      <c r="F1383" s="425">
        <v>428.4</v>
      </c>
      <c r="G1383" s="427" t="s">
        <v>1956</v>
      </c>
      <c r="H1383" s="415" t="s">
        <v>468</v>
      </c>
      <c r="I1383" s="398" t="s">
        <v>2972</v>
      </c>
      <c r="J1383" s="415" t="s">
        <v>1957</v>
      </c>
      <c r="K1383" s="418" t="s">
        <v>2973</v>
      </c>
      <c r="L1383" s="399" t="s">
        <v>32</v>
      </c>
      <c r="M1383" s="480">
        <v>10323821</v>
      </c>
      <c r="N1383" s="414">
        <v>44630</v>
      </c>
      <c r="O1383" s="414" t="s">
        <v>405</v>
      </c>
      <c r="P1383" s="222">
        <f t="shared" si="92"/>
        <v>3</v>
      </c>
      <c r="Q1383" s="222">
        <f t="shared" si="93"/>
        <v>3</v>
      </c>
      <c r="R1383" s="532" t="str">
        <f t="shared" si="94"/>
        <v>Gastos_custeados_por_captação</v>
      </c>
      <c r="S1383" s="467" t="s">
        <v>1303</v>
      </c>
      <c r="T1383" s="467">
        <v>3062</v>
      </c>
      <c r="U1383" s="496"/>
      <c r="V1383" s="496"/>
      <c r="W1383" s="496"/>
    </row>
    <row r="1384" spans="1:23" ht="48" x14ac:dyDescent="0.2">
      <c r="A1384" s="510">
        <f t="shared" si="91"/>
        <v>1381</v>
      </c>
      <c r="B1384" s="428">
        <v>44629</v>
      </c>
      <c r="C1384" s="433">
        <v>44593</v>
      </c>
      <c r="D1384" s="415" t="s">
        <v>271</v>
      </c>
      <c r="E1384" s="415" t="s">
        <v>2</v>
      </c>
      <c r="F1384" s="425">
        <v>-2643.58</v>
      </c>
      <c r="G1384" s="427" t="s">
        <v>2133</v>
      </c>
      <c r="H1384" s="415" t="s">
        <v>309</v>
      </c>
      <c r="I1384" s="473" t="s">
        <v>795</v>
      </c>
      <c r="J1384" s="415" t="s">
        <v>796</v>
      </c>
      <c r="K1384" s="415" t="s">
        <v>797</v>
      </c>
      <c r="L1384" s="415" t="s">
        <v>798</v>
      </c>
      <c r="M1384" s="415" t="s">
        <v>310</v>
      </c>
      <c r="N1384" s="414">
        <v>44629</v>
      </c>
      <c r="O1384" s="414" t="s">
        <v>400</v>
      </c>
      <c r="P1384" s="222">
        <f t="shared" si="92"/>
        <v>3</v>
      </c>
      <c r="Q1384" s="222">
        <f t="shared" si="93"/>
        <v>2</v>
      </c>
      <c r="R1384" s="532" t="str">
        <f t="shared" si="94"/>
        <v>Gastos_Gerais</v>
      </c>
      <c r="S1384" s="467" t="s">
        <v>310</v>
      </c>
      <c r="T1384" s="467" t="s">
        <v>310</v>
      </c>
      <c r="U1384" s="496"/>
      <c r="V1384" s="496"/>
      <c r="W1384" s="496"/>
    </row>
    <row r="1385" spans="1:23" ht="48" x14ac:dyDescent="0.2">
      <c r="A1385" s="510">
        <f t="shared" si="91"/>
        <v>1382</v>
      </c>
      <c r="B1385" s="428">
        <v>44629</v>
      </c>
      <c r="C1385" s="433">
        <v>44593</v>
      </c>
      <c r="D1385" s="415" t="s">
        <v>271</v>
      </c>
      <c r="E1385" s="415" t="s">
        <v>3</v>
      </c>
      <c r="F1385" s="425">
        <v>-451.27</v>
      </c>
      <c r="G1385" s="427" t="s">
        <v>2134</v>
      </c>
      <c r="H1385" s="415" t="s">
        <v>309</v>
      </c>
      <c r="I1385" s="473" t="s">
        <v>795</v>
      </c>
      <c r="J1385" s="415" t="s">
        <v>796</v>
      </c>
      <c r="K1385" s="415" t="s">
        <v>797</v>
      </c>
      <c r="L1385" s="415" t="s">
        <v>798</v>
      </c>
      <c r="M1385" s="415" t="s">
        <v>310</v>
      </c>
      <c r="N1385" s="414">
        <v>44629</v>
      </c>
      <c r="O1385" s="414" t="s">
        <v>400</v>
      </c>
      <c r="P1385" s="222">
        <f t="shared" si="92"/>
        <v>3</v>
      </c>
      <c r="Q1385" s="222">
        <f t="shared" si="93"/>
        <v>2</v>
      </c>
      <c r="R1385" s="532" t="str">
        <f t="shared" si="94"/>
        <v>Gastos_Gerais</v>
      </c>
      <c r="S1385" s="467" t="s">
        <v>310</v>
      </c>
      <c r="T1385" s="467" t="s">
        <v>310</v>
      </c>
      <c r="U1385" s="496"/>
      <c r="V1385" s="496"/>
      <c r="W1385" s="496"/>
    </row>
    <row r="1386" spans="1:23" ht="36" x14ac:dyDescent="0.2">
      <c r="A1386" s="510">
        <f t="shared" si="91"/>
        <v>1383</v>
      </c>
      <c r="B1386" s="428">
        <v>44629</v>
      </c>
      <c r="C1386" s="424">
        <v>44621</v>
      </c>
      <c r="D1386" s="415" t="s">
        <v>271</v>
      </c>
      <c r="E1386" s="415" t="s">
        <v>71</v>
      </c>
      <c r="F1386" s="425">
        <v>11</v>
      </c>
      <c r="G1386" s="427" t="s">
        <v>2150</v>
      </c>
      <c r="H1386" s="415" t="s">
        <v>755</v>
      </c>
      <c r="I1386" s="398" t="s">
        <v>881</v>
      </c>
      <c r="J1386" s="418" t="s">
        <v>882</v>
      </c>
      <c r="K1386" s="418" t="s">
        <v>883</v>
      </c>
      <c r="L1386" s="399" t="s">
        <v>798</v>
      </c>
      <c r="M1386" s="544" t="s">
        <v>310</v>
      </c>
      <c r="N1386" s="414">
        <v>44629</v>
      </c>
      <c r="O1386" s="414" t="s">
        <v>400</v>
      </c>
      <c r="P1386" s="222">
        <f t="shared" si="92"/>
        <v>3</v>
      </c>
      <c r="Q1386" s="222">
        <f t="shared" si="93"/>
        <v>3</v>
      </c>
      <c r="R1386" s="532" t="str">
        <f t="shared" si="94"/>
        <v>Gastos_Gerais</v>
      </c>
      <c r="S1386" s="467" t="s">
        <v>310</v>
      </c>
      <c r="T1386" s="467" t="s">
        <v>310</v>
      </c>
      <c r="U1386" s="496"/>
      <c r="V1386" s="496"/>
      <c r="W1386" s="496"/>
    </row>
    <row r="1387" spans="1:23" ht="36" x14ac:dyDescent="0.2">
      <c r="A1387" s="510">
        <f t="shared" si="91"/>
        <v>1384</v>
      </c>
      <c r="B1387" s="428">
        <v>44629</v>
      </c>
      <c r="C1387" s="424">
        <v>44621</v>
      </c>
      <c r="D1387" s="415" t="s">
        <v>271</v>
      </c>
      <c r="E1387" s="415" t="s">
        <v>71</v>
      </c>
      <c r="F1387" s="425">
        <v>11</v>
      </c>
      <c r="G1387" s="427" t="s">
        <v>1654</v>
      </c>
      <c r="H1387" s="415" t="s">
        <v>751</v>
      </c>
      <c r="I1387" s="398" t="s">
        <v>881</v>
      </c>
      <c r="J1387" s="418" t="s">
        <v>882</v>
      </c>
      <c r="K1387" s="418" t="s">
        <v>883</v>
      </c>
      <c r="L1387" s="399" t="s">
        <v>798</v>
      </c>
      <c r="M1387" s="544" t="s">
        <v>310</v>
      </c>
      <c r="N1387" s="414">
        <v>44629</v>
      </c>
      <c r="O1387" s="414" t="s">
        <v>400</v>
      </c>
      <c r="P1387" s="222">
        <f t="shared" si="92"/>
        <v>3</v>
      </c>
      <c r="Q1387" s="222">
        <f t="shared" si="93"/>
        <v>3</v>
      </c>
      <c r="R1387" s="532" t="str">
        <f t="shared" si="94"/>
        <v>Gastos_Gerais</v>
      </c>
      <c r="S1387" s="467" t="s">
        <v>310</v>
      </c>
      <c r="T1387" s="467" t="s">
        <v>310</v>
      </c>
      <c r="U1387" s="496"/>
      <c r="V1387" s="496"/>
      <c r="W1387" s="496"/>
    </row>
    <row r="1388" spans="1:23" ht="36" x14ac:dyDescent="0.2">
      <c r="A1388" s="510">
        <f t="shared" si="91"/>
        <v>1385</v>
      </c>
      <c r="B1388" s="428">
        <v>44629</v>
      </c>
      <c r="C1388" s="424">
        <v>44621</v>
      </c>
      <c r="D1388" s="415" t="s">
        <v>271</v>
      </c>
      <c r="E1388" s="415" t="s">
        <v>71</v>
      </c>
      <c r="F1388" s="425">
        <v>11</v>
      </c>
      <c r="G1388" s="427" t="s">
        <v>2151</v>
      </c>
      <c r="H1388" s="415" t="s">
        <v>793</v>
      </c>
      <c r="I1388" s="398" t="s">
        <v>881</v>
      </c>
      <c r="J1388" s="418" t="s">
        <v>882</v>
      </c>
      <c r="K1388" s="418" t="s">
        <v>883</v>
      </c>
      <c r="L1388" s="399" t="s">
        <v>798</v>
      </c>
      <c r="M1388" s="544" t="s">
        <v>310</v>
      </c>
      <c r="N1388" s="414">
        <v>44629</v>
      </c>
      <c r="O1388" s="414" t="s">
        <v>400</v>
      </c>
      <c r="P1388" s="222">
        <f t="shared" si="92"/>
        <v>3</v>
      </c>
      <c r="Q1388" s="222">
        <f t="shared" si="93"/>
        <v>3</v>
      </c>
      <c r="R1388" s="532" t="str">
        <f t="shared" si="94"/>
        <v>Gastos_Gerais</v>
      </c>
      <c r="S1388" s="467" t="s">
        <v>310</v>
      </c>
      <c r="T1388" s="467" t="s">
        <v>310</v>
      </c>
      <c r="U1388" s="496"/>
      <c r="V1388" s="496"/>
      <c r="W1388" s="496"/>
    </row>
    <row r="1389" spans="1:23" ht="36" x14ac:dyDescent="0.2">
      <c r="A1389" s="510">
        <f t="shared" si="91"/>
        <v>1386</v>
      </c>
      <c r="B1389" s="428">
        <v>44629</v>
      </c>
      <c r="C1389" s="424">
        <v>44621</v>
      </c>
      <c r="D1389" s="415" t="s">
        <v>271</v>
      </c>
      <c r="E1389" s="415" t="s">
        <v>71</v>
      </c>
      <c r="F1389" s="425">
        <v>11</v>
      </c>
      <c r="G1389" s="427" t="s">
        <v>2152</v>
      </c>
      <c r="H1389" s="415" t="s">
        <v>793</v>
      </c>
      <c r="I1389" s="398" t="s">
        <v>881</v>
      </c>
      <c r="J1389" s="418" t="s">
        <v>882</v>
      </c>
      <c r="K1389" s="418" t="s">
        <v>883</v>
      </c>
      <c r="L1389" s="399" t="s">
        <v>798</v>
      </c>
      <c r="M1389" s="544" t="s">
        <v>310</v>
      </c>
      <c r="N1389" s="414">
        <v>44629</v>
      </c>
      <c r="O1389" s="414" t="s">
        <v>400</v>
      </c>
      <c r="P1389" s="222">
        <f t="shared" si="92"/>
        <v>3</v>
      </c>
      <c r="Q1389" s="222">
        <f t="shared" si="93"/>
        <v>3</v>
      </c>
      <c r="R1389" s="532" t="str">
        <f t="shared" si="94"/>
        <v>Gastos_Gerais</v>
      </c>
      <c r="S1389" s="467" t="s">
        <v>310</v>
      </c>
      <c r="T1389" s="467" t="s">
        <v>310</v>
      </c>
      <c r="U1389" s="496"/>
      <c r="V1389" s="496"/>
      <c r="W1389" s="496"/>
    </row>
    <row r="1390" spans="1:23" ht="36" x14ac:dyDescent="0.2">
      <c r="A1390" s="510">
        <f t="shared" si="91"/>
        <v>1387</v>
      </c>
      <c r="B1390" s="428">
        <v>44629</v>
      </c>
      <c r="C1390" s="424">
        <v>44621</v>
      </c>
      <c r="D1390" s="415" t="s">
        <v>271</v>
      </c>
      <c r="E1390" s="415" t="s">
        <v>71</v>
      </c>
      <c r="F1390" s="425">
        <v>11</v>
      </c>
      <c r="G1390" s="427" t="s">
        <v>2153</v>
      </c>
      <c r="H1390" s="415" t="s">
        <v>755</v>
      </c>
      <c r="I1390" s="398" t="s">
        <v>881</v>
      </c>
      <c r="J1390" s="418" t="s">
        <v>882</v>
      </c>
      <c r="K1390" s="418" t="s">
        <v>883</v>
      </c>
      <c r="L1390" s="399" t="s">
        <v>798</v>
      </c>
      <c r="M1390" s="544" t="s">
        <v>310</v>
      </c>
      <c r="N1390" s="414">
        <v>44629</v>
      </c>
      <c r="O1390" s="414" t="s">
        <v>400</v>
      </c>
      <c r="P1390" s="222">
        <f t="shared" si="92"/>
        <v>3</v>
      </c>
      <c r="Q1390" s="222">
        <f t="shared" si="93"/>
        <v>3</v>
      </c>
      <c r="R1390" s="532" t="str">
        <f t="shared" si="94"/>
        <v>Gastos_Gerais</v>
      </c>
      <c r="S1390" s="467" t="s">
        <v>310</v>
      </c>
      <c r="T1390" s="467" t="s">
        <v>310</v>
      </c>
      <c r="U1390" s="496"/>
      <c r="V1390" s="496"/>
      <c r="W1390" s="496"/>
    </row>
    <row r="1391" spans="1:23" ht="36" x14ac:dyDescent="0.2">
      <c r="A1391" s="510">
        <f t="shared" si="91"/>
        <v>1388</v>
      </c>
      <c r="B1391" s="428">
        <v>44629</v>
      </c>
      <c r="C1391" s="424">
        <v>44621</v>
      </c>
      <c r="D1391" s="415" t="s">
        <v>271</v>
      </c>
      <c r="E1391" s="415" t="s">
        <v>71</v>
      </c>
      <c r="F1391" s="425">
        <v>11</v>
      </c>
      <c r="G1391" s="427" t="s">
        <v>2154</v>
      </c>
      <c r="H1391" s="415" t="s">
        <v>755</v>
      </c>
      <c r="I1391" s="398" t="s">
        <v>881</v>
      </c>
      <c r="J1391" s="418" t="s">
        <v>882</v>
      </c>
      <c r="K1391" s="418" t="s">
        <v>883</v>
      </c>
      <c r="L1391" s="399" t="s">
        <v>798</v>
      </c>
      <c r="M1391" s="544" t="s">
        <v>310</v>
      </c>
      <c r="N1391" s="414">
        <v>44629</v>
      </c>
      <c r="O1391" s="414" t="s">
        <v>400</v>
      </c>
      <c r="P1391" s="222">
        <f t="shared" si="92"/>
        <v>3</v>
      </c>
      <c r="Q1391" s="222">
        <f t="shared" si="93"/>
        <v>3</v>
      </c>
      <c r="R1391" s="532" t="str">
        <f t="shared" si="94"/>
        <v>Gastos_Gerais</v>
      </c>
      <c r="S1391" s="467" t="s">
        <v>310</v>
      </c>
      <c r="T1391" s="467" t="s">
        <v>310</v>
      </c>
      <c r="U1391" s="496"/>
      <c r="V1391" s="496"/>
      <c r="W1391" s="496"/>
    </row>
    <row r="1392" spans="1:23" ht="36" x14ac:dyDescent="0.2">
      <c r="A1392" s="510">
        <f t="shared" si="91"/>
        <v>1389</v>
      </c>
      <c r="B1392" s="428">
        <v>44629</v>
      </c>
      <c r="C1392" s="424">
        <v>44621</v>
      </c>
      <c r="D1392" s="415" t="s">
        <v>271</v>
      </c>
      <c r="E1392" s="415" t="s">
        <v>71</v>
      </c>
      <c r="F1392" s="425">
        <v>11</v>
      </c>
      <c r="G1392" s="427" t="s">
        <v>2155</v>
      </c>
      <c r="H1392" s="415" t="s">
        <v>790</v>
      </c>
      <c r="I1392" s="398" t="s">
        <v>881</v>
      </c>
      <c r="J1392" s="418" t="s">
        <v>882</v>
      </c>
      <c r="K1392" s="418" t="s">
        <v>883</v>
      </c>
      <c r="L1392" s="399" t="s">
        <v>798</v>
      </c>
      <c r="M1392" s="544" t="s">
        <v>310</v>
      </c>
      <c r="N1392" s="414">
        <v>44629</v>
      </c>
      <c r="O1392" s="414" t="s">
        <v>400</v>
      </c>
      <c r="P1392" s="222">
        <f t="shared" si="92"/>
        <v>3</v>
      </c>
      <c r="Q1392" s="222">
        <f t="shared" si="93"/>
        <v>3</v>
      </c>
      <c r="R1392" s="532" t="str">
        <f t="shared" si="94"/>
        <v>Gastos_Gerais</v>
      </c>
      <c r="S1392" s="467" t="s">
        <v>310</v>
      </c>
      <c r="T1392" s="467" t="s">
        <v>310</v>
      </c>
      <c r="U1392" s="496"/>
      <c r="V1392" s="496"/>
      <c r="W1392" s="496"/>
    </row>
    <row r="1393" spans="1:23" ht="36" x14ac:dyDescent="0.2">
      <c r="A1393" s="510">
        <f t="shared" si="91"/>
        <v>1390</v>
      </c>
      <c r="B1393" s="428">
        <v>44629</v>
      </c>
      <c r="C1393" s="424">
        <v>44621</v>
      </c>
      <c r="D1393" s="415" t="s">
        <v>271</v>
      </c>
      <c r="E1393" s="415" t="s">
        <v>71</v>
      </c>
      <c r="F1393" s="425">
        <v>11</v>
      </c>
      <c r="G1393" s="427" t="s">
        <v>2156</v>
      </c>
      <c r="H1393" s="415" t="s">
        <v>790</v>
      </c>
      <c r="I1393" s="398" t="s">
        <v>881</v>
      </c>
      <c r="J1393" s="418" t="s">
        <v>882</v>
      </c>
      <c r="K1393" s="418" t="s">
        <v>883</v>
      </c>
      <c r="L1393" s="399" t="s">
        <v>798</v>
      </c>
      <c r="M1393" s="557" t="s">
        <v>310</v>
      </c>
      <c r="N1393" s="414">
        <v>44629</v>
      </c>
      <c r="O1393" s="414" t="s">
        <v>400</v>
      </c>
      <c r="P1393" s="222">
        <f t="shared" si="92"/>
        <v>3</v>
      </c>
      <c r="Q1393" s="222">
        <f t="shared" si="93"/>
        <v>3</v>
      </c>
      <c r="R1393" s="532" t="str">
        <f t="shared" si="94"/>
        <v>Gastos_Gerais</v>
      </c>
      <c r="S1393" s="467" t="s">
        <v>310</v>
      </c>
      <c r="T1393" s="467" t="s">
        <v>310</v>
      </c>
      <c r="U1393" s="496"/>
      <c r="V1393" s="496"/>
      <c r="W1393" s="496"/>
    </row>
    <row r="1394" spans="1:23" ht="36" x14ac:dyDescent="0.2">
      <c r="A1394" s="510">
        <f t="shared" si="91"/>
        <v>1391</v>
      </c>
      <c r="B1394" s="428">
        <v>44629</v>
      </c>
      <c r="C1394" s="424">
        <v>44621</v>
      </c>
      <c r="D1394" s="415" t="s">
        <v>271</v>
      </c>
      <c r="E1394" s="415" t="s">
        <v>71</v>
      </c>
      <c r="F1394" s="425">
        <v>11</v>
      </c>
      <c r="G1394" s="427" t="s">
        <v>2157</v>
      </c>
      <c r="H1394" s="415" t="s">
        <v>752</v>
      </c>
      <c r="I1394" s="398" t="s">
        <v>881</v>
      </c>
      <c r="J1394" s="418" t="s">
        <v>882</v>
      </c>
      <c r="K1394" s="418" t="s">
        <v>883</v>
      </c>
      <c r="L1394" s="399" t="s">
        <v>798</v>
      </c>
      <c r="M1394" s="544" t="s">
        <v>310</v>
      </c>
      <c r="N1394" s="414">
        <v>44629</v>
      </c>
      <c r="O1394" s="414" t="s">
        <v>400</v>
      </c>
      <c r="P1394" s="222">
        <f t="shared" si="92"/>
        <v>3</v>
      </c>
      <c r="Q1394" s="222">
        <f t="shared" si="93"/>
        <v>3</v>
      </c>
      <c r="R1394" s="532" t="str">
        <f t="shared" si="94"/>
        <v>Gastos_Gerais</v>
      </c>
      <c r="S1394" s="467" t="s">
        <v>310</v>
      </c>
      <c r="T1394" s="467" t="s">
        <v>310</v>
      </c>
      <c r="U1394" s="496"/>
      <c r="V1394" s="496"/>
      <c r="W1394" s="496"/>
    </row>
    <row r="1395" spans="1:23" ht="72" x14ac:dyDescent="0.2">
      <c r="A1395" s="510">
        <f t="shared" si="91"/>
        <v>1392</v>
      </c>
      <c r="B1395" s="428">
        <v>44629</v>
      </c>
      <c r="C1395" s="424">
        <v>44593</v>
      </c>
      <c r="D1395" s="415" t="s">
        <v>271</v>
      </c>
      <c r="E1395" s="415" t="s">
        <v>442</v>
      </c>
      <c r="F1395" s="425">
        <v>2231</v>
      </c>
      <c r="G1395" s="427" t="s">
        <v>2136</v>
      </c>
      <c r="H1395" s="415" t="s">
        <v>755</v>
      </c>
      <c r="I1395" s="473" t="s">
        <v>1278</v>
      </c>
      <c r="J1395" s="415" t="s">
        <v>1075</v>
      </c>
      <c r="K1395" s="415" t="s">
        <v>830</v>
      </c>
      <c r="L1395" s="415" t="s">
        <v>807</v>
      </c>
      <c r="M1395" s="415" t="s">
        <v>1786</v>
      </c>
      <c r="N1395" s="414">
        <v>44628</v>
      </c>
      <c r="O1395" s="414" t="s">
        <v>400</v>
      </c>
      <c r="P1395" s="222">
        <f t="shared" si="92"/>
        <v>3</v>
      </c>
      <c r="Q1395" s="222">
        <f t="shared" si="93"/>
        <v>2</v>
      </c>
      <c r="R1395" s="532" t="str">
        <f t="shared" si="94"/>
        <v>Gastos_Gerais</v>
      </c>
      <c r="S1395" s="467" t="s">
        <v>998</v>
      </c>
      <c r="T1395" s="467">
        <v>2678</v>
      </c>
      <c r="U1395" s="496"/>
      <c r="V1395" s="496"/>
      <c r="W1395" s="496"/>
    </row>
    <row r="1396" spans="1:23" ht="156" x14ac:dyDescent="0.2">
      <c r="A1396" s="510">
        <f t="shared" si="91"/>
        <v>1393</v>
      </c>
      <c r="B1396" s="428">
        <v>44629</v>
      </c>
      <c r="C1396" s="416">
        <v>44409</v>
      </c>
      <c r="D1396" s="357" t="s">
        <v>271</v>
      </c>
      <c r="E1396" s="357" t="s">
        <v>297</v>
      </c>
      <c r="F1396" s="481">
        <v>1000</v>
      </c>
      <c r="G1396" s="427" t="s">
        <v>544</v>
      </c>
      <c r="H1396" s="415" t="s">
        <v>751</v>
      </c>
      <c r="I1396" s="473" t="s">
        <v>1230</v>
      </c>
      <c r="J1396" s="415" t="s">
        <v>1039</v>
      </c>
      <c r="K1396" s="415" t="s">
        <v>830</v>
      </c>
      <c r="L1396" s="415" t="s">
        <v>807</v>
      </c>
      <c r="M1396" s="415" t="s">
        <v>1786</v>
      </c>
      <c r="N1396" s="414">
        <v>44628</v>
      </c>
      <c r="O1396" s="414" t="s">
        <v>400</v>
      </c>
      <c r="P1396" s="222">
        <f t="shared" si="92"/>
        <v>3</v>
      </c>
      <c r="Q1396" s="222">
        <f t="shared" si="93"/>
        <v>-4</v>
      </c>
      <c r="R1396" s="532" t="str">
        <f t="shared" si="94"/>
        <v>Gastos_Gerais</v>
      </c>
      <c r="S1396" s="467" t="s">
        <v>998</v>
      </c>
      <c r="T1396" s="467">
        <v>1876</v>
      </c>
      <c r="U1396" s="496"/>
      <c r="V1396" s="496"/>
      <c r="W1396" s="496"/>
    </row>
    <row r="1397" spans="1:23" ht="60" x14ac:dyDescent="0.2">
      <c r="A1397" s="510">
        <f t="shared" si="91"/>
        <v>1394</v>
      </c>
      <c r="B1397" s="428">
        <v>44629</v>
      </c>
      <c r="C1397" s="559">
        <v>44593</v>
      </c>
      <c r="D1397" s="357" t="s">
        <v>271</v>
      </c>
      <c r="E1397" s="357" t="s">
        <v>91</v>
      </c>
      <c r="F1397" s="481">
        <v>1650</v>
      </c>
      <c r="G1397" s="427" t="s">
        <v>1808</v>
      </c>
      <c r="H1397" s="415" t="s">
        <v>793</v>
      </c>
      <c r="I1397" s="473" t="s">
        <v>2139</v>
      </c>
      <c r="J1397" s="415" t="s">
        <v>1094</v>
      </c>
      <c r="K1397" s="415" t="s">
        <v>830</v>
      </c>
      <c r="L1397" s="415" t="s">
        <v>2140</v>
      </c>
      <c r="M1397" s="546">
        <v>316</v>
      </c>
      <c r="N1397" s="414">
        <v>44628</v>
      </c>
      <c r="O1397" s="414" t="s">
        <v>400</v>
      </c>
      <c r="P1397" s="222">
        <f t="shared" si="92"/>
        <v>3</v>
      </c>
      <c r="Q1397" s="222">
        <f t="shared" si="93"/>
        <v>2</v>
      </c>
      <c r="R1397" s="532" t="str">
        <f t="shared" si="94"/>
        <v>Gastos_Gerais</v>
      </c>
      <c r="S1397" s="467" t="s">
        <v>998</v>
      </c>
      <c r="T1397" s="467">
        <v>2907</v>
      </c>
      <c r="U1397" s="496"/>
      <c r="V1397" s="496"/>
      <c r="W1397" s="496"/>
    </row>
    <row r="1398" spans="1:23" ht="36" x14ac:dyDescent="0.2">
      <c r="A1398" s="510">
        <f t="shared" si="91"/>
        <v>1395</v>
      </c>
      <c r="B1398" s="428">
        <v>44629</v>
      </c>
      <c r="C1398" s="559">
        <v>44562</v>
      </c>
      <c r="D1398" s="357" t="s">
        <v>271</v>
      </c>
      <c r="E1398" s="357" t="s">
        <v>456</v>
      </c>
      <c r="F1398" s="425">
        <v>3300</v>
      </c>
      <c r="G1398" s="427" t="s">
        <v>679</v>
      </c>
      <c r="H1398" s="415" t="s">
        <v>755</v>
      </c>
      <c r="I1398" s="473" t="s">
        <v>895</v>
      </c>
      <c r="J1398" s="415" t="s">
        <v>896</v>
      </c>
      <c r="K1398" s="415" t="s">
        <v>830</v>
      </c>
      <c r="L1398" s="415" t="s">
        <v>32</v>
      </c>
      <c r="M1398" s="546">
        <v>252.75</v>
      </c>
      <c r="N1398" s="414">
        <v>44628</v>
      </c>
      <c r="O1398" s="414" t="s">
        <v>400</v>
      </c>
      <c r="P1398" s="222">
        <f t="shared" si="92"/>
        <v>3</v>
      </c>
      <c r="Q1398" s="222">
        <f t="shared" si="93"/>
        <v>1</v>
      </c>
      <c r="R1398" s="532" t="str">
        <f t="shared" si="94"/>
        <v>Gastos_Gerais</v>
      </c>
      <c r="S1398" s="467" t="s">
        <v>998</v>
      </c>
      <c r="T1398" s="467">
        <v>2695</v>
      </c>
      <c r="U1398" s="496"/>
      <c r="V1398" s="496"/>
      <c r="W1398" s="496"/>
    </row>
    <row r="1399" spans="1:23" ht="72" x14ac:dyDescent="0.2">
      <c r="A1399" s="510">
        <f t="shared" si="91"/>
        <v>1396</v>
      </c>
      <c r="B1399" s="428">
        <v>44629</v>
      </c>
      <c r="C1399" s="424">
        <v>44531</v>
      </c>
      <c r="D1399" s="415" t="s">
        <v>271</v>
      </c>
      <c r="E1399" s="415" t="s">
        <v>459</v>
      </c>
      <c r="F1399" s="425">
        <v>2425.5</v>
      </c>
      <c r="G1399" s="427" t="s">
        <v>645</v>
      </c>
      <c r="H1399" s="415" t="s">
        <v>755</v>
      </c>
      <c r="I1399" s="473" t="s">
        <v>2141</v>
      </c>
      <c r="J1399" s="415" t="s">
        <v>1072</v>
      </c>
      <c r="K1399" s="415" t="s">
        <v>830</v>
      </c>
      <c r="L1399" s="415" t="s">
        <v>32</v>
      </c>
      <c r="M1399" s="546">
        <v>203</v>
      </c>
      <c r="N1399" s="414">
        <v>44628</v>
      </c>
      <c r="O1399" s="414" t="s">
        <v>400</v>
      </c>
      <c r="P1399" s="222">
        <f t="shared" si="92"/>
        <v>3</v>
      </c>
      <c r="Q1399" s="222">
        <f t="shared" si="93"/>
        <v>0</v>
      </c>
      <c r="R1399" s="532" t="str">
        <f t="shared" si="94"/>
        <v>Gastos_Gerais</v>
      </c>
      <c r="S1399" s="467" t="s">
        <v>998</v>
      </c>
      <c r="T1399" s="467">
        <v>2696</v>
      </c>
      <c r="U1399" s="496"/>
      <c r="V1399" s="496"/>
      <c r="W1399" s="496"/>
    </row>
    <row r="1400" spans="1:23" ht="60" x14ac:dyDescent="0.2">
      <c r="A1400" s="510">
        <f t="shared" si="91"/>
        <v>1397</v>
      </c>
      <c r="B1400" s="428">
        <v>44629</v>
      </c>
      <c r="C1400" s="431">
        <v>44593</v>
      </c>
      <c r="D1400" s="415" t="s">
        <v>468</v>
      </c>
      <c r="E1400" s="415" t="s">
        <v>468</v>
      </c>
      <c r="F1400" s="425">
        <v>4000</v>
      </c>
      <c r="G1400" s="427" t="s">
        <v>1826</v>
      </c>
      <c r="H1400" s="415" t="s">
        <v>468</v>
      </c>
      <c r="I1400" s="415" t="s">
        <v>2967</v>
      </c>
      <c r="J1400" s="415" t="s">
        <v>1827</v>
      </c>
      <c r="K1400" s="418" t="s">
        <v>806</v>
      </c>
      <c r="L1400" s="399" t="s">
        <v>1305</v>
      </c>
      <c r="M1400" s="544" t="s">
        <v>310</v>
      </c>
      <c r="N1400" s="414">
        <v>44628</v>
      </c>
      <c r="O1400" s="414" t="s">
        <v>405</v>
      </c>
      <c r="P1400" s="222">
        <f t="shared" si="92"/>
        <v>3</v>
      </c>
      <c r="Q1400" s="222">
        <f t="shared" si="93"/>
        <v>2</v>
      </c>
      <c r="R1400" s="532" t="str">
        <f t="shared" si="94"/>
        <v>Gastos_custeados_por_captação</v>
      </c>
      <c r="S1400" s="467" t="s">
        <v>998</v>
      </c>
      <c r="T1400" s="467">
        <v>2910</v>
      </c>
      <c r="U1400" s="496"/>
      <c r="V1400" s="496"/>
      <c r="W1400" s="496"/>
    </row>
    <row r="1401" spans="1:23" ht="48" x14ac:dyDescent="0.2">
      <c r="A1401" s="510">
        <f t="shared" si="91"/>
        <v>1398</v>
      </c>
      <c r="B1401" s="428">
        <v>44629</v>
      </c>
      <c r="C1401" s="424">
        <v>44593</v>
      </c>
      <c r="D1401" s="415" t="s">
        <v>271</v>
      </c>
      <c r="E1401" s="415" t="s">
        <v>456</v>
      </c>
      <c r="F1401" s="425">
        <v>929.04</v>
      </c>
      <c r="G1401" s="427" t="s">
        <v>1886</v>
      </c>
      <c r="H1401" s="415" t="s">
        <v>790</v>
      </c>
      <c r="I1401" s="473" t="s">
        <v>2144</v>
      </c>
      <c r="J1401" s="415" t="s">
        <v>1093</v>
      </c>
      <c r="K1401" s="415" t="s">
        <v>830</v>
      </c>
      <c r="L1401" s="415" t="s">
        <v>807</v>
      </c>
      <c r="M1401" s="415" t="s">
        <v>1890</v>
      </c>
      <c r="N1401" s="414">
        <v>44627</v>
      </c>
      <c r="O1401" s="414" t="s">
        <v>400</v>
      </c>
      <c r="P1401" s="222">
        <f t="shared" si="92"/>
        <v>3</v>
      </c>
      <c r="Q1401" s="222">
        <f t="shared" si="93"/>
        <v>2</v>
      </c>
      <c r="R1401" s="532" t="str">
        <f t="shared" si="94"/>
        <v>Gastos_Gerais</v>
      </c>
      <c r="S1401" s="467" t="s">
        <v>998</v>
      </c>
      <c r="T1401" s="467">
        <v>2951</v>
      </c>
      <c r="U1401" s="496"/>
      <c r="V1401" s="496"/>
      <c r="W1401" s="496"/>
    </row>
    <row r="1402" spans="1:23" ht="48" x14ac:dyDescent="0.2">
      <c r="A1402" s="510">
        <f t="shared" si="91"/>
        <v>1399</v>
      </c>
      <c r="B1402" s="428">
        <v>44629</v>
      </c>
      <c r="C1402" s="424">
        <v>44593</v>
      </c>
      <c r="D1402" s="415" t="s">
        <v>271</v>
      </c>
      <c r="E1402" s="415" t="s">
        <v>456</v>
      </c>
      <c r="F1402" s="425">
        <v>6751.5</v>
      </c>
      <c r="G1402" s="427" t="s">
        <v>1899</v>
      </c>
      <c r="H1402" s="415" t="s">
        <v>790</v>
      </c>
      <c r="I1402" s="473" t="s">
        <v>2146</v>
      </c>
      <c r="J1402" s="415" t="s">
        <v>1102</v>
      </c>
      <c r="K1402" s="415" t="s">
        <v>830</v>
      </c>
      <c r="L1402" s="415" t="s">
        <v>807</v>
      </c>
      <c r="M1402" s="415" t="s">
        <v>1428</v>
      </c>
      <c r="N1402" s="414">
        <v>44627</v>
      </c>
      <c r="O1402" s="414" t="s">
        <v>400</v>
      </c>
      <c r="P1402" s="222">
        <f t="shared" si="92"/>
        <v>3</v>
      </c>
      <c r="Q1402" s="222">
        <f t="shared" si="93"/>
        <v>2</v>
      </c>
      <c r="R1402" s="532" t="str">
        <f t="shared" si="94"/>
        <v>Gastos_Gerais</v>
      </c>
      <c r="S1402" s="467" t="s">
        <v>998</v>
      </c>
      <c r="T1402" s="467">
        <v>2953</v>
      </c>
      <c r="U1402" s="496"/>
      <c r="V1402" s="496"/>
      <c r="W1402" s="496"/>
    </row>
    <row r="1403" spans="1:23" ht="96" x14ac:dyDescent="0.2">
      <c r="A1403" s="510">
        <f t="shared" si="91"/>
        <v>1400</v>
      </c>
      <c r="B1403" s="428">
        <v>44629</v>
      </c>
      <c r="C1403" s="424">
        <v>44593</v>
      </c>
      <c r="D1403" s="415" t="s">
        <v>271</v>
      </c>
      <c r="E1403" s="415" t="s">
        <v>444</v>
      </c>
      <c r="F1403" s="425">
        <v>2000</v>
      </c>
      <c r="G1403" s="427" t="s">
        <v>1690</v>
      </c>
      <c r="H1403" s="415" t="s">
        <v>793</v>
      </c>
      <c r="I1403" s="473" t="s">
        <v>2138</v>
      </c>
      <c r="J1403" s="415" t="s">
        <v>1689</v>
      </c>
      <c r="K1403" s="415" t="s">
        <v>830</v>
      </c>
      <c r="L1403" s="415" t="s">
        <v>807</v>
      </c>
      <c r="M1403" s="546">
        <v>103</v>
      </c>
      <c r="N1403" s="414">
        <v>44624</v>
      </c>
      <c r="O1403" s="414" t="s">
        <v>400</v>
      </c>
      <c r="P1403" s="222">
        <f t="shared" si="92"/>
        <v>3</v>
      </c>
      <c r="Q1403" s="222">
        <f t="shared" si="93"/>
        <v>2</v>
      </c>
      <c r="R1403" s="532" t="str">
        <f t="shared" si="94"/>
        <v>Gastos_Gerais</v>
      </c>
      <c r="S1403" s="467" t="s">
        <v>998</v>
      </c>
      <c r="T1403" s="467">
        <v>2846</v>
      </c>
      <c r="U1403" s="496"/>
      <c r="V1403" s="496"/>
      <c r="W1403" s="496"/>
    </row>
    <row r="1404" spans="1:23" ht="72" x14ac:dyDescent="0.2">
      <c r="A1404" s="510">
        <f t="shared" si="91"/>
        <v>1401</v>
      </c>
      <c r="B1404" s="428">
        <v>44629</v>
      </c>
      <c r="C1404" s="424">
        <v>44621</v>
      </c>
      <c r="D1404" s="415" t="s">
        <v>271</v>
      </c>
      <c r="E1404" s="415" t="s">
        <v>444</v>
      </c>
      <c r="F1404" s="425">
        <v>9643.2000000000007</v>
      </c>
      <c r="G1404" s="427" t="s">
        <v>1905</v>
      </c>
      <c r="H1404" s="415" t="s">
        <v>752</v>
      </c>
      <c r="I1404" s="473" t="s">
        <v>2148</v>
      </c>
      <c r="J1404" s="415" t="s">
        <v>1904</v>
      </c>
      <c r="K1404" s="415" t="s">
        <v>830</v>
      </c>
      <c r="L1404" s="415" t="s">
        <v>807</v>
      </c>
      <c r="M1404" s="415" t="s">
        <v>848</v>
      </c>
      <c r="N1404" s="414">
        <v>44624</v>
      </c>
      <c r="O1404" s="414" t="s">
        <v>400</v>
      </c>
      <c r="P1404" s="222">
        <f t="shared" si="92"/>
        <v>3</v>
      </c>
      <c r="Q1404" s="222">
        <f t="shared" si="93"/>
        <v>3</v>
      </c>
      <c r="R1404" s="532" t="str">
        <f t="shared" si="94"/>
        <v>Gastos_Gerais</v>
      </c>
      <c r="S1404" s="467" t="s">
        <v>1000</v>
      </c>
      <c r="T1404" s="467">
        <v>2901</v>
      </c>
      <c r="U1404" s="496"/>
      <c r="V1404" s="496"/>
      <c r="W1404" s="496"/>
    </row>
    <row r="1405" spans="1:23" ht="24" x14ac:dyDescent="0.2">
      <c r="A1405" s="510">
        <f t="shared" si="91"/>
        <v>1402</v>
      </c>
      <c r="B1405" s="428">
        <v>44629</v>
      </c>
      <c r="C1405" s="433">
        <v>44593</v>
      </c>
      <c r="D1405" s="415" t="s">
        <v>271</v>
      </c>
      <c r="E1405" s="415" t="s">
        <v>2</v>
      </c>
      <c r="F1405" s="425">
        <v>8128.76</v>
      </c>
      <c r="G1405" s="437" t="s">
        <v>497</v>
      </c>
      <c r="H1405" s="415" t="s">
        <v>309</v>
      </c>
      <c r="I1405" s="474" t="s">
        <v>767</v>
      </c>
      <c r="J1405" s="434" t="s">
        <v>1020</v>
      </c>
      <c r="K1405" s="415" t="s">
        <v>812</v>
      </c>
      <c r="L1405" s="415" t="s">
        <v>1305</v>
      </c>
      <c r="M1405" s="415">
        <v>3</v>
      </c>
      <c r="N1405" s="414">
        <v>44615</v>
      </c>
      <c r="O1405" s="414" t="s">
        <v>400</v>
      </c>
      <c r="P1405" s="222">
        <f t="shared" si="92"/>
        <v>3</v>
      </c>
      <c r="Q1405" s="222">
        <f t="shared" si="93"/>
        <v>2</v>
      </c>
      <c r="R1405" s="532" t="str">
        <f t="shared" si="94"/>
        <v>Gastos_Gerais</v>
      </c>
      <c r="S1405" s="467" t="s">
        <v>310</v>
      </c>
      <c r="T1405" s="467" t="s">
        <v>310</v>
      </c>
      <c r="U1405" s="496"/>
      <c r="V1405" s="496"/>
      <c r="W1405" s="496"/>
    </row>
    <row r="1406" spans="1:23" ht="24" x14ac:dyDescent="0.2">
      <c r="A1406" s="510">
        <f t="shared" ref="A1406:A1469" si="95">IF(B1406="","",ROW()-ROW($A$3))</f>
        <v>1403</v>
      </c>
      <c r="B1406" s="428">
        <v>44629</v>
      </c>
      <c r="C1406" s="433">
        <v>44593</v>
      </c>
      <c r="D1406" s="415" t="s">
        <v>271</v>
      </c>
      <c r="E1406" s="415" t="s">
        <v>3</v>
      </c>
      <c r="F1406" s="425">
        <v>1708.71</v>
      </c>
      <c r="G1406" s="437" t="s">
        <v>498</v>
      </c>
      <c r="H1406" s="415" t="s">
        <v>309</v>
      </c>
      <c r="I1406" s="474" t="s">
        <v>767</v>
      </c>
      <c r="J1406" s="434" t="s">
        <v>1020</v>
      </c>
      <c r="K1406" s="415" t="s">
        <v>812</v>
      </c>
      <c r="L1406" s="415" t="s">
        <v>1305</v>
      </c>
      <c r="M1406" s="415">
        <v>3</v>
      </c>
      <c r="N1406" s="414">
        <v>44615</v>
      </c>
      <c r="O1406" s="414" t="s">
        <v>400</v>
      </c>
      <c r="P1406" s="222">
        <f t="shared" si="92"/>
        <v>3</v>
      </c>
      <c r="Q1406" s="222">
        <f t="shared" si="93"/>
        <v>2</v>
      </c>
      <c r="R1406" s="532" t="str">
        <f t="shared" si="94"/>
        <v>Gastos_Gerais</v>
      </c>
      <c r="S1406" s="467" t="s">
        <v>310</v>
      </c>
      <c r="T1406" s="467" t="s">
        <v>310</v>
      </c>
      <c r="U1406" s="496"/>
      <c r="V1406" s="496"/>
      <c r="W1406" s="496"/>
    </row>
    <row r="1407" spans="1:23" ht="60" x14ac:dyDescent="0.2">
      <c r="A1407" s="510">
        <f t="shared" si="95"/>
        <v>1404</v>
      </c>
      <c r="B1407" s="428">
        <v>44629</v>
      </c>
      <c r="C1407" s="424">
        <v>44621</v>
      </c>
      <c r="D1407" s="415" t="s">
        <v>468</v>
      </c>
      <c r="E1407" s="415" t="s">
        <v>468</v>
      </c>
      <c r="F1407" s="425">
        <v>17.149999999999999</v>
      </c>
      <c r="G1407" s="427" t="s">
        <v>2969</v>
      </c>
      <c r="H1407" s="415" t="s">
        <v>468</v>
      </c>
      <c r="I1407" s="398" t="s">
        <v>881</v>
      </c>
      <c r="J1407" s="418" t="s">
        <v>882</v>
      </c>
      <c r="K1407" s="418" t="s">
        <v>883</v>
      </c>
      <c r="L1407" s="399" t="s">
        <v>798</v>
      </c>
      <c r="M1407" s="544" t="s">
        <v>310</v>
      </c>
      <c r="N1407" s="414">
        <v>44614</v>
      </c>
      <c r="O1407" s="414" t="s">
        <v>405</v>
      </c>
      <c r="P1407" s="222">
        <f t="shared" si="92"/>
        <v>3</v>
      </c>
      <c r="Q1407" s="222">
        <f t="shared" si="93"/>
        <v>3</v>
      </c>
      <c r="R1407" s="532" t="str">
        <f t="shared" si="94"/>
        <v>Gastos_custeados_por_captação</v>
      </c>
      <c r="S1407" s="467" t="s">
        <v>310</v>
      </c>
      <c r="T1407" s="467" t="s">
        <v>310</v>
      </c>
      <c r="U1407" s="496"/>
      <c r="V1407" s="496"/>
      <c r="W1407" s="496"/>
    </row>
    <row r="1408" spans="1:23" ht="60" x14ac:dyDescent="0.2">
      <c r="A1408" s="510">
        <f t="shared" si="95"/>
        <v>1405</v>
      </c>
      <c r="B1408" s="428">
        <v>44629</v>
      </c>
      <c r="C1408" s="424">
        <v>44621</v>
      </c>
      <c r="D1408" s="415" t="s">
        <v>468</v>
      </c>
      <c r="E1408" s="415" t="s">
        <v>468</v>
      </c>
      <c r="F1408" s="425">
        <v>4513.3500000000004</v>
      </c>
      <c r="G1408" s="427" t="s">
        <v>1932</v>
      </c>
      <c r="H1408" s="415" t="s">
        <v>468</v>
      </c>
      <c r="I1408" s="415" t="s">
        <v>2966</v>
      </c>
      <c r="J1408" s="418" t="s">
        <v>310</v>
      </c>
      <c r="K1408" s="418" t="s">
        <v>2968</v>
      </c>
      <c r="L1408" s="399" t="s">
        <v>2390</v>
      </c>
      <c r="M1408" s="544" t="s">
        <v>310</v>
      </c>
      <c r="N1408" s="414">
        <v>44614</v>
      </c>
      <c r="O1408" s="414" t="s">
        <v>405</v>
      </c>
      <c r="P1408" s="222">
        <f t="shared" si="92"/>
        <v>3</v>
      </c>
      <c r="Q1408" s="222">
        <f t="shared" si="93"/>
        <v>3</v>
      </c>
      <c r="R1408" s="532" t="str">
        <f t="shared" si="94"/>
        <v>Gastos_custeados_por_captação</v>
      </c>
      <c r="S1408" s="467" t="s">
        <v>998</v>
      </c>
      <c r="T1408" s="467">
        <v>2973</v>
      </c>
      <c r="U1408" s="496"/>
      <c r="V1408" s="496"/>
      <c r="W1408" s="496"/>
    </row>
    <row r="1409" spans="1:23" ht="60" x14ac:dyDescent="0.2">
      <c r="A1409" s="510">
        <f t="shared" si="95"/>
        <v>1406</v>
      </c>
      <c r="B1409" s="428">
        <v>44629</v>
      </c>
      <c r="C1409" s="424">
        <v>44621</v>
      </c>
      <c r="D1409" s="415" t="s">
        <v>468</v>
      </c>
      <c r="E1409" s="415" t="s">
        <v>468</v>
      </c>
      <c r="F1409" s="425">
        <v>440</v>
      </c>
      <c r="G1409" s="427" t="s">
        <v>2970</v>
      </c>
      <c r="H1409" s="415" t="s">
        <v>468</v>
      </c>
      <c r="I1409" s="398" t="s">
        <v>881</v>
      </c>
      <c r="J1409" s="418" t="s">
        <v>882</v>
      </c>
      <c r="K1409" s="418" t="s">
        <v>883</v>
      </c>
      <c r="L1409" s="399" t="s">
        <v>798</v>
      </c>
      <c r="M1409" s="544" t="s">
        <v>310</v>
      </c>
      <c r="N1409" s="414">
        <v>44614</v>
      </c>
      <c r="O1409" s="414" t="s">
        <v>405</v>
      </c>
      <c r="P1409" s="222">
        <f t="shared" si="92"/>
        <v>3</v>
      </c>
      <c r="Q1409" s="222">
        <f t="shared" si="93"/>
        <v>3</v>
      </c>
      <c r="R1409" s="532" t="str">
        <f t="shared" si="94"/>
        <v>Gastos_custeados_por_captação</v>
      </c>
      <c r="S1409" s="467" t="s">
        <v>310</v>
      </c>
      <c r="T1409" s="467" t="s">
        <v>310</v>
      </c>
      <c r="U1409" s="496"/>
      <c r="V1409" s="496"/>
      <c r="W1409" s="496"/>
    </row>
    <row r="1410" spans="1:23" s="307" customFormat="1" ht="60" x14ac:dyDescent="0.2">
      <c r="A1410" s="510">
        <f t="shared" si="95"/>
        <v>1407</v>
      </c>
      <c r="B1410" s="428">
        <v>44629</v>
      </c>
      <c r="C1410" s="424">
        <v>44621</v>
      </c>
      <c r="D1410" s="415" t="s">
        <v>468</v>
      </c>
      <c r="E1410" s="415" t="s">
        <v>468</v>
      </c>
      <c r="F1410" s="425">
        <v>803.31</v>
      </c>
      <c r="G1410" s="427" t="s">
        <v>2971</v>
      </c>
      <c r="H1410" s="415" t="s">
        <v>468</v>
      </c>
      <c r="I1410" s="398" t="s">
        <v>881</v>
      </c>
      <c r="J1410" s="418" t="s">
        <v>882</v>
      </c>
      <c r="K1410" s="418" t="s">
        <v>883</v>
      </c>
      <c r="L1410" s="399" t="s">
        <v>798</v>
      </c>
      <c r="M1410" s="544" t="s">
        <v>310</v>
      </c>
      <c r="N1410" s="414">
        <v>44614</v>
      </c>
      <c r="O1410" s="414" t="s">
        <v>405</v>
      </c>
      <c r="P1410" s="222">
        <f t="shared" si="92"/>
        <v>3</v>
      </c>
      <c r="Q1410" s="222">
        <f t="shared" si="93"/>
        <v>3</v>
      </c>
      <c r="R1410" s="532" t="str">
        <f t="shared" si="94"/>
        <v>Gastos_custeados_por_captação</v>
      </c>
      <c r="S1410" s="467" t="s">
        <v>310</v>
      </c>
      <c r="T1410" s="467" t="s">
        <v>310</v>
      </c>
      <c r="U1410" s="496"/>
      <c r="V1410" s="496"/>
      <c r="W1410" s="496"/>
    </row>
    <row r="1411" spans="1:23" ht="36" x14ac:dyDescent="0.2">
      <c r="A1411" s="510">
        <f t="shared" si="95"/>
        <v>1408</v>
      </c>
      <c r="B1411" s="428">
        <v>44629</v>
      </c>
      <c r="C1411" s="424">
        <v>44593</v>
      </c>
      <c r="D1411" s="415" t="s">
        <v>271</v>
      </c>
      <c r="E1411" s="415" t="s">
        <v>456</v>
      </c>
      <c r="F1411" s="425">
        <v>260</v>
      </c>
      <c r="G1411" s="427" t="s">
        <v>1631</v>
      </c>
      <c r="H1411" s="415" t="s">
        <v>754</v>
      </c>
      <c r="I1411" s="473" t="s">
        <v>2143</v>
      </c>
      <c r="J1411" s="415" t="s">
        <v>1066</v>
      </c>
      <c r="K1411" s="415" t="s">
        <v>812</v>
      </c>
      <c r="L1411" s="415" t="s">
        <v>807</v>
      </c>
      <c r="M1411" s="546">
        <v>66249</v>
      </c>
      <c r="N1411" s="414">
        <v>44601</v>
      </c>
      <c r="O1411" s="414" t="s">
        <v>400</v>
      </c>
      <c r="P1411" s="222">
        <f t="shared" si="92"/>
        <v>3</v>
      </c>
      <c r="Q1411" s="222">
        <f t="shared" si="93"/>
        <v>2</v>
      </c>
      <c r="R1411" s="532" t="str">
        <f t="shared" si="94"/>
        <v>Gastos_Gerais</v>
      </c>
      <c r="S1411" s="467" t="s">
        <v>1303</v>
      </c>
      <c r="T1411" s="467">
        <v>2858</v>
      </c>
      <c r="U1411" s="496"/>
      <c r="V1411" s="496"/>
      <c r="W1411" s="496"/>
    </row>
    <row r="1412" spans="1:23" s="311" customFormat="1" ht="72" x14ac:dyDescent="0.2">
      <c r="A1412" s="510">
        <f t="shared" si="95"/>
        <v>1409</v>
      </c>
      <c r="B1412" s="428">
        <v>44629</v>
      </c>
      <c r="C1412" s="424">
        <v>44593</v>
      </c>
      <c r="D1412" s="415" t="s">
        <v>468</v>
      </c>
      <c r="E1412" s="415" t="s">
        <v>468</v>
      </c>
      <c r="F1412" s="459">
        <v>5389.45</v>
      </c>
      <c r="G1412" s="399" t="s">
        <v>2519</v>
      </c>
      <c r="H1412" s="415" t="s">
        <v>468</v>
      </c>
      <c r="I1412" s="398" t="s">
        <v>2628</v>
      </c>
      <c r="J1412" s="418" t="s">
        <v>2518</v>
      </c>
      <c r="K1412" s="418" t="s">
        <v>830</v>
      </c>
      <c r="L1412" s="399" t="s">
        <v>807</v>
      </c>
      <c r="M1412" s="415" t="s">
        <v>1503</v>
      </c>
      <c r="N1412" s="414">
        <v>44627</v>
      </c>
      <c r="O1412" s="414" t="s">
        <v>402</v>
      </c>
      <c r="P1412" s="222">
        <f t="shared" si="92"/>
        <v>3</v>
      </c>
      <c r="Q1412" s="222">
        <f t="shared" si="93"/>
        <v>2</v>
      </c>
      <c r="R1412" s="532" t="str">
        <f t="shared" si="94"/>
        <v>Gastos_custeados_por_captação</v>
      </c>
      <c r="S1412" s="467" t="s">
        <v>1000</v>
      </c>
      <c r="T1412" s="467">
        <v>1511</v>
      </c>
      <c r="U1412" s="496"/>
      <c r="V1412" s="496"/>
      <c r="W1412" s="496"/>
    </row>
    <row r="1413" spans="1:23" ht="72" x14ac:dyDescent="0.2">
      <c r="A1413" s="510">
        <f t="shared" si="95"/>
        <v>1410</v>
      </c>
      <c r="B1413" s="428">
        <v>44629</v>
      </c>
      <c r="C1413" s="431">
        <v>44593</v>
      </c>
      <c r="D1413" s="415" t="s">
        <v>468</v>
      </c>
      <c r="E1413" s="415" t="s">
        <v>468</v>
      </c>
      <c r="F1413" s="459">
        <v>2939.7</v>
      </c>
      <c r="G1413" s="427" t="s">
        <v>713</v>
      </c>
      <c r="H1413" s="415" t="s">
        <v>468</v>
      </c>
      <c r="I1413" s="473" t="s">
        <v>2627</v>
      </c>
      <c r="J1413" s="415" t="s">
        <v>1137</v>
      </c>
      <c r="K1413" s="418" t="s">
        <v>830</v>
      </c>
      <c r="L1413" s="399" t="s">
        <v>807</v>
      </c>
      <c r="M1413" s="415" t="s">
        <v>1308</v>
      </c>
      <c r="N1413" s="428">
        <v>44629</v>
      </c>
      <c r="O1413" s="414" t="s">
        <v>402</v>
      </c>
      <c r="P1413" s="222">
        <f t="shared" si="92"/>
        <v>3</v>
      </c>
      <c r="Q1413" s="222">
        <f t="shared" si="93"/>
        <v>2</v>
      </c>
      <c r="R1413" s="532" t="str">
        <f t="shared" si="94"/>
        <v>Gastos_custeados_por_captação</v>
      </c>
      <c r="S1413" s="467" t="s">
        <v>1000</v>
      </c>
      <c r="T1413" s="467">
        <v>2727</v>
      </c>
      <c r="U1413" s="496"/>
      <c r="V1413" s="496"/>
      <c r="W1413" s="496"/>
    </row>
    <row r="1414" spans="1:23" ht="72" x14ac:dyDescent="0.2">
      <c r="A1414" s="510">
        <f t="shared" si="95"/>
        <v>1411</v>
      </c>
      <c r="B1414" s="428">
        <v>44629</v>
      </c>
      <c r="C1414" s="431">
        <v>44593</v>
      </c>
      <c r="D1414" s="415" t="s">
        <v>468</v>
      </c>
      <c r="E1414" s="415" t="s">
        <v>468</v>
      </c>
      <c r="F1414" s="459">
        <v>2939.7</v>
      </c>
      <c r="G1414" s="427" t="s">
        <v>713</v>
      </c>
      <c r="H1414" s="415" t="s">
        <v>468</v>
      </c>
      <c r="I1414" s="473" t="s">
        <v>2627</v>
      </c>
      <c r="J1414" s="415" t="s">
        <v>1137</v>
      </c>
      <c r="K1414" s="418" t="s">
        <v>830</v>
      </c>
      <c r="L1414" s="399" t="s">
        <v>807</v>
      </c>
      <c r="M1414" s="415" t="s">
        <v>1503</v>
      </c>
      <c r="N1414" s="428">
        <v>44629</v>
      </c>
      <c r="O1414" s="414" t="s">
        <v>402</v>
      </c>
      <c r="P1414" s="222">
        <f t="shared" si="92"/>
        <v>3</v>
      </c>
      <c r="Q1414" s="222">
        <f t="shared" si="93"/>
        <v>2</v>
      </c>
      <c r="R1414" s="532" t="str">
        <f t="shared" si="94"/>
        <v>Gastos_custeados_por_captação</v>
      </c>
      <c r="S1414" s="467" t="s">
        <v>1000</v>
      </c>
      <c r="T1414" s="467">
        <v>2728</v>
      </c>
      <c r="U1414" s="496"/>
      <c r="V1414" s="496"/>
      <c r="W1414" s="496"/>
    </row>
    <row r="1415" spans="1:23" ht="72" x14ac:dyDescent="0.2">
      <c r="A1415" s="510">
        <f t="shared" si="95"/>
        <v>1412</v>
      </c>
      <c r="B1415" s="428">
        <v>44629</v>
      </c>
      <c r="C1415" s="431">
        <v>44470</v>
      </c>
      <c r="D1415" s="415" t="s">
        <v>468</v>
      </c>
      <c r="E1415" s="415" t="s">
        <v>468</v>
      </c>
      <c r="F1415" s="425">
        <v>2375</v>
      </c>
      <c r="G1415" s="427" t="s">
        <v>3021</v>
      </c>
      <c r="H1415" s="415" t="s">
        <v>468</v>
      </c>
      <c r="I1415" s="473" t="s">
        <v>3018</v>
      </c>
      <c r="J1415" s="415" t="s">
        <v>3019</v>
      </c>
      <c r="K1415" s="418" t="s">
        <v>830</v>
      </c>
      <c r="L1415" s="399" t="s">
        <v>807</v>
      </c>
      <c r="M1415" s="415" t="s">
        <v>3020</v>
      </c>
      <c r="N1415" s="414">
        <v>44628</v>
      </c>
      <c r="O1415" s="414" t="s">
        <v>402</v>
      </c>
      <c r="P1415" s="222">
        <f t="shared" si="92"/>
        <v>3</v>
      </c>
      <c r="Q1415" s="222">
        <f t="shared" si="93"/>
        <v>-2</v>
      </c>
      <c r="R1415" s="532" t="str">
        <f t="shared" si="94"/>
        <v>Gastos_custeados_por_captação</v>
      </c>
      <c r="S1415" s="467" t="s">
        <v>998</v>
      </c>
      <c r="T1415" s="467">
        <v>1543</v>
      </c>
      <c r="U1415" s="496"/>
      <c r="V1415" s="496"/>
      <c r="W1415" s="496"/>
    </row>
    <row r="1416" spans="1:23" ht="72" x14ac:dyDescent="0.2">
      <c r="A1416" s="510">
        <f t="shared" si="95"/>
        <v>1413</v>
      </c>
      <c r="B1416" s="590">
        <v>44629</v>
      </c>
      <c r="C1416" s="424">
        <v>44593</v>
      </c>
      <c r="D1416" s="415" t="s">
        <v>468</v>
      </c>
      <c r="E1416" s="415" t="s">
        <v>468</v>
      </c>
      <c r="F1416" s="459">
        <v>3800</v>
      </c>
      <c r="G1416" s="461" t="s">
        <v>1868</v>
      </c>
      <c r="H1416" s="415" t="s">
        <v>468</v>
      </c>
      <c r="I1416" s="461" t="s">
        <v>2797</v>
      </c>
      <c r="J1416" s="468" t="s">
        <v>3061</v>
      </c>
      <c r="K1416" s="415" t="s">
        <v>830</v>
      </c>
      <c r="L1416" s="415" t="s">
        <v>807</v>
      </c>
      <c r="M1416" s="464">
        <v>136</v>
      </c>
      <c r="N1416" s="469">
        <v>44627</v>
      </c>
      <c r="O1416" s="414" t="s">
        <v>407</v>
      </c>
      <c r="P1416" s="222">
        <f t="shared" si="92"/>
        <v>3</v>
      </c>
      <c r="Q1416" s="222">
        <f t="shared" si="93"/>
        <v>2</v>
      </c>
      <c r="R1416" s="415" t="str">
        <f t="shared" si="94"/>
        <v>Gastos_custeados_por_captação</v>
      </c>
      <c r="S1416" s="467" t="s">
        <v>998</v>
      </c>
      <c r="T1416" s="467">
        <v>2937</v>
      </c>
      <c r="U1416" s="497"/>
      <c r="V1416" s="497"/>
      <c r="W1416" s="497"/>
    </row>
    <row r="1417" spans="1:23" ht="72" x14ac:dyDescent="0.2">
      <c r="A1417" s="510">
        <f t="shared" si="95"/>
        <v>1414</v>
      </c>
      <c r="B1417" s="590">
        <v>44629</v>
      </c>
      <c r="C1417" s="424">
        <v>44593</v>
      </c>
      <c r="D1417" s="415" t="s">
        <v>468</v>
      </c>
      <c r="E1417" s="415" t="s">
        <v>468</v>
      </c>
      <c r="F1417" s="459">
        <v>6751.5</v>
      </c>
      <c r="G1417" s="461" t="s">
        <v>1722</v>
      </c>
      <c r="H1417" s="415" t="s">
        <v>468</v>
      </c>
      <c r="I1417" s="461" t="s">
        <v>2748</v>
      </c>
      <c r="J1417" s="468" t="s">
        <v>1102</v>
      </c>
      <c r="K1417" s="415" t="s">
        <v>830</v>
      </c>
      <c r="L1417" s="415" t="s">
        <v>807</v>
      </c>
      <c r="M1417" s="528" t="s">
        <v>1793</v>
      </c>
      <c r="N1417" s="469">
        <v>44627</v>
      </c>
      <c r="O1417" s="414" t="s">
        <v>407</v>
      </c>
      <c r="P1417" s="222">
        <f t="shared" si="92"/>
        <v>3</v>
      </c>
      <c r="Q1417" s="222">
        <f t="shared" si="93"/>
        <v>2</v>
      </c>
      <c r="R1417" s="415" t="str">
        <f t="shared" si="94"/>
        <v>Gastos_custeados_por_captação</v>
      </c>
      <c r="S1417" s="467" t="s">
        <v>1000</v>
      </c>
      <c r="T1417" s="467">
        <v>2894</v>
      </c>
      <c r="U1417" s="497"/>
      <c r="V1417" s="497"/>
      <c r="W1417" s="497"/>
    </row>
    <row r="1418" spans="1:23" ht="72" x14ac:dyDescent="0.2">
      <c r="A1418" s="510">
        <f t="shared" si="95"/>
        <v>1415</v>
      </c>
      <c r="B1418" s="590">
        <v>44629</v>
      </c>
      <c r="C1418" s="424">
        <v>44593</v>
      </c>
      <c r="D1418" s="415" t="s">
        <v>468</v>
      </c>
      <c r="E1418" s="415" t="s">
        <v>468</v>
      </c>
      <c r="F1418" s="459">
        <v>600</v>
      </c>
      <c r="G1418" s="461" t="s">
        <v>3125</v>
      </c>
      <c r="H1418" s="415" t="s">
        <v>468</v>
      </c>
      <c r="I1418" s="461" t="s">
        <v>3033</v>
      </c>
      <c r="J1418" s="468" t="s">
        <v>1081</v>
      </c>
      <c r="K1418" s="415" t="s">
        <v>830</v>
      </c>
      <c r="L1418" s="415" t="s">
        <v>807</v>
      </c>
      <c r="M1418" s="464">
        <v>1011</v>
      </c>
      <c r="N1418" s="469">
        <v>44627</v>
      </c>
      <c r="O1418" s="414" t="s">
        <v>407</v>
      </c>
      <c r="P1418" s="222">
        <f t="shared" si="92"/>
        <v>3</v>
      </c>
      <c r="Q1418" s="222">
        <f t="shared" si="93"/>
        <v>2</v>
      </c>
      <c r="R1418" s="415" t="str">
        <f t="shared" si="94"/>
        <v>Gastos_custeados_por_captação</v>
      </c>
      <c r="S1418" s="467" t="s">
        <v>998</v>
      </c>
      <c r="T1418" s="467">
        <v>2927</v>
      </c>
      <c r="U1418" s="497"/>
      <c r="V1418" s="497"/>
      <c r="W1418" s="497"/>
    </row>
    <row r="1419" spans="1:23" ht="60" x14ac:dyDescent="0.2">
      <c r="A1419" s="510">
        <f t="shared" si="95"/>
        <v>1416</v>
      </c>
      <c r="B1419" s="428">
        <v>44630</v>
      </c>
      <c r="C1419" s="431">
        <v>44593</v>
      </c>
      <c r="D1419" s="415" t="s">
        <v>271</v>
      </c>
      <c r="E1419" s="415" t="s">
        <v>187</v>
      </c>
      <c r="F1419" s="435">
        <v>-184.87</v>
      </c>
      <c r="G1419" s="427" t="s">
        <v>2158</v>
      </c>
      <c r="H1419" s="415" t="s">
        <v>309</v>
      </c>
      <c r="I1419" s="473" t="s">
        <v>795</v>
      </c>
      <c r="J1419" s="415" t="s">
        <v>796</v>
      </c>
      <c r="K1419" s="415" t="s">
        <v>797</v>
      </c>
      <c r="L1419" s="415" t="s">
        <v>798</v>
      </c>
      <c r="M1419" s="415" t="s">
        <v>310</v>
      </c>
      <c r="N1419" s="414">
        <v>44630</v>
      </c>
      <c r="O1419" s="414" t="s">
        <v>400</v>
      </c>
      <c r="P1419" s="222">
        <f t="shared" si="92"/>
        <v>3</v>
      </c>
      <c r="Q1419" s="222">
        <f t="shared" si="93"/>
        <v>2</v>
      </c>
      <c r="R1419" s="532" t="str">
        <f t="shared" si="94"/>
        <v>Gastos_Gerais</v>
      </c>
      <c r="S1419" s="467" t="s">
        <v>310</v>
      </c>
      <c r="T1419" s="467" t="s">
        <v>310</v>
      </c>
      <c r="U1419" s="496"/>
      <c r="V1419" s="496"/>
      <c r="W1419" s="496"/>
    </row>
    <row r="1420" spans="1:23" ht="48" x14ac:dyDescent="0.2">
      <c r="A1420" s="510">
        <f t="shared" si="95"/>
        <v>1417</v>
      </c>
      <c r="B1420" s="428">
        <v>44630</v>
      </c>
      <c r="C1420" s="424">
        <v>44593</v>
      </c>
      <c r="D1420" s="415" t="s">
        <v>271</v>
      </c>
      <c r="E1420" s="415" t="s">
        <v>178</v>
      </c>
      <c r="F1420" s="425">
        <v>-69.989999999999995</v>
      </c>
      <c r="G1420" s="427" t="s">
        <v>2159</v>
      </c>
      <c r="H1420" s="415" t="s">
        <v>309</v>
      </c>
      <c r="I1420" s="473" t="s">
        <v>795</v>
      </c>
      <c r="J1420" s="415" t="s">
        <v>796</v>
      </c>
      <c r="K1420" s="415" t="s">
        <v>797</v>
      </c>
      <c r="L1420" s="415" t="s">
        <v>798</v>
      </c>
      <c r="M1420" s="415" t="s">
        <v>310</v>
      </c>
      <c r="N1420" s="414">
        <v>44630</v>
      </c>
      <c r="O1420" s="414" t="s">
        <v>400</v>
      </c>
      <c r="P1420" s="222">
        <f t="shared" si="92"/>
        <v>3</v>
      </c>
      <c r="Q1420" s="222">
        <f t="shared" si="93"/>
        <v>2</v>
      </c>
      <c r="R1420" s="532" t="str">
        <f t="shared" si="94"/>
        <v>Gastos_Gerais</v>
      </c>
      <c r="S1420" s="467" t="s">
        <v>310</v>
      </c>
      <c r="T1420" s="467" t="s">
        <v>310</v>
      </c>
      <c r="U1420" s="496"/>
      <c r="V1420" s="496"/>
      <c r="W1420" s="496"/>
    </row>
    <row r="1421" spans="1:23" ht="36" x14ac:dyDescent="0.2">
      <c r="A1421" s="510">
        <f t="shared" si="95"/>
        <v>1418</v>
      </c>
      <c r="B1421" s="428">
        <v>44630</v>
      </c>
      <c r="C1421" s="424">
        <v>44621</v>
      </c>
      <c r="D1421" s="415" t="s">
        <v>271</v>
      </c>
      <c r="E1421" s="415" t="s">
        <v>71</v>
      </c>
      <c r="F1421" s="425">
        <v>11</v>
      </c>
      <c r="G1421" s="427" t="s">
        <v>2188</v>
      </c>
      <c r="H1421" s="415" t="s">
        <v>790</v>
      </c>
      <c r="I1421" s="398" t="s">
        <v>881</v>
      </c>
      <c r="J1421" s="418" t="s">
        <v>882</v>
      </c>
      <c r="K1421" s="418" t="s">
        <v>883</v>
      </c>
      <c r="L1421" s="399" t="s">
        <v>798</v>
      </c>
      <c r="M1421" s="544" t="s">
        <v>310</v>
      </c>
      <c r="N1421" s="414">
        <v>44630</v>
      </c>
      <c r="O1421" s="414" t="s">
        <v>400</v>
      </c>
      <c r="P1421" s="222">
        <f t="shared" si="92"/>
        <v>3</v>
      </c>
      <c r="Q1421" s="222">
        <f t="shared" si="93"/>
        <v>3</v>
      </c>
      <c r="R1421" s="532" t="str">
        <f t="shared" si="94"/>
        <v>Gastos_Gerais</v>
      </c>
      <c r="S1421" s="467" t="s">
        <v>310</v>
      </c>
      <c r="T1421" s="467" t="s">
        <v>310</v>
      </c>
      <c r="U1421" s="496"/>
      <c r="V1421" s="496"/>
      <c r="W1421" s="496"/>
    </row>
    <row r="1422" spans="1:23" ht="36" x14ac:dyDescent="0.2">
      <c r="A1422" s="510">
        <f t="shared" si="95"/>
        <v>1419</v>
      </c>
      <c r="B1422" s="428">
        <v>44630</v>
      </c>
      <c r="C1422" s="424">
        <v>44621</v>
      </c>
      <c r="D1422" s="415" t="s">
        <v>271</v>
      </c>
      <c r="E1422" s="415" t="s">
        <v>71</v>
      </c>
      <c r="F1422" s="425">
        <v>11</v>
      </c>
      <c r="G1422" s="427" t="s">
        <v>2189</v>
      </c>
      <c r="H1422" s="415" t="s">
        <v>752</v>
      </c>
      <c r="I1422" s="398" t="s">
        <v>881</v>
      </c>
      <c r="J1422" s="418" t="s">
        <v>882</v>
      </c>
      <c r="K1422" s="418" t="s">
        <v>883</v>
      </c>
      <c r="L1422" s="399" t="s">
        <v>798</v>
      </c>
      <c r="M1422" s="544" t="s">
        <v>310</v>
      </c>
      <c r="N1422" s="414">
        <v>44630</v>
      </c>
      <c r="O1422" s="414" t="s">
        <v>400</v>
      </c>
      <c r="P1422" s="222">
        <f t="shared" si="92"/>
        <v>3</v>
      </c>
      <c r="Q1422" s="222">
        <f t="shared" si="93"/>
        <v>3</v>
      </c>
      <c r="R1422" s="532" t="str">
        <f t="shared" si="94"/>
        <v>Gastos_Gerais</v>
      </c>
      <c r="S1422" s="467" t="s">
        <v>310</v>
      </c>
      <c r="T1422" s="467" t="s">
        <v>310</v>
      </c>
      <c r="U1422" s="496"/>
      <c r="V1422" s="496"/>
      <c r="W1422" s="496"/>
    </row>
    <row r="1423" spans="1:23" ht="36" x14ac:dyDescent="0.2">
      <c r="A1423" s="510">
        <f t="shared" si="95"/>
        <v>1420</v>
      </c>
      <c r="B1423" s="428">
        <v>44630</v>
      </c>
      <c r="C1423" s="424">
        <v>44621</v>
      </c>
      <c r="D1423" s="415" t="s">
        <v>271</v>
      </c>
      <c r="E1423" s="415" t="s">
        <v>71</v>
      </c>
      <c r="F1423" s="425">
        <v>11</v>
      </c>
      <c r="G1423" s="427" t="s">
        <v>2190</v>
      </c>
      <c r="H1423" s="415" t="s">
        <v>757</v>
      </c>
      <c r="I1423" s="398" t="s">
        <v>881</v>
      </c>
      <c r="J1423" s="418" t="s">
        <v>882</v>
      </c>
      <c r="K1423" s="418" t="s">
        <v>883</v>
      </c>
      <c r="L1423" s="399" t="s">
        <v>798</v>
      </c>
      <c r="M1423" s="544" t="s">
        <v>310</v>
      </c>
      <c r="N1423" s="414">
        <v>44630</v>
      </c>
      <c r="O1423" s="414" t="s">
        <v>400</v>
      </c>
      <c r="P1423" s="222">
        <f t="shared" si="92"/>
        <v>3</v>
      </c>
      <c r="Q1423" s="222">
        <f t="shared" si="93"/>
        <v>3</v>
      </c>
      <c r="R1423" s="532" t="str">
        <f t="shared" si="94"/>
        <v>Gastos_Gerais</v>
      </c>
      <c r="S1423" s="467" t="s">
        <v>310</v>
      </c>
      <c r="T1423" s="467" t="s">
        <v>310</v>
      </c>
      <c r="U1423" s="496"/>
      <c r="V1423" s="496"/>
      <c r="W1423" s="496"/>
    </row>
    <row r="1424" spans="1:23" ht="36" x14ac:dyDescent="0.2">
      <c r="A1424" s="510">
        <f t="shared" si="95"/>
        <v>1421</v>
      </c>
      <c r="B1424" s="428">
        <v>44630</v>
      </c>
      <c r="C1424" s="424">
        <v>44621</v>
      </c>
      <c r="D1424" s="415" t="s">
        <v>271</v>
      </c>
      <c r="E1424" s="415" t="s">
        <v>71</v>
      </c>
      <c r="F1424" s="425">
        <v>11</v>
      </c>
      <c r="G1424" s="427" t="s">
        <v>2191</v>
      </c>
      <c r="H1424" s="415" t="s">
        <v>757</v>
      </c>
      <c r="I1424" s="398" t="s">
        <v>881</v>
      </c>
      <c r="J1424" s="418" t="s">
        <v>882</v>
      </c>
      <c r="K1424" s="418" t="s">
        <v>883</v>
      </c>
      <c r="L1424" s="399" t="s">
        <v>798</v>
      </c>
      <c r="M1424" s="544" t="s">
        <v>310</v>
      </c>
      <c r="N1424" s="414">
        <v>44630</v>
      </c>
      <c r="O1424" s="414" t="s">
        <v>400</v>
      </c>
      <c r="P1424" s="222">
        <f t="shared" si="92"/>
        <v>3</v>
      </c>
      <c r="Q1424" s="222">
        <f t="shared" si="93"/>
        <v>3</v>
      </c>
      <c r="R1424" s="532" t="str">
        <f t="shared" si="94"/>
        <v>Gastos_Gerais</v>
      </c>
      <c r="S1424" s="467" t="s">
        <v>310</v>
      </c>
      <c r="T1424" s="467" t="s">
        <v>310</v>
      </c>
      <c r="U1424" s="496"/>
      <c r="V1424" s="496"/>
      <c r="W1424" s="496"/>
    </row>
    <row r="1425" spans="1:23" ht="36" x14ac:dyDescent="0.2">
      <c r="A1425" s="510">
        <f t="shared" si="95"/>
        <v>1422</v>
      </c>
      <c r="B1425" s="428">
        <v>44630</v>
      </c>
      <c r="C1425" s="424">
        <v>44621</v>
      </c>
      <c r="D1425" s="415" t="s">
        <v>271</v>
      </c>
      <c r="E1425" s="415" t="s">
        <v>71</v>
      </c>
      <c r="F1425" s="425">
        <v>11</v>
      </c>
      <c r="G1425" s="427" t="s">
        <v>2192</v>
      </c>
      <c r="H1425" s="415" t="s">
        <v>755</v>
      </c>
      <c r="I1425" s="398" t="s">
        <v>881</v>
      </c>
      <c r="J1425" s="418" t="s">
        <v>882</v>
      </c>
      <c r="K1425" s="418" t="s">
        <v>883</v>
      </c>
      <c r="L1425" s="399" t="s">
        <v>798</v>
      </c>
      <c r="M1425" s="544" t="s">
        <v>310</v>
      </c>
      <c r="N1425" s="414">
        <v>44630</v>
      </c>
      <c r="O1425" s="414" t="s">
        <v>400</v>
      </c>
      <c r="P1425" s="222">
        <f t="shared" si="92"/>
        <v>3</v>
      </c>
      <c r="Q1425" s="222">
        <f t="shared" si="93"/>
        <v>3</v>
      </c>
      <c r="R1425" s="532" t="str">
        <f t="shared" si="94"/>
        <v>Gastos_Gerais</v>
      </c>
      <c r="S1425" s="467" t="s">
        <v>310</v>
      </c>
      <c r="T1425" s="467" t="s">
        <v>310</v>
      </c>
      <c r="U1425" s="496"/>
      <c r="V1425" s="496"/>
      <c r="W1425" s="496"/>
    </row>
    <row r="1426" spans="1:23" ht="36" x14ac:dyDescent="0.2">
      <c r="A1426" s="510">
        <f t="shared" si="95"/>
        <v>1423</v>
      </c>
      <c r="B1426" s="428">
        <v>44630</v>
      </c>
      <c r="C1426" s="424">
        <v>44621</v>
      </c>
      <c r="D1426" s="415" t="s">
        <v>271</v>
      </c>
      <c r="E1426" s="415" t="s">
        <v>71</v>
      </c>
      <c r="F1426" s="425">
        <v>11</v>
      </c>
      <c r="G1426" s="427" t="s">
        <v>2193</v>
      </c>
      <c r="H1426" s="415" t="s">
        <v>752</v>
      </c>
      <c r="I1426" s="398" t="s">
        <v>881</v>
      </c>
      <c r="J1426" s="418" t="s">
        <v>882</v>
      </c>
      <c r="K1426" s="418" t="s">
        <v>883</v>
      </c>
      <c r="L1426" s="399" t="s">
        <v>798</v>
      </c>
      <c r="M1426" s="544" t="s">
        <v>310</v>
      </c>
      <c r="N1426" s="414">
        <v>44630</v>
      </c>
      <c r="O1426" s="414" t="s">
        <v>400</v>
      </c>
      <c r="P1426" s="222">
        <f t="shared" si="92"/>
        <v>3</v>
      </c>
      <c r="Q1426" s="222">
        <f t="shared" si="93"/>
        <v>3</v>
      </c>
      <c r="R1426" s="532" t="str">
        <f t="shared" si="94"/>
        <v>Gastos_Gerais</v>
      </c>
      <c r="S1426" s="467" t="s">
        <v>310</v>
      </c>
      <c r="T1426" s="467" t="s">
        <v>310</v>
      </c>
      <c r="U1426" s="496"/>
      <c r="V1426" s="496"/>
      <c r="W1426" s="496"/>
    </row>
    <row r="1427" spans="1:23" ht="36" x14ac:dyDescent="0.2">
      <c r="A1427" s="510">
        <f t="shared" si="95"/>
        <v>1424</v>
      </c>
      <c r="B1427" s="428">
        <v>44630</v>
      </c>
      <c r="C1427" s="424">
        <v>44621</v>
      </c>
      <c r="D1427" s="415" t="s">
        <v>271</v>
      </c>
      <c r="E1427" s="415" t="s">
        <v>71</v>
      </c>
      <c r="F1427" s="425">
        <v>11</v>
      </c>
      <c r="G1427" s="427" t="s">
        <v>2194</v>
      </c>
      <c r="H1427" s="415" t="s">
        <v>752</v>
      </c>
      <c r="I1427" s="398" t="s">
        <v>881</v>
      </c>
      <c r="J1427" s="418" t="s">
        <v>882</v>
      </c>
      <c r="K1427" s="418" t="s">
        <v>883</v>
      </c>
      <c r="L1427" s="399" t="s">
        <v>798</v>
      </c>
      <c r="M1427" s="544" t="s">
        <v>310</v>
      </c>
      <c r="N1427" s="414">
        <v>44630</v>
      </c>
      <c r="O1427" s="414" t="s">
        <v>400</v>
      </c>
      <c r="P1427" s="222">
        <f t="shared" si="92"/>
        <v>3</v>
      </c>
      <c r="Q1427" s="222">
        <f t="shared" si="93"/>
        <v>3</v>
      </c>
      <c r="R1427" s="532" t="str">
        <f t="shared" si="94"/>
        <v>Gastos_Gerais</v>
      </c>
      <c r="S1427" s="467" t="s">
        <v>310</v>
      </c>
      <c r="T1427" s="467" t="s">
        <v>310</v>
      </c>
      <c r="U1427" s="496"/>
      <c r="V1427" s="496"/>
      <c r="W1427" s="496"/>
    </row>
    <row r="1428" spans="1:23" ht="36" x14ac:dyDescent="0.2">
      <c r="A1428" s="510">
        <f t="shared" si="95"/>
        <v>1425</v>
      </c>
      <c r="B1428" s="428">
        <v>44630</v>
      </c>
      <c r="C1428" s="424">
        <v>44621</v>
      </c>
      <c r="D1428" s="415" t="s">
        <v>271</v>
      </c>
      <c r="E1428" s="415" t="s">
        <v>71</v>
      </c>
      <c r="F1428" s="425">
        <v>11</v>
      </c>
      <c r="G1428" s="427" t="s">
        <v>2195</v>
      </c>
      <c r="H1428" s="415" t="s">
        <v>755</v>
      </c>
      <c r="I1428" s="398" t="s">
        <v>881</v>
      </c>
      <c r="J1428" s="418" t="s">
        <v>882</v>
      </c>
      <c r="K1428" s="418" t="s">
        <v>883</v>
      </c>
      <c r="L1428" s="399" t="s">
        <v>798</v>
      </c>
      <c r="M1428" s="544" t="s">
        <v>310</v>
      </c>
      <c r="N1428" s="414">
        <v>44630</v>
      </c>
      <c r="O1428" s="414" t="s">
        <v>400</v>
      </c>
      <c r="P1428" s="222">
        <f t="shared" si="92"/>
        <v>3</v>
      </c>
      <c r="Q1428" s="222">
        <f t="shared" si="93"/>
        <v>3</v>
      </c>
      <c r="R1428" s="532" t="str">
        <f t="shared" si="94"/>
        <v>Gastos_Gerais</v>
      </c>
      <c r="S1428" s="467" t="s">
        <v>310</v>
      </c>
      <c r="T1428" s="467" t="s">
        <v>310</v>
      </c>
      <c r="U1428" s="496"/>
      <c r="V1428" s="496"/>
      <c r="W1428" s="496"/>
    </row>
    <row r="1429" spans="1:23" ht="36" x14ac:dyDescent="0.2">
      <c r="A1429" s="510">
        <f t="shared" si="95"/>
        <v>1426</v>
      </c>
      <c r="B1429" s="428">
        <v>44630</v>
      </c>
      <c r="C1429" s="424">
        <v>44621</v>
      </c>
      <c r="D1429" s="415" t="s">
        <v>271</v>
      </c>
      <c r="E1429" s="415" t="s">
        <v>71</v>
      </c>
      <c r="F1429" s="425">
        <v>11</v>
      </c>
      <c r="G1429" s="427" t="s">
        <v>2196</v>
      </c>
      <c r="H1429" s="415" t="s">
        <v>752</v>
      </c>
      <c r="I1429" s="398" t="s">
        <v>881</v>
      </c>
      <c r="J1429" s="418" t="s">
        <v>882</v>
      </c>
      <c r="K1429" s="418" t="s">
        <v>883</v>
      </c>
      <c r="L1429" s="399" t="s">
        <v>798</v>
      </c>
      <c r="M1429" s="544" t="s">
        <v>310</v>
      </c>
      <c r="N1429" s="414">
        <v>44630</v>
      </c>
      <c r="O1429" s="414" t="s">
        <v>400</v>
      </c>
      <c r="P1429" s="222">
        <f t="shared" si="92"/>
        <v>3</v>
      </c>
      <c r="Q1429" s="222">
        <f t="shared" si="93"/>
        <v>3</v>
      </c>
      <c r="R1429" s="532" t="str">
        <f t="shared" si="94"/>
        <v>Gastos_Gerais</v>
      </c>
      <c r="S1429" s="467" t="s">
        <v>310</v>
      </c>
      <c r="T1429" s="467" t="s">
        <v>310</v>
      </c>
      <c r="U1429" s="496"/>
      <c r="V1429" s="496"/>
      <c r="W1429" s="496"/>
    </row>
    <row r="1430" spans="1:23" ht="60" x14ac:dyDescent="0.2">
      <c r="A1430" s="510">
        <f t="shared" si="95"/>
        <v>1427</v>
      </c>
      <c r="B1430" s="428">
        <v>44630</v>
      </c>
      <c r="C1430" s="424">
        <v>44593</v>
      </c>
      <c r="D1430" s="415" t="s">
        <v>271</v>
      </c>
      <c r="E1430" s="415" t="s">
        <v>183</v>
      </c>
      <c r="F1430" s="425">
        <v>1449.45</v>
      </c>
      <c r="G1430" s="427" t="s">
        <v>2166</v>
      </c>
      <c r="H1430" s="415" t="s">
        <v>790</v>
      </c>
      <c r="I1430" s="473" t="s">
        <v>2167</v>
      </c>
      <c r="J1430" s="415" t="s">
        <v>1718</v>
      </c>
      <c r="K1430" s="415" t="s">
        <v>806</v>
      </c>
      <c r="L1430" s="415" t="s">
        <v>32</v>
      </c>
      <c r="M1430" s="415" t="s">
        <v>2168</v>
      </c>
      <c r="N1430" s="414">
        <v>44629</v>
      </c>
      <c r="O1430" s="414" t="s">
        <v>400</v>
      </c>
      <c r="P1430" s="222">
        <f t="shared" si="92"/>
        <v>3</v>
      </c>
      <c r="Q1430" s="222">
        <f t="shared" si="93"/>
        <v>2</v>
      </c>
      <c r="R1430" s="532" t="str">
        <f t="shared" si="94"/>
        <v>Gastos_Gerais</v>
      </c>
      <c r="S1430" s="467" t="s">
        <v>998</v>
      </c>
      <c r="T1430" s="467">
        <v>2954</v>
      </c>
      <c r="U1430" s="496"/>
      <c r="V1430" s="496"/>
      <c r="W1430" s="496"/>
    </row>
    <row r="1431" spans="1:23" ht="84" x14ac:dyDescent="0.2">
      <c r="A1431" s="510">
        <f t="shared" si="95"/>
        <v>1428</v>
      </c>
      <c r="B1431" s="428">
        <v>44630</v>
      </c>
      <c r="C1431" s="424">
        <v>44562</v>
      </c>
      <c r="D1431" s="415" t="s">
        <v>271</v>
      </c>
      <c r="E1431" s="415" t="s">
        <v>465</v>
      </c>
      <c r="F1431" s="425">
        <v>1038.2</v>
      </c>
      <c r="G1431" s="427" t="s">
        <v>674</v>
      </c>
      <c r="H1431" s="415" t="s">
        <v>752</v>
      </c>
      <c r="I1431" s="473" t="s">
        <v>2180</v>
      </c>
      <c r="J1431" s="415" t="s">
        <v>1010</v>
      </c>
      <c r="K1431" s="415" t="s">
        <v>830</v>
      </c>
      <c r="L1431" s="415" t="s">
        <v>807</v>
      </c>
      <c r="M1431" s="546">
        <v>14.652173913043478</v>
      </c>
      <c r="N1431" s="414">
        <v>44629</v>
      </c>
      <c r="O1431" s="414" t="s">
        <v>400</v>
      </c>
      <c r="P1431" s="222">
        <f t="shared" ref="P1431:P1494" si="96">IF(B1431=0,0,IF(YEAR(B1431)=$Q$1,MONTH(B1431)-$P$1+1,(YEAR(B1431)-$Q$1)*12-$P$1+1+MONTH(B1431)))</f>
        <v>3</v>
      </c>
      <c r="Q1431" s="222">
        <f t="shared" ref="Q1431:Q1494" si="97">IF(C1431=0,0,IF(YEAR(C1431)=$Q$1,MONTH(C1431)-$P$1+1,(YEAR(C1431)-$Q$1)*12-$P$1+1+MONTH(C1431)))</f>
        <v>1</v>
      </c>
      <c r="R1431" s="532" t="str">
        <f t="shared" ref="R1431:R1494" si="98">SUBSTITUTE(D1431," ","_")</f>
        <v>Gastos_Gerais</v>
      </c>
      <c r="S1431" s="467" t="s">
        <v>1000</v>
      </c>
      <c r="T1431" s="467">
        <v>2748</v>
      </c>
      <c r="U1431" s="496"/>
      <c r="V1431" s="496"/>
      <c r="W1431" s="496"/>
    </row>
    <row r="1432" spans="1:23" ht="60" x14ac:dyDescent="0.2">
      <c r="A1432" s="510">
        <f t="shared" si="95"/>
        <v>1429</v>
      </c>
      <c r="B1432" s="428">
        <v>44630</v>
      </c>
      <c r="C1432" s="424">
        <v>44593</v>
      </c>
      <c r="D1432" s="415" t="s">
        <v>271</v>
      </c>
      <c r="E1432" s="415" t="s">
        <v>183</v>
      </c>
      <c r="F1432" s="425">
        <v>1449.45</v>
      </c>
      <c r="G1432" s="427" t="s">
        <v>1719</v>
      </c>
      <c r="H1432" s="415" t="s">
        <v>755</v>
      </c>
      <c r="I1432" s="473" t="s">
        <v>2167</v>
      </c>
      <c r="J1432" s="415" t="s">
        <v>1718</v>
      </c>
      <c r="K1432" s="415" t="s">
        <v>830</v>
      </c>
      <c r="L1432" s="415" t="s">
        <v>32</v>
      </c>
      <c r="M1432" s="415" t="s">
        <v>2186</v>
      </c>
      <c r="N1432" s="414">
        <v>44629</v>
      </c>
      <c r="O1432" s="414" t="s">
        <v>400</v>
      </c>
      <c r="P1432" s="222">
        <f t="shared" si="96"/>
        <v>3</v>
      </c>
      <c r="Q1432" s="222">
        <f t="shared" si="97"/>
        <v>2</v>
      </c>
      <c r="R1432" s="532" t="str">
        <f t="shared" si="98"/>
        <v>Gastos_Gerais</v>
      </c>
      <c r="S1432" s="467" t="s">
        <v>1000</v>
      </c>
      <c r="T1432" s="467">
        <v>2890</v>
      </c>
      <c r="U1432" s="496"/>
      <c r="V1432" s="496"/>
      <c r="W1432" s="496"/>
    </row>
    <row r="1433" spans="1:23" ht="48" x14ac:dyDescent="0.2">
      <c r="A1433" s="510">
        <f t="shared" si="95"/>
        <v>1430</v>
      </c>
      <c r="B1433" s="428">
        <v>44630</v>
      </c>
      <c r="C1433" s="424">
        <v>44593</v>
      </c>
      <c r="D1433" s="415" t="s">
        <v>271</v>
      </c>
      <c r="E1433" s="415" t="s">
        <v>1791</v>
      </c>
      <c r="F1433" s="425">
        <v>1075.2</v>
      </c>
      <c r="G1433" s="427" t="s">
        <v>667</v>
      </c>
      <c r="H1433" s="415" t="s">
        <v>752</v>
      </c>
      <c r="I1433" s="473" t="s">
        <v>2160</v>
      </c>
      <c r="J1433" s="415" t="s">
        <v>1083</v>
      </c>
      <c r="K1433" s="415" t="s">
        <v>806</v>
      </c>
      <c r="L1433" s="415" t="s">
        <v>839</v>
      </c>
      <c r="M1433" s="546">
        <v>1614</v>
      </c>
      <c r="N1433" s="414">
        <v>44628</v>
      </c>
      <c r="O1433" s="414" t="s">
        <v>400</v>
      </c>
      <c r="P1433" s="222">
        <f t="shared" si="96"/>
        <v>3</v>
      </c>
      <c r="Q1433" s="222">
        <f t="shared" si="97"/>
        <v>2</v>
      </c>
      <c r="R1433" s="532" t="str">
        <f t="shared" si="98"/>
        <v>Gastos_Gerais</v>
      </c>
      <c r="S1433" s="467" t="s">
        <v>998</v>
      </c>
      <c r="T1433" s="467">
        <v>2737</v>
      </c>
      <c r="U1433" s="496"/>
      <c r="V1433" s="496"/>
      <c r="W1433" s="496"/>
    </row>
    <row r="1434" spans="1:23" ht="60" x14ac:dyDescent="0.2">
      <c r="A1434" s="510">
        <f t="shared" si="95"/>
        <v>1431</v>
      </c>
      <c r="B1434" s="428">
        <v>44630</v>
      </c>
      <c r="C1434" s="424">
        <v>44593</v>
      </c>
      <c r="D1434" s="415" t="s">
        <v>271</v>
      </c>
      <c r="E1434" s="415" t="s">
        <v>1791</v>
      </c>
      <c r="F1434" s="425">
        <v>1998.6</v>
      </c>
      <c r="G1434" s="427" t="s">
        <v>607</v>
      </c>
      <c r="H1434" s="415" t="s">
        <v>752</v>
      </c>
      <c r="I1434" s="473" t="s">
        <v>1267</v>
      </c>
      <c r="J1434" s="415" t="s">
        <v>1059</v>
      </c>
      <c r="K1434" s="415" t="s">
        <v>806</v>
      </c>
      <c r="L1434" s="415" t="s">
        <v>839</v>
      </c>
      <c r="M1434" s="546">
        <v>1617</v>
      </c>
      <c r="N1434" s="414">
        <v>44628</v>
      </c>
      <c r="O1434" s="414" t="s">
        <v>400</v>
      </c>
      <c r="P1434" s="222">
        <f t="shared" si="96"/>
        <v>3</v>
      </c>
      <c r="Q1434" s="222">
        <f t="shared" si="97"/>
        <v>2</v>
      </c>
      <c r="R1434" s="532" t="str">
        <f t="shared" si="98"/>
        <v>Gastos_Gerais</v>
      </c>
      <c r="S1434" s="467" t="s">
        <v>998</v>
      </c>
      <c r="T1434" s="467">
        <v>2550</v>
      </c>
      <c r="U1434" s="496"/>
      <c r="V1434" s="496"/>
      <c r="W1434" s="496"/>
    </row>
    <row r="1435" spans="1:23" ht="72" x14ac:dyDescent="0.2">
      <c r="A1435" s="510">
        <f t="shared" si="95"/>
        <v>1432</v>
      </c>
      <c r="B1435" s="428">
        <v>44630</v>
      </c>
      <c r="C1435" s="424">
        <v>44593</v>
      </c>
      <c r="D1435" s="415" t="s">
        <v>271</v>
      </c>
      <c r="E1435" s="415" t="s">
        <v>1791</v>
      </c>
      <c r="F1435" s="425">
        <v>1998.6</v>
      </c>
      <c r="G1435" s="427" t="s">
        <v>738</v>
      </c>
      <c r="H1435" s="415" t="s">
        <v>752</v>
      </c>
      <c r="I1435" s="473" t="s">
        <v>2170</v>
      </c>
      <c r="J1435" s="415" t="s">
        <v>2171</v>
      </c>
      <c r="K1435" s="415" t="s">
        <v>830</v>
      </c>
      <c r="L1435" s="415" t="s">
        <v>839</v>
      </c>
      <c r="M1435" s="546">
        <v>1618</v>
      </c>
      <c r="N1435" s="414">
        <v>44628</v>
      </c>
      <c r="O1435" s="414" t="s">
        <v>400</v>
      </c>
      <c r="P1435" s="222">
        <f t="shared" si="96"/>
        <v>3</v>
      </c>
      <c r="Q1435" s="222">
        <f t="shared" si="97"/>
        <v>2</v>
      </c>
      <c r="R1435" s="532" t="str">
        <f t="shared" si="98"/>
        <v>Gastos_Gerais</v>
      </c>
      <c r="S1435" s="467" t="s">
        <v>998</v>
      </c>
      <c r="T1435" s="467">
        <v>2816</v>
      </c>
      <c r="U1435" s="496"/>
      <c r="V1435" s="496"/>
      <c r="W1435" s="496"/>
    </row>
    <row r="1436" spans="1:23" ht="48" x14ac:dyDescent="0.2">
      <c r="A1436" s="510">
        <f t="shared" si="95"/>
        <v>1433</v>
      </c>
      <c r="B1436" s="428">
        <v>44630</v>
      </c>
      <c r="C1436" s="424">
        <v>44593</v>
      </c>
      <c r="D1436" s="415" t="s">
        <v>271</v>
      </c>
      <c r="E1436" s="415" t="s">
        <v>1791</v>
      </c>
      <c r="F1436" s="425">
        <v>1075.2</v>
      </c>
      <c r="G1436" s="427" t="s">
        <v>668</v>
      </c>
      <c r="H1436" s="415" t="s">
        <v>752</v>
      </c>
      <c r="I1436" s="473" t="s">
        <v>1776</v>
      </c>
      <c r="J1436" s="415" t="s">
        <v>1084</v>
      </c>
      <c r="K1436" s="415" t="s">
        <v>830</v>
      </c>
      <c r="L1436" s="415" t="s">
        <v>839</v>
      </c>
      <c r="M1436" s="546">
        <v>1613</v>
      </c>
      <c r="N1436" s="414">
        <v>44628</v>
      </c>
      <c r="O1436" s="414" t="s">
        <v>400</v>
      </c>
      <c r="P1436" s="222">
        <f t="shared" si="96"/>
        <v>3</v>
      </c>
      <c r="Q1436" s="222">
        <f t="shared" si="97"/>
        <v>2</v>
      </c>
      <c r="R1436" s="532" t="str">
        <f t="shared" si="98"/>
        <v>Gastos_Gerais</v>
      </c>
      <c r="S1436" s="467" t="s">
        <v>998</v>
      </c>
      <c r="T1436" s="467">
        <v>2738</v>
      </c>
      <c r="U1436" s="496"/>
      <c r="V1436" s="496"/>
      <c r="W1436" s="496"/>
    </row>
    <row r="1437" spans="1:23" ht="60" x14ac:dyDescent="0.2">
      <c r="A1437" s="510">
        <f t="shared" si="95"/>
        <v>1434</v>
      </c>
      <c r="B1437" s="428">
        <v>44630</v>
      </c>
      <c r="C1437" s="424">
        <v>44593</v>
      </c>
      <c r="D1437" s="415" t="s">
        <v>271</v>
      </c>
      <c r="E1437" s="415" t="s">
        <v>449</v>
      </c>
      <c r="F1437" s="425">
        <v>800</v>
      </c>
      <c r="G1437" s="427" t="s">
        <v>1869</v>
      </c>
      <c r="H1437" s="415" t="s">
        <v>755</v>
      </c>
      <c r="I1437" s="473" t="s">
        <v>1407</v>
      </c>
      <c r="J1437" s="415" t="s">
        <v>1087</v>
      </c>
      <c r="K1437" s="415" t="s">
        <v>830</v>
      </c>
      <c r="L1437" s="415" t="s">
        <v>1305</v>
      </c>
      <c r="M1437" s="546" t="s">
        <v>310</v>
      </c>
      <c r="N1437" s="414">
        <v>44628</v>
      </c>
      <c r="O1437" s="414" t="s">
        <v>400</v>
      </c>
      <c r="P1437" s="222">
        <f t="shared" si="96"/>
        <v>3</v>
      </c>
      <c r="Q1437" s="222">
        <f t="shared" si="97"/>
        <v>2</v>
      </c>
      <c r="R1437" s="532" t="str">
        <f t="shared" si="98"/>
        <v>Gastos_Gerais</v>
      </c>
      <c r="S1437" s="467" t="s">
        <v>998</v>
      </c>
      <c r="T1437" s="467">
        <v>2942</v>
      </c>
      <c r="U1437" s="496"/>
      <c r="V1437" s="496"/>
      <c r="W1437" s="496"/>
    </row>
    <row r="1438" spans="1:23" ht="48" x14ac:dyDescent="0.2">
      <c r="A1438" s="510">
        <f t="shared" si="95"/>
        <v>1435</v>
      </c>
      <c r="B1438" s="428">
        <v>44630</v>
      </c>
      <c r="C1438" s="424">
        <v>44593</v>
      </c>
      <c r="D1438" s="415" t="s">
        <v>271</v>
      </c>
      <c r="E1438" s="415" t="s">
        <v>1791</v>
      </c>
      <c r="F1438" s="425">
        <v>2122.3200000000002</v>
      </c>
      <c r="G1438" s="427" t="s">
        <v>1641</v>
      </c>
      <c r="H1438" s="415" t="s">
        <v>752</v>
      </c>
      <c r="I1438" s="473" t="s">
        <v>2182</v>
      </c>
      <c r="J1438" s="415" t="s">
        <v>1664</v>
      </c>
      <c r="K1438" s="415" t="s">
        <v>830</v>
      </c>
      <c r="L1438" s="415" t="s">
        <v>839</v>
      </c>
      <c r="M1438" s="546">
        <v>1616</v>
      </c>
      <c r="N1438" s="414">
        <v>44628</v>
      </c>
      <c r="O1438" s="414" t="s">
        <v>400</v>
      </c>
      <c r="P1438" s="222">
        <f t="shared" si="96"/>
        <v>3</v>
      </c>
      <c r="Q1438" s="222">
        <f t="shared" si="97"/>
        <v>2</v>
      </c>
      <c r="R1438" s="532" t="str">
        <f t="shared" si="98"/>
        <v>Gastos_Gerais</v>
      </c>
      <c r="S1438" s="467" t="s">
        <v>998</v>
      </c>
      <c r="T1438" s="467">
        <v>2885</v>
      </c>
      <c r="U1438" s="496"/>
      <c r="V1438" s="496"/>
      <c r="W1438" s="496"/>
    </row>
    <row r="1439" spans="1:23" ht="60" x14ac:dyDescent="0.2">
      <c r="A1439" s="510">
        <f t="shared" si="95"/>
        <v>1436</v>
      </c>
      <c r="B1439" s="428">
        <v>44630</v>
      </c>
      <c r="C1439" s="424">
        <v>44593</v>
      </c>
      <c r="D1439" s="415" t="s">
        <v>468</v>
      </c>
      <c r="E1439" s="415" t="s">
        <v>468</v>
      </c>
      <c r="F1439" s="425">
        <v>1612.8</v>
      </c>
      <c r="G1439" s="427" t="s">
        <v>1692</v>
      </c>
      <c r="H1439" s="415" t="s">
        <v>468</v>
      </c>
      <c r="I1439" s="554" t="s">
        <v>2828</v>
      </c>
      <c r="J1439" s="470" t="s">
        <v>1691</v>
      </c>
      <c r="K1439" s="415" t="s">
        <v>830</v>
      </c>
      <c r="L1439" s="399" t="s">
        <v>839</v>
      </c>
      <c r="M1439" s="544">
        <v>1611</v>
      </c>
      <c r="N1439" s="414">
        <v>44628</v>
      </c>
      <c r="O1439" s="414" t="s">
        <v>404</v>
      </c>
      <c r="P1439" s="222">
        <f t="shared" si="96"/>
        <v>3</v>
      </c>
      <c r="Q1439" s="222">
        <f t="shared" si="97"/>
        <v>2</v>
      </c>
      <c r="R1439" s="532" t="str">
        <f t="shared" si="98"/>
        <v>Gastos_custeados_por_captação</v>
      </c>
      <c r="S1439" s="467" t="s">
        <v>998</v>
      </c>
      <c r="T1439" s="467">
        <v>2867</v>
      </c>
      <c r="U1439" s="496"/>
      <c r="V1439" s="496"/>
      <c r="W1439" s="496"/>
    </row>
    <row r="1440" spans="1:23" ht="60" x14ac:dyDescent="0.2">
      <c r="A1440" s="510">
        <f t="shared" si="95"/>
        <v>1437</v>
      </c>
      <c r="B1440" s="428">
        <v>44630</v>
      </c>
      <c r="C1440" s="424">
        <v>44593</v>
      </c>
      <c r="D1440" s="415" t="s">
        <v>271</v>
      </c>
      <c r="E1440" s="415" t="s">
        <v>1791</v>
      </c>
      <c r="F1440" s="425">
        <v>2316.1799999999998</v>
      </c>
      <c r="G1440" s="427" t="s">
        <v>1538</v>
      </c>
      <c r="H1440" s="415" t="s">
        <v>757</v>
      </c>
      <c r="I1440" s="473" t="s">
        <v>2177</v>
      </c>
      <c r="J1440" s="415" t="s">
        <v>1539</v>
      </c>
      <c r="K1440" s="415" t="s">
        <v>830</v>
      </c>
      <c r="L1440" s="415" t="s">
        <v>1341</v>
      </c>
      <c r="M1440" s="546">
        <v>1606</v>
      </c>
      <c r="N1440" s="414">
        <v>44627</v>
      </c>
      <c r="O1440" s="414" t="s">
        <v>400</v>
      </c>
      <c r="P1440" s="222">
        <f t="shared" si="96"/>
        <v>3</v>
      </c>
      <c r="Q1440" s="222">
        <f t="shared" si="97"/>
        <v>2</v>
      </c>
      <c r="R1440" s="532" t="str">
        <f t="shared" si="98"/>
        <v>Gastos_Gerais</v>
      </c>
      <c r="S1440" s="467" t="s">
        <v>1000</v>
      </c>
      <c r="T1440" s="467">
        <v>2836</v>
      </c>
      <c r="U1440" s="496"/>
      <c r="V1440" s="496"/>
      <c r="W1440" s="496"/>
    </row>
    <row r="1441" spans="1:23" ht="60" x14ac:dyDescent="0.2">
      <c r="A1441" s="510">
        <f t="shared" si="95"/>
        <v>1438</v>
      </c>
      <c r="B1441" s="428">
        <v>44630</v>
      </c>
      <c r="C1441" s="424">
        <v>44593</v>
      </c>
      <c r="D1441" s="415" t="s">
        <v>271</v>
      </c>
      <c r="E1441" s="415" t="s">
        <v>1791</v>
      </c>
      <c r="F1441" s="435">
        <v>1566.4</v>
      </c>
      <c r="G1441" s="427" t="s">
        <v>1593</v>
      </c>
      <c r="H1441" s="415" t="s">
        <v>757</v>
      </c>
      <c r="I1441" s="473" t="s">
        <v>1352</v>
      </c>
      <c r="J1441" s="415" t="s">
        <v>1057</v>
      </c>
      <c r="K1441" s="434" t="s">
        <v>830</v>
      </c>
      <c r="L1441" s="434" t="s">
        <v>839</v>
      </c>
      <c r="M1441" s="439">
        <v>1605</v>
      </c>
      <c r="N1441" s="455">
        <v>44627</v>
      </c>
      <c r="O1441" s="414" t="s">
        <v>400</v>
      </c>
      <c r="P1441" s="222">
        <f t="shared" si="96"/>
        <v>3</v>
      </c>
      <c r="Q1441" s="222">
        <f t="shared" si="97"/>
        <v>2</v>
      </c>
      <c r="R1441" s="532" t="str">
        <f t="shared" si="98"/>
        <v>Gastos_Gerais</v>
      </c>
      <c r="S1441" s="467" t="s">
        <v>1000</v>
      </c>
      <c r="T1441" s="467">
        <v>2837</v>
      </c>
      <c r="U1441" s="496"/>
      <c r="V1441" s="496"/>
      <c r="W1441" s="496"/>
    </row>
    <row r="1442" spans="1:23" ht="60" x14ac:dyDescent="0.2">
      <c r="A1442" s="510">
        <f t="shared" si="95"/>
        <v>1439</v>
      </c>
      <c r="B1442" s="428">
        <v>44630</v>
      </c>
      <c r="C1442" s="424">
        <v>44593</v>
      </c>
      <c r="D1442" s="415" t="s">
        <v>468</v>
      </c>
      <c r="E1442" s="415" t="s">
        <v>468</v>
      </c>
      <c r="F1442" s="425">
        <v>1612.8</v>
      </c>
      <c r="G1442" s="427" t="s">
        <v>1595</v>
      </c>
      <c r="H1442" s="415" t="s">
        <v>468</v>
      </c>
      <c r="I1442" s="554" t="s">
        <v>1728</v>
      </c>
      <c r="J1442" s="470" t="s">
        <v>1152</v>
      </c>
      <c r="K1442" s="415" t="s">
        <v>830</v>
      </c>
      <c r="L1442" s="399" t="s">
        <v>839</v>
      </c>
      <c r="M1442" s="544">
        <v>1608</v>
      </c>
      <c r="N1442" s="414">
        <v>44627</v>
      </c>
      <c r="O1442" s="414" t="s">
        <v>404</v>
      </c>
      <c r="P1442" s="222">
        <f t="shared" si="96"/>
        <v>3</v>
      </c>
      <c r="Q1442" s="222">
        <f t="shared" si="97"/>
        <v>2</v>
      </c>
      <c r="R1442" s="532" t="str">
        <f t="shared" si="98"/>
        <v>Gastos_custeados_por_captação</v>
      </c>
      <c r="S1442" s="467" t="s">
        <v>998</v>
      </c>
      <c r="T1442" s="467">
        <v>2866</v>
      </c>
      <c r="U1442" s="496"/>
      <c r="V1442" s="496"/>
      <c r="W1442" s="496"/>
    </row>
    <row r="1443" spans="1:23" ht="96" x14ac:dyDescent="0.2">
      <c r="A1443" s="510">
        <f t="shared" si="95"/>
        <v>1440</v>
      </c>
      <c r="B1443" s="428">
        <v>44630</v>
      </c>
      <c r="C1443" s="424">
        <v>44593</v>
      </c>
      <c r="D1443" s="415" t="s">
        <v>271</v>
      </c>
      <c r="E1443" s="415" t="s">
        <v>187</v>
      </c>
      <c r="F1443" s="425">
        <v>700</v>
      </c>
      <c r="G1443" s="427" t="s">
        <v>641</v>
      </c>
      <c r="H1443" s="415" t="s">
        <v>309</v>
      </c>
      <c r="I1443" s="473" t="s">
        <v>1701</v>
      </c>
      <c r="J1443" s="415" t="s">
        <v>1071</v>
      </c>
      <c r="K1443" s="415" t="s">
        <v>812</v>
      </c>
      <c r="L1443" s="415" t="s">
        <v>32</v>
      </c>
      <c r="M1443" s="415" t="s">
        <v>1333</v>
      </c>
      <c r="N1443" s="414">
        <v>44623</v>
      </c>
      <c r="O1443" s="414" t="s">
        <v>400</v>
      </c>
      <c r="P1443" s="222">
        <f t="shared" si="96"/>
        <v>3</v>
      </c>
      <c r="Q1443" s="222">
        <f t="shared" si="97"/>
        <v>2</v>
      </c>
      <c r="R1443" s="532" t="str">
        <f t="shared" si="98"/>
        <v>Gastos_Gerais</v>
      </c>
      <c r="S1443" s="467" t="s">
        <v>1000</v>
      </c>
      <c r="T1443" s="467">
        <v>2666</v>
      </c>
      <c r="U1443" s="496"/>
      <c r="V1443" s="496"/>
      <c r="W1443" s="496"/>
    </row>
    <row r="1444" spans="1:23" ht="60" x14ac:dyDescent="0.2">
      <c r="A1444" s="510">
        <f t="shared" si="95"/>
        <v>1441</v>
      </c>
      <c r="B1444" s="428">
        <v>44630</v>
      </c>
      <c r="C1444" s="424">
        <v>44593</v>
      </c>
      <c r="D1444" s="415" t="s">
        <v>271</v>
      </c>
      <c r="E1444" s="415" t="s">
        <v>183</v>
      </c>
      <c r="F1444" s="425">
        <v>140.24</v>
      </c>
      <c r="G1444" s="427" t="s">
        <v>551</v>
      </c>
      <c r="H1444" s="415" t="s">
        <v>753</v>
      </c>
      <c r="I1444" s="473" t="s">
        <v>1705</v>
      </c>
      <c r="J1444" s="415" t="s">
        <v>1704</v>
      </c>
      <c r="K1444" s="415" t="s">
        <v>1404</v>
      </c>
      <c r="L1444" s="415" t="s">
        <v>32</v>
      </c>
      <c r="M1444" s="546">
        <v>2202953724225</v>
      </c>
      <c r="N1444" s="414">
        <v>44614</v>
      </c>
      <c r="O1444" s="414" t="s">
        <v>400</v>
      </c>
      <c r="P1444" s="222">
        <f t="shared" si="96"/>
        <v>3</v>
      </c>
      <c r="Q1444" s="222">
        <f t="shared" si="97"/>
        <v>2</v>
      </c>
      <c r="R1444" s="532" t="str">
        <f t="shared" si="98"/>
        <v>Gastos_Gerais</v>
      </c>
      <c r="S1444" s="467" t="s">
        <v>1000</v>
      </c>
      <c r="T1444" s="467">
        <v>1997</v>
      </c>
      <c r="U1444" s="496"/>
      <c r="V1444" s="496"/>
      <c r="W1444" s="496"/>
    </row>
    <row r="1445" spans="1:23" ht="24" x14ac:dyDescent="0.2">
      <c r="A1445" s="510">
        <f t="shared" si="95"/>
        <v>1442</v>
      </c>
      <c r="B1445" s="428">
        <v>44630</v>
      </c>
      <c r="C1445" s="424">
        <v>44593</v>
      </c>
      <c r="D1445" s="415" t="s">
        <v>271</v>
      </c>
      <c r="E1445" s="415" t="s">
        <v>85</v>
      </c>
      <c r="F1445" s="425">
        <v>120.1</v>
      </c>
      <c r="G1445" s="437" t="s">
        <v>492</v>
      </c>
      <c r="H1445" s="415" t="s">
        <v>750</v>
      </c>
      <c r="I1445" s="474" t="s">
        <v>765</v>
      </c>
      <c r="J1445" s="434" t="s">
        <v>892</v>
      </c>
      <c r="K1445" s="418" t="s">
        <v>893</v>
      </c>
      <c r="L1445" s="399" t="s">
        <v>807</v>
      </c>
      <c r="M1445" s="415">
        <v>73523654</v>
      </c>
      <c r="N1445" s="455">
        <v>44607</v>
      </c>
      <c r="O1445" s="414" t="s">
        <v>400</v>
      </c>
      <c r="P1445" s="222">
        <f t="shared" si="96"/>
        <v>3</v>
      </c>
      <c r="Q1445" s="222">
        <f t="shared" si="97"/>
        <v>2</v>
      </c>
      <c r="R1445" s="532" t="str">
        <f t="shared" si="98"/>
        <v>Gastos_Gerais</v>
      </c>
      <c r="S1445" s="467" t="s">
        <v>310</v>
      </c>
      <c r="T1445" s="467" t="s">
        <v>310</v>
      </c>
      <c r="U1445" s="496"/>
      <c r="V1445" s="496"/>
      <c r="W1445" s="496"/>
    </row>
    <row r="1446" spans="1:23" ht="84" x14ac:dyDescent="0.2">
      <c r="A1446" s="510">
        <f t="shared" si="95"/>
        <v>1443</v>
      </c>
      <c r="B1446" s="428">
        <v>44630</v>
      </c>
      <c r="C1446" s="424">
        <v>44593</v>
      </c>
      <c r="D1446" s="415" t="s">
        <v>271</v>
      </c>
      <c r="E1446" s="415" t="s">
        <v>178</v>
      </c>
      <c r="F1446" s="425">
        <v>255.46</v>
      </c>
      <c r="G1446" s="427" t="s">
        <v>482</v>
      </c>
      <c r="H1446" s="415" t="s">
        <v>309</v>
      </c>
      <c r="I1446" s="473" t="s">
        <v>1276</v>
      </c>
      <c r="J1446" s="415" t="s">
        <v>1017</v>
      </c>
      <c r="K1446" s="415" t="s">
        <v>812</v>
      </c>
      <c r="L1446" s="415" t="s">
        <v>32</v>
      </c>
      <c r="M1446" s="415" t="s">
        <v>2178</v>
      </c>
      <c r="N1446" s="414">
        <v>44596</v>
      </c>
      <c r="O1446" s="414" t="s">
        <v>400</v>
      </c>
      <c r="P1446" s="222">
        <f t="shared" si="96"/>
        <v>3</v>
      </c>
      <c r="Q1446" s="222">
        <f t="shared" si="97"/>
        <v>2</v>
      </c>
      <c r="R1446" s="532" t="str">
        <f t="shared" si="98"/>
        <v>Gastos_Gerais</v>
      </c>
      <c r="S1446" s="467" t="s">
        <v>1000</v>
      </c>
      <c r="T1446" s="489">
        <v>1133</v>
      </c>
      <c r="U1446" s="496"/>
      <c r="V1446" s="496"/>
      <c r="W1446" s="496"/>
    </row>
    <row r="1447" spans="1:23" ht="72" x14ac:dyDescent="0.2">
      <c r="A1447" s="510">
        <f t="shared" si="95"/>
        <v>1444</v>
      </c>
      <c r="B1447" s="428">
        <v>44630</v>
      </c>
      <c r="C1447" s="559">
        <v>44593</v>
      </c>
      <c r="D1447" s="357" t="s">
        <v>468</v>
      </c>
      <c r="E1447" s="357" t="s">
        <v>468</v>
      </c>
      <c r="F1447" s="425">
        <v>3260.8</v>
      </c>
      <c r="G1447" s="427" t="s">
        <v>2577</v>
      </c>
      <c r="H1447" s="415" t="s">
        <v>468</v>
      </c>
      <c r="I1447" s="398" t="s">
        <v>2578</v>
      </c>
      <c r="J1447" s="418" t="s">
        <v>2579</v>
      </c>
      <c r="K1447" s="418" t="s">
        <v>830</v>
      </c>
      <c r="L1447" s="399" t="s">
        <v>839</v>
      </c>
      <c r="M1447" s="544">
        <v>1609</v>
      </c>
      <c r="N1447" s="414">
        <v>44627</v>
      </c>
      <c r="O1447" s="414" t="s">
        <v>402</v>
      </c>
      <c r="P1447" s="222">
        <f t="shared" si="96"/>
        <v>3</v>
      </c>
      <c r="Q1447" s="222">
        <f t="shared" si="97"/>
        <v>2</v>
      </c>
      <c r="R1447" s="532" t="str">
        <f t="shared" si="98"/>
        <v>Gastos_custeados_por_captação</v>
      </c>
      <c r="S1447" s="467" t="s">
        <v>1000</v>
      </c>
      <c r="T1447" s="467">
        <v>2720</v>
      </c>
      <c r="U1447" s="496"/>
      <c r="V1447" s="496"/>
      <c r="W1447" s="496"/>
    </row>
    <row r="1448" spans="1:23" ht="72" x14ac:dyDescent="0.2">
      <c r="A1448" s="510">
        <f t="shared" si="95"/>
        <v>1445</v>
      </c>
      <c r="B1448" s="428">
        <v>44630</v>
      </c>
      <c r="C1448" s="559">
        <v>44621</v>
      </c>
      <c r="D1448" s="357" t="s">
        <v>468</v>
      </c>
      <c r="E1448" s="357" t="s">
        <v>468</v>
      </c>
      <c r="F1448" s="425">
        <v>153</v>
      </c>
      <c r="G1448" s="427" t="s">
        <v>880</v>
      </c>
      <c r="H1448" s="415" t="s">
        <v>468</v>
      </c>
      <c r="I1448" s="398" t="s">
        <v>881</v>
      </c>
      <c r="J1448" s="418" t="s">
        <v>882</v>
      </c>
      <c r="K1448" s="418" t="s">
        <v>883</v>
      </c>
      <c r="L1448" s="399" t="s">
        <v>798</v>
      </c>
      <c r="M1448" s="544" t="s">
        <v>310</v>
      </c>
      <c r="N1448" s="414">
        <v>44631</v>
      </c>
      <c r="O1448" s="414" t="s">
        <v>402</v>
      </c>
      <c r="P1448" s="222">
        <f t="shared" si="96"/>
        <v>3</v>
      </c>
      <c r="Q1448" s="222">
        <f t="shared" si="97"/>
        <v>3</v>
      </c>
      <c r="R1448" s="532" t="str">
        <f t="shared" si="98"/>
        <v>Gastos_custeados_por_captação</v>
      </c>
      <c r="S1448" s="489" t="s">
        <v>310</v>
      </c>
      <c r="T1448" s="489" t="s">
        <v>310</v>
      </c>
      <c r="U1448" s="496"/>
      <c r="V1448" s="496"/>
      <c r="W1448" s="496"/>
    </row>
    <row r="1449" spans="1:23" ht="72" x14ac:dyDescent="0.2">
      <c r="A1449" s="510">
        <f t="shared" si="95"/>
        <v>1446</v>
      </c>
      <c r="B1449" s="590">
        <v>44630</v>
      </c>
      <c r="C1449" s="424">
        <v>44470</v>
      </c>
      <c r="D1449" s="415" t="s">
        <v>468</v>
      </c>
      <c r="E1449" s="415" t="s">
        <v>468</v>
      </c>
      <c r="F1449" s="459">
        <v>6996.25</v>
      </c>
      <c r="G1449" s="461" t="s">
        <v>3208</v>
      </c>
      <c r="H1449" s="415" t="s">
        <v>468</v>
      </c>
      <c r="I1449" s="461" t="s">
        <v>3034</v>
      </c>
      <c r="J1449" s="468" t="s">
        <v>1035</v>
      </c>
      <c r="K1449" s="415" t="s">
        <v>830</v>
      </c>
      <c r="L1449" s="415" t="s">
        <v>807</v>
      </c>
      <c r="M1449" s="464">
        <v>318</v>
      </c>
      <c r="N1449" s="469">
        <v>44629</v>
      </c>
      <c r="O1449" s="414" t="s">
        <v>407</v>
      </c>
      <c r="P1449" s="222">
        <f t="shared" si="96"/>
        <v>3</v>
      </c>
      <c r="Q1449" s="222">
        <f t="shared" si="97"/>
        <v>-2</v>
      </c>
      <c r="R1449" s="415" t="str">
        <f t="shared" si="98"/>
        <v>Gastos_custeados_por_captação</v>
      </c>
      <c r="S1449" s="467" t="s">
        <v>998</v>
      </c>
      <c r="T1449" s="467">
        <v>1686</v>
      </c>
      <c r="U1449" s="497"/>
      <c r="V1449" s="497"/>
      <c r="W1449" s="497"/>
    </row>
    <row r="1450" spans="1:23" ht="96" x14ac:dyDescent="0.2">
      <c r="A1450" s="510">
        <f t="shared" si="95"/>
        <v>1447</v>
      </c>
      <c r="B1450" s="590">
        <v>44630</v>
      </c>
      <c r="C1450" s="424">
        <v>44621</v>
      </c>
      <c r="D1450" s="415" t="s">
        <v>468</v>
      </c>
      <c r="E1450" s="415" t="s">
        <v>468</v>
      </c>
      <c r="F1450" s="459">
        <v>3884.54</v>
      </c>
      <c r="G1450" s="461" t="s">
        <v>1979</v>
      </c>
      <c r="H1450" s="415" t="s">
        <v>468</v>
      </c>
      <c r="I1450" s="461" t="s">
        <v>3035</v>
      </c>
      <c r="J1450" s="468" t="s">
        <v>3062</v>
      </c>
      <c r="K1450" s="415" t="s">
        <v>830</v>
      </c>
      <c r="L1450" s="415" t="s">
        <v>807</v>
      </c>
      <c r="M1450" s="464">
        <v>50954</v>
      </c>
      <c r="N1450" s="469">
        <v>44630</v>
      </c>
      <c r="O1450" s="414" t="s">
        <v>407</v>
      </c>
      <c r="P1450" s="222">
        <f t="shared" si="96"/>
        <v>3</v>
      </c>
      <c r="Q1450" s="222">
        <f t="shared" si="97"/>
        <v>3</v>
      </c>
      <c r="R1450" s="415" t="str">
        <f t="shared" si="98"/>
        <v>Gastos_custeados_por_captação</v>
      </c>
      <c r="S1450" s="467" t="s">
        <v>999</v>
      </c>
      <c r="T1450" s="467">
        <v>3074</v>
      </c>
      <c r="U1450" s="497"/>
      <c r="V1450" s="497"/>
      <c r="W1450" s="497"/>
    </row>
    <row r="1451" spans="1:23" ht="72" x14ac:dyDescent="0.2">
      <c r="A1451" s="510">
        <f t="shared" si="95"/>
        <v>1448</v>
      </c>
      <c r="B1451" s="428">
        <v>44631</v>
      </c>
      <c r="C1451" s="424">
        <v>44593</v>
      </c>
      <c r="D1451" s="415" t="s">
        <v>468</v>
      </c>
      <c r="E1451" s="415" t="s">
        <v>468</v>
      </c>
      <c r="F1451" s="459">
        <v>90</v>
      </c>
      <c r="G1451" s="399" t="s">
        <v>3006</v>
      </c>
      <c r="H1451" s="434" t="s">
        <v>468</v>
      </c>
      <c r="I1451" s="460" t="s">
        <v>764</v>
      </c>
      <c r="J1451" s="418" t="s">
        <v>310</v>
      </c>
      <c r="K1451" s="418" t="s">
        <v>1220</v>
      </c>
      <c r="L1451" s="399" t="s">
        <v>1281</v>
      </c>
      <c r="M1451" s="480">
        <v>222048085468</v>
      </c>
      <c r="N1451" s="469">
        <v>44628</v>
      </c>
      <c r="O1451" s="414" t="s">
        <v>402</v>
      </c>
      <c r="P1451" s="222">
        <f t="shared" si="96"/>
        <v>3</v>
      </c>
      <c r="Q1451" s="222">
        <f t="shared" si="97"/>
        <v>2</v>
      </c>
      <c r="R1451" s="532" t="str">
        <f t="shared" si="98"/>
        <v>Gastos_custeados_por_captação</v>
      </c>
      <c r="S1451" s="467" t="s">
        <v>310</v>
      </c>
      <c r="T1451" s="467" t="s">
        <v>310</v>
      </c>
      <c r="U1451" s="496"/>
      <c r="V1451" s="496"/>
      <c r="W1451" s="496"/>
    </row>
    <row r="1452" spans="1:23" ht="72" x14ac:dyDescent="0.2">
      <c r="A1452" s="510">
        <f t="shared" si="95"/>
        <v>1449</v>
      </c>
      <c r="B1452" s="428">
        <v>44631</v>
      </c>
      <c r="C1452" s="424">
        <v>44593</v>
      </c>
      <c r="D1452" s="415" t="s">
        <v>468</v>
      </c>
      <c r="E1452" s="415" t="s">
        <v>468</v>
      </c>
      <c r="F1452" s="459">
        <v>110.55</v>
      </c>
      <c r="G1452" s="399" t="s">
        <v>3007</v>
      </c>
      <c r="H1452" s="434" t="s">
        <v>468</v>
      </c>
      <c r="I1452" s="460" t="s">
        <v>764</v>
      </c>
      <c r="J1452" s="418" t="s">
        <v>310</v>
      </c>
      <c r="K1452" s="418" t="s">
        <v>1220</v>
      </c>
      <c r="L1452" s="399" t="s">
        <v>1281</v>
      </c>
      <c r="M1452" s="480">
        <v>222048085620</v>
      </c>
      <c r="N1452" s="469">
        <v>44628</v>
      </c>
      <c r="O1452" s="414" t="s">
        <v>402</v>
      </c>
      <c r="P1452" s="222">
        <f t="shared" si="96"/>
        <v>3</v>
      </c>
      <c r="Q1452" s="222">
        <f t="shared" si="97"/>
        <v>2</v>
      </c>
      <c r="R1452" s="532" t="str">
        <f t="shared" si="98"/>
        <v>Gastos_custeados_por_captação</v>
      </c>
      <c r="S1452" s="467" t="s">
        <v>310</v>
      </c>
      <c r="T1452" s="467" t="s">
        <v>310</v>
      </c>
      <c r="U1452" s="496"/>
      <c r="V1452" s="496"/>
      <c r="W1452" s="496"/>
    </row>
    <row r="1453" spans="1:23" ht="72" x14ac:dyDescent="0.2">
      <c r="A1453" s="510">
        <f t="shared" si="95"/>
        <v>1450</v>
      </c>
      <c r="B1453" s="428">
        <v>44631</v>
      </c>
      <c r="C1453" s="424">
        <v>44593</v>
      </c>
      <c r="D1453" s="415" t="s">
        <v>468</v>
      </c>
      <c r="E1453" s="415" t="s">
        <v>468</v>
      </c>
      <c r="F1453" s="459">
        <v>80</v>
      </c>
      <c r="G1453" s="399" t="s">
        <v>3008</v>
      </c>
      <c r="H1453" s="434" t="s">
        <v>468</v>
      </c>
      <c r="I1453" s="460" t="s">
        <v>764</v>
      </c>
      <c r="J1453" s="418" t="s">
        <v>310</v>
      </c>
      <c r="K1453" s="418" t="s">
        <v>1220</v>
      </c>
      <c r="L1453" s="399" t="s">
        <v>1281</v>
      </c>
      <c r="M1453" s="480">
        <v>222048085972</v>
      </c>
      <c r="N1453" s="469">
        <v>44628</v>
      </c>
      <c r="O1453" s="414" t="s">
        <v>402</v>
      </c>
      <c r="P1453" s="222">
        <f t="shared" si="96"/>
        <v>3</v>
      </c>
      <c r="Q1453" s="222">
        <f t="shared" si="97"/>
        <v>2</v>
      </c>
      <c r="R1453" s="532" t="str">
        <f t="shared" si="98"/>
        <v>Gastos_custeados_por_captação</v>
      </c>
      <c r="S1453" s="467" t="s">
        <v>310</v>
      </c>
      <c r="T1453" s="467" t="s">
        <v>310</v>
      </c>
      <c r="U1453" s="496"/>
      <c r="V1453" s="496"/>
      <c r="W1453" s="496"/>
    </row>
    <row r="1454" spans="1:23" ht="72" x14ac:dyDescent="0.2">
      <c r="A1454" s="510">
        <f t="shared" si="95"/>
        <v>1451</v>
      </c>
      <c r="B1454" s="428">
        <v>44631</v>
      </c>
      <c r="C1454" s="424">
        <v>44593</v>
      </c>
      <c r="D1454" s="415" t="s">
        <v>468</v>
      </c>
      <c r="E1454" s="415" t="s">
        <v>468</v>
      </c>
      <c r="F1454" s="459">
        <v>314</v>
      </c>
      <c r="G1454" s="399" t="s">
        <v>3009</v>
      </c>
      <c r="H1454" s="434" t="s">
        <v>468</v>
      </c>
      <c r="I1454" s="460" t="s">
        <v>764</v>
      </c>
      <c r="J1454" s="418" t="s">
        <v>310</v>
      </c>
      <c r="K1454" s="418" t="s">
        <v>1220</v>
      </c>
      <c r="L1454" s="399" t="s">
        <v>1281</v>
      </c>
      <c r="M1454" s="480">
        <v>222048086197</v>
      </c>
      <c r="N1454" s="469">
        <v>44628</v>
      </c>
      <c r="O1454" s="414" t="s">
        <v>402</v>
      </c>
      <c r="P1454" s="222">
        <f t="shared" si="96"/>
        <v>3</v>
      </c>
      <c r="Q1454" s="222">
        <f t="shared" si="97"/>
        <v>2</v>
      </c>
      <c r="R1454" s="532" t="str">
        <f t="shared" si="98"/>
        <v>Gastos_custeados_por_captação</v>
      </c>
      <c r="S1454" s="467" t="s">
        <v>310</v>
      </c>
      <c r="T1454" s="467" t="s">
        <v>310</v>
      </c>
      <c r="U1454" s="496"/>
      <c r="V1454" s="496"/>
      <c r="W1454" s="496"/>
    </row>
    <row r="1455" spans="1:23" ht="72" x14ac:dyDescent="0.2">
      <c r="A1455" s="510">
        <f t="shared" si="95"/>
        <v>1452</v>
      </c>
      <c r="B1455" s="428">
        <v>44631</v>
      </c>
      <c r="C1455" s="424">
        <v>44593</v>
      </c>
      <c r="D1455" s="415" t="s">
        <v>468</v>
      </c>
      <c r="E1455" s="415" t="s">
        <v>468</v>
      </c>
      <c r="F1455" s="459">
        <v>56.92</v>
      </c>
      <c r="G1455" s="399" t="s">
        <v>3010</v>
      </c>
      <c r="H1455" s="434" t="s">
        <v>468</v>
      </c>
      <c r="I1455" s="460" t="s">
        <v>764</v>
      </c>
      <c r="J1455" s="418" t="s">
        <v>310</v>
      </c>
      <c r="K1455" s="418" t="s">
        <v>1220</v>
      </c>
      <c r="L1455" s="399" t="s">
        <v>1281</v>
      </c>
      <c r="M1455" s="480">
        <v>222048086510</v>
      </c>
      <c r="N1455" s="469">
        <v>44628</v>
      </c>
      <c r="O1455" s="414" t="s">
        <v>402</v>
      </c>
      <c r="P1455" s="222">
        <f t="shared" si="96"/>
        <v>3</v>
      </c>
      <c r="Q1455" s="222">
        <f t="shared" si="97"/>
        <v>2</v>
      </c>
      <c r="R1455" s="532" t="str">
        <f t="shared" si="98"/>
        <v>Gastos_custeados_por_captação</v>
      </c>
      <c r="S1455" s="467" t="s">
        <v>310</v>
      </c>
      <c r="T1455" s="467" t="s">
        <v>310</v>
      </c>
      <c r="U1455" s="496"/>
      <c r="V1455" s="496"/>
      <c r="W1455" s="496"/>
    </row>
    <row r="1456" spans="1:23" ht="72" x14ac:dyDescent="0.2">
      <c r="A1456" s="510">
        <f t="shared" si="95"/>
        <v>1453</v>
      </c>
      <c r="B1456" s="428">
        <v>44631</v>
      </c>
      <c r="C1456" s="424">
        <v>44593</v>
      </c>
      <c r="D1456" s="415" t="s">
        <v>468</v>
      </c>
      <c r="E1456" s="415" t="s">
        <v>468</v>
      </c>
      <c r="F1456" s="459">
        <v>260.39999999999998</v>
      </c>
      <c r="G1456" s="399" t="s">
        <v>3011</v>
      </c>
      <c r="H1456" s="434" t="s">
        <v>468</v>
      </c>
      <c r="I1456" s="460" t="s">
        <v>764</v>
      </c>
      <c r="J1456" s="418" t="s">
        <v>310</v>
      </c>
      <c r="K1456" s="418" t="s">
        <v>1220</v>
      </c>
      <c r="L1456" s="399" t="s">
        <v>1281</v>
      </c>
      <c r="M1456" s="480">
        <v>222048086600</v>
      </c>
      <c r="N1456" s="469">
        <v>44628</v>
      </c>
      <c r="O1456" s="414" t="s">
        <v>402</v>
      </c>
      <c r="P1456" s="222">
        <f t="shared" si="96"/>
        <v>3</v>
      </c>
      <c r="Q1456" s="222">
        <f t="shared" si="97"/>
        <v>2</v>
      </c>
      <c r="R1456" s="532" t="str">
        <f t="shared" si="98"/>
        <v>Gastos_custeados_por_captação</v>
      </c>
      <c r="S1456" s="467" t="s">
        <v>310</v>
      </c>
      <c r="T1456" s="467" t="s">
        <v>310</v>
      </c>
      <c r="U1456" s="496"/>
      <c r="V1456" s="496"/>
      <c r="W1456" s="496"/>
    </row>
    <row r="1457" spans="1:23" ht="72" x14ac:dyDescent="0.2">
      <c r="A1457" s="510">
        <f t="shared" si="95"/>
        <v>1454</v>
      </c>
      <c r="B1457" s="428">
        <v>44631</v>
      </c>
      <c r="C1457" s="424">
        <v>44593</v>
      </c>
      <c r="D1457" s="415" t="s">
        <v>468</v>
      </c>
      <c r="E1457" s="415" t="s">
        <v>468</v>
      </c>
      <c r="F1457" s="459">
        <v>56.92</v>
      </c>
      <c r="G1457" s="399" t="s">
        <v>3010</v>
      </c>
      <c r="H1457" s="434" t="s">
        <v>468</v>
      </c>
      <c r="I1457" s="460" t="s">
        <v>764</v>
      </c>
      <c r="J1457" s="418" t="s">
        <v>310</v>
      </c>
      <c r="K1457" s="418" t="s">
        <v>1220</v>
      </c>
      <c r="L1457" s="399" t="s">
        <v>1281</v>
      </c>
      <c r="M1457" s="480">
        <v>222048086782</v>
      </c>
      <c r="N1457" s="469">
        <v>44628</v>
      </c>
      <c r="O1457" s="414" t="s">
        <v>402</v>
      </c>
      <c r="P1457" s="222">
        <f t="shared" si="96"/>
        <v>3</v>
      </c>
      <c r="Q1457" s="222">
        <f t="shared" si="97"/>
        <v>2</v>
      </c>
      <c r="R1457" s="532" t="str">
        <f t="shared" si="98"/>
        <v>Gastos_custeados_por_captação</v>
      </c>
      <c r="S1457" s="467" t="s">
        <v>310</v>
      </c>
      <c r="T1457" s="467" t="s">
        <v>310</v>
      </c>
      <c r="U1457" s="496"/>
      <c r="V1457" s="496"/>
      <c r="W1457" s="496"/>
    </row>
    <row r="1458" spans="1:23" ht="72" x14ac:dyDescent="0.2">
      <c r="A1458" s="510">
        <f t="shared" si="95"/>
        <v>1455</v>
      </c>
      <c r="B1458" s="428">
        <v>44631</v>
      </c>
      <c r="C1458" s="424">
        <v>44593</v>
      </c>
      <c r="D1458" s="415" t="s">
        <v>468</v>
      </c>
      <c r="E1458" s="415" t="s">
        <v>468</v>
      </c>
      <c r="F1458" s="459">
        <v>60.3</v>
      </c>
      <c r="G1458" s="399" t="s">
        <v>3012</v>
      </c>
      <c r="H1458" s="434" t="s">
        <v>468</v>
      </c>
      <c r="I1458" s="460" t="s">
        <v>764</v>
      </c>
      <c r="J1458" s="418" t="s">
        <v>310</v>
      </c>
      <c r="K1458" s="418" t="s">
        <v>1220</v>
      </c>
      <c r="L1458" s="399" t="s">
        <v>1281</v>
      </c>
      <c r="M1458" s="480">
        <v>222048087835</v>
      </c>
      <c r="N1458" s="469">
        <v>44628</v>
      </c>
      <c r="O1458" s="414" t="s">
        <v>402</v>
      </c>
      <c r="P1458" s="222">
        <f t="shared" si="96"/>
        <v>3</v>
      </c>
      <c r="Q1458" s="222">
        <f t="shared" si="97"/>
        <v>2</v>
      </c>
      <c r="R1458" s="532" t="str">
        <f t="shared" si="98"/>
        <v>Gastos_custeados_por_captação</v>
      </c>
      <c r="S1458" s="467" t="s">
        <v>310</v>
      </c>
      <c r="T1458" s="467" t="s">
        <v>310</v>
      </c>
      <c r="U1458" s="496"/>
      <c r="V1458" s="496"/>
      <c r="W1458" s="496"/>
    </row>
    <row r="1459" spans="1:23" ht="72" x14ac:dyDescent="0.2">
      <c r="A1459" s="510">
        <f t="shared" si="95"/>
        <v>1456</v>
      </c>
      <c r="B1459" s="428">
        <v>44631</v>
      </c>
      <c r="C1459" s="424">
        <v>44593</v>
      </c>
      <c r="D1459" s="415" t="s">
        <v>468</v>
      </c>
      <c r="E1459" s="415" t="s">
        <v>468</v>
      </c>
      <c r="F1459" s="459">
        <v>60.3</v>
      </c>
      <c r="G1459" s="399" t="s">
        <v>3012</v>
      </c>
      <c r="H1459" s="434" t="s">
        <v>468</v>
      </c>
      <c r="I1459" s="460" t="s">
        <v>764</v>
      </c>
      <c r="J1459" s="418" t="s">
        <v>310</v>
      </c>
      <c r="K1459" s="418" t="s">
        <v>1220</v>
      </c>
      <c r="L1459" s="399" t="s">
        <v>1281</v>
      </c>
      <c r="M1459" s="480">
        <v>222048087916</v>
      </c>
      <c r="N1459" s="469">
        <v>44628</v>
      </c>
      <c r="O1459" s="414" t="s">
        <v>402</v>
      </c>
      <c r="P1459" s="222">
        <f t="shared" si="96"/>
        <v>3</v>
      </c>
      <c r="Q1459" s="222">
        <f t="shared" si="97"/>
        <v>2</v>
      </c>
      <c r="R1459" s="532" t="str">
        <f t="shared" si="98"/>
        <v>Gastos_custeados_por_captação</v>
      </c>
      <c r="S1459" s="467" t="s">
        <v>310</v>
      </c>
      <c r="T1459" s="467" t="s">
        <v>310</v>
      </c>
      <c r="U1459" s="496"/>
      <c r="V1459" s="496"/>
      <c r="W1459" s="496"/>
    </row>
    <row r="1460" spans="1:23" ht="72" x14ac:dyDescent="0.2">
      <c r="A1460" s="510">
        <f t="shared" si="95"/>
        <v>1457</v>
      </c>
      <c r="B1460" s="428">
        <v>44631</v>
      </c>
      <c r="C1460" s="424">
        <v>44593</v>
      </c>
      <c r="D1460" s="415" t="s">
        <v>468</v>
      </c>
      <c r="E1460" s="415" t="s">
        <v>468</v>
      </c>
      <c r="F1460" s="459">
        <v>50</v>
      </c>
      <c r="G1460" s="399" t="s">
        <v>3013</v>
      </c>
      <c r="H1460" s="434" t="s">
        <v>468</v>
      </c>
      <c r="I1460" s="460" t="s">
        <v>764</v>
      </c>
      <c r="J1460" s="418" t="s">
        <v>310</v>
      </c>
      <c r="K1460" s="418" t="s">
        <v>1220</v>
      </c>
      <c r="L1460" s="399" t="s">
        <v>1281</v>
      </c>
      <c r="M1460" s="480">
        <v>222038401103</v>
      </c>
      <c r="N1460" s="469">
        <v>44628</v>
      </c>
      <c r="O1460" s="414" t="s">
        <v>402</v>
      </c>
      <c r="P1460" s="222">
        <f t="shared" si="96"/>
        <v>3</v>
      </c>
      <c r="Q1460" s="222">
        <f t="shared" si="97"/>
        <v>2</v>
      </c>
      <c r="R1460" s="532" t="str">
        <f t="shared" si="98"/>
        <v>Gastos_custeados_por_captação</v>
      </c>
      <c r="S1460" s="467" t="s">
        <v>310</v>
      </c>
      <c r="T1460" s="467" t="s">
        <v>310</v>
      </c>
      <c r="U1460" s="496"/>
      <c r="V1460" s="496"/>
      <c r="W1460" s="496"/>
    </row>
    <row r="1461" spans="1:23" ht="72" x14ac:dyDescent="0.2">
      <c r="A1461" s="510">
        <f t="shared" si="95"/>
        <v>1458</v>
      </c>
      <c r="B1461" s="428">
        <v>44631</v>
      </c>
      <c r="C1461" s="431">
        <v>44593</v>
      </c>
      <c r="D1461" s="415" t="s">
        <v>468</v>
      </c>
      <c r="E1461" s="415" t="s">
        <v>468</v>
      </c>
      <c r="F1461" s="459">
        <v>2522.5500000000002</v>
      </c>
      <c r="G1461" s="399" t="s">
        <v>670</v>
      </c>
      <c r="H1461" s="434" t="s">
        <v>468</v>
      </c>
      <c r="I1461" s="460" t="s">
        <v>3025</v>
      </c>
      <c r="J1461" s="418" t="s">
        <v>1132</v>
      </c>
      <c r="K1461" s="418" t="s">
        <v>830</v>
      </c>
      <c r="L1461" s="399" t="s">
        <v>839</v>
      </c>
      <c r="M1461" s="480">
        <v>1610</v>
      </c>
      <c r="N1461" s="469">
        <v>44627</v>
      </c>
      <c r="O1461" s="414" t="s">
        <v>402</v>
      </c>
      <c r="P1461" s="222">
        <f t="shared" si="96"/>
        <v>3</v>
      </c>
      <c r="Q1461" s="222">
        <f t="shared" si="97"/>
        <v>2</v>
      </c>
      <c r="R1461" s="532" t="str">
        <f t="shared" si="98"/>
        <v>Gastos_custeados_por_captação</v>
      </c>
      <c r="S1461" s="467" t="s">
        <v>1000</v>
      </c>
      <c r="T1461" s="467">
        <v>2723</v>
      </c>
      <c r="U1461" s="496"/>
      <c r="V1461" s="496"/>
      <c r="W1461" s="496"/>
    </row>
    <row r="1462" spans="1:23" ht="24" x14ac:dyDescent="0.2">
      <c r="A1462" s="510">
        <f t="shared" si="95"/>
        <v>1459</v>
      </c>
      <c r="B1462" s="428">
        <v>44631</v>
      </c>
      <c r="C1462" s="466">
        <v>44621</v>
      </c>
      <c r="D1462" s="415" t="s">
        <v>182</v>
      </c>
      <c r="E1462" s="415" t="s">
        <v>161</v>
      </c>
      <c r="F1462" s="425">
        <v>50.47</v>
      </c>
      <c r="G1462" s="427" t="s">
        <v>1495</v>
      </c>
      <c r="H1462" s="415" t="s">
        <v>310</v>
      </c>
      <c r="I1462" s="473" t="s">
        <v>2008</v>
      </c>
      <c r="J1462" s="548" t="s">
        <v>2009</v>
      </c>
      <c r="K1462" s="415" t="s">
        <v>812</v>
      </c>
      <c r="L1462" s="415" t="s">
        <v>807</v>
      </c>
      <c r="M1462" s="415" t="s">
        <v>3002</v>
      </c>
      <c r="N1462" s="414">
        <v>44635</v>
      </c>
      <c r="O1462" s="414" t="s">
        <v>400</v>
      </c>
      <c r="P1462" s="222">
        <f t="shared" si="96"/>
        <v>3</v>
      </c>
      <c r="Q1462" s="222">
        <f t="shared" si="97"/>
        <v>3</v>
      </c>
      <c r="R1462" s="532" t="str">
        <f t="shared" si="98"/>
        <v>Gastos_com_Pessoal</v>
      </c>
      <c r="S1462" s="467" t="s">
        <v>310</v>
      </c>
      <c r="T1462" s="467" t="s">
        <v>310</v>
      </c>
      <c r="U1462" s="496"/>
      <c r="V1462" s="496"/>
      <c r="W1462" s="496"/>
    </row>
    <row r="1463" spans="1:23" ht="48" x14ac:dyDescent="0.2">
      <c r="A1463" s="510">
        <f t="shared" si="95"/>
        <v>1460</v>
      </c>
      <c r="B1463" s="428">
        <v>44631</v>
      </c>
      <c r="C1463" s="424">
        <v>44562</v>
      </c>
      <c r="D1463" s="415" t="s">
        <v>271</v>
      </c>
      <c r="E1463" s="415" t="s">
        <v>92</v>
      </c>
      <c r="F1463" s="425">
        <v>-114.88</v>
      </c>
      <c r="G1463" s="427" t="s">
        <v>2197</v>
      </c>
      <c r="H1463" s="415" t="s">
        <v>309</v>
      </c>
      <c r="I1463" s="474" t="s">
        <v>795</v>
      </c>
      <c r="J1463" s="434" t="s">
        <v>796</v>
      </c>
      <c r="K1463" s="434" t="s">
        <v>797</v>
      </c>
      <c r="L1463" s="434" t="s">
        <v>798</v>
      </c>
      <c r="M1463" s="436" t="s">
        <v>310</v>
      </c>
      <c r="N1463" s="414">
        <v>44631</v>
      </c>
      <c r="O1463" s="414" t="s">
        <v>400</v>
      </c>
      <c r="P1463" s="222">
        <f t="shared" si="96"/>
        <v>3</v>
      </c>
      <c r="Q1463" s="222">
        <f t="shared" si="97"/>
        <v>1</v>
      </c>
      <c r="R1463" s="532" t="str">
        <f t="shared" si="98"/>
        <v>Gastos_Gerais</v>
      </c>
      <c r="S1463" s="467" t="s">
        <v>310</v>
      </c>
      <c r="T1463" s="467" t="s">
        <v>310</v>
      </c>
      <c r="U1463" s="496"/>
      <c r="V1463" s="496"/>
      <c r="W1463" s="496"/>
    </row>
    <row r="1464" spans="1:23" ht="36" x14ac:dyDescent="0.2">
      <c r="A1464" s="510">
        <f t="shared" si="95"/>
        <v>1461</v>
      </c>
      <c r="B1464" s="428">
        <v>44631</v>
      </c>
      <c r="C1464" s="424">
        <v>44621</v>
      </c>
      <c r="D1464" s="415" t="s">
        <v>271</v>
      </c>
      <c r="E1464" s="415" t="s">
        <v>442</v>
      </c>
      <c r="F1464" s="425">
        <v>4850</v>
      </c>
      <c r="G1464" s="427" t="s">
        <v>1913</v>
      </c>
      <c r="H1464" s="415" t="s">
        <v>755</v>
      </c>
      <c r="I1464" s="473" t="s">
        <v>2215</v>
      </c>
      <c r="J1464" s="415" t="s">
        <v>1910</v>
      </c>
      <c r="K1464" s="415" t="s">
        <v>830</v>
      </c>
      <c r="L1464" s="415" t="s">
        <v>807</v>
      </c>
      <c r="M1464" s="415" t="s">
        <v>1608</v>
      </c>
      <c r="N1464" s="414">
        <v>44631</v>
      </c>
      <c r="O1464" s="414" t="s">
        <v>400</v>
      </c>
      <c r="P1464" s="222">
        <f t="shared" si="96"/>
        <v>3</v>
      </c>
      <c r="Q1464" s="222">
        <f t="shared" si="97"/>
        <v>3</v>
      </c>
      <c r="R1464" s="532" t="str">
        <f t="shared" si="98"/>
        <v>Gastos_Gerais</v>
      </c>
      <c r="S1464" s="467" t="s">
        <v>998</v>
      </c>
      <c r="T1464" s="467">
        <v>2943</v>
      </c>
      <c r="U1464" s="496"/>
      <c r="V1464" s="496"/>
      <c r="W1464" s="496"/>
    </row>
    <row r="1465" spans="1:23" ht="36" x14ac:dyDescent="0.2">
      <c r="A1465" s="510">
        <f t="shared" si="95"/>
        <v>1462</v>
      </c>
      <c r="B1465" s="428">
        <v>44631</v>
      </c>
      <c r="C1465" s="424">
        <v>44621</v>
      </c>
      <c r="D1465" s="415" t="s">
        <v>271</v>
      </c>
      <c r="E1465" s="415" t="s">
        <v>71</v>
      </c>
      <c r="F1465" s="425">
        <v>11</v>
      </c>
      <c r="G1465" s="427" t="s">
        <v>2217</v>
      </c>
      <c r="H1465" s="415" t="s">
        <v>754</v>
      </c>
      <c r="I1465" s="398" t="s">
        <v>881</v>
      </c>
      <c r="J1465" s="418" t="s">
        <v>882</v>
      </c>
      <c r="K1465" s="418" t="s">
        <v>883</v>
      </c>
      <c r="L1465" s="399" t="s">
        <v>798</v>
      </c>
      <c r="M1465" s="544" t="s">
        <v>310</v>
      </c>
      <c r="N1465" s="414">
        <v>44631</v>
      </c>
      <c r="O1465" s="414" t="s">
        <v>400</v>
      </c>
      <c r="P1465" s="222">
        <f t="shared" si="96"/>
        <v>3</v>
      </c>
      <c r="Q1465" s="222">
        <f t="shared" si="97"/>
        <v>3</v>
      </c>
      <c r="R1465" s="532" t="str">
        <f t="shared" si="98"/>
        <v>Gastos_Gerais</v>
      </c>
      <c r="S1465" s="467" t="s">
        <v>310</v>
      </c>
      <c r="T1465" s="467" t="s">
        <v>310</v>
      </c>
      <c r="U1465" s="496"/>
      <c r="V1465" s="496"/>
      <c r="W1465" s="496"/>
    </row>
    <row r="1466" spans="1:23" ht="36" x14ac:dyDescent="0.2">
      <c r="A1466" s="510">
        <f t="shared" si="95"/>
        <v>1463</v>
      </c>
      <c r="B1466" s="428">
        <v>44631</v>
      </c>
      <c r="C1466" s="424">
        <v>44621</v>
      </c>
      <c r="D1466" s="415" t="s">
        <v>271</v>
      </c>
      <c r="E1466" s="415" t="s">
        <v>71</v>
      </c>
      <c r="F1466" s="425">
        <v>11</v>
      </c>
      <c r="G1466" s="427" t="s">
        <v>2218</v>
      </c>
      <c r="H1466" s="415" t="s">
        <v>752</v>
      </c>
      <c r="I1466" s="398" t="s">
        <v>881</v>
      </c>
      <c r="J1466" s="418" t="s">
        <v>882</v>
      </c>
      <c r="K1466" s="418" t="s">
        <v>883</v>
      </c>
      <c r="L1466" s="399" t="s">
        <v>798</v>
      </c>
      <c r="M1466" s="544" t="s">
        <v>310</v>
      </c>
      <c r="N1466" s="414">
        <v>44631</v>
      </c>
      <c r="O1466" s="414" t="s">
        <v>400</v>
      </c>
      <c r="P1466" s="222">
        <f t="shared" si="96"/>
        <v>3</v>
      </c>
      <c r="Q1466" s="222">
        <f t="shared" si="97"/>
        <v>3</v>
      </c>
      <c r="R1466" s="532" t="str">
        <f t="shared" si="98"/>
        <v>Gastos_Gerais</v>
      </c>
      <c r="S1466" s="467" t="s">
        <v>310</v>
      </c>
      <c r="T1466" s="467" t="s">
        <v>310</v>
      </c>
      <c r="U1466" s="496"/>
      <c r="V1466" s="496"/>
      <c r="W1466" s="496"/>
    </row>
    <row r="1467" spans="1:23" ht="36" x14ac:dyDescent="0.2">
      <c r="A1467" s="510">
        <f t="shared" si="95"/>
        <v>1464</v>
      </c>
      <c r="B1467" s="428">
        <v>44631</v>
      </c>
      <c r="C1467" s="424">
        <v>44621</v>
      </c>
      <c r="D1467" s="415" t="s">
        <v>271</v>
      </c>
      <c r="E1467" s="415" t="s">
        <v>71</v>
      </c>
      <c r="F1467" s="425">
        <v>11</v>
      </c>
      <c r="G1467" s="427" t="s">
        <v>2219</v>
      </c>
      <c r="H1467" s="415" t="s">
        <v>755</v>
      </c>
      <c r="I1467" s="398" t="s">
        <v>881</v>
      </c>
      <c r="J1467" s="418" t="s">
        <v>882</v>
      </c>
      <c r="K1467" s="418" t="s">
        <v>883</v>
      </c>
      <c r="L1467" s="399" t="s">
        <v>798</v>
      </c>
      <c r="M1467" s="544" t="s">
        <v>310</v>
      </c>
      <c r="N1467" s="414">
        <v>44631</v>
      </c>
      <c r="O1467" s="414" t="s">
        <v>400</v>
      </c>
      <c r="P1467" s="222">
        <f t="shared" si="96"/>
        <v>3</v>
      </c>
      <c r="Q1467" s="222">
        <f t="shared" si="97"/>
        <v>3</v>
      </c>
      <c r="R1467" s="532" t="str">
        <f t="shared" si="98"/>
        <v>Gastos_Gerais</v>
      </c>
      <c r="S1467" s="467" t="s">
        <v>310</v>
      </c>
      <c r="T1467" s="467" t="s">
        <v>310</v>
      </c>
      <c r="U1467" s="496"/>
      <c r="V1467" s="496"/>
      <c r="W1467" s="496"/>
    </row>
    <row r="1468" spans="1:23" ht="36" x14ac:dyDescent="0.2">
      <c r="A1468" s="510">
        <f t="shared" si="95"/>
        <v>1465</v>
      </c>
      <c r="B1468" s="428">
        <v>44631</v>
      </c>
      <c r="C1468" s="424">
        <v>44621</v>
      </c>
      <c r="D1468" s="415" t="s">
        <v>271</v>
      </c>
      <c r="E1468" s="415" t="s">
        <v>71</v>
      </c>
      <c r="F1468" s="425">
        <v>11</v>
      </c>
      <c r="G1468" s="427" t="s">
        <v>2220</v>
      </c>
      <c r="H1468" s="415" t="s">
        <v>750</v>
      </c>
      <c r="I1468" s="398" t="s">
        <v>881</v>
      </c>
      <c r="J1468" s="418" t="s">
        <v>882</v>
      </c>
      <c r="K1468" s="418" t="s">
        <v>883</v>
      </c>
      <c r="L1468" s="399" t="s">
        <v>798</v>
      </c>
      <c r="M1468" s="544" t="s">
        <v>310</v>
      </c>
      <c r="N1468" s="414">
        <v>44631</v>
      </c>
      <c r="O1468" s="414" t="s">
        <v>400</v>
      </c>
      <c r="P1468" s="222">
        <f t="shared" si="96"/>
        <v>3</v>
      </c>
      <c r="Q1468" s="222">
        <f t="shared" si="97"/>
        <v>3</v>
      </c>
      <c r="R1468" s="532" t="str">
        <f t="shared" si="98"/>
        <v>Gastos_Gerais</v>
      </c>
      <c r="S1468" s="467" t="s">
        <v>310</v>
      </c>
      <c r="T1468" s="467" t="s">
        <v>310</v>
      </c>
      <c r="U1468" s="496"/>
      <c r="V1468" s="496"/>
      <c r="W1468" s="496"/>
    </row>
    <row r="1469" spans="1:23" ht="36" x14ac:dyDescent="0.2">
      <c r="A1469" s="510">
        <f t="shared" si="95"/>
        <v>1466</v>
      </c>
      <c r="B1469" s="428">
        <v>44631</v>
      </c>
      <c r="C1469" s="424">
        <v>44621</v>
      </c>
      <c r="D1469" s="415" t="s">
        <v>271</v>
      </c>
      <c r="E1469" s="415" t="s">
        <v>71</v>
      </c>
      <c r="F1469" s="425">
        <v>11</v>
      </c>
      <c r="G1469" s="427" t="s">
        <v>2221</v>
      </c>
      <c r="H1469" s="434" t="s">
        <v>309</v>
      </c>
      <c r="I1469" s="398" t="s">
        <v>881</v>
      </c>
      <c r="J1469" s="418" t="s">
        <v>882</v>
      </c>
      <c r="K1469" s="418" t="s">
        <v>883</v>
      </c>
      <c r="L1469" s="399" t="s">
        <v>798</v>
      </c>
      <c r="M1469" s="544" t="s">
        <v>310</v>
      </c>
      <c r="N1469" s="414">
        <v>44631</v>
      </c>
      <c r="O1469" s="414" t="s">
        <v>400</v>
      </c>
      <c r="P1469" s="222">
        <f t="shared" si="96"/>
        <v>3</v>
      </c>
      <c r="Q1469" s="222">
        <f t="shared" si="97"/>
        <v>3</v>
      </c>
      <c r="R1469" s="532" t="str">
        <f t="shared" si="98"/>
        <v>Gastos_Gerais</v>
      </c>
      <c r="S1469" s="467" t="s">
        <v>310</v>
      </c>
      <c r="T1469" s="467" t="s">
        <v>310</v>
      </c>
      <c r="U1469" s="496"/>
      <c r="V1469" s="496"/>
      <c r="W1469" s="496"/>
    </row>
    <row r="1470" spans="1:23" ht="36" x14ac:dyDescent="0.2">
      <c r="A1470" s="510">
        <f t="shared" ref="A1470:A1533" si="99">IF(B1470="","",ROW()-ROW($A$3))</f>
        <v>1467</v>
      </c>
      <c r="B1470" s="428">
        <v>44631</v>
      </c>
      <c r="C1470" s="424">
        <v>44621</v>
      </c>
      <c r="D1470" s="415" t="s">
        <v>271</v>
      </c>
      <c r="E1470" s="415" t="s">
        <v>71</v>
      </c>
      <c r="F1470" s="425">
        <v>11</v>
      </c>
      <c r="G1470" s="427" t="s">
        <v>2222</v>
      </c>
      <c r="H1470" s="415" t="s">
        <v>755</v>
      </c>
      <c r="I1470" s="398" t="s">
        <v>881</v>
      </c>
      <c r="J1470" s="418" t="s">
        <v>882</v>
      </c>
      <c r="K1470" s="418" t="s">
        <v>883</v>
      </c>
      <c r="L1470" s="399" t="s">
        <v>798</v>
      </c>
      <c r="M1470" s="544" t="s">
        <v>310</v>
      </c>
      <c r="N1470" s="414">
        <v>44631</v>
      </c>
      <c r="O1470" s="414" t="s">
        <v>400</v>
      </c>
      <c r="P1470" s="222">
        <f t="shared" si="96"/>
        <v>3</v>
      </c>
      <c r="Q1470" s="222">
        <f t="shared" si="97"/>
        <v>3</v>
      </c>
      <c r="R1470" s="532" t="str">
        <f t="shared" si="98"/>
        <v>Gastos_Gerais</v>
      </c>
      <c r="S1470" s="467" t="s">
        <v>310</v>
      </c>
      <c r="T1470" s="467" t="s">
        <v>310</v>
      </c>
      <c r="U1470" s="496"/>
      <c r="V1470" s="496"/>
      <c r="W1470" s="496"/>
    </row>
    <row r="1471" spans="1:23" ht="36" x14ac:dyDescent="0.2">
      <c r="A1471" s="510">
        <f t="shared" si="99"/>
        <v>1468</v>
      </c>
      <c r="B1471" s="428">
        <v>44631</v>
      </c>
      <c r="C1471" s="424">
        <v>44593</v>
      </c>
      <c r="D1471" s="415" t="s">
        <v>468</v>
      </c>
      <c r="E1471" s="415" t="s">
        <v>468</v>
      </c>
      <c r="F1471" s="425">
        <v>2750</v>
      </c>
      <c r="G1471" s="427" t="s">
        <v>694</v>
      </c>
      <c r="H1471" s="415" t="s">
        <v>468</v>
      </c>
      <c r="I1471" s="398" t="s">
        <v>2989</v>
      </c>
      <c r="J1471" s="418" t="s">
        <v>2477</v>
      </c>
      <c r="K1471" s="415" t="s">
        <v>830</v>
      </c>
      <c r="L1471" s="399" t="s">
        <v>807</v>
      </c>
      <c r="M1471" s="544">
        <v>20223</v>
      </c>
      <c r="N1471" s="414">
        <v>44631</v>
      </c>
      <c r="O1471" s="414" t="s">
        <v>408</v>
      </c>
      <c r="P1471" s="222">
        <f t="shared" si="96"/>
        <v>3</v>
      </c>
      <c r="Q1471" s="222">
        <f t="shared" si="97"/>
        <v>2</v>
      </c>
      <c r="R1471" s="532" t="str">
        <f t="shared" si="98"/>
        <v>Gastos_custeados_por_captação</v>
      </c>
      <c r="S1471" s="467" t="s">
        <v>1000</v>
      </c>
      <c r="T1471" s="467">
        <v>2740</v>
      </c>
      <c r="U1471" s="496"/>
      <c r="V1471" s="496"/>
      <c r="W1471" s="496"/>
    </row>
    <row r="1472" spans="1:23" ht="36" x14ac:dyDescent="0.2">
      <c r="A1472" s="510">
        <f t="shared" si="99"/>
        <v>1469</v>
      </c>
      <c r="B1472" s="428">
        <v>44631</v>
      </c>
      <c r="C1472" s="424">
        <v>44621</v>
      </c>
      <c r="D1472" s="415" t="s">
        <v>468</v>
      </c>
      <c r="E1472" s="415" t="s">
        <v>468</v>
      </c>
      <c r="F1472" s="425">
        <v>11</v>
      </c>
      <c r="G1472" s="427" t="s">
        <v>2469</v>
      </c>
      <c r="H1472" s="415" t="s">
        <v>468</v>
      </c>
      <c r="I1472" s="398" t="s">
        <v>881</v>
      </c>
      <c r="J1472" s="418" t="s">
        <v>882</v>
      </c>
      <c r="K1472" s="418" t="s">
        <v>883</v>
      </c>
      <c r="L1472" s="399" t="s">
        <v>798</v>
      </c>
      <c r="M1472" s="544" t="s">
        <v>310</v>
      </c>
      <c r="N1472" s="414">
        <v>44631</v>
      </c>
      <c r="O1472" s="414" t="s">
        <v>408</v>
      </c>
      <c r="P1472" s="222">
        <f t="shared" si="96"/>
        <v>3</v>
      </c>
      <c r="Q1472" s="222">
        <f t="shared" si="97"/>
        <v>3</v>
      </c>
      <c r="R1472" s="532" t="str">
        <f t="shared" si="98"/>
        <v>Gastos_custeados_por_captação</v>
      </c>
      <c r="S1472" s="467" t="s">
        <v>310</v>
      </c>
      <c r="T1472" s="467" t="s">
        <v>310</v>
      </c>
      <c r="U1472" s="496"/>
      <c r="V1472" s="496"/>
      <c r="W1472" s="496"/>
    </row>
    <row r="1473" spans="1:23" ht="60" x14ac:dyDescent="0.2">
      <c r="A1473" s="510">
        <f t="shared" si="99"/>
        <v>1470</v>
      </c>
      <c r="B1473" s="428">
        <v>44631</v>
      </c>
      <c r="C1473" s="424">
        <v>44562</v>
      </c>
      <c r="D1473" s="415" t="s">
        <v>271</v>
      </c>
      <c r="E1473" s="415" t="s">
        <v>297</v>
      </c>
      <c r="F1473" s="481">
        <v>2827.55</v>
      </c>
      <c r="G1473" s="482" t="s">
        <v>726</v>
      </c>
      <c r="H1473" s="415" t="s">
        <v>752</v>
      </c>
      <c r="I1473" s="479" t="s">
        <v>2198</v>
      </c>
      <c r="J1473" s="525" t="s">
        <v>1108</v>
      </c>
      <c r="K1473" s="415" t="s">
        <v>806</v>
      </c>
      <c r="L1473" s="415" t="s">
        <v>839</v>
      </c>
      <c r="M1473" s="560">
        <v>1621</v>
      </c>
      <c r="N1473" s="558">
        <v>44630</v>
      </c>
      <c r="O1473" s="414" t="s">
        <v>400</v>
      </c>
      <c r="P1473" s="222">
        <f t="shared" si="96"/>
        <v>3</v>
      </c>
      <c r="Q1473" s="222">
        <f t="shared" si="97"/>
        <v>1</v>
      </c>
      <c r="R1473" s="532" t="str">
        <f t="shared" si="98"/>
        <v>Gastos_Gerais</v>
      </c>
      <c r="S1473" s="467" t="s">
        <v>998</v>
      </c>
      <c r="T1473" s="467">
        <v>2797</v>
      </c>
      <c r="U1473" s="496"/>
      <c r="V1473" s="496"/>
      <c r="W1473" s="496"/>
    </row>
    <row r="1474" spans="1:23" ht="36" x14ac:dyDescent="0.2">
      <c r="A1474" s="510">
        <f t="shared" si="99"/>
        <v>1471</v>
      </c>
      <c r="B1474" s="428">
        <v>44631</v>
      </c>
      <c r="C1474" s="424">
        <v>44593</v>
      </c>
      <c r="D1474" s="415" t="s">
        <v>271</v>
      </c>
      <c r="E1474" s="415" t="s">
        <v>442</v>
      </c>
      <c r="F1474" s="481">
        <v>1150</v>
      </c>
      <c r="G1474" s="482" t="s">
        <v>1756</v>
      </c>
      <c r="H1474" s="415" t="s">
        <v>755</v>
      </c>
      <c r="I1474" s="479" t="s">
        <v>2213</v>
      </c>
      <c r="J1474" s="525" t="s">
        <v>1755</v>
      </c>
      <c r="K1474" s="415" t="s">
        <v>830</v>
      </c>
      <c r="L1474" s="415" t="s">
        <v>807</v>
      </c>
      <c r="M1474" s="560">
        <v>29</v>
      </c>
      <c r="N1474" s="558">
        <v>44630</v>
      </c>
      <c r="O1474" s="414" t="s">
        <v>400</v>
      </c>
      <c r="P1474" s="222">
        <f t="shared" si="96"/>
        <v>3</v>
      </c>
      <c r="Q1474" s="222">
        <f t="shared" si="97"/>
        <v>2</v>
      </c>
      <c r="R1474" s="532" t="str">
        <f t="shared" si="98"/>
        <v>Gastos_Gerais</v>
      </c>
      <c r="S1474" s="467" t="s">
        <v>998</v>
      </c>
      <c r="T1474" s="467">
        <v>2717</v>
      </c>
      <c r="U1474" s="496"/>
      <c r="V1474" s="496"/>
      <c r="W1474" s="496"/>
    </row>
    <row r="1475" spans="1:23" ht="84" x14ac:dyDescent="0.2">
      <c r="A1475" s="510">
        <f t="shared" si="99"/>
        <v>1472</v>
      </c>
      <c r="B1475" s="428">
        <v>44631</v>
      </c>
      <c r="C1475" s="424">
        <v>44593</v>
      </c>
      <c r="D1475" s="415" t="s">
        <v>468</v>
      </c>
      <c r="E1475" s="415" t="s">
        <v>468</v>
      </c>
      <c r="F1475" s="481">
        <v>4000</v>
      </c>
      <c r="G1475" s="482" t="s">
        <v>1885</v>
      </c>
      <c r="H1475" s="415" t="s">
        <v>468</v>
      </c>
      <c r="I1475" s="519" t="s">
        <v>2974</v>
      </c>
      <c r="J1475" s="526" t="s">
        <v>2975</v>
      </c>
      <c r="K1475" s="415" t="s">
        <v>806</v>
      </c>
      <c r="L1475" s="399" t="s">
        <v>1305</v>
      </c>
      <c r="M1475" s="557" t="s">
        <v>310</v>
      </c>
      <c r="N1475" s="558">
        <v>44630</v>
      </c>
      <c r="O1475" s="414" t="s">
        <v>405</v>
      </c>
      <c r="P1475" s="222">
        <f t="shared" si="96"/>
        <v>3</v>
      </c>
      <c r="Q1475" s="222">
        <f t="shared" si="97"/>
        <v>2</v>
      </c>
      <c r="R1475" s="532" t="str">
        <f t="shared" si="98"/>
        <v>Gastos_custeados_por_captação</v>
      </c>
      <c r="S1475" s="467" t="s">
        <v>998</v>
      </c>
      <c r="T1475" s="467">
        <v>2914</v>
      </c>
      <c r="U1475" s="496"/>
      <c r="V1475" s="496"/>
      <c r="W1475" s="496"/>
    </row>
    <row r="1476" spans="1:23" ht="48" x14ac:dyDescent="0.2">
      <c r="A1476" s="510">
        <f t="shared" si="99"/>
        <v>1473</v>
      </c>
      <c r="B1476" s="428">
        <v>44631</v>
      </c>
      <c r="C1476" s="424">
        <v>44593</v>
      </c>
      <c r="D1476" s="415" t="s">
        <v>271</v>
      </c>
      <c r="E1476" s="415" t="s">
        <v>1791</v>
      </c>
      <c r="F1476" s="481">
        <v>2122.3200000000002</v>
      </c>
      <c r="G1476" s="482" t="s">
        <v>1641</v>
      </c>
      <c r="H1476" s="415" t="s">
        <v>752</v>
      </c>
      <c r="I1476" s="479" t="s">
        <v>2202</v>
      </c>
      <c r="J1476" s="525" t="s">
        <v>1640</v>
      </c>
      <c r="K1476" s="415" t="s">
        <v>806</v>
      </c>
      <c r="L1476" s="415" t="s">
        <v>839</v>
      </c>
      <c r="M1476" s="560">
        <v>1619</v>
      </c>
      <c r="N1476" s="558">
        <v>44629</v>
      </c>
      <c r="O1476" s="414" t="s">
        <v>400</v>
      </c>
      <c r="P1476" s="222">
        <f t="shared" si="96"/>
        <v>3</v>
      </c>
      <c r="Q1476" s="222">
        <f t="shared" si="97"/>
        <v>2</v>
      </c>
      <c r="R1476" s="532" t="str">
        <f t="shared" si="98"/>
        <v>Gastos_Gerais</v>
      </c>
      <c r="S1476" s="467" t="s">
        <v>998</v>
      </c>
      <c r="T1476" s="467">
        <v>2884</v>
      </c>
      <c r="U1476" s="496"/>
      <c r="V1476" s="496"/>
      <c r="W1476" s="496"/>
    </row>
    <row r="1477" spans="1:23" ht="72" x14ac:dyDescent="0.2">
      <c r="A1477" s="510">
        <f t="shared" si="99"/>
        <v>1474</v>
      </c>
      <c r="B1477" s="428">
        <v>44631</v>
      </c>
      <c r="C1477" s="424">
        <v>44593</v>
      </c>
      <c r="D1477" s="415" t="s">
        <v>271</v>
      </c>
      <c r="E1477" s="415" t="s">
        <v>1791</v>
      </c>
      <c r="F1477" s="425">
        <v>1209.5999999999999</v>
      </c>
      <c r="G1477" s="427" t="s">
        <v>1783</v>
      </c>
      <c r="H1477" s="415" t="s">
        <v>752</v>
      </c>
      <c r="I1477" s="473" t="s">
        <v>2210</v>
      </c>
      <c r="J1477" s="415" t="s">
        <v>1782</v>
      </c>
      <c r="K1477" s="415" t="s">
        <v>830</v>
      </c>
      <c r="L1477" s="415" t="s">
        <v>839</v>
      </c>
      <c r="M1477" s="546">
        <v>1620</v>
      </c>
      <c r="N1477" s="414">
        <v>44629</v>
      </c>
      <c r="O1477" s="414" t="s">
        <v>400</v>
      </c>
      <c r="P1477" s="222">
        <f t="shared" si="96"/>
        <v>3</v>
      </c>
      <c r="Q1477" s="222">
        <f t="shared" si="97"/>
        <v>2</v>
      </c>
      <c r="R1477" s="532" t="str">
        <f t="shared" si="98"/>
        <v>Gastos_Gerais</v>
      </c>
      <c r="S1477" s="467" t="s">
        <v>998</v>
      </c>
      <c r="T1477" s="467">
        <v>2904</v>
      </c>
      <c r="U1477" s="496"/>
      <c r="V1477" s="496"/>
      <c r="W1477" s="496"/>
    </row>
    <row r="1478" spans="1:23" ht="48" x14ac:dyDescent="0.2">
      <c r="A1478" s="510">
        <f t="shared" si="99"/>
        <v>1475</v>
      </c>
      <c r="B1478" s="428">
        <v>44631</v>
      </c>
      <c r="C1478" s="424">
        <v>44621</v>
      </c>
      <c r="D1478" s="415" t="s">
        <v>271</v>
      </c>
      <c r="E1478" s="415" t="s">
        <v>466</v>
      </c>
      <c r="F1478" s="425">
        <v>2462.5500000000002</v>
      </c>
      <c r="G1478" s="427" t="s">
        <v>739</v>
      </c>
      <c r="H1478" s="415" t="s">
        <v>754</v>
      </c>
      <c r="I1478" s="473" t="s">
        <v>2206</v>
      </c>
      <c r="J1478" s="415" t="s">
        <v>1157</v>
      </c>
      <c r="K1478" s="415" t="s">
        <v>830</v>
      </c>
      <c r="L1478" s="415" t="s">
        <v>839</v>
      </c>
      <c r="M1478" s="546">
        <v>1612</v>
      </c>
      <c r="N1478" s="414">
        <v>44628</v>
      </c>
      <c r="O1478" s="414" t="s">
        <v>400</v>
      </c>
      <c r="P1478" s="222">
        <f t="shared" si="96"/>
        <v>3</v>
      </c>
      <c r="Q1478" s="222">
        <f t="shared" si="97"/>
        <v>3</v>
      </c>
      <c r="R1478" s="532" t="str">
        <f t="shared" si="98"/>
        <v>Gastos_Gerais</v>
      </c>
      <c r="S1478" s="467" t="s">
        <v>998</v>
      </c>
      <c r="T1478" s="467">
        <v>2810</v>
      </c>
      <c r="U1478" s="496"/>
      <c r="V1478" s="496"/>
      <c r="W1478" s="496"/>
    </row>
    <row r="1479" spans="1:23" ht="36" x14ac:dyDescent="0.2">
      <c r="A1479" s="510">
        <f t="shared" si="99"/>
        <v>1476</v>
      </c>
      <c r="B1479" s="428">
        <v>44631</v>
      </c>
      <c r="C1479" s="424">
        <v>44593</v>
      </c>
      <c r="D1479" s="415" t="s">
        <v>271</v>
      </c>
      <c r="E1479" s="415" t="s">
        <v>456</v>
      </c>
      <c r="F1479" s="425">
        <v>600</v>
      </c>
      <c r="G1479" s="427" t="s">
        <v>1884</v>
      </c>
      <c r="H1479" s="415" t="s">
        <v>750</v>
      </c>
      <c r="I1479" s="473" t="s">
        <v>2214</v>
      </c>
      <c r="J1479" s="415" t="s">
        <v>1877</v>
      </c>
      <c r="K1479" s="415" t="s">
        <v>830</v>
      </c>
      <c r="L1479" s="415" t="s">
        <v>32</v>
      </c>
      <c r="M1479" s="415" t="s">
        <v>1308</v>
      </c>
      <c r="N1479" s="414">
        <v>44624</v>
      </c>
      <c r="O1479" s="414" t="s">
        <v>400</v>
      </c>
      <c r="P1479" s="222">
        <f t="shared" si="96"/>
        <v>3</v>
      </c>
      <c r="Q1479" s="222">
        <f t="shared" si="97"/>
        <v>2</v>
      </c>
      <c r="R1479" s="532" t="str">
        <f t="shared" si="98"/>
        <v>Gastos_Gerais</v>
      </c>
      <c r="S1479" s="467" t="s">
        <v>998</v>
      </c>
      <c r="T1479" s="467">
        <v>2873</v>
      </c>
      <c r="U1479" s="496"/>
      <c r="V1479" s="496"/>
      <c r="W1479" s="496"/>
    </row>
    <row r="1480" spans="1:23" ht="96" x14ac:dyDescent="0.2">
      <c r="A1480" s="510">
        <f t="shared" si="99"/>
        <v>1477</v>
      </c>
      <c r="B1480" s="428">
        <v>44631</v>
      </c>
      <c r="C1480" s="431">
        <v>44562</v>
      </c>
      <c r="D1480" s="415" t="s">
        <v>468</v>
      </c>
      <c r="E1480" s="415" t="s">
        <v>468</v>
      </c>
      <c r="F1480" s="425">
        <v>5144.47</v>
      </c>
      <c r="G1480" s="427" t="s">
        <v>707</v>
      </c>
      <c r="H1480" s="415" t="s">
        <v>468</v>
      </c>
      <c r="I1480" s="473" t="s">
        <v>3026</v>
      </c>
      <c r="J1480" s="415" t="s">
        <v>1037</v>
      </c>
      <c r="K1480" s="415" t="s">
        <v>830</v>
      </c>
      <c r="L1480" s="415" t="s">
        <v>32</v>
      </c>
      <c r="M1480" s="415" t="s">
        <v>1503</v>
      </c>
      <c r="N1480" s="414">
        <v>44628</v>
      </c>
      <c r="O1480" s="414" t="s">
        <v>402</v>
      </c>
      <c r="P1480" s="222">
        <f t="shared" si="96"/>
        <v>3</v>
      </c>
      <c r="Q1480" s="222">
        <f t="shared" si="97"/>
        <v>1</v>
      </c>
      <c r="R1480" s="532" t="str">
        <f t="shared" si="98"/>
        <v>Gastos_custeados_por_captação</v>
      </c>
      <c r="S1480" s="467" t="s">
        <v>1000</v>
      </c>
      <c r="T1480" s="467">
        <v>2749</v>
      </c>
      <c r="U1480" s="496"/>
      <c r="V1480" s="496"/>
      <c r="W1480" s="496"/>
    </row>
    <row r="1481" spans="1:23" ht="72" x14ac:dyDescent="0.2">
      <c r="A1481" s="510">
        <f t="shared" si="99"/>
        <v>1478</v>
      </c>
      <c r="B1481" s="428">
        <v>44631</v>
      </c>
      <c r="C1481" s="431">
        <v>44562</v>
      </c>
      <c r="D1481" s="415" t="s">
        <v>468</v>
      </c>
      <c r="E1481" s="415" t="s">
        <v>468</v>
      </c>
      <c r="F1481" s="425">
        <v>2694.72</v>
      </c>
      <c r="G1481" s="427" t="s">
        <v>705</v>
      </c>
      <c r="H1481" s="415" t="s">
        <v>468</v>
      </c>
      <c r="I1481" s="473" t="s">
        <v>2510</v>
      </c>
      <c r="J1481" s="415" t="s">
        <v>1025</v>
      </c>
      <c r="K1481" s="415" t="s">
        <v>830</v>
      </c>
      <c r="L1481" s="415" t="s">
        <v>32</v>
      </c>
      <c r="M1481" s="415" t="s">
        <v>1892</v>
      </c>
      <c r="N1481" s="414">
        <v>44629</v>
      </c>
      <c r="O1481" s="414" t="s">
        <v>402</v>
      </c>
      <c r="P1481" s="222">
        <f t="shared" si="96"/>
        <v>3</v>
      </c>
      <c r="Q1481" s="222">
        <f t="shared" si="97"/>
        <v>1</v>
      </c>
      <c r="R1481" s="532" t="str">
        <f t="shared" si="98"/>
        <v>Gastos_custeados_por_captação</v>
      </c>
      <c r="S1481" s="467" t="s">
        <v>998</v>
      </c>
      <c r="T1481" s="467">
        <v>2731</v>
      </c>
      <c r="U1481" s="496"/>
      <c r="V1481" s="496"/>
      <c r="W1481" s="496"/>
    </row>
    <row r="1482" spans="1:23" ht="132" x14ac:dyDescent="0.2">
      <c r="A1482" s="510">
        <f t="shared" si="99"/>
        <v>1479</v>
      </c>
      <c r="B1482" s="428">
        <v>44631</v>
      </c>
      <c r="C1482" s="466">
        <v>44562</v>
      </c>
      <c r="D1482" s="415" t="s">
        <v>271</v>
      </c>
      <c r="E1482" s="415" t="s">
        <v>92</v>
      </c>
      <c r="F1482" s="435">
        <v>435</v>
      </c>
      <c r="G1482" s="437" t="s">
        <v>473</v>
      </c>
      <c r="H1482" s="434" t="s">
        <v>309</v>
      </c>
      <c r="I1482" s="460" t="s">
        <v>1488</v>
      </c>
      <c r="J1482" s="418" t="s">
        <v>1078</v>
      </c>
      <c r="K1482" s="418" t="s">
        <v>1353</v>
      </c>
      <c r="L1482" s="399" t="s">
        <v>1489</v>
      </c>
      <c r="M1482" s="415">
        <v>22103</v>
      </c>
      <c r="N1482" s="414">
        <v>44603</v>
      </c>
      <c r="O1482" s="414" t="s">
        <v>400</v>
      </c>
      <c r="P1482" s="222">
        <f t="shared" si="96"/>
        <v>3</v>
      </c>
      <c r="Q1482" s="222">
        <f t="shared" si="97"/>
        <v>1</v>
      </c>
      <c r="R1482" s="532" t="str">
        <f t="shared" si="98"/>
        <v>Gastos_Gerais</v>
      </c>
      <c r="S1482" s="467" t="s">
        <v>1000</v>
      </c>
      <c r="T1482" s="467">
        <v>2667</v>
      </c>
      <c r="U1482" s="496"/>
      <c r="V1482" s="496"/>
      <c r="W1482" s="496"/>
    </row>
    <row r="1483" spans="1:23" ht="72" x14ac:dyDescent="0.2">
      <c r="A1483" s="510">
        <f t="shared" si="99"/>
        <v>1480</v>
      </c>
      <c r="B1483" s="590">
        <v>44631</v>
      </c>
      <c r="C1483" s="424">
        <v>44621</v>
      </c>
      <c r="D1483" s="415" t="s">
        <v>468</v>
      </c>
      <c r="E1483" s="415" t="s">
        <v>468</v>
      </c>
      <c r="F1483" s="459">
        <v>981</v>
      </c>
      <c r="G1483" s="461" t="s">
        <v>1978</v>
      </c>
      <c r="H1483" s="415" t="s">
        <v>468</v>
      </c>
      <c r="I1483" s="461" t="s">
        <v>3036</v>
      </c>
      <c r="J1483" s="468" t="s">
        <v>3063</v>
      </c>
      <c r="K1483" s="415" t="s">
        <v>830</v>
      </c>
      <c r="L1483" s="415" t="s">
        <v>807</v>
      </c>
      <c r="M1483" s="464">
        <v>197</v>
      </c>
      <c r="N1483" s="469">
        <v>44630</v>
      </c>
      <c r="O1483" s="414" t="s">
        <v>407</v>
      </c>
      <c r="P1483" s="222">
        <f t="shared" si="96"/>
        <v>3</v>
      </c>
      <c r="Q1483" s="222">
        <f t="shared" si="97"/>
        <v>3</v>
      </c>
      <c r="R1483" s="415" t="str">
        <f t="shared" si="98"/>
        <v>Gastos_custeados_por_captação</v>
      </c>
      <c r="S1483" s="467" t="s">
        <v>999</v>
      </c>
      <c r="T1483" s="467">
        <v>3079</v>
      </c>
      <c r="U1483" s="497"/>
      <c r="V1483" s="497"/>
      <c r="W1483" s="497"/>
    </row>
    <row r="1484" spans="1:23" ht="72" x14ac:dyDescent="0.2">
      <c r="A1484" s="510">
        <f t="shared" si="99"/>
        <v>1481</v>
      </c>
      <c r="B1484" s="590">
        <v>44631</v>
      </c>
      <c r="C1484" s="424">
        <v>44409</v>
      </c>
      <c r="D1484" s="415" t="s">
        <v>468</v>
      </c>
      <c r="E1484" s="415" t="s">
        <v>468</v>
      </c>
      <c r="F1484" s="459">
        <v>35000</v>
      </c>
      <c r="G1484" s="587" t="s">
        <v>3126</v>
      </c>
      <c r="H1484" s="415" t="s">
        <v>468</v>
      </c>
      <c r="I1484" s="461" t="s">
        <v>3032</v>
      </c>
      <c r="J1484" s="468" t="s">
        <v>1100</v>
      </c>
      <c r="K1484" s="415" t="s">
        <v>830</v>
      </c>
      <c r="L1484" s="415" t="s">
        <v>807</v>
      </c>
      <c r="M1484" s="464">
        <v>214</v>
      </c>
      <c r="N1484" s="469">
        <v>44630</v>
      </c>
      <c r="O1484" s="414" t="s">
        <v>407</v>
      </c>
      <c r="P1484" s="222">
        <f t="shared" si="96"/>
        <v>3</v>
      </c>
      <c r="Q1484" s="222">
        <f t="shared" si="97"/>
        <v>-4</v>
      </c>
      <c r="R1484" s="415" t="str">
        <f t="shared" si="98"/>
        <v>Gastos_custeados_por_captação</v>
      </c>
      <c r="S1484" s="467" t="s">
        <v>998</v>
      </c>
      <c r="T1484" s="467">
        <v>1790</v>
      </c>
      <c r="U1484" s="497"/>
      <c r="V1484" s="497"/>
      <c r="W1484" s="497"/>
    </row>
    <row r="1485" spans="1:23" ht="72" x14ac:dyDescent="0.2">
      <c r="A1485" s="510">
        <f t="shared" si="99"/>
        <v>1482</v>
      </c>
      <c r="B1485" s="590">
        <v>44631</v>
      </c>
      <c r="C1485" s="424">
        <v>44470</v>
      </c>
      <c r="D1485" s="415" t="s">
        <v>468</v>
      </c>
      <c r="E1485" s="415" t="s">
        <v>468</v>
      </c>
      <c r="F1485" s="459">
        <v>1.62</v>
      </c>
      <c r="G1485" s="427" t="s">
        <v>3128</v>
      </c>
      <c r="H1485" s="415" t="s">
        <v>468</v>
      </c>
      <c r="I1485" s="399" t="s">
        <v>881</v>
      </c>
      <c r="J1485" s="418" t="s">
        <v>882</v>
      </c>
      <c r="K1485" s="418" t="s">
        <v>883</v>
      </c>
      <c r="L1485" s="464" t="s">
        <v>3073</v>
      </c>
      <c r="M1485" s="464" t="s">
        <v>310</v>
      </c>
      <c r="N1485" s="469">
        <v>44634</v>
      </c>
      <c r="O1485" s="414" t="s">
        <v>407</v>
      </c>
      <c r="P1485" s="222">
        <f t="shared" si="96"/>
        <v>3</v>
      </c>
      <c r="Q1485" s="222">
        <f t="shared" si="97"/>
        <v>-2</v>
      </c>
      <c r="R1485" s="415" t="str">
        <f t="shared" si="98"/>
        <v>Gastos_custeados_por_captação</v>
      </c>
      <c r="S1485" s="467" t="s">
        <v>310</v>
      </c>
      <c r="T1485" s="467" t="s">
        <v>310</v>
      </c>
      <c r="U1485" s="497"/>
      <c r="V1485" s="497"/>
      <c r="W1485" s="497"/>
    </row>
    <row r="1486" spans="1:23" ht="84" x14ac:dyDescent="0.2">
      <c r="A1486" s="510">
        <f t="shared" si="99"/>
        <v>1483</v>
      </c>
      <c r="B1486" s="590">
        <v>44631</v>
      </c>
      <c r="C1486" s="424">
        <v>44470</v>
      </c>
      <c r="D1486" s="415" t="s">
        <v>468</v>
      </c>
      <c r="E1486" s="415" t="s">
        <v>468</v>
      </c>
      <c r="F1486" s="459">
        <v>425</v>
      </c>
      <c r="G1486" s="587" t="s">
        <v>3127</v>
      </c>
      <c r="H1486" s="415" t="s">
        <v>468</v>
      </c>
      <c r="I1486" s="461" t="s">
        <v>3037</v>
      </c>
      <c r="J1486" s="464">
        <v>218413289</v>
      </c>
      <c r="K1486" s="415" t="s">
        <v>2968</v>
      </c>
      <c r="L1486" s="415" t="s">
        <v>1305</v>
      </c>
      <c r="M1486" s="464" t="s">
        <v>1305</v>
      </c>
      <c r="N1486" s="469">
        <v>44627</v>
      </c>
      <c r="O1486" s="414" t="s">
        <v>407</v>
      </c>
      <c r="P1486" s="222">
        <f t="shared" si="96"/>
        <v>3</v>
      </c>
      <c r="Q1486" s="222">
        <f t="shared" si="97"/>
        <v>-2</v>
      </c>
      <c r="R1486" s="415" t="str">
        <f t="shared" si="98"/>
        <v>Gastos_custeados_por_captação</v>
      </c>
      <c r="S1486" s="467" t="s">
        <v>998</v>
      </c>
      <c r="T1486" s="467">
        <v>2152</v>
      </c>
      <c r="U1486" s="497"/>
      <c r="V1486" s="497"/>
      <c r="W1486" s="497"/>
    </row>
    <row r="1487" spans="1:23" ht="48" x14ac:dyDescent="0.2">
      <c r="A1487" s="510">
        <f t="shared" si="99"/>
        <v>1484</v>
      </c>
      <c r="B1487" s="428">
        <v>44634</v>
      </c>
      <c r="C1487" s="424">
        <v>44593</v>
      </c>
      <c r="D1487" s="415" t="s">
        <v>271</v>
      </c>
      <c r="E1487" s="415" t="s">
        <v>163</v>
      </c>
      <c r="F1487" s="425">
        <v>-75.52</v>
      </c>
      <c r="G1487" s="427" t="s">
        <v>2225</v>
      </c>
      <c r="H1487" s="415" t="s">
        <v>309</v>
      </c>
      <c r="I1487" s="479" t="s">
        <v>795</v>
      </c>
      <c r="J1487" s="525" t="s">
        <v>796</v>
      </c>
      <c r="K1487" s="415" t="s">
        <v>797</v>
      </c>
      <c r="L1487" s="415" t="s">
        <v>798</v>
      </c>
      <c r="M1487" s="415" t="s">
        <v>310</v>
      </c>
      <c r="N1487" s="414">
        <v>44634</v>
      </c>
      <c r="O1487" s="414" t="s">
        <v>400</v>
      </c>
      <c r="P1487" s="222">
        <f t="shared" si="96"/>
        <v>3</v>
      </c>
      <c r="Q1487" s="222">
        <f t="shared" si="97"/>
        <v>2</v>
      </c>
      <c r="R1487" s="532" t="str">
        <f t="shared" si="98"/>
        <v>Gastos_Gerais</v>
      </c>
      <c r="S1487" s="467" t="s">
        <v>310</v>
      </c>
      <c r="T1487" s="467" t="s">
        <v>310</v>
      </c>
      <c r="U1487" s="496"/>
      <c r="V1487" s="496"/>
      <c r="W1487" s="496"/>
    </row>
    <row r="1488" spans="1:23" ht="48" x14ac:dyDescent="0.2">
      <c r="A1488" s="510">
        <f t="shared" si="99"/>
        <v>1485</v>
      </c>
      <c r="B1488" s="428">
        <v>44634</v>
      </c>
      <c r="C1488" s="424">
        <v>44593</v>
      </c>
      <c r="D1488" s="415" t="s">
        <v>271</v>
      </c>
      <c r="E1488" s="415" t="s">
        <v>92</v>
      </c>
      <c r="F1488" s="425">
        <v>-132.05000000000001</v>
      </c>
      <c r="G1488" s="427" t="s">
        <v>2226</v>
      </c>
      <c r="H1488" s="415" t="s">
        <v>309</v>
      </c>
      <c r="I1488" s="479" t="s">
        <v>795</v>
      </c>
      <c r="J1488" s="525" t="s">
        <v>796</v>
      </c>
      <c r="K1488" s="415" t="s">
        <v>797</v>
      </c>
      <c r="L1488" s="399" t="s">
        <v>798</v>
      </c>
      <c r="M1488" s="544" t="s">
        <v>310</v>
      </c>
      <c r="N1488" s="414">
        <v>44634</v>
      </c>
      <c r="O1488" s="414" t="s">
        <v>400</v>
      </c>
      <c r="P1488" s="222">
        <f t="shared" si="96"/>
        <v>3</v>
      </c>
      <c r="Q1488" s="222">
        <f t="shared" si="97"/>
        <v>2</v>
      </c>
      <c r="R1488" s="532" t="str">
        <f t="shared" si="98"/>
        <v>Gastos_Gerais</v>
      </c>
      <c r="S1488" s="467" t="s">
        <v>310</v>
      </c>
      <c r="T1488" s="467" t="s">
        <v>310</v>
      </c>
      <c r="U1488" s="496"/>
      <c r="V1488" s="496"/>
      <c r="W1488" s="496"/>
    </row>
    <row r="1489" spans="1:23" ht="36" x14ac:dyDescent="0.2">
      <c r="A1489" s="510">
        <f t="shared" si="99"/>
        <v>1486</v>
      </c>
      <c r="B1489" s="428">
        <v>44634</v>
      </c>
      <c r="C1489" s="424">
        <v>44621</v>
      </c>
      <c r="D1489" s="415" t="s">
        <v>271</v>
      </c>
      <c r="E1489" s="415" t="s">
        <v>71</v>
      </c>
      <c r="F1489" s="425">
        <v>11</v>
      </c>
      <c r="G1489" s="427" t="s">
        <v>2235</v>
      </c>
      <c r="H1489" s="415" t="s">
        <v>754</v>
      </c>
      <c r="I1489" s="398" t="s">
        <v>881</v>
      </c>
      <c r="J1489" s="418" t="s">
        <v>882</v>
      </c>
      <c r="K1489" s="418" t="s">
        <v>883</v>
      </c>
      <c r="L1489" s="399" t="s">
        <v>798</v>
      </c>
      <c r="M1489" s="544" t="s">
        <v>310</v>
      </c>
      <c r="N1489" s="414">
        <v>44634</v>
      </c>
      <c r="O1489" s="414" t="s">
        <v>400</v>
      </c>
      <c r="P1489" s="222">
        <f t="shared" si="96"/>
        <v>3</v>
      </c>
      <c r="Q1489" s="222">
        <f t="shared" si="97"/>
        <v>3</v>
      </c>
      <c r="R1489" s="532" t="str">
        <f t="shared" si="98"/>
        <v>Gastos_Gerais</v>
      </c>
      <c r="S1489" s="467" t="s">
        <v>310</v>
      </c>
      <c r="T1489" s="467" t="s">
        <v>310</v>
      </c>
      <c r="U1489" s="496"/>
      <c r="V1489" s="496"/>
      <c r="W1489" s="496"/>
    </row>
    <row r="1490" spans="1:23" ht="36" x14ac:dyDescent="0.2">
      <c r="A1490" s="510">
        <f t="shared" si="99"/>
        <v>1487</v>
      </c>
      <c r="B1490" s="428">
        <v>44634</v>
      </c>
      <c r="C1490" s="424">
        <v>44621</v>
      </c>
      <c r="D1490" s="415" t="s">
        <v>271</v>
      </c>
      <c r="E1490" s="415" t="s">
        <v>71</v>
      </c>
      <c r="F1490" s="425">
        <v>11</v>
      </c>
      <c r="G1490" s="427" t="s">
        <v>2236</v>
      </c>
      <c r="H1490" s="415" t="s">
        <v>792</v>
      </c>
      <c r="I1490" s="398" t="s">
        <v>881</v>
      </c>
      <c r="J1490" s="418" t="s">
        <v>882</v>
      </c>
      <c r="K1490" s="418" t="s">
        <v>883</v>
      </c>
      <c r="L1490" s="399" t="s">
        <v>798</v>
      </c>
      <c r="M1490" s="544" t="s">
        <v>310</v>
      </c>
      <c r="N1490" s="414">
        <v>44634</v>
      </c>
      <c r="O1490" s="414" t="s">
        <v>400</v>
      </c>
      <c r="P1490" s="222">
        <f t="shared" si="96"/>
        <v>3</v>
      </c>
      <c r="Q1490" s="222">
        <f t="shared" si="97"/>
        <v>3</v>
      </c>
      <c r="R1490" s="532" t="str">
        <f t="shared" si="98"/>
        <v>Gastos_Gerais</v>
      </c>
      <c r="S1490" s="467" t="s">
        <v>310</v>
      </c>
      <c r="T1490" s="467" t="s">
        <v>310</v>
      </c>
      <c r="U1490" s="496"/>
      <c r="V1490" s="496"/>
      <c r="W1490" s="496"/>
    </row>
    <row r="1491" spans="1:23" ht="36" x14ac:dyDescent="0.2">
      <c r="A1491" s="510">
        <f t="shared" si="99"/>
        <v>1488</v>
      </c>
      <c r="B1491" s="428">
        <v>44634</v>
      </c>
      <c r="C1491" s="424">
        <v>44621</v>
      </c>
      <c r="D1491" s="415" t="s">
        <v>468</v>
      </c>
      <c r="E1491" s="415" t="s">
        <v>468</v>
      </c>
      <c r="F1491" s="425">
        <v>153</v>
      </c>
      <c r="G1491" s="427" t="s">
        <v>880</v>
      </c>
      <c r="H1491" s="415" t="s">
        <v>468</v>
      </c>
      <c r="I1491" s="398" t="s">
        <v>881</v>
      </c>
      <c r="J1491" s="418" t="s">
        <v>882</v>
      </c>
      <c r="K1491" s="418" t="s">
        <v>883</v>
      </c>
      <c r="L1491" s="399" t="s">
        <v>798</v>
      </c>
      <c r="M1491" s="544" t="s">
        <v>310</v>
      </c>
      <c r="N1491" s="414">
        <v>44634</v>
      </c>
      <c r="O1491" s="414" t="s">
        <v>408</v>
      </c>
      <c r="P1491" s="222">
        <f t="shared" si="96"/>
        <v>3</v>
      </c>
      <c r="Q1491" s="222">
        <f t="shared" si="97"/>
        <v>3</v>
      </c>
      <c r="R1491" s="532" t="str">
        <f t="shared" si="98"/>
        <v>Gastos_custeados_por_captação</v>
      </c>
      <c r="S1491" s="467" t="s">
        <v>310</v>
      </c>
      <c r="T1491" s="467" t="s">
        <v>310</v>
      </c>
      <c r="U1491" s="496"/>
      <c r="V1491" s="496"/>
      <c r="W1491" s="496"/>
    </row>
    <row r="1492" spans="1:23" ht="36" x14ac:dyDescent="0.2">
      <c r="A1492" s="510">
        <f t="shared" si="99"/>
        <v>1489</v>
      </c>
      <c r="B1492" s="428">
        <v>44634</v>
      </c>
      <c r="C1492" s="424">
        <v>44593</v>
      </c>
      <c r="D1492" s="415" t="s">
        <v>271</v>
      </c>
      <c r="E1492" s="415" t="s">
        <v>297</v>
      </c>
      <c r="F1492" s="425">
        <v>9800</v>
      </c>
      <c r="G1492" s="427" t="s">
        <v>1962</v>
      </c>
      <c r="H1492" s="415" t="s">
        <v>792</v>
      </c>
      <c r="I1492" s="473" t="s">
        <v>2233</v>
      </c>
      <c r="J1492" s="415" t="s">
        <v>1963</v>
      </c>
      <c r="K1492" s="415" t="s">
        <v>830</v>
      </c>
      <c r="L1492" s="415" t="s">
        <v>807</v>
      </c>
      <c r="M1492" s="415" t="s">
        <v>1793</v>
      </c>
      <c r="N1492" s="414">
        <v>44631</v>
      </c>
      <c r="O1492" s="414" t="s">
        <v>400</v>
      </c>
      <c r="P1492" s="222">
        <f t="shared" si="96"/>
        <v>3</v>
      </c>
      <c r="Q1492" s="222">
        <f t="shared" si="97"/>
        <v>2</v>
      </c>
      <c r="R1492" s="532" t="str">
        <f t="shared" si="98"/>
        <v>Gastos_Gerais</v>
      </c>
      <c r="S1492" s="467" t="s">
        <v>1000</v>
      </c>
      <c r="T1492" s="467">
        <v>2875</v>
      </c>
      <c r="U1492" s="496"/>
      <c r="V1492" s="496"/>
      <c r="W1492" s="496"/>
    </row>
    <row r="1493" spans="1:23" ht="72" x14ac:dyDescent="0.2">
      <c r="A1493" s="510">
        <f t="shared" si="99"/>
        <v>1490</v>
      </c>
      <c r="B1493" s="428">
        <v>44634</v>
      </c>
      <c r="C1493" s="424">
        <v>44593</v>
      </c>
      <c r="D1493" s="415" t="s">
        <v>271</v>
      </c>
      <c r="E1493" s="415" t="s">
        <v>462</v>
      </c>
      <c r="F1493" s="425">
        <v>619.36</v>
      </c>
      <c r="G1493" s="427" t="s">
        <v>1829</v>
      </c>
      <c r="H1493" s="415" t="s">
        <v>754</v>
      </c>
      <c r="I1493" s="473" t="s">
        <v>2231</v>
      </c>
      <c r="J1493" s="415" t="s">
        <v>1093</v>
      </c>
      <c r="K1493" s="415" t="s">
        <v>830</v>
      </c>
      <c r="L1493" s="415" t="s">
        <v>807</v>
      </c>
      <c r="M1493" s="415" t="s">
        <v>1540</v>
      </c>
      <c r="N1493" s="414">
        <v>44628</v>
      </c>
      <c r="O1493" s="414" t="s">
        <v>400</v>
      </c>
      <c r="P1493" s="222">
        <f t="shared" si="96"/>
        <v>3</v>
      </c>
      <c r="Q1493" s="222">
        <f t="shared" si="97"/>
        <v>2</v>
      </c>
      <c r="R1493" s="532" t="str">
        <f t="shared" si="98"/>
        <v>Gastos_Gerais</v>
      </c>
      <c r="S1493" s="467" t="s">
        <v>998</v>
      </c>
      <c r="T1493" s="467">
        <v>2921</v>
      </c>
      <c r="U1493" s="496"/>
      <c r="V1493" s="496"/>
      <c r="W1493" s="496"/>
    </row>
    <row r="1494" spans="1:23" ht="36" x14ac:dyDescent="0.2">
      <c r="A1494" s="510">
        <f t="shared" si="99"/>
        <v>1491</v>
      </c>
      <c r="B1494" s="428">
        <v>44634</v>
      </c>
      <c r="C1494" s="424">
        <v>44593</v>
      </c>
      <c r="D1494" s="415" t="s">
        <v>271</v>
      </c>
      <c r="E1494" s="415" t="s">
        <v>64</v>
      </c>
      <c r="F1494" s="425">
        <v>12</v>
      </c>
      <c r="G1494" s="427" t="s">
        <v>1328</v>
      </c>
      <c r="H1494" s="415" t="s">
        <v>309</v>
      </c>
      <c r="I1494" s="473" t="s">
        <v>1329</v>
      </c>
      <c r="J1494" s="415" t="s">
        <v>2228</v>
      </c>
      <c r="K1494" s="415" t="s">
        <v>812</v>
      </c>
      <c r="L1494" s="415" t="s">
        <v>32</v>
      </c>
      <c r="M1494" s="415" t="s">
        <v>2229</v>
      </c>
      <c r="N1494" s="414">
        <v>44627</v>
      </c>
      <c r="O1494" s="414" t="s">
        <v>400</v>
      </c>
      <c r="P1494" s="222">
        <f t="shared" si="96"/>
        <v>3</v>
      </c>
      <c r="Q1494" s="222">
        <f t="shared" si="97"/>
        <v>2</v>
      </c>
      <c r="R1494" s="532" t="str">
        <f t="shared" si="98"/>
        <v>Gastos_Gerais</v>
      </c>
      <c r="S1494" s="467" t="s">
        <v>310</v>
      </c>
      <c r="T1494" s="467" t="s">
        <v>310</v>
      </c>
      <c r="U1494" s="496"/>
      <c r="V1494" s="496"/>
      <c r="W1494" s="496"/>
    </row>
    <row r="1495" spans="1:23" ht="48" x14ac:dyDescent="0.2">
      <c r="A1495" s="510">
        <f t="shared" si="99"/>
        <v>1492</v>
      </c>
      <c r="B1495" s="428">
        <v>44634</v>
      </c>
      <c r="C1495" s="424">
        <v>44593</v>
      </c>
      <c r="D1495" s="415" t="s">
        <v>271</v>
      </c>
      <c r="E1495" s="415" t="s">
        <v>92</v>
      </c>
      <c r="F1495" s="425">
        <v>500</v>
      </c>
      <c r="G1495" s="427" t="s">
        <v>692</v>
      </c>
      <c r="H1495" s="415" t="s">
        <v>309</v>
      </c>
      <c r="I1495" s="460" t="s">
        <v>1371</v>
      </c>
      <c r="J1495" s="415" t="s">
        <v>1123</v>
      </c>
      <c r="K1495" s="415" t="s">
        <v>812</v>
      </c>
      <c r="L1495" s="415" t="s">
        <v>1372</v>
      </c>
      <c r="M1495" s="415" t="s">
        <v>2230</v>
      </c>
      <c r="N1495" s="414">
        <v>44624</v>
      </c>
      <c r="O1495" s="414" t="s">
        <v>400</v>
      </c>
      <c r="P1495" s="222">
        <f t="shared" ref="P1495:P1558" si="100">IF(B1495=0,0,IF(YEAR(B1495)=$Q$1,MONTH(B1495)-$P$1+1,(YEAR(B1495)-$Q$1)*12-$P$1+1+MONTH(B1495)))</f>
        <v>3</v>
      </c>
      <c r="Q1495" s="222">
        <f t="shared" ref="Q1495:Q1558" si="101">IF(C1495=0,0,IF(YEAR(C1495)=$Q$1,MONTH(C1495)-$P$1+1,(YEAR(C1495)-$Q$1)*12-$P$1+1+MONTH(C1495)))</f>
        <v>2</v>
      </c>
      <c r="R1495" s="532" t="str">
        <f t="shared" ref="R1495:R1558" si="102">SUBSTITUTE(D1495," ","_")</f>
        <v>Gastos_Gerais</v>
      </c>
      <c r="S1495" s="467" t="s">
        <v>1000</v>
      </c>
      <c r="T1495" s="467">
        <v>2665</v>
      </c>
      <c r="U1495" s="496"/>
      <c r="V1495" s="496"/>
      <c r="W1495" s="496"/>
    </row>
    <row r="1496" spans="1:23" ht="24" x14ac:dyDescent="0.2">
      <c r="A1496" s="510">
        <f t="shared" si="99"/>
        <v>1493</v>
      </c>
      <c r="B1496" s="428">
        <v>44634</v>
      </c>
      <c r="C1496" s="424">
        <v>44593</v>
      </c>
      <c r="D1496" s="415" t="s">
        <v>271</v>
      </c>
      <c r="E1496" s="415" t="s">
        <v>163</v>
      </c>
      <c r="F1496" s="435">
        <v>285.95</v>
      </c>
      <c r="G1496" s="437" t="s">
        <v>1327</v>
      </c>
      <c r="H1496" s="434" t="s">
        <v>309</v>
      </c>
      <c r="I1496" s="474" t="s">
        <v>768</v>
      </c>
      <c r="J1496" s="434" t="s">
        <v>1021</v>
      </c>
      <c r="K1496" s="434" t="s">
        <v>1404</v>
      </c>
      <c r="L1496" s="415" t="s">
        <v>807</v>
      </c>
      <c r="M1496" s="434" t="s">
        <v>2227</v>
      </c>
      <c r="N1496" s="455">
        <v>44611</v>
      </c>
      <c r="O1496" s="414" t="s">
        <v>400</v>
      </c>
      <c r="P1496" s="222">
        <f t="shared" si="100"/>
        <v>3</v>
      </c>
      <c r="Q1496" s="222">
        <f t="shared" si="101"/>
        <v>2</v>
      </c>
      <c r="R1496" s="532" t="str">
        <f t="shared" si="102"/>
        <v>Gastos_Gerais</v>
      </c>
      <c r="S1496" s="467" t="s">
        <v>310</v>
      </c>
      <c r="T1496" s="467" t="s">
        <v>310</v>
      </c>
      <c r="U1496" s="496"/>
      <c r="V1496" s="496"/>
      <c r="W1496" s="496"/>
    </row>
    <row r="1497" spans="1:23" ht="72" x14ac:dyDescent="0.2">
      <c r="A1497" s="510">
        <f t="shared" si="99"/>
        <v>1494</v>
      </c>
      <c r="B1497" s="590">
        <v>44634</v>
      </c>
      <c r="C1497" s="424">
        <v>44470</v>
      </c>
      <c r="D1497" s="415" t="s">
        <v>468</v>
      </c>
      <c r="E1497" s="415" t="s">
        <v>468</v>
      </c>
      <c r="F1497" s="459">
        <v>440</v>
      </c>
      <c r="G1497" s="427" t="s">
        <v>3130</v>
      </c>
      <c r="H1497" s="415" t="s">
        <v>468</v>
      </c>
      <c r="I1497" s="399" t="s">
        <v>881</v>
      </c>
      <c r="J1497" s="418" t="s">
        <v>882</v>
      </c>
      <c r="K1497" s="418" t="s">
        <v>883</v>
      </c>
      <c r="L1497" s="464" t="s">
        <v>3073</v>
      </c>
      <c r="M1497" s="464" t="s">
        <v>310</v>
      </c>
      <c r="N1497" s="469">
        <v>44634</v>
      </c>
      <c r="O1497" s="414" t="s">
        <v>407</v>
      </c>
      <c r="P1497" s="222">
        <f t="shared" si="100"/>
        <v>3</v>
      </c>
      <c r="Q1497" s="222">
        <f t="shared" si="101"/>
        <v>-2</v>
      </c>
      <c r="R1497" s="415" t="str">
        <f t="shared" si="102"/>
        <v>Gastos_custeados_por_captação</v>
      </c>
      <c r="S1497" s="467" t="s">
        <v>310</v>
      </c>
      <c r="T1497" s="467" t="s">
        <v>310</v>
      </c>
      <c r="U1497" s="497"/>
      <c r="V1497" s="497"/>
      <c r="W1497" s="497"/>
    </row>
    <row r="1498" spans="1:23" ht="72" x14ac:dyDescent="0.2">
      <c r="A1498" s="510">
        <f t="shared" si="99"/>
        <v>1495</v>
      </c>
      <c r="B1498" s="590">
        <v>44634</v>
      </c>
      <c r="C1498" s="424">
        <v>44470</v>
      </c>
      <c r="D1498" s="415" t="s">
        <v>468</v>
      </c>
      <c r="E1498" s="415" t="s">
        <v>468</v>
      </c>
      <c r="F1498" s="459">
        <v>75.010000000000005</v>
      </c>
      <c r="G1498" s="427" t="s">
        <v>3129</v>
      </c>
      <c r="H1498" s="415" t="s">
        <v>468</v>
      </c>
      <c r="I1498" s="461" t="s">
        <v>2929</v>
      </c>
      <c r="J1498" s="461" t="s">
        <v>310</v>
      </c>
      <c r="K1498" s="461" t="s">
        <v>1220</v>
      </c>
      <c r="L1498" s="464" t="s">
        <v>1368</v>
      </c>
      <c r="M1498" s="464" t="s">
        <v>310</v>
      </c>
      <c r="N1498" s="469">
        <v>44634</v>
      </c>
      <c r="O1498" s="414" t="s">
        <v>407</v>
      </c>
      <c r="P1498" s="222">
        <f t="shared" si="100"/>
        <v>3</v>
      </c>
      <c r="Q1498" s="222">
        <f t="shared" si="101"/>
        <v>-2</v>
      </c>
      <c r="R1498" s="415" t="str">
        <f t="shared" si="102"/>
        <v>Gastos_custeados_por_captação</v>
      </c>
      <c r="S1498" s="467" t="s">
        <v>310</v>
      </c>
      <c r="T1498" s="467" t="s">
        <v>310</v>
      </c>
      <c r="U1498" s="497"/>
      <c r="V1498" s="497"/>
      <c r="W1498" s="497"/>
    </row>
    <row r="1499" spans="1:23" ht="72" x14ac:dyDescent="0.2">
      <c r="A1499" s="510">
        <f t="shared" si="99"/>
        <v>1496</v>
      </c>
      <c r="B1499" s="590">
        <v>44634</v>
      </c>
      <c r="C1499" s="424">
        <v>44621</v>
      </c>
      <c r="D1499" s="415" t="s">
        <v>468</v>
      </c>
      <c r="E1499" s="415" t="s">
        <v>468</v>
      </c>
      <c r="F1499" s="459">
        <v>1580</v>
      </c>
      <c r="G1499" s="461" t="s">
        <v>1999</v>
      </c>
      <c r="H1499" s="415" t="s">
        <v>468</v>
      </c>
      <c r="I1499" s="461" t="s">
        <v>3038</v>
      </c>
      <c r="J1499" s="468" t="s">
        <v>1998</v>
      </c>
      <c r="K1499" s="415" t="s">
        <v>830</v>
      </c>
      <c r="L1499" s="415" t="s">
        <v>807</v>
      </c>
      <c r="M1499" s="464">
        <v>126462</v>
      </c>
      <c r="N1499" s="469">
        <v>44634</v>
      </c>
      <c r="O1499" s="414" t="s">
        <v>407</v>
      </c>
      <c r="P1499" s="222">
        <f t="shared" si="100"/>
        <v>3</v>
      </c>
      <c r="Q1499" s="222">
        <f t="shared" si="101"/>
        <v>3</v>
      </c>
      <c r="R1499" s="415" t="str">
        <f t="shared" si="102"/>
        <v>Gastos_custeados_por_captação</v>
      </c>
      <c r="S1499" s="467" t="s">
        <v>999</v>
      </c>
      <c r="T1499" s="467">
        <v>3078</v>
      </c>
      <c r="U1499" s="497"/>
      <c r="V1499" s="497"/>
      <c r="W1499" s="497"/>
    </row>
    <row r="1500" spans="1:23" ht="72" x14ac:dyDescent="0.2">
      <c r="A1500" s="510">
        <f t="shared" si="99"/>
        <v>1497</v>
      </c>
      <c r="B1500" s="590">
        <v>44634</v>
      </c>
      <c r="C1500" s="424">
        <v>44621</v>
      </c>
      <c r="D1500" s="415" t="s">
        <v>468</v>
      </c>
      <c r="E1500" s="415" t="s">
        <v>468</v>
      </c>
      <c r="F1500" s="459">
        <v>999.9</v>
      </c>
      <c r="G1500" s="461" t="s">
        <v>1997</v>
      </c>
      <c r="H1500" s="415" t="s">
        <v>468</v>
      </c>
      <c r="I1500" s="461" t="s">
        <v>3039</v>
      </c>
      <c r="J1500" s="468" t="s">
        <v>3064</v>
      </c>
      <c r="K1500" s="415" t="s">
        <v>830</v>
      </c>
      <c r="L1500" s="415" t="s">
        <v>807</v>
      </c>
      <c r="M1500" s="464">
        <v>271</v>
      </c>
      <c r="N1500" s="469">
        <v>44634</v>
      </c>
      <c r="O1500" s="414" t="s">
        <v>407</v>
      </c>
      <c r="P1500" s="222">
        <f t="shared" si="100"/>
        <v>3</v>
      </c>
      <c r="Q1500" s="222">
        <f t="shared" si="101"/>
        <v>3</v>
      </c>
      <c r="R1500" s="415" t="str">
        <f t="shared" si="102"/>
        <v>Gastos_custeados_por_captação</v>
      </c>
      <c r="S1500" s="467" t="s">
        <v>999</v>
      </c>
      <c r="T1500" s="467">
        <v>3129</v>
      </c>
      <c r="U1500" s="497"/>
      <c r="V1500" s="497"/>
      <c r="W1500" s="497"/>
    </row>
    <row r="1501" spans="1:23" ht="84" x14ac:dyDescent="0.2">
      <c r="A1501" s="510">
        <f t="shared" si="99"/>
        <v>1498</v>
      </c>
      <c r="B1501" s="590">
        <v>44634</v>
      </c>
      <c r="C1501" s="424">
        <v>44593</v>
      </c>
      <c r="D1501" s="415" t="s">
        <v>468</v>
      </c>
      <c r="E1501" s="415" t="s">
        <v>468</v>
      </c>
      <c r="F1501" s="459">
        <v>20000</v>
      </c>
      <c r="G1501" s="461" t="s">
        <v>1636</v>
      </c>
      <c r="H1501" s="415" t="s">
        <v>468</v>
      </c>
      <c r="I1501" s="461" t="s">
        <v>3040</v>
      </c>
      <c r="J1501" s="468" t="s">
        <v>1635</v>
      </c>
      <c r="K1501" s="415" t="s">
        <v>830</v>
      </c>
      <c r="L1501" s="415" t="s">
        <v>807</v>
      </c>
      <c r="M1501" s="464">
        <v>394</v>
      </c>
      <c r="N1501" s="469">
        <v>44631</v>
      </c>
      <c r="O1501" s="414" t="s">
        <v>407</v>
      </c>
      <c r="P1501" s="222">
        <f t="shared" si="100"/>
        <v>3</v>
      </c>
      <c r="Q1501" s="222">
        <f t="shared" si="101"/>
        <v>2</v>
      </c>
      <c r="R1501" s="415" t="str">
        <f t="shared" si="102"/>
        <v>Gastos_custeados_por_captação</v>
      </c>
      <c r="S1501" s="467" t="s">
        <v>1000</v>
      </c>
      <c r="T1501" s="467">
        <v>2868</v>
      </c>
      <c r="U1501" s="497"/>
      <c r="V1501" s="497"/>
      <c r="W1501" s="497"/>
    </row>
    <row r="1502" spans="1:23" ht="72" x14ac:dyDescent="0.2">
      <c r="A1502" s="510">
        <f t="shared" si="99"/>
        <v>1499</v>
      </c>
      <c r="B1502" s="590">
        <v>44634</v>
      </c>
      <c r="C1502" s="424">
        <v>44593</v>
      </c>
      <c r="D1502" s="415" t="s">
        <v>468</v>
      </c>
      <c r="E1502" s="415" t="s">
        <v>468</v>
      </c>
      <c r="F1502" s="459">
        <v>4000</v>
      </c>
      <c r="G1502" s="587" t="s">
        <v>3131</v>
      </c>
      <c r="H1502" s="415" t="s">
        <v>468</v>
      </c>
      <c r="I1502" s="461" t="s">
        <v>3041</v>
      </c>
      <c r="J1502" s="468" t="s">
        <v>3065</v>
      </c>
      <c r="K1502" s="415" t="s">
        <v>830</v>
      </c>
      <c r="L1502" s="415" t="s">
        <v>807</v>
      </c>
      <c r="M1502" s="528" t="s">
        <v>842</v>
      </c>
      <c r="N1502" s="469">
        <v>44623</v>
      </c>
      <c r="O1502" s="414" t="s">
        <v>407</v>
      </c>
      <c r="P1502" s="222">
        <f t="shared" si="100"/>
        <v>3</v>
      </c>
      <c r="Q1502" s="222">
        <f t="shared" si="101"/>
        <v>2</v>
      </c>
      <c r="R1502" s="415" t="str">
        <f t="shared" si="102"/>
        <v>Gastos_custeados_por_captação</v>
      </c>
      <c r="S1502" s="467" t="s">
        <v>998</v>
      </c>
      <c r="T1502" s="467">
        <v>2490</v>
      </c>
      <c r="U1502" s="497"/>
      <c r="V1502" s="497"/>
      <c r="W1502" s="497"/>
    </row>
    <row r="1503" spans="1:23" ht="72" x14ac:dyDescent="0.2">
      <c r="A1503" s="510">
        <f t="shared" si="99"/>
        <v>1500</v>
      </c>
      <c r="B1503" s="590">
        <v>44634</v>
      </c>
      <c r="C1503" s="424">
        <v>44470</v>
      </c>
      <c r="D1503" s="415" t="s">
        <v>468</v>
      </c>
      <c r="E1503" s="415" t="s">
        <v>468</v>
      </c>
      <c r="F1503" s="459">
        <v>43.97</v>
      </c>
      <c r="G1503" s="427" t="s">
        <v>3132</v>
      </c>
      <c r="H1503" s="415" t="s">
        <v>468</v>
      </c>
      <c r="I1503" s="461" t="s">
        <v>2929</v>
      </c>
      <c r="J1503" s="415" t="s">
        <v>310</v>
      </c>
      <c r="K1503" s="415" t="s">
        <v>1220</v>
      </c>
      <c r="L1503" s="464" t="s">
        <v>1368</v>
      </c>
      <c r="M1503" s="464" t="s">
        <v>310</v>
      </c>
      <c r="N1503" s="469">
        <v>44634</v>
      </c>
      <c r="O1503" s="414" t="s">
        <v>407</v>
      </c>
      <c r="P1503" s="222">
        <f t="shared" si="100"/>
        <v>3</v>
      </c>
      <c r="Q1503" s="222">
        <f t="shared" si="101"/>
        <v>-2</v>
      </c>
      <c r="R1503" s="415" t="str">
        <f t="shared" si="102"/>
        <v>Gastos_custeados_por_captação</v>
      </c>
      <c r="S1503" s="467" t="s">
        <v>310</v>
      </c>
      <c r="T1503" s="467" t="s">
        <v>310</v>
      </c>
      <c r="U1503" s="497"/>
      <c r="V1503" s="497"/>
      <c r="W1503" s="497"/>
    </row>
    <row r="1504" spans="1:23" ht="48" x14ac:dyDescent="0.2">
      <c r="A1504" s="510">
        <f t="shared" si="99"/>
        <v>1501</v>
      </c>
      <c r="B1504" s="428">
        <v>44635</v>
      </c>
      <c r="C1504" s="433">
        <v>44621</v>
      </c>
      <c r="D1504" s="415" t="s">
        <v>182</v>
      </c>
      <c r="E1504" s="415" t="s">
        <v>325</v>
      </c>
      <c r="F1504" s="425">
        <v>-225.4</v>
      </c>
      <c r="G1504" s="427" t="s">
        <v>2239</v>
      </c>
      <c r="H1504" s="415" t="s">
        <v>310</v>
      </c>
      <c r="I1504" s="473" t="s">
        <v>795</v>
      </c>
      <c r="J1504" s="415" t="s">
        <v>796</v>
      </c>
      <c r="K1504" s="415" t="s">
        <v>797</v>
      </c>
      <c r="L1504" s="399" t="s">
        <v>798</v>
      </c>
      <c r="M1504" s="544" t="s">
        <v>310</v>
      </c>
      <c r="N1504" s="414">
        <v>44635</v>
      </c>
      <c r="O1504" s="414" t="s">
        <v>400</v>
      </c>
      <c r="P1504" s="222">
        <f t="shared" si="100"/>
        <v>3</v>
      </c>
      <c r="Q1504" s="222">
        <f t="shared" si="101"/>
        <v>3</v>
      </c>
      <c r="R1504" s="532" t="str">
        <f t="shared" si="102"/>
        <v>Gastos_com_Pessoal</v>
      </c>
      <c r="S1504" s="467" t="s">
        <v>310</v>
      </c>
      <c r="T1504" s="467" t="s">
        <v>310</v>
      </c>
      <c r="U1504" s="496"/>
      <c r="V1504" s="496"/>
      <c r="W1504" s="496"/>
    </row>
    <row r="1505" spans="1:23" ht="48" x14ac:dyDescent="0.2">
      <c r="A1505" s="510">
        <f t="shared" si="99"/>
        <v>1502</v>
      </c>
      <c r="B1505" s="428">
        <v>44635</v>
      </c>
      <c r="C1505" s="433">
        <v>44562</v>
      </c>
      <c r="D1505" s="415" t="s">
        <v>182</v>
      </c>
      <c r="E1505" s="415" t="s">
        <v>1</v>
      </c>
      <c r="F1505" s="425">
        <v>-475.74</v>
      </c>
      <c r="G1505" s="427" t="s">
        <v>2237</v>
      </c>
      <c r="H1505" s="415" t="s">
        <v>310</v>
      </c>
      <c r="I1505" s="473" t="s">
        <v>795</v>
      </c>
      <c r="J1505" s="415" t="s">
        <v>796</v>
      </c>
      <c r="K1505" s="415" t="s">
        <v>797</v>
      </c>
      <c r="L1505" s="399" t="s">
        <v>798</v>
      </c>
      <c r="M1505" s="544" t="s">
        <v>310</v>
      </c>
      <c r="N1505" s="414">
        <v>44635</v>
      </c>
      <c r="O1505" s="414" t="s">
        <v>400</v>
      </c>
      <c r="P1505" s="222">
        <f t="shared" si="100"/>
        <v>3</v>
      </c>
      <c r="Q1505" s="222">
        <f t="shared" si="101"/>
        <v>1</v>
      </c>
      <c r="R1505" s="532" t="str">
        <f t="shared" si="102"/>
        <v>Gastos_com_Pessoal</v>
      </c>
      <c r="S1505" s="467" t="s">
        <v>310</v>
      </c>
      <c r="T1505" s="467" t="s">
        <v>310</v>
      </c>
      <c r="U1505" s="496"/>
      <c r="V1505" s="496"/>
      <c r="W1505" s="496"/>
    </row>
    <row r="1506" spans="1:23" ht="48" x14ac:dyDescent="0.2">
      <c r="A1506" s="510">
        <f t="shared" si="99"/>
        <v>1503</v>
      </c>
      <c r="B1506" s="428">
        <v>44635</v>
      </c>
      <c r="C1506" s="433">
        <v>44621</v>
      </c>
      <c r="D1506" s="415" t="s">
        <v>182</v>
      </c>
      <c r="E1506" s="415" t="s">
        <v>325</v>
      </c>
      <c r="F1506" s="425">
        <v>-2919.41</v>
      </c>
      <c r="G1506" s="427" t="s">
        <v>2238</v>
      </c>
      <c r="H1506" s="415" t="s">
        <v>310</v>
      </c>
      <c r="I1506" s="473" t="s">
        <v>795</v>
      </c>
      <c r="J1506" s="415" t="s">
        <v>796</v>
      </c>
      <c r="K1506" s="415" t="s">
        <v>797</v>
      </c>
      <c r="L1506" s="399" t="s">
        <v>798</v>
      </c>
      <c r="M1506" s="544" t="s">
        <v>310</v>
      </c>
      <c r="N1506" s="414">
        <v>44635</v>
      </c>
      <c r="O1506" s="414" t="s">
        <v>400</v>
      </c>
      <c r="P1506" s="222">
        <f t="shared" si="100"/>
        <v>3</v>
      </c>
      <c r="Q1506" s="222">
        <f t="shared" si="101"/>
        <v>3</v>
      </c>
      <c r="R1506" s="532" t="str">
        <f t="shared" si="102"/>
        <v>Gastos_com_Pessoal</v>
      </c>
      <c r="S1506" s="467" t="s">
        <v>310</v>
      </c>
      <c r="T1506" s="467" t="s">
        <v>310</v>
      </c>
      <c r="U1506" s="496"/>
      <c r="V1506" s="496"/>
      <c r="W1506" s="496"/>
    </row>
    <row r="1507" spans="1:23" ht="36" x14ac:dyDescent="0.2">
      <c r="A1507" s="510">
        <f t="shared" si="99"/>
        <v>1504</v>
      </c>
      <c r="B1507" s="428">
        <v>44635</v>
      </c>
      <c r="C1507" s="424">
        <v>44621</v>
      </c>
      <c r="D1507" s="415" t="s">
        <v>271</v>
      </c>
      <c r="E1507" s="415" t="s">
        <v>71</v>
      </c>
      <c r="F1507" s="425">
        <v>11</v>
      </c>
      <c r="G1507" s="427" t="s">
        <v>2249</v>
      </c>
      <c r="H1507" s="415" t="s">
        <v>748</v>
      </c>
      <c r="I1507" s="398" t="s">
        <v>881</v>
      </c>
      <c r="J1507" s="418" t="s">
        <v>882</v>
      </c>
      <c r="K1507" s="418" t="s">
        <v>883</v>
      </c>
      <c r="L1507" s="399" t="s">
        <v>798</v>
      </c>
      <c r="M1507" s="544" t="s">
        <v>310</v>
      </c>
      <c r="N1507" s="414">
        <v>44635</v>
      </c>
      <c r="O1507" s="414" t="s">
        <v>400</v>
      </c>
      <c r="P1507" s="222">
        <f t="shared" si="100"/>
        <v>3</v>
      </c>
      <c r="Q1507" s="222">
        <f t="shared" si="101"/>
        <v>3</v>
      </c>
      <c r="R1507" s="532" t="str">
        <f t="shared" si="102"/>
        <v>Gastos_Gerais</v>
      </c>
      <c r="S1507" s="467" t="s">
        <v>310</v>
      </c>
      <c r="T1507" s="467" t="s">
        <v>310</v>
      </c>
      <c r="U1507" s="496"/>
      <c r="V1507" s="496"/>
      <c r="W1507" s="496"/>
    </row>
    <row r="1508" spans="1:23" ht="36" x14ac:dyDescent="0.2">
      <c r="A1508" s="510">
        <f t="shared" si="99"/>
        <v>1505</v>
      </c>
      <c r="B1508" s="428">
        <v>44635</v>
      </c>
      <c r="C1508" s="424">
        <v>44621</v>
      </c>
      <c r="D1508" s="415" t="s">
        <v>271</v>
      </c>
      <c r="E1508" s="415" t="s">
        <v>71</v>
      </c>
      <c r="F1508" s="425">
        <v>11</v>
      </c>
      <c r="G1508" s="427" t="s">
        <v>2250</v>
      </c>
      <c r="H1508" s="415" t="s">
        <v>755</v>
      </c>
      <c r="I1508" s="398" t="s">
        <v>881</v>
      </c>
      <c r="J1508" s="418" t="s">
        <v>882</v>
      </c>
      <c r="K1508" s="418" t="s">
        <v>883</v>
      </c>
      <c r="L1508" s="399" t="s">
        <v>798</v>
      </c>
      <c r="M1508" s="544" t="s">
        <v>310</v>
      </c>
      <c r="N1508" s="414">
        <v>44635</v>
      </c>
      <c r="O1508" s="414" t="s">
        <v>400</v>
      </c>
      <c r="P1508" s="222">
        <f t="shared" si="100"/>
        <v>3</v>
      </c>
      <c r="Q1508" s="222">
        <f t="shared" si="101"/>
        <v>3</v>
      </c>
      <c r="R1508" s="532" t="str">
        <f t="shared" si="102"/>
        <v>Gastos_Gerais</v>
      </c>
      <c r="S1508" s="467" t="s">
        <v>310</v>
      </c>
      <c r="T1508" s="467" t="s">
        <v>310</v>
      </c>
      <c r="U1508" s="496"/>
      <c r="V1508" s="496"/>
      <c r="W1508" s="496"/>
    </row>
    <row r="1509" spans="1:23" ht="60" x14ac:dyDescent="0.2">
      <c r="A1509" s="510">
        <f t="shared" si="99"/>
        <v>1506</v>
      </c>
      <c r="B1509" s="428">
        <v>44635</v>
      </c>
      <c r="C1509" s="424">
        <v>44621</v>
      </c>
      <c r="D1509" s="415" t="s">
        <v>468</v>
      </c>
      <c r="E1509" s="415" t="s">
        <v>468</v>
      </c>
      <c r="F1509" s="425">
        <v>5000</v>
      </c>
      <c r="G1509" s="427" t="s">
        <v>1926</v>
      </c>
      <c r="H1509" s="415" t="s">
        <v>468</v>
      </c>
      <c r="I1509" s="398" t="s">
        <v>2976</v>
      </c>
      <c r="J1509" s="418" t="s">
        <v>2977</v>
      </c>
      <c r="K1509" s="415" t="s">
        <v>806</v>
      </c>
      <c r="L1509" s="399" t="s">
        <v>1305</v>
      </c>
      <c r="M1509" s="544" t="s">
        <v>310</v>
      </c>
      <c r="N1509" s="414">
        <v>44634</v>
      </c>
      <c r="O1509" s="414" t="s">
        <v>405</v>
      </c>
      <c r="P1509" s="222">
        <f t="shared" si="100"/>
        <v>3</v>
      </c>
      <c r="Q1509" s="222">
        <f t="shared" si="101"/>
        <v>3</v>
      </c>
      <c r="R1509" s="532" t="str">
        <f t="shared" si="102"/>
        <v>Gastos_custeados_por_captação</v>
      </c>
      <c r="S1509" s="467" t="s">
        <v>998</v>
      </c>
      <c r="T1509" s="467">
        <v>2962</v>
      </c>
      <c r="U1509" s="496"/>
      <c r="V1509" s="496"/>
      <c r="W1509" s="496"/>
    </row>
    <row r="1510" spans="1:23" ht="36" x14ac:dyDescent="0.2">
      <c r="A1510" s="510">
        <f t="shared" si="99"/>
        <v>1507</v>
      </c>
      <c r="B1510" s="428">
        <v>44635</v>
      </c>
      <c r="C1510" s="424">
        <v>44621</v>
      </c>
      <c r="D1510" s="415" t="s">
        <v>271</v>
      </c>
      <c r="E1510" s="415" t="s">
        <v>442</v>
      </c>
      <c r="F1510" s="425">
        <v>2125.92</v>
      </c>
      <c r="G1510" s="427" t="s">
        <v>1960</v>
      </c>
      <c r="H1510" s="415" t="s">
        <v>755</v>
      </c>
      <c r="I1510" s="473" t="s">
        <v>2245</v>
      </c>
      <c r="J1510" s="415" t="s">
        <v>1961</v>
      </c>
      <c r="K1510" s="415" t="s">
        <v>830</v>
      </c>
      <c r="L1510" s="415" t="s">
        <v>839</v>
      </c>
      <c r="M1510" s="415">
        <v>1122</v>
      </c>
      <c r="N1510" s="414">
        <v>44631</v>
      </c>
      <c r="O1510" s="414" t="s">
        <v>400</v>
      </c>
      <c r="P1510" s="222">
        <f t="shared" si="100"/>
        <v>3</v>
      </c>
      <c r="Q1510" s="222">
        <f t="shared" si="101"/>
        <v>3</v>
      </c>
      <c r="R1510" s="532" t="str">
        <f t="shared" si="102"/>
        <v>Gastos_Gerais</v>
      </c>
      <c r="S1510" s="467" t="s">
        <v>998</v>
      </c>
      <c r="T1510" s="467">
        <v>2926</v>
      </c>
      <c r="U1510" s="496"/>
      <c r="V1510" s="496"/>
      <c r="W1510" s="496"/>
    </row>
    <row r="1511" spans="1:23" ht="72" x14ac:dyDescent="0.2">
      <c r="A1511" s="510">
        <f t="shared" si="99"/>
        <v>1508</v>
      </c>
      <c r="B1511" s="428">
        <v>44635</v>
      </c>
      <c r="C1511" s="424">
        <v>44593</v>
      </c>
      <c r="D1511" s="415" t="s">
        <v>271</v>
      </c>
      <c r="E1511" s="415" t="s">
        <v>456</v>
      </c>
      <c r="F1511" s="425">
        <v>1482.97</v>
      </c>
      <c r="G1511" s="427" t="s">
        <v>552</v>
      </c>
      <c r="H1511" s="415" t="s">
        <v>755</v>
      </c>
      <c r="I1511" s="473" t="s">
        <v>1785</v>
      </c>
      <c r="J1511" s="415" t="s">
        <v>1044</v>
      </c>
      <c r="K1511" s="415" t="s">
        <v>812</v>
      </c>
      <c r="L1511" s="415" t="s">
        <v>32</v>
      </c>
      <c r="M1511" s="415" t="s">
        <v>2243</v>
      </c>
      <c r="N1511" s="414">
        <v>44624</v>
      </c>
      <c r="O1511" s="414" t="s">
        <v>400</v>
      </c>
      <c r="P1511" s="222">
        <f t="shared" si="100"/>
        <v>3</v>
      </c>
      <c r="Q1511" s="222">
        <f t="shared" si="101"/>
        <v>2</v>
      </c>
      <c r="R1511" s="532" t="str">
        <f t="shared" si="102"/>
        <v>Gastos_Gerais</v>
      </c>
      <c r="S1511" s="467" t="s">
        <v>1000</v>
      </c>
      <c r="T1511" s="467">
        <v>1371</v>
      </c>
      <c r="U1511" s="496"/>
      <c r="V1511" s="496"/>
      <c r="W1511" s="496"/>
    </row>
    <row r="1512" spans="1:23" ht="48" x14ac:dyDescent="0.2">
      <c r="A1512" s="510">
        <f t="shared" si="99"/>
        <v>1509</v>
      </c>
      <c r="B1512" s="428">
        <v>44635</v>
      </c>
      <c r="C1512" s="424">
        <v>44562</v>
      </c>
      <c r="D1512" s="415" t="s">
        <v>271</v>
      </c>
      <c r="E1512" s="415" t="s">
        <v>1791</v>
      </c>
      <c r="F1512" s="425">
        <v>2400</v>
      </c>
      <c r="G1512" s="427" t="s">
        <v>725</v>
      </c>
      <c r="H1512" s="415" t="s">
        <v>748</v>
      </c>
      <c r="I1512" s="473" t="s">
        <v>2244</v>
      </c>
      <c r="J1512" s="415" t="s">
        <v>1147</v>
      </c>
      <c r="K1512" s="415" t="s">
        <v>830</v>
      </c>
      <c r="L1512" s="415" t="s">
        <v>807</v>
      </c>
      <c r="M1512" s="415" t="s">
        <v>1540</v>
      </c>
      <c r="N1512" s="414">
        <v>44623</v>
      </c>
      <c r="O1512" s="414" t="s">
        <v>400</v>
      </c>
      <c r="P1512" s="222">
        <f t="shared" si="100"/>
        <v>3</v>
      </c>
      <c r="Q1512" s="222">
        <f t="shared" si="101"/>
        <v>1</v>
      </c>
      <c r="R1512" s="532" t="str">
        <f t="shared" si="102"/>
        <v>Gastos_Gerais</v>
      </c>
      <c r="S1512" s="467" t="s">
        <v>998</v>
      </c>
      <c r="T1512" s="467">
        <v>2753</v>
      </c>
      <c r="U1512" s="496"/>
      <c r="V1512" s="496"/>
      <c r="W1512" s="496"/>
    </row>
    <row r="1513" spans="1:23" ht="48" x14ac:dyDescent="0.2">
      <c r="A1513" s="510">
        <f t="shared" si="99"/>
        <v>1510</v>
      </c>
      <c r="B1513" s="428">
        <v>44635</v>
      </c>
      <c r="C1513" s="424">
        <v>44593</v>
      </c>
      <c r="D1513" s="415" t="s">
        <v>271</v>
      </c>
      <c r="E1513" s="415" t="s">
        <v>91</v>
      </c>
      <c r="F1513" s="425">
        <v>295.70999999999998</v>
      </c>
      <c r="G1513" s="437" t="s">
        <v>471</v>
      </c>
      <c r="H1513" s="415" t="s">
        <v>309</v>
      </c>
      <c r="I1513" s="474" t="s">
        <v>1505</v>
      </c>
      <c r="J1513" s="434" t="s">
        <v>1009</v>
      </c>
      <c r="K1513" s="415" t="s">
        <v>812</v>
      </c>
      <c r="L1513" s="415" t="s">
        <v>32</v>
      </c>
      <c r="M1513" s="415">
        <v>3990657</v>
      </c>
      <c r="N1513" s="414">
        <v>44622</v>
      </c>
      <c r="O1513" s="414" t="s">
        <v>400</v>
      </c>
      <c r="P1513" s="222">
        <f t="shared" si="100"/>
        <v>3</v>
      </c>
      <c r="Q1513" s="222">
        <f t="shared" si="101"/>
        <v>2</v>
      </c>
      <c r="R1513" s="532" t="str">
        <f t="shared" si="102"/>
        <v>Gastos_Gerais</v>
      </c>
      <c r="S1513" s="467" t="s">
        <v>1000</v>
      </c>
      <c r="T1513" s="467">
        <v>1142</v>
      </c>
      <c r="U1513" s="496"/>
      <c r="V1513" s="496"/>
      <c r="W1513" s="496"/>
    </row>
    <row r="1514" spans="1:23" ht="108" x14ac:dyDescent="0.2">
      <c r="A1514" s="510">
        <f t="shared" si="99"/>
        <v>1511</v>
      </c>
      <c r="B1514" s="428">
        <v>44635</v>
      </c>
      <c r="C1514" s="433">
        <v>44621</v>
      </c>
      <c r="D1514" s="415" t="s">
        <v>182</v>
      </c>
      <c r="E1514" s="415" t="s">
        <v>325</v>
      </c>
      <c r="F1514" s="425">
        <v>23999.64</v>
      </c>
      <c r="G1514" s="427" t="s">
        <v>1399</v>
      </c>
      <c r="H1514" s="415" t="s">
        <v>310</v>
      </c>
      <c r="I1514" s="474" t="s">
        <v>773</v>
      </c>
      <c r="J1514" s="415" t="s">
        <v>1397</v>
      </c>
      <c r="K1514" s="415" t="s">
        <v>812</v>
      </c>
      <c r="L1514" s="415" t="s">
        <v>32</v>
      </c>
      <c r="M1514" s="415" t="s">
        <v>2240</v>
      </c>
      <c r="N1514" s="414">
        <v>44600</v>
      </c>
      <c r="O1514" s="414" t="s">
        <v>400</v>
      </c>
      <c r="P1514" s="222">
        <f t="shared" si="100"/>
        <v>3</v>
      </c>
      <c r="Q1514" s="222">
        <f t="shared" si="101"/>
        <v>3</v>
      </c>
      <c r="R1514" s="532" t="str">
        <f t="shared" si="102"/>
        <v>Gastos_com_Pessoal</v>
      </c>
      <c r="S1514" s="467" t="s">
        <v>310</v>
      </c>
      <c r="T1514" s="467" t="s">
        <v>310</v>
      </c>
      <c r="U1514" s="496"/>
      <c r="V1514" s="496"/>
      <c r="W1514" s="496"/>
    </row>
    <row r="1515" spans="1:23" ht="48" x14ac:dyDescent="0.2">
      <c r="A1515" s="510">
        <f t="shared" si="99"/>
        <v>1512</v>
      </c>
      <c r="B1515" s="428">
        <v>44635</v>
      </c>
      <c r="C1515" s="424">
        <v>44593</v>
      </c>
      <c r="D1515" s="415" t="s">
        <v>271</v>
      </c>
      <c r="E1515" s="415" t="s">
        <v>297</v>
      </c>
      <c r="F1515" s="425">
        <v>270.63</v>
      </c>
      <c r="G1515" s="427" t="s">
        <v>1632</v>
      </c>
      <c r="H1515" s="415" t="s">
        <v>754</v>
      </c>
      <c r="I1515" s="473" t="s">
        <v>2242</v>
      </c>
      <c r="J1515" s="415" t="s">
        <v>1074</v>
      </c>
      <c r="K1515" s="415" t="s">
        <v>812</v>
      </c>
      <c r="L1515" s="415" t="s">
        <v>32</v>
      </c>
      <c r="M1515" s="415">
        <v>285994</v>
      </c>
      <c r="N1515" s="414">
        <v>44600</v>
      </c>
      <c r="O1515" s="414" t="s">
        <v>400</v>
      </c>
      <c r="P1515" s="222">
        <f t="shared" si="100"/>
        <v>3</v>
      </c>
      <c r="Q1515" s="222">
        <f t="shared" si="101"/>
        <v>2</v>
      </c>
      <c r="R1515" s="532" t="str">
        <f t="shared" si="102"/>
        <v>Gastos_Gerais</v>
      </c>
      <c r="S1515" s="467" t="s">
        <v>1303</v>
      </c>
      <c r="T1515" s="467">
        <v>2856</v>
      </c>
      <c r="U1515" s="496"/>
      <c r="V1515" s="496"/>
      <c r="W1515" s="496"/>
    </row>
    <row r="1516" spans="1:23" ht="108" x14ac:dyDescent="0.2">
      <c r="A1516" s="510">
        <f t="shared" si="99"/>
        <v>1513</v>
      </c>
      <c r="B1516" s="428">
        <v>44635</v>
      </c>
      <c r="C1516" s="433">
        <v>44562</v>
      </c>
      <c r="D1516" s="415" t="s">
        <v>182</v>
      </c>
      <c r="E1516" s="415" t="s">
        <v>1</v>
      </c>
      <c r="F1516" s="425">
        <v>1497.86</v>
      </c>
      <c r="G1516" s="427" t="s">
        <v>1396</v>
      </c>
      <c r="H1516" s="415" t="s">
        <v>310</v>
      </c>
      <c r="I1516" s="474" t="s">
        <v>773</v>
      </c>
      <c r="J1516" s="415" t="s">
        <v>1397</v>
      </c>
      <c r="K1516" s="415" t="s">
        <v>812</v>
      </c>
      <c r="L1516" s="415" t="s">
        <v>32</v>
      </c>
      <c r="M1516" s="415" t="s">
        <v>2241</v>
      </c>
      <c r="N1516" s="414">
        <v>44595</v>
      </c>
      <c r="O1516" s="414" t="s">
        <v>400</v>
      </c>
      <c r="P1516" s="222">
        <f t="shared" si="100"/>
        <v>3</v>
      </c>
      <c r="Q1516" s="222">
        <f t="shared" si="101"/>
        <v>1</v>
      </c>
      <c r="R1516" s="532" t="str">
        <f t="shared" si="102"/>
        <v>Gastos_com_Pessoal</v>
      </c>
      <c r="S1516" s="467" t="s">
        <v>310</v>
      </c>
      <c r="T1516" s="467" t="s">
        <v>310</v>
      </c>
      <c r="U1516" s="496"/>
      <c r="V1516" s="496"/>
      <c r="W1516" s="496"/>
    </row>
    <row r="1517" spans="1:23" ht="72" x14ac:dyDescent="0.2">
      <c r="A1517" s="510">
        <f t="shared" si="99"/>
        <v>1514</v>
      </c>
      <c r="B1517" s="428">
        <v>44635</v>
      </c>
      <c r="C1517" s="433">
        <v>44593</v>
      </c>
      <c r="D1517" s="415" t="s">
        <v>468</v>
      </c>
      <c r="E1517" s="415" t="s">
        <v>468</v>
      </c>
      <c r="F1517" s="459">
        <v>4143.2299999999996</v>
      </c>
      <c r="G1517" s="399" t="s">
        <v>3086</v>
      </c>
      <c r="H1517" s="415" t="s">
        <v>468</v>
      </c>
      <c r="I1517" s="552" t="s">
        <v>3082</v>
      </c>
      <c r="J1517" s="524" t="s">
        <v>3084</v>
      </c>
      <c r="K1517" s="415" t="s">
        <v>830</v>
      </c>
      <c r="L1517" s="415" t="s">
        <v>839</v>
      </c>
      <c r="M1517" s="480">
        <v>1623</v>
      </c>
      <c r="N1517" s="471">
        <v>44635</v>
      </c>
      <c r="O1517" s="414" t="s">
        <v>402</v>
      </c>
      <c r="P1517" s="222">
        <f t="shared" si="100"/>
        <v>3</v>
      </c>
      <c r="Q1517" s="222">
        <f t="shared" si="101"/>
        <v>2</v>
      </c>
      <c r="R1517" s="532" t="str">
        <f t="shared" si="102"/>
        <v>Gastos_custeados_por_captação</v>
      </c>
      <c r="S1517" s="467" t="s">
        <v>1000</v>
      </c>
      <c r="T1517" s="467">
        <v>2880</v>
      </c>
      <c r="U1517" s="496"/>
      <c r="V1517" s="496"/>
      <c r="W1517" s="496"/>
    </row>
    <row r="1518" spans="1:23" ht="72" x14ac:dyDescent="0.2">
      <c r="A1518" s="510">
        <f t="shared" si="99"/>
        <v>1515</v>
      </c>
      <c r="B1518" s="428">
        <v>44635</v>
      </c>
      <c r="C1518" s="433">
        <v>44593</v>
      </c>
      <c r="D1518" s="415" t="s">
        <v>468</v>
      </c>
      <c r="E1518" s="415" t="s">
        <v>468</v>
      </c>
      <c r="F1518" s="459">
        <v>100</v>
      </c>
      <c r="G1518" s="399" t="s">
        <v>3081</v>
      </c>
      <c r="H1518" s="415" t="s">
        <v>468</v>
      </c>
      <c r="I1518" s="552" t="s">
        <v>2929</v>
      </c>
      <c r="J1518" s="524" t="s">
        <v>310</v>
      </c>
      <c r="K1518" s="415" t="s">
        <v>1220</v>
      </c>
      <c r="L1518" s="415" t="s">
        <v>1368</v>
      </c>
      <c r="M1518" s="480" t="s">
        <v>310</v>
      </c>
      <c r="N1518" s="471">
        <v>44620</v>
      </c>
      <c r="O1518" s="414" t="s">
        <v>402</v>
      </c>
      <c r="P1518" s="222">
        <f t="shared" si="100"/>
        <v>3</v>
      </c>
      <c r="Q1518" s="222">
        <f t="shared" si="101"/>
        <v>2</v>
      </c>
      <c r="R1518" s="532" t="str">
        <f t="shared" si="102"/>
        <v>Gastos_custeados_por_captação</v>
      </c>
      <c r="S1518" s="467" t="s">
        <v>310</v>
      </c>
      <c r="T1518" s="467" t="s">
        <v>310</v>
      </c>
      <c r="U1518" s="496"/>
      <c r="V1518" s="496"/>
      <c r="W1518" s="496"/>
    </row>
    <row r="1519" spans="1:23" ht="72" x14ac:dyDescent="0.2">
      <c r="A1519" s="510">
        <f t="shared" si="99"/>
        <v>1516</v>
      </c>
      <c r="B1519" s="428">
        <v>44635</v>
      </c>
      <c r="C1519" s="433">
        <v>44593</v>
      </c>
      <c r="D1519" s="415" t="s">
        <v>468</v>
      </c>
      <c r="E1519" s="415" t="s">
        <v>468</v>
      </c>
      <c r="F1519" s="459">
        <v>2939.7</v>
      </c>
      <c r="G1519" s="399" t="s">
        <v>3087</v>
      </c>
      <c r="H1519" s="415" t="s">
        <v>468</v>
      </c>
      <c r="I1519" s="552" t="s">
        <v>3083</v>
      </c>
      <c r="J1519" s="524" t="s">
        <v>3085</v>
      </c>
      <c r="K1519" s="415" t="s">
        <v>830</v>
      </c>
      <c r="L1519" s="415" t="s">
        <v>807</v>
      </c>
      <c r="M1519" s="480">
        <v>20222</v>
      </c>
      <c r="N1519" s="471">
        <v>44631</v>
      </c>
      <c r="O1519" s="414" t="s">
        <v>402</v>
      </c>
      <c r="P1519" s="222">
        <f t="shared" si="100"/>
        <v>3</v>
      </c>
      <c r="Q1519" s="222">
        <f t="shared" si="101"/>
        <v>2</v>
      </c>
      <c r="R1519" s="532" t="str">
        <f t="shared" si="102"/>
        <v>Gastos_custeados_por_captação</v>
      </c>
      <c r="S1519" s="467" t="s">
        <v>1000</v>
      </c>
      <c r="T1519" s="467">
        <v>2881</v>
      </c>
      <c r="U1519" s="496"/>
      <c r="V1519" s="496"/>
      <c r="W1519" s="496"/>
    </row>
    <row r="1520" spans="1:23" ht="72" x14ac:dyDescent="0.2">
      <c r="A1520" s="510">
        <f t="shared" si="99"/>
        <v>1517</v>
      </c>
      <c r="B1520" s="428">
        <v>44635</v>
      </c>
      <c r="C1520" s="431">
        <v>44562</v>
      </c>
      <c r="D1520" s="415" t="s">
        <v>468</v>
      </c>
      <c r="E1520" s="415" t="s">
        <v>468</v>
      </c>
      <c r="F1520" s="459">
        <v>2939.7</v>
      </c>
      <c r="G1520" s="399" t="s">
        <v>3089</v>
      </c>
      <c r="H1520" s="415" t="s">
        <v>468</v>
      </c>
      <c r="I1520" s="552" t="s">
        <v>3083</v>
      </c>
      <c r="J1520" s="524" t="s">
        <v>3085</v>
      </c>
      <c r="K1520" s="415" t="s">
        <v>830</v>
      </c>
      <c r="L1520" s="415" t="s">
        <v>807</v>
      </c>
      <c r="M1520" s="480">
        <v>20223</v>
      </c>
      <c r="N1520" s="471">
        <v>44635</v>
      </c>
      <c r="O1520" s="414" t="s">
        <v>402</v>
      </c>
      <c r="P1520" s="222">
        <f t="shared" si="100"/>
        <v>3</v>
      </c>
      <c r="Q1520" s="222">
        <f t="shared" si="101"/>
        <v>1</v>
      </c>
      <c r="R1520" s="532" t="str">
        <f t="shared" si="102"/>
        <v>Gastos_custeados_por_captação</v>
      </c>
      <c r="S1520" s="467" t="s">
        <v>1000</v>
      </c>
      <c r="T1520" s="467">
        <v>2881</v>
      </c>
      <c r="U1520" s="496"/>
      <c r="V1520" s="496"/>
      <c r="W1520" s="496"/>
    </row>
    <row r="1521" spans="1:23" ht="72" x14ac:dyDescent="0.2">
      <c r="A1521" s="510">
        <f t="shared" si="99"/>
        <v>1518</v>
      </c>
      <c r="B1521" s="590">
        <v>44635</v>
      </c>
      <c r="C1521" s="424">
        <v>44621</v>
      </c>
      <c r="D1521" s="415" t="s">
        <v>468</v>
      </c>
      <c r="E1521" s="415" t="s">
        <v>468</v>
      </c>
      <c r="F1521" s="459">
        <v>600</v>
      </c>
      <c r="G1521" s="461" t="s">
        <v>2054</v>
      </c>
      <c r="H1521" s="415" t="s">
        <v>468</v>
      </c>
      <c r="I1521" s="461" t="s">
        <v>3038</v>
      </c>
      <c r="J1521" s="468" t="s">
        <v>1998</v>
      </c>
      <c r="K1521" s="415" t="s">
        <v>830</v>
      </c>
      <c r="L1521" s="415" t="s">
        <v>807</v>
      </c>
      <c r="M1521" s="464">
        <v>126465</v>
      </c>
      <c r="N1521" s="469">
        <v>44635</v>
      </c>
      <c r="O1521" s="414" t="s">
        <v>407</v>
      </c>
      <c r="P1521" s="222">
        <f t="shared" si="100"/>
        <v>3</v>
      </c>
      <c r="Q1521" s="222">
        <f t="shared" si="101"/>
        <v>3</v>
      </c>
      <c r="R1521" s="415" t="str">
        <f t="shared" si="102"/>
        <v>Gastos_custeados_por_captação</v>
      </c>
      <c r="S1521" s="467" t="s">
        <v>999</v>
      </c>
      <c r="T1521" s="467">
        <v>3153</v>
      </c>
      <c r="U1521" s="497"/>
      <c r="V1521" s="497"/>
      <c r="W1521" s="497"/>
    </row>
    <row r="1522" spans="1:23" ht="72" x14ac:dyDescent="0.2">
      <c r="A1522" s="510">
        <f t="shared" si="99"/>
        <v>1519</v>
      </c>
      <c r="B1522" s="590">
        <v>44635</v>
      </c>
      <c r="C1522" s="424">
        <v>44621</v>
      </c>
      <c r="D1522" s="415" t="s">
        <v>468</v>
      </c>
      <c r="E1522" s="415" t="s">
        <v>468</v>
      </c>
      <c r="F1522" s="459">
        <v>109.2</v>
      </c>
      <c r="G1522" s="461" t="s">
        <v>1592</v>
      </c>
      <c r="H1522" s="415" t="s">
        <v>468</v>
      </c>
      <c r="I1522" s="461" t="s">
        <v>3042</v>
      </c>
      <c r="J1522" s="468" t="s">
        <v>1591</v>
      </c>
      <c r="K1522" s="415" t="s">
        <v>830</v>
      </c>
      <c r="L1522" s="415" t="s">
        <v>839</v>
      </c>
      <c r="M1522" s="464">
        <v>1624</v>
      </c>
      <c r="N1522" s="469">
        <v>44635</v>
      </c>
      <c r="O1522" s="414" t="s">
        <v>407</v>
      </c>
      <c r="P1522" s="222">
        <f t="shared" si="100"/>
        <v>3</v>
      </c>
      <c r="Q1522" s="222">
        <f t="shared" si="101"/>
        <v>3</v>
      </c>
      <c r="R1522" s="415" t="str">
        <f t="shared" si="102"/>
        <v>Gastos_custeados_por_captação</v>
      </c>
      <c r="S1522" s="467" t="s">
        <v>998</v>
      </c>
      <c r="T1522" s="467">
        <v>2784</v>
      </c>
      <c r="U1522" s="497"/>
      <c r="V1522" s="497"/>
      <c r="W1522" s="497"/>
    </row>
    <row r="1523" spans="1:23" ht="24" x14ac:dyDescent="0.2">
      <c r="A1523" s="510">
        <f t="shared" si="99"/>
        <v>1520</v>
      </c>
      <c r="B1523" s="428">
        <v>44636</v>
      </c>
      <c r="C1523" s="466">
        <v>44621</v>
      </c>
      <c r="D1523" s="415" t="s">
        <v>182</v>
      </c>
      <c r="E1523" s="415" t="s">
        <v>161</v>
      </c>
      <c r="F1523" s="425">
        <v>90.85</v>
      </c>
      <c r="G1523" s="427" t="s">
        <v>1495</v>
      </c>
      <c r="H1523" s="415" t="s">
        <v>310</v>
      </c>
      <c r="I1523" s="473" t="s">
        <v>2008</v>
      </c>
      <c r="J1523" s="548" t="s">
        <v>2009</v>
      </c>
      <c r="K1523" s="415" t="s">
        <v>812</v>
      </c>
      <c r="L1523" s="415" t="s">
        <v>807</v>
      </c>
      <c r="M1523" s="415" t="s">
        <v>3004</v>
      </c>
      <c r="N1523" s="414">
        <v>44638</v>
      </c>
      <c r="O1523" s="414" t="s">
        <v>400</v>
      </c>
      <c r="P1523" s="222">
        <f t="shared" si="100"/>
        <v>3</v>
      </c>
      <c r="Q1523" s="222">
        <f t="shared" si="101"/>
        <v>3</v>
      </c>
      <c r="R1523" s="532" t="str">
        <f t="shared" si="102"/>
        <v>Gastos_com_Pessoal</v>
      </c>
      <c r="S1523" s="467" t="s">
        <v>310</v>
      </c>
      <c r="T1523" s="467" t="s">
        <v>310</v>
      </c>
      <c r="U1523" s="496"/>
      <c r="V1523" s="496"/>
      <c r="W1523" s="496"/>
    </row>
    <row r="1524" spans="1:23" ht="72" x14ac:dyDescent="0.2">
      <c r="A1524" s="510">
        <f t="shared" si="99"/>
        <v>1521</v>
      </c>
      <c r="B1524" s="428">
        <v>44636</v>
      </c>
      <c r="C1524" s="424">
        <v>44593</v>
      </c>
      <c r="D1524" s="415" t="s">
        <v>271</v>
      </c>
      <c r="E1524" s="415" t="s">
        <v>456</v>
      </c>
      <c r="F1524" s="425">
        <v>1300</v>
      </c>
      <c r="G1524" s="427" t="s">
        <v>1665</v>
      </c>
      <c r="H1524" s="415" t="s">
        <v>754</v>
      </c>
      <c r="I1524" s="473" t="s">
        <v>2251</v>
      </c>
      <c r="J1524" s="415" t="s">
        <v>1599</v>
      </c>
      <c r="K1524" s="415" t="s">
        <v>830</v>
      </c>
      <c r="L1524" s="415" t="s">
        <v>32</v>
      </c>
      <c r="M1524" s="415" t="s">
        <v>1786</v>
      </c>
      <c r="N1524" s="414">
        <v>44636</v>
      </c>
      <c r="O1524" s="414" t="s">
        <v>400</v>
      </c>
      <c r="P1524" s="222">
        <f t="shared" si="100"/>
        <v>3</v>
      </c>
      <c r="Q1524" s="222">
        <f t="shared" si="101"/>
        <v>2</v>
      </c>
      <c r="R1524" s="532" t="str">
        <f t="shared" si="102"/>
        <v>Gastos_Gerais</v>
      </c>
      <c r="S1524" s="467" t="s">
        <v>998</v>
      </c>
      <c r="T1524" s="467">
        <v>2847</v>
      </c>
      <c r="U1524" s="496"/>
      <c r="V1524" s="496"/>
      <c r="W1524" s="496"/>
    </row>
    <row r="1525" spans="1:23" ht="48" x14ac:dyDescent="0.2">
      <c r="A1525" s="510">
        <f t="shared" si="99"/>
        <v>1522</v>
      </c>
      <c r="B1525" s="428">
        <v>44636</v>
      </c>
      <c r="C1525" s="424">
        <v>44593</v>
      </c>
      <c r="D1525" s="415" t="s">
        <v>271</v>
      </c>
      <c r="E1525" s="415" t="s">
        <v>1791</v>
      </c>
      <c r="F1525" s="425">
        <v>2400</v>
      </c>
      <c r="G1525" s="427" t="s">
        <v>1598</v>
      </c>
      <c r="H1525" s="415" t="s">
        <v>754</v>
      </c>
      <c r="I1525" s="473" t="s">
        <v>2251</v>
      </c>
      <c r="J1525" s="415" t="s">
        <v>1599</v>
      </c>
      <c r="K1525" s="415" t="s">
        <v>830</v>
      </c>
      <c r="L1525" s="415" t="s">
        <v>32</v>
      </c>
      <c r="M1525" s="415" t="s">
        <v>1503</v>
      </c>
      <c r="N1525" s="414">
        <v>44636</v>
      </c>
      <c r="O1525" s="414" t="s">
        <v>400</v>
      </c>
      <c r="P1525" s="222">
        <f t="shared" si="100"/>
        <v>3</v>
      </c>
      <c r="Q1525" s="222">
        <f t="shared" si="101"/>
        <v>2</v>
      </c>
      <c r="R1525" s="532" t="str">
        <f t="shared" si="102"/>
        <v>Gastos_Gerais</v>
      </c>
      <c r="S1525" s="467" t="s">
        <v>998</v>
      </c>
      <c r="T1525" s="467">
        <v>2861</v>
      </c>
      <c r="U1525" s="496"/>
      <c r="V1525" s="496"/>
      <c r="W1525" s="496"/>
    </row>
    <row r="1526" spans="1:23" ht="38.25" customHeight="1" x14ac:dyDescent="0.2">
      <c r="A1526" s="510">
        <f t="shared" si="99"/>
        <v>1523</v>
      </c>
      <c r="B1526" s="428">
        <v>44636</v>
      </c>
      <c r="C1526" s="424">
        <v>44621</v>
      </c>
      <c r="D1526" s="415" t="s">
        <v>271</v>
      </c>
      <c r="E1526" s="415" t="s">
        <v>71</v>
      </c>
      <c r="F1526" s="425">
        <v>11</v>
      </c>
      <c r="G1526" s="427" t="s">
        <v>2254</v>
      </c>
      <c r="H1526" s="415" t="s">
        <v>754</v>
      </c>
      <c r="I1526" s="398" t="s">
        <v>881</v>
      </c>
      <c r="J1526" s="418" t="s">
        <v>882</v>
      </c>
      <c r="K1526" s="418" t="s">
        <v>883</v>
      </c>
      <c r="L1526" s="399" t="s">
        <v>798</v>
      </c>
      <c r="M1526" s="544" t="s">
        <v>310</v>
      </c>
      <c r="N1526" s="414">
        <v>44636</v>
      </c>
      <c r="O1526" s="414" t="s">
        <v>400</v>
      </c>
      <c r="P1526" s="222">
        <f t="shared" si="100"/>
        <v>3</v>
      </c>
      <c r="Q1526" s="222">
        <f t="shared" si="101"/>
        <v>3</v>
      </c>
      <c r="R1526" s="532" t="str">
        <f t="shared" si="102"/>
        <v>Gastos_Gerais</v>
      </c>
      <c r="S1526" s="467" t="s">
        <v>310</v>
      </c>
      <c r="T1526" s="467" t="s">
        <v>310</v>
      </c>
      <c r="U1526" s="496"/>
      <c r="V1526" s="496"/>
      <c r="W1526" s="496"/>
    </row>
    <row r="1527" spans="1:23" ht="48" customHeight="1" x14ac:dyDescent="0.2">
      <c r="A1527" s="510">
        <f t="shared" si="99"/>
        <v>1524</v>
      </c>
      <c r="B1527" s="428">
        <v>44636</v>
      </c>
      <c r="C1527" s="424">
        <v>44621</v>
      </c>
      <c r="D1527" s="415" t="s">
        <v>271</v>
      </c>
      <c r="E1527" s="415" t="s">
        <v>71</v>
      </c>
      <c r="F1527" s="425">
        <v>11</v>
      </c>
      <c r="G1527" s="427" t="s">
        <v>2255</v>
      </c>
      <c r="H1527" s="415" t="s">
        <v>754</v>
      </c>
      <c r="I1527" s="398" t="s">
        <v>881</v>
      </c>
      <c r="J1527" s="418" t="s">
        <v>882</v>
      </c>
      <c r="K1527" s="418" t="s">
        <v>883</v>
      </c>
      <c r="L1527" s="399" t="s">
        <v>798</v>
      </c>
      <c r="M1527" s="544" t="s">
        <v>310</v>
      </c>
      <c r="N1527" s="414">
        <v>44636</v>
      </c>
      <c r="O1527" s="414" t="s">
        <v>400</v>
      </c>
      <c r="P1527" s="222">
        <f t="shared" si="100"/>
        <v>3</v>
      </c>
      <c r="Q1527" s="222">
        <f t="shared" si="101"/>
        <v>3</v>
      </c>
      <c r="R1527" s="532" t="str">
        <f t="shared" si="102"/>
        <v>Gastos_Gerais</v>
      </c>
      <c r="S1527" s="467" t="s">
        <v>310</v>
      </c>
      <c r="T1527" s="467" t="s">
        <v>310</v>
      </c>
      <c r="U1527" s="496"/>
      <c r="V1527" s="496"/>
      <c r="W1527" s="496"/>
    </row>
    <row r="1528" spans="1:23" ht="50.1" customHeight="1" x14ac:dyDescent="0.2">
      <c r="A1528" s="510">
        <f t="shared" si="99"/>
        <v>1525</v>
      </c>
      <c r="B1528" s="428">
        <v>44636</v>
      </c>
      <c r="C1528" s="424">
        <v>44621</v>
      </c>
      <c r="D1528" s="415" t="s">
        <v>271</v>
      </c>
      <c r="E1528" s="415" t="s">
        <v>71</v>
      </c>
      <c r="F1528" s="425">
        <v>11</v>
      </c>
      <c r="G1528" s="427" t="s">
        <v>2256</v>
      </c>
      <c r="H1528" s="415" t="s">
        <v>755</v>
      </c>
      <c r="I1528" s="398" t="s">
        <v>881</v>
      </c>
      <c r="J1528" s="418" t="s">
        <v>882</v>
      </c>
      <c r="K1528" s="418" t="s">
        <v>883</v>
      </c>
      <c r="L1528" s="399" t="s">
        <v>798</v>
      </c>
      <c r="M1528" s="544" t="s">
        <v>310</v>
      </c>
      <c r="N1528" s="414">
        <v>44636</v>
      </c>
      <c r="O1528" s="414" t="s">
        <v>400</v>
      </c>
      <c r="P1528" s="222">
        <f t="shared" si="100"/>
        <v>3</v>
      </c>
      <c r="Q1528" s="222">
        <f t="shared" si="101"/>
        <v>3</v>
      </c>
      <c r="R1528" s="532" t="str">
        <f t="shared" si="102"/>
        <v>Gastos_Gerais</v>
      </c>
      <c r="S1528" s="467" t="s">
        <v>310</v>
      </c>
      <c r="T1528" s="467" t="s">
        <v>310</v>
      </c>
      <c r="U1528" s="496"/>
      <c r="V1528" s="496"/>
      <c r="W1528" s="496"/>
    </row>
    <row r="1529" spans="1:23" ht="50.1" customHeight="1" x14ac:dyDescent="0.2">
      <c r="A1529" s="510">
        <f t="shared" si="99"/>
        <v>1526</v>
      </c>
      <c r="B1529" s="428">
        <v>44636</v>
      </c>
      <c r="C1529" s="424">
        <v>44593</v>
      </c>
      <c r="D1529" s="415" t="s">
        <v>468</v>
      </c>
      <c r="E1529" s="415" t="s">
        <v>468</v>
      </c>
      <c r="F1529" s="425">
        <v>2184.1799999999998</v>
      </c>
      <c r="G1529" s="427" t="s">
        <v>1835</v>
      </c>
      <c r="H1529" s="415" t="s">
        <v>468</v>
      </c>
      <c r="I1529" s="460" t="s">
        <v>2829</v>
      </c>
      <c r="J1529" s="468" t="s">
        <v>1834</v>
      </c>
      <c r="K1529" s="415" t="s">
        <v>806</v>
      </c>
      <c r="L1529" s="399" t="s">
        <v>839</v>
      </c>
      <c r="M1529" s="544">
        <v>1626</v>
      </c>
      <c r="N1529" s="414">
        <v>44636</v>
      </c>
      <c r="O1529" s="414" t="s">
        <v>404</v>
      </c>
      <c r="P1529" s="222">
        <f t="shared" si="100"/>
        <v>3</v>
      </c>
      <c r="Q1529" s="222">
        <f t="shared" si="101"/>
        <v>2</v>
      </c>
      <c r="R1529" s="532" t="str">
        <f t="shared" si="102"/>
        <v>Gastos_custeados_por_captação</v>
      </c>
      <c r="S1529" s="467" t="s">
        <v>998</v>
      </c>
      <c r="T1529" s="467">
        <v>2905</v>
      </c>
      <c r="U1529" s="496"/>
      <c r="V1529" s="496"/>
      <c r="W1529" s="496"/>
    </row>
    <row r="1530" spans="1:23" ht="50.1" customHeight="1" x14ac:dyDescent="0.2">
      <c r="A1530" s="510">
        <f t="shared" si="99"/>
        <v>1527</v>
      </c>
      <c r="B1530" s="428">
        <v>44636</v>
      </c>
      <c r="C1530" s="424">
        <v>44593</v>
      </c>
      <c r="D1530" s="415" t="s">
        <v>468</v>
      </c>
      <c r="E1530" s="415" t="s">
        <v>468</v>
      </c>
      <c r="F1530" s="425">
        <v>2246.04</v>
      </c>
      <c r="G1530" s="427" t="s">
        <v>1638</v>
      </c>
      <c r="H1530" s="415" t="s">
        <v>468</v>
      </c>
      <c r="I1530" s="460" t="s">
        <v>2830</v>
      </c>
      <c r="J1530" s="468" t="s">
        <v>1637</v>
      </c>
      <c r="K1530" s="415" t="s">
        <v>806</v>
      </c>
      <c r="L1530" s="399" t="s">
        <v>839</v>
      </c>
      <c r="M1530" s="544">
        <v>1627</v>
      </c>
      <c r="N1530" s="414">
        <v>44636</v>
      </c>
      <c r="O1530" s="414" t="s">
        <v>404</v>
      </c>
      <c r="P1530" s="222">
        <f t="shared" si="100"/>
        <v>3</v>
      </c>
      <c r="Q1530" s="222">
        <f t="shared" si="101"/>
        <v>2</v>
      </c>
      <c r="R1530" s="532" t="str">
        <f t="shared" si="102"/>
        <v>Gastos_custeados_por_captação</v>
      </c>
      <c r="S1530" s="467" t="s">
        <v>998</v>
      </c>
      <c r="T1530" s="467">
        <v>2878</v>
      </c>
      <c r="U1530" s="496"/>
      <c r="V1530" s="496"/>
      <c r="W1530" s="496"/>
    </row>
    <row r="1531" spans="1:23" ht="50.1" customHeight="1" x14ac:dyDescent="0.2">
      <c r="A1531" s="510">
        <f t="shared" si="99"/>
        <v>1528</v>
      </c>
      <c r="B1531" s="428">
        <v>44636</v>
      </c>
      <c r="C1531" s="424">
        <v>44621</v>
      </c>
      <c r="D1531" s="415" t="s">
        <v>468</v>
      </c>
      <c r="E1531" s="415" t="s">
        <v>468</v>
      </c>
      <c r="F1531" s="425">
        <v>3000</v>
      </c>
      <c r="G1531" s="427" t="s">
        <v>1965</v>
      </c>
      <c r="H1531" s="415" t="s">
        <v>468</v>
      </c>
      <c r="I1531" s="461" t="s">
        <v>2979</v>
      </c>
      <c r="J1531" s="468" t="s">
        <v>1964</v>
      </c>
      <c r="K1531" s="415" t="s">
        <v>806</v>
      </c>
      <c r="L1531" s="415" t="s">
        <v>1305</v>
      </c>
      <c r="M1531" s="415" t="s">
        <v>310</v>
      </c>
      <c r="N1531" s="414">
        <v>44636</v>
      </c>
      <c r="O1531" s="414" t="s">
        <v>405</v>
      </c>
      <c r="P1531" s="222">
        <f t="shared" si="100"/>
        <v>3</v>
      </c>
      <c r="Q1531" s="222">
        <f t="shared" si="101"/>
        <v>3</v>
      </c>
      <c r="R1531" s="532" t="str">
        <f t="shared" si="102"/>
        <v>Gastos_custeados_por_captação</v>
      </c>
      <c r="S1531" s="467" t="s">
        <v>998</v>
      </c>
      <c r="T1531" s="467">
        <v>2915</v>
      </c>
      <c r="U1531" s="496"/>
      <c r="V1531" s="496"/>
      <c r="W1531" s="496"/>
    </row>
    <row r="1532" spans="1:23" ht="50.1" customHeight="1" x14ac:dyDescent="0.2">
      <c r="A1532" s="510">
        <f t="shared" si="99"/>
        <v>1529</v>
      </c>
      <c r="B1532" s="428">
        <v>44636</v>
      </c>
      <c r="C1532" s="424">
        <v>44593</v>
      </c>
      <c r="D1532" s="415" t="s">
        <v>271</v>
      </c>
      <c r="E1532" s="415" t="s">
        <v>183</v>
      </c>
      <c r="F1532" s="425">
        <v>2850.58</v>
      </c>
      <c r="G1532" s="427" t="s">
        <v>1719</v>
      </c>
      <c r="H1532" s="415" t="s">
        <v>755</v>
      </c>
      <c r="I1532" s="473" t="s">
        <v>2167</v>
      </c>
      <c r="J1532" s="415" t="s">
        <v>1718</v>
      </c>
      <c r="K1532" s="415" t="s">
        <v>830</v>
      </c>
      <c r="L1532" s="415" t="s">
        <v>32</v>
      </c>
      <c r="M1532" s="415" t="s">
        <v>2252</v>
      </c>
      <c r="N1532" s="414">
        <v>44635</v>
      </c>
      <c r="O1532" s="414" t="s">
        <v>400</v>
      </c>
      <c r="P1532" s="222">
        <f t="shared" si="100"/>
        <v>3</v>
      </c>
      <c r="Q1532" s="222">
        <f t="shared" si="101"/>
        <v>2</v>
      </c>
      <c r="R1532" s="532" t="str">
        <f t="shared" si="102"/>
        <v>Gastos_Gerais</v>
      </c>
      <c r="S1532" s="467" t="s">
        <v>998</v>
      </c>
      <c r="T1532" s="467">
        <v>2890</v>
      </c>
      <c r="U1532" s="496"/>
      <c r="V1532" s="496"/>
      <c r="W1532" s="496"/>
    </row>
    <row r="1533" spans="1:23" ht="50.1" customHeight="1" x14ac:dyDescent="0.2">
      <c r="A1533" s="510">
        <f t="shared" si="99"/>
        <v>1530</v>
      </c>
      <c r="B1533" s="428">
        <v>44636</v>
      </c>
      <c r="C1533" s="424">
        <v>44621</v>
      </c>
      <c r="D1533" s="415" t="s">
        <v>468</v>
      </c>
      <c r="E1533" s="415" t="s">
        <v>468</v>
      </c>
      <c r="F1533" s="425">
        <v>552.41</v>
      </c>
      <c r="G1533" s="427" t="s">
        <v>1953</v>
      </c>
      <c r="H1533" s="415" t="s">
        <v>468</v>
      </c>
      <c r="I1533" s="461" t="s">
        <v>2980</v>
      </c>
      <c r="J1533" s="468" t="s">
        <v>2978</v>
      </c>
      <c r="K1533" s="415" t="s">
        <v>806</v>
      </c>
      <c r="L1533" s="415" t="s">
        <v>807</v>
      </c>
      <c r="M1533" s="415" t="s">
        <v>2981</v>
      </c>
      <c r="N1533" s="414">
        <v>44635</v>
      </c>
      <c r="O1533" s="414" t="s">
        <v>405</v>
      </c>
      <c r="P1533" s="222">
        <f t="shared" si="100"/>
        <v>3</v>
      </c>
      <c r="Q1533" s="222">
        <f t="shared" si="101"/>
        <v>3</v>
      </c>
      <c r="R1533" s="532" t="str">
        <f t="shared" si="102"/>
        <v>Gastos_custeados_por_captação</v>
      </c>
      <c r="S1533" s="467" t="s">
        <v>998</v>
      </c>
      <c r="T1533" s="467">
        <v>2950</v>
      </c>
      <c r="U1533" s="496"/>
      <c r="V1533" s="496"/>
      <c r="W1533" s="496"/>
    </row>
    <row r="1534" spans="1:23" ht="50.1" customHeight="1" x14ac:dyDescent="0.2">
      <c r="A1534" s="510">
        <f t="shared" ref="A1534:A1597" si="103">IF(B1534="","",ROW()-ROW($A$3))</f>
        <v>1531</v>
      </c>
      <c r="B1534" s="428">
        <v>44636</v>
      </c>
      <c r="C1534" s="424">
        <v>44621</v>
      </c>
      <c r="D1534" s="415" t="s">
        <v>468</v>
      </c>
      <c r="E1534" s="415" t="s">
        <v>468</v>
      </c>
      <c r="F1534" s="425">
        <v>1583</v>
      </c>
      <c r="G1534" s="427" t="s">
        <v>703</v>
      </c>
      <c r="H1534" s="415" t="s">
        <v>468</v>
      </c>
      <c r="I1534" s="460" t="s">
        <v>2831</v>
      </c>
      <c r="J1534" s="468" t="s">
        <v>2688</v>
      </c>
      <c r="K1534" s="415" t="s">
        <v>806</v>
      </c>
      <c r="L1534" s="415" t="s">
        <v>807</v>
      </c>
      <c r="M1534" s="415" t="s">
        <v>1608</v>
      </c>
      <c r="N1534" s="414">
        <v>44631</v>
      </c>
      <c r="O1534" s="414" t="s">
        <v>404</v>
      </c>
      <c r="P1534" s="222">
        <f t="shared" si="100"/>
        <v>3</v>
      </c>
      <c r="Q1534" s="222">
        <f t="shared" si="101"/>
        <v>3</v>
      </c>
      <c r="R1534" s="532" t="str">
        <f t="shared" si="102"/>
        <v>Gastos_custeados_por_captação</v>
      </c>
      <c r="S1534" s="467" t="s">
        <v>998</v>
      </c>
      <c r="T1534" s="467">
        <v>2726</v>
      </c>
      <c r="U1534" s="496"/>
      <c r="V1534" s="496"/>
      <c r="W1534" s="496"/>
    </row>
    <row r="1535" spans="1:23" ht="50.1" customHeight="1" x14ac:dyDescent="0.2">
      <c r="A1535" s="510">
        <f t="shared" si="103"/>
        <v>1532</v>
      </c>
      <c r="B1535" s="590">
        <v>44636</v>
      </c>
      <c r="C1535" s="424">
        <v>44621</v>
      </c>
      <c r="D1535" s="415" t="s">
        <v>468</v>
      </c>
      <c r="E1535" s="415" t="s">
        <v>468</v>
      </c>
      <c r="F1535" s="459">
        <v>3600</v>
      </c>
      <c r="G1535" s="461" t="s">
        <v>2055</v>
      </c>
      <c r="H1535" s="415" t="s">
        <v>468</v>
      </c>
      <c r="I1535" s="461" t="s">
        <v>3043</v>
      </c>
      <c r="J1535" s="468" t="s">
        <v>2056</v>
      </c>
      <c r="K1535" s="415" t="s">
        <v>830</v>
      </c>
      <c r="L1535" s="415" t="s">
        <v>32</v>
      </c>
      <c r="M1535" s="464">
        <v>1614</v>
      </c>
      <c r="N1535" s="469">
        <v>44635</v>
      </c>
      <c r="O1535" s="414" t="s">
        <v>407</v>
      </c>
      <c r="P1535" s="222">
        <f t="shared" si="100"/>
        <v>3</v>
      </c>
      <c r="Q1535" s="222">
        <f t="shared" si="101"/>
        <v>3</v>
      </c>
      <c r="R1535" s="415" t="str">
        <f t="shared" si="102"/>
        <v>Gastos_custeados_por_captação</v>
      </c>
      <c r="S1535" s="467" t="s">
        <v>999</v>
      </c>
      <c r="T1535" s="467">
        <v>3124</v>
      </c>
      <c r="U1535" s="497"/>
      <c r="V1535" s="497"/>
      <c r="W1535" s="497"/>
    </row>
    <row r="1536" spans="1:23" ht="50.1" customHeight="1" x14ac:dyDescent="0.2">
      <c r="A1536" s="510">
        <f t="shared" si="103"/>
        <v>1533</v>
      </c>
      <c r="B1536" s="590">
        <v>44636</v>
      </c>
      <c r="C1536" s="424">
        <v>44562</v>
      </c>
      <c r="D1536" s="415" t="s">
        <v>468</v>
      </c>
      <c r="E1536" s="415" t="s">
        <v>468</v>
      </c>
      <c r="F1536" s="459">
        <v>1666.25</v>
      </c>
      <c r="G1536" s="427" t="s">
        <v>3213</v>
      </c>
      <c r="H1536" s="415" t="s">
        <v>468</v>
      </c>
      <c r="I1536" s="461" t="s">
        <v>2929</v>
      </c>
      <c r="J1536" s="415" t="s">
        <v>310</v>
      </c>
      <c r="K1536" s="415" t="s">
        <v>1220</v>
      </c>
      <c r="L1536" s="415" t="s">
        <v>1368</v>
      </c>
      <c r="M1536" s="464" t="s">
        <v>310</v>
      </c>
      <c r="N1536" s="469">
        <v>44620</v>
      </c>
      <c r="O1536" s="414" t="s">
        <v>407</v>
      </c>
      <c r="P1536" s="222">
        <f t="shared" si="100"/>
        <v>3</v>
      </c>
      <c r="Q1536" s="222">
        <f t="shared" si="101"/>
        <v>1</v>
      </c>
      <c r="R1536" s="415" t="str">
        <f t="shared" si="102"/>
        <v>Gastos_custeados_por_captação</v>
      </c>
      <c r="S1536" s="467" t="s">
        <v>310</v>
      </c>
      <c r="T1536" s="467" t="s">
        <v>310</v>
      </c>
      <c r="U1536" s="497"/>
      <c r="V1536" s="497"/>
      <c r="W1536" s="497"/>
    </row>
    <row r="1537" spans="1:23" ht="50.1" customHeight="1" x14ac:dyDescent="0.2">
      <c r="A1537" s="510">
        <f t="shared" si="103"/>
        <v>1534</v>
      </c>
      <c r="B1537" s="590">
        <v>44636</v>
      </c>
      <c r="C1537" s="424">
        <v>44562</v>
      </c>
      <c r="D1537" s="415" t="s">
        <v>468</v>
      </c>
      <c r="E1537" s="415" t="s">
        <v>468</v>
      </c>
      <c r="F1537" s="459">
        <v>599.14</v>
      </c>
      <c r="G1537" s="427" t="s">
        <v>3210</v>
      </c>
      <c r="H1537" s="415" t="s">
        <v>468</v>
      </c>
      <c r="I1537" s="461" t="s">
        <v>2929</v>
      </c>
      <c r="J1537" s="415" t="s">
        <v>310</v>
      </c>
      <c r="K1537" s="415" t="s">
        <v>1220</v>
      </c>
      <c r="L1537" s="415" t="s">
        <v>1368</v>
      </c>
      <c r="M1537" s="464" t="s">
        <v>310</v>
      </c>
      <c r="N1537" s="469">
        <v>44620</v>
      </c>
      <c r="O1537" s="414" t="s">
        <v>407</v>
      </c>
      <c r="P1537" s="222">
        <f t="shared" si="100"/>
        <v>3</v>
      </c>
      <c r="Q1537" s="222">
        <f t="shared" si="101"/>
        <v>1</v>
      </c>
      <c r="R1537" s="415" t="str">
        <f t="shared" si="102"/>
        <v>Gastos_custeados_por_captação</v>
      </c>
      <c r="S1537" s="467" t="s">
        <v>310</v>
      </c>
      <c r="T1537" s="467" t="s">
        <v>310</v>
      </c>
      <c r="U1537" s="497"/>
      <c r="V1537" s="497"/>
      <c r="W1537" s="497"/>
    </row>
    <row r="1538" spans="1:23" ht="50.1" customHeight="1" x14ac:dyDescent="0.2">
      <c r="A1538" s="510">
        <f t="shared" si="103"/>
        <v>1535</v>
      </c>
      <c r="B1538" s="590">
        <v>44636</v>
      </c>
      <c r="C1538" s="424">
        <v>44531</v>
      </c>
      <c r="D1538" s="415" t="s">
        <v>468</v>
      </c>
      <c r="E1538" s="415" t="s">
        <v>468</v>
      </c>
      <c r="F1538" s="459">
        <v>265</v>
      </c>
      <c r="G1538" s="427" t="s">
        <v>3211</v>
      </c>
      <c r="H1538" s="415" t="s">
        <v>468</v>
      </c>
      <c r="I1538" s="461" t="s">
        <v>2929</v>
      </c>
      <c r="J1538" s="415" t="s">
        <v>310</v>
      </c>
      <c r="K1538" s="415" t="s">
        <v>1220</v>
      </c>
      <c r="L1538" s="415" t="s">
        <v>1368</v>
      </c>
      <c r="M1538" s="464" t="s">
        <v>310</v>
      </c>
      <c r="N1538" s="469">
        <v>44620</v>
      </c>
      <c r="O1538" s="414" t="s">
        <v>407</v>
      </c>
      <c r="P1538" s="222">
        <f t="shared" si="100"/>
        <v>3</v>
      </c>
      <c r="Q1538" s="222">
        <f t="shared" si="101"/>
        <v>0</v>
      </c>
      <c r="R1538" s="415" t="str">
        <f t="shared" si="102"/>
        <v>Gastos_custeados_por_captação</v>
      </c>
      <c r="S1538" s="467" t="s">
        <v>310</v>
      </c>
      <c r="T1538" s="467" t="s">
        <v>310</v>
      </c>
      <c r="U1538" s="497"/>
      <c r="V1538" s="497"/>
      <c r="W1538" s="497"/>
    </row>
    <row r="1539" spans="1:23" ht="50.1" customHeight="1" x14ac:dyDescent="0.2">
      <c r="A1539" s="510">
        <f t="shared" si="103"/>
        <v>1536</v>
      </c>
      <c r="B1539" s="590">
        <v>44636</v>
      </c>
      <c r="C1539" s="424">
        <v>44501</v>
      </c>
      <c r="D1539" s="415" t="s">
        <v>468</v>
      </c>
      <c r="E1539" s="415" t="s">
        <v>468</v>
      </c>
      <c r="F1539" s="459">
        <v>205.9</v>
      </c>
      <c r="G1539" s="427" t="s">
        <v>3212</v>
      </c>
      <c r="H1539" s="415" t="s">
        <v>468</v>
      </c>
      <c r="I1539" s="461" t="s">
        <v>2929</v>
      </c>
      <c r="J1539" s="415" t="s">
        <v>310</v>
      </c>
      <c r="K1539" s="415" t="s">
        <v>1220</v>
      </c>
      <c r="L1539" s="415" t="s">
        <v>1368</v>
      </c>
      <c r="M1539" s="464" t="s">
        <v>310</v>
      </c>
      <c r="N1539" s="469">
        <v>44620</v>
      </c>
      <c r="O1539" s="414" t="s">
        <v>407</v>
      </c>
      <c r="P1539" s="222">
        <f t="shared" si="100"/>
        <v>3</v>
      </c>
      <c r="Q1539" s="222">
        <f t="shared" si="101"/>
        <v>-1</v>
      </c>
      <c r="R1539" s="415" t="str">
        <f t="shared" si="102"/>
        <v>Gastos_custeados_por_captação</v>
      </c>
      <c r="S1539" s="467" t="s">
        <v>310</v>
      </c>
      <c r="T1539" s="467" t="s">
        <v>310</v>
      </c>
      <c r="U1539" s="497"/>
      <c r="V1539" s="497"/>
      <c r="W1539" s="497"/>
    </row>
    <row r="1540" spans="1:23" ht="50.1" customHeight="1" x14ac:dyDescent="0.2">
      <c r="A1540" s="510">
        <f t="shared" si="103"/>
        <v>1537</v>
      </c>
      <c r="B1540" s="428">
        <v>44637</v>
      </c>
      <c r="C1540" s="424">
        <v>44593</v>
      </c>
      <c r="D1540" s="415" t="s">
        <v>271</v>
      </c>
      <c r="E1540" s="415" t="s">
        <v>85</v>
      </c>
      <c r="F1540" s="425">
        <v>-78.94</v>
      </c>
      <c r="G1540" s="427" t="s">
        <v>2257</v>
      </c>
      <c r="H1540" s="415" t="s">
        <v>309</v>
      </c>
      <c r="I1540" s="473" t="s">
        <v>795</v>
      </c>
      <c r="J1540" s="415" t="s">
        <v>796</v>
      </c>
      <c r="K1540" s="415" t="s">
        <v>797</v>
      </c>
      <c r="L1540" s="415" t="s">
        <v>798</v>
      </c>
      <c r="M1540" s="415" t="s">
        <v>310</v>
      </c>
      <c r="N1540" s="414">
        <v>44637</v>
      </c>
      <c r="O1540" s="414" t="s">
        <v>400</v>
      </c>
      <c r="P1540" s="222">
        <f t="shared" si="100"/>
        <v>3</v>
      </c>
      <c r="Q1540" s="222">
        <f t="shared" si="101"/>
        <v>2</v>
      </c>
      <c r="R1540" s="532" t="str">
        <f t="shared" si="102"/>
        <v>Gastos_Gerais</v>
      </c>
      <c r="S1540" s="467" t="s">
        <v>310</v>
      </c>
      <c r="T1540" s="467" t="s">
        <v>310</v>
      </c>
      <c r="U1540" s="496"/>
      <c r="V1540" s="496"/>
      <c r="W1540" s="496"/>
    </row>
    <row r="1541" spans="1:23" ht="55.5" customHeight="1" x14ac:dyDescent="0.2">
      <c r="A1541" s="510">
        <f t="shared" si="103"/>
        <v>1538</v>
      </c>
      <c r="B1541" s="428">
        <v>44637</v>
      </c>
      <c r="C1541" s="424">
        <v>44593</v>
      </c>
      <c r="D1541" s="415" t="s">
        <v>271</v>
      </c>
      <c r="E1541" s="415" t="s">
        <v>164</v>
      </c>
      <c r="F1541" s="425">
        <v>-167.17</v>
      </c>
      <c r="G1541" s="427" t="s">
        <v>1810</v>
      </c>
      <c r="H1541" s="415" t="s">
        <v>309</v>
      </c>
      <c r="I1541" s="473" t="s">
        <v>795</v>
      </c>
      <c r="J1541" s="415" t="s">
        <v>796</v>
      </c>
      <c r="K1541" s="415" t="s">
        <v>797</v>
      </c>
      <c r="L1541" s="415" t="s">
        <v>798</v>
      </c>
      <c r="M1541" s="415" t="s">
        <v>310</v>
      </c>
      <c r="N1541" s="414">
        <v>44637</v>
      </c>
      <c r="O1541" s="414" t="s">
        <v>400</v>
      </c>
      <c r="P1541" s="222">
        <f t="shared" si="100"/>
        <v>3</v>
      </c>
      <c r="Q1541" s="222">
        <f t="shared" si="101"/>
        <v>2</v>
      </c>
      <c r="R1541" s="532" t="str">
        <f t="shared" si="102"/>
        <v>Gastos_Gerais</v>
      </c>
      <c r="S1541" s="467" t="s">
        <v>310</v>
      </c>
      <c r="T1541" s="467" t="s">
        <v>310</v>
      </c>
      <c r="U1541" s="496"/>
      <c r="V1541" s="496"/>
      <c r="W1541" s="496"/>
    </row>
    <row r="1542" spans="1:23" ht="45.75" customHeight="1" x14ac:dyDescent="0.2">
      <c r="A1542" s="510">
        <f t="shared" si="103"/>
        <v>1539</v>
      </c>
      <c r="B1542" s="428">
        <v>44637</v>
      </c>
      <c r="C1542" s="424">
        <v>44562</v>
      </c>
      <c r="D1542" s="415" t="s">
        <v>271</v>
      </c>
      <c r="E1542" s="415" t="s">
        <v>1791</v>
      </c>
      <c r="F1542" s="425">
        <v>1068</v>
      </c>
      <c r="G1542" s="427" t="s">
        <v>728</v>
      </c>
      <c r="H1542" s="415" t="s">
        <v>760</v>
      </c>
      <c r="I1542" s="473" t="s">
        <v>2258</v>
      </c>
      <c r="J1542" s="415" t="s">
        <v>1149</v>
      </c>
      <c r="K1542" s="415" t="s">
        <v>2259</v>
      </c>
      <c r="L1542" s="415" t="s">
        <v>839</v>
      </c>
      <c r="M1542" s="415">
        <v>1632</v>
      </c>
      <c r="N1542" s="414">
        <v>44637</v>
      </c>
      <c r="O1542" s="414" t="s">
        <v>400</v>
      </c>
      <c r="P1542" s="222">
        <f t="shared" si="100"/>
        <v>3</v>
      </c>
      <c r="Q1542" s="222">
        <f t="shared" si="101"/>
        <v>1</v>
      </c>
      <c r="R1542" s="532" t="str">
        <f t="shared" si="102"/>
        <v>Gastos_Gerais</v>
      </c>
      <c r="S1542" s="467" t="s">
        <v>998</v>
      </c>
      <c r="T1542" s="467">
        <v>2809</v>
      </c>
      <c r="U1542" s="496"/>
      <c r="V1542" s="496"/>
      <c r="W1542" s="496"/>
    </row>
    <row r="1543" spans="1:23" ht="72" x14ac:dyDescent="0.2">
      <c r="A1543" s="510">
        <f t="shared" si="103"/>
        <v>1540</v>
      </c>
      <c r="B1543" s="428">
        <v>44637</v>
      </c>
      <c r="C1543" s="424">
        <v>44621</v>
      </c>
      <c r="D1543" s="415" t="s">
        <v>468</v>
      </c>
      <c r="E1543" s="415" t="s">
        <v>468</v>
      </c>
      <c r="F1543" s="425">
        <v>1276.8</v>
      </c>
      <c r="G1543" s="427" t="s">
        <v>744</v>
      </c>
      <c r="H1543" s="473" t="s">
        <v>468</v>
      </c>
      <c r="I1543" s="554" t="s">
        <v>2834</v>
      </c>
      <c r="J1543" s="470" t="s">
        <v>1162</v>
      </c>
      <c r="K1543" s="415" t="s">
        <v>806</v>
      </c>
      <c r="L1543" s="399" t="s">
        <v>839</v>
      </c>
      <c r="M1543" s="544">
        <v>1631</v>
      </c>
      <c r="N1543" s="414">
        <v>44637</v>
      </c>
      <c r="O1543" s="414" t="s">
        <v>404</v>
      </c>
      <c r="P1543" s="222">
        <f t="shared" si="100"/>
        <v>3</v>
      </c>
      <c r="Q1543" s="222">
        <f t="shared" si="101"/>
        <v>3</v>
      </c>
      <c r="R1543" s="532" t="str">
        <f t="shared" si="102"/>
        <v>Gastos_custeados_por_captação</v>
      </c>
      <c r="S1543" s="467" t="s">
        <v>998</v>
      </c>
      <c r="T1543" s="467">
        <v>2820</v>
      </c>
      <c r="U1543" s="496"/>
      <c r="V1543" s="496"/>
      <c r="W1543" s="496"/>
    </row>
    <row r="1544" spans="1:23" s="311" customFormat="1" ht="72" x14ac:dyDescent="0.2">
      <c r="A1544" s="510">
        <f t="shared" si="103"/>
        <v>1541</v>
      </c>
      <c r="B1544" s="428">
        <v>44637</v>
      </c>
      <c r="C1544" s="424">
        <v>44621</v>
      </c>
      <c r="D1544" s="415" t="s">
        <v>468</v>
      </c>
      <c r="E1544" s="415" t="s">
        <v>468</v>
      </c>
      <c r="F1544" s="425">
        <v>1008</v>
      </c>
      <c r="G1544" s="427" t="s">
        <v>2832</v>
      </c>
      <c r="H1544" s="473" t="s">
        <v>468</v>
      </c>
      <c r="I1544" s="460" t="s">
        <v>2694</v>
      </c>
      <c r="J1544" s="468" t="s">
        <v>1257</v>
      </c>
      <c r="K1544" s="415" t="s">
        <v>806</v>
      </c>
      <c r="L1544" s="399" t="s">
        <v>839</v>
      </c>
      <c r="M1544" s="544">
        <v>1630</v>
      </c>
      <c r="N1544" s="414">
        <v>44636</v>
      </c>
      <c r="O1544" s="414" t="s">
        <v>404</v>
      </c>
      <c r="P1544" s="222">
        <f t="shared" si="100"/>
        <v>3</v>
      </c>
      <c r="Q1544" s="222">
        <f t="shared" si="101"/>
        <v>3</v>
      </c>
      <c r="R1544" s="532" t="str">
        <f t="shared" si="102"/>
        <v>Gastos_custeados_por_captação</v>
      </c>
      <c r="S1544" s="467" t="s">
        <v>998</v>
      </c>
      <c r="T1544" s="467">
        <v>2830</v>
      </c>
      <c r="U1544" s="496"/>
      <c r="V1544" s="496"/>
      <c r="W1544" s="496"/>
    </row>
    <row r="1545" spans="1:23" ht="72" x14ac:dyDescent="0.2">
      <c r="A1545" s="510">
        <f t="shared" si="103"/>
        <v>1542</v>
      </c>
      <c r="B1545" s="428">
        <v>44637</v>
      </c>
      <c r="C1545" s="424">
        <v>44621</v>
      </c>
      <c r="D1545" s="415" t="s">
        <v>468</v>
      </c>
      <c r="E1545" s="415" t="s">
        <v>468</v>
      </c>
      <c r="F1545" s="425">
        <v>1276.8</v>
      </c>
      <c r="G1545" s="427" t="s">
        <v>2833</v>
      </c>
      <c r="H1545" s="473" t="s">
        <v>468</v>
      </c>
      <c r="I1545" s="554" t="s">
        <v>2691</v>
      </c>
      <c r="J1545" s="470" t="s">
        <v>1163</v>
      </c>
      <c r="K1545" s="415" t="s">
        <v>806</v>
      </c>
      <c r="L1545" s="399" t="s">
        <v>839</v>
      </c>
      <c r="M1545" s="415">
        <v>1628</v>
      </c>
      <c r="N1545" s="414">
        <v>44636</v>
      </c>
      <c r="O1545" s="414" t="s">
        <v>404</v>
      </c>
      <c r="P1545" s="222">
        <f t="shared" si="100"/>
        <v>3</v>
      </c>
      <c r="Q1545" s="222">
        <f t="shared" si="101"/>
        <v>3</v>
      </c>
      <c r="R1545" s="532" t="str">
        <f t="shared" si="102"/>
        <v>Gastos_custeados_por_captação</v>
      </c>
      <c r="S1545" s="467" t="s">
        <v>998</v>
      </c>
      <c r="T1545" s="467">
        <v>2821</v>
      </c>
      <c r="U1545" s="496"/>
      <c r="V1545" s="496"/>
      <c r="W1545" s="496"/>
    </row>
    <row r="1546" spans="1:23" ht="24" x14ac:dyDescent="0.2">
      <c r="A1546" s="510">
        <f t="shared" si="103"/>
        <v>1543</v>
      </c>
      <c r="B1546" s="428">
        <v>44637</v>
      </c>
      <c r="C1546" s="424">
        <v>44593</v>
      </c>
      <c r="D1546" s="415" t="s">
        <v>271</v>
      </c>
      <c r="E1546" s="415" t="s">
        <v>164</v>
      </c>
      <c r="F1546" s="425">
        <v>632.99</v>
      </c>
      <c r="G1546" s="427" t="s">
        <v>1403</v>
      </c>
      <c r="H1546" s="473" t="s">
        <v>309</v>
      </c>
      <c r="I1546" s="474" t="s">
        <v>768</v>
      </c>
      <c r="J1546" s="434" t="s">
        <v>1021</v>
      </c>
      <c r="K1546" s="415" t="s">
        <v>812</v>
      </c>
      <c r="L1546" s="415" t="s">
        <v>1372</v>
      </c>
      <c r="M1546" s="415" t="s">
        <v>310</v>
      </c>
      <c r="N1546" s="414">
        <v>44621</v>
      </c>
      <c r="O1546" s="414" t="s">
        <v>400</v>
      </c>
      <c r="P1546" s="222">
        <f t="shared" si="100"/>
        <v>3</v>
      </c>
      <c r="Q1546" s="222">
        <f t="shared" si="101"/>
        <v>2</v>
      </c>
      <c r="R1546" s="532" t="str">
        <f t="shared" si="102"/>
        <v>Gastos_Gerais</v>
      </c>
      <c r="S1546" s="467" t="s">
        <v>310</v>
      </c>
      <c r="T1546" s="467" t="s">
        <v>310</v>
      </c>
      <c r="U1546" s="496"/>
      <c r="V1546" s="496"/>
      <c r="W1546" s="496"/>
    </row>
    <row r="1547" spans="1:23" ht="24" x14ac:dyDescent="0.2">
      <c r="A1547" s="510">
        <f t="shared" si="103"/>
        <v>1544</v>
      </c>
      <c r="B1547" s="428">
        <v>44637</v>
      </c>
      <c r="C1547" s="424">
        <v>44593</v>
      </c>
      <c r="D1547" s="415" t="s">
        <v>271</v>
      </c>
      <c r="E1547" s="415" t="s">
        <v>85</v>
      </c>
      <c r="F1547" s="425">
        <v>298.92</v>
      </c>
      <c r="G1547" s="427" t="s">
        <v>492</v>
      </c>
      <c r="H1547" s="415" t="s">
        <v>309</v>
      </c>
      <c r="I1547" s="474" t="s">
        <v>765</v>
      </c>
      <c r="J1547" s="434" t="s">
        <v>892</v>
      </c>
      <c r="K1547" s="415" t="s">
        <v>893</v>
      </c>
      <c r="L1547" s="399" t="s">
        <v>807</v>
      </c>
      <c r="M1547" s="415">
        <v>73916219</v>
      </c>
      <c r="N1547" s="414">
        <v>44615</v>
      </c>
      <c r="O1547" s="414" t="s">
        <v>400</v>
      </c>
      <c r="P1547" s="222">
        <f t="shared" si="100"/>
        <v>3</v>
      </c>
      <c r="Q1547" s="222">
        <f t="shared" si="101"/>
        <v>2</v>
      </c>
      <c r="R1547" s="532" t="str">
        <f t="shared" si="102"/>
        <v>Gastos_Gerais</v>
      </c>
      <c r="S1547" s="467" t="s">
        <v>310</v>
      </c>
      <c r="T1547" s="467" t="s">
        <v>310</v>
      </c>
      <c r="U1547" s="496"/>
      <c r="V1547" s="496"/>
      <c r="W1547" s="496"/>
    </row>
    <row r="1548" spans="1:23" ht="48" x14ac:dyDescent="0.2">
      <c r="A1548" s="510">
        <f t="shared" si="103"/>
        <v>1545</v>
      </c>
      <c r="B1548" s="428">
        <v>44638</v>
      </c>
      <c r="C1548" s="424">
        <v>44593</v>
      </c>
      <c r="D1548" s="415" t="s">
        <v>271</v>
      </c>
      <c r="E1548" s="415" t="s">
        <v>84</v>
      </c>
      <c r="F1548" s="425">
        <v>-2.5099999999999998</v>
      </c>
      <c r="G1548" s="427" t="s">
        <v>1470</v>
      </c>
      <c r="H1548" s="473" t="s">
        <v>750</v>
      </c>
      <c r="I1548" s="473" t="s">
        <v>795</v>
      </c>
      <c r="J1548" s="415" t="s">
        <v>796</v>
      </c>
      <c r="K1548" s="415" t="s">
        <v>797</v>
      </c>
      <c r="L1548" s="415" t="s">
        <v>798</v>
      </c>
      <c r="M1548" s="415" t="s">
        <v>310</v>
      </c>
      <c r="N1548" s="414">
        <v>44638</v>
      </c>
      <c r="O1548" s="414" t="s">
        <v>400</v>
      </c>
      <c r="P1548" s="222">
        <f t="shared" si="100"/>
        <v>3</v>
      </c>
      <c r="Q1548" s="222">
        <f t="shared" si="101"/>
        <v>2</v>
      </c>
      <c r="R1548" s="532" t="str">
        <f t="shared" si="102"/>
        <v>Gastos_Gerais</v>
      </c>
      <c r="S1548" s="467" t="s">
        <v>310</v>
      </c>
      <c r="T1548" s="467" t="s">
        <v>310</v>
      </c>
      <c r="U1548" s="496"/>
      <c r="V1548" s="496"/>
      <c r="W1548" s="496"/>
    </row>
    <row r="1549" spans="1:23" ht="48" x14ac:dyDescent="0.2">
      <c r="A1549" s="510">
        <f t="shared" si="103"/>
        <v>1546</v>
      </c>
      <c r="B1549" s="428">
        <v>44638</v>
      </c>
      <c r="C1549" s="424">
        <v>44531</v>
      </c>
      <c r="D1549" s="415" t="s">
        <v>271</v>
      </c>
      <c r="E1549" s="415" t="s">
        <v>186</v>
      </c>
      <c r="F1549" s="425">
        <v>-5.57</v>
      </c>
      <c r="G1549" s="427" t="s">
        <v>2321</v>
      </c>
      <c r="H1549" s="415" t="s">
        <v>309</v>
      </c>
      <c r="I1549" s="473" t="s">
        <v>795</v>
      </c>
      <c r="J1549" s="415" t="s">
        <v>796</v>
      </c>
      <c r="K1549" s="415" t="s">
        <v>797</v>
      </c>
      <c r="L1549" s="415" t="s">
        <v>798</v>
      </c>
      <c r="M1549" s="415" t="s">
        <v>310</v>
      </c>
      <c r="N1549" s="414">
        <v>44638</v>
      </c>
      <c r="O1549" s="414" t="s">
        <v>400</v>
      </c>
      <c r="P1549" s="222">
        <f t="shared" si="100"/>
        <v>3</v>
      </c>
      <c r="Q1549" s="222">
        <f t="shared" si="101"/>
        <v>0</v>
      </c>
      <c r="R1549" s="532" t="str">
        <f t="shared" si="102"/>
        <v>Gastos_Gerais</v>
      </c>
      <c r="S1549" s="467" t="s">
        <v>310</v>
      </c>
      <c r="T1549" s="467" t="s">
        <v>310</v>
      </c>
      <c r="U1549" s="496"/>
      <c r="V1549" s="496"/>
      <c r="W1549" s="496"/>
    </row>
    <row r="1550" spans="1:23" ht="48" x14ac:dyDescent="0.2">
      <c r="A1550" s="510">
        <f t="shared" si="103"/>
        <v>1547</v>
      </c>
      <c r="B1550" s="428">
        <v>44638</v>
      </c>
      <c r="C1550" s="424">
        <v>44593</v>
      </c>
      <c r="D1550" s="415" t="s">
        <v>468</v>
      </c>
      <c r="E1550" s="415" t="s">
        <v>468</v>
      </c>
      <c r="F1550" s="425">
        <v>-155</v>
      </c>
      <c r="G1550" s="456" t="s">
        <v>2286</v>
      </c>
      <c r="H1550" s="415" t="s">
        <v>468</v>
      </c>
      <c r="I1550" s="473" t="s">
        <v>795</v>
      </c>
      <c r="J1550" s="415" t="s">
        <v>796</v>
      </c>
      <c r="K1550" s="415" t="s">
        <v>797</v>
      </c>
      <c r="L1550" s="415" t="s">
        <v>798</v>
      </c>
      <c r="M1550" s="415" t="s">
        <v>310</v>
      </c>
      <c r="N1550" s="414">
        <v>44638</v>
      </c>
      <c r="O1550" s="414" t="s">
        <v>400</v>
      </c>
      <c r="P1550" s="222">
        <f t="shared" si="100"/>
        <v>3</v>
      </c>
      <c r="Q1550" s="222">
        <f t="shared" si="101"/>
        <v>2</v>
      </c>
      <c r="R1550" s="532" t="str">
        <f t="shared" si="102"/>
        <v>Gastos_custeados_por_captação</v>
      </c>
      <c r="S1550" s="467" t="s">
        <v>310</v>
      </c>
      <c r="T1550" s="467" t="s">
        <v>310</v>
      </c>
      <c r="U1550" s="496"/>
      <c r="V1550" s="496"/>
      <c r="W1550" s="496"/>
    </row>
    <row r="1551" spans="1:23" ht="48" x14ac:dyDescent="0.2">
      <c r="A1551" s="510">
        <f t="shared" si="103"/>
        <v>1548</v>
      </c>
      <c r="B1551" s="428">
        <v>44638</v>
      </c>
      <c r="C1551" s="424">
        <v>44593</v>
      </c>
      <c r="D1551" s="415" t="s">
        <v>468</v>
      </c>
      <c r="E1551" s="415" t="s">
        <v>468</v>
      </c>
      <c r="F1551" s="425">
        <v>-3100</v>
      </c>
      <c r="G1551" s="456" t="s">
        <v>2287</v>
      </c>
      <c r="H1551" s="415" t="s">
        <v>468</v>
      </c>
      <c r="I1551" s="473" t="s">
        <v>795</v>
      </c>
      <c r="J1551" s="415" t="s">
        <v>796</v>
      </c>
      <c r="K1551" s="415" t="s">
        <v>797</v>
      </c>
      <c r="L1551" s="415" t="s">
        <v>798</v>
      </c>
      <c r="M1551" s="415" t="s">
        <v>310</v>
      </c>
      <c r="N1551" s="414">
        <v>44638</v>
      </c>
      <c r="O1551" s="414" t="s">
        <v>400</v>
      </c>
      <c r="P1551" s="222">
        <f t="shared" si="100"/>
        <v>3</v>
      </c>
      <c r="Q1551" s="222">
        <f t="shared" si="101"/>
        <v>2</v>
      </c>
      <c r="R1551" s="532" t="str">
        <f t="shared" si="102"/>
        <v>Gastos_custeados_por_captação</v>
      </c>
      <c r="S1551" s="467" t="s">
        <v>310</v>
      </c>
      <c r="T1551" s="467" t="s">
        <v>310</v>
      </c>
      <c r="U1551" s="496"/>
      <c r="V1551" s="496"/>
      <c r="W1551" s="496"/>
    </row>
    <row r="1552" spans="1:23" ht="48" x14ac:dyDescent="0.2">
      <c r="A1552" s="510">
        <f t="shared" si="103"/>
        <v>1549</v>
      </c>
      <c r="B1552" s="428">
        <v>44638</v>
      </c>
      <c r="C1552" s="424">
        <v>44593</v>
      </c>
      <c r="D1552" s="415" t="s">
        <v>468</v>
      </c>
      <c r="E1552" s="415" t="s">
        <v>468</v>
      </c>
      <c r="F1552" s="425">
        <v>-930</v>
      </c>
      <c r="G1552" s="456" t="s">
        <v>2288</v>
      </c>
      <c r="H1552" s="415" t="s">
        <v>468</v>
      </c>
      <c r="I1552" s="473" t="s">
        <v>795</v>
      </c>
      <c r="J1552" s="415" t="s">
        <v>796</v>
      </c>
      <c r="K1552" s="415" t="s">
        <v>797</v>
      </c>
      <c r="L1552" s="415" t="s">
        <v>798</v>
      </c>
      <c r="M1552" s="415" t="s">
        <v>310</v>
      </c>
      <c r="N1552" s="414">
        <v>44638</v>
      </c>
      <c r="O1552" s="414" t="s">
        <v>400</v>
      </c>
      <c r="P1552" s="222">
        <f t="shared" si="100"/>
        <v>3</v>
      </c>
      <c r="Q1552" s="222">
        <f t="shared" si="101"/>
        <v>2</v>
      </c>
      <c r="R1552" s="532" t="str">
        <f t="shared" si="102"/>
        <v>Gastos_custeados_por_captação</v>
      </c>
      <c r="S1552" s="467" t="s">
        <v>310</v>
      </c>
      <c r="T1552" s="467" t="s">
        <v>310</v>
      </c>
      <c r="U1552" s="496"/>
      <c r="V1552" s="496"/>
      <c r="W1552" s="496"/>
    </row>
    <row r="1553" spans="1:23" ht="48" x14ac:dyDescent="0.2">
      <c r="A1553" s="510">
        <f t="shared" si="103"/>
        <v>1550</v>
      </c>
      <c r="B1553" s="428">
        <v>44638</v>
      </c>
      <c r="C1553" s="424">
        <v>44593</v>
      </c>
      <c r="D1553" s="415" t="s">
        <v>468</v>
      </c>
      <c r="E1553" s="415" t="s">
        <v>468</v>
      </c>
      <c r="F1553" s="425">
        <v>-1550</v>
      </c>
      <c r="G1553" s="456" t="s">
        <v>2289</v>
      </c>
      <c r="H1553" s="415" t="s">
        <v>468</v>
      </c>
      <c r="I1553" s="473" t="s">
        <v>795</v>
      </c>
      <c r="J1553" s="415" t="s">
        <v>796</v>
      </c>
      <c r="K1553" s="415" t="s">
        <v>797</v>
      </c>
      <c r="L1553" s="415" t="s">
        <v>798</v>
      </c>
      <c r="M1553" s="415" t="s">
        <v>310</v>
      </c>
      <c r="N1553" s="414">
        <v>44638</v>
      </c>
      <c r="O1553" s="414" t="s">
        <v>400</v>
      </c>
      <c r="P1553" s="222">
        <f t="shared" si="100"/>
        <v>3</v>
      </c>
      <c r="Q1553" s="222">
        <f t="shared" si="101"/>
        <v>2</v>
      </c>
      <c r="R1553" s="532" t="str">
        <f t="shared" si="102"/>
        <v>Gastos_custeados_por_captação</v>
      </c>
      <c r="S1553" s="467" t="s">
        <v>310</v>
      </c>
      <c r="T1553" s="467" t="s">
        <v>310</v>
      </c>
      <c r="U1553" s="496"/>
      <c r="V1553" s="496"/>
      <c r="W1553" s="496"/>
    </row>
    <row r="1554" spans="1:23" ht="48" x14ac:dyDescent="0.2">
      <c r="A1554" s="510">
        <f t="shared" si="103"/>
        <v>1551</v>
      </c>
      <c r="B1554" s="428">
        <v>44638</v>
      </c>
      <c r="C1554" s="424">
        <v>44593</v>
      </c>
      <c r="D1554" s="415" t="s">
        <v>271</v>
      </c>
      <c r="E1554" s="415" t="s">
        <v>90</v>
      </c>
      <c r="F1554" s="425">
        <v>-706.8</v>
      </c>
      <c r="G1554" s="456" t="s">
        <v>2290</v>
      </c>
      <c r="H1554" s="415" t="s">
        <v>310</v>
      </c>
      <c r="I1554" s="473" t="s">
        <v>795</v>
      </c>
      <c r="J1554" s="415" t="s">
        <v>796</v>
      </c>
      <c r="K1554" s="415" t="s">
        <v>797</v>
      </c>
      <c r="L1554" s="415" t="s">
        <v>798</v>
      </c>
      <c r="M1554" s="415" t="s">
        <v>310</v>
      </c>
      <c r="N1554" s="414">
        <v>44638</v>
      </c>
      <c r="O1554" s="414" t="s">
        <v>400</v>
      </c>
      <c r="P1554" s="222">
        <f t="shared" si="100"/>
        <v>3</v>
      </c>
      <c r="Q1554" s="222">
        <f t="shared" si="101"/>
        <v>2</v>
      </c>
      <c r="R1554" s="532" t="str">
        <f t="shared" si="102"/>
        <v>Gastos_Gerais</v>
      </c>
      <c r="S1554" s="467" t="s">
        <v>310</v>
      </c>
      <c r="T1554" s="467" t="s">
        <v>310</v>
      </c>
      <c r="U1554" s="496"/>
      <c r="V1554" s="496"/>
      <c r="W1554" s="496"/>
    </row>
    <row r="1555" spans="1:23" ht="48" x14ac:dyDescent="0.2">
      <c r="A1555" s="510">
        <f t="shared" si="103"/>
        <v>1552</v>
      </c>
      <c r="B1555" s="428">
        <v>44638</v>
      </c>
      <c r="C1555" s="424">
        <v>44593</v>
      </c>
      <c r="D1555" s="415" t="s">
        <v>182</v>
      </c>
      <c r="E1555" s="415" t="s">
        <v>1</v>
      </c>
      <c r="F1555" s="425">
        <v>-11258.86</v>
      </c>
      <c r="G1555" s="440" t="s">
        <v>2291</v>
      </c>
      <c r="H1555" s="415" t="s">
        <v>310</v>
      </c>
      <c r="I1555" s="473" t="s">
        <v>795</v>
      </c>
      <c r="J1555" s="415" t="s">
        <v>796</v>
      </c>
      <c r="K1555" s="415" t="s">
        <v>797</v>
      </c>
      <c r="L1555" s="415" t="s">
        <v>798</v>
      </c>
      <c r="M1555" s="415" t="s">
        <v>310</v>
      </c>
      <c r="N1555" s="414">
        <v>44638</v>
      </c>
      <c r="O1555" s="414" t="s">
        <v>400</v>
      </c>
      <c r="P1555" s="222">
        <f t="shared" si="100"/>
        <v>3</v>
      </c>
      <c r="Q1555" s="222">
        <f t="shared" si="101"/>
        <v>2</v>
      </c>
      <c r="R1555" s="532" t="str">
        <f t="shared" si="102"/>
        <v>Gastos_com_Pessoal</v>
      </c>
      <c r="S1555" s="467" t="s">
        <v>310</v>
      </c>
      <c r="T1555" s="467" t="s">
        <v>310</v>
      </c>
      <c r="U1555" s="496"/>
      <c r="V1555" s="496"/>
      <c r="W1555" s="496"/>
    </row>
    <row r="1556" spans="1:23" ht="48" x14ac:dyDescent="0.2">
      <c r="A1556" s="510">
        <f t="shared" si="103"/>
        <v>1553</v>
      </c>
      <c r="B1556" s="428">
        <v>44638</v>
      </c>
      <c r="C1556" s="424">
        <v>44593</v>
      </c>
      <c r="D1556" s="415" t="s">
        <v>271</v>
      </c>
      <c r="E1556" s="415" t="s">
        <v>84</v>
      </c>
      <c r="F1556" s="425">
        <v>-35.86</v>
      </c>
      <c r="G1556" s="427" t="s">
        <v>2292</v>
      </c>
      <c r="H1556" s="415" t="s">
        <v>309</v>
      </c>
      <c r="I1556" s="473" t="s">
        <v>795</v>
      </c>
      <c r="J1556" s="415" t="s">
        <v>796</v>
      </c>
      <c r="K1556" s="415" t="s">
        <v>797</v>
      </c>
      <c r="L1556" s="415" t="s">
        <v>798</v>
      </c>
      <c r="M1556" s="415" t="s">
        <v>310</v>
      </c>
      <c r="N1556" s="414">
        <v>44638</v>
      </c>
      <c r="O1556" s="414" t="s">
        <v>400</v>
      </c>
      <c r="P1556" s="222">
        <f t="shared" si="100"/>
        <v>3</v>
      </c>
      <c r="Q1556" s="222">
        <f t="shared" si="101"/>
        <v>2</v>
      </c>
      <c r="R1556" s="532" t="str">
        <f t="shared" si="102"/>
        <v>Gastos_Gerais</v>
      </c>
      <c r="S1556" s="467" t="s">
        <v>310</v>
      </c>
      <c r="T1556" s="467" t="s">
        <v>310</v>
      </c>
      <c r="U1556" s="496"/>
      <c r="V1556" s="496"/>
      <c r="W1556" s="496"/>
    </row>
    <row r="1557" spans="1:23" ht="48" x14ac:dyDescent="0.2">
      <c r="A1557" s="510">
        <f t="shared" si="103"/>
        <v>1554</v>
      </c>
      <c r="B1557" s="428">
        <v>44638</v>
      </c>
      <c r="C1557" s="424">
        <v>44593</v>
      </c>
      <c r="D1557" s="415" t="s">
        <v>271</v>
      </c>
      <c r="E1557" s="415" t="s">
        <v>183</v>
      </c>
      <c r="F1557" s="425">
        <v>-93.22</v>
      </c>
      <c r="G1557" s="440" t="s">
        <v>2293</v>
      </c>
      <c r="H1557" s="415" t="s">
        <v>309</v>
      </c>
      <c r="I1557" s="473" t="s">
        <v>795</v>
      </c>
      <c r="J1557" s="415" t="s">
        <v>796</v>
      </c>
      <c r="K1557" s="415" t="s">
        <v>797</v>
      </c>
      <c r="L1557" s="415" t="s">
        <v>798</v>
      </c>
      <c r="M1557" s="415" t="s">
        <v>310</v>
      </c>
      <c r="N1557" s="414">
        <v>44638</v>
      </c>
      <c r="O1557" s="414" t="s">
        <v>400</v>
      </c>
      <c r="P1557" s="222">
        <f t="shared" si="100"/>
        <v>3</v>
      </c>
      <c r="Q1557" s="222">
        <f t="shared" si="101"/>
        <v>2</v>
      </c>
      <c r="R1557" s="532" t="str">
        <f t="shared" si="102"/>
        <v>Gastos_Gerais</v>
      </c>
      <c r="S1557" s="467" t="s">
        <v>310</v>
      </c>
      <c r="T1557" s="467" t="s">
        <v>310</v>
      </c>
      <c r="U1557" s="496"/>
      <c r="V1557" s="496"/>
      <c r="W1557" s="496"/>
    </row>
    <row r="1558" spans="1:23" ht="48" x14ac:dyDescent="0.2">
      <c r="A1558" s="510">
        <f t="shared" si="103"/>
        <v>1555</v>
      </c>
      <c r="B1558" s="428">
        <v>44638</v>
      </c>
      <c r="C1558" s="424">
        <v>44593</v>
      </c>
      <c r="D1558" s="415" t="s">
        <v>271</v>
      </c>
      <c r="E1558" s="415" t="s">
        <v>90</v>
      </c>
      <c r="F1558" s="425">
        <v>-6596.8</v>
      </c>
      <c r="G1558" s="456" t="s">
        <v>2294</v>
      </c>
      <c r="H1558" s="415" t="s">
        <v>310</v>
      </c>
      <c r="I1558" s="473" t="s">
        <v>795</v>
      </c>
      <c r="J1558" s="415" t="s">
        <v>796</v>
      </c>
      <c r="K1558" s="415" t="s">
        <v>797</v>
      </c>
      <c r="L1558" s="415" t="s">
        <v>798</v>
      </c>
      <c r="M1558" s="415" t="s">
        <v>310</v>
      </c>
      <c r="N1558" s="414">
        <v>44638</v>
      </c>
      <c r="O1558" s="414" t="s">
        <v>400</v>
      </c>
      <c r="P1558" s="222">
        <f t="shared" si="100"/>
        <v>3</v>
      </c>
      <c r="Q1558" s="222">
        <f t="shared" si="101"/>
        <v>2</v>
      </c>
      <c r="R1558" s="532" t="str">
        <f t="shared" si="102"/>
        <v>Gastos_Gerais</v>
      </c>
      <c r="S1558" s="467" t="s">
        <v>310</v>
      </c>
      <c r="T1558" s="467" t="s">
        <v>310</v>
      </c>
      <c r="U1558" s="496"/>
      <c r="V1558" s="496"/>
      <c r="W1558" s="496"/>
    </row>
    <row r="1559" spans="1:23" ht="48" x14ac:dyDescent="0.2">
      <c r="A1559" s="510">
        <f t="shared" si="103"/>
        <v>1556</v>
      </c>
      <c r="B1559" s="428">
        <v>44638</v>
      </c>
      <c r="C1559" s="424">
        <v>44593</v>
      </c>
      <c r="D1559" s="415" t="s">
        <v>468</v>
      </c>
      <c r="E1559" s="415" t="s">
        <v>468</v>
      </c>
      <c r="F1559" s="425">
        <v>-8505.2900000000009</v>
      </c>
      <c r="G1559" s="440" t="s">
        <v>2295</v>
      </c>
      <c r="H1559" s="415" t="s">
        <v>468</v>
      </c>
      <c r="I1559" s="473" t="s">
        <v>795</v>
      </c>
      <c r="J1559" s="415" t="s">
        <v>796</v>
      </c>
      <c r="K1559" s="415" t="s">
        <v>797</v>
      </c>
      <c r="L1559" s="415" t="s">
        <v>798</v>
      </c>
      <c r="M1559" s="415" t="s">
        <v>310</v>
      </c>
      <c r="N1559" s="414">
        <v>44638</v>
      </c>
      <c r="O1559" s="414" t="s">
        <v>400</v>
      </c>
      <c r="P1559" s="222">
        <f t="shared" ref="P1559:P1626" si="104">IF(B1559=0,0,IF(YEAR(B1559)=$Q$1,MONTH(B1559)-$P$1+1,(YEAR(B1559)-$Q$1)*12-$P$1+1+MONTH(B1559)))</f>
        <v>3</v>
      </c>
      <c r="Q1559" s="222">
        <f t="shared" ref="Q1559:Q1626" si="105">IF(C1559=0,0,IF(YEAR(C1559)=$Q$1,MONTH(C1559)-$P$1+1,(YEAR(C1559)-$Q$1)*12-$P$1+1+MONTH(C1559)))</f>
        <v>2</v>
      </c>
      <c r="R1559" s="532" t="str">
        <f t="shared" ref="R1559:R1626" si="106">SUBSTITUTE(D1559," ","_")</f>
        <v>Gastos_custeados_por_captação</v>
      </c>
      <c r="S1559" s="467" t="s">
        <v>310</v>
      </c>
      <c r="T1559" s="467" t="s">
        <v>310</v>
      </c>
      <c r="U1559" s="496"/>
      <c r="V1559" s="496"/>
      <c r="W1559" s="496"/>
    </row>
    <row r="1560" spans="1:23" ht="48" x14ac:dyDescent="0.2">
      <c r="A1560" s="510">
        <f t="shared" si="103"/>
        <v>1557</v>
      </c>
      <c r="B1560" s="428">
        <v>44638</v>
      </c>
      <c r="C1560" s="424">
        <v>44593</v>
      </c>
      <c r="D1560" s="415" t="s">
        <v>468</v>
      </c>
      <c r="E1560" s="415" t="s">
        <v>468</v>
      </c>
      <c r="F1560" s="425">
        <v>-634.82000000000005</v>
      </c>
      <c r="G1560" s="440" t="s">
        <v>2296</v>
      </c>
      <c r="H1560" s="415" t="s">
        <v>468</v>
      </c>
      <c r="I1560" s="473" t="s">
        <v>795</v>
      </c>
      <c r="J1560" s="415" t="s">
        <v>796</v>
      </c>
      <c r="K1560" s="415" t="s">
        <v>797</v>
      </c>
      <c r="L1560" s="415" t="s">
        <v>798</v>
      </c>
      <c r="M1560" s="415" t="s">
        <v>310</v>
      </c>
      <c r="N1560" s="414">
        <v>44638</v>
      </c>
      <c r="O1560" s="414" t="s">
        <v>400</v>
      </c>
      <c r="P1560" s="222">
        <f t="shared" si="104"/>
        <v>3</v>
      </c>
      <c r="Q1560" s="222">
        <f t="shared" si="105"/>
        <v>2</v>
      </c>
      <c r="R1560" s="532" t="str">
        <f t="shared" si="106"/>
        <v>Gastos_custeados_por_captação</v>
      </c>
      <c r="S1560" s="467" t="s">
        <v>310</v>
      </c>
      <c r="T1560" s="467" t="s">
        <v>310</v>
      </c>
      <c r="U1560" s="496"/>
      <c r="V1560" s="496"/>
      <c r="W1560" s="496"/>
    </row>
    <row r="1561" spans="1:23" ht="48" x14ac:dyDescent="0.2">
      <c r="A1561" s="510">
        <f t="shared" si="103"/>
        <v>1558</v>
      </c>
      <c r="B1561" s="428">
        <v>44638</v>
      </c>
      <c r="C1561" s="424">
        <v>44593</v>
      </c>
      <c r="D1561" s="415" t="s">
        <v>468</v>
      </c>
      <c r="E1561" s="415" t="s">
        <v>468</v>
      </c>
      <c r="F1561" s="425">
        <v>-8338.77</v>
      </c>
      <c r="G1561" s="440" t="s">
        <v>2297</v>
      </c>
      <c r="H1561" s="415" t="s">
        <v>468</v>
      </c>
      <c r="I1561" s="473" t="s">
        <v>795</v>
      </c>
      <c r="J1561" s="415" t="s">
        <v>796</v>
      </c>
      <c r="K1561" s="415" t="s">
        <v>797</v>
      </c>
      <c r="L1561" s="415" t="s">
        <v>798</v>
      </c>
      <c r="M1561" s="415" t="s">
        <v>310</v>
      </c>
      <c r="N1561" s="414">
        <v>44638</v>
      </c>
      <c r="O1561" s="414" t="s">
        <v>400</v>
      </c>
      <c r="P1561" s="222">
        <f t="shared" si="104"/>
        <v>3</v>
      </c>
      <c r="Q1561" s="222">
        <f t="shared" si="105"/>
        <v>2</v>
      </c>
      <c r="R1561" s="532" t="str">
        <f t="shared" si="106"/>
        <v>Gastos_custeados_por_captação</v>
      </c>
      <c r="S1561" s="467" t="s">
        <v>310</v>
      </c>
      <c r="T1561" s="467" t="s">
        <v>310</v>
      </c>
      <c r="U1561" s="496"/>
      <c r="V1561" s="496"/>
      <c r="W1561" s="496"/>
    </row>
    <row r="1562" spans="1:23" ht="38.25" customHeight="1" x14ac:dyDescent="0.2">
      <c r="A1562" s="510">
        <f t="shared" si="103"/>
        <v>1559</v>
      </c>
      <c r="B1562" s="428">
        <v>44638</v>
      </c>
      <c r="C1562" s="424">
        <v>44593</v>
      </c>
      <c r="D1562" s="415" t="s">
        <v>468</v>
      </c>
      <c r="E1562" s="415" t="s">
        <v>468</v>
      </c>
      <c r="F1562" s="425">
        <v>-2170</v>
      </c>
      <c r="G1562" s="440" t="s">
        <v>2298</v>
      </c>
      <c r="H1562" s="415" t="s">
        <v>468</v>
      </c>
      <c r="I1562" s="473" t="s">
        <v>795</v>
      </c>
      <c r="J1562" s="415" t="s">
        <v>796</v>
      </c>
      <c r="K1562" s="415" t="s">
        <v>797</v>
      </c>
      <c r="L1562" s="415" t="s">
        <v>798</v>
      </c>
      <c r="M1562" s="415" t="s">
        <v>310</v>
      </c>
      <c r="N1562" s="414">
        <v>44638</v>
      </c>
      <c r="O1562" s="414" t="s">
        <v>400</v>
      </c>
      <c r="P1562" s="222">
        <f t="shared" si="104"/>
        <v>3</v>
      </c>
      <c r="Q1562" s="222">
        <f t="shared" si="105"/>
        <v>2</v>
      </c>
      <c r="R1562" s="532" t="str">
        <f t="shared" si="106"/>
        <v>Gastos_custeados_por_captação</v>
      </c>
      <c r="S1562" s="467" t="s">
        <v>310</v>
      </c>
      <c r="T1562" s="467" t="s">
        <v>310</v>
      </c>
      <c r="U1562" s="496"/>
      <c r="V1562" s="496"/>
      <c r="W1562" s="496"/>
    </row>
    <row r="1563" spans="1:23" ht="48" x14ac:dyDescent="0.2">
      <c r="A1563" s="510">
        <f t="shared" si="103"/>
        <v>1560</v>
      </c>
      <c r="B1563" s="428">
        <v>44638</v>
      </c>
      <c r="C1563" s="424">
        <v>44593</v>
      </c>
      <c r="D1563" s="415" t="s">
        <v>468</v>
      </c>
      <c r="E1563" s="415" t="s">
        <v>468</v>
      </c>
      <c r="F1563" s="425">
        <v>-930</v>
      </c>
      <c r="G1563" s="440" t="s">
        <v>2299</v>
      </c>
      <c r="H1563" s="415" t="s">
        <v>468</v>
      </c>
      <c r="I1563" s="473" t="s">
        <v>795</v>
      </c>
      <c r="J1563" s="415" t="s">
        <v>796</v>
      </c>
      <c r="K1563" s="415" t="s">
        <v>797</v>
      </c>
      <c r="L1563" s="415" t="s">
        <v>798</v>
      </c>
      <c r="M1563" s="415" t="s">
        <v>310</v>
      </c>
      <c r="N1563" s="414">
        <v>44638</v>
      </c>
      <c r="O1563" s="414" t="s">
        <v>400</v>
      </c>
      <c r="P1563" s="222">
        <f t="shared" si="104"/>
        <v>3</v>
      </c>
      <c r="Q1563" s="222">
        <f t="shared" si="105"/>
        <v>2</v>
      </c>
      <c r="R1563" s="532" t="str">
        <f t="shared" si="106"/>
        <v>Gastos_custeados_por_captação</v>
      </c>
      <c r="S1563" s="467" t="s">
        <v>310</v>
      </c>
      <c r="T1563" s="467" t="s">
        <v>310</v>
      </c>
      <c r="U1563" s="496"/>
      <c r="V1563" s="496"/>
      <c r="W1563" s="496"/>
    </row>
    <row r="1564" spans="1:23" ht="60" x14ac:dyDescent="0.2">
      <c r="A1564" s="510">
        <f t="shared" si="103"/>
        <v>1561</v>
      </c>
      <c r="B1564" s="428">
        <v>44638</v>
      </c>
      <c r="C1564" s="424">
        <v>44621</v>
      </c>
      <c r="D1564" s="415" t="s">
        <v>271</v>
      </c>
      <c r="E1564" s="415" t="s">
        <v>442</v>
      </c>
      <c r="F1564" s="425">
        <v>860</v>
      </c>
      <c r="G1564" s="427" t="s">
        <v>1952</v>
      </c>
      <c r="H1564" s="415" t="s">
        <v>790</v>
      </c>
      <c r="I1564" s="473" t="s">
        <v>2300</v>
      </c>
      <c r="J1564" s="415" t="s">
        <v>1951</v>
      </c>
      <c r="K1564" s="415" t="s">
        <v>806</v>
      </c>
      <c r="L1564" s="415" t="s">
        <v>839</v>
      </c>
      <c r="M1564" s="415">
        <v>1636</v>
      </c>
      <c r="N1564" s="414">
        <v>44638</v>
      </c>
      <c r="O1564" s="414" t="s">
        <v>400</v>
      </c>
      <c r="P1564" s="222">
        <f t="shared" si="104"/>
        <v>3</v>
      </c>
      <c r="Q1564" s="222">
        <f t="shared" si="105"/>
        <v>3</v>
      </c>
      <c r="R1564" s="532" t="str">
        <f t="shared" si="106"/>
        <v>Gastos_Gerais</v>
      </c>
      <c r="S1564" s="467" t="s">
        <v>998</v>
      </c>
      <c r="T1564" s="467">
        <v>2981</v>
      </c>
      <c r="U1564" s="496"/>
      <c r="V1564" s="496"/>
      <c r="W1564" s="496"/>
    </row>
    <row r="1565" spans="1:23" ht="48" x14ac:dyDescent="0.2">
      <c r="A1565" s="510">
        <f t="shared" si="103"/>
        <v>1562</v>
      </c>
      <c r="B1565" s="428">
        <v>44638</v>
      </c>
      <c r="C1565" s="424">
        <v>44593</v>
      </c>
      <c r="D1565" s="415" t="s">
        <v>468</v>
      </c>
      <c r="E1565" s="415" t="s">
        <v>468</v>
      </c>
      <c r="F1565" s="425">
        <v>155</v>
      </c>
      <c r="G1565" s="456" t="s">
        <v>2286</v>
      </c>
      <c r="H1565" s="415" t="s">
        <v>468</v>
      </c>
      <c r="I1565" s="473" t="s">
        <v>795</v>
      </c>
      <c r="J1565" s="415" t="s">
        <v>796</v>
      </c>
      <c r="K1565" s="415" t="s">
        <v>797</v>
      </c>
      <c r="L1565" s="415" t="s">
        <v>798</v>
      </c>
      <c r="M1565" s="415" t="s">
        <v>310</v>
      </c>
      <c r="N1565" s="414">
        <v>44638</v>
      </c>
      <c r="O1565" s="414" t="s">
        <v>400</v>
      </c>
      <c r="P1565" s="222">
        <f t="shared" si="104"/>
        <v>3</v>
      </c>
      <c r="Q1565" s="222">
        <f t="shared" si="105"/>
        <v>2</v>
      </c>
      <c r="R1565" s="532" t="str">
        <f t="shared" si="106"/>
        <v>Gastos_custeados_por_captação</v>
      </c>
      <c r="S1565" s="467" t="s">
        <v>310</v>
      </c>
      <c r="T1565" s="467" t="s">
        <v>310</v>
      </c>
      <c r="U1565" s="496"/>
      <c r="V1565" s="496"/>
      <c r="W1565" s="496"/>
    </row>
    <row r="1566" spans="1:23" ht="48" x14ac:dyDescent="0.2">
      <c r="A1566" s="510">
        <f t="shared" si="103"/>
        <v>1563</v>
      </c>
      <c r="B1566" s="428">
        <v>44638</v>
      </c>
      <c r="C1566" s="424">
        <v>44593</v>
      </c>
      <c r="D1566" s="415" t="s">
        <v>468</v>
      </c>
      <c r="E1566" s="415" t="s">
        <v>468</v>
      </c>
      <c r="F1566" s="425">
        <v>3100</v>
      </c>
      <c r="G1566" s="456" t="s">
        <v>2287</v>
      </c>
      <c r="H1566" s="415" t="s">
        <v>468</v>
      </c>
      <c r="I1566" s="473" t="s">
        <v>795</v>
      </c>
      <c r="J1566" s="415" t="s">
        <v>796</v>
      </c>
      <c r="K1566" s="415" t="s">
        <v>797</v>
      </c>
      <c r="L1566" s="415" t="s">
        <v>798</v>
      </c>
      <c r="M1566" s="415" t="s">
        <v>310</v>
      </c>
      <c r="N1566" s="414">
        <v>44638</v>
      </c>
      <c r="O1566" s="414" t="s">
        <v>400</v>
      </c>
      <c r="P1566" s="222">
        <f t="shared" si="104"/>
        <v>3</v>
      </c>
      <c r="Q1566" s="222">
        <f t="shared" si="105"/>
        <v>2</v>
      </c>
      <c r="R1566" s="532" t="str">
        <f t="shared" si="106"/>
        <v>Gastos_custeados_por_captação</v>
      </c>
      <c r="S1566" s="467" t="s">
        <v>310</v>
      </c>
      <c r="T1566" s="467" t="s">
        <v>310</v>
      </c>
      <c r="U1566" s="496"/>
      <c r="V1566" s="496"/>
      <c r="W1566" s="496"/>
    </row>
    <row r="1567" spans="1:23" ht="48" x14ac:dyDescent="0.2">
      <c r="A1567" s="510">
        <f t="shared" si="103"/>
        <v>1564</v>
      </c>
      <c r="B1567" s="428">
        <v>44638</v>
      </c>
      <c r="C1567" s="424">
        <v>44593</v>
      </c>
      <c r="D1567" s="415" t="s">
        <v>468</v>
      </c>
      <c r="E1567" s="415" t="s">
        <v>468</v>
      </c>
      <c r="F1567" s="425">
        <v>930</v>
      </c>
      <c r="G1567" s="456" t="s">
        <v>2288</v>
      </c>
      <c r="H1567" s="415" t="s">
        <v>468</v>
      </c>
      <c r="I1567" s="473" t="s">
        <v>795</v>
      </c>
      <c r="J1567" s="415" t="s">
        <v>796</v>
      </c>
      <c r="K1567" s="415" t="s">
        <v>797</v>
      </c>
      <c r="L1567" s="415" t="s">
        <v>798</v>
      </c>
      <c r="M1567" s="415" t="s">
        <v>310</v>
      </c>
      <c r="N1567" s="414">
        <v>44638</v>
      </c>
      <c r="O1567" s="414" t="s">
        <v>400</v>
      </c>
      <c r="P1567" s="222">
        <f t="shared" si="104"/>
        <v>3</v>
      </c>
      <c r="Q1567" s="222">
        <f t="shared" si="105"/>
        <v>2</v>
      </c>
      <c r="R1567" s="532" t="str">
        <f t="shared" si="106"/>
        <v>Gastos_custeados_por_captação</v>
      </c>
      <c r="S1567" s="467" t="s">
        <v>310</v>
      </c>
      <c r="T1567" s="467" t="s">
        <v>310</v>
      </c>
      <c r="U1567" s="496"/>
      <c r="V1567" s="496"/>
      <c r="W1567" s="496"/>
    </row>
    <row r="1568" spans="1:23" ht="48" x14ac:dyDescent="0.2">
      <c r="A1568" s="510">
        <f t="shared" si="103"/>
        <v>1565</v>
      </c>
      <c r="B1568" s="428">
        <v>44638</v>
      </c>
      <c r="C1568" s="424">
        <v>44593</v>
      </c>
      <c r="D1568" s="415" t="s">
        <v>468</v>
      </c>
      <c r="E1568" s="415" t="s">
        <v>468</v>
      </c>
      <c r="F1568" s="425">
        <v>1550</v>
      </c>
      <c r="G1568" s="456" t="s">
        <v>2289</v>
      </c>
      <c r="H1568" s="415" t="s">
        <v>468</v>
      </c>
      <c r="I1568" s="473" t="s">
        <v>795</v>
      </c>
      <c r="J1568" s="415" t="s">
        <v>796</v>
      </c>
      <c r="K1568" s="415" t="s">
        <v>797</v>
      </c>
      <c r="L1568" s="415" t="s">
        <v>798</v>
      </c>
      <c r="M1568" s="415" t="s">
        <v>310</v>
      </c>
      <c r="N1568" s="414">
        <v>44638</v>
      </c>
      <c r="O1568" s="414" t="s">
        <v>400</v>
      </c>
      <c r="P1568" s="222">
        <f t="shared" si="104"/>
        <v>3</v>
      </c>
      <c r="Q1568" s="222">
        <f t="shared" si="105"/>
        <v>2</v>
      </c>
      <c r="R1568" s="532" t="str">
        <f t="shared" si="106"/>
        <v>Gastos_custeados_por_captação</v>
      </c>
      <c r="S1568" s="467" t="s">
        <v>310</v>
      </c>
      <c r="T1568" s="467" t="s">
        <v>310</v>
      </c>
      <c r="U1568" s="496"/>
      <c r="V1568" s="496"/>
      <c r="W1568" s="496"/>
    </row>
    <row r="1569" spans="1:23" ht="48" x14ac:dyDescent="0.2">
      <c r="A1569" s="510">
        <f t="shared" si="103"/>
        <v>1566</v>
      </c>
      <c r="B1569" s="428">
        <v>44638</v>
      </c>
      <c r="C1569" s="424">
        <v>44593</v>
      </c>
      <c r="D1569" s="415" t="s">
        <v>271</v>
      </c>
      <c r="E1569" s="415" t="s">
        <v>90</v>
      </c>
      <c r="F1569" s="425">
        <v>706.8</v>
      </c>
      <c r="G1569" s="456" t="s">
        <v>2290</v>
      </c>
      <c r="H1569" s="415" t="s">
        <v>310</v>
      </c>
      <c r="I1569" s="473" t="s">
        <v>795</v>
      </c>
      <c r="J1569" s="415" t="s">
        <v>796</v>
      </c>
      <c r="K1569" s="415" t="s">
        <v>797</v>
      </c>
      <c r="L1569" s="415" t="s">
        <v>798</v>
      </c>
      <c r="M1569" s="415" t="s">
        <v>310</v>
      </c>
      <c r="N1569" s="414">
        <v>44638</v>
      </c>
      <c r="O1569" s="414" t="s">
        <v>400</v>
      </c>
      <c r="P1569" s="222">
        <f t="shared" si="104"/>
        <v>3</v>
      </c>
      <c r="Q1569" s="222">
        <f t="shared" si="105"/>
        <v>2</v>
      </c>
      <c r="R1569" s="532" t="str">
        <f t="shared" si="106"/>
        <v>Gastos_Gerais</v>
      </c>
      <c r="S1569" s="467" t="s">
        <v>310</v>
      </c>
      <c r="T1569" s="467" t="s">
        <v>310</v>
      </c>
      <c r="U1569" s="496"/>
      <c r="V1569" s="496"/>
      <c r="W1569" s="496"/>
    </row>
    <row r="1570" spans="1:23" ht="48" x14ac:dyDescent="0.2">
      <c r="A1570" s="510">
        <f t="shared" si="103"/>
        <v>1567</v>
      </c>
      <c r="B1570" s="428">
        <v>44638</v>
      </c>
      <c r="C1570" s="424">
        <v>44593</v>
      </c>
      <c r="D1570" s="415" t="s">
        <v>182</v>
      </c>
      <c r="E1570" s="415" t="s">
        <v>1</v>
      </c>
      <c r="F1570" s="425">
        <v>11258.86</v>
      </c>
      <c r="G1570" s="440" t="s">
        <v>2291</v>
      </c>
      <c r="H1570" s="415" t="s">
        <v>310</v>
      </c>
      <c r="I1570" s="473" t="s">
        <v>795</v>
      </c>
      <c r="J1570" s="415" t="s">
        <v>796</v>
      </c>
      <c r="K1570" s="415" t="s">
        <v>797</v>
      </c>
      <c r="L1570" s="415" t="s">
        <v>798</v>
      </c>
      <c r="M1570" s="415" t="s">
        <v>310</v>
      </c>
      <c r="N1570" s="414">
        <v>44638</v>
      </c>
      <c r="O1570" s="414" t="s">
        <v>400</v>
      </c>
      <c r="P1570" s="222">
        <f t="shared" si="104"/>
        <v>3</v>
      </c>
      <c r="Q1570" s="222">
        <f t="shared" si="105"/>
        <v>2</v>
      </c>
      <c r="R1570" s="532" t="str">
        <f t="shared" si="106"/>
        <v>Gastos_com_Pessoal</v>
      </c>
      <c r="S1570" s="467" t="s">
        <v>310</v>
      </c>
      <c r="T1570" s="467" t="s">
        <v>310</v>
      </c>
      <c r="U1570" s="496"/>
      <c r="V1570" s="496"/>
      <c r="W1570" s="496"/>
    </row>
    <row r="1571" spans="1:23" ht="48" x14ac:dyDescent="0.2">
      <c r="A1571" s="510">
        <f t="shared" si="103"/>
        <v>1568</v>
      </c>
      <c r="B1571" s="428">
        <v>44638</v>
      </c>
      <c r="C1571" s="424">
        <v>44593</v>
      </c>
      <c r="D1571" s="415" t="s">
        <v>271</v>
      </c>
      <c r="E1571" s="415" t="s">
        <v>90</v>
      </c>
      <c r="F1571" s="425">
        <v>6596.8</v>
      </c>
      <c r="G1571" s="456" t="s">
        <v>2294</v>
      </c>
      <c r="H1571" s="415" t="s">
        <v>310</v>
      </c>
      <c r="I1571" s="473" t="s">
        <v>795</v>
      </c>
      <c r="J1571" s="415" t="s">
        <v>796</v>
      </c>
      <c r="K1571" s="415" t="s">
        <v>797</v>
      </c>
      <c r="L1571" s="415" t="s">
        <v>798</v>
      </c>
      <c r="M1571" s="415" t="s">
        <v>310</v>
      </c>
      <c r="N1571" s="414">
        <v>44638</v>
      </c>
      <c r="O1571" s="414" t="s">
        <v>400</v>
      </c>
      <c r="P1571" s="222">
        <f t="shared" si="104"/>
        <v>3</v>
      </c>
      <c r="Q1571" s="222">
        <f t="shared" si="105"/>
        <v>2</v>
      </c>
      <c r="R1571" s="532" t="str">
        <f t="shared" si="106"/>
        <v>Gastos_Gerais</v>
      </c>
      <c r="S1571" s="467" t="s">
        <v>310</v>
      </c>
      <c r="T1571" s="467" t="s">
        <v>310</v>
      </c>
      <c r="U1571" s="496"/>
      <c r="V1571" s="496"/>
      <c r="W1571" s="496"/>
    </row>
    <row r="1572" spans="1:23" ht="48" x14ac:dyDescent="0.2">
      <c r="A1572" s="510">
        <f t="shared" si="103"/>
        <v>1569</v>
      </c>
      <c r="B1572" s="428">
        <v>44638</v>
      </c>
      <c r="C1572" s="424">
        <v>44593</v>
      </c>
      <c r="D1572" s="415" t="s">
        <v>468</v>
      </c>
      <c r="E1572" s="415" t="s">
        <v>468</v>
      </c>
      <c r="F1572" s="425">
        <v>8505.2900000000009</v>
      </c>
      <c r="G1572" s="440" t="s">
        <v>2295</v>
      </c>
      <c r="H1572" s="415" t="s">
        <v>468</v>
      </c>
      <c r="I1572" s="473" t="s">
        <v>795</v>
      </c>
      <c r="J1572" s="415" t="s">
        <v>796</v>
      </c>
      <c r="K1572" s="415" t="s">
        <v>797</v>
      </c>
      <c r="L1572" s="415" t="s">
        <v>798</v>
      </c>
      <c r="M1572" s="415" t="s">
        <v>310</v>
      </c>
      <c r="N1572" s="414">
        <v>44638</v>
      </c>
      <c r="O1572" s="414" t="s">
        <v>400</v>
      </c>
      <c r="P1572" s="222">
        <f t="shared" si="104"/>
        <v>3</v>
      </c>
      <c r="Q1572" s="222">
        <f t="shared" si="105"/>
        <v>2</v>
      </c>
      <c r="R1572" s="532" t="str">
        <f t="shared" si="106"/>
        <v>Gastos_custeados_por_captação</v>
      </c>
      <c r="S1572" s="467" t="s">
        <v>310</v>
      </c>
      <c r="T1572" s="467" t="s">
        <v>310</v>
      </c>
      <c r="U1572" s="496"/>
      <c r="V1572" s="496"/>
      <c r="W1572" s="496"/>
    </row>
    <row r="1573" spans="1:23" ht="48" x14ac:dyDescent="0.2">
      <c r="A1573" s="510">
        <f t="shared" si="103"/>
        <v>1570</v>
      </c>
      <c r="B1573" s="428">
        <v>44638</v>
      </c>
      <c r="C1573" s="424">
        <v>44593</v>
      </c>
      <c r="D1573" s="415" t="s">
        <v>468</v>
      </c>
      <c r="E1573" s="415" t="s">
        <v>468</v>
      </c>
      <c r="F1573" s="481">
        <v>634.82000000000005</v>
      </c>
      <c r="G1573" s="440" t="s">
        <v>2296</v>
      </c>
      <c r="H1573" s="415" t="s">
        <v>468</v>
      </c>
      <c r="I1573" s="473" t="s">
        <v>795</v>
      </c>
      <c r="J1573" s="415" t="s">
        <v>796</v>
      </c>
      <c r="K1573" s="415" t="s">
        <v>797</v>
      </c>
      <c r="L1573" s="415" t="s">
        <v>798</v>
      </c>
      <c r="M1573" s="415" t="s">
        <v>310</v>
      </c>
      <c r="N1573" s="414">
        <v>44638</v>
      </c>
      <c r="O1573" s="414" t="s">
        <v>400</v>
      </c>
      <c r="P1573" s="222">
        <f t="shared" si="104"/>
        <v>3</v>
      </c>
      <c r="Q1573" s="222">
        <f t="shared" si="105"/>
        <v>2</v>
      </c>
      <c r="R1573" s="532" t="str">
        <f t="shared" si="106"/>
        <v>Gastos_custeados_por_captação</v>
      </c>
      <c r="S1573" s="467" t="s">
        <v>310</v>
      </c>
      <c r="T1573" s="467" t="s">
        <v>310</v>
      </c>
      <c r="U1573" s="496"/>
      <c r="V1573" s="496"/>
      <c r="W1573" s="496"/>
    </row>
    <row r="1574" spans="1:23" ht="48" x14ac:dyDescent="0.2">
      <c r="A1574" s="510">
        <f t="shared" si="103"/>
        <v>1571</v>
      </c>
      <c r="B1574" s="428">
        <v>44638</v>
      </c>
      <c r="C1574" s="424">
        <v>44593</v>
      </c>
      <c r="D1574" s="415" t="s">
        <v>468</v>
      </c>
      <c r="E1574" s="415" t="s">
        <v>468</v>
      </c>
      <c r="F1574" s="481">
        <v>8338.77</v>
      </c>
      <c r="G1574" s="440" t="s">
        <v>2297</v>
      </c>
      <c r="H1574" s="415" t="s">
        <v>468</v>
      </c>
      <c r="I1574" s="473" t="s">
        <v>795</v>
      </c>
      <c r="J1574" s="415" t="s">
        <v>796</v>
      </c>
      <c r="K1574" s="415" t="s">
        <v>797</v>
      </c>
      <c r="L1574" s="415" t="s">
        <v>798</v>
      </c>
      <c r="M1574" s="415" t="s">
        <v>310</v>
      </c>
      <c r="N1574" s="414">
        <v>44638</v>
      </c>
      <c r="O1574" s="414" t="s">
        <v>400</v>
      </c>
      <c r="P1574" s="222">
        <f t="shared" si="104"/>
        <v>3</v>
      </c>
      <c r="Q1574" s="222">
        <f t="shared" si="105"/>
        <v>2</v>
      </c>
      <c r="R1574" s="532" t="str">
        <f t="shared" si="106"/>
        <v>Gastos_custeados_por_captação</v>
      </c>
      <c r="S1574" s="467" t="s">
        <v>310</v>
      </c>
      <c r="T1574" s="467" t="s">
        <v>310</v>
      </c>
      <c r="U1574" s="496"/>
      <c r="V1574" s="496"/>
      <c r="W1574" s="496"/>
    </row>
    <row r="1575" spans="1:23" ht="48" x14ac:dyDescent="0.2">
      <c r="A1575" s="510">
        <f t="shared" si="103"/>
        <v>1572</v>
      </c>
      <c r="B1575" s="428">
        <v>44638</v>
      </c>
      <c r="C1575" s="424">
        <v>44593</v>
      </c>
      <c r="D1575" s="415" t="s">
        <v>468</v>
      </c>
      <c r="E1575" s="415" t="s">
        <v>468</v>
      </c>
      <c r="F1575" s="529">
        <v>2170</v>
      </c>
      <c r="G1575" s="561" t="s">
        <v>2298</v>
      </c>
      <c r="H1575" s="415" t="s">
        <v>468</v>
      </c>
      <c r="I1575" s="473" t="s">
        <v>795</v>
      </c>
      <c r="J1575" s="415" t="s">
        <v>796</v>
      </c>
      <c r="K1575" s="415" t="s">
        <v>797</v>
      </c>
      <c r="L1575" s="415" t="s">
        <v>798</v>
      </c>
      <c r="M1575" s="415" t="s">
        <v>310</v>
      </c>
      <c r="N1575" s="414">
        <v>44638</v>
      </c>
      <c r="O1575" s="414" t="s">
        <v>400</v>
      </c>
      <c r="P1575" s="222">
        <f t="shared" si="104"/>
        <v>3</v>
      </c>
      <c r="Q1575" s="222">
        <f t="shared" si="105"/>
        <v>2</v>
      </c>
      <c r="R1575" s="532" t="str">
        <f t="shared" si="106"/>
        <v>Gastos_custeados_por_captação</v>
      </c>
      <c r="S1575" s="467" t="s">
        <v>310</v>
      </c>
      <c r="T1575" s="467" t="s">
        <v>310</v>
      </c>
      <c r="U1575" s="496"/>
      <c r="V1575" s="496"/>
      <c r="W1575" s="496"/>
    </row>
    <row r="1576" spans="1:23" ht="48" x14ac:dyDescent="0.2">
      <c r="A1576" s="510">
        <f t="shared" si="103"/>
        <v>1573</v>
      </c>
      <c r="B1576" s="428">
        <v>44638</v>
      </c>
      <c r="C1576" s="424">
        <v>44593</v>
      </c>
      <c r="D1576" s="415" t="s">
        <v>468</v>
      </c>
      <c r="E1576" s="415" t="s">
        <v>468</v>
      </c>
      <c r="F1576" s="425">
        <v>930</v>
      </c>
      <c r="G1576" s="440" t="s">
        <v>2299</v>
      </c>
      <c r="H1576" s="415" t="s">
        <v>468</v>
      </c>
      <c r="I1576" s="473" t="s">
        <v>795</v>
      </c>
      <c r="J1576" s="415" t="s">
        <v>796</v>
      </c>
      <c r="K1576" s="415" t="s">
        <v>797</v>
      </c>
      <c r="L1576" s="415" t="s">
        <v>798</v>
      </c>
      <c r="M1576" s="415" t="s">
        <v>310</v>
      </c>
      <c r="N1576" s="414">
        <v>44638</v>
      </c>
      <c r="O1576" s="414" t="s">
        <v>400</v>
      </c>
      <c r="P1576" s="222">
        <f t="shared" si="104"/>
        <v>3</v>
      </c>
      <c r="Q1576" s="222">
        <f t="shared" si="105"/>
        <v>2</v>
      </c>
      <c r="R1576" s="532" t="str">
        <f t="shared" si="106"/>
        <v>Gastos_custeados_por_captação</v>
      </c>
      <c r="S1576" s="467" t="s">
        <v>310</v>
      </c>
      <c r="T1576" s="467" t="s">
        <v>310</v>
      </c>
      <c r="U1576" s="496"/>
      <c r="V1576" s="496"/>
      <c r="W1576" s="496"/>
    </row>
    <row r="1577" spans="1:23" ht="24" x14ac:dyDescent="0.2">
      <c r="A1577" s="510">
        <f t="shared" si="103"/>
        <v>1574</v>
      </c>
      <c r="B1577" s="428">
        <v>44638</v>
      </c>
      <c r="C1577" s="424">
        <v>44562</v>
      </c>
      <c r="D1577" s="415" t="s">
        <v>271</v>
      </c>
      <c r="E1577" s="415" t="s">
        <v>1791</v>
      </c>
      <c r="F1577" s="425">
        <v>545.6</v>
      </c>
      <c r="G1577" s="427" t="s">
        <v>2302</v>
      </c>
      <c r="H1577" s="415" t="s">
        <v>752</v>
      </c>
      <c r="I1577" s="398" t="s">
        <v>1461</v>
      </c>
      <c r="J1577" s="415" t="s">
        <v>310</v>
      </c>
      <c r="K1577" s="415" t="s">
        <v>1220</v>
      </c>
      <c r="L1577" s="415" t="s">
        <v>1368</v>
      </c>
      <c r="M1577" s="415" t="s">
        <v>310</v>
      </c>
      <c r="N1577" s="414">
        <v>44638</v>
      </c>
      <c r="O1577" s="414" t="s">
        <v>400</v>
      </c>
      <c r="P1577" s="222">
        <f t="shared" si="104"/>
        <v>3</v>
      </c>
      <c r="Q1577" s="222">
        <f t="shared" si="105"/>
        <v>1</v>
      </c>
      <c r="R1577" s="532" t="str">
        <f t="shared" si="106"/>
        <v>Gastos_Gerais</v>
      </c>
      <c r="S1577" s="467" t="s">
        <v>310</v>
      </c>
      <c r="T1577" s="467" t="s">
        <v>310</v>
      </c>
      <c r="U1577" s="496"/>
      <c r="V1577" s="496"/>
      <c r="W1577" s="496"/>
    </row>
    <row r="1578" spans="1:23" ht="24" x14ac:dyDescent="0.2">
      <c r="A1578" s="510">
        <f t="shared" si="103"/>
        <v>1575</v>
      </c>
      <c r="B1578" s="428">
        <v>44638</v>
      </c>
      <c r="C1578" s="424">
        <v>44562</v>
      </c>
      <c r="D1578" s="415" t="s">
        <v>271</v>
      </c>
      <c r="E1578" s="415" t="s">
        <v>1791</v>
      </c>
      <c r="F1578" s="425">
        <v>186</v>
      </c>
      <c r="G1578" s="427" t="s">
        <v>1672</v>
      </c>
      <c r="H1578" s="415" t="s">
        <v>749</v>
      </c>
      <c r="I1578" s="398" t="s">
        <v>1461</v>
      </c>
      <c r="J1578" s="415" t="s">
        <v>310</v>
      </c>
      <c r="K1578" s="415" t="s">
        <v>1220</v>
      </c>
      <c r="L1578" s="415" t="s">
        <v>1368</v>
      </c>
      <c r="M1578" s="415" t="s">
        <v>310</v>
      </c>
      <c r="N1578" s="414">
        <v>44638</v>
      </c>
      <c r="O1578" s="414" t="s">
        <v>400</v>
      </c>
      <c r="P1578" s="222">
        <f t="shared" si="104"/>
        <v>3</v>
      </c>
      <c r="Q1578" s="222">
        <f t="shared" si="105"/>
        <v>1</v>
      </c>
      <c r="R1578" s="532" t="str">
        <f t="shared" si="106"/>
        <v>Gastos_Gerais</v>
      </c>
      <c r="S1578" s="467" t="s">
        <v>310</v>
      </c>
      <c r="T1578" s="467" t="s">
        <v>310</v>
      </c>
      <c r="U1578" s="496"/>
      <c r="V1578" s="496"/>
      <c r="W1578" s="496"/>
    </row>
    <row r="1579" spans="1:23" ht="24" x14ac:dyDescent="0.2">
      <c r="A1579" s="510">
        <f t="shared" si="103"/>
        <v>1576</v>
      </c>
      <c r="B1579" s="428">
        <v>44638</v>
      </c>
      <c r="C1579" s="424">
        <v>44562</v>
      </c>
      <c r="D1579" s="415" t="s">
        <v>271</v>
      </c>
      <c r="E1579" s="415" t="s">
        <v>1791</v>
      </c>
      <c r="F1579" s="425">
        <v>744</v>
      </c>
      <c r="G1579" s="427" t="s">
        <v>1774</v>
      </c>
      <c r="H1579" s="415" t="s">
        <v>752</v>
      </c>
      <c r="I1579" s="398" t="s">
        <v>1461</v>
      </c>
      <c r="J1579" s="415" t="s">
        <v>310</v>
      </c>
      <c r="K1579" s="415" t="s">
        <v>1220</v>
      </c>
      <c r="L1579" s="415" t="s">
        <v>1368</v>
      </c>
      <c r="M1579" s="415" t="s">
        <v>310</v>
      </c>
      <c r="N1579" s="414">
        <v>44638</v>
      </c>
      <c r="O1579" s="414" t="s">
        <v>400</v>
      </c>
      <c r="P1579" s="222">
        <f t="shared" si="104"/>
        <v>3</v>
      </c>
      <c r="Q1579" s="222">
        <f t="shared" si="105"/>
        <v>1</v>
      </c>
      <c r="R1579" s="532" t="str">
        <f t="shared" si="106"/>
        <v>Gastos_Gerais</v>
      </c>
      <c r="S1579" s="467" t="s">
        <v>310</v>
      </c>
      <c r="T1579" s="467" t="s">
        <v>310</v>
      </c>
      <c r="U1579" s="496"/>
      <c r="V1579" s="496"/>
      <c r="W1579" s="496"/>
    </row>
    <row r="1580" spans="1:23" ht="24" x14ac:dyDescent="0.2">
      <c r="A1580" s="510">
        <f t="shared" si="103"/>
        <v>1577</v>
      </c>
      <c r="B1580" s="428">
        <v>44638</v>
      </c>
      <c r="C1580" s="424">
        <v>44562</v>
      </c>
      <c r="D1580" s="415" t="s">
        <v>271</v>
      </c>
      <c r="E1580" s="415" t="s">
        <v>1791</v>
      </c>
      <c r="F1580" s="425">
        <v>744</v>
      </c>
      <c r="G1580" s="427" t="s">
        <v>1769</v>
      </c>
      <c r="H1580" s="415" t="s">
        <v>752</v>
      </c>
      <c r="I1580" s="398" t="s">
        <v>1461</v>
      </c>
      <c r="J1580" s="415" t="s">
        <v>310</v>
      </c>
      <c r="K1580" s="415" t="s">
        <v>1220</v>
      </c>
      <c r="L1580" s="415" t="s">
        <v>1368</v>
      </c>
      <c r="M1580" s="415" t="s">
        <v>310</v>
      </c>
      <c r="N1580" s="414">
        <v>44638</v>
      </c>
      <c r="O1580" s="414" t="s">
        <v>400</v>
      </c>
      <c r="P1580" s="222">
        <f t="shared" si="104"/>
        <v>3</v>
      </c>
      <c r="Q1580" s="222">
        <f t="shared" si="105"/>
        <v>1</v>
      </c>
      <c r="R1580" s="532" t="str">
        <f t="shared" si="106"/>
        <v>Gastos_Gerais</v>
      </c>
      <c r="S1580" s="467" t="s">
        <v>310</v>
      </c>
      <c r="T1580" s="467" t="s">
        <v>310</v>
      </c>
      <c r="U1580" s="496"/>
      <c r="V1580" s="496"/>
      <c r="W1580" s="496"/>
    </row>
    <row r="1581" spans="1:23" ht="24" x14ac:dyDescent="0.2">
      <c r="A1581" s="510">
        <f t="shared" si="103"/>
        <v>1578</v>
      </c>
      <c r="B1581" s="428">
        <v>44638</v>
      </c>
      <c r="C1581" s="424">
        <v>44562</v>
      </c>
      <c r="D1581" s="415" t="s">
        <v>271</v>
      </c>
      <c r="E1581" s="415" t="s">
        <v>456</v>
      </c>
      <c r="F1581" s="425">
        <v>74.400000000000006</v>
      </c>
      <c r="G1581" s="427" t="s">
        <v>1683</v>
      </c>
      <c r="H1581" s="415" t="s">
        <v>749</v>
      </c>
      <c r="I1581" s="398" t="s">
        <v>1461</v>
      </c>
      <c r="J1581" s="415" t="s">
        <v>310</v>
      </c>
      <c r="K1581" s="415" t="s">
        <v>1220</v>
      </c>
      <c r="L1581" s="415" t="s">
        <v>1368</v>
      </c>
      <c r="M1581" s="415" t="s">
        <v>310</v>
      </c>
      <c r="N1581" s="414">
        <v>44638</v>
      </c>
      <c r="O1581" s="414" t="s">
        <v>400</v>
      </c>
      <c r="P1581" s="222">
        <f t="shared" si="104"/>
        <v>3</v>
      </c>
      <c r="Q1581" s="222">
        <f t="shared" si="105"/>
        <v>1</v>
      </c>
      <c r="R1581" s="532" t="str">
        <f t="shared" si="106"/>
        <v>Gastos_Gerais</v>
      </c>
      <c r="S1581" s="467" t="s">
        <v>310</v>
      </c>
      <c r="T1581" s="467" t="s">
        <v>310</v>
      </c>
      <c r="U1581" s="496"/>
      <c r="V1581" s="496"/>
      <c r="W1581" s="496"/>
    </row>
    <row r="1582" spans="1:23" ht="36" x14ac:dyDescent="0.2">
      <c r="A1582" s="510">
        <f t="shared" si="103"/>
        <v>1579</v>
      </c>
      <c r="B1582" s="428">
        <v>44638</v>
      </c>
      <c r="C1582" s="424">
        <v>44562</v>
      </c>
      <c r="D1582" s="415" t="s">
        <v>271</v>
      </c>
      <c r="E1582" s="415" t="s">
        <v>90</v>
      </c>
      <c r="F1582" s="425">
        <v>930</v>
      </c>
      <c r="G1582" s="427" t="s">
        <v>1751</v>
      </c>
      <c r="H1582" s="415" t="s">
        <v>760</v>
      </c>
      <c r="I1582" s="398" t="s">
        <v>1461</v>
      </c>
      <c r="J1582" s="415" t="s">
        <v>310</v>
      </c>
      <c r="K1582" s="415" t="s">
        <v>1220</v>
      </c>
      <c r="L1582" s="415" t="s">
        <v>1368</v>
      </c>
      <c r="M1582" s="415" t="s">
        <v>310</v>
      </c>
      <c r="N1582" s="414">
        <v>44638</v>
      </c>
      <c r="O1582" s="414" t="s">
        <v>400</v>
      </c>
      <c r="P1582" s="222">
        <f t="shared" si="104"/>
        <v>3</v>
      </c>
      <c r="Q1582" s="222">
        <f t="shared" si="105"/>
        <v>1</v>
      </c>
      <c r="R1582" s="532" t="str">
        <f t="shared" si="106"/>
        <v>Gastos_Gerais</v>
      </c>
      <c r="S1582" s="467" t="s">
        <v>310</v>
      </c>
      <c r="T1582" s="467" t="s">
        <v>310</v>
      </c>
      <c r="U1582" s="496"/>
      <c r="V1582" s="496"/>
      <c r="W1582" s="496"/>
    </row>
    <row r="1583" spans="1:23" ht="24" x14ac:dyDescent="0.2">
      <c r="A1583" s="510">
        <f t="shared" si="103"/>
        <v>1580</v>
      </c>
      <c r="B1583" s="428">
        <v>44638</v>
      </c>
      <c r="C1583" s="424">
        <v>44562</v>
      </c>
      <c r="D1583" s="415" t="s">
        <v>271</v>
      </c>
      <c r="E1583" s="415" t="s">
        <v>1791</v>
      </c>
      <c r="F1583" s="425">
        <v>248</v>
      </c>
      <c r="G1583" s="427" t="s">
        <v>1881</v>
      </c>
      <c r="H1583" s="415" t="s">
        <v>752</v>
      </c>
      <c r="I1583" s="398" t="s">
        <v>1461</v>
      </c>
      <c r="J1583" s="415" t="s">
        <v>310</v>
      </c>
      <c r="K1583" s="415" t="s">
        <v>1220</v>
      </c>
      <c r="L1583" s="415" t="s">
        <v>1368</v>
      </c>
      <c r="M1583" s="415" t="s">
        <v>310</v>
      </c>
      <c r="N1583" s="414">
        <v>44638</v>
      </c>
      <c r="O1583" s="414" t="s">
        <v>400</v>
      </c>
      <c r="P1583" s="222">
        <f t="shared" si="104"/>
        <v>3</v>
      </c>
      <c r="Q1583" s="222">
        <f t="shared" si="105"/>
        <v>1</v>
      </c>
      <c r="R1583" s="532" t="str">
        <f t="shared" si="106"/>
        <v>Gastos_Gerais</v>
      </c>
      <c r="S1583" s="467" t="s">
        <v>310</v>
      </c>
      <c r="T1583" s="467" t="s">
        <v>310</v>
      </c>
      <c r="U1583" s="496"/>
      <c r="V1583" s="496"/>
      <c r="W1583" s="496"/>
    </row>
    <row r="1584" spans="1:23" ht="36" x14ac:dyDescent="0.2">
      <c r="A1584" s="510">
        <f t="shared" si="103"/>
        <v>1581</v>
      </c>
      <c r="B1584" s="428">
        <v>44638</v>
      </c>
      <c r="C1584" s="424">
        <v>44593</v>
      </c>
      <c r="D1584" s="415" t="s">
        <v>271</v>
      </c>
      <c r="E1584" s="415" t="s">
        <v>1791</v>
      </c>
      <c r="F1584" s="425">
        <v>620</v>
      </c>
      <c r="G1584" s="427" t="s">
        <v>1838</v>
      </c>
      <c r="H1584" s="415" t="s">
        <v>757</v>
      </c>
      <c r="I1584" s="398" t="s">
        <v>1461</v>
      </c>
      <c r="J1584" s="415" t="s">
        <v>310</v>
      </c>
      <c r="K1584" s="415" t="s">
        <v>1220</v>
      </c>
      <c r="L1584" s="415" t="s">
        <v>1368</v>
      </c>
      <c r="M1584" s="415" t="s">
        <v>310</v>
      </c>
      <c r="N1584" s="414">
        <v>44638</v>
      </c>
      <c r="O1584" s="414" t="s">
        <v>400</v>
      </c>
      <c r="P1584" s="222">
        <f t="shared" si="104"/>
        <v>3</v>
      </c>
      <c r="Q1584" s="222">
        <f t="shared" si="105"/>
        <v>2</v>
      </c>
      <c r="R1584" s="532" t="str">
        <f t="shared" si="106"/>
        <v>Gastos_Gerais</v>
      </c>
      <c r="S1584" s="467" t="s">
        <v>310</v>
      </c>
      <c r="T1584" s="467" t="s">
        <v>310</v>
      </c>
      <c r="U1584" s="496"/>
      <c r="V1584" s="496"/>
      <c r="W1584" s="496"/>
    </row>
    <row r="1585" spans="1:23" ht="24" x14ac:dyDescent="0.2">
      <c r="A1585" s="510">
        <f t="shared" si="103"/>
        <v>1582</v>
      </c>
      <c r="B1585" s="428">
        <v>44638</v>
      </c>
      <c r="C1585" s="424">
        <v>44593</v>
      </c>
      <c r="D1585" s="415" t="s">
        <v>271</v>
      </c>
      <c r="E1585" s="415" t="s">
        <v>466</v>
      </c>
      <c r="F1585" s="425">
        <v>465</v>
      </c>
      <c r="G1585" s="427" t="s">
        <v>1882</v>
      </c>
      <c r="H1585" s="415" t="s">
        <v>752</v>
      </c>
      <c r="I1585" s="398" t="s">
        <v>1461</v>
      </c>
      <c r="J1585" s="415" t="s">
        <v>310</v>
      </c>
      <c r="K1585" s="415" t="s">
        <v>1220</v>
      </c>
      <c r="L1585" s="415" t="s">
        <v>1368</v>
      </c>
      <c r="M1585" s="415" t="s">
        <v>310</v>
      </c>
      <c r="N1585" s="414">
        <v>44638</v>
      </c>
      <c r="O1585" s="414" t="s">
        <v>400</v>
      </c>
      <c r="P1585" s="222">
        <f t="shared" si="104"/>
        <v>3</v>
      </c>
      <c r="Q1585" s="222">
        <f t="shared" si="105"/>
        <v>2</v>
      </c>
      <c r="R1585" s="532" t="str">
        <f t="shared" si="106"/>
        <v>Gastos_Gerais</v>
      </c>
      <c r="S1585" s="467" t="s">
        <v>310</v>
      </c>
      <c r="T1585" s="467" t="s">
        <v>310</v>
      </c>
      <c r="U1585" s="496"/>
      <c r="V1585" s="496"/>
      <c r="W1585" s="496"/>
    </row>
    <row r="1586" spans="1:23" ht="24" x14ac:dyDescent="0.2">
      <c r="A1586" s="510">
        <f t="shared" si="103"/>
        <v>1583</v>
      </c>
      <c r="B1586" s="428">
        <v>44638</v>
      </c>
      <c r="C1586" s="424">
        <v>44562</v>
      </c>
      <c r="D1586" s="415" t="s">
        <v>271</v>
      </c>
      <c r="E1586" s="415" t="s">
        <v>1791</v>
      </c>
      <c r="F1586" s="425">
        <v>744</v>
      </c>
      <c r="G1586" s="427" t="s">
        <v>1779</v>
      </c>
      <c r="H1586" s="415" t="s">
        <v>752</v>
      </c>
      <c r="I1586" s="398" t="s">
        <v>1461</v>
      </c>
      <c r="J1586" s="415" t="s">
        <v>310</v>
      </c>
      <c r="K1586" s="415" t="s">
        <v>1220</v>
      </c>
      <c r="L1586" s="415" t="s">
        <v>1368</v>
      </c>
      <c r="M1586" s="415" t="s">
        <v>310</v>
      </c>
      <c r="N1586" s="414">
        <v>44638</v>
      </c>
      <c r="O1586" s="414" t="s">
        <v>400</v>
      </c>
      <c r="P1586" s="222">
        <f t="shared" si="104"/>
        <v>3</v>
      </c>
      <c r="Q1586" s="222">
        <f t="shared" si="105"/>
        <v>1</v>
      </c>
      <c r="R1586" s="532" t="str">
        <f t="shared" si="106"/>
        <v>Gastos_Gerais</v>
      </c>
      <c r="S1586" s="467" t="s">
        <v>310</v>
      </c>
      <c r="T1586" s="467" t="s">
        <v>310</v>
      </c>
      <c r="U1586" s="496"/>
      <c r="V1586" s="496"/>
      <c r="W1586" s="496"/>
    </row>
    <row r="1587" spans="1:23" ht="24" x14ac:dyDescent="0.2">
      <c r="A1587" s="510">
        <f t="shared" si="103"/>
        <v>1584</v>
      </c>
      <c r="B1587" s="428">
        <v>44638</v>
      </c>
      <c r="C1587" s="424">
        <v>44562</v>
      </c>
      <c r="D1587" s="415" t="s">
        <v>271</v>
      </c>
      <c r="E1587" s="415" t="s">
        <v>1791</v>
      </c>
      <c r="F1587" s="425">
        <v>37.200000000000003</v>
      </c>
      <c r="G1587" s="427" t="s">
        <v>1668</v>
      </c>
      <c r="H1587" s="415" t="s">
        <v>749</v>
      </c>
      <c r="I1587" s="398" t="s">
        <v>1461</v>
      </c>
      <c r="J1587" s="415" t="s">
        <v>310</v>
      </c>
      <c r="K1587" s="415" t="s">
        <v>1220</v>
      </c>
      <c r="L1587" s="415" t="s">
        <v>1368</v>
      </c>
      <c r="M1587" s="415" t="s">
        <v>310</v>
      </c>
      <c r="N1587" s="414">
        <v>44638</v>
      </c>
      <c r="O1587" s="414" t="s">
        <v>400</v>
      </c>
      <c r="P1587" s="222">
        <f t="shared" si="104"/>
        <v>3</v>
      </c>
      <c r="Q1587" s="222">
        <f t="shared" si="105"/>
        <v>1</v>
      </c>
      <c r="R1587" s="532" t="str">
        <f t="shared" si="106"/>
        <v>Gastos_Gerais</v>
      </c>
      <c r="S1587" s="467" t="s">
        <v>310</v>
      </c>
      <c r="T1587" s="467" t="s">
        <v>310</v>
      </c>
      <c r="U1587" s="496"/>
      <c r="V1587" s="496"/>
      <c r="W1587" s="496"/>
    </row>
    <row r="1588" spans="1:23" ht="24" x14ac:dyDescent="0.2">
      <c r="A1588" s="510">
        <f t="shared" si="103"/>
        <v>1585</v>
      </c>
      <c r="B1588" s="428">
        <v>44638</v>
      </c>
      <c r="C1588" s="424">
        <v>44562</v>
      </c>
      <c r="D1588" s="415" t="s">
        <v>271</v>
      </c>
      <c r="E1588" s="415" t="s">
        <v>1791</v>
      </c>
      <c r="F1588" s="425">
        <v>520.79999999999995</v>
      </c>
      <c r="G1588" s="427" t="s">
        <v>1709</v>
      </c>
      <c r="H1588" s="415" t="s">
        <v>752</v>
      </c>
      <c r="I1588" s="398" t="s">
        <v>1461</v>
      </c>
      <c r="J1588" s="415" t="s">
        <v>310</v>
      </c>
      <c r="K1588" s="415" t="s">
        <v>1220</v>
      </c>
      <c r="L1588" s="415" t="s">
        <v>1368</v>
      </c>
      <c r="M1588" s="415" t="s">
        <v>310</v>
      </c>
      <c r="N1588" s="414">
        <v>44638</v>
      </c>
      <c r="O1588" s="414" t="s">
        <v>400</v>
      </c>
      <c r="P1588" s="222">
        <f t="shared" si="104"/>
        <v>3</v>
      </c>
      <c r="Q1588" s="222">
        <f t="shared" si="105"/>
        <v>1</v>
      </c>
      <c r="R1588" s="532" t="str">
        <f t="shared" si="106"/>
        <v>Gastos_Gerais</v>
      </c>
      <c r="S1588" s="467" t="s">
        <v>310</v>
      </c>
      <c r="T1588" s="467" t="s">
        <v>310</v>
      </c>
      <c r="U1588" s="496"/>
      <c r="V1588" s="496"/>
      <c r="W1588" s="496"/>
    </row>
    <row r="1589" spans="1:23" ht="24" x14ac:dyDescent="0.2">
      <c r="A1589" s="510">
        <f t="shared" si="103"/>
        <v>1586</v>
      </c>
      <c r="B1589" s="428">
        <v>44638</v>
      </c>
      <c r="C1589" s="424">
        <v>44562</v>
      </c>
      <c r="D1589" s="415" t="s">
        <v>271</v>
      </c>
      <c r="E1589" s="415" t="s">
        <v>1791</v>
      </c>
      <c r="F1589" s="425">
        <v>198.4</v>
      </c>
      <c r="G1589" s="427" t="s">
        <v>1678</v>
      </c>
      <c r="H1589" s="415" t="s">
        <v>752</v>
      </c>
      <c r="I1589" s="398" t="s">
        <v>1461</v>
      </c>
      <c r="J1589" s="415" t="s">
        <v>310</v>
      </c>
      <c r="K1589" s="415" t="s">
        <v>1220</v>
      </c>
      <c r="L1589" s="415" t="s">
        <v>1368</v>
      </c>
      <c r="M1589" s="415" t="s">
        <v>310</v>
      </c>
      <c r="N1589" s="414">
        <v>44638</v>
      </c>
      <c r="O1589" s="414" t="s">
        <v>400</v>
      </c>
      <c r="P1589" s="222">
        <f t="shared" si="104"/>
        <v>3</v>
      </c>
      <c r="Q1589" s="222">
        <f t="shared" si="105"/>
        <v>1</v>
      </c>
      <c r="R1589" s="532" t="str">
        <f t="shared" si="106"/>
        <v>Gastos_Gerais</v>
      </c>
      <c r="S1589" s="467" t="s">
        <v>310</v>
      </c>
      <c r="T1589" s="467" t="s">
        <v>310</v>
      </c>
      <c r="U1589" s="496"/>
      <c r="V1589" s="496"/>
      <c r="W1589" s="496"/>
    </row>
    <row r="1590" spans="1:23" ht="24" x14ac:dyDescent="0.2">
      <c r="A1590" s="510">
        <f t="shared" si="103"/>
        <v>1587</v>
      </c>
      <c r="B1590" s="428">
        <v>44638</v>
      </c>
      <c r="C1590" s="424">
        <v>44562</v>
      </c>
      <c r="D1590" s="415" t="s">
        <v>271</v>
      </c>
      <c r="E1590" s="415" t="s">
        <v>1791</v>
      </c>
      <c r="F1590" s="425">
        <v>74.400000000000006</v>
      </c>
      <c r="G1590" s="427" t="s">
        <v>1670</v>
      </c>
      <c r="H1590" s="415" t="s">
        <v>749</v>
      </c>
      <c r="I1590" s="398" t="s">
        <v>1461</v>
      </c>
      <c r="J1590" s="415" t="s">
        <v>310</v>
      </c>
      <c r="K1590" s="415" t="s">
        <v>1220</v>
      </c>
      <c r="L1590" s="415" t="s">
        <v>1368</v>
      </c>
      <c r="M1590" s="415" t="s">
        <v>310</v>
      </c>
      <c r="N1590" s="414">
        <v>44638</v>
      </c>
      <c r="O1590" s="414" t="s">
        <v>400</v>
      </c>
      <c r="P1590" s="222">
        <f t="shared" si="104"/>
        <v>3</v>
      </c>
      <c r="Q1590" s="222">
        <f t="shared" si="105"/>
        <v>1</v>
      </c>
      <c r="R1590" s="532" t="str">
        <f t="shared" si="106"/>
        <v>Gastos_Gerais</v>
      </c>
      <c r="S1590" s="467" t="s">
        <v>310</v>
      </c>
      <c r="T1590" s="467" t="s">
        <v>310</v>
      </c>
      <c r="U1590" s="496"/>
      <c r="V1590" s="496"/>
      <c r="W1590" s="496"/>
    </row>
    <row r="1591" spans="1:23" ht="24" x14ac:dyDescent="0.2">
      <c r="A1591" s="510">
        <f t="shared" si="103"/>
        <v>1588</v>
      </c>
      <c r="B1591" s="428">
        <v>44638</v>
      </c>
      <c r="C1591" s="559">
        <v>44562</v>
      </c>
      <c r="D1591" s="357" t="s">
        <v>271</v>
      </c>
      <c r="E1591" s="357" t="s">
        <v>1791</v>
      </c>
      <c r="F1591" s="425">
        <v>744</v>
      </c>
      <c r="G1591" s="427" t="s">
        <v>1729</v>
      </c>
      <c r="H1591" s="415" t="s">
        <v>758</v>
      </c>
      <c r="I1591" s="398" t="s">
        <v>1461</v>
      </c>
      <c r="J1591" s="415" t="s">
        <v>310</v>
      </c>
      <c r="K1591" s="415" t="s">
        <v>1220</v>
      </c>
      <c r="L1591" s="415" t="s">
        <v>1368</v>
      </c>
      <c r="M1591" s="415" t="s">
        <v>310</v>
      </c>
      <c r="N1591" s="414">
        <v>44638</v>
      </c>
      <c r="O1591" s="414" t="s">
        <v>400</v>
      </c>
      <c r="P1591" s="222">
        <f t="shared" si="104"/>
        <v>3</v>
      </c>
      <c r="Q1591" s="222">
        <f t="shared" si="105"/>
        <v>1</v>
      </c>
      <c r="R1591" s="532" t="str">
        <f t="shared" si="106"/>
        <v>Gastos_Gerais</v>
      </c>
      <c r="S1591" s="467" t="s">
        <v>310</v>
      </c>
      <c r="T1591" s="467" t="s">
        <v>310</v>
      </c>
      <c r="U1591" s="496"/>
      <c r="V1591" s="496"/>
      <c r="W1591" s="496"/>
    </row>
    <row r="1592" spans="1:23" ht="24" x14ac:dyDescent="0.2">
      <c r="A1592" s="510">
        <f t="shared" si="103"/>
        <v>1589</v>
      </c>
      <c r="B1592" s="428">
        <v>44638</v>
      </c>
      <c r="C1592" s="424">
        <v>44562</v>
      </c>
      <c r="D1592" s="415" t="s">
        <v>271</v>
      </c>
      <c r="E1592" s="415" t="s">
        <v>1791</v>
      </c>
      <c r="F1592" s="425">
        <v>744</v>
      </c>
      <c r="G1592" s="427" t="s">
        <v>1673</v>
      </c>
      <c r="H1592" s="415" t="s">
        <v>752</v>
      </c>
      <c r="I1592" s="398" t="s">
        <v>1461</v>
      </c>
      <c r="J1592" s="415" t="s">
        <v>310</v>
      </c>
      <c r="K1592" s="415" t="s">
        <v>1220</v>
      </c>
      <c r="L1592" s="415" t="s">
        <v>1368</v>
      </c>
      <c r="M1592" s="415" t="s">
        <v>310</v>
      </c>
      <c r="N1592" s="414">
        <v>44638</v>
      </c>
      <c r="O1592" s="414" t="s">
        <v>400</v>
      </c>
      <c r="P1592" s="222">
        <f t="shared" si="104"/>
        <v>3</v>
      </c>
      <c r="Q1592" s="222">
        <f t="shared" si="105"/>
        <v>1</v>
      </c>
      <c r="R1592" s="532" t="str">
        <f t="shared" si="106"/>
        <v>Gastos_Gerais</v>
      </c>
      <c r="S1592" s="467" t="s">
        <v>310</v>
      </c>
      <c r="T1592" s="467" t="s">
        <v>310</v>
      </c>
      <c r="U1592" s="496"/>
      <c r="V1592" s="496"/>
      <c r="W1592" s="496"/>
    </row>
    <row r="1593" spans="1:23" ht="36" x14ac:dyDescent="0.2">
      <c r="A1593" s="510">
        <f t="shared" si="103"/>
        <v>1590</v>
      </c>
      <c r="B1593" s="428">
        <v>44638</v>
      </c>
      <c r="C1593" s="424">
        <v>44531</v>
      </c>
      <c r="D1593" s="415" t="s">
        <v>271</v>
      </c>
      <c r="E1593" s="415" t="s">
        <v>1791</v>
      </c>
      <c r="F1593" s="425">
        <v>409.2</v>
      </c>
      <c r="G1593" s="427" t="s">
        <v>1744</v>
      </c>
      <c r="H1593" s="415" t="s">
        <v>757</v>
      </c>
      <c r="I1593" s="398" t="s">
        <v>1461</v>
      </c>
      <c r="J1593" s="415" t="s">
        <v>310</v>
      </c>
      <c r="K1593" s="415" t="s">
        <v>1220</v>
      </c>
      <c r="L1593" s="415" t="s">
        <v>1368</v>
      </c>
      <c r="M1593" s="415" t="s">
        <v>310</v>
      </c>
      <c r="N1593" s="414">
        <v>44638</v>
      </c>
      <c r="O1593" s="414" t="s">
        <v>400</v>
      </c>
      <c r="P1593" s="222">
        <f t="shared" si="104"/>
        <v>3</v>
      </c>
      <c r="Q1593" s="222">
        <f t="shared" si="105"/>
        <v>0</v>
      </c>
      <c r="R1593" s="532" t="str">
        <f t="shared" si="106"/>
        <v>Gastos_Gerais</v>
      </c>
      <c r="S1593" s="467" t="s">
        <v>310</v>
      </c>
      <c r="T1593" s="467" t="s">
        <v>310</v>
      </c>
      <c r="U1593" s="496"/>
      <c r="V1593" s="496"/>
      <c r="W1593" s="496"/>
    </row>
    <row r="1594" spans="1:23" ht="24" x14ac:dyDescent="0.2">
      <c r="A1594" s="510">
        <f t="shared" si="103"/>
        <v>1591</v>
      </c>
      <c r="B1594" s="428">
        <v>44638</v>
      </c>
      <c r="C1594" s="433">
        <v>44593</v>
      </c>
      <c r="D1594" s="415" t="s">
        <v>182</v>
      </c>
      <c r="E1594" s="415" t="s">
        <v>1</v>
      </c>
      <c r="F1594" s="425">
        <v>16087.54</v>
      </c>
      <c r="G1594" s="427" t="s">
        <v>1950</v>
      </c>
      <c r="H1594" s="415" t="s">
        <v>310</v>
      </c>
      <c r="I1594" s="398" t="s">
        <v>1461</v>
      </c>
      <c r="J1594" s="415" t="s">
        <v>310</v>
      </c>
      <c r="K1594" s="415" t="s">
        <v>1220</v>
      </c>
      <c r="L1594" s="415" t="s">
        <v>1368</v>
      </c>
      <c r="M1594" s="415" t="s">
        <v>310</v>
      </c>
      <c r="N1594" s="414">
        <v>44638</v>
      </c>
      <c r="O1594" s="414" t="s">
        <v>400</v>
      </c>
      <c r="P1594" s="222">
        <f t="shared" si="104"/>
        <v>3</v>
      </c>
      <c r="Q1594" s="222">
        <f t="shared" si="105"/>
        <v>2</v>
      </c>
      <c r="R1594" s="532" t="str">
        <f t="shared" si="106"/>
        <v>Gastos_com_Pessoal</v>
      </c>
      <c r="S1594" s="467" t="s">
        <v>310</v>
      </c>
      <c r="T1594" s="467" t="s">
        <v>310</v>
      </c>
      <c r="U1594" s="496"/>
      <c r="V1594" s="496"/>
      <c r="W1594" s="496"/>
    </row>
    <row r="1595" spans="1:23" ht="24" x14ac:dyDescent="0.2">
      <c r="A1595" s="510">
        <f t="shared" si="103"/>
        <v>1592</v>
      </c>
      <c r="B1595" s="428">
        <v>44638</v>
      </c>
      <c r="C1595" s="433">
        <v>44593</v>
      </c>
      <c r="D1595" s="415" t="s">
        <v>182</v>
      </c>
      <c r="E1595" s="415" t="s">
        <v>252</v>
      </c>
      <c r="F1595" s="425">
        <v>50454.01</v>
      </c>
      <c r="G1595" s="427" t="s">
        <v>2303</v>
      </c>
      <c r="H1595" s="415" t="s">
        <v>310</v>
      </c>
      <c r="I1595" s="398" t="s">
        <v>1461</v>
      </c>
      <c r="J1595" s="415" t="s">
        <v>310</v>
      </c>
      <c r="K1595" s="415" t="s">
        <v>1220</v>
      </c>
      <c r="L1595" s="415" t="s">
        <v>1368</v>
      </c>
      <c r="M1595" s="415" t="s">
        <v>310</v>
      </c>
      <c r="N1595" s="414">
        <v>44638</v>
      </c>
      <c r="O1595" s="414" t="s">
        <v>400</v>
      </c>
      <c r="P1595" s="222">
        <f t="shared" si="104"/>
        <v>3</v>
      </c>
      <c r="Q1595" s="222">
        <f t="shared" si="105"/>
        <v>2</v>
      </c>
      <c r="R1595" s="532" t="str">
        <f t="shared" si="106"/>
        <v>Gastos_com_Pessoal</v>
      </c>
      <c r="S1595" s="467" t="s">
        <v>310</v>
      </c>
      <c r="T1595" s="467" t="s">
        <v>310</v>
      </c>
      <c r="U1595" s="496"/>
      <c r="V1595" s="496"/>
      <c r="W1595" s="496"/>
    </row>
    <row r="1596" spans="1:23" ht="24" x14ac:dyDescent="0.2">
      <c r="A1596" s="510">
        <f t="shared" si="103"/>
        <v>1593</v>
      </c>
      <c r="B1596" s="428">
        <v>44638</v>
      </c>
      <c r="C1596" s="424">
        <v>44562</v>
      </c>
      <c r="D1596" s="415" t="s">
        <v>271</v>
      </c>
      <c r="E1596" s="415" t="s">
        <v>1791</v>
      </c>
      <c r="F1596" s="425">
        <v>17.399999999999999</v>
      </c>
      <c r="G1596" s="427" t="s">
        <v>1773</v>
      </c>
      <c r="H1596" s="415" t="s">
        <v>752</v>
      </c>
      <c r="I1596" s="398" t="s">
        <v>1461</v>
      </c>
      <c r="J1596" s="415" t="s">
        <v>310</v>
      </c>
      <c r="K1596" s="415" t="s">
        <v>1220</v>
      </c>
      <c r="L1596" s="415" t="s">
        <v>1368</v>
      </c>
      <c r="M1596" s="415" t="s">
        <v>310</v>
      </c>
      <c r="N1596" s="414">
        <v>44638</v>
      </c>
      <c r="O1596" s="414" t="s">
        <v>400</v>
      </c>
      <c r="P1596" s="222">
        <f t="shared" si="104"/>
        <v>3</v>
      </c>
      <c r="Q1596" s="222">
        <f t="shared" si="105"/>
        <v>1</v>
      </c>
      <c r="R1596" s="532" t="str">
        <f t="shared" si="106"/>
        <v>Gastos_Gerais</v>
      </c>
      <c r="S1596" s="467" t="s">
        <v>310</v>
      </c>
      <c r="T1596" s="467" t="s">
        <v>310</v>
      </c>
      <c r="U1596" s="496"/>
      <c r="V1596" s="496"/>
      <c r="W1596" s="496"/>
    </row>
    <row r="1597" spans="1:23" ht="24" x14ac:dyDescent="0.2">
      <c r="A1597" s="510">
        <f t="shared" si="103"/>
        <v>1594</v>
      </c>
      <c r="B1597" s="428">
        <v>44638</v>
      </c>
      <c r="C1597" s="424">
        <v>44562</v>
      </c>
      <c r="D1597" s="415" t="s">
        <v>271</v>
      </c>
      <c r="E1597" s="415" t="s">
        <v>1791</v>
      </c>
      <c r="F1597" s="425">
        <v>17.399999999999999</v>
      </c>
      <c r="G1597" s="427" t="s">
        <v>1768</v>
      </c>
      <c r="H1597" s="415" t="s">
        <v>752</v>
      </c>
      <c r="I1597" s="398" t="s">
        <v>1461</v>
      </c>
      <c r="J1597" s="415" t="s">
        <v>310</v>
      </c>
      <c r="K1597" s="415" t="s">
        <v>1220</v>
      </c>
      <c r="L1597" s="415" t="s">
        <v>1368</v>
      </c>
      <c r="M1597" s="415" t="s">
        <v>310</v>
      </c>
      <c r="N1597" s="414">
        <v>44638</v>
      </c>
      <c r="O1597" s="414" t="s">
        <v>400</v>
      </c>
      <c r="P1597" s="222">
        <f t="shared" si="104"/>
        <v>3</v>
      </c>
      <c r="Q1597" s="222">
        <f t="shared" si="105"/>
        <v>1</v>
      </c>
      <c r="R1597" s="532" t="str">
        <f t="shared" si="106"/>
        <v>Gastos_Gerais</v>
      </c>
      <c r="S1597" s="467" t="s">
        <v>310</v>
      </c>
      <c r="T1597" s="467" t="s">
        <v>310</v>
      </c>
      <c r="U1597" s="496"/>
      <c r="V1597" s="496"/>
      <c r="W1597" s="496"/>
    </row>
    <row r="1598" spans="1:23" ht="36" x14ac:dyDescent="0.2">
      <c r="A1598" s="510">
        <f t="shared" ref="A1598:A1674" si="107">IF(B1598="","",ROW()-ROW($A$3))</f>
        <v>1595</v>
      </c>
      <c r="B1598" s="428">
        <v>44638</v>
      </c>
      <c r="C1598" s="424">
        <v>44562</v>
      </c>
      <c r="D1598" s="415" t="s">
        <v>271</v>
      </c>
      <c r="E1598" s="415" t="s">
        <v>90</v>
      </c>
      <c r="F1598" s="425">
        <v>541.69000000000005</v>
      </c>
      <c r="G1598" s="427" t="s">
        <v>1750</v>
      </c>
      <c r="H1598" s="415" t="s">
        <v>760</v>
      </c>
      <c r="I1598" s="398" t="s">
        <v>1461</v>
      </c>
      <c r="J1598" s="415" t="s">
        <v>310</v>
      </c>
      <c r="K1598" s="415" t="s">
        <v>1220</v>
      </c>
      <c r="L1598" s="415" t="s">
        <v>1368</v>
      </c>
      <c r="M1598" s="415" t="s">
        <v>310</v>
      </c>
      <c r="N1598" s="414">
        <v>44638</v>
      </c>
      <c r="O1598" s="414" t="s">
        <v>400</v>
      </c>
      <c r="P1598" s="222">
        <f t="shared" si="104"/>
        <v>3</v>
      </c>
      <c r="Q1598" s="222">
        <f t="shared" si="105"/>
        <v>1</v>
      </c>
      <c r="R1598" s="532" t="str">
        <f t="shared" si="106"/>
        <v>Gastos_Gerais</v>
      </c>
      <c r="S1598" s="467" t="s">
        <v>310</v>
      </c>
      <c r="T1598" s="467" t="s">
        <v>310</v>
      </c>
      <c r="U1598" s="496"/>
      <c r="V1598" s="496"/>
      <c r="W1598" s="496"/>
    </row>
    <row r="1599" spans="1:23" ht="24" x14ac:dyDescent="0.2">
      <c r="A1599" s="510">
        <f t="shared" si="107"/>
        <v>1596</v>
      </c>
      <c r="B1599" s="428">
        <v>44638</v>
      </c>
      <c r="C1599" s="424">
        <v>44562</v>
      </c>
      <c r="D1599" s="415" t="s">
        <v>271</v>
      </c>
      <c r="E1599" s="415" t="s">
        <v>1791</v>
      </c>
      <c r="F1599" s="425">
        <v>17.399999999999999</v>
      </c>
      <c r="G1599" s="427" t="s">
        <v>1778</v>
      </c>
      <c r="H1599" s="415" t="s">
        <v>752</v>
      </c>
      <c r="I1599" s="398" t="s">
        <v>1461</v>
      </c>
      <c r="J1599" s="415" t="s">
        <v>310</v>
      </c>
      <c r="K1599" s="415" t="s">
        <v>1220</v>
      </c>
      <c r="L1599" s="415" t="s">
        <v>1368</v>
      </c>
      <c r="M1599" s="415" t="s">
        <v>310</v>
      </c>
      <c r="N1599" s="414">
        <v>44638</v>
      </c>
      <c r="O1599" s="414" t="s">
        <v>400</v>
      </c>
      <c r="P1599" s="222">
        <f t="shared" si="104"/>
        <v>3</v>
      </c>
      <c r="Q1599" s="222">
        <f t="shared" si="105"/>
        <v>1</v>
      </c>
      <c r="R1599" s="532" t="str">
        <f t="shared" si="106"/>
        <v>Gastos_Gerais</v>
      </c>
      <c r="S1599" s="467" t="s">
        <v>310</v>
      </c>
      <c r="T1599" s="467" t="s">
        <v>310</v>
      </c>
      <c r="U1599" s="496"/>
      <c r="V1599" s="496"/>
      <c r="W1599" s="496"/>
    </row>
    <row r="1600" spans="1:23" ht="24" x14ac:dyDescent="0.2">
      <c r="A1600" s="510">
        <f t="shared" si="107"/>
        <v>1597</v>
      </c>
      <c r="B1600" s="428">
        <v>44638</v>
      </c>
      <c r="C1600" s="424">
        <v>44562</v>
      </c>
      <c r="D1600" s="415" t="s">
        <v>271</v>
      </c>
      <c r="E1600" s="415" t="s">
        <v>1791</v>
      </c>
      <c r="F1600" s="425">
        <v>17.399999999999999</v>
      </c>
      <c r="G1600" s="427" t="s">
        <v>1674</v>
      </c>
      <c r="H1600" s="415" t="s">
        <v>752</v>
      </c>
      <c r="I1600" s="398" t="s">
        <v>1461</v>
      </c>
      <c r="J1600" s="415" t="s">
        <v>310</v>
      </c>
      <c r="K1600" s="415" t="s">
        <v>1220</v>
      </c>
      <c r="L1600" s="415" t="s">
        <v>1368</v>
      </c>
      <c r="M1600" s="415" t="s">
        <v>310</v>
      </c>
      <c r="N1600" s="414">
        <v>44638</v>
      </c>
      <c r="O1600" s="414" t="s">
        <v>400</v>
      </c>
      <c r="P1600" s="222">
        <f t="shared" si="104"/>
        <v>3</v>
      </c>
      <c r="Q1600" s="222">
        <f t="shared" si="105"/>
        <v>1</v>
      </c>
      <c r="R1600" s="532" t="str">
        <f t="shared" si="106"/>
        <v>Gastos_Gerais</v>
      </c>
      <c r="S1600" s="467" t="s">
        <v>310</v>
      </c>
      <c r="T1600" s="467" t="s">
        <v>310</v>
      </c>
      <c r="U1600" s="496"/>
      <c r="V1600" s="496"/>
      <c r="W1600" s="496"/>
    </row>
    <row r="1601" spans="1:23" ht="24" x14ac:dyDescent="0.2">
      <c r="A1601" s="510">
        <f t="shared" si="107"/>
        <v>1598</v>
      </c>
      <c r="B1601" s="428">
        <v>44638</v>
      </c>
      <c r="C1601" s="424">
        <v>44562</v>
      </c>
      <c r="D1601" s="415" t="s">
        <v>271</v>
      </c>
      <c r="E1601" s="415" t="s">
        <v>1791</v>
      </c>
      <c r="F1601" s="425">
        <v>17.399999999999999</v>
      </c>
      <c r="G1601" s="427" t="s">
        <v>1730</v>
      </c>
      <c r="H1601" s="415" t="s">
        <v>758</v>
      </c>
      <c r="I1601" s="398" t="s">
        <v>1461</v>
      </c>
      <c r="J1601" s="415" t="s">
        <v>310</v>
      </c>
      <c r="K1601" s="415" t="s">
        <v>1220</v>
      </c>
      <c r="L1601" s="415" t="s">
        <v>1368</v>
      </c>
      <c r="M1601" s="415" t="s">
        <v>310</v>
      </c>
      <c r="N1601" s="414">
        <v>44638</v>
      </c>
      <c r="O1601" s="414" t="s">
        <v>400</v>
      </c>
      <c r="P1601" s="222">
        <f t="shared" si="104"/>
        <v>3</v>
      </c>
      <c r="Q1601" s="222">
        <f t="shared" si="105"/>
        <v>1</v>
      </c>
      <c r="R1601" s="532" t="str">
        <f t="shared" si="106"/>
        <v>Gastos_Gerais</v>
      </c>
      <c r="S1601" s="467" t="s">
        <v>310</v>
      </c>
      <c r="T1601" s="467" t="s">
        <v>310</v>
      </c>
      <c r="U1601" s="496"/>
      <c r="V1601" s="496"/>
      <c r="W1601" s="496"/>
    </row>
    <row r="1602" spans="1:23" ht="24" x14ac:dyDescent="0.2">
      <c r="A1602" s="510">
        <f t="shared" si="107"/>
        <v>1599</v>
      </c>
      <c r="B1602" s="428">
        <v>44638</v>
      </c>
      <c r="C1602" s="424">
        <v>44562</v>
      </c>
      <c r="D1602" s="415" t="s">
        <v>271</v>
      </c>
      <c r="E1602" s="415" t="s">
        <v>297</v>
      </c>
      <c r="F1602" s="425">
        <v>365.12</v>
      </c>
      <c r="G1602" s="427" t="s">
        <v>2320</v>
      </c>
      <c r="H1602" s="415" t="s">
        <v>310</v>
      </c>
      <c r="I1602" s="398" t="s">
        <v>1461</v>
      </c>
      <c r="J1602" s="415" t="s">
        <v>310</v>
      </c>
      <c r="K1602" s="415" t="s">
        <v>1220</v>
      </c>
      <c r="L1602" s="415" t="s">
        <v>1368</v>
      </c>
      <c r="M1602" s="415" t="s">
        <v>310</v>
      </c>
      <c r="N1602" s="414">
        <v>44638</v>
      </c>
      <c r="O1602" s="414" t="s">
        <v>400</v>
      </c>
      <c r="P1602" s="222">
        <f t="shared" si="104"/>
        <v>3</v>
      </c>
      <c r="Q1602" s="222">
        <f t="shared" si="105"/>
        <v>1</v>
      </c>
      <c r="R1602" s="532" t="str">
        <f t="shared" si="106"/>
        <v>Gastos_Gerais</v>
      </c>
      <c r="S1602" s="467" t="s">
        <v>310</v>
      </c>
      <c r="T1602" s="467" t="s">
        <v>310</v>
      </c>
      <c r="U1602" s="496"/>
      <c r="V1602" s="496"/>
      <c r="W1602" s="496"/>
    </row>
    <row r="1603" spans="1:23" ht="24" x14ac:dyDescent="0.2">
      <c r="A1603" s="510">
        <f t="shared" si="107"/>
        <v>1600</v>
      </c>
      <c r="B1603" s="428">
        <v>44638</v>
      </c>
      <c r="C1603" s="424">
        <v>44562</v>
      </c>
      <c r="D1603" s="415" t="s">
        <v>182</v>
      </c>
      <c r="E1603" s="415" t="s">
        <v>1</v>
      </c>
      <c r="F1603" s="425">
        <v>8403.39</v>
      </c>
      <c r="G1603" s="427" t="s">
        <v>1844</v>
      </c>
      <c r="H1603" s="415" t="s">
        <v>310</v>
      </c>
      <c r="I1603" s="398" t="s">
        <v>1461</v>
      </c>
      <c r="J1603" s="418" t="s">
        <v>310</v>
      </c>
      <c r="K1603" s="418" t="s">
        <v>1220</v>
      </c>
      <c r="L1603" s="399" t="s">
        <v>1368</v>
      </c>
      <c r="M1603" s="415" t="s">
        <v>310</v>
      </c>
      <c r="N1603" s="414">
        <v>44638</v>
      </c>
      <c r="O1603" s="414" t="s">
        <v>400</v>
      </c>
      <c r="P1603" s="222">
        <f t="shared" si="104"/>
        <v>3</v>
      </c>
      <c r="Q1603" s="222">
        <f t="shared" si="105"/>
        <v>1</v>
      </c>
      <c r="R1603" s="532" t="str">
        <f t="shared" si="106"/>
        <v>Gastos_com_Pessoal</v>
      </c>
      <c r="S1603" s="467" t="s">
        <v>310</v>
      </c>
      <c r="T1603" s="467" t="s">
        <v>310</v>
      </c>
      <c r="U1603" s="496"/>
      <c r="V1603" s="496"/>
      <c r="W1603" s="496"/>
    </row>
    <row r="1604" spans="1:23" ht="24" x14ac:dyDescent="0.2">
      <c r="A1604" s="510">
        <f t="shared" si="107"/>
        <v>1601</v>
      </c>
      <c r="B1604" s="428">
        <v>44638</v>
      </c>
      <c r="C1604" s="424">
        <v>44562</v>
      </c>
      <c r="D1604" s="415" t="s">
        <v>182</v>
      </c>
      <c r="E1604" s="415" t="s">
        <v>287</v>
      </c>
      <c r="F1604" s="425">
        <v>13.72</v>
      </c>
      <c r="G1604" s="427" t="s">
        <v>2312</v>
      </c>
      <c r="H1604" s="415" t="s">
        <v>310</v>
      </c>
      <c r="I1604" s="398" t="s">
        <v>1461</v>
      </c>
      <c r="J1604" s="418" t="s">
        <v>310</v>
      </c>
      <c r="K1604" s="418" t="s">
        <v>1220</v>
      </c>
      <c r="L1604" s="399" t="s">
        <v>1368</v>
      </c>
      <c r="M1604" s="415" t="s">
        <v>310</v>
      </c>
      <c r="N1604" s="414">
        <v>44638</v>
      </c>
      <c r="O1604" s="414" t="s">
        <v>400</v>
      </c>
      <c r="P1604" s="222">
        <f t="shared" si="104"/>
        <v>3</v>
      </c>
      <c r="Q1604" s="222">
        <f t="shared" si="105"/>
        <v>1</v>
      </c>
      <c r="R1604" s="532" t="str">
        <f t="shared" si="106"/>
        <v>Gastos_com_Pessoal</v>
      </c>
      <c r="S1604" s="467" t="s">
        <v>310</v>
      </c>
      <c r="T1604" s="467" t="s">
        <v>310</v>
      </c>
      <c r="U1604" s="496"/>
      <c r="V1604" s="496"/>
      <c r="W1604" s="496"/>
    </row>
    <row r="1605" spans="1:23" ht="24" x14ac:dyDescent="0.2">
      <c r="A1605" s="510">
        <f t="shared" si="107"/>
        <v>1602</v>
      </c>
      <c r="B1605" s="428">
        <v>44638</v>
      </c>
      <c r="C1605" s="424">
        <v>44593</v>
      </c>
      <c r="D1605" s="415" t="s">
        <v>271</v>
      </c>
      <c r="E1605" s="415" t="s">
        <v>59</v>
      </c>
      <c r="F1605" s="425">
        <v>127.5</v>
      </c>
      <c r="G1605" s="427" t="s">
        <v>2075</v>
      </c>
      <c r="H1605" s="415" t="s">
        <v>309</v>
      </c>
      <c r="I1605" s="398" t="s">
        <v>1461</v>
      </c>
      <c r="J1605" s="418" t="s">
        <v>310</v>
      </c>
      <c r="K1605" s="418" t="s">
        <v>1220</v>
      </c>
      <c r="L1605" s="399" t="s">
        <v>1368</v>
      </c>
      <c r="M1605" s="415" t="s">
        <v>310</v>
      </c>
      <c r="N1605" s="414">
        <v>44638</v>
      </c>
      <c r="O1605" s="414" t="s">
        <v>400</v>
      </c>
      <c r="P1605" s="222">
        <f t="shared" si="104"/>
        <v>3</v>
      </c>
      <c r="Q1605" s="222">
        <f t="shared" si="105"/>
        <v>2</v>
      </c>
      <c r="R1605" s="532" t="str">
        <f t="shared" si="106"/>
        <v>Gastos_Gerais</v>
      </c>
      <c r="S1605" s="467" t="s">
        <v>310</v>
      </c>
      <c r="T1605" s="467" t="s">
        <v>310</v>
      </c>
      <c r="U1605" s="496"/>
      <c r="V1605" s="496"/>
      <c r="W1605" s="496"/>
    </row>
    <row r="1606" spans="1:23" ht="24" x14ac:dyDescent="0.2">
      <c r="A1606" s="510">
        <f t="shared" si="107"/>
        <v>1603</v>
      </c>
      <c r="B1606" s="428">
        <v>44638</v>
      </c>
      <c r="C1606" s="424">
        <v>44562</v>
      </c>
      <c r="D1606" s="415" t="s">
        <v>271</v>
      </c>
      <c r="E1606" s="415" t="s">
        <v>59</v>
      </c>
      <c r="F1606" s="425">
        <v>395.25</v>
      </c>
      <c r="G1606" s="427" t="s">
        <v>1618</v>
      </c>
      <c r="H1606" s="415" t="s">
        <v>309</v>
      </c>
      <c r="I1606" s="398" t="s">
        <v>1461</v>
      </c>
      <c r="J1606" s="418" t="s">
        <v>310</v>
      </c>
      <c r="K1606" s="418" t="s">
        <v>1220</v>
      </c>
      <c r="L1606" s="399" t="s">
        <v>1368</v>
      </c>
      <c r="M1606" s="415" t="s">
        <v>310</v>
      </c>
      <c r="N1606" s="414">
        <v>44638</v>
      </c>
      <c r="O1606" s="414" t="s">
        <v>400</v>
      </c>
      <c r="P1606" s="222">
        <f t="shared" si="104"/>
        <v>3</v>
      </c>
      <c r="Q1606" s="222">
        <f t="shared" si="105"/>
        <v>1</v>
      </c>
      <c r="R1606" s="532" t="str">
        <f t="shared" si="106"/>
        <v>Gastos_Gerais</v>
      </c>
      <c r="S1606" s="467" t="s">
        <v>310</v>
      </c>
      <c r="T1606" s="467" t="s">
        <v>310</v>
      </c>
      <c r="U1606" s="496"/>
      <c r="V1606" s="496"/>
      <c r="W1606" s="496"/>
    </row>
    <row r="1607" spans="1:23" ht="24" x14ac:dyDescent="0.2">
      <c r="A1607" s="510">
        <f t="shared" si="107"/>
        <v>1604</v>
      </c>
      <c r="B1607" s="428">
        <v>44638</v>
      </c>
      <c r="C1607" s="424">
        <v>44562</v>
      </c>
      <c r="D1607" s="415" t="s">
        <v>182</v>
      </c>
      <c r="E1607" s="415" t="s">
        <v>179</v>
      </c>
      <c r="F1607" s="425">
        <v>19.760000000000002</v>
      </c>
      <c r="G1607" s="427" t="s">
        <v>1536</v>
      </c>
      <c r="H1607" s="415" t="s">
        <v>310</v>
      </c>
      <c r="I1607" s="398" t="s">
        <v>1461</v>
      </c>
      <c r="J1607" s="418" t="s">
        <v>310</v>
      </c>
      <c r="K1607" s="418" t="s">
        <v>1220</v>
      </c>
      <c r="L1607" s="399" t="s">
        <v>1368</v>
      </c>
      <c r="M1607" s="415" t="s">
        <v>310</v>
      </c>
      <c r="N1607" s="414">
        <v>44638</v>
      </c>
      <c r="O1607" s="414" t="s">
        <v>400</v>
      </c>
      <c r="P1607" s="222">
        <f t="shared" si="104"/>
        <v>3</v>
      </c>
      <c r="Q1607" s="222">
        <f t="shared" si="105"/>
        <v>1</v>
      </c>
      <c r="R1607" s="532" t="str">
        <f t="shared" si="106"/>
        <v>Gastos_com_Pessoal</v>
      </c>
      <c r="S1607" s="467" t="s">
        <v>310</v>
      </c>
      <c r="T1607" s="467" t="s">
        <v>310</v>
      </c>
      <c r="U1607" s="496"/>
      <c r="V1607" s="496"/>
      <c r="W1607" s="496"/>
    </row>
    <row r="1608" spans="1:23" ht="24" x14ac:dyDescent="0.2">
      <c r="A1608" s="510">
        <f t="shared" si="107"/>
        <v>1605</v>
      </c>
      <c r="B1608" s="428">
        <v>44638</v>
      </c>
      <c r="C1608" s="424">
        <v>44562</v>
      </c>
      <c r="D1608" s="415" t="s">
        <v>182</v>
      </c>
      <c r="E1608" s="415" t="s">
        <v>179</v>
      </c>
      <c r="F1608" s="425">
        <v>28.75</v>
      </c>
      <c r="G1608" s="427" t="s">
        <v>1526</v>
      </c>
      <c r="H1608" s="415" t="s">
        <v>310</v>
      </c>
      <c r="I1608" s="398" t="s">
        <v>1461</v>
      </c>
      <c r="J1608" s="418" t="s">
        <v>310</v>
      </c>
      <c r="K1608" s="418" t="s">
        <v>1220</v>
      </c>
      <c r="L1608" s="399" t="s">
        <v>1368</v>
      </c>
      <c r="M1608" s="415" t="s">
        <v>310</v>
      </c>
      <c r="N1608" s="414">
        <v>44638</v>
      </c>
      <c r="O1608" s="414" t="s">
        <v>400</v>
      </c>
      <c r="P1608" s="222">
        <f t="shared" si="104"/>
        <v>3</v>
      </c>
      <c r="Q1608" s="222">
        <f t="shared" si="105"/>
        <v>1</v>
      </c>
      <c r="R1608" s="532" t="str">
        <f t="shared" si="106"/>
        <v>Gastos_com_Pessoal</v>
      </c>
      <c r="S1608" s="467" t="s">
        <v>310</v>
      </c>
      <c r="T1608" s="467" t="s">
        <v>310</v>
      </c>
      <c r="U1608" s="496"/>
      <c r="V1608" s="496"/>
      <c r="W1608" s="496"/>
    </row>
    <row r="1609" spans="1:23" ht="24" x14ac:dyDescent="0.2">
      <c r="A1609" s="510">
        <f t="shared" si="107"/>
        <v>1606</v>
      </c>
      <c r="B1609" s="428">
        <v>44638</v>
      </c>
      <c r="C1609" s="424">
        <v>44531</v>
      </c>
      <c r="D1609" s="415" t="s">
        <v>182</v>
      </c>
      <c r="E1609" s="415" t="s">
        <v>1</v>
      </c>
      <c r="F1609" s="425">
        <v>34.75</v>
      </c>
      <c r="G1609" s="427" t="s">
        <v>1759</v>
      </c>
      <c r="H1609" s="415" t="s">
        <v>310</v>
      </c>
      <c r="I1609" s="398" t="s">
        <v>1461</v>
      </c>
      <c r="J1609" s="418" t="s">
        <v>310</v>
      </c>
      <c r="K1609" s="418" t="s">
        <v>1220</v>
      </c>
      <c r="L1609" s="399" t="s">
        <v>1368</v>
      </c>
      <c r="M1609" s="415" t="s">
        <v>310</v>
      </c>
      <c r="N1609" s="414">
        <v>44638</v>
      </c>
      <c r="O1609" s="414" t="s">
        <v>400</v>
      </c>
      <c r="P1609" s="222">
        <f t="shared" si="104"/>
        <v>3</v>
      </c>
      <c r="Q1609" s="222">
        <f t="shared" si="105"/>
        <v>0</v>
      </c>
      <c r="R1609" s="532" t="str">
        <f t="shared" si="106"/>
        <v>Gastos_com_Pessoal</v>
      </c>
      <c r="S1609" s="467" t="s">
        <v>310</v>
      </c>
      <c r="T1609" s="467" t="s">
        <v>310</v>
      </c>
      <c r="U1609" s="496"/>
      <c r="V1609" s="496"/>
      <c r="W1609" s="496"/>
    </row>
    <row r="1610" spans="1:23" ht="24" x14ac:dyDescent="0.2">
      <c r="A1610" s="510">
        <f t="shared" si="107"/>
        <v>1607</v>
      </c>
      <c r="B1610" s="428">
        <v>44638</v>
      </c>
      <c r="C1610" s="424">
        <v>44531</v>
      </c>
      <c r="D1610" s="415" t="s">
        <v>271</v>
      </c>
      <c r="E1610" s="415" t="s">
        <v>186</v>
      </c>
      <c r="F1610" s="425">
        <v>32.69</v>
      </c>
      <c r="G1610" s="427" t="s">
        <v>2313</v>
      </c>
      <c r="H1610" s="415" t="s">
        <v>309</v>
      </c>
      <c r="I1610" s="398" t="s">
        <v>1461</v>
      </c>
      <c r="J1610" s="418" t="s">
        <v>310</v>
      </c>
      <c r="K1610" s="418" t="s">
        <v>1220</v>
      </c>
      <c r="L1610" s="399" t="s">
        <v>1368</v>
      </c>
      <c r="M1610" s="415" t="s">
        <v>310</v>
      </c>
      <c r="N1610" s="414">
        <v>44638</v>
      </c>
      <c r="O1610" s="414" t="s">
        <v>400</v>
      </c>
      <c r="P1610" s="222">
        <f t="shared" si="104"/>
        <v>3</v>
      </c>
      <c r="Q1610" s="222">
        <f t="shared" si="105"/>
        <v>0</v>
      </c>
      <c r="R1610" s="532" t="str">
        <f t="shared" si="106"/>
        <v>Gastos_Gerais</v>
      </c>
      <c r="S1610" s="467" t="s">
        <v>310</v>
      </c>
      <c r="T1610" s="467" t="s">
        <v>310</v>
      </c>
      <c r="U1610" s="496"/>
      <c r="V1610" s="496"/>
      <c r="W1610" s="496"/>
    </row>
    <row r="1611" spans="1:23" ht="24" x14ac:dyDescent="0.2">
      <c r="A1611" s="510">
        <f t="shared" si="107"/>
        <v>1608</v>
      </c>
      <c r="B1611" s="428">
        <v>44638</v>
      </c>
      <c r="C1611" s="424">
        <v>44562</v>
      </c>
      <c r="D1611" s="415" t="s">
        <v>271</v>
      </c>
      <c r="E1611" s="415" t="s">
        <v>186</v>
      </c>
      <c r="F1611" s="425">
        <v>27.12</v>
      </c>
      <c r="G1611" s="427" t="s">
        <v>1619</v>
      </c>
      <c r="H1611" s="415" t="s">
        <v>309</v>
      </c>
      <c r="I1611" s="398" t="s">
        <v>1461</v>
      </c>
      <c r="J1611" s="418" t="s">
        <v>310</v>
      </c>
      <c r="K1611" s="418" t="s">
        <v>1220</v>
      </c>
      <c r="L1611" s="399" t="s">
        <v>1368</v>
      </c>
      <c r="M1611" s="415" t="s">
        <v>310</v>
      </c>
      <c r="N1611" s="414">
        <v>44638</v>
      </c>
      <c r="O1611" s="414" t="s">
        <v>400</v>
      </c>
      <c r="P1611" s="222">
        <f t="shared" si="104"/>
        <v>3</v>
      </c>
      <c r="Q1611" s="222">
        <f t="shared" si="105"/>
        <v>1</v>
      </c>
      <c r="R1611" s="532" t="str">
        <f t="shared" si="106"/>
        <v>Gastos_Gerais</v>
      </c>
      <c r="S1611" s="467" t="s">
        <v>310</v>
      </c>
      <c r="T1611" s="467" t="s">
        <v>310</v>
      </c>
      <c r="U1611" s="496"/>
      <c r="V1611" s="496"/>
      <c r="W1611" s="496"/>
    </row>
    <row r="1612" spans="1:23" ht="24" x14ac:dyDescent="0.2">
      <c r="A1612" s="510">
        <f t="shared" si="107"/>
        <v>1609</v>
      </c>
      <c r="B1612" s="428">
        <v>44638</v>
      </c>
      <c r="C1612" s="424">
        <v>44562</v>
      </c>
      <c r="D1612" s="415" t="s">
        <v>182</v>
      </c>
      <c r="E1612" s="415" t="s">
        <v>1</v>
      </c>
      <c r="F1612" s="425">
        <v>11.09</v>
      </c>
      <c r="G1612" s="427" t="s">
        <v>2317</v>
      </c>
      <c r="H1612" s="415" t="s">
        <v>310</v>
      </c>
      <c r="I1612" s="398" t="s">
        <v>1461</v>
      </c>
      <c r="J1612" s="418" t="s">
        <v>310</v>
      </c>
      <c r="K1612" s="418" t="s">
        <v>1220</v>
      </c>
      <c r="L1612" s="399" t="s">
        <v>1368</v>
      </c>
      <c r="M1612" s="415" t="s">
        <v>310</v>
      </c>
      <c r="N1612" s="414">
        <v>44638</v>
      </c>
      <c r="O1612" s="414" t="s">
        <v>400</v>
      </c>
      <c r="P1612" s="222">
        <f t="shared" si="104"/>
        <v>3</v>
      </c>
      <c r="Q1612" s="222">
        <f t="shared" si="105"/>
        <v>1</v>
      </c>
      <c r="R1612" s="532" t="str">
        <f t="shared" si="106"/>
        <v>Gastos_com_Pessoal</v>
      </c>
      <c r="S1612" s="467" t="s">
        <v>310</v>
      </c>
      <c r="T1612" s="467" t="s">
        <v>310</v>
      </c>
      <c r="U1612" s="496"/>
      <c r="V1612" s="496"/>
      <c r="W1612" s="496"/>
    </row>
    <row r="1613" spans="1:23" ht="52.5" customHeight="1" x14ac:dyDescent="0.2">
      <c r="A1613" s="510">
        <f t="shared" si="107"/>
        <v>1610</v>
      </c>
      <c r="B1613" s="428">
        <v>44638</v>
      </c>
      <c r="C1613" s="424">
        <v>44562</v>
      </c>
      <c r="D1613" s="415" t="s">
        <v>271</v>
      </c>
      <c r="E1613" s="415" t="s">
        <v>2</v>
      </c>
      <c r="F1613" s="435">
        <v>1881</v>
      </c>
      <c r="G1613" s="437" t="s">
        <v>494</v>
      </c>
      <c r="H1613" s="434" t="s">
        <v>309</v>
      </c>
      <c r="I1613" s="398" t="s">
        <v>1461</v>
      </c>
      <c r="J1613" s="415" t="s">
        <v>310</v>
      </c>
      <c r="K1613" s="418" t="s">
        <v>1220</v>
      </c>
      <c r="L1613" s="415" t="s">
        <v>1368</v>
      </c>
      <c r="M1613" s="415" t="s">
        <v>310</v>
      </c>
      <c r="N1613" s="414">
        <v>44638</v>
      </c>
      <c r="O1613" s="414" t="s">
        <v>400</v>
      </c>
      <c r="P1613" s="222">
        <f t="shared" si="104"/>
        <v>3</v>
      </c>
      <c r="Q1613" s="222">
        <f t="shared" si="105"/>
        <v>1</v>
      </c>
      <c r="R1613" s="532" t="str">
        <f t="shared" si="106"/>
        <v>Gastos_Gerais</v>
      </c>
      <c r="S1613" s="467" t="s">
        <v>310</v>
      </c>
      <c r="T1613" s="467" t="s">
        <v>310</v>
      </c>
      <c r="U1613" s="496"/>
      <c r="V1613" s="496"/>
      <c r="W1613" s="496"/>
    </row>
    <row r="1614" spans="1:23" ht="36" x14ac:dyDescent="0.2">
      <c r="A1614" s="510">
        <f t="shared" si="107"/>
        <v>1611</v>
      </c>
      <c r="B1614" s="428">
        <v>44638</v>
      </c>
      <c r="C1614" s="424">
        <v>44621</v>
      </c>
      <c r="D1614" s="415" t="s">
        <v>271</v>
      </c>
      <c r="E1614" s="415" t="s">
        <v>71</v>
      </c>
      <c r="F1614" s="425">
        <v>11</v>
      </c>
      <c r="G1614" s="427" t="s">
        <v>2319</v>
      </c>
      <c r="H1614" s="415" t="s">
        <v>760</v>
      </c>
      <c r="I1614" s="398" t="s">
        <v>881</v>
      </c>
      <c r="J1614" s="418" t="s">
        <v>882</v>
      </c>
      <c r="K1614" s="418" t="s">
        <v>883</v>
      </c>
      <c r="L1614" s="399" t="s">
        <v>798</v>
      </c>
      <c r="M1614" s="544" t="s">
        <v>310</v>
      </c>
      <c r="N1614" s="414">
        <v>44638</v>
      </c>
      <c r="O1614" s="414" t="s">
        <v>400</v>
      </c>
      <c r="P1614" s="222">
        <f t="shared" si="104"/>
        <v>3</v>
      </c>
      <c r="Q1614" s="222">
        <f t="shared" si="105"/>
        <v>3</v>
      </c>
      <c r="R1614" s="532" t="str">
        <f t="shared" si="106"/>
        <v>Gastos_Gerais</v>
      </c>
      <c r="S1614" s="467" t="s">
        <v>310</v>
      </c>
      <c r="T1614" s="467" t="s">
        <v>310</v>
      </c>
      <c r="U1614" s="496"/>
      <c r="V1614" s="496"/>
      <c r="W1614" s="496"/>
    </row>
    <row r="1615" spans="1:23" ht="60" x14ac:dyDescent="0.2">
      <c r="A1615" s="510">
        <f t="shared" si="107"/>
        <v>1612</v>
      </c>
      <c r="B1615" s="428">
        <v>44638</v>
      </c>
      <c r="C1615" s="424">
        <v>44562</v>
      </c>
      <c r="D1615" s="415" t="s">
        <v>468</v>
      </c>
      <c r="E1615" s="415" t="s">
        <v>468</v>
      </c>
      <c r="F1615" s="425">
        <v>1550</v>
      </c>
      <c r="G1615" s="427" t="s">
        <v>2982</v>
      </c>
      <c r="H1615" s="415" t="s">
        <v>468</v>
      </c>
      <c r="I1615" s="398" t="s">
        <v>1461</v>
      </c>
      <c r="J1615" s="415" t="s">
        <v>310</v>
      </c>
      <c r="K1615" s="415" t="s">
        <v>1220</v>
      </c>
      <c r="L1615" s="415" t="s">
        <v>1368</v>
      </c>
      <c r="M1615" s="415" t="s">
        <v>310</v>
      </c>
      <c r="N1615" s="414">
        <v>44638</v>
      </c>
      <c r="O1615" s="414" t="s">
        <v>405</v>
      </c>
      <c r="P1615" s="222">
        <f t="shared" si="104"/>
        <v>3</v>
      </c>
      <c r="Q1615" s="222">
        <f t="shared" si="105"/>
        <v>1</v>
      </c>
      <c r="R1615" s="532" t="str">
        <f t="shared" si="106"/>
        <v>Gastos_custeados_por_captação</v>
      </c>
      <c r="S1615" s="467" t="s">
        <v>310</v>
      </c>
      <c r="T1615" s="467" t="s">
        <v>310</v>
      </c>
      <c r="U1615" s="496"/>
      <c r="V1615" s="496"/>
      <c r="W1615" s="496"/>
    </row>
    <row r="1616" spans="1:23" ht="48" x14ac:dyDescent="0.2">
      <c r="A1616" s="510">
        <f t="shared" si="107"/>
        <v>1613</v>
      </c>
      <c r="B1616" s="428">
        <v>44638</v>
      </c>
      <c r="C1616" s="424">
        <v>44562</v>
      </c>
      <c r="D1616" s="415" t="s">
        <v>468</v>
      </c>
      <c r="E1616" s="415" t="s">
        <v>468</v>
      </c>
      <c r="F1616" s="459">
        <v>2170</v>
      </c>
      <c r="G1616" s="427" t="s">
        <v>3095</v>
      </c>
      <c r="H1616" s="415" t="s">
        <v>468</v>
      </c>
      <c r="I1616" s="473" t="s">
        <v>795</v>
      </c>
      <c r="J1616" s="415" t="s">
        <v>796</v>
      </c>
      <c r="K1616" s="415" t="s">
        <v>797</v>
      </c>
      <c r="L1616" s="415" t="s">
        <v>798</v>
      </c>
      <c r="M1616" s="415" t="s">
        <v>310</v>
      </c>
      <c r="N1616" s="414">
        <v>44638</v>
      </c>
      <c r="O1616" s="414" t="s">
        <v>408</v>
      </c>
      <c r="P1616" s="222">
        <f t="shared" si="104"/>
        <v>3</v>
      </c>
      <c r="Q1616" s="222">
        <f t="shared" si="105"/>
        <v>1</v>
      </c>
      <c r="R1616" s="532" t="str">
        <f t="shared" si="106"/>
        <v>Gastos_custeados_por_captação</v>
      </c>
      <c r="S1616" s="467" t="s">
        <v>310</v>
      </c>
      <c r="T1616" s="467" t="s">
        <v>310</v>
      </c>
      <c r="U1616" s="496"/>
      <c r="V1616" s="496"/>
      <c r="W1616" s="496"/>
    </row>
    <row r="1617" spans="1:23" ht="36" x14ac:dyDescent="0.2">
      <c r="A1617" s="510">
        <f t="shared" si="107"/>
        <v>1614</v>
      </c>
      <c r="B1617" s="428">
        <v>44638</v>
      </c>
      <c r="C1617" s="424">
        <v>44593</v>
      </c>
      <c r="D1617" s="415" t="s">
        <v>468</v>
      </c>
      <c r="E1617" s="415" t="s">
        <v>468</v>
      </c>
      <c r="F1617" s="459">
        <v>236.65</v>
      </c>
      <c r="G1617" s="427" t="s">
        <v>3096</v>
      </c>
      <c r="H1617" s="415" t="s">
        <v>468</v>
      </c>
      <c r="I1617" s="398" t="s">
        <v>1461</v>
      </c>
      <c r="J1617" s="415" t="s">
        <v>310</v>
      </c>
      <c r="K1617" s="415" t="s">
        <v>1220</v>
      </c>
      <c r="L1617" s="415" t="s">
        <v>1368</v>
      </c>
      <c r="M1617" s="415" t="s">
        <v>310</v>
      </c>
      <c r="N1617" s="414">
        <v>44638</v>
      </c>
      <c r="O1617" s="414" t="s">
        <v>408</v>
      </c>
      <c r="P1617" s="222">
        <f t="shared" si="104"/>
        <v>3</v>
      </c>
      <c r="Q1617" s="222">
        <f t="shared" si="105"/>
        <v>2</v>
      </c>
      <c r="R1617" s="532" t="str">
        <f t="shared" si="106"/>
        <v>Gastos_custeados_por_captação</v>
      </c>
      <c r="S1617" s="467" t="s">
        <v>310</v>
      </c>
      <c r="T1617" s="467" t="s">
        <v>310</v>
      </c>
      <c r="U1617" s="496"/>
      <c r="V1617" s="496"/>
      <c r="W1617" s="496"/>
    </row>
    <row r="1618" spans="1:23" ht="108" x14ac:dyDescent="0.2">
      <c r="A1618" s="510">
        <f t="shared" si="107"/>
        <v>1615</v>
      </c>
      <c r="B1618" s="428">
        <v>44638</v>
      </c>
      <c r="C1618" s="431">
        <v>44593</v>
      </c>
      <c r="D1618" s="415" t="s">
        <v>468</v>
      </c>
      <c r="E1618" s="415" t="s">
        <v>468</v>
      </c>
      <c r="F1618" s="459">
        <v>3180.8</v>
      </c>
      <c r="G1618" s="427" t="s">
        <v>1736</v>
      </c>
      <c r="H1618" s="415" t="s">
        <v>468</v>
      </c>
      <c r="I1618" s="398" t="s">
        <v>2990</v>
      </c>
      <c r="J1618" s="415" t="s">
        <v>1735</v>
      </c>
      <c r="K1618" s="415" t="s">
        <v>830</v>
      </c>
      <c r="L1618" s="415" t="s">
        <v>839</v>
      </c>
      <c r="M1618" s="415">
        <v>1637</v>
      </c>
      <c r="N1618" s="414">
        <v>44638</v>
      </c>
      <c r="O1618" s="414" t="s">
        <v>408</v>
      </c>
      <c r="P1618" s="222">
        <f t="shared" si="104"/>
        <v>3</v>
      </c>
      <c r="Q1618" s="222">
        <f t="shared" si="105"/>
        <v>2</v>
      </c>
      <c r="R1618" s="532" t="str">
        <f t="shared" si="106"/>
        <v>Gastos_custeados_por_captação</v>
      </c>
      <c r="S1618" s="467" t="s">
        <v>1000</v>
      </c>
      <c r="T1618" s="467">
        <v>2759</v>
      </c>
      <c r="U1618" s="496"/>
      <c r="V1618" s="496"/>
      <c r="W1618" s="496"/>
    </row>
    <row r="1619" spans="1:23" ht="36" x14ac:dyDescent="0.2">
      <c r="A1619" s="510">
        <f t="shared" si="107"/>
        <v>1616</v>
      </c>
      <c r="B1619" s="428">
        <v>44638</v>
      </c>
      <c r="C1619" s="424">
        <v>44621</v>
      </c>
      <c r="D1619" s="415" t="s">
        <v>468</v>
      </c>
      <c r="E1619" s="415" t="s">
        <v>468</v>
      </c>
      <c r="F1619" s="459">
        <v>11</v>
      </c>
      <c r="G1619" s="427" t="s">
        <v>2469</v>
      </c>
      <c r="H1619" s="415" t="s">
        <v>468</v>
      </c>
      <c r="I1619" s="398" t="s">
        <v>881</v>
      </c>
      <c r="J1619" s="418" t="s">
        <v>882</v>
      </c>
      <c r="K1619" s="418" t="s">
        <v>883</v>
      </c>
      <c r="L1619" s="399" t="s">
        <v>798</v>
      </c>
      <c r="M1619" s="544" t="s">
        <v>310</v>
      </c>
      <c r="N1619" s="414">
        <v>44638</v>
      </c>
      <c r="O1619" s="414" t="s">
        <v>408</v>
      </c>
      <c r="P1619" s="222">
        <f t="shared" si="104"/>
        <v>3</v>
      </c>
      <c r="Q1619" s="222">
        <f t="shared" si="105"/>
        <v>3</v>
      </c>
      <c r="R1619" s="532" t="str">
        <f t="shared" si="106"/>
        <v>Gastos_custeados_por_captação</v>
      </c>
      <c r="S1619" s="467" t="s">
        <v>310</v>
      </c>
      <c r="T1619" s="467" t="s">
        <v>310</v>
      </c>
      <c r="U1619" s="496"/>
      <c r="V1619" s="496"/>
      <c r="W1619" s="496"/>
    </row>
    <row r="1620" spans="1:23" ht="36" x14ac:dyDescent="0.2">
      <c r="A1620" s="510">
        <f t="shared" si="107"/>
        <v>1617</v>
      </c>
      <c r="B1620" s="428">
        <v>44638</v>
      </c>
      <c r="C1620" s="424">
        <v>44593</v>
      </c>
      <c r="D1620" s="415" t="s">
        <v>271</v>
      </c>
      <c r="E1620" s="415" t="s">
        <v>1791</v>
      </c>
      <c r="F1620" s="425">
        <v>1200</v>
      </c>
      <c r="G1620" s="427" t="s">
        <v>1806</v>
      </c>
      <c r="H1620" s="415" t="s">
        <v>760</v>
      </c>
      <c r="I1620" s="473" t="s">
        <v>2304</v>
      </c>
      <c r="J1620" s="415" t="s">
        <v>1807</v>
      </c>
      <c r="K1620" s="415" t="s">
        <v>830</v>
      </c>
      <c r="L1620" s="415" t="s">
        <v>807</v>
      </c>
      <c r="M1620" s="415" t="s">
        <v>848</v>
      </c>
      <c r="N1620" s="414">
        <v>44637</v>
      </c>
      <c r="O1620" s="414" t="s">
        <v>400</v>
      </c>
      <c r="P1620" s="222">
        <f t="shared" si="104"/>
        <v>3</v>
      </c>
      <c r="Q1620" s="222">
        <f t="shared" si="105"/>
        <v>2</v>
      </c>
      <c r="R1620" s="532" t="str">
        <f t="shared" si="106"/>
        <v>Gastos_Gerais</v>
      </c>
      <c r="S1620" s="467" t="s">
        <v>998</v>
      </c>
      <c r="T1620" s="467">
        <v>2808</v>
      </c>
      <c r="U1620" s="496"/>
      <c r="V1620" s="496"/>
      <c r="W1620" s="496"/>
    </row>
    <row r="1621" spans="1:23" ht="84" x14ac:dyDescent="0.2">
      <c r="A1621" s="510">
        <f t="shared" si="107"/>
        <v>1618</v>
      </c>
      <c r="B1621" s="428">
        <v>44638</v>
      </c>
      <c r="C1621" s="424">
        <v>44621</v>
      </c>
      <c r="D1621" s="415" t="s">
        <v>468</v>
      </c>
      <c r="E1621" s="415" t="s">
        <v>468</v>
      </c>
      <c r="F1621" s="425">
        <v>1008</v>
      </c>
      <c r="G1621" s="427" t="s">
        <v>1262</v>
      </c>
      <c r="H1621" s="415" t="s">
        <v>468</v>
      </c>
      <c r="I1621" s="554" t="s">
        <v>2692</v>
      </c>
      <c r="J1621" s="470" t="s">
        <v>1261</v>
      </c>
      <c r="K1621" s="415" t="s">
        <v>806</v>
      </c>
      <c r="L1621" s="415" t="s">
        <v>839</v>
      </c>
      <c r="M1621" s="415">
        <v>1635</v>
      </c>
      <c r="N1621" s="414">
        <v>44637</v>
      </c>
      <c r="O1621" s="414" t="s">
        <v>404</v>
      </c>
      <c r="P1621" s="222">
        <f t="shared" si="104"/>
        <v>3</v>
      </c>
      <c r="Q1621" s="222">
        <f t="shared" si="105"/>
        <v>3</v>
      </c>
      <c r="R1621" s="532" t="str">
        <f t="shared" si="106"/>
        <v>Gastos_custeados_por_captação</v>
      </c>
      <c r="S1621" s="467" t="s">
        <v>998</v>
      </c>
      <c r="T1621" s="467">
        <v>2828</v>
      </c>
      <c r="U1621" s="496"/>
      <c r="V1621" s="496"/>
      <c r="W1621" s="496"/>
    </row>
    <row r="1622" spans="1:23" ht="72" x14ac:dyDescent="0.2">
      <c r="A1622" s="510">
        <f t="shared" si="107"/>
        <v>1619</v>
      </c>
      <c r="B1622" s="428">
        <v>44638</v>
      </c>
      <c r="C1622" s="424">
        <v>44621</v>
      </c>
      <c r="D1622" s="415" t="s">
        <v>468</v>
      </c>
      <c r="E1622" s="415" t="s">
        <v>468</v>
      </c>
      <c r="F1622" s="425">
        <v>1344</v>
      </c>
      <c r="G1622" s="427" t="s">
        <v>2835</v>
      </c>
      <c r="H1622" s="415" t="s">
        <v>468</v>
      </c>
      <c r="I1622" s="554" t="s">
        <v>1226</v>
      </c>
      <c r="J1622" s="470" t="s">
        <v>1061</v>
      </c>
      <c r="K1622" s="415" t="s">
        <v>806</v>
      </c>
      <c r="L1622" s="415" t="s">
        <v>839</v>
      </c>
      <c r="M1622" s="415">
        <v>1634</v>
      </c>
      <c r="N1622" s="414">
        <v>44637</v>
      </c>
      <c r="O1622" s="414" t="s">
        <v>404</v>
      </c>
      <c r="P1622" s="222">
        <f t="shared" si="104"/>
        <v>3</v>
      </c>
      <c r="Q1622" s="222">
        <f t="shared" si="105"/>
        <v>3</v>
      </c>
      <c r="R1622" s="532" t="str">
        <f t="shared" si="106"/>
        <v>Gastos_custeados_por_captação</v>
      </c>
      <c r="S1622" s="467" t="s">
        <v>998</v>
      </c>
      <c r="T1622" s="467">
        <v>2845</v>
      </c>
      <c r="U1622" s="496"/>
      <c r="V1622" s="496"/>
      <c r="W1622" s="496"/>
    </row>
    <row r="1623" spans="1:23" ht="72" x14ac:dyDescent="0.2">
      <c r="A1623" s="510">
        <f t="shared" si="107"/>
        <v>1620</v>
      </c>
      <c r="B1623" s="428">
        <v>44638</v>
      </c>
      <c r="C1623" s="424">
        <v>44621</v>
      </c>
      <c r="D1623" s="415" t="s">
        <v>468</v>
      </c>
      <c r="E1623" s="415" t="s">
        <v>468</v>
      </c>
      <c r="F1623" s="425">
        <v>1008</v>
      </c>
      <c r="G1623" s="427" t="s">
        <v>1258</v>
      </c>
      <c r="H1623" s="415" t="s">
        <v>468</v>
      </c>
      <c r="I1623" s="554" t="s">
        <v>2693</v>
      </c>
      <c r="J1623" s="470" t="s">
        <v>1259</v>
      </c>
      <c r="K1623" s="415" t="s">
        <v>806</v>
      </c>
      <c r="L1623" s="415" t="s">
        <v>839</v>
      </c>
      <c r="M1623" s="415">
        <v>1629</v>
      </c>
      <c r="N1623" s="414">
        <v>44636</v>
      </c>
      <c r="O1623" s="414" t="s">
        <v>404</v>
      </c>
      <c r="P1623" s="222">
        <f t="shared" si="104"/>
        <v>3</v>
      </c>
      <c r="Q1623" s="222">
        <f t="shared" si="105"/>
        <v>3</v>
      </c>
      <c r="R1623" s="532" t="str">
        <f t="shared" si="106"/>
        <v>Gastos_custeados_por_captação</v>
      </c>
      <c r="S1623" s="467" t="s">
        <v>998</v>
      </c>
      <c r="T1623" s="467">
        <v>2827</v>
      </c>
      <c r="U1623" s="496"/>
      <c r="V1623" s="496"/>
      <c r="W1623" s="496"/>
    </row>
    <row r="1624" spans="1:23" ht="24" x14ac:dyDescent="0.2">
      <c r="A1624" s="510">
        <f t="shared" si="107"/>
        <v>1621</v>
      </c>
      <c r="B1624" s="428">
        <v>44638</v>
      </c>
      <c r="C1624" s="431">
        <v>44593</v>
      </c>
      <c r="D1624" s="415" t="s">
        <v>271</v>
      </c>
      <c r="E1624" s="415" t="s">
        <v>84</v>
      </c>
      <c r="F1624" s="425">
        <v>138.31</v>
      </c>
      <c r="G1624" s="437" t="s">
        <v>2314</v>
      </c>
      <c r="H1624" s="415" t="s">
        <v>309</v>
      </c>
      <c r="I1624" s="474" t="s">
        <v>766</v>
      </c>
      <c r="J1624" s="415" t="s">
        <v>1019</v>
      </c>
      <c r="K1624" s="415" t="s">
        <v>1392</v>
      </c>
      <c r="L1624" s="399" t="s">
        <v>1372</v>
      </c>
      <c r="M1624" s="415" t="s">
        <v>2315</v>
      </c>
      <c r="N1624" s="414">
        <v>44622</v>
      </c>
      <c r="O1624" s="414" t="s">
        <v>400</v>
      </c>
      <c r="P1624" s="222">
        <f t="shared" si="104"/>
        <v>3</v>
      </c>
      <c r="Q1624" s="222">
        <f t="shared" si="105"/>
        <v>2</v>
      </c>
      <c r="R1624" s="532" t="str">
        <f t="shared" si="106"/>
        <v>Gastos_Gerais</v>
      </c>
      <c r="S1624" s="467" t="s">
        <v>310</v>
      </c>
      <c r="T1624" s="467" t="s">
        <v>310</v>
      </c>
      <c r="U1624" s="496"/>
      <c r="V1624" s="496"/>
      <c r="W1624" s="496"/>
    </row>
    <row r="1625" spans="1:23" ht="24" x14ac:dyDescent="0.2">
      <c r="A1625" s="510">
        <f t="shared" si="107"/>
        <v>1622</v>
      </c>
      <c r="B1625" s="428">
        <v>44638</v>
      </c>
      <c r="C1625" s="431">
        <v>44593</v>
      </c>
      <c r="D1625" s="415" t="s">
        <v>271</v>
      </c>
      <c r="E1625" s="415" t="s">
        <v>183</v>
      </c>
      <c r="F1625" s="425">
        <v>352.97</v>
      </c>
      <c r="G1625" s="437" t="s">
        <v>1432</v>
      </c>
      <c r="H1625" s="434" t="s">
        <v>309</v>
      </c>
      <c r="I1625" s="474" t="s">
        <v>768</v>
      </c>
      <c r="J1625" s="434" t="s">
        <v>1021</v>
      </c>
      <c r="K1625" s="418" t="s">
        <v>812</v>
      </c>
      <c r="L1625" s="399" t="s">
        <v>1372</v>
      </c>
      <c r="M1625" s="544" t="s">
        <v>2316</v>
      </c>
      <c r="N1625" s="414">
        <v>44621</v>
      </c>
      <c r="O1625" s="414" t="s">
        <v>400</v>
      </c>
      <c r="P1625" s="222">
        <f t="shared" si="104"/>
        <v>3</v>
      </c>
      <c r="Q1625" s="222">
        <f t="shared" si="105"/>
        <v>2</v>
      </c>
      <c r="R1625" s="532" t="str">
        <f t="shared" si="106"/>
        <v>Gastos_Gerais</v>
      </c>
      <c r="S1625" s="467" t="s">
        <v>310</v>
      </c>
      <c r="T1625" s="467" t="s">
        <v>310</v>
      </c>
      <c r="U1625" s="496"/>
      <c r="V1625" s="496"/>
      <c r="W1625" s="496"/>
    </row>
    <row r="1626" spans="1:23" ht="60" x14ac:dyDescent="0.2">
      <c r="A1626" s="510">
        <f t="shared" si="107"/>
        <v>1623</v>
      </c>
      <c r="B1626" s="428">
        <v>44638</v>
      </c>
      <c r="C1626" s="424">
        <v>44562</v>
      </c>
      <c r="D1626" s="415" t="s">
        <v>468</v>
      </c>
      <c r="E1626" s="415" t="s">
        <v>468</v>
      </c>
      <c r="F1626" s="425">
        <v>272.8</v>
      </c>
      <c r="G1626" s="427" t="s">
        <v>3216</v>
      </c>
      <c r="H1626" s="415" t="s">
        <v>468</v>
      </c>
      <c r="I1626" s="473" t="s">
        <v>795</v>
      </c>
      <c r="J1626" s="415" t="s">
        <v>796</v>
      </c>
      <c r="K1626" s="415" t="s">
        <v>806</v>
      </c>
      <c r="L1626" s="415" t="s">
        <v>798</v>
      </c>
      <c r="M1626" s="415" t="s">
        <v>310</v>
      </c>
      <c r="N1626" s="414">
        <v>44638</v>
      </c>
      <c r="O1626" s="414" t="s">
        <v>404</v>
      </c>
      <c r="P1626" s="222">
        <f t="shared" si="104"/>
        <v>3</v>
      </c>
      <c r="Q1626" s="222">
        <f t="shared" si="105"/>
        <v>1</v>
      </c>
      <c r="R1626" s="532" t="str">
        <f t="shared" si="106"/>
        <v>Gastos_custeados_por_captação</v>
      </c>
      <c r="S1626" s="467" t="s">
        <v>310</v>
      </c>
      <c r="T1626" s="467" t="s">
        <v>310</v>
      </c>
      <c r="U1626" s="496"/>
      <c r="V1626" s="496"/>
      <c r="W1626" s="496"/>
    </row>
    <row r="1627" spans="1:23" ht="60" x14ac:dyDescent="0.2">
      <c r="A1627" s="510">
        <f t="shared" si="107"/>
        <v>1624</v>
      </c>
      <c r="B1627" s="428">
        <v>44638</v>
      </c>
      <c r="C1627" s="424">
        <v>44562</v>
      </c>
      <c r="D1627" s="415" t="s">
        <v>468</v>
      </c>
      <c r="E1627" s="415" t="s">
        <v>468</v>
      </c>
      <c r="F1627" s="425">
        <v>1860</v>
      </c>
      <c r="G1627" s="427" t="s">
        <v>3217</v>
      </c>
      <c r="H1627" s="415" t="s">
        <v>468</v>
      </c>
      <c r="I1627" s="473" t="s">
        <v>795</v>
      </c>
      <c r="J1627" s="415" t="s">
        <v>796</v>
      </c>
      <c r="K1627" s="415" t="s">
        <v>806</v>
      </c>
      <c r="L1627" s="415" t="s">
        <v>798</v>
      </c>
      <c r="M1627" s="415" t="s">
        <v>310</v>
      </c>
      <c r="N1627" s="414">
        <v>44638</v>
      </c>
      <c r="O1627" s="414" t="s">
        <v>404</v>
      </c>
      <c r="P1627" s="222">
        <f t="shared" ref="P1627:P1639" si="108">IF(B1627=0,0,IF(YEAR(B1627)=$Q$1,MONTH(B1627)-$P$1+1,(YEAR(B1627)-$Q$1)*12-$P$1+1+MONTH(B1627)))</f>
        <v>3</v>
      </c>
      <c r="Q1627" s="222">
        <f t="shared" ref="Q1627:Q1639" si="109">IF(C1627=0,0,IF(YEAR(C1627)=$Q$1,MONTH(C1627)-$P$1+1,(YEAR(C1627)-$Q$1)*12-$P$1+1+MONTH(C1627)))</f>
        <v>1</v>
      </c>
      <c r="R1627" s="532" t="str">
        <f t="shared" ref="R1627:R1639" si="110">SUBSTITUTE(D1627," ","_")</f>
        <v>Gastos_custeados_por_captação</v>
      </c>
      <c r="S1627" s="467" t="s">
        <v>310</v>
      </c>
      <c r="T1627" s="467" t="s">
        <v>310</v>
      </c>
      <c r="U1627" s="496"/>
      <c r="V1627" s="496"/>
      <c r="W1627" s="496"/>
    </row>
    <row r="1628" spans="1:23" ht="60" x14ac:dyDescent="0.2">
      <c r="A1628" s="510">
        <f t="shared" si="107"/>
        <v>1625</v>
      </c>
      <c r="B1628" s="428">
        <v>44638</v>
      </c>
      <c r="C1628" s="424">
        <v>44562</v>
      </c>
      <c r="D1628" s="415" t="s">
        <v>468</v>
      </c>
      <c r="E1628" s="415" t="s">
        <v>468</v>
      </c>
      <c r="F1628" s="425">
        <v>744</v>
      </c>
      <c r="G1628" s="427" t="s">
        <v>3218</v>
      </c>
      <c r="H1628" s="415" t="s">
        <v>468</v>
      </c>
      <c r="I1628" s="473" t="s">
        <v>795</v>
      </c>
      <c r="J1628" s="415" t="s">
        <v>796</v>
      </c>
      <c r="K1628" s="415" t="s">
        <v>806</v>
      </c>
      <c r="L1628" s="415" t="s">
        <v>798</v>
      </c>
      <c r="M1628" s="415" t="s">
        <v>310</v>
      </c>
      <c r="N1628" s="414">
        <v>44638</v>
      </c>
      <c r="O1628" s="414" t="s">
        <v>404</v>
      </c>
      <c r="P1628" s="222">
        <f t="shared" si="108"/>
        <v>3</v>
      </c>
      <c r="Q1628" s="222">
        <f t="shared" si="109"/>
        <v>1</v>
      </c>
      <c r="R1628" s="532" t="str">
        <f t="shared" si="110"/>
        <v>Gastos_custeados_por_captação</v>
      </c>
      <c r="S1628" s="467" t="s">
        <v>310</v>
      </c>
      <c r="T1628" s="467" t="s">
        <v>310</v>
      </c>
      <c r="U1628" s="496"/>
      <c r="V1628" s="496"/>
      <c r="W1628" s="496"/>
    </row>
    <row r="1629" spans="1:23" ht="60" x14ac:dyDescent="0.2">
      <c r="A1629" s="510">
        <f t="shared" si="107"/>
        <v>1626</v>
      </c>
      <c r="B1629" s="428">
        <v>44638</v>
      </c>
      <c r="C1629" s="424">
        <v>44562</v>
      </c>
      <c r="D1629" s="415" t="s">
        <v>468</v>
      </c>
      <c r="E1629" s="415" t="s">
        <v>468</v>
      </c>
      <c r="F1629" s="425">
        <v>744</v>
      </c>
      <c r="G1629" s="427" t="s">
        <v>3219</v>
      </c>
      <c r="H1629" s="415" t="s">
        <v>468</v>
      </c>
      <c r="I1629" s="473" t="s">
        <v>795</v>
      </c>
      <c r="J1629" s="415" t="s">
        <v>796</v>
      </c>
      <c r="K1629" s="415" t="s">
        <v>806</v>
      </c>
      <c r="L1629" s="415" t="s">
        <v>798</v>
      </c>
      <c r="M1629" s="415" t="s">
        <v>310</v>
      </c>
      <c r="N1629" s="414">
        <v>44638</v>
      </c>
      <c r="O1629" s="414" t="s">
        <v>404</v>
      </c>
      <c r="P1629" s="222">
        <f t="shared" si="108"/>
        <v>3</v>
      </c>
      <c r="Q1629" s="222">
        <f t="shared" si="109"/>
        <v>1</v>
      </c>
      <c r="R1629" s="532" t="str">
        <f t="shared" si="110"/>
        <v>Gastos_custeados_por_captação</v>
      </c>
      <c r="S1629" s="467" t="s">
        <v>310</v>
      </c>
      <c r="T1629" s="467" t="s">
        <v>310</v>
      </c>
      <c r="U1629" s="496"/>
      <c r="V1629" s="496"/>
      <c r="W1629" s="496"/>
    </row>
    <row r="1630" spans="1:23" ht="60" x14ac:dyDescent="0.2">
      <c r="A1630" s="510">
        <f t="shared" si="107"/>
        <v>1627</v>
      </c>
      <c r="B1630" s="428">
        <v>44638</v>
      </c>
      <c r="C1630" s="424">
        <v>44562</v>
      </c>
      <c r="D1630" s="415" t="s">
        <v>468</v>
      </c>
      <c r="E1630" s="415" t="s">
        <v>468</v>
      </c>
      <c r="F1630" s="425">
        <v>744</v>
      </c>
      <c r="G1630" s="427" t="s">
        <v>3220</v>
      </c>
      <c r="H1630" s="415" t="s">
        <v>468</v>
      </c>
      <c r="I1630" s="473" t="s">
        <v>795</v>
      </c>
      <c r="J1630" s="415" t="s">
        <v>796</v>
      </c>
      <c r="K1630" s="415" t="s">
        <v>806</v>
      </c>
      <c r="L1630" s="415" t="s">
        <v>798</v>
      </c>
      <c r="M1630" s="415" t="s">
        <v>310</v>
      </c>
      <c r="N1630" s="414">
        <v>44638</v>
      </c>
      <c r="O1630" s="414" t="s">
        <v>404</v>
      </c>
      <c r="P1630" s="222">
        <f t="shared" si="108"/>
        <v>3</v>
      </c>
      <c r="Q1630" s="222">
        <f t="shared" si="109"/>
        <v>1</v>
      </c>
      <c r="R1630" s="532" t="str">
        <f t="shared" si="110"/>
        <v>Gastos_custeados_por_captação</v>
      </c>
      <c r="S1630" s="467" t="s">
        <v>310</v>
      </c>
      <c r="T1630" s="467" t="s">
        <v>310</v>
      </c>
      <c r="U1630" s="496"/>
      <c r="V1630" s="496"/>
      <c r="W1630" s="496"/>
    </row>
    <row r="1631" spans="1:23" ht="60" x14ac:dyDescent="0.2">
      <c r="A1631" s="510">
        <f t="shared" si="107"/>
        <v>1628</v>
      </c>
      <c r="B1631" s="428">
        <v>44638</v>
      </c>
      <c r="C1631" s="424">
        <v>44562</v>
      </c>
      <c r="D1631" s="415" t="s">
        <v>468</v>
      </c>
      <c r="E1631" s="415" t="s">
        <v>468</v>
      </c>
      <c r="F1631" s="425">
        <v>744</v>
      </c>
      <c r="G1631" s="427" t="s">
        <v>3221</v>
      </c>
      <c r="H1631" s="415" t="s">
        <v>468</v>
      </c>
      <c r="I1631" s="473" t="s">
        <v>795</v>
      </c>
      <c r="J1631" s="415" t="s">
        <v>796</v>
      </c>
      <c r="K1631" s="415" t="s">
        <v>806</v>
      </c>
      <c r="L1631" s="415" t="s">
        <v>798</v>
      </c>
      <c r="M1631" s="415" t="s">
        <v>310</v>
      </c>
      <c r="N1631" s="414">
        <v>44638</v>
      </c>
      <c r="O1631" s="414" t="s">
        <v>404</v>
      </c>
      <c r="P1631" s="222">
        <f t="shared" si="108"/>
        <v>3</v>
      </c>
      <c r="Q1631" s="222">
        <f t="shared" si="109"/>
        <v>1</v>
      </c>
      <c r="R1631" s="532" t="str">
        <f t="shared" si="110"/>
        <v>Gastos_custeados_por_captação</v>
      </c>
      <c r="S1631" s="467" t="s">
        <v>310</v>
      </c>
      <c r="T1631" s="467" t="s">
        <v>310</v>
      </c>
      <c r="U1631" s="496"/>
      <c r="V1631" s="496"/>
      <c r="W1631" s="496"/>
    </row>
    <row r="1632" spans="1:23" ht="60" x14ac:dyDescent="0.2">
      <c r="A1632" s="510">
        <f t="shared" si="107"/>
        <v>1629</v>
      </c>
      <c r="B1632" s="428">
        <v>44638</v>
      </c>
      <c r="C1632" s="424">
        <v>44562</v>
      </c>
      <c r="D1632" s="415" t="s">
        <v>468</v>
      </c>
      <c r="E1632" s="415" t="s">
        <v>468</v>
      </c>
      <c r="F1632" s="425">
        <v>744</v>
      </c>
      <c r="G1632" s="427" t="s">
        <v>3222</v>
      </c>
      <c r="H1632" s="415" t="s">
        <v>468</v>
      </c>
      <c r="I1632" s="473" t="s">
        <v>795</v>
      </c>
      <c r="J1632" s="415" t="s">
        <v>796</v>
      </c>
      <c r="K1632" s="415" t="s">
        <v>806</v>
      </c>
      <c r="L1632" s="415" t="s">
        <v>798</v>
      </c>
      <c r="M1632" s="415" t="s">
        <v>310</v>
      </c>
      <c r="N1632" s="414">
        <v>44638</v>
      </c>
      <c r="O1632" s="414" t="s">
        <v>404</v>
      </c>
      <c r="P1632" s="222">
        <f t="shared" si="108"/>
        <v>3</v>
      </c>
      <c r="Q1632" s="222">
        <f t="shared" si="109"/>
        <v>1</v>
      </c>
      <c r="R1632" s="532" t="str">
        <f t="shared" si="110"/>
        <v>Gastos_custeados_por_captação</v>
      </c>
      <c r="S1632" s="467" t="s">
        <v>310</v>
      </c>
      <c r="T1632" s="467" t="s">
        <v>310</v>
      </c>
      <c r="U1632" s="496"/>
      <c r="V1632" s="496"/>
      <c r="W1632" s="496"/>
    </row>
    <row r="1633" spans="1:23" ht="60" x14ac:dyDescent="0.2">
      <c r="A1633" s="510">
        <f t="shared" si="107"/>
        <v>1630</v>
      </c>
      <c r="B1633" s="428">
        <v>44638</v>
      </c>
      <c r="C1633" s="424">
        <v>44562</v>
      </c>
      <c r="D1633" s="415" t="s">
        <v>468</v>
      </c>
      <c r="E1633" s="415" t="s">
        <v>468</v>
      </c>
      <c r="F1633" s="425">
        <v>744</v>
      </c>
      <c r="G1633" s="427" t="s">
        <v>3223</v>
      </c>
      <c r="H1633" s="415" t="s">
        <v>468</v>
      </c>
      <c r="I1633" s="473" t="s">
        <v>795</v>
      </c>
      <c r="J1633" s="415" t="s">
        <v>796</v>
      </c>
      <c r="K1633" s="415" t="s">
        <v>806</v>
      </c>
      <c r="L1633" s="415" t="s">
        <v>798</v>
      </c>
      <c r="M1633" s="415" t="s">
        <v>310</v>
      </c>
      <c r="N1633" s="414">
        <v>44638</v>
      </c>
      <c r="O1633" s="414" t="s">
        <v>404</v>
      </c>
      <c r="P1633" s="222">
        <f t="shared" si="108"/>
        <v>3</v>
      </c>
      <c r="Q1633" s="222">
        <f t="shared" si="109"/>
        <v>1</v>
      </c>
      <c r="R1633" s="532" t="str">
        <f t="shared" si="110"/>
        <v>Gastos_custeados_por_captação</v>
      </c>
      <c r="S1633" s="467" t="s">
        <v>310</v>
      </c>
      <c r="T1633" s="467" t="s">
        <v>310</v>
      </c>
      <c r="U1633" s="496"/>
      <c r="V1633" s="496"/>
      <c r="W1633" s="496"/>
    </row>
    <row r="1634" spans="1:23" ht="60" x14ac:dyDescent="0.2">
      <c r="A1634" s="510">
        <f t="shared" si="107"/>
        <v>1631</v>
      </c>
      <c r="B1634" s="428">
        <v>44638</v>
      </c>
      <c r="C1634" s="424">
        <v>44562</v>
      </c>
      <c r="D1634" s="415" t="s">
        <v>468</v>
      </c>
      <c r="E1634" s="415" t="s">
        <v>468</v>
      </c>
      <c r="F1634" s="425">
        <v>599.14</v>
      </c>
      <c r="G1634" s="427" t="s">
        <v>3224</v>
      </c>
      <c r="H1634" s="415" t="s">
        <v>468</v>
      </c>
      <c r="I1634" s="398" t="s">
        <v>1461</v>
      </c>
      <c r="J1634" s="415" t="s">
        <v>310</v>
      </c>
      <c r="K1634" s="415" t="s">
        <v>1220</v>
      </c>
      <c r="L1634" s="415" t="s">
        <v>1368</v>
      </c>
      <c r="M1634" s="415" t="s">
        <v>310</v>
      </c>
      <c r="N1634" s="414">
        <v>44638</v>
      </c>
      <c r="O1634" s="414" t="s">
        <v>404</v>
      </c>
      <c r="P1634" s="222">
        <f t="shared" si="108"/>
        <v>3</v>
      </c>
      <c r="Q1634" s="222">
        <f t="shared" si="109"/>
        <v>1</v>
      </c>
      <c r="R1634" s="532" t="str">
        <f t="shared" si="110"/>
        <v>Gastos_custeados_por_captação</v>
      </c>
      <c r="S1634" s="467" t="s">
        <v>310</v>
      </c>
      <c r="T1634" s="467" t="s">
        <v>310</v>
      </c>
      <c r="U1634" s="496"/>
      <c r="V1634" s="496"/>
      <c r="W1634" s="496"/>
    </row>
    <row r="1635" spans="1:23" ht="60" x14ac:dyDescent="0.2">
      <c r="A1635" s="510">
        <f t="shared" si="107"/>
        <v>1632</v>
      </c>
      <c r="B1635" s="428">
        <v>44638</v>
      </c>
      <c r="C1635" s="424">
        <v>44562</v>
      </c>
      <c r="D1635" s="415" t="s">
        <v>468</v>
      </c>
      <c r="E1635" s="415" t="s">
        <v>468</v>
      </c>
      <c r="F1635" s="425">
        <v>17.399999999999999</v>
      </c>
      <c r="G1635" s="427" t="s">
        <v>3225</v>
      </c>
      <c r="H1635" s="415" t="s">
        <v>468</v>
      </c>
      <c r="I1635" s="398" t="s">
        <v>1461</v>
      </c>
      <c r="J1635" s="415" t="s">
        <v>310</v>
      </c>
      <c r="K1635" s="415" t="s">
        <v>1220</v>
      </c>
      <c r="L1635" s="415" t="s">
        <v>1368</v>
      </c>
      <c r="M1635" s="415" t="s">
        <v>310</v>
      </c>
      <c r="N1635" s="414">
        <v>44638</v>
      </c>
      <c r="O1635" s="414" t="s">
        <v>404</v>
      </c>
      <c r="P1635" s="222">
        <f t="shared" si="108"/>
        <v>3</v>
      </c>
      <c r="Q1635" s="222">
        <f t="shared" si="109"/>
        <v>1</v>
      </c>
      <c r="R1635" s="532" t="str">
        <f t="shared" si="110"/>
        <v>Gastos_custeados_por_captação</v>
      </c>
      <c r="S1635" s="467" t="s">
        <v>310</v>
      </c>
      <c r="T1635" s="467" t="s">
        <v>310</v>
      </c>
      <c r="U1635" s="496"/>
      <c r="V1635" s="496"/>
      <c r="W1635" s="496"/>
    </row>
    <row r="1636" spans="1:23" ht="60" x14ac:dyDescent="0.2">
      <c r="A1636" s="510">
        <f t="shared" si="107"/>
        <v>1633</v>
      </c>
      <c r="B1636" s="428">
        <v>44638</v>
      </c>
      <c r="C1636" s="424">
        <v>44562</v>
      </c>
      <c r="D1636" s="415" t="s">
        <v>468</v>
      </c>
      <c r="E1636" s="415" t="s">
        <v>468</v>
      </c>
      <c r="F1636" s="425">
        <v>17.399999999999999</v>
      </c>
      <c r="G1636" s="427" t="s">
        <v>3226</v>
      </c>
      <c r="H1636" s="415" t="s">
        <v>468</v>
      </c>
      <c r="I1636" s="398" t="s">
        <v>1461</v>
      </c>
      <c r="J1636" s="415" t="s">
        <v>310</v>
      </c>
      <c r="K1636" s="415" t="s">
        <v>1220</v>
      </c>
      <c r="L1636" s="415" t="s">
        <v>1368</v>
      </c>
      <c r="M1636" s="415" t="s">
        <v>310</v>
      </c>
      <c r="N1636" s="414">
        <v>44638</v>
      </c>
      <c r="O1636" s="414" t="s">
        <v>404</v>
      </c>
      <c r="P1636" s="222">
        <f t="shared" si="108"/>
        <v>3</v>
      </c>
      <c r="Q1636" s="222">
        <f t="shared" si="109"/>
        <v>1</v>
      </c>
      <c r="R1636" s="532" t="str">
        <f t="shared" si="110"/>
        <v>Gastos_custeados_por_captação</v>
      </c>
      <c r="S1636" s="467" t="s">
        <v>310</v>
      </c>
      <c r="T1636" s="467" t="s">
        <v>310</v>
      </c>
      <c r="U1636" s="496"/>
      <c r="V1636" s="496"/>
      <c r="W1636" s="496"/>
    </row>
    <row r="1637" spans="1:23" ht="60" x14ac:dyDescent="0.2">
      <c r="A1637" s="510">
        <f t="shared" si="107"/>
        <v>1634</v>
      </c>
      <c r="B1637" s="428">
        <v>44638</v>
      </c>
      <c r="C1637" s="424">
        <v>44562</v>
      </c>
      <c r="D1637" s="415" t="s">
        <v>468</v>
      </c>
      <c r="E1637" s="415" t="s">
        <v>468</v>
      </c>
      <c r="F1637" s="425">
        <v>60.12</v>
      </c>
      <c r="G1637" s="427" t="s">
        <v>3227</v>
      </c>
      <c r="H1637" s="415" t="s">
        <v>468</v>
      </c>
      <c r="I1637" s="398" t="s">
        <v>1461</v>
      </c>
      <c r="J1637" s="415" t="s">
        <v>310</v>
      </c>
      <c r="K1637" s="415" t="s">
        <v>1220</v>
      </c>
      <c r="L1637" s="415" t="s">
        <v>1368</v>
      </c>
      <c r="M1637" s="415" t="s">
        <v>310</v>
      </c>
      <c r="N1637" s="414">
        <v>44638</v>
      </c>
      <c r="O1637" s="414" t="s">
        <v>404</v>
      </c>
      <c r="P1637" s="222">
        <f t="shared" si="108"/>
        <v>3</v>
      </c>
      <c r="Q1637" s="222">
        <f t="shared" si="109"/>
        <v>1</v>
      </c>
      <c r="R1637" s="532" t="str">
        <f t="shared" si="110"/>
        <v>Gastos_custeados_por_captação</v>
      </c>
      <c r="S1637" s="467" t="s">
        <v>310</v>
      </c>
      <c r="T1637" s="467" t="s">
        <v>310</v>
      </c>
      <c r="U1637" s="496"/>
      <c r="V1637" s="496"/>
      <c r="W1637" s="496"/>
    </row>
    <row r="1638" spans="1:23" ht="60" x14ac:dyDescent="0.2">
      <c r="A1638" s="510">
        <f t="shared" si="107"/>
        <v>1635</v>
      </c>
      <c r="B1638" s="428">
        <v>44638</v>
      </c>
      <c r="C1638" s="424">
        <v>44562</v>
      </c>
      <c r="D1638" s="415" t="s">
        <v>468</v>
      </c>
      <c r="E1638" s="415" t="s">
        <v>468</v>
      </c>
      <c r="F1638" s="425">
        <v>17.399999999999999</v>
      </c>
      <c r="G1638" s="427" t="s">
        <v>3228</v>
      </c>
      <c r="H1638" s="415" t="s">
        <v>468</v>
      </c>
      <c r="I1638" s="398" t="s">
        <v>1461</v>
      </c>
      <c r="J1638" s="415" t="s">
        <v>310</v>
      </c>
      <c r="K1638" s="415" t="s">
        <v>1220</v>
      </c>
      <c r="L1638" s="415" t="s">
        <v>1368</v>
      </c>
      <c r="M1638" s="415" t="s">
        <v>310</v>
      </c>
      <c r="N1638" s="414">
        <v>44638</v>
      </c>
      <c r="O1638" s="414" t="s">
        <v>404</v>
      </c>
      <c r="P1638" s="222">
        <f t="shared" si="108"/>
        <v>3</v>
      </c>
      <c r="Q1638" s="222">
        <f t="shared" si="109"/>
        <v>1</v>
      </c>
      <c r="R1638" s="532" t="str">
        <f t="shared" si="110"/>
        <v>Gastos_custeados_por_captação</v>
      </c>
      <c r="S1638" s="467" t="s">
        <v>310</v>
      </c>
      <c r="T1638" s="467" t="s">
        <v>310</v>
      </c>
      <c r="U1638" s="496"/>
      <c r="V1638" s="496"/>
      <c r="W1638" s="496"/>
    </row>
    <row r="1639" spans="1:23" ht="60" x14ac:dyDescent="0.2">
      <c r="A1639" s="510">
        <f t="shared" si="107"/>
        <v>1636</v>
      </c>
      <c r="B1639" s="428">
        <v>44638</v>
      </c>
      <c r="C1639" s="424">
        <v>44562</v>
      </c>
      <c r="D1639" s="415" t="s">
        <v>468</v>
      </c>
      <c r="E1639" s="415" t="s">
        <v>468</v>
      </c>
      <c r="F1639" s="425">
        <v>17.399999999999999</v>
      </c>
      <c r="G1639" s="427" t="s">
        <v>3229</v>
      </c>
      <c r="H1639" s="415" t="s">
        <v>468</v>
      </c>
      <c r="I1639" s="398" t="s">
        <v>1461</v>
      </c>
      <c r="J1639" s="415" t="s">
        <v>310</v>
      </c>
      <c r="K1639" s="415" t="s">
        <v>1220</v>
      </c>
      <c r="L1639" s="415" t="s">
        <v>1368</v>
      </c>
      <c r="M1639" s="415" t="s">
        <v>310</v>
      </c>
      <c r="N1639" s="414">
        <v>44638</v>
      </c>
      <c r="O1639" s="414" t="s">
        <v>404</v>
      </c>
      <c r="P1639" s="222">
        <f t="shared" si="108"/>
        <v>3</v>
      </c>
      <c r="Q1639" s="222">
        <f t="shared" si="109"/>
        <v>1</v>
      </c>
      <c r="R1639" s="532" t="str">
        <f t="shared" si="110"/>
        <v>Gastos_custeados_por_captação</v>
      </c>
      <c r="S1639" s="467" t="s">
        <v>310</v>
      </c>
      <c r="T1639" s="467" t="s">
        <v>310</v>
      </c>
      <c r="U1639" s="496"/>
      <c r="V1639" s="496"/>
      <c r="W1639" s="496"/>
    </row>
    <row r="1640" spans="1:23" ht="60" x14ac:dyDescent="0.2">
      <c r="A1640" s="510">
        <f t="shared" si="107"/>
        <v>1637</v>
      </c>
      <c r="B1640" s="428">
        <v>44638</v>
      </c>
      <c r="C1640" s="424">
        <v>44562</v>
      </c>
      <c r="D1640" s="415" t="s">
        <v>468</v>
      </c>
      <c r="E1640" s="415" t="s">
        <v>468</v>
      </c>
      <c r="F1640" s="425">
        <v>17.399999999999999</v>
      </c>
      <c r="G1640" s="427" t="s">
        <v>3230</v>
      </c>
      <c r="H1640" s="415" t="s">
        <v>468</v>
      </c>
      <c r="I1640" s="398" t="s">
        <v>1461</v>
      </c>
      <c r="J1640" s="415" t="s">
        <v>310</v>
      </c>
      <c r="K1640" s="415" t="s">
        <v>1220</v>
      </c>
      <c r="L1640" s="415" t="s">
        <v>1368</v>
      </c>
      <c r="M1640" s="415" t="s">
        <v>310</v>
      </c>
      <c r="N1640" s="414">
        <v>44638</v>
      </c>
      <c r="O1640" s="414" t="s">
        <v>404</v>
      </c>
      <c r="P1640" s="222">
        <f t="shared" ref="P1640:P1671" si="111">IF(B1640=0,0,IF(YEAR(B1640)=$Q$1,MONTH(B1640)-$P$1+1,(YEAR(B1640)-$Q$1)*12-$P$1+1+MONTH(B1640)))</f>
        <v>3</v>
      </c>
      <c r="Q1640" s="222">
        <f t="shared" ref="Q1640:Q1671" si="112">IF(C1640=0,0,IF(YEAR(C1640)=$Q$1,MONTH(C1640)-$P$1+1,(YEAR(C1640)-$Q$1)*12-$P$1+1+MONTH(C1640)))</f>
        <v>1</v>
      </c>
      <c r="R1640" s="532" t="str">
        <f t="shared" ref="R1640:R1671" si="113">SUBSTITUTE(D1640," ","_")</f>
        <v>Gastos_custeados_por_captação</v>
      </c>
      <c r="S1640" s="467" t="s">
        <v>310</v>
      </c>
      <c r="T1640" s="467" t="s">
        <v>310</v>
      </c>
      <c r="U1640" s="496"/>
      <c r="V1640" s="496"/>
      <c r="W1640" s="496"/>
    </row>
    <row r="1641" spans="1:23" ht="72" x14ac:dyDescent="0.2">
      <c r="A1641" s="510">
        <f t="shared" si="107"/>
        <v>1638</v>
      </c>
      <c r="B1641" s="428">
        <v>44638</v>
      </c>
      <c r="C1641" s="431">
        <v>44562</v>
      </c>
      <c r="D1641" s="415" t="s">
        <v>468</v>
      </c>
      <c r="E1641" s="415" t="s">
        <v>468</v>
      </c>
      <c r="F1641" s="425">
        <v>930</v>
      </c>
      <c r="G1641" s="427" t="s">
        <v>3231</v>
      </c>
      <c r="H1641" s="415" t="s">
        <v>468</v>
      </c>
      <c r="I1641" s="473" t="s">
        <v>795</v>
      </c>
      <c r="J1641" s="415" t="s">
        <v>796</v>
      </c>
      <c r="K1641" s="415" t="s">
        <v>806</v>
      </c>
      <c r="L1641" s="415" t="s">
        <v>798</v>
      </c>
      <c r="M1641" s="415" t="s">
        <v>310</v>
      </c>
      <c r="N1641" s="414">
        <v>44638</v>
      </c>
      <c r="O1641" s="414" t="s">
        <v>402</v>
      </c>
      <c r="P1641" s="222">
        <f t="shared" si="111"/>
        <v>3</v>
      </c>
      <c r="Q1641" s="222">
        <f t="shared" si="112"/>
        <v>1</v>
      </c>
      <c r="R1641" s="532" t="str">
        <f t="shared" si="113"/>
        <v>Gastos_custeados_por_captação</v>
      </c>
      <c r="S1641" s="467" t="s">
        <v>310</v>
      </c>
      <c r="T1641" s="467" t="s">
        <v>310</v>
      </c>
      <c r="U1641" s="496"/>
      <c r="V1641" s="496"/>
      <c r="W1641" s="496"/>
    </row>
    <row r="1642" spans="1:23" ht="72" x14ac:dyDescent="0.2">
      <c r="A1642" s="510">
        <f t="shared" si="107"/>
        <v>1639</v>
      </c>
      <c r="B1642" s="428">
        <v>44638</v>
      </c>
      <c r="C1642" s="431">
        <v>44562</v>
      </c>
      <c r="D1642" s="415" t="s">
        <v>468</v>
      </c>
      <c r="E1642" s="415" t="s">
        <v>468</v>
      </c>
      <c r="F1642" s="425">
        <v>57.45</v>
      </c>
      <c r="G1642" s="427" t="s">
        <v>3232</v>
      </c>
      <c r="H1642" s="415" t="s">
        <v>468</v>
      </c>
      <c r="I1642" s="519" t="s">
        <v>1461</v>
      </c>
      <c r="J1642" s="525" t="s">
        <v>310</v>
      </c>
      <c r="K1642" s="415" t="s">
        <v>1220</v>
      </c>
      <c r="L1642" s="415" t="s">
        <v>1368</v>
      </c>
      <c r="M1642" s="415" t="s">
        <v>310</v>
      </c>
      <c r="N1642" s="414">
        <v>44638</v>
      </c>
      <c r="O1642" s="414" t="s">
        <v>402</v>
      </c>
      <c r="P1642" s="222">
        <f t="shared" si="111"/>
        <v>3</v>
      </c>
      <c r="Q1642" s="222">
        <f t="shared" si="112"/>
        <v>1</v>
      </c>
      <c r="R1642" s="532" t="str">
        <f t="shared" si="113"/>
        <v>Gastos_custeados_por_captação</v>
      </c>
      <c r="S1642" s="467" t="s">
        <v>310</v>
      </c>
      <c r="T1642" s="467" t="s">
        <v>310</v>
      </c>
      <c r="U1642" s="496"/>
      <c r="V1642" s="496"/>
      <c r="W1642" s="496"/>
    </row>
    <row r="1643" spans="1:23" ht="72" x14ac:dyDescent="0.2">
      <c r="A1643" s="510">
        <f t="shared" si="107"/>
        <v>1640</v>
      </c>
      <c r="B1643" s="590">
        <v>44638</v>
      </c>
      <c r="C1643" s="424">
        <v>44562</v>
      </c>
      <c r="D1643" s="415" t="s">
        <v>468</v>
      </c>
      <c r="E1643" s="415" t="s">
        <v>468</v>
      </c>
      <c r="F1643" s="459">
        <v>2779.59</v>
      </c>
      <c r="G1643" s="427" t="s">
        <v>3200</v>
      </c>
      <c r="H1643" s="415" t="s">
        <v>468</v>
      </c>
      <c r="I1643" s="473" t="s">
        <v>795</v>
      </c>
      <c r="J1643" s="415" t="s">
        <v>796</v>
      </c>
      <c r="K1643" s="415" t="s">
        <v>806</v>
      </c>
      <c r="L1643" s="415" t="s">
        <v>798</v>
      </c>
      <c r="M1643" s="415" t="s">
        <v>310</v>
      </c>
      <c r="N1643" s="414">
        <v>44638</v>
      </c>
      <c r="O1643" s="414" t="s">
        <v>407</v>
      </c>
      <c r="P1643" s="222">
        <f t="shared" si="111"/>
        <v>3</v>
      </c>
      <c r="Q1643" s="222">
        <f t="shared" si="112"/>
        <v>1</v>
      </c>
      <c r="R1643" s="415" t="str">
        <f t="shared" si="113"/>
        <v>Gastos_custeados_por_captação</v>
      </c>
      <c r="S1643" s="467" t="s">
        <v>310</v>
      </c>
      <c r="T1643" s="467" t="s">
        <v>310</v>
      </c>
      <c r="U1643" s="497"/>
      <c r="V1643" s="497"/>
      <c r="W1643" s="497"/>
    </row>
    <row r="1644" spans="1:23" ht="72" x14ac:dyDescent="0.2">
      <c r="A1644" s="510">
        <f t="shared" si="107"/>
        <v>1641</v>
      </c>
      <c r="B1644" s="590">
        <v>44638</v>
      </c>
      <c r="C1644" s="424">
        <v>44562</v>
      </c>
      <c r="D1644" s="415" t="s">
        <v>468</v>
      </c>
      <c r="E1644" s="415" t="s">
        <v>468</v>
      </c>
      <c r="F1644" s="459">
        <v>1860</v>
      </c>
      <c r="G1644" s="427" t="s">
        <v>3201</v>
      </c>
      <c r="H1644" s="415" t="s">
        <v>468</v>
      </c>
      <c r="I1644" s="473" t="s">
        <v>795</v>
      </c>
      <c r="J1644" s="415" t="s">
        <v>796</v>
      </c>
      <c r="K1644" s="415" t="s">
        <v>806</v>
      </c>
      <c r="L1644" s="415" t="s">
        <v>798</v>
      </c>
      <c r="M1644" s="415" t="s">
        <v>310</v>
      </c>
      <c r="N1644" s="414">
        <v>44638</v>
      </c>
      <c r="O1644" s="414" t="s">
        <v>407</v>
      </c>
      <c r="P1644" s="222">
        <f t="shared" si="111"/>
        <v>3</v>
      </c>
      <c r="Q1644" s="222">
        <f t="shared" si="112"/>
        <v>1</v>
      </c>
      <c r="R1644" s="415" t="str">
        <f t="shared" si="113"/>
        <v>Gastos_custeados_por_captação</v>
      </c>
      <c r="S1644" s="467" t="s">
        <v>310</v>
      </c>
      <c r="T1644" s="467" t="s">
        <v>310</v>
      </c>
      <c r="U1644" s="497"/>
      <c r="V1644" s="497"/>
      <c r="W1644" s="497"/>
    </row>
    <row r="1645" spans="1:23" ht="72" x14ac:dyDescent="0.2">
      <c r="A1645" s="510">
        <f t="shared" si="107"/>
        <v>1642</v>
      </c>
      <c r="B1645" s="590">
        <v>44638</v>
      </c>
      <c r="C1645" s="424">
        <v>44531</v>
      </c>
      <c r="D1645" s="415" t="s">
        <v>468</v>
      </c>
      <c r="E1645" s="415" t="s">
        <v>468</v>
      </c>
      <c r="F1645" s="459">
        <v>1395</v>
      </c>
      <c r="G1645" s="427" t="s">
        <v>3202</v>
      </c>
      <c r="H1645" s="415" t="s">
        <v>468</v>
      </c>
      <c r="I1645" s="473" t="s">
        <v>795</v>
      </c>
      <c r="J1645" s="415" t="s">
        <v>796</v>
      </c>
      <c r="K1645" s="415" t="s">
        <v>806</v>
      </c>
      <c r="L1645" s="415" t="s">
        <v>798</v>
      </c>
      <c r="M1645" s="415" t="s">
        <v>310</v>
      </c>
      <c r="N1645" s="414">
        <v>44638</v>
      </c>
      <c r="O1645" s="414" t="s">
        <v>407</v>
      </c>
      <c r="P1645" s="222">
        <f t="shared" si="111"/>
        <v>3</v>
      </c>
      <c r="Q1645" s="222">
        <f t="shared" si="112"/>
        <v>0</v>
      </c>
      <c r="R1645" s="415" t="str">
        <f t="shared" si="113"/>
        <v>Gastos_custeados_por_captação</v>
      </c>
      <c r="S1645" s="467" t="s">
        <v>310</v>
      </c>
      <c r="T1645" s="467" t="s">
        <v>310</v>
      </c>
      <c r="U1645" s="497"/>
      <c r="V1645" s="497"/>
      <c r="W1645" s="497"/>
    </row>
    <row r="1646" spans="1:23" ht="72" x14ac:dyDescent="0.2">
      <c r="A1646" s="510">
        <f t="shared" si="107"/>
        <v>1643</v>
      </c>
      <c r="B1646" s="590">
        <v>44638</v>
      </c>
      <c r="C1646" s="424">
        <v>44531</v>
      </c>
      <c r="D1646" s="415" t="s">
        <v>468</v>
      </c>
      <c r="E1646" s="415" t="s">
        <v>468</v>
      </c>
      <c r="F1646" s="498">
        <v>362.7</v>
      </c>
      <c r="G1646" s="427" t="s">
        <v>3203</v>
      </c>
      <c r="H1646" s="415" t="s">
        <v>468</v>
      </c>
      <c r="I1646" s="473" t="s">
        <v>795</v>
      </c>
      <c r="J1646" s="415" t="s">
        <v>796</v>
      </c>
      <c r="K1646" s="415" t="s">
        <v>806</v>
      </c>
      <c r="L1646" s="415" t="s">
        <v>798</v>
      </c>
      <c r="M1646" s="415" t="s">
        <v>310</v>
      </c>
      <c r="N1646" s="414">
        <v>44638</v>
      </c>
      <c r="O1646" s="414" t="s">
        <v>407</v>
      </c>
      <c r="P1646" s="222">
        <f t="shared" si="111"/>
        <v>3</v>
      </c>
      <c r="Q1646" s="222">
        <f t="shared" si="112"/>
        <v>0</v>
      </c>
      <c r="R1646" s="415" t="str">
        <f t="shared" si="113"/>
        <v>Gastos_custeados_por_captação</v>
      </c>
      <c r="S1646" s="467" t="s">
        <v>310</v>
      </c>
      <c r="T1646" s="467" t="s">
        <v>310</v>
      </c>
      <c r="U1646" s="497"/>
      <c r="V1646" s="497"/>
      <c r="W1646" s="497"/>
    </row>
    <row r="1647" spans="1:23" ht="72" x14ac:dyDescent="0.2">
      <c r="A1647" s="510">
        <f t="shared" si="107"/>
        <v>1644</v>
      </c>
      <c r="B1647" s="590">
        <v>44638</v>
      </c>
      <c r="C1647" s="424">
        <v>44501</v>
      </c>
      <c r="D1647" s="415" t="s">
        <v>468</v>
      </c>
      <c r="E1647" s="415" t="s">
        <v>468</v>
      </c>
      <c r="F1647" s="498">
        <v>1302</v>
      </c>
      <c r="G1647" s="427" t="s">
        <v>3204</v>
      </c>
      <c r="H1647" s="415" t="s">
        <v>468</v>
      </c>
      <c r="I1647" s="473" t="s">
        <v>795</v>
      </c>
      <c r="J1647" s="415" t="s">
        <v>796</v>
      </c>
      <c r="K1647" s="415" t="s">
        <v>806</v>
      </c>
      <c r="L1647" s="415" t="s">
        <v>798</v>
      </c>
      <c r="M1647" s="415" t="s">
        <v>310</v>
      </c>
      <c r="N1647" s="414">
        <v>44638</v>
      </c>
      <c r="O1647" s="414" t="s">
        <v>407</v>
      </c>
      <c r="P1647" s="222">
        <f t="shared" si="111"/>
        <v>3</v>
      </c>
      <c r="Q1647" s="222">
        <f t="shared" si="112"/>
        <v>-1</v>
      </c>
      <c r="R1647" s="415" t="str">
        <f t="shared" si="113"/>
        <v>Gastos_custeados_por_captação</v>
      </c>
      <c r="S1647" s="467" t="s">
        <v>310</v>
      </c>
      <c r="T1647" s="467" t="s">
        <v>310</v>
      </c>
      <c r="U1647" s="497"/>
      <c r="V1647" s="497"/>
      <c r="W1647" s="497"/>
    </row>
    <row r="1648" spans="1:23" ht="72" x14ac:dyDescent="0.2">
      <c r="A1648" s="510">
        <f t="shared" si="107"/>
        <v>1645</v>
      </c>
      <c r="B1648" s="590">
        <v>44638</v>
      </c>
      <c r="C1648" s="424">
        <v>44501</v>
      </c>
      <c r="D1648" s="415" t="s">
        <v>468</v>
      </c>
      <c r="E1648" s="415" t="s">
        <v>468</v>
      </c>
      <c r="F1648" s="498">
        <v>186</v>
      </c>
      <c r="G1648" s="427" t="s">
        <v>3209</v>
      </c>
      <c r="H1648" s="415" t="s">
        <v>468</v>
      </c>
      <c r="I1648" s="473" t="s">
        <v>795</v>
      </c>
      <c r="J1648" s="415" t="s">
        <v>796</v>
      </c>
      <c r="K1648" s="415" t="s">
        <v>806</v>
      </c>
      <c r="L1648" s="415" t="s">
        <v>798</v>
      </c>
      <c r="M1648" s="415" t="s">
        <v>310</v>
      </c>
      <c r="N1648" s="414">
        <v>44638</v>
      </c>
      <c r="O1648" s="414" t="s">
        <v>407</v>
      </c>
      <c r="P1648" s="222">
        <f t="shared" si="111"/>
        <v>3</v>
      </c>
      <c r="Q1648" s="222">
        <f t="shared" si="112"/>
        <v>-1</v>
      </c>
      <c r="R1648" s="415" t="str">
        <f t="shared" si="113"/>
        <v>Gastos_custeados_por_captação</v>
      </c>
      <c r="S1648" s="467" t="s">
        <v>310</v>
      </c>
      <c r="T1648" s="467" t="s">
        <v>310</v>
      </c>
      <c r="U1648" s="497"/>
      <c r="V1648" s="497"/>
      <c r="W1648" s="497"/>
    </row>
    <row r="1649" spans="1:23" ht="72" x14ac:dyDescent="0.2">
      <c r="A1649" s="510">
        <f t="shared" si="107"/>
        <v>1646</v>
      </c>
      <c r="B1649" s="590">
        <v>44638</v>
      </c>
      <c r="C1649" s="424">
        <v>44501</v>
      </c>
      <c r="D1649" s="415" t="s">
        <v>468</v>
      </c>
      <c r="E1649" s="415" t="s">
        <v>468</v>
      </c>
      <c r="F1649" s="459">
        <v>155</v>
      </c>
      <c r="G1649" s="427" t="s">
        <v>3205</v>
      </c>
      <c r="H1649" s="415" t="s">
        <v>468</v>
      </c>
      <c r="I1649" s="473" t="s">
        <v>795</v>
      </c>
      <c r="J1649" s="415" t="s">
        <v>796</v>
      </c>
      <c r="K1649" s="415" t="s">
        <v>806</v>
      </c>
      <c r="L1649" s="415" t="s">
        <v>798</v>
      </c>
      <c r="M1649" s="415" t="s">
        <v>310</v>
      </c>
      <c r="N1649" s="414">
        <v>44638</v>
      </c>
      <c r="O1649" s="414" t="s">
        <v>407</v>
      </c>
      <c r="P1649" s="222">
        <f t="shared" si="111"/>
        <v>3</v>
      </c>
      <c r="Q1649" s="222">
        <f t="shared" si="112"/>
        <v>-1</v>
      </c>
      <c r="R1649" s="415" t="str">
        <f t="shared" si="113"/>
        <v>Gastos_custeados_por_captação</v>
      </c>
      <c r="S1649" s="467" t="s">
        <v>310</v>
      </c>
      <c r="T1649" s="467" t="s">
        <v>310</v>
      </c>
      <c r="U1649" s="497"/>
      <c r="V1649" s="497"/>
      <c r="W1649" s="497"/>
    </row>
    <row r="1650" spans="1:23" ht="72" x14ac:dyDescent="0.2">
      <c r="A1650" s="510">
        <f t="shared" si="107"/>
        <v>1647</v>
      </c>
      <c r="B1650" s="590">
        <v>44638</v>
      </c>
      <c r="C1650" s="424">
        <v>44409</v>
      </c>
      <c r="D1650" s="415" t="s">
        <v>468</v>
      </c>
      <c r="E1650" s="415" t="s">
        <v>468</v>
      </c>
      <c r="F1650" s="459">
        <v>310</v>
      </c>
      <c r="G1650" s="427" t="s">
        <v>3206</v>
      </c>
      <c r="H1650" s="415" t="s">
        <v>468</v>
      </c>
      <c r="I1650" s="473" t="s">
        <v>795</v>
      </c>
      <c r="J1650" s="415" t="s">
        <v>796</v>
      </c>
      <c r="K1650" s="415" t="s">
        <v>806</v>
      </c>
      <c r="L1650" s="415" t="s">
        <v>798</v>
      </c>
      <c r="M1650" s="415" t="s">
        <v>310</v>
      </c>
      <c r="N1650" s="414">
        <v>44638</v>
      </c>
      <c r="O1650" s="414" t="s">
        <v>407</v>
      </c>
      <c r="P1650" s="222">
        <f t="shared" si="111"/>
        <v>3</v>
      </c>
      <c r="Q1650" s="222">
        <f t="shared" si="112"/>
        <v>-4</v>
      </c>
      <c r="R1650" s="415" t="str">
        <f t="shared" si="113"/>
        <v>Gastos_custeados_por_captação</v>
      </c>
      <c r="S1650" s="467" t="s">
        <v>310</v>
      </c>
      <c r="T1650" s="467" t="s">
        <v>310</v>
      </c>
      <c r="U1650" s="497"/>
      <c r="V1650" s="497"/>
      <c r="W1650" s="497"/>
    </row>
    <row r="1651" spans="1:23" ht="72" x14ac:dyDescent="0.2">
      <c r="A1651" s="510">
        <f t="shared" si="107"/>
        <v>1648</v>
      </c>
      <c r="B1651" s="590">
        <v>44638</v>
      </c>
      <c r="C1651" s="424">
        <v>44531</v>
      </c>
      <c r="D1651" s="415" t="s">
        <v>468</v>
      </c>
      <c r="E1651" s="415" t="s">
        <v>468</v>
      </c>
      <c r="F1651" s="459">
        <v>155</v>
      </c>
      <c r="G1651" s="427" t="s">
        <v>3207</v>
      </c>
      <c r="H1651" s="415" t="s">
        <v>468</v>
      </c>
      <c r="I1651" s="473" t="s">
        <v>795</v>
      </c>
      <c r="J1651" s="415" t="s">
        <v>796</v>
      </c>
      <c r="K1651" s="415" t="s">
        <v>806</v>
      </c>
      <c r="L1651" s="415" t="s">
        <v>798</v>
      </c>
      <c r="M1651" s="415" t="s">
        <v>310</v>
      </c>
      <c r="N1651" s="414">
        <v>44638</v>
      </c>
      <c r="O1651" s="414" t="s">
        <v>407</v>
      </c>
      <c r="P1651" s="222">
        <f t="shared" si="111"/>
        <v>3</v>
      </c>
      <c r="Q1651" s="222">
        <f t="shared" si="112"/>
        <v>0</v>
      </c>
      <c r="R1651" s="415" t="str">
        <f t="shared" si="113"/>
        <v>Gastos_custeados_por_captação</v>
      </c>
      <c r="S1651" s="467" t="s">
        <v>310</v>
      </c>
      <c r="T1651" s="467" t="s">
        <v>310</v>
      </c>
      <c r="U1651" s="497"/>
      <c r="V1651" s="497"/>
      <c r="W1651" s="497"/>
    </row>
    <row r="1652" spans="1:23" ht="72" x14ac:dyDescent="0.2">
      <c r="A1652" s="510">
        <f t="shared" si="107"/>
        <v>1649</v>
      </c>
      <c r="B1652" s="590">
        <v>44638</v>
      </c>
      <c r="C1652" s="424">
        <v>44621</v>
      </c>
      <c r="D1652" s="415" t="s">
        <v>468</v>
      </c>
      <c r="E1652" s="415" t="s">
        <v>468</v>
      </c>
      <c r="F1652" s="459">
        <v>1220.68</v>
      </c>
      <c r="G1652" s="461" t="s">
        <v>2101</v>
      </c>
      <c r="H1652" s="415" t="s">
        <v>468</v>
      </c>
      <c r="I1652" s="562" t="s">
        <v>3044</v>
      </c>
      <c r="J1652" s="468" t="s">
        <v>2102</v>
      </c>
      <c r="K1652" s="415" t="s">
        <v>830</v>
      </c>
      <c r="L1652" s="415" t="s">
        <v>32</v>
      </c>
      <c r="M1652" s="464">
        <v>19839</v>
      </c>
      <c r="N1652" s="469">
        <v>44636</v>
      </c>
      <c r="O1652" s="414" t="s">
        <v>407</v>
      </c>
      <c r="P1652" s="222">
        <f t="shared" si="111"/>
        <v>3</v>
      </c>
      <c r="Q1652" s="222">
        <f t="shared" si="112"/>
        <v>3</v>
      </c>
      <c r="R1652" s="415" t="str">
        <f t="shared" si="113"/>
        <v>Gastos_custeados_por_captação</v>
      </c>
      <c r="S1652" s="467" t="s">
        <v>999</v>
      </c>
      <c r="T1652" s="467">
        <v>3152</v>
      </c>
      <c r="U1652" s="497"/>
      <c r="V1652" s="497"/>
      <c r="W1652" s="497"/>
    </row>
    <row r="1653" spans="1:23" ht="72" x14ac:dyDescent="0.2">
      <c r="A1653" s="510">
        <f t="shared" si="107"/>
        <v>1650</v>
      </c>
      <c r="B1653" s="590">
        <v>44638</v>
      </c>
      <c r="C1653" s="424">
        <v>44531</v>
      </c>
      <c r="D1653" s="415" t="s">
        <v>468</v>
      </c>
      <c r="E1653" s="415" t="s">
        <v>468</v>
      </c>
      <c r="F1653" s="459">
        <v>182.25</v>
      </c>
      <c r="G1653" s="427" t="s">
        <v>3215</v>
      </c>
      <c r="H1653" s="415" t="s">
        <v>468</v>
      </c>
      <c r="I1653" s="461" t="s">
        <v>2929</v>
      </c>
      <c r="J1653" s="415" t="s">
        <v>310</v>
      </c>
      <c r="K1653" s="415" t="s">
        <v>1220</v>
      </c>
      <c r="L1653" s="415" t="s">
        <v>1368</v>
      </c>
      <c r="M1653" s="464" t="s">
        <v>310</v>
      </c>
      <c r="N1653" s="469">
        <v>44620</v>
      </c>
      <c r="O1653" s="414" t="s">
        <v>407</v>
      </c>
      <c r="P1653" s="222">
        <f t="shared" si="111"/>
        <v>3</v>
      </c>
      <c r="Q1653" s="222">
        <f t="shared" si="112"/>
        <v>0</v>
      </c>
      <c r="R1653" s="415" t="str">
        <f t="shared" si="113"/>
        <v>Gastos_custeados_por_captação</v>
      </c>
      <c r="S1653" s="467" t="s">
        <v>310</v>
      </c>
      <c r="T1653" s="467" t="s">
        <v>310</v>
      </c>
      <c r="U1653" s="497"/>
      <c r="V1653" s="497"/>
      <c r="W1653" s="497"/>
    </row>
    <row r="1654" spans="1:23" ht="72" x14ac:dyDescent="0.2">
      <c r="A1654" s="510">
        <f t="shared" si="107"/>
        <v>1651</v>
      </c>
      <c r="B1654" s="590">
        <v>44638</v>
      </c>
      <c r="C1654" s="424">
        <v>44531</v>
      </c>
      <c r="D1654" s="415" t="s">
        <v>468</v>
      </c>
      <c r="E1654" s="415" t="s">
        <v>468</v>
      </c>
      <c r="F1654" s="459">
        <v>564.98</v>
      </c>
      <c r="G1654" s="427" t="s">
        <v>3214</v>
      </c>
      <c r="H1654" s="415" t="s">
        <v>468</v>
      </c>
      <c r="I1654" s="461" t="s">
        <v>2929</v>
      </c>
      <c r="J1654" s="415" t="s">
        <v>310</v>
      </c>
      <c r="K1654" s="415" t="s">
        <v>1220</v>
      </c>
      <c r="L1654" s="415" t="s">
        <v>1368</v>
      </c>
      <c r="M1654" s="464" t="s">
        <v>310</v>
      </c>
      <c r="N1654" s="469">
        <v>44620</v>
      </c>
      <c r="O1654" s="414" t="s">
        <v>407</v>
      </c>
      <c r="P1654" s="222">
        <f t="shared" si="111"/>
        <v>3</v>
      </c>
      <c r="Q1654" s="222">
        <f t="shared" si="112"/>
        <v>0</v>
      </c>
      <c r="R1654" s="415" t="str">
        <f t="shared" si="113"/>
        <v>Gastos_custeados_por_captação</v>
      </c>
      <c r="S1654" s="467" t="s">
        <v>310</v>
      </c>
      <c r="T1654" s="467" t="s">
        <v>310</v>
      </c>
      <c r="U1654" s="497"/>
      <c r="V1654" s="497"/>
      <c r="W1654" s="497"/>
    </row>
    <row r="1655" spans="1:23" ht="36" x14ac:dyDescent="0.2">
      <c r="A1655" s="510">
        <f t="shared" si="107"/>
        <v>1652</v>
      </c>
      <c r="B1655" s="428">
        <v>44641</v>
      </c>
      <c r="C1655" s="424">
        <v>44621</v>
      </c>
      <c r="D1655" s="415" t="s">
        <v>271</v>
      </c>
      <c r="E1655" s="415" t="s">
        <v>71</v>
      </c>
      <c r="F1655" s="425">
        <v>11</v>
      </c>
      <c r="G1655" s="427" t="s">
        <v>2334</v>
      </c>
      <c r="H1655" s="415" t="s">
        <v>793</v>
      </c>
      <c r="I1655" s="398" t="s">
        <v>881</v>
      </c>
      <c r="J1655" s="418" t="s">
        <v>882</v>
      </c>
      <c r="K1655" s="418" t="s">
        <v>883</v>
      </c>
      <c r="L1655" s="399" t="s">
        <v>798</v>
      </c>
      <c r="M1655" s="544" t="s">
        <v>310</v>
      </c>
      <c r="N1655" s="414">
        <v>44641</v>
      </c>
      <c r="O1655" s="414" t="s">
        <v>400</v>
      </c>
      <c r="P1655" s="222">
        <f t="shared" si="111"/>
        <v>3</v>
      </c>
      <c r="Q1655" s="222">
        <f t="shared" si="112"/>
        <v>3</v>
      </c>
      <c r="R1655" s="532" t="str">
        <f t="shared" si="113"/>
        <v>Gastos_Gerais</v>
      </c>
      <c r="S1655" s="467" t="s">
        <v>310</v>
      </c>
      <c r="T1655" s="467" t="s">
        <v>310</v>
      </c>
      <c r="U1655" s="496"/>
      <c r="V1655" s="496"/>
      <c r="W1655" s="496"/>
    </row>
    <row r="1656" spans="1:23" s="478" customFormat="1" ht="122.45" customHeight="1" x14ac:dyDescent="0.2">
      <c r="A1656" s="510">
        <f t="shared" si="107"/>
        <v>1653</v>
      </c>
      <c r="B1656" s="512">
        <v>44641</v>
      </c>
      <c r="C1656" s="424">
        <v>44593</v>
      </c>
      <c r="D1656" s="415" t="s">
        <v>271</v>
      </c>
      <c r="E1656" s="415" t="s">
        <v>442</v>
      </c>
      <c r="F1656" s="481">
        <v>1500</v>
      </c>
      <c r="G1656" s="427" t="s">
        <v>1694</v>
      </c>
      <c r="H1656" s="415" t="s">
        <v>793</v>
      </c>
      <c r="I1656" s="479" t="s">
        <v>2333</v>
      </c>
      <c r="J1656" s="525" t="s">
        <v>1693</v>
      </c>
      <c r="K1656" s="415" t="s">
        <v>830</v>
      </c>
      <c r="L1656" s="415" t="s">
        <v>32</v>
      </c>
      <c r="M1656" s="415">
        <v>44</v>
      </c>
      <c r="N1656" s="558">
        <v>44637</v>
      </c>
      <c r="O1656" s="414" t="s">
        <v>400</v>
      </c>
      <c r="P1656" s="222">
        <f t="shared" si="111"/>
        <v>3</v>
      </c>
      <c r="Q1656" s="222">
        <f t="shared" si="112"/>
        <v>2</v>
      </c>
      <c r="R1656" s="532" t="str">
        <f t="shared" si="113"/>
        <v>Gastos_Gerais</v>
      </c>
      <c r="S1656" s="467" t="s">
        <v>998</v>
      </c>
      <c r="T1656" s="467">
        <v>2857</v>
      </c>
      <c r="U1656" s="496"/>
      <c r="V1656" s="496"/>
      <c r="W1656" s="496"/>
    </row>
    <row r="1657" spans="1:23" s="478" customFormat="1" ht="45.6" customHeight="1" x14ac:dyDescent="0.2">
      <c r="A1657" s="510">
        <f t="shared" si="107"/>
        <v>1654</v>
      </c>
      <c r="B1657" s="512">
        <v>44641</v>
      </c>
      <c r="C1657" s="424">
        <v>44593</v>
      </c>
      <c r="D1657" s="415" t="s">
        <v>271</v>
      </c>
      <c r="E1657" s="415" t="s">
        <v>186</v>
      </c>
      <c r="F1657" s="481">
        <v>2911.59</v>
      </c>
      <c r="G1657" s="427" t="s">
        <v>527</v>
      </c>
      <c r="H1657" s="415" t="s">
        <v>751</v>
      </c>
      <c r="I1657" s="479" t="s">
        <v>1427</v>
      </c>
      <c r="J1657" s="525" t="s">
        <v>1029</v>
      </c>
      <c r="K1657" s="415" t="s">
        <v>812</v>
      </c>
      <c r="L1657" s="415" t="s">
        <v>807</v>
      </c>
      <c r="M1657" s="415" t="s">
        <v>2331</v>
      </c>
      <c r="N1657" s="558">
        <v>44628</v>
      </c>
      <c r="O1657" s="414" t="s">
        <v>400</v>
      </c>
      <c r="P1657" s="222">
        <f t="shared" si="111"/>
        <v>3</v>
      </c>
      <c r="Q1657" s="222">
        <f t="shared" si="112"/>
        <v>2</v>
      </c>
      <c r="R1657" s="532" t="str">
        <f t="shared" si="113"/>
        <v>Gastos_Gerais</v>
      </c>
      <c r="S1657" s="467" t="s">
        <v>1000</v>
      </c>
      <c r="T1657" s="467">
        <v>1501</v>
      </c>
      <c r="U1657" s="496"/>
      <c r="V1657" s="496"/>
      <c r="W1657" s="496"/>
    </row>
    <row r="1658" spans="1:23" s="478" customFormat="1" ht="61.15" customHeight="1" x14ac:dyDescent="0.2">
      <c r="A1658" s="510">
        <f t="shared" si="107"/>
        <v>1655</v>
      </c>
      <c r="B1658" s="512">
        <v>44641</v>
      </c>
      <c r="C1658" s="431">
        <v>44562</v>
      </c>
      <c r="D1658" s="415" t="s">
        <v>468</v>
      </c>
      <c r="E1658" s="415" t="s">
        <v>468</v>
      </c>
      <c r="F1658" s="481">
        <v>1000</v>
      </c>
      <c r="G1658" s="514" t="s">
        <v>1457</v>
      </c>
      <c r="H1658" s="415" t="s">
        <v>468</v>
      </c>
      <c r="I1658" s="519" t="s">
        <v>2993</v>
      </c>
      <c r="J1658" s="526" t="s">
        <v>2994</v>
      </c>
      <c r="K1658" s="418" t="s">
        <v>812</v>
      </c>
      <c r="L1658" s="399" t="s">
        <v>807</v>
      </c>
      <c r="M1658" s="544">
        <v>14527</v>
      </c>
      <c r="N1658" s="558">
        <v>44623</v>
      </c>
      <c r="O1658" s="414" t="s">
        <v>408</v>
      </c>
      <c r="P1658" s="222">
        <f t="shared" si="111"/>
        <v>3</v>
      </c>
      <c r="Q1658" s="222">
        <f t="shared" si="112"/>
        <v>1</v>
      </c>
      <c r="R1658" s="532" t="str">
        <f t="shared" si="113"/>
        <v>Gastos_custeados_por_captação</v>
      </c>
      <c r="S1658" s="467" t="s">
        <v>1000</v>
      </c>
      <c r="T1658" s="467">
        <v>2783</v>
      </c>
      <c r="U1658" s="496"/>
      <c r="V1658" s="496"/>
      <c r="W1658" s="496"/>
    </row>
    <row r="1659" spans="1:23" s="478" customFormat="1" ht="72" x14ac:dyDescent="0.2">
      <c r="A1659" s="510">
        <f t="shared" si="107"/>
        <v>1656</v>
      </c>
      <c r="B1659" s="563">
        <v>44641</v>
      </c>
      <c r="C1659" s="424">
        <v>44621</v>
      </c>
      <c r="D1659" s="415" t="s">
        <v>468</v>
      </c>
      <c r="E1659" s="415" t="s">
        <v>468</v>
      </c>
      <c r="F1659" s="498">
        <v>1177.2</v>
      </c>
      <c r="G1659" s="461" t="s">
        <v>2276</v>
      </c>
      <c r="H1659" s="415" t="s">
        <v>468</v>
      </c>
      <c r="I1659" s="564" t="s">
        <v>3045</v>
      </c>
      <c r="J1659" s="484" t="s">
        <v>2277</v>
      </c>
      <c r="K1659" s="415" t="s">
        <v>3077</v>
      </c>
      <c r="L1659" s="525" t="s">
        <v>32</v>
      </c>
      <c r="M1659" s="485">
        <v>1691</v>
      </c>
      <c r="N1659" s="487">
        <v>44638</v>
      </c>
      <c r="O1659" s="414" t="s">
        <v>407</v>
      </c>
      <c r="P1659" s="222">
        <f t="shared" si="111"/>
        <v>3</v>
      </c>
      <c r="Q1659" s="222">
        <f t="shared" si="112"/>
        <v>3</v>
      </c>
      <c r="R1659" s="415" t="str">
        <f t="shared" si="113"/>
        <v>Gastos_custeados_por_captação</v>
      </c>
      <c r="S1659" s="467" t="s">
        <v>999</v>
      </c>
      <c r="T1659" s="467">
        <v>3193</v>
      </c>
      <c r="U1659" s="497"/>
      <c r="V1659" s="497"/>
      <c r="W1659" s="497"/>
    </row>
    <row r="1660" spans="1:23" s="478" customFormat="1" ht="81.599999999999994" customHeight="1" x14ac:dyDescent="0.2">
      <c r="A1660" s="510">
        <f t="shared" si="107"/>
        <v>1657</v>
      </c>
      <c r="B1660" s="512">
        <v>44642</v>
      </c>
      <c r="C1660" s="424">
        <v>44621</v>
      </c>
      <c r="D1660" s="415" t="s">
        <v>271</v>
      </c>
      <c r="E1660" s="415" t="s">
        <v>82</v>
      </c>
      <c r="F1660" s="481">
        <v>436.3</v>
      </c>
      <c r="G1660" s="515" t="s">
        <v>2285</v>
      </c>
      <c r="H1660" s="415" t="s">
        <v>755</v>
      </c>
      <c r="I1660" s="479" t="s">
        <v>2337</v>
      </c>
      <c r="J1660" s="525" t="s">
        <v>1602</v>
      </c>
      <c r="K1660" s="415" t="s">
        <v>812</v>
      </c>
      <c r="L1660" s="415" t="s">
        <v>807</v>
      </c>
      <c r="M1660" s="525" t="s">
        <v>310</v>
      </c>
      <c r="N1660" s="558" t="s">
        <v>310</v>
      </c>
      <c r="O1660" s="414" t="s">
        <v>400</v>
      </c>
      <c r="P1660" s="222">
        <f t="shared" si="111"/>
        <v>3</v>
      </c>
      <c r="Q1660" s="222">
        <f t="shared" si="112"/>
        <v>3</v>
      </c>
      <c r="R1660" s="532" t="str">
        <f t="shared" si="113"/>
        <v>Gastos_Gerais</v>
      </c>
      <c r="S1660" s="467" t="s">
        <v>310</v>
      </c>
      <c r="T1660" s="467" t="s">
        <v>310</v>
      </c>
      <c r="U1660" s="496"/>
      <c r="V1660" s="496"/>
      <c r="W1660" s="496"/>
    </row>
    <row r="1661" spans="1:23" s="478" customFormat="1" ht="45.6" customHeight="1" x14ac:dyDescent="0.2">
      <c r="A1661" s="510">
        <f t="shared" si="107"/>
        <v>1658</v>
      </c>
      <c r="B1661" s="512">
        <v>44642</v>
      </c>
      <c r="C1661" s="424">
        <v>44621</v>
      </c>
      <c r="D1661" s="415" t="s">
        <v>271</v>
      </c>
      <c r="E1661" s="415" t="s">
        <v>71</v>
      </c>
      <c r="F1661" s="481">
        <v>11</v>
      </c>
      <c r="G1661" s="427" t="s">
        <v>2338</v>
      </c>
      <c r="H1661" s="415" t="s">
        <v>752</v>
      </c>
      <c r="I1661" s="519" t="s">
        <v>881</v>
      </c>
      <c r="J1661" s="526" t="s">
        <v>882</v>
      </c>
      <c r="K1661" s="418" t="s">
        <v>883</v>
      </c>
      <c r="L1661" s="399" t="s">
        <v>798</v>
      </c>
      <c r="M1661" s="557" t="s">
        <v>310</v>
      </c>
      <c r="N1661" s="558">
        <v>44642</v>
      </c>
      <c r="O1661" s="414" t="s">
        <v>400</v>
      </c>
      <c r="P1661" s="222">
        <f t="shared" si="111"/>
        <v>3</v>
      </c>
      <c r="Q1661" s="222">
        <f t="shared" si="112"/>
        <v>3</v>
      </c>
      <c r="R1661" s="532" t="str">
        <f t="shared" si="113"/>
        <v>Gastos_Gerais</v>
      </c>
      <c r="S1661" s="467" t="s">
        <v>310</v>
      </c>
      <c r="T1661" s="467" t="s">
        <v>310</v>
      </c>
      <c r="U1661" s="496"/>
      <c r="V1661" s="496"/>
      <c r="W1661" s="496"/>
    </row>
    <row r="1662" spans="1:23" s="478" customFormat="1" ht="45.6" customHeight="1" x14ac:dyDescent="0.2">
      <c r="A1662" s="510">
        <f t="shared" si="107"/>
        <v>1659</v>
      </c>
      <c r="B1662" s="512">
        <v>44642</v>
      </c>
      <c r="C1662" s="424">
        <v>44593</v>
      </c>
      <c r="D1662" s="415" t="s">
        <v>271</v>
      </c>
      <c r="E1662" s="415" t="s">
        <v>1791</v>
      </c>
      <c r="F1662" s="481">
        <v>134.4</v>
      </c>
      <c r="G1662" s="427" t="s">
        <v>667</v>
      </c>
      <c r="H1662" s="415" t="s">
        <v>752</v>
      </c>
      <c r="I1662" s="479" t="s">
        <v>1771</v>
      </c>
      <c r="J1662" s="525" t="s">
        <v>1770</v>
      </c>
      <c r="K1662" s="415" t="s">
        <v>830</v>
      </c>
      <c r="L1662" s="415" t="s">
        <v>1341</v>
      </c>
      <c r="M1662" s="525">
        <v>1642</v>
      </c>
      <c r="N1662" s="558">
        <v>44641</v>
      </c>
      <c r="O1662" s="414" t="s">
        <v>400</v>
      </c>
      <c r="P1662" s="222">
        <f t="shared" si="111"/>
        <v>3</v>
      </c>
      <c r="Q1662" s="222">
        <f t="shared" si="112"/>
        <v>2</v>
      </c>
      <c r="R1662" s="532" t="str">
        <f t="shared" si="113"/>
        <v>Gastos_Gerais</v>
      </c>
      <c r="S1662" s="467" t="s">
        <v>998</v>
      </c>
      <c r="T1662" s="467">
        <v>2739</v>
      </c>
      <c r="U1662" s="496"/>
      <c r="V1662" s="496"/>
      <c r="W1662" s="496"/>
    </row>
    <row r="1663" spans="1:23" s="478" customFormat="1" ht="45.6" customHeight="1" x14ac:dyDescent="0.2">
      <c r="A1663" s="510">
        <f t="shared" si="107"/>
        <v>1660</v>
      </c>
      <c r="B1663" s="512">
        <v>44643</v>
      </c>
      <c r="C1663" s="466">
        <v>44621</v>
      </c>
      <c r="D1663" s="415" t="s">
        <v>182</v>
      </c>
      <c r="E1663" s="415" t="s">
        <v>161</v>
      </c>
      <c r="F1663" s="481">
        <v>48.06</v>
      </c>
      <c r="G1663" s="427" t="s">
        <v>1495</v>
      </c>
      <c r="H1663" s="415" t="s">
        <v>310</v>
      </c>
      <c r="I1663" s="479" t="s">
        <v>2008</v>
      </c>
      <c r="J1663" s="548" t="s">
        <v>2009</v>
      </c>
      <c r="K1663" s="415" t="s">
        <v>812</v>
      </c>
      <c r="L1663" s="415" t="s">
        <v>807</v>
      </c>
      <c r="M1663" s="525" t="s">
        <v>3142</v>
      </c>
      <c r="N1663" s="558">
        <v>44645</v>
      </c>
      <c r="O1663" s="414" t="s">
        <v>400</v>
      </c>
      <c r="P1663" s="222">
        <f t="shared" si="111"/>
        <v>3</v>
      </c>
      <c r="Q1663" s="222">
        <f t="shared" si="112"/>
        <v>3</v>
      </c>
      <c r="R1663" s="532" t="str">
        <f t="shared" si="113"/>
        <v>Gastos_com_Pessoal</v>
      </c>
      <c r="S1663" s="467" t="s">
        <v>310</v>
      </c>
      <c r="T1663" s="467" t="s">
        <v>310</v>
      </c>
      <c r="U1663" s="496"/>
      <c r="V1663" s="496"/>
      <c r="W1663" s="496"/>
    </row>
    <row r="1664" spans="1:23" s="478" customFormat="1" ht="45.6" customHeight="1" x14ac:dyDescent="0.2">
      <c r="A1664" s="510">
        <f t="shared" si="107"/>
        <v>1661</v>
      </c>
      <c r="B1664" s="512">
        <v>44643</v>
      </c>
      <c r="C1664" s="431">
        <v>44593</v>
      </c>
      <c r="D1664" s="415" t="s">
        <v>34</v>
      </c>
      <c r="E1664" s="415" t="s">
        <v>330</v>
      </c>
      <c r="F1664" s="481">
        <v>1064189.07</v>
      </c>
      <c r="G1664" s="427" t="s">
        <v>2349</v>
      </c>
      <c r="H1664" s="415" t="s">
        <v>310</v>
      </c>
      <c r="I1664" s="479" t="s">
        <v>795</v>
      </c>
      <c r="J1664" s="415" t="s">
        <v>796</v>
      </c>
      <c r="K1664" s="415" t="s">
        <v>797</v>
      </c>
      <c r="L1664" s="415" t="s">
        <v>1305</v>
      </c>
      <c r="M1664" s="525" t="s">
        <v>310</v>
      </c>
      <c r="N1664" s="558">
        <v>44643</v>
      </c>
      <c r="O1664" s="414" t="s">
        <v>400</v>
      </c>
      <c r="P1664" s="222">
        <f t="shared" si="111"/>
        <v>3</v>
      </c>
      <c r="Q1664" s="222">
        <f t="shared" si="112"/>
        <v>2</v>
      </c>
      <c r="R1664" s="532" t="str">
        <f t="shared" si="113"/>
        <v>Receitas</v>
      </c>
      <c r="S1664" s="467" t="s">
        <v>310</v>
      </c>
      <c r="T1664" s="467" t="s">
        <v>310</v>
      </c>
      <c r="U1664" s="496"/>
      <c r="V1664" s="496"/>
      <c r="W1664" s="496"/>
    </row>
    <row r="1665" spans="1:23" s="478" customFormat="1" ht="45.6" customHeight="1" x14ac:dyDescent="0.2">
      <c r="A1665" s="510">
        <f t="shared" si="107"/>
        <v>1662</v>
      </c>
      <c r="B1665" s="512">
        <v>44643</v>
      </c>
      <c r="C1665" s="466">
        <v>44621</v>
      </c>
      <c r="D1665" s="415" t="s">
        <v>271</v>
      </c>
      <c r="E1665" s="415" t="s">
        <v>71</v>
      </c>
      <c r="F1665" s="481">
        <v>11</v>
      </c>
      <c r="G1665" s="427" t="s">
        <v>2352</v>
      </c>
      <c r="H1665" s="415" t="s">
        <v>758</v>
      </c>
      <c r="I1665" s="519" t="s">
        <v>881</v>
      </c>
      <c r="J1665" s="418" t="s">
        <v>882</v>
      </c>
      <c r="K1665" s="418" t="s">
        <v>883</v>
      </c>
      <c r="L1665" s="399" t="s">
        <v>798</v>
      </c>
      <c r="M1665" s="557" t="s">
        <v>310</v>
      </c>
      <c r="N1665" s="558">
        <v>44643</v>
      </c>
      <c r="O1665" s="414" t="s">
        <v>400</v>
      </c>
      <c r="P1665" s="222">
        <f t="shared" si="111"/>
        <v>3</v>
      </c>
      <c r="Q1665" s="222">
        <f t="shared" si="112"/>
        <v>3</v>
      </c>
      <c r="R1665" s="532" t="str">
        <f t="shared" si="113"/>
        <v>Gastos_Gerais</v>
      </c>
      <c r="S1665" s="467" t="s">
        <v>310</v>
      </c>
      <c r="T1665" s="467" t="s">
        <v>310</v>
      </c>
      <c r="U1665" s="496"/>
      <c r="V1665" s="496"/>
      <c r="W1665" s="496"/>
    </row>
    <row r="1666" spans="1:23" s="478" customFormat="1" ht="45.6" customHeight="1" x14ac:dyDescent="0.2">
      <c r="A1666" s="510">
        <f t="shared" si="107"/>
        <v>1663</v>
      </c>
      <c r="B1666" s="512">
        <v>44643</v>
      </c>
      <c r="C1666" s="424">
        <v>44621</v>
      </c>
      <c r="D1666" s="415" t="s">
        <v>271</v>
      </c>
      <c r="E1666" s="415" t="s">
        <v>456</v>
      </c>
      <c r="F1666" s="481">
        <v>6000</v>
      </c>
      <c r="G1666" s="427" t="s">
        <v>2129</v>
      </c>
      <c r="H1666" s="415" t="s">
        <v>752</v>
      </c>
      <c r="I1666" s="479" t="s">
        <v>2350</v>
      </c>
      <c r="J1666" s="415" t="s">
        <v>2130</v>
      </c>
      <c r="K1666" s="415" t="s">
        <v>806</v>
      </c>
      <c r="L1666" s="415" t="s">
        <v>807</v>
      </c>
      <c r="M1666" s="525">
        <v>239</v>
      </c>
      <c r="N1666" s="558">
        <v>44642</v>
      </c>
      <c r="O1666" s="414" t="s">
        <v>400</v>
      </c>
      <c r="P1666" s="222">
        <f t="shared" si="111"/>
        <v>3</v>
      </c>
      <c r="Q1666" s="222">
        <f t="shared" si="112"/>
        <v>3</v>
      </c>
      <c r="R1666" s="532" t="str">
        <f t="shared" si="113"/>
        <v>Gastos_Gerais</v>
      </c>
      <c r="S1666" s="467" t="s">
        <v>1000</v>
      </c>
      <c r="T1666" s="467">
        <v>3066</v>
      </c>
      <c r="U1666" s="496"/>
      <c r="V1666" s="496"/>
      <c r="W1666" s="496"/>
    </row>
    <row r="1667" spans="1:23" s="478" customFormat="1" ht="45.6" customHeight="1" x14ac:dyDescent="0.2">
      <c r="A1667" s="510">
        <f t="shared" si="107"/>
        <v>1664</v>
      </c>
      <c r="B1667" s="512">
        <v>44643</v>
      </c>
      <c r="C1667" s="424">
        <v>44593</v>
      </c>
      <c r="D1667" s="415" t="s">
        <v>271</v>
      </c>
      <c r="E1667" s="415" t="s">
        <v>1791</v>
      </c>
      <c r="F1667" s="481">
        <v>1080</v>
      </c>
      <c r="G1667" s="427" t="s">
        <v>1888</v>
      </c>
      <c r="H1667" s="415" t="s">
        <v>758</v>
      </c>
      <c r="I1667" s="479" t="s">
        <v>2351</v>
      </c>
      <c r="J1667" s="415" t="s">
        <v>1887</v>
      </c>
      <c r="K1667" s="415" t="s">
        <v>830</v>
      </c>
      <c r="L1667" s="415" t="s">
        <v>807</v>
      </c>
      <c r="M1667" s="525" t="s">
        <v>1308</v>
      </c>
      <c r="N1667" s="558">
        <v>44641</v>
      </c>
      <c r="O1667" s="414" t="s">
        <v>400</v>
      </c>
      <c r="P1667" s="222">
        <f t="shared" si="111"/>
        <v>3</v>
      </c>
      <c r="Q1667" s="222">
        <f t="shared" si="112"/>
        <v>2</v>
      </c>
      <c r="R1667" s="532" t="str">
        <f t="shared" si="113"/>
        <v>Gastos_Gerais</v>
      </c>
      <c r="S1667" s="467" t="s">
        <v>998</v>
      </c>
      <c r="T1667" s="467">
        <v>2932</v>
      </c>
      <c r="U1667" s="496"/>
      <c r="V1667" s="496"/>
      <c r="W1667" s="496"/>
    </row>
    <row r="1668" spans="1:23" s="478" customFormat="1" ht="45.6" customHeight="1" x14ac:dyDescent="0.2">
      <c r="A1668" s="510">
        <f t="shared" si="107"/>
        <v>1665</v>
      </c>
      <c r="B1668" s="512">
        <v>44643</v>
      </c>
      <c r="C1668" s="431">
        <v>44562</v>
      </c>
      <c r="D1668" s="415" t="s">
        <v>468</v>
      </c>
      <c r="E1668" s="415" t="s">
        <v>468</v>
      </c>
      <c r="F1668" s="481">
        <v>3420.2</v>
      </c>
      <c r="G1668" s="427" t="s">
        <v>717</v>
      </c>
      <c r="H1668" s="415" t="s">
        <v>468</v>
      </c>
      <c r="I1668" s="479" t="s">
        <v>3091</v>
      </c>
      <c r="J1668" s="415" t="s">
        <v>1141</v>
      </c>
      <c r="K1668" s="415" t="s">
        <v>830</v>
      </c>
      <c r="L1668" s="415" t="s">
        <v>807</v>
      </c>
      <c r="M1668" s="525" t="s">
        <v>1696</v>
      </c>
      <c r="N1668" s="558">
        <v>44638</v>
      </c>
      <c r="O1668" s="414" t="s">
        <v>402</v>
      </c>
      <c r="P1668" s="222">
        <f t="shared" si="111"/>
        <v>3</v>
      </c>
      <c r="Q1668" s="222">
        <f t="shared" si="112"/>
        <v>1</v>
      </c>
      <c r="R1668" s="532" t="str">
        <f t="shared" si="113"/>
        <v>Gastos_custeados_por_captação</v>
      </c>
      <c r="S1668" s="467" t="s">
        <v>998</v>
      </c>
      <c r="T1668" s="467">
        <v>1485</v>
      </c>
      <c r="U1668" s="496"/>
      <c r="V1668" s="496"/>
      <c r="W1668" s="496"/>
    </row>
    <row r="1669" spans="1:23" s="478" customFormat="1" ht="72" x14ac:dyDescent="0.2">
      <c r="A1669" s="510">
        <f t="shared" si="107"/>
        <v>1666</v>
      </c>
      <c r="B1669" s="563">
        <v>44643</v>
      </c>
      <c r="C1669" s="424">
        <v>44501</v>
      </c>
      <c r="D1669" s="415" t="s">
        <v>468</v>
      </c>
      <c r="E1669" s="415" t="s">
        <v>468</v>
      </c>
      <c r="F1669" s="498">
        <v>420</v>
      </c>
      <c r="G1669" s="587" t="s">
        <v>3140</v>
      </c>
      <c r="H1669" s="415" t="s">
        <v>468</v>
      </c>
      <c r="I1669" s="564" t="s">
        <v>3046</v>
      </c>
      <c r="J1669" s="468" t="s">
        <v>3066</v>
      </c>
      <c r="K1669" s="415" t="s">
        <v>3077</v>
      </c>
      <c r="L1669" s="415" t="s">
        <v>839</v>
      </c>
      <c r="M1669" s="485">
        <v>1639</v>
      </c>
      <c r="N1669" s="487">
        <v>44641</v>
      </c>
      <c r="O1669" s="414" t="s">
        <v>407</v>
      </c>
      <c r="P1669" s="222">
        <f t="shared" si="111"/>
        <v>3</v>
      </c>
      <c r="Q1669" s="222">
        <f t="shared" si="112"/>
        <v>-1</v>
      </c>
      <c r="R1669" s="415" t="str">
        <f t="shared" si="113"/>
        <v>Gastos_custeados_por_captação</v>
      </c>
      <c r="S1669" s="467" t="s">
        <v>998</v>
      </c>
      <c r="T1669" s="467">
        <v>2511</v>
      </c>
      <c r="U1669" s="497"/>
      <c r="V1669" s="497"/>
      <c r="W1669" s="497"/>
    </row>
    <row r="1670" spans="1:23" s="478" customFormat="1" ht="72" x14ac:dyDescent="0.2">
      <c r="A1670" s="510">
        <f t="shared" si="107"/>
        <v>1667</v>
      </c>
      <c r="B1670" s="563">
        <v>44643</v>
      </c>
      <c r="C1670" s="424">
        <v>44593</v>
      </c>
      <c r="D1670" s="415" t="s">
        <v>468</v>
      </c>
      <c r="E1670" s="415" t="s">
        <v>468</v>
      </c>
      <c r="F1670" s="498">
        <v>3393.95</v>
      </c>
      <c r="G1670" s="461" t="s">
        <v>3139</v>
      </c>
      <c r="H1670" s="415" t="s">
        <v>468</v>
      </c>
      <c r="I1670" s="564" t="s">
        <v>780</v>
      </c>
      <c r="J1670" s="468" t="s">
        <v>1051</v>
      </c>
      <c r="K1670" s="415" t="s">
        <v>830</v>
      </c>
      <c r="L1670" s="415" t="s">
        <v>32</v>
      </c>
      <c r="M1670" s="491" t="s">
        <v>1333</v>
      </c>
      <c r="N1670" s="487">
        <v>44642</v>
      </c>
      <c r="O1670" s="414" t="s">
        <v>407</v>
      </c>
      <c r="P1670" s="222">
        <f t="shared" si="111"/>
        <v>3</v>
      </c>
      <c r="Q1670" s="222">
        <f t="shared" si="112"/>
        <v>2</v>
      </c>
      <c r="R1670" s="415" t="str">
        <f t="shared" si="113"/>
        <v>Gastos_custeados_por_captação</v>
      </c>
      <c r="S1670" s="467" t="s">
        <v>1000</v>
      </c>
      <c r="T1670" s="467">
        <v>2912</v>
      </c>
      <c r="U1670" s="497"/>
      <c r="V1670" s="497"/>
      <c r="W1670" s="497"/>
    </row>
    <row r="1671" spans="1:23" s="478" customFormat="1" ht="45.6" customHeight="1" x14ac:dyDescent="0.2">
      <c r="A1671" s="510">
        <f t="shared" si="107"/>
        <v>1668</v>
      </c>
      <c r="B1671" s="512">
        <v>44644</v>
      </c>
      <c r="C1671" s="431">
        <v>44166</v>
      </c>
      <c r="D1671" s="415" t="s">
        <v>271</v>
      </c>
      <c r="E1671" s="415" t="s">
        <v>183</v>
      </c>
      <c r="F1671" s="481">
        <v>1024.5899999999999</v>
      </c>
      <c r="G1671" s="437" t="s">
        <v>470</v>
      </c>
      <c r="H1671" s="434" t="s">
        <v>748</v>
      </c>
      <c r="I1671" s="517" t="s">
        <v>1486</v>
      </c>
      <c r="J1671" s="418" t="s">
        <v>1487</v>
      </c>
      <c r="K1671" s="418" t="s">
        <v>812</v>
      </c>
      <c r="L1671" s="399" t="s">
        <v>807</v>
      </c>
      <c r="M1671" s="557">
        <v>536781</v>
      </c>
      <c r="N1671" s="558">
        <v>44646</v>
      </c>
      <c r="O1671" s="414" t="s">
        <v>400</v>
      </c>
      <c r="P1671" s="222">
        <f t="shared" si="111"/>
        <v>3</v>
      </c>
      <c r="Q1671" s="222">
        <f t="shared" si="112"/>
        <v>-12</v>
      </c>
      <c r="R1671" s="532" t="str">
        <f t="shared" si="113"/>
        <v>Gastos_Gerais</v>
      </c>
      <c r="S1671" s="467" t="s">
        <v>1000</v>
      </c>
      <c r="T1671" s="467">
        <v>528</v>
      </c>
      <c r="U1671" s="496"/>
      <c r="V1671" s="496"/>
      <c r="W1671" s="496"/>
    </row>
    <row r="1672" spans="1:23" s="478" customFormat="1" ht="45.6" customHeight="1" x14ac:dyDescent="0.2">
      <c r="A1672" s="510">
        <f t="shared" si="107"/>
        <v>1669</v>
      </c>
      <c r="B1672" s="512">
        <v>44644</v>
      </c>
      <c r="C1672" s="424">
        <v>44621</v>
      </c>
      <c r="D1672" s="415" t="s">
        <v>271</v>
      </c>
      <c r="E1672" s="415" t="s">
        <v>442</v>
      </c>
      <c r="F1672" s="481">
        <v>500</v>
      </c>
      <c r="G1672" s="427" t="s">
        <v>1967</v>
      </c>
      <c r="H1672" s="415" t="s">
        <v>761</v>
      </c>
      <c r="I1672" s="479" t="s">
        <v>2394</v>
      </c>
      <c r="J1672" s="415" t="s">
        <v>1968</v>
      </c>
      <c r="K1672" s="415" t="s">
        <v>806</v>
      </c>
      <c r="L1672" s="415" t="s">
        <v>807</v>
      </c>
      <c r="M1672" s="525">
        <v>28</v>
      </c>
      <c r="N1672" s="558">
        <v>44642</v>
      </c>
      <c r="O1672" s="414" t="s">
        <v>400</v>
      </c>
      <c r="P1672" s="222">
        <f t="shared" ref="P1672:P1703" si="114">IF(B1672=0,0,IF(YEAR(B1672)=$Q$1,MONTH(B1672)-$P$1+1,(YEAR(B1672)-$Q$1)*12-$P$1+1+MONTH(B1672)))</f>
        <v>3</v>
      </c>
      <c r="Q1672" s="222">
        <f t="shared" ref="Q1672:Q1703" si="115">IF(C1672=0,0,IF(YEAR(C1672)=$Q$1,MONTH(C1672)-$P$1+1,(YEAR(C1672)-$Q$1)*12-$P$1+1+MONTH(C1672)))</f>
        <v>3</v>
      </c>
      <c r="R1672" s="532" t="str">
        <f t="shared" ref="R1672:R1703" si="116">SUBSTITUTE(D1672," ","_")</f>
        <v>Gastos_Gerais</v>
      </c>
      <c r="S1672" s="467" t="s">
        <v>998</v>
      </c>
      <c r="T1672" s="467">
        <v>2955</v>
      </c>
      <c r="U1672" s="496"/>
      <c r="V1672" s="496"/>
      <c r="W1672" s="496"/>
    </row>
    <row r="1673" spans="1:23" s="478" customFormat="1" ht="45.6" customHeight="1" x14ac:dyDescent="0.2">
      <c r="A1673" s="510">
        <f t="shared" si="107"/>
        <v>1670</v>
      </c>
      <c r="B1673" s="512">
        <v>44644</v>
      </c>
      <c r="C1673" s="424">
        <v>44593</v>
      </c>
      <c r="D1673" s="415" t="s">
        <v>271</v>
      </c>
      <c r="E1673" s="415" t="s">
        <v>442</v>
      </c>
      <c r="F1673" s="481">
        <v>800</v>
      </c>
      <c r="G1673" s="427" t="s">
        <v>2393</v>
      </c>
      <c r="H1673" s="415" t="s">
        <v>757</v>
      </c>
      <c r="I1673" s="479" t="s">
        <v>1723</v>
      </c>
      <c r="J1673" s="415" t="s">
        <v>1046</v>
      </c>
      <c r="K1673" s="415" t="s">
        <v>806</v>
      </c>
      <c r="L1673" s="415" t="s">
        <v>807</v>
      </c>
      <c r="M1673" s="525">
        <v>69</v>
      </c>
      <c r="N1673" s="558">
        <v>44637</v>
      </c>
      <c r="O1673" s="414" t="s">
        <v>400</v>
      </c>
      <c r="P1673" s="222">
        <f t="shared" si="114"/>
        <v>3</v>
      </c>
      <c r="Q1673" s="222">
        <f t="shared" si="115"/>
        <v>2</v>
      </c>
      <c r="R1673" s="532" t="str">
        <f t="shared" si="116"/>
        <v>Gastos_Gerais</v>
      </c>
      <c r="S1673" s="467" t="s">
        <v>998</v>
      </c>
      <c r="T1673" s="467">
        <v>2838</v>
      </c>
      <c r="U1673" s="496"/>
      <c r="V1673" s="496"/>
      <c r="W1673" s="496"/>
    </row>
    <row r="1674" spans="1:23" s="478" customFormat="1" ht="45.6" customHeight="1" x14ac:dyDescent="0.2">
      <c r="A1674" s="510">
        <f t="shared" si="107"/>
        <v>1671</v>
      </c>
      <c r="B1674" s="512">
        <v>44644</v>
      </c>
      <c r="C1674" s="424">
        <v>44621</v>
      </c>
      <c r="D1674" s="415" t="s">
        <v>271</v>
      </c>
      <c r="E1674" s="415" t="s">
        <v>139</v>
      </c>
      <c r="F1674" s="481">
        <v>112</v>
      </c>
      <c r="G1674" s="427" t="s">
        <v>2103</v>
      </c>
      <c r="H1674" s="415" t="s">
        <v>750</v>
      </c>
      <c r="I1674" s="479" t="s">
        <v>2353</v>
      </c>
      <c r="J1674" s="415" t="s">
        <v>1254</v>
      </c>
      <c r="K1674" s="415" t="s">
        <v>812</v>
      </c>
      <c r="L1674" s="415" t="s">
        <v>807</v>
      </c>
      <c r="M1674" s="525" t="s">
        <v>2354</v>
      </c>
      <c r="N1674" s="558">
        <v>44636</v>
      </c>
      <c r="O1674" s="414" t="s">
        <v>400</v>
      </c>
      <c r="P1674" s="222">
        <f t="shared" si="114"/>
        <v>3</v>
      </c>
      <c r="Q1674" s="222">
        <f t="shared" si="115"/>
        <v>3</v>
      </c>
      <c r="R1674" s="532" t="str">
        <f t="shared" si="116"/>
        <v>Gastos_Gerais</v>
      </c>
      <c r="S1674" s="467" t="s">
        <v>999</v>
      </c>
      <c r="T1674" s="467">
        <v>3170</v>
      </c>
      <c r="U1674" s="496"/>
      <c r="V1674" s="496"/>
      <c r="W1674" s="496"/>
    </row>
    <row r="1675" spans="1:23" s="478" customFormat="1" ht="45.6" customHeight="1" x14ac:dyDescent="0.2">
      <c r="A1675" s="510">
        <f t="shared" ref="A1675:A1738" si="117">IF(B1675="","",ROW()-ROW($A$3))</f>
        <v>1672</v>
      </c>
      <c r="B1675" s="512">
        <v>44644</v>
      </c>
      <c r="C1675" s="424">
        <v>44593</v>
      </c>
      <c r="D1675" s="415" t="s">
        <v>271</v>
      </c>
      <c r="E1675" s="415" t="s">
        <v>456</v>
      </c>
      <c r="F1675" s="481">
        <v>576.32000000000005</v>
      </c>
      <c r="G1675" s="427" t="s">
        <v>1876</v>
      </c>
      <c r="H1675" s="415" t="s">
        <v>790</v>
      </c>
      <c r="I1675" s="479" t="s">
        <v>1875</v>
      </c>
      <c r="J1675" s="415" t="s">
        <v>1523</v>
      </c>
      <c r="K1675" s="415" t="s">
        <v>812</v>
      </c>
      <c r="L1675" s="415" t="s">
        <v>807</v>
      </c>
      <c r="M1675" s="525">
        <v>82229</v>
      </c>
      <c r="N1675" s="558">
        <v>44614</v>
      </c>
      <c r="O1675" s="414" t="s">
        <v>400</v>
      </c>
      <c r="P1675" s="222">
        <f t="shared" si="114"/>
        <v>3</v>
      </c>
      <c r="Q1675" s="222">
        <f t="shared" si="115"/>
        <v>2</v>
      </c>
      <c r="R1675" s="532" t="str">
        <f t="shared" si="116"/>
        <v>Gastos_Gerais</v>
      </c>
      <c r="S1675" s="467" t="s">
        <v>1303</v>
      </c>
      <c r="T1675" s="467">
        <v>2947</v>
      </c>
      <c r="U1675" s="496"/>
      <c r="V1675" s="496"/>
      <c r="W1675" s="496"/>
    </row>
    <row r="1676" spans="1:23" s="478" customFormat="1" ht="72" x14ac:dyDescent="0.2">
      <c r="A1676" s="510">
        <f t="shared" si="117"/>
        <v>1673</v>
      </c>
      <c r="B1676" s="563">
        <v>44644</v>
      </c>
      <c r="C1676" s="424">
        <v>44470</v>
      </c>
      <c r="D1676" s="415" t="s">
        <v>468</v>
      </c>
      <c r="E1676" s="415" t="s">
        <v>468</v>
      </c>
      <c r="F1676" s="498">
        <v>420</v>
      </c>
      <c r="G1676" s="587" t="s">
        <v>3079</v>
      </c>
      <c r="H1676" s="415" t="s">
        <v>468</v>
      </c>
      <c r="I1676" s="564" t="s">
        <v>3080</v>
      </c>
      <c r="J1676" s="468" t="s">
        <v>3067</v>
      </c>
      <c r="K1676" s="415" t="s">
        <v>830</v>
      </c>
      <c r="L1676" s="415" t="s">
        <v>839</v>
      </c>
      <c r="M1676" s="485">
        <v>1640</v>
      </c>
      <c r="N1676" s="487">
        <v>44641</v>
      </c>
      <c r="O1676" s="414" t="s">
        <v>407</v>
      </c>
      <c r="P1676" s="222">
        <f t="shared" si="114"/>
        <v>3</v>
      </c>
      <c r="Q1676" s="222">
        <f t="shared" si="115"/>
        <v>-2</v>
      </c>
      <c r="R1676" s="415" t="str">
        <f t="shared" si="116"/>
        <v>Gastos_custeados_por_captação</v>
      </c>
      <c r="S1676" s="467" t="s">
        <v>998</v>
      </c>
      <c r="T1676" s="467">
        <v>2334</v>
      </c>
      <c r="U1676" s="497"/>
      <c r="V1676" s="497"/>
      <c r="W1676" s="497"/>
    </row>
    <row r="1677" spans="1:23" s="478" customFormat="1" ht="72" x14ac:dyDescent="0.2">
      <c r="A1677" s="510">
        <f t="shared" si="117"/>
        <v>1674</v>
      </c>
      <c r="B1677" s="563">
        <v>44644</v>
      </c>
      <c r="C1677" s="424">
        <v>44593</v>
      </c>
      <c r="D1677" s="415" t="s">
        <v>468</v>
      </c>
      <c r="E1677" s="415" t="s">
        <v>468</v>
      </c>
      <c r="F1677" s="498">
        <v>1184.83</v>
      </c>
      <c r="G1677" s="427" t="s">
        <v>3094</v>
      </c>
      <c r="H1677" s="415" t="s">
        <v>468</v>
      </c>
      <c r="I1677" s="564" t="s">
        <v>2929</v>
      </c>
      <c r="J1677" s="415" t="s">
        <v>310</v>
      </c>
      <c r="K1677" s="415" t="s">
        <v>1220</v>
      </c>
      <c r="L1677" s="415" t="s">
        <v>1368</v>
      </c>
      <c r="M1677" s="485" t="s">
        <v>310</v>
      </c>
      <c r="N1677" s="487">
        <v>44620</v>
      </c>
      <c r="O1677" s="414" t="s">
        <v>407</v>
      </c>
      <c r="P1677" s="222">
        <f t="shared" si="114"/>
        <v>3</v>
      </c>
      <c r="Q1677" s="222">
        <f t="shared" si="115"/>
        <v>2</v>
      </c>
      <c r="R1677" s="415" t="str">
        <f t="shared" si="116"/>
        <v>Gastos_custeados_por_captação</v>
      </c>
      <c r="S1677" s="467" t="s">
        <v>310</v>
      </c>
      <c r="T1677" s="467" t="s">
        <v>310</v>
      </c>
      <c r="U1677" s="497"/>
      <c r="V1677" s="497"/>
      <c r="W1677" s="497"/>
    </row>
    <row r="1678" spans="1:23" s="478" customFormat="1" ht="45.6" customHeight="1" x14ac:dyDescent="0.2">
      <c r="A1678" s="510">
        <f t="shared" si="117"/>
        <v>1675</v>
      </c>
      <c r="B1678" s="512">
        <v>44645</v>
      </c>
      <c r="C1678" s="424">
        <v>44562</v>
      </c>
      <c r="D1678" s="415" t="s">
        <v>271</v>
      </c>
      <c r="E1678" s="415" t="s">
        <v>297</v>
      </c>
      <c r="F1678" s="481">
        <v>-365.12</v>
      </c>
      <c r="G1678" s="427" t="s">
        <v>2427</v>
      </c>
      <c r="H1678" s="415" t="s">
        <v>310</v>
      </c>
      <c r="I1678" s="479" t="s">
        <v>795</v>
      </c>
      <c r="J1678" s="415" t="s">
        <v>796</v>
      </c>
      <c r="K1678" s="415" t="s">
        <v>797</v>
      </c>
      <c r="L1678" s="415" t="s">
        <v>798</v>
      </c>
      <c r="M1678" s="525" t="s">
        <v>310</v>
      </c>
      <c r="N1678" s="558">
        <v>44645</v>
      </c>
      <c r="O1678" s="414" t="s">
        <v>400</v>
      </c>
      <c r="P1678" s="222">
        <f t="shared" si="114"/>
        <v>3</v>
      </c>
      <c r="Q1678" s="222">
        <f t="shared" si="115"/>
        <v>1</v>
      </c>
      <c r="R1678" s="532" t="str">
        <f t="shared" si="116"/>
        <v>Gastos_Gerais</v>
      </c>
      <c r="S1678" s="467" t="s">
        <v>310</v>
      </c>
      <c r="T1678" s="467" t="s">
        <v>310</v>
      </c>
      <c r="U1678" s="496"/>
      <c r="V1678" s="496"/>
      <c r="W1678" s="496"/>
    </row>
    <row r="1679" spans="1:23" s="478" customFormat="1" ht="45.6" customHeight="1" x14ac:dyDescent="0.2">
      <c r="A1679" s="510">
        <f t="shared" si="117"/>
        <v>1676</v>
      </c>
      <c r="B1679" s="512">
        <v>44645</v>
      </c>
      <c r="C1679" s="466">
        <v>44593</v>
      </c>
      <c r="D1679" s="415" t="s">
        <v>271</v>
      </c>
      <c r="E1679" s="415" t="s">
        <v>164</v>
      </c>
      <c r="F1679" s="565">
        <v>-204.23</v>
      </c>
      <c r="G1679" s="427" t="s">
        <v>2428</v>
      </c>
      <c r="H1679" s="415" t="s">
        <v>309</v>
      </c>
      <c r="I1679" s="479" t="s">
        <v>795</v>
      </c>
      <c r="J1679" s="415" t="s">
        <v>796</v>
      </c>
      <c r="K1679" s="415" t="s">
        <v>797</v>
      </c>
      <c r="L1679" s="415" t="s">
        <v>798</v>
      </c>
      <c r="M1679" s="525" t="s">
        <v>310</v>
      </c>
      <c r="N1679" s="558">
        <v>44645</v>
      </c>
      <c r="O1679" s="414" t="s">
        <v>400</v>
      </c>
      <c r="P1679" s="222">
        <f t="shared" si="114"/>
        <v>3</v>
      </c>
      <c r="Q1679" s="222">
        <f t="shared" si="115"/>
        <v>2</v>
      </c>
      <c r="R1679" s="532" t="str">
        <f t="shared" si="116"/>
        <v>Gastos_Gerais</v>
      </c>
      <c r="S1679" s="467" t="s">
        <v>310</v>
      </c>
      <c r="T1679" s="467" t="s">
        <v>310</v>
      </c>
      <c r="U1679" s="496"/>
      <c r="V1679" s="496"/>
      <c r="W1679" s="496"/>
    </row>
    <row r="1680" spans="1:23" s="478" customFormat="1" ht="45.6" customHeight="1" x14ac:dyDescent="0.2">
      <c r="A1680" s="510">
        <f t="shared" si="117"/>
        <v>1677</v>
      </c>
      <c r="B1680" s="512">
        <v>44645</v>
      </c>
      <c r="C1680" s="466">
        <v>44593</v>
      </c>
      <c r="D1680" s="415" t="s">
        <v>271</v>
      </c>
      <c r="E1680" s="415" t="s">
        <v>92</v>
      </c>
      <c r="F1680" s="481">
        <v>-114.88</v>
      </c>
      <c r="G1680" s="427" t="s">
        <v>2429</v>
      </c>
      <c r="H1680" s="415" t="s">
        <v>309</v>
      </c>
      <c r="I1680" s="517" t="s">
        <v>795</v>
      </c>
      <c r="J1680" s="434" t="s">
        <v>796</v>
      </c>
      <c r="K1680" s="434" t="s">
        <v>797</v>
      </c>
      <c r="L1680" s="434" t="s">
        <v>798</v>
      </c>
      <c r="M1680" s="527" t="s">
        <v>310</v>
      </c>
      <c r="N1680" s="558">
        <v>44645</v>
      </c>
      <c r="O1680" s="414" t="s">
        <v>400</v>
      </c>
      <c r="P1680" s="222">
        <f t="shared" si="114"/>
        <v>3</v>
      </c>
      <c r="Q1680" s="222">
        <f t="shared" si="115"/>
        <v>2</v>
      </c>
      <c r="R1680" s="532" t="str">
        <f t="shared" si="116"/>
        <v>Gastos_Gerais</v>
      </c>
      <c r="S1680" s="467" t="s">
        <v>310</v>
      </c>
      <c r="T1680" s="467" t="s">
        <v>310</v>
      </c>
      <c r="U1680" s="496"/>
      <c r="V1680" s="496"/>
      <c r="W1680" s="496"/>
    </row>
    <row r="1681" spans="1:23" s="478" customFormat="1" ht="45.6" customHeight="1" x14ac:dyDescent="0.2">
      <c r="A1681" s="510">
        <f t="shared" si="117"/>
        <v>1678</v>
      </c>
      <c r="B1681" s="512">
        <v>44645</v>
      </c>
      <c r="C1681" s="466">
        <v>44593</v>
      </c>
      <c r="D1681" s="415" t="s">
        <v>315</v>
      </c>
      <c r="E1681" s="415" t="s">
        <v>315</v>
      </c>
      <c r="F1681" s="565">
        <v>5030.43</v>
      </c>
      <c r="G1681" s="437" t="s">
        <v>2430</v>
      </c>
      <c r="H1681" s="434" t="s">
        <v>310</v>
      </c>
      <c r="I1681" s="517" t="s">
        <v>1473</v>
      </c>
      <c r="J1681" s="434" t="s">
        <v>796</v>
      </c>
      <c r="K1681" s="434" t="s">
        <v>797</v>
      </c>
      <c r="L1681" s="434" t="s">
        <v>798</v>
      </c>
      <c r="M1681" s="527" t="s">
        <v>310</v>
      </c>
      <c r="N1681" s="558">
        <v>44645</v>
      </c>
      <c r="O1681" s="414" t="s">
        <v>400</v>
      </c>
      <c r="P1681" s="222">
        <f t="shared" si="114"/>
        <v>3</v>
      </c>
      <c r="Q1681" s="222">
        <f t="shared" si="115"/>
        <v>2</v>
      </c>
      <c r="R1681" s="532" t="str">
        <f t="shared" si="116"/>
        <v>Transferência_para_Reserva_de_Recursos</v>
      </c>
      <c r="S1681" s="467" t="s">
        <v>310</v>
      </c>
      <c r="T1681" s="467" t="s">
        <v>310</v>
      </c>
      <c r="U1681" s="496"/>
      <c r="V1681" s="496"/>
      <c r="W1681" s="496"/>
    </row>
    <row r="1682" spans="1:23" s="478" customFormat="1" ht="45.6" customHeight="1" x14ac:dyDescent="0.2">
      <c r="A1682" s="510">
        <f t="shared" si="117"/>
        <v>1679</v>
      </c>
      <c r="B1682" s="512">
        <v>44645</v>
      </c>
      <c r="C1682" s="466">
        <v>44593</v>
      </c>
      <c r="D1682" s="415" t="s">
        <v>182</v>
      </c>
      <c r="E1682" s="415" t="s">
        <v>267</v>
      </c>
      <c r="F1682" s="565">
        <v>1980.8</v>
      </c>
      <c r="G1682" s="437" t="s">
        <v>2431</v>
      </c>
      <c r="H1682" s="434" t="s">
        <v>310</v>
      </c>
      <c r="I1682" s="519" t="s">
        <v>1461</v>
      </c>
      <c r="J1682" s="434" t="s">
        <v>310</v>
      </c>
      <c r="K1682" s="434" t="s">
        <v>1220</v>
      </c>
      <c r="L1682" s="434" t="s">
        <v>1368</v>
      </c>
      <c r="M1682" s="525" t="s">
        <v>310</v>
      </c>
      <c r="N1682" s="558">
        <v>44645</v>
      </c>
      <c r="O1682" s="414" t="s">
        <v>400</v>
      </c>
      <c r="P1682" s="222">
        <f t="shared" si="114"/>
        <v>3</v>
      </c>
      <c r="Q1682" s="222">
        <f t="shared" si="115"/>
        <v>2</v>
      </c>
      <c r="R1682" s="532" t="str">
        <f t="shared" si="116"/>
        <v>Gastos_com_Pessoal</v>
      </c>
      <c r="S1682" s="467" t="s">
        <v>310</v>
      </c>
      <c r="T1682" s="467" t="s">
        <v>310</v>
      </c>
      <c r="U1682" s="496"/>
      <c r="V1682" s="496"/>
      <c r="W1682" s="496"/>
    </row>
    <row r="1683" spans="1:23" s="478" customFormat="1" ht="45.6" customHeight="1" x14ac:dyDescent="0.2">
      <c r="A1683" s="510">
        <f t="shared" si="117"/>
        <v>1680</v>
      </c>
      <c r="B1683" s="512">
        <v>44645</v>
      </c>
      <c r="C1683" s="466">
        <v>44593</v>
      </c>
      <c r="D1683" s="415" t="s">
        <v>271</v>
      </c>
      <c r="E1683" s="415" t="s">
        <v>67</v>
      </c>
      <c r="F1683" s="565">
        <v>268.41000000000003</v>
      </c>
      <c r="G1683" s="437" t="s">
        <v>2432</v>
      </c>
      <c r="H1683" s="434" t="s">
        <v>310</v>
      </c>
      <c r="I1683" s="519" t="s">
        <v>1461</v>
      </c>
      <c r="J1683" s="434" t="s">
        <v>310</v>
      </c>
      <c r="K1683" s="434" t="s">
        <v>1220</v>
      </c>
      <c r="L1683" s="434" t="s">
        <v>1368</v>
      </c>
      <c r="M1683" s="525" t="s">
        <v>310</v>
      </c>
      <c r="N1683" s="558">
        <v>44645</v>
      </c>
      <c r="O1683" s="414" t="s">
        <v>400</v>
      </c>
      <c r="P1683" s="222">
        <f t="shared" si="114"/>
        <v>3</v>
      </c>
      <c r="Q1683" s="222">
        <f t="shared" si="115"/>
        <v>2</v>
      </c>
      <c r="R1683" s="532" t="str">
        <f t="shared" si="116"/>
        <v>Gastos_Gerais</v>
      </c>
      <c r="S1683" s="467" t="s">
        <v>310</v>
      </c>
      <c r="T1683" s="467" t="s">
        <v>310</v>
      </c>
      <c r="U1683" s="496"/>
      <c r="V1683" s="496"/>
      <c r="W1683" s="496"/>
    </row>
    <row r="1684" spans="1:23" s="478" customFormat="1" ht="45.6" customHeight="1" x14ac:dyDescent="0.2">
      <c r="A1684" s="510">
        <f t="shared" si="117"/>
        <v>1681</v>
      </c>
      <c r="B1684" s="512">
        <v>44645</v>
      </c>
      <c r="C1684" s="466">
        <v>44593</v>
      </c>
      <c r="D1684" s="415" t="s">
        <v>468</v>
      </c>
      <c r="E1684" s="415" t="s">
        <v>468</v>
      </c>
      <c r="F1684" s="565">
        <v>356.45</v>
      </c>
      <c r="G1684" s="437" t="s">
        <v>2432</v>
      </c>
      <c r="H1684" s="434" t="s">
        <v>468</v>
      </c>
      <c r="I1684" s="519" t="s">
        <v>1461</v>
      </c>
      <c r="J1684" s="566" t="s">
        <v>310</v>
      </c>
      <c r="K1684" s="434" t="s">
        <v>1220</v>
      </c>
      <c r="L1684" s="434" t="s">
        <v>1368</v>
      </c>
      <c r="M1684" s="525" t="s">
        <v>310</v>
      </c>
      <c r="N1684" s="558">
        <v>44645</v>
      </c>
      <c r="O1684" s="414" t="s">
        <v>404</v>
      </c>
      <c r="P1684" s="222">
        <f t="shared" si="114"/>
        <v>3</v>
      </c>
      <c r="Q1684" s="222">
        <f t="shared" si="115"/>
        <v>2</v>
      </c>
      <c r="R1684" s="532" t="str">
        <f t="shared" si="116"/>
        <v>Gastos_custeados_por_captação</v>
      </c>
      <c r="S1684" s="467" t="s">
        <v>310</v>
      </c>
      <c r="T1684" s="467" t="s">
        <v>310</v>
      </c>
      <c r="U1684" s="496"/>
      <c r="V1684" s="496"/>
      <c r="W1684" s="496"/>
    </row>
    <row r="1685" spans="1:23" s="478" customFormat="1" ht="45.6" customHeight="1" x14ac:dyDescent="0.2">
      <c r="A1685" s="510">
        <f t="shared" si="117"/>
        <v>1682</v>
      </c>
      <c r="B1685" s="512">
        <v>44645</v>
      </c>
      <c r="C1685" s="424">
        <v>44562</v>
      </c>
      <c r="D1685" s="415" t="s">
        <v>468</v>
      </c>
      <c r="E1685" s="415" t="s">
        <v>468</v>
      </c>
      <c r="F1685" s="481">
        <v>365.12</v>
      </c>
      <c r="G1685" s="427" t="s">
        <v>2983</v>
      </c>
      <c r="H1685" s="415" t="s">
        <v>468</v>
      </c>
      <c r="I1685" s="519" t="s">
        <v>1461</v>
      </c>
      <c r="J1685" s="525" t="s">
        <v>310</v>
      </c>
      <c r="K1685" s="415" t="s">
        <v>1220</v>
      </c>
      <c r="L1685" s="415" t="s">
        <v>1368</v>
      </c>
      <c r="M1685" s="525" t="s">
        <v>310</v>
      </c>
      <c r="N1685" s="558">
        <v>44645</v>
      </c>
      <c r="O1685" s="414" t="s">
        <v>405</v>
      </c>
      <c r="P1685" s="222">
        <f t="shared" si="114"/>
        <v>3</v>
      </c>
      <c r="Q1685" s="222">
        <f t="shared" si="115"/>
        <v>1</v>
      </c>
      <c r="R1685" s="532" t="str">
        <f t="shared" si="116"/>
        <v>Gastos_custeados_por_captação</v>
      </c>
      <c r="S1685" s="467" t="s">
        <v>310</v>
      </c>
      <c r="T1685" s="467" t="s">
        <v>310</v>
      </c>
      <c r="U1685" s="496"/>
      <c r="V1685" s="496"/>
      <c r="W1685" s="496"/>
    </row>
    <row r="1686" spans="1:23" s="478" customFormat="1" ht="45.6" customHeight="1" x14ac:dyDescent="0.2">
      <c r="A1686" s="510">
        <f t="shared" si="117"/>
        <v>1683</v>
      </c>
      <c r="B1686" s="512">
        <v>44645</v>
      </c>
      <c r="C1686" s="466">
        <v>44593</v>
      </c>
      <c r="D1686" s="415" t="s">
        <v>468</v>
      </c>
      <c r="E1686" s="415" t="s">
        <v>468</v>
      </c>
      <c r="F1686" s="481">
        <v>275.05</v>
      </c>
      <c r="G1686" s="437" t="s">
        <v>2432</v>
      </c>
      <c r="H1686" s="415" t="s">
        <v>468</v>
      </c>
      <c r="I1686" s="519" t="s">
        <v>1461</v>
      </c>
      <c r="J1686" s="525" t="s">
        <v>310</v>
      </c>
      <c r="K1686" s="415" t="s">
        <v>1220</v>
      </c>
      <c r="L1686" s="415" t="s">
        <v>1368</v>
      </c>
      <c r="M1686" s="525" t="s">
        <v>310</v>
      </c>
      <c r="N1686" s="558">
        <v>44645</v>
      </c>
      <c r="O1686" s="414" t="s">
        <v>405</v>
      </c>
      <c r="P1686" s="222">
        <f t="shared" si="114"/>
        <v>3</v>
      </c>
      <c r="Q1686" s="222">
        <f t="shared" si="115"/>
        <v>2</v>
      </c>
      <c r="R1686" s="532" t="str">
        <f t="shared" si="116"/>
        <v>Gastos_custeados_por_captação</v>
      </c>
      <c r="S1686" s="467" t="s">
        <v>310</v>
      </c>
      <c r="T1686" s="467" t="s">
        <v>310</v>
      </c>
      <c r="U1686" s="496"/>
      <c r="V1686" s="496"/>
      <c r="W1686" s="496"/>
    </row>
    <row r="1687" spans="1:23" s="478" customFormat="1" ht="45.6" customHeight="1" x14ac:dyDescent="0.2">
      <c r="A1687" s="510">
        <f t="shared" si="117"/>
        <v>1684</v>
      </c>
      <c r="B1687" s="512">
        <v>44645</v>
      </c>
      <c r="C1687" s="466">
        <v>44593</v>
      </c>
      <c r="D1687" s="415" t="s">
        <v>271</v>
      </c>
      <c r="E1687" s="415" t="s">
        <v>92</v>
      </c>
      <c r="F1687" s="565">
        <v>435</v>
      </c>
      <c r="G1687" s="437" t="s">
        <v>473</v>
      </c>
      <c r="H1687" s="434" t="s">
        <v>309</v>
      </c>
      <c r="I1687" s="567" t="s">
        <v>1488</v>
      </c>
      <c r="J1687" s="526" t="s">
        <v>1078</v>
      </c>
      <c r="K1687" s="418" t="s">
        <v>1353</v>
      </c>
      <c r="L1687" s="399" t="s">
        <v>1489</v>
      </c>
      <c r="M1687" s="525">
        <v>22152</v>
      </c>
      <c r="N1687" s="558">
        <v>44631</v>
      </c>
      <c r="O1687" s="414" t="s">
        <v>400</v>
      </c>
      <c r="P1687" s="222">
        <f t="shared" si="114"/>
        <v>3</v>
      </c>
      <c r="Q1687" s="222">
        <f t="shared" si="115"/>
        <v>2</v>
      </c>
      <c r="R1687" s="532" t="str">
        <f t="shared" si="116"/>
        <v>Gastos_Gerais</v>
      </c>
      <c r="S1687" s="467" t="s">
        <v>1000</v>
      </c>
      <c r="T1687" s="467">
        <v>2667</v>
      </c>
      <c r="U1687" s="496"/>
      <c r="V1687" s="496"/>
      <c r="W1687" s="496"/>
    </row>
    <row r="1688" spans="1:23" s="478" customFormat="1" ht="61.15" customHeight="1" x14ac:dyDescent="0.2">
      <c r="A1688" s="510">
        <f t="shared" si="117"/>
        <v>1685</v>
      </c>
      <c r="B1688" s="512">
        <v>44645</v>
      </c>
      <c r="C1688" s="466">
        <v>44593</v>
      </c>
      <c r="D1688" s="415" t="s">
        <v>271</v>
      </c>
      <c r="E1688" s="415" t="s">
        <v>92</v>
      </c>
      <c r="F1688" s="481">
        <v>250</v>
      </c>
      <c r="G1688" s="427" t="s">
        <v>1684</v>
      </c>
      <c r="H1688" s="415" t="s">
        <v>309</v>
      </c>
      <c r="I1688" s="479" t="s">
        <v>1304</v>
      </c>
      <c r="J1688" s="525" t="s">
        <v>1033</v>
      </c>
      <c r="K1688" s="415" t="s">
        <v>830</v>
      </c>
      <c r="L1688" s="415" t="s">
        <v>1305</v>
      </c>
      <c r="M1688" s="525" t="s">
        <v>310</v>
      </c>
      <c r="N1688" s="558">
        <v>44631</v>
      </c>
      <c r="O1688" s="414" t="s">
        <v>400</v>
      </c>
      <c r="P1688" s="222">
        <f t="shared" si="114"/>
        <v>3</v>
      </c>
      <c r="Q1688" s="222">
        <f t="shared" si="115"/>
        <v>2</v>
      </c>
      <c r="R1688" s="532" t="str">
        <f t="shared" si="116"/>
        <v>Gastos_Gerais</v>
      </c>
      <c r="S1688" s="467" t="s">
        <v>1000</v>
      </c>
      <c r="T1688" s="489">
        <v>2842</v>
      </c>
      <c r="U1688" s="496"/>
      <c r="V1688" s="496"/>
      <c r="W1688" s="496"/>
    </row>
    <row r="1689" spans="1:23" s="478" customFormat="1" ht="45.6" customHeight="1" x14ac:dyDescent="0.2">
      <c r="A1689" s="510">
        <f t="shared" si="117"/>
        <v>1686</v>
      </c>
      <c r="B1689" s="512">
        <v>44645</v>
      </c>
      <c r="C1689" s="466">
        <v>44593</v>
      </c>
      <c r="D1689" s="415" t="s">
        <v>271</v>
      </c>
      <c r="E1689" s="415" t="s">
        <v>164</v>
      </c>
      <c r="F1689" s="565">
        <v>773.3</v>
      </c>
      <c r="G1689" s="437" t="s">
        <v>1403</v>
      </c>
      <c r="H1689" s="434" t="s">
        <v>309</v>
      </c>
      <c r="I1689" s="517" t="s">
        <v>769</v>
      </c>
      <c r="J1689" s="566" t="s">
        <v>1478</v>
      </c>
      <c r="K1689" s="434" t="s">
        <v>1404</v>
      </c>
      <c r="L1689" s="434" t="s">
        <v>1372</v>
      </c>
      <c r="M1689" s="525">
        <v>4675613871</v>
      </c>
      <c r="N1689" s="558">
        <v>44627</v>
      </c>
      <c r="O1689" s="414" t="s">
        <v>400</v>
      </c>
      <c r="P1689" s="222">
        <f t="shared" si="114"/>
        <v>3</v>
      </c>
      <c r="Q1689" s="222">
        <f t="shared" si="115"/>
        <v>2</v>
      </c>
      <c r="R1689" s="532" t="str">
        <f t="shared" si="116"/>
        <v>Gastos_Gerais</v>
      </c>
      <c r="S1689" s="467" t="s">
        <v>310</v>
      </c>
      <c r="T1689" s="467" t="s">
        <v>310</v>
      </c>
      <c r="U1689" s="496"/>
      <c r="V1689" s="496"/>
      <c r="W1689" s="496"/>
    </row>
    <row r="1690" spans="1:23" s="478" customFormat="1" ht="45.6" customHeight="1" x14ac:dyDescent="0.2">
      <c r="A1690" s="510">
        <f t="shared" si="117"/>
        <v>1687</v>
      </c>
      <c r="B1690" s="512">
        <v>44645</v>
      </c>
      <c r="C1690" s="466">
        <v>44562</v>
      </c>
      <c r="D1690" s="415" t="s">
        <v>468</v>
      </c>
      <c r="E1690" s="415" t="s">
        <v>468</v>
      </c>
      <c r="F1690" s="565">
        <v>4250</v>
      </c>
      <c r="G1690" s="427" t="s">
        <v>734</v>
      </c>
      <c r="H1690" s="434" t="s">
        <v>468</v>
      </c>
      <c r="I1690" s="519" t="s">
        <v>2836</v>
      </c>
      <c r="J1690" s="525" t="s">
        <v>1154</v>
      </c>
      <c r="K1690" s="415" t="s">
        <v>830</v>
      </c>
      <c r="L1690" s="415" t="s">
        <v>1305</v>
      </c>
      <c r="M1690" s="525">
        <v>1161</v>
      </c>
      <c r="N1690" s="558">
        <v>44581</v>
      </c>
      <c r="O1690" s="414" t="s">
        <v>404</v>
      </c>
      <c r="P1690" s="222">
        <f t="shared" si="114"/>
        <v>3</v>
      </c>
      <c r="Q1690" s="222">
        <f t="shared" si="115"/>
        <v>1</v>
      </c>
      <c r="R1690" s="568" t="str">
        <f t="shared" si="116"/>
        <v>Gastos_custeados_por_captação</v>
      </c>
      <c r="S1690" s="467" t="s">
        <v>1000</v>
      </c>
      <c r="T1690" s="467">
        <v>2788</v>
      </c>
      <c r="U1690" s="496"/>
      <c r="V1690" s="496"/>
      <c r="W1690" s="496"/>
    </row>
    <row r="1691" spans="1:23" s="478" customFormat="1" ht="45.6" customHeight="1" x14ac:dyDescent="0.2">
      <c r="A1691" s="510">
        <f t="shared" si="117"/>
        <v>1688</v>
      </c>
      <c r="B1691" s="512">
        <v>44645</v>
      </c>
      <c r="C1691" s="466">
        <v>44562</v>
      </c>
      <c r="D1691" s="415" t="s">
        <v>468</v>
      </c>
      <c r="E1691" s="415" t="s">
        <v>468</v>
      </c>
      <c r="F1691" s="565">
        <v>4250</v>
      </c>
      <c r="G1691" s="427" t="s">
        <v>734</v>
      </c>
      <c r="H1691" s="434" t="s">
        <v>468</v>
      </c>
      <c r="I1691" s="398" t="s">
        <v>2836</v>
      </c>
      <c r="J1691" s="415" t="s">
        <v>1154</v>
      </c>
      <c r="K1691" s="415" t="s">
        <v>830</v>
      </c>
      <c r="L1691" s="525" t="s">
        <v>1305</v>
      </c>
      <c r="M1691" s="525">
        <v>1161</v>
      </c>
      <c r="N1691" s="558">
        <v>44581</v>
      </c>
      <c r="O1691" s="414" t="s">
        <v>404</v>
      </c>
      <c r="P1691" s="222">
        <f t="shared" si="114"/>
        <v>3</v>
      </c>
      <c r="Q1691" s="222">
        <f t="shared" si="115"/>
        <v>1</v>
      </c>
      <c r="R1691" s="568" t="str">
        <f t="shared" si="116"/>
        <v>Gastos_custeados_por_captação</v>
      </c>
      <c r="S1691" s="467" t="s">
        <v>998</v>
      </c>
      <c r="T1691" s="467">
        <v>2788</v>
      </c>
      <c r="U1691" s="496"/>
      <c r="V1691" s="496"/>
      <c r="W1691" s="496"/>
    </row>
    <row r="1692" spans="1:23" s="478" customFormat="1" ht="61.15" customHeight="1" x14ac:dyDescent="0.2">
      <c r="A1692" s="510">
        <f t="shared" si="117"/>
        <v>1689</v>
      </c>
      <c r="B1692" s="512">
        <v>44645</v>
      </c>
      <c r="C1692" s="431">
        <v>44562</v>
      </c>
      <c r="D1692" s="415" t="s">
        <v>468</v>
      </c>
      <c r="E1692" s="415" t="s">
        <v>468</v>
      </c>
      <c r="F1692" s="565">
        <v>5303.62</v>
      </c>
      <c r="G1692" s="515" t="s">
        <v>733</v>
      </c>
      <c r="H1692" s="434" t="s">
        <v>468</v>
      </c>
      <c r="I1692" s="519" t="s">
        <v>3093</v>
      </c>
      <c r="J1692" s="525" t="s">
        <v>1153</v>
      </c>
      <c r="K1692" s="415" t="s">
        <v>812</v>
      </c>
      <c r="L1692" s="415" t="s">
        <v>32</v>
      </c>
      <c r="M1692" s="525">
        <v>202269</v>
      </c>
      <c r="N1692" s="558">
        <v>44628</v>
      </c>
      <c r="O1692" s="414" t="s">
        <v>402</v>
      </c>
      <c r="P1692" s="222">
        <f t="shared" si="114"/>
        <v>3</v>
      </c>
      <c r="Q1692" s="222">
        <f t="shared" si="115"/>
        <v>1</v>
      </c>
      <c r="R1692" s="568" t="str">
        <f t="shared" si="116"/>
        <v>Gastos_custeados_por_captação</v>
      </c>
      <c r="S1692" s="467" t="s">
        <v>998</v>
      </c>
      <c r="T1692" s="467">
        <v>2804</v>
      </c>
      <c r="U1692" s="496"/>
      <c r="V1692" s="496"/>
      <c r="W1692" s="496"/>
    </row>
    <row r="1693" spans="1:23" s="478" customFormat="1" ht="45.6" customHeight="1" x14ac:dyDescent="0.2">
      <c r="A1693" s="510">
        <f t="shared" si="117"/>
        <v>1690</v>
      </c>
      <c r="B1693" s="512">
        <v>44645</v>
      </c>
      <c r="C1693" s="466">
        <v>44593</v>
      </c>
      <c r="D1693" s="415" t="s">
        <v>468</v>
      </c>
      <c r="E1693" s="415" t="s">
        <v>468</v>
      </c>
      <c r="F1693" s="565">
        <v>114.16</v>
      </c>
      <c r="G1693" s="427" t="s">
        <v>3094</v>
      </c>
      <c r="H1693" s="434" t="s">
        <v>468</v>
      </c>
      <c r="I1693" s="398" t="s">
        <v>1461</v>
      </c>
      <c r="J1693" s="415" t="s">
        <v>310</v>
      </c>
      <c r="K1693" s="415" t="s">
        <v>1220</v>
      </c>
      <c r="L1693" s="525" t="s">
        <v>1368</v>
      </c>
      <c r="M1693" s="525" t="s">
        <v>310</v>
      </c>
      <c r="N1693" s="558">
        <v>44645</v>
      </c>
      <c r="O1693" s="414" t="s">
        <v>402</v>
      </c>
      <c r="P1693" s="222">
        <f t="shared" si="114"/>
        <v>3</v>
      </c>
      <c r="Q1693" s="222">
        <f t="shared" si="115"/>
        <v>2</v>
      </c>
      <c r="R1693" s="568" t="str">
        <f t="shared" si="116"/>
        <v>Gastos_custeados_por_captação</v>
      </c>
      <c r="S1693" s="467" t="s">
        <v>310</v>
      </c>
      <c r="T1693" s="467" t="s">
        <v>310</v>
      </c>
      <c r="U1693" s="496"/>
      <c r="V1693" s="496"/>
      <c r="W1693" s="496"/>
    </row>
    <row r="1694" spans="1:23" s="478" customFormat="1" ht="72" x14ac:dyDescent="0.2">
      <c r="A1694" s="510">
        <f t="shared" si="117"/>
        <v>1691</v>
      </c>
      <c r="B1694" s="563">
        <v>44645</v>
      </c>
      <c r="C1694" s="424">
        <v>44621</v>
      </c>
      <c r="D1694" s="415" t="s">
        <v>468</v>
      </c>
      <c r="E1694" s="415" t="s">
        <v>468</v>
      </c>
      <c r="F1694" s="498">
        <v>319.2</v>
      </c>
      <c r="G1694" s="415" t="s">
        <v>2419</v>
      </c>
      <c r="H1694" s="415" t="s">
        <v>468</v>
      </c>
      <c r="I1694" s="564" t="s">
        <v>3047</v>
      </c>
      <c r="J1694" s="468" t="s">
        <v>2420</v>
      </c>
      <c r="K1694" s="415" t="s">
        <v>3077</v>
      </c>
      <c r="L1694" s="525" t="s">
        <v>32</v>
      </c>
      <c r="M1694" s="485">
        <v>1461</v>
      </c>
      <c r="N1694" s="487">
        <v>44645</v>
      </c>
      <c r="O1694" s="414" t="s">
        <v>407</v>
      </c>
      <c r="P1694" s="222">
        <f t="shared" si="114"/>
        <v>3</v>
      </c>
      <c r="Q1694" s="222">
        <f t="shared" si="115"/>
        <v>3</v>
      </c>
      <c r="R1694" s="415" t="str">
        <f t="shared" si="116"/>
        <v>Gastos_custeados_por_captação</v>
      </c>
      <c r="S1694" s="467" t="s">
        <v>999</v>
      </c>
      <c r="T1694" s="467">
        <v>3269</v>
      </c>
      <c r="U1694" s="497"/>
      <c r="V1694" s="497"/>
      <c r="W1694" s="497"/>
    </row>
    <row r="1695" spans="1:23" s="478" customFormat="1" ht="72" x14ac:dyDescent="0.2">
      <c r="A1695" s="510">
        <f t="shared" si="117"/>
        <v>1692</v>
      </c>
      <c r="B1695" s="563">
        <v>44645</v>
      </c>
      <c r="C1695" s="424">
        <v>44621</v>
      </c>
      <c r="D1695" s="415" t="s">
        <v>468</v>
      </c>
      <c r="E1695" s="415" t="s">
        <v>468</v>
      </c>
      <c r="F1695" s="498">
        <v>131</v>
      </c>
      <c r="G1695" s="415" t="s">
        <v>2396</v>
      </c>
      <c r="H1695" s="415" t="s">
        <v>468</v>
      </c>
      <c r="I1695" s="564" t="s">
        <v>3048</v>
      </c>
      <c r="J1695" s="484" t="s">
        <v>3068</v>
      </c>
      <c r="K1695" s="415" t="s">
        <v>830</v>
      </c>
      <c r="L1695" s="415" t="s">
        <v>32</v>
      </c>
      <c r="M1695" s="485">
        <v>60</v>
      </c>
      <c r="N1695" s="487">
        <v>44644</v>
      </c>
      <c r="O1695" s="414" t="s">
        <v>407</v>
      </c>
      <c r="P1695" s="222">
        <f t="shared" si="114"/>
        <v>3</v>
      </c>
      <c r="Q1695" s="222">
        <f t="shared" si="115"/>
        <v>3</v>
      </c>
      <c r="R1695" s="415" t="str">
        <f t="shared" si="116"/>
        <v>Gastos_custeados_por_captação</v>
      </c>
      <c r="S1695" s="467" t="s">
        <v>999</v>
      </c>
      <c r="T1695" s="467">
        <v>3255</v>
      </c>
      <c r="U1695" s="497"/>
      <c r="V1695" s="497"/>
      <c r="W1695" s="497"/>
    </row>
    <row r="1696" spans="1:23" s="478" customFormat="1" ht="72" x14ac:dyDescent="0.2">
      <c r="A1696" s="510">
        <f t="shared" si="117"/>
        <v>1693</v>
      </c>
      <c r="B1696" s="563">
        <v>44645</v>
      </c>
      <c r="C1696" s="424">
        <v>44621</v>
      </c>
      <c r="D1696" s="415" t="s">
        <v>468</v>
      </c>
      <c r="E1696" s="415" t="s">
        <v>468</v>
      </c>
      <c r="F1696" s="498">
        <v>473</v>
      </c>
      <c r="G1696" s="415" t="s">
        <v>2418</v>
      </c>
      <c r="H1696" s="415" t="s">
        <v>468</v>
      </c>
      <c r="I1696" s="564" t="s">
        <v>3049</v>
      </c>
      <c r="J1696" s="484" t="s">
        <v>2056</v>
      </c>
      <c r="K1696" s="415" t="s">
        <v>830</v>
      </c>
      <c r="L1696" s="415" t="s">
        <v>32</v>
      </c>
      <c r="M1696" s="485">
        <v>1629</v>
      </c>
      <c r="N1696" s="487">
        <v>44645</v>
      </c>
      <c r="O1696" s="414" t="s">
        <v>407</v>
      </c>
      <c r="P1696" s="222">
        <f t="shared" si="114"/>
        <v>3</v>
      </c>
      <c r="Q1696" s="222">
        <f t="shared" si="115"/>
        <v>3</v>
      </c>
      <c r="R1696" s="415" t="str">
        <f t="shared" si="116"/>
        <v>Gastos_custeados_por_captação</v>
      </c>
      <c r="S1696" s="467" t="s">
        <v>999</v>
      </c>
      <c r="T1696" s="467">
        <v>3267</v>
      </c>
      <c r="U1696" s="497"/>
      <c r="V1696" s="497"/>
      <c r="W1696" s="497"/>
    </row>
    <row r="1697" spans="1:23" s="478" customFormat="1" ht="61.15" customHeight="1" x14ac:dyDescent="0.2">
      <c r="A1697" s="510">
        <f t="shared" si="117"/>
        <v>1694</v>
      </c>
      <c r="B1697" s="512">
        <v>44648</v>
      </c>
      <c r="C1697" s="466">
        <v>44621</v>
      </c>
      <c r="D1697" s="415" t="s">
        <v>271</v>
      </c>
      <c r="E1697" s="415" t="s">
        <v>71</v>
      </c>
      <c r="F1697" s="481">
        <v>11</v>
      </c>
      <c r="G1697" s="427" t="s">
        <v>2221</v>
      </c>
      <c r="H1697" s="415" t="s">
        <v>309</v>
      </c>
      <c r="I1697" s="519" t="s">
        <v>881</v>
      </c>
      <c r="J1697" s="526" t="s">
        <v>882</v>
      </c>
      <c r="K1697" s="418" t="s">
        <v>883</v>
      </c>
      <c r="L1697" s="399" t="s">
        <v>798</v>
      </c>
      <c r="M1697" s="557" t="s">
        <v>310</v>
      </c>
      <c r="N1697" s="558">
        <v>44648</v>
      </c>
      <c r="O1697" s="414" t="s">
        <v>400</v>
      </c>
      <c r="P1697" s="222">
        <f t="shared" si="114"/>
        <v>3</v>
      </c>
      <c r="Q1697" s="222">
        <f t="shared" si="115"/>
        <v>3</v>
      </c>
      <c r="R1697" s="568" t="str">
        <f t="shared" si="116"/>
        <v>Gastos_Gerais</v>
      </c>
      <c r="S1697" s="467" t="s">
        <v>310</v>
      </c>
      <c r="T1697" s="467" t="s">
        <v>310</v>
      </c>
      <c r="U1697" s="496"/>
      <c r="V1697" s="496"/>
      <c r="W1697" s="496"/>
    </row>
    <row r="1698" spans="1:23" s="478" customFormat="1" ht="45.6" customHeight="1" x14ac:dyDescent="0.2">
      <c r="A1698" s="510">
        <f t="shared" si="117"/>
        <v>1695</v>
      </c>
      <c r="B1698" s="512">
        <v>44648</v>
      </c>
      <c r="C1698" s="466">
        <v>44621</v>
      </c>
      <c r="D1698" s="415" t="s">
        <v>271</v>
      </c>
      <c r="E1698" s="415" t="s">
        <v>71</v>
      </c>
      <c r="F1698" s="555">
        <v>11</v>
      </c>
      <c r="G1698" s="427" t="s">
        <v>2452</v>
      </c>
      <c r="H1698" s="415" t="s">
        <v>309</v>
      </c>
      <c r="I1698" s="519" t="s">
        <v>881</v>
      </c>
      <c r="J1698" s="526" t="s">
        <v>882</v>
      </c>
      <c r="K1698" s="418" t="s">
        <v>883</v>
      </c>
      <c r="L1698" s="399" t="s">
        <v>798</v>
      </c>
      <c r="M1698" s="557" t="s">
        <v>310</v>
      </c>
      <c r="N1698" s="558">
        <v>44648</v>
      </c>
      <c r="O1698" s="414" t="s">
        <v>400</v>
      </c>
      <c r="P1698" s="222">
        <f t="shared" si="114"/>
        <v>3</v>
      </c>
      <c r="Q1698" s="222">
        <f t="shared" si="115"/>
        <v>3</v>
      </c>
      <c r="R1698" s="568" t="str">
        <f t="shared" si="116"/>
        <v>Gastos_Gerais</v>
      </c>
      <c r="S1698" s="467" t="s">
        <v>310</v>
      </c>
      <c r="T1698" s="467" t="s">
        <v>310</v>
      </c>
      <c r="U1698" s="496"/>
      <c r="V1698" s="496"/>
      <c r="W1698" s="496"/>
    </row>
    <row r="1699" spans="1:23" s="478" customFormat="1" ht="45.6" customHeight="1" x14ac:dyDescent="0.2">
      <c r="A1699" s="510">
        <f t="shared" si="117"/>
        <v>1696</v>
      </c>
      <c r="B1699" s="512">
        <v>44648</v>
      </c>
      <c r="C1699" s="466">
        <v>44621</v>
      </c>
      <c r="D1699" s="415" t="s">
        <v>271</v>
      </c>
      <c r="E1699" s="415" t="s">
        <v>71</v>
      </c>
      <c r="F1699" s="481">
        <v>11</v>
      </c>
      <c r="G1699" s="427" t="s">
        <v>2451</v>
      </c>
      <c r="H1699" s="415" t="s">
        <v>757</v>
      </c>
      <c r="I1699" s="519" t="s">
        <v>881</v>
      </c>
      <c r="J1699" s="418" t="s">
        <v>882</v>
      </c>
      <c r="K1699" s="418" t="s">
        <v>883</v>
      </c>
      <c r="L1699" s="488" t="s">
        <v>798</v>
      </c>
      <c r="M1699" s="557" t="s">
        <v>310</v>
      </c>
      <c r="N1699" s="558">
        <v>44648</v>
      </c>
      <c r="O1699" s="414" t="s">
        <v>400</v>
      </c>
      <c r="P1699" s="222">
        <f t="shared" si="114"/>
        <v>3</v>
      </c>
      <c r="Q1699" s="222">
        <f t="shared" si="115"/>
        <v>3</v>
      </c>
      <c r="R1699" s="568" t="str">
        <f t="shared" si="116"/>
        <v>Gastos_Gerais</v>
      </c>
      <c r="S1699" s="467" t="s">
        <v>310</v>
      </c>
      <c r="T1699" s="467" t="s">
        <v>310</v>
      </c>
      <c r="U1699" s="496"/>
      <c r="V1699" s="496"/>
      <c r="W1699" s="496"/>
    </row>
    <row r="1700" spans="1:23" s="478" customFormat="1" ht="45.6" customHeight="1" x14ac:dyDescent="0.2">
      <c r="A1700" s="510">
        <f t="shared" si="117"/>
        <v>1697</v>
      </c>
      <c r="B1700" s="512">
        <v>44648</v>
      </c>
      <c r="C1700" s="466">
        <v>44621</v>
      </c>
      <c r="D1700" s="415" t="s">
        <v>271</v>
      </c>
      <c r="E1700" s="415" t="s">
        <v>456</v>
      </c>
      <c r="F1700" s="481">
        <v>77.8</v>
      </c>
      <c r="G1700" s="427" t="s">
        <v>2435</v>
      </c>
      <c r="H1700" s="415" t="s">
        <v>757</v>
      </c>
      <c r="I1700" s="479" t="s">
        <v>2449</v>
      </c>
      <c r="J1700" s="525" t="s">
        <v>2434</v>
      </c>
      <c r="K1700" s="415" t="s">
        <v>830</v>
      </c>
      <c r="L1700" s="415" t="s">
        <v>807</v>
      </c>
      <c r="M1700" s="525" t="s">
        <v>2450</v>
      </c>
      <c r="N1700" s="558">
        <v>44645</v>
      </c>
      <c r="O1700" s="414" t="s">
        <v>400</v>
      </c>
      <c r="P1700" s="222">
        <f t="shared" si="114"/>
        <v>3</v>
      </c>
      <c r="Q1700" s="222">
        <f t="shared" si="115"/>
        <v>3</v>
      </c>
      <c r="R1700" s="568" t="str">
        <f t="shared" si="116"/>
        <v>Gastos_Gerais</v>
      </c>
      <c r="S1700" s="467" t="s">
        <v>1303</v>
      </c>
      <c r="T1700" s="467">
        <v>3260</v>
      </c>
      <c r="U1700" s="496"/>
      <c r="V1700" s="496"/>
      <c r="W1700" s="496"/>
    </row>
    <row r="1701" spans="1:23" s="478" customFormat="1" ht="45.6" customHeight="1" x14ac:dyDescent="0.2">
      <c r="A1701" s="510">
        <f t="shared" si="117"/>
        <v>1698</v>
      </c>
      <c r="B1701" s="512">
        <v>44648</v>
      </c>
      <c r="C1701" s="466">
        <v>44621</v>
      </c>
      <c r="D1701" s="415" t="s">
        <v>271</v>
      </c>
      <c r="E1701" s="415" t="s">
        <v>84</v>
      </c>
      <c r="F1701" s="481">
        <v>71.5</v>
      </c>
      <c r="G1701" s="437" t="s">
        <v>1479</v>
      </c>
      <c r="H1701" s="434" t="s">
        <v>750</v>
      </c>
      <c r="I1701" s="517" t="s">
        <v>766</v>
      </c>
      <c r="J1701" s="525" t="s">
        <v>1019</v>
      </c>
      <c r="K1701" s="418" t="s">
        <v>1392</v>
      </c>
      <c r="L1701" s="399" t="s">
        <v>1372</v>
      </c>
      <c r="M1701" s="557" t="s">
        <v>2433</v>
      </c>
      <c r="N1701" s="558">
        <v>44635</v>
      </c>
      <c r="O1701" s="414" t="s">
        <v>400</v>
      </c>
      <c r="P1701" s="222">
        <f t="shared" si="114"/>
        <v>3</v>
      </c>
      <c r="Q1701" s="222">
        <f t="shared" si="115"/>
        <v>3</v>
      </c>
      <c r="R1701" s="568" t="str">
        <f t="shared" si="116"/>
        <v>Gastos_Gerais</v>
      </c>
      <c r="S1701" s="467" t="s">
        <v>310</v>
      </c>
      <c r="T1701" s="467" t="s">
        <v>310</v>
      </c>
      <c r="U1701" s="496"/>
      <c r="V1701" s="496"/>
      <c r="W1701" s="496"/>
    </row>
    <row r="1702" spans="1:23" s="478" customFormat="1" ht="72" x14ac:dyDescent="0.2">
      <c r="A1702" s="510">
        <f t="shared" si="117"/>
        <v>1699</v>
      </c>
      <c r="B1702" s="563">
        <v>44648</v>
      </c>
      <c r="C1702" s="424">
        <v>44621</v>
      </c>
      <c r="D1702" s="415" t="s">
        <v>468</v>
      </c>
      <c r="E1702" s="415" t="s">
        <v>468</v>
      </c>
      <c r="F1702" s="498">
        <v>455.2</v>
      </c>
      <c r="G1702" s="588" t="s">
        <v>2446</v>
      </c>
      <c r="H1702" s="415" t="s">
        <v>468</v>
      </c>
      <c r="I1702" s="564" t="s">
        <v>3050</v>
      </c>
      <c r="J1702" s="484" t="s">
        <v>2447</v>
      </c>
      <c r="K1702" s="415" t="s">
        <v>3077</v>
      </c>
      <c r="L1702" s="415" t="s">
        <v>32</v>
      </c>
      <c r="M1702" s="485">
        <v>1452</v>
      </c>
      <c r="N1702" s="487">
        <v>44648</v>
      </c>
      <c r="O1702" s="414" t="s">
        <v>407</v>
      </c>
      <c r="P1702" s="222">
        <f t="shared" si="114"/>
        <v>3</v>
      </c>
      <c r="Q1702" s="222">
        <f t="shared" si="115"/>
        <v>3</v>
      </c>
      <c r="R1702" s="415" t="str">
        <f t="shared" si="116"/>
        <v>Gastos_custeados_por_captação</v>
      </c>
      <c r="S1702" s="467" t="s">
        <v>999</v>
      </c>
      <c r="T1702" s="467">
        <v>3254</v>
      </c>
      <c r="U1702" s="497"/>
      <c r="V1702" s="497"/>
      <c r="W1702" s="497"/>
    </row>
    <row r="1703" spans="1:23" s="478" customFormat="1" ht="72" x14ac:dyDescent="0.2">
      <c r="A1703" s="510">
        <f t="shared" si="117"/>
        <v>1700</v>
      </c>
      <c r="B1703" s="563">
        <v>44648</v>
      </c>
      <c r="C1703" s="424">
        <v>44621</v>
      </c>
      <c r="D1703" s="415" t="s">
        <v>468</v>
      </c>
      <c r="E1703" s="415" t="s">
        <v>468</v>
      </c>
      <c r="F1703" s="498">
        <v>11875</v>
      </c>
      <c r="G1703" s="589" t="s">
        <v>1980</v>
      </c>
      <c r="H1703" s="415" t="s">
        <v>468</v>
      </c>
      <c r="I1703" s="461" t="s">
        <v>3051</v>
      </c>
      <c r="J1703" s="468" t="s">
        <v>1981</v>
      </c>
      <c r="K1703" s="415" t="s">
        <v>830</v>
      </c>
      <c r="L1703" s="415" t="s">
        <v>32</v>
      </c>
      <c r="M1703" s="464">
        <v>9746</v>
      </c>
      <c r="N1703" s="469">
        <v>44645</v>
      </c>
      <c r="O1703" s="414" t="s">
        <v>407</v>
      </c>
      <c r="P1703" s="222">
        <f t="shared" si="114"/>
        <v>3</v>
      </c>
      <c r="Q1703" s="222">
        <f t="shared" si="115"/>
        <v>3</v>
      </c>
      <c r="R1703" s="415" t="str">
        <f t="shared" si="116"/>
        <v>Gastos_custeados_por_captação</v>
      </c>
      <c r="S1703" s="467" t="s">
        <v>1000</v>
      </c>
      <c r="T1703" s="467">
        <v>2913</v>
      </c>
      <c r="U1703" s="497"/>
      <c r="V1703" s="497"/>
      <c r="W1703" s="497"/>
    </row>
    <row r="1704" spans="1:23" s="478" customFormat="1" ht="72" x14ac:dyDescent="0.2">
      <c r="A1704" s="510">
        <f t="shared" si="117"/>
        <v>1701</v>
      </c>
      <c r="B1704" s="563">
        <v>44648</v>
      </c>
      <c r="C1704" s="424">
        <v>44621</v>
      </c>
      <c r="D1704" s="415" t="s">
        <v>468</v>
      </c>
      <c r="E1704" s="415" t="s">
        <v>468</v>
      </c>
      <c r="F1704" s="498">
        <v>3846.73</v>
      </c>
      <c r="G1704" s="461" t="s">
        <v>3133</v>
      </c>
      <c r="H1704" s="415" t="s">
        <v>468</v>
      </c>
      <c r="I1704" s="461" t="s">
        <v>3035</v>
      </c>
      <c r="J1704" s="468" t="s">
        <v>2445</v>
      </c>
      <c r="K1704" s="415" t="s">
        <v>830</v>
      </c>
      <c r="L1704" s="415" t="s">
        <v>32</v>
      </c>
      <c r="M1704" s="464">
        <v>51305</v>
      </c>
      <c r="N1704" s="469">
        <v>44646</v>
      </c>
      <c r="O1704" s="414" t="s">
        <v>407</v>
      </c>
      <c r="P1704" s="222">
        <f t="shared" ref="P1704:P1739" si="118">IF(B1704=0,0,IF(YEAR(B1704)=$Q$1,MONTH(B1704)-$P$1+1,(YEAR(B1704)-$Q$1)*12-$P$1+1+MONTH(B1704)))</f>
        <v>3</v>
      </c>
      <c r="Q1704" s="222">
        <f t="shared" ref="Q1704:Q1739" si="119">IF(C1704=0,0,IF(YEAR(C1704)=$Q$1,MONTH(C1704)-$P$1+1,(YEAR(C1704)-$Q$1)*12-$P$1+1+MONTH(C1704)))</f>
        <v>3</v>
      </c>
      <c r="R1704" s="415" t="str">
        <f t="shared" ref="R1704:R1739" si="120">SUBSTITUTE(D1704," ","_")</f>
        <v>Gastos_custeados_por_captação</v>
      </c>
      <c r="S1704" s="467" t="s">
        <v>999</v>
      </c>
      <c r="T1704" s="467">
        <v>3194</v>
      </c>
      <c r="U1704" s="497"/>
      <c r="V1704" s="497"/>
      <c r="W1704" s="497"/>
    </row>
    <row r="1705" spans="1:23" s="478" customFormat="1" ht="72" x14ac:dyDescent="0.2">
      <c r="A1705" s="510">
        <f t="shared" si="117"/>
        <v>1702</v>
      </c>
      <c r="B1705" s="563">
        <v>44648</v>
      </c>
      <c r="C1705" s="424">
        <v>44621</v>
      </c>
      <c r="D1705" s="415" t="s">
        <v>468</v>
      </c>
      <c r="E1705" s="415" t="s">
        <v>468</v>
      </c>
      <c r="F1705" s="498">
        <v>11684.88</v>
      </c>
      <c r="G1705" s="461" t="s">
        <v>3134</v>
      </c>
      <c r="H1705" s="415" t="s">
        <v>468</v>
      </c>
      <c r="I1705" s="461" t="s">
        <v>780</v>
      </c>
      <c r="J1705" s="468" t="s">
        <v>1051</v>
      </c>
      <c r="K1705" s="415" t="s">
        <v>830</v>
      </c>
      <c r="L1705" s="415" t="s">
        <v>32</v>
      </c>
      <c r="M1705" s="464">
        <v>74.888888888888886</v>
      </c>
      <c r="N1705" s="469">
        <v>44641</v>
      </c>
      <c r="O1705" s="414" t="s">
        <v>407</v>
      </c>
      <c r="P1705" s="222">
        <f t="shared" si="118"/>
        <v>3</v>
      </c>
      <c r="Q1705" s="222">
        <f t="shared" si="119"/>
        <v>3</v>
      </c>
      <c r="R1705" s="415" t="str">
        <f t="shared" si="120"/>
        <v>Gastos_custeados_por_captação</v>
      </c>
      <c r="S1705" s="467" t="s">
        <v>1000</v>
      </c>
      <c r="T1705" s="467">
        <v>3064</v>
      </c>
      <c r="U1705" s="497"/>
      <c r="V1705" s="497"/>
      <c r="W1705" s="497"/>
    </row>
    <row r="1706" spans="1:23" s="478" customFormat="1" ht="72" x14ac:dyDescent="0.2">
      <c r="A1706" s="510">
        <f t="shared" si="117"/>
        <v>1703</v>
      </c>
      <c r="B1706" s="563">
        <v>44648</v>
      </c>
      <c r="C1706" s="424">
        <v>44621</v>
      </c>
      <c r="D1706" s="415" t="s">
        <v>468</v>
      </c>
      <c r="E1706" s="415" t="s">
        <v>468</v>
      </c>
      <c r="F1706" s="498">
        <v>369.19</v>
      </c>
      <c r="G1706" s="415" t="s">
        <v>2422</v>
      </c>
      <c r="H1706" s="415" t="s">
        <v>468</v>
      </c>
      <c r="I1706" s="562" t="s">
        <v>3053</v>
      </c>
      <c r="J1706" s="468" t="s">
        <v>2421</v>
      </c>
      <c r="K1706" s="415" t="s">
        <v>3077</v>
      </c>
      <c r="L1706" s="415" t="s">
        <v>32</v>
      </c>
      <c r="M1706" s="399">
        <v>31159</v>
      </c>
      <c r="N1706" s="469">
        <v>44645</v>
      </c>
      <c r="O1706" s="414" t="s">
        <v>407</v>
      </c>
      <c r="P1706" s="222">
        <f t="shared" si="118"/>
        <v>3</v>
      </c>
      <c r="Q1706" s="222">
        <f t="shared" si="119"/>
        <v>3</v>
      </c>
      <c r="R1706" s="415" t="str">
        <f t="shared" si="120"/>
        <v>Gastos_custeados_por_captação</v>
      </c>
      <c r="S1706" s="467" t="s">
        <v>999</v>
      </c>
      <c r="T1706" s="467">
        <v>3253</v>
      </c>
      <c r="U1706" s="497"/>
      <c r="V1706" s="497"/>
      <c r="W1706" s="497"/>
    </row>
    <row r="1707" spans="1:23" s="478" customFormat="1" ht="45.6" customHeight="1" x14ac:dyDescent="0.2">
      <c r="A1707" s="510">
        <f t="shared" si="117"/>
        <v>1704</v>
      </c>
      <c r="B1707" s="512">
        <v>44649</v>
      </c>
      <c r="C1707" s="424">
        <v>44621</v>
      </c>
      <c r="D1707" s="415" t="s">
        <v>271</v>
      </c>
      <c r="E1707" s="415" t="s">
        <v>456</v>
      </c>
      <c r="F1707" s="481">
        <v>41.85</v>
      </c>
      <c r="G1707" s="427" t="s">
        <v>2532</v>
      </c>
      <c r="H1707" s="415" t="s">
        <v>757</v>
      </c>
      <c r="I1707" s="473" t="s">
        <v>2556</v>
      </c>
      <c r="J1707" s="415" t="s">
        <v>2531</v>
      </c>
      <c r="K1707" s="415" t="s">
        <v>812</v>
      </c>
      <c r="L1707" s="415" t="s">
        <v>807</v>
      </c>
      <c r="M1707" s="415">
        <v>429517</v>
      </c>
      <c r="N1707" s="414">
        <v>44649</v>
      </c>
      <c r="O1707" s="414" t="s">
        <v>400</v>
      </c>
      <c r="P1707" s="222">
        <f t="shared" si="118"/>
        <v>3</v>
      </c>
      <c r="Q1707" s="222">
        <f t="shared" si="119"/>
        <v>3</v>
      </c>
      <c r="R1707" s="568" t="str">
        <f t="shared" si="120"/>
        <v>Gastos_Gerais</v>
      </c>
      <c r="S1707" s="467" t="s">
        <v>999</v>
      </c>
      <c r="T1707" s="467">
        <v>3283</v>
      </c>
      <c r="U1707" s="496"/>
      <c r="V1707" s="496"/>
      <c r="W1707" s="496"/>
    </row>
    <row r="1708" spans="1:23" s="478" customFormat="1" ht="45.6" customHeight="1" x14ac:dyDescent="0.2">
      <c r="A1708" s="510">
        <f t="shared" si="117"/>
        <v>1705</v>
      </c>
      <c r="B1708" s="512">
        <v>44649</v>
      </c>
      <c r="C1708" s="424">
        <v>44621</v>
      </c>
      <c r="D1708" s="415" t="s">
        <v>182</v>
      </c>
      <c r="E1708" s="415" t="s">
        <v>161</v>
      </c>
      <c r="F1708" s="481">
        <v>1139.3399999999999</v>
      </c>
      <c r="G1708" s="427" t="s">
        <v>1495</v>
      </c>
      <c r="H1708" s="415" t="s">
        <v>310</v>
      </c>
      <c r="I1708" s="473" t="s">
        <v>1496</v>
      </c>
      <c r="J1708" s="548" t="s">
        <v>1497</v>
      </c>
      <c r="K1708" s="415" t="s">
        <v>812</v>
      </c>
      <c r="L1708" s="415" t="s">
        <v>807</v>
      </c>
      <c r="M1708" s="415" t="s">
        <v>3144</v>
      </c>
      <c r="N1708" s="414">
        <v>44650</v>
      </c>
      <c r="O1708" s="414" t="s">
        <v>400</v>
      </c>
      <c r="P1708" s="222">
        <f t="shared" si="118"/>
        <v>3</v>
      </c>
      <c r="Q1708" s="222">
        <f t="shared" si="119"/>
        <v>3</v>
      </c>
      <c r="R1708" s="568" t="str">
        <f t="shared" si="120"/>
        <v>Gastos_com_Pessoal</v>
      </c>
      <c r="S1708" s="467" t="s">
        <v>310</v>
      </c>
      <c r="T1708" s="467" t="s">
        <v>310</v>
      </c>
      <c r="U1708" s="496"/>
      <c r="V1708" s="496"/>
      <c r="W1708" s="496"/>
    </row>
    <row r="1709" spans="1:23" s="478" customFormat="1" ht="45.6" customHeight="1" x14ac:dyDescent="0.2">
      <c r="A1709" s="510">
        <f t="shared" si="117"/>
        <v>1706</v>
      </c>
      <c r="B1709" s="512">
        <v>44649</v>
      </c>
      <c r="C1709" s="424">
        <v>44621</v>
      </c>
      <c r="D1709" s="415" t="s">
        <v>182</v>
      </c>
      <c r="E1709" s="415" t="s">
        <v>161</v>
      </c>
      <c r="F1709" s="481">
        <v>1529.12</v>
      </c>
      <c r="G1709" s="427" t="s">
        <v>1495</v>
      </c>
      <c r="H1709" s="415" t="s">
        <v>310</v>
      </c>
      <c r="I1709" s="473" t="s">
        <v>2008</v>
      </c>
      <c r="J1709" s="548" t="s">
        <v>2009</v>
      </c>
      <c r="K1709" s="415" t="s">
        <v>812</v>
      </c>
      <c r="L1709" s="415" t="s">
        <v>807</v>
      </c>
      <c r="M1709" s="415" t="s">
        <v>3146</v>
      </c>
      <c r="N1709" s="414">
        <v>44651</v>
      </c>
      <c r="O1709" s="414" t="s">
        <v>400</v>
      </c>
      <c r="P1709" s="222">
        <f t="shared" si="118"/>
        <v>3</v>
      </c>
      <c r="Q1709" s="222">
        <f t="shared" si="119"/>
        <v>3</v>
      </c>
      <c r="R1709" s="568" t="str">
        <f t="shared" si="120"/>
        <v>Gastos_com_Pessoal</v>
      </c>
      <c r="S1709" s="467" t="s">
        <v>310</v>
      </c>
      <c r="T1709" s="467" t="s">
        <v>310</v>
      </c>
      <c r="U1709" s="496"/>
      <c r="V1709" s="496"/>
      <c r="W1709" s="496"/>
    </row>
    <row r="1710" spans="1:23" s="478" customFormat="1" ht="45.6" customHeight="1" x14ac:dyDescent="0.2">
      <c r="A1710" s="510">
        <f t="shared" si="117"/>
        <v>1707</v>
      </c>
      <c r="B1710" s="512">
        <v>44649</v>
      </c>
      <c r="C1710" s="424">
        <v>44621</v>
      </c>
      <c r="D1710" s="415" t="s">
        <v>182</v>
      </c>
      <c r="E1710" s="415" t="s">
        <v>6</v>
      </c>
      <c r="F1710" s="481">
        <v>25489.74</v>
      </c>
      <c r="G1710" s="440" t="s">
        <v>1494</v>
      </c>
      <c r="H1710" s="415" t="s">
        <v>310</v>
      </c>
      <c r="I1710" s="474" t="s">
        <v>1486</v>
      </c>
      <c r="J1710" s="418" t="s">
        <v>1487</v>
      </c>
      <c r="K1710" s="418" t="s">
        <v>812</v>
      </c>
      <c r="L1710" s="399" t="s">
        <v>807</v>
      </c>
      <c r="M1710" s="544">
        <v>724130</v>
      </c>
      <c r="N1710" s="414">
        <v>44653</v>
      </c>
      <c r="O1710" s="414" t="s">
        <v>400</v>
      </c>
      <c r="P1710" s="222">
        <f t="shared" si="118"/>
        <v>3</v>
      </c>
      <c r="Q1710" s="222">
        <f t="shared" si="119"/>
        <v>3</v>
      </c>
      <c r="R1710" s="568" t="str">
        <f t="shared" si="120"/>
        <v>Gastos_com_Pessoal</v>
      </c>
      <c r="S1710" s="467" t="s">
        <v>310</v>
      </c>
      <c r="T1710" s="467" t="s">
        <v>310</v>
      </c>
      <c r="U1710" s="496"/>
      <c r="V1710" s="496"/>
      <c r="W1710" s="496"/>
    </row>
    <row r="1711" spans="1:23" s="478" customFormat="1" ht="45.6" customHeight="1" x14ac:dyDescent="0.2">
      <c r="A1711" s="510">
        <f t="shared" si="117"/>
        <v>1708</v>
      </c>
      <c r="B1711" s="512">
        <v>44649</v>
      </c>
      <c r="C1711" s="424">
        <v>44621</v>
      </c>
      <c r="D1711" s="415" t="s">
        <v>182</v>
      </c>
      <c r="E1711" s="415" t="s">
        <v>6</v>
      </c>
      <c r="F1711" s="481">
        <v>3920.52</v>
      </c>
      <c r="G1711" s="440" t="s">
        <v>1493</v>
      </c>
      <c r="H1711" s="415" t="s">
        <v>310</v>
      </c>
      <c r="I1711" s="474" t="s">
        <v>1486</v>
      </c>
      <c r="J1711" s="418" t="s">
        <v>1487</v>
      </c>
      <c r="K1711" s="418" t="s">
        <v>812</v>
      </c>
      <c r="L1711" s="399" t="s">
        <v>807</v>
      </c>
      <c r="M1711" s="544" t="s">
        <v>2695</v>
      </c>
      <c r="N1711" s="414">
        <v>44653</v>
      </c>
      <c r="O1711" s="414" t="s">
        <v>400</v>
      </c>
      <c r="P1711" s="222">
        <f t="shared" si="118"/>
        <v>3</v>
      </c>
      <c r="Q1711" s="222">
        <f t="shared" si="119"/>
        <v>3</v>
      </c>
      <c r="R1711" s="568" t="str">
        <f t="shared" si="120"/>
        <v>Gastos_com_Pessoal</v>
      </c>
      <c r="S1711" s="467" t="s">
        <v>310</v>
      </c>
      <c r="T1711" s="467" t="s">
        <v>310</v>
      </c>
      <c r="U1711" s="496"/>
      <c r="V1711" s="496"/>
      <c r="W1711" s="496"/>
    </row>
    <row r="1712" spans="1:23" s="478" customFormat="1" ht="45.6" customHeight="1" x14ac:dyDescent="0.2">
      <c r="A1712" s="510">
        <f t="shared" si="117"/>
        <v>1709</v>
      </c>
      <c r="B1712" s="512">
        <v>44649</v>
      </c>
      <c r="C1712" s="424">
        <v>44621</v>
      </c>
      <c r="D1712" s="415" t="s">
        <v>271</v>
      </c>
      <c r="E1712" s="415" t="s">
        <v>456</v>
      </c>
      <c r="F1712" s="481">
        <v>93.46</v>
      </c>
      <c r="G1712" s="427" t="s">
        <v>2530</v>
      </c>
      <c r="H1712" s="415" t="s">
        <v>757</v>
      </c>
      <c r="I1712" s="479" t="s">
        <v>2449</v>
      </c>
      <c r="J1712" s="525" t="s">
        <v>2434</v>
      </c>
      <c r="K1712" s="415" t="s">
        <v>830</v>
      </c>
      <c r="L1712" s="415" t="s">
        <v>807</v>
      </c>
      <c r="M1712" s="525" t="s">
        <v>2555</v>
      </c>
      <c r="N1712" s="558">
        <v>44649</v>
      </c>
      <c r="O1712" s="414" t="s">
        <v>400</v>
      </c>
      <c r="P1712" s="222">
        <f t="shared" si="118"/>
        <v>3</v>
      </c>
      <c r="Q1712" s="222">
        <f t="shared" si="119"/>
        <v>3</v>
      </c>
      <c r="R1712" s="568" t="str">
        <f t="shared" si="120"/>
        <v>Gastos_Gerais</v>
      </c>
      <c r="S1712" s="467" t="s">
        <v>999</v>
      </c>
      <c r="T1712" s="467">
        <v>3282</v>
      </c>
      <c r="U1712" s="496"/>
      <c r="V1712" s="496"/>
      <c r="W1712" s="496"/>
    </row>
    <row r="1713" spans="1:23" s="478" customFormat="1" ht="37.15" customHeight="1" x14ac:dyDescent="0.2">
      <c r="A1713" s="510">
        <f t="shared" si="117"/>
        <v>1710</v>
      </c>
      <c r="B1713" s="512">
        <v>44649</v>
      </c>
      <c r="C1713" s="424">
        <v>44621</v>
      </c>
      <c r="D1713" s="415" t="s">
        <v>271</v>
      </c>
      <c r="E1713" s="415" t="s">
        <v>71</v>
      </c>
      <c r="F1713" s="481">
        <v>11</v>
      </c>
      <c r="G1713" s="427" t="s">
        <v>2562</v>
      </c>
      <c r="H1713" s="415" t="s">
        <v>757</v>
      </c>
      <c r="I1713" s="519" t="s">
        <v>881</v>
      </c>
      <c r="J1713" s="418" t="s">
        <v>882</v>
      </c>
      <c r="K1713" s="418" t="s">
        <v>883</v>
      </c>
      <c r="L1713" s="399" t="s">
        <v>798</v>
      </c>
      <c r="M1713" s="557" t="s">
        <v>310</v>
      </c>
      <c r="N1713" s="558">
        <v>44649</v>
      </c>
      <c r="O1713" s="414" t="s">
        <v>400</v>
      </c>
      <c r="P1713" s="222">
        <f t="shared" si="118"/>
        <v>3</v>
      </c>
      <c r="Q1713" s="222">
        <f t="shared" si="119"/>
        <v>3</v>
      </c>
      <c r="R1713" s="568" t="str">
        <f t="shared" si="120"/>
        <v>Gastos_Gerais</v>
      </c>
      <c r="S1713" s="467" t="s">
        <v>310</v>
      </c>
      <c r="T1713" s="467" t="s">
        <v>310</v>
      </c>
      <c r="U1713" s="496"/>
      <c r="V1713" s="496"/>
      <c r="W1713" s="496"/>
    </row>
    <row r="1714" spans="1:23" s="478" customFormat="1" ht="37.15" customHeight="1" x14ac:dyDescent="0.2">
      <c r="A1714" s="510">
        <f t="shared" si="117"/>
        <v>1711</v>
      </c>
      <c r="B1714" s="512">
        <v>44649</v>
      </c>
      <c r="C1714" s="424">
        <v>44621</v>
      </c>
      <c r="D1714" s="415" t="s">
        <v>271</v>
      </c>
      <c r="E1714" s="415" t="s">
        <v>71</v>
      </c>
      <c r="F1714" s="481">
        <v>11</v>
      </c>
      <c r="G1714" s="427" t="s">
        <v>2561</v>
      </c>
      <c r="H1714" s="415" t="s">
        <v>756</v>
      </c>
      <c r="I1714" s="519" t="s">
        <v>881</v>
      </c>
      <c r="J1714" s="418" t="s">
        <v>882</v>
      </c>
      <c r="K1714" s="418" t="s">
        <v>883</v>
      </c>
      <c r="L1714" s="399" t="s">
        <v>798</v>
      </c>
      <c r="M1714" s="557" t="s">
        <v>310</v>
      </c>
      <c r="N1714" s="558">
        <v>44649</v>
      </c>
      <c r="O1714" s="414" t="s">
        <v>400</v>
      </c>
      <c r="P1714" s="222">
        <f t="shared" si="118"/>
        <v>3</v>
      </c>
      <c r="Q1714" s="222">
        <f t="shared" si="119"/>
        <v>3</v>
      </c>
      <c r="R1714" s="568" t="str">
        <f t="shared" si="120"/>
        <v>Gastos_Gerais</v>
      </c>
      <c r="S1714" s="467" t="s">
        <v>310</v>
      </c>
      <c r="T1714" s="467" t="s">
        <v>310</v>
      </c>
      <c r="U1714" s="496"/>
      <c r="V1714" s="496"/>
      <c r="W1714" s="496"/>
    </row>
    <row r="1715" spans="1:23" s="478" customFormat="1" ht="37.15" customHeight="1" x14ac:dyDescent="0.2">
      <c r="A1715" s="510">
        <f t="shared" si="117"/>
        <v>1712</v>
      </c>
      <c r="B1715" s="512">
        <v>44649</v>
      </c>
      <c r="C1715" s="424">
        <v>44621</v>
      </c>
      <c r="D1715" s="415" t="s">
        <v>271</v>
      </c>
      <c r="E1715" s="415" t="s">
        <v>71</v>
      </c>
      <c r="F1715" s="481">
        <v>11</v>
      </c>
      <c r="G1715" s="427" t="s">
        <v>2563</v>
      </c>
      <c r="H1715" s="415" t="s">
        <v>748</v>
      </c>
      <c r="I1715" s="519" t="s">
        <v>881</v>
      </c>
      <c r="J1715" s="418" t="s">
        <v>882</v>
      </c>
      <c r="K1715" s="418" t="s">
        <v>883</v>
      </c>
      <c r="L1715" s="399" t="s">
        <v>798</v>
      </c>
      <c r="M1715" s="557" t="s">
        <v>310</v>
      </c>
      <c r="N1715" s="558">
        <v>44649</v>
      </c>
      <c r="O1715" s="414" t="s">
        <v>400</v>
      </c>
      <c r="P1715" s="222">
        <f t="shared" si="118"/>
        <v>3</v>
      </c>
      <c r="Q1715" s="222">
        <f t="shared" si="119"/>
        <v>3</v>
      </c>
      <c r="R1715" s="568" t="str">
        <f t="shared" si="120"/>
        <v>Gastos_Gerais</v>
      </c>
      <c r="S1715" s="467" t="s">
        <v>310</v>
      </c>
      <c r="T1715" s="467" t="s">
        <v>310</v>
      </c>
      <c r="U1715" s="496"/>
      <c r="V1715" s="496"/>
      <c r="W1715" s="496"/>
    </row>
    <row r="1716" spans="1:23" s="478" customFormat="1" ht="117.75" customHeight="1" x14ac:dyDescent="0.2">
      <c r="A1716" s="510">
        <f t="shared" si="117"/>
        <v>1713</v>
      </c>
      <c r="B1716" s="512">
        <v>44649</v>
      </c>
      <c r="C1716" s="424">
        <v>44621</v>
      </c>
      <c r="D1716" s="415" t="s">
        <v>271</v>
      </c>
      <c r="E1716" s="415" t="s">
        <v>297</v>
      </c>
      <c r="F1716" s="481">
        <v>19598</v>
      </c>
      <c r="G1716" s="427" t="s">
        <v>1973</v>
      </c>
      <c r="H1716" s="415" t="s">
        <v>748</v>
      </c>
      <c r="I1716" s="479" t="s">
        <v>2559</v>
      </c>
      <c r="J1716" s="415" t="s">
        <v>1788</v>
      </c>
      <c r="K1716" s="415" t="s">
        <v>830</v>
      </c>
      <c r="L1716" s="415" t="s">
        <v>807</v>
      </c>
      <c r="M1716" s="525" t="s">
        <v>1608</v>
      </c>
      <c r="N1716" s="558">
        <v>44645</v>
      </c>
      <c r="O1716" s="414" t="s">
        <v>400</v>
      </c>
      <c r="P1716" s="222">
        <f t="shared" si="118"/>
        <v>3</v>
      </c>
      <c r="Q1716" s="222">
        <f t="shared" si="119"/>
        <v>3</v>
      </c>
      <c r="R1716" s="568" t="str">
        <f t="shared" si="120"/>
        <v>Gastos_Gerais</v>
      </c>
      <c r="S1716" s="467" t="s">
        <v>1000</v>
      </c>
      <c r="T1716" s="467">
        <v>2998</v>
      </c>
      <c r="U1716" s="496"/>
      <c r="V1716" s="496"/>
      <c r="W1716" s="496"/>
    </row>
    <row r="1717" spans="1:23" s="478" customFormat="1" ht="45.6" customHeight="1" x14ac:dyDescent="0.2">
      <c r="A1717" s="510">
        <f t="shared" si="117"/>
        <v>1714</v>
      </c>
      <c r="B1717" s="512">
        <v>44649</v>
      </c>
      <c r="C1717" s="466">
        <v>44593</v>
      </c>
      <c r="D1717" s="415" t="s">
        <v>468</v>
      </c>
      <c r="E1717" s="415" t="s">
        <v>468</v>
      </c>
      <c r="F1717" s="481">
        <v>2694.72</v>
      </c>
      <c r="G1717" s="437" t="s">
        <v>2984</v>
      </c>
      <c r="H1717" s="415" t="s">
        <v>468</v>
      </c>
      <c r="I1717" s="567" t="s">
        <v>2985</v>
      </c>
      <c r="J1717" s="468" t="s">
        <v>2342</v>
      </c>
      <c r="K1717" s="415" t="s">
        <v>830</v>
      </c>
      <c r="L1717" s="415" t="s">
        <v>32</v>
      </c>
      <c r="M1717" s="525" t="s">
        <v>1890</v>
      </c>
      <c r="N1717" s="558">
        <v>44643</v>
      </c>
      <c r="O1717" s="414" t="s">
        <v>405</v>
      </c>
      <c r="P1717" s="222">
        <f t="shared" si="118"/>
        <v>3</v>
      </c>
      <c r="Q1717" s="222">
        <f t="shared" si="119"/>
        <v>2</v>
      </c>
      <c r="R1717" s="568" t="str">
        <f t="shared" si="120"/>
        <v>Gastos_custeados_por_captação</v>
      </c>
      <c r="S1717" s="467" t="s">
        <v>998</v>
      </c>
      <c r="T1717" s="467">
        <v>2903</v>
      </c>
      <c r="U1717" s="496"/>
      <c r="V1717" s="496"/>
      <c r="W1717" s="496"/>
    </row>
    <row r="1718" spans="1:23" s="478" customFormat="1" ht="45.6" customHeight="1" x14ac:dyDescent="0.2">
      <c r="A1718" s="510">
        <f t="shared" si="117"/>
        <v>1715</v>
      </c>
      <c r="B1718" s="512">
        <v>44649</v>
      </c>
      <c r="C1718" s="424">
        <v>44562</v>
      </c>
      <c r="D1718" s="415" t="s">
        <v>271</v>
      </c>
      <c r="E1718" s="415" t="s">
        <v>456</v>
      </c>
      <c r="F1718" s="481">
        <v>4228.2700000000004</v>
      </c>
      <c r="G1718" s="427" t="s">
        <v>732</v>
      </c>
      <c r="H1718" s="415" t="s">
        <v>756</v>
      </c>
      <c r="I1718" s="479" t="s">
        <v>2557</v>
      </c>
      <c r="J1718" s="415" t="s">
        <v>2342</v>
      </c>
      <c r="K1718" s="415" t="s">
        <v>830</v>
      </c>
      <c r="L1718" s="415" t="s">
        <v>32</v>
      </c>
      <c r="M1718" s="525" t="s">
        <v>1503</v>
      </c>
      <c r="N1718" s="558">
        <v>44643</v>
      </c>
      <c r="O1718" s="414" t="s">
        <v>400</v>
      </c>
      <c r="P1718" s="222">
        <f t="shared" si="118"/>
        <v>3</v>
      </c>
      <c r="Q1718" s="222">
        <f t="shared" si="119"/>
        <v>1</v>
      </c>
      <c r="R1718" s="568" t="str">
        <f t="shared" si="120"/>
        <v>Gastos_Gerais</v>
      </c>
      <c r="S1718" s="467" t="s">
        <v>998</v>
      </c>
      <c r="T1718" s="467">
        <v>1486</v>
      </c>
      <c r="U1718" s="496"/>
      <c r="V1718" s="496"/>
      <c r="W1718" s="496"/>
    </row>
    <row r="1719" spans="1:23" s="478" customFormat="1" ht="72" x14ac:dyDescent="0.2">
      <c r="A1719" s="510">
        <f t="shared" si="117"/>
        <v>1716</v>
      </c>
      <c r="B1719" s="563">
        <v>44649</v>
      </c>
      <c r="C1719" s="424">
        <v>44621</v>
      </c>
      <c r="D1719" s="415" t="s">
        <v>468</v>
      </c>
      <c r="E1719" s="415" t="s">
        <v>468</v>
      </c>
      <c r="F1719" s="498">
        <v>429.36</v>
      </c>
      <c r="G1719" s="461" t="s">
        <v>3135</v>
      </c>
      <c r="H1719" s="415" t="s">
        <v>468</v>
      </c>
      <c r="I1719" s="564" t="s">
        <v>3052</v>
      </c>
      <c r="J1719" s="484" t="s">
        <v>3069</v>
      </c>
      <c r="K1719" s="415" t="s">
        <v>3077</v>
      </c>
      <c r="L1719" s="415" t="s">
        <v>32</v>
      </c>
      <c r="M1719" s="485">
        <v>8780</v>
      </c>
      <c r="N1719" s="487">
        <v>44649</v>
      </c>
      <c r="O1719" s="414" t="s">
        <v>407</v>
      </c>
      <c r="P1719" s="222">
        <f t="shared" si="118"/>
        <v>3</v>
      </c>
      <c r="Q1719" s="222">
        <f t="shared" si="119"/>
        <v>3</v>
      </c>
      <c r="R1719" s="415" t="str">
        <f t="shared" si="120"/>
        <v>Gastos_custeados_por_captação</v>
      </c>
      <c r="S1719" s="467" t="s">
        <v>999</v>
      </c>
      <c r="T1719" s="467">
        <v>3288</v>
      </c>
      <c r="U1719" s="497"/>
      <c r="V1719" s="497"/>
      <c r="W1719" s="497"/>
    </row>
    <row r="1720" spans="1:23" s="478" customFormat="1" ht="72" x14ac:dyDescent="0.2">
      <c r="A1720" s="510">
        <f t="shared" si="117"/>
        <v>1717</v>
      </c>
      <c r="B1720" s="563">
        <v>44649</v>
      </c>
      <c r="C1720" s="424">
        <v>44621</v>
      </c>
      <c r="D1720" s="415" t="s">
        <v>468</v>
      </c>
      <c r="E1720" s="415" t="s">
        <v>468</v>
      </c>
      <c r="F1720" s="511">
        <v>540.79999999999995</v>
      </c>
      <c r="G1720" s="516" t="s">
        <v>3078</v>
      </c>
      <c r="H1720" s="415" t="s">
        <v>468</v>
      </c>
      <c r="I1720" s="564" t="s">
        <v>3054</v>
      </c>
      <c r="J1720" s="492" t="s">
        <v>3070</v>
      </c>
      <c r="K1720" s="415" t="s">
        <v>830</v>
      </c>
      <c r="L1720" s="415" t="s">
        <v>32</v>
      </c>
      <c r="M1720" s="495">
        <v>3440</v>
      </c>
      <c r="N1720" s="494">
        <v>44648</v>
      </c>
      <c r="O1720" s="414" t="s">
        <v>407</v>
      </c>
      <c r="P1720" s="222">
        <f t="shared" si="118"/>
        <v>3</v>
      </c>
      <c r="Q1720" s="222">
        <f t="shared" si="119"/>
        <v>3</v>
      </c>
      <c r="R1720" s="415" t="str">
        <f t="shared" si="120"/>
        <v>Gastos_custeados_por_captação</v>
      </c>
      <c r="S1720" s="467" t="s">
        <v>999</v>
      </c>
      <c r="T1720" s="467">
        <v>3284</v>
      </c>
      <c r="U1720" s="497"/>
      <c r="V1720" s="497"/>
      <c r="W1720" s="497"/>
    </row>
    <row r="1721" spans="1:23" s="478" customFormat="1" ht="72" x14ac:dyDescent="0.2">
      <c r="A1721" s="510">
        <f t="shared" si="117"/>
        <v>1718</v>
      </c>
      <c r="B1721" s="563">
        <v>44649</v>
      </c>
      <c r="C1721" s="424">
        <v>44621</v>
      </c>
      <c r="D1721" s="415" t="s">
        <v>468</v>
      </c>
      <c r="E1721" s="415" t="s">
        <v>468</v>
      </c>
      <c r="F1721" s="511">
        <v>210</v>
      </c>
      <c r="G1721" s="415" t="s">
        <v>2541</v>
      </c>
      <c r="H1721" s="415" t="s">
        <v>468</v>
      </c>
      <c r="I1721" s="564" t="s">
        <v>3055</v>
      </c>
      <c r="J1721" s="492" t="s">
        <v>3071</v>
      </c>
      <c r="K1721" s="415" t="s">
        <v>830</v>
      </c>
      <c r="L1721" s="415" t="s">
        <v>32</v>
      </c>
      <c r="M1721" s="495">
        <v>1</v>
      </c>
      <c r="N1721" s="494">
        <v>44649</v>
      </c>
      <c r="O1721" s="414" t="s">
        <v>407</v>
      </c>
      <c r="P1721" s="222">
        <f t="shared" si="118"/>
        <v>3</v>
      </c>
      <c r="Q1721" s="222">
        <f t="shared" si="119"/>
        <v>3</v>
      </c>
      <c r="R1721" s="415" t="str">
        <f t="shared" si="120"/>
        <v>Gastos_custeados_por_captação</v>
      </c>
      <c r="S1721" s="467" t="s">
        <v>999</v>
      </c>
      <c r="T1721" s="467">
        <v>3289</v>
      </c>
      <c r="U1721" s="497"/>
      <c r="V1721" s="497"/>
      <c r="W1721" s="497"/>
    </row>
    <row r="1722" spans="1:23" s="478" customFormat="1" ht="51" customHeight="1" x14ac:dyDescent="0.2">
      <c r="A1722" s="510">
        <f t="shared" si="117"/>
        <v>1719</v>
      </c>
      <c r="B1722" s="512">
        <v>44650</v>
      </c>
      <c r="C1722" s="424">
        <v>44621</v>
      </c>
      <c r="D1722" s="415" t="s">
        <v>271</v>
      </c>
      <c r="E1722" s="415" t="s">
        <v>297</v>
      </c>
      <c r="F1722" s="529">
        <v>241.92</v>
      </c>
      <c r="G1722" s="513" t="s">
        <v>475</v>
      </c>
      <c r="H1722" s="415" t="s">
        <v>309</v>
      </c>
      <c r="I1722" s="479" t="s">
        <v>1517</v>
      </c>
      <c r="J1722" s="522" t="s">
        <v>1012</v>
      </c>
      <c r="K1722" s="415" t="s">
        <v>812</v>
      </c>
      <c r="L1722" s="415" t="s">
        <v>807</v>
      </c>
      <c r="M1722" s="521">
        <v>34468</v>
      </c>
      <c r="N1722" s="569">
        <v>44624</v>
      </c>
      <c r="O1722" s="414" t="s">
        <v>400</v>
      </c>
      <c r="P1722" s="222">
        <f t="shared" si="118"/>
        <v>3</v>
      </c>
      <c r="Q1722" s="222">
        <f t="shared" si="119"/>
        <v>3</v>
      </c>
      <c r="R1722" s="568" t="str">
        <f t="shared" si="120"/>
        <v>Gastos_Gerais</v>
      </c>
      <c r="S1722" s="467" t="s">
        <v>1000</v>
      </c>
      <c r="T1722" s="467">
        <v>1672</v>
      </c>
      <c r="U1722" s="496"/>
      <c r="V1722" s="496"/>
      <c r="W1722" s="496"/>
    </row>
    <row r="1723" spans="1:23" s="478" customFormat="1" ht="45.6" customHeight="1" x14ac:dyDescent="0.2">
      <c r="A1723" s="510">
        <f t="shared" si="117"/>
        <v>1720</v>
      </c>
      <c r="B1723" s="512">
        <v>44650</v>
      </c>
      <c r="C1723" s="424">
        <v>44621</v>
      </c>
      <c r="D1723" s="415" t="s">
        <v>271</v>
      </c>
      <c r="E1723" s="415" t="s">
        <v>297</v>
      </c>
      <c r="F1723" s="529">
        <v>80.5</v>
      </c>
      <c r="G1723" s="427" t="s">
        <v>2597</v>
      </c>
      <c r="H1723" s="415" t="s">
        <v>757</v>
      </c>
      <c r="I1723" s="520" t="s">
        <v>2607</v>
      </c>
      <c r="J1723" s="521" t="s">
        <v>2596</v>
      </c>
      <c r="K1723" s="415" t="s">
        <v>830</v>
      </c>
      <c r="L1723" s="415" t="s">
        <v>807</v>
      </c>
      <c r="M1723" s="521" t="s">
        <v>2608</v>
      </c>
      <c r="N1723" s="569">
        <v>44650</v>
      </c>
      <c r="O1723" s="414" t="s">
        <v>400</v>
      </c>
      <c r="P1723" s="222">
        <f t="shared" si="118"/>
        <v>3</v>
      </c>
      <c r="Q1723" s="222">
        <f t="shared" si="119"/>
        <v>3</v>
      </c>
      <c r="R1723" s="568" t="str">
        <f t="shared" si="120"/>
        <v>Gastos_Gerais</v>
      </c>
      <c r="S1723" s="467" t="s">
        <v>999</v>
      </c>
      <c r="T1723" s="467">
        <v>3261</v>
      </c>
      <c r="U1723" s="496"/>
      <c r="V1723" s="496"/>
      <c r="W1723" s="496"/>
    </row>
    <row r="1724" spans="1:23" s="478" customFormat="1" ht="45.6" customHeight="1" x14ac:dyDescent="0.2">
      <c r="A1724" s="510">
        <f t="shared" si="117"/>
        <v>1721</v>
      </c>
      <c r="B1724" s="512">
        <v>44650</v>
      </c>
      <c r="C1724" s="424">
        <v>44593</v>
      </c>
      <c r="D1724" s="415" t="s">
        <v>468</v>
      </c>
      <c r="E1724" s="415" t="s">
        <v>468</v>
      </c>
      <c r="F1724" s="511">
        <v>-10000</v>
      </c>
      <c r="G1724" s="427" t="s">
        <v>3097</v>
      </c>
      <c r="H1724" s="415" t="s">
        <v>468</v>
      </c>
      <c r="I1724" s="520" t="s">
        <v>2437</v>
      </c>
      <c r="J1724" s="415" t="s">
        <v>796</v>
      </c>
      <c r="K1724" s="415" t="s">
        <v>797</v>
      </c>
      <c r="L1724" s="415" t="s">
        <v>798</v>
      </c>
      <c r="M1724" s="521" t="s">
        <v>310</v>
      </c>
      <c r="N1724" s="569">
        <v>44650</v>
      </c>
      <c r="O1724" s="414" t="s">
        <v>408</v>
      </c>
      <c r="P1724" s="222">
        <f t="shared" si="118"/>
        <v>3</v>
      </c>
      <c r="Q1724" s="222">
        <f t="shared" si="119"/>
        <v>2</v>
      </c>
      <c r="R1724" s="568" t="str">
        <f t="shared" si="120"/>
        <v>Gastos_custeados_por_captação</v>
      </c>
      <c r="S1724" s="467" t="s">
        <v>310</v>
      </c>
      <c r="T1724" s="467" t="s">
        <v>310</v>
      </c>
      <c r="U1724" s="496"/>
      <c r="V1724" s="496"/>
      <c r="W1724" s="496"/>
    </row>
    <row r="1725" spans="1:23" s="478" customFormat="1" ht="45.6" customHeight="1" x14ac:dyDescent="0.2">
      <c r="A1725" s="510">
        <f t="shared" si="117"/>
        <v>1722</v>
      </c>
      <c r="B1725" s="512">
        <v>44650</v>
      </c>
      <c r="C1725" s="424">
        <v>44593</v>
      </c>
      <c r="D1725" s="415" t="s">
        <v>468</v>
      </c>
      <c r="E1725" s="415" t="s">
        <v>468</v>
      </c>
      <c r="F1725" s="511">
        <v>-15000</v>
      </c>
      <c r="G1725" s="427" t="s">
        <v>3098</v>
      </c>
      <c r="H1725" s="415" t="s">
        <v>468</v>
      </c>
      <c r="I1725" s="520" t="s">
        <v>2437</v>
      </c>
      <c r="J1725" s="521" t="s">
        <v>796</v>
      </c>
      <c r="K1725" s="415" t="s">
        <v>797</v>
      </c>
      <c r="L1725" s="415" t="s">
        <v>798</v>
      </c>
      <c r="M1725" s="521" t="s">
        <v>310</v>
      </c>
      <c r="N1725" s="569">
        <v>44650</v>
      </c>
      <c r="O1725" s="414" t="s">
        <v>408</v>
      </c>
      <c r="P1725" s="222">
        <f t="shared" si="118"/>
        <v>3</v>
      </c>
      <c r="Q1725" s="222">
        <f t="shared" si="119"/>
        <v>2</v>
      </c>
      <c r="R1725" s="568" t="str">
        <f t="shared" si="120"/>
        <v>Gastos_custeados_por_captação</v>
      </c>
      <c r="S1725" s="467" t="s">
        <v>310</v>
      </c>
      <c r="T1725" s="467" t="s">
        <v>310</v>
      </c>
      <c r="U1725" s="496"/>
      <c r="V1725" s="496"/>
      <c r="W1725" s="496"/>
    </row>
    <row r="1726" spans="1:23" s="478" customFormat="1" ht="45.6" customHeight="1" x14ac:dyDescent="0.2">
      <c r="A1726" s="510">
        <f t="shared" si="117"/>
        <v>1723</v>
      </c>
      <c r="B1726" s="512">
        <v>44650</v>
      </c>
      <c r="C1726" s="424">
        <v>44593</v>
      </c>
      <c r="D1726" s="415" t="s">
        <v>468</v>
      </c>
      <c r="E1726" s="415" t="s">
        <v>468</v>
      </c>
      <c r="F1726" s="511">
        <v>-6500</v>
      </c>
      <c r="G1726" s="427" t="s">
        <v>3099</v>
      </c>
      <c r="H1726" s="415" t="s">
        <v>468</v>
      </c>
      <c r="I1726" s="479" t="s">
        <v>2437</v>
      </c>
      <c r="J1726" s="521" t="s">
        <v>796</v>
      </c>
      <c r="K1726" s="415" t="s">
        <v>797</v>
      </c>
      <c r="L1726" s="415" t="s">
        <v>798</v>
      </c>
      <c r="M1726" s="521" t="s">
        <v>310</v>
      </c>
      <c r="N1726" s="569">
        <v>44650</v>
      </c>
      <c r="O1726" s="414" t="s">
        <v>408</v>
      </c>
      <c r="P1726" s="222">
        <f t="shared" si="118"/>
        <v>3</v>
      </c>
      <c r="Q1726" s="222">
        <f t="shared" si="119"/>
        <v>2</v>
      </c>
      <c r="R1726" s="568" t="str">
        <f t="shared" si="120"/>
        <v>Gastos_custeados_por_captação</v>
      </c>
      <c r="S1726" s="467" t="s">
        <v>310</v>
      </c>
      <c r="T1726" s="467" t="s">
        <v>310</v>
      </c>
      <c r="U1726" s="496"/>
      <c r="V1726" s="496"/>
      <c r="W1726" s="496"/>
    </row>
    <row r="1727" spans="1:23" s="478" customFormat="1" ht="45.6" customHeight="1" x14ac:dyDescent="0.2">
      <c r="A1727" s="510">
        <f t="shared" si="117"/>
        <v>1724</v>
      </c>
      <c r="B1727" s="512">
        <v>44650</v>
      </c>
      <c r="C1727" s="431">
        <v>44621</v>
      </c>
      <c r="D1727" s="415" t="s">
        <v>468</v>
      </c>
      <c r="E1727" s="415" t="s">
        <v>468</v>
      </c>
      <c r="F1727" s="570">
        <v>11</v>
      </c>
      <c r="G1727" s="427" t="s">
        <v>2469</v>
      </c>
      <c r="H1727" s="415" t="s">
        <v>468</v>
      </c>
      <c r="I1727" s="518" t="s">
        <v>881</v>
      </c>
      <c r="J1727" s="523" t="s">
        <v>882</v>
      </c>
      <c r="K1727" s="418" t="s">
        <v>883</v>
      </c>
      <c r="L1727" s="399" t="s">
        <v>798</v>
      </c>
      <c r="M1727" s="571" t="s">
        <v>310</v>
      </c>
      <c r="N1727" s="569">
        <v>44650</v>
      </c>
      <c r="O1727" s="414" t="s">
        <v>408</v>
      </c>
      <c r="P1727" s="222">
        <f t="shared" si="118"/>
        <v>3</v>
      </c>
      <c r="Q1727" s="222">
        <f t="shared" si="119"/>
        <v>3</v>
      </c>
      <c r="R1727" s="568" t="str">
        <f t="shared" si="120"/>
        <v>Gastos_custeados_por_captação</v>
      </c>
      <c r="S1727" s="467" t="s">
        <v>310</v>
      </c>
      <c r="T1727" s="467" t="s">
        <v>310</v>
      </c>
      <c r="U1727" s="496"/>
      <c r="V1727" s="496"/>
      <c r="W1727" s="496"/>
    </row>
    <row r="1728" spans="1:23" s="478" customFormat="1" ht="45.6" customHeight="1" x14ac:dyDescent="0.2">
      <c r="A1728" s="510">
        <f t="shared" si="117"/>
        <v>1725</v>
      </c>
      <c r="B1728" s="512">
        <v>44650</v>
      </c>
      <c r="C1728" s="424">
        <v>44621</v>
      </c>
      <c r="D1728" s="415" t="s">
        <v>271</v>
      </c>
      <c r="E1728" s="415" t="s">
        <v>71</v>
      </c>
      <c r="F1728" s="529">
        <v>11</v>
      </c>
      <c r="G1728" s="514" t="s">
        <v>2609</v>
      </c>
      <c r="H1728" s="415" t="s">
        <v>757</v>
      </c>
      <c r="I1728" s="518" t="s">
        <v>881</v>
      </c>
      <c r="J1728" s="523" t="s">
        <v>882</v>
      </c>
      <c r="K1728" s="418" t="s">
        <v>883</v>
      </c>
      <c r="L1728" s="399" t="s">
        <v>798</v>
      </c>
      <c r="M1728" s="571" t="s">
        <v>310</v>
      </c>
      <c r="N1728" s="569">
        <v>44649</v>
      </c>
      <c r="O1728" s="414" t="s">
        <v>400</v>
      </c>
      <c r="P1728" s="222">
        <f t="shared" si="118"/>
        <v>3</v>
      </c>
      <c r="Q1728" s="222">
        <f t="shared" si="119"/>
        <v>3</v>
      </c>
      <c r="R1728" s="568" t="str">
        <f t="shared" si="120"/>
        <v>Gastos_Gerais</v>
      </c>
      <c r="S1728" s="467" t="s">
        <v>310</v>
      </c>
      <c r="T1728" s="467" t="s">
        <v>310</v>
      </c>
      <c r="U1728" s="496"/>
      <c r="V1728" s="496"/>
      <c r="W1728" s="496"/>
    </row>
    <row r="1729" spans="1:23" s="478" customFormat="1" ht="45.6" customHeight="1" x14ac:dyDescent="0.2">
      <c r="A1729" s="510">
        <f t="shared" si="117"/>
        <v>1726</v>
      </c>
      <c r="B1729" s="512">
        <v>44650</v>
      </c>
      <c r="C1729" s="431">
        <v>44621</v>
      </c>
      <c r="D1729" s="415" t="s">
        <v>468</v>
      </c>
      <c r="E1729" s="415" t="s">
        <v>468</v>
      </c>
      <c r="F1729" s="529">
        <v>14700</v>
      </c>
      <c r="G1729" s="427" t="s">
        <v>1600</v>
      </c>
      <c r="H1729" s="415" t="s">
        <v>468</v>
      </c>
      <c r="I1729" s="495" t="s">
        <v>2996</v>
      </c>
      <c r="J1729" s="523" t="s">
        <v>1601</v>
      </c>
      <c r="K1729" s="418" t="s">
        <v>830</v>
      </c>
      <c r="L1729" s="399" t="s">
        <v>807</v>
      </c>
      <c r="M1729" s="521" t="s">
        <v>1786</v>
      </c>
      <c r="N1729" s="569">
        <v>44644</v>
      </c>
      <c r="O1729" s="414" t="s">
        <v>408</v>
      </c>
      <c r="P1729" s="222">
        <f t="shared" si="118"/>
        <v>3</v>
      </c>
      <c r="Q1729" s="222">
        <f t="shared" si="119"/>
        <v>3</v>
      </c>
      <c r="R1729" s="568" t="str">
        <f t="shared" si="120"/>
        <v>Gastos_custeados_por_captação</v>
      </c>
      <c r="S1729" s="467" t="s">
        <v>1000</v>
      </c>
      <c r="T1729" s="467">
        <v>2385</v>
      </c>
      <c r="U1729" s="496"/>
      <c r="V1729" s="496"/>
      <c r="W1729" s="496"/>
    </row>
    <row r="1730" spans="1:23" s="478" customFormat="1" ht="72" x14ac:dyDescent="0.2">
      <c r="A1730" s="510">
        <f t="shared" si="117"/>
        <v>1727</v>
      </c>
      <c r="B1730" s="563">
        <v>44650</v>
      </c>
      <c r="C1730" s="424">
        <v>44621</v>
      </c>
      <c r="D1730" s="415" t="s">
        <v>468</v>
      </c>
      <c r="E1730" s="415" t="s">
        <v>468</v>
      </c>
      <c r="F1730" s="511">
        <v>10000</v>
      </c>
      <c r="G1730" s="399" t="s">
        <v>3136</v>
      </c>
      <c r="H1730" s="415" t="s">
        <v>468</v>
      </c>
      <c r="I1730" s="572" t="s">
        <v>3030</v>
      </c>
      <c r="J1730" s="492" t="s">
        <v>796</v>
      </c>
      <c r="K1730" s="415" t="s">
        <v>3077</v>
      </c>
      <c r="L1730" s="415" t="s">
        <v>1305</v>
      </c>
      <c r="M1730" s="493" t="s">
        <v>310</v>
      </c>
      <c r="N1730" s="494">
        <v>44650</v>
      </c>
      <c r="O1730" s="414" t="s">
        <v>407</v>
      </c>
      <c r="P1730" s="222">
        <f t="shared" si="118"/>
        <v>3</v>
      </c>
      <c r="Q1730" s="222">
        <f t="shared" si="119"/>
        <v>3</v>
      </c>
      <c r="R1730" s="415" t="str">
        <f t="shared" si="120"/>
        <v>Gastos_custeados_por_captação</v>
      </c>
      <c r="S1730" s="467" t="s">
        <v>310</v>
      </c>
      <c r="T1730" s="467" t="s">
        <v>310</v>
      </c>
      <c r="U1730" s="497"/>
      <c r="V1730" s="497"/>
      <c r="W1730" s="497"/>
    </row>
    <row r="1731" spans="1:23" s="478" customFormat="1" ht="72" x14ac:dyDescent="0.2">
      <c r="A1731" s="510">
        <f t="shared" si="117"/>
        <v>1728</v>
      </c>
      <c r="B1731" s="563">
        <v>44650</v>
      </c>
      <c r="C1731" s="424">
        <v>44621</v>
      </c>
      <c r="D1731" s="415" t="s">
        <v>468</v>
      </c>
      <c r="E1731" s="415" t="s">
        <v>468</v>
      </c>
      <c r="F1731" s="511">
        <v>15000</v>
      </c>
      <c r="G1731" s="399" t="s">
        <v>3137</v>
      </c>
      <c r="H1731" s="415" t="s">
        <v>468</v>
      </c>
      <c r="I1731" s="572" t="s">
        <v>3030</v>
      </c>
      <c r="J1731" s="492" t="s">
        <v>796</v>
      </c>
      <c r="K1731" s="415" t="s">
        <v>3077</v>
      </c>
      <c r="L1731" s="415" t="s">
        <v>1305</v>
      </c>
      <c r="M1731" s="493" t="s">
        <v>310</v>
      </c>
      <c r="N1731" s="494">
        <v>44650</v>
      </c>
      <c r="O1731" s="414" t="s">
        <v>407</v>
      </c>
      <c r="P1731" s="222">
        <f t="shared" si="118"/>
        <v>3</v>
      </c>
      <c r="Q1731" s="222">
        <f t="shared" si="119"/>
        <v>3</v>
      </c>
      <c r="R1731" s="415" t="str">
        <f t="shared" si="120"/>
        <v>Gastos_custeados_por_captação</v>
      </c>
      <c r="S1731" s="467" t="s">
        <v>310</v>
      </c>
      <c r="T1731" s="467" t="s">
        <v>310</v>
      </c>
      <c r="U1731" s="497"/>
      <c r="V1731" s="497"/>
      <c r="W1731" s="497"/>
    </row>
    <row r="1732" spans="1:23" s="490" customFormat="1" ht="72" x14ac:dyDescent="0.2">
      <c r="A1732" s="510">
        <f t="shared" si="117"/>
        <v>1729</v>
      </c>
      <c r="B1732" s="563">
        <v>44650</v>
      </c>
      <c r="C1732" s="424">
        <v>44621</v>
      </c>
      <c r="D1732" s="415" t="s">
        <v>468</v>
      </c>
      <c r="E1732" s="415" t="s">
        <v>468</v>
      </c>
      <c r="F1732" s="511">
        <v>6500</v>
      </c>
      <c r="G1732" s="399" t="s">
        <v>3138</v>
      </c>
      <c r="H1732" s="415" t="s">
        <v>468</v>
      </c>
      <c r="I1732" s="564" t="s">
        <v>3030</v>
      </c>
      <c r="J1732" s="492" t="s">
        <v>796</v>
      </c>
      <c r="K1732" s="415" t="s">
        <v>3077</v>
      </c>
      <c r="L1732" s="415" t="s">
        <v>1305</v>
      </c>
      <c r="M1732" s="493" t="s">
        <v>310</v>
      </c>
      <c r="N1732" s="494">
        <v>44650</v>
      </c>
      <c r="O1732" s="414" t="s">
        <v>407</v>
      </c>
      <c r="P1732" s="222">
        <f t="shared" si="118"/>
        <v>3</v>
      </c>
      <c r="Q1732" s="222">
        <f t="shared" si="119"/>
        <v>3</v>
      </c>
      <c r="R1732" s="415" t="str">
        <f t="shared" si="120"/>
        <v>Gastos_custeados_por_captação</v>
      </c>
      <c r="S1732" s="467" t="s">
        <v>310</v>
      </c>
      <c r="T1732" s="467" t="s">
        <v>310</v>
      </c>
      <c r="U1732" s="497"/>
      <c r="V1732" s="497"/>
      <c r="W1732" s="497"/>
    </row>
    <row r="1733" spans="1:23" s="478" customFormat="1" ht="84" x14ac:dyDescent="0.2">
      <c r="A1733" s="510">
        <f t="shared" si="117"/>
        <v>1730</v>
      </c>
      <c r="B1733" s="591">
        <v>44650</v>
      </c>
      <c r="C1733" s="424">
        <v>44621</v>
      </c>
      <c r="D1733" s="415" t="s">
        <v>468</v>
      </c>
      <c r="E1733" s="415" t="s">
        <v>468</v>
      </c>
      <c r="F1733" s="511">
        <v>550</v>
      </c>
      <c r="G1733" s="486" t="s">
        <v>1970</v>
      </c>
      <c r="H1733" s="415" t="s">
        <v>468</v>
      </c>
      <c r="I1733" s="572" t="s">
        <v>3056</v>
      </c>
      <c r="J1733" s="492" t="s">
        <v>1969</v>
      </c>
      <c r="K1733" s="415" t="s">
        <v>830</v>
      </c>
      <c r="L1733" s="415" t="s">
        <v>32</v>
      </c>
      <c r="M1733" s="495">
        <v>74</v>
      </c>
      <c r="N1733" s="494">
        <v>44631</v>
      </c>
      <c r="O1733" s="414" t="s">
        <v>407</v>
      </c>
      <c r="P1733" s="222">
        <f t="shared" si="118"/>
        <v>3</v>
      </c>
      <c r="Q1733" s="222">
        <f t="shared" si="119"/>
        <v>3</v>
      </c>
      <c r="R1733" s="415" t="str">
        <f t="shared" si="120"/>
        <v>Gastos_custeados_por_captação</v>
      </c>
      <c r="S1733" s="467" t="s">
        <v>998</v>
      </c>
      <c r="T1733" s="467">
        <v>3055</v>
      </c>
      <c r="U1733" s="497"/>
      <c r="V1733" s="497"/>
      <c r="W1733" s="497"/>
    </row>
    <row r="1734" spans="1:23" s="478" customFormat="1" ht="72" x14ac:dyDescent="0.2">
      <c r="A1734" s="510">
        <f t="shared" si="117"/>
        <v>1731</v>
      </c>
      <c r="B1734" s="591">
        <v>44650</v>
      </c>
      <c r="C1734" s="424">
        <v>44621</v>
      </c>
      <c r="D1734" s="415" t="s">
        <v>468</v>
      </c>
      <c r="E1734" s="415" t="s">
        <v>468</v>
      </c>
      <c r="F1734" s="511">
        <v>6741.01</v>
      </c>
      <c r="G1734" s="415" t="s">
        <v>2339</v>
      </c>
      <c r="H1734" s="415" t="s">
        <v>468</v>
      </c>
      <c r="I1734" s="572" t="s">
        <v>2888</v>
      </c>
      <c r="J1734" s="492" t="s">
        <v>3072</v>
      </c>
      <c r="K1734" s="415" t="s">
        <v>830</v>
      </c>
      <c r="L1734" s="415" t="s">
        <v>32</v>
      </c>
      <c r="M1734" s="495" t="s">
        <v>3074</v>
      </c>
      <c r="N1734" s="494">
        <v>44645</v>
      </c>
      <c r="O1734" s="414" t="s">
        <v>407</v>
      </c>
      <c r="P1734" s="222">
        <f t="shared" si="118"/>
        <v>3</v>
      </c>
      <c r="Q1734" s="222">
        <f t="shared" si="119"/>
        <v>3</v>
      </c>
      <c r="R1734" s="415" t="str">
        <f t="shared" si="120"/>
        <v>Gastos_custeados_por_captação</v>
      </c>
      <c r="S1734" s="467" t="s">
        <v>998</v>
      </c>
      <c r="T1734" s="467">
        <v>3202</v>
      </c>
      <c r="U1734" s="497"/>
      <c r="V1734" s="497"/>
      <c r="W1734" s="497"/>
    </row>
    <row r="1735" spans="1:23" s="490" customFormat="1" ht="45.6" customHeight="1" x14ac:dyDescent="0.2">
      <c r="A1735" s="510">
        <f t="shared" si="117"/>
        <v>1732</v>
      </c>
      <c r="B1735" s="573">
        <v>44651</v>
      </c>
      <c r="C1735" s="424">
        <v>44621</v>
      </c>
      <c r="D1735" s="415" t="s">
        <v>295</v>
      </c>
      <c r="E1735" s="415" t="s">
        <v>295</v>
      </c>
      <c r="F1735" s="529">
        <v>12394.21</v>
      </c>
      <c r="G1735" s="574" t="s">
        <v>2669</v>
      </c>
      <c r="H1735" s="415" t="s">
        <v>310</v>
      </c>
      <c r="I1735" s="572" t="s">
        <v>1520</v>
      </c>
      <c r="J1735" s="564" t="s">
        <v>796</v>
      </c>
      <c r="K1735" s="461" t="s">
        <v>797</v>
      </c>
      <c r="L1735" s="461" t="s">
        <v>798</v>
      </c>
      <c r="M1735" s="575" t="s">
        <v>310</v>
      </c>
      <c r="N1735" s="558">
        <v>44651</v>
      </c>
      <c r="O1735" s="414" t="s">
        <v>400</v>
      </c>
      <c r="P1735" s="222">
        <f t="shared" si="118"/>
        <v>3</v>
      </c>
      <c r="Q1735" s="222">
        <f t="shared" si="119"/>
        <v>3</v>
      </c>
      <c r="R1735" s="568" t="str">
        <f t="shared" si="120"/>
        <v>Rendimentos_de_Aplicações_Fin.</v>
      </c>
      <c r="S1735" s="467" t="s">
        <v>310</v>
      </c>
      <c r="T1735" s="467" t="s">
        <v>310</v>
      </c>
      <c r="U1735" s="496"/>
      <c r="V1735" s="496"/>
      <c r="W1735" s="496"/>
    </row>
    <row r="1736" spans="1:23" s="478" customFormat="1" ht="45.6" customHeight="1" x14ac:dyDescent="0.2">
      <c r="A1736" s="510">
        <f t="shared" si="117"/>
        <v>1733</v>
      </c>
      <c r="B1736" s="573">
        <v>44651</v>
      </c>
      <c r="C1736" s="424">
        <v>44621</v>
      </c>
      <c r="D1736" s="415" t="s">
        <v>271</v>
      </c>
      <c r="E1736" s="461" t="s">
        <v>78</v>
      </c>
      <c r="F1736" s="529">
        <v>571.44000000000005</v>
      </c>
      <c r="G1736" s="574" t="s">
        <v>2670</v>
      </c>
      <c r="H1736" s="415" t="s">
        <v>310</v>
      </c>
      <c r="I1736" s="495" t="s">
        <v>1461</v>
      </c>
      <c r="J1736" s="564" t="s">
        <v>310</v>
      </c>
      <c r="K1736" s="461" t="s">
        <v>1220</v>
      </c>
      <c r="L1736" s="461" t="s">
        <v>1368</v>
      </c>
      <c r="M1736" s="564" t="s">
        <v>310</v>
      </c>
      <c r="N1736" s="558">
        <v>44651</v>
      </c>
      <c r="O1736" s="414" t="s">
        <v>400</v>
      </c>
      <c r="P1736" s="222">
        <f t="shared" si="118"/>
        <v>3</v>
      </c>
      <c r="Q1736" s="222">
        <f t="shared" si="119"/>
        <v>3</v>
      </c>
      <c r="R1736" s="568" t="str">
        <f t="shared" si="120"/>
        <v>Gastos_Gerais</v>
      </c>
      <c r="S1736" s="467" t="s">
        <v>310</v>
      </c>
      <c r="T1736" s="467" t="s">
        <v>310</v>
      </c>
      <c r="U1736" s="496"/>
      <c r="V1736" s="496"/>
      <c r="W1736" s="496"/>
    </row>
    <row r="1737" spans="1:23" s="478" customFormat="1" ht="45.6" customHeight="1" x14ac:dyDescent="0.2">
      <c r="A1737" s="510">
        <f t="shared" si="117"/>
        <v>1734</v>
      </c>
      <c r="B1737" s="573">
        <v>44651</v>
      </c>
      <c r="C1737" s="424">
        <v>44621</v>
      </c>
      <c r="D1737" s="415" t="s">
        <v>271</v>
      </c>
      <c r="E1737" s="461" t="s">
        <v>68</v>
      </c>
      <c r="F1737" s="529">
        <v>400.98</v>
      </c>
      <c r="G1737" s="574" t="s">
        <v>2671</v>
      </c>
      <c r="H1737" s="415" t="s">
        <v>310</v>
      </c>
      <c r="I1737" s="495" t="s">
        <v>1461</v>
      </c>
      <c r="J1737" s="564" t="s">
        <v>310</v>
      </c>
      <c r="K1737" s="461" t="s">
        <v>1220</v>
      </c>
      <c r="L1737" s="461" t="s">
        <v>1368</v>
      </c>
      <c r="M1737" s="564" t="s">
        <v>310</v>
      </c>
      <c r="N1737" s="558">
        <v>44651</v>
      </c>
      <c r="O1737" s="414" t="s">
        <v>400</v>
      </c>
      <c r="P1737" s="222">
        <f t="shared" si="118"/>
        <v>3</v>
      </c>
      <c r="Q1737" s="222">
        <f t="shared" si="119"/>
        <v>3</v>
      </c>
      <c r="R1737" s="568" t="str">
        <f t="shared" si="120"/>
        <v>Gastos_Gerais</v>
      </c>
      <c r="S1737" s="467" t="s">
        <v>310</v>
      </c>
      <c r="T1737" s="467" t="s">
        <v>310</v>
      </c>
      <c r="U1737" s="496"/>
      <c r="V1737" s="496"/>
      <c r="W1737" s="496"/>
    </row>
    <row r="1738" spans="1:23" s="478" customFormat="1" ht="68.45" customHeight="1" x14ac:dyDescent="0.2">
      <c r="A1738" s="510">
        <f t="shared" si="117"/>
        <v>1735</v>
      </c>
      <c r="B1738" s="573">
        <v>44651</v>
      </c>
      <c r="C1738" s="424">
        <v>44593</v>
      </c>
      <c r="D1738" s="415" t="s">
        <v>271</v>
      </c>
      <c r="E1738" s="415" t="s">
        <v>456</v>
      </c>
      <c r="F1738" s="529">
        <v>9582</v>
      </c>
      <c r="G1738" s="427" t="s">
        <v>2539</v>
      </c>
      <c r="H1738" s="415" t="s">
        <v>755</v>
      </c>
      <c r="I1738" s="521" t="s">
        <v>2658</v>
      </c>
      <c r="J1738" s="521" t="s">
        <v>1720</v>
      </c>
      <c r="K1738" s="415" t="s">
        <v>812</v>
      </c>
      <c r="L1738" s="415" t="s">
        <v>807</v>
      </c>
      <c r="M1738" s="521" t="s">
        <v>2659</v>
      </c>
      <c r="N1738" s="569">
        <v>44638</v>
      </c>
      <c r="O1738" s="414" t="s">
        <v>400</v>
      </c>
      <c r="P1738" s="222">
        <f t="shared" si="118"/>
        <v>3</v>
      </c>
      <c r="Q1738" s="222">
        <f t="shared" si="119"/>
        <v>2</v>
      </c>
      <c r="R1738" s="568" t="str">
        <f t="shared" si="120"/>
        <v>Gastos_Gerais</v>
      </c>
      <c r="S1738" s="467" t="s">
        <v>998</v>
      </c>
      <c r="T1738" s="467">
        <v>2891</v>
      </c>
      <c r="U1738" s="496"/>
      <c r="V1738" s="496"/>
      <c r="W1738" s="496"/>
    </row>
    <row r="1739" spans="1:23" s="478" customFormat="1" ht="45.6" customHeight="1" x14ac:dyDescent="0.2">
      <c r="A1739" s="510">
        <f t="shared" ref="A1739:A1753" si="121">IF(B1739="","",ROW()-ROW($A$3))</f>
        <v>1736</v>
      </c>
      <c r="B1739" s="573">
        <v>44651</v>
      </c>
      <c r="C1739" s="424">
        <v>44593</v>
      </c>
      <c r="D1739" s="415" t="s">
        <v>271</v>
      </c>
      <c r="E1739" s="415" t="s">
        <v>456</v>
      </c>
      <c r="F1739" s="529">
        <v>8623.7999999999993</v>
      </c>
      <c r="G1739" s="427" t="s">
        <v>1906</v>
      </c>
      <c r="H1739" s="415" t="s">
        <v>790</v>
      </c>
      <c r="I1739" s="521" t="s">
        <v>2658</v>
      </c>
      <c r="J1739" s="521" t="s">
        <v>1720</v>
      </c>
      <c r="K1739" s="415" t="s">
        <v>812</v>
      </c>
      <c r="L1739" s="415" t="s">
        <v>807</v>
      </c>
      <c r="M1739" s="521" t="s">
        <v>2661</v>
      </c>
      <c r="N1739" s="569">
        <v>44638</v>
      </c>
      <c r="O1739" s="414" t="s">
        <v>400</v>
      </c>
      <c r="P1739" s="222">
        <f t="shared" si="118"/>
        <v>3</v>
      </c>
      <c r="Q1739" s="222">
        <f t="shared" si="119"/>
        <v>2</v>
      </c>
      <c r="R1739" s="568" t="str">
        <f t="shared" si="120"/>
        <v>Gastos_Gerais</v>
      </c>
      <c r="S1739" s="467" t="s">
        <v>998</v>
      </c>
      <c r="T1739" s="467">
        <v>2952</v>
      </c>
      <c r="U1739" s="496"/>
      <c r="V1739" s="496"/>
      <c r="W1739" s="496"/>
    </row>
    <row r="1740" spans="1:23" x14ac:dyDescent="0.2">
      <c r="A1740" s="510" t="str">
        <f t="shared" si="121"/>
        <v/>
      </c>
      <c r="B1740" s="428"/>
      <c r="C1740" s="424"/>
      <c r="D1740" s="415"/>
      <c r="E1740" s="415"/>
      <c r="F1740" s="425"/>
      <c r="G1740" s="415"/>
      <c r="H1740" s="415"/>
      <c r="I1740" s="473"/>
      <c r="J1740" s="415"/>
      <c r="K1740" s="415"/>
      <c r="L1740" s="415"/>
      <c r="M1740" s="415"/>
      <c r="N1740" s="414"/>
      <c r="O1740" s="428"/>
      <c r="P1740" s="222">
        <f t="shared" ref="P1740:P1752" si="122">IF(B1740=0,0,IF(YEAR(B1740)=$Q$1,MONTH(B1740)-$P$1+1,(YEAR(B1740)-$Q$1)*12-$P$1+1+MONTH(B1740)))</f>
        <v>0</v>
      </c>
      <c r="Q1740" s="222">
        <f t="shared" ref="Q1740:Q1752" si="123">IF(C1740=0,0,IF(YEAR(C1740)=$Q$1,MONTH(C1740)-$P$1+1,(YEAR(C1740)-$Q$1)*12-$P$1+1+MONTH(C1740)))</f>
        <v>0</v>
      </c>
      <c r="R1740" s="467" t="str">
        <f t="shared" ref="R1740:R1752" si="124">SUBSTITUTE(D1740," ","_")</f>
        <v/>
      </c>
      <c r="S1740" s="467"/>
      <c r="T1740" s="467"/>
      <c r="U1740" s="496"/>
      <c r="V1740" s="496"/>
      <c r="W1740" s="496"/>
    </row>
    <row r="1741" spans="1:23" x14ac:dyDescent="0.2">
      <c r="A1741" s="510" t="str">
        <f t="shared" si="121"/>
        <v/>
      </c>
      <c r="B1741" s="428"/>
      <c r="C1741" s="424"/>
      <c r="D1741" s="415"/>
      <c r="E1741" s="415"/>
      <c r="F1741" s="425"/>
      <c r="G1741" s="415"/>
      <c r="H1741" s="415"/>
      <c r="I1741" s="473"/>
      <c r="J1741" s="415"/>
      <c r="K1741" s="415"/>
      <c r="L1741" s="415"/>
      <c r="M1741" s="415"/>
      <c r="N1741" s="414"/>
      <c r="O1741" s="428"/>
      <c r="P1741" s="222">
        <f t="shared" si="122"/>
        <v>0</v>
      </c>
      <c r="Q1741" s="222">
        <f t="shared" si="123"/>
        <v>0</v>
      </c>
      <c r="R1741" s="467" t="str">
        <f t="shared" si="124"/>
        <v/>
      </c>
      <c r="S1741" s="467"/>
      <c r="T1741" s="467"/>
      <c r="U1741" s="496"/>
      <c r="V1741" s="496"/>
      <c r="W1741" s="496"/>
    </row>
    <row r="1742" spans="1:23" x14ac:dyDescent="0.2">
      <c r="A1742" s="510" t="str">
        <f t="shared" si="121"/>
        <v/>
      </c>
      <c r="B1742" s="428"/>
      <c r="C1742" s="424"/>
      <c r="D1742" s="415"/>
      <c r="E1742" s="415"/>
      <c r="F1742" s="425"/>
      <c r="G1742" s="415"/>
      <c r="H1742" s="415"/>
      <c r="I1742" s="473"/>
      <c r="J1742" s="415"/>
      <c r="K1742" s="415"/>
      <c r="L1742" s="415"/>
      <c r="M1742" s="415"/>
      <c r="N1742" s="414"/>
      <c r="O1742" s="428"/>
      <c r="P1742" s="222">
        <f t="shared" si="122"/>
        <v>0</v>
      </c>
      <c r="Q1742" s="222">
        <f t="shared" si="123"/>
        <v>0</v>
      </c>
      <c r="R1742" s="467" t="str">
        <f t="shared" si="124"/>
        <v/>
      </c>
      <c r="S1742" s="467"/>
      <c r="T1742" s="467"/>
      <c r="U1742" s="496"/>
      <c r="V1742" s="496"/>
      <c r="W1742" s="496"/>
    </row>
    <row r="1743" spans="1:23" x14ac:dyDescent="0.2">
      <c r="A1743" s="510" t="str">
        <f t="shared" si="121"/>
        <v/>
      </c>
      <c r="B1743" s="428"/>
      <c r="C1743" s="424"/>
      <c r="D1743" s="415"/>
      <c r="E1743" s="415"/>
      <c r="F1743" s="425"/>
      <c r="G1743" s="415"/>
      <c r="H1743" s="415"/>
      <c r="I1743" s="473"/>
      <c r="J1743" s="415"/>
      <c r="K1743" s="415"/>
      <c r="L1743" s="415"/>
      <c r="M1743" s="415"/>
      <c r="N1743" s="414"/>
      <c r="O1743" s="428"/>
      <c r="P1743" s="222">
        <f t="shared" si="122"/>
        <v>0</v>
      </c>
      <c r="Q1743" s="222">
        <f t="shared" si="123"/>
        <v>0</v>
      </c>
      <c r="R1743" s="467" t="str">
        <f t="shared" si="124"/>
        <v/>
      </c>
      <c r="S1743" s="467"/>
      <c r="T1743" s="467"/>
      <c r="U1743" s="496"/>
      <c r="V1743" s="496"/>
      <c r="W1743" s="496"/>
    </row>
    <row r="1744" spans="1:23" x14ac:dyDescent="0.2">
      <c r="A1744" s="510" t="str">
        <f t="shared" si="121"/>
        <v/>
      </c>
      <c r="B1744" s="428"/>
      <c r="C1744" s="424"/>
      <c r="D1744" s="415"/>
      <c r="E1744" s="415"/>
      <c r="F1744" s="425"/>
      <c r="G1744" s="415"/>
      <c r="H1744" s="415"/>
      <c r="I1744" s="473"/>
      <c r="J1744" s="415"/>
      <c r="K1744" s="415"/>
      <c r="L1744" s="415"/>
      <c r="M1744" s="415"/>
      <c r="N1744" s="414"/>
      <c r="O1744" s="428"/>
      <c r="P1744" s="222">
        <f t="shared" si="122"/>
        <v>0</v>
      </c>
      <c r="Q1744" s="222">
        <f t="shared" si="123"/>
        <v>0</v>
      </c>
      <c r="R1744" s="467" t="str">
        <f t="shared" si="124"/>
        <v/>
      </c>
      <c r="S1744" s="467"/>
      <c r="T1744" s="467"/>
      <c r="U1744" s="496"/>
      <c r="V1744" s="496"/>
      <c r="W1744" s="496"/>
    </row>
    <row r="1745" spans="1:23" x14ac:dyDescent="0.2">
      <c r="A1745" s="510" t="str">
        <f t="shared" si="121"/>
        <v/>
      </c>
      <c r="B1745" s="428"/>
      <c r="C1745" s="424"/>
      <c r="D1745" s="415"/>
      <c r="E1745" s="415"/>
      <c r="F1745" s="425"/>
      <c r="G1745" s="415"/>
      <c r="H1745" s="415"/>
      <c r="I1745" s="473"/>
      <c r="J1745" s="415"/>
      <c r="K1745" s="415"/>
      <c r="L1745" s="415"/>
      <c r="M1745" s="415"/>
      <c r="N1745" s="414"/>
      <c r="O1745" s="428"/>
      <c r="P1745" s="222">
        <f t="shared" si="122"/>
        <v>0</v>
      </c>
      <c r="Q1745" s="222">
        <f t="shared" si="123"/>
        <v>0</v>
      </c>
      <c r="R1745" s="467" t="str">
        <f t="shared" si="124"/>
        <v/>
      </c>
      <c r="S1745" s="467"/>
      <c r="T1745" s="467"/>
      <c r="U1745" s="496"/>
      <c r="V1745" s="496"/>
      <c r="W1745" s="496"/>
    </row>
    <row r="1746" spans="1:23" x14ac:dyDescent="0.2">
      <c r="A1746" s="510" t="str">
        <f t="shared" si="121"/>
        <v/>
      </c>
      <c r="B1746" s="428"/>
      <c r="C1746" s="424"/>
      <c r="D1746" s="415"/>
      <c r="E1746" s="415"/>
      <c r="F1746" s="425"/>
      <c r="G1746" s="415"/>
      <c r="H1746" s="415"/>
      <c r="I1746" s="473"/>
      <c r="J1746" s="415"/>
      <c r="K1746" s="415"/>
      <c r="L1746" s="415"/>
      <c r="M1746" s="415"/>
      <c r="N1746" s="414"/>
      <c r="O1746" s="428"/>
      <c r="P1746" s="222">
        <f t="shared" si="122"/>
        <v>0</v>
      </c>
      <c r="Q1746" s="222">
        <f t="shared" si="123"/>
        <v>0</v>
      </c>
      <c r="R1746" s="467" t="str">
        <f t="shared" si="124"/>
        <v/>
      </c>
      <c r="S1746" s="467"/>
      <c r="T1746" s="467"/>
      <c r="U1746" s="496"/>
      <c r="V1746" s="496"/>
      <c r="W1746" s="496"/>
    </row>
    <row r="1747" spans="1:23" x14ac:dyDescent="0.2">
      <c r="A1747" s="510" t="str">
        <f t="shared" si="121"/>
        <v/>
      </c>
      <c r="B1747" s="428"/>
      <c r="C1747" s="424"/>
      <c r="D1747" s="415"/>
      <c r="E1747" s="415"/>
      <c r="F1747" s="425"/>
      <c r="G1747" s="415"/>
      <c r="H1747" s="415"/>
      <c r="I1747" s="473"/>
      <c r="J1747" s="415"/>
      <c r="K1747" s="415"/>
      <c r="L1747" s="415"/>
      <c r="M1747" s="415"/>
      <c r="N1747" s="414"/>
      <c r="O1747" s="428"/>
      <c r="P1747" s="222">
        <f t="shared" si="122"/>
        <v>0</v>
      </c>
      <c r="Q1747" s="222">
        <f t="shared" si="123"/>
        <v>0</v>
      </c>
      <c r="R1747" s="467" t="str">
        <f t="shared" si="124"/>
        <v/>
      </c>
      <c r="S1747" s="467"/>
      <c r="T1747" s="467"/>
      <c r="U1747" s="496"/>
      <c r="V1747" s="496"/>
      <c r="W1747" s="496"/>
    </row>
    <row r="1748" spans="1:23" x14ac:dyDescent="0.2">
      <c r="A1748" s="510" t="str">
        <f t="shared" si="121"/>
        <v/>
      </c>
      <c r="B1748" s="428"/>
      <c r="C1748" s="424"/>
      <c r="D1748" s="415"/>
      <c r="E1748" s="415"/>
      <c r="F1748" s="425"/>
      <c r="G1748" s="415"/>
      <c r="H1748" s="415"/>
      <c r="I1748" s="473"/>
      <c r="J1748" s="415"/>
      <c r="K1748" s="415"/>
      <c r="L1748" s="415"/>
      <c r="M1748" s="415"/>
      <c r="N1748" s="414"/>
      <c r="O1748" s="428"/>
      <c r="P1748" s="222">
        <f t="shared" si="122"/>
        <v>0</v>
      </c>
      <c r="Q1748" s="222">
        <f t="shared" si="123"/>
        <v>0</v>
      </c>
      <c r="R1748" s="467" t="str">
        <f t="shared" si="124"/>
        <v/>
      </c>
      <c r="S1748" s="467"/>
      <c r="T1748" s="467"/>
      <c r="U1748" s="496"/>
      <c r="V1748" s="496"/>
      <c r="W1748" s="496"/>
    </row>
    <row r="1749" spans="1:23" x14ac:dyDescent="0.2">
      <c r="A1749" s="510" t="str">
        <f t="shared" si="121"/>
        <v/>
      </c>
      <c r="B1749" s="428"/>
      <c r="C1749" s="424"/>
      <c r="D1749" s="415"/>
      <c r="E1749" s="415"/>
      <c r="F1749" s="425"/>
      <c r="G1749" s="415"/>
      <c r="H1749" s="415"/>
      <c r="I1749" s="473"/>
      <c r="J1749" s="415"/>
      <c r="K1749" s="415"/>
      <c r="L1749" s="415"/>
      <c r="M1749" s="415"/>
      <c r="N1749" s="414"/>
      <c r="O1749" s="428"/>
      <c r="P1749" s="222">
        <f t="shared" si="122"/>
        <v>0</v>
      </c>
      <c r="Q1749" s="222">
        <f t="shared" si="123"/>
        <v>0</v>
      </c>
      <c r="R1749" s="467" t="str">
        <f t="shared" si="124"/>
        <v/>
      </c>
      <c r="S1749" s="467"/>
      <c r="T1749" s="467"/>
      <c r="U1749" s="496"/>
      <c r="V1749" s="496"/>
      <c r="W1749" s="496"/>
    </row>
    <row r="1750" spans="1:23" x14ac:dyDescent="0.2">
      <c r="A1750" s="510" t="str">
        <f t="shared" si="121"/>
        <v/>
      </c>
      <c r="B1750" s="428"/>
      <c r="C1750" s="424"/>
      <c r="D1750" s="415"/>
      <c r="E1750" s="415"/>
      <c r="F1750" s="425"/>
      <c r="G1750" s="415"/>
      <c r="H1750" s="415"/>
      <c r="I1750" s="473"/>
      <c r="J1750" s="415"/>
      <c r="K1750" s="415"/>
      <c r="L1750" s="415"/>
      <c r="M1750" s="415"/>
      <c r="N1750" s="414"/>
      <c r="O1750" s="428"/>
      <c r="P1750" s="222">
        <f t="shared" si="122"/>
        <v>0</v>
      </c>
      <c r="Q1750" s="222">
        <f t="shared" si="123"/>
        <v>0</v>
      </c>
      <c r="R1750" s="467" t="str">
        <f t="shared" si="124"/>
        <v/>
      </c>
      <c r="S1750" s="467"/>
      <c r="T1750" s="467"/>
      <c r="U1750" s="496"/>
      <c r="V1750" s="496"/>
      <c r="W1750" s="496"/>
    </row>
    <row r="1751" spans="1:23" x14ac:dyDescent="0.2">
      <c r="A1751" s="510" t="str">
        <f t="shared" si="121"/>
        <v/>
      </c>
      <c r="B1751" s="428"/>
      <c r="C1751" s="424"/>
      <c r="D1751" s="415"/>
      <c r="E1751" s="415"/>
      <c r="F1751" s="425"/>
      <c r="G1751" s="415"/>
      <c r="H1751" s="415"/>
      <c r="I1751" s="473"/>
      <c r="J1751" s="415"/>
      <c r="K1751" s="415"/>
      <c r="L1751" s="415"/>
      <c r="M1751" s="415"/>
      <c r="N1751" s="414"/>
      <c r="O1751" s="428"/>
      <c r="P1751" s="222">
        <f t="shared" si="122"/>
        <v>0</v>
      </c>
      <c r="Q1751" s="222">
        <f t="shared" si="123"/>
        <v>0</v>
      </c>
      <c r="R1751" s="467" t="str">
        <f t="shared" si="124"/>
        <v/>
      </c>
      <c r="S1751" s="467"/>
      <c r="T1751" s="467"/>
      <c r="U1751" s="496"/>
      <c r="V1751" s="496"/>
      <c r="W1751" s="496"/>
    </row>
    <row r="1752" spans="1:23" x14ac:dyDescent="0.2">
      <c r="A1752" s="510" t="str">
        <f t="shared" si="121"/>
        <v/>
      </c>
      <c r="B1752" s="428"/>
      <c r="C1752" s="424"/>
      <c r="D1752" s="415"/>
      <c r="E1752" s="415"/>
      <c r="F1752" s="425"/>
      <c r="G1752" s="415"/>
      <c r="H1752" s="415"/>
      <c r="I1752" s="473"/>
      <c r="J1752" s="415"/>
      <c r="K1752" s="415"/>
      <c r="L1752" s="415"/>
      <c r="M1752" s="415"/>
      <c r="N1752" s="414"/>
      <c r="O1752" s="428"/>
      <c r="P1752" s="222">
        <f t="shared" si="122"/>
        <v>0</v>
      </c>
      <c r="Q1752" s="222">
        <f t="shared" si="123"/>
        <v>0</v>
      </c>
      <c r="R1752" s="467" t="str">
        <f t="shared" si="124"/>
        <v/>
      </c>
      <c r="S1752" s="467"/>
      <c r="T1752" s="467"/>
      <c r="U1752" s="496"/>
      <c r="V1752" s="496"/>
      <c r="W1752" s="496"/>
    </row>
    <row r="1753" spans="1:23" x14ac:dyDescent="0.2">
      <c r="A1753" s="510" t="str">
        <f t="shared" si="121"/>
        <v/>
      </c>
      <c r="B1753" s="428"/>
      <c r="C1753" s="424"/>
      <c r="D1753" s="415"/>
      <c r="E1753" s="415"/>
      <c r="F1753" s="425"/>
      <c r="G1753" s="415"/>
      <c r="H1753" s="415"/>
      <c r="I1753" s="473"/>
      <c r="J1753" s="415"/>
      <c r="K1753" s="415"/>
      <c r="L1753" s="415"/>
      <c r="M1753" s="415"/>
      <c r="N1753" s="414"/>
      <c r="O1753" s="428"/>
      <c r="P1753" s="222">
        <f t="shared" ref="P1753:P1816" si="125">IF(B1753=0,0,IF(YEAR(B1753)=$Q$1,MONTH(B1753)-$P$1+1,(YEAR(B1753)-$Q$1)*12-$P$1+1+MONTH(B1753)))</f>
        <v>0</v>
      </c>
      <c r="Q1753" s="222">
        <f t="shared" ref="Q1753:Q1816" si="126">IF(C1753=0,0,IF(YEAR(C1753)=$Q$1,MONTH(C1753)-$P$1+1,(YEAR(C1753)-$Q$1)*12-$P$1+1+MONTH(C1753)))</f>
        <v>0</v>
      </c>
      <c r="R1753" s="467" t="str">
        <f t="shared" ref="R1753:R1816" si="127">SUBSTITUTE(D1753," ","_")</f>
        <v/>
      </c>
      <c r="S1753" s="467"/>
      <c r="T1753" s="467"/>
      <c r="U1753" s="496"/>
      <c r="V1753" s="496"/>
      <c r="W1753" s="496"/>
    </row>
    <row r="1754" spans="1:23" x14ac:dyDescent="0.2">
      <c r="A1754" s="510" t="str">
        <f t="shared" ref="A1754:A1816" si="128">IF(B1754="","",ROW()-ROW($A$3))</f>
        <v/>
      </c>
      <c r="B1754" s="428"/>
      <c r="C1754" s="424"/>
      <c r="D1754" s="415"/>
      <c r="E1754" s="415"/>
      <c r="F1754" s="425"/>
      <c r="G1754" s="415"/>
      <c r="H1754" s="415"/>
      <c r="I1754" s="473"/>
      <c r="J1754" s="415"/>
      <c r="K1754" s="415"/>
      <c r="L1754" s="415"/>
      <c r="M1754" s="415"/>
      <c r="N1754" s="414"/>
      <c r="O1754" s="428"/>
      <c r="P1754" s="222">
        <f t="shared" si="125"/>
        <v>0</v>
      </c>
      <c r="Q1754" s="222">
        <f t="shared" si="126"/>
        <v>0</v>
      </c>
      <c r="R1754" s="467" t="str">
        <f t="shared" si="127"/>
        <v/>
      </c>
      <c r="S1754" s="467"/>
      <c r="T1754" s="467"/>
      <c r="U1754" s="496"/>
      <c r="V1754" s="496"/>
      <c r="W1754" s="496"/>
    </row>
    <row r="1755" spans="1:23" x14ac:dyDescent="0.2">
      <c r="A1755" s="510" t="str">
        <f t="shared" si="128"/>
        <v/>
      </c>
      <c r="B1755" s="428"/>
      <c r="C1755" s="424"/>
      <c r="D1755" s="415"/>
      <c r="E1755" s="415"/>
      <c r="F1755" s="425"/>
      <c r="G1755" s="415"/>
      <c r="H1755" s="415"/>
      <c r="I1755" s="473"/>
      <c r="J1755" s="415"/>
      <c r="K1755" s="415"/>
      <c r="L1755" s="415"/>
      <c r="M1755" s="415"/>
      <c r="N1755" s="414"/>
      <c r="O1755" s="428"/>
      <c r="P1755" s="222">
        <f t="shared" si="125"/>
        <v>0</v>
      </c>
      <c r="Q1755" s="222">
        <f t="shared" si="126"/>
        <v>0</v>
      </c>
      <c r="R1755" s="467" t="str">
        <f t="shared" si="127"/>
        <v/>
      </c>
      <c r="S1755" s="467"/>
      <c r="T1755" s="467"/>
      <c r="U1755" s="496"/>
      <c r="V1755" s="496"/>
      <c r="W1755" s="496"/>
    </row>
    <row r="1756" spans="1:23" x14ac:dyDescent="0.2">
      <c r="A1756" s="510" t="str">
        <f t="shared" si="128"/>
        <v/>
      </c>
      <c r="B1756" s="428"/>
      <c r="C1756" s="424"/>
      <c r="D1756" s="415"/>
      <c r="E1756" s="415"/>
      <c r="F1756" s="425"/>
      <c r="G1756" s="415"/>
      <c r="H1756" s="415"/>
      <c r="I1756" s="473"/>
      <c r="J1756" s="415"/>
      <c r="K1756" s="415"/>
      <c r="L1756" s="415"/>
      <c r="M1756" s="415"/>
      <c r="N1756" s="414"/>
      <c r="O1756" s="428"/>
      <c r="P1756" s="222">
        <f t="shared" si="125"/>
        <v>0</v>
      </c>
      <c r="Q1756" s="222">
        <f t="shared" si="126"/>
        <v>0</v>
      </c>
      <c r="R1756" s="467" t="str">
        <f t="shared" si="127"/>
        <v/>
      </c>
      <c r="S1756" s="467"/>
      <c r="T1756" s="467"/>
      <c r="U1756" s="496"/>
      <c r="V1756" s="496"/>
      <c r="W1756" s="496"/>
    </row>
    <row r="1757" spans="1:23" x14ac:dyDescent="0.2">
      <c r="A1757" s="510" t="str">
        <f t="shared" si="128"/>
        <v/>
      </c>
      <c r="B1757" s="428"/>
      <c r="C1757" s="424"/>
      <c r="D1757" s="415"/>
      <c r="E1757" s="415"/>
      <c r="F1757" s="425"/>
      <c r="G1757" s="415"/>
      <c r="H1757" s="415"/>
      <c r="I1757" s="473"/>
      <c r="J1757" s="415"/>
      <c r="K1757" s="415"/>
      <c r="L1757" s="415"/>
      <c r="M1757" s="415"/>
      <c r="N1757" s="414"/>
      <c r="O1757" s="428"/>
      <c r="P1757" s="222">
        <f t="shared" si="125"/>
        <v>0</v>
      </c>
      <c r="Q1757" s="222">
        <f t="shared" si="126"/>
        <v>0</v>
      </c>
      <c r="R1757" s="467" t="str">
        <f t="shared" si="127"/>
        <v/>
      </c>
      <c r="S1757" s="467"/>
      <c r="T1757" s="467"/>
      <c r="U1757" s="496"/>
      <c r="V1757" s="496"/>
      <c r="W1757" s="496"/>
    </row>
    <row r="1758" spans="1:23" x14ac:dyDescent="0.2">
      <c r="A1758" s="510" t="str">
        <f t="shared" si="128"/>
        <v/>
      </c>
      <c r="B1758" s="428"/>
      <c r="C1758" s="424"/>
      <c r="D1758" s="415"/>
      <c r="E1758" s="415"/>
      <c r="F1758" s="425"/>
      <c r="G1758" s="415"/>
      <c r="H1758" s="415"/>
      <c r="I1758" s="473"/>
      <c r="J1758" s="415"/>
      <c r="K1758" s="415"/>
      <c r="L1758" s="415"/>
      <c r="M1758" s="415"/>
      <c r="N1758" s="414"/>
      <c r="O1758" s="428"/>
      <c r="P1758" s="222">
        <f t="shared" si="125"/>
        <v>0</v>
      </c>
      <c r="Q1758" s="222">
        <f t="shared" si="126"/>
        <v>0</v>
      </c>
      <c r="R1758" s="467" t="str">
        <f t="shared" si="127"/>
        <v/>
      </c>
      <c r="S1758" s="467"/>
      <c r="T1758" s="467"/>
      <c r="U1758" s="496"/>
      <c r="V1758" s="496"/>
      <c r="W1758" s="496"/>
    </row>
    <row r="1759" spans="1:23" x14ac:dyDescent="0.2">
      <c r="A1759" s="510" t="str">
        <f t="shared" si="128"/>
        <v/>
      </c>
      <c r="B1759" s="428"/>
      <c r="C1759" s="424"/>
      <c r="D1759" s="415"/>
      <c r="E1759" s="415"/>
      <c r="F1759" s="425"/>
      <c r="G1759" s="415"/>
      <c r="H1759" s="415"/>
      <c r="I1759" s="473"/>
      <c r="J1759" s="415"/>
      <c r="K1759" s="415"/>
      <c r="L1759" s="415"/>
      <c r="M1759" s="415"/>
      <c r="N1759" s="414"/>
      <c r="O1759" s="428"/>
      <c r="P1759" s="222">
        <f t="shared" si="125"/>
        <v>0</v>
      </c>
      <c r="Q1759" s="222">
        <f t="shared" si="126"/>
        <v>0</v>
      </c>
      <c r="R1759" s="467" t="str">
        <f t="shared" si="127"/>
        <v/>
      </c>
      <c r="S1759" s="467"/>
      <c r="T1759" s="467"/>
      <c r="U1759" s="496"/>
      <c r="V1759" s="496"/>
      <c r="W1759" s="496"/>
    </row>
    <row r="1760" spans="1:23" x14ac:dyDescent="0.2">
      <c r="A1760" s="510" t="str">
        <f t="shared" si="128"/>
        <v/>
      </c>
      <c r="B1760" s="428"/>
      <c r="C1760" s="424"/>
      <c r="D1760" s="415"/>
      <c r="E1760" s="415"/>
      <c r="F1760" s="425"/>
      <c r="G1760" s="415"/>
      <c r="H1760" s="415"/>
      <c r="I1760" s="473"/>
      <c r="J1760" s="415"/>
      <c r="K1760" s="415"/>
      <c r="L1760" s="415"/>
      <c r="M1760" s="415"/>
      <c r="N1760" s="414"/>
      <c r="O1760" s="428"/>
      <c r="P1760" s="222">
        <f t="shared" si="125"/>
        <v>0</v>
      </c>
      <c r="Q1760" s="222">
        <f t="shared" si="126"/>
        <v>0</v>
      </c>
      <c r="R1760" s="467" t="str">
        <f t="shared" si="127"/>
        <v/>
      </c>
      <c r="S1760" s="467"/>
      <c r="T1760" s="467"/>
      <c r="U1760" s="496"/>
      <c r="V1760" s="496"/>
      <c r="W1760" s="496"/>
    </row>
    <row r="1761" spans="1:23" x14ac:dyDescent="0.2">
      <c r="A1761" s="510" t="str">
        <f t="shared" si="128"/>
        <v/>
      </c>
      <c r="B1761" s="428"/>
      <c r="C1761" s="424"/>
      <c r="D1761" s="415"/>
      <c r="E1761" s="415"/>
      <c r="F1761" s="425"/>
      <c r="G1761" s="415"/>
      <c r="H1761" s="415"/>
      <c r="I1761" s="473"/>
      <c r="J1761" s="415"/>
      <c r="K1761" s="415"/>
      <c r="L1761" s="415"/>
      <c r="M1761" s="415"/>
      <c r="N1761" s="414"/>
      <c r="O1761" s="428"/>
      <c r="P1761" s="222">
        <f t="shared" si="125"/>
        <v>0</v>
      </c>
      <c r="Q1761" s="222">
        <f t="shared" si="126"/>
        <v>0</v>
      </c>
      <c r="R1761" s="467" t="str">
        <f t="shared" si="127"/>
        <v/>
      </c>
      <c r="S1761" s="467"/>
      <c r="T1761" s="467"/>
      <c r="U1761" s="496"/>
      <c r="V1761" s="496"/>
      <c r="W1761" s="496"/>
    </row>
    <row r="1762" spans="1:23" x14ac:dyDescent="0.2">
      <c r="A1762" s="510" t="str">
        <f t="shared" si="128"/>
        <v/>
      </c>
      <c r="B1762" s="428"/>
      <c r="C1762" s="424"/>
      <c r="D1762" s="415"/>
      <c r="E1762" s="415"/>
      <c r="F1762" s="425"/>
      <c r="G1762" s="415"/>
      <c r="H1762" s="415"/>
      <c r="I1762" s="473"/>
      <c r="J1762" s="415"/>
      <c r="K1762" s="415"/>
      <c r="L1762" s="415"/>
      <c r="M1762" s="415"/>
      <c r="N1762" s="414"/>
      <c r="O1762" s="428"/>
      <c r="P1762" s="222">
        <f t="shared" si="125"/>
        <v>0</v>
      </c>
      <c r="Q1762" s="222">
        <f t="shared" si="126"/>
        <v>0</v>
      </c>
      <c r="R1762" s="467" t="str">
        <f t="shared" si="127"/>
        <v/>
      </c>
      <c r="S1762" s="467"/>
      <c r="T1762" s="467"/>
      <c r="U1762" s="496"/>
      <c r="V1762" s="496"/>
      <c r="W1762" s="496"/>
    </row>
    <row r="1763" spans="1:23" x14ac:dyDescent="0.2">
      <c r="A1763" s="510" t="str">
        <f t="shared" si="128"/>
        <v/>
      </c>
      <c r="B1763" s="428"/>
      <c r="C1763" s="424"/>
      <c r="D1763" s="415"/>
      <c r="E1763" s="415"/>
      <c r="F1763" s="425"/>
      <c r="G1763" s="415"/>
      <c r="H1763" s="415"/>
      <c r="I1763" s="473"/>
      <c r="J1763" s="415"/>
      <c r="K1763" s="415"/>
      <c r="L1763" s="415"/>
      <c r="M1763" s="415"/>
      <c r="N1763" s="414"/>
      <c r="O1763" s="428"/>
      <c r="P1763" s="222">
        <f t="shared" si="125"/>
        <v>0</v>
      </c>
      <c r="Q1763" s="222">
        <f t="shared" si="126"/>
        <v>0</v>
      </c>
      <c r="R1763" s="467" t="str">
        <f t="shared" si="127"/>
        <v/>
      </c>
      <c r="S1763" s="467"/>
      <c r="T1763" s="467"/>
      <c r="U1763" s="496"/>
      <c r="V1763" s="496"/>
      <c r="W1763" s="496"/>
    </row>
    <row r="1764" spans="1:23" x14ac:dyDescent="0.2">
      <c r="A1764" s="510" t="str">
        <f t="shared" si="128"/>
        <v/>
      </c>
      <c r="B1764" s="428"/>
      <c r="C1764" s="424"/>
      <c r="D1764" s="415"/>
      <c r="E1764" s="415"/>
      <c r="F1764" s="425"/>
      <c r="G1764" s="415"/>
      <c r="H1764" s="415"/>
      <c r="I1764" s="473"/>
      <c r="J1764" s="415"/>
      <c r="K1764" s="415"/>
      <c r="L1764" s="415"/>
      <c r="M1764" s="415"/>
      <c r="N1764" s="414"/>
      <c r="O1764" s="428"/>
      <c r="P1764" s="222">
        <f t="shared" si="125"/>
        <v>0</v>
      </c>
      <c r="Q1764" s="222">
        <f t="shared" si="126"/>
        <v>0</v>
      </c>
      <c r="R1764" s="467" t="str">
        <f t="shared" si="127"/>
        <v/>
      </c>
      <c r="S1764" s="467"/>
      <c r="T1764" s="467"/>
      <c r="U1764" s="496"/>
      <c r="V1764" s="496"/>
      <c r="W1764" s="496"/>
    </row>
    <row r="1765" spans="1:23" x14ac:dyDescent="0.2">
      <c r="A1765" s="510" t="str">
        <f t="shared" si="128"/>
        <v/>
      </c>
      <c r="B1765" s="428"/>
      <c r="C1765" s="424"/>
      <c r="D1765" s="415"/>
      <c r="E1765" s="415"/>
      <c r="F1765" s="425"/>
      <c r="G1765" s="415"/>
      <c r="H1765" s="415"/>
      <c r="I1765" s="473"/>
      <c r="J1765" s="415"/>
      <c r="K1765" s="415"/>
      <c r="L1765" s="415"/>
      <c r="M1765" s="415"/>
      <c r="N1765" s="414"/>
      <c r="O1765" s="428"/>
      <c r="P1765" s="222">
        <f t="shared" si="125"/>
        <v>0</v>
      </c>
      <c r="Q1765" s="222">
        <f t="shared" si="126"/>
        <v>0</v>
      </c>
      <c r="R1765" s="467" t="str">
        <f t="shared" si="127"/>
        <v/>
      </c>
      <c r="S1765" s="467"/>
      <c r="T1765" s="467"/>
      <c r="U1765" s="496"/>
      <c r="V1765" s="496"/>
      <c r="W1765" s="496"/>
    </row>
    <row r="1766" spans="1:23" x14ac:dyDescent="0.2">
      <c r="A1766" s="510" t="str">
        <f t="shared" si="128"/>
        <v/>
      </c>
      <c r="B1766" s="428"/>
      <c r="C1766" s="424"/>
      <c r="D1766" s="415"/>
      <c r="E1766" s="415"/>
      <c r="F1766" s="425"/>
      <c r="G1766" s="415"/>
      <c r="H1766" s="415"/>
      <c r="I1766" s="473"/>
      <c r="J1766" s="415"/>
      <c r="K1766" s="415"/>
      <c r="L1766" s="415"/>
      <c r="M1766" s="415"/>
      <c r="N1766" s="414"/>
      <c r="O1766" s="428"/>
      <c r="P1766" s="222">
        <f t="shared" si="125"/>
        <v>0</v>
      </c>
      <c r="Q1766" s="222">
        <f t="shared" si="126"/>
        <v>0</v>
      </c>
      <c r="R1766" s="467" t="str">
        <f t="shared" si="127"/>
        <v/>
      </c>
      <c r="S1766" s="467"/>
      <c r="T1766" s="467"/>
      <c r="U1766" s="496"/>
      <c r="V1766" s="496"/>
      <c r="W1766" s="496"/>
    </row>
    <row r="1767" spans="1:23" x14ac:dyDescent="0.2">
      <c r="A1767" s="510" t="str">
        <f t="shared" si="128"/>
        <v/>
      </c>
      <c r="B1767" s="428"/>
      <c r="C1767" s="424"/>
      <c r="D1767" s="415"/>
      <c r="E1767" s="415"/>
      <c r="F1767" s="425"/>
      <c r="G1767" s="415"/>
      <c r="H1767" s="415"/>
      <c r="I1767" s="473"/>
      <c r="J1767" s="415"/>
      <c r="K1767" s="415"/>
      <c r="L1767" s="415"/>
      <c r="M1767" s="415"/>
      <c r="N1767" s="414"/>
      <c r="O1767" s="428"/>
      <c r="P1767" s="222">
        <f t="shared" si="125"/>
        <v>0</v>
      </c>
      <c r="Q1767" s="222">
        <f t="shared" si="126"/>
        <v>0</v>
      </c>
      <c r="R1767" s="467" t="str">
        <f t="shared" si="127"/>
        <v/>
      </c>
      <c r="S1767" s="467"/>
      <c r="T1767" s="467"/>
      <c r="U1767" s="496"/>
      <c r="V1767" s="496"/>
      <c r="W1767" s="496"/>
    </row>
    <row r="1768" spans="1:23" x14ac:dyDescent="0.2">
      <c r="A1768" s="510" t="str">
        <f t="shared" si="128"/>
        <v/>
      </c>
      <c r="B1768" s="428"/>
      <c r="C1768" s="424"/>
      <c r="D1768" s="415"/>
      <c r="E1768" s="415"/>
      <c r="F1768" s="425"/>
      <c r="G1768" s="415"/>
      <c r="H1768" s="415"/>
      <c r="I1768" s="473"/>
      <c r="J1768" s="415"/>
      <c r="K1768" s="415"/>
      <c r="L1768" s="415"/>
      <c r="M1768" s="415"/>
      <c r="N1768" s="414"/>
      <c r="O1768" s="428"/>
      <c r="P1768" s="222">
        <f t="shared" si="125"/>
        <v>0</v>
      </c>
      <c r="Q1768" s="222">
        <f t="shared" si="126"/>
        <v>0</v>
      </c>
      <c r="R1768" s="467" t="str">
        <f t="shared" si="127"/>
        <v/>
      </c>
      <c r="S1768" s="467"/>
      <c r="T1768" s="467"/>
      <c r="U1768" s="496"/>
      <c r="V1768" s="496"/>
      <c r="W1768" s="496"/>
    </row>
    <row r="1769" spans="1:23" x14ac:dyDescent="0.2">
      <c r="A1769" s="510" t="str">
        <f t="shared" si="128"/>
        <v/>
      </c>
      <c r="B1769" s="428"/>
      <c r="C1769" s="424"/>
      <c r="D1769" s="415"/>
      <c r="E1769" s="415"/>
      <c r="F1769" s="425"/>
      <c r="G1769" s="415"/>
      <c r="H1769" s="415"/>
      <c r="I1769" s="473"/>
      <c r="J1769" s="415"/>
      <c r="K1769" s="415"/>
      <c r="L1769" s="415"/>
      <c r="M1769" s="415"/>
      <c r="N1769" s="414"/>
      <c r="O1769" s="428"/>
      <c r="P1769" s="222">
        <f t="shared" si="125"/>
        <v>0</v>
      </c>
      <c r="Q1769" s="222">
        <f t="shared" si="126"/>
        <v>0</v>
      </c>
      <c r="R1769" s="467" t="str">
        <f t="shared" si="127"/>
        <v/>
      </c>
      <c r="S1769" s="467"/>
      <c r="T1769" s="467"/>
      <c r="U1769" s="496"/>
      <c r="V1769" s="496"/>
      <c r="W1769" s="496"/>
    </row>
    <row r="1770" spans="1:23" x14ac:dyDescent="0.2">
      <c r="A1770" s="510" t="str">
        <f t="shared" si="128"/>
        <v/>
      </c>
      <c r="B1770" s="428"/>
      <c r="C1770" s="424"/>
      <c r="D1770" s="415"/>
      <c r="E1770" s="415"/>
      <c r="F1770" s="425"/>
      <c r="G1770" s="415"/>
      <c r="H1770" s="415"/>
      <c r="I1770" s="473"/>
      <c r="J1770" s="415"/>
      <c r="K1770" s="415"/>
      <c r="L1770" s="415"/>
      <c r="M1770" s="415"/>
      <c r="N1770" s="414"/>
      <c r="O1770" s="428"/>
      <c r="P1770" s="222">
        <f t="shared" si="125"/>
        <v>0</v>
      </c>
      <c r="Q1770" s="222">
        <f t="shared" si="126"/>
        <v>0</v>
      </c>
      <c r="R1770" s="467" t="str">
        <f t="shared" si="127"/>
        <v/>
      </c>
      <c r="S1770" s="467"/>
      <c r="T1770" s="467"/>
      <c r="U1770" s="496"/>
      <c r="V1770" s="496"/>
      <c r="W1770" s="496"/>
    </row>
    <row r="1771" spans="1:23" x14ac:dyDescent="0.2">
      <c r="A1771" s="510" t="str">
        <f t="shared" si="128"/>
        <v/>
      </c>
      <c r="B1771" s="428"/>
      <c r="C1771" s="424"/>
      <c r="D1771" s="415"/>
      <c r="E1771" s="415"/>
      <c r="F1771" s="425"/>
      <c r="G1771" s="415"/>
      <c r="H1771" s="415"/>
      <c r="I1771" s="473"/>
      <c r="J1771" s="415"/>
      <c r="K1771" s="415"/>
      <c r="L1771" s="415"/>
      <c r="M1771" s="415"/>
      <c r="N1771" s="414"/>
      <c r="O1771" s="428"/>
      <c r="P1771" s="222">
        <f t="shared" si="125"/>
        <v>0</v>
      </c>
      <c r="Q1771" s="222">
        <f t="shared" si="126"/>
        <v>0</v>
      </c>
      <c r="R1771" s="467" t="str">
        <f t="shared" si="127"/>
        <v/>
      </c>
      <c r="S1771" s="467"/>
      <c r="T1771" s="467"/>
      <c r="U1771" s="496"/>
      <c r="V1771" s="496"/>
      <c r="W1771" s="496"/>
    </row>
    <row r="1772" spans="1:23" x14ac:dyDescent="0.2">
      <c r="A1772" s="510" t="str">
        <f t="shared" si="128"/>
        <v/>
      </c>
      <c r="B1772" s="428"/>
      <c r="C1772" s="424"/>
      <c r="D1772" s="415"/>
      <c r="E1772" s="415"/>
      <c r="F1772" s="425"/>
      <c r="G1772" s="415"/>
      <c r="H1772" s="415"/>
      <c r="I1772" s="473"/>
      <c r="J1772" s="415"/>
      <c r="K1772" s="415"/>
      <c r="L1772" s="415"/>
      <c r="M1772" s="415"/>
      <c r="N1772" s="414"/>
      <c r="O1772" s="428"/>
      <c r="P1772" s="222">
        <f t="shared" si="125"/>
        <v>0</v>
      </c>
      <c r="Q1772" s="222">
        <f t="shared" si="126"/>
        <v>0</v>
      </c>
      <c r="R1772" s="467" t="str">
        <f t="shared" si="127"/>
        <v/>
      </c>
      <c r="S1772" s="467"/>
      <c r="T1772" s="467"/>
      <c r="U1772" s="496"/>
      <c r="V1772" s="496"/>
      <c r="W1772" s="496"/>
    </row>
    <row r="1773" spans="1:23" x14ac:dyDescent="0.2">
      <c r="A1773" s="510" t="str">
        <f t="shared" si="128"/>
        <v/>
      </c>
      <c r="B1773" s="428"/>
      <c r="C1773" s="424"/>
      <c r="D1773" s="415"/>
      <c r="E1773" s="415"/>
      <c r="F1773" s="425"/>
      <c r="G1773" s="415"/>
      <c r="H1773" s="415"/>
      <c r="I1773" s="473"/>
      <c r="J1773" s="415"/>
      <c r="K1773" s="415"/>
      <c r="L1773" s="415"/>
      <c r="M1773" s="415"/>
      <c r="N1773" s="414"/>
      <c r="O1773" s="428"/>
      <c r="P1773" s="222">
        <f t="shared" si="125"/>
        <v>0</v>
      </c>
      <c r="Q1773" s="222">
        <f t="shared" si="126"/>
        <v>0</v>
      </c>
      <c r="R1773" s="467" t="str">
        <f t="shared" si="127"/>
        <v/>
      </c>
      <c r="S1773" s="467"/>
      <c r="T1773" s="467"/>
      <c r="U1773" s="496"/>
      <c r="V1773" s="496"/>
      <c r="W1773" s="496"/>
    </row>
    <row r="1774" spans="1:23" x14ac:dyDescent="0.2">
      <c r="A1774" s="510" t="str">
        <f t="shared" si="128"/>
        <v/>
      </c>
      <c r="B1774" s="428"/>
      <c r="C1774" s="424"/>
      <c r="D1774" s="415"/>
      <c r="E1774" s="415"/>
      <c r="F1774" s="425"/>
      <c r="G1774" s="415"/>
      <c r="H1774" s="415"/>
      <c r="I1774" s="473"/>
      <c r="J1774" s="415"/>
      <c r="K1774" s="415"/>
      <c r="L1774" s="415"/>
      <c r="M1774" s="415"/>
      <c r="N1774" s="414"/>
      <c r="O1774" s="428"/>
      <c r="P1774" s="222">
        <f t="shared" si="125"/>
        <v>0</v>
      </c>
      <c r="Q1774" s="222">
        <f t="shared" si="126"/>
        <v>0</v>
      </c>
      <c r="R1774" s="467" t="str">
        <f t="shared" si="127"/>
        <v/>
      </c>
      <c r="S1774" s="467"/>
      <c r="T1774" s="467"/>
      <c r="U1774" s="496"/>
      <c r="V1774" s="496"/>
      <c r="W1774" s="496"/>
    </row>
    <row r="1775" spans="1:23" x14ac:dyDescent="0.2">
      <c r="A1775" s="510" t="str">
        <f t="shared" si="128"/>
        <v/>
      </c>
      <c r="B1775" s="428"/>
      <c r="C1775" s="424"/>
      <c r="D1775" s="415"/>
      <c r="E1775" s="415"/>
      <c r="F1775" s="425"/>
      <c r="G1775" s="415"/>
      <c r="H1775" s="415"/>
      <c r="I1775" s="473"/>
      <c r="J1775" s="415"/>
      <c r="K1775" s="415"/>
      <c r="L1775" s="415"/>
      <c r="M1775" s="415"/>
      <c r="N1775" s="414"/>
      <c r="O1775" s="428"/>
      <c r="P1775" s="222">
        <f t="shared" si="125"/>
        <v>0</v>
      </c>
      <c r="Q1775" s="222">
        <f t="shared" si="126"/>
        <v>0</v>
      </c>
      <c r="R1775" s="467" t="str">
        <f t="shared" si="127"/>
        <v/>
      </c>
      <c r="S1775" s="467"/>
      <c r="T1775" s="467"/>
      <c r="U1775" s="496"/>
      <c r="V1775" s="496"/>
      <c r="W1775" s="496"/>
    </row>
    <row r="1776" spans="1:23" x14ac:dyDescent="0.2">
      <c r="A1776" s="510" t="str">
        <f t="shared" si="128"/>
        <v/>
      </c>
      <c r="B1776" s="428"/>
      <c r="C1776" s="424"/>
      <c r="D1776" s="415"/>
      <c r="E1776" s="415"/>
      <c r="F1776" s="425"/>
      <c r="G1776" s="415"/>
      <c r="H1776" s="415"/>
      <c r="I1776" s="473"/>
      <c r="J1776" s="415"/>
      <c r="K1776" s="415"/>
      <c r="L1776" s="415"/>
      <c r="M1776" s="415"/>
      <c r="N1776" s="414"/>
      <c r="O1776" s="428"/>
      <c r="P1776" s="222">
        <f t="shared" si="125"/>
        <v>0</v>
      </c>
      <c r="Q1776" s="222">
        <f t="shared" si="126"/>
        <v>0</v>
      </c>
      <c r="R1776" s="467" t="str">
        <f t="shared" si="127"/>
        <v/>
      </c>
      <c r="S1776" s="467"/>
      <c r="T1776" s="467"/>
      <c r="U1776" s="496"/>
      <c r="V1776" s="496"/>
      <c r="W1776" s="496"/>
    </row>
    <row r="1777" spans="1:23" x14ac:dyDescent="0.2">
      <c r="A1777" s="510" t="str">
        <f t="shared" si="128"/>
        <v/>
      </c>
      <c r="B1777" s="428"/>
      <c r="C1777" s="424"/>
      <c r="D1777" s="415"/>
      <c r="E1777" s="415"/>
      <c r="F1777" s="425"/>
      <c r="G1777" s="415"/>
      <c r="H1777" s="415"/>
      <c r="I1777" s="473"/>
      <c r="J1777" s="415"/>
      <c r="K1777" s="415"/>
      <c r="L1777" s="415"/>
      <c r="M1777" s="415"/>
      <c r="N1777" s="414"/>
      <c r="O1777" s="428"/>
      <c r="P1777" s="222">
        <f t="shared" si="125"/>
        <v>0</v>
      </c>
      <c r="Q1777" s="222">
        <f t="shared" si="126"/>
        <v>0</v>
      </c>
      <c r="R1777" s="467" t="str">
        <f t="shared" si="127"/>
        <v/>
      </c>
      <c r="S1777" s="467"/>
      <c r="T1777" s="467"/>
      <c r="U1777" s="496"/>
      <c r="V1777" s="496"/>
      <c r="W1777" s="496"/>
    </row>
    <row r="1778" spans="1:23" x14ac:dyDescent="0.2">
      <c r="A1778" s="510" t="str">
        <f t="shared" si="128"/>
        <v/>
      </c>
      <c r="B1778" s="428"/>
      <c r="C1778" s="424"/>
      <c r="D1778" s="415"/>
      <c r="E1778" s="415"/>
      <c r="F1778" s="425"/>
      <c r="G1778" s="415"/>
      <c r="H1778" s="415"/>
      <c r="I1778" s="473"/>
      <c r="J1778" s="415"/>
      <c r="K1778" s="415"/>
      <c r="L1778" s="415"/>
      <c r="M1778" s="415"/>
      <c r="N1778" s="414"/>
      <c r="O1778" s="428"/>
      <c r="P1778" s="222">
        <f t="shared" si="125"/>
        <v>0</v>
      </c>
      <c r="Q1778" s="222">
        <f t="shared" si="126"/>
        <v>0</v>
      </c>
      <c r="R1778" s="467" t="str">
        <f t="shared" si="127"/>
        <v/>
      </c>
      <c r="S1778" s="467"/>
      <c r="T1778" s="467"/>
      <c r="U1778" s="496"/>
      <c r="V1778" s="496"/>
      <c r="W1778" s="496"/>
    </row>
    <row r="1779" spans="1:23" x14ac:dyDescent="0.2">
      <c r="A1779" s="510" t="str">
        <f t="shared" si="128"/>
        <v/>
      </c>
      <c r="B1779" s="428"/>
      <c r="C1779" s="424"/>
      <c r="D1779" s="415"/>
      <c r="E1779" s="415"/>
      <c r="F1779" s="425"/>
      <c r="G1779" s="415"/>
      <c r="H1779" s="415"/>
      <c r="I1779" s="473"/>
      <c r="J1779" s="415"/>
      <c r="K1779" s="415"/>
      <c r="L1779" s="415"/>
      <c r="M1779" s="415"/>
      <c r="N1779" s="414"/>
      <c r="O1779" s="428"/>
      <c r="P1779" s="222">
        <f t="shared" si="125"/>
        <v>0</v>
      </c>
      <c r="Q1779" s="222">
        <f t="shared" si="126"/>
        <v>0</v>
      </c>
      <c r="R1779" s="467" t="str">
        <f t="shared" si="127"/>
        <v/>
      </c>
      <c r="S1779" s="467"/>
      <c r="T1779" s="467"/>
      <c r="U1779" s="496"/>
      <c r="V1779" s="496"/>
      <c r="W1779" s="496"/>
    </row>
    <row r="1780" spans="1:23" x14ac:dyDescent="0.2">
      <c r="A1780" s="510" t="str">
        <f t="shared" si="128"/>
        <v/>
      </c>
      <c r="B1780" s="428"/>
      <c r="C1780" s="424"/>
      <c r="D1780" s="415"/>
      <c r="E1780" s="415"/>
      <c r="F1780" s="425"/>
      <c r="G1780" s="415"/>
      <c r="H1780" s="415"/>
      <c r="I1780" s="473"/>
      <c r="J1780" s="415"/>
      <c r="K1780" s="415"/>
      <c r="L1780" s="415"/>
      <c r="M1780" s="415"/>
      <c r="N1780" s="414"/>
      <c r="O1780" s="428"/>
      <c r="P1780" s="222">
        <f t="shared" si="125"/>
        <v>0</v>
      </c>
      <c r="Q1780" s="222">
        <f t="shared" si="126"/>
        <v>0</v>
      </c>
      <c r="R1780" s="467" t="str">
        <f t="shared" si="127"/>
        <v/>
      </c>
      <c r="S1780" s="467"/>
      <c r="T1780" s="467"/>
      <c r="U1780" s="496"/>
      <c r="V1780" s="496"/>
      <c r="W1780" s="496"/>
    </row>
    <row r="1781" spans="1:23" x14ac:dyDescent="0.2">
      <c r="A1781" s="510" t="str">
        <f t="shared" si="128"/>
        <v/>
      </c>
      <c r="B1781" s="428"/>
      <c r="C1781" s="424"/>
      <c r="D1781" s="415"/>
      <c r="E1781" s="415"/>
      <c r="F1781" s="425"/>
      <c r="G1781" s="415"/>
      <c r="H1781" s="415"/>
      <c r="I1781" s="473"/>
      <c r="J1781" s="415"/>
      <c r="K1781" s="415"/>
      <c r="L1781" s="415"/>
      <c r="M1781" s="415"/>
      <c r="N1781" s="414"/>
      <c r="O1781" s="428"/>
      <c r="P1781" s="222">
        <f t="shared" si="125"/>
        <v>0</v>
      </c>
      <c r="Q1781" s="222">
        <f t="shared" si="126"/>
        <v>0</v>
      </c>
      <c r="R1781" s="467" t="str">
        <f t="shared" si="127"/>
        <v/>
      </c>
      <c r="S1781" s="467"/>
      <c r="T1781" s="467"/>
      <c r="U1781" s="496"/>
      <c r="V1781" s="496"/>
      <c r="W1781" s="496"/>
    </row>
    <row r="1782" spans="1:23" x14ac:dyDescent="0.2">
      <c r="A1782" s="510" t="str">
        <f t="shared" si="128"/>
        <v/>
      </c>
      <c r="B1782" s="428"/>
      <c r="C1782" s="424"/>
      <c r="D1782" s="415"/>
      <c r="E1782" s="415"/>
      <c r="F1782" s="425"/>
      <c r="G1782" s="415"/>
      <c r="H1782" s="415"/>
      <c r="I1782" s="473"/>
      <c r="J1782" s="415"/>
      <c r="K1782" s="415"/>
      <c r="L1782" s="415"/>
      <c r="M1782" s="415"/>
      <c r="N1782" s="414"/>
      <c r="O1782" s="428"/>
      <c r="P1782" s="222">
        <f t="shared" si="125"/>
        <v>0</v>
      </c>
      <c r="Q1782" s="222">
        <f t="shared" si="126"/>
        <v>0</v>
      </c>
      <c r="R1782" s="467" t="str">
        <f t="shared" si="127"/>
        <v/>
      </c>
      <c r="S1782" s="467"/>
      <c r="T1782" s="467"/>
      <c r="U1782" s="496"/>
      <c r="V1782" s="496"/>
      <c r="W1782" s="496"/>
    </row>
    <row r="1783" spans="1:23" x14ac:dyDescent="0.2">
      <c r="A1783" s="510" t="str">
        <f t="shared" si="128"/>
        <v/>
      </c>
      <c r="B1783" s="428"/>
      <c r="C1783" s="424"/>
      <c r="D1783" s="415"/>
      <c r="E1783" s="415"/>
      <c r="F1783" s="425"/>
      <c r="G1783" s="415"/>
      <c r="H1783" s="415"/>
      <c r="I1783" s="473"/>
      <c r="J1783" s="415"/>
      <c r="K1783" s="415"/>
      <c r="L1783" s="415"/>
      <c r="M1783" s="415"/>
      <c r="N1783" s="414"/>
      <c r="O1783" s="428"/>
      <c r="P1783" s="222">
        <f t="shared" si="125"/>
        <v>0</v>
      </c>
      <c r="Q1783" s="222">
        <f t="shared" si="126"/>
        <v>0</v>
      </c>
      <c r="R1783" s="467" t="str">
        <f t="shared" si="127"/>
        <v/>
      </c>
      <c r="S1783" s="467"/>
      <c r="T1783" s="467"/>
      <c r="U1783" s="496"/>
      <c r="V1783" s="496"/>
      <c r="W1783" s="496"/>
    </row>
    <row r="1784" spans="1:23" x14ac:dyDescent="0.2">
      <c r="A1784" s="510" t="str">
        <f t="shared" si="128"/>
        <v/>
      </c>
      <c r="B1784" s="428"/>
      <c r="C1784" s="424"/>
      <c r="D1784" s="415"/>
      <c r="E1784" s="415"/>
      <c r="F1784" s="425"/>
      <c r="G1784" s="415"/>
      <c r="H1784" s="415"/>
      <c r="I1784" s="473"/>
      <c r="J1784" s="415"/>
      <c r="K1784" s="415"/>
      <c r="L1784" s="415"/>
      <c r="M1784" s="415"/>
      <c r="N1784" s="414"/>
      <c r="O1784" s="428"/>
      <c r="P1784" s="222">
        <f t="shared" si="125"/>
        <v>0</v>
      </c>
      <c r="Q1784" s="222">
        <f t="shared" si="126"/>
        <v>0</v>
      </c>
      <c r="R1784" s="467" t="str">
        <f t="shared" si="127"/>
        <v/>
      </c>
      <c r="S1784" s="467"/>
      <c r="T1784" s="467"/>
      <c r="U1784" s="496"/>
      <c r="V1784" s="496"/>
      <c r="W1784" s="496"/>
    </row>
    <row r="1785" spans="1:23" x14ac:dyDescent="0.2">
      <c r="A1785" s="510" t="str">
        <f t="shared" si="128"/>
        <v/>
      </c>
      <c r="B1785" s="428"/>
      <c r="C1785" s="424"/>
      <c r="D1785" s="415"/>
      <c r="E1785" s="415"/>
      <c r="F1785" s="425"/>
      <c r="G1785" s="415"/>
      <c r="H1785" s="415"/>
      <c r="I1785" s="473"/>
      <c r="J1785" s="415"/>
      <c r="K1785" s="415"/>
      <c r="L1785" s="415"/>
      <c r="M1785" s="415"/>
      <c r="N1785" s="414"/>
      <c r="O1785" s="428"/>
      <c r="P1785" s="222">
        <f t="shared" si="125"/>
        <v>0</v>
      </c>
      <c r="Q1785" s="222">
        <f t="shared" si="126"/>
        <v>0</v>
      </c>
      <c r="R1785" s="467" t="str">
        <f t="shared" si="127"/>
        <v/>
      </c>
      <c r="S1785" s="467"/>
      <c r="T1785" s="467"/>
      <c r="U1785" s="496"/>
      <c r="V1785" s="496"/>
      <c r="W1785" s="496"/>
    </row>
    <row r="1786" spans="1:23" x14ac:dyDescent="0.2">
      <c r="A1786" s="510" t="str">
        <f t="shared" si="128"/>
        <v/>
      </c>
      <c r="B1786" s="428"/>
      <c r="C1786" s="424"/>
      <c r="D1786" s="415"/>
      <c r="E1786" s="415"/>
      <c r="F1786" s="425"/>
      <c r="G1786" s="415"/>
      <c r="H1786" s="415"/>
      <c r="I1786" s="473"/>
      <c r="J1786" s="415"/>
      <c r="K1786" s="415"/>
      <c r="L1786" s="415"/>
      <c r="M1786" s="415"/>
      <c r="N1786" s="414"/>
      <c r="O1786" s="428"/>
      <c r="P1786" s="222">
        <f t="shared" si="125"/>
        <v>0</v>
      </c>
      <c r="Q1786" s="222">
        <f t="shared" si="126"/>
        <v>0</v>
      </c>
      <c r="R1786" s="467" t="str">
        <f t="shared" si="127"/>
        <v/>
      </c>
      <c r="S1786" s="467"/>
      <c r="T1786" s="467"/>
      <c r="U1786" s="496"/>
      <c r="V1786" s="496"/>
      <c r="W1786" s="496"/>
    </row>
    <row r="1787" spans="1:23" x14ac:dyDescent="0.2">
      <c r="A1787" s="510" t="str">
        <f t="shared" si="128"/>
        <v/>
      </c>
      <c r="B1787" s="428"/>
      <c r="C1787" s="424"/>
      <c r="D1787" s="415"/>
      <c r="E1787" s="415"/>
      <c r="F1787" s="425"/>
      <c r="G1787" s="415"/>
      <c r="H1787" s="415"/>
      <c r="I1787" s="473"/>
      <c r="J1787" s="415"/>
      <c r="K1787" s="415"/>
      <c r="L1787" s="415"/>
      <c r="M1787" s="415"/>
      <c r="N1787" s="414"/>
      <c r="O1787" s="428"/>
      <c r="P1787" s="222">
        <f t="shared" si="125"/>
        <v>0</v>
      </c>
      <c r="Q1787" s="222">
        <f t="shared" si="126"/>
        <v>0</v>
      </c>
      <c r="R1787" s="467" t="str">
        <f t="shared" si="127"/>
        <v/>
      </c>
      <c r="S1787" s="467"/>
      <c r="T1787" s="467"/>
      <c r="U1787" s="496"/>
      <c r="V1787" s="496"/>
      <c r="W1787" s="496"/>
    </row>
    <row r="1788" spans="1:23" x14ac:dyDescent="0.2">
      <c r="A1788" s="510" t="str">
        <f t="shared" si="128"/>
        <v/>
      </c>
      <c r="B1788" s="428"/>
      <c r="C1788" s="424"/>
      <c r="D1788" s="415"/>
      <c r="E1788" s="415"/>
      <c r="F1788" s="425"/>
      <c r="G1788" s="415"/>
      <c r="H1788" s="415"/>
      <c r="I1788" s="473"/>
      <c r="J1788" s="415"/>
      <c r="K1788" s="415"/>
      <c r="L1788" s="415"/>
      <c r="M1788" s="415"/>
      <c r="N1788" s="414"/>
      <c r="O1788" s="428"/>
      <c r="P1788" s="222">
        <f t="shared" si="125"/>
        <v>0</v>
      </c>
      <c r="Q1788" s="222">
        <f t="shared" si="126"/>
        <v>0</v>
      </c>
      <c r="R1788" s="467" t="str">
        <f t="shared" si="127"/>
        <v/>
      </c>
      <c r="S1788" s="467"/>
      <c r="T1788" s="467"/>
      <c r="U1788" s="496"/>
      <c r="V1788" s="496"/>
      <c r="W1788" s="496"/>
    </row>
    <row r="1789" spans="1:23" x14ac:dyDescent="0.2">
      <c r="A1789" s="510" t="str">
        <f t="shared" si="128"/>
        <v/>
      </c>
      <c r="B1789" s="428"/>
      <c r="C1789" s="424"/>
      <c r="D1789" s="415"/>
      <c r="E1789" s="415"/>
      <c r="F1789" s="425"/>
      <c r="G1789" s="415"/>
      <c r="H1789" s="415"/>
      <c r="I1789" s="473"/>
      <c r="J1789" s="415"/>
      <c r="K1789" s="415"/>
      <c r="L1789" s="415"/>
      <c r="M1789" s="415"/>
      <c r="N1789" s="414"/>
      <c r="O1789" s="428"/>
      <c r="P1789" s="222">
        <f t="shared" si="125"/>
        <v>0</v>
      </c>
      <c r="Q1789" s="222">
        <f t="shared" si="126"/>
        <v>0</v>
      </c>
      <c r="R1789" s="467" t="str">
        <f t="shared" si="127"/>
        <v/>
      </c>
      <c r="S1789" s="467"/>
      <c r="T1789" s="467"/>
      <c r="U1789" s="496"/>
      <c r="V1789" s="496"/>
      <c r="W1789" s="496"/>
    </row>
    <row r="1790" spans="1:23" x14ac:dyDescent="0.2">
      <c r="A1790" s="510" t="str">
        <f t="shared" si="128"/>
        <v/>
      </c>
      <c r="B1790" s="428"/>
      <c r="C1790" s="424"/>
      <c r="D1790" s="415"/>
      <c r="E1790" s="415"/>
      <c r="F1790" s="425"/>
      <c r="G1790" s="415"/>
      <c r="H1790" s="415"/>
      <c r="I1790" s="473"/>
      <c r="J1790" s="415"/>
      <c r="K1790" s="415"/>
      <c r="L1790" s="415"/>
      <c r="M1790" s="415"/>
      <c r="N1790" s="414"/>
      <c r="O1790" s="428"/>
      <c r="P1790" s="222">
        <f t="shared" si="125"/>
        <v>0</v>
      </c>
      <c r="Q1790" s="222">
        <f t="shared" si="126"/>
        <v>0</v>
      </c>
      <c r="R1790" s="467" t="str">
        <f t="shared" si="127"/>
        <v/>
      </c>
      <c r="S1790" s="467"/>
      <c r="T1790" s="467"/>
      <c r="U1790" s="496"/>
      <c r="V1790" s="496"/>
      <c r="W1790" s="496"/>
    </row>
    <row r="1791" spans="1:23" x14ac:dyDescent="0.2">
      <c r="A1791" s="510" t="str">
        <f t="shared" si="128"/>
        <v/>
      </c>
      <c r="B1791" s="428"/>
      <c r="C1791" s="424"/>
      <c r="D1791" s="415"/>
      <c r="E1791" s="415"/>
      <c r="F1791" s="425"/>
      <c r="G1791" s="415"/>
      <c r="H1791" s="415"/>
      <c r="I1791" s="473"/>
      <c r="J1791" s="415"/>
      <c r="K1791" s="415"/>
      <c r="L1791" s="415"/>
      <c r="M1791" s="415"/>
      <c r="N1791" s="414"/>
      <c r="O1791" s="428"/>
      <c r="P1791" s="222">
        <f t="shared" si="125"/>
        <v>0</v>
      </c>
      <c r="Q1791" s="222">
        <f t="shared" si="126"/>
        <v>0</v>
      </c>
      <c r="R1791" s="467" t="str">
        <f t="shared" si="127"/>
        <v/>
      </c>
      <c r="S1791" s="467"/>
      <c r="T1791" s="467"/>
      <c r="U1791" s="496"/>
      <c r="V1791" s="496"/>
      <c r="W1791" s="496"/>
    </row>
    <row r="1792" spans="1:23" x14ac:dyDescent="0.2">
      <c r="A1792" s="510" t="str">
        <f t="shared" si="128"/>
        <v/>
      </c>
      <c r="B1792" s="428"/>
      <c r="C1792" s="424"/>
      <c r="D1792" s="415"/>
      <c r="E1792" s="415"/>
      <c r="F1792" s="425"/>
      <c r="G1792" s="415"/>
      <c r="H1792" s="415"/>
      <c r="I1792" s="473"/>
      <c r="J1792" s="415"/>
      <c r="K1792" s="415"/>
      <c r="L1792" s="415"/>
      <c r="M1792" s="415"/>
      <c r="N1792" s="414"/>
      <c r="O1792" s="428"/>
      <c r="P1792" s="222">
        <f t="shared" si="125"/>
        <v>0</v>
      </c>
      <c r="Q1792" s="222">
        <f t="shared" si="126"/>
        <v>0</v>
      </c>
      <c r="R1792" s="467" t="str">
        <f t="shared" si="127"/>
        <v/>
      </c>
      <c r="S1792" s="467"/>
      <c r="T1792" s="467"/>
      <c r="U1792" s="496"/>
      <c r="V1792" s="496"/>
      <c r="W1792" s="496"/>
    </row>
    <row r="1793" spans="1:23" x14ac:dyDescent="0.2">
      <c r="A1793" s="510" t="str">
        <f t="shared" si="128"/>
        <v/>
      </c>
      <c r="B1793" s="428"/>
      <c r="C1793" s="424"/>
      <c r="D1793" s="415"/>
      <c r="E1793" s="415"/>
      <c r="F1793" s="425"/>
      <c r="G1793" s="415"/>
      <c r="H1793" s="415"/>
      <c r="I1793" s="473"/>
      <c r="J1793" s="415"/>
      <c r="K1793" s="415"/>
      <c r="L1793" s="415"/>
      <c r="M1793" s="415"/>
      <c r="N1793" s="414"/>
      <c r="O1793" s="428"/>
      <c r="P1793" s="222">
        <f t="shared" si="125"/>
        <v>0</v>
      </c>
      <c r="Q1793" s="222">
        <f t="shared" si="126"/>
        <v>0</v>
      </c>
      <c r="R1793" s="532" t="str">
        <f t="shared" si="127"/>
        <v/>
      </c>
      <c r="S1793" s="533"/>
      <c r="T1793" s="533"/>
      <c r="U1793" s="496"/>
      <c r="V1793" s="496"/>
      <c r="W1793" s="496"/>
    </row>
    <row r="1794" spans="1:23" s="313" customFormat="1" x14ac:dyDescent="0.2">
      <c r="A1794" s="510" t="str">
        <f t="shared" si="128"/>
        <v/>
      </c>
      <c r="B1794" s="465"/>
      <c r="C1794" s="466"/>
      <c r="D1794" s="415"/>
      <c r="E1794" s="415"/>
      <c r="F1794" s="435"/>
      <c r="G1794" s="415"/>
      <c r="H1794" s="434"/>
      <c r="I1794" s="473"/>
      <c r="J1794" s="415"/>
      <c r="K1794" s="434"/>
      <c r="L1794" s="434"/>
      <c r="M1794" s="434"/>
      <c r="N1794" s="455"/>
      <c r="O1794" s="428"/>
      <c r="P1794" s="222">
        <f t="shared" si="125"/>
        <v>0</v>
      </c>
      <c r="Q1794" s="222">
        <f t="shared" si="126"/>
        <v>0</v>
      </c>
      <c r="R1794" s="532" t="str">
        <f t="shared" si="127"/>
        <v/>
      </c>
      <c r="S1794" s="533"/>
      <c r="T1794" s="533"/>
      <c r="U1794" s="496"/>
      <c r="V1794" s="496"/>
      <c r="W1794" s="496"/>
    </row>
    <row r="1795" spans="1:23" x14ac:dyDescent="0.2">
      <c r="A1795" s="510" t="str">
        <f t="shared" si="128"/>
        <v/>
      </c>
      <c r="B1795" s="428"/>
      <c r="C1795" s="424"/>
      <c r="D1795" s="415"/>
      <c r="E1795" s="415"/>
      <c r="F1795" s="425"/>
      <c r="G1795" s="415"/>
      <c r="H1795" s="415"/>
      <c r="I1795" s="473"/>
      <c r="J1795" s="415"/>
      <c r="K1795" s="415"/>
      <c r="L1795" s="415"/>
      <c r="M1795" s="415"/>
      <c r="N1795" s="414"/>
      <c r="O1795" s="428"/>
      <c r="P1795" s="222">
        <f t="shared" si="125"/>
        <v>0</v>
      </c>
      <c r="Q1795" s="222">
        <f t="shared" si="126"/>
        <v>0</v>
      </c>
      <c r="R1795" s="532" t="str">
        <f t="shared" si="127"/>
        <v/>
      </c>
      <c r="S1795" s="533"/>
      <c r="T1795" s="533"/>
      <c r="U1795" s="496"/>
      <c r="V1795" s="496"/>
      <c r="W1795" s="496"/>
    </row>
    <row r="1796" spans="1:23" x14ac:dyDescent="0.2">
      <c r="A1796" s="510" t="str">
        <f t="shared" si="128"/>
        <v/>
      </c>
      <c r="B1796" s="428"/>
      <c r="C1796" s="424"/>
      <c r="D1796" s="415"/>
      <c r="E1796" s="415"/>
      <c r="F1796" s="425"/>
      <c r="G1796" s="415"/>
      <c r="H1796" s="415"/>
      <c r="I1796" s="473"/>
      <c r="J1796" s="415"/>
      <c r="K1796" s="415"/>
      <c r="L1796" s="415"/>
      <c r="M1796" s="415"/>
      <c r="N1796" s="414"/>
      <c r="O1796" s="428"/>
      <c r="P1796" s="222">
        <f t="shared" si="125"/>
        <v>0</v>
      </c>
      <c r="Q1796" s="222">
        <f t="shared" si="126"/>
        <v>0</v>
      </c>
      <c r="R1796" s="532" t="str">
        <f t="shared" si="127"/>
        <v/>
      </c>
      <c r="S1796" s="533"/>
      <c r="T1796" s="533"/>
      <c r="U1796" s="496"/>
      <c r="V1796" s="496"/>
      <c r="W1796" s="496"/>
    </row>
    <row r="1797" spans="1:23" s="312" customFormat="1" x14ac:dyDescent="0.2">
      <c r="A1797" s="510" t="str">
        <f t="shared" si="128"/>
        <v/>
      </c>
      <c r="B1797" s="428"/>
      <c r="C1797" s="424"/>
      <c r="D1797" s="415"/>
      <c r="E1797" s="415"/>
      <c r="F1797" s="425"/>
      <c r="G1797" s="415"/>
      <c r="H1797" s="415"/>
      <c r="I1797" s="473"/>
      <c r="J1797" s="415"/>
      <c r="K1797" s="415"/>
      <c r="L1797" s="415"/>
      <c r="M1797" s="415"/>
      <c r="N1797" s="414"/>
      <c r="O1797" s="428"/>
      <c r="P1797" s="222">
        <f t="shared" si="125"/>
        <v>0</v>
      </c>
      <c r="Q1797" s="222">
        <f t="shared" si="126"/>
        <v>0</v>
      </c>
      <c r="R1797" s="532" t="str">
        <f t="shared" si="127"/>
        <v/>
      </c>
      <c r="S1797" s="533"/>
      <c r="T1797" s="533"/>
      <c r="U1797" s="496"/>
      <c r="V1797" s="496"/>
      <c r="W1797" s="496"/>
    </row>
    <row r="1798" spans="1:23" x14ac:dyDescent="0.2">
      <c r="A1798" s="510" t="str">
        <f t="shared" si="128"/>
        <v/>
      </c>
      <c r="B1798" s="428"/>
      <c r="C1798" s="424"/>
      <c r="D1798" s="415"/>
      <c r="E1798" s="415"/>
      <c r="F1798" s="425"/>
      <c r="G1798" s="415"/>
      <c r="H1798" s="415"/>
      <c r="I1798" s="473"/>
      <c r="J1798" s="415"/>
      <c r="K1798" s="415"/>
      <c r="L1798" s="415"/>
      <c r="M1798" s="415"/>
      <c r="N1798" s="414"/>
      <c r="O1798" s="428"/>
      <c r="P1798" s="222">
        <f t="shared" si="125"/>
        <v>0</v>
      </c>
      <c r="Q1798" s="222">
        <f t="shared" si="126"/>
        <v>0</v>
      </c>
      <c r="R1798" s="532" t="str">
        <f t="shared" si="127"/>
        <v/>
      </c>
      <c r="S1798" s="533"/>
      <c r="T1798" s="533"/>
      <c r="U1798" s="496"/>
      <c r="V1798" s="496"/>
      <c r="W1798" s="496"/>
    </row>
    <row r="1799" spans="1:23" x14ac:dyDescent="0.2">
      <c r="A1799" s="510" t="str">
        <f t="shared" si="128"/>
        <v/>
      </c>
      <c r="B1799" s="428"/>
      <c r="C1799" s="424"/>
      <c r="D1799" s="415"/>
      <c r="E1799" s="415"/>
      <c r="F1799" s="425"/>
      <c r="G1799" s="415"/>
      <c r="H1799" s="415"/>
      <c r="I1799" s="473"/>
      <c r="J1799" s="415"/>
      <c r="K1799" s="415"/>
      <c r="L1799" s="415"/>
      <c r="M1799" s="415"/>
      <c r="N1799" s="414"/>
      <c r="O1799" s="428"/>
      <c r="P1799" s="222">
        <f t="shared" si="125"/>
        <v>0</v>
      </c>
      <c r="Q1799" s="222">
        <f t="shared" si="126"/>
        <v>0</v>
      </c>
      <c r="R1799" s="532" t="str">
        <f t="shared" si="127"/>
        <v/>
      </c>
      <c r="S1799" s="533"/>
      <c r="T1799" s="533"/>
      <c r="U1799" s="496"/>
      <c r="V1799" s="496"/>
      <c r="W1799" s="496"/>
    </row>
    <row r="1800" spans="1:23" x14ac:dyDescent="0.2">
      <c r="A1800" s="510" t="str">
        <f t="shared" si="128"/>
        <v/>
      </c>
      <c r="B1800" s="428"/>
      <c r="C1800" s="424"/>
      <c r="D1800" s="415"/>
      <c r="E1800" s="415"/>
      <c r="F1800" s="425"/>
      <c r="G1800" s="415"/>
      <c r="H1800" s="415"/>
      <c r="I1800" s="473"/>
      <c r="J1800" s="415"/>
      <c r="K1800" s="415"/>
      <c r="L1800" s="415"/>
      <c r="M1800" s="415"/>
      <c r="N1800" s="414"/>
      <c r="O1800" s="428"/>
      <c r="P1800" s="222">
        <f t="shared" si="125"/>
        <v>0</v>
      </c>
      <c r="Q1800" s="222">
        <f t="shared" si="126"/>
        <v>0</v>
      </c>
      <c r="R1800" s="532" t="str">
        <f t="shared" si="127"/>
        <v/>
      </c>
      <c r="S1800" s="533"/>
      <c r="T1800" s="533"/>
      <c r="U1800" s="496"/>
      <c r="V1800" s="496"/>
      <c r="W1800" s="496"/>
    </row>
    <row r="1801" spans="1:23" x14ac:dyDescent="0.2">
      <c r="A1801" s="510" t="str">
        <f t="shared" si="128"/>
        <v/>
      </c>
      <c r="B1801" s="428"/>
      <c r="C1801" s="424"/>
      <c r="D1801" s="415"/>
      <c r="E1801" s="415"/>
      <c r="F1801" s="425"/>
      <c r="G1801" s="415"/>
      <c r="H1801" s="415"/>
      <c r="I1801" s="473"/>
      <c r="J1801" s="415"/>
      <c r="K1801" s="415"/>
      <c r="L1801" s="415"/>
      <c r="M1801" s="415"/>
      <c r="N1801" s="414"/>
      <c r="O1801" s="428"/>
      <c r="P1801" s="222">
        <f t="shared" si="125"/>
        <v>0</v>
      </c>
      <c r="Q1801" s="222">
        <f t="shared" si="126"/>
        <v>0</v>
      </c>
      <c r="R1801" s="532" t="str">
        <f t="shared" si="127"/>
        <v/>
      </c>
      <c r="S1801" s="533"/>
      <c r="T1801" s="533"/>
      <c r="U1801" s="496"/>
      <c r="V1801" s="496"/>
      <c r="W1801" s="496"/>
    </row>
    <row r="1802" spans="1:23" x14ac:dyDescent="0.2">
      <c r="A1802" s="510" t="str">
        <f t="shared" si="128"/>
        <v/>
      </c>
      <c r="B1802" s="428"/>
      <c r="C1802" s="424"/>
      <c r="D1802" s="415"/>
      <c r="E1802" s="415"/>
      <c r="F1802" s="425"/>
      <c r="G1802" s="415"/>
      <c r="H1802" s="415"/>
      <c r="I1802" s="473"/>
      <c r="J1802" s="415"/>
      <c r="K1802" s="415"/>
      <c r="L1802" s="415"/>
      <c r="M1802" s="415"/>
      <c r="N1802" s="414"/>
      <c r="O1802" s="428"/>
      <c r="P1802" s="222">
        <f t="shared" si="125"/>
        <v>0</v>
      </c>
      <c r="Q1802" s="222">
        <f t="shared" si="126"/>
        <v>0</v>
      </c>
      <c r="R1802" s="532" t="str">
        <f t="shared" si="127"/>
        <v/>
      </c>
      <c r="S1802" s="533"/>
      <c r="T1802" s="533"/>
      <c r="U1802" s="496"/>
      <c r="V1802" s="496"/>
      <c r="W1802" s="496"/>
    </row>
    <row r="1803" spans="1:23" x14ac:dyDescent="0.2">
      <c r="A1803" s="510" t="str">
        <f t="shared" si="128"/>
        <v/>
      </c>
      <c r="B1803" s="428"/>
      <c r="C1803" s="424"/>
      <c r="D1803" s="415"/>
      <c r="E1803" s="415"/>
      <c r="F1803" s="425"/>
      <c r="G1803" s="415"/>
      <c r="H1803" s="415"/>
      <c r="I1803" s="473"/>
      <c r="J1803" s="415"/>
      <c r="K1803" s="415"/>
      <c r="L1803" s="415"/>
      <c r="M1803" s="415"/>
      <c r="N1803" s="414"/>
      <c r="O1803" s="428"/>
      <c r="P1803" s="222">
        <f t="shared" si="125"/>
        <v>0</v>
      </c>
      <c r="Q1803" s="222">
        <f t="shared" si="126"/>
        <v>0</v>
      </c>
      <c r="R1803" s="532" t="str">
        <f t="shared" si="127"/>
        <v/>
      </c>
      <c r="S1803" s="533"/>
      <c r="T1803" s="533"/>
      <c r="U1803" s="496"/>
      <c r="V1803" s="496"/>
      <c r="W1803" s="496"/>
    </row>
    <row r="1804" spans="1:23" x14ac:dyDescent="0.2">
      <c r="A1804" s="510" t="str">
        <f t="shared" si="128"/>
        <v/>
      </c>
      <c r="B1804" s="428"/>
      <c r="C1804" s="424"/>
      <c r="D1804" s="415"/>
      <c r="E1804" s="415"/>
      <c r="F1804" s="425"/>
      <c r="G1804" s="415"/>
      <c r="H1804" s="415"/>
      <c r="I1804" s="473"/>
      <c r="J1804" s="415"/>
      <c r="K1804" s="415"/>
      <c r="L1804" s="415"/>
      <c r="M1804" s="415"/>
      <c r="N1804" s="414"/>
      <c r="O1804" s="428"/>
      <c r="P1804" s="222">
        <f t="shared" si="125"/>
        <v>0</v>
      </c>
      <c r="Q1804" s="222">
        <f t="shared" si="126"/>
        <v>0</v>
      </c>
      <c r="R1804" s="532" t="str">
        <f t="shared" si="127"/>
        <v/>
      </c>
      <c r="S1804" s="533"/>
      <c r="T1804" s="533"/>
      <c r="U1804" s="496"/>
      <c r="V1804" s="496"/>
      <c r="W1804" s="496"/>
    </row>
    <row r="1805" spans="1:23" x14ac:dyDescent="0.2">
      <c r="A1805" s="510" t="str">
        <f t="shared" si="128"/>
        <v/>
      </c>
      <c r="B1805" s="428"/>
      <c r="C1805" s="424"/>
      <c r="D1805" s="415"/>
      <c r="E1805" s="415"/>
      <c r="F1805" s="425"/>
      <c r="G1805" s="415"/>
      <c r="H1805" s="415"/>
      <c r="I1805" s="473"/>
      <c r="J1805" s="415"/>
      <c r="K1805" s="415"/>
      <c r="L1805" s="415"/>
      <c r="M1805" s="415"/>
      <c r="N1805" s="414"/>
      <c r="O1805" s="428"/>
      <c r="P1805" s="222">
        <f t="shared" si="125"/>
        <v>0</v>
      </c>
      <c r="Q1805" s="222">
        <f t="shared" si="126"/>
        <v>0</v>
      </c>
      <c r="R1805" s="532" t="str">
        <f t="shared" si="127"/>
        <v/>
      </c>
      <c r="S1805" s="533"/>
      <c r="T1805" s="533"/>
      <c r="U1805" s="496"/>
      <c r="V1805" s="496"/>
      <c r="W1805" s="496"/>
    </row>
    <row r="1806" spans="1:23" x14ac:dyDescent="0.2">
      <c r="A1806" s="510" t="str">
        <f t="shared" si="128"/>
        <v/>
      </c>
      <c r="B1806" s="428"/>
      <c r="C1806" s="424"/>
      <c r="D1806" s="415"/>
      <c r="E1806" s="415"/>
      <c r="F1806" s="425"/>
      <c r="G1806" s="415"/>
      <c r="H1806" s="415"/>
      <c r="I1806" s="473"/>
      <c r="J1806" s="415"/>
      <c r="K1806" s="415"/>
      <c r="L1806" s="415"/>
      <c r="M1806" s="415"/>
      <c r="N1806" s="414"/>
      <c r="O1806" s="428"/>
      <c r="P1806" s="222">
        <f t="shared" si="125"/>
        <v>0</v>
      </c>
      <c r="Q1806" s="222">
        <f t="shared" si="126"/>
        <v>0</v>
      </c>
      <c r="R1806" s="532" t="str">
        <f t="shared" si="127"/>
        <v/>
      </c>
      <c r="S1806" s="533"/>
      <c r="T1806" s="533"/>
      <c r="U1806" s="496"/>
      <c r="V1806" s="496"/>
      <c r="W1806" s="496"/>
    </row>
    <row r="1807" spans="1:23" x14ac:dyDescent="0.2">
      <c r="A1807" s="510" t="str">
        <f t="shared" si="128"/>
        <v/>
      </c>
      <c r="B1807" s="428"/>
      <c r="C1807" s="424"/>
      <c r="D1807" s="415"/>
      <c r="E1807" s="415"/>
      <c r="F1807" s="425"/>
      <c r="G1807" s="415"/>
      <c r="H1807" s="415"/>
      <c r="I1807" s="473"/>
      <c r="J1807" s="415"/>
      <c r="K1807" s="415"/>
      <c r="L1807" s="415"/>
      <c r="M1807" s="415"/>
      <c r="N1807" s="414"/>
      <c r="O1807" s="428"/>
      <c r="P1807" s="222">
        <f t="shared" si="125"/>
        <v>0</v>
      </c>
      <c r="Q1807" s="222">
        <f t="shared" si="126"/>
        <v>0</v>
      </c>
      <c r="R1807" s="532" t="str">
        <f t="shared" si="127"/>
        <v/>
      </c>
      <c r="S1807" s="533"/>
      <c r="T1807" s="533"/>
      <c r="U1807" s="496"/>
      <c r="V1807" s="496"/>
      <c r="W1807" s="496"/>
    </row>
    <row r="1808" spans="1:23" x14ac:dyDescent="0.2">
      <c r="A1808" s="510" t="str">
        <f t="shared" si="128"/>
        <v/>
      </c>
      <c r="B1808" s="428"/>
      <c r="C1808" s="424"/>
      <c r="D1808" s="415"/>
      <c r="E1808" s="415"/>
      <c r="F1808" s="425"/>
      <c r="G1808" s="415"/>
      <c r="H1808" s="415"/>
      <c r="I1808" s="473"/>
      <c r="J1808" s="415"/>
      <c r="K1808" s="415"/>
      <c r="L1808" s="415"/>
      <c r="M1808" s="415"/>
      <c r="N1808" s="414"/>
      <c r="O1808" s="428"/>
      <c r="P1808" s="222">
        <f t="shared" si="125"/>
        <v>0</v>
      </c>
      <c r="Q1808" s="222">
        <f t="shared" si="126"/>
        <v>0</v>
      </c>
      <c r="R1808" s="532" t="str">
        <f t="shared" si="127"/>
        <v/>
      </c>
      <c r="S1808" s="533"/>
      <c r="T1808" s="533"/>
      <c r="U1808" s="496"/>
      <c r="V1808" s="496"/>
      <c r="W1808" s="496"/>
    </row>
    <row r="1809" spans="1:23" x14ac:dyDescent="0.2">
      <c r="A1809" s="510" t="str">
        <f t="shared" si="128"/>
        <v/>
      </c>
      <c r="B1809" s="428"/>
      <c r="C1809" s="424"/>
      <c r="D1809" s="415"/>
      <c r="E1809" s="415"/>
      <c r="F1809" s="425"/>
      <c r="G1809" s="415"/>
      <c r="H1809" s="415"/>
      <c r="I1809" s="473"/>
      <c r="J1809" s="415"/>
      <c r="K1809" s="415"/>
      <c r="L1809" s="415"/>
      <c r="M1809" s="415"/>
      <c r="N1809" s="414"/>
      <c r="O1809" s="428"/>
      <c r="P1809" s="222">
        <f t="shared" si="125"/>
        <v>0</v>
      </c>
      <c r="Q1809" s="222">
        <f t="shared" si="126"/>
        <v>0</v>
      </c>
      <c r="R1809" s="532" t="str">
        <f t="shared" si="127"/>
        <v/>
      </c>
      <c r="S1809" s="533"/>
      <c r="T1809" s="533"/>
      <c r="U1809" s="496"/>
      <c r="V1809" s="496"/>
      <c r="W1809" s="496"/>
    </row>
    <row r="1810" spans="1:23" x14ac:dyDescent="0.2">
      <c r="A1810" s="510" t="str">
        <f t="shared" si="128"/>
        <v/>
      </c>
      <c r="B1810" s="428"/>
      <c r="C1810" s="424"/>
      <c r="D1810" s="415"/>
      <c r="E1810" s="415"/>
      <c r="F1810" s="425"/>
      <c r="G1810" s="415"/>
      <c r="H1810" s="415"/>
      <c r="I1810" s="473"/>
      <c r="J1810" s="415"/>
      <c r="K1810" s="415"/>
      <c r="L1810" s="415"/>
      <c r="M1810" s="415"/>
      <c r="N1810" s="414"/>
      <c r="O1810" s="428"/>
      <c r="P1810" s="222">
        <f t="shared" si="125"/>
        <v>0</v>
      </c>
      <c r="Q1810" s="222">
        <f t="shared" si="126"/>
        <v>0</v>
      </c>
      <c r="R1810" s="532" t="str">
        <f t="shared" si="127"/>
        <v/>
      </c>
      <c r="S1810" s="533"/>
      <c r="T1810" s="533"/>
      <c r="U1810" s="496"/>
      <c r="V1810" s="496"/>
      <c r="W1810" s="496"/>
    </row>
    <row r="1811" spans="1:23" x14ac:dyDescent="0.2">
      <c r="A1811" s="510" t="str">
        <f t="shared" si="128"/>
        <v/>
      </c>
      <c r="B1811" s="428"/>
      <c r="C1811" s="424"/>
      <c r="D1811" s="415"/>
      <c r="E1811" s="415"/>
      <c r="F1811" s="425"/>
      <c r="G1811" s="415"/>
      <c r="H1811" s="415"/>
      <c r="I1811" s="473"/>
      <c r="J1811" s="415"/>
      <c r="K1811" s="415"/>
      <c r="L1811" s="415"/>
      <c r="M1811" s="415"/>
      <c r="N1811" s="414"/>
      <c r="O1811" s="428"/>
      <c r="P1811" s="222">
        <f t="shared" si="125"/>
        <v>0</v>
      </c>
      <c r="Q1811" s="222">
        <f t="shared" si="126"/>
        <v>0</v>
      </c>
      <c r="R1811" s="532" t="str">
        <f t="shared" si="127"/>
        <v/>
      </c>
      <c r="S1811" s="533"/>
      <c r="T1811" s="533"/>
      <c r="U1811" s="496"/>
      <c r="V1811" s="496"/>
      <c r="W1811" s="496"/>
    </row>
    <row r="1812" spans="1:23" x14ac:dyDescent="0.2">
      <c r="A1812" s="510" t="str">
        <f t="shared" si="128"/>
        <v/>
      </c>
      <c r="B1812" s="428"/>
      <c r="C1812" s="424"/>
      <c r="D1812" s="415"/>
      <c r="E1812" s="415"/>
      <c r="F1812" s="425"/>
      <c r="G1812" s="415"/>
      <c r="H1812" s="415"/>
      <c r="I1812" s="473"/>
      <c r="J1812" s="415"/>
      <c r="K1812" s="415"/>
      <c r="L1812" s="415"/>
      <c r="M1812" s="415"/>
      <c r="N1812" s="414"/>
      <c r="O1812" s="428"/>
      <c r="P1812" s="222">
        <f t="shared" si="125"/>
        <v>0</v>
      </c>
      <c r="Q1812" s="222">
        <f t="shared" si="126"/>
        <v>0</v>
      </c>
      <c r="R1812" s="532" t="str">
        <f t="shared" si="127"/>
        <v/>
      </c>
      <c r="S1812" s="533"/>
      <c r="T1812" s="533"/>
      <c r="U1812" s="496"/>
      <c r="V1812" s="496"/>
      <c r="W1812" s="496"/>
    </row>
    <row r="1813" spans="1:23" x14ac:dyDescent="0.2">
      <c r="A1813" s="510" t="str">
        <f t="shared" si="128"/>
        <v/>
      </c>
      <c r="B1813" s="428"/>
      <c r="C1813" s="424"/>
      <c r="D1813" s="415"/>
      <c r="E1813" s="415"/>
      <c r="F1813" s="425"/>
      <c r="G1813" s="415"/>
      <c r="H1813" s="415"/>
      <c r="I1813" s="473"/>
      <c r="J1813" s="415"/>
      <c r="K1813" s="415"/>
      <c r="L1813" s="415"/>
      <c r="M1813" s="415"/>
      <c r="N1813" s="414"/>
      <c r="O1813" s="428"/>
      <c r="P1813" s="222">
        <f t="shared" si="125"/>
        <v>0</v>
      </c>
      <c r="Q1813" s="222">
        <f t="shared" si="126"/>
        <v>0</v>
      </c>
      <c r="R1813" s="532" t="str">
        <f t="shared" si="127"/>
        <v/>
      </c>
      <c r="S1813" s="533"/>
      <c r="T1813" s="533"/>
      <c r="U1813" s="496"/>
      <c r="V1813" s="496"/>
      <c r="W1813" s="496"/>
    </row>
    <row r="1814" spans="1:23" x14ac:dyDescent="0.2">
      <c r="A1814" s="510" t="str">
        <f t="shared" si="128"/>
        <v/>
      </c>
      <c r="B1814" s="428"/>
      <c r="C1814" s="424"/>
      <c r="D1814" s="415"/>
      <c r="E1814" s="415"/>
      <c r="F1814" s="425"/>
      <c r="G1814" s="415"/>
      <c r="H1814" s="415"/>
      <c r="I1814" s="473"/>
      <c r="J1814" s="415"/>
      <c r="K1814" s="415"/>
      <c r="L1814" s="415"/>
      <c r="M1814" s="415"/>
      <c r="N1814" s="414"/>
      <c r="O1814" s="428"/>
      <c r="P1814" s="222">
        <f t="shared" si="125"/>
        <v>0</v>
      </c>
      <c r="Q1814" s="222">
        <f t="shared" si="126"/>
        <v>0</v>
      </c>
      <c r="R1814" s="532" t="str">
        <f t="shared" si="127"/>
        <v/>
      </c>
      <c r="S1814" s="533"/>
      <c r="T1814" s="533"/>
      <c r="U1814" s="496"/>
      <c r="V1814" s="496"/>
      <c r="W1814" s="496"/>
    </row>
    <row r="1815" spans="1:23" x14ac:dyDescent="0.2">
      <c r="A1815" s="510" t="str">
        <f t="shared" si="128"/>
        <v/>
      </c>
      <c r="B1815" s="428"/>
      <c r="C1815" s="424"/>
      <c r="D1815" s="415"/>
      <c r="E1815" s="415"/>
      <c r="F1815" s="425"/>
      <c r="G1815" s="415"/>
      <c r="H1815" s="415"/>
      <c r="I1815" s="473"/>
      <c r="J1815" s="415"/>
      <c r="K1815" s="415"/>
      <c r="L1815" s="415"/>
      <c r="M1815" s="415"/>
      <c r="N1815" s="414"/>
      <c r="O1815" s="428"/>
      <c r="P1815" s="222">
        <f t="shared" si="125"/>
        <v>0</v>
      </c>
      <c r="Q1815" s="222">
        <f t="shared" si="126"/>
        <v>0</v>
      </c>
      <c r="R1815" s="532" t="str">
        <f t="shared" si="127"/>
        <v/>
      </c>
      <c r="S1815" s="533"/>
      <c r="T1815" s="533"/>
      <c r="U1815" s="496"/>
      <c r="V1815" s="496"/>
      <c r="W1815" s="496"/>
    </row>
    <row r="1816" spans="1:23" x14ac:dyDescent="0.2">
      <c r="A1816" s="510" t="str">
        <f t="shared" si="128"/>
        <v/>
      </c>
      <c r="B1816" s="428"/>
      <c r="C1816" s="424"/>
      <c r="D1816" s="415"/>
      <c r="E1816" s="415"/>
      <c r="F1816" s="425"/>
      <c r="G1816" s="415"/>
      <c r="H1816" s="415"/>
      <c r="I1816" s="473"/>
      <c r="J1816" s="415"/>
      <c r="K1816" s="415"/>
      <c r="L1816" s="415"/>
      <c r="M1816" s="415"/>
      <c r="N1816" s="414"/>
      <c r="O1816" s="428"/>
      <c r="P1816" s="222">
        <f t="shared" si="125"/>
        <v>0</v>
      </c>
      <c r="Q1816" s="222">
        <f t="shared" si="126"/>
        <v>0</v>
      </c>
      <c r="R1816" s="532" t="str">
        <f t="shared" si="127"/>
        <v/>
      </c>
      <c r="S1816" s="533"/>
      <c r="T1816" s="533"/>
      <c r="U1816" s="496"/>
      <c r="V1816" s="496"/>
      <c r="W1816" s="496"/>
    </row>
    <row r="1817" spans="1:23" x14ac:dyDescent="0.2">
      <c r="A1817" s="510" t="str">
        <f t="shared" ref="A1817:A1880" si="129">IF(B1817="","",ROW()-ROW($A$3))</f>
        <v/>
      </c>
      <c r="B1817" s="428"/>
      <c r="C1817" s="424"/>
      <c r="D1817" s="415"/>
      <c r="E1817" s="415"/>
      <c r="F1817" s="425"/>
      <c r="G1817" s="415"/>
      <c r="H1817" s="415"/>
      <c r="I1817" s="473"/>
      <c r="J1817" s="415"/>
      <c r="K1817" s="415"/>
      <c r="L1817" s="415"/>
      <c r="M1817" s="415"/>
      <c r="N1817" s="414"/>
      <c r="O1817" s="428"/>
      <c r="P1817" s="222">
        <f t="shared" ref="P1817:P1880" si="130">IF(B1817=0,0,IF(YEAR(B1817)=$Q$1,MONTH(B1817)-$P$1+1,(YEAR(B1817)-$Q$1)*12-$P$1+1+MONTH(B1817)))</f>
        <v>0</v>
      </c>
      <c r="Q1817" s="222">
        <f t="shared" ref="Q1817:Q1880" si="131">IF(C1817=0,0,IF(YEAR(C1817)=$Q$1,MONTH(C1817)-$P$1+1,(YEAR(C1817)-$Q$1)*12-$P$1+1+MONTH(C1817)))</f>
        <v>0</v>
      </c>
      <c r="R1817" s="532" t="str">
        <f t="shared" ref="R1817:R1880" si="132">SUBSTITUTE(D1817," ","_")</f>
        <v/>
      </c>
      <c r="S1817" s="533"/>
      <c r="T1817" s="533"/>
      <c r="U1817" s="496"/>
      <c r="V1817" s="496"/>
      <c r="W1817" s="496"/>
    </row>
    <row r="1818" spans="1:23" x14ac:dyDescent="0.2">
      <c r="A1818" s="510" t="str">
        <f t="shared" si="129"/>
        <v/>
      </c>
      <c r="B1818" s="428"/>
      <c r="C1818" s="424"/>
      <c r="D1818" s="415"/>
      <c r="E1818" s="415"/>
      <c r="F1818" s="425"/>
      <c r="G1818" s="415"/>
      <c r="H1818" s="415"/>
      <c r="I1818" s="473"/>
      <c r="J1818" s="415"/>
      <c r="K1818" s="415"/>
      <c r="L1818" s="415"/>
      <c r="M1818" s="415"/>
      <c r="N1818" s="414"/>
      <c r="O1818" s="428"/>
      <c r="P1818" s="222">
        <f t="shared" si="130"/>
        <v>0</v>
      </c>
      <c r="Q1818" s="222">
        <f t="shared" si="131"/>
        <v>0</v>
      </c>
      <c r="R1818" s="532" t="str">
        <f t="shared" si="132"/>
        <v/>
      </c>
      <c r="S1818" s="533"/>
      <c r="T1818" s="533"/>
      <c r="U1818" s="496"/>
      <c r="V1818" s="496"/>
      <c r="W1818" s="496"/>
    </row>
    <row r="1819" spans="1:23" x14ac:dyDescent="0.2">
      <c r="A1819" s="510" t="str">
        <f t="shared" si="129"/>
        <v/>
      </c>
      <c r="B1819" s="428"/>
      <c r="C1819" s="424"/>
      <c r="D1819" s="415"/>
      <c r="E1819" s="415"/>
      <c r="F1819" s="425"/>
      <c r="G1819" s="415"/>
      <c r="H1819" s="415"/>
      <c r="I1819" s="473"/>
      <c r="J1819" s="415"/>
      <c r="K1819" s="415"/>
      <c r="L1819" s="415"/>
      <c r="M1819" s="415"/>
      <c r="N1819" s="414"/>
      <c r="O1819" s="428"/>
      <c r="P1819" s="222">
        <f t="shared" si="130"/>
        <v>0</v>
      </c>
      <c r="Q1819" s="222">
        <f t="shared" si="131"/>
        <v>0</v>
      </c>
      <c r="R1819" s="532" t="str">
        <f t="shared" si="132"/>
        <v/>
      </c>
      <c r="S1819" s="533"/>
      <c r="T1819" s="533"/>
      <c r="U1819" s="496"/>
      <c r="V1819" s="496"/>
      <c r="W1819" s="496"/>
    </row>
    <row r="1820" spans="1:23" x14ac:dyDescent="0.2">
      <c r="A1820" s="510" t="str">
        <f t="shared" si="129"/>
        <v/>
      </c>
      <c r="B1820" s="428"/>
      <c r="C1820" s="424"/>
      <c r="D1820" s="415"/>
      <c r="E1820" s="415"/>
      <c r="F1820" s="425"/>
      <c r="G1820" s="415"/>
      <c r="H1820" s="415"/>
      <c r="I1820" s="473"/>
      <c r="J1820" s="415"/>
      <c r="K1820" s="415"/>
      <c r="L1820" s="415"/>
      <c r="M1820" s="415"/>
      <c r="N1820" s="414"/>
      <c r="O1820" s="428"/>
      <c r="P1820" s="222">
        <f t="shared" si="130"/>
        <v>0</v>
      </c>
      <c r="Q1820" s="222">
        <f t="shared" si="131"/>
        <v>0</v>
      </c>
      <c r="R1820" s="532" t="str">
        <f t="shared" si="132"/>
        <v/>
      </c>
      <c r="S1820" s="533"/>
      <c r="T1820" s="533"/>
      <c r="U1820" s="496"/>
      <c r="V1820" s="496"/>
      <c r="W1820" s="496"/>
    </row>
    <row r="1821" spans="1:23" x14ac:dyDescent="0.2">
      <c r="A1821" s="510" t="str">
        <f t="shared" si="129"/>
        <v/>
      </c>
      <c r="B1821" s="428"/>
      <c r="C1821" s="424"/>
      <c r="D1821" s="415"/>
      <c r="E1821" s="415"/>
      <c r="F1821" s="425"/>
      <c r="G1821" s="415"/>
      <c r="H1821" s="415"/>
      <c r="I1821" s="473"/>
      <c r="J1821" s="415"/>
      <c r="K1821" s="415"/>
      <c r="L1821" s="415"/>
      <c r="M1821" s="415"/>
      <c r="N1821" s="414"/>
      <c r="O1821" s="428"/>
      <c r="P1821" s="222">
        <f t="shared" si="130"/>
        <v>0</v>
      </c>
      <c r="Q1821" s="222">
        <f t="shared" si="131"/>
        <v>0</v>
      </c>
      <c r="R1821" s="532" t="str">
        <f t="shared" si="132"/>
        <v/>
      </c>
      <c r="S1821" s="533"/>
      <c r="T1821" s="533"/>
      <c r="U1821" s="496"/>
      <c r="V1821" s="496"/>
      <c r="W1821" s="496"/>
    </row>
    <row r="1822" spans="1:23" x14ac:dyDescent="0.2">
      <c r="A1822" s="510" t="str">
        <f t="shared" si="129"/>
        <v/>
      </c>
      <c r="B1822" s="428"/>
      <c r="C1822" s="424"/>
      <c r="D1822" s="415"/>
      <c r="E1822" s="415"/>
      <c r="F1822" s="425"/>
      <c r="G1822" s="415"/>
      <c r="H1822" s="415"/>
      <c r="I1822" s="473"/>
      <c r="J1822" s="415"/>
      <c r="K1822" s="415"/>
      <c r="L1822" s="415"/>
      <c r="M1822" s="415"/>
      <c r="N1822" s="414"/>
      <c r="O1822" s="428"/>
      <c r="P1822" s="222">
        <f t="shared" si="130"/>
        <v>0</v>
      </c>
      <c r="Q1822" s="222">
        <f t="shared" si="131"/>
        <v>0</v>
      </c>
      <c r="R1822" s="532" t="str">
        <f t="shared" si="132"/>
        <v/>
      </c>
      <c r="S1822" s="533"/>
      <c r="T1822" s="533"/>
      <c r="U1822" s="496"/>
      <c r="V1822" s="496"/>
      <c r="W1822" s="496"/>
    </row>
    <row r="1823" spans="1:23" x14ac:dyDescent="0.2">
      <c r="A1823" s="510" t="str">
        <f t="shared" si="129"/>
        <v/>
      </c>
      <c r="B1823" s="428"/>
      <c r="C1823" s="424"/>
      <c r="D1823" s="415"/>
      <c r="E1823" s="415"/>
      <c r="F1823" s="425"/>
      <c r="G1823" s="415"/>
      <c r="H1823" s="415"/>
      <c r="I1823" s="473"/>
      <c r="J1823" s="415"/>
      <c r="K1823" s="415"/>
      <c r="L1823" s="415"/>
      <c r="M1823" s="415"/>
      <c r="N1823" s="414"/>
      <c r="O1823" s="428"/>
      <c r="P1823" s="222">
        <f t="shared" si="130"/>
        <v>0</v>
      </c>
      <c r="Q1823" s="222">
        <f t="shared" si="131"/>
        <v>0</v>
      </c>
      <c r="R1823" s="532" t="str">
        <f t="shared" si="132"/>
        <v/>
      </c>
      <c r="S1823" s="533"/>
      <c r="T1823" s="533"/>
      <c r="U1823" s="496"/>
      <c r="V1823" s="496"/>
      <c r="W1823" s="496"/>
    </row>
    <row r="1824" spans="1:23" x14ac:dyDescent="0.2">
      <c r="A1824" s="510" t="str">
        <f t="shared" si="129"/>
        <v/>
      </c>
      <c r="B1824" s="428"/>
      <c r="C1824" s="424"/>
      <c r="D1824" s="415"/>
      <c r="E1824" s="415"/>
      <c r="F1824" s="425"/>
      <c r="G1824" s="415"/>
      <c r="H1824" s="415"/>
      <c r="I1824" s="473"/>
      <c r="J1824" s="415"/>
      <c r="K1824" s="415"/>
      <c r="L1824" s="415"/>
      <c r="M1824" s="415"/>
      <c r="N1824" s="414"/>
      <c r="O1824" s="428"/>
      <c r="P1824" s="222">
        <f t="shared" si="130"/>
        <v>0</v>
      </c>
      <c r="Q1824" s="222">
        <f t="shared" si="131"/>
        <v>0</v>
      </c>
      <c r="R1824" s="532" t="str">
        <f t="shared" si="132"/>
        <v/>
      </c>
      <c r="S1824" s="533"/>
      <c r="T1824" s="533"/>
      <c r="U1824" s="496"/>
      <c r="V1824" s="496"/>
      <c r="W1824" s="496"/>
    </row>
    <row r="1825" spans="1:23" x14ac:dyDescent="0.2">
      <c r="A1825" s="510" t="str">
        <f t="shared" si="129"/>
        <v/>
      </c>
      <c r="B1825" s="428"/>
      <c r="C1825" s="424"/>
      <c r="D1825" s="415"/>
      <c r="E1825" s="415"/>
      <c r="F1825" s="425"/>
      <c r="G1825" s="415"/>
      <c r="H1825" s="415"/>
      <c r="I1825" s="473"/>
      <c r="J1825" s="415"/>
      <c r="K1825" s="415"/>
      <c r="L1825" s="415"/>
      <c r="M1825" s="415"/>
      <c r="N1825" s="414"/>
      <c r="O1825" s="428"/>
      <c r="P1825" s="222">
        <f t="shared" si="130"/>
        <v>0</v>
      </c>
      <c r="Q1825" s="222">
        <f t="shared" si="131"/>
        <v>0</v>
      </c>
      <c r="R1825" s="532" t="str">
        <f t="shared" si="132"/>
        <v/>
      </c>
      <c r="S1825" s="533"/>
      <c r="T1825" s="533"/>
      <c r="U1825" s="496"/>
      <c r="V1825" s="496"/>
      <c r="W1825" s="496"/>
    </row>
    <row r="1826" spans="1:23" s="312" customFormat="1" x14ac:dyDescent="0.2">
      <c r="A1826" s="510" t="str">
        <f t="shared" si="129"/>
        <v/>
      </c>
      <c r="B1826" s="428"/>
      <c r="C1826" s="424"/>
      <c r="D1826" s="415"/>
      <c r="E1826" s="415"/>
      <c r="F1826" s="425"/>
      <c r="G1826" s="415"/>
      <c r="H1826" s="415"/>
      <c r="I1826" s="473"/>
      <c r="J1826" s="415"/>
      <c r="K1826" s="415"/>
      <c r="L1826" s="415"/>
      <c r="M1826" s="415"/>
      <c r="N1826" s="414"/>
      <c r="O1826" s="428"/>
      <c r="P1826" s="222">
        <f t="shared" si="130"/>
        <v>0</v>
      </c>
      <c r="Q1826" s="222">
        <f t="shared" si="131"/>
        <v>0</v>
      </c>
      <c r="R1826" s="532" t="str">
        <f t="shared" si="132"/>
        <v/>
      </c>
      <c r="S1826" s="533"/>
      <c r="T1826" s="533"/>
      <c r="U1826" s="496"/>
      <c r="V1826" s="496"/>
      <c r="W1826" s="496"/>
    </row>
    <row r="1827" spans="1:23" x14ac:dyDescent="0.2">
      <c r="A1827" s="510" t="str">
        <f t="shared" si="129"/>
        <v/>
      </c>
      <c r="B1827" s="428"/>
      <c r="C1827" s="424"/>
      <c r="D1827" s="415"/>
      <c r="E1827" s="415"/>
      <c r="F1827" s="425"/>
      <c r="G1827" s="415"/>
      <c r="H1827" s="415"/>
      <c r="I1827" s="473"/>
      <c r="J1827" s="415"/>
      <c r="K1827" s="415"/>
      <c r="L1827" s="415"/>
      <c r="M1827" s="415"/>
      <c r="N1827" s="414"/>
      <c r="O1827" s="428"/>
      <c r="P1827" s="222">
        <f t="shared" si="130"/>
        <v>0</v>
      </c>
      <c r="Q1827" s="222">
        <f t="shared" si="131"/>
        <v>0</v>
      </c>
      <c r="R1827" s="532" t="str">
        <f t="shared" si="132"/>
        <v/>
      </c>
      <c r="S1827" s="533"/>
      <c r="T1827" s="533"/>
      <c r="U1827" s="496"/>
      <c r="V1827" s="496"/>
      <c r="W1827" s="496"/>
    </row>
    <row r="1828" spans="1:23" x14ac:dyDescent="0.2">
      <c r="A1828" s="510" t="str">
        <f t="shared" si="129"/>
        <v/>
      </c>
      <c r="B1828" s="428"/>
      <c r="C1828" s="424"/>
      <c r="D1828" s="415"/>
      <c r="E1828" s="415"/>
      <c r="F1828" s="425"/>
      <c r="G1828" s="415"/>
      <c r="H1828" s="415"/>
      <c r="I1828" s="473"/>
      <c r="J1828" s="415"/>
      <c r="K1828" s="415"/>
      <c r="L1828" s="415"/>
      <c r="M1828" s="415"/>
      <c r="N1828" s="414"/>
      <c r="O1828" s="428"/>
      <c r="P1828" s="222">
        <f t="shared" si="130"/>
        <v>0</v>
      </c>
      <c r="Q1828" s="222">
        <f t="shared" si="131"/>
        <v>0</v>
      </c>
      <c r="R1828" s="532" t="str">
        <f t="shared" si="132"/>
        <v/>
      </c>
      <c r="S1828" s="533"/>
      <c r="T1828" s="533"/>
      <c r="U1828" s="496"/>
      <c r="V1828" s="496"/>
      <c r="W1828" s="496"/>
    </row>
    <row r="1829" spans="1:23" x14ac:dyDescent="0.2">
      <c r="A1829" s="510" t="str">
        <f t="shared" si="129"/>
        <v/>
      </c>
      <c r="B1829" s="428"/>
      <c r="C1829" s="424"/>
      <c r="D1829" s="415"/>
      <c r="E1829" s="415"/>
      <c r="F1829" s="425"/>
      <c r="G1829" s="415"/>
      <c r="H1829" s="415"/>
      <c r="I1829" s="473"/>
      <c r="J1829" s="415"/>
      <c r="K1829" s="415"/>
      <c r="L1829" s="415"/>
      <c r="M1829" s="415"/>
      <c r="N1829" s="414"/>
      <c r="O1829" s="428"/>
      <c r="P1829" s="222">
        <f t="shared" si="130"/>
        <v>0</v>
      </c>
      <c r="Q1829" s="222">
        <f t="shared" si="131"/>
        <v>0</v>
      </c>
      <c r="R1829" s="532" t="str">
        <f t="shared" si="132"/>
        <v/>
      </c>
      <c r="S1829" s="533"/>
      <c r="T1829" s="533"/>
      <c r="U1829" s="496"/>
      <c r="V1829" s="496"/>
      <c r="W1829" s="496"/>
    </row>
    <row r="1830" spans="1:23" x14ac:dyDescent="0.2">
      <c r="A1830" s="510" t="str">
        <f t="shared" si="129"/>
        <v/>
      </c>
      <c r="B1830" s="428"/>
      <c r="C1830" s="424"/>
      <c r="D1830" s="415"/>
      <c r="E1830" s="415"/>
      <c r="F1830" s="425"/>
      <c r="G1830" s="415"/>
      <c r="H1830" s="415"/>
      <c r="I1830" s="473"/>
      <c r="J1830" s="415"/>
      <c r="K1830" s="415"/>
      <c r="L1830" s="415"/>
      <c r="M1830" s="415"/>
      <c r="N1830" s="414"/>
      <c r="O1830" s="428"/>
      <c r="P1830" s="222">
        <f t="shared" si="130"/>
        <v>0</v>
      </c>
      <c r="Q1830" s="222">
        <f t="shared" si="131"/>
        <v>0</v>
      </c>
      <c r="R1830" s="532" t="str">
        <f t="shared" si="132"/>
        <v/>
      </c>
      <c r="S1830" s="533"/>
      <c r="T1830" s="533"/>
      <c r="U1830" s="496"/>
      <c r="V1830" s="496"/>
      <c r="W1830" s="496"/>
    </row>
    <row r="1831" spans="1:23" s="307" customFormat="1" x14ac:dyDescent="0.2">
      <c r="A1831" s="510" t="str">
        <f t="shared" si="129"/>
        <v/>
      </c>
      <c r="B1831" s="428"/>
      <c r="C1831" s="424"/>
      <c r="D1831" s="415"/>
      <c r="E1831" s="415"/>
      <c r="F1831" s="425"/>
      <c r="G1831" s="415"/>
      <c r="H1831" s="415"/>
      <c r="I1831" s="473"/>
      <c r="J1831" s="415"/>
      <c r="K1831" s="415"/>
      <c r="L1831" s="415"/>
      <c r="M1831" s="415"/>
      <c r="N1831" s="414"/>
      <c r="O1831" s="428"/>
      <c r="P1831" s="222">
        <f t="shared" si="130"/>
        <v>0</v>
      </c>
      <c r="Q1831" s="222">
        <f t="shared" si="131"/>
        <v>0</v>
      </c>
      <c r="R1831" s="532" t="str">
        <f t="shared" si="132"/>
        <v/>
      </c>
      <c r="S1831" s="533"/>
      <c r="T1831" s="533"/>
      <c r="U1831" s="496"/>
      <c r="V1831" s="496"/>
      <c r="W1831" s="496"/>
    </row>
    <row r="1832" spans="1:23" x14ac:dyDescent="0.2">
      <c r="A1832" s="510" t="str">
        <f t="shared" si="129"/>
        <v/>
      </c>
      <c r="B1832" s="428"/>
      <c r="C1832" s="424"/>
      <c r="D1832" s="415"/>
      <c r="E1832" s="415"/>
      <c r="F1832" s="425"/>
      <c r="G1832" s="415"/>
      <c r="H1832" s="415"/>
      <c r="I1832" s="473"/>
      <c r="J1832" s="415"/>
      <c r="K1832" s="415"/>
      <c r="L1832" s="415"/>
      <c r="M1832" s="415"/>
      <c r="N1832" s="414"/>
      <c r="O1832" s="428"/>
      <c r="P1832" s="222">
        <f t="shared" si="130"/>
        <v>0</v>
      </c>
      <c r="Q1832" s="222">
        <f t="shared" si="131"/>
        <v>0</v>
      </c>
      <c r="R1832" s="532" t="str">
        <f t="shared" si="132"/>
        <v/>
      </c>
      <c r="S1832" s="533"/>
      <c r="T1832" s="533"/>
      <c r="U1832" s="496"/>
      <c r="V1832" s="496"/>
      <c r="W1832" s="496"/>
    </row>
    <row r="1833" spans="1:23" x14ac:dyDescent="0.2">
      <c r="A1833" s="510" t="str">
        <f t="shared" si="129"/>
        <v/>
      </c>
      <c r="B1833" s="428"/>
      <c r="C1833" s="424"/>
      <c r="D1833" s="415"/>
      <c r="E1833" s="415"/>
      <c r="F1833" s="425"/>
      <c r="G1833" s="415"/>
      <c r="H1833" s="415"/>
      <c r="I1833" s="473"/>
      <c r="J1833" s="415"/>
      <c r="K1833" s="415"/>
      <c r="L1833" s="415"/>
      <c r="M1833" s="415"/>
      <c r="N1833" s="414"/>
      <c r="O1833" s="428"/>
      <c r="P1833" s="222">
        <f t="shared" si="130"/>
        <v>0</v>
      </c>
      <c r="Q1833" s="222">
        <f t="shared" si="131"/>
        <v>0</v>
      </c>
      <c r="R1833" s="532" t="str">
        <f t="shared" si="132"/>
        <v/>
      </c>
      <c r="S1833" s="533"/>
      <c r="T1833" s="533"/>
      <c r="U1833" s="496"/>
      <c r="V1833" s="496"/>
      <c r="W1833" s="496"/>
    </row>
    <row r="1834" spans="1:23" x14ac:dyDescent="0.2">
      <c r="A1834" s="510" t="str">
        <f t="shared" si="129"/>
        <v/>
      </c>
      <c r="B1834" s="428"/>
      <c r="C1834" s="424"/>
      <c r="D1834" s="415"/>
      <c r="E1834" s="415"/>
      <c r="F1834" s="425"/>
      <c r="G1834" s="415"/>
      <c r="H1834" s="415"/>
      <c r="I1834" s="473"/>
      <c r="J1834" s="415"/>
      <c r="K1834" s="415"/>
      <c r="L1834" s="415"/>
      <c r="M1834" s="415"/>
      <c r="N1834" s="414"/>
      <c r="O1834" s="428"/>
      <c r="P1834" s="222">
        <f t="shared" si="130"/>
        <v>0</v>
      </c>
      <c r="Q1834" s="222">
        <f t="shared" si="131"/>
        <v>0</v>
      </c>
      <c r="R1834" s="532" t="str">
        <f t="shared" si="132"/>
        <v/>
      </c>
      <c r="S1834" s="533"/>
      <c r="T1834" s="533"/>
      <c r="U1834" s="496"/>
      <c r="V1834" s="496"/>
      <c r="W1834" s="496"/>
    </row>
    <row r="1835" spans="1:23" x14ac:dyDescent="0.2">
      <c r="A1835" s="510" t="str">
        <f t="shared" si="129"/>
        <v/>
      </c>
      <c r="B1835" s="428"/>
      <c r="C1835" s="424"/>
      <c r="D1835" s="415"/>
      <c r="E1835" s="415"/>
      <c r="F1835" s="425"/>
      <c r="G1835" s="415"/>
      <c r="H1835" s="415"/>
      <c r="I1835" s="473"/>
      <c r="J1835" s="415"/>
      <c r="K1835" s="415"/>
      <c r="L1835" s="415"/>
      <c r="M1835" s="415"/>
      <c r="N1835" s="414"/>
      <c r="O1835" s="428"/>
      <c r="P1835" s="222">
        <f t="shared" si="130"/>
        <v>0</v>
      </c>
      <c r="Q1835" s="222">
        <f t="shared" si="131"/>
        <v>0</v>
      </c>
      <c r="R1835" s="532" t="str">
        <f t="shared" si="132"/>
        <v/>
      </c>
      <c r="S1835" s="533"/>
      <c r="T1835" s="533"/>
      <c r="U1835" s="496"/>
      <c r="V1835" s="496"/>
      <c r="W1835" s="496"/>
    </row>
    <row r="1836" spans="1:23" x14ac:dyDescent="0.2">
      <c r="A1836" s="510" t="str">
        <f t="shared" si="129"/>
        <v/>
      </c>
      <c r="B1836" s="428"/>
      <c r="C1836" s="424"/>
      <c r="D1836" s="415"/>
      <c r="E1836" s="415"/>
      <c r="F1836" s="425"/>
      <c r="G1836" s="415"/>
      <c r="H1836" s="415"/>
      <c r="I1836" s="473"/>
      <c r="J1836" s="415"/>
      <c r="K1836" s="415"/>
      <c r="L1836" s="415"/>
      <c r="M1836" s="415"/>
      <c r="N1836" s="414"/>
      <c r="O1836" s="428"/>
      <c r="P1836" s="222">
        <f t="shared" si="130"/>
        <v>0</v>
      </c>
      <c r="Q1836" s="222">
        <f t="shared" si="131"/>
        <v>0</v>
      </c>
      <c r="R1836" s="532" t="str">
        <f t="shared" si="132"/>
        <v/>
      </c>
      <c r="S1836" s="533"/>
      <c r="T1836" s="533"/>
      <c r="U1836" s="496"/>
      <c r="V1836" s="496"/>
      <c r="W1836" s="496"/>
    </row>
    <row r="1837" spans="1:23" x14ac:dyDescent="0.2">
      <c r="A1837" s="510" t="str">
        <f t="shared" si="129"/>
        <v/>
      </c>
      <c r="B1837" s="428"/>
      <c r="C1837" s="424"/>
      <c r="D1837" s="415"/>
      <c r="E1837" s="415"/>
      <c r="F1837" s="425"/>
      <c r="G1837" s="415"/>
      <c r="H1837" s="415"/>
      <c r="I1837" s="473"/>
      <c r="J1837" s="415"/>
      <c r="K1837" s="415"/>
      <c r="L1837" s="415"/>
      <c r="M1837" s="415"/>
      <c r="N1837" s="414"/>
      <c r="O1837" s="428"/>
      <c r="P1837" s="222">
        <f t="shared" si="130"/>
        <v>0</v>
      </c>
      <c r="Q1837" s="222">
        <f t="shared" si="131"/>
        <v>0</v>
      </c>
      <c r="R1837" s="532" t="str">
        <f t="shared" si="132"/>
        <v/>
      </c>
      <c r="S1837" s="533"/>
      <c r="T1837" s="533"/>
      <c r="U1837" s="496"/>
      <c r="V1837" s="496"/>
      <c r="W1837" s="496"/>
    </row>
    <row r="1838" spans="1:23" x14ac:dyDescent="0.2">
      <c r="A1838" s="510" t="str">
        <f t="shared" si="129"/>
        <v/>
      </c>
      <c r="B1838" s="428"/>
      <c r="C1838" s="424"/>
      <c r="D1838" s="415"/>
      <c r="E1838" s="415"/>
      <c r="F1838" s="425"/>
      <c r="G1838" s="415"/>
      <c r="H1838" s="415"/>
      <c r="I1838" s="473"/>
      <c r="J1838" s="415"/>
      <c r="K1838" s="415"/>
      <c r="L1838" s="415"/>
      <c r="M1838" s="415"/>
      <c r="N1838" s="414"/>
      <c r="O1838" s="428"/>
      <c r="P1838" s="222">
        <f t="shared" si="130"/>
        <v>0</v>
      </c>
      <c r="Q1838" s="222">
        <f t="shared" si="131"/>
        <v>0</v>
      </c>
      <c r="R1838" s="532" t="str">
        <f t="shared" si="132"/>
        <v/>
      </c>
      <c r="S1838" s="533"/>
      <c r="T1838" s="533"/>
      <c r="U1838" s="496"/>
      <c r="V1838" s="496"/>
      <c r="W1838" s="496"/>
    </row>
    <row r="1839" spans="1:23" x14ac:dyDescent="0.2">
      <c r="A1839" s="510" t="str">
        <f t="shared" si="129"/>
        <v/>
      </c>
      <c r="B1839" s="428"/>
      <c r="C1839" s="424"/>
      <c r="D1839" s="415"/>
      <c r="E1839" s="415"/>
      <c r="F1839" s="425"/>
      <c r="G1839" s="415"/>
      <c r="H1839" s="415"/>
      <c r="I1839" s="473"/>
      <c r="J1839" s="415"/>
      <c r="K1839" s="415"/>
      <c r="L1839" s="415"/>
      <c r="M1839" s="415"/>
      <c r="N1839" s="414"/>
      <c r="O1839" s="428"/>
      <c r="P1839" s="222">
        <f t="shared" si="130"/>
        <v>0</v>
      </c>
      <c r="Q1839" s="222">
        <f t="shared" si="131"/>
        <v>0</v>
      </c>
      <c r="R1839" s="532" t="str">
        <f t="shared" si="132"/>
        <v/>
      </c>
      <c r="S1839" s="533"/>
      <c r="T1839" s="533"/>
      <c r="U1839" s="496"/>
      <c r="V1839" s="496"/>
      <c r="W1839" s="496"/>
    </row>
    <row r="1840" spans="1:23" x14ac:dyDescent="0.2">
      <c r="A1840" s="510" t="str">
        <f t="shared" si="129"/>
        <v/>
      </c>
      <c r="B1840" s="428"/>
      <c r="C1840" s="424"/>
      <c r="D1840" s="415"/>
      <c r="E1840" s="415"/>
      <c r="F1840" s="425"/>
      <c r="G1840" s="415"/>
      <c r="H1840" s="415"/>
      <c r="I1840" s="473"/>
      <c r="J1840" s="415"/>
      <c r="K1840" s="415"/>
      <c r="L1840" s="415"/>
      <c r="M1840" s="415"/>
      <c r="N1840" s="414"/>
      <c r="O1840" s="428"/>
      <c r="P1840" s="222">
        <f t="shared" si="130"/>
        <v>0</v>
      </c>
      <c r="Q1840" s="222">
        <f t="shared" si="131"/>
        <v>0</v>
      </c>
      <c r="R1840" s="532" t="str">
        <f t="shared" si="132"/>
        <v/>
      </c>
      <c r="S1840" s="533"/>
      <c r="T1840" s="533"/>
      <c r="U1840" s="496"/>
      <c r="V1840" s="496"/>
      <c r="W1840" s="496"/>
    </row>
    <row r="1841" spans="1:23" x14ac:dyDescent="0.2">
      <c r="A1841" s="510" t="str">
        <f t="shared" si="129"/>
        <v/>
      </c>
      <c r="B1841" s="428"/>
      <c r="C1841" s="424"/>
      <c r="D1841" s="415"/>
      <c r="E1841" s="415"/>
      <c r="F1841" s="425"/>
      <c r="G1841" s="415"/>
      <c r="H1841" s="415"/>
      <c r="I1841" s="473"/>
      <c r="J1841" s="415"/>
      <c r="K1841" s="415"/>
      <c r="L1841" s="415"/>
      <c r="M1841" s="415"/>
      <c r="N1841" s="414"/>
      <c r="O1841" s="428"/>
      <c r="P1841" s="222">
        <f t="shared" si="130"/>
        <v>0</v>
      </c>
      <c r="Q1841" s="222">
        <f t="shared" si="131"/>
        <v>0</v>
      </c>
      <c r="R1841" s="532" t="str">
        <f t="shared" si="132"/>
        <v/>
      </c>
      <c r="S1841" s="533"/>
      <c r="T1841" s="533"/>
      <c r="U1841" s="496"/>
      <c r="V1841" s="496"/>
      <c r="W1841" s="496"/>
    </row>
    <row r="1842" spans="1:23" x14ac:dyDescent="0.2">
      <c r="A1842" s="510" t="str">
        <f t="shared" si="129"/>
        <v/>
      </c>
      <c r="B1842" s="428"/>
      <c r="C1842" s="424"/>
      <c r="D1842" s="415"/>
      <c r="E1842" s="415"/>
      <c r="F1842" s="425"/>
      <c r="G1842" s="415"/>
      <c r="H1842" s="415"/>
      <c r="I1842" s="473"/>
      <c r="J1842" s="415"/>
      <c r="K1842" s="415"/>
      <c r="L1842" s="415"/>
      <c r="M1842" s="415"/>
      <c r="N1842" s="414"/>
      <c r="O1842" s="428"/>
      <c r="P1842" s="222">
        <f t="shared" si="130"/>
        <v>0</v>
      </c>
      <c r="Q1842" s="222">
        <f t="shared" si="131"/>
        <v>0</v>
      </c>
      <c r="R1842" s="532" t="str">
        <f t="shared" si="132"/>
        <v/>
      </c>
      <c r="S1842" s="533"/>
      <c r="T1842" s="533"/>
      <c r="U1842" s="496"/>
      <c r="V1842" s="496"/>
      <c r="W1842" s="496"/>
    </row>
    <row r="1843" spans="1:23" x14ac:dyDescent="0.2">
      <c r="A1843" s="510" t="str">
        <f t="shared" si="129"/>
        <v/>
      </c>
      <c r="B1843" s="428"/>
      <c r="C1843" s="424"/>
      <c r="D1843" s="415"/>
      <c r="E1843" s="415"/>
      <c r="F1843" s="425"/>
      <c r="G1843" s="415"/>
      <c r="H1843" s="415"/>
      <c r="I1843" s="473"/>
      <c r="J1843" s="415"/>
      <c r="K1843" s="415"/>
      <c r="L1843" s="415"/>
      <c r="M1843" s="415"/>
      <c r="N1843" s="414"/>
      <c r="O1843" s="428"/>
      <c r="P1843" s="222">
        <f t="shared" si="130"/>
        <v>0</v>
      </c>
      <c r="Q1843" s="222">
        <f t="shared" si="131"/>
        <v>0</v>
      </c>
      <c r="R1843" s="532" t="str">
        <f t="shared" si="132"/>
        <v/>
      </c>
      <c r="S1843" s="533"/>
      <c r="T1843" s="533"/>
      <c r="U1843" s="496"/>
      <c r="V1843" s="496"/>
      <c r="W1843" s="496"/>
    </row>
    <row r="1844" spans="1:23" x14ac:dyDescent="0.2">
      <c r="A1844" s="510" t="str">
        <f t="shared" si="129"/>
        <v/>
      </c>
      <c r="B1844" s="428"/>
      <c r="C1844" s="424"/>
      <c r="D1844" s="415"/>
      <c r="E1844" s="415"/>
      <c r="F1844" s="425"/>
      <c r="G1844" s="415"/>
      <c r="H1844" s="415"/>
      <c r="I1844" s="473"/>
      <c r="J1844" s="415"/>
      <c r="K1844" s="415"/>
      <c r="L1844" s="415"/>
      <c r="M1844" s="415"/>
      <c r="N1844" s="414"/>
      <c r="O1844" s="428"/>
      <c r="P1844" s="222">
        <f t="shared" si="130"/>
        <v>0</v>
      </c>
      <c r="Q1844" s="222">
        <f t="shared" si="131"/>
        <v>0</v>
      </c>
      <c r="R1844" s="532" t="str">
        <f t="shared" si="132"/>
        <v/>
      </c>
      <c r="S1844" s="533"/>
      <c r="T1844" s="533"/>
      <c r="U1844" s="496"/>
      <c r="V1844" s="496"/>
      <c r="W1844" s="496"/>
    </row>
    <row r="1845" spans="1:23" x14ac:dyDescent="0.2">
      <c r="A1845" s="510" t="str">
        <f t="shared" si="129"/>
        <v/>
      </c>
      <c r="B1845" s="428"/>
      <c r="C1845" s="424"/>
      <c r="D1845" s="415"/>
      <c r="E1845" s="415"/>
      <c r="F1845" s="425"/>
      <c r="G1845" s="415"/>
      <c r="H1845" s="415"/>
      <c r="I1845" s="473"/>
      <c r="J1845" s="415"/>
      <c r="K1845" s="415"/>
      <c r="L1845" s="415"/>
      <c r="M1845" s="415"/>
      <c r="N1845" s="414"/>
      <c r="O1845" s="428"/>
      <c r="P1845" s="222">
        <f t="shared" si="130"/>
        <v>0</v>
      </c>
      <c r="Q1845" s="222">
        <f t="shared" si="131"/>
        <v>0</v>
      </c>
      <c r="R1845" s="532" t="str">
        <f t="shared" si="132"/>
        <v/>
      </c>
      <c r="S1845" s="533"/>
      <c r="T1845" s="533"/>
      <c r="U1845" s="496"/>
      <c r="V1845" s="496"/>
      <c r="W1845" s="496"/>
    </row>
    <row r="1846" spans="1:23" x14ac:dyDescent="0.2">
      <c r="A1846" s="510" t="str">
        <f t="shared" si="129"/>
        <v/>
      </c>
      <c r="B1846" s="428"/>
      <c r="C1846" s="424"/>
      <c r="D1846" s="415"/>
      <c r="E1846" s="415"/>
      <c r="F1846" s="425"/>
      <c r="G1846" s="415"/>
      <c r="H1846" s="415"/>
      <c r="I1846" s="473"/>
      <c r="J1846" s="415"/>
      <c r="K1846" s="415"/>
      <c r="L1846" s="415"/>
      <c r="M1846" s="415"/>
      <c r="N1846" s="414"/>
      <c r="O1846" s="428"/>
      <c r="P1846" s="222">
        <f t="shared" si="130"/>
        <v>0</v>
      </c>
      <c r="Q1846" s="222">
        <f t="shared" si="131"/>
        <v>0</v>
      </c>
      <c r="R1846" s="532" t="str">
        <f t="shared" si="132"/>
        <v/>
      </c>
      <c r="S1846" s="533"/>
      <c r="T1846" s="533"/>
      <c r="U1846" s="496"/>
      <c r="V1846" s="496"/>
      <c r="W1846" s="496"/>
    </row>
    <row r="1847" spans="1:23" x14ac:dyDescent="0.2">
      <c r="A1847" s="510" t="str">
        <f t="shared" si="129"/>
        <v/>
      </c>
      <c r="B1847" s="428"/>
      <c r="C1847" s="424"/>
      <c r="D1847" s="415"/>
      <c r="E1847" s="415"/>
      <c r="F1847" s="425"/>
      <c r="G1847" s="415"/>
      <c r="H1847" s="415"/>
      <c r="I1847" s="473"/>
      <c r="J1847" s="415"/>
      <c r="K1847" s="415"/>
      <c r="L1847" s="415"/>
      <c r="M1847" s="415"/>
      <c r="N1847" s="414"/>
      <c r="O1847" s="428"/>
      <c r="P1847" s="222">
        <f t="shared" si="130"/>
        <v>0</v>
      </c>
      <c r="Q1847" s="222">
        <f t="shared" si="131"/>
        <v>0</v>
      </c>
      <c r="R1847" s="532" t="str">
        <f t="shared" si="132"/>
        <v/>
      </c>
      <c r="S1847" s="533"/>
      <c r="T1847" s="533"/>
      <c r="U1847" s="496"/>
      <c r="V1847" s="496"/>
      <c r="W1847" s="496"/>
    </row>
    <row r="1848" spans="1:23" x14ac:dyDescent="0.2">
      <c r="A1848" s="510" t="str">
        <f t="shared" si="129"/>
        <v/>
      </c>
      <c r="B1848" s="428"/>
      <c r="C1848" s="424"/>
      <c r="D1848" s="415"/>
      <c r="E1848" s="415"/>
      <c r="F1848" s="425"/>
      <c r="G1848" s="415"/>
      <c r="H1848" s="415"/>
      <c r="I1848" s="473"/>
      <c r="J1848" s="415"/>
      <c r="K1848" s="415"/>
      <c r="L1848" s="415"/>
      <c r="M1848" s="415"/>
      <c r="N1848" s="414"/>
      <c r="O1848" s="428"/>
      <c r="P1848" s="222">
        <f t="shared" si="130"/>
        <v>0</v>
      </c>
      <c r="Q1848" s="222">
        <f t="shared" si="131"/>
        <v>0</v>
      </c>
      <c r="R1848" s="532" t="str">
        <f t="shared" si="132"/>
        <v/>
      </c>
      <c r="S1848" s="533"/>
      <c r="T1848" s="533"/>
      <c r="U1848" s="496"/>
      <c r="V1848" s="496"/>
      <c r="W1848" s="496"/>
    </row>
    <row r="1849" spans="1:23" s="313" customFormat="1" x14ac:dyDescent="0.2">
      <c r="A1849" s="510" t="str">
        <f t="shared" si="129"/>
        <v/>
      </c>
      <c r="B1849" s="428"/>
      <c r="C1849" s="424"/>
      <c r="D1849" s="415"/>
      <c r="E1849" s="415"/>
      <c r="F1849" s="425"/>
      <c r="G1849" s="415"/>
      <c r="H1849" s="415"/>
      <c r="I1849" s="473"/>
      <c r="J1849" s="415"/>
      <c r="K1849" s="415"/>
      <c r="L1849" s="415"/>
      <c r="M1849" s="415"/>
      <c r="N1849" s="414"/>
      <c r="O1849" s="428"/>
      <c r="P1849" s="222">
        <f t="shared" si="130"/>
        <v>0</v>
      </c>
      <c r="Q1849" s="222">
        <f t="shared" si="131"/>
        <v>0</v>
      </c>
      <c r="R1849" s="532" t="str">
        <f t="shared" si="132"/>
        <v/>
      </c>
      <c r="S1849" s="533"/>
      <c r="T1849" s="533"/>
      <c r="U1849" s="496"/>
      <c r="V1849" s="496"/>
      <c r="W1849" s="496"/>
    </row>
    <row r="1850" spans="1:23" x14ac:dyDescent="0.2">
      <c r="A1850" s="510" t="str">
        <f t="shared" si="129"/>
        <v/>
      </c>
      <c r="B1850" s="428"/>
      <c r="C1850" s="424"/>
      <c r="D1850" s="415"/>
      <c r="E1850" s="415"/>
      <c r="F1850" s="425"/>
      <c r="G1850" s="415"/>
      <c r="H1850" s="415"/>
      <c r="I1850" s="473"/>
      <c r="J1850" s="415"/>
      <c r="K1850" s="415"/>
      <c r="L1850" s="415"/>
      <c r="M1850" s="415"/>
      <c r="N1850" s="414"/>
      <c r="O1850" s="428"/>
      <c r="P1850" s="222">
        <f t="shared" si="130"/>
        <v>0</v>
      </c>
      <c r="Q1850" s="222">
        <f t="shared" si="131"/>
        <v>0</v>
      </c>
      <c r="R1850" s="532" t="str">
        <f t="shared" si="132"/>
        <v/>
      </c>
      <c r="S1850" s="533"/>
      <c r="T1850" s="533"/>
      <c r="U1850" s="496"/>
      <c r="V1850" s="496"/>
      <c r="W1850" s="496"/>
    </row>
    <row r="1851" spans="1:23" x14ac:dyDescent="0.2">
      <c r="A1851" s="510" t="str">
        <f t="shared" si="129"/>
        <v/>
      </c>
      <c r="B1851" s="428"/>
      <c r="C1851" s="424"/>
      <c r="D1851" s="415"/>
      <c r="E1851" s="415"/>
      <c r="F1851" s="425"/>
      <c r="G1851" s="415"/>
      <c r="H1851" s="415"/>
      <c r="I1851" s="473"/>
      <c r="J1851" s="415"/>
      <c r="K1851" s="415"/>
      <c r="L1851" s="415"/>
      <c r="M1851" s="415"/>
      <c r="N1851" s="414"/>
      <c r="O1851" s="428"/>
      <c r="P1851" s="222">
        <f t="shared" si="130"/>
        <v>0</v>
      </c>
      <c r="Q1851" s="222">
        <f t="shared" si="131"/>
        <v>0</v>
      </c>
      <c r="R1851" s="532" t="str">
        <f t="shared" si="132"/>
        <v/>
      </c>
      <c r="S1851" s="533"/>
      <c r="T1851" s="533"/>
      <c r="U1851" s="496"/>
      <c r="V1851" s="496"/>
      <c r="W1851" s="496"/>
    </row>
    <row r="1852" spans="1:23" x14ac:dyDescent="0.2">
      <c r="A1852" s="510" t="str">
        <f t="shared" si="129"/>
        <v/>
      </c>
      <c r="B1852" s="428"/>
      <c r="C1852" s="424"/>
      <c r="D1852" s="415"/>
      <c r="E1852" s="415"/>
      <c r="F1852" s="425"/>
      <c r="G1852" s="415"/>
      <c r="H1852" s="415"/>
      <c r="I1852" s="473"/>
      <c r="J1852" s="415"/>
      <c r="K1852" s="415"/>
      <c r="L1852" s="415"/>
      <c r="M1852" s="415"/>
      <c r="N1852" s="414"/>
      <c r="O1852" s="428"/>
      <c r="P1852" s="222">
        <f t="shared" si="130"/>
        <v>0</v>
      </c>
      <c r="Q1852" s="222">
        <f t="shared" si="131"/>
        <v>0</v>
      </c>
      <c r="R1852" s="532" t="str">
        <f t="shared" si="132"/>
        <v/>
      </c>
      <c r="S1852" s="533"/>
      <c r="T1852" s="533"/>
      <c r="U1852" s="496"/>
      <c r="V1852" s="496"/>
      <c r="W1852" s="496"/>
    </row>
    <row r="1853" spans="1:23" x14ac:dyDescent="0.2">
      <c r="A1853" s="510" t="str">
        <f t="shared" si="129"/>
        <v/>
      </c>
      <c r="B1853" s="428"/>
      <c r="C1853" s="424"/>
      <c r="D1853" s="415"/>
      <c r="E1853" s="415"/>
      <c r="F1853" s="425"/>
      <c r="G1853" s="415"/>
      <c r="H1853" s="415"/>
      <c r="I1853" s="473"/>
      <c r="J1853" s="415"/>
      <c r="K1853" s="415"/>
      <c r="L1853" s="415"/>
      <c r="M1853" s="415"/>
      <c r="N1853" s="414"/>
      <c r="O1853" s="428"/>
      <c r="P1853" s="222">
        <f t="shared" si="130"/>
        <v>0</v>
      </c>
      <c r="Q1853" s="222">
        <f t="shared" si="131"/>
        <v>0</v>
      </c>
      <c r="R1853" s="532" t="str">
        <f t="shared" si="132"/>
        <v/>
      </c>
      <c r="S1853" s="533"/>
      <c r="T1853" s="533"/>
      <c r="U1853" s="496"/>
      <c r="V1853" s="496"/>
      <c r="W1853" s="496"/>
    </row>
    <row r="1854" spans="1:23" x14ac:dyDescent="0.2">
      <c r="A1854" s="510" t="str">
        <f t="shared" si="129"/>
        <v/>
      </c>
      <c r="B1854" s="428"/>
      <c r="C1854" s="424"/>
      <c r="D1854" s="415"/>
      <c r="E1854" s="415"/>
      <c r="F1854" s="425"/>
      <c r="G1854" s="415"/>
      <c r="H1854" s="415"/>
      <c r="I1854" s="473"/>
      <c r="J1854" s="415"/>
      <c r="K1854" s="415"/>
      <c r="L1854" s="415"/>
      <c r="M1854" s="415"/>
      <c r="N1854" s="414"/>
      <c r="O1854" s="428"/>
      <c r="P1854" s="222">
        <f t="shared" si="130"/>
        <v>0</v>
      </c>
      <c r="Q1854" s="222">
        <f t="shared" si="131"/>
        <v>0</v>
      </c>
      <c r="R1854" s="532" t="str">
        <f t="shared" si="132"/>
        <v/>
      </c>
      <c r="S1854" s="533"/>
      <c r="T1854" s="533"/>
      <c r="U1854" s="496"/>
      <c r="V1854" s="496"/>
      <c r="W1854" s="496"/>
    </row>
    <row r="1855" spans="1:23" x14ac:dyDescent="0.2">
      <c r="A1855" s="510" t="str">
        <f t="shared" si="129"/>
        <v/>
      </c>
      <c r="B1855" s="428"/>
      <c r="C1855" s="424"/>
      <c r="D1855" s="415"/>
      <c r="E1855" s="415"/>
      <c r="F1855" s="425"/>
      <c r="G1855" s="415"/>
      <c r="H1855" s="415"/>
      <c r="I1855" s="473"/>
      <c r="J1855" s="415"/>
      <c r="K1855" s="415"/>
      <c r="L1855" s="415"/>
      <c r="M1855" s="415"/>
      <c r="N1855" s="414"/>
      <c r="O1855" s="428"/>
      <c r="P1855" s="222">
        <f t="shared" si="130"/>
        <v>0</v>
      </c>
      <c r="Q1855" s="222">
        <f t="shared" si="131"/>
        <v>0</v>
      </c>
      <c r="R1855" s="532" t="str">
        <f t="shared" si="132"/>
        <v/>
      </c>
      <c r="S1855" s="533"/>
      <c r="T1855" s="533"/>
      <c r="U1855" s="496"/>
      <c r="V1855" s="496"/>
      <c r="W1855" s="496"/>
    </row>
    <row r="1856" spans="1:23" x14ac:dyDescent="0.2">
      <c r="A1856" s="510" t="str">
        <f t="shared" si="129"/>
        <v/>
      </c>
      <c r="B1856" s="428"/>
      <c r="C1856" s="424"/>
      <c r="D1856" s="415"/>
      <c r="E1856" s="415"/>
      <c r="F1856" s="425"/>
      <c r="G1856" s="415"/>
      <c r="H1856" s="415"/>
      <c r="I1856" s="473"/>
      <c r="J1856" s="415"/>
      <c r="K1856" s="415"/>
      <c r="L1856" s="415"/>
      <c r="M1856" s="415"/>
      <c r="N1856" s="414"/>
      <c r="O1856" s="428"/>
      <c r="P1856" s="222">
        <f t="shared" si="130"/>
        <v>0</v>
      </c>
      <c r="Q1856" s="222">
        <f t="shared" si="131"/>
        <v>0</v>
      </c>
      <c r="R1856" s="532" t="str">
        <f t="shared" si="132"/>
        <v/>
      </c>
      <c r="S1856" s="533"/>
      <c r="T1856" s="533"/>
      <c r="U1856" s="496"/>
      <c r="V1856" s="496"/>
      <c r="W1856" s="496"/>
    </row>
    <row r="1857" spans="1:23" x14ac:dyDescent="0.2">
      <c r="A1857" s="510" t="str">
        <f t="shared" si="129"/>
        <v/>
      </c>
      <c r="B1857" s="428"/>
      <c r="C1857" s="424"/>
      <c r="D1857" s="415"/>
      <c r="E1857" s="415"/>
      <c r="F1857" s="425"/>
      <c r="G1857" s="415"/>
      <c r="H1857" s="415"/>
      <c r="I1857" s="473"/>
      <c r="J1857" s="415"/>
      <c r="K1857" s="415"/>
      <c r="L1857" s="415"/>
      <c r="M1857" s="415"/>
      <c r="N1857" s="414"/>
      <c r="O1857" s="428"/>
      <c r="P1857" s="222">
        <f t="shared" si="130"/>
        <v>0</v>
      </c>
      <c r="Q1857" s="222">
        <f t="shared" si="131"/>
        <v>0</v>
      </c>
      <c r="R1857" s="532" t="str">
        <f t="shared" si="132"/>
        <v/>
      </c>
      <c r="S1857" s="533"/>
      <c r="T1857" s="533"/>
      <c r="U1857" s="496"/>
      <c r="V1857" s="496"/>
      <c r="W1857" s="496"/>
    </row>
    <row r="1858" spans="1:23" x14ac:dyDescent="0.2">
      <c r="A1858" s="510" t="str">
        <f t="shared" si="129"/>
        <v/>
      </c>
      <c r="B1858" s="428"/>
      <c r="C1858" s="424"/>
      <c r="D1858" s="415"/>
      <c r="E1858" s="415"/>
      <c r="F1858" s="425"/>
      <c r="G1858" s="415"/>
      <c r="H1858" s="415"/>
      <c r="I1858" s="473"/>
      <c r="J1858" s="415"/>
      <c r="K1858" s="415"/>
      <c r="L1858" s="415"/>
      <c r="M1858" s="415"/>
      <c r="N1858" s="414"/>
      <c r="O1858" s="428"/>
      <c r="P1858" s="222">
        <f t="shared" si="130"/>
        <v>0</v>
      </c>
      <c r="Q1858" s="222">
        <f t="shared" si="131"/>
        <v>0</v>
      </c>
      <c r="R1858" s="532" t="str">
        <f t="shared" si="132"/>
        <v/>
      </c>
      <c r="S1858" s="533"/>
      <c r="T1858" s="533"/>
      <c r="U1858" s="496"/>
      <c r="V1858" s="496"/>
      <c r="W1858" s="496"/>
    </row>
    <row r="1859" spans="1:23" x14ac:dyDescent="0.2">
      <c r="A1859" s="510" t="str">
        <f t="shared" si="129"/>
        <v/>
      </c>
      <c r="B1859" s="428"/>
      <c r="C1859" s="424"/>
      <c r="D1859" s="415"/>
      <c r="E1859" s="415"/>
      <c r="F1859" s="425"/>
      <c r="G1859" s="415"/>
      <c r="H1859" s="415"/>
      <c r="I1859" s="473"/>
      <c r="J1859" s="415"/>
      <c r="K1859" s="415"/>
      <c r="L1859" s="415"/>
      <c r="M1859" s="415"/>
      <c r="N1859" s="414"/>
      <c r="O1859" s="428"/>
      <c r="P1859" s="222">
        <f t="shared" si="130"/>
        <v>0</v>
      </c>
      <c r="Q1859" s="222">
        <f t="shared" si="131"/>
        <v>0</v>
      </c>
      <c r="R1859" s="532" t="str">
        <f t="shared" si="132"/>
        <v/>
      </c>
      <c r="S1859" s="533"/>
      <c r="T1859" s="533"/>
      <c r="U1859" s="496"/>
      <c r="V1859" s="496"/>
      <c r="W1859" s="496"/>
    </row>
    <row r="1860" spans="1:23" x14ac:dyDescent="0.2">
      <c r="A1860" s="510" t="str">
        <f t="shared" si="129"/>
        <v/>
      </c>
      <c r="B1860" s="428"/>
      <c r="C1860" s="424"/>
      <c r="D1860" s="415"/>
      <c r="E1860" s="415"/>
      <c r="F1860" s="425"/>
      <c r="G1860" s="415"/>
      <c r="H1860" s="415"/>
      <c r="I1860" s="473"/>
      <c r="J1860" s="415"/>
      <c r="K1860" s="415"/>
      <c r="L1860" s="415"/>
      <c r="M1860" s="415"/>
      <c r="N1860" s="414"/>
      <c r="O1860" s="428"/>
      <c r="P1860" s="222">
        <f t="shared" si="130"/>
        <v>0</v>
      </c>
      <c r="Q1860" s="222">
        <f t="shared" si="131"/>
        <v>0</v>
      </c>
      <c r="R1860" s="532" t="str">
        <f t="shared" si="132"/>
        <v/>
      </c>
      <c r="S1860" s="533"/>
      <c r="T1860" s="533"/>
      <c r="U1860" s="496"/>
      <c r="V1860" s="496"/>
      <c r="W1860" s="496"/>
    </row>
    <row r="1861" spans="1:23" x14ac:dyDescent="0.2">
      <c r="A1861" s="510" t="str">
        <f t="shared" si="129"/>
        <v/>
      </c>
      <c r="B1861" s="428"/>
      <c r="C1861" s="424"/>
      <c r="D1861" s="415"/>
      <c r="E1861" s="415"/>
      <c r="F1861" s="425"/>
      <c r="G1861" s="415"/>
      <c r="H1861" s="415"/>
      <c r="I1861" s="473"/>
      <c r="J1861" s="415"/>
      <c r="K1861" s="415"/>
      <c r="L1861" s="415"/>
      <c r="M1861" s="415"/>
      <c r="N1861" s="414"/>
      <c r="O1861" s="428"/>
      <c r="P1861" s="222">
        <f t="shared" si="130"/>
        <v>0</v>
      </c>
      <c r="Q1861" s="222">
        <f t="shared" si="131"/>
        <v>0</v>
      </c>
      <c r="R1861" s="532" t="str">
        <f t="shared" si="132"/>
        <v/>
      </c>
      <c r="S1861" s="533"/>
      <c r="T1861" s="533"/>
      <c r="U1861" s="496"/>
      <c r="V1861" s="496"/>
      <c r="W1861" s="496"/>
    </row>
    <row r="1862" spans="1:23" x14ac:dyDescent="0.2">
      <c r="A1862" s="510" t="str">
        <f t="shared" si="129"/>
        <v/>
      </c>
      <c r="B1862" s="428"/>
      <c r="C1862" s="424"/>
      <c r="D1862" s="415"/>
      <c r="E1862" s="415"/>
      <c r="F1862" s="425"/>
      <c r="G1862" s="415"/>
      <c r="H1862" s="415"/>
      <c r="I1862" s="473"/>
      <c r="J1862" s="415"/>
      <c r="K1862" s="415"/>
      <c r="L1862" s="415"/>
      <c r="M1862" s="415"/>
      <c r="N1862" s="414"/>
      <c r="O1862" s="428"/>
      <c r="P1862" s="222">
        <f t="shared" si="130"/>
        <v>0</v>
      </c>
      <c r="Q1862" s="222">
        <f t="shared" si="131"/>
        <v>0</v>
      </c>
      <c r="R1862" s="532" t="str">
        <f t="shared" si="132"/>
        <v/>
      </c>
      <c r="S1862" s="533"/>
      <c r="T1862" s="533"/>
      <c r="U1862" s="496"/>
      <c r="V1862" s="496"/>
      <c r="W1862" s="496"/>
    </row>
    <row r="1863" spans="1:23" x14ac:dyDescent="0.2">
      <c r="A1863" s="510" t="str">
        <f t="shared" si="129"/>
        <v/>
      </c>
      <c r="B1863" s="428"/>
      <c r="C1863" s="424"/>
      <c r="D1863" s="415"/>
      <c r="E1863" s="415"/>
      <c r="F1863" s="425"/>
      <c r="G1863" s="415"/>
      <c r="H1863" s="415"/>
      <c r="I1863" s="473"/>
      <c r="J1863" s="415"/>
      <c r="K1863" s="415"/>
      <c r="L1863" s="415"/>
      <c r="M1863" s="415"/>
      <c r="N1863" s="414"/>
      <c r="O1863" s="428"/>
      <c r="P1863" s="222">
        <f t="shared" si="130"/>
        <v>0</v>
      </c>
      <c r="Q1863" s="222">
        <f t="shared" si="131"/>
        <v>0</v>
      </c>
      <c r="R1863" s="532" t="str">
        <f t="shared" si="132"/>
        <v/>
      </c>
      <c r="S1863" s="533"/>
      <c r="T1863" s="533"/>
      <c r="U1863" s="496"/>
      <c r="V1863" s="496"/>
      <c r="W1863" s="496"/>
    </row>
    <row r="1864" spans="1:23" x14ac:dyDescent="0.2">
      <c r="A1864" s="510" t="str">
        <f t="shared" si="129"/>
        <v/>
      </c>
      <c r="B1864" s="428"/>
      <c r="C1864" s="424"/>
      <c r="D1864" s="415"/>
      <c r="E1864" s="415"/>
      <c r="F1864" s="425"/>
      <c r="G1864" s="415"/>
      <c r="H1864" s="415"/>
      <c r="I1864" s="473"/>
      <c r="J1864" s="415"/>
      <c r="K1864" s="415"/>
      <c r="L1864" s="415"/>
      <c r="M1864" s="415"/>
      <c r="N1864" s="414"/>
      <c r="O1864" s="428"/>
      <c r="P1864" s="222">
        <f t="shared" si="130"/>
        <v>0</v>
      </c>
      <c r="Q1864" s="222">
        <f t="shared" si="131"/>
        <v>0</v>
      </c>
      <c r="R1864" s="532" t="str">
        <f t="shared" si="132"/>
        <v/>
      </c>
      <c r="S1864" s="533"/>
      <c r="T1864" s="533"/>
      <c r="U1864" s="496"/>
      <c r="V1864" s="496"/>
      <c r="W1864" s="496"/>
    </row>
    <row r="1865" spans="1:23" x14ac:dyDescent="0.2">
      <c r="A1865" s="510" t="str">
        <f t="shared" si="129"/>
        <v/>
      </c>
      <c r="B1865" s="428"/>
      <c r="C1865" s="424"/>
      <c r="D1865" s="415"/>
      <c r="E1865" s="415"/>
      <c r="F1865" s="425"/>
      <c r="G1865" s="415"/>
      <c r="H1865" s="415"/>
      <c r="I1865" s="473"/>
      <c r="J1865" s="415"/>
      <c r="K1865" s="415"/>
      <c r="L1865" s="415"/>
      <c r="M1865" s="415"/>
      <c r="N1865" s="414"/>
      <c r="O1865" s="428"/>
      <c r="P1865" s="222">
        <f t="shared" si="130"/>
        <v>0</v>
      </c>
      <c r="Q1865" s="222">
        <f t="shared" si="131"/>
        <v>0</v>
      </c>
      <c r="R1865" s="532" t="str">
        <f t="shared" si="132"/>
        <v/>
      </c>
      <c r="S1865" s="533"/>
      <c r="T1865" s="533"/>
      <c r="U1865" s="496"/>
      <c r="V1865" s="496"/>
      <c r="W1865" s="496"/>
    </row>
    <row r="1866" spans="1:23" x14ac:dyDescent="0.2">
      <c r="A1866" s="510" t="str">
        <f t="shared" si="129"/>
        <v/>
      </c>
      <c r="B1866" s="428"/>
      <c r="C1866" s="424"/>
      <c r="D1866" s="415"/>
      <c r="E1866" s="415"/>
      <c r="F1866" s="425"/>
      <c r="G1866" s="415"/>
      <c r="H1866" s="415"/>
      <c r="I1866" s="473"/>
      <c r="J1866" s="415"/>
      <c r="K1866" s="415"/>
      <c r="L1866" s="415"/>
      <c r="M1866" s="415"/>
      <c r="N1866" s="414"/>
      <c r="O1866" s="428"/>
      <c r="P1866" s="222">
        <f t="shared" si="130"/>
        <v>0</v>
      </c>
      <c r="Q1866" s="222">
        <f t="shared" si="131"/>
        <v>0</v>
      </c>
      <c r="R1866" s="532" t="str">
        <f t="shared" si="132"/>
        <v/>
      </c>
      <c r="S1866" s="533"/>
      <c r="T1866" s="533"/>
      <c r="U1866" s="496"/>
      <c r="V1866" s="496"/>
      <c r="W1866" s="496"/>
    </row>
    <row r="1867" spans="1:23" x14ac:dyDescent="0.2">
      <c r="A1867" s="510" t="str">
        <f t="shared" si="129"/>
        <v/>
      </c>
      <c r="B1867" s="428"/>
      <c r="C1867" s="424"/>
      <c r="D1867" s="415"/>
      <c r="E1867" s="415"/>
      <c r="F1867" s="425"/>
      <c r="G1867" s="415"/>
      <c r="H1867" s="415"/>
      <c r="I1867" s="473"/>
      <c r="J1867" s="415"/>
      <c r="K1867" s="415"/>
      <c r="L1867" s="415"/>
      <c r="M1867" s="415"/>
      <c r="N1867" s="414"/>
      <c r="O1867" s="428"/>
      <c r="P1867" s="222">
        <f t="shared" si="130"/>
        <v>0</v>
      </c>
      <c r="Q1867" s="222">
        <f t="shared" si="131"/>
        <v>0</v>
      </c>
      <c r="R1867" s="532" t="str">
        <f t="shared" si="132"/>
        <v/>
      </c>
      <c r="S1867" s="533"/>
      <c r="T1867" s="533"/>
      <c r="U1867" s="496"/>
      <c r="V1867" s="496"/>
      <c r="W1867" s="496"/>
    </row>
    <row r="1868" spans="1:23" x14ac:dyDescent="0.2">
      <c r="A1868" s="510" t="str">
        <f t="shared" si="129"/>
        <v/>
      </c>
      <c r="B1868" s="428"/>
      <c r="C1868" s="424"/>
      <c r="D1868" s="415"/>
      <c r="E1868" s="415"/>
      <c r="F1868" s="425"/>
      <c r="G1868" s="415"/>
      <c r="H1868" s="415"/>
      <c r="I1868" s="473"/>
      <c r="J1868" s="415"/>
      <c r="K1868" s="415"/>
      <c r="L1868" s="415"/>
      <c r="M1868" s="415"/>
      <c r="N1868" s="414"/>
      <c r="O1868" s="428"/>
      <c r="P1868" s="222">
        <f t="shared" si="130"/>
        <v>0</v>
      </c>
      <c r="Q1868" s="222">
        <f t="shared" si="131"/>
        <v>0</v>
      </c>
      <c r="R1868" s="532" t="str">
        <f t="shared" si="132"/>
        <v/>
      </c>
      <c r="S1868" s="533"/>
      <c r="T1868" s="533"/>
      <c r="U1868" s="496"/>
      <c r="V1868" s="496"/>
      <c r="W1868" s="496"/>
    </row>
    <row r="1869" spans="1:23" s="308" customFormat="1" x14ac:dyDescent="0.2">
      <c r="A1869" s="510" t="str">
        <f t="shared" si="129"/>
        <v/>
      </c>
      <c r="B1869" s="428"/>
      <c r="C1869" s="424"/>
      <c r="D1869" s="415"/>
      <c r="E1869" s="415"/>
      <c r="F1869" s="425"/>
      <c r="G1869" s="415"/>
      <c r="H1869" s="415"/>
      <c r="I1869" s="473"/>
      <c r="J1869" s="415"/>
      <c r="K1869" s="415"/>
      <c r="L1869" s="415"/>
      <c r="M1869" s="415"/>
      <c r="N1869" s="414"/>
      <c r="O1869" s="428"/>
      <c r="P1869" s="222">
        <f t="shared" si="130"/>
        <v>0</v>
      </c>
      <c r="Q1869" s="222">
        <f t="shared" si="131"/>
        <v>0</v>
      </c>
      <c r="R1869" s="532" t="str">
        <f t="shared" si="132"/>
        <v/>
      </c>
      <c r="S1869" s="534"/>
      <c r="T1869" s="534"/>
      <c r="U1869" s="535"/>
      <c r="V1869" s="535"/>
      <c r="W1869" s="535"/>
    </row>
    <row r="1870" spans="1:23" x14ac:dyDescent="0.2">
      <c r="A1870" s="510" t="str">
        <f t="shared" si="129"/>
        <v/>
      </c>
      <c r="B1870" s="428"/>
      <c r="C1870" s="424"/>
      <c r="D1870" s="415"/>
      <c r="E1870" s="415"/>
      <c r="F1870" s="425"/>
      <c r="G1870" s="415"/>
      <c r="H1870" s="415"/>
      <c r="I1870" s="473"/>
      <c r="J1870" s="415"/>
      <c r="K1870" s="415"/>
      <c r="L1870" s="415"/>
      <c r="M1870" s="415"/>
      <c r="N1870" s="414"/>
      <c r="O1870" s="428"/>
      <c r="P1870" s="222">
        <f t="shared" si="130"/>
        <v>0</v>
      </c>
      <c r="Q1870" s="222">
        <f t="shared" si="131"/>
        <v>0</v>
      </c>
      <c r="R1870" s="532" t="str">
        <f t="shared" si="132"/>
        <v/>
      </c>
      <c r="S1870" s="533"/>
      <c r="T1870" s="533"/>
      <c r="U1870" s="496"/>
      <c r="V1870" s="496"/>
      <c r="W1870" s="496"/>
    </row>
    <row r="1871" spans="1:23" x14ac:dyDescent="0.2">
      <c r="A1871" s="510" t="str">
        <f t="shared" si="129"/>
        <v/>
      </c>
      <c r="B1871" s="428"/>
      <c r="C1871" s="424"/>
      <c r="D1871" s="415"/>
      <c r="E1871" s="415"/>
      <c r="F1871" s="425"/>
      <c r="G1871" s="415"/>
      <c r="H1871" s="415"/>
      <c r="I1871" s="473"/>
      <c r="J1871" s="415"/>
      <c r="K1871" s="415"/>
      <c r="L1871" s="415"/>
      <c r="M1871" s="415"/>
      <c r="N1871" s="414"/>
      <c r="O1871" s="428"/>
      <c r="P1871" s="222">
        <f t="shared" si="130"/>
        <v>0</v>
      </c>
      <c r="Q1871" s="222">
        <f t="shared" si="131"/>
        <v>0</v>
      </c>
      <c r="R1871" s="532" t="str">
        <f t="shared" si="132"/>
        <v/>
      </c>
      <c r="S1871" s="533"/>
      <c r="T1871" s="533"/>
      <c r="U1871" s="496"/>
      <c r="V1871" s="496"/>
      <c r="W1871" s="496"/>
    </row>
    <row r="1872" spans="1:23" x14ac:dyDescent="0.2">
      <c r="A1872" s="510" t="str">
        <f t="shared" si="129"/>
        <v/>
      </c>
      <c r="B1872" s="428"/>
      <c r="C1872" s="424"/>
      <c r="D1872" s="415"/>
      <c r="E1872" s="415"/>
      <c r="F1872" s="425"/>
      <c r="G1872" s="415"/>
      <c r="H1872" s="415"/>
      <c r="I1872" s="473"/>
      <c r="J1872" s="415"/>
      <c r="K1872" s="415"/>
      <c r="L1872" s="415"/>
      <c r="M1872" s="415"/>
      <c r="N1872" s="414"/>
      <c r="O1872" s="428"/>
      <c r="P1872" s="222">
        <f t="shared" si="130"/>
        <v>0</v>
      </c>
      <c r="Q1872" s="222">
        <f t="shared" si="131"/>
        <v>0</v>
      </c>
      <c r="R1872" s="532" t="str">
        <f t="shared" si="132"/>
        <v/>
      </c>
      <c r="S1872" s="533"/>
      <c r="T1872" s="533"/>
      <c r="U1872" s="496"/>
      <c r="V1872" s="496"/>
      <c r="W1872" s="496"/>
    </row>
    <row r="1873" spans="1:23" x14ac:dyDescent="0.2">
      <c r="A1873" s="510" t="str">
        <f t="shared" si="129"/>
        <v/>
      </c>
      <c r="B1873" s="428"/>
      <c r="C1873" s="424"/>
      <c r="D1873" s="415"/>
      <c r="E1873" s="415"/>
      <c r="F1873" s="425"/>
      <c r="G1873" s="415"/>
      <c r="H1873" s="415"/>
      <c r="I1873" s="473"/>
      <c r="J1873" s="415"/>
      <c r="K1873" s="415"/>
      <c r="L1873" s="415"/>
      <c r="M1873" s="415"/>
      <c r="N1873" s="414"/>
      <c r="O1873" s="428"/>
      <c r="P1873" s="222">
        <f t="shared" si="130"/>
        <v>0</v>
      </c>
      <c r="Q1873" s="222">
        <f t="shared" si="131"/>
        <v>0</v>
      </c>
      <c r="R1873" s="532" t="str">
        <f t="shared" si="132"/>
        <v/>
      </c>
      <c r="S1873" s="533"/>
      <c r="T1873" s="533"/>
      <c r="U1873" s="496"/>
      <c r="V1873" s="496"/>
      <c r="W1873" s="496"/>
    </row>
    <row r="1874" spans="1:23" x14ac:dyDescent="0.2">
      <c r="A1874" s="510" t="str">
        <f t="shared" si="129"/>
        <v/>
      </c>
      <c r="B1874" s="428"/>
      <c r="C1874" s="424"/>
      <c r="D1874" s="415"/>
      <c r="E1874" s="415"/>
      <c r="F1874" s="425"/>
      <c r="G1874" s="415"/>
      <c r="H1874" s="415"/>
      <c r="I1874" s="473"/>
      <c r="J1874" s="415"/>
      <c r="K1874" s="415"/>
      <c r="L1874" s="415"/>
      <c r="M1874" s="415"/>
      <c r="N1874" s="414"/>
      <c r="O1874" s="428"/>
      <c r="P1874" s="222">
        <f t="shared" si="130"/>
        <v>0</v>
      </c>
      <c r="Q1874" s="222">
        <f t="shared" si="131"/>
        <v>0</v>
      </c>
      <c r="R1874" s="532" t="str">
        <f t="shared" si="132"/>
        <v/>
      </c>
      <c r="S1874" s="533"/>
      <c r="T1874" s="533"/>
      <c r="U1874" s="496"/>
      <c r="V1874" s="496"/>
      <c r="W1874" s="496"/>
    </row>
    <row r="1875" spans="1:23" x14ac:dyDescent="0.2">
      <c r="A1875" s="510" t="str">
        <f t="shared" si="129"/>
        <v/>
      </c>
      <c r="B1875" s="428"/>
      <c r="C1875" s="424"/>
      <c r="D1875" s="415"/>
      <c r="E1875" s="415"/>
      <c r="F1875" s="425"/>
      <c r="G1875" s="415"/>
      <c r="H1875" s="415"/>
      <c r="I1875" s="473"/>
      <c r="J1875" s="415"/>
      <c r="K1875" s="415"/>
      <c r="L1875" s="415"/>
      <c r="M1875" s="415"/>
      <c r="N1875" s="414"/>
      <c r="O1875" s="428"/>
      <c r="P1875" s="222">
        <f t="shared" si="130"/>
        <v>0</v>
      </c>
      <c r="Q1875" s="222">
        <f t="shared" si="131"/>
        <v>0</v>
      </c>
      <c r="R1875" s="532" t="str">
        <f t="shared" si="132"/>
        <v/>
      </c>
      <c r="S1875" s="533"/>
      <c r="T1875" s="533"/>
      <c r="U1875" s="496"/>
      <c r="V1875" s="496"/>
      <c r="W1875" s="496"/>
    </row>
    <row r="1876" spans="1:23" x14ac:dyDescent="0.2">
      <c r="A1876" s="510" t="str">
        <f t="shared" si="129"/>
        <v/>
      </c>
      <c r="B1876" s="428"/>
      <c r="C1876" s="424"/>
      <c r="D1876" s="415"/>
      <c r="E1876" s="415"/>
      <c r="F1876" s="425"/>
      <c r="G1876" s="415"/>
      <c r="H1876" s="415"/>
      <c r="I1876" s="473"/>
      <c r="J1876" s="415"/>
      <c r="K1876" s="415"/>
      <c r="L1876" s="415"/>
      <c r="M1876" s="415"/>
      <c r="N1876" s="414"/>
      <c r="O1876" s="428"/>
      <c r="P1876" s="222">
        <f t="shared" si="130"/>
        <v>0</v>
      </c>
      <c r="Q1876" s="222">
        <f t="shared" si="131"/>
        <v>0</v>
      </c>
      <c r="R1876" s="532" t="str">
        <f t="shared" si="132"/>
        <v/>
      </c>
      <c r="S1876" s="533"/>
      <c r="T1876" s="533"/>
      <c r="U1876" s="496"/>
      <c r="V1876" s="496"/>
      <c r="W1876" s="496"/>
    </row>
    <row r="1877" spans="1:23" x14ac:dyDescent="0.2">
      <c r="A1877" s="510" t="str">
        <f t="shared" si="129"/>
        <v/>
      </c>
      <c r="B1877" s="428"/>
      <c r="C1877" s="424"/>
      <c r="D1877" s="415"/>
      <c r="E1877" s="415"/>
      <c r="F1877" s="425"/>
      <c r="G1877" s="415"/>
      <c r="H1877" s="415"/>
      <c r="I1877" s="473"/>
      <c r="J1877" s="415"/>
      <c r="K1877" s="415"/>
      <c r="L1877" s="415"/>
      <c r="M1877" s="415"/>
      <c r="N1877" s="414"/>
      <c r="O1877" s="428"/>
      <c r="P1877" s="222">
        <f t="shared" si="130"/>
        <v>0</v>
      </c>
      <c r="Q1877" s="222">
        <f t="shared" si="131"/>
        <v>0</v>
      </c>
      <c r="R1877" s="532" t="str">
        <f t="shared" si="132"/>
        <v/>
      </c>
      <c r="S1877" s="533"/>
      <c r="T1877" s="533"/>
      <c r="U1877" s="496"/>
      <c r="V1877" s="496"/>
      <c r="W1877" s="496"/>
    </row>
    <row r="1878" spans="1:23" x14ac:dyDescent="0.2">
      <c r="A1878" s="510" t="str">
        <f t="shared" si="129"/>
        <v/>
      </c>
      <c r="B1878" s="428"/>
      <c r="C1878" s="424"/>
      <c r="D1878" s="415"/>
      <c r="E1878" s="415"/>
      <c r="F1878" s="425"/>
      <c r="G1878" s="415"/>
      <c r="H1878" s="415"/>
      <c r="I1878" s="473"/>
      <c r="J1878" s="415"/>
      <c r="K1878" s="415"/>
      <c r="L1878" s="415"/>
      <c r="M1878" s="415"/>
      <c r="N1878" s="414"/>
      <c r="O1878" s="428"/>
      <c r="P1878" s="222">
        <f t="shared" si="130"/>
        <v>0</v>
      </c>
      <c r="Q1878" s="222">
        <f t="shared" si="131"/>
        <v>0</v>
      </c>
      <c r="R1878" s="532" t="str">
        <f t="shared" si="132"/>
        <v/>
      </c>
      <c r="S1878" s="533"/>
      <c r="T1878" s="533"/>
      <c r="U1878" s="496"/>
      <c r="V1878" s="496"/>
      <c r="W1878" s="496"/>
    </row>
    <row r="1879" spans="1:23" x14ac:dyDescent="0.2">
      <c r="A1879" s="510" t="str">
        <f t="shared" si="129"/>
        <v/>
      </c>
      <c r="B1879" s="428"/>
      <c r="C1879" s="424"/>
      <c r="D1879" s="415"/>
      <c r="E1879" s="415"/>
      <c r="F1879" s="425"/>
      <c r="G1879" s="415"/>
      <c r="H1879" s="415"/>
      <c r="I1879" s="473"/>
      <c r="J1879" s="415"/>
      <c r="K1879" s="415"/>
      <c r="L1879" s="415"/>
      <c r="M1879" s="415"/>
      <c r="N1879" s="414"/>
      <c r="O1879" s="428"/>
      <c r="P1879" s="222">
        <f t="shared" si="130"/>
        <v>0</v>
      </c>
      <c r="Q1879" s="222">
        <f t="shared" si="131"/>
        <v>0</v>
      </c>
      <c r="R1879" s="532" t="str">
        <f t="shared" si="132"/>
        <v/>
      </c>
      <c r="S1879" s="533"/>
      <c r="T1879" s="533"/>
      <c r="U1879" s="496"/>
      <c r="V1879" s="496"/>
      <c r="W1879" s="496"/>
    </row>
    <row r="1880" spans="1:23" x14ac:dyDescent="0.2">
      <c r="A1880" s="510" t="str">
        <f t="shared" si="129"/>
        <v/>
      </c>
      <c r="B1880" s="428"/>
      <c r="C1880" s="424"/>
      <c r="D1880" s="415"/>
      <c r="E1880" s="415"/>
      <c r="F1880" s="425"/>
      <c r="G1880" s="415"/>
      <c r="H1880" s="415"/>
      <c r="I1880" s="473"/>
      <c r="J1880" s="415"/>
      <c r="K1880" s="415"/>
      <c r="L1880" s="415"/>
      <c r="M1880" s="415"/>
      <c r="N1880" s="414"/>
      <c r="O1880" s="428"/>
      <c r="P1880" s="222">
        <f t="shared" si="130"/>
        <v>0</v>
      </c>
      <c r="Q1880" s="222">
        <f t="shared" si="131"/>
        <v>0</v>
      </c>
      <c r="R1880" s="532" t="str">
        <f t="shared" si="132"/>
        <v/>
      </c>
      <c r="S1880" s="533"/>
      <c r="T1880" s="533"/>
      <c r="U1880" s="496"/>
      <c r="V1880" s="496"/>
      <c r="W1880" s="496"/>
    </row>
    <row r="1881" spans="1:23" x14ac:dyDescent="0.2">
      <c r="A1881" s="510" t="str">
        <f t="shared" ref="A1881:A1944" si="133">IF(B1881="","",ROW()-ROW($A$3))</f>
        <v/>
      </c>
      <c r="B1881" s="428"/>
      <c r="C1881" s="424"/>
      <c r="D1881" s="415"/>
      <c r="E1881" s="415"/>
      <c r="F1881" s="425"/>
      <c r="G1881" s="415"/>
      <c r="H1881" s="415"/>
      <c r="I1881" s="473"/>
      <c r="J1881" s="415"/>
      <c r="K1881" s="415"/>
      <c r="L1881" s="415"/>
      <c r="M1881" s="415"/>
      <c r="N1881" s="414"/>
      <c r="O1881" s="428"/>
      <c r="P1881" s="222">
        <f t="shared" ref="P1881:P1944" si="134">IF(B1881=0,0,IF(YEAR(B1881)=$Q$1,MONTH(B1881)-$P$1+1,(YEAR(B1881)-$Q$1)*12-$P$1+1+MONTH(B1881)))</f>
        <v>0</v>
      </c>
      <c r="Q1881" s="222">
        <f t="shared" ref="Q1881:Q1944" si="135">IF(C1881=0,0,IF(YEAR(C1881)=$Q$1,MONTH(C1881)-$P$1+1,(YEAR(C1881)-$Q$1)*12-$P$1+1+MONTH(C1881)))</f>
        <v>0</v>
      </c>
      <c r="R1881" s="532" t="str">
        <f t="shared" ref="R1881:R1944" si="136">SUBSTITUTE(D1881," ","_")</f>
        <v/>
      </c>
      <c r="S1881" s="533"/>
      <c r="T1881" s="533"/>
      <c r="U1881" s="496"/>
      <c r="V1881" s="496"/>
      <c r="W1881" s="496"/>
    </row>
    <row r="1882" spans="1:23" x14ac:dyDescent="0.2">
      <c r="A1882" s="510" t="str">
        <f t="shared" si="133"/>
        <v/>
      </c>
      <c r="B1882" s="428"/>
      <c r="C1882" s="424"/>
      <c r="D1882" s="415"/>
      <c r="E1882" s="415"/>
      <c r="F1882" s="425"/>
      <c r="G1882" s="415"/>
      <c r="H1882" s="415"/>
      <c r="I1882" s="473"/>
      <c r="J1882" s="415"/>
      <c r="K1882" s="415"/>
      <c r="L1882" s="415"/>
      <c r="M1882" s="415"/>
      <c r="N1882" s="414"/>
      <c r="O1882" s="428"/>
      <c r="P1882" s="222">
        <f t="shared" si="134"/>
        <v>0</v>
      </c>
      <c r="Q1882" s="222">
        <f t="shared" si="135"/>
        <v>0</v>
      </c>
      <c r="R1882" s="532" t="str">
        <f t="shared" si="136"/>
        <v/>
      </c>
      <c r="S1882" s="533"/>
      <c r="T1882" s="533"/>
      <c r="U1882" s="496"/>
      <c r="V1882" s="496"/>
      <c r="W1882" s="496"/>
    </row>
    <row r="1883" spans="1:23" x14ac:dyDescent="0.2">
      <c r="A1883" s="510" t="str">
        <f t="shared" si="133"/>
        <v/>
      </c>
      <c r="B1883" s="428"/>
      <c r="C1883" s="424"/>
      <c r="D1883" s="415"/>
      <c r="E1883" s="415"/>
      <c r="F1883" s="425"/>
      <c r="G1883" s="415"/>
      <c r="H1883" s="415"/>
      <c r="I1883" s="473"/>
      <c r="J1883" s="415"/>
      <c r="K1883" s="415"/>
      <c r="L1883" s="415"/>
      <c r="M1883" s="415"/>
      <c r="N1883" s="414"/>
      <c r="O1883" s="428"/>
      <c r="P1883" s="222">
        <f t="shared" si="134"/>
        <v>0</v>
      </c>
      <c r="Q1883" s="222">
        <f t="shared" si="135"/>
        <v>0</v>
      </c>
      <c r="R1883" s="532" t="str">
        <f t="shared" si="136"/>
        <v/>
      </c>
      <c r="S1883" s="533"/>
      <c r="T1883" s="533"/>
      <c r="U1883" s="496"/>
      <c r="V1883" s="496"/>
      <c r="W1883" s="496"/>
    </row>
    <row r="1884" spans="1:23" s="307" customFormat="1" x14ac:dyDescent="0.2">
      <c r="A1884" s="510" t="str">
        <f t="shared" si="133"/>
        <v/>
      </c>
      <c r="B1884" s="428"/>
      <c r="C1884" s="424"/>
      <c r="D1884" s="415"/>
      <c r="E1884" s="415"/>
      <c r="F1884" s="425"/>
      <c r="G1884" s="415"/>
      <c r="H1884" s="415"/>
      <c r="I1884" s="473"/>
      <c r="J1884" s="415"/>
      <c r="K1884" s="415"/>
      <c r="L1884" s="415"/>
      <c r="M1884" s="415"/>
      <c r="N1884" s="414"/>
      <c r="O1884" s="428"/>
      <c r="P1884" s="222">
        <f t="shared" si="134"/>
        <v>0</v>
      </c>
      <c r="Q1884" s="222">
        <f t="shared" si="135"/>
        <v>0</v>
      </c>
      <c r="R1884" s="532" t="str">
        <f t="shared" si="136"/>
        <v/>
      </c>
      <c r="S1884" s="533"/>
      <c r="T1884" s="533"/>
      <c r="U1884" s="496"/>
      <c r="V1884" s="496"/>
      <c r="W1884" s="496"/>
    </row>
    <row r="1885" spans="1:23" x14ac:dyDescent="0.2">
      <c r="A1885" s="510" t="str">
        <f t="shared" si="133"/>
        <v/>
      </c>
      <c r="B1885" s="428"/>
      <c r="C1885" s="424"/>
      <c r="D1885" s="415"/>
      <c r="E1885" s="415"/>
      <c r="F1885" s="425"/>
      <c r="G1885" s="415"/>
      <c r="H1885" s="415"/>
      <c r="I1885" s="473"/>
      <c r="J1885" s="415"/>
      <c r="K1885" s="415"/>
      <c r="L1885" s="415"/>
      <c r="M1885" s="415"/>
      <c r="N1885" s="414"/>
      <c r="O1885" s="428"/>
      <c r="P1885" s="222">
        <f t="shared" si="134"/>
        <v>0</v>
      </c>
      <c r="Q1885" s="222">
        <f t="shared" si="135"/>
        <v>0</v>
      </c>
      <c r="R1885" s="532" t="str">
        <f t="shared" si="136"/>
        <v/>
      </c>
      <c r="S1885" s="533"/>
      <c r="T1885" s="533"/>
      <c r="U1885" s="496"/>
      <c r="V1885" s="496"/>
      <c r="W1885" s="496"/>
    </row>
    <row r="1886" spans="1:23" x14ac:dyDescent="0.2">
      <c r="A1886" s="510" t="str">
        <f t="shared" si="133"/>
        <v/>
      </c>
      <c r="B1886" s="428"/>
      <c r="C1886" s="424"/>
      <c r="D1886" s="415"/>
      <c r="E1886" s="415"/>
      <c r="F1886" s="425"/>
      <c r="G1886" s="415"/>
      <c r="H1886" s="415"/>
      <c r="I1886" s="473"/>
      <c r="J1886" s="415"/>
      <c r="K1886" s="415"/>
      <c r="L1886" s="415"/>
      <c r="M1886" s="415"/>
      <c r="N1886" s="414"/>
      <c r="O1886" s="428"/>
      <c r="P1886" s="222">
        <f t="shared" si="134"/>
        <v>0</v>
      </c>
      <c r="Q1886" s="222">
        <f t="shared" si="135"/>
        <v>0</v>
      </c>
      <c r="R1886" s="532" t="str">
        <f t="shared" si="136"/>
        <v/>
      </c>
      <c r="S1886" s="533"/>
      <c r="T1886" s="533"/>
      <c r="U1886" s="496"/>
      <c r="V1886" s="496"/>
      <c r="W1886" s="496"/>
    </row>
    <row r="1887" spans="1:23" x14ac:dyDescent="0.2">
      <c r="A1887" s="510" t="str">
        <f t="shared" si="133"/>
        <v/>
      </c>
      <c r="B1887" s="428"/>
      <c r="C1887" s="424"/>
      <c r="D1887" s="415"/>
      <c r="E1887" s="415"/>
      <c r="F1887" s="425"/>
      <c r="G1887" s="415"/>
      <c r="H1887" s="415"/>
      <c r="I1887" s="473"/>
      <c r="J1887" s="415"/>
      <c r="K1887" s="415"/>
      <c r="L1887" s="415"/>
      <c r="M1887" s="415"/>
      <c r="N1887" s="414"/>
      <c r="O1887" s="428"/>
      <c r="P1887" s="222">
        <f t="shared" si="134"/>
        <v>0</v>
      </c>
      <c r="Q1887" s="222">
        <f t="shared" si="135"/>
        <v>0</v>
      </c>
      <c r="R1887" s="532" t="str">
        <f t="shared" si="136"/>
        <v/>
      </c>
      <c r="S1887" s="533"/>
      <c r="T1887" s="533"/>
      <c r="U1887" s="496"/>
      <c r="V1887" s="496"/>
      <c r="W1887" s="496"/>
    </row>
    <row r="1888" spans="1:23" x14ac:dyDescent="0.2">
      <c r="A1888" s="510" t="str">
        <f t="shared" si="133"/>
        <v/>
      </c>
      <c r="B1888" s="428"/>
      <c r="C1888" s="424"/>
      <c r="D1888" s="415"/>
      <c r="E1888" s="415"/>
      <c r="F1888" s="425"/>
      <c r="G1888" s="415"/>
      <c r="H1888" s="415"/>
      <c r="I1888" s="473"/>
      <c r="J1888" s="415"/>
      <c r="K1888" s="415"/>
      <c r="L1888" s="415"/>
      <c r="M1888" s="415"/>
      <c r="N1888" s="414"/>
      <c r="O1888" s="428"/>
      <c r="P1888" s="222">
        <f t="shared" si="134"/>
        <v>0</v>
      </c>
      <c r="Q1888" s="222">
        <f t="shared" si="135"/>
        <v>0</v>
      </c>
      <c r="R1888" s="532" t="str">
        <f t="shared" si="136"/>
        <v/>
      </c>
      <c r="S1888" s="533"/>
      <c r="T1888" s="533"/>
      <c r="U1888" s="496"/>
      <c r="V1888" s="496"/>
      <c r="W1888" s="496"/>
    </row>
    <row r="1889" spans="1:23" x14ac:dyDescent="0.2">
      <c r="A1889" s="510" t="str">
        <f t="shared" si="133"/>
        <v/>
      </c>
      <c r="B1889" s="428"/>
      <c r="C1889" s="424"/>
      <c r="D1889" s="415"/>
      <c r="E1889" s="415"/>
      <c r="F1889" s="425"/>
      <c r="G1889" s="415"/>
      <c r="H1889" s="415"/>
      <c r="I1889" s="473"/>
      <c r="J1889" s="415"/>
      <c r="K1889" s="415"/>
      <c r="L1889" s="415"/>
      <c r="M1889" s="415"/>
      <c r="N1889" s="414"/>
      <c r="O1889" s="428"/>
      <c r="P1889" s="222">
        <f t="shared" si="134"/>
        <v>0</v>
      </c>
      <c r="Q1889" s="222">
        <f t="shared" si="135"/>
        <v>0</v>
      </c>
      <c r="R1889" s="532" t="str">
        <f t="shared" si="136"/>
        <v/>
      </c>
      <c r="S1889" s="533"/>
      <c r="T1889" s="533"/>
      <c r="U1889" s="496"/>
      <c r="V1889" s="496"/>
      <c r="W1889" s="496"/>
    </row>
    <row r="1890" spans="1:23" x14ac:dyDescent="0.2">
      <c r="A1890" s="510" t="str">
        <f t="shared" si="133"/>
        <v/>
      </c>
      <c r="B1890" s="428"/>
      <c r="C1890" s="424"/>
      <c r="D1890" s="415"/>
      <c r="E1890" s="415"/>
      <c r="F1890" s="425"/>
      <c r="G1890" s="415"/>
      <c r="H1890" s="415"/>
      <c r="I1890" s="473"/>
      <c r="J1890" s="415"/>
      <c r="K1890" s="415"/>
      <c r="L1890" s="415"/>
      <c r="M1890" s="415"/>
      <c r="N1890" s="414"/>
      <c r="O1890" s="428"/>
      <c r="P1890" s="222">
        <f t="shared" si="134"/>
        <v>0</v>
      </c>
      <c r="Q1890" s="222">
        <f t="shared" si="135"/>
        <v>0</v>
      </c>
      <c r="R1890" s="532" t="str">
        <f t="shared" si="136"/>
        <v/>
      </c>
      <c r="S1890" s="533"/>
      <c r="T1890" s="533"/>
      <c r="U1890" s="496"/>
      <c r="V1890" s="496"/>
      <c r="W1890" s="496"/>
    </row>
    <row r="1891" spans="1:23" x14ac:dyDescent="0.2">
      <c r="A1891" s="510" t="str">
        <f t="shared" si="133"/>
        <v/>
      </c>
      <c r="B1891" s="428"/>
      <c r="C1891" s="424"/>
      <c r="D1891" s="415"/>
      <c r="E1891" s="415"/>
      <c r="F1891" s="425"/>
      <c r="G1891" s="415"/>
      <c r="H1891" s="415"/>
      <c r="I1891" s="473"/>
      <c r="J1891" s="415"/>
      <c r="K1891" s="415"/>
      <c r="L1891" s="415"/>
      <c r="M1891" s="415"/>
      <c r="N1891" s="414"/>
      <c r="O1891" s="428"/>
      <c r="P1891" s="222">
        <f t="shared" si="134"/>
        <v>0</v>
      </c>
      <c r="Q1891" s="222">
        <f t="shared" si="135"/>
        <v>0</v>
      </c>
      <c r="R1891" s="532" t="str">
        <f t="shared" si="136"/>
        <v/>
      </c>
      <c r="S1891" s="533"/>
      <c r="T1891" s="533"/>
      <c r="U1891" s="496"/>
      <c r="V1891" s="496"/>
      <c r="W1891" s="496"/>
    </row>
    <row r="1892" spans="1:23" x14ac:dyDescent="0.2">
      <c r="A1892" s="510" t="str">
        <f t="shared" si="133"/>
        <v/>
      </c>
      <c r="B1892" s="428"/>
      <c r="C1892" s="424"/>
      <c r="D1892" s="415"/>
      <c r="E1892" s="415"/>
      <c r="F1892" s="425"/>
      <c r="G1892" s="415"/>
      <c r="H1892" s="415"/>
      <c r="I1892" s="473"/>
      <c r="J1892" s="415"/>
      <c r="K1892" s="415"/>
      <c r="L1892" s="415"/>
      <c r="M1892" s="415"/>
      <c r="N1892" s="414"/>
      <c r="O1892" s="428"/>
      <c r="P1892" s="222">
        <f t="shared" si="134"/>
        <v>0</v>
      </c>
      <c r="Q1892" s="222">
        <f t="shared" si="135"/>
        <v>0</v>
      </c>
      <c r="R1892" s="532" t="str">
        <f t="shared" si="136"/>
        <v/>
      </c>
      <c r="S1892" s="533"/>
      <c r="T1892" s="533"/>
      <c r="U1892" s="496"/>
      <c r="V1892" s="496"/>
      <c r="W1892" s="496"/>
    </row>
    <row r="1893" spans="1:23" x14ac:dyDescent="0.2">
      <c r="A1893" s="510" t="str">
        <f t="shared" si="133"/>
        <v/>
      </c>
      <c r="B1893" s="428"/>
      <c r="C1893" s="424"/>
      <c r="D1893" s="415"/>
      <c r="E1893" s="415"/>
      <c r="F1893" s="425"/>
      <c r="G1893" s="415"/>
      <c r="H1893" s="415"/>
      <c r="I1893" s="473"/>
      <c r="J1893" s="415"/>
      <c r="K1893" s="415"/>
      <c r="L1893" s="415"/>
      <c r="M1893" s="415"/>
      <c r="N1893" s="414"/>
      <c r="O1893" s="428"/>
      <c r="P1893" s="222">
        <f t="shared" si="134"/>
        <v>0</v>
      </c>
      <c r="Q1893" s="222">
        <f t="shared" si="135"/>
        <v>0</v>
      </c>
      <c r="R1893" s="532" t="str">
        <f t="shared" si="136"/>
        <v/>
      </c>
      <c r="S1893" s="533"/>
      <c r="T1893" s="533"/>
      <c r="U1893" s="496"/>
      <c r="V1893" s="496"/>
      <c r="W1893" s="496"/>
    </row>
    <row r="1894" spans="1:23" x14ac:dyDescent="0.2">
      <c r="A1894" s="510" t="str">
        <f t="shared" si="133"/>
        <v/>
      </c>
      <c r="B1894" s="428"/>
      <c r="C1894" s="424"/>
      <c r="D1894" s="415"/>
      <c r="E1894" s="415"/>
      <c r="F1894" s="425"/>
      <c r="G1894" s="415"/>
      <c r="H1894" s="415"/>
      <c r="I1894" s="473"/>
      <c r="J1894" s="415"/>
      <c r="K1894" s="415"/>
      <c r="L1894" s="415"/>
      <c r="M1894" s="415"/>
      <c r="N1894" s="414"/>
      <c r="O1894" s="428"/>
      <c r="P1894" s="222">
        <f t="shared" si="134"/>
        <v>0</v>
      </c>
      <c r="Q1894" s="222">
        <f t="shared" si="135"/>
        <v>0</v>
      </c>
      <c r="R1894" s="532" t="str">
        <f t="shared" si="136"/>
        <v/>
      </c>
      <c r="S1894" s="533"/>
      <c r="T1894" s="533"/>
      <c r="U1894" s="496"/>
      <c r="V1894" s="496"/>
      <c r="W1894" s="496"/>
    </row>
    <row r="1895" spans="1:23" x14ac:dyDescent="0.2">
      <c r="A1895" s="510" t="str">
        <f t="shared" si="133"/>
        <v/>
      </c>
      <c r="B1895" s="428"/>
      <c r="C1895" s="424"/>
      <c r="D1895" s="415"/>
      <c r="E1895" s="415"/>
      <c r="F1895" s="425"/>
      <c r="G1895" s="415"/>
      <c r="H1895" s="415"/>
      <c r="I1895" s="473"/>
      <c r="J1895" s="415"/>
      <c r="K1895" s="415"/>
      <c r="L1895" s="415"/>
      <c r="M1895" s="415"/>
      <c r="N1895" s="414"/>
      <c r="O1895" s="428"/>
      <c r="P1895" s="222">
        <f t="shared" si="134"/>
        <v>0</v>
      </c>
      <c r="Q1895" s="222">
        <f t="shared" si="135"/>
        <v>0</v>
      </c>
      <c r="R1895" s="532" t="str">
        <f t="shared" si="136"/>
        <v/>
      </c>
      <c r="S1895" s="533"/>
      <c r="T1895" s="533"/>
      <c r="U1895" s="496"/>
      <c r="V1895" s="496"/>
      <c r="W1895" s="496"/>
    </row>
    <row r="1896" spans="1:23" x14ac:dyDescent="0.2">
      <c r="A1896" s="510" t="str">
        <f t="shared" si="133"/>
        <v/>
      </c>
      <c r="B1896" s="428"/>
      <c r="C1896" s="424"/>
      <c r="D1896" s="415"/>
      <c r="E1896" s="415"/>
      <c r="F1896" s="425"/>
      <c r="G1896" s="415"/>
      <c r="H1896" s="415"/>
      <c r="I1896" s="473"/>
      <c r="J1896" s="415"/>
      <c r="K1896" s="415"/>
      <c r="L1896" s="415"/>
      <c r="M1896" s="415"/>
      <c r="N1896" s="414"/>
      <c r="O1896" s="428"/>
      <c r="P1896" s="222">
        <f t="shared" si="134"/>
        <v>0</v>
      </c>
      <c r="Q1896" s="222">
        <f t="shared" si="135"/>
        <v>0</v>
      </c>
      <c r="R1896" s="532" t="str">
        <f t="shared" si="136"/>
        <v/>
      </c>
      <c r="S1896" s="533"/>
      <c r="T1896" s="533"/>
      <c r="U1896" s="496"/>
      <c r="V1896" s="496"/>
      <c r="W1896" s="496"/>
    </row>
    <row r="1897" spans="1:23" x14ac:dyDescent="0.2">
      <c r="A1897" s="510" t="str">
        <f t="shared" si="133"/>
        <v/>
      </c>
      <c r="B1897" s="428"/>
      <c r="C1897" s="424"/>
      <c r="D1897" s="415"/>
      <c r="E1897" s="415"/>
      <c r="F1897" s="425"/>
      <c r="G1897" s="415"/>
      <c r="H1897" s="415"/>
      <c r="I1897" s="473"/>
      <c r="J1897" s="415"/>
      <c r="K1897" s="415"/>
      <c r="L1897" s="415"/>
      <c r="M1897" s="415"/>
      <c r="N1897" s="414"/>
      <c r="O1897" s="428"/>
      <c r="P1897" s="222">
        <f t="shared" si="134"/>
        <v>0</v>
      </c>
      <c r="Q1897" s="222">
        <f t="shared" si="135"/>
        <v>0</v>
      </c>
      <c r="R1897" s="532" t="str">
        <f t="shared" si="136"/>
        <v/>
      </c>
      <c r="S1897" s="533"/>
      <c r="T1897" s="533"/>
      <c r="U1897" s="496"/>
      <c r="V1897" s="496"/>
      <c r="W1897" s="496"/>
    </row>
    <row r="1898" spans="1:23" x14ac:dyDescent="0.2">
      <c r="A1898" s="510" t="str">
        <f t="shared" si="133"/>
        <v/>
      </c>
      <c r="B1898" s="428"/>
      <c r="C1898" s="424"/>
      <c r="D1898" s="415"/>
      <c r="E1898" s="415"/>
      <c r="F1898" s="425"/>
      <c r="G1898" s="415"/>
      <c r="H1898" s="415"/>
      <c r="I1898" s="473"/>
      <c r="J1898" s="415"/>
      <c r="K1898" s="415"/>
      <c r="L1898" s="415"/>
      <c r="M1898" s="415"/>
      <c r="N1898" s="414"/>
      <c r="O1898" s="428"/>
      <c r="P1898" s="222">
        <f t="shared" si="134"/>
        <v>0</v>
      </c>
      <c r="Q1898" s="222">
        <f t="shared" si="135"/>
        <v>0</v>
      </c>
      <c r="R1898" s="532" t="str">
        <f t="shared" si="136"/>
        <v/>
      </c>
      <c r="S1898" s="533"/>
      <c r="T1898" s="533"/>
      <c r="U1898" s="496"/>
      <c r="V1898" s="496"/>
      <c r="W1898" s="496"/>
    </row>
    <row r="1899" spans="1:23" x14ac:dyDescent="0.2">
      <c r="A1899" s="510" t="str">
        <f t="shared" si="133"/>
        <v/>
      </c>
      <c r="B1899" s="428"/>
      <c r="C1899" s="424"/>
      <c r="D1899" s="415"/>
      <c r="E1899" s="415"/>
      <c r="F1899" s="425"/>
      <c r="G1899" s="415"/>
      <c r="H1899" s="415"/>
      <c r="I1899" s="473"/>
      <c r="J1899" s="415"/>
      <c r="K1899" s="415"/>
      <c r="L1899" s="415"/>
      <c r="M1899" s="415"/>
      <c r="N1899" s="414"/>
      <c r="O1899" s="428"/>
      <c r="P1899" s="222">
        <f t="shared" si="134"/>
        <v>0</v>
      </c>
      <c r="Q1899" s="222">
        <f t="shared" si="135"/>
        <v>0</v>
      </c>
      <c r="R1899" s="532" t="str">
        <f t="shared" si="136"/>
        <v/>
      </c>
      <c r="S1899" s="533"/>
      <c r="T1899" s="533"/>
      <c r="U1899" s="496"/>
      <c r="V1899" s="496"/>
      <c r="W1899" s="496"/>
    </row>
    <row r="1900" spans="1:23" x14ac:dyDescent="0.2">
      <c r="A1900" s="510" t="str">
        <f t="shared" si="133"/>
        <v/>
      </c>
      <c r="B1900" s="428"/>
      <c r="C1900" s="424"/>
      <c r="D1900" s="415"/>
      <c r="E1900" s="415"/>
      <c r="F1900" s="425"/>
      <c r="G1900" s="415"/>
      <c r="H1900" s="415"/>
      <c r="I1900" s="473"/>
      <c r="J1900" s="415"/>
      <c r="K1900" s="415"/>
      <c r="L1900" s="415"/>
      <c r="M1900" s="415"/>
      <c r="N1900" s="414"/>
      <c r="O1900" s="428"/>
      <c r="P1900" s="222">
        <f t="shared" si="134"/>
        <v>0</v>
      </c>
      <c r="Q1900" s="222">
        <f t="shared" si="135"/>
        <v>0</v>
      </c>
      <c r="R1900" s="532" t="str">
        <f t="shared" si="136"/>
        <v/>
      </c>
      <c r="S1900" s="533"/>
      <c r="T1900" s="533"/>
      <c r="U1900" s="496"/>
      <c r="V1900" s="496"/>
      <c r="W1900" s="496"/>
    </row>
    <row r="1901" spans="1:23" x14ac:dyDescent="0.2">
      <c r="A1901" s="510" t="str">
        <f t="shared" si="133"/>
        <v/>
      </c>
      <c r="B1901" s="428"/>
      <c r="C1901" s="424"/>
      <c r="D1901" s="415"/>
      <c r="E1901" s="415"/>
      <c r="F1901" s="425"/>
      <c r="G1901" s="415"/>
      <c r="H1901" s="415"/>
      <c r="I1901" s="473"/>
      <c r="J1901" s="415"/>
      <c r="K1901" s="415"/>
      <c r="L1901" s="415"/>
      <c r="M1901" s="415"/>
      <c r="N1901" s="414"/>
      <c r="O1901" s="428"/>
      <c r="P1901" s="222">
        <f t="shared" si="134"/>
        <v>0</v>
      </c>
      <c r="Q1901" s="222">
        <f t="shared" si="135"/>
        <v>0</v>
      </c>
      <c r="R1901" s="532" t="str">
        <f t="shared" si="136"/>
        <v/>
      </c>
      <c r="S1901" s="533"/>
      <c r="T1901" s="533"/>
      <c r="U1901" s="496"/>
      <c r="V1901" s="496"/>
      <c r="W1901" s="496"/>
    </row>
    <row r="1902" spans="1:23" x14ac:dyDescent="0.2">
      <c r="A1902" s="510" t="str">
        <f t="shared" si="133"/>
        <v/>
      </c>
      <c r="B1902" s="428"/>
      <c r="C1902" s="424"/>
      <c r="D1902" s="415"/>
      <c r="E1902" s="415"/>
      <c r="F1902" s="425"/>
      <c r="G1902" s="415"/>
      <c r="H1902" s="415"/>
      <c r="I1902" s="473"/>
      <c r="J1902" s="415"/>
      <c r="K1902" s="415"/>
      <c r="L1902" s="415"/>
      <c r="M1902" s="415"/>
      <c r="N1902" s="414"/>
      <c r="O1902" s="428"/>
      <c r="P1902" s="222">
        <f t="shared" si="134"/>
        <v>0</v>
      </c>
      <c r="Q1902" s="222">
        <f t="shared" si="135"/>
        <v>0</v>
      </c>
      <c r="R1902" s="532" t="str">
        <f t="shared" si="136"/>
        <v/>
      </c>
      <c r="S1902" s="533"/>
      <c r="T1902" s="533"/>
      <c r="U1902" s="496"/>
      <c r="V1902" s="496"/>
      <c r="W1902" s="496"/>
    </row>
    <row r="1903" spans="1:23" x14ac:dyDescent="0.2">
      <c r="A1903" s="510" t="str">
        <f t="shared" si="133"/>
        <v/>
      </c>
      <c r="B1903" s="428"/>
      <c r="C1903" s="424"/>
      <c r="D1903" s="415"/>
      <c r="E1903" s="415"/>
      <c r="F1903" s="425"/>
      <c r="G1903" s="415"/>
      <c r="H1903" s="415"/>
      <c r="I1903" s="473"/>
      <c r="J1903" s="415"/>
      <c r="K1903" s="415"/>
      <c r="L1903" s="415"/>
      <c r="M1903" s="415"/>
      <c r="N1903" s="414"/>
      <c r="O1903" s="428"/>
      <c r="P1903" s="222">
        <f t="shared" si="134"/>
        <v>0</v>
      </c>
      <c r="Q1903" s="222">
        <f t="shared" si="135"/>
        <v>0</v>
      </c>
      <c r="R1903" s="532" t="str">
        <f t="shared" si="136"/>
        <v/>
      </c>
      <c r="S1903" s="533"/>
      <c r="T1903" s="533"/>
      <c r="U1903" s="496"/>
      <c r="V1903" s="496"/>
      <c r="W1903" s="496"/>
    </row>
    <row r="1904" spans="1:23" x14ac:dyDescent="0.2">
      <c r="A1904" s="510" t="str">
        <f t="shared" si="133"/>
        <v/>
      </c>
      <c r="B1904" s="428"/>
      <c r="C1904" s="424"/>
      <c r="D1904" s="415"/>
      <c r="E1904" s="415"/>
      <c r="F1904" s="425"/>
      <c r="G1904" s="415"/>
      <c r="H1904" s="415"/>
      <c r="I1904" s="473"/>
      <c r="J1904" s="415"/>
      <c r="K1904" s="415"/>
      <c r="L1904" s="415"/>
      <c r="M1904" s="415"/>
      <c r="N1904" s="414"/>
      <c r="O1904" s="428"/>
      <c r="P1904" s="222">
        <f t="shared" si="134"/>
        <v>0</v>
      </c>
      <c r="Q1904" s="222">
        <f t="shared" si="135"/>
        <v>0</v>
      </c>
      <c r="R1904" s="532" t="str">
        <f t="shared" si="136"/>
        <v/>
      </c>
      <c r="S1904" s="533"/>
      <c r="T1904" s="533"/>
      <c r="U1904" s="496"/>
      <c r="V1904" s="496"/>
      <c r="W1904" s="496"/>
    </row>
    <row r="1905" spans="1:23" x14ac:dyDescent="0.2">
      <c r="A1905" s="510" t="str">
        <f t="shared" si="133"/>
        <v/>
      </c>
      <c r="B1905" s="428"/>
      <c r="C1905" s="424"/>
      <c r="D1905" s="415"/>
      <c r="E1905" s="415"/>
      <c r="F1905" s="425"/>
      <c r="G1905" s="415"/>
      <c r="H1905" s="415"/>
      <c r="I1905" s="473"/>
      <c r="J1905" s="415"/>
      <c r="K1905" s="415"/>
      <c r="L1905" s="415"/>
      <c r="M1905" s="415"/>
      <c r="N1905" s="414"/>
      <c r="O1905" s="428"/>
      <c r="P1905" s="222">
        <f t="shared" si="134"/>
        <v>0</v>
      </c>
      <c r="Q1905" s="222">
        <f t="shared" si="135"/>
        <v>0</v>
      </c>
      <c r="R1905" s="532" t="str">
        <f t="shared" si="136"/>
        <v/>
      </c>
      <c r="S1905" s="533"/>
      <c r="T1905" s="533"/>
      <c r="U1905" s="496"/>
      <c r="V1905" s="496"/>
      <c r="W1905" s="496"/>
    </row>
    <row r="1906" spans="1:23" x14ac:dyDescent="0.2">
      <c r="A1906" s="510" t="str">
        <f t="shared" si="133"/>
        <v/>
      </c>
      <c r="B1906" s="428"/>
      <c r="C1906" s="424"/>
      <c r="D1906" s="415"/>
      <c r="E1906" s="415"/>
      <c r="F1906" s="425"/>
      <c r="G1906" s="415"/>
      <c r="H1906" s="415"/>
      <c r="I1906" s="473"/>
      <c r="J1906" s="415"/>
      <c r="K1906" s="415"/>
      <c r="L1906" s="415"/>
      <c r="M1906" s="415"/>
      <c r="N1906" s="414"/>
      <c r="O1906" s="428"/>
      <c r="P1906" s="222">
        <f t="shared" si="134"/>
        <v>0</v>
      </c>
      <c r="Q1906" s="222">
        <f t="shared" si="135"/>
        <v>0</v>
      </c>
      <c r="R1906" s="532" t="str">
        <f t="shared" si="136"/>
        <v/>
      </c>
      <c r="S1906" s="533"/>
      <c r="T1906" s="533"/>
      <c r="U1906" s="496"/>
      <c r="V1906" s="496"/>
      <c r="W1906" s="496"/>
    </row>
    <row r="1907" spans="1:23" x14ac:dyDescent="0.2">
      <c r="A1907" s="510" t="str">
        <f t="shared" si="133"/>
        <v/>
      </c>
      <c r="B1907" s="428"/>
      <c r="C1907" s="424"/>
      <c r="D1907" s="415"/>
      <c r="E1907" s="415"/>
      <c r="F1907" s="425"/>
      <c r="G1907" s="415"/>
      <c r="H1907" s="415"/>
      <c r="I1907" s="473"/>
      <c r="J1907" s="415"/>
      <c r="K1907" s="415"/>
      <c r="L1907" s="415"/>
      <c r="M1907" s="415"/>
      <c r="N1907" s="414"/>
      <c r="O1907" s="428"/>
      <c r="P1907" s="222">
        <f t="shared" si="134"/>
        <v>0</v>
      </c>
      <c r="Q1907" s="222">
        <f t="shared" si="135"/>
        <v>0</v>
      </c>
      <c r="R1907" s="532" t="str">
        <f t="shared" si="136"/>
        <v/>
      </c>
      <c r="S1907" s="533"/>
      <c r="T1907" s="533"/>
      <c r="U1907" s="496"/>
      <c r="V1907" s="496"/>
      <c r="W1907" s="496"/>
    </row>
    <row r="1908" spans="1:23" x14ac:dyDescent="0.2">
      <c r="A1908" s="510" t="str">
        <f t="shared" si="133"/>
        <v/>
      </c>
      <c r="B1908" s="428"/>
      <c r="C1908" s="424"/>
      <c r="D1908" s="415"/>
      <c r="E1908" s="415"/>
      <c r="F1908" s="425"/>
      <c r="G1908" s="415"/>
      <c r="H1908" s="415"/>
      <c r="I1908" s="473"/>
      <c r="J1908" s="415"/>
      <c r="K1908" s="415"/>
      <c r="L1908" s="415"/>
      <c r="M1908" s="415"/>
      <c r="N1908" s="414"/>
      <c r="O1908" s="428"/>
      <c r="P1908" s="222">
        <f t="shared" si="134"/>
        <v>0</v>
      </c>
      <c r="Q1908" s="222">
        <f t="shared" si="135"/>
        <v>0</v>
      </c>
      <c r="R1908" s="532" t="str">
        <f t="shared" si="136"/>
        <v/>
      </c>
      <c r="S1908" s="533"/>
      <c r="T1908" s="533"/>
      <c r="U1908" s="496"/>
      <c r="V1908" s="496"/>
      <c r="W1908" s="496"/>
    </row>
    <row r="1909" spans="1:23" x14ac:dyDescent="0.2">
      <c r="A1909" s="510" t="str">
        <f t="shared" si="133"/>
        <v/>
      </c>
      <c r="B1909" s="428"/>
      <c r="C1909" s="424"/>
      <c r="D1909" s="415"/>
      <c r="E1909" s="415"/>
      <c r="F1909" s="425"/>
      <c r="G1909" s="415"/>
      <c r="H1909" s="415"/>
      <c r="I1909" s="473"/>
      <c r="J1909" s="415"/>
      <c r="K1909" s="415"/>
      <c r="L1909" s="415"/>
      <c r="M1909" s="415"/>
      <c r="N1909" s="414"/>
      <c r="O1909" s="428"/>
      <c r="P1909" s="222">
        <f t="shared" si="134"/>
        <v>0</v>
      </c>
      <c r="Q1909" s="222">
        <f t="shared" si="135"/>
        <v>0</v>
      </c>
      <c r="R1909" s="532" t="str">
        <f t="shared" si="136"/>
        <v/>
      </c>
      <c r="S1909" s="533"/>
      <c r="T1909" s="533"/>
      <c r="U1909" s="496"/>
      <c r="V1909" s="496"/>
      <c r="W1909" s="496"/>
    </row>
    <row r="1910" spans="1:23" x14ac:dyDescent="0.2">
      <c r="A1910" s="510" t="str">
        <f t="shared" si="133"/>
        <v/>
      </c>
      <c r="B1910" s="428"/>
      <c r="C1910" s="424"/>
      <c r="D1910" s="415"/>
      <c r="E1910" s="415"/>
      <c r="F1910" s="425"/>
      <c r="G1910" s="415"/>
      <c r="H1910" s="415"/>
      <c r="I1910" s="473"/>
      <c r="J1910" s="415"/>
      <c r="K1910" s="415"/>
      <c r="L1910" s="415"/>
      <c r="M1910" s="415"/>
      <c r="N1910" s="414"/>
      <c r="O1910" s="428"/>
      <c r="P1910" s="222">
        <f t="shared" si="134"/>
        <v>0</v>
      </c>
      <c r="Q1910" s="222">
        <f t="shared" si="135"/>
        <v>0</v>
      </c>
      <c r="R1910" s="532" t="str">
        <f t="shared" si="136"/>
        <v/>
      </c>
      <c r="S1910" s="533"/>
      <c r="T1910" s="533"/>
      <c r="U1910" s="496"/>
      <c r="V1910" s="496"/>
      <c r="W1910" s="496"/>
    </row>
    <row r="1911" spans="1:23" x14ac:dyDescent="0.2">
      <c r="A1911" s="510" t="str">
        <f t="shared" si="133"/>
        <v/>
      </c>
      <c r="B1911" s="428"/>
      <c r="C1911" s="424"/>
      <c r="D1911" s="415"/>
      <c r="E1911" s="415"/>
      <c r="F1911" s="425"/>
      <c r="G1911" s="415"/>
      <c r="H1911" s="415"/>
      <c r="I1911" s="473"/>
      <c r="J1911" s="415"/>
      <c r="K1911" s="415"/>
      <c r="L1911" s="415"/>
      <c r="M1911" s="415"/>
      <c r="N1911" s="414"/>
      <c r="O1911" s="428"/>
      <c r="P1911" s="222">
        <f t="shared" si="134"/>
        <v>0</v>
      </c>
      <c r="Q1911" s="222">
        <f t="shared" si="135"/>
        <v>0</v>
      </c>
      <c r="R1911" s="532" t="str">
        <f t="shared" si="136"/>
        <v/>
      </c>
      <c r="S1911" s="533"/>
      <c r="T1911" s="533"/>
      <c r="U1911" s="496"/>
      <c r="V1911" s="496"/>
      <c r="W1911" s="496"/>
    </row>
    <row r="1912" spans="1:23" x14ac:dyDescent="0.2">
      <c r="A1912" s="510" t="str">
        <f t="shared" si="133"/>
        <v/>
      </c>
      <c r="B1912" s="428"/>
      <c r="C1912" s="424"/>
      <c r="D1912" s="415"/>
      <c r="E1912" s="415"/>
      <c r="F1912" s="425"/>
      <c r="G1912" s="415"/>
      <c r="H1912" s="415"/>
      <c r="I1912" s="473"/>
      <c r="J1912" s="415"/>
      <c r="K1912" s="415"/>
      <c r="L1912" s="415"/>
      <c r="M1912" s="415"/>
      <c r="N1912" s="414"/>
      <c r="O1912" s="428"/>
      <c r="P1912" s="222">
        <f t="shared" si="134"/>
        <v>0</v>
      </c>
      <c r="Q1912" s="222">
        <f t="shared" si="135"/>
        <v>0</v>
      </c>
      <c r="R1912" s="532" t="str">
        <f t="shared" si="136"/>
        <v/>
      </c>
      <c r="S1912" s="533"/>
      <c r="T1912" s="533"/>
      <c r="U1912" s="496"/>
      <c r="V1912" s="496"/>
      <c r="W1912" s="496"/>
    </row>
    <row r="1913" spans="1:23" x14ac:dyDescent="0.2">
      <c r="A1913" s="510" t="str">
        <f t="shared" si="133"/>
        <v/>
      </c>
      <c r="B1913" s="428"/>
      <c r="C1913" s="424"/>
      <c r="D1913" s="415"/>
      <c r="E1913" s="415"/>
      <c r="F1913" s="425"/>
      <c r="G1913" s="415"/>
      <c r="H1913" s="415"/>
      <c r="I1913" s="473"/>
      <c r="J1913" s="415"/>
      <c r="K1913" s="415"/>
      <c r="L1913" s="415"/>
      <c r="M1913" s="415"/>
      <c r="N1913" s="414"/>
      <c r="O1913" s="428"/>
      <c r="P1913" s="222">
        <f t="shared" si="134"/>
        <v>0</v>
      </c>
      <c r="Q1913" s="222">
        <f t="shared" si="135"/>
        <v>0</v>
      </c>
      <c r="R1913" s="532" t="str">
        <f t="shared" si="136"/>
        <v/>
      </c>
      <c r="S1913" s="533"/>
      <c r="T1913" s="533"/>
      <c r="U1913" s="496"/>
      <c r="V1913" s="496"/>
      <c r="W1913" s="496"/>
    </row>
    <row r="1914" spans="1:23" x14ac:dyDescent="0.2">
      <c r="A1914" s="510" t="str">
        <f t="shared" si="133"/>
        <v/>
      </c>
      <c r="B1914" s="428"/>
      <c r="C1914" s="424"/>
      <c r="D1914" s="415"/>
      <c r="E1914" s="415"/>
      <c r="F1914" s="425"/>
      <c r="G1914" s="415"/>
      <c r="H1914" s="415"/>
      <c r="I1914" s="473"/>
      <c r="J1914" s="415"/>
      <c r="K1914" s="415"/>
      <c r="L1914" s="415"/>
      <c r="M1914" s="415"/>
      <c r="N1914" s="414"/>
      <c r="O1914" s="428"/>
      <c r="P1914" s="222">
        <f t="shared" si="134"/>
        <v>0</v>
      </c>
      <c r="Q1914" s="222">
        <f t="shared" si="135"/>
        <v>0</v>
      </c>
      <c r="R1914" s="532" t="str">
        <f t="shared" si="136"/>
        <v/>
      </c>
      <c r="S1914" s="533"/>
      <c r="T1914" s="533"/>
      <c r="U1914" s="496"/>
      <c r="V1914" s="496"/>
      <c r="W1914" s="496"/>
    </row>
    <row r="1915" spans="1:23" x14ac:dyDescent="0.2">
      <c r="A1915" s="510" t="str">
        <f t="shared" si="133"/>
        <v/>
      </c>
      <c r="B1915" s="428"/>
      <c r="C1915" s="424"/>
      <c r="D1915" s="415"/>
      <c r="E1915" s="415"/>
      <c r="F1915" s="425"/>
      <c r="G1915" s="415"/>
      <c r="H1915" s="415"/>
      <c r="I1915" s="473"/>
      <c r="J1915" s="415"/>
      <c r="K1915" s="415"/>
      <c r="L1915" s="415"/>
      <c r="M1915" s="415"/>
      <c r="N1915" s="414"/>
      <c r="O1915" s="428"/>
      <c r="P1915" s="222">
        <f t="shared" si="134"/>
        <v>0</v>
      </c>
      <c r="Q1915" s="222">
        <f t="shared" si="135"/>
        <v>0</v>
      </c>
      <c r="R1915" s="532" t="str">
        <f t="shared" si="136"/>
        <v/>
      </c>
      <c r="S1915" s="533"/>
      <c r="T1915" s="533"/>
      <c r="U1915" s="496"/>
      <c r="V1915" s="496"/>
      <c r="W1915" s="496"/>
    </row>
    <row r="1916" spans="1:23" x14ac:dyDescent="0.2">
      <c r="A1916" s="510" t="str">
        <f t="shared" si="133"/>
        <v/>
      </c>
      <c r="B1916" s="428"/>
      <c r="C1916" s="424"/>
      <c r="D1916" s="415"/>
      <c r="E1916" s="415"/>
      <c r="F1916" s="425"/>
      <c r="G1916" s="415"/>
      <c r="H1916" s="415"/>
      <c r="I1916" s="473"/>
      <c r="J1916" s="415"/>
      <c r="K1916" s="415"/>
      <c r="L1916" s="415"/>
      <c r="M1916" s="415"/>
      <c r="N1916" s="414"/>
      <c r="O1916" s="428"/>
      <c r="P1916" s="222">
        <f t="shared" si="134"/>
        <v>0</v>
      </c>
      <c r="Q1916" s="222">
        <f t="shared" si="135"/>
        <v>0</v>
      </c>
      <c r="R1916" s="532" t="str">
        <f t="shared" si="136"/>
        <v/>
      </c>
      <c r="S1916" s="533"/>
      <c r="T1916" s="533"/>
      <c r="U1916" s="496"/>
      <c r="V1916" s="496"/>
      <c r="W1916" s="496"/>
    </row>
    <row r="1917" spans="1:23" s="307" customFormat="1" x14ac:dyDescent="0.2">
      <c r="A1917" s="510" t="str">
        <f t="shared" si="133"/>
        <v/>
      </c>
      <c r="B1917" s="465"/>
      <c r="C1917" s="466"/>
      <c r="D1917" s="415"/>
      <c r="E1917" s="415"/>
      <c r="F1917" s="435"/>
      <c r="G1917" s="415"/>
      <c r="H1917" s="434"/>
      <c r="I1917" s="473"/>
      <c r="J1917" s="415"/>
      <c r="K1917" s="434"/>
      <c r="L1917" s="434"/>
      <c r="M1917" s="434"/>
      <c r="N1917" s="455"/>
      <c r="O1917" s="428"/>
      <c r="P1917" s="222">
        <f t="shared" si="134"/>
        <v>0</v>
      </c>
      <c r="Q1917" s="222">
        <f t="shared" si="135"/>
        <v>0</v>
      </c>
      <c r="R1917" s="532" t="str">
        <f t="shared" si="136"/>
        <v/>
      </c>
      <c r="S1917" s="533"/>
      <c r="T1917" s="533"/>
      <c r="U1917" s="496"/>
      <c r="V1917" s="496"/>
      <c r="W1917" s="496"/>
    </row>
    <row r="1918" spans="1:23" x14ac:dyDescent="0.2">
      <c r="A1918" s="510" t="str">
        <f t="shared" si="133"/>
        <v/>
      </c>
      <c r="B1918" s="428"/>
      <c r="C1918" s="424"/>
      <c r="D1918" s="415"/>
      <c r="E1918" s="415"/>
      <c r="F1918" s="425"/>
      <c r="G1918" s="415"/>
      <c r="H1918" s="415"/>
      <c r="I1918" s="473"/>
      <c r="J1918" s="415"/>
      <c r="K1918" s="415"/>
      <c r="L1918" s="415"/>
      <c r="M1918" s="415"/>
      <c r="N1918" s="414"/>
      <c r="O1918" s="428"/>
      <c r="P1918" s="222">
        <f t="shared" si="134"/>
        <v>0</v>
      </c>
      <c r="Q1918" s="222">
        <f t="shared" si="135"/>
        <v>0</v>
      </c>
      <c r="R1918" s="532" t="str">
        <f t="shared" si="136"/>
        <v/>
      </c>
      <c r="S1918" s="533"/>
      <c r="T1918" s="533"/>
      <c r="U1918" s="496"/>
      <c r="V1918" s="496"/>
      <c r="W1918" s="496"/>
    </row>
    <row r="1919" spans="1:23" x14ac:dyDescent="0.2">
      <c r="A1919" s="510" t="str">
        <f t="shared" si="133"/>
        <v/>
      </c>
      <c r="B1919" s="428"/>
      <c r="C1919" s="424"/>
      <c r="D1919" s="415"/>
      <c r="E1919" s="415"/>
      <c r="F1919" s="425"/>
      <c r="G1919" s="415"/>
      <c r="H1919" s="415"/>
      <c r="I1919" s="473"/>
      <c r="J1919" s="415"/>
      <c r="K1919" s="415"/>
      <c r="L1919" s="415"/>
      <c r="M1919" s="415"/>
      <c r="N1919" s="414"/>
      <c r="O1919" s="428"/>
      <c r="P1919" s="222">
        <f t="shared" si="134"/>
        <v>0</v>
      </c>
      <c r="Q1919" s="222">
        <f t="shared" si="135"/>
        <v>0</v>
      </c>
      <c r="R1919" s="532" t="str">
        <f t="shared" si="136"/>
        <v/>
      </c>
      <c r="S1919" s="533"/>
      <c r="T1919" s="533"/>
      <c r="U1919" s="496"/>
      <c r="V1919" s="496"/>
      <c r="W1919" s="496"/>
    </row>
    <row r="1920" spans="1:23" x14ac:dyDescent="0.2">
      <c r="A1920" s="510" t="str">
        <f t="shared" si="133"/>
        <v/>
      </c>
      <c r="B1920" s="428"/>
      <c r="C1920" s="424"/>
      <c r="D1920" s="415"/>
      <c r="E1920" s="415"/>
      <c r="F1920" s="425"/>
      <c r="G1920" s="415"/>
      <c r="H1920" s="415"/>
      <c r="I1920" s="473"/>
      <c r="J1920" s="415"/>
      <c r="K1920" s="415"/>
      <c r="L1920" s="415"/>
      <c r="M1920" s="415"/>
      <c r="N1920" s="414"/>
      <c r="O1920" s="428"/>
      <c r="P1920" s="222">
        <f t="shared" si="134"/>
        <v>0</v>
      </c>
      <c r="Q1920" s="222">
        <f t="shared" si="135"/>
        <v>0</v>
      </c>
      <c r="R1920" s="532" t="str">
        <f t="shared" si="136"/>
        <v/>
      </c>
      <c r="S1920" s="533"/>
      <c r="T1920" s="533"/>
      <c r="U1920" s="496"/>
      <c r="V1920" s="496"/>
      <c r="W1920" s="496"/>
    </row>
    <row r="1921" spans="1:23" x14ac:dyDescent="0.2">
      <c r="A1921" s="510" t="str">
        <f t="shared" si="133"/>
        <v/>
      </c>
      <c r="B1921" s="428"/>
      <c r="C1921" s="424"/>
      <c r="D1921" s="415"/>
      <c r="E1921" s="415"/>
      <c r="F1921" s="425"/>
      <c r="G1921" s="415"/>
      <c r="H1921" s="415"/>
      <c r="I1921" s="473"/>
      <c r="J1921" s="415"/>
      <c r="K1921" s="415"/>
      <c r="L1921" s="415"/>
      <c r="M1921" s="415"/>
      <c r="N1921" s="414"/>
      <c r="O1921" s="428"/>
      <c r="P1921" s="222">
        <f t="shared" si="134"/>
        <v>0</v>
      </c>
      <c r="Q1921" s="222">
        <f t="shared" si="135"/>
        <v>0</v>
      </c>
      <c r="R1921" s="532" t="str">
        <f t="shared" si="136"/>
        <v/>
      </c>
      <c r="S1921" s="533"/>
      <c r="T1921" s="533"/>
      <c r="U1921" s="496"/>
      <c r="V1921" s="496"/>
      <c r="W1921" s="496"/>
    </row>
    <row r="1922" spans="1:23" x14ac:dyDescent="0.2">
      <c r="A1922" s="510" t="str">
        <f t="shared" si="133"/>
        <v/>
      </c>
      <c r="B1922" s="428"/>
      <c r="C1922" s="424"/>
      <c r="D1922" s="415"/>
      <c r="E1922" s="415"/>
      <c r="F1922" s="425"/>
      <c r="G1922" s="415"/>
      <c r="H1922" s="415"/>
      <c r="I1922" s="473"/>
      <c r="J1922" s="415"/>
      <c r="K1922" s="415"/>
      <c r="L1922" s="415"/>
      <c r="M1922" s="415"/>
      <c r="N1922" s="414"/>
      <c r="O1922" s="428"/>
      <c r="P1922" s="222">
        <f t="shared" si="134"/>
        <v>0</v>
      </c>
      <c r="Q1922" s="222">
        <f t="shared" si="135"/>
        <v>0</v>
      </c>
      <c r="R1922" s="532" t="str">
        <f t="shared" si="136"/>
        <v/>
      </c>
      <c r="S1922" s="533"/>
      <c r="T1922" s="533"/>
      <c r="U1922" s="496"/>
      <c r="V1922" s="496"/>
      <c r="W1922" s="496"/>
    </row>
    <row r="1923" spans="1:23" x14ac:dyDescent="0.2">
      <c r="A1923" s="510" t="str">
        <f t="shared" si="133"/>
        <v/>
      </c>
      <c r="B1923" s="428"/>
      <c r="C1923" s="424"/>
      <c r="D1923" s="415"/>
      <c r="E1923" s="415"/>
      <c r="F1923" s="425"/>
      <c r="G1923" s="415"/>
      <c r="H1923" s="415"/>
      <c r="I1923" s="473"/>
      <c r="J1923" s="415"/>
      <c r="K1923" s="415"/>
      <c r="L1923" s="415"/>
      <c r="M1923" s="415"/>
      <c r="N1923" s="414"/>
      <c r="O1923" s="428"/>
      <c r="P1923" s="222">
        <f t="shared" si="134"/>
        <v>0</v>
      </c>
      <c r="Q1923" s="222">
        <f t="shared" si="135"/>
        <v>0</v>
      </c>
      <c r="R1923" s="532" t="str">
        <f t="shared" si="136"/>
        <v/>
      </c>
      <c r="S1923" s="533"/>
      <c r="T1923" s="533"/>
      <c r="U1923" s="496"/>
      <c r="V1923" s="496"/>
      <c r="W1923" s="496"/>
    </row>
    <row r="1924" spans="1:23" x14ac:dyDescent="0.2">
      <c r="A1924" s="510" t="str">
        <f t="shared" si="133"/>
        <v/>
      </c>
      <c r="B1924" s="428"/>
      <c r="C1924" s="424"/>
      <c r="D1924" s="415"/>
      <c r="E1924" s="415"/>
      <c r="F1924" s="425"/>
      <c r="G1924" s="415"/>
      <c r="H1924" s="415"/>
      <c r="I1924" s="473"/>
      <c r="J1924" s="415"/>
      <c r="K1924" s="415"/>
      <c r="L1924" s="415"/>
      <c r="M1924" s="415"/>
      <c r="N1924" s="414"/>
      <c r="O1924" s="428"/>
      <c r="P1924" s="222">
        <f t="shared" si="134"/>
        <v>0</v>
      </c>
      <c r="Q1924" s="222">
        <f t="shared" si="135"/>
        <v>0</v>
      </c>
      <c r="R1924" s="532" t="str">
        <f t="shared" si="136"/>
        <v/>
      </c>
      <c r="S1924" s="533"/>
      <c r="T1924" s="533"/>
      <c r="U1924" s="496"/>
      <c r="V1924" s="496"/>
      <c r="W1924" s="496"/>
    </row>
    <row r="1925" spans="1:23" x14ac:dyDescent="0.2">
      <c r="A1925" s="510" t="str">
        <f t="shared" si="133"/>
        <v/>
      </c>
      <c r="B1925" s="428"/>
      <c r="C1925" s="424"/>
      <c r="D1925" s="415"/>
      <c r="E1925" s="415"/>
      <c r="F1925" s="425"/>
      <c r="G1925" s="415"/>
      <c r="H1925" s="415"/>
      <c r="I1925" s="473"/>
      <c r="J1925" s="415"/>
      <c r="K1925" s="415"/>
      <c r="L1925" s="415"/>
      <c r="M1925" s="415"/>
      <c r="N1925" s="414"/>
      <c r="O1925" s="428"/>
      <c r="P1925" s="222">
        <f t="shared" si="134"/>
        <v>0</v>
      </c>
      <c r="Q1925" s="222">
        <f t="shared" si="135"/>
        <v>0</v>
      </c>
      <c r="R1925" s="532" t="str">
        <f t="shared" si="136"/>
        <v/>
      </c>
      <c r="S1925" s="533"/>
      <c r="T1925" s="533"/>
      <c r="U1925" s="496"/>
      <c r="V1925" s="496"/>
      <c r="W1925" s="496"/>
    </row>
    <row r="1926" spans="1:23" x14ac:dyDescent="0.2">
      <c r="A1926" s="510" t="str">
        <f t="shared" si="133"/>
        <v/>
      </c>
      <c r="B1926" s="428"/>
      <c r="C1926" s="424"/>
      <c r="D1926" s="415"/>
      <c r="E1926" s="415"/>
      <c r="F1926" s="425"/>
      <c r="G1926" s="415"/>
      <c r="H1926" s="415"/>
      <c r="I1926" s="473"/>
      <c r="J1926" s="415"/>
      <c r="K1926" s="415"/>
      <c r="L1926" s="415"/>
      <c r="M1926" s="415"/>
      <c r="N1926" s="414"/>
      <c r="O1926" s="428"/>
      <c r="P1926" s="222">
        <f t="shared" si="134"/>
        <v>0</v>
      </c>
      <c r="Q1926" s="222">
        <f t="shared" si="135"/>
        <v>0</v>
      </c>
      <c r="R1926" s="532" t="str">
        <f t="shared" si="136"/>
        <v/>
      </c>
      <c r="S1926" s="533"/>
      <c r="T1926" s="533"/>
      <c r="U1926" s="496"/>
      <c r="V1926" s="496"/>
      <c r="W1926" s="496"/>
    </row>
    <row r="1927" spans="1:23" x14ac:dyDescent="0.2">
      <c r="A1927" s="510" t="str">
        <f t="shared" si="133"/>
        <v/>
      </c>
      <c r="B1927" s="428"/>
      <c r="C1927" s="424"/>
      <c r="D1927" s="415"/>
      <c r="E1927" s="415"/>
      <c r="F1927" s="425"/>
      <c r="G1927" s="415"/>
      <c r="H1927" s="415"/>
      <c r="I1927" s="473"/>
      <c r="J1927" s="415"/>
      <c r="K1927" s="415"/>
      <c r="L1927" s="415"/>
      <c r="M1927" s="415"/>
      <c r="N1927" s="414"/>
      <c r="O1927" s="428"/>
      <c r="P1927" s="222">
        <f t="shared" si="134"/>
        <v>0</v>
      </c>
      <c r="Q1927" s="222">
        <f t="shared" si="135"/>
        <v>0</v>
      </c>
      <c r="R1927" s="532" t="str">
        <f t="shared" si="136"/>
        <v/>
      </c>
      <c r="S1927" s="533"/>
      <c r="T1927" s="533"/>
      <c r="U1927" s="496"/>
      <c r="V1927" s="496"/>
      <c r="W1927" s="496"/>
    </row>
    <row r="1928" spans="1:23" x14ac:dyDescent="0.2">
      <c r="A1928" s="510" t="str">
        <f t="shared" si="133"/>
        <v/>
      </c>
      <c r="B1928" s="428"/>
      <c r="C1928" s="424"/>
      <c r="D1928" s="415"/>
      <c r="E1928" s="415"/>
      <c r="F1928" s="425"/>
      <c r="G1928" s="415"/>
      <c r="H1928" s="415"/>
      <c r="I1928" s="473"/>
      <c r="J1928" s="415"/>
      <c r="K1928" s="415"/>
      <c r="L1928" s="415"/>
      <c r="M1928" s="415"/>
      <c r="N1928" s="414"/>
      <c r="O1928" s="428"/>
      <c r="P1928" s="222">
        <f t="shared" si="134"/>
        <v>0</v>
      </c>
      <c r="Q1928" s="222">
        <f t="shared" si="135"/>
        <v>0</v>
      </c>
      <c r="R1928" s="532" t="str">
        <f t="shared" si="136"/>
        <v/>
      </c>
      <c r="S1928" s="533"/>
      <c r="T1928" s="533"/>
      <c r="U1928" s="496"/>
      <c r="V1928" s="496"/>
      <c r="W1928" s="496"/>
    </row>
    <row r="1929" spans="1:23" x14ac:dyDescent="0.2">
      <c r="A1929" s="510" t="str">
        <f t="shared" si="133"/>
        <v/>
      </c>
      <c r="B1929" s="428"/>
      <c r="C1929" s="424"/>
      <c r="D1929" s="415"/>
      <c r="E1929" s="415"/>
      <c r="F1929" s="425"/>
      <c r="G1929" s="415"/>
      <c r="H1929" s="415"/>
      <c r="I1929" s="473"/>
      <c r="J1929" s="415"/>
      <c r="K1929" s="415"/>
      <c r="L1929" s="415"/>
      <c r="M1929" s="415"/>
      <c r="N1929" s="414"/>
      <c r="O1929" s="428"/>
      <c r="P1929" s="222">
        <f t="shared" si="134"/>
        <v>0</v>
      </c>
      <c r="Q1929" s="222">
        <f t="shared" si="135"/>
        <v>0</v>
      </c>
      <c r="R1929" s="532" t="str">
        <f t="shared" si="136"/>
        <v/>
      </c>
      <c r="S1929" s="533"/>
      <c r="T1929" s="533"/>
      <c r="U1929" s="496"/>
      <c r="V1929" s="496"/>
      <c r="W1929" s="496"/>
    </row>
    <row r="1930" spans="1:23" x14ac:dyDescent="0.2">
      <c r="A1930" s="510" t="str">
        <f t="shared" si="133"/>
        <v/>
      </c>
      <c r="B1930" s="428"/>
      <c r="C1930" s="424"/>
      <c r="D1930" s="415"/>
      <c r="E1930" s="415"/>
      <c r="F1930" s="425"/>
      <c r="G1930" s="415"/>
      <c r="H1930" s="415"/>
      <c r="I1930" s="473"/>
      <c r="J1930" s="415"/>
      <c r="K1930" s="415"/>
      <c r="L1930" s="415"/>
      <c r="M1930" s="415"/>
      <c r="N1930" s="414"/>
      <c r="O1930" s="428"/>
      <c r="P1930" s="222">
        <f t="shared" si="134"/>
        <v>0</v>
      </c>
      <c r="Q1930" s="222">
        <f t="shared" si="135"/>
        <v>0</v>
      </c>
      <c r="R1930" s="532" t="str">
        <f t="shared" si="136"/>
        <v/>
      </c>
      <c r="S1930" s="533"/>
      <c r="T1930" s="533"/>
      <c r="U1930" s="496"/>
      <c r="V1930" s="496"/>
      <c r="W1930" s="496"/>
    </row>
    <row r="1931" spans="1:23" x14ac:dyDescent="0.2">
      <c r="A1931" s="510" t="str">
        <f t="shared" si="133"/>
        <v/>
      </c>
      <c r="B1931" s="428"/>
      <c r="C1931" s="424"/>
      <c r="D1931" s="415"/>
      <c r="E1931" s="415"/>
      <c r="F1931" s="425"/>
      <c r="G1931" s="415"/>
      <c r="H1931" s="415"/>
      <c r="I1931" s="473"/>
      <c r="J1931" s="415"/>
      <c r="K1931" s="415"/>
      <c r="L1931" s="415"/>
      <c r="M1931" s="415"/>
      <c r="N1931" s="414"/>
      <c r="O1931" s="428"/>
      <c r="P1931" s="222">
        <f t="shared" si="134"/>
        <v>0</v>
      </c>
      <c r="Q1931" s="222">
        <f t="shared" si="135"/>
        <v>0</v>
      </c>
      <c r="R1931" s="532" t="str">
        <f t="shared" si="136"/>
        <v/>
      </c>
      <c r="S1931" s="533"/>
      <c r="T1931" s="533"/>
      <c r="U1931" s="496"/>
      <c r="V1931" s="496"/>
      <c r="W1931" s="496"/>
    </row>
    <row r="1932" spans="1:23" x14ac:dyDescent="0.2">
      <c r="A1932" s="510" t="str">
        <f t="shared" si="133"/>
        <v/>
      </c>
      <c r="B1932" s="428"/>
      <c r="C1932" s="424"/>
      <c r="D1932" s="415"/>
      <c r="E1932" s="415"/>
      <c r="F1932" s="425"/>
      <c r="G1932" s="415"/>
      <c r="H1932" s="415"/>
      <c r="I1932" s="473"/>
      <c r="J1932" s="415"/>
      <c r="K1932" s="415"/>
      <c r="L1932" s="415"/>
      <c r="M1932" s="415"/>
      <c r="N1932" s="414"/>
      <c r="O1932" s="428"/>
      <c r="P1932" s="222">
        <f t="shared" si="134"/>
        <v>0</v>
      </c>
      <c r="Q1932" s="222">
        <f t="shared" si="135"/>
        <v>0</v>
      </c>
      <c r="R1932" s="532" t="str">
        <f t="shared" si="136"/>
        <v/>
      </c>
      <c r="S1932" s="533"/>
      <c r="T1932" s="533"/>
      <c r="U1932" s="496"/>
      <c r="V1932" s="496"/>
      <c r="W1932" s="496"/>
    </row>
    <row r="1933" spans="1:23" x14ac:dyDescent="0.2">
      <c r="A1933" s="510" t="str">
        <f t="shared" si="133"/>
        <v/>
      </c>
      <c r="B1933" s="428"/>
      <c r="C1933" s="424"/>
      <c r="D1933" s="415"/>
      <c r="E1933" s="415"/>
      <c r="F1933" s="425"/>
      <c r="G1933" s="415"/>
      <c r="H1933" s="415"/>
      <c r="I1933" s="473"/>
      <c r="J1933" s="415"/>
      <c r="K1933" s="415"/>
      <c r="L1933" s="415"/>
      <c r="M1933" s="415"/>
      <c r="N1933" s="414"/>
      <c r="O1933" s="428"/>
      <c r="P1933" s="222">
        <f t="shared" si="134"/>
        <v>0</v>
      </c>
      <c r="Q1933" s="222">
        <f t="shared" si="135"/>
        <v>0</v>
      </c>
      <c r="R1933" s="532" t="str">
        <f t="shared" si="136"/>
        <v/>
      </c>
      <c r="S1933" s="533"/>
      <c r="T1933" s="533"/>
      <c r="U1933" s="496"/>
      <c r="V1933" s="496"/>
      <c r="W1933" s="496"/>
    </row>
    <row r="1934" spans="1:23" x14ac:dyDescent="0.2">
      <c r="A1934" s="510" t="str">
        <f t="shared" si="133"/>
        <v/>
      </c>
      <c r="B1934" s="428"/>
      <c r="C1934" s="424"/>
      <c r="D1934" s="415"/>
      <c r="E1934" s="415"/>
      <c r="F1934" s="425"/>
      <c r="G1934" s="415"/>
      <c r="H1934" s="415"/>
      <c r="I1934" s="473"/>
      <c r="J1934" s="415"/>
      <c r="K1934" s="415"/>
      <c r="L1934" s="415"/>
      <c r="M1934" s="415"/>
      <c r="N1934" s="414"/>
      <c r="O1934" s="428"/>
      <c r="P1934" s="222">
        <f t="shared" si="134"/>
        <v>0</v>
      </c>
      <c r="Q1934" s="222">
        <f t="shared" si="135"/>
        <v>0</v>
      </c>
      <c r="R1934" s="532" t="str">
        <f t="shared" si="136"/>
        <v/>
      </c>
      <c r="S1934" s="533"/>
      <c r="T1934" s="533"/>
      <c r="U1934" s="496"/>
      <c r="V1934" s="496"/>
      <c r="W1934" s="496"/>
    </row>
    <row r="1935" spans="1:23" x14ac:dyDescent="0.2">
      <c r="A1935" s="510" t="str">
        <f t="shared" si="133"/>
        <v/>
      </c>
      <c r="B1935" s="428"/>
      <c r="C1935" s="424"/>
      <c r="D1935" s="415"/>
      <c r="E1935" s="415"/>
      <c r="F1935" s="425"/>
      <c r="G1935" s="415"/>
      <c r="H1935" s="415"/>
      <c r="I1935" s="473"/>
      <c r="J1935" s="415"/>
      <c r="K1935" s="415"/>
      <c r="L1935" s="415"/>
      <c r="M1935" s="415"/>
      <c r="N1935" s="414"/>
      <c r="O1935" s="428"/>
      <c r="P1935" s="222">
        <f t="shared" si="134"/>
        <v>0</v>
      </c>
      <c r="Q1935" s="222">
        <f t="shared" si="135"/>
        <v>0</v>
      </c>
      <c r="R1935" s="532" t="str">
        <f t="shared" si="136"/>
        <v/>
      </c>
      <c r="S1935" s="533"/>
      <c r="T1935" s="533"/>
      <c r="U1935" s="496"/>
      <c r="V1935" s="496"/>
      <c r="W1935" s="496"/>
    </row>
    <row r="1936" spans="1:23" x14ac:dyDescent="0.2">
      <c r="A1936" s="510" t="str">
        <f t="shared" si="133"/>
        <v/>
      </c>
      <c r="B1936" s="428"/>
      <c r="C1936" s="424"/>
      <c r="D1936" s="415"/>
      <c r="E1936" s="415"/>
      <c r="F1936" s="425"/>
      <c r="G1936" s="415"/>
      <c r="H1936" s="415"/>
      <c r="I1936" s="473"/>
      <c r="J1936" s="415"/>
      <c r="K1936" s="415"/>
      <c r="L1936" s="415"/>
      <c r="M1936" s="415"/>
      <c r="N1936" s="414"/>
      <c r="O1936" s="428"/>
      <c r="P1936" s="222">
        <f t="shared" si="134"/>
        <v>0</v>
      </c>
      <c r="Q1936" s="222">
        <f t="shared" si="135"/>
        <v>0</v>
      </c>
      <c r="R1936" s="532" t="str">
        <f t="shared" si="136"/>
        <v/>
      </c>
      <c r="S1936" s="533"/>
      <c r="T1936" s="533"/>
      <c r="U1936" s="496"/>
      <c r="V1936" s="496"/>
      <c r="W1936" s="496"/>
    </row>
    <row r="1937" spans="1:23" x14ac:dyDescent="0.2">
      <c r="A1937" s="510" t="str">
        <f t="shared" si="133"/>
        <v/>
      </c>
      <c r="B1937" s="428"/>
      <c r="C1937" s="424"/>
      <c r="D1937" s="415"/>
      <c r="E1937" s="415"/>
      <c r="F1937" s="425"/>
      <c r="G1937" s="415"/>
      <c r="H1937" s="415"/>
      <c r="I1937" s="473"/>
      <c r="J1937" s="415"/>
      <c r="K1937" s="415"/>
      <c r="L1937" s="415"/>
      <c r="M1937" s="415"/>
      <c r="N1937" s="414"/>
      <c r="O1937" s="428"/>
      <c r="P1937" s="222">
        <f t="shared" si="134"/>
        <v>0</v>
      </c>
      <c r="Q1937" s="222">
        <f t="shared" si="135"/>
        <v>0</v>
      </c>
      <c r="R1937" s="532" t="str">
        <f t="shared" si="136"/>
        <v/>
      </c>
      <c r="S1937" s="533"/>
      <c r="T1937" s="533"/>
      <c r="U1937" s="496"/>
      <c r="V1937" s="496"/>
      <c r="W1937" s="496"/>
    </row>
    <row r="1938" spans="1:23" x14ac:dyDescent="0.2">
      <c r="A1938" s="510" t="str">
        <f t="shared" si="133"/>
        <v/>
      </c>
      <c r="B1938" s="428"/>
      <c r="C1938" s="424"/>
      <c r="D1938" s="415"/>
      <c r="E1938" s="415"/>
      <c r="F1938" s="425"/>
      <c r="G1938" s="415"/>
      <c r="H1938" s="415"/>
      <c r="I1938" s="473"/>
      <c r="J1938" s="415"/>
      <c r="K1938" s="415"/>
      <c r="L1938" s="415"/>
      <c r="M1938" s="415"/>
      <c r="N1938" s="414"/>
      <c r="O1938" s="428"/>
      <c r="P1938" s="222">
        <f t="shared" si="134"/>
        <v>0</v>
      </c>
      <c r="Q1938" s="222">
        <f t="shared" si="135"/>
        <v>0</v>
      </c>
      <c r="R1938" s="532" t="str">
        <f t="shared" si="136"/>
        <v/>
      </c>
      <c r="S1938" s="533"/>
      <c r="T1938" s="533"/>
      <c r="U1938" s="496"/>
      <c r="V1938" s="496"/>
      <c r="W1938" s="496"/>
    </row>
    <row r="1939" spans="1:23" x14ac:dyDescent="0.2">
      <c r="A1939" s="510" t="str">
        <f t="shared" si="133"/>
        <v/>
      </c>
      <c r="B1939" s="428"/>
      <c r="C1939" s="424"/>
      <c r="D1939" s="415"/>
      <c r="E1939" s="415"/>
      <c r="F1939" s="425"/>
      <c r="G1939" s="415"/>
      <c r="H1939" s="415"/>
      <c r="I1939" s="473"/>
      <c r="J1939" s="415"/>
      <c r="K1939" s="415"/>
      <c r="L1939" s="415"/>
      <c r="M1939" s="415"/>
      <c r="N1939" s="414"/>
      <c r="O1939" s="428"/>
      <c r="P1939" s="222">
        <f t="shared" si="134"/>
        <v>0</v>
      </c>
      <c r="Q1939" s="222">
        <f t="shared" si="135"/>
        <v>0</v>
      </c>
      <c r="R1939" s="532" t="str">
        <f t="shared" si="136"/>
        <v/>
      </c>
      <c r="S1939" s="533"/>
      <c r="T1939" s="533"/>
      <c r="U1939" s="496"/>
      <c r="V1939" s="496"/>
      <c r="W1939" s="496"/>
    </row>
    <row r="1940" spans="1:23" x14ac:dyDescent="0.2">
      <c r="A1940" s="510" t="str">
        <f t="shared" si="133"/>
        <v/>
      </c>
      <c r="B1940" s="428"/>
      <c r="C1940" s="424"/>
      <c r="D1940" s="415"/>
      <c r="E1940" s="415"/>
      <c r="F1940" s="425"/>
      <c r="G1940" s="415"/>
      <c r="H1940" s="415"/>
      <c r="I1940" s="473"/>
      <c r="J1940" s="415"/>
      <c r="K1940" s="415"/>
      <c r="L1940" s="415"/>
      <c r="M1940" s="415"/>
      <c r="N1940" s="414"/>
      <c r="O1940" s="428"/>
      <c r="P1940" s="222">
        <f t="shared" si="134"/>
        <v>0</v>
      </c>
      <c r="Q1940" s="222">
        <f t="shared" si="135"/>
        <v>0</v>
      </c>
      <c r="R1940" s="532" t="str">
        <f t="shared" si="136"/>
        <v/>
      </c>
      <c r="S1940" s="533"/>
      <c r="T1940" s="533"/>
      <c r="U1940" s="496"/>
      <c r="V1940" s="496"/>
      <c r="W1940" s="496"/>
    </row>
    <row r="1941" spans="1:23" x14ac:dyDescent="0.2">
      <c r="A1941" s="510" t="str">
        <f t="shared" si="133"/>
        <v/>
      </c>
      <c r="B1941" s="428"/>
      <c r="C1941" s="424"/>
      <c r="D1941" s="415"/>
      <c r="E1941" s="415"/>
      <c r="F1941" s="425"/>
      <c r="G1941" s="415"/>
      <c r="H1941" s="415"/>
      <c r="I1941" s="473"/>
      <c r="J1941" s="415"/>
      <c r="K1941" s="415"/>
      <c r="L1941" s="415"/>
      <c r="M1941" s="415"/>
      <c r="N1941" s="414"/>
      <c r="O1941" s="428"/>
      <c r="P1941" s="222">
        <f t="shared" si="134"/>
        <v>0</v>
      </c>
      <c r="Q1941" s="222">
        <f t="shared" si="135"/>
        <v>0</v>
      </c>
      <c r="R1941" s="532" t="str">
        <f t="shared" si="136"/>
        <v/>
      </c>
      <c r="S1941" s="533"/>
      <c r="T1941" s="533"/>
      <c r="U1941" s="496"/>
      <c r="V1941" s="496"/>
      <c r="W1941" s="496"/>
    </row>
    <row r="1942" spans="1:23" x14ac:dyDescent="0.2">
      <c r="A1942" s="510" t="str">
        <f t="shared" si="133"/>
        <v/>
      </c>
      <c r="B1942" s="428"/>
      <c r="C1942" s="424"/>
      <c r="D1942" s="415"/>
      <c r="E1942" s="415"/>
      <c r="F1942" s="425"/>
      <c r="G1942" s="415"/>
      <c r="H1942" s="415"/>
      <c r="I1942" s="473"/>
      <c r="J1942" s="415"/>
      <c r="K1942" s="415"/>
      <c r="L1942" s="415"/>
      <c r="M1942" s="415"/>
      <c r="N1942" s="414"/>
      <c r="O1942" s="428"/>
      <c r="P1942" s="222">
        <f t="shared" si="134"/>
        <v>0</v>
      </c>
      <c r="Q1942" s="222">
        <f t="shared" si="135"/>
        <v>0</v>
      </c>
      <c r="R1942" s="532" t="str">
        <f t="shared" si="136"/>
        <v/>
      </c>
      <c r="S1942" s="533"/>
      <c r="T1942" s="533"/>
      <c r="U1942" s="496"/>
      <c r="V1942" s="496"/>
      <c r="W1942" s="496"/>
    </row>
    <row r="1943" spans="1:23" x14ac:dyDescent="0.2">
      <c r="A1943" s="510" t="str">
        <f t="shared" si="133"/>
        <v/>
      </c>
      <c r="B1943" s="428"/>
      <c r="C1943" s="424"/>
      <c r="D1943" s="415"/>
      <c r="E1943" s="415"/>
      <c r="F1943" s="425"/>
      <c r="G1943" s="415"/>
      <c r="H1943" s="415"/>
      <c r="I1943" s="473"/>
      <c r="J1943" s="415"/>
      <c r="K1943" s="415"/>
      <c r="L1943" s="415"/>
      <c r="M1943" s="415"/>
      <c r="N1943" s="414"/>
      <c r="O1943" s="428"/>
      <c r="P1943" s="222">
        <f t="shared" si="134"/>
        <v>0</v>
      </c>
      <c r="Q1943" s="222">
        <f t="shared" si="135"/>
        <v>0</v>
      </c>
      <c r="R1943" s="532" t="str">
        <f t="shared" si="136"/>
        <v/>
      </c>
      <c r="S1943" s="533"/>
      <c r="T1943" s="533"/>
      <c r="U1943" s="496"/>
      <c r="V1943" s="496"/>
      <c r="W1943" s="496"/>
    </row>
    <row r="1944" spans="1:23" x14ac:dyDescent="0.2">
      <c r="A1944" s="510" t="str">
        <f t="shared" si="133"/>
        <v/>
      </c>
      <c r="B1944" s="428"/>
      <c r="C1944" s="424"/>
      <c r="D1944" s="415"/>
      <c r="E1944" s="415"/>
      <c r="F1944" s="425"/>
      <c r="G1944" s="415"/>
      <c r="H1944" s="415"/>
      <c r="I1944" s="473"/>
      <c r="J1944" s="415"/>
      <c r="K1944" s="415"/>
      <c r="L1944" s="415"/>
      <c r="M1944" s="415"/>
      <c r="N1944" s="414"/>
      <c r="O1944" s="428"/>
      <c r="P1944" s="222">
        <f t="shared" si="134"/>
        <v>0</v>
      </c>
      <c r="Q1944" s="222">
        <f t="shared" si="135"/>
        <v>0</v>
      </c>
      <c r="R1944" s="532" t="str">
        <f t="shared" si="136"/>
        <v/>
      </c>
      <c r="S1944" s="533"/>
      <c r="T1944" s="533"/>
      <c r="U1944" s="496"/>
      <c r="V1944" s="496"/>
      <c r="W1944" s="496"/>
    </row>
    <row r="1945" spans="1:23" x14ac:dyDescent="0.2">
      <c r="A1945" s="510" t="str">
        <f t="shared" ref="A1945:A2008" si="137">IF(B1945="","",ROW()-ROW($A$3))</f>
        <v/>
      </c>
      <c r="B1945" s="428"/>
      <c r="C1945" s="424"/>
      <c r="D1945" s="415"/>
      <c r="E1945" s="415"/>
      <c r="F1945" s="425"/>
      <c r="G1945" s="415"/>
      <c r="H1945" s="415"/>
      <c r="I1945" s="473"/>
      <c r="J1945" s="415"/>
      <c r="K1945" s="415"/>
      <c r="L1945" s="415"/>
      <c r="M1945" s="415"/>
      <c r="N1945" s="414"/>
      <c r="O1945" s="428"/>
      <c r="P1945" s="222">
        <f t="shared" ref="P1945:P2008" si="138">IF(B1945=0,0,IF(YEAR(B1945)=$Q$1,MONTH(B1945)-$P$1+1,(YEAR(B1945)-$Q$1)*12-$P$1+1+MONTH(B1945)))</f>
        <v>0</v>
      </c>
      <c r="Q1945" s="222">
        <f t="shared" ref="Q1945:Q2008" si="139">IF(C1945=0,0,IF(YEAR(C1945)=$Q$1,MONTH(C1945)-$P$1+1,(YEAR(C1945)-$Q$1)*12-$P$1+1+MONTH(C1945)))</f>
        <v>0</v>
      </c>
      <c r="R1945" s="532" t="str">
        <f t="shared" ref="R1945:R2008" si="140">SUBSTITUTE(D1945," ","_")</f>
        <v/>
      </c>
      <c r="S1945" s="533"/>
      <c r="T1945" s="533"/>
      <c r="U1945" s="496"/>
      <c r="V1945" s="496"/>
      <c r="W1945" s="496"/>
    </row>
    <row r="1946" spans="1:23" x14ac:dyDescent="0.2">
      <c r="A1946" s="510" t="str">
        <f t="shared" si="137"/>
        <v/>
      </c>
      <c r="B1946" s="428"/>
      <c r="C1946" s="424"/>
      <c r="D1946" s="415"/>
      <c r="E1946" s="415"/>
      <c r="F1946" s="425"/>
      <c r="G1946" s="415"/>
      <c r="H1946" s="415"/>
      <c r="I1946" s="473"/>
      <c r="J1946" s="415"/>
      <c r="K1946" s="415"/>
      <c r="L1946" s="415"/>
      <c r="M1946" s="415"/>
      <c r="N1946" s="414"/>
      <c r="O1946" s="428"/>
      <c r="P1946" s="222">
        <f t="shared" si="138"/>
        <v>0</v>
      </c>
      <c r="Q1946" s="222">
        <f t="shared" si="139"/>
        <v>0</v>
      </c>
      <c r="R1946" s="532" t="str">
        <f t="shared" si="140"/>
        <v/>
      </c>
      <c r="S1946" s="533"/>
      <c r="T1946" s="533"/>
      <c r="U1946" s="496"/>
      <c r="V1946" s="496"/>
      <c r="W1946" s="496"/>
    </row>
    <row r="1947" spans="1:23" x14ac:dyDescent="0.2">
      <c r="A1947" s="510" t="str">
        <f t="shared" si="137"/>
        <v/>
      </c>
      <c r="B1947" s="428"/>
      <c r="C1947" s="424"/>
      <c r="D1947" s="415"/>
      <c r="E1947" s="415"/>
      <c r="F1947" s="425"/>
      <c r="G1947" s="415"/>
      <c r="H1947" s="415"/>
      <c r="I1947" s="473"/>
      <c r="J1947" s="415"/>
      <c r="K1947" s="415"/>
      <c r="L1947" s="415"/>
      <c r="M1947" s="415"/>
      <c r="N1947" s="414"/>
      <c r="O1947" s="428"/>
      <c r="P1947" s="222">
        <f t="shared" si="138"/>
        <v>0</v>
      </c>
      <c r="Q1947" s="222">
        <f t="shared" si="139"/>
        <v>0</v>
      </c>
      <c r="R1947" s="532" t="str">
        <f t="shared" si="140"/>
        <v/>
      </c>
      <c r="S1947" s="533"/>
      <c r="T1947" s="533"/>
      <c r="U1947" s="496"/>
      <c r="V1947" s="496"/>
      <c r="W1947" s="496"/>
    </row>
    <row r="1948" spans="1:23" x14ac:dyDescent="0.2">
      <c r="A1948" s="510" t="str">
        <f t="shared" si="137"/>
        <v/>
      </c>
      <c r="B1948" s="428"/>
      <c r="C1948" s="424"/>
      <c r="D1948" s="415"/>
      <c r="E1948" s="415"/>
      <c r="F1948" s="425"/>
      <c r="G1948" s="415"/>
      <c r="H1948" s="415"/>
      <c r="I1948" s="473"/>
      <c r="J1948" s="415"/>
      <c r="K1948" s="415"/>
      <c r="L1948" s="415"/>
      <c r="M1948" s="415"/>
      <c r="N1948" s="414"/>
      <c r="O1948" s="428"/>
      <c r="P1948" s="222">
        <f t="shared" si="138"/>
        <v>0</v>
      </c>
      <c r="Q1948" s="222">
        <f t="shared" si="139"/>
        <v>0</v>
      </c>
      <c r="R1948" s="532" t="str">
        <f t="shared" si="140"/>
        <v/>
      </c>
      <c r="S1948" s="533"/>
      <c r="T1948" s="533"/>
      <c r="U1948" s="496"/>
      <c r="V1948" s="496"/>
      <c r="W1948" s="496"/>
    </row>
    <row r="1949" spans="1:23" x14ac:dyDescent="0.2">
      <c r="A1949" s="510" t="str">
        <f t="shared" si="137"/>
        <v/>
      </c>
      <c r="B1949" s="428"/>
      <c r="C1949" s="424"/>
      <c r="D1949" s="415"/>
      <c r="E1949" s="415"/>
      <c r="F1949" s="425"/>
      <c r="G1949" s="415"/>
      <c r="H1949" s="415"/>
      <c r="I1949" s="473"/>
      <c r="J1949" s="415"/>
      <c r="K1949" s="415"/>
      <c r="L1949" s="415"/>
      <c r="M1949" s="415"/>
      <c r="N1949" s="414"/>
      <c r="O1949" s="428"/>
      <c r="P1949" s="222">
        <f t="shared" si="138"/>
        <v>0</v>
      </c>
      <c r="Q1949" s="222">
        <f t="shared" si="139"/>
        <v>0</v>
      </c>
      <c r="R1949" s="532" t="str">
        <f t="shared" si="140"/>
        <v/>
      </c>
      <c r="S1949" s="533"/>
      <c r="T1949" s="533"/>
      <c r="U1949" s="496"/>
      <c r="V1949" s="496"/>
      <c r="W1949" s="496"/>
    </row>
    <row r="1950" spans="1:23" x14ac:dyDescent="0.2">
      <c r="A1950" s="510" t="str">
        <f t="shared" si="137"/>
        <v/>
      </c>
      <c r="B1950" s="428"/>
      <c r="C1950" s="424"/>
      <c r="D1950" s="415"/>
      <c r="E1950" s="415"/>
      <c r="F1950" s="425"/>
      <c r="G1950" s="415"/>
      <c r="H1950" s="415"/>
      <c r="I1950" s="473"/>
      <c r="J1950" s="415"/>
      <c r="K1950" s="415"/>
      <c r="L1950" s="415"/>
      <c r="M1950" s="415"/>
      <c r="N1950" s="414"/>
      <c r="O1950" s="428"/>
      <c r="P1950" s="222">
        <f t="shared" si="138"/>
        <v>0</v>
      </c>
      <c r="Q1950" s="222">
        <f t="shared" si="139"/>
        <v>0</v>
      </c>
      <c r="R1950" s="532" t="str">
        <f t="shared" si="140"/>
        <v/>
      </c>
      <c r="S1950" s="533"/>
      <c r="T1950" s="533"/>
      <c r="U1950" s="496"/>
      <c r="V1950" s="496"/>
      <c r="W1950" s="496"/>
    </row>
    <row r="1951" spans="1:23" x14ac:dyDescent="0.2">
      <c r="A1951" s="510" t="str">
        <f t="shared" si="137"/>
        <v/>
      </c>
      <c r="B1951" s="428"/>
      <c r="C1951" s="424"/>
      <c r="D1951" s="415"/>
      <c r="E1951" s="415"/>
      <c r="F1951" s="425"/>
      <c r="G1951" s="415"/>
      <c r="H1951" s="415"/>
      <c r="I1951" s="473"/>
      <c r="J1951" s="415"/>
      <c r="K1951" s="415"/>
      <c r="L1951" s="415"/>
      <c r="M1951" s="415"/>
      <c r="N1951" s="414"/>
      <c r="O1951" s="428"/>
      <c r="P1951" s="222">
        <f t="shared" si="138"/>
        <v>0</v>
      </c>
      <c r="Q1951" s="222">
        <f t="shared" si="139"/>
        <v>0</v>
      </c>
      <c r="R1951" s="532" t="str">
        <f t="shared" si="140"/>
        <v/>
      </c>
      <c r="S1951" s="533"/>
      <c r="T1951" s="533"/>
      <c r="U1951" s="496"/>
      <c r="V1951" s="496"/>
      <c r="W1951" s="496"/>
    </row>
    <row r="1952" spans="1:23" x14ac:dyDescent="0.2">
      <c r="A1952" s="510" t="str">
        <f t="shared" si="137"/>
        <v/>
      </c>
      <c r="B1952" s="428"/>
      <c r="C1952" s="424"/>
      <c r="D1952" s="415"/>
      <c r="E1952" s="415"/>
      <c r="F1952" s="425"/>
      <c r="G1952" s="415"/>
      <c r="H1952" s="415"/>
      <c r="I1952" s="473"/>
      <c r="J1952" s="415"/>
      <c r="K1952" s="415"/>
      <c r="L1952" s="415"/>
      <c r="M1952" s="415"/>
      <c r="N1952" s="414"/>
      <c r="O1952" s="428"/>
      <c r="P1952" s="222">
        <f t="shared" si="138"/>
        <v>0</v>
      </c>
      <c r="Q1952" s="222">
        <f t="shared" si="139"/>
        <v>0</v>
      </c>
      <c r="R1952" s="532" t="str">
        <f t="shared" si="140"/>
        <v/>
      </c>
      <c r="S1952" s="533"/>
      <c r="T1952" s="533"/>
      <c r="U1952" s="496"/>
      <c r="V1952" s="496"/>
      <c r="W1952" s="496"/>
    </row>
    <row r="1953" spans="1:23" x14ac:dyDescent="0.2">
      <c r="A1953" s="510" t="str">
        <f t="shared" si="137"/>
        <v/>
      </c>
      <c r="B1953" s="428"/>
      <c r="C1953" s="424"/>
      <c r="D1953" s="415"/>
      <c r="E1953" s="415"/>
      <c r="F1953" s="425"/>
      <c r="G1953" s="415"/>
      <c r="H1953" s="415"/>
      <c r="I1953" s="473"/>
      <c r="J1953" s="415"/>
      <c r="K1953" s="415"/>
      <c r="L1953" s="415"/>
      <c r="M1953" s="415"/>
      <c r="N1953" s="414"/>
      <c r="O1953" s="428"/>
      <c r="P1953" s="222">
        <f t="shared" si="138"/>
        <v>0</v>
      </c>
      <c r="Q1953" s="222">
        <f t="shared" si="139"/>
        <v>0</v>
      </c>
      <c r="R1953" s="532" t="str">
        <f t="shared" si="140"/>
        <v/>
      </c>
      <c r="S1953" s="533"/>
      <c r="T1953" s="533"/>
      <c r="U1953" s="496"/>
      <c r="V1953" s="496"/>
      <c r="W1953" s="496"/>
    </row>
    <row r="1954" spans="1:23" x14ac:dyDescent="0.2">
      <c r="A1954" s="510" t="str">
        <f t="shared" si="137"/>
        <v/>
      </c>
      <c r="B1954" s="428"/>
      <c r="C1954" s="424"/>
      <c r="D1954" s="415"/>
      <c r="E1954" s="415"/>
      <c r="F1954" s="425"/>
      <c r="G1954" s="415"/>
      <c r="H1954" s="415"/>
      <c r="I1954" s="473"/>
      <c r="J1954" s="415"/>
      <c r="K1954" s="415"/>
      <c r="L1954" s="415"/>
      <c r="M1954" s="415"/>
      <c r="N1954" s="414"/>
      <c r="O1954" s="428"/>
      <c r="P1954" s="222">
        <f t="shared" si="138"/>
        <v>0</v>
      </c>
      <c r="Q1954" s="222">
        <f t="shared" si="139"/>
        <v>0</v>
      </c>
      <c r="R1954" s="532" t="str">
        <f t="shared" si="140"/>
        <v/>
      </c>
      <c r="S1954" s="533"/>
      <c r="T1954" s="533"/>
      <c r="U1954" s="496"/>
      <c r="V1954" s="496"/>
      <c r="W1954" s="496"/>
    </row>
    <row r="1955" spans="1:23" x14ac:dyDescent="0.2">
      <c r="A1955" s="510" t="str">
        <f t="shared" si="137"/>
        <v/>
      </c>
      <c r="B1955" s="428"/>
      <c r="C1955" s="424"/>
      <c r="D1955" s="415"/>
      <c r="E1955" s="415"/>
      <c r="F1955" s="425"/>
      <c r="G1955" s="415"/>
      <c r="H1955" s="415"/>
      <c r="I1955" s="473"/>
      <c r="J1955" s="415"/>
      <c r="K1955" s="415"/>
      <c r="L1955" s="415"/>
      <c r="M1955" s="415"/>
      <c r="N1955" s="414"/>
      <c r="O1955" s="428"/>
      <c r="P1955" s="222">
        <f t="shared" si="138"/>
        <v>0</v>
      </c>
      <c r="Q1955" s="222">
        <f t="shared" si="139"/>
        <v>0</v>
      </c>
      <c r="R1955" s="532" t="str">
        <f t="shared" si="140"/>
        <v/>
      </c>
      <c r="S1955" s="533"/>
      <c r="T1955" s="533"/>
      <c r="U1955" s="496"/>
      <c r="V1955" s="496"/>
      <c r="W1955" s="496"/>
    </row>
    <row r="1956" spans="1:23" x14ac:dyDescent="0.2">
      <c r="A1956" s="510" t="str">
        <f t="shared" si="137"/>
        <v/>
      </c>
      <c r="B1956" s="428"/>
      <c r="C1956" s="424"/>
      <c r="D1956" s="415"/>
      <c r="E1956" s="415"/>
      <c r="F1956" s="425"/>
      <c r="G1956" s="415"/>
      <c r="H1956" s="415"/>
      <c r="I1956" s="473"/>
      <c r="J1956" s="415"/>
      <c r="K1956" s="415"/>
      <c r="L1956" s="415"/>
      <c r="M1956" s="415"/>
      <c r="N1956" s="414"/>
      <c r="O1956" s="428"/>
      <c r="P1956" s="222">
        <f t="shared" si="138"/>
        <v>0</v>
      </c>
      <c r="Q1956" s="222">
        <f t="shared" si="139"/>
        <v>0</v>
      </c>
      <c r="R1956" s="532" t="str">
        <f t="shared" si="140"/>
        <v/>
      </c>
      <c r="S1956" s="533"/>
      <c r="T1956" s="533"/>
      <c r="U1956" s="496"/>
      <c r="V1956" s="496"/>
      <c r="W1956" s="496"/>
    </row>
    <row r="1957" spans="1:23" x14ac:dyDescent="0.2">
      <c r="A1957" s="510" t="str">
        <f t="shared" si="137"/>
        <v/>
      </c>
      <c r="B1957" s="428"/>
      <c r="C1957" s="424"/>
      <c r="D1957" s="415"/>
      <c r="E1957" s="415"/>
      <c r="F1957" s="425"/>
      <c r="G1957" s="415"/>
      <c r="H1957" s="415"/>
      <c r="I1957" s="473"/>
      <c r="J1957" s="415"/>
      <c r="K1957" s="415"/>
      <c r="L1957" s="415"/>
      <c r="M1957" s="415"/>
      <c r="N1957" s="414"/>
      <c r="O1957" s="428"/>
      <c r="P1957" s="222">
        <f t="shared" si="138"/>
        <v>0</v>
      </c>
      <c r="Q1957" s="222">
        <f t="shared" si="139"/>
        <v>0</v>
      </c>
      <c r="R1957" s="532" t="str">
        <f t="shared" si="140"/>
        <v/>
      </c>
      <c r="S1957" s="533"/>
      <c r="T1957" s="533"/>
      <c r="U1957" s="496"/>
      <c r="V1957" s="496"/>
      <c r="W1957" s="496"/>
    </row>
    <row r="1958" spans="1:23" x14ac:dyDescent="0.2">
      <c r="A1958" s="510" t="str">
        <f t="shared" si="137"/>
        <v/>
      </c>
      <c r="B1958" s="428"/>
      <c r="C1958" s="424"/>
      <c r="D1958" s="415"/>
      <c r="E1958" s="415"/>
      <c r="F1958" s="425"/>
      <c r="G1958" s="415"/>
      <c r="H1958" s="415"/>
      <c r="I1958" s="473"/>
      <c r="J1958" s="415"/>
      <c r="K1958" s="415"/>
      <c r="L1958" s="415"/>
      <c r="M1958" s="415"/>
      <c r="N1958" s="414"/>
      <c r="O1958" s="428"/>
      <c r="P1958" s="222">
        <f t="shared" si="138"/>
        <v>0</v>
      </c>
      <c r="Q1958" s="222">
        <f t="shared" si="139"/>
        <v>0</v>
      </c>
      <c r="R1958" s="532" t="str">
        <f t="shared" si="140"/>
        <v/>
      </c>
      <c r="S1958" s="533"/>
      <c r="T1958" s="533"/>
      <c r="U1958" s="496"/>
      <c r="V1958" s="496"/>
      <c r="W1958" s="496"/>
    </row>
    <row r="1959" spans="1:23" x14ac:dyDescent="0.2">
      <c r="A1959" s="510" t="str">
        <f t="shared" si="137"/>
        <v/>
      </c>
      <c r="B1959" s="428"/>
      <c r="C1959" s="424"/>
      <c r="D1959" s="415"/>
      <c r="E1959" s="415"/>
      <c r="F1959" s="425"/>
      <c r="G1959" s="415"/>
      <c r="H1959" s="415"/>
      <c r="I1959" s="473"/>
      <c r="J1959" s="415"/>
      <c r="K1959" s="415"/>
      <c r="L1959" s="415"/>
      <c r="M1959" s="415"/>
      <c r="N1959" s="414"/>
      <c r="O1959" s="428"/>
      <c r="P1959" s="222">
        <f t="shared" si="138"/>
        <v>0</v>
      </c>
      <c r="Q1959" s="222">
        <f t="shared" si="139"/>
        <v>0</v>
      </c>
      <c r="R1959" s="532" t="str">
        <f t="shared" si="140"/>
        <v/>
      </c>
      <c r="S1959" s="533"/>
      <c r="T1959" s="533"/>
      <c r="U1959" s="496"/>
      <c r="V1959" s="496"/>
      <c r="W1959" s="496"/>
    </row>
    <row r="1960" spans="1:23" x14ac:dyDescent="0.2">
      <c r="A1960" s="510" t="str">
        <f t="shared" si="137"/>
        <v/>
      </c>
      <c r="B1960" s="428"/>
      <c r="C1960" s="424"/>
      <c r="D1960" s="415"/>
      <c r="E1960" s="415"/>
      <c r="F1960" s="425"/>
      <c r="G1960" s="415"/>
      <c r="H1960" s="415"/>
      <c r="I1960" s="473"/>
      <c r="J1960" s="415"/>
      <c r="K1960" s="415"/>
      <c r="L1960" s="415"/>
      <c r="M1960" s="415"/>
      <c r="N1960" s="414"/>
      <c r="O1960" s="428"/>
      <c r="P1960" s="222">
        <f t="shared" si="138"/>
        <v>0</v>
      </c>
      <c r="Q1960" s="222">
        <f t="shared" si="139"/>
        <v>0</v>
      </c>
      <c r="R1960" s="532" t="str">
        <f t="shared" si="140"/>
        <v/>
      </c>
      <c r="S1960" s="533"/>
      <c r="T1960" s="533"/>
      <c r="U1960" s="496"/>
      <c r="V1960" s="496"/>
      <c r="W1960" s="496"/>
    </row>
    <row r="1961" spans="1:23" x14ac:dyDescent="0.2">
      <c r="A1961" s="510" t="str">
        <f t="shared" si="137"/>
        <v/>
      </c>
      <c r="B1961" s="428"/>
      <c r="C1961" s="424"/>
      <c r="D1961" s="415"/>
      <c r="E1961" s="415"/>
      <c r="F1961" s="425"/>
      <c r="G1961" s="415"/>
      <c r="H1961" s="415"/>
      <c r="I1961" s="473"/>
      <c r="J1961" s="415"/>
      <c r="K1961" s="415"/>
      <c r="L1961" s="415"/>
      <c r="M1961" s="415"/>
      <c r="N1961" s="414"/>
      <c r="O1961" s="428"/>
      <c r="P1961" s="222">
        <f t="shared" si="138"/>
        <v>0</v>
      </c>
      <c r="Q1961" s="222">
        <f t="shared" si="139"/>
        <v>0</v>
      </c>
      <c r="R1961" s="532" t="str">
        <f t="shared" si="140"/>
        <v/>
      </c>
      <c r="S1961" s="533"/>
      <c r="T1961" s="533"/>
      <c r="U1961" s="496"/>
      <c r="V1961" s="496"/>
      <c r="W1961" s="496"/>
    </row>
    <row r="1962" spans="1:23" x14ac:dyDescent="0.2">
      <c r="A1962" s="510" t="str">
        <f t="shared" si="137"/>
        <v/>
      </c>
      <c r="B1962" s="428"/>
      <c r="C1962" s="424"/>
      <c r="D1962" s="415"/>
      <c r="E1962" s="415"/>
      <c r="F1962" s="425"/>
      <c r="G1962" s="415"/>
      <c r="H1962" s="415"/>
      <c r="I1962" s="473"/>
      <c r="J1962" s="415"/>
      <c r="K1962" s="415"/>
      <c r="L1962" s="415"/>
      <c r="M1962" s="415"/>
      <c r="N1962" s="414"/>
      <c r="O1962" s="428"/>
      <c r="P1962" s="222">
        <f t="shared" si="138"/>
        <v>0</v>
      </c>
      <c r="Q1962" s="222">
        <f t="shared" si="139"/>
        <v>0</v>
      </c>
      <c r="R1962" s="532" t="str">
        <f t="shared" si="140"/>
        <v/>
      </c>
      <c r="S1962" s="533"/>
      <c r="T1962" s="533"/>
      <c r="U1962" s="496"/>
      <c r="V1962" s="496"/>
      <c r="W1962" s="496"/>
    </row>
    <row r="1963" spans="1:23" x14ac:dyDescent="0.2">
      <c r="A1963" s="510" t="str">
        <f t="shared" si="137"/>
        <v/>
      </c>
      <c r="B1963" s="428"/>
      <c r="C1963" s="424"/>
      <c r="D1963" s="415"/>
      <c r="E1963" s="415"/>
      <c r="F1963" s="425"/>
      <c r="G1963" s="415"/>
      <c r="H1963" s="415"/>
      <c r="I1963" s="473"/>
      <c r="J1963" s="415"/>
      <c r="K1963" s="415"/>
      <c r="L1963" s="415"/>
      <c r="M1963" s="415"/>
      <c r="N1963" s="414"/>
      <c r="O1963" s="428"/>
      <c r="P1963" s="222">
        <f t="shared" si="138"/>
        <v>0</v>
      </c>
      <c r="Q1963" s="222">
        <f t="shared" si="139"/>
        <v>0</v>
      </c>
      <c r="R1963" s="532" t="str">
        <f t="shared" si="140"/>
        <v/>
      </c>
      <c r="S1963" s="533"/>
      <c r="T1963" s="533"/>
      <c r="U1963" s="496"/>
      <c r="V1963" s="496"/>
      <c r="W1963" s="496"/>
    </row>
    <row r="1964" spans="1:23" x14ac:dyDescent="0.2">
      <c r="A1964" s="510" t="str">
        <f t="shared" si="137"/>
        <v/>
      </c>
      <c r="B1964" s="428"/>
      <c r="C1964" s="424"/>
      <c r="D1964" s="415"/>
      <c r="E1964" s="415"/>
      <c r="F1964" s="425"/>
      <c r="G1964" s="415"/>
      <c r="H1964" s="415"/>
      <c r="I1964" s="473"/>
      <c r="J1964" s="415"/>
      <c r="K1964" s="415"/>
      <c r="L1964" s="415"/>
      <c r="M1964" s="415"/>
      <c r="N1964" s="414"/>
      <c r="O1964" s="428"/>
      <c r="P1964" s="222">
        <f t="shared" si="138"/>
        <v>0</v>
      </c>
      <c r="Q1964" s="222">
        <f t="shared" si="139"/>
        <v>0</v>
      </c>
      <c r="R1964" s="532" t="str">
        <f t="shared" si="140"/>
        <v/>
      </c>
      <c r="S1964" s="533"/>
      <c r="T1964" s="533"/>
      <c r="U1964" s="496"/>
      <c r="V1964" s="496"/>
      <c r="W1964" s="496"/>
    </row>
    <row r="1965" spans="1:23" x14ac:dyDescent="0.2">
      <c r="A1965" s="510" t="str">
        <f t="shared" si="137"/>
        <v/>
      </c>
      <c r="B1965" s="428"/>
      <c r="C1965" s="424"/>
      <c r="D1965" s="415"/>
      <c r="E1965" s="415"/>
      <c r="F1965" s="425"/>
      <c r="G1965" s="415"/>
      <c r="H1965" s="415"/>
      <c r="I1965" s="473"/>
      <c r="J1965" s="415"/>
      <c r="K1965" s="415"/>
      <c r="L1965" s="415"/>
      <c r="M1965" s="415"/>
      <c r="N1965" s="414"/>
      <c r="O1965" s="428"/>
      <c r="P1965" s="222">
        <f t="shared" si="138"/>
        <v>0</v>
      </c>
      <c r="Q1965" s="222">
        <f t="shared" si="139"/>
        <v>0</v>
      </c>
      <c r="R1965" s="532" t="str">
        <f t="shared" si="140"/>
        <v/>
      </c>
      <c r="S1965" s="533"/>
      <c r="T1965" s="533"/>
      <c r="U1965" s="496"/>
      <c r="V1965" s="496"/>
      <c r="W1965" s="496"/>
    </row>
    <row r="1966" spans="1:23" x14ac:dyDescent="0.2">
      <c r="A1966" s="510" t="str">
        <f t="shared" si="137"/>
        <v/>
      </c>
      <c r="B1966" s="428"/>
      <c r="C1966" s="424"/>
      <c r="D1966" s="415"/>
      <c r="E1966" s="415"/>
      <c r="F1966" s="425"/>
      <c r="G1966" s="415"/>
      <c r="H1966" s="415"/>
      <c r="I1966" s="473"/>
      <c r="J1966" s="415"/>
      <c r="K1966" s="415"/>
      <c r="L1966" s="415"/>
      <c r="M1966" s="415"/>
      <c r="N1966" s="414"/>
      <c r="O1966" s="428"/>
      <c r="P1966" s="222">
        <f t="shared" si="138"/>
        <v>0</v>
      </c>
      <c r="Q1966" s="222">
        <f t="shared" si="139"/>
        <v>0</v>
      </c>
      <c r="R1966" s="532" t="str">
        <f t="shared" si="140"/>
        <v/>
      </c>
      <c r="S1966" s="533"/>
      <c r="T1966" s="533"/>
      <c r="U1966" s="496"/>
      <c r="V1966" s="496"/>
      <c r="W1966" s="496"/>
    </row>
    <row r="1967" spans="1:23" x14ac:dyDescent="0.2">
      <c r="A1967" s="510" t="str">
        <f t="shared" si="137"/>
        <v/>
      </c>
      <c r="B1967" s="428"/>
      <c r="C1967" s="424"/>
      <c r="D1967" s="415"/>
      <c r="E1967" s="415"/>
      <c r="F1967" s="425"/>
      <c r="G1967" s="415"/>
      <c r="H1967" s="415"/>
      <c r="I1967" s="473"/>
      <c r="J1967" s="415"/>
      <c r="K1967" s="415"/>
      <c r="L1967" s="415"/>
      <c r="M1967" s="415"/>
      <c r="N1967" s="414"/>
      <c r="O1967" s="428"/>
      <c r="P1967" s="222">
        <f t="shared" si="138"/>
        <v>0</v>
      </c>
      <c r="Q1967" s="222">
        <f t="shared" si="139"/>
        <v>0</v>
      </c>
      <c r="R1967" s="532" t="str">
        <f t="shared" si="140"/>
        <v/>
      </c>
      <c r="S1967" s="533"/>
      <c r="T1967" s="533"/>
      <c r="U1967" s="496"/>
      <c r="V1967" s="496"/>
      <c r="W1967" s="496"/>
    </row>
    <row r="1968" spans="1:23" x14ac:dyDescent="0.2">
      <c r="A1968" s="510" t="str">
        <f t="shared" si="137"/>
        <v/>
      </c>
      <c r="B1968" s="428"/>
      <c r="C1968" s="424"/>
      <c r="D1968" s="415"/>
      <c r="E1968" s="415"/>
      <c r="F1968" s="425"/>
      <c r="G1968" s="415"/>
      <c r="H1968" s="415"/>
      <c r="I1968" s="473"/>
      <c r="J1968" s="415"/>
      <c r="K1968" s="415"/>
      <c r="L1968" s="415"/>
      <c r="M1968" s="415"/>
      <c r="N1968" s="414"/>
      <c r="O1968" s="428"/>
      <c r="P1968" s="222">
        <f t="shared" si="138"/>
        <v>0</v>
      </c>
      <c r="Q1968" s="222">
        <f t="shared" si="139"/>
        <v>0</v>
      </c>
      <c r="R1968" s="532" t="str">
        <f t="shared" si="140"/>
        <v/>
      </c>
      <c r="S1968" s="533"/>
      <c r="T1968" s="533"/>
      <c r="U1968" s="496"/>
      <c r="V1968" s="496"/>
      <c r="W1968" s="496"/>
    </row>
    <row r="1969" spans="1:23" x14ac:dyDescent="0.2">
      <c r="A1969" s="510" t="str">
        <f t="shared" si="137"/>
        <v/>
      </c>
      <c r="B1969" s="428"/>
      <c r="C1969" s="424"/>
      <c r="D1969" s="415"/>
      <c r="E1969" s="415"/>
      <c r="F1969" s="425"/>
      <c r="G1969" s="415"/>
      <c r="H1969" s="415"/>
      <c r="I1969" s="473"/>
      <c r="J1969" s="415"/>
      <c r="K1969" s="415"/>
      <c r="L1969" s="415"/>
      <c r="M1969" s="415"/>
      <c r="N1969" s="414"/>
      <c r="O1969" s="428"/>
      <c r="P1969" s="222">
        <f t="shared" si="138"/>
        <v>0</v>
      </c>
      <c r="Q1969" s="222">
        <f t="shared" si="139"/>
        <v>0</v>
      </c>
      <c r="R1969" s="532" t="str">
        <f t="shared" si="140"/>
        <v/>
      </c>
      <c r="S1969" s="533"/>
      <c r="T1969" s="533"/>
      <c r="U1969" s="496"/>
      <c r="V1969" s="496"/>
      <c r="W1969" s="496"/>
    </row>
    <row r="1970" spans="1:23" x14ac:dyDescent="0.2">
      <c r="A1970" s="510" t="str">
        <f t="shared" si="137"/>
        <v/>
      </c>
      <c r="B1970" s="428"/>
      <c r="C1970" s="424"/>
      <c r="D1970" s="415"/>
      <c r="E1970" s="415"/>
      <c r="F1970" s="425"/>
      <c r="G1970" s="415"/>
      <c r="H1970" s="415"/>
      <c r="I1970" s="473"/>
      <c r="J1970" s="415"/>
      <c r="K1970" s="415"/>
      <c r="L1970" s="415"/>
      <c r="M1970" s="415"/>
      <c r="N1970" s="414"/>
      <c r="O1970" s="428"/>
      <c r="P1970" s="222">
        <f t="shared" si="138"/>
        <v>0</v>
      </c>
      <c r="Q1970" s="222">
        <f t="shared" si="139"/>
        <v>0</v>
      </c>
      <c r="R1970" s="532" t="str">
        <f t="shared" si="140"/>
        <v/>
      </c>
      <c r="S1970" s="533"/>
      <c r="T1970" s="533"/>
      <c r="U1970" s="496"/>
      <c r="V1970" s="496"/>
      <c r="W1970" s="496"/>
    </row>
    <row r="1971" spans="1:23" x14ac:dyDescent="0.2">
      <c r="A1971" s="510" t="str">
        <f t="shared" si="137"/>
        <v/>
      </c>
      <c r="B1971" s="428"/>
      <c r="C1971" s="424"/>
      <c r="D1971" s="415"/>
      <c r="E1971" s="415"/>
      <c r="F1971" s="425"/>
      <c r="G1971" s="415"/>
      <c r="H1971" s="415"/>
      <c r="I1971" s="473"/>
      <c r="J1971" s="415"/>
      <c r="K1971" s="415"/>
      <c r="L1971" s="415"/>
      <c r="M1971" s="415"/>
      <c r="N1971" s="414"/>
      <c r="O1971" s="428"/>
      <c r="P1971" s="222">
        <f t="shared" si="138"/>
        <v>0</v>
      </c>
      <c r="Q1971" s="222">
        <f t="shared" si="139"/>
        <v>0</v>
      </c>
      <c r="R1971" s="532" t="str">
        <f t="shared" si="140"/>
        <v/>
      </c>
      <c r="S1971" s="533"/>
      <c r="T1971" s="533"/>
      <c r="U1971" s="496"/>
      <c r="V1971" s="496"/>
      <c r="W1971" s="496"/>
    </row>
    <row r="1972" spans="1:23" x14ac:dyDescent="0.2">
      <c r="A1972" s="510" t="str">
        <f t="shared" si="137"/>
        <v/>
      </c>
      <c r="B1972" s="428"/>
      <c r="C1972" s="424"/>
      <c r="D1972" s="415"/>
      <c r="E1972" s="415"/>
      <c r="F1972" s="425"/>
      <c r="G1972" s="415"/>
      <c r="H1972" s="415"/>
      <c r="I1972" s="473"/>
      <c r="J1972" s="415"/>
      <c r="K1972" s="415"/>
      <c r="L1972" s="415"/>
      <c r="M1972" s="415"/>
      <c r="N1972" s="414"/>
      <c r="O1972" s="428"/>
      <c r="P1972" s="222">
        <f t="shared" si="138"/>
        <v>0</v>
      </c>
      <c r="Q1972" s="222">
        <f t="shared" si="139"/>
        <v>0</v>
      </c>
      <c r="R1972" s="532" t="str">
        <f t="shared" si="140"/>
        <v/>
      </c>
      <c r="S1972" s="533"/>
      <c r="T1972" s="533"/>
      <c r="U1972" s="496"/>
      <c r="V1972" s="496"/>
      <c r="W1972" s="496"/>
    </row>
    <row r="1973" spans="1:23" x14ac:dyDescent="0.2">
      <c r="A1973" s="510" t="str">
        <f t="shared" si="137"/>
        <v/>
      </c>
      <c r="B1973" s="428"/>
      <c r="C1973" s="424"/>
      <c r="D1973" s="415"/>
      <c r="E1973" s="415"/>
      <c r="F1973" s="425"/>
      <c r="G1973" s="415"/>
      <c r="H1973" s="415"/>
      <c r="I1973" s="473"/>
      <c r="J1973" s="415"/>
      <c r="K1973" s="415"/>
      <c r="L1973" s="415"/>
      <c r="M1973" s="415"/>
      <c r="N1973" s="414"/>
      <c r="O1973" s="428"/>
      <c r="P1973" s="222">
        <f t="shared" si="138"/>
        <v>0</v>
      </c>
      <c r="Q1973" s="222">
        <f t="shared" si="139"/>
        <v>0</v>
      </c>
      <c r="R1973" s="532" t="str">
        <f t="shared" si="140"/>
        <v/>
      </c>
      <c r="S1973" s="533"/>
      <c r="T1973" s="533"/>
      <c r="U1973" s="496"/>
      <c r="V1973" s="496"/>
      <c r="W1973" s="496"/>
    </row>
    <row r="1974" spans="1:23" x14ac:dyDescent="0.2">
      <c r="A1974" s="510" t="str">
        <f t="shared" si="137"/>
        <v/>
      </c>
      <c r="B1974" s="428"/>
      <c r="C1974" s="424"/>
      <c r="D1974" s="415"/>
      <c r="E1974" s="415"/>
      <c r="F1974" s="425"/>
      <c r="G1974" s="415"/>
      <c r="H1974" s="415"/>
      <c r="I1974" s="473"/>
      <c r="J1974" s="415"/>
      <c r="K1974" s="415"/>
      <c r="L1974" s="415"/>
      <c r="M1974" s="415"/>
      <c r="N1974" s="414"/>
      <c r="O1974" s="428"/>
      <c r="P1974" s="222">
        <f t="shared" si="138"/>
        <v>0</v>
      </c>
      <c r="Q1974" s="222">
        <f t="shared" si="139"/>
        <v>0</v>
      </c>
      <c r="R1974" s="532" t="str">
        <f t="shared" si="140"/>
        <v/>
      </c>
      <c r="S1974" s="533"/>
      <c r="T1974" s="533"/>
      <c r="U1974" s="496"/>
      <c r="V1974" s="496"/>
      <c r="W1974" s="496"/>
    </row>
    <row r="1975" spans="1:23" x14ac:dyDescent="0.2">
      <c r="A1975" s="510" t="str">
        <f t="shared" si="137"/>
        <v/>
      </c>
      <c r="B1975" s="428"/>
      <c r="C1975" s="424"/>
      <c r="D1975" s="415"/>
      <c r="E1975" s="415"/>
      <c r="F1975" s="425"/>
      <c r="G1975" s="415"/>
      <c r="H1975" s="415"/>
      <c r="I1975" s="473"/>
      <c r="J1975" s="415"/>
      <c r="K1975" s="415"/>
      <c r="L1975" s="415"/>
      <c r="M1975" s="415"/>
      <c r="N1975" s="414"/>
      <c r="O1975" s="428"/>
      <c r="P1975" s="222">
        <f t="shared" si="138"/>
        <v>0</v>
      </c>
      <c r="Q1975" s="222">
        <f t="shared" si="139"/>
        <v>0</v>
      </c>
      <c r="R1975" s="532" t="str">
        <f t="shared" si="140"/>
        <v/>
      </c>
      <c r="S1975" s="533"/>
      <c r="T1975" s="533"/>
      <c r="U1975" s="496"/>
      <c r="V1975" s="496"/>
      <c r="W1975" s="496"/>
    </row>
    <row r="1976" spans="1:23" x14ac:dyDescent="0.2">
      <c r="A1976" s="510" t="str">
        <f t="shared" si="137"/>
        <v/>
      </c>
      <c r="B1976" s="428"/>
      <c r="C1976" s="424"/>
      <c r="D1976" s="415"/>
      <c r="E1976" s="415"/>
      <c r="F1976" s="425"/>
      <c r="G1976" s="415"/>
      <c r="H1976" s="415"/>
      <c r="I1976" s="473"/>
      <c r="J1976" s="415"/>
      <c r="K1976" s="415"/>
      <c r="L1976" s="415"/>
      <c r="M1976" s="415"/>
      <c r="N1976" s="414"/>
      <c r="O1976" s="428"/>
      <c r="P1976" s="222">
        <f t="shared" si="138"/>
        <v>0</v>
      </c>
      <c r="Q1976" s="222">
        <f t="shared" si="139"/>
        <v>0</v>
      </c>
      <c r="R1976" s="532" t="str">
        <f t="shared" si="140"/>
        <v/>
      </c>
      <c r="S1976" s="533"/>
      <c r="T1976" s="533"/>
      <c r="U1976" s="496"/>
      <c r="V1976" s="496"/>
      <c r="W1976" s="496"/>
    </row>
    <row r="1977" spans="1:23" x14ac:dyDescent="0.2">
      <c r="A1977" s="510" t="str">
        <f t="shared" si="137"/>
        <v/>
      </c>
      <c r="B1977" s="428"/>
      <c r="C1977" s="424"/>
      <c r="D1977" s="415"/>
      <c r="E1977" s="415"/>
      <c r="F1977" s="425"/>
      <c r="G1977" s="415"/>
      <c r="H1977" s="415"/>
      <c r="I1977" s="473"/>
      <c r="J1977" s="415"/>
      <c r="K1977" s="415"/>
      <c r="L1977" s="415"/>
      <c r="M1977" s="415"/>
      <c r="N1977" s="414"/>
      <c r="O1977" s="428"/>
      <c r="P1977" s="222">
        <f t="shared" si="138"/>
        <v>0</v>
      </c>
      <c r="Q1977" s="222">
        <f t="shared" si="139"/>
        <v>0</v>
      </c>
      <c r="R1977" s="532" t="str">
        <f t="shared" si="140"/>
        <v/>
      </c>
      <c r="S1977" s="533"/>
      <c r="T1977" s="533"/>
      <c r="U1977" s="496"/>
      <c r="V1977" s="496"/>
      <c r="W1977" s="496"/>
    </row>
    <row r="1978" spans="1:23" x14ac:dyDescent="0.2">
      <c r="A1978" s="510" t="str">
        <f t="shared" si="137"/>
        <v/>
      </c>
      <c r="B1978" s="428"/>
      <c r="C1978" s="424"/>
      <c r="D1978" s="415"/>
      <c r="E1978" s="415"/>
      <c r="F1978" s="425"/>
      <c r="G1978" s="415"/>
      <c r="H1978" s="415"/>
      <c r="I1978" s="473"/>
      <c r="J1978" s="415"/>
      <c r="K1978" s="415"/>
      <c r="L1978" s="415"/>
      <c r="M1978" s="415"/>
      <c r="N1978" s="414"/>
      <c r="O1978" s="428"/>
      <c r="P1978" s="222">
        <f t="shared" si="138"/>
        <v>0</v>
      </c>
      <c r="Q1978" s="222">
        <f t="shared" si="139"/>
        <v>0</v>
      </c>
      <c r="R1978" s="532" t="str">
        <f t="shared" si="140"/>
        <v/>
      </c>
      <c r="S1978" s="533"/>
      <c r="T1978" s="533"/>
      <c r="U1978" s="496"/>
      <c r="V1978" s="496"/>
      <c r="W1978" s="496"/>
    </row>
    <row r="1979" spans="1:23" x14ac:dyDescent="0.2">
      <c r="A1979" s="510" t="str">
        <f t="shared" si="137"/>
        <v/>
      </c>
      <c r="B1979" s="428"/>
      <c r="C1979" s="424"/>
      <c r="D1979" s="415"/>
      <c r="E1979" s="415"/>
      <c r="F1979" s="425"/>
      <c r="G1979" s="415"/>
      <c r="H1979" s="415"/>
      <c r="I1979" s="473"/>
      <c r="J1979" s="415"/>
      <c r="K1979" s="415"/>
      <c r="L1979" s="415"/>
      <c r="M1979" s="415"/>
      <c r="N1979" s="414"/>
      <c r="O1979" s="428"/>
      <c r="P1979" s="222">
        <f t="shared" si="138"/>
        <v>0</v>
      </c>
      <c r="Q1979" s="222">
        <f t="shared" si="139"/>
        <v>0</v>
      </c>
      <c r="R1979" s="532" t="str">
        <f t="shared" si="140"/>
        <v/>
      </c>
      <c r="S1979" s="533"/>
      <c r="T1979" s="533"/>
      <c r="U1979" s="496"/>
      <c r="V1979" s="496"/>
      <c r="W1979" s="496"/>
    </row>
    <row r="1980" spans="1:23" x14ac:dyDescent="0.2">
      <c r="A1980" s="510" t="str">
        <f t="shared" si="137"/>
        <v/>
      </c>
      <c r="B1980" s="428"/>
      <c r="C1980" s="424"/>
      <c r="D1980" s="415"/>
      <c r="E1980" s="415"/>
      <c r="F1980" s="425"/>
      <c r="G1980" s="415"/>
      <c r="H1980" s="415"/>
      <c r="I1980" s="473"/>
      <c r="J1980" s="415"/>
      <c r="K1980" s="415"/>
      <c r="L1980" s="415"/>
      <c r="M1980" s="415"/>
      <c r="N1980" s="414"/>
      <c r="O1980" s="428"/>
      <c r="P1980" s="222">
        <f t="shared" si="138"/>
        <v>0</v>
      </c>
      <c r="Q1980" s="222">
        <f t="shared" si="139"/>
        <v>0</v>
      </c>
      <c r="R1980" s="532" t="str">
        <f t="shared" si="140"/>
        <v/>
      </c>
      <c r="S1980" s="533"/>
      <c r="T1980" s="533"/>
      <c r="U1980" s="496"/>
      <c r="V1980" s="496"/>
      <c r="W1980" s="496"/>
    </row>
    <row r="1981" spans="1:23" x14ac:dyDescent="0.2">
      <c r="A1981" s="510" t="str">
        <f t="shared" si="137"/>
        <v/>
      </c>
      <c r="B1981" s="428"/>
      <c r="C1981" s="424"/>
      <c r="D1981" s="415"/>
      <c r="E1981" s="415"/>
      <c r="F1981" s="425"/>
      <c r="G1981" s="415"/>
      <c r="H1981" s="415"/>
      <c r="I1981" s="473"/>
      <c r="J1981" s="415"/>
      <c r="K1981" s="415"/>
      <c r="L1981" s="415"/>
      <c r="M1981" s="415"/>
      <c r="N1981" s="414"/>
      <c r="O1981" s="428"/>
      <c r="P1981" s="222">
        <f t="shared" si="138"/>
        <v>0</v>
      </c>
      <c r="Q1981" s="222">
        <f t="shared" si="139"/>
        <v>0</v>
      </c>
      <c r="R1981" s="532" t="str">
        <f t="shared" si="140"/>
        <v/>
      </c>
      <c r="S1981" s="533"/>
      <c r="T1981" s="533"/>
      <c r="U1981" s="496"/>
      <c r="V1981" s="496"/>
      <c r="W1981" s="496"/>
    </row>
    <row r="1982" spans="1:23" x14ac:dyDescent="0.2">
      <c r="A1982" s="510" t="str">
        <f t="shared" si="137"/>
        <v/>
      </c>
      <c r="B1982" s="428"/>
      <c r="C1982" s="424"/>
      <c r="D1982" s="415"/>
      <c r="E1982" s="415"/>
      <c r="F1982" s="425"/>
      <c r="G1982" s="415"/>
      <c r="H1982" s="415"/>
      <c r="I1982" s="473"/>
      <c r="J1982" s="415"/>
      <c r="K1982" s="415"/>
      <c r="L1982" s="415"/>
      <c r="M1982" s="415"/>
      <c r="N1982" s="414"/>
      <c r="O1982" s="428"/>
      <c r="P1982" s="222">
        <f t="shared" si="138"/>
        <v>0</v>
      </c>
      <c r="Q1982" s="222">
        <f t="shared" si="139"/>
        <v>0</v>
      </c>
      <c r="R1982" s="532" t="str">
        <f t="shared" si="140"/>
        <v/>
      </c>
      <c r="S1982" s="533"/>
      <c r="T1982" s="533"/>
      <c r="U1982" s="496"/>
      <c r="V1982" s="496"/>
      <c r="W1982" s="496"/>
    </row>
    <row r="1983" spans="1:23" x14ac:dyDescent="0.2">
      <c r="A1983" s="510" t="str">
        <f t="shared" si="137"/>
        <v/>
      </c>
      <c r="B1983" s="428"/>
      <c r="C1983" s="424"/>
      <c r="D1983" s="415"/>
      <c r="E1983" s="415"/>
      <c r="F1983" s="425"/>
      <c r="G1983" s="415"/>
      <c r="H1983" s="415"/>
      <c r="I1983" s="473"/>
      <c r="J1983" s="415"/>
      <c r="K1983" s="415"/>
      <c r="L1983" s="415"/>
      <c r="M1983" s="415"/>
      <c r="N1983" s="414"/>
      <c r="O1983" s="428"/>
      <c r="P1983" s="222">
        <f t="shared" si="138"/>
        <v>0</v>
      </c>
      <c r="Q1983" s="222">
        <f t="shared" si="139"/>
        <v>0</v>
      </c>
      <c r="R1983" s="532" t="str">
        <f t="shared" si="140"/>
        <v/>
      </c>
      <c r="S1983" s="533"/>
      <c r="T1983" s="533"/>
      <c r="U1983" s="496"/>
      <c r="V1983" s="496"/>
      <c r="W1983" s="496"/>
    </row>
    <row r="1984" spans="1:23" x14ac:dyDescent="0.2">
      <c r="A1984" s="510" t="str">
        <f t="shared" si="137"/>
        <v/>
      </c>
      <c r="B1984" s="428"/>
      <c r="C1984" s="424"/>
      <c r="D1984" s="415"/>
      <c r="E1984" s="415"/>
      <c r="F1984" s="425"/>
      <c r="G1984" s="415"/>
      <c r="H1984" s="415"/>
      <c r="I1984" s="473"/>
      <c r="J1984" s="415"/>
      <c r="K1984" s="415"/>
      <c r="L1984" s="415"/>
      <c r="M1984" s="415"/>
      <c r="N1984" s="414"/>
      <c r="O1984" s="428"/>
      <c r="P1984" s="222">
        <f t="shared" si="138"/>
        <v>0</v>
      </c>
      <c r="Q1984" s="222">
        <f t="shared" si="139"/>
        <v>0</v>
      </c>
      <c r="R1984" s="532" t="str">
        <f t="shared" si="140"/>
        <v/>
      </c>
      <c r="S1984" s="533"/>
      <c r="T1984" s="533"/>
      <c r="U1984" s="496"/>
      <c r="V1984" s="496"/>
      <c r="W1984" s="496"/>
    </row>
    <row r="1985" spans="1:23" x14ac:dyDescent="0.2">
      <c r="A1985" s="510" t="str">
        <f t="shared" si="137"/>
        <v/>
      </c>
      <c r="B1985" s="428"/>
      <c r="C1985" s="424"/>
      <c r="D1985" s="415"/>
      <c r="E1985" s="415"/>
      <c r="F1985" s="425"/>
      <c r="G1985" s="415"/>
      <c r="H1985" s="415"/>
      <c r="I1985" s="473"/>
      <c r="J1985" s="415"/>
      <c r="K1985" s="415"/>
      <c r="L1985" s="415"/>
      <c r="M1985" s="415"/>
      <c r="N1985" s="414"/>
      <c r="O1985" s="428"/>
      <c r="P1985" s="222">
        <f t="shared" si="138"/>
        <v>0</v>
      </c>
      <c r="Q1985" s="222">
        <f t="shared" si="139"/>
        <v>0</v>
      </c>
      <c r="R1985" s="532" t="str">
        <f t="shared" si="140"/>
        <v/>
      </c>
      <c r="S1985" s="533"/>
      <c r="T1985" s="533"/>
      <c r="U1985" s="496"/>
      <c r="V1985" s="496"/>
      <c r="W1985" s="496"/>
    </row>
    <row r="1986" spans="1:23" x14ac:dyDescent="0.2">
      <c r="A1986" s="510" t="str">
        <f t="shared" si="137"/>
        <v/>
      </c>
      <c r="B1986" s="428"/>
      <c r="C1986" s="424"/>
      <c r="D1986" s="415"/>
      <c r="E1986" s="415"/>
      <c r="F1986" s="425"/>
      <c r="G1986" s="415"/>
      <c r="H1986" s="415"/>
      <c r="I1986" s="473"/>
      <c r="J1986" s="415"/>
      <c r="K1986" s="415"/>
      <c r="L1986" s="415"/>
      <c r="M1986" s="415"/>
      <c r="N1986" s="414"/>
      <c r="O1986" s="428"/>
      <c r="P1986" s="222">
        <f t="shared" si="138"/>
        <v>0</v>
      </c>
      <c r="Q1986" s="222">
        <f t="shared" si="139"/>
        <v>0</v>
      </c>
      <c r="R1986" s="532" t="str">
        <f t="shared" si="140"/>
        <v/>
      </c>
      <c r="S1986" s="533"/>
      <c r="T1986" s="533"/>
      <c r="U1986" s="496"/>
      <c r="V1986" s="496"/>
      <c r="W1986" s="496"/>
    </row>
    <row r="1987" spans="1:23" x14ac:dyDescent="0.2">
      <c r="A1987" s="510" t="str">
        <f t="shared" si="137"/>
        <v/>
      </c>
      <c r="B1987" s="428"/>
      <c r="C1987" s="424"/>
      <c r="D1987" s="415"/>
      <c r="E1987" s="415"/>
      <c r="F1987" s="425"/>
      <c r="G1987" s="415"/>
      <c r="H1987" s="415"/>
      <c r="I1987" s="473"/>
      <c r="J1987" s="415"/>
      <c r="K1987" s="415"/>
      <c r="L1987" s="415"/>
      <c r="M1987" s="415"/>
      <c r="N1987" s="414"/>
      <c r="O1987" s="428"/>
      <c r="P1987" s="222">
        <f t="shared" si="138"/>
        <v>0</v>
      </c>
      <c r="Q1987" s="222">
        <f t="shared" si="139"/>
        <v>0</v>
      </c>
      <c r="R1987" s="532" t="str">
        <f t="shared" si="140"/>
        <v/>
      </c>
      <c r="S1987" s="533"/>
      <c r="T1987" s="533"/>
      <c r="U1987" s="496"/>
      <c r="V1987" s="496"/>
      <c r="W1987" s="496"/>
    </row>
    <row r="1988" spans="1:23" x14ac:dyDescent="0.2">
      <c r="A1988" s="510" t="str">
        <f t="shared" si="137"/>
        <v/>
      </c>
      <c r="B1988" s="428"/>
      <c r="C1988" s="424"/>
      <c r="D1988" s="415"/>
      <c r="E1988" s="415"/>
      <c r="F1988" s="425"/>
      <c r="G1988" s="415"/>
      <c r="H1988" s="415"/>
      <c r="I1988" s="473"/>
      <c r="J1988" s="415"/>
      <c r="K1988" s="415"/>
      <c r="L1988" s="415"/>
      <c r="M1988" s="415"/>
      <c r="N1988" s="414"/>
      <c r="O1988" s="428"/>
      <c r="P1988" s="222">
        <f t="shared" si="138"/>
        <v>0</v>
      </c>
      <c r="Q1988" s="222">
        <f t="shared" si="139"/>
        <v>0</v>
      </c>
      <c r="R1988" s="532" t="str">
        <f t="shared" si="140"/>
        <v/>
      </c>
      <c r="S1988" s="533"/>
      <c r="T1988" s="533"/>
      <c r="U1988" s="496"/>
      <c r="V1988" s="496"/>
      <c r="W1988" s="496"/>
    </row>
    <row r="1989" spans="1:23" x14ac:dyDescent="0.2">
      <c r="A1989" s="510" t="str">
        <f t="shared" si="137"/>
        <v/>
      </c>
      <c r="B1989" s="428"/>
      <c r="C1989" s="424"/>
      <c r="D1989" s="415"/>
      <c r="E1989" s="415"/>
      <c r="F1989" s="425"/>
      <c r="G1989" s="415"/>
      <c r="H1989" s="415"/>
      <c r="I1989" s="473"/>
      <c r="J1989" s="415"/>
      <c r="K1989" s="415"/>
      <c r="L1989" s="415"/>
      <c r="M1989" s="415"/>
      <c r="N1989" s="414"/>
      <c r="O1989" s="428"/>
      <c r="P1989" s="222">
        <f t="shared" si="138"/>
        <v>0</v>
      </c>
      <c r="Q1989" s="222">
        <f t="shared" si="139"/>
        <v>0</v>
      </c>
      <c r="R1989" s="532" t="str">
        <f t="shared" si="140"/>
        <v/>
      </c>
      <c r="S1989" s="533"/>
      <c r="T1989" s="533"/>
      <c r="U1989" s="496"/>
      <c r="V1989" s="496"/>
      <c r="W1989" s="496"/>
    </row>
    <row r="1990" spans="1:23" x14ac:dyDescent="0.2">
      <c r="A1990" s="510" t="str">
        <f t="shared" si="137"/>
        <v/>
      </c>
      <c r="B1990" s="428"/>
      <c r="C1990" s="424"/>
      <c r="D1990" s="415"/>
      <c r="E1990" s="415"/>
      <c r="F1990" s="425"/>
      <c r="G1990" s="415"/>
      <c r="H1990" s="415"/>
      <c r="I1990" s="473"/>
      <c r="J1990" s="415"/>
      <c r="K1990" s="415"/>
      <c r="L1990" s="415"/>
      <c r="M1990" s="415"/>
      <c r="N1990" s="414"/>
      <c r="O1990" s="428"/>
      <c r="P1990" s="222">
        <f t="shared" si="138"/>
        <v>0</v>
      </c>
      <c r="Q1990" s="222">
        <f t="shared" si="139"/>
        <v>0</v>
      </c>
      <c r="R1990" s="532" t="str">
        <f t="shared" si="140"/>
        <v/>
      </c>
      <c r="S1990" s="533"/>
      <c r="T1990" s="533"/>
      <c r="U1990" s="496"/>
      <c r="V1990" s="496"/>
      <c r="W1990" s="496"/>
    </row>
    <row r="1991" spans="1:23" x14ac:dyDescent="0.2">
      <c r="A1991" s="510" t="str">
        <f t="shared" si="137"/>
        <v/>
      </c>
      <c r="B1991" s="428"/>
      <c r="C1991" s="424"/>
      <c r="D1991" s="415"/>
      <c r="E1991" s="415"/>
      <c r="F1991" s="425"/>
      <c r="G1991" s="415"/>
      <c r="H1991" s="415"/>
      <c r="I1991" s="473"/>
      <c r="J1991" s="415"/>
      <c r="K1991" s="415"/>
      <c r="L1991" s="415"/>
      <c r="M1991" s="415"/>
      <c r="N1991" s="414"/>
      <c r="O1991" s="428"/>
      <c r="P1991" s="222">
        <f t="shared" si="138"/>
        <v>0</v>
      </c>
      <c r="Q1991" s="222">
        <f t="shared" si="139"/>
        <v>0</v>
      </c>
      <c r="R1991" s="532" t="str">
        <f t="shared" si="140"/>
        <v/>
      </c>
      <c r="S1991" s="533"/>
      <c r="T1991" s="533"/>
      <c r="U1991" s="496"/>
      <c r="V1991" s="496"/>
      <c r="W1991" s="496"/>
    </row>
    <row r="1992" spans="1:23" x14ac:dyDescent="0.2">
      <c r="A1992" s="510" t="str">
        <f t="shared" si="137"/>
        <v/>
      </c>
      <c r="B1992" s="428"/>
      <c r="C1992" s="424"/>
      <c r="D1992" s="415"/>
      <c r="E1992" s="415"/>
      <c r="F1992" s="425"/>
      <c r="G1992" s="415"/>
      <c r="H1992" s="415"/>
      <c r="I1992" s="473"/>
      <c r="J1992" s="415"/>
      <c r="K1992" s="415"/>
      <c r="L1992" s="415"/>
      <c r="M1992" s="415"/>
      <c r="N1992" s="414"/>
      <c r="O1992" s="428"/>
      <c r="P1992" s="222">
        <f t="shared" si="138"/>
        <v>0</v>
      </c>
      <c r="Q1992" s="222">
        <f t="shared" si="139"/>
        <v>0</v>
      </c>
      <c r="R1992" s="532" t="str">
        <f t="shared" si="140"/>
        <v/>
      </c>
      <c r="S1992" s="533"/>
      <c r="T1992" s="533"/>
      <c r="U1992" s="496"/>
      <c r="V1992" s="496"/>
      <c r="W1992" s="496"/>
    </row>
    <row r="1993" spans="1:23" x14ac:dyDescent="0.2">
      <c r="A1993" s="510" t="str">
        <f t="shared" si="137"/>
        <v/>
      </c>
      <c r="B1993" s="428"/>
      <c r="C1993" s="424"/>
      <c r="D1993" s="415"/>
      <c r="E1993" s="415"/>
      <c r="F1993" s="425"/>
      <c r="G1993" s="415"/>
      <c r="H1993" s="415"/>
      <c r="I1993" s="473"/>
      <c r="J1993" s="415"/>
      <c r="K1993" s="415"/>
      <c r="L1993" s="415"/>
      <c r="M1993" s="415"/>
      <c r="N1993" s="414"/>
      <c r="O1993" s="428"/>
      <c r="P1993" s="222">
        <f t="shared" si="138"/>
        <v>0</v>
      </c>
      <c r="Q1993" s="222">
        <f t="shared" si="139"/>
        <v>0</v>
      </c>
      <c r="R1993" s="532" t="str">
        <f t="shared" si="140"/>
        <v/>
      </c>
      <c r="S1993" s="533"/>
      <c r="T1993" s="533"/>
      <c r="U1993" s="496"/>
      <c r="V1993" s="496"/>
      <c r="W1993" s="496"/>
    </row>
    <row r="1994" spans="1:23" x14ac:dyDescent="0.2">
      <c r="A1994" s="510" t="str">
        <f t="shared" si="137"/>
        <v/>
      </c>
      <c r="B1994" s="428"/>
      <c r="C1994" s="424"/>
      <c r="D1994" s="415"/>
      <c r="E1994" s="415"/>
      <c r="F1994" s="425"/>
      <c r="G1994" s="415"/>
      <c r="H1994" s="415"/>
      <c r="I1994" s="473"/>
      <c r="J1994" s="415"/>
      <c r="K1994" s="415"/>
      <c r="L1994" s="415"/>
      <c r="M1994" s="415"/>
      <c r="N1994" s="414"/>
      <c r="O1994" s="428"/>
      <c r="P1994" s="222">
        <f t="shared" si="138"/>
        <v>0</v>
      </c>
      <c r="Q1994" s="222">
        <f t="shared" si="139"/>
        <v>0</v>
      </c>
      <c r="R1994" s="532" t="str">
        <f t="shared" si="140"/>
        <v/>
      </c>
      <c r="S1994" s="533"/>
      <c r="T1994" s="533"/>
      <c r="U1994" s="496"/>
      <c r="V1994" s="496"/>
      <c r="W1994" s="496"/>
    </row>
    <row r="1995" spans="1:23" x14ac:dyDescent="0.2">
      <c r="A1995" s="510" t="str">
        <f t="shared" si="137"/>
        <v/>
      </c>
      <c r="B1995" s="428"/>
      <c r="C1995" s="424"/>
      <c r="D1995" s="415"/>
      <c r="E1995" s="415"/>
      <c r="F1995" s="425"/>
      <c r="G1995" s="415"/>
      <c r="H1995" s="415"/>
      <c r="I1995" s="473"/>
      <c r="J1995" s="415"/>
      <c r="K1995" s="415"/>
      <c r="L1995" s="415"/>
      <c r="M1995" s="415"/>
      <c r="N1995" s="414"/>
      <c r="O1995" s="428"/>
      <c r="P1995" s="222">
        <f t="shared" si="138"/>
        <v>0</v>
      </c>
      <c r="Q1995" s="222">
        <f t="shared" si="139"/>
        <v>0</v>
      </c>
      <c r="R1995" s="532" t="str">
        <f t="shared" si="140"/>
        <v/>
      </c>
      <c r="S1995" s="533"/>
      <c r="T1995" s="533"/>
      <c r="U1995" s="496"/>
      <c r="V1995" s="496"/>
      <c r="W1995" s="496"/>
    </row>
    <row r="1996" spans="1:23" x14ac:dyDescent="0.2">
      <c r="A1996" s="510" t="str">
        <f t="shared" si="137"/>
        <v/>
      </c>
      <c r="B1996" s="428"/>
      <c r="C1996" s="424"/>
      <c r="D1996" s="415"/>
      <c r="E1996" s="415"/>
      <c r="F1996" s="425"/>
      <c r="G1996" s="415"/>
      <c r="H1996" s="415"/>
      <c r="I1996" s="473"/>
      <c r="J1996" s="415"/>
      <c r="K1996" s="415"/>
      <c r="L1996" s="415"/>
      <c r="M1996" s="415"/>
      <c r="N1996" s="414"/>
      <c r="O1996" s="428"/>
      <c r="P1996" s="222">
        <f t="shared" si="138"/>
        <v>0</v>
      </c>
      <c r="Q1996" s="222">
        <f t="shared" si="139"/>
        <v>0</v>
      </c>
      <c r="R1996" s="532" t="str">
        <f t="shared" si="140"/>
        <v/>
      </c>
      <c r="S1996" s="533"/>
      <c r="T1996" s="533"/>
      <c r="U1996" s="496"/>
      <c r="V1996" s="496"/>
      <c r="W1996" s="496"/>
    </row>
    <row r="1997" spans="1:23" x14ac:dyDescent="0.2">
      <c r="A1997" s="510" t="str">
        <f t="shared" si="137"/>
        <v/>
      </c>
      <c r="B1997" s="428"/>
      <c r="C1997" s="424"/>
      <c r="D1997" s="415"/>
      <c r="E1997" s="415"/>
      <c r="F1997" s="425"/>
      <c r="G1997" s="415"/>
      <c r="H1997" s="415"/>
      <c r="I1997" s="473"/>
      <c r="J1997" s="415"/>
      <c r="K1997" s="415"/>
      <c r="L1997" s="415"/>
      <c r="M1997" s="415"/>
      <c r="N1997" s="414"/>
      <c r="O1997" s="428"/>
      <c r="P1997" s="222">
        <f t="shared" si="138"/>
        <v>0</v>
      </c>
      <c r="Q1997" s="222">
        <f t="shared" si="139"/>
        <v>0</v>
      </c>
      <c r="R1997" s="532" t="str">
        <f t="shared" si="140"/>
        <v/>
      </c>
      <c r="S1997" s="533"/>
      <c r="T1997" s="533"/>
      <c r="U1997" s="496"/>
      <c r="V1997" s="496"/>
      <c r="W1997" s="496"/>
    </row>
    <row r="1998" spans="1:23" x14ac:dyDescent="0.2">
      <c r="A1998" s="510" t="str">
        <f t="shared" si="137"/>
        <v/>
      </c>
      <c r="B1998" s="428"/>
      <c r="C1998" s="424"/>
      <c r="D1998" s="415"/>
      <c r="E1998" s="415"/>
      <c r="F1998" s="425"/>
      <c r="G1998" s="415"/>
      <c r="H1998" s="415"/>
      <c r="I1998" s="473"/>
      <c r="J1998" s="415"/>
      <c r="K1998" s="415"/>
      <c r="L1998" s="415"/>
      <c r="M1998" s="415"/>
      <c r="N1998" s="414"/>
      <c r="O1998" s="428"/>
      <c r="P1998" s="222">
        <f t="shared" si="138"/>
        <v>0</v>
      </c>
      <c r="Q1998" s="222">
        <f t="shared" si="139"/>
        <v>0</v>
      </c>
      <c r="R1998" s="532" t="str">
        <f t="shared" si="140"/>
        <v/>
      </c>
      <c r="S1998" s="533"/>
      <c r="T1998" s="533"/>
      <c r="U1998" s="496"/>
      <c r="V1998" s="496"/>
      <c r="W1998" s="496"/>
    </row>
    <row r="1999" spans="1:23" x14ac:dyDescent="0.2">
      <c r="A1999" s="510" t="str">
        <f t="shared" si="137"/>
        <v/>
      </c>
      <c r="B1999" s="428"/>
      <c r="C1999" s="424"/>
      <c r="D1999" s="415"/>
      <c r="E1999" s="415"/>
      <c r="F1999" s="425"/>
      <c r="G1999" s="415"/>
      <c r="H1999" s="415"/>
      <c r="I1999" s="473"/>
      <c r="J1999" s="415"/>
      <c r="K1999" s="415"/>
      <c r="L1999" s="415"/>
      <c r="M1999" s="415"/>
      <c r="N1999" s="414"/>
      <c r="O1999" s="428"/>
      <c r="P1999" s="222">
        <f t="shared" si="138"/>
        <v>0</v>
      </c>
      <c r="Q1999" s="222">
        <f t="shared" si="139"/>
        <v>0</v>
      </c>
      <c r="R1999" s="532" t="str">
        <f t="shared" si="140"/>
        <v/>
      </c>
      <c r="S1999" s="533"/>
      <c r="T1999" s="533"/>
      <c r="U1999" s="496"/>
      <c r="V1999" s="496"/>
      <c r="W1999" s="496"/>
    </row>
    <row r="2000" spans="1:23" x14ac:dyDescent="0.2">
      <c r="A2000" s="510" t="str">
        <f t="shared" si="137"/>
        <v/>
      </c>
      <c r="B2000" s="428"/>
      <c r="C2000" s="424"/>
      <c r="D2000" s="415"/>
      <c r="E2000" s="415"/>
      <c r="F2000" s="425"/>
      <c r="G2000" s="415"/>
      <c r="H2000" s="415"/>
      <c r="I2000" s="473"/>
      <c r="J2000" s="415"/>
      <c r="K2000" s="415"/>
      <c r="L2000" s="415"/>
      <c r="M2000" s="415"/>
      <c r="N2000" s="414"/>
      <c r="O2000" s="428"/>
      <c r="P2000" s="222">
        <f t="shared" si="138"/>
        <v>0</v>
      </c>
      <c r="Q2000" s="222">
        <f t="shared" si="139"/>
        <v>0</v>
      </c>
      <c r="R2000" s="532" t="str">
        <f t="shared" si="140"/>
        <v/>
      </c>
      <c r="S2000" s="533"/>
      <c r="T2000" s="533"/>
      <c r="U2000" s="496"/>
      <c r="V2000" s="496"/>
      <c r="W2000" s="496"/>
    </row>
    <row r="2001" spans="1:23" x14ac:dyDescent="0.2">
      <c r="A2001" s="510" t="str">
        <f t="shared" si="137"/>
        <v/>
      </c>
      <c r="B2001" s="428"/>
      <c r="C2001" s="424"/>
      <c r="D2001" s="415"/>
      <c r="E2001" s="415"/>
      <c r="F2001" s="425"/>
      <c r="G2001" s="415"/>
      <c r="H2001" s="415"/>
      <c r="I2001" s="473"/>
      <c r="J2001" s="415"/>
      <c r="K2001" s="415"/>
      <c r="L2001" s="415"/>
      <c r="M2001" s="415"/>
      <c r="N2001" s="414"/>
      <c r="O2001" s="428"/>
      <c r="P2001" s="222">
        <f t="shared" si="138"/>
        <v>0</v>
      </c>
      <c r="Q2001" s="222">
        <f t="shared" si="139"/>
        <v>0</v>
      </c>
      <c r="R2001" s="532" t="str">
        <f t="shared" si="140"/>
        <v/>
      </c>
      <c r="S2001" s="533"/>
      <c r="T2001" s="533"/>
      <c r="U2001" s="496"/>
      <c r="V2001" s="496"/>
      <c r="W2001" s="496"/>
    </row>
    <row r="2002" spans="1:23" x14ac:dyDescent="0.2">
      <c r="A2002" s="510" t="str">
        <f t="shared" si="137"/>
        <v/>
      </c>
      <c r="B2002" s="428"/>
      <c r="C2002" s="424"/>
      <c r="D2002" s="415"/>
      <c r="E2002" s="415"/>
      <c r="F2002" s="425"/>
      <c r="G2002" s="415"/>
      <c r="H2002" s="415"/>
      <c r="I2002" s="473"/>
      <c r="J2002" s="415"/>
      <c r="K2002" s="415"/>
      <c r="L2002" s="415"/>
      <c r="M2002" s="415"/>
      <c r="N2002" s="414"/>
      <c r="O2002" s="428"/>
      <c r="P2002" s="222">
        <f t="shared" si="138"/>
        <v>0</v>
      </c>
      <c r="Q2002" s="222">
        <f t="shared" si="139"/>
        <v>0</v>
      </c>
      <c r="R2002" s="532" t="str">
        <f t="shared" si="140"/>
        <v/>
      </c>
      <c r="S2002" s="533"/>
      <c r="T2002" s="533"/>
      <c r="U2002" s="496"/>
      <c r="V2002" s="496"/>
      <c r="W2002" s="496"/>
    </row>
    <row r="2003" spans="1:23" x14ac:dyDescent="0.2">
      <c r="A2003" s="510" t="str">
        <f t="shared" si="137"/>
        <v/>
      </c>
      <c r="B2003" s="428"/>
      <c r="C2003" s="424"/>
      <c r="D2003" s="415"/>
      <c r="E2003" s="415"/>
      <c r="F2003" s="425"/>
      <c r="G2003" s="415"/>
      <c r="H2003" s="415"/>
      <c r="I2003" s="473"/>
      <c r="J2003" s="415"/>
      <c r="K2003" s="415"/>
      <c r="L2003" s="415"/>
      <c r="M2003" s="415"/>
      <c r="N2003" s="414"/>
      <c r="O2003" s="428"/>
      <c r="P2003" s="222">
        <f t="shared" si="138"/>
        <v>0</v>
      </c>
      <c r="Q2003" s="222">
        <f t="shared" si="139"/>
        <v>0</v>
      </c>
      <c r="R2003" s="532" t="str">
        <f t="shared" si="140"/>
        <v/>
      </c>
      <c r="S2003" s="533"/>
      <c r="T2003" s="533"/>
      <c r="U2003" s="496"/>
      <c r="V2003" s="496"/>
      <c r="W2003" s="496"/>
    </row>
    <row r="2004" spans="1:23" x14ac:dyDescent="0.2">
      <c r="A2004" s="510" t="str">
        <f t="shared" si="137"/>
        <v/>
      </c>
      <c r="B2004" s="428"/>
      <c r="C2004" s="424"/>
      <c r="D2004" s="415"/>
      <c r="E2004" s="415"/>
      <c r="F2004" s="425"/>
      <c r="G2004" s="415"/>
      <c r="H2004" s="415"/>
      <c r="I2004" s="473"/>
      <c r="J2004" s="415"/>
      <c r="K2004" s="415"/>
      <c r="L2004" s="415"/>
      <c r="M2004" s="415"/>
      <c r="N2004" s="414"/>
      <c r="O2004" s="428"/>
      <c r="P2004" s="222">
        <f t="shared" si="138"/>
        <v>0</v>
      </c>
      <c r="Q2004" s="222">
        <f t="shared" si="139"/>
        <v>0</v>
      </c>
      <c r="R2004" s="532" t="str">
        <f t="shared" si="140"/>
        <v/>
      </c>
      <c r="S2004" s="533"/>
      <c r="T2004" s="533"/>
      <c r="U2004" s="496"/>
      <c r="V2004" s="496"/>
      <c r="W2004" s="496"/>
    </row>
    <row r="2005" spans="1:23" x14ac:dyDescent="0.2">
      <c r="A2005" s="510" t="str">
        <f t="shared" si="137"/>
        <v/>
      </c>
      <c r="B2005" s="428"/>
      <c r="C2005" s="424"/>
      <c r="D2005" s="415"/>
      <c r="E2005" s="415"/>
      <c r="F2005" s="425"/>
      <c r="G2005" s="415"/>
      <c r="H2005" s="415"/>
      <c r="I2005" s="473"/>
      <c r="J2005" s="415"/>
      <c r="K2005" s="415"/>
      <c r="L2005" s="415"/>
      <c r="M2005" s="415"/>
      <c r="N2005" s="414"/>
      <c r="O2005" s="428"/>
      <c r="P2005" s="222">
        <f t="shared" si="138"/>
        <v>0</v>
      </c>
      <c r="Q2005" s="222">
        <f t="shared" si="139"/>
        <v>0</v>
      </c>
      <c r="R2005" s="532" t="str">
        <f t="shared" si="140"/>
        <v/>
      </c>
      <c r="S2005" s="533"/>
      <c r="T2005" s="533"/>
      <c r="U2005" s="496"/>
      <c r="V2005" s="496"/>
      <c r="W2005" s="496"/>
    </row>
    <row r="2006" spans="1:23" x14ac:dyDescent="0.2">
      <c r="A2006" s="510" t="str">
        <f t="shared" si="137"/>
        <v/>
      </c>
      <c r="B2006" s="428"/>
      <c r="C2006" s="424"/>
      <c r="D2006" s="415"/>
      <c r="E2006" s="415"/>
      <c r="F2006" s="425"/>
      <c r="G2006" s="415"/>
      <c r="H2006" s="415"/>
      <c r="I2006" s="473"/>
      <c r="J2006" s="415"/>
      <c r="K2006" s="415"/>
      <c r="L2006" s="415"/>
      <c r="M2006" s="415"/>
      <c r="N2006" s="414"/>
      <c r="O2006" s="428"/>
      <c r="P2006" s="222">
        <f t="shared" si="138"/>
        <v>0</v>
      </c>
      <c r="Q2006" s="222">
        <f t="shared" si="139"/>
        <v>0</v>
      </c>
      <c r="R2006" s="532" t="str">
        <f t="shared" si="140"/>
        <v/>
      </c>
      <c r="S2006" s="533"/>
      <c r="T2006" s="533"/>
      <c r="U2006" s="496"/>
      <c r="V2006" s="496"/>
      <c r="W2006" s="496"/>
    </row>
    <row r="2007" spans="1:23" x14ac:dyDescent="0.2">
      <c r="A2007" s="510" t="str">
        <f t="shared" si="137"/>
        <v/>
      </c>
      <c r="B2007" s="428"/>
      <c r="C2007" s="424"/>
      <c r="D2007" s="415"/>
      <c r="E2007" s="415"/>
      <c r="F2007" s="425"/>
      <c r="G2007" s="415"/>
      <c r="H2007" s="415"/>
      <c r="I2007" s="473"/>
      <c r="J2007" s="415"/>
      <c r="K2007" s="415"/>
      <c r="L2007" s="415"/>
      <c r="M2007" s="415"/>
      <c r="N2007" s="414"/>
      <c r="O2007" s="428"/>
      <c r="P2007" s="222">
        <f t="shared" si="138"/>
        <v>0</v>
      </c>
      <c r="Q2007" s="222">
        <f t="shared" si="139"/>
        <v>0</v>
      </c>
      <c r="R2007" s="532" t="str">
        <f t="shared" si="140"/>
        <v/>
      </c>
      <c r="S2007" s="533"/>
      <c r="T2007" s="533"/>
      <c r="U2007" s="496"/>
      <c r="V2007" s="496"/>
      <c r="W2007" s="496"/>
    </row>
    <row r="2008" spans="1:23" x14ac:dyDescent="0.2">
      <c r="A2008" s="510" t="str">
        <f t="shared" si="137"/>
        <v/>
      </c>
      <c r="B2008" s="428"/>
      <c r="C2008" s="424"/>
      <c r="D2008" s="415"/>
      <c r="E2008" s="415"/>
      <c r="F2008" s="425"/>
      <c r="G2008" s="415"/>
      <c r="H2008" s="415"/>
      <c r="I2008" s="473"/>
      <c r="J2008" s="415"/>
      <c r="K2008" s="415"/>
      <c r="L2008" s="415"/>
      <c r="M2008" s="415"/>
      <c r="N2008" s="414"/>
      <c r="O2008" s="428"/>
      <c r="P2008" s="222">
        <f t="shared" si="138"/>
        <v>0</v>
      </c>
      <c r="Q2008" s="222">
        <f t="shared" si="139"/>
        <v>0</v>
      </c>
      <c r="R2008" s="532" t="str">
        <f t="shared" si="140"/>
        <v/>
      </c>
      <c r="S2008" s="533"/>
      <c r="T2008" s="533"/>
      <c r="U2008" s="496"/>
      <c r="V2008" s="496"/>
      <c r="W2008" s="496"/>
    </row>
    <row r="2009" spans="1:23" x14ac:dyDescent="0.2">
      <c r="A2009" s="510" t="str">
        <f t="shared" ref="A2009:A2072" si="141">IF(B2009="","",ROW()-ROW($A$3))</f>
        <v/>
      </c>
      <c r="B2009" s="428"/>
      <c r="C2009" s="424"/>
      <c r="D2009" s="415"/>
      <c r="E2009" s="415"/>
      <c r="F2009" s="425"/>
      <c r="G2009" s="415"/>
      <c r="H2009" s="415"/>
      <c r="I2009" s="473"/>
      <c r="J2009" s="415"/>
      <c r="K2009" s="415"/>
      <c r="L2009" s="415"/>
      <c r="M2009" s="415"/>
      <c r="N2009" s="414"/>
      <c r="O2009" s="428"/>
      <c r="P2009" s="222">
        <f t="shared" ref="P2009:P2072" si="142">IF(B2009=0,0,IF(YEAR(B2009)=$Q$1,MONTH(B2009)-$P$1+1,(YEAR(B2009)-$Q$1)*12-$P$1+1+MONTH(B2009)))</f>
        <v>0</v>
      </c>
      <c r="Q2009" s="222">
        <f t="shared" ref="Q2009:Q2072" si="143">IF(C2009=0,0,IF(YEAR(C2009)=$Q$1,MONTH(C2009)-$P$1+1,(YEAR(C2009)-$Q$1)*12-$P$1+1+MONTH(C2009)))</f>
        <v>0</v>
      </c>
      <c r="R2009" s="532" t="str">
        <f t="shared" ref="R2009:R2072" si="144">SUBSTITUTE(D2009," ","_")</f>
        <v/>
      </c>
      <c r="S2009" s="533"/>
      <c r="T2009" s="533"/>
      <c r="U2009" s="496"/>
      <c r="V2009" s="496"/>
      <c r="W2009" s="496"/>
    </row>
    <row r="2010" spans="1:23" x14ac:dyDescent="0.2">
      <c r="A2010" s="510" t="str">
        <f t="shared" si="141"/>
        <v/>
      </c>
      <c r="B2010" s="428"/>
      <c r="C2010" s="424"/>
      <c r="D2010" s="415"/>
      <c r="E2010" s="415"/>
      <c r="F2010" s="425"/>
      <c r="G2010" s="415"/>
      <c r="H2010" s="415"/>
      <c r="I2010" s="473"/>
      <c r="J2010" s="415"/>
      <c r="K2010" s="415"/>
      <c r="L2010" s="415"/>
      <c r="M2010" s="415"/>
      <c r="N2010" s="414"/>
      <c r="O2010" s="428"/>
      <c r="P2010" s="222">
        <f t="shared" si="142"/>
        <v>0</v>
      </c>
      <c r="Q2010" s="222">
        <f t="shared" si="143"/>
        <v>0</v>
      </c>
      <c r="R2010" s="532" t="str">
        <f t="shared" si="144"/>
        <v/>
      </c>
      <c r="S2010" s="533"/>
      <c r="T2010" s="533"/>
      <c r="U2010" s="496"/>
      <c r="V2010" s="496"/>
      <c r="W2010" s="496"/>
    </row>
    <row r="2011" spans="1:23" x14ac:dyDescent="0.2">
      <c r="A2011" s="510" t="str">
        <f t="shared" si="141"/>
        <v/>
      </c>
      <c r="B2011" s="428"/>
      <c r="C2011" s="424"/>
      <c r="D2011" s="415"/>
      <c r="E2011" s="415"/>
      <c r="F2011" s="425"/>
      <c r="G2011" s="415"/>
      <c r="H2011" s="415"/>
      <c r="I2011" s="473"/>
      <c r="J2011" s="415"/>
      <c r="K2011" s="415"/>
      <c r="L2011" s="415"/>
      <c r="M2011" s="415"/>
      <c r="N2011" s="414"/>
      <c r="O2011" s="428"/>
      <c r="P2011" s="222">
        <f t="shared" si="142"/>
        <v>0</v>
      </c>
      <c r="Q2011" s="222">
        <f t="shared" si="143"/>
        <v>0</v>
      </c>
      <c r="R2011" s="532" t="str">
        <f t="shared" si="144"/>
        <v/>
      </c>
      <c r="S2011" s="533"/>
      <c r="T2011" s="533"/>
      <c r="U2011" s="496"/>
      <c r="V2011" s="496"/>
      <c r="W2011" s="496"/>
    </row>
    <row r="2012" spans="1:23" x14ac:dyDescent="0.2">
      <c r="A2012" s="510" t="str">
        <f t="shared" si="141"/>
        <v/>
      </c>
      <c r="B2012" s="428"/>
      <c r="C2012" s="424"/>
      <c r="D2012" s="415"/>
      <c r="E2012" s="415"/>
      <c r="F2012" s="425"/>
      <c r="G2012" s="415"/>
      <c r="H2012" s="415"/>
      <c r="I2012" s="473"/>
      <c r="J2012" s="415"/>
      <c r="K2012" s="415"/>
      <c r="L2012" s="415"/>
      <c r="M2012" s="415"/>
      <c r="N2012" s="414"/>
      <c r="O2012" s="428"/>
      <c r="P2012" s="222">
        <f t="shared" si="142"/>
        <v>0</v>
      </c>
      <c r="Q2012" s="222">
        <f t="shared" si="143"/>
        <v>0</v>
      </c>
      <c r="R2012" s="532" t="str">
        <f t="shared" si="144"/>
        <v/>
      </c>
      <c r="S2012" s="533"/>
      <c r="T2012" s="533"/>
      <c r="U2012" s="496"/>
      <c r="V2012" s="496"/>
      <c r="W2012" s="496"/>
    </row>
    <row r="2013" spans="1:23" x14ac:dyDescent="0.2">
      <c r="A2013" s="510" t="str">
        <f t="shared" si="141"/>
        <v/>
      </c>
      <c r="B2013" s="428"/>
      <c r="C2013" s="424"/>
      <c r="D2013" s="415"/>
      <c r="E2013" s="415"/>
      <c r="F2013" s="425"/>
      <c r="G2013" s="415"/>
      <c r="H2013" s="415"/>
      <c r="I2013" s="473"/>
      <c r="J2013" s="415"/>
      <c r="K2013" s="415"/>
      <c r="L2013" s="415"/>
      <c r="M2013" s="415"/>
      <c r="N2013" s="414"/>
      <c r="O2013" s="428"/>
      <c r="P2013" s="222">
        <f t="shared" si="142"/>
        <v>0</v>
      </c>
      <c r="Q2013" s="222">
        <f t="shared" si="143"/>
        <v>0</v>
      </c>
      <c r="R2013" s="532" t="str">
        <f t="shared" si="144"/>
        <v/>
      </c>
      <c r="S2013" s="533"/>
      <c r="T2013" s="533"/>
      <c r="U2013" s="496"/>
      <c r="V2013" s="496"/>
      <c r="W2013" s="496"/>
    </row>
    <row r="2014" spans="1:23" x14ac:dyDescent="0.2">
      <c r="A2014" s="510" t="str">
        <f t="shared" si="141"/>
        <v/>
      </c>
      <c r="B2014" s="428"/>
      <c r="C2014" s="424"/>
      <c r="D2014" s="415"/>
      <c r="E2014" s="415"/>
      <c r="F2014" s="425"/>
      <c r="G2014" s="415"/>
      <c r="H2014" s="415"/>
      <c r="I2014" s="473"/>
      <c r="J2014" s="415"/>
      <c r="K2014" s="415"/>
      <c r="L2014" s="415"/>
      <c r="M2014" s="415"/>
      <c r="N2014" s="414"/>
      <c r="O2014" s="428"/>
      <c r="P2014" s="222">
        <f t="shared" si="142"/>
        <v>0</v>
      </c>
      <c r="Q2014" s="222">
        <f t="shared" si="143"/>
        <v>0</v>
      </c>
      <c r="R2014" s="532" t="str">
        <f t="shared" si="144"/>
        <v/>
      </c>
      <c r="S2014" s="533"/>
      <c r="T2014" s="533"/>
      <c r="U2014" s="496"/>
      <c r="V2014" s="496"/>
      <c r="W2014" s="496"/>
    </row>
    <row r="2015" spans="1:23" x14ac:dyDescent="0.2">
      <c r="A2015" s="510" t="str">
        <f t="shared" si="141"/>
        <v/>
      </c>
      <c r="B2015" s="428"/>
      <c r="C2015" s="424"/>
      <c r="D2015" s="415"/>
      <c r="E2015" s="415"/>
      <c r="F2015" s="425"/>
      <c r="G2015" s="415"/>
      <c r="H2015" s="415"/>
      <c r="I2015" s="473"/>
      <c r="J2015" s="415"/>
      <c r="K2015" s="415"/>
      <c r="L2015" s="415"/>
      <c r="M2015" s="415"/>
      <c r="N2015" s="414"/>
      <c r="O2015" s="428"/>
      <c r="P2015" s="222">
        <f t="shared" si="142"/>
        <v>0</v>
      </c>
      <c r="Q2015" s="222">
        <f t="shared" si="143"/>
        <v>0</v>
      </c>
      <c r="R2015" s="532" t="str">
        <f t="shared" si="144"/>
        <v/>
      </c>
      <c r="S2015" s="533"/>
      <c r="T2015" s="533"/>
      <c r="U2015" s="496"/>
      <c r="V2015" s="496"/>
      <c r="W2015" s="496"/>
    </row>
    <row r="2016" spans="1:23" x14ac:dyDescent="0.2">
      <c r="A2016" s="510" t="str">
        <f t="shared" si="141"/>
        <v/>
      </c>
      <c r="B2016" s="428"/>
      <c r="C2016" s="424"/>
      <c r="D2016" s="415"/>
      <c r="E2016" s="415"/>
      <c r="F2016" s="425"/>
      <c r="G2016" s="415"/>
      <c r="H2016" s="415"/>
      <c r="I2016" s="473"/>
      <c r="J2016" s="415"/>
      <c r="K2016" s="415"/>
      <c r="L2016" s="415"/>
      <c r="M2016" s="415"/>
      <c r="N2016" s="414"/>
      <c r="O2016" s="428"/>
      <c r="P2016" s="222">
        <f t="shared" si="142"/>
        <v>0</v>
      </c>
      <c r="Q2016" s="222">
        <f t="shared" si="143"/>
        <v>0</v>
      </c>
      <c r="R2016" s="532" t="str">
        <f t="shared" si="144"/>
        <v/>
      </c>
      <c r="S2016" s="533"/>
      <c r="T2016" s="533"/>
      <c r="U2016" s="496"/>
      <c r="V2016" s="496"/>
      <c r="W2016" s="496"/>
    </row>
    <row r="2017" spans="1:23" x14ac:dyDescent="0.2">
      <c r="A2017" s="510" t="str">
        <f t="shared" si="141"/>
        <v/>
      </c>
      <c r="B2017" s="428"/>
      <c r="C2017" s="424"/>
      <c r="D2017" s="415"/>
      <c r="E2017" s="415"/>
      <c r="F2017" s="425"/>
      <c r="G2017" s="415"/>
      <c r="H2017" s="415"/>
      <c r="I2017" s="473"/>
      <c r="J2017" s="415"/>
      <c r="K2017" s="415"/>
      <c r="L2017" s="415"/>
      <c r="M2017" s="415"/>
      <c r="N2017" s="414"/>
      <c r="O2017" s="428"/>
      <c r="P2017" s="222">
        <f t="shared" si="142"/>
        <v>0</v>
      </c>
      <c r="Q2017" s="222">
        <f t="shared" si="143"/>
        <v>0</v>
      </c>
      <c r="R2017" s="532" t="str">
        <f t="shared" si="144"/>
        <v/>
      </c>
      <c r="S2017" s="533"/>
      <c r="T2017" s="533"/>
      <c r="U2017" s="496"/>
      <c r="V2017" s="496"/>
      <c r="W2017" s="496"/>
    </row>
    <row r="2018" spans="1:23" x14ac:dyDescent="0.2">
      <c r="A2018" s="510" t="str">
        <f t="shared" si="141"/>
        <v/>
      </c>
      <c r="B2018" s="428"/>
      <c r="C2018" s="424"/>
      <c r="D2018" s="415"/>
      <c r="E2018" s="415"/>
      <c r="F2018" s="425"/>
      <c r="G2018" s="415"/>
      <c r="H2018" s="415"/>
      <c r="I2018" s="473"/>
      <c r="J2018" s="415"/>
      <c r="K2018" s="415"/>
      <c r="L2018" s="415"/>
      <c r="M2018" s="415"/>
      <c r="N2018" s="414"/>
      <c r="O2018" s="428"/>
      <c r="P2018" s="222">
        <f t="shared" si="142"/>
        <v>0</v>
      </c>
      <c r="Q2018" s="222">
        <f t="shared" si="143"/>
        <v>0</v>
      </c>
      <c r="R2018" s="532" t="str">
        <f t="shared" si="144"/>
        <v/>
      </c>
      <c r="S2018" s="533"/>
      <c r="T2018" s="533"/>
      <c r="U2018" s="496"/>
      <c r="V2018" s="496"/>
      <c r="W2018" s="496"/>
    </row>
    <row r="2019" spans="1:23" x14ac:dyDescent="0.2">
      <c r="A2019" s="510" t="str">
        <f t="shared" si="141"/>
        <v/>
      </c>
      <c r="B2019" s="428"/>
      <c r="C2019" s="424"/>
      <c r="D2019" s="415"/>
      <c r="E2019" s="415"/>
      <c r="F2019" s="425"/>
      <c r="G2019" s="415"/>
      <c r="H2019" s="415"/>
      <c r="I2019" s="473"/>
      <c r="J2019" s="415"/>
      <c r="K2019" s="415"/>
      <c r="L2019" s="415"/>
      <c r="M2019" s="415"/>
      <c r="N2019" s="414"/>
      <c r="O2019" s="428"/>
      <c r="P2019" s="222">
        <f t="shared" si="142"/>
        <v>0</v>
      </c>
      <c r="Q2019" s="222">
        <f t="shared" si="143"/>
        <v>0</v>
      </c>
      <c r="R2019" s="532" t="str">
        <f t="shared" si="144"/>
        <v/>
      </c>
      <c r="S2019" s="533"/>
      <c r="T2019" s="533"/>
      <c r="U2019" s="496"/>
      <c r="V2019" s="496"/>
      <c r="W2019" s="496"/>
    </row>
    <row r="2020" spans="1:23" x14ac:dyDescent="0.2">
      <c r="A2020" s="510" t="str">
        <f t="shared" si="141"/>
        <v/>
      </c>
      <c r="B2020" s="428"/>
      <c r="C2020" s="424"/>
      <c r="D2020" s="415"/>
      <c r="E2020" s="415"/>
      <c r="F2020" s="425"/>
      <c r="G2020" s="415"/>
      <c r="H2020" s="415"/>
      <c r="I2020" s="473"/>
      <c r="J2020" s="415"/>
      <c r="K2020" s="415"/>
      <c r="L2020" s="415"/>
      <c r="M2020" s="415"/>
      <c r="N2020" s="414"/>
      <c r="O2020" s="428"/>
      <c r="P2020" s="222">
        <f t="shared" si="142"/>
        <v>0</v>
      </c>
      <c r="Q2020" s="222">
        <f t="shared" si="143"/>
        <v>0</v>
      </c>
      <c r="R2020" s="532" t="str">
        <f t="shared" si="144"/>
        <v/>
      </c>
      <c r="S2020" s="533"/>
      <c r="T2020" s="533"/>
      <c r="U2020" s="496"/>
      <c r="V2020" s="496"/>
      <c r="W2020" s="496"/>
    </row>
    <row r="2021" spans="1:23" x14ac:dyDescent="0.2">
      <c r="A2021" s="510" t="str">
        <f t="shared" si="141"/>
        <v/>
      </c>
      <c r="B2021" s="428"/>
      <c r="C2021" s="424"/>
      <c r="D2021" s="415"/>
      <c r="E2021" s="415"/>
      <c r="F2021" s="425"/>
      <c r="G2021" s="415"/>
      <c r="H2021" s="415"/>
      <c r="I2021" s="473"/>
      <c r="J2021" s="415"/>
      <c r="K2021" s="415"/>
      <c r="L2021" s="415"/>
      <c r="M2021" s="415"/>
      <c r="N2021" s="414"/>
      <c r="O2021" s="428"/>
      <c r="P2021" s="222">
        <f t="shared" si="142"/>
        <v>0</v>
      </c>
      <c r="Q2021" s="222">
        <f t="shared" si="143"/>
        <v>0</v>
      </c>
      <c r="R2021" s="532" t="str">
        <f t="shared" si="144"/>
        <v/>
      </c>
      <c r="S2021" s="533"/>
      <c r="T2021" s="533"/>
      <c r="U2021" s="496"/>
      <c r="V2021" s="496"/>
      <c r="W2021" s="496"/>
    </row>
    <row r="2022" spans="1:23" x14ac:dyDescent="0.2">
      <c r="A2022" s="510" t="str">
        <f t="shared" si="141"/>
        <v/>
      </c>
      <c r="B2022" s="428"/>
      <c r="C2022" s="424"/>
      <c r="D2022" s="415"/>
      <c r="E2022" s="415"/>
      <c r="F2022" s="425"/>
      <c r="G2022" s="415"/>
      <c r="H2022" s="415"/>
      <c r="I2022" s="473"/>
      <c r="J2022" s="415"/>
      <c r="K2022" s="415"/>
      <c r="L2022" s="415"/>
      <c r="M2022" s="415"/>
      <c r="N2022" s="414"/>
      <c r="O2022" s="428"/>
      <c r="P2022" s="222">
        <f t="shared" si="142"/>
        <v>0</v>
      </c>
      <c r="Q2022" s="222">
        <f t="shared" si="143"/>
        <v>0</v>
      </c>
      <c r="R2022" s="532" t="str">
        <f t="shared" si="144"/>
        <v/>
      </c>
      <c r="S2022" s="533"/>
      <c r="T2022" s="533"/>
      <c r="U2022" s="496"/>
      <c r="V2022" s="496"/>
      <c r="W2022" s="496"/>
    </row>
    <row r="2023" spans="1:23" x14ac:dyDescent="0.2">
      <c r="A2023" s="510" t="str">
        <f t="shared" si="141"/>
        <v/>
      </c>
      <c r="B2023" s="428"/>
      <c r="C2023" s="424"/>
      <c r="D2023" s="415"/>
      <c r="E2023" s="415"/>
      <c r="F2023" s="425"/>
      <c r="G2023" s="415"/>
      <c r="H2023" s="415"/>
      <c r="I2023" s="473"/>
      <c r="J2023" s="415"/>
      <c r="K2023" s="415"/>
      <c r="L2023" s="415"/>
      <c r="M2023" s="415"/>
      <c r="N2023" s="414"/>
      <c r="O2023" s="428"/>
      <c r="P2023" s="222">
        <f t="shared" si="142"/>
        <v>0</v>
      </c>
      <c r="Q2023" s="222">
        <f t="shared" si="143"/>
        <v>0</v>
      </c>
      <c r="R2023" s="532" t="str">
        <f t="shared" si="144"/>
        <v/>
      </c>
      <c r="S2023" s="533"/>
      <c r="T2023" s="533"/>
      <c r="U2023" s="496"/>
      <c r="V2023" s="496"/>
      <c r="W2023" s="496"/>
    </row>
    <row r="2024" spans="1:23" x14ac:dyDescent="0.2">
      <c r="A2024" s="510" t="str">
        <f t="shared" si="141"/>
        <v/>
      </c>
      <c r="B2024" s="428"/>
      <c r="C2024" s="424"/>
      <c r="D2024" s="415"/>
      <c r="E2024" s="415"/>
      <c r="F2024" s="425"/>
      <c r="G2024" s="415"/>
      <c r="H2024" s="415"/>
      <c r="I2024" s="473"/>
      <c r="J2024" s="415"/>
      <c r="K2024" s="415"/>
      <c r="L2024" s="415"/>
      <c r="M2024" s="415"/>
      <c r="N2024" s="414"/>
      <c r="O2024" s="428"/>
      <c r="P2024" s="222">
        <f t="shared" si="142"/>
        <v>0</v>
      </c>
      <c r="Q2024" s="222">
        <f t="shared" si="143"/>
        <v>0</v>
      </c>
      <c r="R2024" s="532" t="str">
        <f t="shared" si="144"/>
        <v/>
      </c>
      <c r="S2024" s="533"/>
      <c r="T2024" s="533"/>
      <c r="U2024" s="496"/>
      <c r="V2024" s="496"/>
      <c r="W2024" s="496"/>
    </row>
    <row r="2025" spans="1:23" x14ac:dyDescent="0.2">
      <c r="A2025" s="510" t="str">
        <f t="shared" si="141"/>
        <v/>
      </c>
      <c r="B2025" s="428"/>
      <c r="C2025" s="424"/>
      <c r="D2025" s="415"/>
      <c r="E2025" s="415"/>
      <c r="F2025" s="425"/>
      <c r="G2025" s="415"/>
      <c r="H2025" s="415"/>
      <c r="I2025" s="473"/>
      <c r="J2025" s="415"/>
      <c r="K2025" s="415"/>
      <c r="L2025" s="415"/>
      <c r="M2025" s="415"/>
      <c r="N2025" s="414"/>
      <c r="O2025" s="428"/>
      <c r="P2025" s="222">
        <f t="shared" si="142"/>
        <v>0</v>
      </c>
      <c r="Q2025" s="222">
        <f t="shared" si="143"/>
        <v>0</v>
      </c>
      <c r="R2025" s="532" t="str">
        <f t="shared" si="144"/>
        <v/>
      </c>
      <c r="S2025" s="533"/>
      <c r="T2025" s="533"/>
      <c r="U2025" s="496"/>
      <c r="V2025" s="496"/>
      <c r="W2025" s="496"/>
    </row>
    <row r="2026" spans="1:23" x14ac:dyDescent="0.2">
      <c r="A2026" s="510" t="str">
        <f t="shared" si="141"/>
        <v/>
      </c>
      <c r="B2026" s="428"/>
      <c r="C2026" s="424"/>
      <c r="D2026" s="415"/>
      <c r="E2026" s="415"/>
      <c r="F2026" s="425"/>
      <c r="G2026" s="415"/>
      <c r="H2026" s="415"/>
      <c r="I2026" s="473"/>
      <c r="J2026" s="415"/>
      <c r="K2026" s="415"/>
      <c r="L2026" s="415"/>
      <c r="M2026" s="415"/>
      <c r="N2026" s="414"/>
      <c r="O2026" s="428"/>
      <c r="P2026" s="222">
        <f t="shared" si="142"/>
        <v>0</v>
      </c>
      <c r="Q2026" s="222">
        <f t="shared" si="143"/>
        <v>0</v>
      </c>
      <c r="R2026" s="532" t="str">
        <f t="shared" si="144"/>
        <v/>
      </c>
      <c r="S2026" s="533"/>
      <c r="T2026" s="533"/>
      <c r="U2026" s="496"/>
      <c r="V2026" s="496"/>
      <c r="W2026" s="496"/>
    </row>
    <row r="2027" spans="1:23" x14ac:dyDescent="0.2">
      <c r="A2027" s="510" t="str">
        <f t="shared" si="141"/>
        <v/>
      </c>
      <c r="B2027" s="428"/>
      <c r="C2027" s="424"/>
      <c r="D2027" s="415"/>
      <c r="E2027" s="415"/>
      <c r="F2027" s="425"/>
      <c r="G2027" s="415"/>
      <c r="H2027" s="415"/>
      <c r="I2027" s="473"/>
      <c r="J2027" s="415"/>
      <c r="K2027" s="415"/>
      <c r="L2027" s="415"/>
      <c r="M2027" s="415"/>
      <c r="N2027" s="414"/>
      <c r="O2027" s="428"/>
      <c r="P2027" s="222">
        <f t="shared" si="142"/>
        <v>0</v>
      </c>
      <c r="Q2027" s="222">
        <f t="shared" si="143"/>
        <v>0</v>
      </c>
      <c r="R2027" s="532" t="str">
        <f t="shared" si="144"/>
        <v/>
      </c>
      <c r="S2027" s="533"/>
      <c r="T2027" s="533"/>
      <c r="U2027" s="496"/>
      <c r="V2027" s="496"/>
      <c r="W2027" s="496"/>
    </row>
    <row r="2028" spans="1:23" x14ac:dyDescent="0.2">
      <c r="A2028" s="510" t="str">
        <f t="shared" si="141"/>
        <v/>
      </c>
      <c r="B2028" s="428"/>
      <c r="C2028" s="424"/>
      <c r="D2028" s="415"/>
      <c r="E2028" s="415"/>
      <c r="F2028" s="425"/>
      <c r="G2028" s="415"/>
      <c r="H2028" s="415"/>
      <c r="I2028" s="473"/>
      <c r="J2028" s="415"/>
      <c r="K2028" s="415"/>
      <c r="L2028" s="415"/>
      <c r="M2028" s="415"/>
      <c r="N2028" s="414"/>
      <c r="O2028" s="428"/>
      <c r="P2028" s="222">
        <f t="shared" si="142"/>
        <v>0</v>
      </c>
      <c r="Q2028" s="222">
        <f t="shared" si="143"/>
        <v>0</v>
      </c>
      <c r="R2028" s="532" t="str">
        <f t="shared" si="144"/>
        <v/>
      </c>
      <c r="S2028" s="533"/>
      <c r="T2028" s="533"/>
      <c r="U2028" s="496"/>
      <c r="V2028" s="496"/>
      <c r="W2028" s="496"/>
    </row>
    <row r="2029" spans="1:23" x14ac:dyDescent="0.2">
      <c r="A2029" s="510" t="str">
        <f t="shared" si="141"/>
        <v/>
      </c>
      <c r="B2029" s="428"/>
      <c r="C2029" s="424"/>
      <c r="D2029" s="415"/>
      <c r="E2029" s="415"/>
      <c r="F2029" s="425"/>
      <c r="G2029" s="415"/>
      <c r="H2029" s="415"/>
      <c r="I2029" s="473"/>
      <c r="J2029" s="415"/>
      <c r="K2029" s="415"/>
      <c r="L2029" s="415"/>
      <c r="M2029" s="415"/>
      <c r="N2029" s="414"/>
      <c r="O2029" s="428"/>
      <c r="P2029" s="222">
        <f t="shared" si="142"/>
        <v>0</v>
      </c>
      <c r="Q2029" s="222">
        <f t="shared" si="143"/>
        <v>0</v>
      </c>
      <c r="R2029" s="532" t="str">
        <f t="shared" si="144"/>
        <v/>
      </c>
      <c r="S2029" s="533"/>
      <c r="T2029" s="533"/>
      <c r="U2029" s="496"/>
      <c r="V2029" s="496"/>
      <c r="W2029" s="496"/>
    </row>
    <row r="2030" spans="1:23" x14ac:dyDescent="0.2">
      <c r="A2030" s="510" t="str">
        <f t="shared" si="141"/>
        <v/>
      </c>
      <c r="B2030" s="428"/>
      <c r="C2030" s="424"/>
      <c r="D2030" s="415"/>
      <c r="E2030" s="415"/>
      <c r="F2030" s="425"/>
      <c r="G2030" s="415"/>
      <c r="H2030" s="415"/>
      <c r="I2030" s="473"/>
      <c r="J2030" s="415"/>
      <c r="K2030" s="415"/>
      <c r="L2030" s="415"/>
      <c r="M2030" s="415"/>
      <c r="N2030" s="414"/>
      <c r="O2030" s="428"/>
      <c r="P2030" s="222">
        <f t="shared" si="142"/>
        <v>0</v>
      </c>
      <c r="Q2030" s="222">
        <f t="shared" si="143"/>
        <v>0</v>
      </c>
      <c r="R2030" s="532" t="str">
        <f t="shared" si="144"/>
        <v/>
      </c>
      <c r="S2030" s="533"/>
      <c r="T2030" s="533"/>
      <c r="U2030" s="496"/>
      <c r="V2030" s="496"/>
      <c r="W2030" s="496"/>
    </row>
    <row r="2031" spans="1:23" x14ac:dyDescent="0.2">
      <c r="A2031" s="510" t="str">
        <f t="shared" si="141"/>
        <v/>
      </c>
      <c r="B2031" s="428"/>
      <c r="C2031" s="424"/>
      <c r="D2031" s="415"/>
      <c r="E2031" s="415"/>
      <c r="F2031" s="425"/>
      <c r="G2031" s="415"/>
      <c r="H2031" s="415"/>
      <c r="I2031" s="473"/>
      <c r="J2031" s="415"/>
      <c r="K2031" s="415"/>
      <c r="L2031" s="415"/>
      <c r="M2031" s="415"/>
      <c r="N2031" s="414"/>
      <c r="O2031" s="428"/>
      <c r="P2031" s="222">
        <f t="shared" si="142"/>
        <v>0</v>
      </c>
      <c r="Q2031" s="222">
        <f t="shared" si="143"/>
        <v>0</v>
      </c>
      <c r="R2031" s="532" t="str">
        <f t="shared" si="144"/>
        <v/>
      </c>
      <c r="S2031" s="533"/>
      <c r="T2031" s="533"/>
      <c r="U2031" s="496"/>
      <c r="V2031" s="496"/>
      <c r="W2031" s="496"/>
    </row>
    <row r="2032" spans="1:23" x14ac:dyDescent="0.2">
      <c r="A2032" s="510" t="str">
        <f t="shared" si="141"/>
        <v/>
      </c>
      <c r="B2032" s="428"/>
      <c r="C2032" s="424"/>
      <c r="D2032" s="415"/>
      <c r="E2032" s="415"/>
      <c r="F2032" s="425"/>
      <c r="G2032" s="415"/>
      <c r="H2032" s="415"/>
      <c r="I2032" s="473"/>
      <c r="J2032" s="415"/>
      <c r="K2032" s="415"/>
      <c r="L2032" s="415"/>
      <c r="M2032" s="415"/>
      <c r="N2032" s="414"/>
      <c r="O2032" s="428"/>
      <c r="P2032" s="222">
        <f t="shared" si="142"/>
        <v>0</v>
      </c>
      <c r="Q2032" s="222">
        <f t="shared" si="143"/>
        <v>0</v>
      </c>
      <c r="R2032" s="532" t="str">
        <f t="shared" si="144"/>
        <v/>
      </c>
      <c r="S2032" s="533"/>
      <c r="T2032" s="533"/>
      <c r="U2032" s="496"/>
      <c r="V2032" s="496"/>
      <c r="W2032" s="496"/>
    </row>
    <row r="2033" spans="1:23" x14ac:dyDescent="0.2">
      <c r="A2033" s="510" t="str">
        <f t="shared" si="141"/>
        <v/>
      </c>
      <c r="B2033" s="428"/>
      <c r="C2033" s="424"/>
      <c r="D2033" s="415"/>
      <c r="E2033" s="415"/>
      <c r="F2033" s="425"/>
      <c r="G2033" s="415"/>
      <c r="H2033" s="415"/>
      <c r="I2033" s="473"/>
      <c r="J2033" s="415"/>
      <c r="K2033" s="415"/>
      <c r="L2033" s="415"/>
      <c r="M2033" s="415"/>
      <c r="N2033" s="414"/>
      <c r="O2033" s="428"/>
      <c r="P2033" s="222">
        <f t="shared" si="142"/>
        <v>0</v>
      </c>
      <c r="Q2033" s="222">
        <f t="shared" si="143"/>
        <v>0</v>
      </c>
      <c r="R2033" s="532" t="str">
        <f t="shared" si="144"/>
        <v/>
      </c>
      <c r="S2033" s="533"/>
      <c r="T2033" s="533"/>
      <c r="U2033" s="496"/>
      <c r="V2033" s="496"/>
      <c r="W2033" s="496"/>
    </row>
    <row r="2034" spans="1:23" x14ac:dyDescent="0.2">
      <c r="A2034" s="510" t="str">
        <f t="shared" si="141"/>
        <v/>
      </c>
      <c r="B2034" s="428"/>
      <c r="C2034" s="424"/>
      <c r="D2034" s="415"/>
      <c r="E2034" s="415"/>
      <c r="F2034" s="425"/>
      <c r="G2034" s="415"/>
      <c r="H2034" s="415"/>
      <c r="I2034" s="473"/>
      <c r="J2034" s="415"/>
      <c r="K2034" s="415"/>
      <c r="L2034" s="415"/>
      <c r="M2034" s="415"/>
      <c r="N2034" s="414"/>
      <c r="O2034" s="428"/>
      <c r="P2034" s="222">
        <f t="shared" si="142"/>
        <v>0</v>
      </c>
      <c r="Q2034" s="222">
        <f t="shared" si="143"/>
        <v>0</v>
      </c>
      <c r="R2034" s="532" t="str">
        <f t="shared" si="144"/>
        <v/>
      </c>
      <c r="S2034" s="533"/>
      <c r="T2034" s="533"/>
      <c r="U2034" s="496"/>
      <c r="V2034" s="496"/>
      <c r="W2034" s="496"/>
    </row>
    <row r="2035" spans="1:23" x14ac:dyDescent="0.2">
      <c r="A2035" s="510" t="str">
        <f t="shared" si="141"/>
        <v/>
      </c>
      <c r="B2035" s="428"/>
      <c r="C2035" s="424"/>
      <c r="D2035" s="415"/>
      <c r="E2035" s="415"/>
      <c r="F2035" s="425"/>
      <c r="G2035" s="415"/>
      <c r="H2035" s="415"/>
      <c r="I2035" s="473"/>
      <c r="J2035" s="415"/>
      <c r="K2035" s="415"/>
      <c r="L2035" s="415"/>
      <c r="M2035" s="415"/>
      <c r="N2035" s="414"/>
      <c r="O2035" s="428"/>
      <c r="P2035" s="222">
        <f t="shared" si="142"/>
        <v>0</v>
      </c>
      <c r="Q2035" s="222">
        <f t="shared" si="143"/>
        <v>0</v>
      </c>
      <c r="R2035" s="532" t="str">
        <f t="shared" si="144"/>
        <v/>
      </c>
      <c r="S2035" s="533"/>
      <c r="T2035" s="533"/>
      <c r="U2035" s="496"/>
      <c r="V2035" s="496"/>
      <c r="W2035" s="496"/>
    </row>
    <row r="2036" spans="1:23" x14ac:dyDescent="0.2">
      <c r="A2036" s="510" t="str">
        <f t="shared" si="141"/>
        <v/>
      </c>
      <c r="B2036" s="428"/>
      <c r="C2036" s="424"/>
      <c r="D2036" s="415"/>
      <c r="E2036" s="415"/>
      <c r="F2036" s="425"/>
      <c r="G2036" s="415"/>
      <c r="H2036" s="415"/>
      <c r="I2036" s="473"/>
      <c r="J2036" s="415"/>
      <c r="K2036" s="415"/>
      <c r="L2036" s="415"/>
      <c r="M2036" s="415"/>
      <c r="N2036" s="414"/>
      <c r="O2036" s="428"/>
      <c r="P2036" s="222">
        <f t="shared" si="142"/>
        <v>0</v>
      </c>
      <c r="Q2036" s="222">
        <f t="shared" si="143"/>
        <v>0</v>
      </c>
      <c r="R2036" s="532" t="str">
        <f t="shared" si="144"/>
        <v/>
      </c>
      <c r="S2036" s="533"/>
      <c r="T2036" s="533"/>
      <c r="U2036" s="496"/>
      <c r="V2036" s="496"/>
      <c r="W2036" s="496"/>
    </row>
    <row r="2037" spans="1:23" x14ac:dyDescent="0.2">
      <c r="A2037" s="510" t="str">
        <f t="shared" si="141"/>
        <v/>
      </c>
      <c r="B2037" s="428"/>
      <c r="C2037" s="424"/>
      <c r="D2037" s="415"/>
      <c r="E2037" s="415"/>
      <c r="F2037" s="425"/>
      <c r="G2037" s="415"/>
      <c r="H2037" s="415"/>
      <c r="I2037" s="473"/>
      <c r="J2037" s="415"/>
      <c r="K2037" s="415"/>
      <c r="L2037" s="415"/>
      <c r="M2037" s="415"/>
      <c r="N2037" s="414"/>
      <c r="O2037" s="428"/>
      <c r="P2037" s="222">
        <f t="shared" si="142"/>
        <v>0</v>
      </c>
      <c r="Q2037" s="222">
        <f t="shared" si="143"/>
        <v>0</v>
      </c>
      <c r="R2037" s="532" t="str">
        <f t="shared" si="144"/>
        <v/>
      </c>
      <c r="S2037" s="533"/>
      <c r="T2037" s="533"/>
      <c r="U2037" s="496"/>
      <c r="V2037" s="496"/>
      <c r="W2037" s="496"/>
    </row>
    <row r="2038" spans="1:23" x14ac:dyDescent="0.2">
      <c r="A2038" s="510" t="str">
        <f t="shared" si="141"/>
        <v/>
      </c>
      <c r="B2038" s="428"/>
      <c r="C2038" s="424"/>
      <c r="D2038" s="415"/>
      <c r="E2038" s="415"/>
      <c r="F2038" s="425"/>
      <c r="G2038" s="415"/>
      <c r="H2038" s="415"/>
      <c r="I2038" s="473"/>
      <c r="J2038" s="415"/>
      <c r="K2038" s="415"/>
      <c r="L2038" s="415"/>
      <c r="M2038" s="415"/>
      <c r="N2038" s="414"/>
      <c r="O2038" s="428"/>
      <c r="P2038" s="222">
        <f t="shared" si="142"/>
        <v>0</v>
      </c>
      <c r="Q2038" s="222">
        <f t="shared" si="143"/>
        <v>0</v>
      </c>
      <c r="R2038" s="532" t="str">
        <f t="shared" si="144"/>
        <v/>
      </c>
      <c r="S2038" s="533"/>
      <c r="T2038" s="533"/>
      <c r="U2038" s="496"/>
      <c r="V2038" s="496"/>
      <c r="W2038" s="496"/>
    </row>
    <row r="2039" spans="1:23" x14ac:dyDescent="0.2">
      <c r="A2039" s="510" t="str">
        <f t="shared" si="141"/>
        <v/>
      </c>
      <c r="B2039" s="428"/>
      <c r="C2039" s="424"/>
      <c r="D2039" s="415"/>
      <c r="E2039" s="415"/>
      <c r="F2039" s="425"/>
      <c r="G2039" s="415"/>
      <c r="H2039" s="415"/>
      <c r="I2039" s="473"/>
      <c r="J2039" s="415"/>
      <c r="K2039" s="415"/>
      <c r="L2039" s="415"/>
      <c r="M2039" s="415"/>
      <c r="N2039" s="414"/>
      <c r="O2039" s="428"/>
      <c r="P2039" s="222">
        <f t="shared" si="142"/>
        <v>0</v>
      </c>
      <c r="Q2039" s="222">
        <f t="shared" si="143"/>
        <v>0</v>
      </c>
      <c r="R2039" s="532" t="str">
        <f t="shared" si="144"/>
        <v/>
      </c>
      <c r="S2039" s="533"/>
      <c r="T2039" s="533"/>
      <c r="U2039" s="496"/>
      <c r="V2039" s="496"/>
      <c r="W2039" s="496"/>
    </row>
    <row r="2040" spans="1:23" x14ac:dyDescent="0.2">
      <c r="A2040" s="510" t="str">
        <f t="shared" si="141"/>
        <v/>
      </c>
      <c r="B2040" s="428"/>
      <c r="C2040" s="424"/>
      <c r="D2040" s="415"/>
      <c r="E2040" s="415"/>
      <c r="F2040" s="425"/>
      <c r="G2040" s="415"/>
      <c r="H2040" s="415"/>
      <c r="I2040" s="473"/>
      <c r="J2040" s="415"/>
      <c r="K2040" s="415"/>
      <c r="L2040" s="415"/>
      <c r="M2040" s="415"/>
      <c r="N2040" s="414"/>
      <c r="O2040" s="428"/>
      <c r="P2040" s="222">
        <f t="shared" si="142"/>
        <v>0</v>
      </c>
      <c r="Q2040" s="222">
        <f t="shared" si="143"/>
        <v>0</v>
      </c>
      <c r="R2040" s="532" t="str">
        <f t="shared" si="144"/>
        <v/>
      </c>
      <c r="S2040" s="533"/>
      <c r="T2040" s="533"/>
      <c r="U2040" s="496"/>
      <c r="V2040" s="496"/>
      <c r="W2040" s="496"/>
    </row>
    <row r="2041" spans="1:23" x14ac:dyDescent="0.2">
      <c r="A2041" s="510" t="str">
        <f t="shared" si="141"/>
        <v/>
      </c>
      <c r="B2041" s="428"/>
      <c r="C2041" s="424"/>
      <c r="D2041" s="415"/>
      <c r="E2041" s="415"/>
      <c r="F2041" s="425"/>
      <c r="G2041" s="415"/>
      <c r="H2041" s="415"/>
      <c r="I2041" s="473"/>
      <c r="J2041" s="415"/>
      <c r="K2041" s="415"/>
      <c r="L2041" s="415"/>
      <c r="M2041" s="415"/>
      <c r="N2041" s="414"/>
      <c r="O2041" s="428"/>
      <c r="P2041" s="222">
        <f t="shared" si="142"/>
        <v>0</v>
      </c>
      <c r="Q2041" s="222">
        <f t="shared" si="143"/>
        <v>0</v>
      </c>
      <c r="R2041" s="532" t="str">
        <f t="shared" si="144"/>
        <v/>
      </c>
      <c r="S2041" s="533"/>
      <c r="T2041" s="533"/>
      <c r="U2041" s="496"/>
      <c r="V2041" s="496"/>
      <c r="W2041" s="496"/>
    </row>
    <row r="2042" spans="1:23" x14ac:dyDescent="0.2">
      <c r="A2042" s="510" t="str">
        <f t="shared" si="141"/>
        <v/>
      </c>
      <c r="B2042" s="428"/>
      <c r="C2042" s="424"/>
      <c r="D2042" s="415"/>
      <c r="E2042" s="415"/>
      <c r="F2042" s="425"/>
      <c r="G2042" s="415"/>
      <c r="H2042" s="415"/>
      <c r="I2042" s="473"/>
      <c r="J2042" s="415"/>
      <c r="K2042" s="415"/>
      <c r="L2042" s="415"/>
      <c r="M2042" s="415"/>
      <c r="N2042" s="414"/>
      <c r="O2042" s="428"/>
      <c r="P2042" s="222">
        <f t="shared" si="142"/>
        <v>0</v>
      </c>
      <c r="Q2042" s="222">
        <f t="shared" si="143"/>
        <v>0</v>
      </c>
      <c r="R2042" s="532" t="str">
        <f t="shared" si="144"/>
        <v/>
      </c>
      <c r="S2042" s="533"/>
      <c r="T2042" s="533"/>
      <c r="U2042" s="496"/>
      <c r="V2042" s="496"/>
      <c r="W2042" s="496"/>
    </row>
    <row r="2043" spans="1:23" x14ac:dyDescent="0.2">
      <c r="A2043" s="510" t="str">
        <f t="shared" si="141"/>
        <v/>
      </c>
      <c r="B2043" s="428"/>
      <c r="C2043" s="424"/>
      <c r="D2043" s="415"/>
      <c r="E2043" s="415"/>
      <c r="F2043" s="425"/>
      <c r="G2043" s="415"/>
      <c r="H2043" s="415"/>
      <c r="I2043" s="473"/>
      <c r="J2043" s="415"/>
      <c r="K2043" s="415"/>
      <c r="L2043" s="415"/>
      <c r="M2043" s="415"/>
      <c r="N2043" s="414"/>
      <c r="O2043" s="428"/>
      <c r="P2043" s="222">
        <f t="shared" si="142"/>
        <v>0</v>
      </c>
      <c r="Q2043" s="222">
        <f t="shared" si="143"/>
        <v>0</v>
      </c>
      <c r="R2043" s="532" t="str">
        <f t="shared" si="144"/>
        <v/>
      </c>
      <c r="S2043" s="533"/>
      <c r="T2043" s="533"/>
      <c r="U2043" s="496"/>
      <c r="V2043" s="496"/>
      <c r="W2043" s="496"/>
    </row>
    <row r="2044" spans="1:23" x14ac:dyDescent="0.2">
      <c r="A2044" s="510" t="str">
        <f t="shared" si="141"/>
        <v/>
      </c>
      <c r="B2044" s="428"/>
      <c r="C2044" s="424"/>
      <c r="D2044" s="415"/>
      <c r="E2044" s="415"/>
      <c r="F2044" s="425"/>
      <c r="G2044" s="415"/>
      <c r="H2044" s="415"/>
      <c r="I2044" s="473"/>
      <c r="J2044" s="415"/>
      <c r="K2044" s="415"/>
      <c r="L2044" s="415"/>
      <c r="M2044" s="415"/>
      <c r="N2044" s="414"/>
      <c r="O2044" s="428"/>
      <c r="P2044" s="222">
        <f t="shared" si="142"/>
        <v>0</v>
      </c>
      <c r="Q2044" s="222">
        <f t="shared" si="143"/>
        <v>0</v>
      </c>
      <c r="R2044" s="532" t="str">
        <f t="shared" si="144"/>
        <v/>
      </c>
      <c r="S2044" s="533"/>
      <c r="T2044" s="533"/>
      <c r="U2044" s="496"/>
      <c r="V2044" s="496"/>
      <c r="W2044" s="496"/>
    </row>
    <row r="2045" spans="1:23" x14ac:dyDescent="0.2">
      <c r="A2045" s="510" t="str">
        <f t="shared" si="141"/>
        <v/>
      </c>
      <c r="B2045" s="428"/>
      <c r="C2045" s="424"/>
      <c r="D2045" s="415"/>
      <c r="E2045" s="415"/>
      <c r="F2045" s="425"/>
      <c r="G2045" s="415"/>
      <c r="H2045" s="415"/>
      <c r="I2045" s="473"/>
      <c r="J2045" s="415"/>
      <c r="K2045" s="415"/>
      <c r="L2045" s="415"/>
      <c r="M2045" s="415"/>
      <c r="N2045" s="414"/>
      <c r="O2045" s="428"/>
      <c r="P2045" s="222">
        <f t="shared" si="142"/>
        <v>0</v>
      </c>
      <c r="Q2045" s="222">
        <f t="shared" si="143"/>
        <v>0</v>
      </c>
      <c r="R2045" s="532" t="str">
        <f t="shared" si="144"/>
        <v/>
      </c>
      <c r="S2045" s="533"/>
      <c r="T2045" s="533"/>
      <c r="U2045" s="496"/>
      <c r="V2045" s="496"/>
      <c r="W2045" s="496"/>
    </row>
    <row r="2046" spans="1:23" x14ac:dyDescent="0.2">
      <c r="A2046" s="510" t="str">
        <f t="shared" si="141"/>
        <v/>
      </c>
      <c r="B2046" s="428"/>
      <c r="C2046" s="424"/>
      <c r="D2046" s="415"/>
      <c r="E2046" s="415"/>
      <c r="F2046" s="425"/>
      <c r="G2046" s="415"/>
      <c r="H2046" s="415"/>
      <c r="I2046" s="473"/>
      <c r="J2046" s="415"/>
      <c r="K2046" s="415"/>
      <c r="L2046" s="415"/>
      <c r="M2046" s="415"/>
      <c r="N2046" s="414"/>
      <c r="O2046" s="428"/>
      <c r="P2046" s="222">
        <f t="shared" si="142"/>
        <v>0</v>
      </c>
      <c r="Q2046" s="222">
        <f t="shared" si="143"/>
        <v>0</v>
      </c>
      <c r="R2046" s="532" t="str">
        <f t="shared" si="144"/>
        <v/>
      </c>
      <c r="S2046" s="533"/>
      <c r="T2046" s="533"/>
      <c r="U2046" s="496"/>
      <c r="V2046" s="496"/>
      <c r="W2046" s="496"/>
    </row>
    <row r="2047" spans="1:23" x14ac:dyDescent="0.2">
      <c r="A2047" s="510" t="str">
        <f t="shared" si="141"/>
        <v/>
      </c>
      <c r="B2047" s="428"/>
      <c r="C2047" s="424"/>
      <c r="D2047" s="415"/>
      <c r="E2047" s="415"/>
      <c r="F2047" s="425"/>
      <c r="G2047" s="415"/>
      <c r="H2047" s="415"/>
      <c r="I2047" s="473"/>
      <c r="J2047" s="415"/>
      <c r="K2047" s="415"/>
      <c r="L2047" s="415"/>
      <c r="M2047" s="415"/>
      <c r="N2047" s="414"/>
      <c r="O2047" s="428"/>
      <c r="P2047" s="222">
        <f t="shared" si="142"/>
        <v>0</v>
      </c>
      <c r="Q2047" s="222">
        <f t="shared" si="143"/>
        <v>0</v>
      </c>
      <c r="R2047" s="532" t="str">
        <f t="shared" si="144"/>
        <v/>
      </c>
      <c r="S2047" s="533"/>
      <c r="T2047" s="533"/>
      <c r="U2047" s="496"/>
      <c r="V2047" s="496"/>
      <c r="W2047" s="496"/>
    </row>
    <row r="2048" spans="1:23" x14ac:dyDescent="0.2">
      <c r="A2048" s="510" t="str">
        <f t="shared" si="141"/>
        <v/>
      </c>
      <c r="B2048" s="428"/>
      <c r="C2048" s="424"/>
      <c r="D2048" s="415"/>
      <c r="E2048" s="415"/>
      <c r="F2048" s="425"/>
      <c r="G2048" s="415"/>
      <c r="H2048" s="415"/>
      <c r="I2048" s="473"/>
      <c r="J2048" s="415"/>
      <c r="K2048" s="415"/>
      <c r="L2048" s="415"/>
      <c r="M2048" s="415"/>
      <c r="N2048" s="414"/>
      <c r="O2048" s="428"/>
      <c r="P2048" s="222">
        <f t="shared" si="142"/>
        <v>0</v>
      </c>
      <c r="Q2048" s="222">
        <f t="shared" si="143"/>
        <v>0</v>
      </c>
      <c r="R2048" s="532" t="str">
        <f t="shared" si="144"/>
        <v/>
      </c>
      <c r="S2048" s="533"/>
      <c r="T2048" s="533"/>
      <c r="U2048" s="496"/>
      <c r="V2048" s="496"/>
      <c r="W2048" s="496"/>
    </row>
    <row r="2049" spans="1:23" x14ac:dyDescent="0.2">
      <c r="A2049" s="510" t="str">
        <f t="shared" si="141"/>
        <v/>
      </c>
      <c r="B2049" s="428"/>
      <c r="C2049" s="424"/>
      <c r="D2049" s="415"/>
      <c r="E2049" s="415"/>
      <c r="F2049" s="425"/>
      <c r="G2049" s="415"/>
      <c r="H2049" s="415"/>
      <c r="I2049" s="473"/>
      <c r="J2049" s="415"/>
      <c r="K2049" s="415"/>
      <c r="L2049" s="415"/>
      <c r="M2049" s="415"/>
      <c r="N2049" s="414"/>
      <c r="O2049" s="428"/>
      <c r="P2049" s="222">
        <f t="shared" si="142"/>
        <v>0</v>
      </c>
      <c r="Q2049" s="222">
        <f t="shared" si="143"/>
        <v>0</v>
      </c>
      <c r="R2049" s="532" t="str">
        <f t="shared" si="144"/>
        <v/>
      </c>
      <c r="S2049" s="533"/>
      <c r="T2049" s="533"/>
      <c r="U2049" s="496"/>
      <c r="V2049" s="496"/>
      <c r="W2049" s="496"/>
    </row>
    <row r="2050" spans="1:23" x14ac:dyDescent="0.2">
      <c r="A2050" s="510" t="str">
        <f t="shared" si="141"/>
        <v/>
      </c>
      <c r="B2050" s="428"/>
      <c r="C2050" s="424"/>
      <c r="D2050" s="415"/>
      <c r="E2050" s="415"/>
      <c r="F2050" s="425"/>
      <c r="G2050" s="415"/>
      <c r="H2050" s="415"/>
      <c r="I2050" s="473"/>
      <c r="J2050" s="415"/>
      <c r="K2050" s="415"/>
      <c r="L2050" s="415"/>
      <c r="M2050" s="415"/>
      <c r="N2050" s="414"/>
      <c r="O2050" s="428"/>
      <c r="P2050" s="222">
        <f t="shared" si="142"/>
        <v>0</v>
      </c>
      <c r="Q2050" s="222">
        <f t="shared" si="143"/>
        <v>0</v>
      </c>
      <c r="R2050" s="532" t="str">
        <f t="shared" si="144"/>
        <v/>
      </c>
      <c r="S2050" s="533"/>
      <c r="T2050" s="533"/>
      <c r="U2050" s="496"/>
      <c r="V2050" s="496"/>
      <c r="W2050" s="496"/>
    </row>
    <row r="2051" spans="1:23" x14ac:dyDescent="0.2">
      <c r="A2051" s="510" t="str">
        <f t="shared" si="141"/>
        <v/>
      </c>
      <c r="B2051" s="428"/>
      <c r="C2051" s="424"/>
      <c r="D2051" s="415"/>
      <c r="E2051" s="415"/>
      <c r="F2051" s="425"/>
      <c r="G2051" s="415"/>
      <c r="H2051" s="415"/>
      <c r="I2051" s="473"/>
      <c r="J2051" s="415"/>
      <c r="K2051" s="415"/>
      <c r="L2051" s="415"/>
      <c r="M2051" s="415"/>
      <c r="N2051" s="414"/>
      <c r="O2051" s="428"/>
      <c r="P2051" s="222">
        <f t="shared" si="142"/>
        <v>0</v>
      </c>
      <c r="Q2051" s="222">
        <f t="shared" si="143"/>
        <v>0</v>
      </c>
      <c r="R2051" s="532" t="str">
        <f t="shared" si="144"/>
        <v/>
      </c>
      <c r="S2051" s="533"/>
      <c r="T2051" s="533"/>
      <c r="U2051" s="496"/>
      <c r="V2051" s="496"/>
      <c r="W2051" s="496"/>
    </row>
    <row r="2052" spans="1:23" x14ac:dyDescent="0.2">
      <c r="A2052" s="510" t="str">
        <f t="shared" si="141"/>
        <v/>
      </c>
      <c r="B2052" s="428"/>
      <c r="C2052" s="424"/>
      <c r="D2052" s="415"/>
      <c r="E2052" s="415"/>
      <c r="F2052" s="425"/>
      <c r="G2052" s="415"/>
      <c r="H2052" s="415"/>
      <c r="I2052" s="473"/>
      <c r="J2052" s="415"/>
      <c r="K2052" s="415"/>
      <c r="L2052" s="415"/>
      <c r="M2052" s="415"/>
      <c r="N2052" s="414"/>
      <c r="O2052" s="428"/>
      <c r="P2052" s="222">
        <f t="shared" si="142"/>
        <v>0</v>
      </c>
      <c r="Q2052" s="222">
        <f t="shared" si="143"/>
        <v>0</v>
      </c>
      <c r="R2052" s="532" t="str">
        <f t="shared" si="144"/>
        <v/>
      </c>
      <c r="S2052" s="533"/>
      <c r="T2052" s="533"/>
      <c r="U2052" s="496"/>
      <c r="V2052" s="496"/>
      <c r="W2052" s="496"/>
    </row>
    <row r="2053" spans="1:23" x14ac:dyDescent="0.2">
      <c r="A2053" s="510" t="str">
        <f t="shared" si="141"/>
        <v/>
      </c>
      <c r="B2053" s="428"/>
      <c r="C2053" s="424"/>
      <c r="D2053" s="415"/>
      <c r="E2053" s="415"/>
      <c r="F2053" s="425"/>
      <c r="G2053" s="415"/>
      <c r="H2053" s="415"/>
      <c r="I2053" s="473"/>
      <c r="J2053" s="415"/>
      <c r="K2053" s="415"/>
      <c r="L2053" s="415"/>
      <c r="M2053" s="415"/>
      <c r="N2053" s="414"/>
      <c r="O2053" s="428"/>
      <c r="P2053" s="222">
        <f t="shared" si="142"/>
        <v>0</v>
      </c>
      <c r="Q2053" s="222">
        <f t="shared" si="143"/>
        <v>0</v>
      </c>
      <c r="R2053" s="532" t="str">
        <f t="shared" si="144"/>
        <v/>
      </c>
      <c r="S2053" s="533"/>
      <c r="T2053" s="533"/>
      <c r="U2053" s="496"/>
      <c r="V2053" s="496"/>
      <c r="W2053" s="496"/>
    </row>
    <row r="2054" spans="1:23" x14ac:dyDescent="0.2">
      <c r="A2054" s="510" t="str">
        <f t="shared" si="141"/>
        <v/>
      </c>
      <c r="B2054" s="428"/>
      <c r="C2054" s="424"/>
      <c r="D2054" s="415"/>
      <c r="E2054" s="415"/>
      <c r="F2054" s="425"/>
      <c r="G2054" s="415"/>
      <c r="H2054" s="415"/>
      <c r="I2054" s="473"/>
      <c r="J2054" s="415"/>
      <c r="K2054" s="415"/>
      <c r="L2054" s="415"/>
      <c r="M2054" s="415"/>
      <c r="N2054" s="414"/>
      <c r="O2054" s="428"/>
      <c r="P2054" s="222">
        <f t="shared" si="142"/>
        <v>0</v>
      </c>
      <c r="Q2054" s="222">
        <f t="shared" si="143"/>
        <v>0</v>
      </c>
      <c r="R2054" s="532" t="str">
        <f t="shared" si="144"/>
        <v/>
      </c>
      <c r="S2054" s="533"/>
      <c r="T2054" s="533"/>
      <c r="U2054" s="496"/>
      <c r="V2054" s="496"/>
      <c r="W2054" s="496"/>
    </row>
    <row r="2055" spans="1:23" x14ac:dyDescent="0.2">
      <c r="A2055" s="510" t="str">
        <f t="shared" si="141"/>
        <v/>
      </c>
      <c r="B2055" s="428"/>
      <c r="C2055" s="424"/>
      <c r="D2055" s="415"/>
      <c r="E2055" s="415"/>
      <c r="F2055" s="425"/>
      <c r="G2055" s="415"/>
      <c r="H2055" s="415"/>
      <c r="I2055" s="473"/>
      <c r="J2055" s="415"/>
      <c r="K2055" s="415"/>
      <c r="L2055" s="415"/>
      <c r="M2055" s="415"/>
      <c r="N2055" s="414"/>
      <c r="O2055" s="428"/>
      <c r="P2055" s="222">
        <f t="shared" si="142"/>
        <v>0</v>
      </c>
      <c r="Q2055" s="222">
        <f t="shared" si="143"/>
        <v>0</v>
      </c>
      <c r="R2055" s="532" t="str">
        <f t="shared" si="144"/>
        <v/>
      </c>
      <c r="S2055" s="533"/>
      <c r="T2055" s="533"/>
      <c r="U2055" s="496"/>
      <c r="V2055" s="496"/>
      <c r="W2055" s="496"/>
    </row>
    <row r="2056" spans="1:23" x14ac:dyDescent="0.2">
      <c r="A2056" s="510" t="str">
        <f t="shared" si="141"/>
        <v/>
      </c>
      <c r="B2056" s="428"/>
      <c r="C2056" s="424"/>
      <c r="D2056" s="415"/>
      <c r="E2056" s="415"/>
      <c r="F2056" s="425"/>
      <c r="G2056" s="415"/>
      <c r="H2056" s="415"/>
      <c r="I2056" s="473"/>
      <c r="J2056" s="415"/>
      <c r="K2056" s="415"/>
      <c r="L2056" s="415"/>
      <c r="M2056" s="415"/>
      <c r="N2056" s="414"/>
      <c r="O2056" s="428"/>
      <c r="P2056" s="222">
        <f t="shared" si="142"/>
        <v>0</v>
      </c>
      <c r="Q2056" s="222">
        <f t="shared" si="143"/>
        <v>0</v>
      </c>
      <c r="R2056" s="532" t="str">
        <f t="shared" si="144"/>
        <v/>
      </c>
      <c r="S2056" s="533"/>
      <c r="T2056" s="533"/>
      <c r="U2056" s="496"/>
      <c r="V2056" s="496"/>
      <c r="W2056" s="496"/>
    </row>
    <row r="2057" spans="1:23" x14ac:dyDescent="0.2">
      <c r="A2057" s="510" t="str">
        <f t="shared" si="141"/>
        <v/>
      </c>
      <c r="B2057" s="428"/>
      <c r="C2057" s="424"/>
      <c r="D2057" s="415"/>
      <c r="E2057" s="415"/>
      <c r="F2057" s="425"/>
      <c r="G2057" s="415"/>
      <c r="H2057" s="415"/>
      <c r="I2057" s="473"/>
      <c r="J2057" s="415"/>
      <c r="K2057" s="415"/>
      <c r="L2057" s="415"/>
      <c r="M2057" s="415"/>
      <c r="N2057" s="414"/>
      <c r="O2057" s="428"/>
      <c r="P2057" s="222">
        <f t="shared" si="142"/>
        <v>0</v>
      </c>
      <c r="Q2057" s="222">
        <f t="shared" si="143"/>
        <v>0</v>
      </c>
      <c r="R2057" s="532" t="str">
        <f t="shared" si="144"/>
        <v/>
      </c>
      <c r="S2057" s="533"/>
      <c r="T2057" s="533"/>
      <c r="U2057" s="496"/>
      <c r="V2057" s="496"/>
      <c r="W2057" s="496"/>
    </row>
    <row r="2058" spans="1:23" x14ac:dyDescent="0.2">
      <c r="A2058" s="510" t="str">
        <f t="shared" si="141"/>
        <v/>
      </c>
      <c r="B2058" s="428"/>
      <c r="C2058" s="424"/>
      <c r="D2058" s="415"/>
      <c r="E2058" s="415"/>
      <c r="F2058" s="425"/>
      <c r="G2058" s="415"/>
      <c r="H2058" s="415"/>
      <c r="I2058" s="473"/>
      <c r="J2058" s="415"/>
      <c r="K2058" s="415"/>
      <c r="L2058" s="415"/>
      <c r="M2058" s="415"/>
      <c r="N2058" s="414"/>
      <c r="O2058" s="428"/>
      <c r="P2058" s="222">
        <f t="shared" si="142"/>
        <v>0</v>
      </c>
      <c r="Q2058" s="222">
        <f t="shared" si="143"/>
        <v>0</v>
      </c>
      <c r="R2058" s="532" t="str">
        <f t="shared" si="144"/>
        <v/>
      </c>
      <c r="S2058" s="533"/>
      <c r="T2058" s="533"/>
      <c r="U2058" s="496"/>
      <c r="V2058" s="496"/>
      <c r="W2058" s="496"/>
    </row>
    <row r="2059" spans="1:23" x14ac:dyDescent="0.2">
      <c r="A2059" s="510" t="str">
        <f t="shared" si="141"/>
        <v/>
      </c>
      <c r="B2059" s="428"/>
      <c r="C2059" s="424"/>
      <c r="D2059" s="415"/>
      <c r="E2059" s="415"/>
      <c r="F2059" s="425"/>
      <c r="G2059" s="415"/>
      <c r="H2059" s="415"/>
      <c r="I2059" s="473"/>
      <c r="J2059" s="415"/>
      <c r="K2059" s="415"/>
      <c r="L2059" s="415"/>
      <c r="M2059" s="415"/>
      <c r="N2059" s="414"/>
      <c r="O2059" s="428"/>
      <c r="P2059" s="222">
        <f t="shared" si="142"/>
        <v>0</v>
      </c>
      <c r="Q2059" s="222">
        <f t="shared" si="143"/>
        <v>0</v>
      </c>
      <c r="R2059" s="532" t="str">
        <f t="shared" si="144"/>
        <v/>
      </c>
      <c r="S2059" s="533"/>
      <c r="T2059" s="533"/>
      <c r="U2059" s="496"/>
      <c r="V2059" s="496"/>
      <c r="W2059" s="496"/>
    </row>
    <row r="2060" spans="1:23" x14ac:dyDescent="0.2">
      <c r="A2060" s="510" t="str">
        <f t="shared" si="141"/>
        <v/>
      </c>
      <c r="B2060" s="428"/>
      <c r="C2060" s="424"/>
      <c r="D2060" s="415"/>
      <c r="E2060" s="415"/>
      <c r="F2060" s="425"/>
      <c r="G2060" s="415"/>
      <c r="H2060" s="415"/>
      <c r="I2060" s="473"/>
      <c r="J2060" s="415"/>
      <c r="K2060" s="415"/>
      <c r="L2060" s="415"/>
      <c r="M2060" s="415"/>
      <c r="N2060" s="414"/>
      <c r="O2060" s="428"/>
      <c r="P2060" s="222">
        <f t="shared" si="142"/>
        <v>0</v>
      </c>
      <c r="Q2060" s="222">
        <f t="shared" si="143"/>
        <v>0</v>
      </c>
      <c r="R2060" s="532" t="str">
        <f t="shared" si="144"/>
        <v/>
      </c>
      <c r="S2060" s="533"/>
      <c r="T2060" s="533"/>
      <c r="U2060" s="496"/>
      <c r="V2060" s="496"/>
      <c r="W2060" s="496"/>
    </row>
    <row r="2061" spans="1:23" x14ac:dyDescent="0.2">
      <c r="A2061" s="510" t="str">
        <f t="shared" si="141"/>
        <v/>
      </c>
      <c r="B2061" s="428"/>
      <c r="C2061" s="424"/>
      <c r="D2061" s="415"/>
      <c r="E2061" s="415"/>
      <c r="F2061" s="425"/>
      <c r="G2061" s="415"/>
      <c r="H2061" s="415"/>
      <c r="I2061" s="473"/>
      <c r="J2061" s="415"/>
      <c r="K2061" s="415"/>
      <c r="L2061" s="415"/>
      <c r="M2061" s="415"/>
      <c r="N2061" s="414"/>
      <c r="O2061" s="428"/>
      <c r="P2061" s="222">
        <f t="shared" si="142"/>
        <v>0</v>
      </c>
      <c r="Q2061" s="222">
        <f t="shared" si="143"/>
        <v>0</v>
      </c>
      <c r="R2061" s="532" t="str">
        <f t="shared" si="144"/>
        <v/>
      </c>
      <c r="S2061" s="533"/>
      <c r="T2061" s="533"/>
      <c r="U2061" s="496"/>
      <c r="V2061" s="496"/>
      <c r="W2061" s="496"/>
    </row>
    <row r="2062" spans="1:23" x14ac:dyDescent="0.2">
      <c r="A2062" s="510" t="str">
        <f t="shared" si="141"/>
        <v/>
      </c>
      <c r="B2062" s="428"/>
      <c r="C2062" s="424"/>
      <c r="D2062" s="415"/>
      <c r="E2062" s="415"/>
      <c r="F2062" s="425"/>
      <c r="G2062" s="415"/>
      <c r="H2062" s="415"/>
      <c r="I2062" s="473"/>
      <c r="J2062" s="415"/>
      <c r="K2062" s="415"/>
      <c r="L2062" s="415"/>
      <c r="M2062" s="415"/>
      <c r="N2062" s="414"/>
      <c r="O2062" s="428"/>
      <c r="P2062" s="222">
        <f t="shared" si="142"/>
        <v>0</v>
      </c>
      <c r="Q2062" s="222">
        <f t="shared" si="143"/>
        <v>0</v>
      </c>
      <c r="R2062" s="532" t="str">
        <f t="shared" si="144"/>
        <v/>
      </c>
      <c r="S2062" s="533"/>
      <c r="T2062" s="533"/>
      <c r="U2062" s="496"/>
      <c r="V2062" s="496"/>
      <c r="W2062" s="496"/>
    </row>
    <row r="2063" spans="1:23" x14ac:dyDescent="0.2">
      <c r="A2063" s="510" t="str">
        <f t="shared" si="141"/>
        <v/>
      </c>
      <c r="B2063" s="428"/>
      <c r="C2063" s="424"/>
      <c r="D2063" s="415"/>
      <c r="E2063" s="415"/>
      <c r="F2063" s="425"/>
      <c r="G2063" s="415"/>
      <c r="H2063" s="415"/>
      <c r="I2063" s="473"/>
      <c r="J2063" s="415"/>
      <c r="K2063" s="415"/>
      <c r="L2063" s="415"/>
      <c r="M2063" s="415"/>
      <c r="N2063" s="414"/>
      <c r="O2063" s="428"/>
      <c r="P2063" s="222">
        <f t="shared" si="142"/>
        <v>0</v>
      </c>
      <c r="Q2063" s="222">
        <f t="shared" si="143"/>
        <v>0</v>
      </c>
      <c r="R2063" s="532" t="str">
        <f t="shared" si="144"/>
        <v/>
      </c>
      <c r="S2063" s="533"/>
      <c r="T2063" s="533"/>
      <c r="U2063" s="496"/>
      <c r="V2063" s="496"/>
      <c r="W2063" s="496"/>
    </row>
    <row r="2064" spans="1:23" x14ac:dyDescent="0.2">
      <c r="A2064" s="510" t="str">
        <f t="shared" si="141"/>
        <v/>
      </c>
      <c r="B2064" s="428"/>
      <c r="C2064" s="424"/>
      <c r="D2064" s="415"/>
      <c r="E2064" s="415"/>
      <c r="F2064" s="425"/>
      <c r="G2064" s="415"/>
      <c r="H2064" s="415"/>
      <c r="I2064" s="473"/>
      <c r="J2064" s="415"/>
      <c r="K2064" s="415"/>
      <c r="L2064" s="415"/>
      <c r="M2064" s="415"/>
      <c r="N2064" s="414"/>
      <c r="O2064" s="428"/>
      <c r="P2064" s="222">
        <f t="shared" si="142"/>
        <v>0</v>
      </c>
      <c r="Q2064" s="222">
        <f t="shared" si="143"/>
        <v>0</v>
      </c>
      <c r="R2064" s="532" t="str">
        <f t="shared" si="144"/>
        <v/>
      </c>
      <c r="S2064" s="533"/>
      <c r="T2064" s="533"/>
      <c r="U2064" s="496"/>
      <c r="V2064" s="496"/>
      <c r="W2064" s="496"/>
    </row>
    <row r="2065" spans="1:23" x14ac:dyDescent="0.2">
      <c r="A2065" s="510" t="str">
        <f t="shared" si="141"/>
        <v/>
      </c>
      <c r="B2065" s="428"/>
      <c r="C2065" s="424"/>
      <c r="D2065" s="415"/>
      <c r="E2065" s="415"/>
      <c r="F2065" s="425"/>
      <c r="G2065" s="415"/>
      <c r="H2065" s="415"/>
      <c r="I2065" s="473"/>
      <c r="J2065" s="415"/>
      <c r="K2065" s="415"/>
      <c r="L2065" s="415"/>
      <c r="M2065" s="415"/>
      <c r="N2065" s="414"/>
      <c r="O2065" s="428"/>
      <c r="P2065" s="222">
        <f t="shared" si="142"/>
        <v>0</v>
      </c>
      <c r="Q2065" s="222">
        <f t="shared" si="143"/>
        <v>0</v>
      </c>
      <c r="R2065" s="532" t="str">
        <f t="shared" si="144"/>
        <v/>
      </c>
      <c r="S2065" s="533"/>
      <c r="T2065" s="533"/>
      <c r="U2065" s="496"/>
      <c r="V2065" s="496"/>
      <c r="W2065" s="496"/>
    </row>
    <row r="2066" spans="1:23" x14ac:dyDescent="0.2">
      <c r="A2066" s="510" t="str">
        <f t="shared" si="141"/>
        <v/>
      </c>
      <c r="B2066" s="428"/>
      <c r="C2066" s="424"/>
      <c r="D2066" s="415"/>
      <c r="E2066" s="415"/>
      <c r="F2066" s="425"/>
      <c r="G2066" s="415"/>
      <c r="H2066" s="415"/>
      <c r="I2066" s="473"/>
      <c r="J2066" s="415"/>
      <c r="K2066" s="415"/>
      <c r="L2066" s="415"/>
      <c r="M2066" s="415"/>
      <c r="N2066" s="414"/>
      <c r="O2066" s="428"/>
      <c r="P2066" s="222">
        <f t="shared" si="142"/>
        <v>0</v>
      </c>
      <c r="Q2066" s="222">
        <f t="shared" si="143"/>
        <v>0</v>
      </c>
      <c r="R2066" s="532" t="str">
        <f t="shared" si="144"/>
        <v/>
      </c>
      <c r="S2066" s="533"/>
      <c r="T2066" s="533"/>
      <c r="U2066" s="496"/>
      <c r="V2066" s="496"/>
      <c r="W2066" s="496"/>
    </row>
    <row r="2067" spans="1:23" x14ac:dyDescent="0.2">
      <c r="A2067" s="510" t="str">
        <f t="shared" si="141"/>
        <v/>
      </c>
      <c r="B2067" s="428"/>
      <c r="C2067" s="424"/>
      <c r="D2067" s="415"/>
      <c r="E2067" s="415"/>
      <c r="F2067" s="425"/>
      <c r="G2067" s="415"/>
      <c r="H2067" s="415"/>
      <c r="I2067" s="473"/>
      <c r="J2067" s="415"/>
      <c r="K2067" s="415"/>
      <c r="L2067" s="415"/>
      <c r="M2067" s="415"/>
      <c r="N2067" s="414"/>
      <c r="O2067" s="428"/>
      <c r="P2067" s="222">
        <f t="shared" si="142"/>
        <v>0</v>
      </c>
      <c r="Q2067" s="222">
        <f t="shared" si="143"/>
        <v>0</v>
      </c>
      <c r="R2067" s="532" t="str">
        <f t="shared" si="144"/>
        <v/>
      </c>
      <c r="S2067" s="533"/>
      <c r="T2067" s="533"/>
      <c r="U2067" s="496"/>
      <c r="V2067" s="496"/>
      <c r="W2067" s="496"/>
    </row>
    <row r="2068" spans="1:23" x14ac:dyDescent="0.2">
      <c r="A2068" s="510" t="str">
        <f t="shared" si="141"/>
        <v/>
      </c>
      <c r="B2068" s="428"/>
      <c r="C2068" s="424"/>
      <c r="D2068" s="415"/>
      <c r="E2068" s="415"/>
      <c r="F2068" s="425"/>
      <c r="G2068" s="415"/>
      <c r="H2068" s="415"/>
      <c r="I2068" s="473"/>
      <c r="J2068" s="415"/>
      <c r="K2068" s="415"/>
      <c r="L2068" s="415"/>
      <c r="M2068" s="415"/>
      <c r="N2068" s="414"/>
      <c r="O2068" s="428"/>
      <c r="P2068" s="222">
        <f t="shared" si="142"/>
        <v>0</v>
      </c>
      <c r="Q2068" s="222">
        <f t="shared" si="143"/>
        <v>0</v>
      </c>
      <c r="R2068" s="532" t="str">
        <f t="shared" si="144"/>
        <v/>
      </c>
      <c r="S2068" s="533"/>
      <c r="T2068" s="533"/>
      <c r="U2068" s="496"/>
      <c r="V2068" s="496"/>
      <c r="W2068" s="496"/>
    </row>
    <row r="2069" spans="1:23" x14ac:dyDescent="0.2">
      <c r="A2069" s="510" t="str">
        <f t="shared" si="141"/>
        <v/>
      </c>
      <c r="B2069" s="428"/>
      <c r="C2069" s="424"/>
      <c r="D2069" s="415"/>
      <c r="E2069" s="415"/>
      <c r="F2069" s="425"/>
      <c r="G2069" s="415"/>
      <c r="H2069" s="415"/>
      <c r="I2069" s="473"/>
      <c r="J2069" s="415"/>
      <c r="K2069" s="415"/>
      <c r="L2069" s="415"/>
      <c r="M2069" s="415"/>
      <c r="N2069" s="414"/>
      <c r="O2069" s="428"/>
      <c r="P2069" s="222">
        <f t="shared" si="142"/>
        <v>0</v>
      </c>
      <c r="Q2069" s="222">
        <f t="shared" si="143"/>
        <v>0</v>
      </c>
      <c r="R2069" s="532" t="str">
        <f t="shared" si="144"/>
        <v/>
      </c>
      <c r="S2069" s="533"/>
      <c r="T2069" s="533"/>
      <c r="U2069" s="496"/>
      <c r="V2069" s="496"/>
      <c r="W2069" s="496"/>
    </row>
    <row r="2070" spans="1:23" x14ac:dyDescent="0.2">
      <c r="A2070" s="510" t="str">
        <f t="shared" si="141"/>
        <v/>
      </c>
      <c r="B2070" s="428"/>
      <c r="C2070" s="424"/>
      <c r="D2070" s="415"/>
      <c r="E2070" s="415"/>
      <c r="F2070" s="425"/>
      <c r="G2070" s="415"/>
      <c r="H2070" s="415"/>
      <c r="I2070" s="473"/>
      <c r="J2070" s="415"/>
      <c r="K2070" s="415"/>
      <c r="L2070" s="415"/>
      <c r="M2070" s="415"/>
      <c r="N2070" s="414"/>
      <c r="O2070" s="428"/>
      <c r="P2070" s="222">
        <f t="shared" si="142"/>
        <v>0</v>
      </c>
      <c r="Q2070" s="222">
        <f t="shared" si="143"/>
        <v>0</v>
      </c>
      <c r="R2070" s="532" t="str">
        <f t="shared" si="144"/>
        <v/>
      </c>
      <c r="S2070" s="533"/>
      <c r="T2070" s="533"/>
      <c r="U2070" s="496"/>
      <c r="V2070" s="496"/>
      <c r="W2070" s="496"/>
    </row>
    <row r="2071" spans="1:23" x14ac:dyDescent="0.2">
      <c r="A2071" s="510" t="str">
        <f t="shared" si="141"/>
        <v/>
      </c>
      <c r="B2071" s="428"/>
      <c r="C2071" s="424"/>
      <c r="D2071" s="415"/>
      <c r="E2071" s="415"/>
      <c r="F2071" s="425"/>
      <c r="G2071" s="415"/>
      <c r="H2071" s="415"/>
      <c r="I2071" s="473"/>
      <c r="J2071" s="415"/>
      <c r="K2071" s="415"/>
      <c r="L2071" s="415"/>
      <c r="M2071" s="415"/>
      <c r="N2071" s="414"/>
      <c r="O2071" s="428"/>
      <c r="P2071" s="222">
        <f t="shared" si="142"/>
        <v>0</v>
      </c>
      <c r="Q2071" s="222">
        <f t="shared" si="143"/>
        <v>0</v>
      </c>
      <c r="R2071" s="532" t="str">
        <f t="shared" si="144"/>
        <v/>
      </c>
      <c r="S2071" s="533"/>
      <c r="T2071" s="533"/>
      <c r="U2071" s="496"/>
      <c r="V2071" s="496"/>
      <c r="W2071" s="496"/>
    </row>
    <row r="2072" spans="1:23" x14ac:dyDescent="0.2">
      <c r="A2072" s="510" t="str">
        <f t="shared" si="141"/>
        <v/>
      </c>
      <c r="B2072" s="428"/>
      <c r="C2072" s="424"/>
      <c r="D2072" s="415"/>
      <c r="E2072" s="415"/>
      <c r="F2072" s="425"/>
      <c r="G2072" s="415"/>
      <c r="H2072" s="415"/>
      <c r="I2072" s="473"/>
      <c r="J2072" s="415"/>
      <c r="K2072" s="415"/>
      <c r="L2072" s="415"/>
      <c r="M2072" s="415"/>
      <c r="N2072" s="414"/>
      <c r="O2072" s="428"/>
      <c r="P2072" s="222">
        <f t="shared" si="142"/>
        <v>0</v>
      </c>
      <c r="Q2072" s="222">
        <f t="shared" si="143"/>
        <v>0</v>
      </c>
      <c r="R2072" s="532" t="str">
        <f t="shared" si="144"/>
        <v/>
      </c>
      <c r="S2072" s="533"/>
      <c r="T2072" s="533"/>
      <c r="U2072" s="496"/>
      <c r="V2072" s="496"/>
      <c r="W2072" s="496"/>
    </row>
    <row r="2073" spans="1:23" x14ac:dyDescent="0.2">
      <c r="A2073" s="510" t="str">
        <f t="shared" ref="A2073:A2136" si="145">IF(B2073="","",ROW()-ROW($A$3))</f>
        <v/>
      </c>
      <c r="B2073" s="428"/>
      <c r="C2073" s="424"/>
      <c r="D2073" s="415"/>
      <c r="E2073" s="415"/>
      <c r="F2073" s="425"/>
      <c r="G2073" s="415"/>
      <c r="H2073" s="415"/>
      <c r="I2073" s="473"/>
      <c r="J2073" s="415"/>
      <c r="K2073" s="415"/>
      <c r="L2073" s="415"/>
      <c r="M2073" s="415"/>
      <c r="N2073" s="414"/>
      <c r="O2073" s="428"/>
      <c r="P2073" s="222">
        <f t="shared" ref="P2073:P2136" si="146">IF(B2073=0,0,IF(YEAR(B2073)=$Q$1,MONTH(B2073)-$P$1+1,(YEAR(B2073)-$Q$1)*12-$P$1+1+MONTH(B2073)))</f>
        <v>0</v>
      </c>
      <c r="Q2073" s="222">
        <f t="shared" ref="Q2073:Q2136" si="147">IF(C2073=0,0,IF(YEAR(C2073)=$Q$1,MONTH(C2073)-$P$1+1,(YEAR(C2073)-$Q$1)*12-$P$1+1+MONTH(C2073)))</f>
        <v>0</v>
      </c>
      <c r="R2073" s="532" t="str">
        <f t="shared" ref="R2073:R2136" si="148">SUBSTITUTE(D2073," ","_")</f>
        <v/>
      </c>
      <c r="S2073" s="533"/>
      <c r="T2073" s="533"/>
      <c r="U2073" s="496"/>
      <c r="V2073" s="496"/>
      <c r="W2073" s="496"/>
    </row>
    <row r="2074" spans="1:23" x14ac:dyDescent="0.2">
      <c r="A2074" s="510" t="str">
        <f t="shared" si="145"/>
        <v/>
      </c>
      <c r="B2074" s="428"/>
      <c r="C2074" s="424"/>
      <c r="D2074" s="415"/>
      <c r="E2074" s="415"/>
      <c r="F2074" s="425"/>
      <c r="G2074" s="415"/>
      <c r="H2074" s="415"/>
      <c r="I2074" s="473"/>
      <c r="J2074" s="415"/>
      <c r="K2074" s="415"/>
      <c r="L2074" s="415"/>
      <c r="M2074" s="415"/>
      <c r="N2074" s="414"/>
      <c r="O2074" s="428"/>
      <c r="P2074" s="222">
        <f t="shared" si="146"/>
        <v>0</v>
      </c>
      <c r="Q2074" s="222">
        <f t="shared" si="147"/>
        <v>0</v>
      </c>
      <c r="R2074" s="532" t="str">
        <f t="shared" si="148"/>
        <v/>
      </c>
      <c r="S2074" s="533"/>
      <c r="T2074" s="533"/>
      <c r="U2074" s="496"/>
      <c r="V2074" s="496"/>
      <c r="W2074" s="496"/>
    </row>
    <row r="2075" spans="1:23" x14ac:dyDescent="0.2">
      <c r="A2075" s="510" t="str">
        <f t="shared" si="145"/>
        <v/>
      </c>
      <c r="B2075" s="428"/>
      <c r="C2075" s="424"/>
      <c r="D2075" s="415"/>
      <c r="E2075" s="415"/>
      <c r="F2075" s="425"/>
      <c r="G2075" s="415"/>
      <c r="H2075" s="415"/>
      <c r="I2075" s="473"/>
      <c r="J2075" s="415"/>
      <c r="K2075" s="415"/>
      <c r="L2075" s="415"/>
      <c r="M2075" s="415"/>
      <c r="N2075" s="414"/>
      <c r="O2075" s="428"/>
      <c r="P2075" s="222">
        <f t="shared" si="146"/>
        <v>0</v>
      </c>
      <c r="Q2075" s="222">
        <f t="shared" si="147"/>
        <v>0</v>
      </c>
      <c r="R2075" s="532" t="str">
        <f t="shared" si="148"/>
        <v/>
      </c>
      <c r="S2075" s="533"/>
      <c r="T2075" s="533"/>
      <c r="U2075" s="496"/>
      <c r="V2075" s="496"/>
      <c r="W2075" s="496"/>
    </row>
    <row r="2076" spans="1:23" x14ac:dyDescent="0.2">
      <c r="A2076" s="510" t="str">
        <f t="shared" si="145"/>
        <v/>
      </c>
      <c r="B2076" s="428"/>
      <c r="C2076" s="424"/>
      <c r="D2076" s="415"/>
      <c r="E2076" s="415"/>
      <c r="F2076" s="425"/>
      <c r="G2076" s="415"/>
      <c r="H2076" s="415"/>
      <c r="I2076" s="473"/>
      <c r="J2076" s="415"/>
      <c r="K2076" s="415"/>
      <c r="L2076" s="415"/>
      <c r="M2076" s="415"/>
      <c r="N2076" s="414"/>
      <c r="O2076" s="428"/>
      <c r="P2076" s="222">
        <f t="shared" si="146"/>
        <v>0</v>
      </c>
      <c r="Q2076" s="222">
        <f t="shared" si="147"/>
        <v>0</v>
      </c>
      <c r="R2076" s="532" t="str">
        <f t="shared" si="148"/>
        <v/>
      </c>
      <c r="S2076" s="533"/>
      <c r="T2076" s="533"/>
      <c r="U2076" s="496"/>
      <c r="V2076" s="496"/>
      <c r="W2076" s="496"/>
    </row>
    <row r="2077" spans="1:23" x14ac:dyDescent="0.2">
      <c r="A2077" s="510" t="str">
        <f t="shared" si="145"/>
        <v/>
      </c>
      <c r="B2077" s="428"/>
      <c r="C2077" s="424"/>
      <c r="D2077" s="415"/>
      <c r="E2077" s="415"/>
      <c r="F2077" s="425"/>
      <c r="G2077" s="415"/>
      <c r="H2077" s="415"/>
      <c r="I2077" s="473"/>
      <c r="J2077" s="415"/>
      <c r="K2077" s="415"/>
      <c r="L2077" s="415"/>
      <c r="M2077" s="415"/>
      <c r="N2077" s="414"/>
      <c r="O2077" s="428"/>
      <c r="P2077" s="222">
        <f t="shared" si="146"/>
        <v>0</v>
      </c>
      <c r="Q2077" s="222">
        <f t="shared" si="147"/>
        <v>0</v>
      </c>
      <c r="R2077" s="532" t="str">
        <f t="shared" si="148"/>
        <v/>
      </c>
      <c r="S2077" s="533"/>
      <c r="T2077" s="533"/>
      <c r="U2077" s="496"/>
      <c r="V2077" s="496"/>
      <c r="W2077" s="496"/>
    </row>
    <row r="2078" spans="1:23" x14ac:dyDescent="0.2">
      <c r="A2078" s="510" t="str">
        <f t="shared" si="145"/>
        <v/>
      </c>
      <c r="B2078" s="428"/>
      <c r="C2078" s="424"/>
      <c r="D2078" s="415"/>
      <c r="E2078" s="415"/>
      <c r="F2078" s="425"/>
      <c r="G2078" s="415"/>
      <c r="H2078" s="415"/>
      <c r="I2078" s="473"/>
      <c r="J2078" s="415"/>
      <c r="K2078" s="415"/>
      <c r="L2078" s="415"/>
      <c r="M2078" s="415"/>
      <c r="N2078" s="414"/>
      <c r="O2078" s="428"/>
      <c r="P2078" s="222">
        <f t="shared" si="146"/>
        <v>0</v>
      </c>
      <c r="Q2078" s="222">
        <f t="shared" si="147"/>
        <v>0</v>
      </c>
      <c r="R2078" s="532" t="str">
        <f t="shared" si="148"/>
        <v/>
      </c>
      <c r="S2078" s="533"/>
      <c r="T2078" s="533"/>
      <c r="U2078" s="496"/>
      <c r="V2078" s="496"/>
      <c r="W2078" s="496"/>
    </row>
    <row r="2079" spans="1:23" x14ac:dyDescent="0.2">
      <c r="A2079" s="510" t="str">
        <f t="shared" si="145"/>
        <v/>
      </c>
      <c r="B2079" s="428"/>
      <c r="C2079" s="424"/>
      <c r="D2079" s="415"/>
      <c r="E2079" s="415"/>
      <c r="F2079" s="425"/>
      <c r="G2079" s="415"/>
      <c r="H2079" s="415"/>
      <c r="I2079" s="473"/>
      <c r="J2079" s="415"/>
      <c r="K2079" s="415"/>
      <c r="L2079" s="415"/>
      <c r="M2079" s="415"/>
      <c r="N2079" s="414"/>
      <c r="O2079" s="428"/>
      <c r="P2079" s="222">
        <f t="shared" si="146"/>
        <v>0</v>
      </c>
      <c r="Q2079" s="222">
        <f t="shared" si="147"/>
        <v>0</v>
      </c>
      <c r="R2079" s="532" t="str">
        <f t="shared" si="148"/>
        <v/>
      </c>
      <c r="S2079" s="533"/>
      <c r="T2079" s="533"/>
      <c r="U2079" s="496"/>
      <c r="V2079" s="496"/>
      <c r="W2079" s="496"/>
    </row>
    <row r="2080" spans="1:23" x14ac:dyDescent="0.2">
      <c r="A2080" s="510" t="str">
        <f t="shared" si="145"/>
        <v/>
      </c>
      <c r="B2080" s="428"/>
      <c r="C2080" s="424"/>
      <c r="D2080" s="415"/>
      <c r="E2080" s="415"/>
      <c r="F2080" s="425"/>
      <c r="G2080" s="415"/>
      <c r="H2080" s="415"/>
      <c r="I2080" s="473"/>
      <c r="J2080" s="415"/>
      <c r="K2080" s="415"/>
      <c r="L2080" s="415"/>
      <c r="M2080" s="415"/>
      <c r="N2080" s="414"/>
      <c r="O2080" s="428"/>
      <c r="P2080" s="222">
        <f t="shared" si="146"/>
        <v>0</v>
      </c>
      <c r="Q2080" s="222">
        <f t="shared" si="147"/>
        <v>0</v>
      </c>
      <c r="R2080" s="532" t="str">
        <f t="shared" si="148"/>
        <v/>
      </c>
      <c r="S2080" s="533"/>
      <c r="T2080" s="533"/>
      <c r="U2080" s="496"/>
      <c r="V2080" s="496"/>
      <c r="W2080" s="496"/>
    </row>
    <row r="2081" spans="1:23" x14ac:dyDescent="0.2">
      <c r="A2081" s="510" t="str">
        <f t="shared" si="145"/>
        <v/>
      </c>
      <c r="B2081" s="428"/>
      <c r="C2081" s="424"/>
      <c r="D2081" s="415"/>
      <c r="E2081" s="415"/>
      <c r="F2081" s="425"/>
      <c r="G2081" s="415"/>
      <c r="H2081" s="415"/>
      <c r="I2081" s="473"/>
      <c r="J2081" s="415"/>
      <c r="K2081" s="415"/>
      <c r="L2081" s="415"/>
      <c r="M2081" s="415"/>
      <c r="N2081" s="414"/>
      <c r="O2081" s="428"/>
      <c r="P2081" s="222">
        <f t="shared" si="146"/>
        <v>0</v>
      </c>
      <c r="Q2081" s="222">
        <f t="shared" si="147"/>
        <v>0</v>
      </c>
      <c r="R2081" s="532" t="str">
        <f t="shared" si="148"/>
        <v/>
      </c>
      <c r="S2081" s="533"/>
      <c r="T2081" s="533"/>
      <c r="U2081" s="496"/>
      <c r="V2081" s="496"/>
      <c r="W2081" s="496"/>
    </row>
    <row r="2082" spans="1:23" x14ac:dyDescent="0.2">
      <c r="A2082" s="510" t="str">
        <f t="shared" si="145"/>
        <v/>
      </c>
      <c r="B2082" s="428"/>
      <c r="C2082" s="424"/>
      <c r="D2082" s="415"/>
      <c r="E2082" s="415"/>
      <c r="F2082" s="425"/>
      <c r="G2082" s="415"/>
      <c r="H2082" s="415"/>
      <c r="I2082" s="473"/>
      <c r="J2082" s="415"/>
      <c r="K2082" s="415"/>
      <c r="L2082" s="415"/>
      <c r="M2082" s="415"/>
      <c r="N2082" s="414"/>
      <c r="O2082" s="428"/>
      <c r="P2082" s="222">
        <f t="shared" si="146"/>
        <v>0</v>
      </c>
      <c r="Q2082" s="222">
        <f t="shared" si="147"/>
        <v>0</v>
      </c>
      <c r="R2082" s="532" t="str">
        <f t="shared" si="148"/>
        <v/>
      </c>
      <c r="S2082" s="533"/>
      <c r="T2082" s="533"/>
      <c r="U2082" s="496"/>
      <c r="V2082" s="496"/>
      <c r="W2082" s="496"/>
    </row>
    <row r="2083" spans="1:23" x14ac:dyDescent="0.2">
      <c r="A2083" s="510" t="str">
        <f t="shared" si="145"/>
        <v/>
      </c>
      <c r="B2083" s="428"/>
      <c r="C2083" s="424"/>
      <c r="D2083" s="415"/>
      <c r="E2083" s="415"/>
      <c r="F2083" s="425"/>
      <c r="G2083" s="415"/>
      <c r="H2083" s="415"/>
      <c r="I2083" s="473"/>
      <c r="J2083" s="415"/>
      <c r="K2083" s="415"/>
      <c r="L2083" s="415"/>
      <c r="M2083" s="415"/>
      <c r="N2083" s="414"/>
      <c r="O2083" s="428"/>
      <c r="P2083" s="222">
        <f t="shared" si="146"/>
        <v>0</v>
      </c>
      <c r="Q2083" s="222">
        <f t="shared" si="147"/>
        <v>0</v>
      </c>
      <c r="R2083" s="532" t="str">
        <f t="shared" si="148"/>
        <v/>
      </c>
      <c r="S2083" s="533"/>
      <c r="T2083" s="533"/>
      <c r="U2083" s="496"/>
      <c r="V2083" s="496"/>
      <c r="W2083" s="496"/>
    </row>
    <row r="2084" spans="1:23" x14ac:dyDescent="0.2">
      <c r="A2084" s="510" t="str">
        <f t="shared" si="145"/>
        <v/>
      </c>
      <c r="B2084" s="428"/>
      <c r="C2084" s="424"/>
      <c r="D2084" s="415"/>
      <c r="E2084" s="415"/>
      <c r="F2084" s="425"/>
      <c r="G2084" s="415"/>
      <c r="H2084" s="415"/>
      <c r="I2084" s="473"/>
      <c r="J2084" s="415"/>
      <c r="K2084" s="415"/>
      <c r="L2084" s="415"/>
      <c r="M2084" s="415"/>
      <c r="N2084" s="414"/>
      <c r="O2084" s="428"/>
      <c r="P2084" s="222">
        <f t="shared" si="146"/>
        <v>0</v>
      </c>
      <c r="Q2084" s="222">
        <f t="shared" si="147"/>
        <v>0</v>
      </c>
      <c r="R2084" s="532" t="str">
        <f t="shared" si="148"/>
        <v/>
      </c>
      <c r="S2084" s="533"/>
      <c r="T2084" s="533"/>
      <c r="U2084" s="496"/>
      <c r="V2084" s="496"/>
      <c r="W2084" s="496"/>
    </row>
    <row r="2085" spans="1:23" x14ac:dyDescent="0.2">
      <c r="A2085" s="510" t="str">
        <f t="shared" si="145"/>
        <v/>
      </c>
      <c r="B2085" s="428"/>
      <c r="C2085" s="424"/>
      <c r="D2085" s="415"/>
      <c r="E2085" s="415"/>
      <c r="F2085" s="425"/>
      <c r="G2085" s="415"/>
      <c r="H2085" s="415"/>
      <c r="I2085" s="473"/>
      <c r="J2085" s="415"/>
      <c r="K2085" s="415"/>
      <c r="L2085" s="415"/>
      <c r="M2085" s="415"/>
      <c r="N2085" s="414"/>
      <c r="O2085" s="428"/>
      <c r="P2085" s="222">
        <f t="shared" si="146"/>
        <v>0</v>
      </c>
      <c r="Q2085" s="222">
        <f t="shared" si="147"/>
        <v>0</v>
      </c>
      <c r="R2085" s="532" t="str">
        <f t="shared" si="148"/>
        <v/>
      </c>
      <c r="S2085" s="533"/>
      <c r="T2085" s="533"/>
      <c r="U2085" s="496"/>
      <c r="V2085" s="496"/>
      <c r="W2085" s="496"/>
    </row>
    <row r="2086" spans="1:23" x14ac:dyDescent="0.2">
      <c r="A2086" s="510" t="str">
        <f t="shared" si="145"/>
        <v/>
      </c>
      <c r="B2086" s="428"/>
      <c r="C2086" s="424"/>
      <c r="D2086" s="415"/>
      <c r="E2086" s="415"/>
      <c r="F2086" s="425"/>
      <c r="G2086" s="415"/>
      <c r="H2086" s="415"/>
      <c r="I2086" s="473"/>
      <c r="J2086" s="415"/>
      <c r="K2086" s="415"/>
      <c r="L2086" s="415"/>
      <c r="M2086" s="415"/>
      <c r="N2086" s="414"/>
      <c r="O2086" s="428"/>
      <c r="P2086" s="222">
        <f t="shared" si="146"/>
        <v>0</v>
      </c>
      <c r="Q2086" s="222">
        <f t="shared" si="147"/>
        <v>0</v>
      </c>
      <c r="R2086" s="532" t="str">
        <f t="shared" si="148"/>
        <v/>
      </c>
      <c r="S2086" s="533"/>
      <c r="T2086" s="533"/>
      <c r="U2086" s="496"/>
      <c r="V2086" s="496"/>
      <c r="W2086" s="496"/>
    </row>
    <row r="2087" spans="1:23" x14ac:dyDescent="0.2">
      <c r="A2087" s="510" t="str">
        <f t="shared" si="145"/>
        <v/>
      </c>
      <c r="B2087" s="428"/>
      <c r="C2087" s="424"/>
      <c r="D2087" s="415"/>
      <c r="E2087" s="415"/>
      <c r="F2087" s="425"/>
      <c r="G2087" s="415"/>
      <c r="H2087" s="415"/>
      <c r="I2087" s="473"/>
      <c r="J2087" s="415"/>
      <c r="K2087" s="415"/>
      <c r="L2087" s="415"/>
      <c r="M2087" s="415"/>
      <c r="N2087" s="414"/>
      <c r="O2087" s="428"/>
      <c r="P2087" s="222">
        <f t="shared" si="146"/>
        <v>0</v>
      </c>
      <c r="Q2087" s="222">
        <f t="shared" si="147"/>
        <v>0</v>
      </c>
      <c r="R2087" s="532" t="str">
        <f t="shared" si="148"/>
        <v/>
      </c>
      <c r="S2087" s="533"/>
      <c r="T2087" s="533"/>
      <c r="U2087" s="496"/>
      <c r="V2087" s="496"/>
      <c r="W2087" s="496"/>
    </row>
    <row r="2088" spans="1:23" x14ac:dyDescent="0.2">
      <c r="A2088" s="510" t="str">
        <f t="shared" si="145"/>
        <v/>
      </c>
      <c r="B2088" s="428"/>
      <c r="C2088" s="424"/>
      <c r="D2088" s="415"/>
      <c r="E2088" s="415"/>
      <c r="F2088" s="425"/>
      <c r="G2088" s="415"/>
      <c r="H2088" s="415"/>
      <c r="I2088" s="473"/>
      <c r="J2088" s="415"/>
      <c r="K2088" s="415"/>
      <c r="L2088" s="415"/>
      <c r="M2088" s="415"/>
      <c r="N2088" s="414"/>
      <c r="O2088" s="428"/>
      <c r="P2088" s="222">
        <f t="shared" si="146"/>
        <v>0</v>
      </c>
      <c r="Q2088" s="222">
        <f t="shared" si="147"/>
        <v>0</v>
      </c>
      <c r="R2088" s="532" t="str">
        <f t="shared" si="148"/>
        <v/>
      </c>
      <c r="S2088" s="533"/>
      <c r="T2088" s="533"/>
      <c r="U2088" s="496"/>
      <c r="V2088" s="496"/>
      <c r="W2088" s="496"/>
    </row>
    <row r="2089" spans="1:23" x14ac:dyDescent="0.2">
      <c r="A2089" s="510" t="str">
        <f t="shared" si="145"/>
        <v/>
      </c>
      <c r="B2089" s="428"/>
      <c r="C2089" s="424"/>
      <c r="D2089" s="415"/>
      <c r="E2089" s="415"/>
      <c r="F2089" s="425"/>
      <c r="G2089" s="415"/>
      <c r="H2089" s="415"/>
      <c r="I2089" s="473"/>
      <c r="J2089" s="415"/>
      <c r="K2089" s="415"/>
      <c r="L2089" s="415"/>
      <c r="M2089" s="415"/>
      <c r="N2089" s="414"/>
      <c r="O2089" s="428"/>
      <c r="P2089" s="222">
        <f t="shared" si="146"/>
        <v>0</v>
      </c>
      <c r="Q2089" s="222">
        <f t="shared" si="147"/>
        <v>0</v>
      </c>
      <c r="R2089" s="532" t="str">
        <f t="shared" si="148"/>
        <v/>
      </c>
      <c r="S2089" s="533"/>
      <c r="T2089" s="533"/>
      <c r="U2089" s="496"/>
      <c r="V2089" s="496"/>
      <c r="W2089" s="496"/>
    </row>
    <row r="2090" spans="1:23" x14ac:dyDescent="0.2">
      <c r="A2090" s="510" t="str">
        <f t="shared" si="145"/>
        <v/>
      </c>
      <c r="B2090" s="428"/>
      <c r="C2090" s="424"/>
      <c r="D2090" s="415"/>
      <c r="E2090" s="415"/>
      <c r="F2090" s="425"/>
      <c r="G2090" s="415"/>
      <c r="H2090" s="415"/>
      <c r="I2090" s="473"/>
      <c r="J2090" s="415"/>
      <c r="K2090" s="415"/>
      <c r="L2090" s="415"/>
      <c r="M2090" s="415"/>
      <c r="N2090" s="414"/>
      <c r="O2090" s="428"/>
      <c r="P2090" s="222">
        <f t="shared" si="146"/>
        <v>0</v>
      </c>
      <c r="Q2090" s="222">
        <f t="shared" si="147"/>
        <v>0</v>
      </c>
      <c r="R2090" s="532" t="str">
        <f t="shared" si="148"/>
        <v/>
      </c>
      <c r="S2090" s="533"/>
      <c r="T2090" s="533"/>
      <c r="U2090" s="496"/>
      <c r="V2090" s="496"/>
      <c r="W2090" s="496"/>
    </row>
    <row r="2091" spans="1:23" x14ac:dyDescent="0.2">
      <c r="A2091" s="510" t="str">
        <f t="shared" si="145"/>
        <v/>
      </c>
      <c r="B2091" s="428"/>
      <c r="C2091" s="424"/>
      <c r="D2091" s="415"/>
      <c r="E2091" s="415"/>
      <c r="F2091" s="425"/>
      <c r="G2091" s="415"/>
      <c r="H2091" s="415"/>
      <c r="I2091" s="473"/>
      <c r="J2091" s="415"/>
      <c r="K2091" s="415"/>
      <c r="L2091" s="415"/>
      <c r="M2091" s="415"/>
      <c r="N2091" s="414"/>
      <c r="O2091" s="428"/>
      <c r="P2091" s="222">
        <f t="shared" si="146"/>
        <v>0</v>
      </c>
      <c r="Q2091" s="222">
        <f t="shared" si="147"/>
        <v>0</v>
      </c>
      <c r="R2091" s="532" t="str">
        <f t="shared" si="148"/>
        <v/>
      </c>
      <c r="S2091" s="533"/>
      <c r="T2091" s="533"/>
      <c r="U2091" s="496"/>
      <c r="V2091" s="496"/>
      <c r="W2091" s="496"/>
    </row>
    <row r="2092" spans="1:23" x14ac:dyDescent="0.2">
      <c r="A2092" s="510" t="str">
        <f t="shared" si="145"/>
        <v/>
      </c>
      <c r="B2092" s="428"/>
      <c r="C2092" s="424"/>
      <c r="D2092" s="415"/>
      <c r="E2092" s="415"/>
      <c r="F2092" s="425"/>
      <c r="G2092" s="415"/>
      <c r="H2092" s="415"/>
      <c r="I2092" s="473"/>
      <c r="J2092" s="415"/>
      <c r="K2092" s="415"/>
      <c r="L2092" s="415"/>
      <c r="M2092" s="415"/>
      <c r="N2092" s="414"/>
      <c r="O2092" s="428"/>
      <c r="P2092" s="222">
        <f t="shared" si="146"/>
        <v>0</v>
      </c>
      <c r="Q2092" s="222">
        <f t="shared" si="147"/>
        <v>0</v>
      </c>
      <c r="R2092" s="532" t="str">
        <f t="shared" si="148"/>
        <v/>
      </c>
      <c r="S2092" s="533"/>
      <c r="T2092" s="533"/>
      <c r="U2092" s="496"/>
      <c r="V2092" s="496"/>
      <c r="W2092" s="496"/>
    </row>
    <row r="2093" spans="1:23" x14ac:dyDescent="0.2">
      <c r="A2093" s="510" t="str">
        <f t="shared" si="145"/>
        <v/>
      </c>
      <c r="B2093" s="428"/>
      <c r="C2093" s="424"/>
      <c r="D2093" s="415"/>
      <c r="E2093" s="415"/>
      <c r="F2093" s="425"/>
      <c r="G2093" s="415"/>
      <c r="H2093" s="415"/>
      <c r="I2093" s="473"/>
      <c r="J2093" s="415"/>
      <c r="K2093" s="415"/>
      <c r="L2093" s="415"/>
      <c r="M2093" s="415"/>
      <c r="N2093" s="414"/>
      <c r="O2093" s="428"/>
      <c r="P2093" s="222">
        <f t="shared" si="146"/>
        <v>0</v>
      </c>
      <c r="Q2093" s="222">
        <f t="shared" si="147"/>
        <v>0</v>
      </c>
      <c r="R2093" s="532" t="str">
        <f t="shared" si="148"/>
        <v/>
      </c>
      <c r="S2093" s="533"/>
      <c r="T2093" s="533"/>
      <c r="U2093" s="496"/>
      <c r="V2093" s="496"/>
      <c r="W2093" s="496"/>
    </row>
    <row r="2094" spans="1:23" x14ac:dyDescent="0.2">
      <c r="A2094" s="510" t="str">
        <f t="shared" si="145"/>
        <v/>
      </c>
      <c r="B2094" s="428"/>
      <c r="C2094" s="424"/>
      <c r="D2094" s="415"/>
      <c r="E2094" s="415"/>
      <c r="F2094" s="425"/>
      <c r="G2094" s="415"/>
      <c r="H2094" s="415"/>
      <c r="I2094" s="473"/>
      <c r="J2094" s="415"/>
      <c r="K2094" s="415"/>
      <c r="L2094" s="415"/>
      <c r="M2094" s="415"/>
      <c r="N2094" s="414"/>
      <c r="O2094" s="428"/>
      <c r="P2094" s="222">
        <f t="shared" si="146"/>
        <v>0</v>
      </c>
      <c r="Q2094" s="222">
        <f t="shared" si="147"/>
        <v>0</v>
      </c>
      <c r="R2094" s="532" t="str">
        <f t="shared" si="148"/>
        <v/>
      </c>
      <c r="S2094" s="533"/>
      <c r="T2094" s="533"/>
      <c r="U2094" s="496"/>
      <c r="V2094" s="496"/>
      <c r="W2094" s="496"/>
    </row>
    <row r="2095" spans="1:23" x14ac:dyDescent="0.2">
      <c r="A2095" s="510" t="str">
        <f t="shared" si="145"/>
        <v/>
      </c>
      <c r="B2095" s="428"/>
      <c r="C2095" s="424"/>
      <c r="D2095" s="415"/>
      <c r="E2095" s="415"/>
      <c r="F2095" s="425"/>
      <c r="G2095" s="415"/>
      <c r="H2095" s="415"/>
      <c r="I2095" s="473"/>
      <c r="J2095" s="415"/>
      <c r="K2095" s="415"/>
      <c r="L2095" s="415"/>
      <c r="M2095" s="415"/>
      <c r="N2095" s="414"/>
      <c r="O2095" s="428"/>
      <c r="P2095" s="222">
        <f t="shared" si="146"/>
        <v>0</v>
      </c>
      <c r="Q2095" s="222">
        <f t="shared" si="147"/>
        <v>0</v>
      </c>
      <c r="R2095" s="532" t="str">
        <f t="shared" si="148"/>
        <v/>
      </c>
      <c r="S2095" s="533"/>
      <c r="T2095" s="533"/>
      <c r="U2095" s="496"/>
      <c r="V2095" s="496"/>
      <c r="W2095" s="496"/>
    </row>
    <row r="2096" spans="1:23" x14ac:dyDescent="0.2">
      <c r="A2096" s="510" t="str">
        <f t="shared" si="145"/>
        <v/>
      </c>
      <c r="B2096" s="428"/>
      <c r="C2096" s="424"/>
      <c r="D2096" s="415"/>
      <c r="E2096" s="415"/>
      <c r="F2096" s="425"/>
      <c r="G2096" s="415"/>
      <c r="H2096" s="415"/>
      <c r="I2096" s="473"/>
      <c r="J2096" s="415"/>
      <c r="K2096" s="415"/>
      <c r="L2096" s="415"/>
      <c r="M2096" s="415"/>
      <c r="N2096" s="414"/>
      <c r="O2096" s="428"/>
      <c r="P2096" s="222">
        <f t="shared" si="146"/>
        <v>0</v>
      </c>
      <c r="Q2096" s="222">
        <f t="shared" si="147"/>
        <v>0</v>
      </c>
      <c r="R2096" s="532" t="str">
        <f t="shared" si="148"/>
        <v/>
      </c>
      <c r="S2096" s="533"/>
      <c r="T2096" s="533"/>
      <c r="U2096" s="496"/>
      <c r="V2096" s="496"/>
      <c r="W2096" s="496"/>
    </row>
    <row r="2097" spans="1:23" x14ac:dyDescent="0.2">
      <c r="A2097" s="510" t="str">
        <f t="shared" si="145"/>
        <v/>
      </c>
      <c r="B2097" s="428"/>
      <c r="C2097" s="424"/>
      <c r="D2097" s="415"/>
      <c r="E2097" s="415"/>
      <c r="F2097" s="425"/>
      <c r="G2097" s="415"/>
      <c r="H2097" s="415"/>
      <c r="I2097" s="473"/>
      <c r="J2097" s="415"/>
      <c r="K2097" s="415"/>
      <c r="L2097" s="415"/>
      <c r="M2097" s="415"/>
      <c r="N2097" s="414"/>
      <c r="O2097" s="428"/>
      <c r="P2097" s="222">
        <f t="shared" si="146"/>
        <v>0</v>
      </c>
      <c r="Q2097" s="222">
        <f t="shared" si="147"/>
        <v>0</v>
      </c>
      <c r="R2097" s="532" t="str">
        <f t="shared" si="148"/>
        <v/>
      </c>
      <c r="S2097" s="533"/>
      <c r="T2097" s="533"/>
      <c r="U2097" s="496"/>
      <c r="V2097" s="496"/>
      <c r="W2097" s="496"/>
    </row>
    <row r="2098" spans="1:23" x14ac:dyDescent="0.2">
      <c r="A2098" s="510" t="str">
        <f t="shared" si="145"/>
        <v/>
      </c>
      <c r="B2098" s="428"/>
      <c r="C2098" s="424"/>
      <c r="D2098" s="415"/>
      <c r="E2098" s="415"/>
      <c r="F2098" s="425"/>
      <c r="G2098" s="415"/>
      <c r="H2098" s="415"/>
      <c r="I2098" s="473"/>
      <c r="J2098" s="415"/>
      <c r="K2098" s="415"/>
      <c r="L2098" s="415"/>
      <c r="M2098" s="415"/>
      <c r="N2098" s="414"/>
      <c r="O2098" s="428"/>
      <c r="P2098" s="222">
        <f t="shared" si="146"/>
        <v>0</v>
      </c>
      <c r="Q2098" s="222">
        <f t="shared" si="147"/>
        <v>0</v>
      </c>
      <c r="R2098" s="532" t="str">
        <f t="shared" si="148"/>
        <v/>
      </c>
      <c r="S2098" s="533"/>
      <c r="T2098" s="533"/>
      <c r="U2098" s="496"/>
      <c r="V2098" s="496"/>
      <c r="W2098" s="496"/>
    </row>
    <row r="2099" spans="1:23" x14ac:dyDescent="0.2">
      <c r="A2099" s="510" t="str">
        <f t="shared" si="145"/>
        <v/>
      </c>
      <c r="B2099" s="428"/>
      <c r="C2099" s="424"/>
      <c r="D2099" s="415"/>
      <c r="E2099" s="415"/>
      <c r="F2099" s="425"/>
      <c r="G2099" s="415"/>
      <c r="H2099" s="415"/>
      <c r="I2099" s="473"/>
      <c r="J2099" s="415"/>
      <c r="K2099" s="415"/>
      <c r="L2099" s="415"/>
      <c r="M2099" s="415"/>
      <c r="N2099" s="414"/>
      <c r="O2099" s="428"/>
      <c r="P2099" s="222">
        <f t="shared" si="146"/>
        <v>0</v>
      </c>
      <c r="Q2099" s="222">
        <f t="shared" si="147"/>
        <v>0</v>
      </c>
      <c r="R2099" s="532" t="str">
        <f t="shared" si="148"/>
        <v/>
      </c>
      <c r="S2099" s="533"/>
      <c r="T2099" s="533"/>
      <c r="U2099" s="496"/>
      <c r="V2099" s="496"/>
      <c r="W2099" s="496"/>
    </row>
    <row r="2100" spans="1:23" x14ac:dyDescent="0.2">
      <c r="A2100" s="510" t="str">
        <f t="shared" si="145"/>
        <v/>
      </c>
      <c r="B2100" s="428"/>
      <c r="C2100" s="424"/>
      <c r="D2100" s="415"/>
      <c r="E2100" s="415"/>
      <c r="F2100" s="425"/>
      <c r="G2100" s="415"/>
      <c r="H2100" s="415"/>
      <c r="I2100" s="473"/>
      <c r="J2100" s="415"/>
      <c r="K2100" s="415"/>
      <c r="L2100" s="415"/>
      <c r="M2100" s="415"/>
      <c r="N2100" s="414"/>
      <c r="O2100" s="428"/>
      <c r="P2100" s="222">
        <f t="shared" si="146"/>
        <v>0</v>
      </c>
      <c r="Q2100" s="222">
        <f t="shared" si="147"/>
        <v>0</v>
      </c>
      <c r="R2100" s="532" t="str">
        <f t="shared" si="148"/>
        <v/>
      </c>
      <c r="S2100" s="533"/>
      <c r="T2100" s="533"/>
      <c r="U2100" s="496"/>
      <c r="V2100" s="496"/>
      <c r="W2100" s="496"/>
    </row>
    <row r="2101" spans="1:23" x14ac:dyDescent="0.2">
      <c r="A2101" s="510" t="str">
        <f t="shared" si="145"/>
        <v/>
      </c>
      <c r="B2101" s="428"/>
      <c r="C2101" s="424"/>
      <c r="D2101" s="415"/>
      <c r="E2101" s="415"/>
      <c r="F2101" s="425"/>
      <c r="G2101" s="415"/>
      <c r="H2101" s="415"/>
      <c r="I2101" s="473"/>
      <c r="J2101" s="415"/>
      <c r="K2101" s="415"/>
      <c r="L2101" s="415"/>
      <c r="M2101" s="415"/>
      <c r="N2101" s="414"/>
      <c r="O2101" s="428"/>
      <c r="P2101" s="222">
        <f t="shared" si="146"/>
        <v>0</v>
      </c>
      <c r="Q2101" s="222">
        <f t="shared" si="147"/>
        <v>0</v>
      </c>
      <c r="R2101" s="532" t="str">
        <f t="shared" si="148"/>
        <v/>
      </c>
      <c r="S2101" s="533"/>
      <c r="T2101" s="533"/>
      <c r="U2101" s="496"/>
      <c r="V2101" s="496"/>
      <c r="W2101" s="496"/>
    </row>
    <row r="2102" spans="1:23" x14ac:dyDescent="0.2">
      <c r="A2102" s="510" t="str">
        <f t="shared" si="145"/>
        <v/>
      </c>
      <c r="B2102" s="428"/>
      <c r="C2102" s="424"/>
      <c r="D2102" s="415"/>
      <c r="E2102" s="415"/>
      <c r="F2102" s="425"/>
      <c r="G2102" s="415"/>
      <c r="H2102" s="415"/>
      <c r="I2102" s="473"/>
      <c r="J2102" s="415"/>
      <c r="K2102" s="415"/>
      <c r="L2102" s="415"/>
      <c r="M2102" s="415"/>
      <c r="N2102" s="414"/>
      <c r="O2102" s="428"/>
      <c r="P2102" s="222">
        <f t="shared" si="146"/>
        <v>0</v>
      </c>
      <c r="Q2102" s="222">
        <f t="shared" si="147"/>
        <v>0</v>
      </c>
      <c r="R2102" s="532" t="str">
        <f t="shared" si="148"/>
        <v/>
      </c>
      <c r="S2102" s="533"/>
      <c r="T2102" s="533"/>
      <c r="U2102" s="496"/>
      <c r="V2102" s="496"/>
      <c r="W2102" s="496"/>
    </row>
    <row r="2103" spans="1:23" x14ac:dyDescent="0.2">
      <c r="A2103" s="510" t="str">
        <f t="shared" si="145"/>
        <v/>
      </c>
      <c r="B2103" s="428"/>
      <c r="C2103" s="424"/>
      <c r="D2103" s="415"/>
      <c r="E2103" s="415"/>
      <c r="F2103" s="425"/>
      <c r="G2103" s="415"/>
      <c r="H2103" s="415"/>
      <c r="I2103" s="473"/>
      <c r="J2103" s="415"/>
      <c r="K2103" s="415"/>
      <c r="L2103" s="415"/>
      <c r="M2103" s="415"/>
      <c r="N2103" s="414"/>
      <c r="O2103" s="428"/>
      <c r="P2103" s="222">
        <f t="shared" si="146"/>
        <v>0</v>
      </c>
      <c r="Q2103" s="222">
        <f t="shared" si="147"/>
        <v>0</v>
      </c>
      <c r="R2103" s="532" t="str">
        <f t="shared" si="148"/>
        <v/>
      </c>
      <c r="S2103" s="533"/>
      <c r="T2103" s="533"/>
      <c r="U2103" s="496"/>
      <c r="V2103" s="496"/>
      <c r="W2103" s="496"/>
    </row>
    <row r="2104" spans="1:23" x14ac:dyDescent="0.2">
      <c r="A2104" s="510" t="str">
        <f t="shared" si="145"/>
        <v/>
      </c>
      <c r="B2104" s="428"/>
      <c r="C2104" s="424"/>
      <c r="D2104" s="415"/>
      <c r="E2104" s="415"/>
      <c r="F2104" s="425"/>
      <c r="G2104" s="415"/>
      <c r="H2104" s="415"/>
      <c r="I2104" s="473"/>
      <c r="J2104" s="415"/>
      <c r="K2104" s="415"/>
      <c r="L2104" s="415"/>
      <c r="M2104" s="415"/>
      <c r="N2104" s="414"/>
      <c r="O2104" s="428"/>
      <c r="P2104" s="222">
        <f t="shared" si="146"/>
        <v>0</v>
      </c>
      <c r="Q2104" s="222">
        <f t="shared" si="147"/>
        <v>0</v>
      </c>
      <c r="R2104" s="532" t="str">
        <f t="shared" si="148"/>
        <v/>
      </c>
      <c r="S2104" s="533"/>
      <c r="T2104" s="533"/>
      <c r="U2104" s="496"/>
      <c r="V2104" s="496"/>
      <c r="W2104" s="496"/>
    </row>
    <row r="2105" spans="1:23" x14ac:dyDescent="0.2">
      <c r="A2105" s="510" t="str">
        <f t="shared" si="145"/>
        <v/>
      </c>
      <c r="B2105" s="428"/>
      <c r="C2105" s="424"/>
      <c r="D2105" s="415"/>
      <c r="E2105" s="415"/>
      <c r="F2105" s="425"/>
      <c r="G2105" s="415"/>
      <c r="H2105" s="415"/>
      <c r="I2105" s="473"/>
      <c r="J2105" s="415"/>
      <c r="K2105" s="415"/>
      <c r="L2105" s="415"/>
      <c r="M2105" s="415"/>
      <c r="N2105" s="414"/>
      <c r="O2105" s="428"/>
      <c r="P2105" s="222">
        <f t="shared" si="146"/>
        <v>0</v>
      </c>
      <c r="Q2105" s="222">
        <f t="shared" si="147"/>
        <v>0</v>
      </c>
      <c r="R2105" s="532" t="str">
        <f t="shared" si="148"/>
        <v/>
      </c>
      <c r="S2105" s="533"/>
      <c r="T2105" s="533"/>
      <c r="U2105" s="496"/>
      <c r="V2105" s="496"/>
      <c r="W2105" s="496"/>
    </row>
    <row r="2106" spans="1:23" x14ac:dyDescent="0.2">
      <c r="A2106" s="510" t="str">
        <f t="shared" si="145"/>
        <v/>
      </c>
      <c r="B2106" s="428"/>
      <c r="C2106" s="424"/>
      <c r="D2106" s="415"/>
      <c r="E2106" s="415"/>
      <c r="F2106" s="425"/>
      <c r="G2106" s="415"/>
      <c r="H2106" s="415"/>
      <c r="I2106" s="473"/>
      <c r="J2106" s="415"/>
      <c r="K2106" s="415"/>
      <c r="L2106" s="415"/>
      <c r="M2106" s="415"/>
      <c r="N2106" s="414"/>
      <c r="O2106" s="428"/>
      <c r="P2106" s="222">
        <f t="shared" si="146"/>
        <v>0</v>
      </c>
      <c r="Q2106" s="222">
        <f t="shared" si="147"/>
        <v>0</v>
      </c>
      <c r="R2106" s="532" t="str">
        <f t="shared" si="148"/>
        <v/>
      </c>
      <c r="S2106" s="533"/>
      <c r="T2106" s="533"/>
      <c r="U2106" s="496"/>
      <c r="V2106" s="496"/>
      <c r="W2106" s="496"/>
    </row>
    <row r="2107" spans="1:23" x14ac:dyDescent="0.2">
      <c r="A2107" s="510" t="str">
        <f t="shared" si="145"/>
        <v/>
      </c>
      <c r="B2107" s="428"/>
      <c r="C2107" s="424"/>
      <c r="D2107" s="415"/>
      <c r="E2107" s="415"/>
      <c r="F2107" s="425"/>
      <c r="G2107" s="415"/>
      <c r="H2107" s="415"/>
      <c r="I2107" s="473"/>
      <c r="J2107" s="415"/>
      <c r="K2107" s="415"/>
      <c r="L2107" s="415"/>
      <c r="M2107" s="415"/>
      <c r="N2107" s="414"/>
      <c r="O2107" s="428"/>
      <c r="P2107" s="222">
        <f t="shared" si="146"/>
        <v>0</v>
      </c>
      <c r="Q2107" s="222">
        <f t="shared" si="147"/>
        <v>0</v>
      </c>
      <c r="R2107" s="532" t="str">
        <f t="shared" si="148"/>
        <v/>
      </c>
      <c r="S2107" s="533"/>
      <c r="T2107" s="533"/>
      <c r="U2107" s="496"/>
      <c r="V2107" s="496"/>
      <c r="W2107" s="496"/>
    </row>
    <row r="2108" spans="1:23" x14ac:dyDescent="0.2">
      <c r="A2108" s="510" t="str">
        <f t="shared" si="145"/>
        <v/>
      </c>
      <c r="B2108" s="428"/>
      <c r="C2108" s="424"/>
      <c r="D2108" s="415"/>
      <c r="E2108" s="415"/>
      <c r="F2108" s="425"/>
      <c r="G2108" s="415"/>
      <c r="H2108" s="415"/>
      <c r="I2108" s="473"/>
      <c r="J2108" s="415"/>
      <c r="K2108" s="415"/>
      <c r="L2108" s="415"/>
      <c r="M2108" s="415"/>
      <c r="N2108" s="414"/>
      <c r="O2108" s="428"/>
      <c r="P2108" s="222">
        <f t="shared" si="146"/>
        <v>0</v>
      </c>
      <c r="Q2108" s="222">
        <f t="shared" si="147"/>
        <v>0</v>
      </c>
      <c r="R2108" s="532" t="str">
        <f t="shared" si="148"/>
        <v/>
      </c>
      <c r="S2108" s="533"/>
      <c r="T2108" s="533"/>
      <c r="U2108" s="496"/>
      <c r="V2108" s="496"/>
      <c r="W2108" s="496"/>
    </row>
    <row r="2109" spans="1:23" x14ac:dyDescent="0.2">
      <c r="A2109" s="510" t="str">
        <f t="shared" si="145"/>
        <v/>
      </c>
      <c r="B2109" s="428"/>
      <c r="C2109" s="424"/>
      <c r="D2109" s="415"/>
      <c r="E2109" s="415"/>
      <c r="F2109" s="425"/>
      <c r="G2109" s="415"/>
      <c r="H2109" s="415"/>
      <c r="I2109" s="473"/>
      <c r="J2109" s="415"/>
      <c r="K2109" s="415"/>
      <c r="L2109" s="415"/>
      <c r="M2109" s="415"/>
      <c r="N2109" s="414"/>
      <c r="O2109" s="428"/>
      <c r="P2109" s="222">
        <f t="shared" si="146"/>
        <v>0</v>
      </c>
      <c r="Q2109" s="222">
        <f t="shared" si="147"/>
        <v>0</v>
      </c>
      <c r="R2109" s="532" t="str">
        <f t="shared" si="148"/>
        <v/>
      </c>
      <c r="S2109" s="533"/>
      <c r="T2109" s="533"/>
      <c r="U2109" s="496"/>
      <c r="V2109" s="496"/>
      <c r="W2109" s="496"/>
    </row>
    <row r="2110" spans="1:23" x14ac:dyDescent="0.2">
      <c r="A2110" s="510" t="str">
        <f t="shared" si="145"/>
        <v/>
      </c>
      <c r="B2110" s="428"/>
      <c r="C2110" s="424"/>
      <c r="D2110" s="415"/>
      <c r="E2110" s="415"/>
      <c r="F2110" s="425"/>
      <c r="G2110" s="415"/>
      <c r="H2110" s="415"/>
      <c r="I2110" s="473"/>
      <c r="J2110" s="415"/>
      <c r="K2110" s="415"/>
      <c r="L2110" s="415"/>
      <c r="M2110" s="415"/>
      <c r="N2110" s="414"/>
      <c r="O2110" s="428"/>
      <c r="P2110" s="222">
        <f t="shared" si="146"/>
        <v>0</v>
      </c>
      <c r="Q2110" s="222">
        <f t="shared" si="147"/>
        <v>0</v>
      </c>
      <c r="R2110" s="532" t="str">
        <f t="shared" si="148"/>
        <v/>
      </c>
      <c r="S2110" s="533"/>
      <c r="T2110" s="533"/>
      <c r="U2110" s="496"/>
      <c r="V2110" s="496"/>
      <c r="W2110" s="496"/>
    </row>
    <row r="2111" spans="1:23" x14ac:dyDescent="0.2">
      <c r="A2111" s="510" t="str">
        <f t="shared" si="145"/>
        <v/>
      </c>
      <c r="B2111" s="428"/>
      <c r="C2111" s="424"/>
      <c r="D2111" s="415"/>
      <c r="E2111" s="415"/>
      <c r="F2111" s="425"/>
      <c r="G2111" s="415"/>
      <c r="H2111" s="415"/>
      <c r="I2111" s="473"/>
      <c r="J2111" s="415"/>
      <c r="K2111" s="415"/>
      <c r="L2111" s="415"/>
      <c r="M2111" s="415"/>
      <c r="N2111" s="414"/>
      <c r="O2111" s="428"/>
      <c r="P2111" s="222">
        <f t="shared" si="146"/>
        <v>0</v>
      </c>
      <c r="Q2111" s="222">
        <f t="shared" si="147"/>
        <v>0</v>
      </c>
      <c r="R2111" s="532" t="str">
        <f t="shared" si="148"/>
        <v/>
      </c>
      <c r="S2111" s="533"/>
      <c r="T2111" s="533"/>
      <c r="U2111" s="496"/>
      <c r="V2111" s="496"/>
      <c r="W2111" s="496"/>
    </row>
    <row r="2112" spans="1:23" s="314" customFormat="1" x14ac:dyDescent="0.2">
      <c r="A2112" s="510" t="str">
        <f t="shared" si="145"/>
        <v/>
      </c>
      <c r="B2112" s="428"/>
      <c r="C2112" s="424"/>
      <c r="D2112" s="415"/>
      <c r="E2112" s="415"/>
      <c r="F2112" s="425"/>
      <c r="G2112" s="415"/>
      <c r="H2112" s="415"/>
      <c r="I2112" s="473"/>
      <c r="J2112" s="415"/>
      <c r="K2112" s="415"/>
      <c r="L2112" s="415"/>
      <c r="M2112" s="415"/>
      <c r="N2112" s="414"/>
      <c r="O2112" s="428"/>
      <c r="P2112" s="222">
        <f t="shared" si="146"/>
        <v>0</v>
      </c>
      <c r="Q2112" s="222">
        <f t="shared" si="147"/>
        <v>0</v>
      </c>
      <c r="R2112" s="532" t="str">
        <f t="shared" si="148"/>
        <v/>
      </c>
      <c r="S2112" s="533"/>
      <c r="T2112" s="533"/>
      <c r="U2112" s="496"/>
      <c r="V2112" s="496"/>
      <c r="W2112" s="496"/>
    </row>
    <row r="2113" spans="1:23" x14ac:dyDescent="0.2">
      <c r="A2113" s="510" t="str">
        <f t="shared" si="145"/>
        <v/>
      </c>
      <c r="B2113" s="428"/>
      <c r="C2113" s="424"/>
      <c r="D2113" s="415"/>
      <c r="E2113" s="415"/>
      <c r="F2113" s="425"/>
      <c r="G2113" s="415"/>
      <c r="H2113" s="415"/>
      <c r="I2113" s="473"/>
      <c r="J2113" s="415"/>
      <c r="K2113" s="415"/>
      <c r="L2113" s="415"/>
      <c r="M2113" s="415"/>
      <c r="N2113" s="414"/>
      <c r="O2113" s="428"/>
      <c r="P2113" s="222">
        <f t="shared" si="146"/>
        <v>0</v>
      </c>
      <c r="Q2113" s="222">
        <f t="shared" si="147"/>
        <v>0</v>
      </c>
      <c r="R2113" s="532" t="str">
        <f t="shared" si="148"/>
        <v/>
      </c>
      <c r="S2113" s="533"/>
      <c r="T2113" s="533"/>
      <c r="U2113" s="496"/>
      <c r="V2113" s="496"/>
      <c r="W2113" s="496"/>
    </row>
    <row r="2114" spans="1:23" x14ac:dyDescent="0.2">
      <c r="A2114" s="510" t="str">
        <f t="shared" si="145"/>
        <v/>
      </c>
      <c r="B2114" s="428"/>
      <c r="C2114" s="424"/>
      <c r="D2114" s="415"/>
      <c r="E2114" s="415"/>
      <c r="F2114" s="425"/>
      <c r="G2114" s="415"/>
      <c r="H2114" s="415"/>
      <c r="I2114" s="473"/>
      <c r="J2114" s="415"/>
      <c r="K2114" s="415"/>
      <c r="L2114" s="415"/>
      <c r="M2114" s="415"/>
      <c r="N2114" s="414"/>
      <c r="O2114" s="428"/>
      <c r="P2114" s="222">
        <f t="shared" si="146"/>
        <v>0</v>
      </c>
      <c r="Q2114" s="222">
        <f t="shared" si="147"/>
        <v>0</v>
      </c>
      <c r="R2114" s="532" t="str">
        <f t="shared" si="148"/>
        <v/>
      </c>
      <c r="S2114" s="533"/>
      <c r="T2114" s="533"/>
      <c r="U2114" s="496"/>
      <c r="V2114" s="496"/>
      <c r="W2114" s="496"/>
    </row>
    <row r="2115" spans="1:23" x14ac:dyDescent="0.2">
      <c r="A2115" s="510" t="str">
        <f t="shared" si="145"/>
        <v/>
      </c>
      <c r="B2115" s="428"/>
      <c r="C2115" s="424"/>
      <c r="D2115" s="415"/>
      <c r="E2115" s="415"/>
      <c r="F2115" s="425"/>
      <c r="G2115" s="415"/>
      <c r="H2115" s="415"/>
      <c r="I2115" s="473"/>
      <c r="J2115" s="415"/>
      <c r="K2115" s="415"/>
      <c r="L2115" s="415"/>
      <c r="M2115" s="415"/>
      <c r="N2115" s="414"/>
      <c r="O2115" s="428"/>
      <c r="P2115" s="222">
        <f t="shared" si="146"/>
        <v>0</v>
      </c>
      <c r="Q2115" s="222">
        <f t="shared" si="147"/>
        <v>0</v>
      </c>
      <c r="R2115" s="532" t="str">
        <f t="shared" si="148"/>
        <v/>
      </c>
      <c r="S2115" s="533"/>
      <c r="T2115" s="533"/>
      <c r="U2115" s="496"/>
      <c r="V2115" s="496"/>
      <c r="W2115" s="496"/>
    </row>
    <row r="2116" spans="1:23" x14ac:dyDescent="0.2">
      <c r="A2116" s="510" t="str">
        <f t="shared" si="145"/>
        <v/>
      </c>
      <c r="B2116" s="428"/>
      <c r="C2116" s="424"/>
      <c r="D2116" s="415"/>
      <c r="E2116" s="415"/>
      <c r="F2116" s="425"/>
      <c r="G2116" s="415"/>
      <c r="H2116" s="415"/>
      <c r="I2116" s="473"/>
      <c r="J2116" s="415"/>
      <c r="K2116" s="415"/>
      <c r="L2116" s="415"/>
      <c r="M2116" s="415"/>
      <c r="N2116" s="414"/>
      <c r="O2116" s="428"/>
      <c r="P2116" s="222">
        <f t="shared" si="146"/>
        <v>0</v>
      </c>
      <c r="Q2116" s="222">
        <f t="shared" si="147"/>
        <v>0</v>
      </c>
      <c r="R2116" s="532" t="str">
        <f t="shared" si="148"/>
        <v/>
      </c>
      <c r="S2116" s="533"/>
      <c r="T2116" s="533"/>
      <c r="U2116" s="496"/>
      <c r="V2116" s="496"/>
      <c r="W2116" s="496"/>
    </row>
    <row r="2117" spans="1:23" x14ac:dyDescent="0.2">
      <c r="A2117" s="510" t="str">
        <f t="shared" si="145"/>
        <v/>
      </c>
      <c r="B2117" s="428"/>
      <c r="C2117" s="424"/>
      <c r="D2117" s="415"/>
      <c r="E2117" s="415"/>
      <c r="F2117" s="425"/>
      <c r="G2117" s="415"/>
      <c r="H2117" s="415"/>
      <c r="I2117" s="473"/>
      <c r="J2117" s="415"/>
      <c r="K2117" s="415"/>
      <c r="L2117" s="415"/>
      <c r="M2117" s="415"/>
      <c r="N2117" s="414"/>
      <c r="O2117" s="428"/>
      <c r="P2117" s="222">
        <f t="shared" si="146"/>
        <v>0</v>
      </c>
      <c r="Q2117" s="222">
        <f t="shared" si="147"/>
        <v>0</v>
      </c>
      <c r="R2117" s="532" t="str">
        <f t="shared" si="148"/>
        <v/>
      </c>
      <c r="S2117" s="533"/>
      <c r="T2117" s="533"/>
      <c r="U2117" s="496"/>
      <c r="V2117" s="496"/>
      <c r="W2117" s="496"/>
    </row>
    <row r="2118" spans="1:23" x14ac:dyDescent="0.2">
      <c r="A2118" s="510" t="str">
        <f t="shared" si="145"/>
        <v/>
      </c>
      <c r="B2118" s="428"/>
      <c r="C2118" s="424"/>
      <c r="D2118" s="415"/>
      <c r="E2118" s="415"/>
      <c r="F2118" s="425"/>
      <c r="G2118" s="415"/>
      <c r="H2118" s="415"/>
      <c r="I2118" s="473"/>
      <c r="J2118" s="415"/>
      <c r="K2118" s="415"/>
      <c r="L2118" s="415"/>
      <c r="M2118" s="415"/>
      <c r="N2118" s="414"/>
      <c r="O2118" s="428"/>
      <c r="P2118" s="222">
        <f t="shared" si="146"/>
        <v>0</v>
      </c>
      <c r="Q2118" s="222">
        <f t="shared" si="147"/>
        <v>0</v>
      </c>
      <c r="R2118" s="532" t="str">
        <f t="shared" si="148"/>
        <v/>
      </c>
      <c r="S2118" s="533"/>
      <c r="T2118" s="533"/>
      <c r="U2118" s="496"/>
      <c r="V2118" s="496"/>
      <c r="W2118" s="496"/>
    </row>
    <row r="2119" spans="1:23" x14ac:dyDescent="0.2">
      <c r="A2119" s="510" t="str">
        <f t="shared" si="145"/>
        <v/>
      </c>
      <c r="B2119" s="428"/>
      <c r="C2119" s="424"/>
      <c r="D2119" s="415"/>
      <c r="E2119" s="415"/>
      <c r="F2119" s="425"/>
      <c r="G2119" s="415"/>
      <c r="H2119" s="415"/>
      <c r="I2119" s="473"/>
      <c r="J2119" s="415"/>
      <c r="K2119" s="415"/>
      <c r="L2119" s="415"/>
      <c r="M2119" s="415"/>
      <c r="N2119" s="414"/>
      <c r="O2119" s="428"/>
      <c r="P2119" s="222">
        <f t="shared" si="146"/>
        <v>0</v>
      </c>
      <c r="Q2119" s="222">
        <f t="shared" si="147"/>
        <v>0</v>
      </c>
      <c r="R2119" s="532" t="str">
        <f t="shared" si="148"/>
        <v/>
      </c>
      <c r="S2119" s="533"/>
      <c r="T2119" s="533"/>
      <c r="U2119" s="496"/>
      <c r="V2119" s="496"/>
      <c r="W2119" s="496"/>
    </row>
    <row r="2120" spans="1:23" x14ac:dyDescent="0.2">
      <c r="A2120" s="510" t="str">
        <f t="shared" si="145"/>
        <v/>
      </c>
      <c r="B2120" s="428"/>
      <c r="C2120" s="424"/>
      <c r="D2120" s="415"/>
      <c r="E2120" s="415"/>
      <c r="F2120" s="425"/>
      <c r="G2120" s="415"/>
      <c r="H2120" s="415"/>
      <c r="I2120" s="473"/>
      <c r="J2120" s="415"/>
      <c r="K2120" s="415"/>
      <c r="L2120" s="415"/>
      <c r="M2120" s="415"/>
      <c r="N2120" s="414"/>
      <c r="O2120" s="428"/>
      <c r="P2120" s="222">
        <f t="shared" si="146"/>
        <v>0</v>
      </c>
      <c r="Q2120" s="222">
        <f t="shared" si="147"/>
        <v>0</v>
      </c>
      <c r="R2120" s="532" t="str">
        <f t="shared" si="148"/>
        <v/>
      </c>
      <c r="S2120" s="533"/>
      <c r="T2120" s="533"/>
      <c r="U2120" s="496"/>
      <c r="V2120" s="496"/>
      <c r="W2120" s="496"/>
    </row>
    <row r="2121" spans="1:23" x14ac:dyDescent="0.2">
      <c r="A2121" s="510" t="str">
        <f t="shared" si="145"/>
        <v/>
      </c>
      <c r="B2121" s="428"/>
      <c r="C2121" s="424"/>
      <c r="D2121" s="415"/>
      <c r="E2121" s="415"/>
      <c r="F2121" s="425"/>
      <c r="G2121" s="415"/>
      <c r="H2121" s="415"/>
      <c r="I2121" s="473"/>
      <c r="J2121" s="415"/>
      <c r="K2121" s="415"/>
      <c r="L2121" s="415"/>
      <c r="M2121" s="415"/>
      <c r="N2121" s="414"/>
      <c r="O2121" s="428"/>
      <c r="P2121" s="222">
        <f t="shared" si="146"/>
        <v>0</v>
      </c>
      <c r="Q2121" s="222">
        <f t="shared" si="147"/>
        <v>0</v>
      </c>
      <c r="R2121" s="532" t="str">
        <f t="shared" si="148"/>
        <v/>
      </c>
      <c r="S2121" s="533"/>
      <c r="T2121" s="533"/>
      <c r="U2121" s="496"/>
      <c r="V2121" s="496"/>
      <c r="W2121" s="496"/>
    </row>
    <row r="2122" spans="1:23" x14ac:dyDescent="0.2">
      <c r="A2122" s="510" t="str">
        <f t="shared" si="145"/>
        <v/>
      </c>
      <c r="B2122" s="428"/>
      <c r="C2122" s="424"/>
      <c r="D2122" s="415"/>
      <c r="E2122" s="415"/>
      <c r="F2122" s="425"/>
      <c r="G2122" s="415"/>
      <c r="H2122" s="415"/>
      <c r="I2122" s="473"/>
      <c r="J2122" s="415"/>
      <c r="K2122" s="415"/>
      <c r="L2122" s="415"/>
      <c r="M2122" s="415"/>
      <c r="N2122" s="414"/>
      <c r="O2122" s="428"/>
      <c r="P2122" s="222">
        <f t="shared" si="146"/>
        <v>0</v>
      </c>
      <c r="Q2122" s="222">
        <f t="shared" si="147"/>
        <v>0</v>
      </c>
      <c r="R2122" s="532" t="str">
        <f t="shared" si="148"/>
        <v/>
      </c>
      <c r="S2122" s="533"/>
      <c r="T2122" s="533"/>
      <c r="U2122" s="496"/>
      <c r="V2122" s="496"/>
      <c r="W2122" s="496"/>
    </row>
    <row r="2123" spans="1:23" x14ac:dyDescent="0.2">
      <c r="A2123" s="510" t="str">
        <f t="shared" si="145"/>
        <v/>
      </c>
      <c r="B2123" s="428"/>
      <c r="C2123" s="424"/>
      <c r="D2123" s="415"/>
      <c r="E2123" s="415"/>
      <c r="F2123" s="425"/>
      <c r="G2123" s="415"/>
      <c r="H2123" s="415"/>
      <c r="I2123" s="473"/>
      <c r="J2123" s="415"/>
      <c r="K2123" s="415"/>
      <c r="L2123" s="415"/>
      <c r="M2123" s="415"/>
      <c r="N2123" s="414"/>
      <c r="O2123" s="428"/>
      <c r="P2123" s="222">
        <f t="shared" si="146"/>
        <v>0</v>
      </c>
      <c r="Q2123" s="222">
        <f t="shared" si="147"/>
        <v>0</v>
      </c>
      <c r="R2123" s="532" t="str">
        <f t="shared" si="148"/>
        <v/>
      </c>
      <c r="S2123" s="533"/>
      <c r="T2123" s="533"/>
      <c r="U2123" s="496"/>
      <c r="V2123" s="496"/>
      <c r="W2123" s="496"/>
    </row>
    <row r="2124" spans="1:23" x14ac:dyDescent="0.2">
      <c r="A2124" s="510" t="str">
        <f t="shared" si="145"/>
        <v/>
      </c>
      <c r="B2124" s="428"/>
      <c r="C2124" s="424"/>
      <c r="D2124" s="415"/>
      <c r="E2124" s="415"/>
      <c r="F2124" s="425"/>
      <c r="G2124" s="415"/>
      <c r="H2124" s="415"/>
      <c r="I2124" s="473"/>
      <c r="J2124" s="415"/>
      <c r="K2124" s="415"/>
      <c r="L2124" s="415"/>
      <c r="M2124" s="415"/>
      <c r="N2124" s="414"/>
      <c r="O2124" s="428"/>
      <c r="P2124" s="222">
        <f t="shared" si="146"/>
        <v>0</v>
      </c>
      <c r="Q2124" s="222">
        <f t="shared" si="147"/>
        <v>0</v>
      </c>
      <c r="R2124" s="532" t="str">
        <f t="shared" si="148"/>
        <v/>
      </c>
      <c r="S2124" s="533"/>
      <c r="T2124" s="533"/>
      <c r="U2124" s="496"/>
      <c r="V2124" s="496"/>
      <c r="W2124" s="496"/>
    </row>
    <row r="2125" spans="1:23" x14ac:dyDescent="0.2">
      <c r="A2125" s="510" t="str">
        <f t="shared" si="145"/>
        <v/>
      </c>
      <c r="B2125" s="428"/>
      <c r="C2125" s="424"/>
      <c r="D2125" s="415"/>
      <c r="E2125" s="415"/>
      <c r="F2125" s="425"/>
      <c r="G2125" s="415"/>
      <c r="H2125" s="415"/>
      <c r="I2125" s="473"/>
      <c r="J2125" s="415"/>
      <c r="K2125" s="415"/>
      <c r="L2125" s="415"/>
      <c r="M2125" s="415"/>
      <c r="N2125" s="414"/>
      <c r="O2125" s="428"/>
      <c r="P2125" s="222">
        <f t="shared" si="146"/>
        <v>0</v>
      </c>
      <c r="Q2125" s="222">
        <f t="shared" si="147"/>
        <v>0</v>
      </c>
      <c r="R2125" s="532" t="str">
        <f t="shared" si="148"/>
        <v/>
      </c>
      <c r="S2125" s="533"/>
      <c r="T2125" s="533"/>
      <c r="U2125" s="496"/>
      <c r="V2125" s="496"/>
      <c r="W2125" s="496"/>
    </row>
    <row r="2126" spans="1:23" x14ac:dyDescent="0.2">
      <c r="A2126" s="510" t="str">
        <f t="shared" si="145"/>
        <v/>
      </c>
      <c r="B2126" s="428"/>
      <c r="C2126" s="424"/>
      <c r="D2126" s="415"/>
      <c r="E2126" s="415"/>
      <c r="F2126" s="425"/>
      <c r="G2126" s="415"/>
      <c r="H2126" s="415"/>
      <c r="I2126" s="473"/>
      <c r="J2126" s="415"/>
      <c r="K2126" s="415"/>
      <c r="L2126" s="415"/>
      <c r="M2126" s="415"/>
      <c r="N2126" s="414"/>
      <c r="O2126" s="428"/>
      <c r="P2126" s="222">
        <f t="shared" si="146"/>
        <v>0</v>
      </c>
      <c r="Q2126" s="222">
        <f t="shared" si="147"/>
        <v>0</v>
      </c>
      <c r="R2126" s="532" t="str">
        <f t="shared" si="148"/>
        <v/>
      </c>
      <c r="S2126" s="533"/>
      <c r="T2126" s="533"/>
      <c r="U2126" s="496"/>
      <c r="V2126" s="496"/>
      <c r="W2126" s="496"/>
    </row>
    <row r="2127" spans="1:23" x14ac:dyDescent="0.2">
      <c r="A2127" s="510" t="str">
        <f t="shared" si="145"/>
        <v/>
      </c>
      <c r="B2127" s="428"/>
      <c r="C2127" s="424"/>
      <c r="D2127" s="415"/>
      <c r="E2127" s="415"/>
      <c r="F2127" s="425"/>
      <c r="G2127" s="415"/>
      <c r="H2127" s="415"/>
      <c r="I2127" s="473"/>
      <c r="J2127" s="415"/>
      <c r="K2127" s="415"/>
      <c r="L2127" s="415"/>
      <c r="M2127" s="415"/>
      <c r="N2127" s="414"/>
      <c r="O2127" s="428"/>
      <c r="P2127" s="222">
        <f t="shared" si="146"/>
        <v>0</v>
      </c>
      <c r="Q2127" s="222">
        <f t="shared" si="147"/>
        <v>0</v>
      </c>
      <c r="R2127" s="532" t="str">
        <f t="shared" si="148"/>
        <v/>
      </c>
      <c r="S2127" s="533"/>
      <c r="T2127" s="533"/>
      <c r="U2127" s="496"/>
      <c r="V2127" s="496"/>
      <c r="W2127" s="496"/>
    </row>
    <row r="2128" spans="1:23" x14ac:dyDescent="0.2">
      <c r="A2128" s="510" t="str">
        <f t="shared" si="145"/>
        <v/>
      </c>
      <c r="B2128" s="428"/>
      <c r="C2128" s="424"/>
      <c r="D2128" s="415"/>
      <c r="E2128" s="415"/>
      <c r="F2128" s="425"/>
      <c r="G2128" s="415"/>
      <c r="H2128" s="415"/>
      <c r="I2128" s="473"/>
      <c r="J2128" s="415"/>
      <c r="K2128" s="415"/>
      <c r="L2128" s="415"/>
      <c r="M2128" s="415"/>
      <c r="N2128" s="414"/>
      <c r="O2128" s="428"/>
      <c r="P2128" s="222">
        <f t="shared" si="146"/>
        <v>0</v>
      </c>
      <c r="Q2128" s="222">
        <f t="shared" si="147"/>
        <v>0</v>
      </c>
      <c r="R2128" s="532" t="str">
        <f t="shared" si="148"/>
        <v/>
      </c>
      <c r="S2128" s="533"/>
      <c r="T2128" s="533"/>
      <c r="U2128" s="496"/>
      <c r="V2128" s="496"/>
      <c r="W2128" s="496"/>
    </row>
    <row r="2129" spans="1:23" x14ac:dyDescent="0.2">
      <c r="A2129" s="510" t="str">
        <f t="shared" si="145"/>
        <v/>
      </c>
      <c r="B2129" s="428"/>
      <c r="C2129" s="424"/>
      <c r="D2129" s="415"/>
      <c r="E2129" s="415"/>
      <c r="F2129" s="425"/>
      <c r="G2129" s="415"/>
      <c r="H2129" s="415"/>
      <c r="I2129" s="473"/>
      <c r="J2129" s="415"/>
      <c r="K2129" s="415"/>
      <c r="L2129" s="415"/>
      <c r="M2129" s="415"/>
      <c r="N2129" s="414"/>
      <c r="O2129" s="428"/>
      <c r="P2129" s="222">
        <f t="shared" si="146"/>
        <v>0</v>
      </c>
      <c r="Q2129" s="222">
        <f t="shared" si="147"/>
        <v>0</v>
      </c>
      <c r="R2129" s="532" t="str">
        <f t="shared" si="148"/>
        <v/>
      </c>
      <c r="S2129" s="533"/>
      <c r="T2129" s="533"/>
      <c r="U2129" s="496"/>
      <c r="V2129" s="496"/>
      <c r="W2129" s="496"/>
    </row>
    <row r="2130" spans="1:23" x14ac:dyDescent="0.2">
      <c r="A2130" s="510" t="str">
        <f t="shared" si="145"/>
        <v/>
      </c>
      <c r="B2130" s="428"/>
      <c r="C2130" s="424"/>
      <c r="D2130" s="415"/>
      <c r="E2130" s="415"/>
      <c r="F2130" s="425"/>
      <c r="G2130" s="415"/>
      <c r="H2130" s="415"/>
      <c r="I2130" s="473"/>
      <c r="J2130" s="415"/>
      <c r="K2130" s="415"/>
      <c r="L2130" s="415"/>
      <c r="M2130" s="415"/>
      <c r="N2130" s="414"/>
      <c r="O2130" s="428"/>
      <c r="P2130" s="222">
        <f t="shared" si="146"/>
        <v>0</v>
      </c>
      <c r="Q2130" s="222">
        <f t="shared" si="147"/>
        <v>0</v>
      </c>
      <c r="R2130" s="532" t="str">
        <f t="shared" si="148"/>
        <v/>
      </c>
      <c r="S2130" s="533"/>
      <c r="T2130" s="533"/>
      <c r="U2130" s="496"/>
      <c r="V2130" s="496"/>
      <c r="W2130" s="496"/>
    </row>
    <row r="2131" spans="1:23" x14ac:dyDescent="0.2">
      <c r="A2131" s="510" t="str">
        <f t="shared" si="145"/>
        <v/>
      </c>
      <c r="B2131" s="428"/>
      <c r="C2131" s="424"/>
      <c r="D2131" s="415"/>
      <c r="E2131" s="415"/>
      <c r="F2131" s="425"/>
      <c r="G2131" s="415"/>
      <c r="H2131" s="415"/>
      <c r="I2131" s="473"/>
      <c r="J2131" s="415"/>
      <c r="K2131" s="415"/>
      <c r="L2131" s="415"/>
      <c r="M2131" s="415"/>
      <c r="N2131" s="414"/>
      <c r="O2131" s="428"/>
      <c r="P2131" s="222">
        <f t="shared" si="146"/>
        <v>0</v>
      </c>
      <c r="Q2131" s="222">
        <f t="shared" si="147"/>
        <v>0</v>
      </c>
      <c r="R2131" s="532" t="str">
        <f t="shared" si="148"/>
        <v/>
      </c>
      <c r="S2131" s="533"/>
      <c r="T2131" s="533"/>
      <c r="U2131" s="496"/>
      <c r="V2131" s="496"/>
      <c r="W2131" s="496"/>
    </row>
    <row r="2132" spans="1:23" x14ac:dyDescent="0.2">
      <c r="A2132" s="510" t="str">
        <f t="shared" si="145"/>
        <v/>
      </c>
      <c r="B2132" s="428"/>
      <c r="C2132" s="424"/>
      <c r="D2132" s="415"/>
      <c r="E2132" s="415"/>
      <c r="F2132" s="425"/>
      <c r="G2132" s="415"/>
      <c r="H2132" s="415"/>
      <c r="I2132" s="473"/>
      <c r="J2132" s="415"/>
      <c r="K2132" s="415"/>
      <c r="L2132" s="415"/>
      <c r="M2132" s="415"/>
      <c r="N2132" s="414"/>
      <c r="O2132" s="428"/>
      <c r="P2132" s="222">
        <f t="shared" si="146"/>
        <v>0</v>
      </c>
      <c r="Q2132" s="222">
        <f t="shared" si="147"/>
        <v>0</v>
      </c>
      <c r="R2132" s="532" t="str">
        <f t="shared" si="148"/>
        <v/>
      </c>
      <c r="S2132" s="533"/>
      <c r="T2132" s="533"/>
      <c r="U2132" s="496"/>
      <c r="V2132" s="496"/>
      <c r="W2132" s="496"/>
    </row>
    <row r="2133" spans="1:23" x14ac:dyDescent="0.2">
      <c r="A2133" s="510" t="str">
        <f t="shared" si="145"/>
        <v/>
      </c>
      <c r="B2133" s="428"/>
      <c r="C2133" s="424"/>
      <c r="D2133" s="415"/>
      <c r="E2133" s="415"/>
      <c r="F2133" s="425"/>
      <c r="G2133" s="415"/>
      <c r="H2133" s="415"/>
      <c r="I2133" s="473"/>
      <c r="J2133" s="415"/>
      <c r="K2133" s="415"/>
      <c r="L2133" s="415"/>
      <c r="M2133" s="415"/>
      <c r="N2133" s="414"/>
      <c r="O2133" s="428"/>
      <c r="P2133" s="222">
        <f t="shared" si="146"/>
        <v>0</v>
      </c>
      <c r="Q2133" s="222">
        <f t="shared" si="147"/>
        <v>0</v>
      </c>
      <c r="R2133" s="532" t="str">
        <f t="shared" si="148"/>
        <v/>
      </c>
      <c r="S2133" s="533"/>
      <c r="T2133" s="533"/>
      <c r="U2133" s="496"/>
      <c r="V2133" s="496"/>
      <c r="W2133" s="496"/>
    </row>
    <row r="2134" spans="1:23" x14ac:dyDescent="0.2">
      <c r="A2134" s="510" t="str">
        <f t="shared" si="145"/>
        <v/>
      </c>
      <c r="B2134" s="428"/>
      <c r="C2134" s="424"/>
      <c r="D2134" s="415"/>
      <c r="E2134" s="415"/>
      <c r="F2134" s="425"/>
      <c r="G2134" s="415"/>
      <c r="H2134" s="415"/>
      <c r="I2134" s="473"/>
      <c r="J2134" s="415"/>
      <c r="K2134" s="415"/>
      <c r="L2134" s="415"/>
      <c r="M2134" s="415"/>
      <c r="N2134" s="414"/>
      <c r="O2134" s="428"/>
      <c r="P2134" s="222">
        <f t="shared" si="146"/>
        <v>0</v>
      </c>
      <c r="Q2134" s="222">
        <f t="shared" si="147"/>
        <v>0</v>
      </c>
      <c r="R2134" s="532" t="str">
        <f t="shared" si="148"/>
        <v/>
      </c>
      <c r="S2134" s="533"/>
      <c r="T2134" s="533"/>
      <c r="U2134" s="496"/>
      <c r="V2134" s="496"/>
      <c r="W2134" s="496"/>
    </row>
    <row r="2135" spans="1:23" x14ac:dyDescent="0.2">
      <c r="A2135" s="510" t="str">
        <f t="shared" si="145"/>
        <v/>
      </c>
      <c r="B2135" s="428"/>
      <c r="C2135" s="424"/>
      <c r="D2135" s="415"/>
      <c r="E2135" s="415"/>
      <c r="F2135" s="425"/>
      <c r="G2135" s="415"/>
      <c r="H2135" s="415"/>
      <c r="I2135" s="473"/>
      <c r="J2135" s="415"/>
      <c r="K2135" s="415"/>
      <c r="L2135" s="415"/>
      <c r="M2135" s="415"/>
      <c r="N2135" s="414"/>
      <c r="O2135" s="428"/>
      <c r="P2135" s="222">
        <f t="shared" si="146"/>
        <v>0</v>
      </c>
      <c r="Q2135" s="222">
        <f t="shared" si="147"/>
        <v>0</v>
      </c>
      <c r="R2135" s="532" t="str">
        <f t="shared" si="148"/>
        <v/>
      </c>
      <c r="S2135" s="533"/>
      <c r="T2135" s="533"/>
      <c r="U2135" s="496"/>
      <c r="V2135" s="496"/>
      <c r="W2135" s="496"/>
    </row>
    <row r="2136" spans="1:23" x14ac:dyDescent="0.2">
      <c r="A2136" s="510" t="str">
        <f t="shared" si="145"/>
        <v/>
      </c>
      <c r="B2136" s="428"/>
      <c r="C2136" s="424"/>
      <c r="D2136" s="415"/>
      <c r="E2136" s="415"/>
      <c r="F2136" s="425"/>
      <c r="G2136" s="415"/>
      <c r="H2136" s="415"/>
      <c r="I2136" s="473"/>
      <c r="J2136" s="415"/>
      <c r="K2136" s="415"/>
      <c r="L2136" s="415"/>
      <c r="M2136" s="415"/>
      <c r="N2136" s="414"/>
      <c r="O2136" s="428"/>
      <c r="P2136" s="222">
        <f t="shared" si="146"/>
        <v>0</v>
      </c>
      <c r="Q2136" s="222">
        <f t="shared" si="147"/>
        <v>0</v>
      </c>
      <c r="R2136" s="532" t="str">
        <f t="shared" si="148"/>
        <v/>
      </c>
      <c r="S2136" s="533"/>
      <c r="T2136" s="533"/>
      <c r="U2136" s="496"/>
      <c r="V2136" s="496"/>
      <c r="W2136" s="496"/>
    </row>
    <row r="2137" spans="1:23" x14ac:dyDescent="0.2">
      <c r="A2137" s="510" t="str">
        <f t="shared" ref="A2137:A2200" si="149">IF(B2137="","",ROW()-ROW($A$3))</f>
        <v/>
      </c>
      <c r="B2137" s="428"/>
      <c r="C2137" s="424"/>
      <c r="D2137" s="415"/>
      <c r="E2137" s="415"/>
      <c r="F2137" s="425"/>
      <c r="G2137" s="415"/>
      <c r="H2137" s="415"/>
      <c r="I2137" s="473"/>
      <c r="J2137" s="415"/>
      <c r="K2137" s="415"/>
      <c r="L2137" s="415"/>
      <c r="M2137" s="415"/>
      <c r="N2137" s="414"/>
      <c r="O2137" s="428"/>
      <c r="P2137" s="222">
        <f t="shared" ref="P2137:P2200" si="150">IF(B2137=0,0,IF(YEAR(B2137)=$Q$1,MONTH(B2137)-$P$1+1,(YEAR(B2137)-$Q$1)*12-$P$1+1+MONTH(B2137)))</f>
        <v>0</v>
      </c>
      <c r="Q2137" s="222">
        <f t="shared" ref="Q2137:Q2200" si="151">IF(C2137=0,0,IF(YEAR(C2137)=$Q$1,MONTH(C2137)-$P$1+1,(YEAR(C2137)-$Q$1)*12-$P$1+1+MONTH(C2137)))</f>
        <v>0</v>
      </c>
      <c r="R2137" s="532" t="str">
        <f t="shared" ref="R2137:R2200" si="152">SUBSTITUTE(D2137," ","_")</f>
        <v/>
      </c>
      <c r="S2137" s="533"/>
      <c r="T2137" s="533"/>
      <c r="U2137" s="496"/>
      <c r="V2137" s="496"/>
      <c r="W2137" s="496"/>
    </row>
    <row r="2138" spans="1:23" x14ac:dyDescent="0.2">
      <c r="A2138" s="510" t="str">
        <f t="shared" si="149"/>
        <v/>
      </c>
      <c r="B2138" s="428"/>
      <c r="C2138" s="424"/>
      <c r="D2138" s="415"/>
      <c r="E2138" s="415"/>
      <c r="F2138" s="425"/>
      <c r="G2138" s="415"/>
      <c r="H2138" s="415"/>
      <c r="I2138" s="473"/>
      <c r="J2138" s="415"/>
      <c r="K2138" s="415"/>
      <c r="L2138" s="415"/>
      <c r="M2138" s="415"/>
      <c r="N2138" s="414"/>
      <c r="O2138" s="428"/>
      <c r="P2138" s="222">
        <f t="shared" si="150"/>
        <v>0</v>
      </c>
      <c r="Q2138" s="222">
        <f t="shared" si="151"/>
        <v>0</v>
      </c>
      <c r="R2138" s="532" t="str">
        <f t="shared" si="152"/>
        <v/>
      </c>
      <c r="S2138" s="533"/>
      <c r="T2138" s="533"/>
      <c r="U2138" s="496"/>
      <c r="V2138" s="496"/>
      <c r="W2138" s="496"/>
    </row>
    <row r="2139" spans="1:23" x14ac:dyDescent="0.2">
      <c r="A2139" s="510" t="str">
        <f t="shared" si="149"/>
        <v/>
      </c>
      <c r="B2139" s="428"/>
      <c r="C2139" s="424"/>
      <c r="D2139" s="415"/>
      <c r="E2139" s="415"/>
      <c r="F2139" s="425"/>
      <c r="G2139" s="415"/>
      <c r="H2139" s="415"/>
      <c r="I2139" s="473"/>
      <c r="J2139" s="415"/>
      <c r="K2139" s="415"/>
      <c r="L2139" s="415"/>
      <c r="M2139" s="415"/>
      <c r="N2139" s="414"/>
      <c r="O2139" s="428"/>
      <c r="P2139" s="222">
        <f t="shared" si="150"/>
        <v>0</v>
      </c>
      <c r="Q2139" s="222">
        <f t="shared" si="151"/>
        <v>0</v>
      </c>
      <c r="R2139" s="532" t="str">
        <f t="shared" si="152"/>
        <v/>
      </c>
      <c r="S2139" s="533"/>
      <c r="T2139" s="533"/>
      <c r="U2139" s="496"/>
      <c r="V2139" s="496"/>
      <c r="W2139" s="496"/>
    </row>
    <row r="2140" spans="1:23" x14ac:dyDescent="0.2">
      <c r="A2140" s="510" t="str">
        <f t="shared" si="149"/>
        <v/>
      </c>
      <c r="B2140" s="428"/>
      <c r="C2140" s="424"/>
      <c r="D2140" s="415"/>
      <c r="E2140" s="415"/>
      <c r="F2140" s="425"/>
      <c r="G2140" s="415"/>
      <c r="H2140" s="415"/>
      <c r="I2140" s="473"/>
      <c r="J2140" s="415"/>
      <c r="K2140" s="415"/>
      <c r="L2140" s="415"/>
      <c r="M2140" s="415"/>
      <c r="N2140" s="414"/>
      <c r="O2140" s="428"/>
      <c r="P2140" s="222">
        <f t="shared" si="150"/>
        <v>0</v>
      </c>
      <c r="Q2140" s="222">
        <f t="shared" si="151"/>
        <v>0</v>
      </c>
      <c r="R2140" s="532" t="str">
        <f t="shared" si="152"/>
        <v/>
      </c>
      <c r="S2140" s="533"/>
      <c r="T2140" s="533"/>
      <c r="U2140" s="496"/>
      <c r="V2140" s="496"/>
      <c r="W2140" s="496"/>
    </row>
    <row r="2141" spans="1:23" x14ac:dyDescent="0.2">
      <c r="A2141" s="510" t="str">
        <f t="shared" si="149"/>
        <v/>
      </c>
      <c r="B2141" s="428"/>
      <c r="C2141" s="424"/>
      <c r="D2141" s="415"/>
      <c r="E2141" s="415"/>
      <c r="F2141" s="425"/>
      <c r="G2141" s="415"/>
      <c r="H2141" s="415"/>
      <c r="I2141" s="473"/>
      <c r="J2141" s="415"/>
      <c r="K2141" s="415"/>
      <c r="L2141" s="415"/>
      <c r="M2141" s="415"/>
      <c r="N2141" s="414"/>
      <c r="O2141" s="428"/>
      <c r="P2141" s="222">
        <f t="shared" si="150"/>
        <v>0</v>
      </c>
      <c r="Q2141" s="222">
        <f t="shared" si="151"/>
        <v>0</v>
      </c>
      <c r="R2141" s="532" t="str">
        <f t="shared" si="152"/>
        <v/>
      </c>
      <c r="S2141" s="533"/>
      <c r="T2141" s="533"/>
      <c r="U2141" s="496"/>
      <c r="V2141" s="496"/>
      <c r="W2141" s="496"/>
    </row>
    <row r="2142" spans="1:23" x14ac:dyDescent="0.2">
      <c r="A2142" s="510" t="str">
        <f t="shared" si="149"/>
        <v/>
      </c>
      <c r="B2142" s="428"/>
      <c r="C2142" s="424"/>
      <c r="D2142" s="415"/>
      <c r="E2142" s="415"/>
      <c r="F2142" s="425"/>
      <c r="G2142" s="415"/>
      <c r="H2142" s="415"/>
      <c r="I2142" s="473"/>
      <c r="J2142" s="415"/>
      <c r="K2142" s="415"/>
      <c r="L2142" s="415"/>
      <c r="M2142" s="415"/>
      <c r="N2142" s="414"/>
      <c r="O2142" s="428"/>
      <c r="P2142" s="222">
        <f t="shared" si="150"/>
        <v>0</v>
      </c>
      <c r="Q2142" s="222">
        <f t="shared" si="151"/>
        <v>0</v>
      </c>
      <c r="R2142" s="532" t="str">
        <f t="shared" si="152"/>
        <v/>
      </c>
      <c r="S2142" s="533"/>
      <c r="T2142" s="533"/>
      <c r="U2142" s="496"/>
      <c r="V2142" s="496"/>
      <c r="W2142" s="496"/>
    </row>
    <row r="2143" spans="1:23" x14ac:dyDescent="0.2">
      <c r="A2143" s="510" t="str">
        <f t="shared" si="149"/>
        <v/>
      </c>
      <c r="B2143" s="428"/>
      <c r="C2143" s="424"/>
      <c r="D2143" s="415"/>
      <c r="E2143" s="415"/>
      <c r="F2143" s="425"/>
      <c r="G2143" s="415"/>
      <c r="H2143" s="415"/>
      <c r="I2143" s="473"/>
      <c r="J2143" s="415"/>
      <c r="K2143" s="415"/>
      <c r="L2143" s="415"/>
      <c r="M2143" s="415"/>
      <c r="N2143" s="414"/>
      <c r="O2143" s="428"/>
      <c r="P2143" s="222">
        <f t="shared" si="150"/>
        <v>0</v>
      </c>
      <c r="Q2143" s="222">
        <f t="shared" si="151"/>
        <v>0</v>
      </c>
      <c r="R2143" s="532" t="str">
        <f t="shared" si="152"/>
        <v/>
      </c>
      <c r="S2143" s="533"/>
      <c r="T2143" s="533"/>
      <c r="U2143" s="496"/>
      <c r="V2143" s="496"/>
      <c r="W2143" s="496"/>
    </row>
    <row r="2144" spans="1:23" x14ac:dyDescent="0.2">
      <c r="A2144" s="510" t="str">
        <f t="shared" si="149"/>
        <v/>
      </c>
      <c r="B2144" s="428"/>
      <c r="C2144" s="424"/>
      <c r="D2144" s="415"/>
      <c r="E2144" s="415"/>
      <c r="F2144" s="425"/>
      <c r="G2144" s="415"/>
      <c r="H2144" s="415"/>
      <c r="I2144" s="473"/>
      <c r="J2144" s="415"/>
      <c r="K2144" s="415"/>
      <c r="L2144" s="415"/>
      <c r="M2144" s="415"/>
      <c r="N2144" s="414"/>
      <c r="O2144" s="428"/>
      <c r="P2144" s="222">
        <f t="shared" si="150"/>
        <v>0</v>
      </c>
      <c r="Q2144" s="222">
        <f t="shared" si="151"/>
        <v>0</v>
      </c>
      <c r="R2144" s="532" t="str">
        <f t="shared" si="152"/>
        <v/>
      </c>
      <c r="S2144" s="533"/>
      <c r="T2144" s="533"/>
      <c r="U2144" s="496"/>
      <c r="V2144" s="496"/>
      <c r="W2144" s="496"/>
    </row>
    <row r="2145" spans="1:23" x14ac:dyDescent="0.2">
      <c r="A2145" s="510" t="str">
        <f t="shared" si="149"/>
        <v/>
      </c>
      <c r="B2145" s="428"/>
      <c r="C2145" s="424"/>
      <c r="D2145" s="415"/>
      <c r="E2145" s="415"/>
      <c r="F2145" s="425"/>
      <c r="G2145" s="415"/>
      <c r="H2145" s="415"/>
      <c r="I2145" s="473"/>
      <c r="J2145" s="415"/>
      <c r="K2145" s="415"/>
      <c r="L2145" s="415"/>
      <c r="M2145" s="415"/>
      <c r="N2145" s="414"/>
      <c r="O2145" s="428"/>
      <c r="P2145" s="222">
        <f t="shared" si="150"/>
        <v>0</v>
      </c>
      <c r="Q2145" s="222">
        <f t="shared" si="151"/>
        <v>0</v>
      </c>
      <c r="R2145" s="532" t="str">
        <f t="shared" si="152"/>
        <v/>
      </c>
      <c r="S2145" s="533"/>
      <c r="T2145" s="533"/>
      <c r="U2145" s="496"/>
      <c r="V2145" s="496"/>
      <c r="W2145" s="496"/>
    </row>
    <row r="2146" spans="1:23" x14ac:dyDescent="0.2">
      <c r="A2146" s="510" t="str">
        <f t="shared" si="149"/>
        <v/>
      </c>
      <c r="B2146" s="428"/>
      <c r="C2146" s="424"/>
      <c r="D2146" s="415"/>
      <c r="E2146" s="415"/>
      <c r="F2146" s="425"/>
      <c r="G2146" s="415"/>
      <c r="H2146" s="415"/>
      <c r="I2146" s="473"/>
      <c r="J2146" s="415"/>
      <c r="K2146" s="415"/>
      <c r="L2146" s="415"/>
      <c r="M2146" s="415"/>
      <c r="N2146" s="414"/>
      <c r="O2146" s="428"/>
      <c r="P2146" s="222">
        <f t="shared" si="150"/>
        <v>0</v>
      </c>
      <c r="Q2146" s="222">
        <f t="shared" si="151"/>
        <v>0</v>
      </c>
      <c r="R2146" s="532" t="str">
        <f t="shared" si="152"/>
        <v/>
      </c>
      <c r="S2146" s="533"/>
      <c r="T2146" s="533"/>
      <c r="U2146" s="496"/>
      <c r="V2146" s="496"/>
      <c r="W2146" s="496"/>
    </row>
    <row r="2147" spans="1:23" x14ac:dyDescent="0.2">
      <c r="A2147" s="510" t="str">
        <f t="shared" si="149"/>
        <v/>
      </c>
      <c r="B2147" s="428"/>
      <c r="C2147" s="424"/>
      <c r="D2147" s="415"/>
      <c r="E2147" s="415"/>
      <c r="F2147" s="425"/>
      <c r="G2147" s="415"/>
      <c r="H2147" s="415"/>
      <c r="I2147" s="473"/>
      <c r="J2147" s="415"/>
      <c r="K2147" s="415"/>
      <c r="L2147" s="415"/>
      <c r="M2147" s="415"/>
      <c r="N2147" s="414"/>
      <c r="O2147" s="428"/>
      <c r="P2147" s="222">
        <f t="shared" si="150"/>
        <v>0</v>
      </c>
      <c r="Q2147" s="222">
        <f t="shared" si="151"/>
        <v>0</v>
      </c>
      <c r="R2147" s="532" t="str">
        <f t="shared" si="152"/>
        <v/>
      </c>
      <c r="S2147" s="533"/>
      <c r="T2147" s="533"/>
      <c r="U2147" s="496"/>
      <c r="V2147" s="496"/>
      <c r="W2147" s="496"/>
    </row>
    <row r="2148" spans="1:23" x14ac:dyDescent="0.2">
      <c r="A2148" s="510" t="str">
        <f t="shared" si="149"/>
        <v/>
      </c>
      <c r="B2148" s="428"/>
      <c r="C2148" s="424"/>
      <c r="D2148" s="415"/>
      <c r="E2148" s="415"/>
      <c r="F2148" s="425"/>
      <c r="G2148" s="415"/>
      <c r="H2148" s="415"/>
      <c r="I2148" s="473"/>
      <c r="J2148" s="415"/>
      <c r="K2148" s="415"/>
      <c r="L2148" s="415"/>
      <c r="M2148" s="415"/>
      <c r="N2148" s="414"/>
      <c r="O2148" s="428"/>
      <c r="P2148" s="222">
        <f t="shared" si="150"/>
        <v>0</v>
      </c>
      <c r="Q2148" s="222">
        <f t="shared" si="151"/>
        <v>0</v>
      </c>
      <c r="R2148" s="532" t="str">
        <f t="shared" si="152"/>
        <v/>
      </c>
      <c r="S2148" s="533"/>
      <c r="T2148" s="533"/>
      <c r="U2148" s="496"/>
      <c r="V2148" s="496"/>
      <c r="W2148" s="496"/>
    </row>
    <row r="2149" spans="1:23" x14ac:dyDescent="0.2">
      <c r="A2149" s="510" t="str">
        <f t="shared" si="149"/>
        <v/>
      </c>
      <c r="B2149" s="428"/>
      <c r="C2149" s="424"/>
      <c r="D2149" s="415"/>
      <c r="E2149" s="415"/>
      <c r="F2149" s="425"/>
      <c r="G2149" s="415"/>
      <c r="H2149" s="415"/>
      <c r="I2149" s="473"/>
      <c r="J2149" s="415"/>
      <c r="K2149" s="415"/>
      <c r="L2149" s="415"/>
      <c r="M2149" s="415"/>
      <c r="N2149" s="414"/>
      <c r="O2149" s="428"/>
      <c r="P2149" s="222">
        <f t="shared" si="150"/>
        <v>0</v>
      </c>
      <c r="Q2149" s="222">
        <f t="shared" si="151"/>
        <v>0</v>
      </c>
      <c r="R2149" s="532" t="str">
        <f t="shared" si="152"/>
        <v/>
      </c>
      <c r="S2149" s="533"/>
      <c r="T2149" s="533"/>
      <c r="U2149" s="496"/>
      <c r="V2149" s="496"/>
      <c r="W2149" s="496"/>
    </row>
    <row r="2150" spans="1:23" x14ac:dyDescent="0.2">
      <c r="A2150" s="510" t="str">
        <f t="shared" si="149"/>
        <v/>
      </c>
      <c r="B2150" s="428"/>
      <c r="C2150" s="424"/>
      <c r="D2150" s="415"/>
      <c r="E2150" s="415"/>
      <c r="F2150" s="425"/>
      <c r="G2150" s="415"/>
      <c r="H2150" s="415"/>
      <c r="I2150" s="473"/>
      <c r="J2150" s="415"/>
      <c r="K2150" s="415"/>
      <c r="L2150" s="415"/>
      <c r="M2150" s="415"/>
      <c r="N2150" s="414"/>
      <c r="O2150" s="428"/>
      <c r="P2150" s="222">
        <f t="shared" si="150"/>
        <v>0</v>
      </c>
      <c r="Q2150" s="222">
        <f t="shared" si="151"/>
        <v>0</v>
      </c>
      <c r="R2150" s="532" t="str">
        <f t="shared" si="152"/>
        <v/>
      </c>
      <c r="S2150" s="533"/>
      <c r="T2150" s="533"/>
      <c r="U2150" s="496"/>
      <c r="V2150" s="496"/>
      <c r="W2150" s="496"/>
    </row>
    <row r="2151" spans="1:23" x14ac:dyDescent="0.2">
      <c r="A2151" s="510" t="str">
        <f t="shared" si="149"/>
        <v/>
      </c>
      <c r="B2151" s="428"/>
      <c r="C2151" s="424"/>
      <c r="D2151" s="415"/>
      <c r="E2151" s="415"/>
      <c r="F2151" s="425"/>
      <c r="G2151" s="415"/>
      <c r="H2151" s="415"/>
      <c r="I2151" s="473"/>
      <c r="J2151" s="415"/>
      <c r="K2151" s="415"/>
      <c r="L2151" s="415"/>
      <c r="M2151" s="415"/>
      <c r="N2151" s="414"/>
      <c r="O2151" s="428"/>
      <c r="P2151" s="222">
        <f t="shared" si="150"/>
        <v>0</v>
      </c>
      <c r="Q2151" s="222">
        <f t="shared" si="151"/>
        <v>0</v>
      </c>
      <c r="R2151" s="532" t="str">
        <f t="shared" si="152"/>
        <v/>
      </c>
      <c r="S2151" s="533"/>
      <c r="T2151" s="533"/>
      <c r="U2151" s="496"/>
      <c r="V2151" s="496"/>
      <c r="W2151" s="496"/>
    </row>
    <row r="2152" spans="1:23" x14ac:dyDescent="0.2">
      <c r="A2152" s="510" t="str">
        <f t="shared" si="149"/>
        <v/>
      </c>
      <c r="B2152" s="428"/>
      <c r="C2152" s="424"/>
      <c r="D2152" s="415"/>
      <c r="E2152" s="415"/>
      <c r="F2152" s="425"/>
      <c r="G2152" s="415"/>
      <c r="H2152" s="415"/>
      <c r="I2152" s="473"/>
      <c r="J2152" s="415"/>
      <c r="K2152" s="415"/>
      <c r="L2152" s="415"/>
      <c r="M2152" s="415"/>
      <c r="N2152" s="414"/>
      <c r="O2152" s="428"/>
      <c r="P2152" s="222">
        <f t="shared" si="150"/>
        <v>0</v>
      </c>
      <c r="Q2152" s="222">
        <f t="shared" si="151"/>
        <v>0</v>
      </c>
      <c r="R2152" s="532" t="str">
        <f t="shared" si="152"/>
        <v/>
      </c>
      <c r="S2152" s="533"/>
      <c r="T2152" s="533"/>
      <c r="U2152" s="496"/>
      <c r="V2152" s="496"/>
      <c r="W2152" s="496"/>
    </row>
    <row r="2153" spans="1:23" x14ac:dyDescent="0.2">
      <c r="A2153" s="510" t="str">
        <f t="shared" si="149"/>
        <v/>
      </c>
      <c r="B2153" s="428"/>
      <c r="C2153" s="424"/>
      <c r="D2153" s="415"/>
      <c r="E2153" s="415"/>
      <c r="F2153" s="425"/>
      <c r="G2153" s="415"/>
      <c r="H2153" s="415"/>
      <c r="I2153" s="473"/>
      <c r="J2153" s="415"/>
      <c r="K2153" s="415"/>
      <c r="L2153" s="415"/>
      <c r="M2153" s="415"/>
      <c r="N2153" s="414"/>
      <c r="O2153" s="428"/>
      <c r="P2153" s="222">
        <f t="shared" si="150"/>
        <v>0</v>
      </c>
      <c r="Q2153" s="222">
        <f t="shared" si="151"/>
        <v>0</v>
      </c>
      <c r="R2153" s="532" t="str">
        <f t="shared" si="152"/>
        <v/>
      </c>
      <c r="S2153" s="533"/>
      <c r="T2153" s="533"/>
      <c r="U2153" s="496"/>
      <c r="V2153" s="496"/>
      <c r="W2153" s="496"/>
    </row>
    <row r="2154" spans="1:23" x14ac:dyDescent="0.2">
      <c r="A2154" s="510" t="str">
        <f t="shared" si="149"/>
        <v/>
      </c>
      <c r="B2154" s="428"/>
      <c r="C2154" s="424"/>
      <c r="D2154" s="415"/>
      <c r="E2154" s="415"/>
      <c r="F2154" s="425"/>
      <c r="G2154" s="415"/>
      <c r="H2154" s="415"/>
      <c r="I2154" s="473"/>
      <c r="J2154" s="415"/>
      <c r="K2154" s="415"/>
      <c r="L2154" s="415"/>
      <c r="M2154" s="415"/>
      <c r="N2154" s="414"/>
      <c r="O2154" s="428"/>
      <c r="P2154" s="222">
        <f t="shared" si="150"/>
        <v>0</v>
      </c>
      <c r="Q2154" s="222">
        <f t="shared" si="151"/>
        <v>0</v>
      </c>
      <c r="R2154" s="532" t="str">
        <f t="shared" si="152"/>
        <v/>
      </c>
      <c r="S2154" s="533"/>
      <c r="T2154" s="533"/>
      <c r="U2154" s="496"/>
      <c r="V2154" s="496"/>
      <c r="W2154" s="496"/>
    </row>
    <row r="2155" spans="1:23" x14ac:dyDescent="0.2">
      <c r="A2155" s="510" t="str">
        <f t="shared" si="149"/>
        <v/>
      </c>
      <c r="B2155" s="428"/>
      <c r="C2155" s="424"/>
      <c r="D2155" s="415"/>
      <c r="E2155" s="415"/>
      <c r="F2155" s="425"/>
      <c r="G2155" s="415"/>
      <c r="H2155" s="415"/>
      <c r="I2155" s="473"/>
      <c r="J2155" s="415"/>
      <c r="K2155" s="415"/>
      <c r="L2155" s="415"/>
      <c r="M2155" s="415"/>
      <c r="N2155" s="414"/>
      <c r="O2155" s="428"/>
      <c r="P2155" s="222">
        <f t="shared" si="150"/>
        <v>0</v>
      </c>
      <c r="Q2155" s="222">
        <f t="shared" si="151"/>
        <v>0</v>
      </c>
      <c r="R2155" s="532" t="str">
        <f t="shared" si="152"/>
        <v/>
      </c>
      <c r="S2155" s="533"/>
      <c r="T2155" s="533"/>
      <c r="U2155" s="496"/>
      <c r="V2155" s="496"/>
      <c r="W2155" s="496"/>
    </row>
    <row r="2156" spans="1:23" x14ac:dyDescent="0.2">
      <c r="A2156" s="510" t="str">
        <f t="shared" si="149"/>
        <v/>
      </c>
      <c r="B2156" s="428"/>
      <c r="C2156" s="424"/>
      <c r="D2156" s="415"/>
      <c r="E2156" s="415"/>
      <c r="F2156" s="425"/>
      <c r="G2156" s="415"/>
      <c r="H2156" s="415"/>
      <c r="I2156" s="473"/>
      <c r="J2156" s="415"/>
      <c r="K2156" s="415"/>
      <c r="L2156" s="415"/>
      <c r="M2156" s="415"/>
      <c r="N2156" s="414"/>
      <c r="O2156" s="428"/>
      <c r="P2156" s="222">
        <f t="shared" si="150"/>
        <v>0</v>
      </c>
      <c r="Q2156" s="222">
        <f t="shared" si="151"/>
        <v>0</v>
      </c>
      <c r="R2156" s="532" t="str">
        <f t="shared" si="152"/>
        <v/>
      </c>
      <c r="S2156" s="533"/>
      <c r="T2156" s="533"/>
      <c r="U2156" s="496"/>
      <c r="V2156" s="496"/>
      <c r="W2156" s="496"/>
    </row>
    <row r="2157" spans="1:23" x14ac:dyDescent="0.2">
      <c r="A2157" s="510" t="str">
        <f t="shared" si="149"/>
        <v/>
      </c>
      <c r="B2157" s="428"/>
      <c r="C2157" s="424"/>
      <c r="D2157" s="415"/>
      <c r="E2157" s="415"/>
      <c r="F2157" s="425"/>
      <c r="G2157" s="415"/>
      <c r="H2157" s="415"/>
      <c r="I2157" s="473"/>
      <c r="J2157" s="415"/>
      <c r="K2157" s="415"/>
      <c r="L2157" s="415"/>
      <c r="M2157" s="415"/>
      <c r="N2157" s="414"/>
      <c r="O2157" s="428"/>
      <c r="P2157" s="222">
        <f t="shared" si="150"/>
        <v>0</v>
      </c>
      <c r="Q2157" s="222">
        <f t="shared" si="151"/>
        <v>0</v>
      </c>
      <c r="R2157" s="532" t="str">
        <f t="shared" si="152"/>
        <v/>
      </c>
      <c r="S2157" s="533"/>
      <c r="T2157" s="533"/>
      <c r="U2157" s="496"/>
      <c r="V2157" s="496"/>
      <c r="W2157" s="496"/>
    </row>
    <row r="2158" spans="1:23" x14ac:dyDescent="0.2">
      <c r="A2158" s="510" t="str">
        <f t="shared" si="149"/>
        <v/>
      </c>
      <c r="B2158" s="428"/>
      <c r="C2158" s="424"/>
      <c r="D2158" s="415"/>
      <c r="E2158" s="415"/>
      <c r="F2158" s="425"/>
      <c r="G2158" s="415"/>
      <c r="H2158" s="415"/>
      <c r="I2158" s="473"/>
      <c r="J2158" s="415"/>
      <c r="K2158" s="415"/>
      <c r="L2158" s="415"/>
      <c r="M2158" s="415"/>
      <c r="N2158" s="414"/>
      <c r="O2158" s="428"/>
      <c r="P2158" s="222">
        <f t="shared" si="150"/>
        <v>0</v>
      </c>
      <c r="Q2158" s="222">
        <f t="shared" si="151"/>
        <v>0</v>
      </c>
      <c r="R2158" s="532" t="str">
        <f t="shared" si="152"/>
        <v/>
      </c>
      <c r="S2158" s="533"/>
      <c r="T2158" s="533"/>
      <c r="U2158" s="496"/>
      <c r="V2158" s="496"/>
      <c r="W2158" s="496"/>
    </row>
    <row r="2159" spans="1:23" x14ac:dyDescent="0.2">
      <c r="A2159" s="510" t="str">
        <f t="shared" si="149"/>
        <v/>
      </c>
      <c r="B2159" s="428"/>
      <c r="C2159" s="424"/>
      <c r="D2159" s="415"/>
      <c r="E2159" s="415"/>
      <c r="F2159" s="425"/>
      <c r="G2159" s="415"/>
      <c r="H2159" s="415"/>
      <c r="I2159" s="473"/>
      <c r="J2159" s="415"/>
      <c r="K2159" s="415"/>
      <c r="L2159" s="415"/>
      <c r="M2159" s="415"/>
      <c r="N2159" s="414"/>
      <c r="O2159" s="428"/>
      <c r="P2159" s="222">
        <f t="shared" si="150"/>
        <v>0</v>
      </c>
      <c r="Q2159" s="222">
        <f t="shared" si="151"/>
        <v>0</v>
      </c>
      <c r="R2159" s="532" t="str">
        <f t="shared" si="152"/>
        <v/>
      </c>
      <c r="S2159" s="533"/>
      <c r="T2159" s="533"/>
      <c r="U2159" s="496"/>
      <c r="V2159" s="496"/>
      <c r="W2159" s="496"/>
    </row>
    <row r="2160" spans="1:23" x14ac:dyDescent="0.2">
      <c r="A2160" s="510" t="str">
        <f t="shared" si="149"/>
        <v/>
      </c>
      <c r="B2160" s="428"/>
      <c r="C2160" s="424"/>
      <c r="D2160" s="415"/>
      <c r="E2160" s="415"/>
      <c r="F2160" s="425"/>
      <c r="G2160" s="415"/>
      <c r="H2160" s="415"/>
      <c r="I2160" s="473"/>
      <c r="J2160" s="415"/>
      <c r="K2160" s="415"/>
      <c r="L2160" s="415"/>
      <c r="M2160" s="415"/>
      <c r="N2160" s="414"/>
      <c r="O2160" s="428"/>
      <c r="P2160" s="222">
        <f t="shared" si="150"/>
        <v>0</v>
      </c>
      <c r="Q2160" s="222">
        <f t="shared" si="151"/>
        <v>0</v>
      </c>
      <c r="R2160" s="532" t="str">
        <f t="shared" si="152"/>
        <v/>
      </c>
      <c r="S2160" s="533"/>
      <c r="T2160" s="533"/>
      <c r="U2160" s="496"/>
      <c r="V2160" s="496"/>
      <c r="W2160" s="496"/>
    </row>
    <row r="2161" spans="1:23" x14ac:dyDescent="0.2">
      <c r="A2161" s="510" t="str">
        <f t="shared" si="149"/>
        <v/>
      </c>
      <c r="B2161" s="428"/>
      <c r="C2161" s="424"/>
      <c r="D2161" s="415"/>
      <c r="E2161" s="415"/>
      <c r="F2161" s="425"/>
      <c r="G2161" s="415"/>
      <c r="H2161" s="415"/>
      <c r="I2161" s="473"/>
      <c r="J2161" s="415"/>
      <c r="K2161" s="415"/>
      <c r="L2161" s="415"/>
      <c r="M2161" s="415"/>
      <c r="N2161" s="414"/>
      <c r="O2161" s="428"/>
      <c r="P2161" s="222">
        <f t="shared" si="150"/>
        <v>0</v>
      </c>
      <c r="Q2161" s="222">
        <f t="shared" si="151"/>
        <v>0</v>
      </c>
      <c r="R2161" s="532" t="str">
        <f t="shared" si="152"/>
        <v/>
      </c>
      <c r="S2161" s="533"/>
      <c r="T2161" s="533"/>
      <c r="U2161" s="496"/>
      <c r="V2161" s="496"/>
      <c r="W2161" s="496"/>
    </row>
    <row r="2162" spans="1:23" x14ac:dyDescent="0.2">
      <c r="A2162" s="510" t="str">
        <f t="shared" si="149"/>
        <v/>
      </c>
      <c r="B2162" s="428"/>
      <c r="C2162" s="424"/>
      <c r="D2162" s="415"/>
      <c r="E2162" s="415"/>
      <c r="F2162" s="425"/>
      <c r="G2162" s="415"/>
      <c r="H2162" s="415"/>
      <c r="I2162" s="473"/>
      <c r="J2162" s="415"/>
      <c r="K2162" s="415"/>
      <c r="L2162" s="415"/>
      <c r="M2162" s="415"/>
      <c r="N2162" s="414"/>
      <c r="O2162" s="428"/>
      <c r="P2162" s="222">
        <f t="shared" si="150"/>
        <v>0</v>
      </c>
      <c r="Q2162" s="222">
        <f t="shared" si="151"/>
        <v>0</v>
      </c>
      <c r="R2162" s="532" t="str">
        <f t="shared" si="152"/>
        <v/>
      </c>
      <c r="S2162" s="533"/>
      <c r="T2162" s="533"/>
      <c r="U2162" s="496"/>
      <c r="V2162" s="496"/>
      <c r="W2162" s="496"/>
    </row>
    <row r="2163" spans="1:23" x14ac:dyDescent="0.2">
      <c r="A2163" s="510" t="str">
        <f t="shared" si="149"/>
        <v/>
      </c>
      <c r="B2163" s="428"/>
      <c r="C2163" s="424"/>
      <c r="D2163" s="415"/>
      <c r="E2163" s="415"/>
      <c r="F2163" s="425"/>
      <c r="G2163" s="415"/>
      <c r="H2163" s="415"/>
      <c r="I2163" s="473"/>
      <c r="J2163" s="415"/>
      <c r="K2163" s="415"/>
      <c r="L2163" s="415"/>
      <c r="M2163" s="415"/>
      <c r="N2163" s="414"/>
      <c r="O2163" s="428"/>
      <c r="P2163" s="222">
        <f t="shared" si="150"/>
        <v>0</v>
      </c>
      <c r="Q2163" s="222">
        <f t="shared" si="151"/>
        <v>0</v>
      </c>
      <c r="R2163" s="532" t="str">
        <f t="shared" si="152"/>
        <v/>
      </c>
      <c r="S2163" s="533"/>
      <c r="T2163" s="533"/>
      <c r="U2163" s="496"/>
      <c r="V2163" s="496"/>
      <c r="W2163" s="496"/>
    </row>
    <row r="2164" spans="1:23" x14ac:dyDescent="0.2">
      <c r="A2164" s="510" t="str">
        <f t="shared" si="149"/>
        <v/>
      </c>
      <c r="B2164" s="428"/>
      <c r="C2164" s="424"/>
      <c r="D2164" s="415"/>
      <c r="E2164" s="415"/>
      <c r="F2164" s="425"/>
      <c r="G2164" s="415"/>
      <c r="H2164" s="415"/>
      <c r="I2164" s="473"/>
      <c r="J2164" s="415"/>
      <c r="K2164" s="415"/>
      <c r="L2164" s="415"/>
      <c r="M2164" s="415"/>
      <c r="N2164" s="414"/>
      <c r="O2164" s="428"/>
      <c r="P2164" s="222">
        <f t="shared" si="150"/>
        <v>0</v>
      </c>
      <c r="Q2164" s="222">
        <f t="shared" si="151"/>
        <v>0</v>
      </c>
      <c r="R2164" s="532" t="str">
        <f t="shared" si="152"/>
        <v/>
      </c>
      <c r="S2164" s="533"/>
      <c r="T2164" s="533"/>
      <c r="U2164" s="496"/>
      <c r="V2164" s="496"/>
      <c r="W2164" s="496"/>
    </row>
    <row r="2165" spans="1:23" x14ac:dyDescent="0.2">
      <c r="A2165" s="510" t="str">
        <f t="shared" si="149"/>
        <v/>
      </c>
      <c r="B2165" s="428"/>
      <c r="C2165" s="424"/>
      <c r="D2165" s="415"/>
      <c r="E2165" s="415"/>
      <c r="F2165" s="425"/>
      <c r="G2165" s="415"/>
      <c r="H2165" s="415"/>
      <c r="I2165" s="473"/>
      <c r="J2165" s="415"/>
      <c r="K2165" s="415"/>
      <c r="L2165" s="415"/>
      <c r="M2165" s="415"/>
      <c r="N2165" s="414"/>
      <c r="O2165" s="428"/>
      <c r="P2165" s="222">
        <f t="shared" si="150"/>
        <v>0</v>
      </c>
      <c r="Q2165" s="222">
        <f t="shared" si="151"/>
        <v>0</v>
      </c>
      <c r="R2165" s="532" t="str">
        <f t="shared" si="152"/>
        <v/>
      </c>
      <c r="S2165" s="533"/>
      <c r="T2165" s="533"/>
      <c r="U2165" s="496"/>
      <c r="V2165" s="496"/>
      <c r="W2165" s="496"/>
    </row>
    <row r="2166" spans="1:23" x14ac:dyDescent="0.2">
      <c r="A2166" s="510" t="str">
        <f t="shared" si="149"/>
        <v/>
      </c>
      <c r="B2166" s="428"/>
      <c r="C2166" s="424"/>
      <c r="D2166" s="415"/>
      <c r="E2166" s="415"/>
      <c r="F2166" s="425"/>
      <c r="G2166" s="415"/>
      <c r="H2166" s="415"/>
      <c r="I2166" s="473"/>
      <c r="J2166" s="415"/>
      <c r="K2166" s="415"/>
      <c r="L2166" s="415"/>
      <c r="M2166" s="415"/>
      <c r="N2166" s="414"/>
      <c r="O2166" s="428"/>
      <c r="P2166" s="222">
        <f t="shared" si="150"/>
        <v>0</v>
      </c>
      <c r="Q2166" s="222">
        <f t="shared" si="151"/>
        <v>0</v>
      </c>
      <c r="R2166" s="532" t="str">
        <f t="shared" si="152"/>
        <v/>
      </c>
      <c r="S2166" s="533"/>
      <c r="T2166" s="533"/>
      <c r="U2166" s="496"/>
      <c r="V2166" s="496"/>
      <c r="W2166" s="496"/>
    </row>
    <row r="2167" spans="1:23" x14ac:dyDescent="0.2">
      <c r="A2167" s="510" t="str">
        <f t="shared" si="149"/>
        <v/>
      </c>
      <c r="B2167" s="428"/>
      <c r="C2167" s="424"/>
      <c r="D2167" s="415"/>
      <c r="E2167" s="415"/>
      <c r="F2167" s="425"/>
      <c r="G2167" s="415"/>
      <c r="H2167" s="415"/>
      <c r="I2167" s="473"/>
      <c r="J2167" s="415"/>
      <c r="K2167" s="415"/>
      <c r="L2167" s="415"/>
      <c r="M2167" s="415"/>
      <c r="N2167" s="414"/>
      <c r="O2167" s="428"/>
      <c r="P2167" s="222">
        <f t="shared" si="150"/>
        <v>0</v>
      </c>
      <c r="Q2167" s="222">
        <f t="shared" si="151"/>
        <v>0</v>
      </c>
      <c r="R2167" s="532" t="str">
        <f t="shared" si="152"/>
        <v/>
      </c>
      <c r="S2167" s="533"/>
      <c r="T2167" s="533"/>
      <c r="U2167" s="496"/>
      <c r="V2167" s="496"/>
      <c r="W2167" s="496"/>
    </row>
    <row r="2168" spans="1:23" x14ac:dyDescent="0.2">
      <c r="A2168" s="510" t="str">
        <f t="shared" si="149"/>
        <v/>
      </c>
      <c r="B2168" s="428"/>
      <c r="C2168" s="424"/>
      <c r="D2168" s="415"/>
      <c r="E2168" s="415"/>
      <c r="F2168" s="425"/>
      <c r="G2168" s="415"/>
      <c r="H2168" s="415"/>
      <c r="I2168" s="473"/>
      <c r="J2168" s="415"/>
      <c r="K2168" s="415"/>
      <c r="L2168" s="415"/>
      <c r="M2168" s="415"/>
      <c r="N2168" s="414"/>
      <c r="O2168" s="428"/>
      <c r="P2168" s="222">
        <f t="shared" si="150"/>
        <v>0</v>
      </c>
      <c r="Q2168" s="222">
        <f t="shared" si="151"/>
        <v>0</v>
      </c>
      <c r="R2168" s="532" t="str">
        <f t="shared" si="152"/>
        <v/>
      </c>
      <c r="S2168" s="533"/>
      <c r="T2168" s="533"/>
      <c r="U2168" s="496"/>
      <c r="V2168" s="496"/>
      <c r="W2168" s="496"/>
    </row>
    <row r="2169" spans="1:23" x14ac:dyDescent="0.2">
      <c r="A2169" s="510" t="str">
        <f t="shared" si="149"/>
        <v/>
      </c>
      <c r="B2169" s="428"/>
      <c r="C2169" s="424"/>
      <c r="D2169" s="415"/>
      <c r="E2169" s="415"/>
      <c r="F2169" s="425"/>
      <c r="G2169" s="415"/>
      <c r="H2169" s="415"/>
      <c r="I2169" s="473"/>
      <c r="J2169" s="415"/>
      <c r="K2169" s="415"/>
      <c r="L2169" s="415"/>
      <c r="M2169" s="415"/>
      <c r="N2169" s="414"/>
      <c r="O2169" s="428"/>
      <c r="P2169" s="222">
        <f t="shared" si="150"/>
        <v>0</v>
      </c>
      <c r="Q2169" s="222">
        <f t="shared" si="151"/>
        <v>0</v>
      </c>
      <c r="R2169" s="532" t="str">
        <f t="shared" si="152"/>
        <v/>
      </c>
      <c r="S2169" s="533"/>
      <c r="T2169" s="533"/>
      <c r="U2169" s="496"/>
      <c r="V2169" s="496"/>
      <c r="W2169" s="496"/>
    </row>
    <row r="2170" spans="1:23" x14ac:dyDescent="0.2">
      <c r="A2170" s="510" t="str">
        <f t="shared" si="149"/>
        <v/>
      </c>
      <c r="B2170" s="428"/>
      <c r="C2170" s="424"/>
      <c r="D2170" s="415"/>
      <c r="E2170" s="415"/>
      <c r="F2170" s="425"/>
      <c r="G2170" s="415"/>
      <c r="H2170" s="415"/>
      <c r="I2170" s="473"/>
      <c r="J2170" s="415"/>
      <c r="K2170" s="415"/>
      <c r="L2170" s="415"/>
      <c r="M2170" s="415"/>
      <c r="N2170" s="414"/>
      <c r="O2170" s="428"/>
      <c r="P2170" s="222">
        <f t="shared" si="150"/>
        <v>0</v>
      </c>
      <c r="Q2170" s="222">
        <f t="shared" si="151"/>
        <v>0</v>
      </c>
      <c r="R2170" s="532" t="str">
        <f t="shared" si="152"/>
        <v/>
      </c>
      <c r="S2170" s="533"/>
      <c r="T2170" s="533"/>
      <c r="U2170" s="496"/>
      <c r="V2170" s="496"/>
      <c r="W2170" s="496"/>
    </row>
    <row r="2171" spans="1:23" x14ac:dyDescent="0.2">
      <c r="A2171" s="510" t="str">
        <f t="shared" si="149"/>
        <v/>
      </c>
      <c r="B2171" s="428"/>
      <c r="C2171" s="424"/>
      <c r="D2171" s="415"/>
      <c r="E2171" s="415"/>
      <c r="F2171" s="425"/>
      <c r="G2171" s="415"/>
      <c r="H2171" s="415"/>
      <c r="I2171" s="473"/>
      <c r="J2171" s="415"/>
      <c r="K2171" s="415"/>
      <c r="L2171" s="415"/>
      <c r="M2171" s="415"/>
      <c r="N2171" s="414"/>
      <c r="O2171" s="428"/>
      <c r="P2171" s="222">
        <f t="shared" si="150"/>
        <v>0</v>
      </c>
      <c r="Q2171" s="222">
        <f t="shared" si="151"/>
        <v>0</v>
      </c>
      <c r="R2171" s="532" t="str">
        <f t="shared" si="152"/>
        <v/>
      </c>
      <c r="S2171" s="533"/>
      <c r="T2171" s="533"/>
      <c r="U2171" s="496"/>
      <c r="V2171" s="496"/>
      <c r="W2171" s="496"/>
    </row>
    <row r="2172" spans="1:23" x14ac:dyDescent="0.2">
      <c r="A2172" s="510" t="str">
        <f t="shared" si="149"/>
        <v/>
      </c>
      <c r="B2172" s="428"/>
      <c r="C2172" s="424"/>
      <c r="D2172" s="415"/>
      <c r="E2172" s="415"/>
      <c r="F2172" s="425"/>
      <c r="G2172" s="415"/>
      <c r="H2172" s="415"/>
      <c r="I2172" s="473"/>
      <c r="J2172" s="415"/>
      <c r="K2172" s="415"/>
      <c r="L2172" s="415"/>
      <c r="M2172" s="415"/>
      <c r="N2172" s="414"/>
      <c r="O2172" s="428"/>
      <c r="P2172" s="222">
        <f t="shared" si="150"/>
        <v>0</v>
      </c>
      <c r="Q2172" s="222">
        <f t="shared" si="151"/>
        <v>0</v>
      </c>
      <c r="R2172" s="532" t="str">
        <f t="shared" si="152"/>
        <v/>
      </c>
      <c r="S2172" s="533"/>
      <c r="T2172" s="533"/>
      <c r="U2172" s="496"/>
      <c r="V2172" s="496"/>
      <c r="W2172" s="496"/>
    </row>
    <row r="2173" spans="1:23" x14ac:dyDescent="0.2">
      <c r="A2173" s="510" t="str">
        <f t="shared" si="149"/>
        <v/>
      </c>
      <c r="B2173" s="428"/>
      <c r="C2173" s="424"/>
      <c r="D2173" s="415"/>
      <c r="E2173" s="415"/>
      <c r="F2173" s="425"/>
      <c r="G2173" s="415"/>
      <c r="H2173" s="415"/>
      <c r="I2173" s="473"/>
      <c r="J2173" s="415"/>
      <c r="K2173" s="415"/>
      <c r="L2173" s="415"/>
      <c r="M2173" s="415"/>
      <c r="N2173" s="414"/>
      <c r="O2173" s="428"/>
      <c r="P2173" s="222">
        <f t="shared" si="150"/>
        <v>0</v>
      </c>
      <c r="Q2173" s="222">
        <f t="shared" si="151"/>
        <v>0</v>
      </c>
      <c r="R2173" s="532" t="str">
        <f t="shared" si="152"/>
        <v/>
      </c>
      <c r="S2173" s="533"/>
      <c r="T2173" s="533"/>
      <c r="U2173" s="496"/>
      <c r="V2173" s="496"/>
      <c r="W2173" s="496"/>
    </row>
    <row r="2174" spans="1:23" x14ac:dyDescent="0.2">
      <c r="A2174" s="510" t="str">
        <f t="shared" si="149"/>
        <v/>
      </c>
      <c r="B2174" s="428"/>
      <c r="C2174" s="424"/>
      <c r="D2174" s="415"/>
      <c r="E2174" s="415"/>
      <c r="F2174" s="425"/>
      <c r="G2174" s="415"/>
      <c r="H2174" s="415"/>
      <c r="I2174" s="473"/>
      <c r="J2174" s="415"/>
      <c r="K2174" s="415"/>
      <c r="L2174" s="415"/>
      <c r="M2174" s="415"/>
      <c r="N2174" s="414"/>
      <c r="O2174" s="428"/>
      <c r="P2174" s="222">
        <f t="shared" si="150"/>
        <v>0</v>
      </c>
      <c r="Q2174" s="222">
        <f t="shared" si="151"/>
        <v>0</v>
      </c>
      <c r="R2174" s="532" t="str">
        <f t="shared" si="152"/>
        <v/>
      </c>
      <c r="S2174" s="533"/>
      <c r="T2174" s="533"/>
      <c r="U2174" s="496"/>
      <c r="V2174" s="496"/>
      <c r="W2174" s="496"/>
    </row>
    <row r="2175" spans="1:23" x14ac:dyDescent="0.2">
      <c r="A2175" s="510" t="str">
        <f t="shared" si="149"/>
        <v/>
      </c>
      <c r="B2175" s="428"/>
      <c r="C2175" s="424"/>
      <c r="D2175" s="415"/>
      <c r="E2175" s="415"/>
      <c r="F2175" s="425"/>
      <c r="G2175" s="415"/>
      <c r="H2175" s="415"/>
      <c r="I2175" s="473"/>
      <c r="J2175" s="415"/>
      <c r="K2175" s="415"/>
      <c r="L2175" s="415"/>
      <c r="M2175" s="415"/>
      <c r="N2175" s="414"/>
      <c r="O2175" s="428"/>
      <c r="P2175" s="222">
        <f t="shared" si="150"/>
        <v>0</v>
      </c>
      <c r="Q2175" s="222">
        <f t="shared" si="151"/>
        <v>0</v>
      </c>
      <c r="R2175" s="532" t="str">
        <f t="shared" si="152"/>
        <v/>
      </c>
      <c r="S2175" s="533"/>
      <c r="T2175" s="533"/>
      <c r="U2175" s="496"/>
      <c r="V2175" s="496"/>
      <c r="W2175" s="496"/>
    </row>
    <row r="2176" spans="1:23" x14ac:dyDescent="0.2">
      <c r="A2176" s="510" t="str">
        <f t="shared" si="149"/>
        <v/>
      </c>
      <c r="B2176" s="428"/>
      <c r="C2176" s="424"/>
      <c r="D2176" s="415"/>
      <c r="E2176" s="415"/>
      <c r="F2176" s="425"/>
      <c r="G2176" s="415"/>
      <c r="H2176" s="415"/>
      <c r="I2176" s="473"/>
      <c r="J2176" s="415"/>
      <c r="K2176" s="415"/>
      <c r="L2176" s="415"/>
      <c r="M2176" s="415"/>
      <c r="N2176" s="414"/>
      <c r="O2176" s="428"/>
      <c r="P2176" s="222">
        <f t="shared" si="150"/>
        <v>0</v>
      </c>
      <c r="Q2176" s="222">
        <f t="shared" si="151"/>
        <v>0</v>
      </c>
      <c r="R2176" s="532" t="str">
        <f t="shared" si="152"/>
        <v/>
      </c>
      <c r="S2176" s="533"/>
      <c r="T2176" s="533"/>
      <c r="U2176" s="496"/>
      <c r="V2176" s="496"/>
      <c r="W2176" s="496"/>
    </row>
    <row r="2177" spans="1:23" x14ac:dyDescent="0.2">
      <c r="A2177" s="510" t="str">
        <f t="shared" si="149"/>
        <v/>
      </c>
      <c r="B2177" s="428"/>
      <c r="C2177" s="424"/>
      <c r="D2177" s="415"/>
      <c r="E2177" s="415"/>
      <c r="F2177" s="425"/>
      <c r="G2177" s="415"/>
      <c r="H2177" s="415"/>
      <c r="I2177" s="473"/>
      <c r="J2177" s="415"/>
      <c r="K2177" s="415"/>
      <c r="L2177" s="415"/>
      <c r="M2177" s="415"/>
      <c r="N2177" s="414"/>
      <c r="O2177" s="428"/>
      <c r="P2177" s="222">
        <f t="shared" si="150"/>
        <v>0</v>
      </c>
      <c r="Q2177" s="222">
        <f t="shared" si="151"/>
        <v>0</v>
      </c>
      <c r="R2177" s="532" t="str">
        <f t="shared" si="152"/>
        <v/>
      </c>
      <c r="S2177" s="533"/>
      <c r="T2177" s="533"/>
      <c r="U2177" s="496"/>
      <c r="V2177" s="496"/>
      <c r="W2177" s="496"/>
    </row>
    <row r="2178" spans="1:23" x14ac:dyDescent="0.2">
      <c r="A2178" s="510" t="str">
        <f t="shared" si="149"/>
        <v/>
      </c>
      <c r="B2178" s="428"/>
      <c r="C2178" s="424"/>
      <c r="D2178" s="415"/>
      <c r="E2178" s="415"/>
      <c r="F2178" s="425"/>
      <c r="G2178" s="415"/>
      <c r="H2178" s="415"/>
      <c r="I2178" s="473"/>
      <c r="J2178" s="415"/>
      <c r="K2178" s="415"/>
      <c r="L2178" s="415"/>
      <c r="M2178" s="415"/>
      <c r="N2178" s="414"/>
      <c r="O2178" s="428"/>
      <c r="P2178" s="222">
        <f t="shared" si="150"/>
        <v>0</v>
      </c>
      <c r="Q2178" s="222">
        <f t="shared" si="151"/>
        <v>0</v>
      </c>
      <c r="R2178" s="532" t="str">
        <f t="shared" si="152"/>
        <v/>
      </c>
      <c r="S2178" s="533"/>
      <c r="T2178" s="533"/>
      <c r="U2178" s="496"/>
      <c r="V2178" s="496"/>
      <c r="W2178" s="496"/>
    </row>
    <row r="2179" spans="1:23" x14ac:dyDescent="0.2">
      <c r="A2179" s="510" t="str">
        <f t="shared" si="149"/>
        <v/>
      </c>
      <c r="B2179" s="428"/>
      <c r="C2179" s="424"/>
      <c r="D2179" s="415"/>
      <c r="E2179" s="415"/>
      <c r="F2179" s="425"/>
      <c r="G2179" s="415"/>
      <c r="H2179" s="415"/>
      <c r="I2179" s="473"/>
      <c r="J2179" s="415"/>
      <c r="K2179" s="415"/>
      <c r="L2179" s="415"/>
      <c r="M2179" s="415"/>
      <c r="N2179" s="414"/>
      <c r="O2179" s="428"/>
      <c r="P2179" s="222">
        <f t="shared" si="150"/>
        <v>0</v>
      </c>
      <c r="Q2179" s="222">
        <f t="shared" si="151"/>
        <v>0</v>
      </c>
      <c r="R2179" s="532" t="str">
        <f t="shared" si="152"/>
        <v/>
      </c>
      <c r="S2179" s="533"/>
      <c r="T2179" s="533"/>
      <c r="U2179" s="496"/>
      <c r="V2179" s="496"/>
      <c r="W2179" s="496"/>
    </row>
    <row r="2180" spans="1:23" x14ac:dyDescent="0.2">
      <c r="A2180" s="510" t="str">
        <f t="shared" si="149"/>
        <v/>
      </c>
      <c r="B2180" s="428"/>
      <c r="C2180" s="424"/>
      <c r="D2180" s="415"/>
      <c r="E2180" s="415"/>
      <c r="F2180" s="425"/>
      <c r="G2180" s="415"/>
      <c r="H2180" s="415"/>
      <c r="I2180" s="473"/>
      <c r="J2180" s="415"/>
      <c r="K2180" s="415"/>
      <c r="L2180" s="415"/>
      <c r="M2180" s="415"/>
      <c r="N2180" s="414"/>
      <c r="O2180" s="428"/>
      <c r="P2180" s="222">
        <f t="shared" si="150"/>
        <v>0</v>
      </c>
      <c r="Q2180" s="222">
        <f t="shared" si="151"/>
        <v>0</v>
      </c>
      <c r="R2180" s="532" t="str">
        <f t="shared" si="152"/>
        <v/>
      </c>
      <c r="S2180" s="533"/>
      <c r="T2180" s="533"/>
      <c r="U2180" s="496"/>
      <c r="V2180" s="496"/>
      <c r="W2180" s="496"/>
    </row>
    <row r="2181" spans="1:23" x14ac:dyDescent="0.2">
      <c r="A2181" s="510" t="str">
        <f t="shared" si="149"/>
        <v/>
      </c>
      <c r="B2181" s="428"/>
      <c r="C2181" s="424"/>
      <c r="D2181" s="415"/>
      <c r="E2181" s="415"/>
      <c r="F2181" s="425"/>
      <c r="G2181" s="415"/>
      <c r="H2181" s="415"/>
      <c r="I2181" s="473"/>
      <c r="J2181" s="415"/>
      <c r="K2181" s="415"/>
      <c r="L2181" s="415"/>
      <c r="M2181" s="415"/>
      <c r="N2181" s="414"/>
      <c r="O2181" s="428"/>
      <c r="P2181" s="222">
        <f t="shared" si="150"/>
        <v>0</v>
      </c>
      <c r="Q2181" s="222">
        <f t="shared" si="151"/>
        <v>0</v>
      </c>
      <c r="R2181" s="532" t="str">
        <f t="shared" si="152"/>
        <v/>
      </c>
      <c r="S2181" s="533"/>
      <c r="T2181" s="533"/>
      <c r="U2181" s="496"/>
      <c r="V2181" s="496"/>
      <c r="W2181" s="496"/>
    </row>
    <row r="2182" spans="1:23" x14ac:dyDescent="0.2">
      <c r="A2182" s="510" t="str">
        <f t="shared" si="149"/>
        <v/>
      </c>
      <c r="B2182" s="428"/>
      <c r="C2182" s="424"/>
      <c r="D2182" s="415"/>
      <c r="E2182" s="415"/>
      <c r="F2182" s="425"/>
      <c r="G2182" s="415"/>
      <c r="H2182" s="415"/>
      <c r="I2182" s="473"/>
      <c r="J2182" s="415"/>
      <c r="K2182" s="415"/>
      <c r="L2182" s="415"/>
      <c r="M2182" s="415"/>
      <c r="N2182" s="414"/>
      <c r="O2182" s="428"/>
      <c r="P2182" s="222">
        <f t="shared" si="150"/>
        <v>0</v>
      </c>
      <c r="Q2182" s="222">
        <f t="shared" si="151"/>
        <v>0</v>
      </c>
      <c r="R2182" s="532" t="str">
        <f t="shared" si="152"/>
        <v/>
      </c>
      <c r="S2182" s="533"/>
      <c r="T2182" s="533"/>
      <c r="U2182" s="496"/>
      <c r="V2182" s="496"/>
      <c r="W2182" s="496"/>
    </row>
    <row r="2183" spans="1:23" x14ac:dyDescent="0.2">
      <c r="A2183" s="510" t="str">
        <f t="shared" si="149"/>
        <v/>
      </c>
      <c r="B2183" s="428"/>
      <c r="C2183" s="424"/>
      <c r="D2183" s="415"/>
      <c r="E2183" s="415"/>
      <c r="F2183" s="425"/>
      <c r="G2183" s="415"/>
      <c r="H2183" s="415"/>
      <c r="I2183" s="473"/>
      <c r="J2183" s="415"/>
      <c r="K2183" s="415"/>
      <c r="L2183" s="415"/>
      <c r="M2183" s="415"/>
      <c r="N2183" s="414"/>
      <c r="O2183" s="428"/>
      <c r="P2183" s="222">
        <f t="shared" si="150"/>
        <v>0</v>
      </c>
      <c r="Q2183" s="222">
        <f t="shared" si="151"/>
        <v>0</v>
      </c>
      <c r="R2183" s="532" t="str">
        <f t="shared" si="152"/>
        <v/>
      </c>
      <c r="S2183" s="533"/>
      <c r="T2183" s="533"/>
      <c r="U2183" s="496"/>
      <c r="V2183" s="496"/>
      <c r="W2183" s="496"/>
    </row>
    <row r="2184" spans="1:23" x14ac:dyDescent="0.2">
      <c r="A2184" s="510" t="str">
        <f t="shared" si="149"/>
        <v/>
      </c>
      <c r="B2184" s="428"/>
      <c r="C2184" s="424"/>
      <c r="D2184" s="415"/>
      <c r="E2184" s="415"/>
      <c r="F2184" s="425"/>
      <c r="G2184" s="415"/>
      <c r="H2184" s="415"/>
      <c r="I2184" s="473"/>
      <c r="J2184" s="415"/>
      <c r="K2184" s="415"/>
      <c r="L2184" s="415"/>
      <c r="M2184" s="415"/>
      <c r="N2184" s="414"/>
      <c r="O2184" s="428"/>
      <c r="P2184" s="222">
        <f t="shared" si="150"/>
        <v>0</v>
      </c>
      <c r="Q2184" s="222">
        <f t="shared" si="151"/>
        <v>0</v>
      </c>
      <c r="R2184" s="532" t="str">
        <f t="shared" si="152"/>
        <v/>
      </c>
      <c r="S2184" s="533"/>
      <c r="T2184" s="533"/>
      <c r="U2184" s="496"/>
      <c r="V2184" s="496"/>
      <c r="W2184" s="496"/>
    </row>
    <row r="2185" spans="1:23" x14ac:dyDescent="0.2">
      <c r="A2185" s="510" t="str">
        <f t="shared" si="149"/>
        <v/>
      </c>
      <c r="B2185" s="428"/>
      <c r="C2185" s="424"/>
      <c r="D2185" s="415"/>
      <c r="E2185" s="415"/>
      <c r="F2185" s="425"/>
      <c r="G2185" s="415"/>
      <c r="H2185" s="415"/>
      <c r="I2185" s="473"/>
      <c r="J2185" s="415"/>
      <c r="K2185" s="415"/>
      <c r="L2185" s="415"/>
      <c r="M2185" s="415"/>
      <c r="N2185" s="414"/>
      <c r="O2185" s="428"/>
      <c r="P2185" s="222">
        <f t="shared" si="150"/>
        <v>0</v>
      </c>
      <c r="Q2185" s="222">
        <f t="shared" si="151"/>
        <v>0</v>
      </c>
      <c r="R2185" s="532" t="str">
        <f t="shared" si="152"/>
        <v/>
      </c>
      <c r="S2185" s="533"/>
      <c r="T2185" s="533"/>
      <c r="U2185" s="496"/>
      <c r="V2185" s="496"/>
      <c r="W2185" s="496"/>
    </row>
    <row r="2186" spans="1:23" x14ac:dyDescent="0.2">
      <c r="A2186" s="510" t="str">
        <f t="shared" si="149"/>
        <v/>
      </c>
      <c r="B2186" s="428"/>
      <c r="C2186" s="424"/>
      <c r="D2186" s="415"/>
      <c r="E2186" s="415"/>
      <c r="F2186" s="425"/>
      <c r="G2186" s="415"/>
      <c r="H2186" s="415"/>
      <c r="I2186" s="473"/>
      <c r="J2186" s="415"/>
      <c r="K2186" s="415"/>
      <c r="L2186" s="415"/>
      <c r="M2186" s="415"/>
      <c r="N2186" s="414"/>
      <c r="O2186" s="428"/>
      <c r="P2186" s="222">
        <f t="shared" si="150"/>
        <v>0</v>
      </c>
      <c r="Q2186" s="222">
        <f t="shared" si="151"/>
        <v>0</v>
      </c>
      <c r="R2186" s="532" t="str">
        <f t="shared" si="152"/>
        <v/>
      </c>
      <c r="S2186" s="533"/>
      <c r="T2186" s="533"/>
      <c r="U2186" s="496"/>
      <c r="V2186" s="496"/>
      <c r="W2186" s="496"/>
    </row>
    <row r="2187" spans="1:23" x14ac:dyDescent="0.2">
      <c r="A2187" s="510" t="str">
        <f t="shared" si="149"/>
        <v/>
      </c>
      <c r="B2187" s="428"/>
      <c r="C2187" s="424"/>
      <c r="D2187" s="415"/>
      <c r="E2187" s="415"/>
      <c r="F2187" s="425"/>
      <c r="G2187" s="415"/>
      <c r="H2187" s="415"/>
      <c r="I2187" s="473"/>
      <c r="J2187" s="415"/>
      <c r="K2187" s="415"/>
      <c r="L2187" s="415"/>
      <c r="M2187" s="415"/>
      <c r="N2187" s="414"/>
      <c r="O2187" s="428"/>
      <c r="P2187" s="222">
        <f t="shared" si="150"/>
        <v>0</v>
      </c>
      <c r="Q2187" s="222">
        <f t="shared" si="151"/>
        <v>0</v>
      </c>
      <c r="R2187" s="532" t="str">
        <f t="shared" si="152"/>
        <v/>
      </c>
      <c r="S2187" s="533"/>
      <c r="T2187" s="533"/>
      <c r="U2187" s="496"/>
      <c r="V2187" s="496"/>
      <c r="W2187" s="496"/>
    </row>
    <row r="2188" spans="1:23" x14ac:dyDescent="0.2">
      <c r="A2188" s="510" t="str">
        <f t="shared" si="149"/>
        <v/>
      </c>
      <c r="B2188" s="428"/>
      <c r="C2188" s="424"/>
      <c r="D2188" s="415"/>
      <c r="E2188" s="415"/>
      <c r="F2188" s="425"/>
      <c r="G2188" s="415"/>
      <c r="H2188" s="415"/>
      <c r="I2188" s="473"/>
      <c r="J2188" s="415"/>
      <c r="K2188" s="415"/>
      <c r="L2188" s="415"/>
      <c r="M2188" s="415"/>
      <c r="N2188" s="414"/>
      <c r="O2188" s="428"/>
      <c r="P2188" s="222">
        <f t="shared" si="150"/>
        <v>0</v>
      </c>
      <c r="Q2188" s="222">
        <f t="shared" si="151"/>
        <v>0</v>
      </c>
      <c r="R2188" s="532" t="str">
        <f t="shared" si="152"/>
        <v/>
      </c>
      <c r="S2188" s="533"/>
      <c r="T2188" s="533"/>
      <c r="U2188" s="496"/>
      <c r="V2188" s="496"/>
      <c r="W2188" s="496"/>
    </row>
    <row r="2189" spans="1:23" x14ac:dyDescent="0.2">
      <c r="A2189" s="510" t="str">
        <f t="shared" si="149"/>
        <v/>
      </c>
      <c r="B2189" s="428"/>
      <c r="C2189" s="424"/>
      <c r="D2189" s="415"/>
      <c r="E2189" s="415"/>
      <c r="F2189" s="425"/>
      <c r="G2189" s="415"/>
      <c r="H2189" s="415"/>
      <c r="I2189" s="473"/>
      <c r="J2189" s="415"/>
      <c r="K2189" s="415"/>
      <c r="L2189" s="415"/>
      <c r="M2189" s="415"/>
      <c r="N2189" s="414"/>
      <c r="O2189" s="428"/>
      <c r="P2189" s="222">
        <f t="shared" si="150"/>
        <v>0</v>
      </c>
      <c r="Q2189" s="222">
        <f t="shared" si="151"/>
        <v>0</v>
      </c>
      <c r="R2189" s="532" t="str">
        <f t="shared" si="152"/>
        <v/>
      </c>
      <c r="S2189" s="533"/>
      <c r="T2189" s="533"/>
      <c r="U2189" s="496"/>
      <c r="V2189" s="496"/>
      <c r="W2189" s="496"/>
    </row>
    <row r="2190" spans="1:23" x14ac:dyDescent="0.2">
      <c r="A2190" s="510" t="str">
        <f t="shared" si="149"/>
        <v/>
      </c>
      <c r="B2190" s="428"/>
      <c r="C2190" s="424"/>
      <c r="D2190" s="415"/>
      <c r="E2190" s="415"/>
      <c r="F2190" s="425"/>
      <c r="G2190" s="415"/>
      <c r="H2190" s="415"/>
      <c r="I2190" s="473"/>
      <c r="J2190" s="415"/>
      <c r="K2190" s="415"/>
      <c r="L2190" s="415"/>
      <c r="M2190" s="415"/>
      <c r="N2190" s="414"/>
      <c r="O2190" s="428"/>
      <c r="P2190" s="222">
        <f t="shared" si="150"/>
        <v>0</v>
      </c>
      <c r="Q2190" s="222">
        <f t="shared" si="151"/>
        <v>0</v>
      </c>
      <c r="R2190" s="532" t="str">
        <f t="shared" si="152"/>
        <v/>
      </c>
      <c r="S2190" s="533"/>
      <c r="T2190" s="533"/>
      <c r="U2190" s="496"/>
      <c r="V2190" s="496"/>
      <c r="W2190" s="496"/>
    </row>
    <row r="2191" spans="1:23" x14ac:dyDescent="0.2">
      <c r="A2191" s="510" t="str">
        <f t="shared" si="149"/>
        <v/>
      </c>
      <c r="B2191" s="428"/>
      <c r="C2191" s="424"/>
      <c r="D2191" s="415"/>
      <c r="E2191" s="415"/>
      <c r="F2191" s="425"/>
      <c r="G2191" s="415"/>
      <c r="H2191" s="415"/>
      <c r="I2191" s="473"/>
      <c r="J2191" s="415"/>
      <c r="K2191" s="415"/>
      <c r="L2191" s="415"/>
      <c r="M2191" s="415"/>
      <c r="N2191" s="414"/>
      <c r="O2191" s="428"/>
      <c r="P2191" s="222">
        <f t="shared" si="150"/>
        <v>0</v>
      </c>
      <c r="Q2191" s="222">
        <f t="shared" si="151"/>
        <v>0</v>
      </c>
      <c r="R2191" s="532" t="str">
        <f t="shared" si="152"/>
        <v/>
      </c>
      <c r="S2191" s="533"/>
      <c r="T2191" s="533"/>
      <c r="U2191" s="496"/>
      <c r="V2191" s="496"/>
      <c r="W2191" s="496"/>
    </row>
    <row r="2192" spans="1:23" x14ac:dyDescent="0.2">
      <c r="A2192" s="510" t="str">
        <f t="shared" si="149"/>
        <v/>
      </c>
      <c r="B2192" s="428"/>
      <c r="C2192" s="424"/>
      <c r="D2192" s="415"/>
      <c r="E2192" s="415"/>
      <c r="F2192" s="425"/>
      <c r="G2192" s="415"/>
      <c r="H2192" s="415"/>
      <c r="I2192" s="473"/>
      <c r="J2192" s="415"/>
      <c r="K2192" s="415"/>
      <c r="L2192" s="415"/>
      <c r="M2192" s="415"/>
      <c r="N2192" s="414"/>
      <c r="O2192" s="428"/>
      <c r="P2192" s="222">
        <f t="shared" si="150"/>
        <v>0</v>
      </c>
      <c r="Q2192" s="222">
        <f t="shared" si="151"/>
        <v>0</v>
      </c>
      <c r="R2192" s="532" t="str">
        <f t="shared" si="152"/>
        <v/>
      </c>
      <c r="S2192" s="533"/>
      <c r="T2192" s="533"/>
      <c r="U2192" s="496"/>
      <c r="V2192" s="496"/>
      <c r="W2192" s="496"/>
    </row>
    <row r="2193" spans="1:23" x14ac:dyDescent="0.2">
      <c r="A2193" s="510" t="str">
        <f t="shared" si="149"/>
        <v/>
      </c>
      <c r="B2193" s="428"/>
      <c r="C2193" s="424"/>
      <c r="D2193" s="415"/>
      <c r="E2193" s="415"/>
      <c r="F2193" s="425"/>
      <c r="G2193" s="415"/>
      <c r="H2193" s="415"/>
      <c r="I2193" s="473"/>
      <c r="J2193" s="415"/>
      <c r="K2193" s="415"/>
      <c r="L2193" s="415"/>
      <c r="M2193" s="415"/>
      <c r="N2193" s="414"/>
      <c r="O2193" s="428"/>
      <c r="P2193" s="222">
        <f t="shared" si="150"/>
        <v>0</v>
      </c>
      <c r="Q2193" s="222">
        <f t="shared" si="151"/>
        <v>0</v>
      </c>
      <c r="R2193" s="532" t="str">
        <f t="shared" si="152"/>
        <v/>
      </c>
      <c r="S2193" s="533"/>
      <c r="T2193" s="533"/>
      <c r="U2193" s="496"/>
      <c r="V2193" s="496"/>
      <c r="W2193" s="496"/>
    </row>
    <row r="2194" spans="1:23" x14ac:dyDescent="0.2">
      <c r="A2194" s="510" t="str">
        <f t="shared" si="149"/>
        <v/>
      </c>
      <c r="B2194" s="428"/>
      <c r="C2194" s="424"/>
      <c r="D2194" s="415"/>
      <c r="E2194" s="415"/>
      <c r="F2194" s="425"/>
      <c r="G2194" s="415"/>
      <c r="H2194" s="415"/>
      <c r="I2194" s="473"/>
      <c r="J2194" s="415"/>
      <c r="K2194" s="415"/>
      <c r="L2194" s="415"/>
      <c r="M2194" s="415"/>
      <c r="N2194" s="414"/>
      <c r="O2194" s="428"/>
      <c r="P2194" s="222">
        <f t="shared" si="150"/>
        <v>0</v>
      </c>
      <c r="Q2194" s="222">
        <f t="shared" si="151"/>
        <v>0</v>
      </c>
      <c r="R2194" s="532" t="str">
        <f t="shared" si="152"/>
        <v/>
      </c>
      <c r="S2194" s="533"/>
      <c r="T2194" s="533"/>
      <c r="U2194" s="496"/>
      <c r="V2194" s="496"/>
      <c r="W2194" s="496"/>
    </row>
    <row r="2195" spans="1:23" x14ac:dyDescent="0.2">
      <c r="A2195" s="510" t="str">
        <f t="shared" si="149"/>
        <v/>
      </c>
      <c r="B2195" s="428"/>
      <c r="C2195" s="424"/>
      <c r="D2195" s="415"/>
      <c r="E2195" s="415"/>
      <c r="F2195" s="425"/>
      <c r="G2195" s="415"/>
      <c r="H2195" s="415"/>
      <c r="I2195" s="473"/>
      <c r="J2195" s="415"/>
      <c r="K2195" s="415"/>
      <c r="L2195" s="415"/>
      <c r="M2195" s="415"/>
      <c r="N2195" s="414"/>
      <c r="O2195" s="428"/>
      <c r="P2195" s="222">
        <f t="shared" si="150"/>
        <v>0</v>
      </c>
      <c r="Q2195" s="222">
        <f t="shared" si="151"/>
        <v>0</v>
      </c>
      <c r="R2195" s="532" t="str">
        <f t="shared" si="152"/>
        <v/>
      </c>
      <c r="S2195" s="533"/>
      <c r="T2195" s="533"/>
      <c r="U2195" s="496"/>
      <c r="V2195" s="496"/>
      <c r="W2195" s="496"/>
    </row>
    <row r="2196" spans="1:23" x14ac:dyDescent="0.2">
      <c r="A2196" s="510" t="str">
        <f t="shared" si="149"/>
        <v/>
      </c>
      <c r="B2196" s="428"/>
      <c r="C2196" s="424"/>
      <c r="D2196" s="415"/>
      <c r="E2196" s="415"/>
      <c r="F2196" s="425"/>
      <c r="G2196" s="415"/>
      <c r="H2196" s="415"/>
      <c r="I2196" s="473"/>
      <c r="J2196" s="415"/>
      <c r="K2196" s="415"/>
      <c r="L2196" s="415"/>
      <c r="M2196" s="415"/>
      <c r="N2196" s="414"/>
      <c r="O2196" s="428"/>
      <c r="P2196" s="222">
        <f t="shared" si="150"/>
        <v>0</v>
      </c>
      <c r="Q2196" s="222">
        <f t="shared" si="151"/>
        <v>0</v>
      </c>
      <c r="R2196" s="532" t="str">
        <f t="shared" si="152"/>
        <v/>
      </c>
      <c r="S2196" s="533"/>
      <c r="T2196" s="533"/>
      <c r="U2196" s="496"/>
      <c r="V2196" s="496"/>
      <c r="W2196" s="496"/>
    </row>
    <row r="2197" spans="1:23" x14ac:dyDescent="0.2">
      <c r="A2197" s="510" t="str">
        <f t="shared" si="149"/>
        <v/>
      </c>
      <c r="B2197" s="428"/>
      <c r="C2197" s="424"/>
      <c r="D2197" s="415"/>
      <c r="E2197" s="415"/>
      <c r="F2197" s="425"/>
      <c r="G2197" s="415"/>
      <c r="H2197" s="415"/>
      <c r="I2197" s="473"/>
      <c r="J2197" s="415"/>
      <c r="K2197" s="415"/>
      <c r="L2197" s="415"/>
      <c r="M2197" s="415"/>
      <c r="N2197" s="414"/>
      <c r="O2197" s="428"/>
      <c r="P2197" s="222">
        <f t="shared" si="150"/>
        <v>0</v>
      </c>
      <c r="Q2197" s="222">
        <f t="shared" si="151"/>
        <v>0</v>
      </c>
      <c r="R2197" s="532" t="str">
        <f t="shared" si="152"/>
        <v/>
      </c>
      <c r="S2197" s="533"/>
      <c r="T2197" s="533"/>
      <c r="U2197" s="496"/>
      <c r="V2197" s="496"/>
      <c r="W2197" s="496"/>
    </row>
    <row r="2198" spans="1:23" x14ac:dyDescent="0.2">
      <c r="A2198" s="510" t="str">
        <f t="shared" si="149"/>
        <v/>
      </c>
      <c r="B2198" s="428"/>
      <c r="C2198" s="424"/>
      <c r="D2198" s="415"/>
      <c r="E2198" s="415"/>
      <c r="F2198" s="425"/>
      <c r="G2198" s="415"/>
      <c r="H2198" s="415"/>
      <c r="I2198" s="473"/>
      <c r="J2198" s="415"/>
      <c r="K2198" s="415"/>
      <c r="L2198" s="415"/>
      <c r="M2198" s="415"/>
      <c r="N2198" s="414"/>
      <c r="O2198" s="428"/>
      <c r="P2198" s="222">
        <f t="shared" si="150"/>
        <v>0</v>
      </c>
      <c r="Q2198" s="222">
        <f t="shared" si="151"/>
        <v>0</v>
      </c>
      <c r="R2198" s="532" t="str">
        <f t="shared" si="152"/>
        <v/>
      </c>
      <c r="S2198" s="533"/>
      <c r="T2198" s="533"/>
      <c r="U2198" s="496"/>
      <c r="V2198" s="496"/>
      <c r="W2198" s="496"/>
    </row>
    <row r="2199" spans="1:23" x14ac:dyDescent="0.2">
      <c r="A2199" s="510" t="str">
        <f t="shared" si="149"/>
        <v/>
      </c>
      <c r="B2199" s="428"/>
      <c r="C2199" s="424"/>
      <c r="D2199" s="415"/>
      <c r="E2199" s="415"/>
      <c r="F2199" s="425"/>
      <c r="G2199" s="415"/>
      <c r="H2199" s="415"/>
      <c r="I2199" s="473"/>
      <c r="J2199" s="415"/>
      <c r="K2199" s="415"/>
      <c r="L2199" s="415"/>
      <c r="M2199" s="415"/>
      <c r="N2199" s="414"/>
      <c r="O2199" s="428"/>
      <c r="P2199" s="222">
        <f t="shared" si="150"/>
        <v>0</v>
      </c>
      <c r="Q2199" s="222">
        <f t="shared" si="151"/>
        <v>0</v>
      </c>
      <c r="R2199" s="532" t="str">
        <f t="shared" si="152"/>
        <v/>
      </c>
      <c r="S2199" s="533"/>
      <c r="T2199" s="533"/>
      <c r="U2199" s="496"/>
      <c r="V2199" s="496"/>
      <c r="W2199" s="496"/>
    </row>
    <row r="2200" spans="1:23" x14ac:dyDescent="0.2">
      <c r="A2200" s="510" t="str">
        <f t="shared" si="149"/>
        <v/>
      </c>
      <c r="B2200" s="428"/>
      <c r="C2200" s="424"/>
      <c r="D2200" s="415"/>
      <c r="E2200" s="415"/>
      <c r="F2200" s="425"/>
      <c r="G2200" s="415"/>
      <c r="H2200" s="415"/>
      <c r="I2200" s="473"/>
      <c r="J2200" s="415"/>
      <c r="K2200" s="415"/>
      <c r="L2200" s="415"/>
      <c r="M2200" s="415"/>
      <c r="N2200" s="414"/>
      <c r="O2200" s="428"/>
      <c r="P2200" s="222">
        <f t="shared" si="150"/>
        <v>0</v>
      </c>
      <c r="Q2200" s="222">
        <f t="shared" si="151"/>
        <v>0</v>
      </c>
      <c r="R2200" s="532" t="str">
        <f t="shared" si="152"/>
        <v/>
      </c>
      <c r="S2200" s="533"/>
      <c r="T2200" s="533"/>
      <c r="U2200" s="496"/>
      <c r="V2200" s="496"/>
      <c r="W2200" s="496"/>
    </row>
    <row r="2201" spans="1:23" x14ac:dyDescent="0.2">
      <c r="A2201" s="510" t="str">
        <f t="shared" ref="A2201:A2264" si="153">IF(B2201="","",ROW()-ROW($A$3))</f>
        <v/>
      </c>
      <c r="B2201" s="428"/>
      <c r="C2201" s="424"/>
      <c r="D2201" s="415"/>
      <c r="E2201" s="415"/>
      <c r="F2201" s="425"/>
      <c r="G2201" s="415"/>
      <c r="H2201" s="415"/>
      <c r="I2201" s="473"/>
      <c r="J2201" s="415"/>
      <c r="K2201" s="415"/>
      <c r="L2201" s="415"/>
      <c r="M2201" s="415"/>
      <c r="N2201" s="414"/>
      <c r="O2201" s="428"/>
      <c r="P2201" s="222">
        <f t="shared" ref="P2201:P2264" si="154">IF(B2201=0,0,IF(YEAR(B2201)=$Q$1,MONTH(B2201)-$P$1+1,(YEAR(B2201)-$Q$1)*12-$P$1+1+MONTH(B2201)))</f>
        <v>0</v>
      </c>
      <c r="Q2201" s="222">
        <f t="shared" ref="Q2201:Q2264" si="155">IF(C2201=0,0,IF(YEAR(C2201)=$Q$1,MONTH(C2201)-$P$1+1,(YEAR(C2201)-$Q$1)*12-$P$1+1+MONTH(C2201)))</f>
        <v>0</v>
      </c>
      <c r="R2201" s="532" t="str">
        <f t="shared" ref="R2201:R2264" si="156">SUBSTITUTE(D2201," ","_")</f>
        <v/>
      </c>
      <c r="S2201" s="533"/>
      <c r="T2201" s="533"/>
      <c r="U2201" s="496"/>
      <c r="V2201" s="496"/>
      <c r="W2201" s="496"/>
    </row>
    <row r="2202" spans="1:23" x14ac:dyDescent="0.2">
      <c r="A2202" s="510" t="str">
        <f t="shared" si="153"/>
        <v/>
      </c>
      <c r="B2202" s="428"/>
      <c r="C2202" s="424"/>
      <c r="D2202" s="415"/>
      <c r="E2202" s="415"/>
      <c r="F2202" s="425"/>
      <c r="G2202" s="415"/>
      <c r="H2202" s="415"/>
      <c r="I2202" s="473"/>
      <c r="J2202" s="415"/>
      <c r="K2202" s="415"/>
      <c r="L2202" s="415"/>
      <c r="M2202" s="415"/>
      <c r="N2202" s="414"/>
      <c r="O2202" s="428"/>
      <c r="P2202" s="222">
        <f t="shared" si="154"/>
        <v>0</v>
      </c>
      <c r="Q2202" s="222">
        <f t="shared" si="155"/>
        <v>0</v>
      </c>
      <c r="R2202" s="532" t="str">
        <f t="shared" si="156"/>
        <v/>
      </c>
      <c r="S2202" s="533"/>
      <c r="T2202" s="533"/>
      <c r="U2202" s="496"/>
      <c r="V2202" s="496"/>
      <c r="W2202" s="496"/>
    </row>
    <row r="2203" spans="1:23" x14ac:dyDescent="0.2">
      <c r="A2203" s="510" t="str">
        <f t="shared" si="153"/>
        <v/>
      </c>
      <c r="B2203" s="428"/>
      <c r="C2203" s="424"/>
      <c r="D2203" s="415"/>
      <c r="E2203" s="415"/>
      <c r="F2203" s="425"/>
      <c r="G2203" s="415"/>
      <c r="H2203" s="415"/>
      <c r="I2203" s="473"/>
      <c r="J2203" s="415"/>
      <c r="K2203" s="415"/>
      <c r="L2203" s="415"/>
      <c r="M2203" s="415"/>
      <c r="N2203" s="414"/>
      <c r="O2203" s="428"/>
      <c r="P2203" s="222">
        <f t="shared" si="154"/>
        <v>0</v>
      </c>
      <c r="Q2203" s="222">
        <f t="shared" si="155"/>
        <v>0</v>
      </c>
      <c r="R2203" s="532" t="str">
        <f t="shared" si="156"/>
        <v/>
      </c>
      <c r="S2203" s="533"/>
      <c r="T2203" s="533"/>
      <c r="U2203" s="496"/>
      <c r="V2203" s="496"/>
      <c r="W2203" s="496"/>
    </row>
    <row r="2204" spans="1:23" x14ac:dyDescent="0.2">
      <c r="A2204" s="510" t="str">
        <f t="shared" si="153"/>
        <v/>
      </c>
      <c r="B2204" s="428"/>
      <c r="C2204" s="424"/>
      <c r="D2204" s="415"/>
      <c r="E2204" s="415"/>
      <c r="F2204" s="425"/>
      <c r="G2204" s="415"/>
      <c r="H2204" s="415"/>
      <c r="I2204" s="473"/>
      <c r="J2204" s="415"/>
      <c r="K2204" s="415"/>
      <c r="L2204" s="415"/>
      <c r="M2204" s="415"/>
      <c r="N2204" s="414"/>
      <c r="O2204" s="428"/>
      <c r="P2204" s="222">
        <f t="shared" si="154"/>
        <v>0</v>
      </c>
      <c r="Q2204" s="222">
        <f t="shared" si="155"/>
        <v>0</v>
      </c>
      <c r="R2204" s="532" t="str">
        <f t="shared" si="156"/>
        <v/>
      </c>
      <c r="S2204" s="533"/>
      <c r="T2204" s="533"/>
      <c r="U2204" s="496"/>
      <c r="V2204" s="496"/>
      <c r="W2204" s="496"/>
    </row>
    <row r="2205" spans="1:23" x14ac:dyDescent="0.2">
      <c r="A2205" s="510" t="str">
        <f t="shared" si="153"/>
        <v/>
      </c>
      <c r="B2205" s="428"/>
      <c r="C2205" s="424"/>
      <c r="D2205" s="415"/>
      <c r="E2205" s="415"/>
      <c r="F2205" s="425"/>
      <c r="G2205" s="415"/>
      <c r="H2205" s="415"/>
      <c r="I2205" s="473"/>
      <c r="J2205" s="415"/>
      <c r="K2205" s="415"/>
      <c r="L2205" s="415"/>
      <c r="M2205" s="415"/>
      <c r="N2205" s="414"/>
      <c r="O2205" s="428"/>
      <c r="P2205" s="222">
        <f t="shared" si="154"/>
        <v>0</v>
      </c>
      <c r="Q2205" s="222">
        <f t="shared" si="155"/>
        <v>0</v>
      </c>
      <c r="R2205" s="532" t="str">
        <f t="shared" si="156"/>
        <v/>
      </c>
      <c r="S2205" s="533"/>
      <c r="T2205" s="533"/>
      <c r="U2205" s="496"/>
      <c r="V2205" s="496"/>
      <c r="W2205" s="496"/>
    </row>
    <row r="2206" spans="1:23" x14ac:dyDescent="0.2">
      <c r="A2206" s="510" t="str">
        <f t="shared" si="153"/>
        <v/>
      </c>
      <c r="B2206" s="428"/>
      <c r="C2206" s="424"/>
      <c r="D2206" s="415"/>
      <c r="E2206" s="415"/>
      <c r="F2206" s="425"/>
      <c r="G2206" s="415"/>
      <c r="H2206" s="415"/>
      <c r="I2206" s="473"/>
      <c r="J2206" s="415"/>
      <c r="K2206" s="415"/>
      <c r="L2206" s="415"/>
      <c r="M2206" s="415"/>
      <c r="N2206" s="414"/>
      <c r="O2206" s="428"/>
      <c r="P2206" s="222">
        <f t="shared" si="154"/>
        <v>0</v>
      </c>
      <c r="Q2206" s="222">
        <f t="shared" si="155"/>
        <v>0</v>
      </c>
      <c r="R2206" s="532" t="str">
        <f t="shared" si="156"/>
        <v/>
      </c>
      <c r="S2206" s="533"/>
      <c r="T2206" s="533"/>
      <c r="U2206" s="496"/>
      <c r="V2206" s="496"/>
      <c r="W2206" s="496"/>
    </row>
    <row r="2207" spans="1:23" x14ac:dyDescent="0.2">
      <c r="A2207" s="510" t="str">
        <f t="shared" si="153"/>
        <v/>
      </c>
      <c r="B2207" s="428"/>
      <c r="C2207" s="424"/>
      <c r="D2207" s="415"/>
      <c r="E2207" s="415"/>
      <c r="F2207" s="425"/>
      <c r="G2207" s="415"/>
      <c r="H2207" s="415"/>
      <c r="I2207" s="473"/>
      <c r="J2207" s="415"/>
      <c r="K2207" s="415"/>
      <c r="L2207" s="415"/>
      <c r="M2207" s="415"/>
      <c r="N2207" s="414"/>
      <c r="O2207" s="428"/>
      <c r="P2207" s="222">
        <f t="shared" si="154"/>
        <v>0</v>
      </c>
      <c r="Q2207" s="222">
        <f t="shared" si="155"/>
        <v>0</v>
      </c>
      <c r="R2207" s="532" t="str">
        <f t="shared" si="156"/>
        <v/>
      </c>
      <c r="S2207" s="533"/>
      <c r="T2207" s="533"/>
      <c r="U2207" s="496"/>
      <c r="V2207" s="496"/>
      <c r="W2207" s="496"/>
    </row>
    <row r="2208" spans="1:23" x14ac:dyDescent="0.2">
      <c r="A2208" s="510" t="str">
        <f t="shared" si="153"/>
        <v/>
      </c>
      <c r="B2208" s="428"/>
      <c r="C2208" s="424"/>
      <c r="D2208" s="415"/>
      <c r="E2208" s="415"/>
      <c r="F2208" s="425"/>
      <c r="G2208" s="415"/>
      <c r="H2208" s="415"/>
      <c r="I2208" s="473"/>
      <c r="J2208" s="415"/>
      <c r="K2208" s="415"/>
      <c r="L2208" s="415"/>
      <c r="M2208" s="415"/>
      <c r="N2208" s="414"/>
      <c r="O2208" s="428"/>
      <c r="P2208" s="222">
        <f t="shared" si="154"/>
        <v>0</v>
      </c>
      <c r="Q2208" s="222">
        <f t="shared" si="155"/>
        <v>0</v>
      </c>
      <c r="R2208" s="532" t="str">
        <f t="shared" si="156"/>
        <v/>
      </c>
      <c r="S2208" s="533"/>
      <c r="T2208" s="533"/>
      <c r="U2208" s="496"/>
      <c r="V2208" s="496"/>
      <c r="W2208" s="496"/>
    </row>
    <row r="2209" spans="1:23" x14ac:dyDescent="0.2">
      <c r="A2209" s="510" t="str">
        <f t="shared" si="153"/>
        <v/>
      </c>
      <c r="B2209" s="428"/>
      <c r="C2209" s="424"/>
      <c r="D2209" s="415"/>
      <c r="E2209" s="415"/>
      <c r="F2209" s="425"/>
      <c r="G2209" s="415"/>
      <c r="H2209" s="415"/>
      <c r="I2209" s="473"/>
      <c r="J2209" s="415"/>
      <c r="K2209" s="415"/>
      <c r="L2209" s="415"/>
      <c r="M2209" s="415"/>
      <c r="N2209" s="414"/>
      <c r="O2209" s="428"/>
      <c r="P2209" s="222">
        <f t="shared" si="154"/>
        <v>0</v>
      </c>
      <c r="Q2209" s="222">
        <f t="shared" si="155"/>
        <v>0</v>
      </c>
      <c r="R2209" s="532" t="str">
        <f t="shared" si="156"/>
        <v/>
      </c>
      <c r="S2209" s="533"/>
      <c r="T2209" s="533"/>
      <c r="U2209" s="496"/>
      <c r="V2209" s="496"/>
      <c r="W2209" s="496"/>
    </row>
    <row r="2210" spans="1:23" x14ac:dyDescent="0.2">
      <c r="A2210" s="510" t="str">
        <f t="shared" si="153"/>
        <v/>
      </c>
      <c r="B2210" s="428"/>
      <c r="C2210" s="424"/>
      <c r="D2210" s="415"/>
      <c r="E2210" s="415"/>
      <c r="F2210" s="425"/>
      <c r="G2210" s="415"/>
      <c r="H2210" s="415"/>
      <c r="I2210" s="473"/>
      <c r="J2210" s="415"/>
      <c r="K2210" s="415"/>
      <c r="L2210" s="415"/>
      <c r="M2210" s="415"/>
      <c r="N2210" s="414"/>
      <c r="O2210" s="428"/>
      <c r="P2210" s="222">
        <f t="shared" si="154"/>
        <v>0</v>
      </c>
      <c r="Q2210" s="222">
        <f t="shared" si="155"/>
        <v>0</v>
      </c>
      <c r="R2210" s="532" t="str">
        <f t="shared" si="156"/>
        <v/>
      </c>
      <c r="S2210" s="533"/>
      <c r="T2210" s="533"/>
      <c r="U2210" s="496"/>
      <c r="V2210" s="496"/>
      <c r="W2210" s="496"/>
    </row>
    <row r="2211" spans="1:23" x14ac:dyDescent="0.2">
      <c r="A2211" s="510" t="str">
        <f t="shared" si="153"/>
        <v/>
      </c>
      <c r="B2211" s="428"/>
      <c r="C2211" s="424"/>
      <c r="D2211" s="415"/>
      <c r="E2211" s="415"/>
      <c r="F2211" s="425"/>
      <c r="G2211" s="415"/>
      <c r="H2211" s="415"/>
      <c r="I2211" s="473"/>
      <c r="J2211" s="415"/>
      <c r="K2211" s="415"/>
      <c r="L2211" s="415"/>
      <c r="M2211" s="415"/>
      <c r="N2211" s="414"/>
      <c r="O2211" s="428"/>
      <c r="P2211" s="222">
        <f t="shared" si="154"/>
        <v>0</v>
      </c>
      <c r="Q2211" s="222">
        <f t="shared" si="155"/>
        <v>0</v>
      </c>
      <c r="R2211" s="532" t="str">
        <f t="shared" si="156"/>
        <v/>
      </c>
      <c r="S2211" s="533"/>
      <c r="T2211" s="533"/>
      <c r="U2211" s="496"/>
      <c r="V2211" s="496"/>
      <c r="W2211" s="496"/>
    </row>
    <row r="2212" spans="1:23" x14ac:dyDescent="0.2">
      <c r="A2212" s="510" t="str">
        <f t="shared" si="153"/>
        <v/>
      </c>
      <c r="B2212" s="428"/>
      <c r="C2212" s="424"/>
      <c r="D2212" s="415"/>
      <c r="E2212" s="415"/>
      <c r="F2212" s="425"/>
      <c r="G2212" s="415"/>
      <c r="H2212" s="415"/>
      <c r="I2212" s="473"/>
      <c r="J2212" s="415"/>
      <c r="K2212" s="415"/>
      <c r="L2212" s="415"/>
      <c r="M2212" s="415"/>
      <c r="N2212" s="414"/>
      <c r="O2212" s="428"/>
      <c r="P2212" s="222">
        <f t="shared" si="154"/>
        <v>0</v>
      </c>
      <c r="Q2212" s="222">
        <f t="shared" si="155"/>
        <v>0</v>
      </c>
      <c r="R2212" s="532" t="str">
        <f t="shared" si="156"/>
        <v/>
      </c>
      <c r="S2212" s="533"/>
      <c r="T2212" s="533"/>
      <c r="U2212" s="496"/>
      <c r="V2212" s="496"/>
      <c r="W2212" s="496"/>
    </row>
    <row r="2213" spans="1:23" x14ac:dyDescent="0.2">
      <c r="A2213" s="510" t="str">
        <f t="shared" si="153"/>
        <v/>
      </c>
      <c r="B2213" s="428"/>
      <c r="C2213" s="424"/>
      <c r="D2213" s="415"/>
      <c r="E2213" s="415"/>
      <c r="F2213" s="425"/>
      <c r="G2213" s="415"/>
      <c r="H2213" s="415"/>
      <c r="I2213" s="473"/>
      <c r="J2213" s="415"/>
      <c r="K2213" s="415"/>
      <c r="L2213" s="415"/>
      <c r="M2213" s="415"/>
      <c r="N2213" s="414"/>
      <c r="O2213" s="428"/>
      <c r="P2213" s="222">
        <f t="shared" si="154"/>
        <v>0</v>
      </c>
      <c r="Q2213" s="222">
        <f t="shared" si="155"/>
        <v>0</v>
      </c>
      <c r="R2213" s="532" t="str">
        <f t="shared" si="156"/>
        <v/>
      </c>
      <c r="S2213" s="533"/>
      <c r="T2213" s="533"/>
      <c r="U2213" s="496"/>
      <c r="V2213" s="496"/>
      <c r="W2213" s="496"/>
    </row>
    <row r="2214" spans="1:23" x14ac:dyDescent="0.2">
      <c r="A2214" s="510" t="str">
        <f t="shared" si="153"/>
        <v/>
      </c>
      <c r="B2214" s="428"/>
      <c r="C2214" s="424"/>
      <c r="D2214" s="415"/>
      <c r="E2214" s="415"/>
      <c r="F2214" s="425"/>
      <c r="G2214" s="415"/>
      <c r="H2214" s="415"/>
      <c r="I2214" s="473"/>
      <c r="J2214" s="415"/>
      <c r="K2214" s="415"/>
      <c r="L2214" s="415"/>
      <c r="M2214" s="415"/>
      <c r="N2214" s="414"/>
      <c r="O2214" s="428"/>
      <c r="P2214" s="222">
        <f t="shared" si="154"/>
        <v>0</v>
      </c>
      <c r="Q2214" s="222">
        <f t="shared" si="155"/>
        <v>0</v>
      </c>
      <c r="R2214" s="532" t="str">
        <f t="shared" si="156"/>
        <v/>
      </c>
      <c r="S2214" s="533"/>
      <c r="T2214" s="533"/>
      <c r="U2214" s="496"/>
      <c r="V2214" s="496"/>
      <c r="W2214" s="496"/>
    </row>
    <row r="2215" spans="1:23" x14ac:dyDescent="0.2">
      <c r="A2215" s="510" t="str">
        <f t="shared" si="153"/>
        <v/>
      </c>
      <c r="B2215" s="428"/>
      <c r="C2215" s="424"/>
      <c r="D2215" s="415"/>
      <c r="E2215" s="415"/>
      <c r="F2215" s="425"/>
      <c r="G2215" s="415"/>
      <c r="H2215" s="415"/>
      <c r="I2215" s="473"/>
      <c r="J2215" s="415"/>
      <c r="K2215" s="415"/>
      <c r="L2215" s="415"/>
      <c r="M2215" s="415"/>
      <c r="N2215" s="414"/>
      <c r="O2215" s="428"/>
      <c r="P2215" s="222">
        <f t="shared" si="154"/>
        <v>0</v>
      </c>
      <c r="Q2215" s="222">
        <f t="shared" si="155"/>
        <v>0</v>
      </c>
      <c r="R2215" s="532" t="str">
        <f t="shared" si="156"/>
        <v/>
      </c>
      <c r="S2215" s="533"/>
      <c r="T2215" s="533"/>
      <c r="U2215" s="496"/>
      <c r="V2215" s="496"/>
      <c r="W2215" s="496"/>
    </row>
    <row r="2216" spans="1:23" x14ac:dyDescent="0.2">
      <c r="A2216" s="510" t="str">
        <f t="shared" si="153"/>
        <v/>
      </c>
      <c r="B2216" s="428"/>
      <c r="C2216" s="424"/>
      <c r="D2216" s="415"/>
      <c r="E2216" s="415"/>
      <c r="F2216" s="425"/>
      <c r="G2216" s="415"/>
      <c r="H2216" s="415"/>
      <c r="I2216" s="473"/>
      <c r="J2216" s="415"/>
      <c r="K2216" s="415"/>
      <c r="L2216" s="415"/>
      <c r="M2216" s="415"/>
      <c r="N2216" s="414"/>
      <c r="O2216" s="428"/>
      <c r="P2216" s="222">
        <f t="shared" si="154"/>
        <v>0</v>
      </c>
      <c r="Q2216" s="222">
        <f t="shared" si="155"/>
        <v>0</v>
      </c>
      <c r="R2216" s="532" t="str">
        <f t="shared" si="156"/>
        <v/>
      </c>
      <c r="S2216" s="533"/>
      <c r="T2216" s="533"/>
      <c r="U2216" s="496"/>
      <c r="V2216" s="496"/>
      <c r="W2216" s="496"/>
    </row>
    <row r="2217" spans="1:23" x14ac:dyDescent="0.2">
      <c r="A2217" s="510" t="str">
        <f t="shared" si="153"/>
        <v/>
      </c>
      <c r="B2217" s="428"/>
      <c r="C2217" s="424"/>
      <c r="D2217" s="415"/>
      <c r="E2217" s="415"/>
      <c r="F2217" s="425"/>
      <c r="G2217" s="415"/>
      <c r="H2217" s="415"/>
      <c r="I2217" s="473"/>
      <c r="J2217" s="415"/>
      <c r="K2217" s="415"/>
      <c r="L2217" s="415"/>
      <c r="M2217" s="415"/>
      <c r="N2217" s="414"/>
      <c r="O2217" s="428"/>
      <c r="P2217" s="222">
        <f t="shared" si="154"/>
        <v>0</v>
      </c>
      <c r="Q2217" s="222">
        <f t="shared" si="155"/>
        <v>0</v>
      </c>
      <c r="R2217" s="532" t="str">
        <f t="shared" si="156"/>
        <v/>
      </c>
      <c r="S2217" s="533"/>
      <c r="T2217" s="533"/>
      <c r="U2217" s="496"/>
      <c r="V2217" s="496"/>
      <c r="W2217" s="496"/>
    </row>
    <row r="2218" spans="1:23" x14ac:dyDescent="0.2">
      <c r="A2218" s="510" t="str">
        <f t="shared" si="153"/>
        <v/>
      </c>
      <c r="B2218" s="428"/>
      <c r="C2218" s="424"/>
      <c r="D2218" s="415"/>
      <c r="E2218" s="415"/>
      <c r="F2218" s="425"/>
      <c r="G2218" s="415"/>
      <c r="H2218" s="415"/>
      <c r="I2218" s="473"/>
      <c r="J2218" s="415"/>
      <c r="K2218" s="415"/>
      <c r="L2218" s="415"/>
      <c r="M2218" s="415"/>
      <c r="N2218" s="414"/>
      <c r="O2218" s="428"/>
      <c r="P2218" s="222">
        <f t="shared" si="154"/>
        <v>0</v>
      </c>
      <c r="Q2218" s="222">
        <f t="shared" si="155"/>
        <v>0</v>
      </c>
      <c r="R2218" s="532" t="str">
        <f t="shared" si="156"/>
        <v/>
      </c>
      <c r="S2218" s="533"/>
      <c r="T2218" s="533"/>
      <c r="U2218" s="496"/>
      <c r="V2218" s="496"/>
      <c r="W2218" s="496"/>
    </row>
    <row r="2219" spans="1:23" x14ac:dyDescent="0.2">
      <c r="A2219" s="510" t="str">
        <f t="shared" si="153"/>
        <v/>
      </c>
      <c r="B2219" s="428"/>
      <c r="C2219" s="424"/>
      <c r="D2219" s="415"/>
      <c r="E2219" s="415"/>
      <c r="F2219" s="425"/>
      <c r="G2219" s="415"/>
      <c r="H2219" s="415"/>
      <c r="I2219" s="473"/>
      <c r="J2219" s="415"/>
      <c r="K2219" s="415"/>
      <c r="L2219" s="415"/>
      <c r="M2219" s="415"/>
      <c r="N2219" s="414"/>
      <c r="O2219" s="428"/>
      <c r="P2219" s="222">
        <f t="shared" si="154"/>
        <v>0</v>
      </c>
      <c r="Q2219" s="222">
        <f t="shared" si="155"/>
        <v>0</v>
      </c>
      <c r="R2219" s="532" t="str">
        <f t="shared" si="156"/>
        <v/>
      </c>
      <c r="S2219" s="533"/>
      <c r="T2219" s="533"/>
      <c r="U2219" s="496"/>
      <c r="V2219" s="496"/>
      <c r="W2219" s="496"/>
    </row>
    <row r="2220" spans="1:23" x14ac:dyDescent="0.2">
      <c r="A2220" s="510" t="str">
        <f t="shared" si="153"/>
        <v/>
      </c>
      <c r="B2220" s="428"/>
      <c r="C2220" s="424"/>
      <c r="D2220" s="415"/>
      <c r="E2220" s="415"/>
      <c r="F2220" s="425"/>
      <c r="G2220" s="415"/>
      <c r="H2220" s="415"/>
      <c r="I2220" s="473"/>
      <c r="J2220" s="415"/>
      <c r="K2220" s="415"/>
      <c r="L2220" s="415"/>
      <c r="M2220" s="415"/>
      <c r="N2220" s="414"/>
      <c r="O2220" s="428"/>
      <c r="P2220" s="222">
        <f t="shared" si="154"/>
        <v>0</v>
      </c>
      <c r="Q2220" s="222">
        <f t="shared" si="155"/>
        <v>0</v>
      </c>
      <c r="R2220" s="532" t="str">
        <f t="shared" si="156"/>
        <v/>
      </c>
      <c r="S2220" s="533"/>
      <c r="T2220" s="533"/>
      <c r="U2220" s="496"/>
      <c r="V2220" s="496"/>
      <c r="W2220" s="496"/>
    </row>
    <row r="2221" spans="1:23" x14ac:dyDescent="0.2">
      <c r="A2221" s="510" t="str">
        <f t="shared" si="153"/>
        <v/>
      </c>
      <c r="B2221" s="428"/>
      <c r="C2221" s="424"/>
      <c r="D2221" s="415"/>
      <c r="E2221" s="415"/>
      <c r="F2221" s="425"/>
      <c r="G2221" s="415"/>
      <c r="H2221" s="415"/>
      <c r="I2221" s="473"/>
      <c r="J2221" s="415"/>
      <c r="K2221" s="415"/>
      <c r="L2221" s="415"/>
      <c r="M2221" s="415"/>
      <c r="N2221" s="414"/>
      <c r="O2221" s="428"/>
      <c r="P2221" s="222">
        <f t="shared" si="154"/>
        <v>0</v>
      </c>
      <c r="Q2221" s="222">
        <f t="shared" si="155"/>
        <v>0</v>
      </c>
      <c r="R2221" s="532" t="str">
        <f t="shared" si="156"/>
        <v/>
      </c>
      <c r="S2221" s="533"/>
      <c r="T2221" s="533"/>
      <c r="U2221" s="496"/>
      <c r="V2221" s="496"/>
      <c r="W2221" s="496"/>
    </row>
    <row r="2222" spans="1:23" x14ac:dyDescent="0.2">
      <c r="A2222" s="510" t="str">
        <f t="shared" si="153"/>
        <v/>
      </c>
      <c r="B2222" s="428"/>
      <c r="C2222" s="424"/>
      <c r="D2222" s="415"/>
      <c r="E2222" s="415"/>
      <c r="F2222" s="425"/>
      <c r="G2222" s="415"/>
      <c r="H2222" s="415"/>
      <c r="I2222" s="473"/>
      <c r="J2222" s="415"/>
      <c r="K2222" s="415"/>
      <c r="L2222" s="415"/>
      <c r="M2222" s="415"/>
      <c r="N2222" s="414"/>
      <c r="O2222" s="428"/>
      <c r="P2222" s="222">
        <f t="shared" si="154"/>
        <v>0</v>
      </c>
      <c r="Q2222" s="222">
        <f t="shared" si="155"/>
        <v>0</v>
      </c>
      <c r="R2222" s="532" t="str">
        <f t="shared" si="156"/>
        <v/>
      </c>
      <c r="S2222" s="533"/>
      <c r="T2222" s="533"/>
      <c r="U2222" s="496"/>
      <c r="V2222" s="496"/>
      <c r="W2222" s="496"/>
    </row>
    <row r="2223" spans="1:23" x14ac:dyDescent="0.2">
      <c r="A2223" s="510" t="str">
        <f t="shared" si="153"/>
        <v/>
      </c>
      <c r="B2223" s="428"/>
      <c r="C2223" s="424"/>
      <c r="D2223" s="415"/>
      <c r="E2223" s="415"/>
      <c r="F2223" s="425"/>
      <c r="G2223" s="415"/>
      <c r="H2223" s="415"/>
      <c r="I2223" s="473"/>
      <c r="J2223" s="415"/>
      <c r="K2223" s="415"/>
      <c r="L2223" s="415"/>
      <c r="M2223" s="415"/>
      <c r="N2223" s="414"/>
      <c r="O2223" s="428"/>
      <c r="P2223" s="222">
        <f t="shared" si="154"/>
        <v>0</v>
      </c>
      <c r="Q2223" s="222">
        <f t="shared" si="155"/>
        <v>0</v>
      </c>
      <c r="R2223" s="532" t="str">
        <f t="shared" si="156"/>
        <v/>
      </c>
      <c r="S2223" s="533"/>
      <c r="T2223" s="533"/>
      <c r="U2223" s="496"/>
      <c r="V2223" s="496"/>
      <c r="W2223" s="496"/>
    </row>
    <row r="2224" spans="1:23" x14ac:dyDescent="0.2">
      <c r="A2224" s="510" t="str">
        <f t="shared" si="153"/>
        <v/>
      </c>
      <c r="B2224" s="428"/>
      <c r="C2224" s="424"/>
      <c r="D2224" s="415"/>
      <c r="E2224" s="415"/>
      <c r="F2224" s="425"/>
      <c r="G2224" s="415"/>
      <c r="H2224" s="415"/>
      <c r="I2224" s="473"/>
      <c r="J2224" s="415"/>
      <c r="K2224" s="415"/>
      <c r="L2224" s="415"/>
      <c r="M2224" s="415"/>
      <c r="N2224" s="414"/>
      <c r="O2224" s="428"/>
      <c r="P2224" s="222">
        <f t="shared" si="154"/>
        <v>0</v>
      </c>
      <c r="Q2224" s="222">
        <f t="shared" si="155"/>
        <v>0</v>
      </c>
      <c r="R2224" s="532" t="str">
        <f t="shared" si="156"/>
        <v/>
      </c>
      <c r="S2224" s="533"/>
      <c r="T2224" s="533"/>
      <c r="U2224" s="496"/>
      <c r="V2224" s="496"/>
      <c r="W2224" s="496"/>
    </row>
    <row r="2225" spans="1:23" x14ac:dyDescent="0.2">
      <c r="A2225" s="510" t="str">
        <f t="shared" si="153"/>
        <v/>
      </c>
      <c r="B2225" s="428"/>
      <c r="C2225" s="424"/>
      <c r="D2225" s="415"/>
      <c r="E2225" s="415"/>
      <c r="F2225" s="425"/>
      <c r="G2225" s="415"/>
      <c r="H2225" s="415"/>
      <c r="I2225" s="473"/>
      <c r="J2225" s="415"/>
      <c r="K2225" s="415"/>
      <c r="L2225" s="415"/>
      <c r="M2225" s="415"/>
      <c r="N2225" s="414"/>
      <c r="O2225" s="428"/>
      <c r="P2225" s="222">
        <f t="shared" si="154"/>
        <v>0</v>
      </c>
      <c r="Q2225" s="222">
        <f t="shared" si="155"/>
        <v>0</v>
      </c>
      <c r="R2225" s="532" t="str">
        <f t="shared" si="156"/>
        <v/>
      </c>
      <c r="S2225" s="533"/>
      <c r="T2225" s="533"/>
      <c r="U2225" s="496"/>
      <c r="V2225" s="496"/>
      <c r="W2225" s="496"/>
    </row>
    <row r="2226" spans="1:23" x14ac:dyDescent="0.2">
      <c r="A2226" s="510" t="str">
        <f t="shared" si="153"/>
        <v/>
      </c>
      <c r="B2226" s="428"/>
      <c r="C2226" s="424"/>
      <c r="D2226" s="415"/>
      <c r="E2226" s="415"/>
      <c r="F2226" s="425"/>
      <c r="G2226" s="415"/>
      <c r="H2226" s="415"/>
      <c r="I2226" s="473"/>
      <c r="J2226" s="415"/>
      <c r="K2226" s="415"/>
      <c r="L2226" s="415"/>
      <c r="M2226" s="415"/>
      <c r="N2226" s="414"/>
      <c r="O2226" s="428"/>
      <c r="P2226" s="222">
        <f t="shared" si="154"/>
        <v>0</v>
      </c>
      <c r="Q2226" s="222">
        <f t="shared" si="155"/>
        <v>0</v>
      </c>
      <c r="R2226" s="532" t="str">
        <f t="shared" si="156"/>
        <v/>
      </c>
      <c r="S2226" s="533"/>
      <c r="T2226" s="533"/>
      <c r="U2226" s="496"/>
      <c r="V2226" s="496"/>
      <c r="W2226" s="496"/>
    </row>
    <row r="2227" spans="1:23" x14ac:dyDescent="0.2">
      <c r="A2227" s="510" t="str">
        <f t="shared" si="153"/>
        <v/>
      </c>
      <c r="B2227" s="428"/>
      <c r="C2227" s="424"/>
      <c r="D2227" s="415"/>
      <c r="E2227" s="415"/>
      <c r="F2227" s="425"/>
      <c r="G2227" s="415"/>
      <c r="H2227" s="415"/>
      <c r="I2227" s="473"/>
      <c r="J2227" s="415"/>
      <c r="K2227" s="415"/>
      <c r="L2227" s="415"/>
      <c r="M2227" s="415"/>
      <c r="N2227" s="414"/>
      <c r="O2227" s="428"/>
      <c r="P2227" s="222">
        <f t="shared" si="154"/>
        <v>0</v>
      </c>
      <c r="Q2227" s="222">
        <f t="shared" si="155"/>
        <v>0</v>
      </c>
      <c r="R2227" s="532" t="str">
        <f t="shared" si="156"/>
        <v/>
      </c>
      <c r="S2227" s="533"/>
      <c r="T2227" s="533"/>
      <c r="U2227" s="496"/>
      <c r="V2227" s="496"/>
      <c r="W2227" s="496"/>
    </row>
    <row r="2228" spans="1:23" x14ac:dyDescent="0.2">
      <c r="A2228" s="510" t="str">
        <f t="shared" si="153"/>
        <v/>
      </c>
      <c r="B2228" s="428"/>
      <c r="C2228" s="424"/>
      <c r="D2228" s="415"/>
      <c r="E2228" s="415"/>
      <c r="F2228" s="425"/>
      <c r="G2228" s="415"/>
      <c r="H2228" s="415"/>
      <c r="I2228" s="473"/>
      <c r="J2228" s="415"/>
      <c r="K2228" s="415"/>
      <c r="L2228" s="415"/>
      <c r="M2228" s="415"/>
      <c r="N2228" s="414"/>
      <c r="O2228" s="428"/>
      <c r="P2228" s="222">
        <f t="shared" si="154"/>
        <v>0</v>
      </c>
      <c r="Q2228" s="222">
        <f t="shared" si="155"/>
        <v>0</v>
      </c>
      <c r="R2228" s="532" t="str">
        <f t="shared" si="156"/>
        <v/>
      </c>
      <c r="S2228" s="533"/>
      <c r="T2228" s="533"/>
      <c r="U2228" s="496"/>
      <c r="V2228" s="496"/>
      <c r="W2228" s="496"/>
    </row>
    <row r="2229" spans="1:23" x14ac:dyDescent="0.2">
      <c r="A2229" s="510" t="str">
        <f t="shared" si="153"/>
        <v/>
      </c>
      <c r="B2229" s="428"/>
      <c r="C2229" s="424"/>
      <c r="D2229" s="415"/>
      <c r="E2229" s="415"/>
      <c r="F2229" s="425"/>
      <c r="G2229" s="415"/>
      <c r="H2229" s="415"/>
      <c r="I2229" s="473"/>
      <c r="J2229" s="415"/>
      <c r="K2229" s="415"/>
      <c r="L2229" s="415"/>
      <c r="M2229" s="415"/>
      <c r="N2229" s="414"/>
      <c r="O2229" s="428"/>
      <c r="P2229" s="222">
        <f t="shared" si="154"/>
        <v>0</v>
      </c>
      <c r="Q2229" s="222">
        <f t="shared" si="155"/>
        <v>0</v>
      </c>
      <c r="R2229" s="532" t="str">
        <f t="shared" si="156"/>
        <v/>
      </c>
      <c r="S2229" s="533"/>
      <c r="T2229" s="533"/>
      <c r="U2229" s="496"/>
      <c r="V2229" s="496"/>
      <c r="W2229" s="496"/>
    </row>
    <row r="2230" spans="1:23" x14ac:dyDescent="0.2">
      <c r="A2230" s="510" t="str">
        <f t="shared" si="153"/>
        <v/>
      </c>
      <c r="B2230" s="428"/>
      <c r="C2230" s="424"/>
      <c r="D2230" s="415"/>
      <c r="E2230" s="415"/>
      <c r="F2230" s="425"/>
      <c r="G2230" s="415"/>
      <c r="H2230" s="415"/>
      <c r="I2230" s="473"/>
      <c r="J2230" s="415"/>
      <c r="K2230" s="415"/>
      <c r="L2230" s="415"/>
      <c r="M2230" s="415"/>
      <c r="N2230" s="414"/>
      <c r="O2230" s="428"/>
      <c r="P2230" s="222">
        <f t="shared" si="154"/>
        <v>0</v>
      </c>
      <c r="Q2230" s="222">
        <f t="shared" si="155"/>
        <v>0</v>
      </c>
      <c r="R2230" s="532" t="str">
        <f t="shared" si="156"/>
        <v/>
      </c>
      <c r="S2230" s="533"/>
      <c r="T2230" s="533"/>
      <c r="U2230" s="496"/>
      <c r="V2230" s="496"/>
      <c r="W2230" s="496"/>
    </row>
    <row r="2231" spans="1:23" x14ac:dyDescent="0.2">
      <c r="A2231" s="510" t="str">
        <f t="shared" si="153"/>
        <v/>
      </c>
      <c r="B2231" s="428"/>
      <c r="C2231" s="424"/>
      <c r="D2231" s="415"/>
      <c r="E2231" s="415"/>
      <c r="F2231" s="425"/>
      <c r="G2231" s="415"/>
      <c r="H2231" s="415"/>
      <c r="I2231" s="473"/>
      <c r="J2231" s="415"/>
      <c r="K2231" s="415"/>
      <c r="L2231" s="415"/>
      <c r="M2231" s="415"/>
      <c r="N2231" s="414"/>
      <c r="O2231" s="428"/>
      <c r="P2231" s="222">
        <f t="shared" si="154"/>
        <v>0</v>
      </c>
      <c r="Q2231" s="222">
        <f t="shared" si="155"/>
        <v>0</v>
      </c>
      <c r="R2231" s="532" t="str">
        <f t="shared" si="156"/>
        <v/>
      </c>
      <c r="S2231" s="533"/>
      <c r="T2231" s="533"/>
      <c r="U2231" s="496"/>
      <c r="V2231" s="496"/>
      <c r="W2231" s="496"/>
    </row>
    <row r="2232" spans="1:23" x14ac:dyDescent="0.2">
      <c r="A2232" s="510" t="str">
        <f t="shared" si="153"/>
        <v/>
      </c>
      <c r="B2232" s="428"/>
      <c r="C2232" s="424"/>
      <c r="D2232" s="415"/>
      <c r="E2232" s="415"/>
      <c r="F2232" s="425"/>
      <c r="G2232" s="415"/>
      <c r="H2232" s="415"/>
      <c r="I2232" s="473"/>
      <c r="J2232" s="415"/>
      <c r="K2232" s="415"/>
      <c r="L2232" s="415"/>
      <c r="M2232" s="415"/>
      <c r="N2232" s="414"/>
      <c r="O2232" s="428"/>
      <c r="P2232" s="222">
        <f t="shared" si="154"/>
        <v>0</v>
      </c>
      <c r="Q2232" s="222">
        <f t="shared" si="155"/>
        <v>0</v>
      </c>
      <c r="R2232" s="532" t="str">
        <f t="shared" si="156"/>
        <v/>
      </c>
      <c r="S2232" s="533"/>
      <c r="T2232" s="533"/>
      <c r="U2232" s="496"/>
      <c r="V2232" s="496"/>
      <c r="W2232" s="496"/>
    </row>
    <row r="2233" spans="1:23" x14ac:dyDescent="0.2">
      <c r="A2233" s="510" t="str">
        <f t="shared" si="153"/>
        <v/>
      </c>
      <c r="B2233" s="428"/>
      <c r="C2233" s="424"/>
      <c r="D2233" s="415"/>
      <c r="E2233" s="415"/>
      <c r="F2233" s="425"/>
      <c r="G2233" s="415"/>
      <c r="H2233" s="415"/>
      <c r="I2233" s="473"/>
      <c r="J2233" s="415"/>
      <c r="K2233" s="415"/>
      <c r="L2233" s="415"/>
      <c r="M2233" s="415"/>
      <c r="N2233" s="414"/>
      <c r="O2233" s="428"/>
      <c r="P2233" s="222">
        <f t="shared" si="154"/>
        <v>0</v>
      </c>
      <c r="Q2233" s="222">
        <f t="shared" si="155"/>
        <v>0</v>
      </c>
      <c r="R2233" s="532" t="str">
        <f t="shared" si="156"/>
        <v/>
      </c>
      <c r="S2233" s="533"/>
      <c r="T2233" s="533"/>
      <c r="U2233" s="496"/>
      <c r="V2233" s="496"/>
      <c r="W2233" s="496"/>
    </row>
    <row r="2234" spans="1:23" x14ac:dyDescent="0.2">
      <c r="A2234" s="510" t="str">
        <f t="shared" si="153"/>
        <v/>
      </c>
      <c r="B2234" s="428"/>
      <c r="C2234" s="424"/>
      <c r="D2234" s="415"/>
      <c r="E2234" s="415"/>
      <c r="F2234" s="425"/>
      <c r="G2234" s="415"/>
      <c r="H2234" s="415"/>
      <c r="I2234" s="473"/>
      <c r="J2234" s="415"/>
      <c r="K2234" s="415"/>
      <c r="L2234" s="415"/>
      <c r="M2234" s="415"/>
      <c r="N2234" s="414"/>
      <c r="O2234" s="428"/>
      <c r="P2234" s="222">
        <f t="shared" si="154"/>
        <v>0</v>
      </c>
      <c r="Q2234" s="222">
        <f t="shared" si="155"/>
        <v>0</v>
      </c>
      <c r="R2234" s="532" t="str">
        <f t="shared" si="156"/>
        <v/>
      </c>
      <c r="S2234" s="533"/>
      <c r="T2234" s="533"/>
      <c r="U2234" s="496"/>
      <c r="V2234" s="496"/>
      <c r="W2234" s="496"/>
    </row>
    <row r="2235" spans="1:23" x14ac:dyDescent="0.2">
      <c r="A2235" s="510" t="str">
        <f t="shared" si="153"/>
        <v/>
      </c>
      <c r="B2235" s="428"/>
      <c r="C2235" s="424"/>
      <c r="D2235" s="415"/>
      <c r="E2235" s="415"/>
      <c r="F2235" s="425"/>
      <c r="G2235" s="415"/>
      <c r="H2235" s="415"/>
      <c r="I2235" s="473"/>
      <c r="J2235" s="415"/>
      <c r="K2235" s="415"/>
      <c r="L2235" s="415"/>
      <c r="M2235" s="415"/>
      <c r="N2235" s="414"/>
      <c r="O2235" s="428"/>
      <c r="P2235" s="222">
        <f t="shared" si="154"/>
        <v>0</v>
      </c>
      <c r="Q2235" s="222">
        <f t="shared" si="155"/>
        <v>0</v>
      </c>
      <c r="R2235" s="532" t="str">
        <f t="shared" si="156"/>
        <v/>
      </c>
      <c r="S2235" s="533"/>
      <c r="T2235" s="533"/>
      <c r="U2235" s="496"/>
      <c r="V2235" s="496"/>
      <c r="W2235" s="496"/>
    </row>
    <row r="2236" spans="1:23" x14ac:dyDescent="0.2">
      <c r="A2236" s="510" t="str">
        <f t="shared" si="153"/>
        <v/>
      </c>
      <c r="B2236" s="428"/>
      <c r="C2236" s="424"/>
      <c r="D2236" s="415"/>
      <c r="E2236" s="415"/>
      <c r="F2236" s="425"/>
      <c r="G2236" s="415"/>
      <c r="H2236" s="415"/>
      <c r="I2236" s="473"/>
      <c r="J2236" s="415"/>
      <c r="K2236" s="415"/>
      <c r="L2236" s="415"/>
      <c r="M2236" s="415"/>
      <c r="N2236" s="414"/>
      <c r="O2236" s="428"/>
      <c r="P2236" s="222">
        <f t="shared" si="154"/>
        <v>0</v>
      </c>
      <c r="Q2236" s="222">
        <f t="shared" si="155"/>
        <v>0</v>
      </c>
      <c r="R2236" s="532" t="str">
        <f t="shared" si="156"/>
        <v/>
      </c>
      <c r="S2236" s="533"/>
      <c r="T2236" s="533"/>
      <c r="U2236" s="496"/>
      <c r="V2236" s="496"/>
      <c r="W2236" s="496"/>
    </row>
    <row r="2237" spans="1:23" x14ac:dyDescent="0.2">
      <c r="A2237" s="510" t="str">
        <f t="shared" si="153"/>
        <v/>
      </c>
      <c r="B2237" s="428"/>
      <c r="C2237" s="424"/>
      <c r="D2237" s="415"/>
      <c r="E2237" s="415"/>
      <c r="F2237" s="425"/>
      <c r="G2237" s="415"/>
      <c r="H2237" s="415"/>
      <c r="I2237" s="473"/>
      <c r="J2237" s="415"/>
      <c r="K2237" s="415"/>
      <c r="L2237" s="415"/>
      <c r="M2237" s="415"/>
      <c r="N2237" s="414"/>
      <c r="O2237" s="428"/>
      <c r="P2237" s="222">
        <f t="shared" si="154"/>
        <v>0</v>
      </c>
      <c r="Q2237" s="222">
        <f t="shared" si="155"/>
        <v>0</v>
      </c>
      <c r="R2237" s="532" t="str">
        <f t="shared" si="156"/>
        <v/>
      </c>
      <c r="S2237" s="533"/>
      <c r="T2237" s="533"/>
      <c r="U2237" s="496"/>
      <c r="V2237" s="496"/>
      <c r="W2237" s="496"/>
    </row>
    <row r="2238" spans="1:23" x14ac:dyDescent="0.2">
      <c r="A2238" s="510" t="str">
        <f t="shared" si="153"/>
        <v/>
      </c>
      <c r="B2238" s="428"/>
      <c r="C2238" s="424"/>
      <c r="D2238" s="415"/>
      <c r="E2238" s="415"/>
      <c r="F2238" s="425"/>
      <c r="G2238" s="415"/>
      <c r="H2238" s="415"/>
      <c r="I2238" s="473"/>
      <c r="J2238" s="415"/>
      <c r="K2238" s="415"/>
      <c r="L2238" s="415"/>
      <c r="M2238" s="415"/>
      <c r="N2238" s="414"/>
      <c r="O2238" s="428"/>
      <c r="P2238" s="222">
        <f t="shared" si="154"/>
        <v>0</v>
      </c>
      <c r="Q2238" s="222">
        <f t="shared" si="155"/>
        <v>0</v>
      </c>
      <c r="R2238" s="532" t="str">
        <f t="shared" si="156"/>
        <v/>
      </c>
      <c r="S2238" s="533"/>
      <c r="T2238" s="533"/>
      <c r="U2238" s="496"/>
      <c r="V2238" s="496"/>
      <c r="W2238" s="496"/>
    </row>
    <row r="2239" spans="1:23" x14ac:dyDescent="0.2">
      <c r="A2239" s="510" t="str">
        <f t="shared" si="153"/>
        <v/>
      </c>
      <c r="B2239" s="428"/>
      <c r="C2239" s="424"/>
      <c r="D2239" s="415"/>
      <c r="E2239" s="415"/>
      <c r="F2239" s="425"/>
      <c r="G2239" s="415"/>
      <c r="H2239" s="415"/>
      <c r="I2239" s="473"/>
      <c r="J2239" s="415"/>
      <c r="K2239" s="415"/>
      <c r="L2239" s="415"/>
      <c r="M2239" s="415"/>
      <c r="N2239" s="414"/>
      <c r="O2239" s="428"/>
      <c r="P2239" s="222">
        <f t="shared" si="154"/>
        <v>0</v>
      </c>
      <c r="Q2239" s="222">
        <f t="shared" si="155"/>
        <v>0</v>
      </c>
      <c r="R2239" s="532" t="str">
        <f t="shared" si="156"/>
        <v/>
      </c>
      <c r="S2239" s="533"/>
      <c r="T2239" s="533"/>
      <c r="U2239" s="496"/>
      <c r="V2239" s="496"/>
      <c r="W2239" s="496"/>
    </row>
    <row r="2240" spans="1:23" x14ac:dyDescent="0.2">
      <c r="A2240" s="510" t="str">
        <f t="shared" si="153"/>
        <v/>
      </c>
      <c r="B2240" s="428"/>
      <c r="C2240" s="424"/>
      <c r="D2240" s="415"/>
      <c r="E2240" s="415"/>
      <c r="F2240" s="425"/>
      <c r="G2240" s="415"/>
      <c r="H2240" s="415"/>
      <c r="I2240" s="473"/>
      <c r="J2240" s="415"/>
      <c r="K2240" s="415"/>
      <c r="L2240" s="415"/>
      <c r="M2240" s="415"/>
      <c r="N2240" s="414"/>
      <c r="O2240" s="428"/>
      <c r="P2240" s="222">
        <f t="shared" si="154"/>
        <v>0</v>
      </c>
      <c r="Q2240" s="222">
        <f t="shared" si="155"/>
        <v>0</v>
      </c>
      <c r="R2240" s="532" t="str">
        <f t="shared" si="156"/>
        <v/>
      </c>
      <c r="S2240" s="533"/>
      <c r="T2240" s="533"/>
      <c r="U2240" s="496"/>
      <c r="V2240" s="496"/>
      <c r="W2240" s="496"/>
    </row>
    <row r="2241" spans="1:23" x14ac:dyDescent="0.2">
      <c r="A2241" s="510" t="str">
        <f t="shared" si="153"/>
        <v/>
      </c>
      <c r="B2241" s="428"/>
      <c r="C2241" s="424"/>
      <c r="D2241" s="415"/>
      <c r="E2241" s="415"/>
      <c r="F2241" s="425"/>
      <c r="G2241" s="415"/>
      <c r="H2241" s="415"/>
      <c r="I2241" s="473"/>
      <c r="J2241" s="415"/>
      <c r="K2241" s="415"/>
      <c r="L2241" s="415"/>
      <c r="M2241" s="415"/>
      <c r="N2241" s="414"/>
      <c r="O2241" s="428"/>
      <c r="P2241" s="222">
        <f t="shared" si="154"/>
        <v>0</v>
      </c>
      <c r="Q2241" s="222">
        <f t="shared" si="155"/>
        <v>0</v>
      </c>
      <c r="R2241" s="532" t="str">
        <f t="shared" si="156"/>
        <v/>
      </c>
      <c r="S2241" s="533"/>
      <c r="T2241" s="533"/>
      <c r="U2241" s="496"/>
      <c r="V2241" s="496"/>
      <c r="W2241" s="496"/>
    </row>
    <row r="2242" spans="1:23" x14ac:dyDescent="0.2">
      <c r="A2242" s="510" t="str">
        <f t="shared" si="153"/>
        <v/>
      </c>
      <c r="B2242" s="428"/>
      <c r="C2242" s="424"/>
      <c r="D2242" s="415"/>
      <c r="E2242" s="415"/>
      <c r="F2242" s="425"/>
      <c r="G2242" s="415"/>
      <c r="H2242" s="415"/>
      <c r="I2242" s="473"/>
      <c r="J2242" s="415"/>
      <c r="K2242" s="415"/>
      <c r="L2242" s="415"/>
      <c r="M2242" s="415"/>
      <c r="N2242" s="414"/>
      <c r="O2242" s="428"/>
      <c r="P2242" s="222">
        <f t="shared" si="154"/>
        <v>0</v>
      </c>
      <c r="Q2242" s="222">
        <f t="shared" si="155"/>
        <v>0</v>
      </c>
      <c r="R2242" s="532" t="str">
        <f t="shared" si="156"/>
        <v/>
      </c>
      <c r="S2242" s="533"/>
      <c r="T2242" s="533"/>
      <c r="U2242" s="496"/>
      <c r="V2242" s="496"/>
      <c r="W2242" s="496"/>
    </row>
    <row r="2243" spans="1:23" x14ac:dyDescent="0.2">
      <c r="A2243" s="510" t="str">
        <f t="shared" si="153"/>
        <v/>
      </c>
      <c r="B2243" s="428"/>
      <c r="C2243" s="424"/>
      <c r="D2243" s="415"/>
      <c r="E2243" s="415"/>
      <c r="F2243" s="425"/>
      <c r="G2243" s="415"/>
      <c r="H2243" s="415"/>
      <c r="I2243" s="473"/>
      <c r="J2243" s="415"/>
      <c r="K2243" s="415"/>
      <c r="L2243" s="415"/>
      <c r="M2243" s="415"/>
      <c r="N2243" s="414"/>
      <c r="O2243" s="428"/>
      <c r="P2243" s="222">
        <f t="shared" si="154"/>
        <v>0</v>
      </c>
      <c r="Q2243" s="222">
        <f t="shared" si="155"/>
        <v>0</v>
      </c>
      <c r="R2243" s="532" t="str">
        <f t="shared" si="156"/>
        <v/>
      </c>
      <c r="S2243" s="533"/>
      <c r="T2243" s="533"/>
      <c r="U2243" s="496"/>
      <c r="V2243" s="496"/>
      <c r="W2243" s="496"/>
    </row>
    <row r="2244" spans="1:23" x14ac:dyDescent="0.2">
      <c r="A2244" s="510" t="str">
        <f t="shared" si="153"/>
        <v/>
      </c>
      <c r="B2244" s="428"/>
      <c r="C2244" s="424"/>
      <c r="D2244" s="415"/>
      <c r="E2244" s="415"/>
      <c r="F2244" s="425"/>
      <c r="G2244" s="415"/>
      <c r="H2244" s="415"/>
      <c r="I2244" s="473"/>
      <c r="J2244" s="415"/>
      <c r="K2244" s="415"/>
      <c r="L2244" s="415"/>
      <c r="M2244" s="415"/>
      <c r="N2244" s="414"/>
      <c r="O2244" s="428"/>
      <c r="P2244" s="222">
        <f t="shared" si="154"/>
        <v>0</v>
      </c>
      <c r="Q2244" s="222">
        <f t="shared" si="155"/>
        <v>0</v>
      </c>
      <c r="R2244" s="532" t="str">
        <f t="shared" si="156"/>
        <v/>
      </c>
      <c r="S2244" s="533"/>
      <c r="T2244" s="533"/>
      <c r="U2244" s="496"/>
      <c r="V2244" s="496"/>
      <c r="W2244" s="496"/>
    </row>
    <row r="2245" spans="1:23" x14ac:dyDescent="0.2">
      <c r="A2245" s="510" t="str">
        <f t="shared" si="153"/>
        <v/>
      </c>
      <c r="B2245" s="428"/>
      <c r="C2245" s="424"/>
      <c r="D2245" s="415"/>
      <c r="E2245" s="415"/>
      <c r="F2245" s="425"/>
      <c r="G2245" s="415"/>
      <c r="H2245" s="415"/>
      <c r="I2245" s="473"/>
      <c r="J2245" s="415"/>
      <c r="K2245" s="415"/>
      <c r="L2245" s="415"/>
      <c r="M2245" s="415"/>
      <c r="N2245" s="414"/>
      <c r="O2245" s="428"/>
      <c r="P2245" s="222">
        <f t="shared" si="154"/>
        <v>0</v>
      </c>
      <c r="Q2245" s="222">
        <f t="shared" si="155"/>
        <v>0</v>
      </c>
      <c r="R2245" s="532" t="str">
        <f t="shared" si="156"/>
        <v/>
      </c>
      <c r="S2245" s="533"/>
      <c r="T2245" s="533"/>
      <c r="U2245" s="496"/>
      <c r="V2245" s="496"/>
      <c r="W2245" s="496"/>
    </row>
    <row r="2246" spans="1:23" x14ac:dyDescent="0.2">
      <c r="A2246" s="510" t="str">
        <f t="shared" si="153"/>
        <v/>
      </c>
      <c r="B2246" s="428"/>
      <c r="C2246" s="424"/>
      <c r="D2246" s="415"/>
      <c r="E2246" s="415"/>
      <c r="F2246" s="425"/>
      <c r="G2246" s="415"/>
      <c r="H2246" s="415"/>
      <c r="I2246" s="473"/>
      <c r="J2246" s="415"/>
      <c r="K2246" s="415"/>
      <c r="L2246" s="415"/>
      <c r="M2246" s="415"/>
      <c r="N2246" s="414"/>
      <c r="O2246" s="428"/>
      <c r="P2246" s="222">
        <f t="shared" si="154"/>
        <v>0</v>
      </c>
      <c r="Q2246" s="222">
        <f t="shared" si="155"/>
        <v>0</v>
      </c>
      <c r="R2246" s="532" t="str">
        <f t="shared" si="156"/>
        <v/>
      </c>
      <c r="S2246" s="533"/>
      <c r="T2246" s="533"/>
      <c r="U2246" s="496"/>
      <c r="V2246" s="496"/>
      <c r="W2246" s="496"/>
    </row>
    <row r="2247" spans="1:23" x14ac:dyDescent="0.2">
      <c r="A2247" s="510" t="str">
        <f t="shared" si="153"/>
        <v/>
      </c>
      <c r="B2247" s="428"/>
      <c r="C2247" s="424"/>
      <c r="D2247" s="415"/>
      <c r="E2247" s="415"/>
      <c r="F2247" s="425"/>
      <c r="G2247" s="415"/>
      <c r="H2247" s="415"/>
      <c r="I2247" s="473"/>
      <c r="J2247" s="415"/>
      <c r="K2247" s="415"/>
      <c r="L2247" s="415"/>
      <c r="M2247" s="415"/>
      <c r="N2247" s="414"/>
      <c r="O2247" s="428"/>
      <c r="P2247" s="222">
        <f t="shared" si="154"/>
        <v>0</v>
      </c>
      <c r="Q2247" s="222">
        <f t="shared" si="155"/>
        <v>0</v>
      </c>
      <c r="R2247" s="532" t="str">
        <f t="shared" si="156"/>
        <v/>
      </c>
      <c r="S2247" s="533"/>
      <c r="T2247" s="533"/>
      <c r="U2247" s="496"/>
      <c r="V2247" s="496"/>
      <c r="W2247" s="496"/>
    </row>
    <row r="2248" spans="1:23" x14ac:dyDescent="0.2">
      <c r="A2248" s="510" t="str">
        <f t="shared" si="153"/>
        <v/>
      </c>
      <c r="B2248" s="428"/>
      <c r="C2248" s="424"/>
      <c r="D2248" s="415"/>
      <c r="E2248" s="415"/>
      <c r="F2248" s="425"/>
      <c r="G2248" s="415"/>
      <c r="H2248" s="415"/>
      <c r="I2248" s="473"/>
      <c r="J2248" s="415"/>
      <c r="K2248" s="415"/>
      <c r="L2248" s="415"/>
      <c r="M2248" s="415"/>
      <c r="N2248" s="414"/>
      <c r="O2248" s="428"/>
      <c r="P2248" s="222">
        <f t="shared" si="154"/>
        <v>0</v>
      </c>
      <c r="Q2248" s="222">
        <f t="shared" si="155"/>
        <v>0</v>
      </c>
      <c r="R2248" s="532" t="str">
        <f t="shared" si="156"/>
        <v/>
      </c>
      <c r="S2248" s="533"/>
      <c r="T2248" s="533"/>
      <c r="U2248" s="496"/>
      <c r="V2248" s="496"/>
      <c r="W2248" s="496"/>
    </row>
    <row r="2249" spans="1:23" x14ac:dyDescent="0.2">
      <c r="A2249" s="510" t="str">
        <f t="shared" si="153"/>
        <v/>
      </c>
      <c r="B2249" s="428"/>
      <c r="C2249" s="424"/>
      <c r="D2249" s="415"/>
      <c r="E2249" s="415"/>
      <c r="F2249" s="425"/>
      <c r="G2249" s="415"/>
      <c r="H2249" s="415"/>
      <c r="I2249" s="473"/>
      <c r="J2249" s="415"/>
      <c r="K2249" s="415"/>
      <c r="L2249" s="415"/>
      <c r="M2249" s="415"/>
      <c r="N2249" s="414"/>
      <c r="O2249" s="428"/>
      <c r="P2249" s="222">
        <f t="shared" si="154"/>
        <v>0</v>
      </c>
      <c r="Q2249" s="222">
        <f t="shared" si="155"/>
        <v>0</v>
      </c>
      <c r="R2249" s="532" t="str">
        <f t="shared" si="156"/>
        <v/>
      </c>
      <c r="S2249" s="533"/>
      <c r="T2249" s="533"/>
      <c r="U2249" s="496"/>
      <c r="V2249" s="496"/>
      <c r="W2249" s="496"/>
    </row>
    <row r="2250" spans="1:23" x14ac:dyDescent="0.2">
      <c r="A2250" s="510" t="str">
        <f t="shared" si="153"/>
        <v/>
      </c>
      <c r="B2250" s="428"/>
      <c r="C2250" s="424"/>
      <c r="D2250" s="415"/>
      <c r="E2250" s="415"/>
      <c r="F2250" s="425"/>
      <c r="G2250" s="415"/>
      <c r="H2250" s="415"/>
      <c r="I2250" s="473"/>
      <c r="J2250" s="415"/>
      <c r="K2250" s="415"/>
      <c r="L2250" s="415"/>
      <c r="M2250" s="415"/>
      <c r="N2250" s="414"/>
      <c r="O2250" s="428"/>
      <c r="P2250" s="222">
        <f t="shared" si="154"/>
        <v>0</v>
      </c>
      <c r="Q2250" s="222">
        <f t="shared" si="155"/>
        <v>0</v>
      </c>
      <c r="R2250" s="532" t="str">
        <f t="shared" si="156"/>
        <v/>
      </c>
      <c r="S2250" s="533"/>
      <c r="T2250" s="533"/>
      <c r="U2250" s="496"/>
      <c r="V2250" s="496"/>
      <c r="W2250" s="496"/>
    </row>
    <row r="2251" spans="1:23" x14ac:dyDescent="0.2">
      <c r="A2251" s="510" t="str">
        <f t="shared" si="153"/>
        <v/>
      </c>
      <c r="B2251" s="428"/>
      <c r="C2251" s="424"/>
      <c r="D2251" s="415"/>
      <c r="E2251" s="415"/>
      <c r="F2251" s="425"/>
      <c r="G2251" s="415"/>
      <c r="H2251" s="415"/>
      <c r="I2251" s="473"/>
      <c r="J2251" s="415"/>
      <c r="K2251" s="415"/>
      <c r="L2251" s="415"/>
      <c r="M2251" s="415"/>
      <c r="N2251" s="414"/>
      <c r="O2251" s="428"/>
      <c r="P2251" s="222">
        <f t="shared" si="154"/>
        <v>0</v>
      </c>
      <c r="Q2251" s="222">
        <f t="shared" si="155"/>
        <v>0</v>
      </c>
      <c r="R2251" s="532" t="str">
        <f t="shared" si="156"/>
        <v/>
      </c>
      <c r="S2251" s="533"/>
      <c r="T2251" s="533"/>
      <c r="U2251" s="496"/>
      <c r="V2251" s="496"/>
      <c r="W2251" s="496"/>
    </row>
    <row r="2252" spans="1:23" s="314" customFormat="1" x14ac:dyDescent="0.2">
      <c r="A2252" s="510" t="str">
        <f t="shared" si="153"/>
        <v/>
      </c>
      <c r="B2252" s="428"/>
      <c r="C2252" s="424"/>
      <c r="D2252" s="415"/>
      <c r="E2252" s="415"/>
      <c r="F2252" s="425"/>
      <c r="G2252" s="415"/>
      <c r="H2252" s="415"/>
      <c r="I2252" s="473"/>
      <c r="J2252" s="415"/>
      <c r="K2252" s="415"/>
      <c r="L2252" s="415"/>
      <c r="M2252" s="415"/>
      <c r="N2252" s="414"/>
      <c r="O2252" s="428"/>
      <c r="P2252" s="222">
        <f t="shared" si="154"/>
        <v>0</v>
      </c>
      <c r="Q2252" s="222">
        <f t="shared" si="155"/>
        <v>0</v>
      </c>
      <c r="R2252" s="532" t="str">
        <f t="shared" si="156"/>
        <v/>
      </c>
      <c r="S2252" s="533"/>
      <c r="T2252" s="533"/>
      <c r="U2252" s="496"/>
      <c r="V2252" s="496"/>
      <c r="W2252" s="496"/>
    </row>
    <row r="2253" spans="1:23" x14ac:dyDescent="0.2">
      <c r="A2253" s="510" t="str">
        <f t="shared" si="153"/>
        <v/>
      </c>
      <c r="B2253" s="428"/>
      <c r="C2253" s="424"/>
      <c r="D2253" s="415"/>
      <c r="E2253" s="415"/>
      <c r="F2253" s="425"/>
      <c r="G2253" s="415"/>
      <c r="H2253" s="415"/>
      <c r="I2253" s="473"/>
      <c r="J2253" s="415"/>
      <c r="K2253" s="415"/>
      <c r="L2253" s="415"/>
      <c r="M2253" s="415"/>
      <c r="N2253" s="414"/>
      <c r="O2253" s="428"/>
      <c r="P2253" s="222">
        <f t="shared" si="154"/>
        <v>0</v>
      </c>
      <c r="Q2253" s="222">
        <f t="shared" si="155"/>
        <v>0</v>
      </c>
      <c r="R2253" s="532" t="str">
        <f t="shared" si="156"/>
        <v/>
      </c>
      <c r="S2253" s="533"/>
      <c r="T2253" s="533"/>
      <c r="U2253" s="496"/>
      <c r="V2253" s="496"/>
      <c r="W2253" s="496"/>
    </row>
    <row r="2254" spans="1:23" x14ac:dyDescent="0.2">
      <c r="A2254" s="510" t="str">
        <f t="shared" si="153"/>
        <v/>
      </c>
      <c r="B2254" s="428"/>
      <c r="C2254" s="424"/>
      <c r="D2254" s="415"/>
      <c r="E2254" s="415"/>
      <c r="F2254" s="425"/>
      <c r="G2254" s="415"/>
      <c r="H2254" s="415"/>
      <c r="I2254" s="473"/>
      <c r="J2254" s="415"/>
      <c r="K2254" s="415"/>
      <c r="L2254" s="415"/>
      <c r="M2254" s="415"/>
      <c r="N2254" s="414"/>
      <c r="O2254" s="428"/>
      <c r="P2254" s="222">
        <f t="shared" si="154"/>
        <v>0</v>
      </c>
      <c r="Q2254" s="222">
        <f t="shared" si="155"/>
        <v>0</v>
      </c>
      <c r="R2254" s="532" t="str">
        <f t="shared" si="156"/>
        <v/>
      </c>
      <c r="S2254" s="533"/>
      <c r="T2254" s="533"/>
      <c r="U2254" s="496"/>
      <c r="V2254" s="496"/>
      <c r="W2254" s="496"/>
    </row>
    <row r="2255" spans="1:23" x14ac:dyDescent="0.2">
      <c r="A2255" s="510" t="str">
        <f t="shared" si="153"/>
        <v/>
      </c>
      <c r="B2255" s="428"/>
      <c r="C2255" s="424"/>
      <c r="D2255" s="415"/>
      <c r="E2255" s="415"/>
      <c r="F2255" s="425"/>
      <c r="G2255" s="415"/>
      <c r="H2255" s="415"/>
      <c r="I2255" s="473"/>
      <c r="J2255" s="415"/>
      <c r="K2255" s="415"/>
      <c r="L2255" s="415"/>
      <c r="M2255" s="415"/>
      <c r="N2255" s="414"/>
      <c r="O2255" s="428"/>
      <c r="P2255" s="222">
        <f t="shared" si="154"/>
        <v>0</v>
      </c>
      <c r="Q2255" s="222">
        <f t="shared" si="155"/>
        <v>0</v>
      </c>
      <c r="R2255" s="532" t="str">
        <f t="shared" si="156"/>
        <v/>
      </c>
      <c r="S2255" s="533"/>
      <c r="T2255" s="533"/>
      <c r="U2255" s="496"/>
      <c r="V2255" s="496"/>
      <c r="W2255" s="496"/>
    </row>
    <row r="2256" spans="1:23" x14ac:dyDescent="0.2">
      <c r="A2256" s="510" t="str">
        <f t="shared" si="153"/>
        <v/>
      </c>
      <c r="B2256" s="428"/>
      <c r="C2256" s="424"/>
      <c r="D2256" s="415"/>
      <c r="E2256" s="415"/>
      <c r="F2256" s="425"/>
      <c r="G2256" s="415"/>
      <c r="H2256" s="415"/>
      <c r="I2256" s="473"/>
      <c r="J2256" s="415"/>
      <c r="K2256" s="415"/>
      <c r="L2256" s="415"/>
      <c r="M2256" s="415"/>
      <c r="N2256" s="414"/>
      <c r="O2256" s="428"/>
      <c r="P2256" s="222">
        <f t="shared" si="154"/>
        <v>0</v>
      </c>
      <c r="Q2256" s="222">
        <f t="shared" si="155"/>
        <v>0</v>
      </c>
      <c r="R2256" s="532" t="str">
        <f t="shared" si="156"/>
        <v/>
      </c>
      <c r="S2256" s="533"/>
      <c r="T2256" s="533"/>
      <c r="U2256" s="496"/>
      <c r="V2256" s="496"/>
      <c r="W2256" s="496"/>
    </row>
    <row r="2257" spans="1:23" x14ac:dyDescent="0.2">
      <c r="A2257" s="510" t="str">
        <f t="shared" si="153"/>
        <v/>
      </c>
      <c r="B2257" s="428"/>
      <c r="C2257" s="424"/>
      <c r="D2257" s="415"/>
      <c r="E2257" s="415"/>
      <c r="F2257" s="425"/>
      <c r="G2257" s="415"/>
      <c r="H2257" s="415"/>
      <c r="I2257" s="473"/>
      <c r="J2257" s="415"/>
      <c r="K2257" s="415"/>
      <c r="L2257" s="415"/>
      <c r="M2257" s="415"/>
      <c r="N2257" s="414"/>
      <c r="O2257" s="428"/>
      <c r="P2257" s="222">
        <f t="shared" si="154"/>
        <v>0</v>
      </c>
      <c r="Q2257" s="222">
        <f t="shared" si="155"/>
        <v>0</v>
      </c>
      <c r="R2257" s="532" t="str">
        <f t="shared" si="156"/>
        <v/>
      </c>
      <c r="S2257" s="533"/>
      <c r="T2257" s="533"/>
      <c r="U2257" s="496"/>
      <c r="V2257" s="496"/>
      <c r="W2257" s="496"/>
    </row>
    <row r="2258" spans="1:23" x14ac:dyDescent="0.2">
      <c r="A2258" s="510" t="str">
        <f t="shared" si="153"/>
        <v/>
      </c>
      <c r="B2258" s="428"/>
      <c r="C2258" s="424"/>
      <c r="D2258" s="415"/>
      <c r="E2258" s="415"/>
      <c r="F2258" s="425"/>
      <c r="G2258" s="415"/>
      <c r="H2258" s="415"/>
      <c r="I2258" s="473"/>
      <c r="J2258" s="415"/>
      <c r="K2258" s="415"/>
      <c r="L2258" s="415"/>
      <c r="M2258" s="415"/>
      <c r="N2258" s="414"/>
      <c r="O2258" s="428"/>
      <c r="P2258" s="222">
        <f t="shared" si="154"/>
        <v>0</v>
      </c>
      <c r="Q2258" s="222">
        <f t="shared" si="155"/>
        <v>0</v>
      </c>
      <c r="R2258" s="532" t="str">
        <f t="shared" si="156"/>
        <v/>
      </c>
      <c r="S2258" s="533"/>
      <c r="T2258" s="533"/>
      <c r="U2258" s="496"/>
      <c r="V2258" s="496"/>
      <c r="W2258" s="496"/>
    </row>
    <row r="2259" spans="1:23" x14ac:dyDescent="0.2">
      <c r="A2259" s="510" t="str">
        <f t="shared" si="153"/>
        <v/>
      </c>
      <c r="B2259" s="428"/>
      <c r="C2259" s="424"/>
      <c r="D2259" s="415"/>
      <c r="E2259" s="415"/>
      <c r="F2259" s="425"/>
      <c r="G2259" s="415"/>
      <c r="H2259" s="415"/>
      <c r="I2259" s="473"/>
      <c r="J2259" s="415"/>
      <c r="K2259" s="415"/>
      <c r="L2259" s="415"/>
      <c r="M2259" s="415"/>
      <c r="N2259" s="414"/>
      <c r="O2259" s="428"/>
      <c r="P2259" s="222">
        <f t="shared" si="154"/>
        <v>0</v>
      </c>
      <c r="Q2259" s="222">
        <f t="shared" si="155"/>
        <v>0</v>
      </c>
      <c r="R2259" s="532" t="str">
        <f t="shared" si="156"/>
        <v/>
      </c>
      <c r="S2259" s="533"/>
      <c r="T2259" s="533"/>
      <c r="U2259" s="496"/>
      <c r="V2259" s="496"/>
      <c r="W2259" s="496"/>
    </row>
    <row r="2260" spans="1:23" x14ac:dyDescent="0.2">
      <c r="A2260" s="510" t="str">
        <f t="shared" si="153"/>
        <v/>
      </c>
      <c r="B2260" s="428"/>
      <c r="C2260" s="424"/>
      <c r="D2260" s="415"/>
      <c r="E2260" s="415"/>
      <c r="F2260" s="425"/>
      <c r="G2260" s="415"/>
      <c r="H2260" s="415"/>
      <c r="I2260" s="473"/>
      <c r="J2260" s="415"/>
      <c r="K2260" s="415"/>
      <c r="L2260" s="415"/>
      <c r="M2260" s="415"/>
      <c r="N2260" s="414"/>
      <c r="O2260" s="428"/>
      <c r="P2260" s="222">
        <f t="shared" si="154"/>
        <v>0</v>
      </c>
      <c r="Q2260" s="222">
        <f t="shared" si="155"/>
        <v>0</v>
      </c>
      <c r="R2260" s="532" t="str">
        <f t="shared" si="156"/>
        <v/>
      </c>
      <c r="S2260" s="533"/>
      <c r="T2260" s="533"/>
      <c r="U2260" s="496"/>
      <c r="V2260" s="496"/>
      <c r="W2260" s="496"/>
    </row>
    <row r="2261" spans="1:23" x14ac:dyDescent="0.2">
      <c r="A2261" s="510" t="str">
        <f t="shared" si="153"/>
        <v/>
      </c>
      <c r="B2261" s="428"/>
      <c r="C2261" s="424"/>
      <c r="D2261" s="415"/>
      <c r="E2261" s="415"/>
      <c r="F2261" s="425"/>
      <c r="G2261" s="415"/>
      <c r="H2261" s="415"/>
      <c r="I2261" s="473"/>
      <c r="J2261" s="415"/>
      <c r="K2261" s="415"/>
      <c r="L2261" s="415"/>
      <c r="M2261" s="415"/>
      <c r="N2261" s="414"/>
      <c r="O2261" s="428"/>
      <c r="P2261" s="222">
        <f t="shared" si="154"/>
        <v>0</v>
      </c>
      <c r="Q2261" s="222">
        <f t="shared" si="155"/>
        <v>0</v>
      </c>
      <c r="R2261" s="532" t="str">
        <f t="shared" si="156"/>
        <v/>
      </c>
      <c r="S2261" s="533"/>
      <c r="T2261" s="533"/>
      <c r="U2261" s="496"/>
      <c r="V2261" s="496"/>
      <c r="W2261" s="496"/>
    </row>
    <row r="2262" spans="1:23" x14ac:dyDescent="0.2">
      <c r="A2262" s="510" t="str">
        <f t="shared" si="153"/>
        <v/>
      </c>
      <c r="B2262" s="428"/>
      <c r="C2262" s="424"/>
      <c r="D2262" s="415"/>
      <c r="E2262" s="415"/>
      <c r="F2262" s="425"/>
      <c r="G2262" s="415"/>
      <c r="H2262" s="415"/>
      <c r="I2262" s="473"/>
      <c r="J2262" s="415"/>
      <c r="K2262" s="415"/>
      <c r="L2262" s="415"/>
      <c r="M2262" s="415"/>
      <c r="N2262" s="414"/>
      <c r="O2262" s="428"/>
      <c r="P2262" s="222">
        <f t="shared" si="154"/>
        <v>0</v>
      </c>
      <c r="Q2262" s="222">
        <f t="shared" si="155"/>
        <v>0</v>
      </c>
      <c r="R2262" s="532" t="str">
        <f t="shared" si="156"/>
        <v/>
      </c>
      <c r="S2262" s="533"/>
      <c r="T2262" s="533"/>
      <c r="U2262" s="496"/>
      <c r="V2262" s="496"/>
      <c r="W2262" s="496"/>
    </row>
    <row r="2263" spans="1:23" x14ac:dyDescent="0.2">
      <c r="A2263" s="510" t="str">
        <f t="shared" si="153"/>
        <v/>
      </c>
      <c r="B2263" s="428"/>
      <c r="C2263" s="424"/>
      <c r="D2263" s="415"/>
      <c r="E2263" s="415"/>
      <c r="F2263" s="425"/>
      <c r="G2263" s="415"/>
      <c r="H2263" s="415"/>
      <c r="I2263" s="473"/>
      <c r="J2263" s="415"/>
      <c r="K2263" s="415"/>
      <c r="L2263" s="415"/>
      <c r="M2263" s="415"/>
      <c r="N2263" s="414"/>
      <c r="O2263" s="428"/>
      <c r="P2263" s="222">
        <f t="shared" si="154"/>
        <v>0</v>
      </c>
      <c r="Q2263" s="222">
        <f t="shared" si="155"/>
        <v>0</v>
      </c>
      <c r="R2263" s="532" t="str">
        <f t="shared" si="156"/>
        <v/>
      </c>
      <c r="S2263" s="533"/>
      <c r="T2263" s="533"/>
      <c r="U2263" s="496"/>
      <c r="V2263" s="496"/>
      <c r="W2263" s="496"/>
    </row>
    <row r="2264" spans="1:23" x14ac:dyDescent="0.2">
      <c r="A2264" s="510" t="str">
        <f t="shared" si="153"/>
        <v/>
      </c>
      <c r="B2264" s="428"/>
      <c r="C2264" s="424"/>
      <c r="D2264" s="415"/>
      <c r="E2264" s="415"/>
      <c r="F2264" s="425"/>
      <c r="G2264" s="415"/>
      <c r="H2264" s="415"/>
      <c r="I2264" s="473"/>
      <c r="J2264" s="415"/>
      <c r="K2264" s="415"/>
      <c r="L2264" s="415"/>
      <c r="M2264" s="415"/>
      <c r="N2264" s="414"/>
      <c r="O2264" s="428"/>
      <c r="P2264" s="222">
        <f t="shared" si="154"/>
        <v>0</v>
      </c>
      <c r="Q2264" s="222">
        <f t="shared" si="155"/>
        <v>0</v>
      </c>
      <c r="R2264" s="532" t="str">
        <f t="shared" si="156"/>
        <v/>
      </c>
      <c r="S2264" s="533"/>
      <c r="T2264" s="533"/>
      <c r="U2264" s="496"/>
      <c r="V2264" s="496"/>
      <c r="W2264" s="496"/>
    </row>
    <row r="2265" spans="1:23" x14ac:dyDescent="0.2">
      <c r="A2265" s="510" t="str">
        <f t="shared" ref="A2265:A2328" si="157">IF(B2265="","",ROW()-ROW($A$3))</f>
        <v/>
      </c>
      <c r="B2265" s="428"/>
      <c r="C2265" s="424"/>
      <c r="D2265" s="415"/>
      <c r="E2265" s="415"/>
      <c r="F2265" s="425"/>
      <c r="G2265" s="415"/>
      <c r="H2265" s="415"/>
      <c r="I2265" s="473"/>
      <c r="J2265" s="415"/>
      <c r="K2265" s="415"/>
      <c r="L2265" s="415"/>
      <c r="M2265" s="415"/>
      <c r="N2265" s="414"/>
      <c r="O2265" s="428"/>
      <c r="P2265" s="222">
        <f t="shared" ref="P2265:P2328" si="158">IF(B2265=0,0,IF(YEAR(B2265)=$Q$1,MONTH(B2265)-$P$1+1,(YEAR(B2265)-$Q$1)*12-$P$1+1+MONTH(B2265)))</f>
        <v>0</v>
      </c>
      <c r="Q2265" s="222">
        <f t="shared" ref="Q2265:Q2328" si="159">IF(C2265=0,0,IF(YEAR(C2265)=$Q$1,MONTH(C2265)-$P$1+1,(YEAR(C2265)-$Q$1)*12-$P$1+1+MONTH(C2265)))</f>
        <v>0</v>
      </c>
      <c r="R2265" s="532" t="str">
        <f t="shared" ref="R2265:R2328" si="160">SUBSTITUTE(D2265," ","_")</f>
        <v/>
      </c>
      <c r="S2265" s="533"/>
      <c r="T2265" s="533"/>
      <c r="U2265" s="496"/>
      <c r="V2265" s="496"/>
      <c r="W2265" s="496"/>
    </row>
    <row r="2266" spans="1:23" x14ac:dyDescent="0.2">
      <c r="A2266" s="510" t="str">
        <f t="shared" si="157"/>
        <v/>
      </c>
      <c r="B2266" s="428"/>
      <c r="C2266" s="424"/>
      <c r="D2266" s="415"/>
      <c r="E2266" s="415"/>
      <c r="F2266" s="425"/>
      <c r="G2266" s="415"/>
      <c r="H2266" s="415"/>
      <c r="I2266" s="473"/>
      <c r="J2266" s="415"/>
      <c r="K2266" s="415"/>
      <c r="L2266" s="415"/>
      <c r="M2266" s="415"/>
      <c r="N2266" s="414"/>
      <c r="O2266" s="428"/>
      <c r="P2266" s="222">
        <f t="shared" si="158"/>
        <v>0</v>
      </c>
      <c r="Q2266" s="222">
        <f t="shared" si="159"/>
        <v>0</v>
      </c>
      <c r="R2266" s="532" t="str">
        <f t="shared" si="160"/>
        <v/>
      </c>
      <c r="S2266" s="533"/>
      <c r="T2266" s="533"/>
      <c r="U2266" s="496"/>
      <c r="V2266" s="496"/>
      <c r="W2266" s="496"/>
    </row>
    <row r="2267" spans="1:23" x14ac:dyDescent="0.2">
      <c r="A2267" s="510" t="str">
        <f t="shared" si="157"/>
        <v/>
      </c>
      <c r="B2267" s="428"/>
      <c r="C2267" s="424"/>
      <c r="D2267" s="415"/>
      <c r="E2267" s="415"/>
      <c r="F2267" s="425"/>
      <c r="G2267" s="415"/>
      <c r="H2267" s="415"/>
      <c r="I2267" s="473"/>
      <c r="J2267" s="415"/>
      <c r="K2267" s="415"/>
      <c r="L2267" s="415"/>
      <c r="M2267" s="415"/>
      <c r="N2267" s="414"/>
      <c r="O2267" s="428"/>
      <c r="P2267" s="222">
        <f t="shared" si="158"/>
        <v>0</v>
      </c>
      <c r="Q2267" s="222">
        <f t="shared" si="159"/>
        <v>0</v>
      </c>
      <c r="R2267" s="532" t="str">
        <f t="shared" si="160"/>
        <v/>
      </c>
      <c r="S2267" s="533"/>
      <c r="T2267" s="533"/>
      <c r="U2267" s="496"/>
      <c r="V2267" s="496"/>
      <c r="W2267" s="496"/>
    </row>
    <row r="2268" spans="1:23" x14ac:dyDescent="0.2">
      <c r="A2268" s="510" t="str">
        <f t="shared" si="157"/>
        <v/>
      </c>
      <c r="B2268" s="428"/>
      <c r="C2268" s="424"/>
      <c r="D2268" s="415"/>
      <c r="E2268" s="415"/>
      <c r="F2268" s="425"/>
      <c r="G2268" s="415"/>
      <c r="H2268" s="415"/>
      <c r="I2268" s="473"/>
      <c r="J2268" s="415"/>
      <c r="K2268" s="415"/>
      <c r="L2268" s="415"/>
      <c r="M2268" s="415"/>
      <c r="N2268" s="414"/>
      <c r="O2268" s="428"/>
      <c r="P2268" s="222">
        <f t="shared" si="158"/>
        <v>0</v>
      </c>
      <c r="Q2268" s="222">
        <f t="shared" si="159"/>
        <v>0</v>
      </c>
      <c r="R2268" s="532" t="str">
        <f t="shared" si="160"/>
        <v/>
      </c>
      <c r="S2268" s="533"/>
      <c r="T2268" s="533"/>
      <c r="U2268" s="496"/>
      <c r="V2268" s="496"/>
      <c r="W2268" s="496"/>
    </row>
    <row r="2269" spans="1:23" x14ac:dyDescent="0.2">
      <c r="A2269" s="510" t="str">
        <f t="shared" si="157"/>
        <v/>
      </c>
      <c r="B2269" s="428"/>
      <c r="C2269" s="424"/>
      <c r="D2269" s="415"/>
      <c r="E2269" s="415"/>
      <c r="F2269" s="425"/>
      <c r="G2269" s="415"/>
      <c r="H2269" s="415"/>
      <c r="I2269" s="473"/>
      <c r="J2269" s="415"/>
      <c r="K2269" s="415"/>
      <c r="L2269" s="415"/>
      <c r="M2269" s="415"/>
      <c r="N2269" s="414"/>
      <c r="O2269" s="428"/>
      <c r="P2269" s="222">
        <f t="shared" si="158"/>
        <v>0</v>
      </c>
      <c r="Q2269" s="222">
        <f t="shared" si="159"/>
        <v>0</v>
      </c>
      <c r="R2269" s="532" t="str">
        <f t="shared" si="160"/>
        <v/>
      </c>
      <c r="S2269" s="533"/>
      <c r="T2269" s="533"/>
      <c r="U2269" s="496"/>
      <c r="V2269" s="496"/>
      <c r="W2269" s="496"/>
    </row>
    <row r="2270" spans="1:23" s="307" customFormat="1" x14ac:dyDescent="0.2">
      <c r="A2270" s="510" t="str">
        <f t="shared" si="157"/>
        <v/>
      </c>
      <c r="B2270" s="428"/>
      <c r="C2270" s="424"/>
      <c r="D2270" s="415"/>
      <c r="E2270" s="415"/>
      <c r="F2270" s="425"/>
      <c r="G2270" s="415"/>
      <c r="H2270" s="415"/>
      <c r="I2270" s="473"/>
      <c r="J2270" s="415"/>
      <c r="K2270" s="415"/>
      <c r="L2270" s="415"/>
      <c r="M2270" s="415"/>
      <c r="N2270" s="414"/>
      <c r="O2270" s="428"/>
      <c r="P2270" s="222">
        <f t="shared" si="158"/>
        <v>0</v>
      </c>
      <c r="Q2270" s="222">
        <f t="shared" si="159"/>
        <v>0</v>
      </c>
      <c r="R2270" s="532" t="str">
        <f t="shared" si="160"/>
        <v/>
      </c>
      <c r="S2270" s="533"/>
      <c r="T2270" s="533"/>
      <c r="U2270" s="496"/>
      <c r="V2270" s="496"/>
      <c r="W2270" s="496"/>
    </row>
    <row r="2271" spans="1:23" x14ac:dyDescent="0.2">
      <c r="A2271" s="510" t="str">
        <f t="shared" si="157"/>
        <v/>
      </c>
      <c r="B2271" s="428"/>
      <c r="C2271" s="424"/>
      <c r="D2271" s="415"/>
      <c r="E2271" s="415"/>
      <c r="F2271" s="425"/>
      <c r="G2271" s="415"/>
      <c r="H2271" s="415"/>
      <c r="I2271" s="473"/>
      <c r="J2271" s="415"/>
      <c r="K2271" s="415"/>
      <c r="L2271" s="415"/>
      <c r="M2271" s="415"/>
      <c r="N2271" s="414"/>
      <c r="O2271" s="428"/>
      <c r="P2271" s="222">
        <f t="shared" si="158"/>
        <v>0</v>
      </c>
      <c r="Q2271" s="222">
        <f t="shared" si="159"/>
        <v>0</v>
      </c>
      <c r="R2271" s="532" t="str">
        <f t="shared" si="160"/>
        <v/>
      </c>
      <c r="S2271" s="533"/>
      <c r="T2271" s="533"/>
      <c r="U2271" s="496"/>
      <c r="V2271" s="496"/>
      <c r="W2271" s="496"/>
    </row>
    <row r="2272" spans="1:23" s="307" customFormat="1" x14ac:dyDescent="0.2">
      <c r="A2272" s="510" t="str">
        <f t="shared" si="157"/>
        <v/>
      </c>
      <c r="B2272" s="428"/>
      <c r="C2272" s="424"/>
      <c r="D2272" s="415"/>
      <c r="E2272" s="415"/>
      <c r="F2272" s="425"/>
      <c r="G2272" s="415"/>
      <c r="H2272" s="415"/>
      <c r="I2272" s="473"/>
      <c r="J2272" s="415"/>
      <c r="K2272" s="415"/>
      <c r="L2272" s="415"/>
      <c r="M2272" s="415"/>
      <c r="N2272" s="414"/>
      <c r="O2272" s="428"/>
      <c r="P2272" s="222">
        <f t="shared" si="158"/>
        <v>0</v>
      </c>
      <c r="Q2272" s="222">
        <f t="shared" si="159"/>
        <v>0</v>
      </c>
      <c r="R2272" s="532" t="str">
        <f t="shared" si="160"/>
        <v/>
      </c>
      <c r="S2272" s="533"/>
      <c r="T2272" s="533"/>
      <c r="U2272" s="496"/>
      <c r="V2272" s="496"/>
      <c r="W2272" s="496"/>
    </row>
    <row r="2273" spans="1:23" x14ac:dyDescent="0.2">
      <c r="A2273" s="510" t="str">
        <f t="shared" si="157"/>
        <v/>
      </c>
      <c r="B2273" s="428"/>
      <c r="C2273" s="424"/>
      <c r="D2273" s="415"/>
      <c r="E2273" s="415"/>
      <c r="F2273" s="425"/>
      <c r="G2273" s="415"/>
      <c r="H2273" s="415"/>
      <c r="I2273" s="473"/>
      <c r="J2273" s="415"/>
      <c r="K2273" s="415"/>
      <c r="L2273" s="415"/>
      <c r="M2273" s="415"/>
      <c r="N2273" s="414"/>
      <c r="O2273" s="428"/>
      <c r="P2273" s="222">
        <f t="shared" si="158"/>
        <v>0</v>
      </c>
      <c r="Q2273" s="222">
        <f t="shared" si="159"/>
        <v>0</v>
      </c>
      <c r="R2273" s="532" t="str">
        <f t="shared" si="160"/>
        <v/>
      </c>
      <c r="S2273" s="533"/>
      <c r="T2273" s="533"/>
      <c r="U2273" s="496"/>
      <c r="V2273" s="496"/>
      <c r="W2273" s="496"/>
    </row>
    <row r="2274" spans="1:23" x14ac:dyDescent="0.2">
      <c r="A2274" s="510" t="str">
        <f t="shared" si="157"/>
        <v/>
      </c>
      <c r="B2274" s="428"/>
      <c r="C2274" s="424"/>
      <c r="D2274" s="415"/>
      <c r="E2274" s="415"/>
      <c r="F2274" s="425"/>
      <c r="G2274" s="415"/>
      <c r="H2274" s="415"/>
      <c r="I2274" s="473"/>
      <c r="J2274" s="415"/>
      <c r="K2274" s="415"/>
      <c r="L2274" s="415"/>
      <c r="M2274" s="415"/>
      <c r="N2274" s="414"/>
      <c r="O2274" s="428"/>
      <c r="P2274" s="222">
        <f t="shared" si="158"/>
        <v>0</v>
      </c>
      <c r="Q2274" s="222">
        <f t="shared" si="159"/>
        <v>0</v>
      </c>
      <c r="R2274" s="532" t="str">
        <f t="shared" si="160"/>
        <v/>
      </c>
      <c r="S2274" s="533"/>
      <c r="T2274" s="533"/>
      <c r="U2274" s="496"/>
      <c r="V2274" s="496"/>
      <c r="W2274" s="496"/>
    </row>
    <row r="2275" spans="1:23" x14ac:dyDescent="0.2">
      <c r="A2275" s="510" t="str">
        <f t="shared" si="157"/>
        <v/>
      </c>
      <c r="B2275" s="428"/>
      <c r="C2275" s="424"/>
      <c r="D2275" s="415"/>
      <c r="E2275" s="415"/>
      <c r="F2275" s="425"/>
      <c r="G2275" s="415"/>
      <c r="H2275" s="415"/>
      <c r="I2275" s="473"/>
      <c r="J2275" s="415"/>
      <c r="K2275" s="415"/>
      <c r="L2275" s="415"/>
      <c r="M2275" s="415"/>
      <c r="N2275" s="414"/>
      <c r="O2275" s="428"/>
      <c r="P2275" s="222">
        <f t="shared" si="158"/>
        <v>0</v>
      </c>
      <c r="Q2275" s="222">
        <f t="shared" si="159"/>
        <v>0</v>
      </c>
      <c r="R2275" s="532" t="str">
        <f t="shared" si="160"/>
        <v/>
      </c>
      <c r="S2275" s="533"/>
      <c r="T2275" s="533"/>
      <c r="U2275" s="496"/>
      <c r="V2275" s="496"/>
      <c r="W2275" s="496"/>
    </row>
    <row r="2276" spans="1:23" x14ac:dyDescent="0.2">
      <c r="A2276" s="510" t="str">
        <f t="shared" si="157"/>
        <v/>
      </c>
      <c r="B2276" s="428"/>
      <c r="C2276" s="424"/>
      <c r="D2276" s="415"/>
      <c r="E2276" s="415"/>
      <c r="F2276" s="425"/>
      <c r="G2276" s="415"/>
      <c r="H2276" s="415"/>
      <c r="I2276" s="473"/>
      <c r="J2276" s="415"/>
      <c r="K2276" s="415"/>
      <c r="L2276" s="415"/>
      <c r="M2276" s="415"/>
      <c r="N2276" s="414"/>
      <c r="O2276" s="428"/>
      <c r="P2276" s="222">
        <f t="shared" si="158"/>
        <v>0</v>
      </c>
      <c r="Q2276" s="222">
        <f t="shared" si="159"/>
        <v>0</v>
      </c>
      <c r="R2276" s="532" t="str">
        <f t="shared" si="160"/>
        <v/>
      </c>
      <c r="S2276" s="533"/>
      <c r="T2276" s="533"/>
      <c r="U2276" s="496"/>
      <c r="V2276" s="496"/>
      <c r="W2276" s="496"/>
    </row>
    <row r="2277" spans="1:23" x14ac:dyDescent="0.2">
      <c r="A2277" s="510" t="str">
        <f t="shared" si="157"/>
        <v/>
      </c>
      <c r="B2277" s="428"/>
      <c r="C2277" s="424"/>
      <c r="D2277" s="415"/>
      <c r="E2277" s="415"/>
      <c r="F2277" s="425"/>
      <c r="G2277" s="415"/>
      <c r="H2277" s="415"/>
      <c r="I2277" s="473"/>
      <c r="J2277" s="415"/>
      <c r="K2277" s="415"/>
      <c r="L2277" s="415"/>
      <c r="M2277" s="415"/>
      <c r="N2277" s="414"/>
      <c r="O2277" s="428"/>
      <c r="P2277" s="222">
        <f t="shared" si="158"/>
        <v>0</v>
      </c>
      <c r="Q2277" s="222">
        <f t="shared" si="159"/>
        <v>0</v>
      </c>
      <c r="R2277" s="532" t="str">
        <f t="shared" si="160"/>
        <v/>
      </c>
      <c r="S2277" s="533"/>
      <c r="T2277" s="533"/>
      <c r="U2277" s="496"/>
      <c r="V2277" s="496"/>
      <c r="W2277" s="496"/>
    </row>
    <row r="2278" spans="1:23" x14ac:dyDescent="0.2">
      <c r="A2278" s="510" t="str">
        <f t="shared" si="157"/>
        <v/>
      </c>
      <c r="B2278" s="428"/>
      <c r="C2278" s="424"/>
      <c r="D2278" s="415"/>
      <c r="E2278" s="415"/>
      <c r="F2278" s="425"/>
      <c r="G2278" s="415"/>
      <c r="H2278" s="415"/>
      <c r="I2278" s="473"/>
      <c r="J2278" s="415"/>
      <c r="K2278" s="415"/>
      <c r="L2278" s="415"/>
      <c r="M2278" s="415"/>
      <c r="N2278" s="414"/>
      <c r="O2278" s="428"/>
      <c r="P2278" s="222">
        <f t="shared" si="158"/>
        <v>0</v>
      </c>
      <c r="Q2278" s="222">
        <f t="shared" si="159"/>
        <v>0</v>
      </c>
      <c r="R2278" s="532" t="str">
        <f t="shared" si="160"/>
        <v/>
      </c>
      <c r="S2278" s="533"/>
      <c r="T2278" s="533"/>
      <c r="U2278" s="496"/>
      <c r="V2278" s="496"/>
      <c r="W2278" s="496"/>
    </row>
    <row r="2279" spans="1:23" x14ac:dyDescent="0.2">
      <c r="A2279" s="510" t="str">
        <f t="shared" si="157"/>
        <v/>
      </c>
      <c r="B2279" s="428"/>
      <c r="C2279" s="424"/>
      <c r="D2279" s="415"/>
      <c r="E2279" s="415"/>
      <c r="F2279" s="425"/>
      <c r="G2279" s="415"/>
      <c r="H2279" s="415"/>
      <c r="I2279" s="473"/>
      <c r="J2279" s="415"/>
      <c r="K2279" s="415"/>
      <c r="L2279" s="415"/>
      <c r="M2279" s="415"/>
      <c r="N2279" s="414"/>
      <c r="O2279" s="428"/>
      <c r="P2279" s="222">
        <f t="shared" si="158"/>
        <v>0</v>
      </c>
      <c r="Q2279" s="222">
        <f t="shared" si="159"/>
        <v>0</v>
      </c>
      <c r="R2279" s="532" t="str">
        <f t="shared" si="160"/>
        <v/>
      </c>
      <c r="S2279" s="533"/>
      <c r="T2279" s="533"/>
      <c r="U2279" s="496"/>
      <c r="V2279" s="496"/>
      <c r="W2279" s="496"/>
    </row>
    <row r="2280" spans="1:23" x14ac:dyDescent="0.2">
      <c r="A2280" s="510" t="str">
        <f t="shared" si="157"/>
        <v/>
      </c>
      <c r="B2280" s="428"/>
      <c r="C2280" s="424"/>
      <c r="D2280" s="415"/>
      <c r="E2280" s="415"/>
      <c r="F2280" s="425"/>
      <c r="G2280" s="415"/>
      <c r="H2280" s="415"/>
      <c r="I2280" s="473"/>
      <c r="J2280" s="415"/>
      <c r="K2280" s="415"/>
      <c r="L2280" s="415"/>
      <c r="M2280" s="415"/>
      <c r="N2280" s="414"/>
      <c r="O2280" s="428"/>
      <c r="P2280" s="222">
        <f t="shared" si="158"/>
        <v>0</v>
      </c>
      <c r="Q2280" s="222">
        <f t="shared" si="159"/>
        <v>0</v>
      </c>
      <c r="R2280" s="532" t="str">
        <f t="shared" si="160"/>
        <v/>
      </c>
      <c r="S2280" s="533"/>
      <c r="T2280" s="533"/>
      <c r="U2280" s="496"/>
      <c r="V2280" s="496"/>
      <c r="W2280" s="496"/>
    </row>
    <row r="2281" spans="1:23" x14ac:dyDescent="0.2">
      <c r="A2281" s="510" t="str">
        <f t="shared" si="157"/>
        <v/>
      </c>
      <c r="B2281" s="428"/>
      <c r="C2281" s="424"/>
      <c r="D2281" s="415"/>
      <c r="E2281" s="415"/>
      <c r="F2281" s="425"/>
      <c r="G2281" s="415"/>
      <c r="H2281" s="415"/>
      <c r="I2281" s="473"/>
      <c r="J2281" s="415"/>
      <c r="K2281" s="415"/>
      <c r="L2281" s="415"/>
      <c r="M2281" s="415"/>
      <c r="N2281" s="414"/>
      <c r="O2281" s="428"/>
      <c r="P2281" s="222">
        <f t="shared" si="158"/>
        <v>0</v>
      </c>
      <c r="Q2281" s="222">
        <f t="shared" si="159"/>
        <v>0</v>
      </c>
      <c r="R2281" s="532" t="str">
        <f t="shared" si="160"/>
        <v/>
      </c>
      <c r="S2281" s="533"/>
      <c r="T2281" s="533"/>
      <c r="U2281" s="496"/>
      <c r="V2281" s="496"/>
      <c r="W2281" s="496"/>
    </row>
    <row r="2282" spans="1:23" x14ac:dyDescent="0.2">
      <c r="A2282" s="510" t="str">
        <f t="shared" si="157"/>
        <v/>
      </c>
      <c r="B2282" s="428"/>
      <c r="C2282" s="424"/>
      <c r="D2282" s="415"/>
      <c r="E2282" s="415"/>
      <c r="F2282" s="425"/>
      <c r="G2282" s="415"/>
      <c r="H2282" s="415"/>
      <c r="I2282" s="473"/>
      <c r="J2282" s="415"/>
      <c r="K2282" s="415"/>
      <c r="L2282" s="415"/>
      <c r="M2282" s="415"/>
      <c r="N2282" s="414"/>
      <c r="O2282" s="428"/>
      <c r="P2282" s="222">
        <f t="shared" si="158"/>
        <v>0</v>
      </c>
      <c r="Q2282" s="222">
        <f t="shared" si="159"/>
        <v>0</v>
      </c>
      <c r="R2282" s="532" t="str">
        <f t="shared" si="160"/>
        <v/>
      </c>
      <c r="S2282" s="533"/>
      <c r="T2282" s="533"/>
      <c r="U2282" s="496"/>
      <c r="V2282" s="496"/>
      <c r="W2282" s="496"/>
    </row>
    <row r="2283" spans="1:23" x14ac:dyDescent="0.2">
      <c r="A2283" s="510" t="str">
        <f t="shared" si="157"/>
        <v/>
      </c>
      <c r="B2283" s="428"/>
      <c r="C2283" s="424"/>
      <c r="D2283" s="415"/>
      <c r="E2283" s="415"/>
      <c r="F2283" s="425"/>
      <c r="G2283" s="415"/>
      <c r="H2283" s="415"/>
      <c r="I2283" s="473"/>
      <c r="J2283" s="415"/>
      <c r="K2283" s="415"/>
      <c r="L2283" s="415"/>
      <c r="M2283" s="415"/>
      <c r="N2283" s="414"/>
      <c r="O2283" s="428"/>
      <c r="P2283" s="222">
        <f t="shared" si="158"/>
        <v>0</v>
      </c>
      <c r="Q2283" s="222">
        <f t="shared" si="159"/>
        <v>0</v>
      </c>
      <c r="R2283" s="532" t="str">
        <f t="shared" si="160"/>
        <v/>
      </c>
      <c r="S2283" s="533"/>
      <c r="T2283" s="533"/>
      <c r="U2283" s="496"/>
      <c r="V2283" s="496"/>
      <c r="W2283" s="496"/>
    </row>
    <row r="2284" spans="1:23" x14ac:dyDescent="0.2">
      <c r="A2284" s="510" t="str">
        <f t="shared" si="157"/>
        <v/>
      </c>
      <c r="B2284" s="428"/>
      <c r="C2284" s="424"/>
      <c r="D2284" s="415"/>
      <c r="E2284" s="415"/>
      <c r="F2284" s="425"/>
      <c r="G2284" s="415"/>
      <c r="H2284" s="415"/>
      <c r="I2284" s="473"/>
      <c r="J2284" s="415"/>
      <c r="K2284" s="415"/>
      <c r="L2284" s="415"/>
      <c r="M2284" s="415"/>
      <c r="N2284" s="414"/>
      <c r="O2284" s="428"/>
      <c r="P2284" s="222">
        <f t="shared" si="158"/>
        <v>0</v>
      </c>
      <c r="Q2284" s="222">
        <f t="shared" si="159"/>
        <v>0</v>
      </c>
      <c r="R2284" s="532" t="str">
        <f t="shared" si="160"/>
        <v/>
      </c>
      <c r="S2284" s="533"/>
      <c r="T2284" s="533"/>
      <c r="U2284" s="496"/>
      <c r="V2284" s="496"/>
      <c r="W2284" s="496"/>
    </row>
    <row r="2285" spans="1:23" x14ac:dyDescent="0.2">
      <c r="A2285" s="510" t="str">
        <f t="shared" si="157"/>
        <v/>
      </c>
      <c r="B2285" s="428"/>
      <c r="C2285" s="424"/>
      <c r="D2285" s="415"/>
      <c r="E2285" s="415"/>
      <c r="F2285" s="425"/>
      <c r="G2285" s="415"/>
      <c r="H2285" s="415"/>
      <c r="I2285" s="473"/>
      <c r="J2285" s="415"/>
      <c r="K2285" s="415"/>
      <c r="L2285" s="415"/>
      <c r="M2285" s="415"/>
      <c r="N2285" s="414"/>
      <c r="O2285" s="428"/>
      <c r="P2285" s="222">
        <f t="shared" si="158"/>
        <v>0</v>
      </c>
      <c r="Q2285" s="222">
        <f t="shared" si="159"/>
        <v>0</v>
      </c>
      <c r="R2285" s="532" t="str">
        <f t="shared" si="160"/>
        <v/>
      </c>
      <c r="S2285" s="533"/>
      <c r="T2285" s="533"/>
      <c r="U2285" s="496"/>
      <c r="V2285" s="496"/>
      <c r="W2285" s="496"/>
    </row>
    <row r="2286" spans="1:23" x14ac:dyDescent="0.2">
      <c r="A2286" s="510" t="str">
        <f t="shared" si="157"/>
        <v/>
      </c>
      <c r="B2286" s="428"/>
      <c r="C2286" s="424"/>
      <c r="D2286" s="415"/>
      <c r="E2286" s="415"/>
      <c r="F2286" s="425"/>
      <c r="G2286" s="415"/>
      <c r="H2286" s="415"/>
      <c r="I2286" s="473"/>
      <c r="J2286" s="415"/>
      <c r="K2286" s="415"/>
      <c r="L2286" s="415"/>
      <c r="M2286" s="415"/>
      <c r="N2286" s="414"/>
      <c r="O2286" s="428"/>
      <c r="P2286" s="222">
        <f t="shared" si="158"/>
        <v>0</v>
      </c>
      <c r="Q2286" s="222">
        <f t="shared" si="159"/>
        <v>0</v>
      </c>
      <c r="R2286" s="532" t="str">
        <f t="shared" si="160"/>
        <v/>
      </c>
      <c r="S2286" s="533"/>
      <c r="T2286" s="533"/>
      <c r="U2286" s="496"/>
      <c r="V2286" s="496"/>
      <c r="W2286" s="496"/>
    </row>
    <row r="2287" spans="1:23" x14ac:dyDescent="0.2">
      <c r="A2287" s="510" t="str">
        <f t="shared" si="157"/>
        <v/>
      </c>
      <c r="B2287" s="428"/>
      <c r="C2287" s="424"/>
      <c r="D2287" s="415"/>
      <c r="E2287" s="415"/>
      <c r="F2287" s="425"/>
      <c r="G2287" s="415"/>
      <c r="H2287" s="415"/>
      <c r="I2287" s="473"/>
      <c r="J2287" s="415"/>
      <c r="K2287" s="415"/>
      <c r="L2287" s="415"/>
      <c r="M2287" s="415"/>
      <c r="N2287" s="414"/>
      <c r="O2287" s="428"/>
      <c r="P2287" s="222">
        <f t="shared" si="158"/>
        <v>0</v>
      </c>
      <c r="Q2287" s="222">
        <f t="shared" si="159"/>
        <v>0</v>
      </c>
      <c r="R2287" s="532" t="str">
        <f t="shared" si="160"/>
        <v/>
      </c>
      <c r="S2287" s="533"/>
      <c r="T2287" s="533"/>
      <c r="U2287" s="496"/>
      <c r="V2287" s="496"/>
      <c r="W2287" s="496"/>
    </row>
    <row r="2288" spans="1:23" x14ac:dyDescent="0.2">
      <c r="A2288" s="510" t="str">
        <f t="shared" si="157"/>
        <v/>
      </c>
      <c r="B2288" s="428"/>
      <c r="C2288" s="424"/>
      <c r="D2288" s="415"/>
      <c r="E2288" s="415"/>
      <c r="F2288" s="425"/>
      <c r="G2288" s="415"/>
      <c r="H2288" s="415"/>
      <c r="I2288" s="473"/>
      <c r="J2288" s="415"/>
      <c r="K2288" s="415"/>
      <c r="L2288" s="415"/>
      <c r="M2288" s="415"/>
      <c r="N2288" s="414"/>
      <c r="O2288" s="428"/>
      <c r="P2288" s="222">
        <f t="shared" si="158"/>
        <v>0</v>
      </c>
      <c r="Q2288" s="222">
        <f t="shared" si="159"/>
        <v>0</v>
      </c>
      <c r="R2288" s="532" t="str">
        <f t="shared" si="160"/>
        <v/>
      </c>
      <c r="S2288" s="533"/>
      <c r="T2288" s="533"/>
      <c r="U2288" s="496"/>
      <c r="V2288" s="496"/>
      <c r="W2288" s="496"/>
    </row>
    <row r="2289" spans="1:23" x14ac:dyDescent="0.2">
      <c r="A2289" s="510" t="str">
        <f t="shared" si="157"/>
        <v/>
      </c>
      <c r="B2289" s="428"/>
      <c r="C2289" s="424"/>
      <c r="D2289" s="415"/>
      <c r="E2289" s="415"/>
      <c r="F2289" s="425"/>
      <c r="G2289" s="415"/>
      <c r="H2289" s="415"/>
      <c r="I2289" s="473"/>
      <c r="J2289" s="415"/>
      <c r="K2289" s="415"/>
      <c r="L2289" s="415"/>
      <c r="M2289" s="415"/>
      <c r="N2289" s="414"/>
      <c r="O2289" s="428"/>
      <c r="P2289" s="222">
        <f t="shared" si="158"/>
        <v>0</v>
      </c>
      <c r="Q2289" s="222">
        <f t="shared" si="159"/>
        <v>0</v>
      </c>
      <c r="R2289" s="532" t="str">
        <f t="shared" si="160"/>
        <v/>
      </c>
      <c r="S2289" s="533"/>
      <c r="T2289" s="533"/>
      <c r="U2289" s="496"/>
      <c r="V2289" s="496"/>
      <c r="W2289" s="496"/>
    </row>
    <row r="2290" spans="1:23" x14ac:dyDescent="0.2">
      <c r="A2290" s="510" t="str">
        <f t="shared" si="157"/>
        <v/>
      </c>
      <c r="B2290" s="428"/>
      <c r="C2290" s="424"/>
      <c r="D2290" s="415"/>
      <c r="E2290" s="415"/>
      <c r="F2290" s="425"/>
      <c r="G2290" s="415"/>
      <c r="H2290" s="415"/>
      <c r="I2290" s="473"/>
      <c r="J2290" s="415"/>
      <c r="K2290" s="415"/>
      <c r="L2290" s="415"/>
      <c r="M2290" s="415"/>
      <c r="N2290" s="414"/>
      <c r="O2290" s="428"/>
      <c r="P2290" s="222">
        <f t="shared" si="158"/>
        <v>0</v>
      </c>
      <c r="Q2290" s="222">
        <f t="shared" si="159"/>
        <v>0</v>
      </c>
      <c r="R2290" s="532" t="str">
        <f t="shared" si="160"/>
        <v/>
      </c>
      <c r="S2290" s="533"/>
      <c r="T2290" s="533"/>
      <c r="U2290" s="496"/>
      <c r="V2290" s="496"/>
      <c r="W2290" s="496"/>
    </row>
    <row r="2291" spans="1:23" x14ac:dyDescent="0.2">
      <c r="A2291" s="510" t="str">
        <f t="shared" si="157"/>
        <v/>
      </c>
      <c r="B2291" s="428"/>
      <c r="C2291" s="424"/>
      <c r="D2291" s="415"/>
      <c r="E2291" s="415"/>
      <c r="F2291" s="425"/>
      <c r="G2291" s="415"/>
      <c r="H2291" s="415"/>
      <c r="I2291" s="473"/>
      <c r="J2291" s="415"/>
      <c r="K2291" s="415"/>
      <c r="L2291" s="415"/>
      <c r="M2291" s="415"/>
      <c r="N2291" s="414"/>
      <c r="O2291" s="428"/>
      <c r="P2291" s="222">
        <f t="shared" si="158"/>
        <v>0</v>
      </c>
      <c r="Q2291" s="222">
        <f t="shared" si="159"/>
        <v>0</v>
      </c>
      <c r="R2291" s="532" t="str">
        <f t="shared" si="160"/>
        <v/>
      </c>
      <c r="S2291" s="533"/>
      <c r="T2291" s="533"/>
      <c r="U2291" s="496"/>
      <c r="V2291" s="496"/>
      <c r="W2291" s="496"/>
    </row>
    <row r="2292" spans="1:23" x14ac:dyDescent="0.2">
      <c r="A2292" s="510" t="str">
        <f t="shared" si="157"/>
        <v/>
      </c>
      <c r="B2292" s="428"/>
      <c r="C2292" s="424"/>
      <c r="D2292" s="415"/>
      <c r="E2292" s="415"/>
      <c r="F2292" s="425"/>
      <c r="G2292" s="415"/>
      <c r="H2292" s="415"/>
      <c r="I2292" s="473"/>
      <c r="J2292" s="415"/>
      <c r="K2292" s="415"/>
      <c r="L2292" s="415"/>
      <c r="M2292" s="415"/>
      <c r="N2292" s="414"/>
      <c r="O2292" s="428"/>
      <c r="P2292" s="222">
        <f t="shared" si="158"/>
        <v>0</v>
      </c>
      <c r="Q2292" s="222">
        <f t="shared" si="159"/>
        <v>0</v>
      </c>
      <c r="R2292" s="532" t="str">
        <f t="shared" si="160"/>
        <v/>
      </c>
      <c r="S2292" s="533"/>
      <c r="T2292" s="533"/>
      <c r="U2292" s="496"/>
      <c r="V2292" s="496"/>
      <c r="W2292" s="496"/>
    </row>
    <row r="2293" spans="1:23" x14ac:dyDescent="0.2">
      <c r="A2293" s="510" t="str">
        <f t="shared" si="157"/>
        <v/>
      </c>
      <c r="B2293" s="428"/>
      <c r="C2293" s="424"/>
      <c r="D2293" s="415"/>
      <c r="E2293" s="415"/>
      <c r="F2293" s="425"/>
      <c r="G2293" s="415"/>
      <c r="H2293" s="415"/>
      <c r="I2293" s="473"/>
      <c r="J2293" s="415"/>
      <c r="K2293" s="415"/>
      <c r="L2293" s="415"/>
      <c r="M2293" s="415"/>
      <c r="N2293" s="414"/>
      <c r="O2293" s="428"/>
      <c r="P2293" s="222">
        <f t="shared" si="158"/>
        <v>0</v>
      </c>
      <c r="Q2293" s="222">
        <f t="shared" si="159"/>
        <v>0</v>
      </c>
      <c r="R2293" s="532" t="str">
        <f t="shared" si="160"/>
        <v/>
      </c>
      <c r="S2293" s="533"/>
      <c r="T2293" s="533"/>
      <c r="U2293" s="496"/>
      <c r="V2293" s="496"/>
      <c r="W2293" s="496"/>
    </row>
    <row r="2294" spans="1:23" x14ac:dyDescent="0.2">
      <c r="A2294" s="510" t="str">
        <f t="shared" si="157"/>
        <v/>
      </c>
      <c r="B2294" s="428"/>
      <c r="C2294" s="424"/>
      <c r="D2294" s="415"/>
      <c r="E2294" s="415"/>
      <c r="F2294" s="425"/>
      <c r="G2294" s="415"/>
      <c r="H2294" s="415"/>
      <c r="I2294" s="473"/>
      <c r="J2294" s="415"/>
      <c r="K2294" s="415"/>
      <c r="L2294" s="415"/>
      <c r="M2294" s="415"/>
      <c r="N2294" s="414"/>
      <c r="O2294" s="428"/>
      <c r="P2294" s="222">
        <f t="shared" si="158"/>
        <v>0</v>
      </c>
      <c r="Q2294" s="222">
        <f t="shared" si="159"/>
        <v>0</v>
      </c>
      <c r="R2294" s="532" t="str">
        <f t="shared" si="160"/>
        <v/>
      </c>
      <c r="S2294" s="533"/>
      <c r="T2294" s="533"/>
      <c r="U2294" s="496"/>
      <c r="V2294" s="496"/>
      <c r="W2294" s="496"/>
    </row>
    <row r="2295" spans="1:23" x14ac:dyDescent="0.2">
      <c r="A2295" s="510" t="str">
        <f t="shared" si="157"/>
        <v/>
      </c>
      <c r="B2295" s="428"/>
      <c r="C2295" s="424"/>
      <c r="D2295" s="415"/>
      <c r="E2295" s="415"/>
      <c r="F2295" s="425"/>
      <c r="G2295" s="415"/>
      <c r="H2295" s="415"/>
      <c r="I2295" s="473"/>
      <c r="J2295" s="415"/>
      <c r="K2295" s="415"/>
      <c r="L2295" s="415"/>
      <c r="M2295" s="415"/>
      <c r="N2295" s="414"/>
      <c r="O2295" s="428"/>
      <c r="P2295" s="222">
        <f t="shared" si="158"/>
        <v>0</v>
      </c>
      <c r="Q2295" s="222">
        <f t="shared" si="159"/>
        <v>0</v>
      </c>
      <c r="R2295" s="532" t="str">
        <f t="shared" si="160"/>
        <v/>
      </c>
      <c r="S2295" s="533"/>
      <c r="T2295" s="533"/>
      <c r="U2295" s="496"/>
      <c r="V2295" s="496"/>
      <c r="W2295" s="496"/>
    </row>
    <row r="2296" spans="1:23" s="315" customFormat="1" x14ac:dyDescent="0.2">
      <c r="A2296" s="510" t="str">
        <f t="shared" si="157"/>
        <v/>
      </c>
      <c r="B2296" s="428"/>
      <c r="C2296" s="424"/>
      <c r="D2296" s="415"/>
      <c r="E2296" s="415"/>
      <c r="F2296" s="425"/>
      <c r="G2296" s="415"/>
      <c r="H2296" s="415"/>
      <c r="I2296" s="473"/>
      <c r="J2296" s="415"/>
      <c r="K2296" s="415"/>
      <c r="L2296" s="415"/>
      <c r="M2296" s="415"/>
      <c r="N2296" s="414"/>
      <c r="O2296" s="428"/>
      <c r="P2296" s="222">
        <f t="shared" si="158"/>
        <v>0</v>
      </c>
      <c r="Q2296" s="222">
        <f t="shared" si="159"/>
        <v>0</v>
      </c>
      <c r="R2296" s="532" t="str">
        <f t="shared" si="160"/>
        <v/>
      </c>
      <c r="S2296" s="533"/>
      <c r="T2296" s="533"/>
      <c r="U2296" s="496"/>
      <c r="V2296" s="496"/>
      <c r="W2296" s="496"/>
    </row>
    <row r="2297" spans="1:23" s="315" customFormat="1" x14ac:dyDescent="0.2">
      <c r="A2297" s="510" t="str">
        <f t="shared" si="157"/>
        <v/>
      </c>
      <c r="B2297" s="428"/>
      <c r="C2297" s="424"/>
      <c r="D2297" s="415"/>
      <c r="E2297" s="415"/>
      <c r="F2297" s="425"/>
      <c r="G2297" s="415"/>
      <c r="H2297" s="415"/>
      <c r="I2297" s="473"/>
      <c r="J2297" s="415"/>
      <c r="K2297" s="415"/>
      <c r="L2297" s="415"/>
      <c r="M2297" s="576"/>
      <c r="N2297" s="414"/>
      <c r="O2297" s="428"/>
      <c r="P2297" s="222">
        <f t="shared" si="158"/>
        <v>0</v>
      </c>
      <c r="Q2297" s="222">
        <f t="shared" si="159"/>
        <v>0</v>
      </c>
      <c r="R2297" s="532" t="str">
        <f t="shared" si="160"/>
        <v/>
      </c>
      <c r="S2297" s="533"/>
      <c r="T2297" s="533"/>
      <c r="U2297" s="496"/>
      <c r="V2297" s="496"/>
      <c r="W2297" s="496"/>
    </row>
    <row r="2298" spans="1:23" x14ac:dyDescent="0.2">
      <c r="A2298" s="510" t="str">
        <f t="shared" si="157"/>
        <v/>
      </c>
      <c r="B2298" s="428"/>
      <c r="C2298" s="424"/>
      <c r="D2298" s="415"/>
      <c r="E2298" s="415"/>
      <c r="F2298" s="425"/>
      <c r="G2298" s="415"/>
      <c r="H2298" s="415"/>
      <c r="I2298" s="473"/>
      <c r="J2298" s="415"/>
      <c r="K2298" s="415"/>
      <c r="L2298" s="415"/>
      <c r="M2298" s="415"/>
      <c r="N2298" s="414"/>
      <c r="O2298" s="428"/>
      <c r="P2298" s="222">
        <f t="shared" si="158"/>
        <v>0</v>
      </c>
      <c r="Q2298" s="222">
        <f t="shared" si="159"/>
        <v>0</v>
      </c>
      <c r="R2298" s="532" t="str">
        <f t="shared" si="160"/>
        <v/>
      </c>
      <c r="S2298" s="533"/>
      <c r="T2298" s="533"/>
      <c r="U2298" s="496"/>
      <c r="V2298" s="496"/>
      <c r="W2298" s="496"/>
    </row>
    <row r="2299" spans="1:23" x14ac:dyDescent="0.2">
      <c r="A2299" s="510" t="str">
        <f t="shared" si="157"/>
        <v/>
      </c>
      <c r="B2299" s="428"/>
      <c r="C2299" s="424"/>
      <c r="D2299" s="415"/>
      <c r="E2299" s="415"/>
      <c r="F2299" s="425"/>
      <c r="G2299" s="415"/>
      <c r="H2299" s="415"/>
      <c r="I2299" s="473"/>
      <c r="J2299" s="415"/>
      <c r="K2299" s="415"/>
      <c r="L2299" s="415"/>
      <c r="M2299" s="415"/>
      <c r="N2299" s="414"/>
      <c r="O2299" s="428"/>
      <c r="P2299" s="222">
        <f t="shared" si="158"/>
        <v>0</v>
      </c>
      <c r="Q2299" s="222">
        <f t="shared" si="159"/>
        <v>0</v>
      </c>
      <c r="R2299" s="532" t="str">
        <f t="shared" si="160"/>
        <v/>
      </c>
      <c r="S2299" s="533"/>
      <c r="T2299" s="533"/>
      <c r="U2299" s="496"/>
      <c r="V2299" s="496"/>
      <c r="W2299" s="496"/>
    </row>
    <row r="2300" spans="1:23" s="307" customFormat="1" x14ac:dyDescent="0.2">
      <c r="A2300" s="510" t="str">
        <f t="shared" si="157"/>
        <v/>
      </c>
      <c r="B2300" s="465"/>
      <c r="C2300" s="466"/>
      <c r="D2300" s="415"/>
      <c r="E2300" s="415"/>
      <c r="F2300" s="435"/>
      <c r="G2300" s="415"/>
      <c r="H2300" s="434"/>
      <c r="I2300" s="473"/>
      <c r="J2300" s="415"/>
      <c r="K2300" s="434"/>
      <c r="L2300" s="434"/>
      <c r="M2300" s="434"/>
      <c r="N2300" s="455"/>
      <c r="O2300" s="428"/>
      <c r="P2300" s="222">
        <f t="shared" si="158"/>
        <v>0</v>
      </c>
      <c r="Q2300" s="222">
        <f t="shared" si="159"/>
        <v>0</v>
      </c>
      <c r="R2300" s="532" t="str">
        <f t="shared" si="160"/>
        <v/>
      </c>
      <c r="S2300" s="533"/>
      <c r="T2300" s="533"/>
      <c r="U2300" s="496"/>
      <c r="V2300" s="496"/>
      <c r="W2300" s="496"/>
    </row>
    <row r="2301" spans="1:23" x14ac:dyDescent="0.2">
      <c r="A2301" s="510" t="str">
        <f t="shared" si="157"/>
        <v/>
      </c>
      <c r="B2301" s="428"/>
      <c r="C2301" s="424"/>
      <c r="D2301" s="415"/>
      <c r="E2301" s="415"/>
      <c r="F2301" s="425"/>
      <c r="G2301" s="415"/>
      <c r="H2301" s="415"/>
      <c r="I2301" s="473"/>
      <c r="J2301" s="415"/>
      <c r="K2301" s="415"/>
      <c r="L2301" s="415"/>
      <c r="M2301" s="415"/>
      <c r="N2301" s="414"/>
      <c r="O2301" s="428"/>
      <c r="P2301" s="222">
        <f t="shared" si="158"/>
        <v>0</v>
      </c>
      <c r="Q2301" s="222">
        <f t="shared" si="159"/>
        <v>0</v>
      </c>
      <c r="R2301" s="532" t="str">
        <f t="shared" si="160"/>
        <v/>
      </c>
      <c r="S2301" s="533"/>
      <c r="T2301" s="533"/>
      <c r="U2301" s="496"/>
      <c r="V2301" s="496"/>
      <c r="W2301" s="496"/>
    </row>
    <row r="2302" spans="1:23" x14ac:dyDescent="0.2">
      <c r="A2302" s="510" t="str">
        <f t="shared" si="157"/>
        <v/>
      </c>
      <c r="B2302" s="428"/>
      <c r="C2302" s="424"/>
      <c r="D2302" s="415"/>
      <c r="E2302" s="415"/>
      <c r="F2302" s="425"/>
      <c r="G2302" s="415"/>
      <c r="H2302" s="415"/>
      <c r="I2302" s="473"/>
      <c r="J2302" s="415"/>
      <c r="K2302" s="415"/>
      <c r="L2302" s="415"/>
      <c r="M2302" s="415"/>
      <c r="N2302" s="414"/>
      <c r="O2302" s="428"/>
      <c r="P2302" s="222">
        <f t="shared" si="158"/>
        <v>0</v>
      </c>
      <c r="Q2302" s="222">
        <f t="shared" si="159"/>
        <v>0</v>
      </c>
      <c r="R2302" s="532" t="str">
        <f t="shared" si="160"/>
        <v/>
      </c>
      <c r="S2302" s="533"/>
      <c r="T2302" s="533"/>
      <c r="U2302" s="496"/>
      <c r="V2302" s="496"/>
      <c r="W2302" s="496"/>
    </row>
    <row r="2303" spans="1:23" x14ac:dyDescent="0.2">
      <c r="A2303" s="510" t="str">
        <f t="shared" si="157"/>
        <v/>
      </c>
      <c r="B2303" s="428"/>
      <c r="C2303" s="424"/>
      <c r="D2303" s="415"/>
      <c r="E2303" s="415"/>
      <c r="F2303" s="425"/>
      <c r="G2303" s="415"/>
      <c r="H2303" s="415"/>
      <c r="I2303" s="473"/>
      <c r="J2303" s="415"/>
      <c r="K2303" s="415"/>
      <c r="L2303" s="415"/>
      <c r="M2303" s="415"/>
      <c r="N2303" s="414"/>
      <c r="O2303" s="428"/>
      <c r="P2303" s="222">
        <f t="shared" si="158"/>
        <v>0</v>
      </c>
      <c r="Q2303" s="222">
        <f t="shared" si="159"/>
        <v>0</v>
      </c>
      <c r="R2303" s="532" t="str">
        <f t="shared" si="160"/>
        <v/>
      </c>
      <c r="S2303" s="533"/>
      <c r="T2303" s="533"/>
      <c r="U2303" s="496"/>
      <c r="V2303" s="496"/>
      <c r="W2303" s="496"/>
    </row>
    <row r="2304" spans="1:23" x14ac:dyDescent="0.2">
      <c r="A2304" s="510" t="str">
        <f t="shared" si="157"/>
        <v/>
      </c>
      <c r="B2304" s="428"/>
      <c r="C2304" s="424"/>
      <c r="D2304" s="415"/>
      <c r="E2304" s="415"/>
      <c r="F2304" s="425"/>
      <c r="G2304" s="415"/>
      <c r="H2304" s="415"/>
      <c r="I2304" s="473"/>
      <c r="J2304" s="415"/>
      <c r="K2304" s="415"/>
      <c r="L2304" s="415"/>
      <c r="M2304" s="415"/>
      <c r="N2304" s="414"/>
      <c r="O2304" s="428"/>
      <c r="P2304" s="222">
        <f t="shared" si="158"/>
        <v>0</v>
      </c>
      <c r="Q2304" s="222">
        <f t="shared" si="159"/>
        <v>0</v>
      </c>
      <c r="R2304" s="532" t="str">
        <f t="shared" si="160"/>
        <v/>
      </c>
      <c r="S2304" s="533"/>
      <c r="T2304" s="533"/>
      <c r="U2304" s="496"/>
      <c r="V2304" s="496"/>
      <c r="W2304" s="496"/>
    </row>
    <row r="2305" spans="1:23" x14ac:dyDescent="0.2">
      <c r="A2305" s="510" t="str">
        <f t="shared" si="157"/>
        <v/>
      </c>
      <c r="B2305" s="428"/>
      <c r="C2305" s="424"/>
      <c r="D2305" s="415"/>
      <c r="E2305" s="415"/>
      <c r="F2305" s="425"/>
      <c r="G2305" s="415"/>
      <c r="H2305" s="415"/>
      <c r="I2305" s="473"/>
      <c r="J2305" s="415"/>
      <c r="K2305" s="415"/>
      <c r="L2305" s="415"/>
      <c r="M2305" s="415"/>
      <c r="N2305" s="414"/>
      <c r="O2305" s="428"/>
      <c r="P2305" s="222">
        <f t="shared" si="158"/>
        <v>0</v>
      </c>
      <c r="Q2305" s="222">
        <f t="shared" si="159"/>
        <v>0</v>
      </c>
      <c r="R2305" s="532" t="str">
        <f t="shared" si="160"/>
        <v/>
      </c>
      <c r="S2305" s="533"/>
      <c r="T2305" s="533"/>
      <c r="U2305" s="496"/>
      <c r="V2305" s="496"/>
      <c r="W2305" s="496"/>
    </row>
    <row r="2306" spans="1:23" x14ac:dyDescent="0.2">
      <c r="A2306" s="510" t="str">
        <f t="shared" si="157"/>
        <v/>
      </c>
      <c r="B2306" s="428"/>
      <c r="C2306" s="424"/>
      <c r="D2306" s="415"/>
      <c r="E2306" s="415"/>
      <c r="F2306" s="425"/>
      <c r="G2306" s="415"/>
      <c r="H2306" s="415"/>
      <c r="I2306" s="473"/>
      <c r="J2306" s="415"/>
      <c r="K2306" s="415"/>
      <c r="L2306" s="415"/>
      <c r="M2306" s="415"/>
      <c r="N2306" s="414"/>
      <c r="O2306" s="428"/>
      <c r="P2306" s="222">
        <f t="shared" si="158"/>
        <v>0</v>
      </c>
      <c r="Q2306" s="222">
        <f t="shared" si="159"/>
        <v>0</v>
      </c>
      <c r="R2306" s="532" t="str">
        <f t="shared" si="160"/>
        <v/>
      </c>
      <c r="S2306" s="533"/>
      <c r="T2306" s="533"/>
      <c r="U2306" s="496"/>
      <c r="V2306" s="496"/>
      <c r="W2306" s="496"/>
    </row>
    <row r="2307" spans="1:23" x14ac:dyDescent="0.2">
      <c r="A2307" s="510" t="str">
        <f t="shared" si="157"/>
        <v/>
      </c>
      <c r="B2307" s="428"/>
      <c r="C2307" s="424"/>
      <c r="D2307" s="415"/>
      <c r="E2307" s="415"/>
      <c r="F2307" s="425"/>
      <c r="G2307" s="415"/>
      <c r="H2307" s="415"/>
      <c r="I2307" s="473"/>
      <c r="J2307" s="415"/>
      <c r="K2307" s="415"/>
      <c r="L2307" s="415"/>
      <c r="M2307" s="415"/>
      <c r="N2307" s="414"/>
      <c r="O2307" s="428"/>
      <c r="P2307" s="222">
        <f t="shared" si="158"/>
        <v>0</v>
      </c>
      <c r="Q2307" s="222">
        <f t="shared" si="159"/>
        <v>0</v>
      </c>
      <c r="R2307" s="532" t="str">
        <f t="shared" si="160"/>
        <v/>
      </c>
      <c r="S2307" s="533"/>
      <c r="T2307" s="533"/>
      <c r="U2307" s="496"/>
      <c r="V2307" s="496"/>
      <c r="W2307" s="496"/>
    </row>
    <row r="2308" spans="1:23" x14ac:dyDescent="0.2">
      <c r="A2308" s="510" t="str">
        <f t="shared" si="157"/>
        <v/>
      </c>
      <c r="B2308" s="428"/>
      <c r="C2308" s="424"/>
      <c r="D2308" s="415"/>
      <c r="E2308" s="415"/>
      <c r="F2308" s="425"/>
      <c r="G2308" s="415"/>
      <c r="H2308" s="415"/>
      <c r="I2308" s="473"/>
      <c r="J2308" s="415"/>
      <c r="K2308" s="415"/>
      <c r="L2308" s="415"/>
      <c r="M2308" s="415"/>
      <c r="N2308" s="414"/>
      <c r="O2308" s="428"/>
      <c r="P2308" s="222">
        <f t="shared" si="158"/>
        <v>0</v>
      </c>
      <c r="Q2308" s="222">
        <f t="shared" si="159"/>
        <v>0</v>
      </c>
      <c r="R2308" s="532" t="str">
        <f t="shared" si="160"/>
        <v/>
      </c>
      <c r="S2308" s="533"/>
      <c r="T2308" s="533"/>
      <c r="U2308" s="496"/>
      <c r="V2308" s="496"/>
      <c r="W2308" s="496"/>
    </row>
    <row r="2309" spans="1:23" x14ac:dyDescent="0.2">
      <c r="A2309" s="510" t="str">
        <f t="shared" si="157"/>
        <v/>
      </c>
      <c r="B2309" s="428"/>
      <c r="C2309" s="424"/>
      <c r="D2309" s="415"/>
      <c r="E2309" s="415"/>
      <c r="F2309" s="425"/>
      <c r="G2309" s="415"/>
      <c r="H2309" s="415"/>
      <c r="I2309" s="473"/>
      <c r="J2309" s="415"/>
      <c r="K2309" s="415"/>
      <c r="L2309" s="415"/>
      <c r="M2309" s="415"/>
      <c r="N2309" s="414"/>
      <c r="O2309" s="428"/>
      <c r="P2309" s="222">
        <f t="shared" si="158"/>
        <v>0</v>
      </c>
      <c r="Q2309" s="222">
        <f t="shared" si="159"/>
        <v>0</v>
      </c>
      <c r="R2309" s="532" t="str">
        <f t="shared" si="160"/>
        <v/>
      </c>
      <c r="S2309" s="533"/>
      <c r="T2309" s="533"/>
      <c r="U2309" s="496"/>
      <c r="V2309" s="496"/>
      <c r="W2309" s="496"/>
    </row>
    <row r="2310" spans="1:23" x14ac:dyDescent="0.2">
      <c r="A2310" s="510" t="str">
        <f t="shared" si="157"/>
        <v/>
      </c>
      <c r="B2310" s="428"/>
      <c r="C2310" s="424"/>
      <c r="D2310" s="415"/>
      <c r="E2310" s="415"/>
      <c r="F2310" s="425"/>
      <c r="G2310" s="415"/>
      <c r="H2310" s="415"/>
      <c r="I2310" s="473"/>
      <c r="J2310" s="415"/>
      <c r="K2310" s="415"/>
      <c r="L2310" s="415"/>
      <c r="M2310" s="415"/>
      <c r="N2310" s="414"/>
      <c r="O2310" s="428"/>
      <c r="P2310" s="222">
        <f t="shared" si="158"/>
        <v>0</v>
      </c>
      <c r="Q2310" s="222">
        <f t="shared" si="159"/>
        <v>0</v>
      </c>
      <c r="R2310" s="532" t="str">
        <f t="shared" si="160"/>
        <v/>
      </c>
      <c r="S2310" s="533"/>
      <c r="T2310" s="533"/>
      <c r="U2310" s="496"/>
      <c r="V2310" s="496"/>
      <c r="W2310" s="496"/>
    </row>
    <row r="2311" spans="1:23" x14ac:dyDescent="0.2">
      <c r="A2311" s="510" t="str">
        <f t="shared" si="157"/>
        <v/>
      </c>
      <c r="B2311" s="428"/>
      <c r="C2311" s="424"/>
      <c r="D2311" s="415"/>
      <c r="E2311" s="415"/>
      <c r="F2311" s="425"/>
      <c r="G2311" s="415"/>
      <c r="H2311" s="415"/>
      <c r="I2311" s="473"/>
      <c r="J2311" s="415"/>
      <c r="K2311" s="415"/>
      <c r="L2311" s="415"/>
      <c r="M2311" s="415"/>
      <c r="N2311" s="414"/>
      <c r="O2311" s="428"/>
      <c r="P2311" s="222">
        <f t="shared" si="158"/>
        <v>0</v>
      </c>
      <c r="Q2311" s="222">
        <f t="shared" si="159"/>
        <v>0</v>
      </c>
      <c r="R2311" s="532" t="str">
        <f t="shared" si="160"/>
        <v/>
      </c>
      <c r="S2311" s="533"/>
      <c r="T2311" s="533"/>
      <c r="U2311" s="496"/>
      <c r="V2311" s="496"/>
      <c r="W2311" s="496"/>
    </row>
    <row r="2312" spans="1:23" x14ac:dyDescent="0.2">
      <c r="A2312" s="510" t="str">
        <f t="shared" si="157"/>
        <v/>
      </c>
      <c r="B2312" s="428"/>
      <c r="C2312" s="424"/>
      <c r="D2312" s="415"/>
      <c r="E2312" s="415"/>
      <c r="F2312" s="425"/>
      <c r="G2312" s="415"/>
      <c r="H2312" s="415"/>
      <c r="I2312" s="473"/>
      <c r="J2312" s="415"/>
      <c r="K2312" s="415"/>
      <c r="L2312" s="415"/>
      <c r="M2312" s="415"/>
      <c r="N2312" s="414"/>
      <c r="O2312" s="428"/>
      <c r="P2312" s="222">
        <f t="shared" si="158"/>
        <v>0</v>
      </c>
      <c r="Q2312" s="222">
        <f t="shared" si="159"/>
        <v>0</v>
      </c>
      <c r="R2312" s="532" t="str">
        <f t="shared" si="160"/>
        <v/>
      </c>
      <c r="S2312" s="533"/>
      <c r="T2312" s="533"/>
      <c r="U2312" s="496"/>
      <c r="V2312" s="496"/>
      <c r="W2312" s="496"/>
    </row>
    <row r="2313" spans="1:23" x14ac:dyDescent="0.2">
      <c r="A2313" s="510" t="str">
        <f t="shared" si="157"/>
        <v/>
      </c>
      <c r="B2313" s="428"/>
      <c r="C2313" s="424"/>
      <c r="D2313" s="415"/>
      <c r="E2313" s="415"/>
      <c r="F2313" s="425"/>
      <c r="G2313" s="415"/>
      <c r="H2313" s="415"/>
      <c r="I2313" s="473"/>
      <c r="J2313" s="415"/>
      <c r="K2313" s="415"/>
      <c r="L2313" s="415"/>
      <c r="M2313" s="415"/>
      <c r="N2313" s="414"/>
      <c r="O2313" s="428"/>
      <c r="P2313" s="222">
        <f t="shared" si="158"/>
        <v>0</v>
      </c>
      <c r="Q2313" s="222">
        <f t="shared" si="159"/>
        <v>0</v>
      </c>
      <c r="R2313" s="532" t="str">
        <f t="shared" si="160"/>
        <v/>
      </c>
      <c r="S2313" s="533"/>
      <c r="T2313" s="533"/>
      <c r="U2313" s="496"/>
      <c r="V2313" s="496"/>
      <c r="W2313" s="496"/>
    </row>
    <row r="2314" spans="1:23" x14ac:dyDescent="0.2">
      <c r="A2314" s="510" t="str">
        <f t="shared" si="157"/>
        <v/>
      </c>
      <c r="B2314" s="428"/>
      <c r="C2314" s="424"/>
      <c r="D2314" s="415"/>
      <c r="E2314" s="415"/>
      <c r="F2314" s="425"/>
      <c r="G2314" s="415"/>
      <c r="H2314" s="415"/>
      <c r="I2314" s="473"/>
      <c r="J2314" s="415"/>
      <c r="K2314" s="415"/>
      <c r="L2314" s="415"/>
      <c r="M2314" s="415"/>
      <c r="N2314" s="414"/>
      <c r="O2314" s="428"/>
      <c r="P2314" s="222">
        <f t="shared" si="158"/>
        <v>0</v>
      </c>
      <c r="Q2314" s="222">
        <f t="shared" si="159"/>
        <v>0</v>
      </c>
      <c r="R2314" s="532" t="str">
        <f t="shared" si="160"/>
        <v/>
      </c>
      <c r="S2314" s="533"/>
      <c r="T2314" s="533"/>
      <c r="U2314" s="496"/>
      <c r="V2314" s="496"/>
      <c r="W2314" s="496"/>
    </row>
    <row r="2315" spans="1:23" s="315" customFormat="1" x14ac:dyDescent="0.2">
      <c r="A2315" s="510" t="str">
        <f t="shared" si="157"/>
        <v/>
      </c>
      <c r="B2315" s="428"/>
      <c r="C2315" s="424"/>
      <c r="D2315" s="415"/>
      <c r="E2315" s="415"/>
      <c r="F2315" s="425"/>
      <c r="G2315" s="415"/>
      <c r="H2315" s="415"/>
      <c r="I2315" s="473"/>
      <c r="J2315" s="415"/>
      <c r="K2315" s="415"/>
      <c r="L2315" s="415"/>
      <c r="M2315" s="415"/>
      <c r="N2315" s="414"/>
      <c r="O2315" s="428"/>
      <c r="P2315" s="222">
        <f t="shared" si="158"/>
        <v>0</v>
      </c>
      <c r="Q2315" s="222">
        <f t="shared" si="159"/>
        <v>0</v>
      </c>
      <c r="R2315" s="532" t="str">
        <f t="shared" si="160"/>
        <v/>
      </c>
      <c r="S2315" s="533"/>
      <c r="T2315" s="533"/>
      <c r="U2315" s="496"/>
      <c r="V2315" s="496"/>
      <c r="W2315" s="496"/>
    </row>
    <row r="2316" spans="1:23" x14ac:dyDescent="0.2">
      <c r="A2316" s="510" t="str">
        <f t="shared" si="157"/>
        <v/>
      </c>
      <c r="B2316" s="428"/>
      <c r="C2316" s="424"/>
      <c r="D2316" s="415"/>
      <c r="E2316" s="415"/>
      <c r="F2316" s="425"/>
      <c r="G2316" s="415"/>
      <c r="H2316" s="415"/>
      <c r="I2316" s="473"/>
      <c r="J2316" s="415"/>
      <c r="K2316" s="415"/>
      <c r="L2316" s="415"/>
      <c r="M2316" s="415"/>
      <c r="N2316" s="414"/>
      <c r="O2316" s="428"/>
      <c r="P2316" s="222">
        <f t="shared" si="158"/>
        <v>0</v>
      </c>
      <c r="Q2316" s="222">
        <f t="shared" si="159"/>
        <v>0</v>
      </c>
      <c r="R2316" s="532" t="str">
        <f t="shared" si="160"/>
        <v/>
      </c>
      <c r="S2316" s="533"/>
      <c r="T2316" s="533"/>
      <c r="U2316" s="496"/>
      <c r="V2316" s="496"/>
      <c r="W2316" s="496"/>
    </row>
    <row r="2317" spans="1:23" x14ac:dyDescent="0.2">
      <c r="A2317" s="510" t="str">
        <f t="shared" si="157"/>
        <v/>
      </c>
      <c r="B2317" s="428"/>
      <c r="C2317" s="424"/>
      <c r="D2317" s="415"/>
      <c r="E2317" s="415"/>
      <c r="F2317" s="425"/>
      <c r="G2317" s="415"/>
      <c r="H2317" s="415"/>
      <c r="I2317" s="473"/>
      <c r="J2317" s="415"/>
      <c r="K2317" s="415"/>
      <c r="L2317" s="415"/>
      <c r="M2317" s="415"/>
      <c r="N2317" s="414"/>
      <c r="O2317" s="428"/>
      <c r="P2317" s="222">
        <f t="shared" si="158"/>
        <v>0</v>
      </c>
      <c r="Q2317" s="222">
        <f t="shared" si="159"/>
        <v>0</v>
      </c>
      <c r="R2317" s="532" t="str">
        <f t="shared" si="160"/>
        <v/>
      </c>
      <c r="S2317" s="533"/>
      <c r="T2317" s="533"/>
      <c r="U2317" s="496"/>
      <c r="V2317" s="496"/>
      <c r="W2317" s="496"/>
    </row>
    <row r="2318" spans="1:23" x14ac:dyDescent="0.2">
      <c r="A2318" s="510" t="str">
        <f t="shared" si="157"/>
        <v/>
      </c>
      <c r="B2318" s="428"/>
      <c r="C2318" s="424"/>
      <c r="D2318" s="415"/>
      <c r="E2318" s="415"/>
      <c r="F2318" s="425"/>
      <c r="G2318" s="415"/>
      <c r="H2318" s="415"/>
      <c r="I2318" s="473"/>
      <c r="J2318" s="415"/>
      <c r="K2318" s="415"/>
      <c r="L2318" s="415"/>
      <c r="M2318" s="415"/>
      <c r="N2318" s="414"/>
      <c r="O2318" s="428"/>
      <c r="P2318" s="222">
        <f t="shared" si="158"/>
        <v>0</v>
      </c>
      <c r="Q2318" s="222">
        <f t="shared" si="159"/>
        <v>0</v>
      </c>
      <c r="R2318" s="532" t="str">
        <f t="shared" si="160"/>
        <v/>
      </c>
      <c r="S2318" s="533"/>
      <c r="T2318" s="533"/>
      <c r="U2318" s="496"/>
      <c r="V2318" s="496"/>
      <c r="W2318" s="496"/>
    </row>
    <row r="2319" spans="1:23" x14ac:dyDescent="0.2">
      <c r="A2319" s="510" t="str">
        <f t="shared" si="157"/>
        <v/>
      </c>
      <c r="B2319" s="428"/>
      <c r="C2319" s="424"/>
      <c r="D2319" s="415"/>
      <c r="E2319" s="415"/>
      <c r="F2319" s="425"/>
      <c r="G2319" s="415"/>
      <c r="H2319" s="415"/>
      <c r="I2319" s="473"/>
      <c r="J2319" s="415"/>
      <c r="K2319" s="415"/>
      <c r="L2319" s="415"/>
      <c r="M2319" s="415"/>
      <c r="N2319" s="414"/>
      <c r="O2319" s="428"/>
      <c r="P2319" s="222">
        <f t="shared" si="158"/>
        <v>0</v>
      </c>
      <c r="Q2319" s="222">
        <f t="shared" si="159"/>
        <v>0</v>
      </c>
      <c r="R2319" s="532" t="str">
        <f t="shared" si="160"/>
        <v/>
      </c>
      <c r="S2319" s="533"/>
      <c r="T2319" s="533"/>
      <c r="U2319" s="496"/>
      <c r="V2319" s="496"/>
      <c r="W2319" s="496"/>
    </row>
    <row r="2320" spans="1:23" x14ac:dyDescent="0.2">
      <c r="A2320" s="510" t="str">
        <f t="shared" si="157"/>
        <v/>
      </c>
      <c r="B2320" s="428"/>
      <c r="C2320" s="424"/>
      <c r="D2320" s="415"/>
      <c r="E2320" s="415"/>
      <c r="F2320" s="425"/>
      <c r="G2320" s="415"/>
      <c r="H2320" s="415"/>
      <c r="I2320" s="473"/>
      <c r="J2320" s="415"/>
      <c r="K2320" s="415"/>
      <c r="L2320" s="415"/>
      <c r="M2320" s="415"/>
      <c r="N2320" s="414"/>
      <c r="O2320" s="428"/>
      <c r="P2320" s="222">
        <f t="shared" si="158"/>
        <v>0</v>
      </c>
      <c r="Q2320" s="222">
        <f t="shared" si="159"/>
        <v>0</v>
      </c>
      <c r="R2320" s="532" t="str">
        <f t="shared" si="160"/>
        <v/>
      </c>
      <c r="S2320" s="533"/>
      <c r="T2320" s="533"/>
      <c r="U2320" s="496"/>
      <c r="V2320" s="496"/>
      <c r="W2320" s="496"/>
    </row>
    <row r="2321" spans="1:23" x14ac:dyDescent="0.2">
      <c r="A2321" s="510" t="str">
        <f t="shared" si="157"/>
        <v/>
      </c>
      <c r="B2321" s="428"/>
      <c r="C2321" s="424"/>
      <c r="D2321" s="415"/>
      <c r="E2321" s="415"/>
      <c r="F2321" s="425"/>
      <c r="G2321" s="415"/>
      <c r="H2321" s="415"/>
      <c r="I2321" s="473"/>
      <c r="J2321" s="415"/>
      <c r="K2321" s="415"/>
      <c r="L2321" s="415"/>
      <c r="M2321" s="415"/>
      <c r="N2321" s="414"/>
      <c r="O2321" s="428"/>
      <c r="P2321" s="222">
        <f t="shared" si="158"/>
        <v>0</v>
      </c>
      <c r="Q2321" s="222">
        <f t="shared" si="159"/>
        <v>0</v>
      </c>
      <c r="R2321" s="532" t="str">
        <f t="shared" si="160"/>
        <v/>
      </c>
      <c r="S2321" s="533"/>
      <c r="T2321" s="533"/>
      <c r="U2321" s="496"/>
      <c r="V2321" s="496"/>
      <c r="W2321" s="496"/>
    </row>
    <row r="2322" spans="1:23" x14ac:dyDescent="0.2">
      <c r="A2322" s="510" t="str">
        <f t="shared" si="157"/>
        <v/>
      </c>
      <c r="B2322" s="428"/>
      <c r="C2322" s="424"/>
      <c r="D2322" s="415"/>
      <c r="E2322" s="415"/>
      <c r="F2322" s="425"/>
      <c r="G2322" s="415"/>
      <c r="H2322" s="415"/>
      <c r="I2322" s="473"/>
      <c r="J2322" s="415"/>
      <c r="K2322" s="415"/>
      <c r="L2322" s="415"/>
      <c r="M2322" s="415"/>
      <c r="N2322" s="414"/>
      <c r="O2322" s="428"/>
      <c r="P2322" s="222">
        <f t="shared" si="158"/>
        <v>0</v>
      </c>
      <c r="Q2322" s="222">
        <f t="shared" si="159"/>
        <v>0</v>
      </c>
      <c r="R2322" s="532" t="str">
        <f t="shared" si="160"/>
        <v/>
      </c>
      <c r="S2322" s="533"/>
      <c r="T2322" s="533"/>
      <c r="U2322" s="496"/>
      <c r="V2322" s="496"/>
      <c r="W2322" s="496"/>
    </row>
    <row r="2323" spans="1:23" x14ac:dyDescent="0.2">
      <c r="A2323" s="510" t="str">
        <f t="shared" si="157"/>
        <v/>
      </c>
      <c r="B2323" s="428"/>
      <c r="C2323" s="424"/>
      <c r="D2323" s="415"/>
      <c r="E2323" s="415"/>
      <c r="F2323" s="425"/>
      <c r="G2323" s="415"/>
      <c r="H2323" s="415"/>
      <c r="I2323" s="473"/>
      <c r="J2323" s="415"/>
      <c r="K2323" s="415"/>
      <c r="L2323" s="415"/>
      <c r="M2323" s="415"/>
      <c r="N2323" s="414"/>
      <c r="O2323" s="428"/>
      <c r="P2323" s="222">
        <f t="shared" si="158"/>
        <v>0</v>
      </c>
      <c r="Q2323" s="222">
        <f t="shared" si="159"/>
        <v>0</v>
      </c>
      <c r="R2323" s="532" t="str">
        <f t="shared" si="160"/>
        <v/>
      </c>
      <c r="S2323" s="533"/>
      <c r="T2323" s="533"/>
      <c r="U2323" s="496"/>
      <c r="V2323" s="496"/>
      <c r="W2323" s="496"/>
    </row>
    <row r="2324" spans="1:23" x14ac:dyDescent="0.2">
      <c r="A2324" s="510" t="str">
        <f t="shared" si="157"/>
        <v/>
      </c>
      <c r="B2324" s="428"/>
      <c r="C2324" s="424"/>
      <c r="D2324" s="415"/>
      <c r="E2324" s="415"/>
      <c r="F2324" s="425"/>
      <c r="G2324" s="415"/>
      <c r="H2324" s="415"/>
      <c r="I2324" s="473"/>
      <c r="J2324" s="415"/>
      <c r="K2324" s="415"/>
      <c r="L2324" s="415"/>
      <c r="M2324" s="415"/>
      <c r="N2324" s="414"/>
      <c r="O2324" s="428"/>
      <c r="P2324" s="222">
        <f t="shared" si="158"/>
        <v>0</v>
      </c>
      <c r="Q2324" s="222">
        <f t="shared" si="159"/>
        <v>0</v>
      </c>
      <c r="R2324" s="532" t="str">
        <f t="shared" si="160"/>
        <v/>
      </c>
      <c r="S2324" s="533"/>
      <c r="T2324" s="533"/>
      <c r="U2324" s="496"/>
      <c r="V2324" s="496"/>
      <c r="W2324" s="496"/>
    </row>
    <row r="2325" spans="1:23" x14ac:dyDescent="0.2">
      <c r="A2325" s="510" t="str">
        <f t="shared" si="157"/>
        <v/>
      </c>
      <c r="B2325" s="428"/>
      <c r="C2325" s="424"/>
      <c r="D2325" s="415"/>
      <c r="E2325" s="415"/>
      <c r="F2325" s="435"/>
      <c r="G2325" s="415"/>
      <c r="H2325" s="415"/>
      <c r="I2325" s="473"/>
      <c r="J2325" s="415"/>
      <c r="K2325" s="415"/>
      <c r="L2325" s="415"/>
      <c r="M2325" s="415"/>
      <c r="N2325" s="414"/>
      <c r="O2325" s="428"/>
      <c r="P2325" s="222">
        <f t="shared" si="158"/>
        <v>0</v>
      </c>
      <c r="Q2325" s="222">
        <f t="shared" si="159"/>
        <v>0</v>
      </c>
      <c r="R2325" s="532" t="str">
        <f t="shared" si="160"/>
        <v/>
      </c>
      <c r="S2325" s="533"/>
      <c r="T2325" s="533"/>
      <c r="U2325" s="496"/>
      <c r="V2325" s="496"/>
      <c r="W2325" s="496"/>
    </row>
    <row r="2326" spans="1:23" x14ac:dyDescent="0.2">
      <c r="A2326" s="510" t="str">
        <f t="shared" si="157"/>
        <v/>
      </c>
      <c r="B2326" s="428"/>
      <c r="C2326" s="424"/>
      <c r="D2326" s="415"/>
      <c r="E2326" s="415"/>
      <c r="F2326" s="425"/>
      <c r="G2326" s="415"/>
      <c r="H2326" s="415"/>
      <c r="I2326" s="473"/>
      <c r="J2326" s="415"/>
      <c r="K2326" s="415"/>
      <c r="L2326" s="415"/>
      <c r="M2326" s="415"/>
      <c r="N2326" s="414"/>
      <c r="O2326" s="428"/>
      <c r="P2326" s="222">
        <f t="shared" si="158"/>
        <v>0</v>
      </c>
      <c r="Q2326" s="222">
        <f t="shared" si="159"/>
        <v>0</v>
      </c>
      <c r="R2326" s="532" t="str">
        <f t="shared" si="160"/>
        <v/>
      </c>
      <c r="S2326" s="533"/>
      <c r="T2326" s="533"/>
      <c r="U2326" s="496"/>
      <c r="V2326" s="496"/>
      <c r="W2326" s="496"/>
    </row>
    <row r="2327" spans="1:23" x14ac:dyDescent="0.2">
      <c r="A2327" s="510" t="str">
        <f t="shared" si="157"/>
        <v/>
      </c>
      <c r="B2327" s="428"/>
      <c r="C2327" s="424"/>
      <c r="D2327" s="415"/>
      <c r="E2327" s="415"/>
      <c r="F2327" s="425"/>
      <c r="G2327" s="415"/>
      <c r="H2327" s="415"/>
      <c r="I2327" s="473"/>
      <c r="J2327" s="415"/>
      <c r="K2327" s="415"/>
      <c r="L2327" s="415"/>
      <c r="M2327" s="415"/>
      <c r="N2327" s="414"/>
      <c r="O2327" s="428"/>
      <c r="P2327" s="222">
        <f t="shared" si="158"/>
        <v>0</v>
      </c>
      <c r="Q2327" s="222">
        <f t="shared" si="159"/>
        <v>0</v>
      </c>
      <c r="R2327" s="532" t="str">
        <f t="shared" si="160"/>
        <v/>
      </c>
      <c r="S2327" s="533"/>
      <c r="T2327" s="533"/>
      <c r="U2327" s="496"/>
      <c r="V2327" s="496"/>
      <c r="W2327" s="496"/>
    </row>
    <row r="2328" spans="1:23" x14ac:dyDescent="0.2">
      <c r="A2328" s="510" t="str">
        <f t="shared" si="157"/>
        <v/>
      </c>
      <c r="B2328" s="428"/>
      <c r="C2328" s="424"/>
      <c r="D2328" s="415"/>
      <c r="E2328" s="415"/>
      <c r="F2328" s="425"/>
      <c r="G2328" s="415"/>
      <c r="H2328" s="415"/>
      <c r="I2328" s="473"/>
      <c r="J2328" s="415"/>
      <c r="K2328" s="415"/>
      <c r="L2328" s="415"/>
      <c r="M2328" s="415"/>
      <c r="N2328" s="414"/>
      <c r="O2328" s="428"/>
      <c r="P2328" s="222">
        <f t="shared" si="158"/>
        <v>0</v>
      </c>
      <c r="Q2328" s="222">
        <f t="shared" si="159"/>
        <v>0</v>
      </c>
      <c r="R2328" s="532" t="str">
        <f t="shared" si="160"/>
        <v/>
      </c>
      <c r="S2328" s="533"/>
      <c r="T2328" s="533"/>
      <c r="U2328" s="496"/>
      <c r="V2328" s="496"/>
      <c r="W2328" s="496"/>
    </row>
    <row r="2329" spans="1:23" x14ac:dyDescent="0.2">
      <c r="A2329" s="510" t="str">
        <f t="shared" ref="A2329:A2392" si="161">IF(B2329="","",ROW()-ROW($A$3))</f>
        <v/>
      </c>
      <c r="B2329" s="428"/>
      <c r="C2329" s="424"/>
      <c r="D2329" s="415"/>
      <c r="E2329" s="415"/>
      <c r="F2329" s="425"/>
      <c r="G2329" s="415"/>
      <c r="H2329" s="415"/>
      <c r="I2329" s="473"/>
      <c r="J2329" s="415"/>
      <c r="K2329" s="415"/>
      <c r="L2329" s="415"/>
      <c r="M2329" s="415"/>
      <c r="N2329" s="414"/>
      <c r="O2329" s="428"/>
      <c r="P2329" s="222">
        <f t="shared" ref="P2329:P2392" si="162">IF(B2329=0,0,IF(YEAR(B2329)=$Q$1,MONTH(B2329)-$P$1+1,(YEAR(B2329)-$Q$1)*12-$P$1+1+MONTH(B2329)))</f>
        <v>0</v>
      </c>
      <c r="Q2329" s="222">
        <f t="shared" ref="Q2329:Q2392" si="163">IF(C2329=0,0,IF(YEAR(C2329)=$Q$1,MONTH(C2329)-$P$1+1,(YEAR(C2329)-$Q$1)*12-$P$1+1+MONTH(C2329)))</f>
        <v>0</v>
      </c>
      <c r="R2329" s="532" t="str">
        <f t="shared" ref="R2329:R2392" si="164">SUBSTITUTE(D2329," ","_")</f>
        <v/>
      </c>
      <c r="S2329" s="533"/>
      <c r="T2329" s="533"/>
      <c r="U2329" s="496"/>
      <c r="V2329" s="496"/>
      <c r="W2329" s="496"/>
    </row>
    <row r="2330" spans="1:23" x14ac:dyDescent="0.2">
      <c r="A2330" s="510" t="str">
        <f t="shared" si="161"/>
        <v/>
      </c>
      <c r="B2330" s="428"/>
      <c r="C2330" s="424"/>
      <c r="D2330" s="415"/>
      <c r="E2330" s="415"/>
      <c r="F2330" s="425"/>
      <c r="G2330" s="415"/>
      <c r="H2330" s="415"/>
      <c r="I2330" s="473"/>
      <c r="J2330" s="415"/>
      <c r="K2330" s="415"/>
      <c r="L2330" s="415"/>
      <c r="M2330" s="415"/>
      <c r="N2330" s="414"/>
      <c r="O2330" s="428"/>
      <c r="P2330" s="222">
        <f t="shared" si="162"/>
        <v>0</v>
      </c>
      <c r="Q2330" s="222">
        <f t="shared" si="163"/>
        <v>0</v>
      </c>
      <c r="R2330" s="532" t="str">
        <f t="shared" si="164"/>
        <v/>
      </c>
      <c r="S2330" s="533"/>
      <c r="T2330" s="533"/>
      <c r="U2330" s="496"/>
      <c r="V2330" s="496"/>
      <c r="W2330" s="496"/>
    </row>
    <row r="2331" spans="1:23" x14ac:dyDescent="0.2">
      <c r="A2331" s="510" t="str">
        <f t="shared" si="161"/>
        <v/>
      </c>
      <c r="B2331" s="428"/>
      <c r="C2331" s="424"/>
      <c r="D2331" s="415"/>
      <c r="E2331" s="415"/>
      <c r="F2331" s="425"/>
      <c r="G2331" s="415"/>
      <c r="H2331" s="415"/>
      <c r="I2331" s="473"/>
      <c r="J2331" s="415"/>
      <c r="K2331" s="415"/>
      <c r="L2331" s="415"/>
      <c r="M2331" s="415"/>
      <c r="N2331" s="414"/>
      <c r="O2331" s="428"/>
      <c r="P2331" s="222">
        <f t="shared" si="162"/>
        <v>0</v>
      </c>
      <c r="Q2331" s="222">
        <f t="shared" si="163"/>
        <v>0</v>
      </c>
      <c r="R2331" s="532" t="str">
        <f t="shared" si="164"/>
        <v/>
      </c>
      <c r="S2331" s="533"/>
      <c r="T2331" s="533"/>
      <c r="U2331" s="496"/>
      <c r="V2331" s="496"/>
      <c r="W2331" s="496"/>
    </row>
    <row r="2332" spans="1:23" x14ac:dyDescent="0.2">
      <c r="A2332" s="510" t="str">
        <f t="shared" si="161"/>
        <v/>
      </c>
      <c r="B2332" s="428"/>
      <c r="C2332" s="424"/>
      <c r="D2332" s="415"/>
      <c r="E2332" s="415"/>
      <c r="F2332" s="425"/>
      <c r="G2332" s="415"/>
      <c r="H2332" s="415"/>
      <c r="I2332" s="473"/>
      <c r="J2332" s="415"/>
      <c r="K2332" s="415"/>
      <c r="L2332" s="415"/>
      <c r="M2332" s="415"/>
      <c r="N2332" s="414"/>
      <c r="O2332" s="428"/>
      <c r="P2332" s="222">
        <f t="shared" si="162"/>
        <v>0</v>
      </c>
      <c r="Q2332" s="222">
        <f t="shared" si="163"/>
        <v>0</v>
      </c>
      <c r="R2332" s="532" t="str">
        <f t="shared" si="164"/>
        <v/>
      </c>
      <c r="S2332" s="533"/>
      <c r="T2332" s="533"/>
      <c r="U2332" s="496"/>
      <c r="V2332" s="496"/>
      <c r="W2332" s="496"/>
    </row>
    <row r="2333" spans="1:23" x14ac:dyDescent="0.2">
      <c r="A2333" s="510" t="str">
        <f t="shared" si="161"/>
        <v/>
      </c>
      <c r="B2333" s="428"/>
      <c r="C2333" s="424"/>
      <c r="D2333" s="415"/>
      <c r="E2333" s="415"/>
      <c r="F2333" s="425"/>
      <c r="G2333" s="415"/>
      <c r="H2333" s="415"/>
      <c r="I2333" s="473"/>
      <c r="J2333" s="415"/>
      <c r="K2333" s="415"/>
      <c r="L2333" s="415"/>
      <c r="M2333" s="415"/>
      <c r="N2333" s="414"/>
      <c r="O2333" s="428"/>
      <c r="P2333" s="222">
        <f t="shared" si="162"/>
        <v>0</v>
      </c>
      <c r="Q2333" s="222">
        <f t="shared" si="163"/>
        <v>0</v>
      </c>
      <c r="R2333" s="532" t="str">
        <f t="shared" si="164"/>
        <v/>
      </c>
      <c r="S2333" s="533"/>
      <c r="T2333" s="533"/>
      <c r="U2333" s="496"/>
      <c r="V2333" s="496"/>
      <c r="W2333" s="496"/>
    </row>
    <row r="2334" spans="1:23" x14ac:dyDescent="0.2">
      <c r="A2334" s="510" t="str">
        <f t="shared" si="161"/>
        <v/>
      </c>
      <c r="B2334" s="428"/>
      <c r="C2334" s="424"/>
      <c r="D2334" s="415"/>
      <c r="E2334" s="415"/>
      <c r="F2334" s="425"/>
      <c r="G2334" s="415"/>
      <c r="H2334" s="415"/>
      <c r="I2334" s="473"/>
      <c r="J2334" s="415"/>
      <c r="K2334" s="415"/>
      <c r="L2334" s="415"/>
      <c r="M2334" s="415"/>
      <c r="N2334" s="414"/>
      <c r="O2334" s="428"/>
      <c r="P2334" s="222">
        <f t="shared" si="162"/>
        <v>0</v>
      </c>
      <c r="Q2334" s="222">
        <f t="shared" si="163"/>
        <v>0</v>
      </c>
      <c r="R2334" s="532" t="str">
        <f t="shared" si="164"/>
        <v/>
      </c>
      <c r="S2334" s="533"/>
      <c r="T2334" s="533"/>
      <c r="U2334" s="496"/>
      <c r="V2334" s="496"/>
      <c r="W2334" s="496"/>
    </row>
    <row r="2335" spans="1:23" x14ac:dyDescent="0.2">
      <c r="A2335" s="510" t="str">
        <f t="shared" si="161"/>
        <v/>
      </c>
      <c r="B2335" s="428"/>
      <c r="C2335" s="424"/>
      <c r="D2335" s="415"/>
      <c r="E2335" s="415"/>
      <c r="F2335" s="425"/>
      <c r="G2335" s="415"/>
      <c r="H2335" s="415"/>
      <c r="I2335" s="473"/>
      <c r="J2335" s="415"/>
      <c r="K2335" s="415"/>
      <c r="L2335" s="415"/>
      <c r="M2335" s="415"/>
      <c r="N2335" s="414"/>
      <c r="O2335" s="428"/>
      <c r="P2335" s="222">
        <f t="shared" si="162"/>
        <v>0</v>
      </c>
      <c r="Q2335" s="222">
        <f t="shared" si="163"/>
        <v>0</v>
      </c>
      <c r="R2335" s="532" t="str">
        <f t="shared" si="164"/>
        <v/>
      </c>
      <c r="S2335" s="533"/>
      <c r="T2335" s="533"/>
      <c r="U2335" s="496"/>
      <c r="V2335" s="496"/>
      <c r="W2335" s="496"/>
    </row>
    <row r="2336" spans="1:23" x14ac:dyDescent="0.2">
      <c r="A2336" s="510" t="str">
        <f t="shared" si="161"/>
        <v/>
      </c>
      <c r="B2336" s="428"/>
      <c r="C2336" s="424"/>
      <c r="D2336" s="415"/>
      <c r="E2336" s="415"/>
      <c r="F2336" s="425"/>
      <c r="G2336" s="415"/>
      <c r="H2336" s="415"/>
      <c r="I2336" s="473"/>
      <c r="J2336" s="415"/>
      <c r="K2336" s="415"/>
      <c r="L2336" s="415"/>
      <c r="M2336" s="415"/>
      <c r="N2336" s="414"/>
      <c r="O2336" s="428"/>
      <c r="P2336" s="222">
        <f t="shared" si="162"/>
        <v>0</v>
      </c>
      <c r="Q2336" s="222">
        <f t="shared" si="163"/>
        <v>0</v>
      </c>
      <c r="R2336" s="532" t="str">
        <f t="shared" si="164"/>
        <v/>
      </c>
      <c r="S2336" s="533"/>
      <c r="T2336" s="533"/>
      <c r="U2336" s="496"/>
      <c r="V2336" s="496"/>
      <c r="W2336" s="496"/>
    </row>
    <row r="2337" spans="1:23" x14ac:dyDescent="0.2">
      <c r="A2337" s="510" t="str">
        <f t="shared" si="161"/>
        <v/>
      </c>
      <c r="B2337" s="428"/>
      <c r="C2337" s="424"/>
      <c r="D2337" s="415"/>
      <c r="E2337" s="415"/>
      <c r="F2337" s="425"/>
      <c r="G2337" s="415"/>
      <c r="H2337" s="415"/>
      <c r="I2337" s="473"/>
      <c r="J2337" s="415"/>
      <c r="K2337" s="415"/>
      <c r="L2337" s="415"/>
      <c r="M2337" s="415"/>
      <c r="N2337" s="414"/>
      <c r="O2337" s="428"/>
      <c r="P2337" s="222">
        <f t="shared" si="162"/>
        <v>0</v>
      </c>
      <c r="Q2337" s="222">
        <f t="shared" si="163"/>
        <v>0</v>
      </c>
      <c r="R2337" s="532" t="str">
        <f t="shared" si="164"/>
        <v/>
      </c>
      <c r="S2337" s="533"/>
      <c r="T2337" s="533"/>
      <c r="U2337" s="496"/>
      <c r="V2337" s="496"/>
      <c r="W2337" s="496"/>
    </row>
    <row r="2338" spans="1:23" x14ac:dyDescent="0.2">
      <c r="A2338" s="510" t="str">
        <f t="shared" si="161"/>
        <v/>
      </c>
      <c r="B2338" s="428"/>
      <c r="C2338" s="424"/>
      <c r="D2338" s="415"/>
      <c r="E2338" s="415"/>
      <c r="F2338" s="425"/>
      <c r="G2338" s="415"/>
      <c r="H2338" s="415"/>
      <c r="I2338" s="473"/>
      <c r="J2338" s="415"/>
      <c r="K2338" s="415"/>
      <c r="L2338" s="415"/>
      <c r="M2338" s="415"/>
      <c r="N2338" s="414"/>
      <c r="O2338" s="428"/>
      <c r="P2338" s="222">
        <f t="shared" si="162"/>
        <v>0</v>
      </c>
      <c r="Q2338" s="222">
        <f t="shared" si="163"/>
        <v>0</v>
      </c>
      <c r="R2338" s="532" t="str">
        <f t="shared" si="164"/>
        <v/>
      </c>
      <c r="S2338" s="533"/>
      <c r="T2338" s="533"/>
      <c r="U2338" s="496"/>
      <c r="V2338" s="496"/>
      <c r="W2338" s="496"/>
    </row>
    <row r="2339" spans="1:23" x14ac:dyDescent="0.2">
      <c r="A2339" s="510" t="str">
        <f t="shared" si="161"/>
        <v/>
      </c>
      <c r="B2339" s="428"/>
      <c r="C2339" s="424"/>
      <c r="D2339" s="415"/>
      <c r="E2339" s="415"/>
      <c r="F2339" s="425"/>
      <c r="G2339" s="415"/>
      <c r="H2339" s="415"/>
      <c r="I2339" s="473"/>
      <c r="J2339" s="415"/>
      <c r="K2339" s="415"/>
      <c r="L2339" s="415"/>
      <c r="M2339" s="415"/>
      <c r="N2339" s="414"/>
      <c r="O2339" s="428"/>
      <c r="P2339" s="222">
        <f t="shared" si="162"/>
        <v>0</v>
      </c>
      <c r="Q2339" s="222">
        <f t="shared" si="163"/>
        <v>0</v>
      </c>
      <c r="R2339" s="532" t="str">
        <f t="shared" si="164"/>
        <v/>
      </c>
      <c r="S2339" s="533"/>
      <c r="T2339" s="533"/>
      <c r="U2339" s="496"/>
      <c r="V2339" s="496"/>
      <c r="W2339" s="496"/>
    </row>
    <row r="2340" spans="1:23" x14ac:dyDescent="0.2">
      <c r="A2340" s="510" t="str">
        <f t="shared" si="161"/>
        <v/>
      </c>
      <c r="B2340" s="428"/>
      <c r="C2340" s="424"/>
      <c r="D2340" s="415"/>
      <c r="E2340" s="415"/>
      <c r="F2340" s="425"/>
      <c r="G2340" s="415"/>
      <c r="H2340" s="415"/>
      <c r="I2340" s="473"/>
      <c r="J2340" s="415"/>
      <c r="K2340" s="415"/>
      <c r="L2340" s="415"/>
      <c r="M2340" s="415"/>
      <c r="N2340" s="414"/>
      <c r="O2340" s="428"/>
      <c r="P2340" s="222">
        <f t="shared" si="162"/>
        <v>0</v>
      </c>
      <c r="Q2340" s="222">
        <f t="shared" si="163"/>
        <v>0</v>
      </c>
      <c r="R2340" s="532" t="str">
        <f t="shared" si="164"/>
        <v/>
      </c>
      <c r="S2340" s="533"/>
      <c r="T2340" s="533"/>
      <c r="U2340" s="496"/>
      <c r="V2340" s="496"/>
      <c r="W2340" s="496"/>
    </row>
    <row r="2341" spans="1:23" x14ac:dyDescent="0.2">
      <c r="A2341" s="510" t="str">
        <f t="shared" si="161"/>
        <v/>
      </c>
      <c r="B2341" s="428"/>
      <c r="C2341" s="424"/>
      <c r="D2341" s="415"/>
      <c r="E2341" s="415"/>
      <c r="F2341" s="425"/>
      <c r="G2341" s="415"/>
      <c r="H2341" s="415"/>
      <c r="I2341" s="473"/>
      <c r="J2341" s="415"/>
      <c r="K2341" s="415"/>
      <c r="L2341" s="415"/>
      <c r="M2341" s="415"/>
      <c r="N2341" s="414"/>
      <c r="O2341" s="428"/>
      <c r="P2341" s="222">
        <f t="shared" si="162"/>
        <v>0</v>
      </c>
      <c r="Q2341" s="222">
        <f t="shared" si="163"/>
        <v>0</v>
      </c>
      <c r="R2341" s="532" t="str">
        <f t="shared" si="164"/>
        <v/>
      </c>
      <c r="S2341" s="533"/>
      <c r="T2341" s="533"/>
      <c r="U2341" s="496"/>
      <c r="V2341" s="496"/>
      <c r="W2341" s="496"/>
    </row>
    <row r="2342" spans="1:23" x14ac:dyDescent="0.2">
      <c r="A2342" s="510" t="str">
        <f t="shared" si="161"/>
        <v/>
      </c>
      <c r="B2342" s="428"/>
      <c r="C2342" s="424"/>
      <c r="D2342" s="415"/>
      <c r="E2342" s="415"/>
      <c r="F2342" s="425"/>
      <c r="G2342" s="415"/>
      <c r="H2342" s="415"/>
      <c r="I2342" s="473"/>
      <c r="J2342" s="415"/>
      <c r="K2342" s="415"/>
      <c r="L2342" s="415"/>
      <c r="M2342" s="415"/>
      <c r="N2342" s="414"/>
      <c r="O2342" s="428"/>
      <c r="P2342" s="222">
        <f t="shared" si="162"/>
        <v>0</v>
      </c>
      <c r="Q2342" s="222">
        <f t="shared" si="163"/>
        <v>0</v>
      </c>
      <c r="R2342" s="532" t="str">
        <f t="shared" si="164"/>
        <v/>
      </c>
      <c r="S2342" s="533"/>
      <c r="T2342" s="533"/>
      <c r="U2342" s="496"/>
      <c r="V2342" s="496"/>
      <c r="W2342" s="496"/>
    </row>
    <row r="2343" spans="1:23" x14ac:dyDescent="0.2">
      <c r="A2343" s="510" t="str">
        <f t="shared" si="161"/>
        <v/>
      </c>
      <c r="B2343" s="428"/>
      <c r="C2343" s="424"/>
      <c r="D2343" s="415"/>
      <c r="E2343" s="415"/>
      <c r="F2343" s="425"/>
      <c r="G2343" s="415"/>
      <c r="H2343" s="415"/>
      <c r="I2343" s="473"/>
      <c r="J2343" s="415"/>
      <c r="K2343" s="415"/>
      <c r="L2343" s="415"/>
      <c r="M2343" s="415"/>
      <c r="N2343" s="414"/>
      <c r="O2343" s="428"/>
      <c r="P2343" s="222">
        <f t="shared" si="162"/>
        <v>0</v>
      </c>
      <c r="Q2343" s="222">
        <f t="shared" si="163"/>
        <v>0</v>
      </c>
      <c r="R2343" s="532" t="str">
        <f t="shared" si="164"/>
        <v/>
      </c>
      <c r="S2343" s="533"/>
      <c r="T2343" s="533"/>
      <c r="U2343" s="496"/>
      <c r="V2343" s="496"/>
      <c r="W2343" s="496"/>
    </row>
    <row r="2344" spans="1:23" x14ac:dyDescent="0.2">
      <c r="A2344" s="510" t="str">
        <f t="shared" si="161"/>
        <v/>
      </c>
      <c r="B2344" s="428"/>
      <c r="C2344" s="424"/>
      <c r="D2344" s="415"/>
      <c r="E2344" s="415"/>
      <c r="F2344" s="425"/>
      <c r="G2344" s="415"/>
      <c r="H2344" s="415"/>
      <c r="I2344" s="473"/>
      <c r="J2344" s="415"/>
      <c r="K2344" s="415"/>
      <c r="L2344" s="415"/>
      <c r="M2344" s="415"/>
      <c r="N2344" s="414"/>
      <c r="O2344" s="428"/>
      <c r="P2344" s="222">
        <f t="shared" si="162"/>
        <v>0</v>
      </c>
      <c r="Q2344" s="222">
        <f t="shared" si="163"/>
        <v>0</v>
      </c>
      <c r="R2344" s="532" t="str">
        <f t="shared" si="164"/>
        <v/>
      </c>
      <c r="S2344" s="533"/>
      <c r="T2344" s="533"/>
      <c r="U2344" s="496"/>
      <c r="V2344" s="496"/>
      <c r="W2344" s="496"/>
    </row>
    <row r="2345" spans="1:23" x14ac:dyDescent="0.2">
      <c r="A2345" s="510" t="str">
        <f t="shared" si="161"/>
        <v/>
      </c>
      <c r="B2345" s="428"/>
      <c r="C2345" s="424"/>
      <c r="D2345" s="415"/>
      <c r="E2345" s="415"/>
      <c r="F2345" s="425"/>
      <c r="G2345" s="415"/>
      <c r="H2345" s="415"/>
      <c r="I2345" s="473"/>
      <c r="J2345" s="415"/>
      <c r="K2345" s="415"/>
      <c r="L2345" s="415"/>
      <c r="M2345" s="415"/>
      <c r="N2345" s="414"/>
      <c r="O2345" s="428"/>
      <c r="P2345" s="222">
        <f t="shared" si="162"/>
        <v>0</v>
      </c>
      <c r="Q2345" s="222">
        <f t="shared" si="163"/>
        <v>0</v>
      </c>
      <c r="R2345" s="532" t="str">
        <f t="shared" si="164"/>
        <v/>
      </c>
      <c r="S2345" s="533"/>
      <c r="T2345" s="533"/>
      <c r="U2345" s="496"/>
      <c r="V2345" s="496"/>
      <c r="W2345" s="496"/>
    </row>
    <row r="2346" spans="1:23" s="307" customFormat="1" x14ac:dyDescent="0.2">
      <c r="A2346" s="510" t="str">
        <f t="shared" si="161"/>
        <v/>
      </c>
      <c r="B2346" s="465"/>
      <c r="C2346" s="466"/>
      <c r="D2346" s="415"/>
      <c r="E2346" s="415"/>
      <c r="F2346" s="435"/>
      <c r="G2346" s="415"/>
      <c r="H2346" s="434"/>
      <c r="I2346" s="473"/>
      <c r="J2346" s="415"/>
      <c r="K2346" s="434"/>
      <c r="L2346" s="434"/>
      <c r="M2346" s="434"/>
      <c r="N2346" s="455"/>
      <c r="O2346" s="428"/>
      <c r="P2346" s="222">
        <f t="shared" si="162"/>
        <v>0</v>
      </c>
      <c r="Q2346" s="222">
        <f t="shared" si="163"/>
        <v>0</v>
      </c>
      <c r="R2346" s="532" t="str">
        <f t="shared" si="164"/>
        <v/>
      </c>
      <c r="S2346" s="533"/>
      <c r="T2346" s="533"/>
      <c r="U2346" s="496"/>
      <c r="V2346" s="496"/>
      <c r="W2346" s="496"/>
    </row>
    <row r="2347" spans="1:23" x14ac:dyDescent="0.2">
      <c r="A2347" s="510" t="str">
        <f t="shared" si="161"/>
        <v/>
      </c>
      <c r="B2347" s="428"/>
      <c r="C2347" s="424"/>
      <c r="D2347" s="415"/>
      <c r="E2347" s="415"/>
      <c r="F2347" s="425"/>
      <c r="G2347" s="415"/>
      <c r="H2347" s="415"/>
      <c r="I2347" s="473"/>
      <c r="J2347" s="415"/>
      <c r="K2347" s="415"/>
      <c r="L2347" s="415"/>
      <c r="M2347" s="415"/>
      <c r="N2347" s="414"/>
      <c r="O2347" s="428"/>
      <c r="P2347" s="222">
        <f t="shared" si="162"/>
        <v>0</v>
      </c>
      <c r="Q2347" s="222">
        <f t="shared" si="163"/>
        <v>0</v>
      </c>
      <c r="R2347" s="532" t="str">
        <f t="shared" si="164"/>
        <v/>
      </c>
      <c r="S2347" s="533"/>
      <c r="T2347" s="533"/>
      <c r="U2347" s="496"/>
      <c r="V2347" s="496"/>
      <c r="W2347" s="496"/>
    </row>
    <row r="2348" spans="1:23" x14ac:dyDescent="0.2">
      <c r="A2348" s="510" t="str">
        <f t="shared" si="161"/>
        <v/>
      </c>
      <c r="B2348" s="428"/>
      <c r="C2348" s="424"/>
      <c r="D2348" s="415"/>
      <c r="E2348" s="415"/>
      <c r="F2348" s="425"/>
      <c r="G2348" s="415"/>
      <c r="H2348" s="415"/>
      <c r="I2348" s="473"/>
      <c r="J2348" s="415"/>
      <c r="K2348" s="415"/>
      <c r="L2348" s="415"/>
      <c r="M2348" s="415"/>
      <c r="N2348" s="414"/>
      <c r="O2348" s="428"/>
      <c r="P2348" s="222">
        <f t="shared" si="162"/>
        <v>0</v>
      </c>
      <c r="Q2348" s="222">
        <f t="shared" si="163"/>
        <v>0</v>
      </c>
      <c r="R2348" s="532" t="str">
        <f t="shared" si="164"/>
        <v/>
      </c>
      <c r="S2348" s="533"/>
      <c r="T2348" s="533"/>
      <c r="U2348" s="496"/>
      <c r="V2348" s="496"/>
      <c r="W2348" s="496"/>
    </row>
    <row r="2349" spans="1:23" x14ac:dyDescent="0.2">
      <c r="A2349" s="510" t="str">
        <f t="shared" si="161"/>
        <v/>
      </c>
      <c r="B2349" s="428"/>
      <c r="C2349" s="424"/>
      <c r="D2349" s="415"/>
      <c r="E2349" s="415"/>
      <c r="F2349" s="425"/>
      <c r="G2349" s="415"/>
      <c r="H2349" s="415"/>
      <c r="I2349" s="473"/>
      <c r="J2349" s="415"/>
      <c r="K2349" s="415"/>
      <c r="L2349" s="415"/>
      <c r="M2349" s="415"/>
      <c r="N2349" s="414"/>
      <c r="O2349" s="428"/>
      <c r="P2349" s="222">
        <f t="shared" si="162"/>
        <v>0</v>
      </c>
      <c r="Q2349" s="222">
        <f t="shared" si="163"/>
        <v>0</v>
      </c>
      <c r="R2349" s="532" t="str">
        <f t="shared" si="164"/>
        <v/>
      </c>
      <c r="S2349" s="533"/>
      <c r="T2349" s="533"/>
      <c r="U2349" s="496"/>
      <c r="V2349" s="496"/>
      <c r="W2349" s="496"/>
    </row>
    <row r="2350" spans="1:23" x14ac:dyDescent="0.2">
      <c r="A2350" s="510" t="str">
        <f t="shared" si="161"/>
        <v/>
      </c>
      <c r="B2350" s="428"/>
      <c r="C2350" s="424"/>
      <c r="D2350" s="415"/>
      <c r="E2350" s="415"/>
      <c r="F2350" s="425"/>
      <c r="G2350" s="415"/>
      <c r="H2350" s="415"/>
      <c r="I2350" s="473"/>
      <c r="J2350" s="415"/>
      <c r="K2350" s="415"/>
      <c r="L2350" s="415"/>
      <c r="M2350" s="415"/>
      <c r="N2350" s="414"/>
      <c r="O2350" s="428"/>
      <c r="P2350" s="222">
        <f t="shared" si="162"/>
        <v>0</v>
      </c>
      <c r="Q2350" s="222">
        <f t="shared" si="163"/>
        <v>0</v>
      </c>
      <c r="R2350" s="532" t="str">
        <f t="shared" si="164"/>
        <v/>
      </c>
      <c r="S2350" s="533"/>
      <c r="T2350" s="533"/>
      <c r="U2350" s="496"/>
      <c r="V2350" s="496"/>
      <c r="W2350" s="496"/>
    </row>
    <row r="2351" spans="1:23" x14ac:dyDescent="0.2">
      <c r="A2351" s="510" t="str">
        <f t="shared" si="161"/>
        <v/>
      </c>
      <c r="B2351" s="428"/>
      <c r="C2351" s="424"/>
      <c r="D2351" s="415"/>
      <c r="E2351" s="415"/>
      <c r="F2351" s="425"/>
      <c r="G2351" s="415"/>
      <c r="H2351" s="415"/>
      <c r="I2351" s="473"/>
      <c r="J2351" s="415"/>
      <c r="K2351" s="415"/>
      <c r="L2351" s="415"/>
      <c r="M2351" s="415"/>
      <c r="N2351" s="414"/>
      <c r="O2351" s="428"/>
      <c r="P2351" s="222">
        <f t="shared" si="162"/>
        <v>0</v>
      </c>
      <c r="Q2351" s="222">
        <f t="shared" si="163"/>
        <v>0</v>
      </c>
      <c r="R2351" s="532" t="str">
        <f t="shared" si="164"/>
        <v/>
      </c>
      <c r="S2351" s="533"/>
      <c r="T2351" s="533"/>
      <c r="U2351" s="496"/>
      <c r="V2351" s="496"/>
      <c r="W2351" s="496"/>
    </row>
    <row r="2352" spans="1:23" x14ac:dyDescent="0.2">
      <c r="A2352" s="510" t="str">
        <f t="shared" si="161"/>
        <v/>
      </c>
      <c r="B2352" s="428"/>
      <c r="C2352" s="424"/>
      <c r="D2352" s="415"/>
      <c r="E2352" s="415"/>
      <c r="F2352" s="425"/>
      <c r="G2352" s="415"/>
      <c r="H2352" s="415"/>
      <c r="I2352" s="473"/>
      <c r="J2352" s="415"/>
      <c r="K2352" s="415"/>
      <c r="L2352" s="415"/>
      <c r="M2352" s="415"/>
      <c r="N2352" s="414"/>
      <c r="O2352" s="428"/>
      <c r="P2352" s="222">
        <f t="shared" si="162"/>
        <v>0</v>
      </c>
      <c r="Q2352" s="222">
        <f t="shared" si="163"/>
        <v>0</v>
      </c>
      <c r="R2352" s="532" t="str">
        <f t="shared" si="164"/>
        <v/>
      </c>
      <c r="S2352" s="533"/>
      <c r="T2352" s="533"/>
      <c r="U2352" s="496"/>
      <c r="V2352" s="496"/>
      <c r="W2352" s="496"/>
    </row>
    <row r="2353" spans="1:23" x14ac:dyDescent="0.2">
      <c r="A2353" s="510" t="str">
        <f t="shared" si="161"/>
        <v/>
      </c>
      <c r="B2353" s="428"/>
      <c r="C2353" s="424"/>
      <c r="D2353" s="415"/>
      <c r="E2353" s="415"/>
      <c r="F2353" s="425"/>
      <c r="G2353" s="415"/>
      <c r="H2353" s="415"/>
      <c r="I2353" s="473"/>
      <c r="J2353" s="415"/>
      <c r="K2353" s="415"/>
      <c r="L2353" s="415"/>
      <c r="M2353" s="415"/>
      <c r="N2353" s="414"/>
      <c r="O2353" s="428"/>
      <c r="P2353" s="222">
        <f t="shared" si="162"/>
        <v>0</v>
      </c>
      <c r="Q2353" s="222">
        <f t="shared" si="163"/>
        <v>0</v>
      </c>
      <c r="R2353" s="532" t="str">
        <f t="shared" si="164"/>
        <v/>
      </c>
      <c r="S2353" s="533"/>
      <c r="T2353" s="533"/>
      <c r="U2353" s="496"/>
      <c r="V2353" s="496"/>
      <c r="W2353" s="496"/>
    </row>
    <row r="2354" spans="1:23" x14ac:dyDescent="0.2">
      <c r="A2354" s="510" t="str">
        <f t="shared" si="161"/>
        <v/>
      </c>
      <c r="B2354" s="428"/>
      <c r="C2354" s="424"/>
      <c r="D2354" s="415"/>
      <c r="E2354" s="415"/>
      <c r="F2354" s="425"/>
      <c r="G2354" s="415"/>
      <c r="H2354" s="415"/>
      <c r="I2354" s="473"/>
      <c r="J2354" s="415"/>
      <c r="K2354" s="415"/>
      <c r="L2354" s="415"/>
      <c r="M2354" s="415"/>
      <c r="N2354" s="414"/>
      <c r="O2354" s="428"/>
      <c r="P2354" s="222">
        <f t="shared" si="162"/>
        <v>0</v>
      </c>
      <c r="Q2354" s="222">
        <f t="shared" si="163"/>
        <v>0</v>
      </c>
      <c r="R2354" s="532" t="str">
        <f t="shared" si="164"/>
        <v/>
      </c>
      <c r="S2354" s="533"/>
      <c r="T2354" s="533"/>
      <c r="U2354" s="496"/>
      <c r="V2354" s="496"/>
      <c r="W2354" s="496"/>
    </row>
    <row r="2355" spans="1:23" x14ac:dyDescent="0.2">
      <c r="A2355" s="510" t="str">
        <f t="shared" si="161"/>
        <v/>
      </c>
      <c r="B2355" s="428"/>
      <c r="C2355" s="424"/>
      <c r="D2355" s="415"/>
      <c r="E2355" s="415"/>
      <c r="F2355" s="425"/>
      <c r="G2355" s="415"/>
      <c r="H2355" s="415"/>
      <c r="I2355" s="473"/>
      <c r="J2355" s="415"/>
      <c r="K2355" s="415"/>
      <c r="L2355" s="415"/>
      <c r="M2355" s="415"/>
      <c r="N2355" s="414"/>
      <c r="O2355" s="428"/>
      <c r="P2355" s="222">
        <f t="shared" si="162"/>
        <v>0</v>
      </c>
      <c r="Q2355" s="222">
        <f t="shared" si="163"/>
        <v>0</v>
      </c>
      <c r="R2355" s="532" t="str">
        <f t="shared" si="164"/>
        <v/>
      </c>
      <c r="S2355" s="533"/>
      <c r="T2355" s="533"/>
      <c r="U2355" s="496"/>
      <c r="V2355" s="496"/>
      <c r="W2355" s="496"/>
    </row>
    <row r="2356" spans="1:23" x14ac:dyDescent="0.2">
      <c r="A2356" s="510" t="str">
        <f t="shared" si="161"/>
        <v/>
      </c>
      <c r="B2356" s="428"/>
      <c r="C2356" s="424"/>
      <c r="D2356" s="415"/>
      <c r="E2356" s="415"/>
      <c r="F2356" s="425"/>
      <c r="G2356" s="415"/>
      <c r="H2356" s="415"/>
      <c r="I2356" s="473"/>
      <c r="J2356" s="415"/>
      <c r="K2356" s="415"/>
      <c r="L2356" s="415"/>
      <c r="M2356" s="415"/>
      <c r="N2356" s="414"/>
      <c r="O2356" s="428"/>
      <c r="P2356" s="222">
        <f t="shared" si="162"/>
        <v>0</v>
      </c>
      <c r="Q2356" s="222">
        <f t="shared" si="163"/>
        <v>0</v>
      </c>
      <c r="R2356" s="532" t="str">
        <f t="shared" si="164"/>
        <v/>
      </c>
      <c r="S2356" s="533"/>
      <c r="T2356" s="533"/>
      <c r="U2356" s="496"/>
      <c r="V2356" s="496"/>
      <c r="W2356" s="496"/>
    </row>
    <row r="2357" spans="1:23" x14ac:dyDescent="0.2">
      <c r="A2357" s="510" t="str">
        <f t="shared" si="161"/>
        <v/>
      </c>
      <c r="B2357" s="428"/>
      <c r="C2357" s="424"/>
      <c r="D2357" s="415"/>
      <c r="E2357" s="415"/>
      <c r="F2357" s="425"/>
      <c r="G2357" s="415"/>
      <c r="H2357" s="415"/>
      <c r="I2357" s="473"/>
      <c r="J2357" s="415"/>
      <c r="K2357" s="415"/>
      <c r="L2357" s="415"/>
      <c r="M2357" s="415"/>
      <c r="N2357" s="414"/>
      <c r="O2357" s="428"/>
      <c r="P2357" s="222">
        <f t="shared" si="162"/>
        <v>0</v>
      </c>
      <c r="Q2357" s="222">
        <f t="shared" si="163"/>
        <v>0</v>
      </c>
      <c r="R2357" s="532" t="str">
        <f t="shared" si="164"/>
        <v/>
      </c>
      <c r="S2357" s="533"/>
      <c r="T2357" s="533"/>
      <c r="U2357" s="496"/>
      <c r="V2357" s="496"/>
      <c r="W2357" s="496"/>
    </row>
    <row r="2358" spans="1:23" x14ac:dyDescent="0.2">
      <c r="A2358" s="510" t="str">
        <f t="shared" si="161"/>
        <v/>
      </c>
      <c r="B2358" s="428"/>
      <c r="C2358" s="424"/>
      <c r="D2358" s="415"/>
      <c r="E2358" s="415"/>
      <c r="F2358" s="425"/>
      <c r="G2358" s="415"/>
      <c r="H2358" s="415"/>
      <c r="I2358" s="473"/>
      <c r="J2358" s="415"/>
      <c r="K2358" s="415"/>
      <c r="L2358" s="415"/>
      <c r="M2358" s="415"/>
      <c r="N2358" s="414"/>
      <c r="O2358" s="428"/>
      <c r="P2358" s="222">
        <f t="shared" si="162"/>
        <v>0</v>
      </c>
      <c r="Q2358" s="222">
        <f t="shared" si="163"/>
        <v>0</v>
      </c>
      <c r="R2358" s="532" t="str">
        <f t="shared" si="164"/>
        <v/>
      </c>
      <c r="S2358" s="533"/>
      <c r="T2358" s="533"/>
      <c r="U2358" s="496"/>
      <c r="V2358" s="496"/>
      <c r="W2358" s="496"/>
    </row>
    <row r="2359" spans="1:23" x14ac:dyDescent="0.2">
      <c r="A2359" s="510" t="str">
        <f t="shared" si="161"/>
        <v/>
      </c>
      <c r="B2359" s="428"/>
      <c r="C2359" s="424"/>
      <c r="D2359" s="415"/>
      <c r="E2359" s="415"/>
      <c r="F2359" s="425"/>
      <c r="G2359" s="415"/>
      <c r="H2359" s="415"/>
      <c r="I2359" s="473"/>
      <c r="J2359" s="415"/>
      <c r="K2359" s="415"/>
      <c r="L2359" s="415"/>
      <c r="M2359" s="415"/>
      <c r="N2359" s="414"/>
      <c r="O2359" s="428"/>
      <c r="P2359" s="222">
        <f t="shared" si="162"/>
        <v>0</v>
      </c>
      <c r="Q2359" s="222">
        <f t="shared" si="163"/>
        <v>0</v>
      </c>
      <c r="R2359" s="532" t="str">
        <f t="shared" si="164"/>
        <v/>
      </c>
      <c r="S2359" s="533"/>
      <c r="T2359" s="533"/>
      <c r="U2359" s="496"/>
      <c r="V2359" s="496"/>
      <c r="W2359" s="496"/>
    </row>
    <row r="2360" spans="1:23" x14ac:dyDescent="0.2">
      <c r="A2360" s="510" t="str">
        <f t="shared" si="161"/>
        <v/>
      </c>
      <c r="B2360" s="428"/>
      <c r="C2360" s="424"/>
      <c r="D2360" s="415"/>
      <c r="E2360" s="415"/>
      <c r="F2360" s="425"/>
      <c r="G2360" s="415"/>
      <c r="H2360" s="415"/>
      <c r="I2360" s="473"/>
      <c r="J2360" s="415"/>
      <c r="K2360" s="415"/>
      <c r="L2360" s="415"/>
      <c r="M2360" s="415"/>
      <c r="N2360" s="414"/>
      <c r="O2360" s="428"/>
      <c r="P2360" s="222">
        <f t="shared" si="162"/>
        <v>0</v>
      </c>
      <c r="Q2360" s="222">
        <f t="shared" si="163"/>
        <v>0</v>
      </c>
      <c r="R2360" s="532" t="str">
        <f t="shared" si="164"/>
        <v/>
      </c>
      <c r="S2360" s="533"/>
      <c r="T2360" s="533"/>
      <c r="U2360" s="496"/>
      <c r="V2360" s="496"/>
      <c r="W2360" s="496"/>
    </row>
    <row r="2361" spans="1:23" x14ac:dyDescent="0.2">
      <c r="A2361" s="510" t="str">
        <f t="shared" si="161"/>
        <v/>
      </c>
      <c r="B2361" s="428"/>
      <c r="C2361" s="424"/>
      <c r="D2361" s="415"/>
      <c r="E2361" s="415"/>
      <c r="F2361" s="425"/>
      <c r="G2361" s="415"/>
      <c r="H2361" s="415"/>
      <c r="I2361" s="473"/>
      <c r="J2361" s="415"/>
      <c r="K2361" s="415"/>
      <c r="L2361" s="415"/>
      <c r="M2361" s="415"/>
      <c r="N2361" s="414"/>
      <c r="O2361" s="428"/>
      <c r="P2361" s="222">
        <f t="shared" si="162"/>
        <v>0</v>
      </c>
      <c r="Q2361" s="222">
        <f t="shared" si="163"/>
        <v>0</v>
      </c>
      <c r="R2361" s="532" t="str">
        <f t="shared" si="164"/>
        <v/>
      </c>
      <c r="S2361" s="533"/>
      <c r="T2361" s="533"/>
      <c r="U2361" s="496"/>
      <c r="V2361" s="496"/>
      <c r="W2361" s="496"/>
    </row>
    <row r="2362" spans="1:23" x14ac:dyDescent="0.2">
      <c r="A2362" s="510" t="str">
        <f t="shared" si="161"/>
        <v/>
      </c>
      <c r="B2362" s="428"/>
      <c r="C2362" s="424"/>
      <c r="D2362" s="415"/>
      <c r="E2362" s="415"/>
      <c r="F2362" s="425"/>
      <c r="G2362" s="415"/>
      <c r="H2362" s="415"/>
      <c r="I2362" s="473"/>
      <c r="J2362" s="415"/>
      <c r="K2362" s="415"/>
      <c r="L2362" s="415"/>
      <c r="M2362" s="415"/>
      <c r="N2362" s="414"/>
      <c r="O2362" s="428"/>
      <c r="P2362" s="222">
        <f t="shared" si="162"/>
        <v>0</v>
      </c>
      <c r="Q2362" s="222">
        <f t="shared" si="163"/>
        <v>0</v>
      </c>
      <c r="R2362" s="532" t="str">
        <f t="shared" si="164"/>
        <v/>
      </c>
      <c r="S2362" s="533"/>
      <c r="T2362" s="533"/>
      <c r="U2362" s="496"/>
      <c r="V2362" s="496"/>
      <c r="W2362" s="496"/>
    </row>
    <row r="2363" spans="1:23" x14ac:dyDescent="0.2">
      <c r="A2363" s="510" t="str">
        <f t="shared" si="161"/>
        <v/>
      </c>
      <c r="B2363" s="428"/>
      <c r="C2363" s="424"/>
      <c r="D2363" s="415"/>
      <c r="E2363" s="415"/>
      <c r="F2363" s="425"/>
      <c r="G2363" s="415"/>
      <c r="H2363" s="415"/>
      <c r="I2363" s="473"/>
      <c r="J2363" s="415"/>
      <c r="K2363" s="415"/>
      <c r="L2363" s="415"/>
      <c r="M2363" s="415"/>
      <c r="N2363" s="414"/>
      <c r="O2363" s="428"/>
      <c r="P2363" s="222">
        <f t="shared" si="162"/>
        <v>0</v>
      </c>
      <c r="Q2363" s="222">
        <f t="shared" si="163"/>
        <v>0</v>
      </c>
      <c r="R2363" s="532" t="str">
        <f t="shared" si="164"/>
        <v/>
      </c>
      <c r="S2363" s="533"/>
      <c r="T2363" s="533"/>
      <c r="U2363" s="496"/>
      <c r="V2363" s="496"/>
      <c r="W2363" s="496"/>
    </row>
    <row r="2364" spans="1:23" x14ac:dyDescent="0.2">
      <c r="A2364" s="510" t="str">
        <f t="shared" si="161"/>
        <v/>
      </c>
      <c r="B2364" s="428"/>
      <c r="C2364" s="424"/>
      <c r="D2364" s="415"/>
      <c r="E2364" s="415"/>
      <c r="F2364" s="425"/>
      <c r="G2364" s="415"/>
      <c r="H2364" s="415"/>
      <c r="I2364" s="473"/>
      <c r="J2364" s="415"/>
      <c r="K2364" s="415"/>
      <c r="L2364" s="415"/>
      <c r="M2364" s="415"/>
      <c r="N2364" s="414"/>
      <c r="O2364" s="428"/>
      <c r="P2364" s="222">
        <f t="shared" si="162"/>
        <v>0</v>
      </c>
      <c r="Q2364" s="222">
        <f t="shared" si="163"/>
        <v>0</v>
      </c>
      <c r="R2364" s="532" t="str">
        <f t="shared" si="164"/>
        <v/>
      </c>
      <c r="S2364" s="533"/>
      <c r="T2364" s="533"/>
      <c r="U2364" s="496"/>
      <c r="V2364" s="496"/>
      <c r="W2364" s="496"/>
    </row>
    <row r="2365" spans="1:23" x14ac:dyDescent="0.2">
      <c r="A2365" s="510" t="str">
        <f t="shared" si="161"/>
        <v/>
      </c>
      <c r="B2365" s="428"/>
      <c r="C2365" s="424"/>
      <c r="D2365" s="415"/>
      <c r="E2365" s="415"/>
      <c r="F2365" s="425"/>
      <c r="G2365" s="415"/>
      <c r="H2365" s="415"/>
      <c r="I2365" s="473"/>
      <c r="J2365" s="415"/>
      <c r="K2365" s="415"/>
      <c r="L2365" s="415"/>
      <c r="M2365" s="415"/>
      <c r="N2365" s="414"/>
      <c r="O2365" s="428"/>
      <c r="P2365" s="222">
        <f t="shared" si="162"/>
        <v>0</v>
      </c>
      <c r="Q2365" s="222">
        <f t="shared" si="163"/>
        <v>0</v>
      </c>
      <c r="R2365" s="532" t="str">
        <f t="shared" si="164"/>
        <v/>
      </c>
      <c r="S2365" s="533"/>
      <c r="T2365" s="533"/>
      <c r="U2365" s="496"/>
      <c r="V2365" s="496"/>
      <c r="W2365" s="496"/>
    </row>
    <row r="2366" spans="1:23" x14ac:dyDescent="0.2">
      <c r="A2366" s="510" t="str">
        <f t="shared" si="161"/>
        <v/>
      </c>
      <c r="B2366" s="428"/>
      <c r="C2366" s="424"/>
      <c r="D2366" s="415"/>
      <c r="E2366" s="415"/>
      <c r="F2366" s="425"/>
      <c r="G2366" s="415"/>
      <c r="H2366" s="415"/>
      <c r="I2366" s="473"/>
      <c r="J2366" s="415"/>
      <c r="K2366" s="415"/>
      <c r="L2366" s="415"/>
      <c r="M2366" s="415"/>
      <c r="N2366" s="414"/>
      <c r="O2366" s="428"/>
      <c r="P2366" s="222">
        <f t="shared" si="162"/>
        <v>0</v>
      </c>
      <c r="Q2366" s="222">
        <f t="shared" si="163"/>
        <v>0</v>
      </c>
      <c r="R2366" s="532" t="str">
        <f t="shared" si="164"/>
        <v/>
      </c>
      <c r="S2366" s="533"/>
      <c r="T2366" s="533"/>
      <c r="U2366" s="496"/>
      <c r="V2366" s="496"/>
      <c r="W2366" s="496"/>
    </row>
    <row r="2367" spans="1:23" x14ac:dyDescent="0.2">
      <c r="A2367" s="510" t="str">
        <f t="shared" si="161"/>
        <v/>
      </c>
      <c r="B2367" s="428"/>
      <c r="C2367" s="424"/>
      <c r="D2367" s="415"/>
      <c r="E2367" s="415"/>
      <c r="F2367" s="425"/>
      <c r="G2367" s="415"/>
      <c r="H2367" s="415"/>
      <c r="I2367" s="473"/>
      <c r="J2367" s="415"/>
      <c r="K2367" s="415"/>
      <c r="L2367" s="415"/>
      <c r="M2367" s="415"/>
      <c r="N2367" s="414"/>
      <c r="O2367" s="428"/>
      <c r="P2367" s="222">
        <f t="shared" si="162"/>
        <v>0</v>
      </c>
      <c r="Q2367" s="222">
        <f t="shared" si="163"/>
        <v>0</v>
      </c>
      <c r="R2367" s="532" t="str">
        <f t="shared" si="164"/>
        <v/>
      </c>
      <c r="S2367" s="533"/>
      <c r="T2367" s="533"/>
      <c r="U2367" s="496"/>
      <c r="V2367" s="496"/>
      <c r="W2367" s="496"/>
    </row>
    <row r="2368" spans="1:23" x14ac:dyDescent="0.2">
      <c r="A2368" s="510" t="str">
        <f t="shared" si="161"/>
        <v/>
      </c>
      <c r="B2368" s="428"/>
      <c r="C2368" s="424"/>
      <c r="D2368" s="415"/>
      <c r="E2368" s="415"/>
      <c r="F2368" s="425"/>
      <c r="G2368" s="415"/>
      <c r="H2368" s="415"/>
      <c r="I2368" s="473"/>
      <c r="J2368" s="415"/>
      <c r="K2368" s="415"/>
      <c r="L2368" s="415"/>
      <c r="M2368" s="415"/>
      <c r="N2368" s="414"/>
      <c r="O2368" s="428"/>
      <c r="P2368" s="222">
        <f t="shared" si="162"/>
        <v>0</v>
      </c>
      <c r="Q2368" s="222">
        <f t="shared" si="163"/>
        <v>0</v>
      </c>
      <c r="R2368" s="532" t="str">
        <f t="shared" si="164"/>
        <v/>
      </c>
      <c r="S2368" s="533"/>
      <c r="T2368" s="533"/>
      <c r="U2368" s="496"/>
      <c r="V2368" s="496"/>
      <c r="W2368" s="496"/>
    </row>
    <row r="2369" spans="1:23" x14ac:dyDescent="0.2">
      <c r="A2369" s="510" t="str">
        <f t="shared" si="161"/>
        <v/>
      </c>
      <c r="B2369" s="428"/>
      <c r="C2369" s="424"/>
      <c r="D2369" s="415"/>
      <c r="E2369" s="415"/>
      <c r="F2369" s="425"/>
      <c r="G2369" s="415"/>
      <c r="H2369" s="415"/>
      <c r="I2369" s="473"/>
      <c r="J2369" s="415"/>
      <c r="K2369" s="415"/>
      <c r="L2369" s="415"/>
      <c r="M2369" s="415"/>
      <c r="N2369" s="414"/>
      <c r="O2369" s="428"/>
      <c r="P2369" s="222">
        <f t="shared" si="162"/>
        <v>0</v>
      </c>
      <c r="Q2369" s="222">
        <f t="shared" si="163"/>
        <v>0</v>
      </c>
      <c r="R2369" s="532" t="str">
        <f t="shared" si="164"/>
        <v/>
      </c>
      <c r="S2369" s="533"/>
      <c r="T2369" s="533"/>
      <c r="U2369" s="496"/>
      <c r="V2369" s="496"/>
      <c r="W2369" s="496"/>
    </row>
    <row r="2370" spans="1:23" x14ac:dyDescent="0.2">
      <c r="A2370" s="510" t="str">
        <f t="shared" si="161"/>
        <v/>
      </c>
      <c r="B2370" s="428"/>
      <c r="C2370" s="424"/>
      <c r="D2370" s="415"/>
      <c r="E2370" s="415"/>
      <c r="F2370" s="425"/>
      <c r="G2370" s="415"/>
      <c r="H2370" s="415"/>
      <c r="I2370" s="473"/>
      <c r="J2370" s="415"/>
      <c r="K2370" s="415"/>
      <c r="L2370" s="415"/>
      <c r="M2370" s="415"/>
      <c r="N2370" s="414"/>
      <c r="O2370" s="428"/>
      <c r="P2370" s="222">
        <f t="shared" si="162"/>
        <v>0</v>
      </c>
      <c r="Q2370" s="222">
        <f t="shared" si="163"/>
        <v>0</v>
      </c>
      <c r="R2370" s="532" t="str">
        <f t="shared" si="164"/>
        <v/>
      </c>
      <c r="S2370" s="533"/>
      <c r="T2370" s="533"/>
      <c r="U2370" s="496"/>
      <c r="V2370" s="496"/>
      <c r="W2370" s="496"/>
    </row>
    <row r="2371" spans="1:23" x14ac:dyDescent="0.2">
      <c r="A2371" s="510" t="str">
        <f t="shared" si="161"/>
        <v/>
      </c>
      <c r="B2371" s="428"/>
      <c r="C2371" s="424"/>
      <c r="D2371" s="415"/>
      <c r="E2371" s="415"/>
      <c r="F2371" s="425"/>
      <c r="G2371" s="415"/>
      <c r="H2371" s="415"/>
      <c r="I2371" s="473"/>
      <c r="J2371" s="415"/>
      <c r="K2371" s="415"/>
      <c r="L2371" s="415"/>
      <c r="M2371" s="415"/>
      <c r="N2371" s="414"/>
      <c r="O2371" s="428"/>
      <c r="P2371" s="222">
        <f t="shared" si="162"/>
        <v>0</v>
      </c>
      <c r="Q2371" s="222">
        <f t="shared" si="163"/>
        <v>0</v>
      </c>
      <c r="R2371" s="532" t="str">
        <f t="shared" si="164"/>
        <v/>
      </c>
      <c r="S2371" s="533"/>
      <c r="T2371" s="533"/>
      <c r="U2371" s="496"/>
      <c r="V2371" s="496"/>
      <c r="W2371" s="496"/>
    </row>
    <row r="2372" spans="1:23" x14ac:dyDescent="0.2">
      <c r="A2372" s="510" t="str">
        <f t="shared" si="161"/>
        <v/>
      </c>
      <c r="B2372" s="428"/>
      <c r="C2372" s="424"/>
      <c r="D2372" s="415"/>
      <c r="E2372" s="415"/>
      <c r="F2372" s="425"/>
      <c r="G2372" s="415"/>
      <c r="H2372" s="415"/>
      <c r="I2372" s="473"/>
      <c r="J2372" s="415"/>
      <c r="K2372" s="415"/>
      <c r="L2372" s="415"/>
      <c r="M2372" s="415"/>
      <c r="N2372" s="414"/>
      <c r="O2372" s="428"/>
      <c r="P2372" s="222">
        <f t="shared" si="162"/>
        <v>0</v>
      </c>
      <c r="Q2372" s="222">
        <f t="shared" si="163"/>
        <v>0</v>
      </c>
      <c r="R2372" s="532" t="str">
        <f t="shared" si="164"/>
        <v/>
      </c>
      <c r="S2372" s="533"/>
      <c r="T2372" s="533"/>
      <c r="U2372" s="496"/>
      <c r="V2372" s="496"/>
      <c r="W2372" s="496"/>
    </row>
    <row r="2373" spans="1:23" x14ac:dyDescent="0.2">
      <c r="A2373" s="510" t="str">
        <f t="shared" si="161"/>
        <v/>
      </c>
      <c r="B2373" s="428"/>
      <c r="C2373" s="424"/>
      <c r="D2373" s="415"/>
      <c r="E2373" s="415"/>
      <c r="F2373" s="425"/>
      <c r="G2373" s="415"/>
      <c r="H2373" s="415"/>
      <c r="I2373" s="473"/>
      <c r="J2373" s="415"/>
      <c r="K2373" s="415"/>
      <c r="L2373" s="415"/>
      <c r="M2373" s="415"/>
      <c r="N2373" s="414"/>
      <c r="O2373" s="428"/>
      <c r="P2373" s="222">
        <f t="shared" si="162"/>
        <v>0</v>
      </c>
      <c r="Q2373" s="222">
        <f t="shared" si="163"/>
        <v>0</v>
      </c>
      <c r="R2373" s="532" t="str">
        <f t="shared" si="164"/>
        <v/>
      </c>
      <c r="S2373" s="533"/>
      <c r="T2373" s="533"/>
      <c r="U2373" s="496"/>
      <c r="V2373" s="496"/>
      <c r="W2373" s="496"/>
    </row>
    <row r="2374" spans="1:23" x14ac:dyDescent="0.2">
      <c r="A2374" s="510" t="str">
        <f t="shared" si="161"/>
        <v/>
      </c>
      <c r="B2374" s="428"/>
      <c r="C2374" s="424"/>
      <c r="D2374" s="415"/>
      <c r="E2374" s="415"/>
      <c r="F2374" s="425"/>
      <c r="G2374" s="415"/>
      <c r="H2374" s="415"/>
      <c r="I2374" s="473"/>
      <c r="J2374" s="415"/>
      <c r="K2374" s="415"/>
      <c r="L2374" s="415"/>
      <c r="M2374" s="415"/>
      <c r="N2374" s="414"/>
      <c r="O2374" s="428"/>
      <c r="P2374" s="222">
        <f t="shared" si="162"/>
        <v>0</v>
      </c>
      <c r="Q2374" s="222">
        <f t="shared" si="163"/>
        <v>0</v>
      </c>
      <c r="R2374" s="532" t="str">
        <f t="shared" si="164"/>
        <v/>
      </c>
      <c r="S2374" s="533"/>
      <c r="T2374" s="533"/>
      <c r="U2374" s="496"/>
      <c r="V2374" s="496"/>
      <c r="W2374" s="496"/>
    </row>
    <row r="2375" spans="1:23" x14ac:dyDescent="0.2">
      <c r="A2375" s="510" t="str">
        <f t="shared" si="161"/>
        <v/>
      </c>
      <c r="B2375" s="428"/>
      <c r="C2375" s="424"/>
      <c r="D2375" s="415"/>
      <c r="E2375" s="415"/>
      <c r="F2375" s="425"/>
      <c r="G2375" s="415"/>
      <c r="H2375" s="415"/>
      <c r="I2375" s="473"/>
      <c r="J2375" s="415"/>
      <c r="K2375" s="415"/>
      <c r="L2375" s="415"/>
      <c r="M2375" s="415"/>
      <c r="N2375" s="414"/>
      <c r="O2375" s="428"/>
      <c r="P2375" s="222">
        <f t="shared" si="162"/>
        <v>0</v>
      </c>
      <c r="Q2375" s="222">
        <f t="shared" si="163"/>
        <v>0</v>
      </c>
      <c r="R2375" s="532" t="str">
        <f t="shared" si="164"/>
        <v/>
      </c>
      <c r="S2375" s="533"/>
      <c r="T2375" s="533"/>
      <c r="U2375" s="496"/>
      <c r="V2375" s="496"/>
      <c r="W2375" s="496"/>
    </row>
    <row r="2376" spans="1:23" x14ac:dyDescent="0.2">
      <c r="A2376" s="510" t="str">
        <f t="shared" si="161"/>
        <v/>
      </c>
      <c r="B2376" s="428"/>
      <c r="C2376" s="424"/>
      <c r="D2376" s="415"/>
      <c r="E2376" s="415"/>
      <c r="F2376" s="425"/>
      <c r="G2376" s="415"/>
      <c r="H2376" s="415"/>
      <c r="I2376" s="473"/>
      <c r="J2376" s="415"/>
      <c r="K2376" s="415"/>
      <c r="L2376" s="415"/>
      <c r="M2376" s="415"/>
      <c r="N2376" s="414"/>
      <c r="O2376" s="428"/>
      <c r="P2376" s="222">
        <f t="shared" si="162"/>
        <v>0</v>
      </c>
      <c r="Q2376" s="222">
        <f t="shared" si="163"/>
        <v>0</v>
      </c>
      <c r="R2376" s="532" t="str">
        <f t="shared" si="164"/>
        <v/>
      </c>
      <c r="S2376" s="533"/>
      <c r="T2376" s="533"/>
      <c r="U2376" s="496"/>
      <c r="V2376" s="496"/>
      <c r="W2376" s="496"/>
    </row>
    <row r="2377" spans="1:23" x14ac:dyDescent="0.2">
      <c r="A2377" s="510" t="str">
        <f t="shared" si="161"/>
        <v/>
      </c>
      <c r="B2377" s="428"/>
      <c r="C2377" s="424"/>
      <c r="D2377" s="415"/>
      <c r="E2377" s="415"/>
      <c r="F2377" s="425"/>
      <c r="G2377" s="415"/>
      <c r="H2377" s="415"/>
      <c r="I2377" s="473"/>
      <c r="J2377" s="415"/>
      <c r="K2377" s="415"/>
      <c r="L2377" s="415"/>
      <c r="M2377" s="415"/>
      <c r="N2377" s="414"/>
      <c r="O2377" s="428"/>
      <c r="P2377" s="222">
        <f t="shared" si="162"/>
        <v>0</v>
      </c>
      <c r="Q2377" s="222">
        <f t="shared" si="163"/>
        <v>0</v>
      </c>
      <c r="R2377" s="532" t="str">
        <f t="shared" si="164"/>
        <v/>
      </c>
      <c r="S2377" s="533"/>
      <c r="T2377" s="533"/>
      <c r="U2377" s="496"/>
      <c r="V2377" s="496"/>
      <c r="W2377" s="496"/>
    </row>
    <row r="2378" spans="1:23" x14ac:dyDescent="0.2">
      <c r="A2378" s="510" t="str">
        <f t="shared" si="161"/>
        <v/>
      </c>
      <c r="B2378" s="428"/>
      <c r="C2378" s="424"/>
      <c r="D2378" s="415"/>
      <c r="E2378" s="415"/>
      <c r="F2378" s="425"/>
      <c r="G2378" s="415"/>
      <c r="H2378" s="415"/>
      <c r="I2378" s="473"/>
      <c r="J2378" s="415"/>
      <c r="K2378" s="415"/>
      <c r="L2378" s="415"/>
      <c r="M2378" s="415"/>
      <c r="N2378" s="414"/>
      <c r="O2378" s="428"/>
      <c r="P2378" s="222">
        <f t="shared" si="162"/>
        <v>0</v>
      </c>
      <c r="Q2378" s="222">
        <f t="shared" si="163"/>
        <v>0</v>
      </c>
      <c r="R2378" s="532" t="str">
        <f t="shared" si="164"/>
        <v/>
      </c>
      <c r="S2378" s="533"/>
      <c r="T2378" s="533"/>
      <c r="U2378" s="496"/>
      <c r="V2378" s="496"/>
      <c r="W2378" s="496"/>
    </row>
    <row r="2379" spans="1:23" x14ac:dyDescent="0.2">
      <c r="A2379" s="510" t="str">
        <f t="shared" si="161"/>
        <v/>
      </c>
      <c r="B2379" s="428"/>
      <c r="C2379" s="424"/>
      <c r="D2379" s="415"/>
      <c r="E2379" s="415"/>
      <c r="F2379" s="425"/>
      <c r="G2379" s="415"/>
      <c r="H2379" s="415"/>
      <c r="I2379" s="473"/>
      <c r="J2379" s="415"/>
      <c r="K2379" s="415"/>
      <c r="L2379" s="415"/>
      <c r="M2379" s="415"/>
      <c r="N2379" s="414"/>
      <c r="O2379" s="428"/>
      <c r="P2379" s="222">
        <f t="shared" si="162"/>
        <v>0</v>
      </c>
      <c r="Q2379" s="222">
        <f t="shared" si="163"/>
        <v>0</v>
      </c>
      <c r="R2379" s="532" t="str">
        <f t="shared" si="164"/>
        <v/>
      </c>
      <c r="S2379" s="533"/>
      <c r="T2379" s="533"/>
      <c r="U2379" s="496"/>
      <c r="V2379" s="496"/>
      <c r="W2379" s="496"/>
    </row>
    <row r="2380" spans="1:23" x14ac:dyDescent="0.2">
      <c r="A2380" s="510" t="str">
        <f t="shared" si="161"/>
        <v/>
      </c>
      <c r="B2380" s="428"/>
      <c r="C2380" s="424"/>
      <c r="D2380" s="415"/>
      <c r="E2380" s="415"/>
      <c r="F2380" s="425"/>
      <c r="G2380" s="415"/>
      <c r="H2380" s="415"/>
      <c r="I2380" s="473"/>
      <c r="J2380" s="415"/>
      <c r="K2380" s="415"/>
      <c r="L2380" s="415"/>
      <c r="M2380" s="415"/>
      <c r="N2380" s="414"/>
      <c r="O2380" s="428"/>
      <c r="P2380" s="222">
        <f t="shared" si="162"/>
        <v>0</v>
      </c>
      <c r="Q2380" s="222">
        <f t="shared" si="163"/>
        <v>0</v>
      </c>
      <c r="R2380" s="532" t="str">
        <f t="shared" si="164"/>
        <v/>
      </c>
      <c r="S2380" s="533"/>
      <c r="T2380" s="533"/>
      <c r="U2380" s="496"/>
      <c r="V2380" s="496"/>
      <c r="W2380" s="496"/>
    </row>
    <row r="2381" spans="1:23" x14ac:dyDescent="0.2">
      <c r="A2381" s="510" t="str">
        <f t="shared" si="161"/>
        <v/>
      </c>
      <c r="B2381" s="428"/>
      <c r="C2381" s="424"/>
      <c r="D2381" s="415"/>
      <c r="E2381" s="415"/>
      <c r="F2381" s="425"/>
      <c r="G2381" s="415"/>
      <c r="H2381" s="415"/>
      <c r="I2381" s="473"/>
      <c r="J2381" s="415"/>
      <c r="K2381" s="415"/>
      <c r="L2381" s="415"/>
      <c r="M2381" s="415"/>
      <c r="N2381" s="414"/>
      <c r="O2381" s="428"/>
      <c r="P2381" s="222">
        <f t="shared" si="162"/>
        <v>0</v>
      </c>
      <c r="Q2381" s="222">
        <f t="shared" si="163"/>
        <v>0</v>
      </c>
      <c r="R2381" s="532" t="str">
        <f t="shared" si="164"/>
        <v/>
      </c>
      <c r="S2381" s="533"/>
      <c r="T2381" s="533"/>
      <c r="U2381" s="496"/>
      <c r="V2381" s="496"/>
      <c r="W2381" s="496"/>
    </row>
    <row r="2382" spans="1:23" x14ac:dyDescent="0.2">
      <c r="A2382" s="510" t="str">
        <f t="shared" si="161"/>
        <v/>
      </c>
      <c r="B2382" s="428"/>
      <c r="C2382" s="424"/>
      <c r="D2382" s="415"/>
      <c r="E2382" s="415"/>
      <c r="F2382" s="425"/>
      <c r="G2382" s="415"/>
      <c r="H2382" s="415"/>
      <c r="I2382" s="473"/>
      <c r="J2382" s="415"/>
      <c r="K2382" s="415"/>
      <c r="L2382" s="415"/>
      <c r="M2382" s="415"/>
      <c r="N2382" s="414"/>
      <c r="O2382" s="428"/>
      <c r="P2382" s="222">
        <f t="shared" si="162"/>
        <v>0</v>
      </c>
      <c r="Q2382" s="222">
        <f t="shared" si="163"/>
        <v>0</v>
      </c>
      <c r="R2382" s="532" t="str">
        <f t="shared" si="164"/>
        <v/>
      </c>
      <c r="S2382" s="533"/>
      <c r="T2382" s="533"/>
      <c r="U2382" s="496"/>
      <c r="V2382" s="496"/>
      <c r="W2382" s="496"/>
    </row>
    <row r="2383" spans="1:23" x14ac:dyDescent="0.2">
      <c r="A2383" s="510" t="str">
        <f t="shared" si="161"/>
        <v/>
      </c>
      <c r="B2383" s="428"/>
      <c r="C2383" s="424"/>
      <c r="D2383" s="415"/>
      <c r="E2383" s="415"/>
      <c r="F2383" s="425"/>
      <c r="G2383" s="415"/>
      <c r="H2383" s="415"/>
      <c r="I2383" s="473"/>
      <c r="J2383" s="415"/>
      <c r="K2383" s="415"/>
      <c r="L2383" s="415"/>
      <c r="M2383" s="415"/>
      <c r="N2383" s="414"/>
      <c r="O2383" s="428"/>
      <c r="P2383" s="222">
        <f t="shared" si="162"/>
        <v>0</v>
      </c>
      <c r="Q2383" s="222">
        <f t="shared" si="163"/>
        <v>0</v>
      </c>
      <c r="R2383" s="532" t="str">
        <f t="shared" si="164"/>
        <v/>
      </c>
      <c r="S2383" s="533"/>
      <c r="T2383" s="533"/>
      <c r="U2383" s="496"/>
      <c r="V2383" s="496"/>
      <c r="W2383" s="496"/>
    </row>
    <row r="2384" spans="1:23" x14ac:dyDescent="0.2">
      <c r="A2384" s="510" t="str">
        <f t="shared" si="161"/>
        <v/>
      </c>
      <c r="B2384" s="428"/>
      <c r="C2384" s="424"/>
      <c r="D2384" s="415"/>
      <c r="E2384" s="415"/>
      <c r="F2384" s="425"/>
      <c r="G2384" s="415"/>
      <c r="H2384" s="415"/>
      <c r="I2384" s="473"/>
      <c r="J2384" s="415"/>
      <c r="K2384" s="415"/>
      <c r="L2384" s="415"/>
      <c r="M2384" s="415"/>
      <c r="N2384" s="414"/>
      <c r="O2384" s="428"/>
      <c r="P2384" s="222">
        <f t="shared" si="162"/>
        <v>0</v>
      </c>
      <c r="Q2384" s="222">
        <f t="shared" si="163"/>
        <v>0</v>
      </c>
      <c r="R2384" s="532" t="str">
        <f t="shared" si="164"/>
        <v/>
      </c>
      <c r="S2384" s="533"/>
      <c r="T2384" s="533"/>
      <c r="U2384" s="496"/>
      <c r="V2384" s="496"/>
      <c r="W2384" s="496"/>
    </row>
    <row r="2385" spans="1:23" x14ac:dyDescent="0.2">
      <c r="A2385" s="510" t="str">
        <f t="shared" si="161"/>
        <v/>
      </c>
      <c r="B2385" s="428"/>
      <c r="C2385" s="424"/>
      <c r="D2385" s="415"/>
      <c r="E2385" s="415"/>
      <c r="F2385" s="425"/>
      <c r="G2385" s="415"/>
      <c r="H2385" s="415"/>
      <c r="I2385" s="473"/>
      <c r="J2385" s="415"/>
      <c r="K2385" s="415"/>
      <c r="L2385" s="415"/>
      <c r="M2385" s="415"/>
      <c r="N2385" s="414"/>
      <c r="O2385" s="428"/>
      <c r="P2385" s="222">
        <f t="shared" si="162"/>
        <v>0</v>
      </c>
      <c r="Q2385" s="222">
        <f t="shared" si="163"/>
        <v>0</v>
      </c>
      <c r="R2385" s="532" t="str">
        <f t="shared" si="164"/>
        <v/>
      </c>
      <c r="S2385" s="533"/>
      <c r="T2385" s="533"/>
      <c r="U2385" s="496"/>
      <c r="V2385" s="496"/>
      <c r="W2385" s="496"/>
    </row>
    <row r="2386" spans="1:23" x14ac:dyDescent="0.2">
      <c r="A2386" s="510" t="str">
        <f t="shared" si="161"/>
        <v/>
      </c>
      <c r="B2386" s="428"/>
      <c r="C2386" s="424"/>
      <c r="D2386" s="415"/>
      <c r="E2386" s="415"/>
      <c r="F2386" s="425"/>
      <c r="G2386" s="415"/>
      <c r="H2386" s="415"/>
      <c r="I2386" s="473"/>
      <c r="J2386" s="415"/>
      <c r="K2386" s="415"/>
      <c r="L2386" s="415"/>
      <c r="M2386" s="415"/>
      <c r="N2386" s="414"/>
      <c r="O2386" s="428"/>
      <c r="P2386" s="222">
        <f t="shared" si="162"/>
        <v>0</v>
      </c>
      <c r="Q2386" s="222">
        <f t="shared" si="163"/>
        <v>0</v>
      </c>
      <c r="R2386" s="532" t="str">
        <f t="shared" si="164"/>
        <v/>
      </c>
      <c r="S2386" s="533"/>
      <c r="T2386" s="533"/>
      <c r="U2386" s="496"/>
      <c r="V2386" s="496"/>
      <c r="W2386" s="496"/>
    </row>
    <row r="2387" spans="1:23" x14ac:dyDescent="0.2">
      <c r="A2387" s="510" t="str">
        <f t="shared" si="161"/>
        <v/>
      </c>
      <c r="B2387" s="428"/>
      <c r="C2387" s="424"/>
      <c r="D2387" s="415"/>
      <c r="E2387" s="415"/>
      <c r="F2387" s="425"/>
      <c r="G2387" s="415"/>
      <c r="H2387" s="415"/>
      <c r="I2387" s="473"/>
      <c r="J2387" s="415"/>
      <c r="K2387" s="415"/>
      <c r="L2387" s="415"/>
      <c r="M2387" s="415"/>
      <c r="N2387" s="414"/>
      <c r="O2387" s="428"/>
      <c r="P2387" s="222">
        <f t="shared" si="162"/>
        <v>0</v>
      </c>
      <c r="Q2387" s="222">
        <f t="shared" si="163"/>
        <v>0</v>
      </c>
      <c r="R2387" s="532" t="str">
        <f t="shared" si="164"/>
        <v/>
      </c>
      <c r="S2387" s="533"/>
      <c r="T2387" s="533"/>
      <c r="U2387" s="496"/>
      <c r="V2387" s="496"/>
      <c r="W2387" s="496"/>
    </row>
    <row r="2388" spans="1:23" x14ac:dyDescent="0.2">
      <c r="A2388" s="510" t="str">
        <f t="shared" si="161"/>
        <v/>
      </c>
      <c r="B2388" s="428"/>
      <c r="C2388" s="424"/>
      <c r="D2388" s="415"/>
      <c r="E2388" s="415"/>
      <c r="F2388" s="425"/>
      <c r="G2388" s="415"/>
      <c r="H2388" s="415"/>
      <c r="I2388" s="473"/>
      <c r="J2388" s="415"/>
      <c r="K2388" s="415"/>
      <c r="L2388" s="415"/>
      <c r="M2388" s="415"/>
      <c r="N2388" s="414"/>
      <c r="O2388" s="428"/>
      <c r="P2388" s="222">
        <f t="shared" si="162"/>
        <v>0</v>
      </c>
      <c r="Q2388" s="222">
        <f t="shared" si="163"/>
        <v>0</v>
      </c>
      <c r="R2388" s="532" t="str">
        <f t="shared" si="164"/>
        <v/>
      </c>
      <c r="S2388" s="533"/>
      <c r="T2388" s="533"/>
      <c r="U2388" s="496"/>
      <c r="V2388" s="496"/>
      <c r="W2388" s="496"/>
    </row>
    <row r="2389" spans="1:23" x14ac:dyDescent="0.2">
      <c r="A2389" s="510" t="str">
        <f t="shared" si="161"/>
        <v/>
      </c>
      <c r="B2389" s="428"/>
      <c r="C2389" s="424"/>
      <c r="D2389" s="415"/>
      <c r="E2389" s="415"/>
      <c r="F2389" s="425"/>
      <c r="G2389" s="415"/>
      <c r="H2389" s="415"/>
      <c r="I2389" s="473"/>
      <c r="J2389" s="415"/>
      <c r="K2389" s="415"/>
      <c r="L2389" s="415"/>
      <c r="M2389" s="415"/>
      <c r="N2389" s="414"/>
      <c r="O2389" s="428"/>
      <c r="P2389" s="222">
        <f t="shared" si="162"/>
        <v>0</v>
      </c>
      <c r="Q2389" s="222">
        <f t="shared" si="163"/>
        <v>0</v>
      </c>
      <c r="R2389" s="532" t="str">
        <f t="shared" si="164"/>
        <v/>
      </c>
      <c r="S2389" s="533"/>
      <c r="T2389" s="533"/>
      <c r="U2389" s="496"/>
      <c r="V2389" s="496"/>
      <c r="W2389" s="496"/>
    </row>
    <row r="2390" spans="1:23" x14ac:dyDescent="0.2">
      <c r="A2390" s="510" t="str">
        <f t="shared" si="161"/>
        <v/>
      </c>
      <c r="B2390" s="428"/>
      <c r="C2390" s="424"/>
      <c r="D2390" s="415"/>
      <c r="E2390" s="415"/>
      <c r="F2390" s="425"/>
      <c r="G2390" s="415"/>
      <c r="H2390" s="415"/>
      <c r="I2390" s="473"/>
      <c r="J2390" s="415"/>
      <c r="K2390" s="415"/>
      <c r="L2390" s="415"/>
      <c r="M2390" s="415"/>
      <c r="N2390" s="414"/>
      <c r="O2390" s="428"/>
      <c r="P2390" s="222">
        <f t="shared" si="162"/>
        <v>0</v>
      </c>
      <c r="Q2390" s="222">
        <f t="shared" si="163"/>
        <v>0</v>
      </c>
      <c r="R2390" s="532" t="str">
        <f t="shared" si="164"/>
        <v/>
      </c>
      <c r="S2390" s="533"/>
      <c r="T2390" s="533"/>
      <c r="U2390" s="496"/>
      <c r="V2390" s="496"/>
      <c r="W2390" s="496"/>
    </row>
    <row r="2391" spans="1:23" x14ac:dyDescent="0.2">
      <c r="A2391" s="510" t="str">
        <f t="shared" si="161"/>
        <v/>
      </c>
      <c r="B2391" s="428"/>
      <c r="C2391" s="424"/>
      <c r="D2391" s="415"/>
      <c r="E2391" s="415"/>
      <c r="F2391" s="425"/>
      <c r="G2391" s="415"/>
      <c r="H2391" s="415"/>
      <c r="I2391" s="473"/>
      <c r="J2391" s="415"/>
      <c r="K2391" s="415"/>
      <c r="L2391" s="415"/>
      <c r="M2391" s="415"/>
      <c r="N2391" s="414"/>
      <c r="O2391" s="428"/>
      <c r="P2391" s="222">
        <f t="shared" si="162"/>
        <v>0</v>
      </c>
      <c r="Q2391" s="222">
        <f t="shared" si="163"/>
        <v>0</v>
      </c>
      <c r="R2391" s="532" t="str">
        <f t="shared" si="164"/>
        <v/>
      </c>
      <c r="S2391" s="533"/>
      <c r="T2391" s="533"/>
      <c r="U2391" s="496"/>
      <c r="V2391" s="496"/>
      <c r="W2391" s="496"/>
    </row>
    <row r="2392" spans="1:23" x14ac:dyDescent="0.2">
      <c r="A2392" s="510" t="str">
        <f t="shared" si="161"/>
        <v/>
      </c>
      <c r="B2392" s="428"/>
      <c r="C2392" s="424"/>
      <c r="D2392" s="415"/>
      <c r="E2392" s="415"/>
      <c r="F2392" s="425"/>
      <c r="G2392" s="415"/>
      <c r="H2392" s="415"/>
      <c r="I2392" s="473"/>
      <c r="J2392" s="415"/>
      <c r="K2392" s="415"/>
      <c r="L2392" s="415"/>
      <c r="M2392" s="415"/>
      <c r="N2392" s="414"/>
      <c r="O2392" s="428"/>
      <c r="P2392" s="222">
        <f t="shared" si="162"/>
        <v>0</v>
      </c>
      <c r="Q2392" s="222">
        <f t="shared" si="163"/>
        <v>0</v>
      </c>
      <c r="R2392" s="532" t="str">
        <f t="shared" si="164"/>
        <v/>
      </c>
      <c r="S2392" s="533"/>
      <c r="T2392" s="533"/>
      <c r="U2392" s="496"/>
      <c r="V2392" s="496"/>
      <c r="W2392" s="496"/>
    </row>
    <row r="2393" spans="1:23" x14ac:dyDescent="0.2">
      <c r="A2393" s="510" t="str">
        <f t="shared" ref="A2393:A2456" si="165">IF(B2393="","",ROW()-ROW($A$3))</f>
        <v/>
      </c>
      <c r="B2393" s="428"/>
      <c r="C2393" s="424"/>
      <c r="D2393" s="415"/>
      <c r="E2393" s="415"/>
      <c r="F2393" s="425"/>
      <c r="G2393" s="415"/>
      <c r="H2393" s="415"/>
      <c r="I2393" s="473"/>
      <c r="J2393" s="415"/>
      <c r="K2393" s="415"/>
      <c r="L2393" s="415"/>
      <c r="M2393" s="415"/>
      <c r="N2393" s="414"/>
      <c r="O2393" s="428"/>
      <c r="P2393" s="222">
        <f t="shared" ref="P2393:P2456" si="166">IF(B2393=0,0,IF(YEAR(B2393)=$Q$1,MONTH(B2393)-$P$1+1,(YEAR(B2393)-$Q$1)*12-$P$1+1+MONTH(B2393)))</f>
        <v>0</v>
      </c>
      <c r="Q2393" s="222">
        <f t="shared" ref="Q2393:Q2456" si="167">IF(C2393=0,0,IF(YEAR(C2393)=$Q$1,MONTH(C2393)-$P$1+1,(YEAR(C2393)-$Q$1)*12-$P$1+1+MONTH(C2393)))</f>
        <v>0</v>
      </c>
      <c r="R2393" s="532" t="str">
        <f t="shared" ref="R2393:R2456" si="168">SUBSTITUTE(D2393," ","_")</f>
        <v/>
      </c>
      <c r="S2393" s="533"/>
      <c r="T2393" s="533"/>
      <c r="U2393" s="496"/>
      <c r="V2393" s="496"/>
      <c r="W2393" s="496"/>
    </row>
    <row r="2394" spans="1:23" x14ac:dyDescent="0.2">
      <c r="A2394" s="510" t="str">
        <f t="shared" si="165"/>
        <v/>
      </c>
      <c r="B2394" s="428"/>
      <c r="C2394" s="424"/>
      <c r="D2394" s="415"/>
      <c r="E2394" s="415"/>
      <c r="F2394" s="425"/>
      <c r="G2394" s="415"/>
      <c r="H2394" s="415"/>
      <c r="I2394" s="473"/>
      <c r="J2394" s="415"/>
      <c r="K2394" s="415"/>
      <c r="L2394" s="415"/>
      <c r="M2394" s="415"/>
      <c r="N2394" s="414"/>
      <c r="O2394" s="428"/>
      <c r="P2394" s="222">
        <f t="shared" si="166"/>
        <v>0</v>
      </c>
      <c r="Q2394" s="222">
        <f t="shared" si="167"/>
        <v>0</v>
      </c>
      <c r="R2394" s="532" t="str">
        <f t="shared" si="168"/>
        <v/>
      </c>
      <c r="S2394" s="533"/>
      <c r="T2394" s="533"/>
      <c r="U2394" s="496"/>
      <c r="V2394" s="496"/>
      <c r="W2394" s="496"/>
    </row>
    <row r="2395" spans="1:23" x14ac:dyDescent="0.2">
      <c r="A2395" s="510" t="str">
        <f t="shared" si="165"/>
        <v/>
      </c>
      <c r="B2395" s="428"/>
      <c r="C2395" s="424"/>
      <c r="D2395" s="415"/>
      <c r="E2395" s="415"/>
      <c r="F2395" s="425"/>
      <c r="G2395" s="415"/>
      <c r="H2395" s="415"/>
      <c r="I2395" s="473"/>
      <c r="J2395" s="415"/>
      <c r="K2395" s="415"/>
      <c r="L2395" s="415"/>
      <c r="M2395" s="415"/>
      <c r="N2395" s="414"/>
      <c r="O2395" s="428"/>
      <c r="P2395" s="222">
        <f t="shared" si="166"/>
        <v>0</v>
      </c>
      <c r="Q2395" s="222">
        <f t="shared" si="167"/>
        <v>0</v>
      </c>
      <c r="R2395" s="532" t="str">
        <f t="shared" si="168"/>
        <v/>
      </c>
      <c r="S2395" s="533"/>
      <c r="T2395" s="533"/>
      <c r="U2395" s="496"/>
      <c r="V2395" s="496"/>
      <c r="W2395" s="496"/>
    </row>
    <row r="2396" spans="1:23" x14ac:dyDescent="0.2">
      <c r="A2396" s="510" t="str">
        <f t="shared" si="165"/>
        <v/>
      </c>
      <c r="B2396" s="428"/>
      <c r="C2396" s="424"/>
      <c r="D2396" s="415"/>
      <c r="E2396" s="415"/>
      <c r="F2396" s="425"/>
      <c r="G2396" s="415"/>
      <c r="H2396" s="415"/>
      <c r="I2396" s="473"/>
      <c r="J2396" s="415"/>
      <c r="K2396" s="415"/>
      <c r="L2396" s="415"/>
      <c r="M2396" s="415"/>
      <c r="N2396" s="414"/>
      <c r="O2396" s="428"/>
      <c r="P2396" s="222">
        <f t="shared" si="166"/>
        <v>0</v>
      </c>
      <c r="Q2396" s="222">
        <f t="shared" si="167"/>
        <v>0</v>
      </c>
      <c r="R2396" s="532" t="str">
        <f t="shared" si="168"/>
        <v/>
      </c>
      <c r="S2396" s="533"/>
      <c r="T2396" s="533"/>
      <c r="U2396" s="496"/>
      <c r="V2396" s="496"/>
      <c r="W2396" s="496"/>
    </row>
    <row r="2397" spans="1:23" x14ac:dyDescent="0.2">
      <c r="A2397" s="510" t="str">
        <f t="shared" si="165"/>
        <v/>
      </c>
      <c r="B2397" s="428"/>
      <c r="C2397" s="424"/>
      <c r="D2397" s="415"/>
      <c r="E2397" s="415"/>
      <c r="F2397" s="425"/>
      <c r="G2397" s="415"/>
      <c r="H2397" s="415"/>
      <c r="I2397" s="473"/>
      <c r="J2397" s="415"/>
      <c r="K2397" s="415"/>
      <c r="L2397" s="415"/>
      <c r="M2397" s="415"/>
      <c r="N2397" s="414"/>
      <c r="O2397" s="428"/>
      <c r="P2397" s="222">
        <f t="shared" si="166"/>
        <v>0</v>
      </c>
      <c r="Q2397" s="222">
        <f t="shared" si="167"/>
        <v>0</v>
      </c>
      <c r="R2397" s="532" t="str">
        <f t="shared" si="168"/>
        <v/>
      </c>
      <c r="S2397" s="533"/>
      <c r="T2397" s="533"/>
      <c r="U2397" s="496"/>
      <c r="V2397" s="496"/>
      <c r="W2397" s="496"/>
    </row>
    <row r="2398" spans="1:23" x14ac:dyDescent="0.2">
      <c r="A2398" s="510" t="str">
        <f t="shared" si="165"/>
        <v/>
      </c>
      <c r="B2398" s="428"/>
      <c r="C2398" s="424"/>
      <c r="D2398" s="415"/>
      <c r="E2398" s="415"/>
      <c r="F2398" s="425"/>
      <c r="G2398" s="415"/>
      <c r="H2398" s="415"/>
      <c r="I2398" s="473"/>
      <c r="J2398" s="415"/>
      <c r="K2398" s="415"/>
      <c r="L2398" s="415"/>
      <c r="M2398" s="415"/>
      <c r="N2398" s="414"/>
      <c r="O2398" s="428"/>
      <c r="P2398" s="222">
        <f t="shared" si="166"/>
        <v>0</v>
      </c>
      <c r="Q2398" s="222">
        <f t="shared" si="167"/>
        <v>0</v>
      </c>
      <c r="R2398" s="532" t="str">
        <f t="shared" si="168"/>
        <v/>
      </c>
      <c r="S2398" s="533"/>
      <c r="T2398" s="533"/>
      <c r="U2398" s="496"/>
      <c r="V2398" s="496"/>
      <c r="W2398" s="496"/>
    </row>
    <row r="2399" spans="1:23" x14ac:dyDescent="0.2">
      <c r="A2399" s="510" t="str">
        <f t="shared" si="165"/>
        <v/>
      </c>
      <c r="B2399" s="428"/>
      <c r="C2399" s="424"/>
      <c r="D2399" s="415"/>
      <c r="E2399" s="415"/>
      <c r="F2399" s="425"/>
      <c r="G2399" s="415"/>
      <c r="H2399" s="415"/>
      <c r="I2399" s="473"/>
      <c r="J2399" s="415"/>
      <c r="K2399" s="415"/>
      <c r="L2399" s="415"/>
      <c r="M2399" s="415"/>
      <c r="N2399" s="414"/>
      <c r="O2399" s="428"/>
      <c r="P2399" s="222">
        <f t="shared" si="166"/>
        <v>0</v>
      </c>
      <c r="Q2399" s="222">
        <f t="shared" si="167"/>
        <v>0</v>
      </c>
      <c r="R2399" s="532" t="str">
        <f t="shared" si="168"/>
        <v/>
      </c>
      <c r="S2399" s="533"/>
      <c r="T2399" s="533"/>
      <c r="U2399" s="496"/>
      <c r="V2399" s="496"/>
      <c r="W2399" s="496"/>
    </row>
    <row r="2400" spans="1:23" x14ac:dyDescent="0.2">
      <c r="A2400" s="510" t="str">
        <f t="shared" si="165"/>
        <v/>
      </c>
      <c r="B2400" s="428"/>
      <c r="C2400" s="424"/>
      <c r="D2400" s="415"/>
      <c r="E2400" s="415"/>
      <c r="F2400" s="425"/>
      <c r="G2400" s="415"/>
      <c r="H2400" s="415"/>
      <c r="I2400" s="473"/>
      <c r="J2400" s="415"/>
      <c r="K2400" s="415"/>
      <c r="L2400" s="415"/>
      <c r="M2400" s="415"/>
      <c r="N2400" s="414"/>
      <c r="O2400" s="428"/>
      <c r="P2400" s="222">
        <f t="shared" si="166"/>
        <v>0</v>
      </c>
      <c r="Q2400" s="222">
        <f t="shared" si="167"/>
        <v>0</v>
      </c>
      <c r="R2400" s="532" t="str">
        <f t="shared" si="168"/>
        <v/>
      </c>
      <c r="S2400" s="533"/>
      <c r="T2400" s="533"/>
      <c r="U2400" s="496"/>
      <c r="V2400" s="496"/>
      <c r="W2400" s="496"/>
    </row>
    <row r="2401" spans="1:23" x14ac:dyDescent="0.2">
      <c r="A2401" s="510" t="str">
        <f t="shared" si="165"/>
        <v/>
      </c>
      <c r="B2401" s="428"/>
      <c r="C2401" s="424"/>
      <c r="D2401" s="415"/>
      <c r="E2401" s="415"/>
      <c r="F2401" s="425"/>
      <c r="G2401" s="415"/>
      <c r="H2401" s="415"/>
      <c r="I2401" s="473"/>
      <c r="J2401" s="415"/>
      <c r="K2401" s="415"/>
      <c r="L2401" s="415"/>
      <c r="M2401" s="415"/>
      <c r="N2401" s="414"/>
      <c r="O2401" s="428"/>
      <c r="P2401" s="222">
        <f t="shared" si="166"/>
        <v>0</v>
      </c>
      <c r="Q2401" s="222">
        <f t="shared" si="167"/>
        <v>0</v>
      </c>
      <c r="R2401" s="532" t="str">
        <f t="shared" si="168"/>
        <v/>
      </c>
      <c r="S2401" s="533"/>
      <c r="T2401" s="533"/>
      <c r="U2401" s="496"/>
      <c r="V2401" s="496"/>
      <c r="W2401" s="496"/>
    </row>
    <row r="2402" spans="1:23" x14ac:dyDescent="0.2">
      <c r="A2402" s="510" t="str">
        <f t="shared" si="165"/>
        <v/>
      </c>
      <c r="B2402" s="428"/>
      <c r="C2402" s="424"/>
      <c r="D2402" s="415"/>
      <c r="E2402" s="415"/>
      <c r="F2402" s="425"/>
      <c r="G2402" s="415"/>
      <c r="H2402" s="415"/>
      <c r="I2402" s="473"/>
      <c r="J2402" s="415"/>
      <c r="K2402" s="415"/>
      <c r="L2402" s="415"/>
      <c r="M2402" s="415"/>
      <c r="N2402" s="414"/>
      <c r="O2402" s="428"/>
      <c r="P2402" s="222">
        <f t="shared" si="166"/>
        <v>0</v>
      </c>
      <c r="Q2402" s="222">
        <f t="shared" si="167"/>
        <v>0</v>
      </c>
      <c r="R2402" s="532" t="str">
        <f t="shared" si="168"/>
        <v/>
      </c>
      <c r="S2402" s="533"/>
      <c r="T2402" s="533"/>
      <c r="U2402" s="496"/>
      <c r="V2402" s="496"/>
      <c r="W2402" s="496"/>
    </row>
    <row r="2403" spans="1:23" x14ac:dyDescent="0.2">
      <c r="A2403" s="510" t="str">
        <f t="shared" si="165"/>
        <v/>
      </c>
      <c r="B2403" s="428"/>
      <c r="C2403" s="424"/>
      <c r="D2403" s="415"/>
      <c r="E2403" s="415"/>
      <c r="F2403" s="425"/>
      <c r="G2403" s="415"/>
      <c r="H2403" s="415"/>
      <c r="I2403" s="473"/>
      <c r="J2403" s="415"/>
      <c r="K2403" s="415"/>
      <c r="L2403" s="415"/>
      <c r="M2403" s="415"/>
      <c r="N2403" s="414"/>
      <c r="O2403" s="428"/>
      <c r="P2403" s="222">
        <f t="shared" si="166"/>
        <v>0</v>
      </c>
      <c r="Q2403" s="222">
        <f t="shared" si="167"/>
        <v>0</v>
      </c>
      <c r="R2403" s="532" t="str">
        <f t="shared" si="168"/>
        <v/>
      </c>
      <c r="S2403" s="533"/>
      <c r="T2403" s="533"/>
      <c r="U2403" s="496"/>
      <c r="V2403" s="496"/>
      <c r="W2403" s="496"/>
    </row>
    <row r="2404" spans="1:23" x14ac:dyDescent="0.2">
      <c r="A2404" s="510" t="str">
        <f t="shared" si="165"/>
        <v/>
      </c>
      <c r="B2404" s="428"/>
      <c r="C2404" s="424"/>
      <c r="D2404" s="415"/>
      <c r="E2404" s="415"/>
      <c r="F2404" s="425"/>
      <c r="G2404" s="415"/>
      <c r="H2404" s="415"/>
      <c r="I2404" s="473"/>
      <c r="J2404" s="415"/>
      <c r="K2404" s="415"/>
      <c r="L2404" s="415"/>
      <c r="M2404" s="415"/>
      <c r="N2404" s="414"/>
      <c r="O2404" s="428"/>
      <c r="P2404" s="222">
        <f t="shared" si="166"/>
        <v>0</v>
      </c>
      <c r="Q2404" s="222">
        <f t="shared" si="167"/>
        <v>0</v>
      </c>
      <c r="R2404" s="532" t="str">
        <f t="shared" si="168"/>
        <v/>
      </c>
      <c r="S2404" s="533"/>
      <c r="T2404" s="533"/>
      <c r="U2404" s="496"/>
      <c r="V2404" s="496"/>
      <c r="W2404" s="496"/>
    </row>
    <row r="2405" spans="1:23" x14ac:dyDescent="0.2">
      <c r="A2405" s="510" t="str">
        <f t="shared" si="165"/>
        <v/>
      </c>
      <c r="B2405" s="428"/>
      <c r="C2405" s="424"/>
      <c r="D2405" s="415"/>
      <c r="E2405" s="415"/>
      <c r="F2405" s="425"/>
      <c r="G2405" s="415"/>
      <c r="H2405" s="415"/>
      <c r="I2405" s="473"/>
      <c r="J2405" s="415"/>
      <c r="K2405" s="415"/>
      <c r="L2405" s="415"/>
      <c r="M2405" s="415"/>
      <c r="N2405" s="414"/>
      <c r="O2405" s="428"/>
      <c r="P2405" s="222">
        <f t="shared" si="166"/>
        <v>0</v>
      </c>
      <c r="Q2405" s="222">
        <f t="shared" si="167"/>
        <v>0</v>
      </c>
      <c r="R2405" s="532" t="str">
        <f t="shared" si="168"/>
        <v/>
      </c>
      <c r="S2405" s="533"/>
      <c r="T2405" s="533"/>
      <c r="U2405" s="496"/>
      <c r="V2405" s="496"/>
      <c r="W2405" s="496"/>
    </row>
    <row r="2406" spans="1:23" x14ac:dyDescent="0.2">
      <c r="A2406" s="510" t="str">
        <f t="shared" si="165"/>
        <v/>
      </c>
      <c r="B2406" s="428"/>
      <c r="C2406" s="424"/>
      <c r="D2406" s="415"/>
      <c r="E2406" s="415"/>
      <c r="F2406" s="425"/>
      <c r="G2406" s="415"/>
      <c r="H2406" s="415"/>
      <c r="I2406" s="473"/>
      <c r="J2406" s="415"/>
      <c r="K2406" s="415"/>
      <c r="L2406" s="415"/>
      <c r="M2406" s="415"/>
      <c r="N2406" s="414"/>
      <c r="O2406" s="428"/>
      <c r="P2406" s="222">
        <f t="shared" si="166"/>
        <v>0</v>
      </c>
      <c r="Q2406" s="222">
        <f t="shared" si="167"/>
        <v>0</v>
      </c>
      <c r="R2406" s="532" t="str">
        <f t="shared" si="168"/>
        <v/>
      </c>
      <c r="S2406" s="533"/>
      <c r="T2406" s="533"/>
      <c r="U2406" s="496"/>
      <c r="V2406" s="496"/>
      <c r="W2406" s="496"/>
    </row>
    <row r="2407" spans="1:23" x14ac:dyDescent="0.2">
      <c r="A2407" s="510" t="str">
        <f t="shared" si="165"/>
        <v/>
      </c>
      <c r="B2407" s="428"/>
      <c r="C2407" s="424"/>
      <c r="D2407" s="415"/>
      <c r="E2407" s="415"/>
      <c r="F2407" s="425"/>
      <c r="G2407" s="415"/>
      <c r="H2407" s="415"/>
      <c r="I2407" s="473"/>
      <c r="J2407" s="415"/>
      <c r="K2407" s="415"/>
      <c r="L2407" s="415"/>
      <c r="M2407" s="415"/>
      <c r="N2407" s="414"/>
      <c r="O2407" s="428"/>
      <c r="P2407" s="222">
        <f t="shared" si="166"/>
        <v>0</v>
      </c>
      <c r="Q2407" s="222">
        <f t="shared" si="167"/>
        <v>0</v>
      </c>
      <c r="R2407" s="532" t="str">
        <f t="shared" si="168"/>
        <v/>
      </c>
      <c r="S2407" s="533"/>
      <c r="T2407" s="533"/>
      <c r="U2407" s="496"/>
      <c r="V2407" s="496"/>
      <c r="W2407" s="496"/>
    </row>
    <row r="2408" spans="1:23" x14ac:dyDescent="0.2">
      <c r="A2408" s="510" t="str">
        <f t="shared" si="165"/>
        <v/>
      </c>
      <c r="B2408" s="428"/>
      <c r="C2408" s="424"/>
      <c r="D2408" s="415"/>
      <c r="E2408" s="415"/>
      <c r="F2408" s="425"/>
      <c r="G2408" s="415"/>
      <c r="H2408" s="415"/>
      <c r="I2408" s="473"/>
      <c r="J2408" s="415"/>
      <c r="K2408" s="415"/>
      <c r="L2408" s="415"/>
      <c r="M2408" s="415"/>
      <c r="N2408" s="414"/>
      <c r="O2408" s="428"/>
      <c r="P2408" s="222">
        <f t="shared" si="166"/>
        <v>0</v>
      </c>
      <c r="Q2408" s="222">
        <f t="shared" si="167"/>
        <v>0</v>
      </c>
      <c r="R2408" s="532" t="str">
        <f t="shared" si="168"/>
        <v/>
      </c>
      <c r="S2408" s="533"/>
      <c r="T2408" s="533"/>
      <c r="U2408" s="496"/>
      <c r="V2408" s="496"/>
      <c r="W2408" s="496"/>
    </row>
    <row r="2409" spans="1:23" x14ac:dyDescent="0.2">
      <c r="A2409" s="510" t="str">
        <f t="shared" si="165"/>
        <v/>
      </c>
      <c r="B2409" s="428"/>
      <c r="C2409" s="424"/>
      <c r="D2409" s="415"/>
      <c r="E2409" s="415"/>
      <c r="F2409" s="425"/>
      <c r="G2409" s="415"/>
      <c r="H2409" s="415"/>
      <c r="I2409" s="473"/>
      <c r="J2409" s="415"/>
      <c r="K2409" s="415"/>
      <c r="L2409" s="415"/>
      <c r="M2409" s="415"/>
      <c r="N2409" s="414"/>
      <c r="O2409" s="428"/>
      <c r="P2409" s="222">
        <f t="shared" si="166"/>
        <v>0</v>
      </c>
      <c r="Q2409" s="222">
        <f t="shared" si="167"/>
        <v>0</v>
      </c>
      <c r="R2409" s="532" t="str">
        <f t="shared" si="168"/>
        <v/>
      </c>
      <c r="S2409" s="533"/>
      <c r="T2409" s="533"/>
      <c r="U2409" s="496"/>
      <c r="V2409" s="496"/>
      <c r="W2409" s="496"/>
    </row>
    <row r="2410" spans="1:23" x14ac:dyDescent="0.2">
      <c r="A2410" s="510" t="str">
        <f t="shared" si="165"/>
        <v/>
      </c>
      <c r="B2410" s="428"/>
      <c r="C2410" s="424"/>
      <c r="D2410" s="415"/>
      <c r="E2410" s="415"/>
      <c r="F2410" s="425"/>
      <c r="G2410" s="415"/>
      <c r="H2410" s="415"/>
      <c r="I2410" s="473"/>
      <c r="J2410" s="415"/>
      <c r="K2410" s="415"/>
      <c r="L2410" s="415"/>
      <c r="M2410" s="415"/>
      <c r="N2410" s="414"/>
      <c r="O2410" s="428"/>
      <c r="P2410" s="222">
        <f t="shared" si="166"/>
        <v>0</v>
      </c>
      <c r="Q2410" s="222">
        <f t="shared" si="167"/>
        <v>0</v>
      </c>
      <c r="R2410" s="532" t="str">
        <f t="shared" si="168"/>
        <v/>
      </c>
      <c r="S2410" s="533"/>
      <c r="T2410" s="533"/>
      <c r="U2410" s="496"/>
      <c r="V2410" s="496"/>
      <c r="W2410" s="496"/>
    </row>
    <row r="2411" spans="1:23" x14ac:dyDescent="0.2">
      <c r="A2411" s="510" t="str">
        <f t="shared" si="165"/>
        <v/>
      </c>
      <c r="B2411" s="428"/>
      <c r="C2411" s="424"/>
      <c r="D2411" s="415"/>
      <c r="E2411" s="415"/>
      <c r="F2411" s="425"/>
      <c r="G2411" s="415"/>
      <c r="H2411" s="415"/>
      <c r="I2411" s="473"/>
      <c r="J2411" s="415"/>
      <c r="K2411" s="415"/>
      <c r="L2411" s="415"/>
      <c r="M2411" s="415"/>
      <c r="N2411" s="414"/>
      <c r="O2411" s="428"/>
      <c r="P2411" s="222">
        <f t="shared" si="166"/>
        <v>0</v>
      </c>
      <c r="Q2411" s="222">
        <f t="shared" si="167"/>
        <v>0</v>
      </c>
      <c r="R2411" s="532" t="str">
        <f t="shared" si="168"/>
        <v/>
      </c>
      <c r="S2411" s="533"/>
      <c r="T2411" s="533"/>
      <c r="U2411" s="496"/>
      <c r="V2411" s="496"/>
      <c r="W2411" s="496"/>
    </row>
    <row r="2412" spans="1:23" x14ac:dyDescent="0.2">
      <c r="A2412" s="510" t="str">
        <f t="shared" si="165"/>
        <v/>
      </c>
      <c r="B2412" s="428"/>
      <c r="C2412" s="424"/>
      <c r="D2412" s="415"/>
      <c r="E2412" s="415"/>
      <c r="F2412" s="425"/>
      <c r="G2412" s="415"/>
      <c r="H2412" s="415"/>
      <c r="I2412" s="473"/>
      <c r="J2412" s="415"/>
      <c r="K2412" s="415"/>
      <c r="L2412" s="415"/>
      <c r="M2412" s="415"/>
      <c r="N2412" s="414"/>
      <c r="O2412" s="428"/>
      <c r="P2412" s="222">
        <f t="shared" si="166"/>
        <v>0</v>
      </c>
      <c r="Q2412" s="222">
        <f t="shared" si="167"/>
        <v>0</v>
      </c>
      <c r="R2412" s="532" t="str">
        <f t="shared" si="168"/>
        <v/>
      </c>
      <c r="S2412" s="533"/>
      <c r="T2412" s="533"/>
      <c r="U2412" s="496"/>
      <c r="V2412" s="496"/>
      <c r="W2412" s="496"/>
    </row>
    <row r="2413" spans="1:23" x14ac:dyDescent="0.2">
      <c r="A2413" s="510" t="str">
        <f t="shared" si="165"/>
        <v/>
      </c>
      <c r="B2413" s="428"/>
      <c r="C2413" s="424"/>
      <c r="D2413" s="415"/>
      <c r="E2413" s="415"/>
      <c r="F2413" s="425"/>
      <c r="G2413" s="415"/>
      <c r="H2413" s="415"/>
      <c r="I2413" s="473"/>
      <c r="J2413" s="415"/>
      <c r="K2413" s="415"/>
      <c r="L2413" s="415"/>
      <c r="M2413" s="415"/>
      <c r="N2413" s="414"/>
      <c r="O2413" s="428"/>
      <c r="P2413" s="222">
        <f t="shared" si="166"/>
        <v>0</v>
      </c>
      <c r="Q2413" s="222">
        <f t="shared" si="167"/>
        <v>0</v>
      </c>
      <c r="R2413" s="532" t="str">
        <f t="shared" si="168"/>
        <v/>
      </c>
      <c r="S2413" s="533"/>
      <c r="T2413" s="533"/>
      <c r="U2413" s="496"/>
      <c r="V2413" s="496"/>
      <c r="W2413" s="496"/>
    </row>
    <row r="2414" spans="1:23" x14ac:dyDescent="0.2">
      <c r="A2414" s="510" t="str">
        <f t="shared" si="165"/>
        <v/>
      </c>
      <c r="B2414" s="428"/>
      <c r="C2414" s="424"/>
      <c r="D2414" s="415"/>
      <c r="E2414" s="415"/>
      <c r="F2414" s="425"/>
      <c r="G2414" s="415"/>
      <c r="H2414" s="415"/>
      <c r="I2414" s="473"/>
      <c r="J2414" s="415"/>
      <c r="K2414" s="415"/>
      <c r="L2414" s="415"/>
      <c r="M2414" s="415"/>
      <c r="N2414" s="414"/>
      <c r="O2414" s="428"/>
      <c r="P2414" s="222">
        <f t="shared" si="166"/>
        <v>0</v>
      </c>
      <c r="Q2414" s="222">
        <f t="shared" si="167"/>
        <v>0</v>
      </c>
      <c r="R2414" s="532" t="str">
        <f t="shared" si="168"/>
        <v/>
      </c>
      <c r="S2414" s="533"/>
      <c r="T2414" s="533"/>
      <c r="U2414" s="496"/>
      <c r="V2414" s="496"/>
      <c r="W2414" s="496"/>
    </row>
    <row r="2415" spans="1:23" x14ac:dyDescent="0.2">
      <c r="A2415" s="510" t="str">
        <f t="shared" si="165"/>
        <v/>
      </c>
      <c r="B2415" s="428"/>
      <c r="C2415" s="424"/>
      <c r="D2415" s="415"/>
      <c r="E2415" s="415"/>
      <c r="F2415" s="425"/>
      <c r="G2415" s="415"/>
      <c r="H2415" s="415"/>
      <c r="I2415" s="473"/>
      <c r="J2415" s="415"/>
      <c r="K2415" s="415"/>
      <c r="L2415" s="415"/>
      <c r="M2415" s="415"/>
      <c r="N2415" s="414"/>
      <c r="O2415" s="428"/>
      <c r="P2415" s="222">
        <f t="shared" si="166"/>
        <v>0</v>
      </c>
      <c r="Q2415" s="222">
        <f t="shared" si="167"/>
        <v>0</v>
      </c>
      <c r="R2415" s="532" t="str">
        <f t="shared" si="168"/>
        <v/>
      </c>
      <c r="S2415" s="533"/>
      <c r="T2415" s="533"/>
      <c r="U2415" s="496"/>
      <c r="V2415" s="496"/>
      <c r="W2415" s="496"/>
    </row>
    <row r="2416" spans="1:23" x14ac:dyDescent="0.2">
      <c r="A2416" s="510" t="str">
        <f t="shared" si="165"/>
        <v/>
      </c>
      <c r="B2416" s="428"/>
      <c r="C2416" s="424"/>
      <c r="D2416" s="415"/>
      <c r="E2416" s="415"/>
      <c r="F2416" s="425"/>
      <c r="G2416" s="415"/>
      <c r="H2416" s="415"/>
      <c r="I2416" s="473"/>
      <c r="J2416" s="415"/>
      <c r="K2416" s="415"/>
      <c r="L2416" s="415"/>
      <c r="M2416" s="415"/>
      <c r="N2416" s="414"/>
      <c r="O2416" s="428"/>
      <c r="P2416" s="222">
        <f t="shared" si="166"/>
        <v>0</v>
      </c>
      <c r="Q2416" s="222">
        <f t="shared" si="167"/>
        <v>0</v>
      </c>
      <c r="R2416" s="532" t="str">
        <f t="shared" si="168"/>
        <v/>
      </c>
      <c r="S2416" s="533"/>
      <c r="T2416" s="533"/>
      <c r="U2416" s="496"/>
      <c r="V2416" s="496"/>
      <c r="W2416" s="496"/>
    </row>
    <row r="2417" spans="1:23" x14ac:dyDescent="0.2">
      <c r="A2417" s="510" t="str">
        <f t="shared" si="165"/>
        <v/>
      </c>
      <c r="B2417" s="428"/>
      <c r="C2417" s="424"/>
      <c r="D2417" s="415"/>
      <c r="E2417" s="415"/>
      <c r="F2417" s="425"/>
      <c r="G2417" s="415"/>
      <c r="H2417" s="415"/>
      <c r="I2417" s="473"/>
      <c r="J2417" s="415"/>
      <c r="K2417" s="415"/>
      <c r="L2417" s="415"/>
      <c r="M2417" s="415"/>
      <c r="N2417" s="414"/>
      <c r="O2417" s="428"/>
      <c r="P2417" s="222">
        <f t="shared" si="166"/>
        <v>0</v>
      </c>
      <c r="Q2417" s="222">
        <f t="shared" si="167"/>
        <v>0</v>
      </c>
      <c r="R2417" s="532" t="str">
        <f t="shared" si="168"/>
        <v/>
      </c>
      <c r="S2417" s="533"/>
      <c r="T2417" s="533"/>
      <c r="U2417" s="496"/>
      <c r="V2417" s="496"/>
      <c r="W2417" s="496"/>
    </row>
    <row r="2418" spans="1:23" x14ac:dyDescent="0.2">
      <c r="A2418" s="510" t="str">
        <f t="shared" si="165"/>
        <v/>
      </c>
      <c r="B2418" s="428"/>
      <c r="C2418" s="424"/>
      <c r="D2418" s="415"/>
      <c r="E2418" s="415"/>
      <c r="F2418" s="425"/>
      <c r="G2418" s="415"/>
      <c r="H2418" s="415"/>
      <c r="I2418" s="473"/>
      <c r="J2418" s="415"/>
      <c r="K2418" s="415"/>
      <c r="L2418" s="415"/>
      <c r="M2418" s="415"/>
      <c r="N2418" s="414"/>
      <c r="O2418" s="428"/>
      <c r="P2418" s="222">
        <f t="shared" si="166"/>
        <v>0</v>
      </c>
      <c r="Q2418" s="222">
        <f t="shared" si="167"/>
        <v>0</v>
      </c>
      <c r="R2418" s="532" t="str">
        <f t="shared" si="168"/>
        <v/>
      </c>
      <c r="S2418" s="533"/>
      <c r="T2418" s="533"/>
      <c r="U2418" s="496"/>
      <c r="V2418" s="496"/>
      <c r="W2418" s="496"/>
    </row>
    <row r="2419" spans="1:23" x14ac:dyDescent="0.2">
      <c r="A2419" s="510" t="str">
        <f t="shared" si="165"/>
        <v/>
      </c>
      <c r="B2419" s="428"/>
      <c r="C2419" s="424"/>
      <c r="D2419" s="415"/>
      <c r="E2419" s="415"/>
      <c r="F2419" s="425"/>
      <c r="G2419" s="415"/>
      <c r="H2419" s="415"/>
      <c r="I2419" s="473"/>
      <c r="J2419" s="415"/>
      <c r="K2419" s="415"/>
      <c r="L2419" s="415"/>
      <c r="M2419" s="415"/>
      <c r="N2419" s="414"/>
      <c r="O2419" s="428"/>
      <c r="P2419" s="222">
        <f t="shared" si="166"/>
        <v>0</v>
      </c>
      <c r="Q2419" s="222">
        <f t="shared" si="167"/>
        <v>0</v>
      </c>
      <c r="R2419" s="532" t="str">
        <f t="shared" si="168"/>
        <v/>
      </c>
      <c r="S2419" s="533"/>
      <c r="T2419" s="533"/>
      <c r="U2419" s="496"/>
      <c r="V2419" s="496"/>
      <c r="W2419" s="496"/>
    </row>
    <row r="2420" spans="1:23" x14ac:dyDescent="0.2">
      <c r="A2420" s="510" t="str">
        <f t="shared" si="165"/>
        <v/>
      </c>
      <c r="B2420" s="428"/>
      <c r="C2420" s="424"/>
      <c r="D2420" s="415"/>
      <c r="E2420" s="415"/>
      <c r="F2420" s="425"/>
      <c r="G2420" s="415"/>
      <c r="H2420" s="415"/>
      <c r="I2420" s="473"/>
      <c r="J2420" s="415"/>
      <c r="K2420" s="415"/>
      <c r="L2420" s="415"/>
      <c r="M2420" s="415"/>
      <c r="N2420" s="414"/>
      <c r="O2420" s="428"/>
      <c r="P2420" s="222">
        <f t="shared" si="166"/>
        <v>0</v>
      </c>
      <c r="Q2420" s="222">
        <f t="shared" si="167"/>
        <v>0</v>
      </c>
      <c r="R2420" s="532" t="str">
        <f t="shared" si="168"/>
        <v/>
      </c>
      <c r="S2420" s="533"/>
      <c r="T2420" s="533"/>
      <c r="U2420" s="496"/>
      <c r="V2420" s="496"/>
      <c r="W2420" s="496"/>
    </row>
    <row r="2421" spans="1:23" x14ac:dyDescent="0.2">
      <c r="A2421" s="510" t="str">
        <f t="shared" si="165"/>
        <v/>
      </c>
      <c r="B2421" s="428"/>
      <c r="C2421" s="424"/>
      <c r="D2421" s="415"/>
      <c r="E2421" s="415"/>
      <c r="F2421" s="425"/>
      <c r="G2421" s="415"/>
      <c r="H2421" s="415"/>
      <c r="I2421" s="473"/>
      <c r="J2421" s="415"/>
      <c r="K2421" s="415"/>
      <c r="L2421" s="415"/>
      <c r="M2421" s="415"/>
      <c r="N2421" s="414"/>
      <c r="O2421" s="428"/>
      <c r="P2421" s="222">
        <f t="shared" si="166"/>
        <v>0</v>
      </c>
      <c r="Q2421" s="222">
        <f t="shared" si="167"/>
        <v>0</v>
      </c>
      <c r="R2421" s="532" t="str">
        <f t="shared" si="168"/>
        <v/>
      </c>
      <c r="S2421" s="533"/>
      <c r="T2421" s="533"/>
      <c r="U2421" s="496"/>
      <c r="V2421" s="496"/>
      <c r="W2421" s="496"/>
    </row>
    <row r="2422" spans="1:23" x14ac:dyDescent="0.2">
      <c r="A2422" s="510" t="str">
        <f t="shared" si="165"/>
        <v/>
      </c>
      <c r="B2422" s="428"/>
      <c r="C2422" s="424"/>
      <c r="D2422" s="415"/>
      <c r="E2422" s="415"/>
      <c r="F2422" s="425"/>
      <c r="G2422" s="415"/>
      <c r="H2422" s="415"/>
      <c r="I2422" s="473"/>
      <c r="J2422" s="415"/>
      <c r="K2422" s="415"/>
      <c r="L2422" s="415"/>
      <c r="M2422" s="415"/>
      <c r="N2422" s="414"/>
      <c r="O2422" s="428"/>
      <c r="P2422" s="222">
        <f t="shared" si="166"/>
        <v>0</v>
      </c>
      <c r="Q2422" s="222">
        <f t="shared" si="167"/>
        <v>0</v>
      </c>
      <c r="R2422" s="532" t="str">
        <f t="shared" si="168"/>
        <v/>
      </c>
      <c r="S2422" s="533"/>
      <c r="T2422" s="533"/>
      <c r="U2422" s="496"/>
      <c r="V2422" s="496"/>
      <c r="W2422" s="496"/>
    </row>
    <row r="2423" spans="1:23" x14ac:dyDescent="0.2">
      <c r="A2423" s="510" t="str">
        <f t="shared" si="165"/>
        <v/>
      </c>
      <c r="B2423" s="428"/>
      <c r="C2423" s="424"/>
      <c r="D2423" s="415"/>
      <c r="E2423" s="415"/>
      <c r="F2423" s="425"/>
      <c r="G2423" s="415"/>
      <c r="H2423" s="415"/>
      <c r="I2423" s="473"/>
      <c r="J2423" s="415"/>
      <c r="K2423" s="415"/>
      <c r="L2423" s="415"/>
      <c r="M2423" s="415"/>
      <c r="N2423" s="414"/>
      <c r="O2423" s="428"/>
      <c r="P2423" s="222">
        <f t="shared" si="166"/>
        <v>0</v>
      </c>
      <c r="Q2423" s="222">
        <f t="shared" si="167"/>
        <v>0</v>
      </c>
      <c r="R2423" s="532" t="str">
        <f t="shared" si="168"/>
        <v/>
      </c>
      <c r="S2423" s="533"/>
      <c r="T2423" s="533"/>
      <c r="U2423" s="496"/>
      <c r="V2423" s="496"/>
      <c r="W2423" s="496"/>
    </row>
    <row r="2424" spans="1:23" x14ac:dyDescent="0.2">
      <c r="A2424" s="510" t="str">
        <f t="shared" si="165"/>
        <v/>
      </c>
      <c r="B2424" s="428"/>
      <c r="C2424" s="424"/>
      <c r="D2424" s="415"/>
      <c r="E2424" s="415"/>
      <c r="F2424" s="425"/>
      <c r="G2424" s="415"/>
      <c r="H2424" s="415"/>
      <c r="I2424" s="473"/>
      <c r="J2424" s="415"/>
      <c r="K2424" s="415"/>
      <c r="L2424" s="415"/>
      <c r="M2424" s="415"/>
      <c r="N2424" s="414"/>
      <c r="O2424" s="428"/>
      <c r="P2424" s="222">
        <f t="shared" si="166"/>
        <v>0</v>
      </c>
      <c r="Q2424" s="222">
        <f t="shared" si="167"/>
        <v>0</v>
      </c>
      <c r="R2424" s="532" t="str">
        <f t="shared" si="168"/>
        <v/>
      </c>
      <c r="S2424" s="533"/>
      <c r="T2424" s="533"/>
      <c r="U2424" s="496"/>
      <c r="V2424" s="496"/>
      <c r="W2424" s="496"/>
    </row>
    <row r="2425" spans="1:23" x14ac:dyDescent="0.2">
      <c r="A2425" s="510" t="str">
        <f t="shared" si="165"/>
        <v/>
      </c>
      <c r="B2425" s="428"/>
      <c r="C2425" s="424"/>
      <c r="D2425" s="415"/>
      <c r="E2425" s="415"/>
      <c r="F2425" s="425"/>
      <c r="G2425" s="415"/>
      <c r="H2425" s="415"/>
      <c r="I2425" s="473"/>
      <c r="J2425" s="415"/>
      <c r="K2425" s="415"/>
      <c r="L2425" s="415"/>
      <c r="M2425" s="415"/>
      <c r="N2425" s="414"/>
      <c r="O2425" s="428"/>
      <c r="P2425" s="222">
        <f t="shared" si="166"/>
        <v>0</v>
      </c>
      <c r="Q2425" s="222">
        <f t="shared" si="167"/>
        <v>0</v>
      </c>
      <c r="R2425" s="532" t="str">
        <f t="shared" si="168"/>
        <v/>
      </c>
      <c r="S2425" s="533"/>
      <c r="T2425" s="533"/>
      <c r="U2425" s="496"/>
      <c r="V2425" s="496"/>
      <c r="W2425" s="496"/>
    </row>
    <row r="2426" spans="1:23" x14ac:dyDescent="0.2">
      <c r="A2426" s="510" t="str">
        <f t="shared" si="165"/>
        <v/>
      </c>
      <c r="B2426" s="428"/>
      <c r="C2426" s="424"/>
      <c r="D2426" s="415"/>
      <c r="E2426" s="415"/>
      <c r="F2426" s="425"/>
      <c r="G2426" s="415"/>
      <c r="H2426" s="415"/>
      <c r="I2426" s="473"/>
      <c r="J2426" s="415"/>
      <c r="K2426" s="415"/>
      <c r="L2426" s="415"/>
      <c r="M2426" s="415"/>
      <c r="N2426" s="414"/>
      <c r="O2426" s="428"/>
      <c r="P2426" s="222">
        <f t="shared" si="166"/>
        <v>0</v>
      </c>
      <c r="Q2426" s="222">
        <f t="shared" si="167"/>
        <v>0</v>
      </c>
      <c r="R2426" s="532" t="str">
        <f t="shared" si="168"/>
        <v/>
      </c>
      <c r="S2426" s="533"/>
      <c r="T2426" s="533"/>
      <c r="U2426" s="496"/>
      <c r="V2426" s="496"/>
      <c r="W2426" s="496"/>
    </row>
    <row r="2427" spans="1:23" x14ac:dyDescent="0.2">
      <c r="A2427" s="510" t="str">
        <f t="shared" si="165"/>
        <v/>
      </c>
      <c r="B2427" s="428"/>
      <c r="C2427" s="424"/>
      <c r="D2427" s="415"/>
      <c r="E2427" s="415"/>
      <c r="F2427" s="425"/>
      <c r="G2427" s="415"/>
      <c r="H2427" s="415"/>
      <c r="I2427" s="473"/>
      <c r="J2427" s="415"/>
      <c r="K2427" s="415"/>
      <c r="L2427" s="415"/>
      <c r="M2427" s="415"/>
      <c r="N2427" s="414"/>
      <c r="O2427" s="428"/>
      <c r="P2427" s="222">
        <f t="shared" si="166"/>
        <v>0</v>
      </c>
      <c r="Q2427" s="222">
        <f t="shared" si="167"/>
        <v>0</v>
      </c>
      <c r="R2427" s="532" t="str">
        <f t="shared" si="168"/>
        <v/>
      </c>
      <c r="S2427" s="533"/>
      <c r="T2427" s="533"/>
      <c r="U2427" s="496"/>
      <c r="V2427" s="496"/>
      <c r="W2427" s="496"/>
    </row>
    <row r="2428" spans="1:23" x14ac:dyDescent="0.2">
      <c r="A2428" s="510" t="str">
        <f t="shared" si="165"/>
        <v/>
      </c>
      <c r="B2428" s="428"/>
      <c r="C2428" s="424"/>
      <c r="D2428" s="415"/>
      <c r="E2428" s="415"/>
      <c r="F2428" s="425"/>
      <c r="G2428" s="415"/>
      <c r="H2428" s="415"/>
      <c r="I2428" s="473"/>
      <c r="J2428" s="415"/>
      <c r="K2428" s="415"/>
      <c r="L2428" s="415"/>
      <c r="M2428" s="415"/>
      <c r="N2428" s="414"/>
      <c r="O2428" s="428"/>
      <c r="P2428" s="222">
        <f t="shared" si="166"/>
        <v>0</v>
      </c>
      <c r="Q2428" s="222">
        <f t="shared" si="167"/>
        <v>0</v>
      </c>
      <c r="R2428" s="532" t="str">
        <f t="shared" si="168"/>
        <v/>
      </c>
      <c r="S2428" s="533"/>
      <c r="T2428" s="533"/>
      <c r="U2428" s="496"/>
      <c r="V2428" s="496"/>
      <c r="W2428" s="496"/>
    </row>
    <row r="2429" spans="1:23" x14ac:dyDescent="0.2">
      <c r="A2429" s="510" t="str">
        <f t="shared" si="165"/>
        <v/>
      </c>
      <c r="B2429" s="428"/>
      <c r="C2429" s="424"/>
      <c r="D2429" s="415"/>
      <c r="E2429" s="415"/>
      <c r="F2429" s="425"/>
      <c r="G2429" s="415"/>
      <c r="H2429" s="415"/>
      <c r="I2429" s="473"/>
      <c r="J2429" s="415"/>
      <c r="K2429" s="415"/>
      <c r="L2429" s="415"/>
      <c r="M2429" s="415"/>
      <c r="N2429" s="414"/>
      <c r="O2429" s="428"/>
      <c r="P2429" s="222">
        <f t="shared" si="166"/>
        <v>0</v>
      </c>
      <c r="Q2429" s="222">
        <f t="shared" si="167"/>
        <v>0</v>
      </c>
      <c r="R2429" s="532" t="str">
        <f t="shared" si="168"/>
        <v/>
      </c>
      <c r="S2429" s="533"/>
      <c r="T2429" s="533"/>
      <c r="U2429" s="496"/>
      <c r="V2429" s="496"/>
      <c r="W2429" s="496"/>
    </row>
    <row r="2430" spans="1:23" x14ac:dyDescent="0.2">
      <c r="A2430" s="510" t="str">
        <f t="shared" si="165"/>
        <v/>
      </c>
      <c r="B2430" s="428"/>
      <c r="C2430" s="424"/>
      <c r="D2430" s="415"/>
      <c r="E2430" s="415"/>
      <c r="F2430" s="425"/>
      <c r="G2430" s="415"/>
      <c r="H2430" s="415"/>
      <c r="I2430" s="473"/>
      <c r="J2430" s="415"/>
      <c r="K2430" s="415"/>
      <c r="L2430" s="415"/>
      <c r="M2430" s="415"/>
      <c r="N2430" s="414"/>
      <c r="O2430" s="428"/>
      <c r="P2430" s="222">
        <f t="shared" si="166"/>
        <v>0</v>
      </c>
      <c r="Q2430" s="222">
        <f t="shared" si="167"/>
        <v>0</v>
      </c>
      <c r="R2430" s="532" t="str">
        <f t="shared" si="168"/>
        <v/>
      </c>
      <c r="S2430" s="533"/>
      <c r="T2430" s="533"/>
      <c r="U2430" s="496"/>
      <c r="V2430" s="496"/>
      <c r="W2430" s="496"/>
    </row>
    <row r="2431" spans="1:23" x14ac:dyDescent="0.2">
      <c r="A2431" s="510" t="str">
        <f t="shared" si="165"/>
        <v/>
      </c>
      <c r="B2431" s="428"/>
      <c r="C2431" s="424"/>
      <c r="D2431" s="415"/>
      <c r="E2431" s="415"/>
      <c r="F2431" s="425"/>
      <c r="G2431" s="415"/>
      <c r="H2431" s="415"/>
      <c r="I2431" s="473"/>
      <c r="J2431" s="415"/>
      <c r="K2431" s="415"/>
      <c r="L2431" s="415"/>
      <c r="M2431" s="415"/>
      <c r="N2431" s="414"/>
      <c r="O2431" s="428"/>
      <c r="P2431" s="222">
        <f t="shared" si="166"/>
        <v>0</v>
      </c>
      <c r="Q2431" s="222">
        <f t="shared" si="167"/>
        <v>0</v>
      </c>
      <c r="R2431" s="532" t="str">
        <f t="shared" si="168"/>
        <v/>
      </c>
      <c r="S2431" s="533"/>
      <c r="T2431" s="533"/>
      <c r="U2431" s="496"/>
      <c r="V2431" s="496"/>
      <c r="W2431" s="496"/>
    </row>
    <row r="2432" spans="1:23" x14ac:dyDescent="0.2">
      <c r="A2432" s="510" t="str">
        <f t="shared" si="165"/>
        <v/>
      </c>
      <c r="B2432" s="428"/>
      <c r="C2432" s="424"/>
      <c r="D2432" s="415"/>
      <c r="E2432" s="415"/>
      <c r="F2432" s="425"/>
      <c r="G2432" s="415"/>
      <c r="H2432" s="415"/>
      <c r="I2432" s="473"/>
      <c r="J2432" s="415"/>
      <c r="K2432" s="415"/>
      <c r="L2432" s="415"/>
      <c r="M2432" s="415"/>
      <c r="N2432" s="414"/>
      <c r="O2432" s="428"/>
      <c r="P2432" s="222">
        <f t="shared" si="166"/>
        <v>0</v>
      </c>
      <c r="Q2432" s="222">
        <f t="shared" si="167"/>
        <v>0</v>
      </c>
      <c r="R2432" s="532" t="str">
        <f t="shared" si="168"/>
        <v/>
      </c>
      <c r="S2432" s="533"/>
      <c r="T2432" s="533"/>
      <c r="U2432" s="496"/>
      <c r="V2432" s="496"/>
      <c r="W2432" s="496"/>
    </row>
    <row r="2433" spans="1:23" x14ac:dyDescent="0.2">
      <c r="A2433" s="510" t="str">
        <f t="shared" si="165"/>
        <v/>
      </c>
      <c r="B2433" s="428"/>
      <c r="C2433" s="424"/>
      <c r="D2433" s="415"/>
      <c r="E2433" s="415"/>
      <c r="F2433" s="425"/>
      <c r="G2433" s="415"/>
      <c r="H2433" s="415"/>
      <c r="I2433" s="473"/>
      <c r="J2433" s="415"/>
      <c r="K2433" s="415"/>
      <c r="L2433" s="415"/>
      <c r="M2433" s="415"/>
      <c r="N2433" s="414"/>
      <c r="O2433" s="428"/>
      <c r="P2433" s="222">
        <f t="shared" si="166"/>
        <v>0</v>
      </c>
      <c r="Q2433" s="222">
        <f t="shared" si="167"/>
        <v>0</v>
      </c>
      <c r="R2433" s="532" t="str">
        <f t="shared" si="168"/>
        <v/>
      </c>
      <c r="S2433" s="533"/>
      <c r="T2433" s="533"/>
      <c r="U2433" s="496"/>
      <c r="V2433" s="496"/>
      <c r="W2433" s="496"/>
    </row>
    <row r="2434" spans="1:23" x14ac:dyDescent="0.2">
      <c r="A2434" s="510" t="str">
        <f t="shared" si="165"/>
        <v/>
      </c>
      <c r="B2434" s="428"/>
      <c r="C2434" s="424"/>
      <c r="D2434" s="415"/>
      <c r="E2434" s="415"/>
      <c r="F2434" s="425"/>
      <c r="G2434" s="415"/>
      <c r="H2434" s="415"/>
      <c r="I2434" s="473"/>
      <c r="J2434" s="415"/>
      <c r="K2434" s="415"/>
      <c r="L2434" s="415"/>
      <c r="M2434" s="415"/>
      <c r="N2434" s="414"/>
      <c r="O2434" s="428"/>
      <c r="P2434" s="222">
        <f t="shared" si="166"/>
        <v>0</v>
      </c>
      <c r="Q2434" s="222">
        <f t="shared" si="167"/>
        <v>0</v>
      </c>
      <c r="R2434" s="532" t="str">
        <f t="shared" si="168"/>
        <v/>
      </c>
      <c r="S2434" s="533"/>
      <c r="T2434" s="533"/>
      <c r="U2434" s="496"/>
      <c r="V2434" s="496"/>
      <c r="W2434" s="496"/>
    </row>
    <row r="2435" spans="1:23" x14ac:dyDescent="0.2">
      <c r="A2435" s="510" t="str">
        <f t="shared" si="165"/>
        <v/>
      </c>
      <c r="B2435" s="428"/>
      <c r="C2435" s="424"/>
      <c r="D2435" s="415"/>
      <c r="E2435" s="415"/>
      <c r="F2435" s="425"/>
      <c r="G2435" s="415"/>
      <c r="H2435" s="415"/>
      <c r="I2435" s="473"/>
      <c r="J2435" s="415"/>
      <c r="K2435" s="415"/>
      <c r="L2435" s="415"/>
      <c r="M2435" s="415"/>
      <c r="N2435" s="414"/>
      <c r="O2435" s="428"/>
      <c r="P2435" s="222">
        <f t="shared" si="166"/>
        <v>0</v>
      </c>
      <c r="Q2435" s="222">
        <f t="shared" si="167"/>
        <v>0</v>
      </c>
      <c r="R2435" s="532" t="str">
        <f t="shared" si="168"/>
        <v/>
      </c>
      <c r="S2435" s="533"/>
      <c r="T2435" s="533"/>
      <c r="U2435" s="496"/>
      <c r="V2435" s="496"/>
      <c r="W2435" s="496"/>
    </row>
    <row r="2436" spans="1:23" x14ac:dyDescent="0.2">
      <c r="A2436" s="510" t="str">
        <f t="shared" si="165"/>
        <v/>
      </c>
      <c r="B2436" s="428"/>
      <c r="C2436" s="424"/>
      <c r="D2436" s="415"/>
      <c r="E2436" s="415"/>
      <c r="F2436" s="425"/>
      <c r="G2436" s="415"/>
      <c r="H2436" s="415"/>
      <c r="I2436" s="473"/>
      <c r="J2436" s="415"/>
      <c r="K2436" s="415"/>
      <c r="L2436" s="415"/>
      <c r="M2436" s="415"/>
      <c r="N2436" s="414"/>
      <c r="O2436" s="428"/>
      <c r="P2436" s="222">
        <f t="shared" si="166"/>
        <v>0</v>
      </c>
      <c r="Q2436" s="222">
        <f t="shared" si="167"/>
        <v>0</v>
      </c>
      <c r="R2436" s="532" t="str">
        <f t="shared" si="168"/>
        <v/>
      </c>
      <c r="S2436" s="533"/>
      <c r="T2436" s="533"/>
      <c r="U2436" s="496"/>
      <c r="V2436" s="496"/>
      <c r="W2436" s="496"/>
    </row>
    <row r="2437" spans="1:23" x14ac:dyDescent="0.2">
      <c r="A2437" s="510" t="str">
        <f t="shared" si="165"/>
        <v/>
      </c>
      <c r="B2437" s="428"/>
      <c r="C2437" s="424"/>
      <c r="D2437" s="415"/>
      <c r="E2437" s="415"/>
      <c r="F2437" s="425"/>
      <c r="G2437" s="415"/>
      <c r="H2437" s="415"/>
      <c r="I2437" s="473"/>
      <c r="J2437" s="415"/>
      <c r="K2437" s="415"/>
      <c r="L2437" s="415"/>
      <c r="M2437" s="415"/>
      <c r="N2437" s="414"/>
      <c r="O2437" s="428"/>
      <c r="P2437" s="222">
        <f t="shared" si="166"/>
        <v>0</v>
      </c>
      <c r="Q2437" s="222">
        <f t="shared" si="167"/>
        <v>0</v>
      </c>
      <c r="R2437" s="532" t="str">
        <f t="shared" si="168"/>
        <v/>
      </c>
      <c r="S2437" s="533"/>
      <c r="T2437" s="533"/>
      <c r="U2437" s="496"/>
      <c r="V2437" s="496"/>
      <c r="W2437" s="496"/>
    </row>
    <row r="2438" spans="1:23" x14ac:dyDescent="0.2">
      <c r="A2438" s="510" t="str">
        <f t="shared" si="165"/>
        <v/>
      </c>
      <c r="B2438" s="428"/>
      <c r="C2438" s="424"/>
      <c r="D2438" s="415"/>
      <c r="E2438" s="415"/>
      <c r="F2438" s="425"/>
      <c r="G2438" s="415"/>
      <c r="H2438" s="415"/>
      <c r="I2438" s="473"/>
      <c r="J2438" s="415"/>
      <c r="K2438" s="415"/>
      <c r="L2438" s="415"/>
      <c r="M2438" s="415"/>
      <c r="N2438" s="414"/>
      <c r="O2438" s="428"/>
      <c r="P2438" s="222">
        <f t="shared" si="166"/>
        <v>0</v>
      </c>
      <c r="Q2438" s="222">
        <f t="shared" si="167"/>
        <v>0</v>
      </c>
      <c r="R2438" s="532" t="str">
        <f t="shared" si="168"/>
        <v/>
      </c>
      <c r="S2438" s="533"/>
      <c r="T2438" s="533"/>
      <c r="U2438" s="496"/>
      <c r="V2438" s="496"/>
      <c r="W2438" s="496"/>
    </row>
    <row r="2439" spans="1:23" x14ac:dyDescent="0.2">
      <c r="A2439" s="510" t="str">
        <f t="shared" si="165"/>
        <v/>
      </c>
      <c r="B2439" s="428"/>
      <c r="C2439" s="424"/>
      <c r="D2439" s="415"/>
      <c r="E2439" s="415"/>
      <c r="F2439" s="425"/>
      <c r="G2439" s="415"/>
      <c r="H2439" s="415"/>
      <c r="I2439" s="473"/>
      <c r="J2439" s="415"/>
      <c r="K2439" s="415"/>
      <c r="L2439" s="415"/>
      <c r="M2439" s="415"/>
      <c r="N2439" s="414"/>
      <c r="O2439" s="428"/>
      <c r="P2439" s="222">
        <f t="shared" si="166"/>
        <v>0</v>
      </c>
      <c r="Q2439" s="222">
        <f t="shared" si="167"/>
        <v>0</v>
      </c>
      <c r="R2439" s="532" t="str">
        <f t="shared" si="168"/>
        <v/>
      </c>
      <c r="S2439" s="533"/>
      <c r="T2439" s="533"/>
      <c r="U2439" s="496"/>
      <c r="V2439" s="496"/>
      <c r="W2439" s="496"/>
    </row>
    <row r="2440" spans="1:23" x14ac:dyDescent="0.2">
      <c r="A2440" s="510" t="str">
        <f t="shared" si="165"/>
        <v/>
      </c>
      <c r="B2440" s="428"/>
      <c r="C2440" s="424"/>
      <c r="D2440" s="415"/>
      <c r="E2440" s="415"/>
      <c r="F2440" s="425"/>
      <c r="G2440" s="415"/>
      <c r="H2440" s="415"/>
      <c r="I2440" s="473"/>
      <c r="J2440" s="415"/>
      <c r="K2440" s="415"/>
      <c r="L2440" s="415"/>
      <c r="M2440" s="415"/>
      <c r="N2440" s="414"/>
      <c r="O2440" s="428"/>
      <c r="P2440" s="222">
        <f t="shared" si="166"/>
        <v>0</v>
      </c>
      <c r="Q2440" s="222">
        <f t="shared" si="167"/>
        <v>0</v>
      </c>
      <c r="R2440" s="532" t="str">
        <f t="shared" si="168"/>
        <v/>
      </c>
      <c r="S2440" s="533"/>
      <c r="T2440" s="533"/>
      <c r="U2440" s="496"/>
      <c r="V2440" s="496"/>
      <c r="W2440" s="496"/>
    </row>
    <row r="2441" spans="1:23" x14ac:dyDescent="0.2">
      <c r="A2441" s="510" t="str">
        <f t="shared" si="165"/>
        <v/>
      </c>
      <c r="B2441" s="428"/>
      <c r="C2441" s="424"/>
      <c r="D2441" s="415"/>
      <c r="E2441" s="415"/>
      <c r="F2441" s="425"/>
      <c r="G2441" s="415"/>
      <c r="H2441" s="415"/>
      <c r="I2441" s="473"/>
      <c r="J2441" s="415"/>
      <c r="K2441" s="415"/>
      <c r="L2441" s="415"/>
      <c r="M2441" s="415"/>
      <c r="N2441" s="414"/>
      <c r="O2441" s="428"/>
      <c r="P2441" s="222">
        <f t="shared" si="166"/>
        <v>0</v>
      </c>
      <c r="Q2441" s="222">
        <f t="shared" si="167"/>
        <v>0</v>
      </c>
      <c r="R2441" s="532" t="str">
        <f t="shared" si="168"/>
        <v/>
      </c>
      <c r="S2441" s="533"/>
      <c r="T2441" s="533"/>
      <c r="U2441" s="496"/>
      <c r="V2441" s="496"/>
      <c r="W2441" s="496"/>
    </row>
    <row r="2442" spans="1:23" x14ac:dyDescent="0.2">
      <c r="A2442" s="510" t="str">
        <f t="shared" si="165"/>
        <v/>
      </c>
      <c r="B2442" s="428"/>
      <c r="C2442" s="424"/>
      <c r="D2442" s="415"/>
      <c r="E2442" s="415"/>
      <c r="F2442" s="425"/>
      <c r="G2442" s="415"/>
      <c r="H2442" s="415"/>
      <c r="I2442" s="473"/>
      <c r="J2442" s="415"/>
      <c r="K2442" s="415"/>
      <c r="L2442" s="415"/>
      <c r="M2442" s="415"/>
      <c r="N2442" s="414"/>
      <c r="O2442" s="428"/>
      <c r="P2442" s="222">
        <f t="shared" si="166"/>
        <v>0</v>
      </c>
      <c r="Q2442" s="222">
        <f t="shared" si="167"/>
        <v>0</v>
      </c>
      <c r="R2442" s="532" t="str">
        <f t="shared" si="168"/>
        <v/>
      </c>
      <c r="S2442" s="533"/>
      <c r="T2442" s="533"/>
      <c r="U2442" s="496"/>
      <c r="V2442" s="496"/>
      <c r="W2442" s="496"/>
    </row>
    <row r="2443" spans="1:23" x14ac:dyDescent="0.2">
      <c r="A2443" s="510" t="str">
        <f t="shared" si="165"/>
        <v/>
      </c>
      <c r="B2443" s="428"/>
      <c r="C2443" s="424"/>
      <c r="D2443" s="415"/>
      <c r="E2443" s="415"/>
      <c r="F2443" s="425"/>
      <c r="G2443" s="415"/>
      <c r="H2443" s="415"/>
      <c r="I2443" s="473"/>
      <c r="J2443" s="415"/>
      <c r="K2443" s="415"/>
      <c r="L2443" s="415"/>
      <c r="M2443" s="415"/>
      <c r="N2443" s="414"/>
      <c r="O2443" s="428"/>
      <c r="P2443" s="222">
        <f t="shared" si="166"/>
        <v>0</v>
      </c>
      <c r="Q2443" s="222">
        <f t="shared" si="167"/>
        <v>0</v>
      </c>
      <c r="R2443" s="532" t="str">
        <f t="shared" si="168"/>
        <v/>
      </c>
      <c r="S2443" s="533"/>
      <c r="T2443" s="533"/>
      <c r="U2443" s="496"/>
      <c r="V2443" s="496"/>
      <c r="W2443" s="496"/>
    </row>
    <row r="2444" spans="1:23" x14ac:dyDescent="0.2">
      <c r="A2444" s="510" t="str">
        <f t="shared" si="165"/>
        <v/>
      </c>
      <c r="B2444" s="428"/>
      <c r="C2444" s="424"/>
      <c r="D2444" s="415"/>
      <c r="E2444" s="415"/>
      <c r="F2444" s="425"/>
      <c r="G2444" s="415"/>
      <c r="H2444" s="415"/>
      <c r="I2444" s="473"/>
      <c r="J2444" s="415"/>
      <c r="K2444" s="415"/>
      <c r="L2444" s="415"/>
      <c r="M2444" s="415"/>
      <c r="N2444" s="414"/>
      <c r="O2444" s="428"/>
      <c r="P2444" s="222">
        <f t="shared" si="166"/>
        <v>0</v>
      </c>
      <c r="Q2444" s="222">
        <f t="shared" si="167"/>
        <v>0</v>
      </c>
      <c r="R2444" s="532" t="str">
        <f t="shared" si="168"/>
        <v/>
      </c>
      <c r="S2444" s="533"/>
      <c r="T2444" s="533"/>
      <c r="U2444" s="496"/>
      <c r="V2444" s="496"/>
      <c r="W2444" s="496"/>
    </row>
    <row r="2445" spans="1:23" x14ac:dyDescent="0.2">
      <c r="A2445" s="510" t="str">
        <f t="shared" si="165"/>
        <v/>
      </c>
      <c r="B2445" s="428"/>
      <c r="C2445" s="424"/>
      <c r="D2445" s="415"/>
      <c r="E2445" s="415"/>
      <c r="F2445" s="425"/>
      <c r="G2445" s="415"/>
      <c r="H2445" s="415"/>
      <c r="I2445" s="473"/>
      <c r="J2445" s="415"/>
      <c r="K2445" s="415"/>
      <c r="L2445" s="415"/>
      <c r="M2445" s="415"/>
      <c r="N2445" s="414"/>
      <c r="O2445" s="428"/>
      <c r="P2445" s="222">
        <f t="shared" si="166"/>
        <v>0</v>
      </c>
      <c r="Q2445" s="222">
        <f t="shared" si="167"/>
        <v>0</v>
      </c>
      <c r="R2445" s="532" t="str">
        <f t="shared" si="168"/>
        <v/>
      </c>
      <c r="S2445" s="533"/>
      <c r="T2445" s="533"/>
      <c r="U2445" s="496"/>
      <c r="V2445" s="496"/>
      <c r="W2445" s="496"/>
    </row>
    <row r="2446" spans="1:23" x14ac:dyDescent="0.2">
      <c r="A2446" s="510" t="str">
        <f t="shared" si="165"/>
        <v/>
      </c>
      <c r="B2446" s="428"/>
      <c r="C2446" s="424"/>
      <c r="D2446" s="415"/>
      <c r="E2446" s="415"/>
      <c r="F2446" s="425"/>
      <c r="G2446" s="415"/>
      <c r="H2446" s="415"/>
      <c r="I2446" s="473"/>
      <c r="J2446" s="415"/>
      <c r="K2446" s="415"/>
      <c r="L2446" s="415"/>
      <c r="M2446" s="415"/>
      <c r="N2446" s="414"/>
      <c r="O2446" s="428"/>
      <c r="P2446" s="222">
        <f t="shared" si="166"/>
        <v>0</v>
      </c>
      <c r="Q2446" s="222">
        <f t="shared" si="167"/>
        <v>0</v>
      </c>
      <c r="R2446" s="532" t="str">
        <f t="shared" si="168"/>
        <v/>
      </c>
      <c r="S2446" s="533"/>
      <c r="T2446" s="533"/>
      <c r="U2446" s="496"/>
      <c r="V2446" s="496"/>
      <c r="W2446" s="496"/>
    </row>
    <row r="2447" spans="1:23" x14ac:dyDescent="0.2">
      <c r="A2447" s="510" t="str">
        <f t="shared" si="165"/>
        <v/>
      </c>
      <c r="B2447" s="428"/>
      <c r="C2447" s="424"/>
      <c r="D2447" s="415"/>
      <c r="E2447" s="415"/>
      <c r="F2447" s="425"/>
      <c r="G2447" s="415"/>
      <c r="H2447" s="415"/>
      <c r="I2447" s="473"/>
      <c r="J2447" s="415"/>
      <c r="K2447" s="415"/>
      <c r="L2447" s="415"/>
      <c r="M2447" s="415"/>
      <c r="N2447" s="414"/>
      <c r="O2447" s="428"/>
      <c r="P2447" s="222">
        <f t="shared" si="166"/>
        <v>0</v>
      </c>
      <c r="Q2447" s="222">
        <f t="shared" si="167"/>
        <v>0</v>
      </c>
      <c r="R2447" s="532" t="str">
        <f t="shared" si="168"/>
        <v/>
      </c>
      <c r="S2447" s="533"/>
      <c r="T2447" s="533"/>
      <c r="U2447" s="496"/>
      <c r="V2447" s="496"/>
      <c r="W2447" s="496"/>
    </row>
    <row r="2448" spans="1:23" x14ac:dyDescent="0.2">
      <c r="A2448" s="577" t="str">
        <f t="shared" si="165"/>
        <v/>
      </c>
      <c r="B2448" s="578"/>
      <c r="C2448" s="579"/>
      <c r="D2448" s="462"/>
      <c r="E2448" s="462"/>
      <c r="F2448" s="580"/>
      <c r="G2448" s="462"/>
      <c r="H2448" s="462"/>
      <c r="I2448" s="476"/>
      <c r="J2448" s="462"/>
      <c r="K2448" s="462"/>
      <c r="L2448" s="462"/>
      <c r="M2448" s="462"/>
      <c r="N2448" s="581"/>
      <c r="O2448" s="463"/>
      <c r="P2448" s="582">
        <f t="shared" si="166"/>
        <v>0</v>
      </c>
      <c r="Q2448" s="582">
        <f t="shared" si="167"/>
        <v>0</v>
      </c>
      <c r="R2448" s="583" t="str">
        <f t="shared" si="168"/>
        <v/>
      </c>
      <c r="S2448" s="496"/>
      <c r="T2448" s="496"/>
      <c r="U2448" s="496"/>
      <c r="V2448" s="496"/>
      <c r="W2448" s="496"/>
    </row>
    <row r="2449" spans="1:23" x14ac:dyDescent="0.2">
      <c r="A2449" s="348" t="str">
        <f t="shared" si="165"/>
        <v/>
      </c>
      <c r="B2449" s="349"/>
      <c r="C2449" s="584"/>
      <c r="D2449" s="345"/>
      <c r="E2449" s="345"/>
      <c r="F2449" s="350"/>
      <c r="G2449" s="345"/>
      <c r="H2449" s="345"/>
      <c r="I2449" s="355"/>
      <c r="J2449" s="345"/>
      <c r="K2449" s="345"/>
      <c r="L2449" s="345"/>
      <c r="M2449" s="345"/>
      <c r="N2449" s="585"/>
      <c r="O2449" s="351"/>
      <c r="P2449" s="582">
        <f t="shared" si="166"/>
        <v>0</v>
      </c>
      <c r="Q2449" s="582">
        <f t="shared" si="167"/>
        <v>0</v>
      </c>
      <c r="R2449" s="583" t="str">
        <f t="shared" si="168"/>
        <v/>
      </c>
      <c r="S2449" s="496"/>
      <c r="T2449" s="496"/>
      <c r="U2449" s="496"/>
      <c r="V2449" s="496"/>
      <c r="W2449" s="496"/>
    </row>
    <row r="2450" spans="1:23" x14ac:dyDescent="0.2">
      <c r="A2450" s="348" t="str">
        <f t="shared" si="165"/>
        <v/>
      </c>
      <c r="B2450" s="349"/>
      <c r="C2450" s="584"/>
      <c r="D2450" s="345"/>
      <c r="E2450" s="345"/>
      <c r="F2450" s="350"/>
      <c r="G2450" s="345"/>
      <c r="H2450" s="345"/>
      <c r="I2450" s="355"/>
      <c r="J2450" s="345"/>
      <c r="K2450" s="345"/>
      <c r="L2450" s="345"/>
      <c r="M2450" s="345"/>
      <c r="N2450" s="585"/>
      <c r="O2450" s="351"/>
      <c r="P2450" s="582">
        <f t="shared" si="166"/>
        <v>0</v>
      </c>
      <c r="Q2450" s="582">
        <f t="shared" si="167"/>
        <v>0</v>
      </c>
      <c r="R2450" s="583" t="str">
        <f t="shared" si="168"/>
        <v/>
      </c>
      <c r="S2450" s="496"/>
      <c r="T2450" s="496"/>
      <c r="U2450" s="496"/>
      <c r="V2450" s="496"/>
      <c r="W2450" s="496"/>
    </row>
    <row r="2451" spans="1:23" x14ac:dyDescent="0.2">
      <c r="A2451" s="348" t="str">
        <f t="shared" si="165"/>
        <v/>
      </c>
      <c r="B2451" s="349"/>
      <c r="C2451" s="584"/>
      <c r="D2451" s="345"/>
      <c r="E2451" s="345"/>
      <c r="F2451" s="350"/>
      <c r="G2451" s="345"/>
      <c r="H2451" s="345"/>
      <c r="I2451" s="355"/>
      <c r="J2451" s="345"/>
      <c r="K2451" s="345"/>
      <c r="L2451" s="345"/>
      <c r="M2451" s="345"/>
      <c r="N2451" s="585"/>
      <c r="O2451" s="351"/>
      <c r="P2451" s="582">
        <f t="shared" si="166"/>
        <v>0</v>
      </c>
      <c r="Q2451" s="582">
        <f t="shared" si="167"/>
        <v>0</v>
      </c>
      <c r="R2451" s="583" t="str">
        <f t="shared" si="168"/>
        <v/>
      </c>
      <c r="S2451" s="496"/>
      <c r="T2451" s="496"/>
      <c r="U2451" s="496"/>
      <c r="V2451" s="496"/>
      <c r="W2451" s="496"/>
    </row>
    <row r="2452" spans="1:23" x14ac:dyDescent="0.2">
      <c r="A2452" s="348" t="str">
        <f t="shared" si="165"/>
        <v/>
      </c>
      <c r="B2452" s="349"/>
      <c r="C2452" s="584"/>
      <c r="D2452" s="345"/>
      <c r="E2452" s="345"/>
      <c r="F2452" s="350"/>
      <c r="G2452" s="345"/>
      <c r="H2452" s="345"/>
      <c r="I2452" s="355"/>
      <c r="J2452" s="345"/>
      <c r="K2452" s="345"/>
      <c r="L2452" s="345"/>
      <c r="M2452" s="345"/>
      <c r="N2452" s="585"/>
      <c r="O2452" s="351"/>
      <c r="P2452" s="582">
        <f t="shared" si="166"/>
        <v>0</v>
      </c>
      <c r="Q2452" s="582">
        <f t="shared" si="167"/>
        <v>0</v>
      </c>
      <c r="R2452" s="583" t="str">
        <f t="shared" si="168"/>
        <v/>
      </c>
      <c r="S2452" s="496"/>
      <c r="T2452" s="496"/>
      <c r="U2452" s="496"/>
      <c r="V2452" s="496"/>
      <c r="W2452" s="496"/>
    </row>
    <row r="2453" spans="1:23" x14ac:dyDescent="0.2">
      <c r="A2453" s="348" t="str">
        <f t="shared" si="165"/>
        <v/>
      </c>
      <c r="B2453" s="349"/>
      <c r="C2453" s="584"/>
      <c r="D2453" s="345"/>
      <c r="E2453" s="345"/>
      <c r="F2453" s="350"/>
      <c r="G2453" s="345"/>
      <c r="H2453" s="345"/>
      <c r="I2453" s="355"/>
      <c r="J2453" s="345"/>
      <c r="K2453" s="345"/>
      <c r="L2453" s="345"/>
      <c r="M2453" s="345"/>
      <c r="N2453" s="585"/>
      <c r="O2453" s="351"/>
      <c r="P2453" s="582">
        <f t="shared" si="166"/>
        <v>0</v>
      </c>
      <c r="Q2453" s="582">
        <f t="shared" si="167"/>
        <v>0</v>
      </c>
      <c r="R2453" s="583" t="str">
        <f t="shared" si="168"/>
        <v/>
      </c>
      <c r="S2453" s="496"/>
      <c r="T2453" s="496"/>
      <c r="U2453" s="496"/>
      <c r="V2453" s="496"/>
      <c r="W2453" s="496"/>
    </row>
    <row r="2454" spans="1:23" x14ac:dyDescent="0.2">
      <c r="A2454" s="348" t="str">
        <f t="shared" si="165"/>
        <v/>
      </c>
      <c r="B2454" s="349"/>
      <c r="C2454" s="584"/>
      <c r="D2454" s="345"/>
      <c r="E2454" s="345"/>
      <c r="F2454" s="350"/>
      <c r="G2454" s="345"/>
      <c r="H2454" s="345"/>
      <c r="I2454" s="355"/>
      <c r="J2454" s="345"/>
      <c r="K2454" s="345"/>
      <c r="L2454" s="345"/>
      <c r="M2454" s="345"/>
      <c r="N2454" s="585"/>
      <c r="O2454" s="351"/>
      <c r="P2454" s="582">
        <f t="shared" si="166"/>
        <v>0</v>
      </c>
      <c r="Q2454" s="582">
        <f t="shared" si="167"/>
        <v>0</v>
      </c>
      <c r="R2454" s="583" t="str">
        <f t="shared" si="168"/>
        <v/>
      </c>
      <c r="S2454" s="496"/>
      <c r="T2454" s="496"/>
      <c r="U2454" s="496"/>
      <c r="V2454" s="496"/>
      <c r="W2454" s="496"/>
    </row>
    <row r="2455" spans="1:23" x14ac:dyDescent="0.2">
      <c r="A2455" s="348" t="str">
        <f t="shared" si="165"/>
        <v/>
      </c>
      <c r="B2455" s="349"/>
      <c r="C2455" s="584"/>
      <c r="D2455" s="345"/>
      <c r="E2455" s="345"/>
      <c r="F2455" s="350"/>
      <c r="G2455" s="345"/>
      <c r="H2455" s="345"/>
      <c r="I2455" s="355"/>
      <c r="J2455" s="345"/>
      <c r="K2455" s="345"/>
      <c r="L2455" s="345"/>
      <c r="M2455" s="345"/>
      <c r="N2455" s="585"/>
      <c r="O2455" s="351"/>
      <c r="P2455" s="582">
        <f t="shared" si="166"/>
        <v>0</v>
      </c>
      <c r="Q2455" s="582">
        <f t="shared" si="167"/>
        <v>0</v>
      </c>
      <c r="R2455" s="583" t="str">
        <f t="shared" si="168"/>
        <v/>
      </c>
      <c r="S2455" s="496"/>
      <c r="T2455" s="496"/>
      <c r="U2455" s="496"/>
      <c r="V2455" s="496"/>
      <c r="W2455" s="496"/>
    </row>
    <row r="2456" spans="1:23" x14ac:dyDescent="0.2">
      <c r="A2456" s="348" t="str">
        <f t="shared" si="165"/>
        <v/>
      </c>
      <c r="B2456" s="349"/>
      <c r="C2456" s="584"/>
      <c r="D2456" s="345"/>
      <c r="E2456" s="345"/>
      <c r="F2456" s="350"/>
      <c r="G2456" s="345"/>
      <c r="H2456" s="345"/>
      <c r="I2456" s="355"/>
      <c r="J2456" s="345"/>
      <c r="K2456" s="345"/>
      <c r="L2456" s="345"/>
      <c r="M2456" s="345"/>
      <c r="N2456" s="585"/>
      <c r="O2456" s="351"/>
      <c r="P2456" s="582">
        <f t="shared" si="166"/>
        <v>0</v>
      </c>
      <c r="Q2456" s="582">
        <f t="shared" si="167"/>
        <v>0</v>
      </c>
      <c r="R2456" s="583" t="str">
        <f t="shared" si="168"/>
        <v/>
      </c>
      <c r="S2456" s="496"/>
      <c r="T2456" s="496"/>
      <c r="U2456" s="496"/>
      <c r="V2456" s="496"/>
      <c r="W2456" s="496"/>
    </row>
    <row r="2457" spans="1:23" x14ac:dyDescent="0.2">
      <c r="A2457" s="348" t="str">
        <f t="shared" ref="A2457:A2520" si="169">IF(B2457="","",ROW()-ROW($A$3))</f>
        <v/>
      </c>
      <c r="B2457" s="349"/>
      <c r="C2457" s="584"/>
      <c r="D2457" s="345"/>
      <c r="E2457" s="345"/>
      <c r="F2457" s="350"/>
      <c r="G2457" s="345"/>
      <c r="H2457" s="345"/>
      <c r="I2457" s="355"/>
      <c r="J2457" s="345"/>
      <c r="K2457" s="345"/>
      <c r="L2457" s="345"/>
      <c r="M2457" s="345"/>
      <c r="N2457" s="585"/>
      <c r="O2457" s="351"/>
      <c r="P2457" s="582">
        <f t="shared" ref="P2457:P2520" si="170">IF(B2457=0,0,IF(YEAR(B2457)=$Q$1,MONTH(B2457)-$P$1+1,(YEAR(B2457)-$Q$1)*12-$P$1+1+MONTH(B2457)))</f>
        <v>0</v>
      </c>
      <c r="Q2457" s="582">
        <f t="shared" ref="Q2457:Q2520" si="171">IF(C2457=0,0,IF(YEAR(C2457)=$Q$1,MONTH(C2457)-$P$1+1,(YEAR(C2457)-$Q$1)*12-$P$1+1+MONTH(C2457)))</f>
        <v>0</v>
      </c>
      <c r="R2457" s="583" t="str">
        <f t="shared" ref="R2457:R2520" si="172">SUBSTITUTE(D2457," ","_")</f>
        <v/>
      </c>
      <c r="S2457" s="496"/>
      <c r="T2457" s="496"/>
      <c r="U2457" s="496"/>
      <c r="V2457" s="496"/>
      <c r="W2457" s="496"/>
    </row>
    <row r="2458" spans="1:23" x14ac:dyDescent="0.2">
      <c r="A2458" s="348" t="str">
        <f t="shared" si="169"/>
        <v/>
      </c>
      <c r="B2458" s="349"/>
      <c r="C2458" s="584"/>
      <c r="D2458" s="345"/>
      <c r="E2458" s="345"/>
      <c r="F2458" s="350"/>
      <c r="G2458" s="345"/>
      <c r="H2458" s="345"/>
      <c r="I2458" s="355"/>
      <c r="J2458" s="345"/>
      <c r="K2458" s="345"/>
      <c r="L2458" s="345"/>
      <c r="M2458" s="345"/>
      <c r="N2458" s="585"/>
      <c r="O2458" s="351"/>
      <c r="P2458" s="582">
        <f t="shared" si="170"/>
        <v>0</v>
      </c>
      <c r="Q2458" s="582">
        <f t="shared" si="171"/>
        <v>0</v>
      </c>
      <c r="R2458" s="583" t="str">
        <f t="shared" si="172"/>
        <v/>
      </c>
      <c r="S2458" s="496"/>
      <c r="T2458" s="496"/>
      <c r="U2458" s="496"/>
      <c r="V2458" s="496"/>
      <c r="W2458" s="496"/>
    </row>
    <row r="2459" spans="1:23" x14ac:dyDescent="0.2">
      <c r="A2459" s="348" t="str">
        <f t="shared" si="169"/>
        <v/>
      </c>
      <c r="B2459" s="349"/>
      <c r="C2459" s="584"/>
      <c r="D2459" s="345"/>
      <c r="E2459" s="345"/>
      <c r="F2459" s="350"/>
      <c r="G2459" s="345"/>
      <c r="H2459" s="345"/>
      <c r="I2459" s="355"/>
      <c r="J2459" s="345"/>
      <c r="K2459" s="345"/>
      <c r="L2459" s="345"/>
      <c r="M2459" s="345"/>
      <c r="N2459" s="585"/>
      <c r="O2459" s="351"/>
      <c r="P2459" s="582">
        <f t="shared" si="170"/>
        <v>0</v>
      </c>
      <c r="Q2459" s="582">
        <f t="shared" si="171"/>
        <v>0</v>
      </c>
      <c r="R2459" s="583" t="str">
        <f t="shared" si="172"/>
        <v/>
      </c>
      <c r="S2459" s="496"/>
      <c r="T2459" s="496"/>
      <c r="U2459" s="496"/>
      <c r="V2459" s="496"/>
      <c r="W2459" s="496"/>
    </row>
    <row r="2460" spans="1:23" x14ac:dyDescent="0.2">
      <c r="A2460" s="348" t="str">
        <f t="shared" si="169"/>
        <v/>
      </c>
      <c r="B2460" s="349"/>
      <c r="C2460" s="584"/>
      <c r="D2460" s="345"/>
      <c r="E2460" s="345"/>
      <c r="F2460" s="350"/>
      <c r="G2460" s="345"/>
      <c r="H2460" s="345"/>
      <c r="I2460" s="355"/>
      <c r="J2460" s="345"/>
      <c r="K2460" s="345"/>
      <c r="L2460" s="345"/>
      <c r="M2460" s="345"/>
      <c r="N2460" s="585"/>
      <c r="O2460" s="351"/>
      <c r="P2460" s="582">
        <f t="shared" si="170"/>
        <v>0</v>
      </c>
      <c r="Q2460" s="582">
        <f t="shared" si="171"/>
        <v>0</v>
      </c>
      <c r="R2460" s="583" t="str">
        <f t="shared" si="172"/>
        <v/>
      </c>
      <c r="S2460" s="496"/>
      <c r="T2460" s="496"/>
      <c r="U2460" s="496"/>
      <c r="V2460" s="496"/>
      <c r="W2460" s="496"/>
    </row>
    <row r="2461" spans="1:23" x14ac:dyDescent="0.2">
      <c r="A2461" s="348" t="str">
        <f t="shared" si="169"/>
        <v/>
      </c>
      <c r="B2461" s="349"/>
      <c r="C2461" s="584"/>
      <c r="D2461" s="345"/>
      <c r="E2461" s="345"/>
      <c r="F2461" s="350"/>
      <c r="G2461" s="345"/>
      <c r="H2461" s="345"/>
      <c r="I2461" s="355"/>
      <c r="J2461" s="345"/>
      <c r="K2461" s="345"/>
      <c r="L2461" s="345"/>
      <c r="M2461" s="345"/>
      <c r="N2461" s="585"/>
      <c r="O2461" s="351"/>
      <c r="P2461" s="582">
        <f t="shared" si="170"/>
        <v>0</v>
      </c>
      <c r="Q2461" s="582">
        <f t="shared" si="171"/>
        <v>0</v>
      </c>
      <c r="R2461" s="583" t="str">
        <f t="shared" si="172"/>
        <v/>
      </c>
      <c r="S2461" s="496"/>
      <c r="T2461" s="496"/>
      <c r="U2461" s="496"/>
      <c r="V2461" s="496"/>
      <c r="W2461" s="496"/>
    </row>
    <row r="2462" spans="1:23" x14ac:dyDescent="0.2">
      <c r="A2462" s="348" t="str">
        <f t="shared" si="169"/>
        <v/>
      </c>
      <c r="B2462" s="349"/>
      <c r="C2462" s="584"/>
      <c r="D2462" s="345"/>
      <c r="E2462" s="345"/>
      <c r="F2462" s="350"/>
      <c r="G2462" s="345"/>
      <c r="H2462" s="345"/>
      <c r="I2462" s="355"/>
      <c r="J2462" s="345"/>
      <c r="K2462" s="345"/>
      <c r="L2462" s="345"/>
      <c r="M2462" s="345"/>
      <c r="N2462" s="585"/>
      <c r="O2462" s="351"/>
      <c r="P2462" s="582">
        <f t="shared" si="170"/>
        <v>0</v>
      </c>
      <c r="Q2462" s="582">
        <f t="shared" si="171"/>
        <v>0</v>
      </c>
      <c r="R2462" s="583" t="str">
        <f t="shared" si="172"/>
        <v/>
      </c>
      <c r="S2462" s="496"/>
      <c r="T2462" s="496"/>
      <c r="U2462" s="496"/>
      <c r="V2462" s="496"/>
      <c r="W2462" s="496"/>
    </row>
    <row r="2463" spans="1:23" x14ac:dyDescent="0.2">
      <c r="A2463" s="348" t="str">
        <f t="shared" si="169"/>
        <v/>
      </c>
      <c r="B2463" s="349"/>
      <c r="C2463" s="584"/>
      <c r="D2463" s="345"/>
      <c r="E2463" s="345"/>
      <c r="F2463" s="350"/>
      <c r="G2463" s="345"/>
      <c r="H2463" s="345"/>
      <c r="I2463" s="355"/>
      <c r="J2463" s="345"/>
      <c r="K2463" s="345"/>
      <c r="L2463" s="345"/>
      <c r="M2463" s="345"/>
      <c r="N2463" s="585"/>
      <c r="O2463" s="351"/>
      <c r="P2463" s="582">
        <f t="shared" si="170"/>
        <v>0</v>
      </c>
      <c r="Q2463" s="582">
        <f t="shared" si="171"/>
        <v>0</v>
      </c>
      <c r="R2463" s="583" t="str">
        <f t="shared" si="172"/>
        <v/>
      </c>
      <c r="S2463" s="496"/>
      <c r="T2463" s="496"/>
      <c r="U2463" s="496"/>
      <c r="V2463" s="496"/>
      <c r="W2463" s="496"/>
    </row>
    <row r="2464" spans="1:23" x14ac:dyDescent="0.2">
      <c r="A2464" s="348" t="str">
        <f t="shared" si="169"/>
        <v/>
      </c>
      <c r="B2464" s="349"/>
      <c r="C2464" s="584"/>
      <c r="D2464" s="345"/>
      <c r="E2464" s="345"/>
      <c r="F2464" s="350"/>
      <c r="G2464" s="345"/>
      <c r="H2464" s="345"/>
      <c r="I2464" s="355"/>
      <c r="J2464" s="345"/>
      <c r="K2464" s="345"/>
      <c r="L2464" s="345"/>
      <c r="M2464" s="345"/>
      <c r="N2464" s="585"/>
      <c r="O2464" s="351"/>
      <c r="P2464" s="582">
        <f t="shared" si="170"/>
        <v>0</v>
      </c>
      <c r="Q2464" s="582">
        <f t="shared" si="171"/>
        <v>0</v>
      </c>
      <c r="R2464" s="583" t="str">
        <f t="shared" si="172"/>
        <v/>
      </c>
      <c r="S2464" s="496"/>
      <c r="T2464" s="496"/>
      <c r="U2464" s="496"/>
      <c r="V2464" s="496"/>
      <c r="W2464" s="496"/>
    </row>
    <row r="2465" spans="1:23" x14ac:dyDescent="0.2">
      <c r="A2465" s="348" t="str">
        <f t="shared" si="169"/>
        <v/>
      </c>
      <c r="B2465" s="349"/>
      <c r="C2465" s="584"/>
      <c r="D2465" s="345"/>
      <c r="E2465" s="345"/>
      <c r="F2465" s="350"/>
      <c r="G2465" s="345"/>
      <c r="H2465" s="345"/>
      <c r="I2465" s="355"/>
      <c r="J2465" s="345"/>
      <c r="K2465" s="345"/>
      <c r="L2465" s="345"/>
      <c r="M2465" s="345"/>
      <c r="N2465" s="585"/>
      <c r="O2465" s="351"/>
      <c r="P2465" s="582">
        <f t="shared" si="170"/>
        <v>0</v>
      </c>
      <c r="Q2465" s="582">
        <f t="shared" si="171"/>
        <v>0</v>
      </c>
      <c r="R2465" s="583" t="str">
        <f t="shared" si="172"/>
        <v/>
      </c>
      <c r="S2465" s="496"/>
      <c r="T2465" s="496"/>
      <c r="U2465" s="496"/>
      <c r="V2465" s="496"/>
      <c r="W2465" s="496"/>
    </row>
    <row r="2466" spans="1:23" x14ac:dyDescent="0.2">
      <c r="A2466" s="348" t="str">
        <f t="shared" si="169"/>
        <v/>
      </c>
      <c r="B2466" s="349"/>
      <c r="C2466" s="584"/>
      <c r="D2466" s="345"/>
      <c r="E2466" s="345"/>
      <c r="F2466" s="350"/>
      <c r="G2466" s="345"/>
      <c r="H2466" s="345"/>
      <c r="I2466" s="355"/>
      <c r="J2466" s="345"/>
      <c r="K2466" s="345"/>
      <c r="L2466" s="345"/>
      <c r="M2466" s="345"/>
      <c r="N2466" s="585"/>
      <c r="O2466" s="351"/>
      <c r="P2466" s="582">
        <f t="shared" si="170"/>
        <v>0</v>
      </c>
      <c r="Q2466" s="582">
        <f t="shared" si="171"/>
        <v>0</v>
      </c>
      <c r="R2466" s="583" t="str">
        <f t="shared" si="172"/>
        <v/>
      </c>
      <c r="S2466" s="496"/>
      <c r="T2466" s="496"/>
      <c r="U2466" s="496"/>
      <c r="V2466" s="496"/>
      <c r="W2466" s="496"/>
    </row>
    <row r="2467" spans="1:23" x14ac:dyDescent="0.2">
      <c r="A2467" s="348" t="str">
        <f t="shared" si="169"/>
        <v/>
      </c>
      <c r="B2467" s="349"/>
      <c r="C2467" s="584"/>
      <c r="D2467" s="345"/>
      <c r="E2467" s="345"/>
      <c r="F2467" s="350"/>
      <c r="G2467" s="345"/>
      <c r="H2467" s="345"/>
      <c r="I2467" s="355"/>
      <c r="J2467" s="345"/>
      <c r="K2467" s="345"/>
      <c r="L2467" s="345"/>
      <c r="M2467" s="345"/>
      <c r="N2467" s="585"/>
      <c r="O2467" s="351"/>
      <c r="P2467" s="582">
        <f t="shared" si="170"/>
        <v>0</v>
      </c>
      <c r="Q2467" s="582">
        <f t="shared" si="171"/>
        <v>0</v>
      </c>
      <c r="R2467" s="583" t="str">
        <f t="shared" si="172"/>
        <v/>
      </c>
      <c r="S2467" s="496"/>
      <c r="T2467" s="496"/>
      <c r="U2467" s="496"/>
      <c r="V2467" s="496"/>
      <c r="W2467" s="496"/>
    </row>
    <row r="2468" spans="1:23" x14ac:dyDescent="0.2">
      <c r="A2468" s="348" t="str">
        <f t="shared" si="169"/>
        <v/>
      </c>
      <c r="B2468" s="349"/>
      <c r="C2468" s="584"/>
      <c r="D2468" s="345"/>
      <c r="E2468" s="345"/>
      <c r="F2468" s="350"/>
      <c r="G2468" s="345"/>
      <c r="H2468" s="345"/>
      <c r="I2468" s="355"/>
      <c r="J2468" s="345"/>
      <c r="K2468" s="345"/>
      <c r="L2468" s="345"/>
      <c r="M2468" s="345"/>
      <c r="N2468" s="585"/>
      <c r="O2468" s="351"/>
      <c r="P2468" s="582">
        <f t="shared" si="170"/>
        <v>0</v>
      </c>
      <c r="Q2468" s="582">
        <f t="shared" si="171"/>
        <v>0</v>
      </c>
      <c r="R2468" s="583" t="str">
        <f t="shared" si="172"/>
        <v/>
      </c>
      <c r="S2468" s="496"/>
      <c r="T2468" s="496"/>
      <c r="U2468" s="496"/>
      <c r="V2468" s="496"/>
      <c r="W2468" s="496"/>
    </row>
    <row r="2469" spans="1:23" x14ac:dyDescent="0.2">
      <c r="A2469" s="348" t="str">
        <f t="shared" si="169"/>
        <v/>
      </c>
      <c r="B2469" s="349"/>
      <c r="C2469" s="584"/>
      <c r="D2469" s="345"/>
      <c r="E2469" s="345"/>
      <c r="F2469" s="350"/>
      <c r="G2469" s="345"/>
      <c r="H2469" s="345"/>
      <c r="I2469" s="355"/>
      <c r="J2469" s="345"/>
      <c r="K2469" s="345"/>
      <c r="L2469" s="345"/>
      <c r="M2469" s="345"/>
      <c r="N2469" s="585"/>
      <c r="O2469" s="351"/>
      <c r="P2469" s="582">
        <f t="shared" si="170"/>
        <v>0</v>
      </c>
      <c r="Q2469" s="582">
        <f t="shared" si="171"/>
        <v>0</v>
      </c>
      <c r="R2469" s="583" t="str">
        <f t="shared" si="172"/>
        <v/>
      </c>
      <c r="S2469" s="496"/>
      <c r="T2469" s="496"/>
      <c r="U2469" s="496"/>
      <c r="V2469" s="496"/>
      <c r="W2469" s="496"/>
    </row>
    <row r="2470" spans="1:23" x14ac:dyDescent="0.2">
      <c r="A2470" s="348" t="str">
        <f t="shared" si="169"/>
        <v/>
      </c>
      <c r="B2470" s="349"/>
      <c r="C2470" s="584"/>
      <c r="D2470" s="345"/>
      <c r="E2470" s="345"/>
      <c r="F2470" s="350"/>
      <c r="G2470" s="345"/>
      <c r="H2470" s="345"/>
      <c r="I2470" s="355"/>
      <c r="J2470" s="345"/>
      <c r="K2470" s="345"/>
      <c r="L2470" s="345"/>
      <c r="M2470" s="345"/>
      <c r="N2470" s="585"/>
      <c r="O2470" s="351"/>
      <c r="P2470" s="582">
        <f t="shared" si="170"/>
        <v>0</v>
      </c>
      <c r="Q2470" s="582">
        <f t="shared" si="171"/>
        <v>0</v>
      </c>
      <c r="R2470" s="583" t="str">
        <f t="shared" si="172"/>
        <v/>
      </c>
      <c r="S2470" s="496"/>
      <c r="T2470" s="496"/>
      <c r="U2470" s="496"/>
      <c r="V2470" s="496"/>
      <c r="W2470" s="496"/>
    </row>
    <row r="2471" spans="1:23" x14ac:dyDescent="0.2">
      <c r="A2471" s="348" t="str">
        <f t="shared" si="169"/>
        <v/>
      </c>
      <c r="B2471" s="349"/>
      <c r="C2471" s="584"/>
      <c r="D2471" s="345"/>
      <c r="E2471" s="345"/>
      <c r="F2471" s="350"/>
      <c r="G2471" s="345"/>
      <c r="H2471" s="345"/>
      <c r="I2471" s="355"/>
      <c r="J2471" s="345"/>
      <c r="K2471" s="345"/>
      <c r="L2471" s="345"/>
      <c r="M2471" s="345"/>
      <c r="N2471" s="585"/>
      <c r="O2471" s="351"/>
      <c r="P2471" s="582">
        <f t="shared" si="170"/>
        <v>0</v>
      </c>
      <c r="Q2471" s="582">
        <f t="shared" si="171"/>
        <v>0</v>
      </c>
      <c r="R2471" s="583" t="str">
        <f t="shared" si="172"/>
        <v/>
      </c>
      <c r="S2471" s="496"/>
      <c r="T2471" s="496"/>
      <c r="U2471" s="496"/>
      <c r="V2471" s="496"/>
      <c r="W2471" s="496"/>
    </row>
    <row r="2472" spans="1:23" x14ac:dyDescent="0.2">
      <c r="A2472" s="348" t="str">
        <f t="shared" si="169"/>
        <v/>
      </c>
      <c r="B2472" s="349"/>
      <c r="C2472" s="584"/>
      <c r="D2472" s="345"/>
      <c r="E2472" s="345"/>
      <c r="F2472" s="350"/>
      <c r="G2472" s="345"/>
      <c r="H2472" s="345"/>
      <c r="I2472" s="355"/>
      <c r="J2472" s="345"/>
      <c r="K2472" s="345"/>
      <c r="L2472" s="345"/>
      <c r="M2472" s="345"/>
      <c r="N2472" s="585"/>
      <c r="O2472" s="351"/>
      <c r="P2472" s="582">
        <f t="shared" si="170"/>
        <v>0</v>
      </c>
      <c r="Q2472" s="582">
        <f t="shared" si="171"/>
        <v>0</v>
      </c>
      <c r="R2472" s="583" t="str">
        <f t="shared" si="172"/>
        <v/>
      </c>
      <c r="S2472" s="496"/>
      <c r="T2472" s="496"/>
      <c r="U2472" s="496"/>
      <c r="V2472" s="496"/>
      <c r="W2472" s="496"/>
    </row>
    <row r="2473" spans="1:23" x14ac:dyDescent="0.2">
      <c r="A2473" s="348" t="str">
        <f t="shared" si="169"/>
        <v/>
      </c>
      <c r="B2473" s="349"/>
      <c r="C2473" s="584"/>
      <c r="D2473" s="345"/>
      <c r="E2473" s="345"/>
      <c r="F2473" s="350"/>
      <c r="G2473" s="345"/>
      <c r="H2473" s="345"/>
      <c r="I2473" s="355"/>
      <c r="J2473" s="345"/>
      <c r="K2473" s="345"/>
      <c r="L2473" s="345"/>
      <c r="M2473" s="345"/>
      <c r="N2473" s="585"/>
      <c r="O2473" s="351"/>
      <c r="P2473" s="582">
        <f t="shared" si="170"/>
        <v>0</v>
      </c>
      <c r="Q2473" s="582">
        <f t="shared" si="171"/>
        <v>0</v>
      </c>
      <c r="R2473" s="583" t="str">
        <f t="shared" si="172"/>
        <v/>
      </c>
      <c r="S2473" s="496"/>
      <c r="T2473" s="496"/>
      <c r="U2473" s="496"/>
      <c r="V2473" s="496"/>
      <c r="W2473" s="496"/>
    </row>
    <row r="2474" spans="1:23" x14ac:dyDescent="0.2">
      <c r="A2474" s="348" t="str">
        <f t="shared" si="169"/>
        <v/>
      </c>
      <c r="B2474" s="349"/>
      <c r="C2474" s="584"/>
      <c r="D2474" s="345"/>
      <c r="E2474" s="345"/>
      <c r="F2474" s="350"/>
      <c r="G2474" s="345"/>
      <c r="H2474" s="345"/>
      <c r="I2474" s="355"/>
      <c r="J2474" s="345"/>
      <c r="K2474" s="345"/>
      <c r="L2474" s="345"/>
      <c r="M2474" s="345"/>
      <c r="N2474" s="585"/>
      <c r="O2474" s="351"/>
      <c r="P2474" s="582">
        <f t="shared" si="170"/>
        <v>0</v>
      </c>
      <c r="Q2474" s="582">
        <f t="shared" si="171"/>
        <v>0</v>
      </c>
      <c r="R2474" s="583" t="str">
        <f t="shared" si="172"/>
        <v/>
      </c>
      <c r="S2474" s="496"/>
      <c r="T2474" s="496"/>
      <c r="U2474" s="496"/>
      <c r="V2474" s="496"/>
      <c r="W2474" s="496"/>
    </row>
    <row r="2475" spans="1:23" x14ac:dyDescent="0.2">
      <c r="A2475" s="348" t="str">
        <f t="shared" si="169"/>
        <v/>
      </c>
      <c r="B2475" s="349"/>
      <c r="C2475" s="584"/>
      <c r="D2475" s="345"/>
      <c r="E2475" s="345"/>
      <c r="F2475" s="350"/>
      <c r="G2475" s="345"/>
      <c r="H2475" s="345"/>
      <c r="I2475" s="355"/>
      <c r="J2475" s="345"/>
      <c r="K2475" s="345"/>
      <c r="L2475" s="345"/>
      <c r="M2475" s="345"/>
      <c r="N2475" s="585"/>
      <c r="O2475" s="351"/>
      <c r="P2475" s="582">
        <f t="shared" si="170"/>
        <v>0</v>
      </c>
      <c r="Q2475" s="582">
        <f t="shared" si="171"/>
        <v>0</v>
      </c>
      <c r="R2475" s="583" t="str">
        <f t="shared" si="172"/>
        <v/>
      </c>
      <c r="S2475" s="496"/>
      <c r="T2475" s="496"/>
      <c r="U2475" s="496"/>
      <c r="V2475" s="496"/>
      <c r="W2475" s="496"/>
    </row>
    <row r="2476" spans="1:23" x14ac:dyDescent="0.2">
      <c r="A2476" s="348" t="str">
        <f t="shared" si="169"/>
        <v/>
      </c>
      <c r="B2476" s="349"/>
      <c r="C2476" s="584"/>
      <c r="D2476" s="345"/>
      <c r="E2476" s="345"/>
      <c r="F2476" s="350"/>
      <c r="G2476" s="345"/>
      <c r="H2476" s="345"/>
      <c r="I2476" s="355"/>
      <c r="J2476" s="345"/>
      <c r="K2476" s="345"/>
      <c r="L2476" s="345"/>
      <c r="M2476" s="345"/>
      <c r="N2476" s="585"/>
      <c r="O2476" s="351"/>
      <c r="P2476" s="582">
        <f t="shared" si="170"/>
        <v>0</v>
      </c>
      <c r="Q2476" s="582">
        <f t="shared" si="171"/>
        <v>0</v>
      </c>
      <c r="R2476" s="583" t="str">
        <f t="shared" si="172"/>
        <v/>
      </c>
      <c r="S2476" s="496"/>
      <c r="T2476" s="496"/>
      <c r="U2476" s="496"/>
      <c r="V2476" s="496"/>
      <c r="W2476" s="496"/>
    </row>
    <row r="2477" spans="1:23" x14ac:dyDescent="0.2">
      <c r="A2477" s="348" t="str">
        <f t="shared" si="169"/>
        <v/>
      </c>
      <c r="B2477" s="349"/>
      <c r="C2477" s="584"/>
      <c r="D2477" s="345"/>
      <c r="E2477" s="345"/>
      <c r="F2477" s="350"/>
      <c r="G2477" s="345"/>
      <c r="H2477" s="345"/>
      <c r="I2477" s="355"/>
      <c r="J2477" s="345"/>
      <c r="K2477" s="345"/>
      <c r="L2477" s="345"/>
      <c r="M2477" s="345"/>
      <c r="N2477" s="585"/>
      <c r="O2477" s="351"/>
      <c r="P2477" s="582">
        <f t="shared" si="170"/>
        <v>0</v>
      </c>
      <c r="Q2477" s="582">
        <f t="shared" si="171"/>
        <v>0</v>
      </c>
      <c r="R2477" s="583" t="str">
        <f t="shared" si="172"/>
        <v/>
      </c>
      <c r="S2477" s="496"/>
      <c r="T2477" s="496"/>
      <c r="U2477" s="496"/>
      <c r="V2477" s="496"/>
      <c r="W2477" s="496"/>
    </row>
    <row r="2478" spans="1:23" x14ac:dyDescent="0.2">
      <c r="A2478" s="348" t="str">
        <f t="shared" si="169"/>
        <v/>
      </c>
      <c r="B2478" s="349"/>
      <c r="C2478" s="584"/>
      <c r="D2478" s="345"/>
      <c r="E2478" s="345"/>
      <c r="F2478" s="350"/>
      <c r="G2478" s="345"/>
      <c r="H2478" s="345"/>
      <c r="I2478" s="355"/>
      <c r="J2478" s="345"/>
      <c r="K2478" s="345"/>
      <c r="L2478" s="345"/>
      <c r="M2478" s="345"/>
      <c r="N2478" s="585"/>
      <c r="O2478" s="351"/>
      <c r="P2478" s="582">
        <f t="shared" si="170"/>
        <v>0</v>
      </c>
      <c r="Q2478" s="582">
        <f t="shared" si="171"/>
        <v>0</v>
      </c>
      <c r="R2478" s="583" t="str">
        <f t="shared" si="172"/>
        <v/>
      </c>
      <c r="S2478" s="496"/>
      <c r="T2478" s="496"/>
      <c r="U2478" s="496"/>
      <c r="V2478" s="496"/>
      <c r="W2478" s="496"/>
    </row>
    <row r="2479" spans="1:23" x14ac:dyDescent="0.2">
      <c r="A2479" s="348" t="str">
        <f t="shared" si="169"/>
        <v/>
      </c>
      <c r="B2479" s="349"/>
      <c r="C2479" s="584"/>
      <c r="D2479" s="345"/>
      <c r="E2479" s="345"/>
      <c r="F2479" s="350"/>
      <c r="G2479" s="345"/>
      <c r="H2479" s="345"/>
      <c r="I2479" s="355"/>
      <c r="J2479" s="345"/>
      <c r="K2479" s="345"/>
      <c r="L2479" s="345"/>
      <c r="M2479" s="345"/>
      <c r="N2479" s="585"/>
      <c r="O2479" s="351"/>
      <c r="P2479" s="582">
        <f t="shared" si="170"/>
        <v>0</v>
      </c>
      <c r="Q2479" s="582">
        <f t="shared" si="171"/>
        <v>0</v>
      </c>
      <c r="R2479" s="583" t="str">
        <f t="shared" si="172"/>
        <v/>
      </c>
      <c r="S2479" s="496"/>
      <c r="T2479" s="496"/>
      <c r="U2479" s="496"/>
      <c r="V2479" s="496"/>
      <c r="W2479" s="496"/>
    </row>
    <row r="2480" spans="1:23" x14ac:dyDescent="0.2">
      <c r="A2480" s="348" t="str">
        <f t="shared" si="169"/>
        <v/>
      </c>
      <c r="B2480" s="349"/>
      <c r="C2480" s="584"/>
      <c r="D2480" s="345"/>
      <c r="E2480" s="345"/>
      <c r="F2480" s="350"/>
      <c r="G2480" s="345"/>
      <c r="H2480" s="345"/>
      <c r="I2480" s="355"/>
      <c r="J2480" s="345"/>
      <c r="K2480" s="345"/>
      <c r="L2480" s="345"/>
      <c r="M2480" s="345"/>
      <c r="N2480" s="585"/>
      <c r="O2480" s="351"/>
      <c r="P2480" s="582">
        <f t="shared" si="170"/>
        <v>0</v>
      </c>
      <c r="Q2480" s="582">
        <f t="shared" si="171"/>
        <v>0</v>
      </c>
      <c r="R2480" s="583" t="str">
        <f t="shared" si="172"/>
        <v/>
      </c>
      <c r="S2480" s="496"/>
      <c r="T2480" s="496"/>
      <c r="U2480" s="496"/>
      <c r="V2480" s="496"/>
      <c r="W2480" s="496"/>
    </row>
    <row r="2481" spans="1:23" x14ac:dyDescent="0.2">
      <c r="A2481" s="348" t="str">
        <f t="shared" si="169"/>
        <v/>
      </c>
      <c r="B2481" s="349"/>
      <c r="C2481" s="584"/>
      <c r="D2481" s="345"/>
      <c r="E2481" s="345"/>
      <c r="F2481" s="350"/>
      <c r="G2481" s="345"/>
      <c r="H2481" s="345"/>
      <c r="I2481" s="355"/>
      <c r="J2481" s="345"/>
      <c r="K2481" s="345"/>
      <c r="L2481" s="345"/>
      <c r="M2481" s="345"/>
      <c r="N2481" s="585"/>
      <c r="O2481" s="351"/>
      <c r="P2481" s="582">
        <f t="shared" si="170"/>
        <v>0</v>
      </c>
      <c r="Q2481" s="582">
        <f t="shared" si="171"/>
        <v>0</v>
      </c>
      <c r="R2481" s="583" t="str">
        <f t="shared" si="172"/>
        <v/>
      </c>
      <c r="S2481" s="496"/>
      <c r="T2481" s="496"/>
      <c r="U2481" s="496"/>
      <c r="V2481" s="496"/>
      <c r="W2481" s="496"/>
    </row>
    <row r="2482" spans="1:23" x14ac:dyDescent="0.2">
      <c r="A2482" s="348" t="str">
        <f t="shared" si="169"/>
        <v/>
      </c>
      <c r="B2482" s="349"/>
      <c r="C2482" s="584"/>
      <c r="D2482" s="345"/>
      <c r="E2482" s="345"/>
      <c r="F2482" s="350"/>
      <c r="G2482" s="345"/>
      <c r="H2482" s="345"/>
      <c r="I2482" s="355"/>
      <c r="J2482" s="345"/>
      <c r="K2482" s="345"/>
      <c r="L2482" s="345"/>
      <c r="M2482" s="345"/>
      <c r="N2482" s="585"/>
      <c r="O2482" s="351"/>
      <c r="P2482" s="582">
        <f t="shared" si="170"/>
        <v>0</v>
      </c>
      <c r="Q2482" s="582">
        <f t="shared" si="171"/>
        <v>0</v>
      </c>
      <c r="R2482" s="583" t="str">
        <f t="shared" si="172"/>
        <v/>
      </c>
      <c r="S2482" s="496"/>
      <c r="T2482" s="496"/>
      <c r="U2482" s="496"/>
      <c r="V2482" s="496"/>
      <c r="W2482" s="496"/>
    </row>
    <row r="2483" spans="1:23" x14ac:dyDescent="0.2">
      <c r="A2483" s="348" t="str">
        <f t="shared" si="169"/>
        <v/>
      </c>
      <c r="B2483" s="349"/>
      <c r="C2483" s="584"/>
      <c r="D2483" s="345"/>
      <c r="E2483" s="345"/>
      <c r="F2483" s="350"/>
      <c r="G2483" s="345"/>
      <c r="H2483" s="345"/>
      <c r="I2483" s="355"/>
      <c r="J2483" s="345"/>
      <c r="K2483" s="345"/>
      <c r="L2483" s="345"/>
      <c r="M2483" s="345"/>
      <c r="N2483" s="585"/>
      <c r="O2483" s="351"/>
      <c r="P2483" s="582">
        <f t="shared" si="170"/>
        <v>0</v>
      </c>
      <c r="Q2483" s="582">
        <f t="shared" si="171"/>
        <v>0</v>
      </c>
      <c r="R2483" s="583" t="str">
        <f t="shared" si="172"/>
        <v/>
      </c>
      <c r="S2483" s="496"/>
      <c r="T2483" s="496"/>
      <c r="U2483" s="496"/>
      <c r="V2483" s="496"/>
      <c r="W2483" s="496"/>
    </row>
    <row r="2484" spans="1:23" x14ac:dyDescent="0.2">
      <c r="A2484" s="348" t="str">
        <f t="shared" si="169"/>
        <v/>
      </c>
      <c r="B2484" s="349"/>
      <c r="C2484" s="584"/>
      <c r="D2484" s="345"/>
      <c r="E2484" s="345"/>
      <c r="F2484" s="350"/>
      <c r="G2484" s="345"/>
      <c r="H2484" s="345"/>
      <c r="I2484" s="355"/>
      <c r="J2484" s="345"/>
      <c r="K2484" s="345"/>
      <c r="L2484" s="345"/>
      <c r="M2484" s="345"/>
      <c r="N2484" s="585"/>
      <c r="O2484" s="351"/>
      <c r="P2484" s="582">
        <f t="shared" si="170"/>
        <v>0</v>
      </c>
      <c r="Q2484" s="582">
        <f t="shared" si="171"/>
        <v>0</v>
      </c>
      <c r="R2484" s="583" t="str">
        <f t="shared" si="172"/>
        <v/>
      </c>
      <c r="S2484" s="496"/>
      <c r="T2484" s="496"/>
      <c r="U2484" s="496"/>
      <c r="V2484" s="496"/>
      <c r="W2484" s="496"/>
    </row>
    <row r="2485" spans="1:23" x14ac:dyDescent="0.2">
      <c r="A2485" s="348" t="str">
        <f t="shared" si="169"/>
        <v/>
      </c>
      <c r="B2485" s="349"/>
      <c r="C2485" s="584"/>
      <c r="D2485" s="345"/>
      <c r="E2485" s="345"/>
      <c r="F2485" s="350"/>
      <c r="G2485" s="345"/>
      <c r="H2485" s="345"/>
      <c r="I2485" s="355"/>
      <c r="J2485" s="345"/>
      <c r="K2485" s="345"/>
      <c r="L2485" s="345"/>
      <c r="M2485" s="345"/>
      <c r="N2485" s="585"/>
      <c r="O2485" s="351"/>
      <c r="P2485" s="582">
        <f t="shared" si="170"/>
        <v>0</v>
      </c>
      <c r="Q2485" s="582">
        <f t="shared" si="171"/>
        <v>0</v>
      </c>
      <c r="R2485" s="583" t="str">
        <f t="shared" si="172"/>
        <v/>
      </c>
      <c r="S2485" s="496"/>
      <c r="T2485" s="496"/>
      <c r="U2485" s="496"/>
      <c r="V2485" s="496"/>
      <c r="W2485" s="496"/>
    </row>
    <row r="2486" spans="1:23" x14ac:dyDescent="0.2">
      <c r="A2486" s="348" t="str">
        <f t="shared" si="169"/>
        <v/>
      </c>
      <c r="B2486" s="349"/>
      <c r="C2486" s="584"/>
      <c r="D2486" s="345"/>
      <c r="E2486" s="345"/>
      <c r="F2486" s="350"/>
      <c r="G2486" s="345"/>
      <c r="H2486" s="345"/>
      <c r="I2486" s="355"/>
      <c r="J2486" s="345"/>
      <c r="K2486" s="345"/>
      <c r="L2486" s="345"/>
      <c r="M2486" s="345"/>
      <c r="N2486" s="585"/>
      <c r="O2486" s="351"/>
      <c r="P2486" s="582">
        <f t="shared" si="170"/>
        <v>0</v>
      </c>
      <c r="Q2486" s="582">
        <f t="shared" si="171"/>
        <v>0</v>
      </c>
      <c r="R2486" s="583" t="str">
        <f t="shared" si="172"/>
        <v/>
      </c>
      <c r="S2486" s="496"/>
      <c r="T2486" s="496"/>
      <c r="U2486" s="496"/>
      <c r="V2486" s="496"/>
      <c r="W2486" s="496"/>
    </row>
    <row r="2487" spans="1:23" x14ac:dyDescent="0.2">
      <c r="A2487" s="348" t="str">
        <f t="shared" si="169"/>
        <v/>
      </c>
      <c r="B2487" s="349"/>
      <c r="C2487" s="584"/>
      <c r="D2487" s="345"/>
      <c r="E2487" s="345"/>
      <c r="F2487" s="350"/>
      <c r="G2487" s="345"/>
      <c r="H2487" s="345"/>
      <c r="I2487" s="355"/>
      <c r="J2487" s="345"/>
      <c r="K2487" s="345"/>
      <c r="L2487" s="345"/>
      <c r="M2487" s="345"/>
      <c r="N2487" s="585"/>
      <c r="O2487" s="351"/>
      <c r="P2487" s="582">
        <f t="shared" si="170"/>
        <v>0</v>
      </c>
      <c r="Q2487" s="582">
        <f t="shared" si="171"/>
        <v>0</v>
      </c>
      <c r="R2487" s="583" t="str">
        <f t="shared" si="172"/>
        <v/>
      </c>
      <c r="S2487" s="496"/>
      <c r="T2487" s="496"/>
      <c r="U2487" s="496"/>
      <c r="V2487" s="496"/>
      <c r="W2487" s="496"/>
    </row>
    <row r="2488" spans="1:23" x14ac:dyDescent="0.2">
      <c r="A2488" s="348" t="str">
        <f t="shared" si="169"/>
        <v/>
      </c>
      <c r="B2488" s="349"/>
      <c r="C2488" s="584"/>
      <c r="D2488" s="345"/>
      <c r="E2488" s="345"/>
      <c r="F2488" s="350"/>
      <c r="G2488" s="345"/>
      <c r="H2488" s="345"/>
      <c r="I2488" s="355"/>
      <c r="J2488" s="345"/>
      <c r="K2488" s="345"/>
      <c r="L2488" s="345"/>
      <c r="M2488" s="345"/>
      <c r="N2488" s="585"/>
      <c r="O2488" s="351"/>
      <c r="P2488" s="582">
        <f t="shared" si="170"/>
        <v>0</v>
      </c>
      <c r="Q2488" s="582">
        <f t="shared" si="171"/>
        <v>0</v>
      </c>
      <c r="R2488" s="583" t="str">
        <f t="shared" si="172"/>
        <v/>
      </c>
      <c r="S2488" s="496"/>
      <c r="T2488" s="496"/>
      <c r="U2488" s="496"/>
      <c r="V2488" s="496"/>
      <c r="W2488" s="496"/>
    </row>
    <row r="2489" spans="1:23" x14ac:dyDescent="0.2">
      <c r="A2489" s="348" t="str">
        <f t="shared" si="169"/>
        <v/>
      </c>
      <c r="B2489" s="349"/>
      <c r="C2489" s="584"/>
      <c r="D2489" s="345"/>
      <c r="E2489" s="345"/>
      <c r="F2489" s="350"/>
      <c r="G2489" s="345"/>
      <c r="H2489" s="345"/>
      <c r="I2489" s="355"/>
      <c r="J2489" s="345"/>
      <c r="K2489" s="345"/>
      <c r="L2489" s="345"/>
      <c r="M2489" s="345"/>
      <c r="N2489" s="585"/>
      <c r="O2489" s="351"/>
      <c r="P2489" s="582">
        <f t="shared" si="170"/>
        <v>0</v>
      </c>
      <c r="Q2489" s="582">
        <f t="shared" si="171"/>
        <v>0</v>
      </c>
      <c r="R2489" s="583" t="str">
        <f t="shared" si="172"/>
        <v/>
      </c>
      <c r="S2489" s="496"/>
      <c r="T2489" s="496"/>
      <c r="U2489" s="496"/>
      <c r="V2489" s="496"/>
      <c r="W2489" s="496"/>
    </row>
    <row r="2490" spans="1:23" x14ac:dyDescent="0.2">
      <c r="A2490" s="348" t="str">
        <f t="shared" si="169"/>
        <v/>
      </c>
      <c r="B2490" s="349"/>
      <c r="C2490" s="584"/>
      <c r="D2490" s="345"/>
      <c r="E2490" s="345"/>
      <c r="F2490" s="350"/>
      <c r="G2490" s="345"/>
      <c r="H2490" s="345"/>
      <c r="I2490" s="355"/>
      <c r="J2490" s="345"/>
      <c r="K2490" s="345"/>
      <c r="L2490" s="345"/>
      <c r="M2490" s="345"/>
      <c r="N2490" s="585"/>
      <c r="O2490" s="351"/>
      <c r="P2490" s="582">
        <f t="shared" si="170"/>
        <v>0</v>
      </c>
      <c r="Q2490" s="582">
        <f t="shared" si="171"/>
        <v>0</v>
      </c>
      <c r="R2490" s="583" t="str">
        <f t="shared" si="172"/>
        <v/>
      </c>
      <c r="S2490" s="496"/>
      <c r="T2490" s="496"/>
      <c r="U2490" s="496"/>
      <c r="V2490" s="496"/>
      <c r="W2490" s="496"/>
    </row>
    <row r="2491" spans="1:23" x14ac:dyDescent="0.2">
      <c r="A2491" s="348" t="str">
        <f t="shared" si="169"/>
        <v/>
      </c>
      <c r="B2491" s="349"/>
      <c r="C2491" s="584"/>
      <c r="D2491" s="345"/>
      <c r="E2491" s="345"/>
      <c r="F2491" s="350"/>
      <c r="G2491" s="345"/>
      <c r="H2491" s="345"/>
      <c r="I2491" s="355"/>
      <c r="J2491" s="345"/>
      <c r="K2491" s="345"/>
      <c r="L2491" s="345"/>
      <c r="M2491" s="345"/>
      <c r="N2491" s="585"/>
      <c r="O2491" s="351"/>
      <c r="P2491" s="582">
        <f t="shared" si="170"/>
        <v>0</v>
      </c>
      <c r="Q2491" s="582">
        <f t="shared" si="171"/>
        <v>0</v>
      </c>
      <c r="R2491" s="583" t="str">
        <f t="shared" si="172"/>
        <v/>
      </c>
      <c r="S2491" s="496"/>
      <c r="T2491" s="496"/>
      <c r="U2491" s="496"/>
      <c r="V2491" s="496"/>
      <c r="W2491" s="496"/>
    </row>
    <row r="2492" spans="1:23" x14ac:dyDescent="0.2">
      <c r="A2492" s="348" t="str">
        <f t="shared" si="169"/>
        <v/>
      </c>
      <c r="B2492" s="349"/>
      <c r="C2492" s="584"/>
      <c r="D2492" s="345"/>
      <c r="E2492" s="345"/>
      <c r="F2492" s="350"/>
      <c r="G2492" s="345"/>
      <c r="H2492" s="345"/>
      <c r="I2492" s="355"/>
      <c r="J2492" s="345"/>
      <c r="K2492" s="345"/>
      <c r="L2492" s="345"/>
      <c r="M2492" s="345"/>
      <c r="N2492" s="585"/>
      <c r="O2492" s="351"/>
      <c r="P2492" s="582">
        <f t="shared" si="170"/>
        <v>0</v>
      </c>
      <c r="Q2492" s="582">
        <f t="shared" si="171"/>
        <v>0</v>
      </c>
      <c r="R2492" s="583" t="str">
        <f t="shared" si="172"/>
        <v/>
      </c>
      <c r="S2492" s="496"/>
      <c r="T2492" s="496"/>
      <c r="U2492" s="496"/>
      <c r="V2492" s="496"/>
      <c r="W2492" s="496"/>
    </row>
    <row r="2493" spans="1:23" x14ac:dyDescent="0.2">
      <c r="A2493" s="348" t="str">
        <f t="shared" si="169"/>
        <v/>
      </c>
      <c r="B2493" s="349"/>
      <c r="C2493" s="584"/>
      <c r="D2493" s="345"/>
      <c r="E2493" s="345"/>
      <c r="F2493" s="350"/>
      <c r="G2493" s="345"/>
      <c r="H2493" s="345"/>
      <c r="I2493" s="355"/>
      <c r="J2493" s="345"/>
      <c r="K2493" s="345"/>
      <c r="L2493" s="345"/>
      <c r="M2493" s="345"/>
      <c r="N2493" s="585"/>
      <c r="O2493" s="351"/>
      <c r="P2493" s="582">
        <f t="shared" si="170"/>
        <v>0</v>
      </c>
      <c r="Q2493" s="582">
        <f t="shared" si="171"/>
        <v>0</v>
      </c>
      <c r="R2493" s="583" t="str">
        <f t="shared" si="172"/>
        <v/>
      </c>
      <c r="S2493" s="496"/>
      <c r="T2493" s="496"/>
      <c r="U2493" s="496"/>
      <c r="V2493" s="496"/>
      <c r="W2493" s="496"/>
    </row>
    <row r="2494" spans="1:23" x14ac:dyDescent="0.2">
      <c r="A2494" s="348" t="str">
        <f t="shared" si="169"/>
        <v/>
      </c>
      <c r="B2494" s="349"/>
      <c r="C2494" s="584"/>
      <c r="D2494" s="345"/>
      <c r="E2494" s="345"/>
      <c r="F2494" s="350"/>
      <c r="G2494" s="345"/>
      <c r="H2494" s="345"/>
      <c r="I2494" s="355"/>
      <c r="J2494" s="345"/>
      <c r="K2494" s="345"/>
      <c r="L2494" s="345"/>
      <c r="M2494" s="345"/>
      <c r="N2494" s="585"/>
      <c r="O2494" s="351"/>
      <c r="P2494" s="582">
        <f t="shared" si="170"/>
        <v>0</v>
      </c>
      <c r="Q2494" s="582">
        <f t="shared" si="171"/>
        <v>0</v>
      </c>
      <c r="R2494" s="583" t="str">
        <f t="shared" si="172"/>
        <v/>
      </c>
      <c r="S2494" s="496"/>
      <c r="T2494" s="496"/>
      <c r="U2494" s="496"/>
      <c r="V2494" s="496"/>
      <c r="W2494" s="496"/>
    </row>
    <row r="2495" spans="1:23" x14ac:dyDescent="0.2">
      <c r="A2495" s="348" t="str">
        <f t="shared" si="169"/>
        <v/>
      </c>
      <c r="B2495" s="349"/>
      <c r="C2495" s="584"/>
      <c r="D2495" s="345"/>
      <c r="E2495" s="345"/>
      <c r="F2495" s="350"/>
      <c r="G2495" s="345"/>
      <c r="H2495" s="345"/>
      <c r="I2495" s="355"/>
      <c r="J2495" s="345"/>
      <c r="K2495" s="345"/>
      <c r="L2495" s="345"/>
      <c r="M2495" s="345"/>
      <c r="N2495" s="585"/>
      <c r="O2495" s="351"/>
      <c r="P2495" s="582">
        <f t="shared" si="170"/>
        <v>0</v>
      </c>
      <c r="Q2495" s="582">
        <f t="shared" si="171"/>
        <v>0</v>
      </c>
      <c r="R2495" s="583" t="str">
        <f t="shared" si="172"/>
        <v/>
      </c>
      <c r="S2495" s="496"/>
      <c r="T2495" s="496"/>
      <c r="U2495" s="496"/>
      <c r="V2495" s="496"/>
      <c r="W2495" s="496"/>
    </row>
    <row r="2496" spans="1:23" x14ac:dyDescent="0.2">
      <c r="A2496" s="348" t="str">
        <f t="shared" si="169"/>
        <v/>
      </c>
      <c r="B2496" s="349"/>
      <c r="C2496" s="584"/>
      <c r="D2496" s="345"/>
      <c r="E2496" s="345"/>
      <c r="F2496" s="350"/>
      <c r="G2496" s="345"/>
      <c r="H2496" s="345"/>
      <c r="I2496" s="355"/>
      <c r="J2496" s="345"/>
      <c r="K2496" s="345"/>
      <c r="L2496" s="345"/>
      <c r="M2496" s="345"/>
      <c r="N2496" s="585"/>
      <c r="O2496" s="351"/>
      <c r="P2496" s="582">
        <f t="shared" si="170"/>
        <v>0</v>
      </c>
      <c r="Q2496" s="582">
        <f t="shared" si="171"/>
        <v>0</v>
      </c>
      <c r="R2496" s="583" t="str">
        <f t="shared" si="172"/>
        <v/>
      </c>
      <c r="S2496" s="496"/>
      <c r="T2496" s="496"/>
      <c r="U2496" s="496"/>
      <c r="V2496" s="496"/>
      <c r="W2496" s="496"/>
    </row>
    <row r="2497" spans="1:23" x14ac:dyDescent="0.2">
      <c r="A2497" s="348" t="str">
        <f t="shared" si="169"/>
        <v/>
      </c>
      <c r="B2497" s="349"/>
      <c r="C2497" s="584"/>
      <c r="D2497" s="345"/>
      <c r="E2497" s="345"/>
      <c r="F2497" s="350"/>
      <c r="G2497" s="345"/>
      <c r="H2497" s="345"/>
      <c r="I2497" s="355"/>
      <c r="J2497" s="345"/>
      <c r="K2497" s="345"/>
      <c r="L2497" s="345"/>
      <c r="M2497" s="345"/>
      <c r="N2497" s="585"/>
      <c r="O2497" s="351"/>
      <c r="P2497" s="582">
        <f t="shared" si="170"/>
        <v>0</v>
      </c>
      <c r="Q2497" s="582">
        <f t="shared" si="171"/>
        <v>0</v>
      </c>
      <c r="R2497" s="583" t="str">
        <f t="shared" si="172"/>
        <v/>
      </c>
      <c r="S2497" s="496"/>
      <c r="T2497" s="496"/>
      <c r="U2497" s="496"/>
      <c r="V2497" s="496"/>
      <c r="W2497" s="496"/>
    </row>
    <row r="2498" spans="1:23" x14ac:dyDescent="0.2">
      <c r="A2498" s="348" t="str">
        <f t="shared" si="169"/>
        <v/>
      </c>
      <c r="B2498" s="349"/>
      <c r="C2498" s="584"/>
      <c r="D2498" s="345"/>
      <c r="E2498" s="345"/>
      <c r="F2498" s="350"/>
      <c r="G2498" s="345"/>
      <c r="H2498" s="345"/>
      <c r="I2498" s="355"/>
      <c r="J2498" s="345"/>
      <c r="K2498" s="345"/>
      <c r="L2498" s="345"/>
      <c r="M2498" s="345"/>
      <c r="N2498" s="585"/>
      <c r="O2498" s="351"/>
      <c r="P2498" s="582">
        <f t="shared" si="170"/>
        <v>0</v>
      </c>
      <c r="Q2498" s="582">
        <f t="shared" si="171"/>
        <v>0</v>
      </c>
      <c r="R2498" s="583" t="str">
        <f t="shared" si="172"/>
        <v/>
      </c>
      <c r="S2498" s="496"/>
      <c r="T2498" s="496"/>
      <c r="U2498" s="496"/>
      <c r="V2498" s="496"/>
      <c r="W2498" s="496"/>
    </row>
    <row r="2499" spans="1:23" x14ac:dyDescent="0.2">
      <c r="A2499" s="348" t="str">
        <f t="shared" si="169"/>
        <v/>
      </c>
      <c r="B2499" s="349"/>
      <c r="C2499" s="584"/>
      <c r="D2499" s="345"/>
      <c r="E2499" s="345"/>
      <c r="F2499" s="350"/>
      <c r="G2499" s="345"/>
      <c r="H2499" s="345"/>
      <c r="I2499" s="355"/>
      <c r="J2499" s="345"/>
      <c r="K2499" s="345"/>
      <c r="L2499" s="345"/>
      <c r="M2499" s="345"/>
      <c r="N2499" s="585"/>
      <c r="O2499" s="351"/>
      <c r="P2499" s="582">
        <f t="shared" si="170"/>
        <v>0</v>
      </c>
      <c r="Q2499" s="582">
        <f t="shared" si="171"/>
        <v>0</v>
      </c>
      <c r="R2499" s="583" t="str">
        <f t="shared" si="172"/>
        <v/>
      </c>
      <c r="S2499" s="496"/>
      <c r="T2499" s="496"/>
      <c r="U2499" s="496"/>
      <c r="V2499" s="496"/>
      <c r="W2499" s="496"/>
    </row>
    <row r="2500" spans="1:23" x14ac:dyDescent="0.2">
      <c r="A2500" s="348" t="str">
        <f t="shared" si="169"/>
        <v/>
      </c>
      <c r="B2500" s="349"/>
      <c r="C2500" s="584"/>
      <c r="D2500" s="345"/>
      <c r="E2500" s="345"/>
      <c r="F2500" s="350"/>
      <c r="G2500" s="345"/>
      <c r="H2500" s="345"/>
      <c r="I2500" s="355"/>
      <c r="J2500" s="345"/>
      <c r="K2500" s="345"/>
      <c r="L2500" s="345"/>
      <c r="M2500" s="345"/>
      <c r="N2500" s="585"/>
      <c r="O2500" s="351"/>
      <c r="P2500" s="582">
        <f t="shared" si="170"/>
        <v>0</v>
      </c>
      <c r="Q2500" s="582">
        <f t="shared" si="171"/>
        <v>0</v>
      </c>
      <c r="R2500" s="583" t="str">
        <f t="shared" si="172"/>
        <v/>
      </c>
      <c r="S2500" s="496"/>
      <c r="T2500" s="496"/>
      <c r="U2500" s="496"/>
      <c r="V2500" s="496"/>
      <c r="W2500" s="496"/>
    </row>
    <row r="2501" spans="1:23" x14ac:dyDescent="0.2">
      <c r="A2501" s="348" t="str">
        <f t="shared" si="169"/>
        <v/>
      </c>
      <c r="B2501" s="349"/>
      <c r="C2501" s="584"/>
      <c r="D2501" s="345"/>
      <c r="E2501" s="345"/>
      <c r="F2501" s="350"/>
      <c r="G2501" s="345"/>
      <c r="H2501" s="345"/>
      <c r="I2501" s="355"/>
      <c r="J2501" s="345"/>
      <c r="K2501" s="345"/>
      <c r="L2501" s="345"/>
      <c r="M2501" s="345"/>
      <c r="N2501" s="585"/>
      <c r="O2501" s="351"/>
      <c r="P2501" s="582">
        <f t="shared" si="170"/>
        <v>0</v>
      </c>
      <c r="Q2501" s="582">
        <f t="shared" si="171"/>
        <v>0</v>
      </c>
      <c r="R2501" s="583" t="str">
        <f t="shared" si="172"/>
        <v/>
      </c>
      <c r="S2501" s="496"/>
      <c r="T2501" s="496"/>
      <c r="U2501" s="496"/>
      <c r="V2501" s="496"/>
      <c r="W2501" s="496"/>
    </row>
    <row r="2502" spans="1:23" x14ac:dyDescent="0.2">
      <c r="A2502" s="348" t="str">
        <f t="shared" si="169"/>
        <v/>
      </c>
      <c r="B2502" s="349"/>
      <c r="C2502" s="584"/>
      <c r="D2502" s="345"/>
      <c r="E2502" s="345"/>
      <c r="F2502" s="350"/>
      <c r="G2502" s="345"/>
      <c r="H2502" s="345"/>
      <c r="I2502" s="355"/>
      <c r="J2502" s="345"/>
      <c r="K2502" s="345"/>
      <c r="L2502" s="345"/>
      <c r="M2502" s="345"/>
      <c r="N2502" s="585"/>
      <c r="O2502" s="351"/>
      <c r="P2502" s="582">
        <f t="shared" si="170"/>
        <v>0</v>
      </c>
      <c r="Q2502" s="582">
        <f t="shared" si="171"/>
        <v>0</v>
      </c>
      <c r="R2502" s="583" t="str">
        <f t="shared" si="172"/>
        <v/>
      </c>
      <c r="S2502" s="496"/>
      <c r="T2502" s="496"/>
      <c r="U2502" s="496"/>
      <c r="V2502" s="496"/>
      <c r="W2502" s="496"/>
    </row>
    <row r="2503" spans="1:23" x14ac:dyDescent="0.2">
      <c r="A2503" s="348" t="str">
        <f t="shared" si="169"/>
        <v/>
      </c>
      <c r="B2503" s="349"/>
      <c r="C2503" s="584"/>
      <c r="D2503" s="345"/>
      <c r="E2503" s="345"/>
      <c r="F2503" s="350"/>
      <c r="G2503" s="345"/>
      <c r="H2503" s="345"/>
      <c r="I2503" s="355"/>
      <c r="J2503" s="345"/>
      <c r="K2503" s="345"/>
      <c r="L2503" s="345"/>
      <c r="M2503" s="345"/>
      <c r="N2503" s="585"/>
      <c r="O2503" s="351"/>
      <c r="P2503" s="582">
        <f t="shared" si="170"/>
        <v>0</v>
      </c>
      <c r="Q2503" s="582">
        <f t="shared" si="171"/>
        <v>0</v>
      </c>
      <c r="R2503" s="583" t="str">
        <f t="shared" si="172"/>
        <v/>
      </c>
      <c r="S2503" s="496"/>
      <c r="T2503" s="496"/>
      <c r="U2503" s="496"/>
      <c r="V2503" s="496"/>
      <c r="W2503" s="496"/>
    </row>
    <row r="2504" spans="1:23" x14ac:dyDescent="0.2">
      <c r="A2504" s="348" t="str">
        <f t="shared" si="169"/>
        <v/>
      </c>
      <c r="B2504" s="349"/>
      <c r="C2504" s="584"/>
      <c r="D2504" s="345"/>
      <c r="E2504" s="345"/>
      <c r="F2504" s="350"/>
      <c r="G2504" s="345"/>
      <c r="H2504" s="345"/>
      <c r="I2504" s="355"/>
      <c r="J2504" s="345"/>
      <c r="K2504" s="345"/>
      <c r="L2504" s="345"/>
      <c r="M2504" s="345"/>
      <c r="N2504" s="585"/>
      <c r="O2504" s="351"/>
      <c r="P2504" s="582">
        <f t="shared" si="170"/>
        <v>0</v>
      </c>
      <c r="Q2504" s="582">
        <f t="shared" si="171"/>
        <v>0</v>
      </c>
      <c r="R2504" s="583" t="str">
        <f t="shared" si="172"/>
        <v/>
      </c>
      <c r="S2504" s="496"/>
      <c r="T2504" s="496"/>
      <c r="U2504" s="496"/>
      <c r="V2504" s="496"/>
      <c r="W2504" s="496"/>
    </row>
    <row r="2505" spans="1:23" x14ac:dyDescent="0.2">
      <c r="A2505" s="348" t="str">
        <f t="shared" si="169"/>
        <v/>
      </c>
      <c r="B2505" s="349"/>
      <c r="C2505" s="584"/>
      <c r="D2505" s="345"/>
      <c r="E2505" s="345"/>
      <c r="F2505" s="350"/>
      <c r="G2505" s="345"/>
      <c r="H2505" s="345"/>
      <c r="I2505" s="355"/>
      <c r="J2505" s="345"/>
      <c r="K2505" s="345"/>
      <c r="L2505" s="345"/>
      <c r="M2505" s="345"/>
      <c r="N2505" s="585"/>
      <c r="O2505" s="351"/>
      <c r="P2505" s="582">
        <f t="shared" si="170"/>
        <v>0</v>
      </c>
      <c r="Q2505" s="582">
        <f t="shared" si="171"/>
        <v>0</v>
      </c>
      <c r="R2505" s="583" t="str">
        <f t="shared" si="172"/>
        <v/>
      </c>
      <c r="S2505" s="496"/>
      <c r="T2505" s="496"/>
      <c r="U2505" s="496"/>
      <c r="V2505" s="496"/>
      <c r="W2505" s="496"/>
    </row>
    <row r="2506" spans="1:23" x14ac:dyDescent="0.2">
      <c r="A2506" s="348" t="str">
        <f t="shared" si="169"/>
        <v/>
      </c>
      <c r="B2506" s="349"/>
      <c r="C2506" s="584"/>
      <c r="D2506" s="345"/>
      <c r="E2506" s="345"/>
      <c r="F2506" s="350"/>
      <c r="G2506" s="345"/>
      <c r="H2506" s="345"/>
      <c r="I2506" s="355"/>
      <c r="J2506" s="345"/>
      <c r="K2506" s="345"/>
      <c r="L2506" s="345"/>
      <c r="M2506" s="345"/>
      <c r="N2506" s="585"/>
      <c r="O2506" s="351"/>
      <c r="P2506" s="582">
        <f t="shared" si="170"/>
        <v>0</v>
      </c>
      <c r="Q2506" s="582">
        <f t="shared" si="171"/>
        <v>0</v>
      </c>
      <c r="R2506" s="583" t="str">
        <f t="shared" si="172"/>
        <v/>
      </c>
      <c r="S2506" s="496"/>
      <c r="T2506" s="496"/>
      <c r="U2506" s="496"/>
      <c r="V2506" s="496"/>
      <c r="W2506" s="496"/>
    </row>
    <row r="2507" spans="1:23" x14ac:dyDescent="0.2">
      <c r="A2507" s="348" t="str">
        <f t="shared" si="169"/>
        <v/>
      </c>
      <c r="B2507" s="349"/>
      <c r="C2507" s="584"/>
      <c r="D2507" s="345"/>
      <c r="E2507" s="345"/>
      <c r="F2507" s="350"/>
      <c r="G2507" s="345"/>
      <c r="H2507" s="345"/>
      <c r="I2507" s="355"/>
      <c r="J2507" s="345"/>
      <c r="K2507" s="345"/>
      <c r="L2507" s="345"/>
      <c r="M2507" s="345"/>
      <c r="N2507" s="585"/>
      <c r="O2507" s="351"/>
      <c r="P2507" s="582">
        <f t="shared" si="170"/>
        <v>0</v>
      </c>
      <c r="Q2507" s="582">
        <f t="shared" si="171"/>
        <v>0</v>
      </c>
      <c r="R2507" s="583" t="str">
        <f t="shared" si="172"/>
        <v/>
      </c>
      <c r="S2507" s="496"/>
      <c r="T2507" s="496"/>
      <c r="U2507" s="496"/>
      <c r="V2507" s="496"/>
      <c r="W2507" s="496"/>
    </row>
    <row r="2508" spans="1:23" x14ac:dyDescent="0.2">
      <c r="A2508" s="348" t="str">
        <f t="shared" si="169"/>
        <v/>
      </c>
      <c r="B2508" s="349"/>
      <c r="C2508" s="584"/>
      <c r="D2508" s="345"/>
      <c r="E2508" s="345"/>
      <c r="F2508" s="350"/>
      <c r="G2508" s="345"/>
      <c r="H2508" s="345"/>
      <c r="I2508" s="355"/>
      <c r="J2508" s="345"/>
      <c r="K2508" s="345"/>
      <c r="L2508" s="345"/>
      <c r="M2508" s="345"/>
      <c r="N2508" s="585"/>
      <c r="O2508" s="351"/>
      <c r="P2508" s="582">
        <f t="shared" si="170"/>
        <v>0</v>
      </c>
      <c r="Q2508" s="582">
        <f t="shared" si="171"/>
        <v>0</v>
      </c>
      <c r="R2508" s="583" t="str">
        <f t="shared" si="172"/>
        <v/>
      </c>
      <c r="S2508" s="496"/>
      <c r="T2508" s="496"/>
      <c r="U2508" s="496"/>
      <c r="V2508" s="496"/>
      <c r="W2508" s="496"/>
    </row>
    <row r="2509" spans="1:23" x14ac:dyDescent="0.2">
      <c r="A2509" s="348" t="str">
        <f t="shared" si="169"/>
        <v/>
      </c>
      <c r="B2509" s="349"/>
      <c r="C2509" s="584"/>
      <c r="D2509" s="345"/>
      <c r="E2509" s="345"/>
      <c r="F2509" s="350"/>
      <c r="G2509" s="345"/>
      <c r="H2509" s="345"/>
      <c r="I2509" s="355"/>
      <c r="J2509" s="345"/>
      <c r="K2509" s="345"/>
      <c r="L2509" s="345"/>
      <c r="M2509" s="345"/>
      <c r="N2509" s="585"/>
      <c r="O2509" s="351"/>
      <c r="P2509" s="582">
        <f t="shared" si="170"/>
        <v>0</v>
      </c>
      <c r="Q2509" s="582">
        <f t="shared" si="171"/>
        <v>0</v>
      </c>
      <c r="R2509" s="583" t="str">
        <f t="shared" si="172"/>
        <v/>
      </c>
      <c r="S2509" s="496"/>
      <c r="T2509" s="496"/>
      <c r="U2509" s="496"/>
      <c r="V2509" s="496"/>
      <c r="W2509" s="496"/>
    </row>
    <row r="2510" spans="1:23" x14ac:dyDescent="0.2">
      <c r="A2510" s="348" t="str">
        <f t="shared" si="169"/>
        <v/>
      </c>
      <c r="B2510" s="349"/>
      <c r="C2510" s="584"/>
      <c r="D2510" s="345"/>
      <c r="E2510" s="345"/>
      <c r="F2510" s="350"/>
      <c r="G2510" s="345"/>
      <c r="H2510" s="345"/>
      <c r="I2510" s="355"/>
      <c r="J2510" s="345"/>
      <c r="K2510" s="345"/>
      <c r="L2510" s="345"/>
      <c r="M2510" s="345"/>
      <c r="N2510" s="585"/>
      <c r="O2510" s="351"/>
      <c r="P2510" s="582">
        <f t="shared" si="170"/>
        <v>0</v>
      </c>
      <c r="Q2510" s="582">
        <f t="shared" si="171"/>
        <v>0</v>
      </c>
      <c r="R2510" s="583" t="str">
        <f t="shared" si="172"/>
        <v/>
      </c>
      <c r="S2510" s="496"/>
      <c r="T2510" s="496"/>
      <c r="U2510" s="496"/>
      <c r="V2510" s="496"/>
      <c r="W2510" s="496"/>
    </row>
    <row r="2511" spans="1:23" x14ac:dyDescent="0.2">
      <c r="A2511" s="348" t="str">
        <f t="shared" si="169"/>
        <v/>
      </c>
      <c r="B2511" s="349"/>
      <c r="C2511" s="584"/>
      <c r="D2511" s="345"/>
      <c r="E2511" s="345"/>
      <c r="F2511" s="350"/>
      <c r="G2511" s="345"/>
      <c r="H2511" s="345"/>
      <c r="I2511" s="355"/>
      <c r="J2511" s="345"/>
      <c r="K2511" s="345"/>
      <c r="L2511" s="345"/>
      <c r="M2511" s="345"/>
      <c r="N2511" s="585"/>
      <c r="O2511" s="351"/>
      <c r="P2511" s="582">
        <f t="shared" si="170"/>
        <v>0</v>
      </c>
      <c r="Q2511" s="582">
        <f t="shared" si="171"/>
        <v>0</v>
      </c>
      <c r="R2511" s="583" t="str">
        <f t="shared" si="172"/>
        <v/>
      </c>
      <c r="S2511" s="496"/>
      <c r="T2511" s="496"/>
      <c r="U2511" s="496"/>
      <c r="V2511" s="496"/>
      <c r="W2511" s="496"/>
    </row>
    <row r="2512" spans="1:23" x14ac:dyDescent="0.2">
      <c r="A2512" s="348" t="str">
        <f t="shared" si="169"/>
        <v/>
      </c>
      <c r="B2512" s="349"/>
      <c r="C2512" s="584"/>
      <c r="D2512" s="345"/>
      <c r="E2512" s="345"/>
      <c r="F2512" s="350"/>
      <c r="G2512" s="345"/>
      <c r="H2512" s="345"/>
      <c r="I2512" s="355"/>
      <c r="J2512" s="345"/>
      <c r="K2512" s="345"/>
      <c r="L2512" s="345"/>
      <c r="M2512" s="345"/>
      <c r="N2512" s="585"/>
      <c r="O2512" s="351"/>
      <c r="P2512" s="582">
        <f t="shared" si="170"/>
        <v>0</v>
      </c>
      <c r="Q2512" s="582">
        <f t="shared" si="171"/>
        <v>0</v>
      </c>
      <c r="R2512" s="583" t="str">
        <f t="shared" si="172"/>
        <v/>
      </c>
      <c r="S2512" s="496"/>
      <c r="T2512" s="496"/>
      <c r="U2512" s="496"/>
      <c r="V2512" s="496"/>
      <c r="W2512" s="496"/>
    </row>
    <row r="2513" spans="1:23" x14ac:dyDescent="0.2">
      <c r="A2513" s="348" t="str">
        <f t="shared" si="169"/>
        <v/>
      </c>
      <c r="B2513" s="349"/>
      <c r="C2513" s="584"/>
      <c r="D2513" s="345"/>
      <c r="E2513" s="345"/>
      <c r="F2513" s="350"/>
      <c r="G2513" s="345"/>
      <c r="H2513" s="345"/>
      <c r="I2513" s="355"/>
      <c r="J2513" s="345"/>
      <c r="K2513" s="345"/>
      <c r="L2513" s="345"/>
      <c r="M2513" s="345"/>
      <c r="N2513" s="585"/>
      <c r="O2513" s="351"/>
      <c r="P2513" s="582">
        <f t="shared" si="170"/>
        <v>0</v>
      </c>
      <c r="Q2513" s="582">
        <f t="shared" si="171"/>
        <v>0</v>
      </c>
      <c r="R2513" s="583" t="str">
        <f t="shared" si="172"/>
        <v/>
      </c>
      <c r="S2513" s="496"/>
      <c r="T2513" s="496"/>
      <c r="U2513" s="496"/>
      <c r="V2513" s="496"/>
      <c r="W2513" s="496"/>
    </row>
    <row r="2514" spans="1:23" x14ac:dyDescent="0.2">
      <c r="A2514" s="348" t="str">
        <f t="shared" si="169"/>
        <v/>
      </c>
      <c r="B2514" s="349"/>
      <c r="C2514" s="584"/>
      <c r="D2514" s="345"/>
      <c r="E2514" s="345"/>
      <c r="F2514" s="350"/>
      <c r="G2514" s="345"/>
      <c r="H2514" s="345"/>
      <c r="I2514" s="355"/>
      <c r="J2514" s="345"/>
      <c r="K2514" s="345"/>
      <c r="L2514" s="345"/>
      <c r="M2514" s="345"/>
      <c r="N2514" s="585"/>
      <c r="O2514" s="351"/>
      <c r="P2514" s="582">
        <f t="shared" si="170"/>
        <v>0</v>
      </c>
      <c r="Q2514" s="582">
        <f t="shared" si="171"/>
        <v>0</v>
      </c>
      <c r="R2514" s="583" t="str">
        <f t="shared" si="172"/>
        <v/>
      </c>
      <c r="S2514" s="496"/>
      <c r="T2514" s="496"/>
      <c r="U2514" s="496"/>
      <c r="V2514" s="496"/>
      <c r="W2514" s="496"/>
    </row>
    <row r="2515" spans="1:23" x14ac:dyDescent="0.2">
      <c r="A2515" s="348" t="str">
        <f t="shared" si="169"/>
        <v/>
      </c>
      <c r="B2515" s="349"/>
      <c r="C2515" s="584"/>
      <c r="D2515" s="345"/>
      <c r="E2515" s="345"/>
      <c r="F2515" s="350"/>
      <c r="G2515" s="345"/>
      <c r="H2515" s="345"/>
      <c r="I2515" s="355"/>
      <c r="J2515" s="345"/>
      <c r="K2515" s="345"/>
      <c r="L2515" s="345"/>
      <c r="M2515" s="345"/>
      <c r="N2515" s="585"/>
      <c r="O2515" s="351"/>
      <c r="P2515" s="582">
        <f t="shared" si="170"/>
        <v>0</v>
      </c>
      <c r="Q2515" s="582">
        <f t="shared" si="171"/>
        <v>0</v>
      </c>
      <c r="R2515" s="583" t="str">
        <f t="shared" si="172"/>
        <v/>
      </c>
      <c r="S2515" s="496"/>
      <c r="T2515" s="496"/>
      <c r="U2515" s="496"/>
      <c r="V2515" s="496"/>
      <c r="W2515" s="496"/>
    </row>
    <row r="2516" spans="1:23" x14ac:dyDescent="0.2">
      <c r="A2516" s="348" t="str">
        <f t="shared" si="169"/>
        <v/>
      </c>
      <c r="B2516" s="349"/>
      <c r="C2516" s="584"/>
      <c r="D2516" s="345"/>
      <c r="E2516" s="345"/>
      <c r="F2516" s="350"/>
      <c r="G2516" s="345"/>
      <c r="H2516" s="345"/>
      <c r="I2516" s="355"/>
      <c r="J2516" s="345"/>
      <c r="K2516" s="345"/>
      <c r="L2516" s="345"/>
      <c r="M2516" s="345"/>
      <c r="N2516" s="585"/>
      <c r="O2516" s="351"/>
      <c r="P2516" s="582">
        <f t="shared" si="170"/>
        <v>0</v>
      </c>
      <c r="Q2516" s="582">
        <f t="shared" si="171"/>
        <v>0</v>
      </c>
      <c r="R2516" s="583" t="str">
        <f t="shared" si="172"/>
        <v/>
      </c>
      <c r="S2516" s="496"/>
      <c r="T2516" s="496"/>
      <c r="U2516" s="496"/>
      <c r="V2516" s="496"/>
      <c r="W2516" s="496"/>
    </row>
    <row r="2517" spans="1:23" x14ac:dyDescent="0.2">
      <c r="A2517" s="348" t="str">
        <f t="shared" si="169"/>
        <v/>
      </c>
      <c r="B2517" s="349"/>
      <c r="C2517" s="584"/>
      <c r="D2517" s="345"/>
      <c r="E2517" s="345"/>
      <c r="F2517" s="350"/>
      <c r="G2517" s="345"/>
      <c r="H2517" s="345"/>
      <c r="I2517" s="355"/>
      <c r="J2517" s="345"/>
      <c r="K2517" s="345"/>
      <c r="L2517" s="345"/>
      <c r="M2517" s="345"/>
      <c r="N2517" s="585"/>
      <c r="O2517" s="351"/>
      <c r="P2517" s="582">
        <f t="shared" si="170"/>
        <v>0</v>
      </c>
      <c r="Q2517" s="582">
        <f t="shared" si="171"/>
        <v>0</v>
      </c>
      <c r="R2517" s="583" t="str">
        <f t="shared" si="172"/>
        <v/>
      </c>
      <c r="S2517" s="496"/>
      <c r="T2517" s="496"/>
      <c r="U2517" s="496"/>
      <c r="V2517" s="496"/>
      <c r="W2517" s="496"/>
    </row>
    <row r="2518" spans="1:23" x14ac:dyDescent="0.2">
      <c r="A2518" s="348" t="str">
        <f t="shared" si="169"/>
        <v/>
      </c>
      <c r="B2518" s="349"/>
      <c r="C2518" s="584"/>
      <c r="D2518" s="345"/>
      <c r="E2518" s="345"/>
      <c r="F2518" s="350"/>
      <c r="G2518" s="345"/>
      <c r="H2518" s="345"/>
      <c r="I2518" s="355"/>
      <c r="J2518" s="345"/>
      <c r="K2518" s="345"/>
      <c r="L2518" s="345"/>
      <c r="M2518" s="345"/>
      <c r="N2518" s="585"/>
      <c r="O2518" s="351"/>
      <c r="P2518" s="582">
        <f t="shared" si="170"/>
        <v>0</v>
      </c>
      <c r="Q2518" s="582">
        <f t="shared" si="171"/>
        <v>0</v>
      </c>
      <c r="R2518" s="583" t="str">
        <f t="shared" si="172"/>
        <v/>
      </c>
      <c r="S2518" s="496"/>
      <c r="T2518" s="496"/>
      <c r="U2518" s="496"/>
      <c r="V2518" s="496"/>
      <c r="W2518" s="496"/>
    </row>
    <row r="2519" spans="1:23" x14ac:dyDescent="0.2">
      <c r="A2519" s="348" t="str">
        <f t="shared" si="169"/>
        <v/>
      </c>
      <c r="B2519" s="349"/>
      <c r="C2519" s="584"/>
      <c r="D2519" s="345"/>
      <c r="E2519" s="345"/>
      <c r="F2519" s="350"/>
      <c r="G2519" s="345"/>
      <c r="H2519" s="345"/>
      <c r="I2519" s="355"/>
      <c r="J2519" s="345"/>
      <c r="K2519" s="345"/>
      <c r="L2519" s="345"/>
      <c r="M2519" s="345"/>
      <c r="N2519" s="585"/>
      <c r="O2519" s="351"/>
      <c r="P2519" s="582">
        <f t="shared" si="170"/>
        <v>0</v>
      </c>
      <c r="Q2519" s="582">
        <f t="shared" si="171"/>
        <v>0</v>
      </c>
      <c r="R2519" s="583" t="str">
        <f t="shared" si="172"/>
        <v/>
      </c>
      <c r="S2519" s="496"/>
      <c r="T2519" s="496"/>
      <c r="U2519" s="496"/>
      <c r="V2519" s="496"/>
      <c r="W2519" s="496"/>
    </row>
    <row r="2520" spans="1:23" x14ac:dyDescent="0.2">
      <c r="A2520" s="348" t="str">
        <f t="shared" si="169"/>
        <v/>
      </c>
      <c r="B2520" s="349"/>
      <c r="C2520" s="584"/>
      <c r="D2520" s="345"/>
      <c r="E2520" s="345"/>
      <c r="F2520" s="350"/>
      <c r="G2520" s="345"/>
      <c r="H2520" s="345"/>
      <c r="I2520" s="355"/>
      <c r="J2520" s="345"/>
      <c r="K2520" s="345"/>
      <c r="L2520" s="345"/>
      <c r="M2520" s="345"/>
      <c r="N2520" s="585"/>
      <c r="O2520" s="351"/>
      <c r="P2520" s="582">
        <f t="shared" si="170"/>
        <v>0</v>
      </c>
      <c r="Q2520" s="582">
        <f t="shared" si="171"/>
        <v>0</v>
      </c>
      <c r="R2520" s="583" t="str">
        <f t="shared" si="172"/>
        <v/>
      </c>
      <c r="S2520" s="496"/>
      <c r="T2520" s="496"/>
      <c r="U2520" s="496"/>
      <c r="V2520" s="496"/>
      <c r="W2520" s="496"/>
    </row>
    <row r="2521" spans="1:23" x14ac:dyDescent="0.2">
      <c r="A2521" s="348" t="str">
        <f t="shared" ref="A2521:A2584" si="173">IF(B2521="","",ROW()-ROW($A$3))</f>
        <v/>
      </c>
      <c r="B2521" s="349"/>
      <c r="C2521" s="584"/>
      <c r="D2521" s="345"/>
      <c r="E2521" s="345"/>
      <c r="F2521" s="350"/>
      <c r="G2521" s="345"/>
      <c r="H2521" s="345"/>
      <c r="I2521" s="355"/>
      <c r="J2521" s="345"/>
      <c r="K2521" s="345"/>
      <c r="L2521" s="345"/>
      <c r="M2521" s="345"/>
      <c r="N2521" s="585"/>
      <c r="O2521" s="351"/>
      <c r="P2521" s="582">
        <f t="shared" ref="P2521:P2584" si="174">IF(B2521=0,0,IF(YEAR(B2521)=$Q$1,MONTH(B2521)-$P$1+1,(YEAR(B2521)-$Q$1)*12-$P$1+1+MONTH(B2521)))</f>
        <v>0</v>
      </c>
      <c r="Q2521" s="582">
        <f t="shared" ref="Q2521:Q2584" si="175">IF(C2521=0,0,IF(YEAR(C2521)=$Q$1,MONTH(C2521)-$P$1+1,(YEAR(C2521)-$Q$1)*12-$P$1+1+MONTH(C2521)))</f>
        <v>0</v>
      </c>
      <c r="R2521" s="583" t="str">
        <f t="shared" ref="R2521:R2584" si="176">SUBSTITUTE(D2521," ","_")</f>
        <v/>
      </c>
      <c r="S2521" s="496"/>
      <c r="T2521" s="496"/>
      <c r="U2521" s="496"/>
      <c r="V2521" s="496"/>
      <c r="W2521" s="496"/>
    </row>
    <row r="2522" spans="1:23" x14ac:dyDescent="0.2">
      <c r="A2522" s="348" t="str">
        <f t="shared" si="173"/>
        <v/>
      </c>
      <c r="B2522" s="349"/>
      <c r="C2522" s="584"/>
      <c r="D2522" s="345"/>
      <c r="E2522" s="345"/>
      <c r="F2522" s="350"/>
      <c r="G2522" s="345"/>
      <c r="H2522" s="345"/>
      <c r="I2522" s="355"/>
      <c r="J2522" s="345"/>
      <c r="K2522" s="345"/>
      <c r="L2522" s="345"/>
      <c r="M2522" s="345"/>
      <c r="N2522" s="585"/>
      <c r="O2522" s="351"/>
      <c r="P2522" s="582">
        <f t="shared" si="174"/>
        <v>0</v>
      </c>
      <c r="Q2522" s="582">
        <f t="shared" si="175"/>
        <v>0</v>
      </c>
      <c r="R2522" s="583" t="str">
        <f t="shared" si="176"/>
        <v/>
      </c>
      <c r="S2522" s="496"/>
      <c r="T2522" s="496"/>
      <c r="U2522" s="496"/>
      <c r="V2522" s="496"/>
      <c r="W2522" s="496"/>
    </row>
    <row r="2523" spans="1:23" x14ac:dyDescent="0.2">
      <c r="A2523" s="348" t="str">
        <f t="shared" si="173"/>
        <v/>
      </c>
      <c r="B2523" s="349"/>
      <c r="C2523" s="584"/>
      <c r="D2523" s="345"/>
      <c r="E2523" s="345"/>
      <c r="F2523" s="350"/>
      <c r="G2523" s="345"/>
      <c r="H2523" s="345"/>
      <c r="I2523" s="355"/>
      <c r="J2523" s="345"/>
      <c r="K2523" s="345"/>
      <c r="L2523" s="345"/>
      <c r="M2523" s="345"/>
      <c r="N2523" s="585"/>
      <c r="O2523" s="351"/>
      <c r="P2523" s="582">
        <f t="shared" si="174"/>
        <v>0</v>
      </c>
      <c r="Q2523" s="582">
        <f t="shared" si="175"/>
        <v>0</v>
      </c>
      <c r="R2523" s="583" t="str">
        <f t="shared" si="176"/>
        <v/>
      </c>
      <c r="S2523" s="496"/>
      <c r="T2523" s="496"/>
      <c r="U2523" s="496"/>
      <c r="V2523" s="496"/>
      <c r="W2523" s="496"/>
    </row>
    <row r="2524" spans="1:23" x14ac:dyDescent="0.2">
      <c r="A2524" s="348" t="str">
        <f t="shared" si="173"/>
        <v/>
      </c>
      <c r="B2524" s="349"/>
      <c r="C2524" s="584"/>
      <c r="D2524" s="345"/>
      <c r="E2524" s="345"/>
      <c r="F2524" s="350"/>
      <c r="G2524" s="345"/>
      <c r="H2524" s="345"/>
      <c r="I2524" s="355"/>
      <c r="J2524" s="345"/>
      <c r="K2524" s="345"/>
      <c r="L2524" s="345"/>
      <c r="M2524" s="345"/>
      <c r="N2524" s="585"/>
      <c r="O2524" s="351"/>
      <c r="P2524" s="582">
        <f t="shared" si="174"/>
        <v>0</v>
      </c>
      <c r="Q2524" s="582">
        <f t="shared" si="175"/>
        <v>0</v>
      </c>
      <c r="R2524" s="583" t="str">
        <f t="shared" si="176"/>
        <v/>
      </c>
      <c r="S2524" s="496"/>
      <c r="T2524" s="496"/>
      <c r="U2524" s="496"/>
      <c r="V2524" s="496"/>
      <c r="W2524" s="496"/>
    </row>
    <row r="2525" spans="1:23" x14ac:dyDescent="0.2">
      <c r="A2525" s="348" t="str">
        <f t="shared" si="173"/>
        <v/>
      </c>
      <c r="B2525" s="349"/>
      <c r="C2525" s="584"/>
      <c r="D2525" s="345"/>
      <c r="E2525" s="345"/>
      <c r="F2525" s="350"/>
      <c r="G2525" s="345"/>
      <c r="H2525" s="345"/>
      <c r="I2525" s="355"/>
      <c r="J2525" s="345"/>
      <c r="K2525" s="345"/>
      <c r="L2525" s="345"/>
      <c r="M2525" s="345"/>
      <c r="N2525" s="585"/>
      <c r="O2525" s="351"/>
      <c r="P2525" s="582">
        <f t="shared" si="174"/>
        <v>0</v>
      </c>
      <c r="Q2525" s="582">
        <f t="shared" si="175"/>
        <v>0</v>
      </c>
      <c r="R2525" s="583" t="str">
        <f t="shared" si="176"/>
        <v/>
      </c>
      <c r="S2525" s="496"/>
      <c r="T2525" s="496"/>
      <c r="U2525" s="496"/>
      <c r="V2525" s="496"/>
      <c r="W2525" s="496"/>
    </row>
    <row r="2526" spans="1:23" x14ac:dyDescent="0.2">
      <c r="A2526" s="348" t="str">
        <f t="shared" si="173"/>
        <v/>
      </c>
      <c r="B2526" s="349"/>
      <c r="C2526" s="584"/>
      <c r="D2526" s="345"/>
      <c r="E2526" s="345"/>
      <c r="F2526" s="350"/>
      <c r="G2526" s="345"/>
      <c r="H2526" s="345"/>
      <c r="I2526" s="355"/>
      <c r="J2526" s="345"/>
      <c r="K2526" s="345"/>
      <c r="L2526" s="345"/>
      <c r="M2526" s="345"/>
      <c r="N2526" s="585"/>
      <c r="O2526" s="351"/>
      <c r="P2526" s="582">
        <f t="shared" si="174"/>
        <v>0</v>
      </c>
      <c r="Q2526" s="582">
        <f t="shared" si="175"/>
        <v>0</v>
      </c>
      <c r="R2526" s="583" t="str">
        <f t="shared" si="176"/>
        <v/>
      </c>
      <c r="S2526" s="496"/>
      <c r="T2526" s="496"/>
      <c r="U2526" s="496"/>
      <c r="V2526" s="496"/>
      <c r="W2526" s="496"/>
    </row>
    <row r="2527" spans="1:23" x14ac:dyDescent="0.2">
      <c r="A2527" s="348" t="str">
        <f t="shared" si="173"/>
        <v/>
      </c>
      <c r="B2527" s="349"/>
      <c r="C2527" s="584"/>
      <c r="D2527" s="345"/>
      <c r="E2527" s="345"/>
      <c r="F2527" s="350"/>
      <c r="G2527" s="345"/>
      <c r="H2527" s="345"/>
      <c r="I2527" s="355"/>
      <c r="J2527" s="345"/>
      <c r="K2527" s="345"/>
      <c r="L2527" s="345"/>
      <c r="M2527" s="345"/>
      <c r="N2527" s="585"/>
      <c r="O2527" s="351"/>
      <c r="P2527" s="582">
        <f t="shared" si="174"/>
        <v>0</v>
      </c>
      <c r="Q2527" s="582">
        <f t="shared" si="175"/>
        <v>0</v>
      </c>
      <c r="R2527" s="583" t="str">
        <f t="shared" si="176"/>
        <v/>
      </c>
      <c r="S2527" s="496"/>
      <c r="T2527" s="496"/>
      <c r="U2527" s="496"/>
      <c r="V2527" s="496"/>
      <c r="W2527" s="496"/>
    </row>
    <row r="2528" spans="1:23" x14ac:dyDescent="0.2">
      <c r="A2528" s="348" t="str">
        <f t="shared" si="173"/>
        <v/>
      </c>
      <c r="B2528" s="349"/>
      <c r="C2528" s="584"/>
      <c r="D2528" s="345"/>
      <c r="E2528" s="345"/>
      <c r="F2528" s="350"/>
      <c r="G2528" s="345"/>
      <c r="H2528" s="345"/>
      <c r="I2528" s="355"/>
      <c r="J2528" s="345"/>
      <c r="K2528" s="345"/>
      <c r="L2528" s="345"/>
      <c r="M2528" s="345"/>
      <c r="N2528" s="585"/>
      <c r="O2528" s="351"/>
      <c r="P2528" s="582">
        <f t="shared" si="174"/>
        <v>0</v>
      </c>
      <c r="Q2528" s="582">
        <f t="shared" si="175"/>
        <v>0</v>
      </c>
      <c r="R2528" s="583" t="str">
        <f t="shared" si="176"/>
        <v/>
      </c>
      <c r="S2528" s="496"/>
      <c r="T2528" s="496"/>
      <c r="U2528" s="496"/>
      <c r="V2528" s="496"/>
      <c r="W2528" s="496"/>
    </row>
    <row r="2529" spans="1:23" x14ac:dyDescent="0.2">
      <c r="A2529" s="348" t="str">
        <f t="shared" si="173"/>
        <v/>
      </c>
      <c r="B2529" s="349"/>
      <c r="C2529" s="584"/>
      <c r="D2529" s="345"/>
      <c r="E2529" s="345"/>
      <c r="F2529" s="350"/>
      <c r="G2529" s="345"/>
      <c r="H2529" s="345"/>
      <c r="I2529" s="355"/>
      <c r="J2529" s="345"/>
      <c r="K2529" s="345"/>
      <c r="L2529" s="345"/>
      <c r="M2529" s="345"/>
      <c r="N2529" s="585"/>
      <c r="O2529" s="351"/>
      <c r="P2529" s="582">
        <f t="shared" si="174"/>
        <v>0</v>
      </c>
      <c r="Q2529" s="582">
        <f t="shared" si="175"/>
        <v>0</v>
      </c>
      <c r="R2529" s="583" t="str">
        <f t="shared" si="176"/>
        <v/>
      </c>
      <c r="S2529" s="496"/>
      <c r="T2529" s="496"/>
      <c r="U2529" s="496"/>
      <c r="V2529" s="496"/>
      <c r="W2529" s="496"/>
    </row>
    <row r="2530" spans="1:23" x14ac:dyDescent="0.2">
      <c r="A2530" s="348" t="str">
        <f t="shared" si="173"/>
        <v/>
      </c>
      <c r="B2530" s="349"/>
      <c r="C2530" s="584"/>
      <c r="D2530" s="345"/>
      <c r="E2530" s="345"/>
      <c r="F2530" s="350"/>
      <c r="G2530" s="345"/>
      <c r="H2530" s="345"/>
      <c r="I2530" s="355"/>
      <c r="J2530" s="345"/>
      <c r="K2530" s="345"/>
      <c r="L2530" s="345"/>
      <c r="M2530" s="345"/>
      <c r="N2530" s="585"/>
      <c r="O2530" s="351"/>
      <c r="P2530" s="582">
        <f t="shared" si="174"/>
        <v>0</v>
      </c>
      <c r="Q2530" s="582">
        <f t="shared" si="175"/>
        <v>0</v>
      </c>
      <c r="R2530" s="583" t="str">
        <f t="shared" si="176"/>
        <v/>
      </c>
      <c r="S2530" s="496"/>
      <c r="T2530" s="496"/>
      <c r="U2530" s="496"/>
      <c r="V2530" s="496"/>
      <c r="W2530" s="496"/>
    </row>
    <row r="2531" spans="1:23" x14ac:dyDescent="0.2">
      <c r="A2531" s="348" t="str">
        <f t="shared" si="173"/>
        <v/>
      </c>
      <c r="B2531" s="349"/>
      <c r="C2531" s="584"/>
      <c r="D2531" s="345"/>
      <c r="E2531" s="345"/>
      <c r="F2531" s="350"/>
      <c r="G2531" s="345"/>
      <c r="H2531" s="345"/>
      <c r="I2531" s="355"/>
      <c r="J2531" s="345"/>
      <c r="K2531" s="345"/>
      <c r="L2531" s="345"/>
      <c r="M2531" s="345"/>
      <c r="N2531" s="585"/>
      <c r="O2531" s="351"/>
      <c r="P2531" s="582">
        <f t="shared" si="174"/>
        <v>0</v>
      </c>
      <c r="Q2531" s="582">
        <f t="shared" si="175"/>
        <v>0</v>
      </c>
      <c r="R2531" s="583" t="str">
        <f t="shared" si="176"/>
        <v/>
      </c>
      <c r="S2531" s="496"/>
      <c r="T2531" s="496"/>
      <c r="U2531" s="496"/>
      <c r="V2531" s="496"/>
      <c r="W2531" s="496"/>
    </row>
    <row r="2532" spans="1:23" x14ac:dyDescent="0.2">
      <c r="A2532" s="348" t="str">
        <f t="shared" si="173"/>
        <v/>
      </c>
      <c r="B2532" s="349"/>
      <c r="C2532" s="584"/>
      <c r="D2532" s="345"/>
      <c r="E2532" s="345"/>
      <c r="F2532" s="350"/>
      <c r="G2532" s="345"/>
      <c r="H2532" s="345"/>
      <c r="I2532" s="355"/>
      <c r="J2532" s="345"/>
      <c r="K2532" s="345"/>
      <c r="L2532" s="345"/>
      <c r="M2532" s="345"/>
      <c r="N2532" s="585"/>
      <c r="O2532" s="351"/>
      <c r="P2532" s="582">
        <f t="shared" si="174"/>
        <v>0</v>
      </c>
      <c r="Q2532" s="582">
        <f t="shared" si="175"/>
        <v>0</v>
      </c>
      <c r="R2532" s="583" t="str">
        <f t="shared" si="176"/>
        <v/>
      </c>
      <c r="S2532" s="496"/>
      <c r="T2532" s="496"/>
      <c r="U2532" s="496"/>
      <c r="V2532" s="496"/>
      <c r="W2532" s="496"/>
    </row>
    <row r="2533" spans="1:23" x14ac:dyDescent="0.2">
      <c r="A2533" s="348" t="str">
        <f t="shared" si="173"/>
        <v/>
      </c>
      <c r="B2533" s="349"/>
      <c r="C2533" s="584"/>
      <c r="D2533" s="345"/>
      <c r="E2533" s="345"/>
      <c r="F2533" s="350"/>
      <c r="G2533" s="345"/>
      <c r="H2533" s="345"/>
      <c r="I2533" s="355"/>
      <c r="J2533" s="345"/>
      <c r="K2533" s="345"/>
      <c r="L2533" s="345"/>
      <c r="M2533" s="345"/>
      <c r="N2533" s="585"/>
      <c r="O2533" s="351"/>
      <c r="P2533" s="582">
        <f t="shared" si="174"/>
        <v>0</v>
      </c>
      <c r="Q2533" s="582">
        <f t="shared" si="175"/>
        <v>0</v>
      </c>
      <c r="R2533" s="583" t="str">
        <f t="shared" si="176"/>
        <v/>
      </c>
      <c r="S2533" s="496"/>
      <c r="T2533" s="496"/>
      <c r="U2533" s="496"/>
      <c r="V2533" s="496"/>
      <c r="W2533" s="496"/>
    </row>
    <row r="2534" spans="1:23" x14ac:dyDescent="0.2">
      <c r="A2534" s="348" t="str">
        <f t="shared" si="173"/>
        <v/>
      </c>
      <c r="B2534" s="349"/>
      <c r="C2534" s="584"/>
      <c r="D2534" s="345"/>
      <c r="E2534" s="345"/>
      <c r="F2534" s="350"/>
      <c r="G2534" s="345"/>
      <c r="H2534" s="345"/>
      <c r="I2534" s="355"/>
      <c r="J2534" s="345"/>
      <c r="K2534" s="345"/>
      <c r="L2534" s="345"/>
      <c r="M2534" s="345"/>
      <c r="N2534" s="585"/>
      <c r="O2534" s="351"/>
      <c r="P2534" s="582">
        <f t="shared" si="174"/>
        <v>0</v>
      </c>
      <c r="Q2534" s="582">
        <f t="shared" si="175"/>
        <v>0</v>
      </c>
      <c r="R2534" s="583" t="str">
        <f t="shared" si="176"/>
        <v/>
      </c>
      <c r="S2534" s="496"/>
      <c r="T2534" s="496"/>
      <c r="U2534" s="496"/>
      <c r="V2534" s="496"/>
      <c r="W2534" s="496"/>
    </row>
    <row r="2535" spans="1:23" x14ac:dyDescent="0.2">
      <c r="A2535" s="348" t="str">
        <f t="shared" si="173"/>
        <v/>
      </c>
      <c r="B2535" s="349"/>
      <c r="C2535" s="584"/>
      <c r="D2535" s="345"/>
      <c r="E2535" s="345"/>
      <c r="F2535" s="350"/>
      <c r="G2535" s="345"/>
      <c r="H2535" s="345"/>
      <c r="I2535" s="355"/>
      <c r="J2535" s="345"/>
      <c r="K2535" s="345"/>
      <c r="L2535" s="345"/>
      <c r="M2535" s="345"/>
      <c r="N2535" s="585"/>
      <c r="O2535" s="351"/>
      <c r="P2535" s="582">
        <f t="shared" si="174"/>
        <v>0</v>
      </c>
      <c r="Q2535" s="582">
        <f t="shared" si="175"/>
        <v>0</v>
      </c>
      <c r="R2535" s="583" t="str">
        <f t="shared" si="176"/>
        <v/>
      </c>
      <c r="S2535" s="496"/>
      <c r="T2535" s="496"/>
      <c r="U2535" s="496"/>
      <c r="V2535" s="496"/>
      <c r="W2535" s="496"/>
    </row>
    <row r="2536" spans="1:23" x14ac:dyDescent="0.2">
      <c r="A2536" s="348" t="str">
        <f t="shared" si="173"/>
        <v/>
      </c>
      <c r="B2536" s="349"/>
      <c r="C2536" s="584"/>
      <c r="D2536" s="345"/>
      <c r="E2536" s="345"/>
      <c r="F2536" s="350"/>
      <c r="G2536" s="345"/>
      <c r="H2536" s="345"/>
      <c r="I2536" s="355"/>
      <c r="J2536" s="345"/>
      <c r="K2536" s="345"/>
      <c r="L2536" s="345"/>
      <c r="M2536" s="345"/>
      <c r="N2536" s="585"/>
      <c r="O2536" s="351"/>
      <c r="P2536" s="582">
        <f t="shared" si="174"/>
        <v>0</v>
      </c>
      <c r="Q2536" s="582">
        <f t="shared" si="175"/>
        <v>0</v>
      </c>
      <c r="R2536" s="583" t="str">
        <f t="shared" si="176"/>
        <v/>
      </c>
      <c r="S2536" s="496"/>
      <c r="T2536" s="496"/>
      <c r="U2536" s="496"/>
      <c r="V2536" s="496"/>
      <c r="W2536" s="496"/>
    </row>
    <row r="2537" spans="1:23" x14ac:dyDescent="0.2">
      <c r="A2537" s="348" t="str">
        <f t="shared" si="173"/>
        <v/>
      </c>
      <c r="B2537" s="349"/>
      <c r="C2537" s="584"/>
      <c r="D2537" s="345"/>
      <c r="E2537" s="345"/>
      <c r="F2537" s="350"/>
      <c r="G2537" s="345"/>
      <c r="H2537" s="345"/>
      <c r="I2537" s="355"/>
      <c r="J2537" s="345"/>
      <c r="K2537" s="345"/>
      <c r="L2537" s="345"/>
      <c r="M2537" s="345"/>
      <c r="N2537" s="585"/>
      <c r="O2537" s="351"/>
      <c r="P2537" s="582">
        <f t="shared" si="174"/>
        <v>0</v>
      </c>
      <c r="Q2537" s="582">
        <f t="shared" si="175"/>
        <v>0</v>
      </c>
      <c r="R2537" s="583" t="str">
        <f t="shared" si="176"/>
        <v/>
      </c>
      <c r="S2537" s="496"/>
      <c r="T2537" s="496"/>
      <c r="U2537" s="496"/>
      <c r="V2537" s="496"/>
      <c r="W2537" s="496"/>
    </row>
    <row r="2538" spans="1:23" x14ac:dyDescent="0.2">
      <c r="A2538" s="348" t="str">
        <f t="shared" si="173"/>
        <v/>
      </c>
      <c r="B2538" s="349"/>
      <c r="C2538" s="584"/>
      <c r="D2538" s="345"/>
      <c r="E2538" s="345"/>
      <c r="F2538" s="350"/>
      <c r="G2538" s="345"/>
      <c r="H2538" s="345"/>
      <c r="I2538" s="355"/>
      <c r="J2538" s="345"/>
      <c r="K2538" s="345"/>
      <c r="L2538" s="345"/>
      <c r="M2538" s="345"/>
      <c r="N2538" s="585"/>
      <c r="O2538" s="351"/>
      <c r="P2538" s="582">
        <f t="shared" si="174"/>
        <v>0</v>
      </c>
      <c r="Q2538" s="582">
        <f t="shared" si="175"/>
        <v>0</v>
      </c>
      <c r="R2538" s="583" t="str">
        <f t="shared" si="176"/>
        <v/>
      </c>
      <c r="S2538" s="496"/>
      <c r="T2538" s="496"/>
      <c r="U2538" s="496"/>
      <c r="V2538" s="496"/>
      <c r="W2538" s="496"/>
    </row>
    <row r="2539" spans="1:23" x14ac:dyDescent="0.2">
      <c r="A2539" s="348" t="str">
        <f t="shared" si="173"/>
        <v/>
      </c>
      <c r="B2539" s="349"/>
      <c r="C2539" s="584"/>
      <c r="D2539" s="345"/>
      <c r="E2539" s="345"/>
      <c r="F2539" s="350"/>
      <c r="G2539" s="345"/>
      <c r="H2539" s="345"/>
      <c r="I2539" s="355"/>
      <c r="J2539" s="345"/>
      <c r="K2539" s="345"/>
      <c r="L2539" s="345"/>
      <c r="M2539" s="345"/>
      <c r="N2539" s="585"/>
      <c r="O2539" s="351"/>
      <c r="P2539" s="582">
        <f t="shared" si="174"/>
        <v>0</v>
      </c>
      <c r="Q2539" s="582">
        <f t="shared" si="175"/>
        <v>0</v>
      </c>
      <c r="R2539" s="583" t="str">
        <f t="shared" si="176"/>
        <v/>
      </c>
      <c r="S2539" s="496"/>
      <c r="T2539" s="496"/>
      <c r="U2539" s="496"/>
      <c r="V2539" s="496"/>
      <c r="W2539" s="496"/>
    </row>
    <row r="2540" spans="1:23" x14ac:dyDescent="0.2">
      <c r="A2540" s="348" t="str">
        <f t="shared" si="173"/>
        <v/>
      </c>
      <c r="B2540" s="349"/>
      <c r="C2540" s="584"/>
      <c r="D2540" s="345"/>
      <c r="E2540" s="345"/>
      <c r="F2540" s="350"/>
      <c r="G2540" s="345"/>
      <c r="H2540" s="345"/>
      <c r="I2540" s="355"/>
      <c r="J2540" s="345"/>
      <c r="K2540" s="345"/>
      <c r="L2540" s="345"/>
      <c r="M2540" s="345"/>
      <c r="N2540" s="585"/>
      <c r="O2540" s="351"/>
      <c r="P2540" s="582">
        <f t="shared" si="174"/>
        <v>0</v>
      </c>
      <c r="Q2540" s="582">
        <f t="shared" si="175"/>
        <v>0</v>
      </c>
      <c r="R2540" s="583" t="str">
        <f t="shared" si="176"/>
        <v/>
      </c>
      <c r="S2540" s="496"/>
      <c r="T2540" s="496"/>
      <c r="U2540" s="496"/>
      <c r="V2540" s="496"/>
      <c r="W2540" s="496"/>
    </row>
    <row r="2541" spans="1:23" x14ac:dyDescent="0.2">
      <c r="A2541" s="348" t="str">
        <f t="shared" si="173"/>
        <v/>
      </c>
      <c r="B2541" s="349"/>
      <c r="C2541" s="584"/>
      <c r="D2541" s="345"/>
      <c r="E2541" s="345"/>
      <c r="F2541" s="350"/>
      <c r="G2541" s="345"/>
      <c r="H2541" s="345"/>
      <c r="I2541" s="355"/>
      <c r="J2541" s="345"/>
      <c r="K2541" s="345"/>
      <c r="L2541" s="345"/>
      <c r="M2541" s="345"/>
      <c r="N2541" s="585"/>
      <c r="O2541" s="351"/>
      <c r="P2541" s="582">
        <f t="shared" si="174"/>
        <v>0</v>
      </c>
      <c r="Q2541" s="582">
        <f t="shared" si="175"/>
        <v>0</v>
      </c>
      <c r="R2541" s="583" t="str">
        <f t="shared" si="176"/>
        <v/>
      </c>
      <c r="S2541" s="496"/>
      <c r="T2541" s="496"/>
      <c r="U2541" s="496"/>
      <c r="V2541" s="496"/>
      <c r="W2541" s="496"/>
    </row>
    <row r="2542" spans="1:23" x14ac:dyDescent="0.2">
      <c r="A2542" s="348" t="str">
        <f t="shared" si="173"/>
        <v/>
      </c>
      <c r="B2542" s="349"/>
      <c r="C2542" s="584"/>
      <c r="D2542" s="345"/>
      <c r="E2542" s="345"/>
      <c r="F2542" s="350"/>
      <c r="G2542" s="345"/>
      <c r="H2542" s="345"/>
      <c r="I2542" s="355"/>
      <c r="J2542" s="345"/>
      <c r="K2542" s="345"/>
      <c r="L2542" s="345"/>
      <c r="M2542" s="345"/>
      <c r="N2542" s="585"/>
      <c r="O2542" s="351"/>
      <c r="P2542" s="582">
        <f t="shared" si="174"/>
        <v>0</v>
      </c>
      <c r="Q2542" s="582">
        <f t="shared" si="175"/>
        <v>0</v>
      </c>
      <c r="R2542" s="583" t="str">
        <f t="shared" si="176"/>
        <v/>
      </c>
      <c r="S2542" s="496"/>
      <c r="T2542" s="496"/>
      <c r="U2542" s="496"/>
      <c r="V2542" s="496"/>
      <c r="W2542" s="496"/>
    </row>
    <row r="2543" spans="1:23" x14ac:dyDescent="0.2">
      <c r="A2543" s="348" t="str">
        <f t="shared" si="173"/>
        <v/>
      </c>
      <c r="B2543" s="349"/>
      <c r="C2543" s="584"/>
      <c r="D2543" s="345"/>
      <c r="E2543" s="345"/>
      <c r="F2543" s="350"/>
      <c r="G2543" s="345"/>
      <c r="H2543" s="345"/>
      <c r="I2543" s="355"/>
      <c r="J2543" s="345"/>
      <c r="K2543" s="345"/>
      <c r="L2543" s="345"/>
      <c r="M2543" s="345"/>
      <c r="N2543" s="585"/>
      <c r="O2543" s="351"/>
      <c r="P2543" s="582">
        <f t="shared" si="174"/>
        <v>0</v>
      </c>
      <c r="Q2543" s="582">
        <f t="shared" si="175"/>
        <v>0</v>
      </c>
      <c r="R2543" s="583" t="str">
        <f t="shared" si="176"/>
        <v/>
      </c>
      <c r="S2543" s="496"/>
      <c r="T2543" s="496"/>
      <c r="U2543" s="496"/>
      <c r="V2543" s="496"/>
      <c r="W2543" s="496"/>
    </row>
    <row r="2544" spans="1:23" x14ac:dyDescent="0.2">
      <c r="A2544" s="348" t="str">
        <f t="shared" si="173"/>
        <v/>
      </c>
      <c r="B2544" s="349"/>
      <c r="C2544" s="584"/>
      <c r="D2544" s="345"/>
      <c r="E2544" s="345"/>
      <c r="F2544" s="350"/>
      <c r="G2544" s="345"/>
      <c r="H2544" s="345"/>
      <c r="I2544" s="355"/>
      <c r="J2544" s="345"/>
      <c r="K2544" s="345"/>
      <c r="L2544" s="345"/>
      <c r="M2544" s="345"/>
      <c r="N2544" s="585"/>
      <c r="O2544" s="351"/>
      <c r="P2544" s="582">
        <f t="shared" si="174"/>
        <v>0</v>
      </c>
      <c r="Q2544" s="582">
        <f t="shared" si="175"/>
        <v>0</v>
      </c>
      <c r="R2544" s="583" t="str">
        <f t="shared" si="176"/>
        <v/>
      </c>
      <c r="S2544" s="496"/>
      <c r="T2544" s="496"/>
      <c r="U2544" s="496"/>
      <c r="V2544" s="496"/>
      <c r="W2544" s="496"/>
    </row>
    <row r="2545" spans="1:23" x14ac:dyDescent="0.2">
      <c r="A2545" s="348" t="str">
        <f t="shared" si="173"/>
        <v/>
      </c>
      <c r="B2545" s="349"/>
      <c r="C2545" s="584"/>
      <c r="D2545" s="345"/>
      <c r="E2545" s="345"/>
      <c r="F2545" s="350"/>
      <c r="G2545" s="345"/>
      <c r="H2545" s="345"/>
      <c r="I2545" s="355"/>
      <c r="J2545" s="345"/>
      <c r="K2545" s="345"/>
      <c r="L2545" s="345"/>
      <c r="M2545" s="345"/>
      <c r="N2545" s="585"/>
      <c r="O2545" s="351"/>
      <c r="P2545" s="582">
        <f t="shared" si="174"/>
        <v>0</v>
      </c>
      <c r="Q2545" s="582">
        <f t="shared" si="175"/>
        <v>0</v>
      </c>
      <c r="R2545" s="583" t="str">
        <f t="shared" si="176"/>
        <v/>
      </c>
      <c r="S2545" s="496"/>
      <c r="T2545" s="496"/>
      <c r="U2545" s="496"/>
      <c r="V2545" s="496"/>
      <c r="W2545" s="496"/>
    </row>
    <row r="2546" spans="1:23" x14ac:dyDescent="0.2">
      <c r="A2546" s="348" t="str">
        <f t="shared" si="173"/>
        <v/>
      </c>
      <c r="B2546" s="349"/>
      <c r="C2546" s="584"/>
      <c r="D2546" s="345"/>
      <c r="E2546" s="345"/>
      <c r="F2546" s="350"/>
      <c r="G2546" s="345"/>
      <c r="H2546" s="345"/>
      <c r="I2546" s="355"/>
      <c r="J2546" s="345"/>
      <c r="K2546" s="345"/>
      <c r="L2546" s="345"/>
      <c r="M2546" s="345"/>
      <c r="N2546" s="585"/>
      <c r="O2546" s="351"/>
      <c r="P2546" s="582">
        <f t="shared" si="174"/>
        <v>0</v>
      </c>
      <c r="Q2546" s="582">
        <f t="shared" si="175"/>
        <v>0</v>
      </c>
      <c r="R2546" s="583" t="str">
        <f t="shared" si="176"/>
        <v/>
      </c>
      <c r="S2546" s="496"/>
      <c r="T2546" s="496"/>
      <c r="U2546" s="496"/>
      <c r="V2546" s="496"/>
      <c r="W2546" s="496"/>
    </row>
    <row r="2547" spans="1:23" x14ac:dyDescent="0.2">
      <c r="A2547" s="348" t="str">
        <f t="shared" si="173"/>
        <v/>
      </c>
      <c r="B2547" s="349"/>
      <c r="C2547" s="584"/>
      <c r="D2547" s="345"/>
      <c r="E2547" s="345"/>
      <c r="F2547" s="350"/>
      <c r="G2547" s="345"/>
      <c r="H2547" s="345"/>
      <c r="I2547" s="355"/>
      <c r="J2547" s="345"/>
      <c r="K2547" s="345"/>
      <c r="L2547" s="345"/>
      <c r="M2547" s="345"/>
      <c r="N2547" s="585"/>
      <c r="O2547" s="351"/>
      <c r="P2547" s="582">
        <f t="shared" si="174"/>
        <v>0</v>
      </c>
      <c r="Q2547" s="582">
        <f t="shared" si="175"/>
        <v>0</v>
      </c>
      <c r="R2547" s="583" t="str">
        <f t="shared" si="176"/>
        <v/>
      </c>
      <c r="S2547" s="496"/>
      <c r="T2547" s="496"/>
      <c r="U2547" s="496"/>
      <c r="V2547" s="496"/>
      <c r="W2547" s="496"/>
    </row>
    <row r="2548" spans="1:23" x14ac:dyDescent="0.2">
      <c r="A2548" s="348" t="str">
        <f t="shared" si="173"/>
        <v/>
      </c>
      <c r="B2548" s="349"/>
      <c r="C2548" s="584"/>
      <c r="D2548" s="345"/>
      <c r="E2548" s="345"/>
      <c r="F2548" s="350"/>
      <c r="G2548" s="345"/>
      <c r="H2548" s="345"/>
      <c r="I2548" s="355"/>
      <c r="J2548" s="345"/>
      <c r="K2548" s="345"/>
      <c r="L2548" s="345"/>
      <c r="M2548" s="345"/>
      <c r="N2548" s="585"/>
      <c r="O2548" s="351"/>
      <c r="P2548" s="582">
        <f t="shared" si="174"/>
        <v>0</v>
      </c>
      <c r="Q2548" s="582">
        <f t="shared" si="175"/>
        <v>0</v>
      </c>
      <c r="R2548" s="583" t="str">
        <f t="shared" si="176"/>
        <v/>
      </c>
      <c r="S2548" s="496"/>
      <c r="T2548" s="496"/>
      <c r="U2548" s="496"/>
      <c r="V2548" s="496"/>
      <c r="W2548" s="496"/>
    </row>
    <row r="2549" spans="1:23" x14ac:dyDescent="0.2">
      <c r="A2549" s="348" t="str">
        <f t="shared" si="173"/>
        <v/>
      </c>
      <c r="B2549" s="349"/>
      <c r="C2549" s="584"/>
      <c r="D2549" s="345"/>
      <c r="E2549" s="345"/>
      <c r="F2549" s="350"/>
      <c r="G2549" s="345"/>
      <c r="H2549" s="345"/>
      <c r="I2549" s="355"/>
      <c r="J2549" s="345"/>
      <c r="K2549" s="345"/>
      <c r="L2549" s="345"/>
      <c r="M2549" s="345"/>
      <c r="N2549" s="585"/>
      <c r="O2549" s="351"/>
      <c r="P2549" s="582">
        <f t="shared" si="174"/>
        <v>0</v>
      </c>
      <c r="Q2549" s="582">
        <f t="shared" si="175"/>
        <v>0</v>
      </c>
      <c r="R2549" s="583" t="str">
        <f t="shared" si="176"/>
        <v/>
      </c>
      <c r="S2549" s="496"/>
      <c r="T2549" s="496"/>
      <c r="U2549" s="496"/>
      <c r="V2549" s="496"/>
      <c r="W2549" s="496"/>
    </row>
    <row r="2550" spans="1:23" x14ac:dyDescent="0.2">
      <c r="A2550" s="348" t="str">
        <f t="shared" si="173"/>
        <v/>
      </c>
      <c r="B2550" s="349"/>
      <c r="C2550" s="584"/>
      <c r="D2550" s="345"/>
      <c r="E2550" s="345"/>
      <c r="F2550" s="350"/>
      <c r="G2550" s="345"/>
      <c r="H2550" s="345"/>
      <c r="I2550" s="355"/>
      <c r="J2550" s="345"/>
      <c r="K2550" s="345"/>
      <c r="L2550" s="345"/>
      <c r="M2550" s="345"/>
      <c r="N2550" s="585"/>
      <c r="O2550" s="351"/>
      <c r="P2550" s="582">
        <f t="shared" si="174"/>
        <v>0</v>
      </c>
      <c r="Q2550" s="582">
        <f t="shared" si="175"/>
        <v>0</v>
      </c>
      <c r="R2550" s="583" t="str">
        <f t="shared" si="176"/>
        <v/>
      </c>
      <c r="S2550" s="496"/>
      <c r="T2550" s="496"/>
      <c r="U2550" s="496"/>
      <c r="V2550" s="496"/>
      <c r="W2550" s="496"/>
    </row>
    <row r="2551" spans="1:23" x14ac:dyDescent="0.2">
      <c r="A2551" s="348" t="str">
        <f t="shared" si="173"/>
        <v/>
      </c>
      <c r="B2551" s="349"/>
      <c r="C2551" s="584"/>
      <c r="D2551" s="345"/>
      <c r="E2551" s="345"/>
      <c r="F2551" s="350"/>
      <c r="G2551" s="345"/>
      <c r="H2551" s="345"/>
      <c r="I2551" s="355"/>
      <c r="J2551" s="345"/>
      <c r="K2551" s="345"/>
      <c r="L2551" s="345"/>
      <c r="M2551" s="345"/>
      <c r="N2551" s="585"/>
      <c r="O2551" s="351"/>
      <c r="P2551" s="582">
        <f t="shared" si="174"/>
        <v>0</v>
      </c>
      <c r="Q2551" s="582">
        <f t="shared" si="175"/>
        <v>0</v>
      </c>
      <c r="R2551" s="583" t="str">
        <f t="shared" si="176"/>
        <v/>
      </c>
      <c r="S2551" s="496"/>
      <c r="T2551" s="496"/>
      <c r="U2551" s="496"/>
      <c r="V2551" s="496"/>
      <c r="W2551" s="496"/>
    </row>
    <row r="2552" spans="1:23" x14ac:dyDescent="0.2">
      <c r="A2552" s="348" t="str">
        <f t="shared" si="173"/>
        <v/>
      </c>
      <c r="B2552" s="349"/>
      <c r="C2552" s="584"/>
      <c r="D2552" s="345"/>
      <c r="E2552" s="345"/>
      <c r="F2552" s="350"/>
      <c r="G2552" s="345"/>
      <c r="H2552" s="345"/>
      <c r="I2552" s="355"/>
      <c r="J2552" s="345"/>
      <c r="K2552" s="345"/>
      <c r="L2552" s="345"/>
      <c r="M2552" s="345"/>
      <c r="N2552" s="585"/>
      <c r="O2552" s="351"/>
      <c r="P2552" s="582">
        <f t="shared" si="174"/>
        <v>0</v>
      </c>
      <c r="Q2552" s="582">
        <f t="shared" si="175"/>
        <v>0</v>
      </c>
      <c r="R2552" s="583" t="str">
        <f t="shared" si="176"/>
        <v/>
      </c>
      <c r="S2552" s="496"/>
      <c r="T2552" s="496"/>
      <c r="U2552" s="496"/>
      <c r="V2552" s="496"/>
      <c r="W2552" s="496"/>
    </row>
    <row r="2553" spans="1:23" x14ac:dyDescent="0.2">
      <c r="A2553" s="348" t="str">
        <f t="shared" si="173"/>
        <v/>
      </c>
      <c r="B2553" s="349"/>
      <c r="C2553" s="584"/>
      <c r="D2553" s="345"/>
      <c r="E2553" s="345"/>
      <c r="F2553" s="350"/>
      <c r="G2553" s="345"/>
      <c r="H2553" s="345"/>
      <c r="I2553" s="355"/>
      <c r="J2553" s="345"/>
      <c r="K2553" s="345"/>
      <c r="L2553" s="345"/>
      <c r="M2553" s="345"/>
      <c r="N2553" s="585"/>
      <c r="O2553" s="351"/>
      <c r="P2553" s="582">
        <f t="shared" si="174"/>
        <v>0</v>
      </c>
      <c r="Q2553" s="582">
        <f t="shared" si="175"/>
        <v>0</v>
      </c>
      <c r="R2553" s="583" t="str">
        <f t="shared" si="176"/>
        <v/>
      </c>
      <c r="S2553" s="496"/>
      <c r="T2553" s="496"/>
      <c r="U2553" s="496"/>
      <c r="V2553" s="496"/>
      <c r="W2553" s="496"/>
    </row>
    <row r="2554" spans="1:23" x14ac:dyDescent="0.2">
      <c r="A2554" s="348" t="str">
        <f t="shared" si="173"/>
        <v/>
      </c>
      <c r="B2554" s="349"/>
      <c r="C2554" s="584"/>
      <c r="D2554" s="345"/>
      <c r="E2554" s="345"/>
      <c r="F2554" s="350"/>
      <c r="G2554" s="345"/>
      <c r="H2554" s="345"/>
      <c r="I2554" s="355"/>
      <c r="J2554" s="345"/>
      <c r="K2554" s="345"/>
      <c r="L2554" s="345"/>
      <c r="M2554" s="345"/>
      <c r="N2554" s="585"/>
      <c r="O2554" s="351"/>
      <c r="P2554" s="582">
        <f t="shared" si="174"/>
        <v>0</v>
      </c>
      <c r="Q2554" s="582">
        <f t="shared" si="175"/>
        <v>0</v>
      </c>
      <c r="R2554" s="583" t="str">
        <f t="shared" si="176"/>
        <v/>
      </c>
      <c r="S2554" s="496"/>
      <c r="T2554" s="496"/>
      <c r="U2554" s="496"/>
      <c r="V2554" s="496"/>
      <c r="W2554" s="496"/>
    </row>
    <row r="2555" spans="1:23" x14ac:dyDescent="0.2">
      <c r="A2555" s="348" t="str">
        <f t="shared" si="173"/>
        <v/>
      </c>
      <c r="B2555" s="349"/>
      <c r="C2555" s="584"/>
      <c r="D2555" s="345"/>
      <c r="E2555" s="345"/>
      <c r="F2555" s="350"/>
      <c r="G2555" s="345"/>
      <c r="H2555" s="345"/>
      <c r="I2555" s="355"/>
      <c r="J2555" s="345"/>
      <c r="K2555" s="345"/>
      <c r="L2555" s="345"/>
      <c r="M2555" s="345"/>
      <c r="N2555" s="585"/>
      <c r="O2555" s="351"/>
      <c r="P2555" s="582">
        <f t="shared" si="174"/>
        <v>0</v>
      </c>
      <c r="Q2555" s="582">
        <f t="shared" si="175"/>
        <v>0</v>
      </c>
      <c r="R2555" s="583" t="str">
        <f t="shared" si="176"/>
        <v/>
      </c>
      <c r="S2555" s="496"/>
      <c r="T2555" s="496"/>
      <c r="U2555" s="496"/>
      <c r="V2555" s="496"/>
      <c r="W2555" s="496"/>
    </row>
    <row r="2556" spans="1:23" x14ac:dyDescent="0.2">
      <c r="A2556" s="348" t="str">
        <f t="shared" si="173"/>
        <v/>
      </c>
      <c r="B2556" s="349"/>
      <c r="C2556" s="584"/>
      <c r="D2556" s="345"/>
      <c r="E2556" s="345"/>
      <c r="F2556" s="350"/>
      <c r="G2556" s="345"/>
      <c r="H2556" s="345"/>
      <c r="I2556" s="355"/>
      <c r="J2556" s="345"/>
      <c r="K2556" s="345"/>
      <c r="L2556" s="345"/>
      <c r="M2556" s="345"/>
      <c r="N2556" s="585"/>
      <c r="O2556" s="351"/>
      <c r="P2556" s="582">
        <f t="shared" si="174"/>
        <v>0</v>
      </c>
      <c r="Q2556" s="582">
        <f t="shared" si="175"/>
        <v>0</v>
      </c>
      <c r="R2556" s="583" t="str">
        <f t="shared" si="176"/>
        <v/>
      </c>
      <c r="S2556" s="496"/>
      <c r="T2556" s="496"/>
      <c r="U2556" s="496"/>
      <c r="V2556" s="496"/>
      <c r="W2556" s="496"/>
    </row>
    <row r="2557" spans="1:23" x14ac:dyDescent="0.2">
      <c r="A2557" s="348" t="str">
        <f t="shared" si="173"/>
        <v/>
      </c>
      <c r="B2557" s="349"/>
      <c r="C2557" s="584"/>
      <c r="D2557" s="345"/>
      <c r="E2557" s="345"/>
      <c r="F2557" s="350"/>
      <c r="G2557" s="345"/>
      <c r="H2557" s="345"/>
      <c r="I2557" s="355"/>
      <c r="J2557" s="345"/>
      <c r="K2557" s="345"/>
      <c r="L2557" s="345"/>
      <c r="M2557" s="345"/>
      <c r="N2557" s="585"/>
      <c r="O2557" s="351"/>
      <c r="P2557" s="582">
        <f t="shared" si="174"/>
        <v>0</v>
      </c>
      <c r="Q2557" s="582">
        <f t="shared" si="175"/>
        <v>0</v>
      </c>
      <c r="R2557" s="583" t="str">
        <f t="shared" si="176"/>
        <v/>
      </c>
      <c r="S2557" s="496"/>
      <c r="T2557" s="496"/>
      <c r="U2557" s="496"/>
      <c r="V2557" s="496"/>
      <c r="W2557" s="496"/>
    </row>
    <row r="2558" spans="1:23" x14ac:dyDescent="0.2">
      <c r="A2558" s="348" t="str">
        <f t="shared" si="173"/>
        <v/>
      </c>
      <c r="B2558" s="349"/>
      <c r="C2558" s="584"/>
      <c r="D2558" s="345"/>
      <c r="E2558" s="345"/>
      <c r="F2558" s="350"/>
      <c r="G2558" s="345"/>
      <c r="H2558" s="345"/>
      <c r="I2558" s="355"/>
      <c r="J2558" s="345"/>
      <c r="K2558" s="345"/>
      <c r="L2558" s="345"/>
      <c r="M2558" s="345"/>
      <c r="N2558" s="585"/>
      <c r="O2558" s="351"/>
      <c r="P2558" s="582">
        <f t="shared" si="174"/>
        <v>0</v>
      </c>
      <c r="Q2558" s="582">
        <f t="shared" si="175"/>
        <v>0</v>
      </c>
      <c r="R2558" s="583" t="str">
        <f t="shared" si="176"/>
        <v/>
      </c>
      <c r="S2558" s="496"/>
      <c r="T2558" s="496"/>
      <c r="U2558" s="496"/>
      <c r="V2558" s="496"/>
      <c r="W2558" s="496"/>
    </row>
    <row r="2559" spans="1:23" x14ac:dyDescent="0.2">
      <c r="A2559" s="348" t="str">
        <f t="shared" si="173"/>
        <v/>
      </c>
      <c r="B2559" s="349"/>
      <c r="C2559" s="584"/>
      <c r="D2559" s="345"/>
      <c r="E2559" s="345"/>
      <c r="F2559" s="350"/>
      <c r="G2559" s="345"/>
      <c r="H2559" s="345"/>
      <c r="I2559" s="355"/>
      <c r="J2559" s="345"/>
      <c r="K2559" s="345"/>
      <c r="L2559" s="345"/>
      <c r="M2559" s="345"/>
      <c r="N2559" s="585"/>
      <c r="O2559" s="351"/>
      <c r="P2559" s="582">
        <f t="shared" si="174"/>
        <v>0</v>
      </c>
      <c r="Q2559" s="582">
        <f t="shared" si="175"/>
        <v>0</v>
      </c>
      <c r="R2559" s="583" t="str">
        <f t="shared" si="176"/>
        <v/>
      </c>
      <c r="S2559" s="496"/>
      <c r="T2559" s="496"/>
      <c r="U2559" s="496"/>
      <c r="V2559" s="496"/>
      <c r="W2559" s="496"/>
    </row>
    <row r="2560" spans="1:23" x14ac:dyDescent="0.2">
      <c r="A2560" s="348" t="str">
        <f t="shared" si="173"/>
        <v/>
      </c>
      <c r="B2560" s="349"/>
      <c r="C2560" s="584"/>
      <c r="D2560" s="345"/>
      <c r="E2560" s="345"/>
      <c r="F2560" s="350"/>
      <c r="G2560" s="345"/>
      <c r="H2560" s="345"/>
      <c r="I2560" s="355"/>
      <c r="J2560" s="345"/>
      <c r="K2560" s="345"/>
      <c r="L2560" s="345"/>
      <c r="M2560" s="345"/>
      <c r="N2560" s="585"/>
      <c r="O2560" s="351"/>
      <c r="P2560" s="582">
        <f t="shared" si="174"/>
        <v>0</v>
      </c>
      <c r="Q2560" s="582">
        <f t="shared" si="175"/>
        <v>0</v>
      </c>
      <c r="R2560" s="583" t="str">
        <f t="shared" si="176"/>
        <v/>
      </c>
      <c r="S2560" s="496"/>
      <c r="T2560" s="496"/>
      <c r="U2560" s="496"/>
      <c r="V2560" s="496"/>
      <c r="W2560" s="496"/>
    </row>
    <row r="2561" spans="1:23" x14ac:dyDescent="0.2">
      <c r="A2561" s="348" t="str">
        <f t="shared" si="173"/>
        <v/>
      </c>
      <c r="B2561" s="349"/>
      <c r="C2561" s="584"/>
      <c r="D2561" s="345"/>
      <c r="E2561" s="345"/>
      <c r="F2561" s="350"/>
      <c r="G2561" s="345"/>
      <c r="H2561" s="345"/>
      <c r="I2561" s="355"/>
      <c r="J2561" s="345"/>
      <c r="K2561" s="345"/>
      <c r="L2561" s="345"/>
      <c r="M2561" s="345"/>
      <c r="N2561" s="585"/>
      <c r="O2561" s="351"/>
      <c r="P2561" s="582">
        <f t="shared" si="174"/>
        <v>0</v>
      </c>
      <c r="Q2561" s="582">
        <f t="shared" si="175"/>
        <v>0</v>
      </c>
      <c r="R2561" s="583" t="str">
        <f t="shared" si="176"/>
        <v/>
      </c>
      <c r="S2561" s="496"/>
      <c r="T2561" s="496"/>
      <c r="U2561" s="496"/>
      <c r="V2561" s="496"/>
      <c r="W2561" s="496"/>
    </row>
    <row r="2562" spans="1:23" x14ac:dyDescent="0.2">
      <c r="A2562" s="348" t="str">
        <f t="shared" si="173"/>
        <v/>
      </c>
      <c r="B2562" s="349"/>
      <c r="C2562" s="584"/>
      <c r="D2562" s="345"/>
      <c r="E2562" s="345"/>
      <c r="F2562" s="350"/>
      <c r="G2562" s="345"/>
      <c r="H2562" s="345"/>
      <c r="I2562" s="355"/>
      <c r="J2562" s="345"/>
      <c r="K2562" s="345"/>
      <c r="L2562" s="345"/>
      <c r="M2562" s="345"/>
      <c r="N2562" s="585"/>
      <c r="O2562" s="351"/>
      <c r="P2562" s="582">
        <f t="shared" si="174"/>
        <v>0</v>
      </c>
      <c r="Q2562" s="582">
        <f t="shared" si="175"/>
        <v>0</v>
      </c>
      <c r="R2562" s="583" t="str">
        <f t="shared" si="176"/>
        <v/>
      </c>
      <c r="S2562" s="496"/>
      <c r="T2562" s="496"/>
      <c r="U2562" s="496"/>
      <c r="V2562" s="496"/>
      <c r="W2562" s="496"/>
    </row>
    <row r="2563" spans="1:23" x14ac:dyDescent="0.2">
      <c r="A2563" s="348" t="str">
        <f t="shared" si="173"/>
        <v/>
      </c>
      <c r="B2563" s="349"/>
      <c r="C2563" s="584"/>
      <c r="D2563" s="345"/>
      <c r="E2563" s="345"/>
      <c r="F2563" s="350"/>
      <c r="G2563" s="345"/>
      <c r="H2563" s="345"/>
      <c r="I2563" s="355"/>
      <c r="J2563" s="345"/>
      <c r="K2563" s="345"/>
      <c r="L2563" s="345"/>
      <c r="M2563" s="345"/>
      <c r="N2563" s="585"/>
      <c r="O2563" s="351"/>
      <c r="P2563" s="582">
        <f t="shared" si="174"/>
        <v>0</v>
      </c>
      <c r="Q2563" s="582">
        <f t="shared" si="175"/>
        <v>0</v>
      </c>
      <c r="R2563" s="583" t="str">
        <f t="shared" si="176"/>
        <v/>
      </c>
      <c r="S2563" s="496"/>
      <c r="T2563" s="496"/>
      <c r="U2563" s="496"/>
      <c r="V2563" s="496"/>
      <c r="W2563" s="496"/>
    </row>
    <row r="2564" spans="1:23" x14ac:dyDescent="0.2">
      <c r="A2564" s="348" t="str">
        <f t="shared" si="173"/>
        <v/>
      </c>
      <c r="B2564" s="349"/>
      <c r="C2564" s="584"/>
      <c r="D2564" s="345"/>
      <c r="E2564" s="345"/>
      <c r="F2564" s="350"/>
      <c r="G2564" s="345"/>
      <c r="H2564" s="345"/>
      <c r="I2564" s="355"/>
      <c r="J2564" s="345"/>
      <c r="K2564" s="345"/>
      <c r="L2564" s="345"/>
      <c r="M2564" s="345"/>
      <c r="N2564" s="585"/>
      <c r="O2564" s="351"/>
      <c r="P2564" s="582">
        <f t="shared" si="174"/>
        <v>0</v>
      </c>
      <c r="Q2564" s="582">
        <f t="shared" si="175"/>
        <v>0</v>
      </c>
      <c r="R2564" s="583" t="str">
        <f t="shared" si="176"/>
        <v/>
      </c>
      <c r="S2564" s="496"/>
      <c r="T2564" s="496"/>
      <c r="U2564" s="496"/>
      <c r="V2564" s="496"/>
      <c r="W2564" s="496"/>
    </row>
    <row r="2565" spans="1:23" x14ac:dyDescent="0.2">
      <c r="A2565" s="348" t="str">
        <f t="shared" si="173"/>
        <v/>
      </c>
      <c r="B2565" s="349"/>
      <c r="C2565" s="584"/>
      <c r="D2565" s="345"/>
      <c r="E2565" s="345"/>
      <c r="F2565" s="350"/>
      <c r="G2565" s="345"/>
      <c r="H2565" s="345"/>
      <c r="I2565" s="355"/>
      <c r="J2565" s="345"/>
      <c r="K2565" s="345"/>
      <c r="L2565" s="345"/>
      <c r="M2565" s="345"/>
      <c r="N2565" s="585"/>
      <c r="O2565" s="351"/>
      <c r="P2565" s="582">
        <f t="shared" si="174"/>
        <v>0</v>
      </c>
      <c r="Q2565" s="582">
        <f t="shared" si="175"/>
        <v>0</v>
      </c>
      <c r="R2565" s="583" t="str">
        <f t="shared" si="176"/>
        <v/>
      </c>
      <c r="S2565" s="496"/>
      <c r="T2565" s="496"/>
      <c r="U2565" s="496"/>
      <c r="V2565" s="496"/>
      <c r="W2565" s="496"/>
    </row>
    <row r="2566" spans="1:23" x14ac:dyDescent="0.2">
      <c r="A2566" s="348" t="str">
        <f t="shared" si="173"/>
        <v/>
      </c>
      <c r="B2566" s="349"/>
      <c r="C2566" s="584"/>
      <c r="D2566" s="345"/>
      <c r="E2566" s="345"/>
      <c r="F2566" s="350"/>
      <c r="G2566" s="345"/>
      <c r="H2566" s="345"/>
      <c r="I2566" s="355"/>
      <c r="J2566" s="345"/>
      <c r="K2566" s="345"/>
      <c r="L2566" s="345"/>
      <c r="M2566" s="345"/>
      <c r="N2566" s="585"/>
      <c r="O2566" s="351"/>
      <c r="P2566" s="582">
        <f t="shared" si="174"/>
        <v>0</v>
      </c>
      <c r="Q2566" s="582">
        <f t="shared" si="175"/>
        <v>0</v>
      </c>
      <c r="R2566" s="583" t="str">
        <f t="shared" si="176"/>
        <v/>
      </c>
      <c r="S2566" s="496"/>
      <c r="T2566" s="496"/>
      <c r="U2566" s="496"/>
      <c r="V2566" s="496"/>
      <c r="W2566" s="496"/>
    </row>
    <row r="2567" spans="1:23" x14ac:dyDescent="0.2">
      <c r="A2567" s="348" t="str">
        <f t="shared" si="173"/>
        <v/>
      </c>
      <c r="B2567" s="349"/>
      <c r="C2567" s="584"/>
      <c r="D2567" s="345"/>
      <c r="E2567" s="345"/>
      <c r="F2567" s="350"/>
      <c r="G2567" s="345"/>
      <c r="H2567" s="345"/>
      <c r="I2567" s="355"/>
      <c r="J2567" s="345"/>
      <c r="K2567" s="345"/>
      <c r="L2567" s="345"/>
      <c r="M2567" s="345"/>
      <c r="N2567" s="585"/>
      <c r="O2567" s="351"/>
      <c r="P2567" s="582">
        <f t="shared" si="174"/>
        <v>0</v>
      </c>
      <c r="Q2567" s="582">
        <f t="shared" si="175"/>
        <v>0</v>
      </c>
      <c r="R2567" s="583" t="str">
        <f t="shared" si="176"/>
        <v/>
      </c>
      <c r="S2567" s="496"/>
      <c r="T2567" s="496"/>
      <c r="U2567" s="496"/>
      <c r="V2567" s="496"/>
      <c r="W2567" s="496"/>
    </row>
    <row r="2568" spans="1:23" x14ac:dyDescent="0.2">
      <c r="A2568" s="348" t="str">
        <f t="shared" si="173"/>
        <v/>
      </c>
      <c r="B2568" s="349"/>
      <c r="C2568" s="584"/>
      <c r="D2568" s="345"/>
      <c r="E2568" s="345"/>
      <c r="F2568" s="350"/>
      <c r="G2568" s="345"/>
      <c r="H2568" s="345"/>
      <c r="I2568" s="355"/>
      <c r="J2568" s="345"/>
      <c r="K2568" s="345"/>
      <c r="L2568" s="345"/>
      <c r="M2568" s="345"/>
      <c r="N2568" s="585"/>
      <c r="O2568" s="351"/>
      <c r="P2568" s="582">
        <f t="shared" si="174"/>
        <v>0</v>
      </c>
      <c r="Q2568" s="582">
        <f t="shared" si="175"/>
        <v>0</v>
      </c>
      <c r="R2568" s="583" t="str">
        <f t="shared" si="176"/>
        <v/>
      </c>
      <c r="S2568" s="496"/>
      <c r="T2568" s="496"/>
      <c r="U2568" s="496"/>
      <c r="V2568" s="496"/>
      <c r="W2568" s="496"/>
    </row>
    <row r="2569" spans="1:23" x14ac:dyDescent="0.2">
      <c r="A2569" s="348" t="str">
        <f t="shared" si="173"/>
        <v/>
      </c>
      <c r="B2569" s="349"/>
      <c r="C2569" s="584"/>
      <c r="D2569" s="345"/>
      <c r="E2569" s="345"/>
      <c r="F2569" s="350"/>
      <c r="G2569" s="345"/>
      <c r="H2569" s="345"/>
      <c r="I2569" s="355"/>
      <c r="J2569" s="345"/>
      <c r="K2569" s="345"/>
      <c r="L2569" s="345"/>
      <c r="M2569" s="345"/>
      <c r="N2569" s="585"/>
      <c r="O2569" s="351"/>
      <c r="P2569" s="582">
        <f t="shared" si="174"/>
        <v>0</v>
      </c>
      <c r="Q2569" s="582">
        <f t="shared" si="175"/>
        <v>0</v>
      </c>
      <c r="R2569" s="583" t="str">
        <f t="shared" si="176"/>
        <v/>
      </c>
      <c r="S2569" s="496"/>
      <c r="T2569" s="496"/>
      <c r="U2569" s="496"/>
      <c r="V2569" s="496"/>
      <c r="W2569" s="496"/>
    </row>
    <row r="2570" spans="1:23" x14ac:dyDescent="0.2">
      <c r="A2570" s="348" t="str">
        <f t="shared" si="173"/>
        <v/>
      </c>
      <c r="B2570" s="349"/>
      <c r="C2570" s="584"/>
      <c r="D2570" s="345"/>
      <c r="E2570" s="345"/>
      <c r="F2570" s="350"/>
      <c r="G2570" s="345"/>
      <c r="H2570" s="345"/>
      <c r="I2570" s="355"/>
      <c r="J2570" s="345"/>
      <c r="K2570" s="345"/>
      <c r="L2570" s="345"/>
      <c r="M2570" s="345"/>
      <c r="N2570" s="585"/>
      <c r="O2570" s="351"/>
      <c r="P2570" s="582">
        <f t="shared" si="174"/>
        <v>0</v>
      </c>
      <c r="Q2570" s="582">
        <f t="shared" si="175"/>
        <v>0</v>
      </c>
      <c r="R2570" s="583" t="str">
        <f t="shared" si="176"/>
        <v/>
      </c>
      <c r="S2570" s="496"/>
      <c r="T2570" s="496"/>
      <c r="U2570" s="496"/>
      <c r="V2570" s="496"/>
      <c r="W2570" s="496"/>
    </row>
    <row r="2571" spans="1:23" x14ac:dyDescent="0.2">
      <c r="A2571" s="348" t="str">
        <f t="shared" si="173"/>
        <v/>
      </c>
      <c r="B2571" s="349"/>
      <c r="C2571" s="584"/>
      <c r="D2571" s="345"/>
      <c r="E2571" s="345"/>
      <c r="F2571" s="350"/>
      <c r="G2571" s="345"/>
      <c r="H2571" s="345"/>
      <c r="I2571" s="355"/>
      <c r="J2571" s="345"/>
      <c r="K2571" s="345"/>
      <c r="L2571" s="345"/>
      <c r="M2571" s="345"/>
      <c r="N2571" s="585"/>
      <c r="O2571" s="351"/>
      <c r="P2571" s="582">
        <f t="shared" si="174"/>
        <v>0</v>
      </c>
      <c r="Q2571" s="582">
        <f t="shared" si="175"/>
        <v>0</v>
      </c>
      <c r="R2571" s="583" t="str">
        <f t="shared" si="176"/>
        <v/>
      </c>
      <c r="S2571" s="496"/>
      <c r="T2571" s="496"/>
      <c r="U2571" s="496"/>
      <c r="V2571" s="496"/>
      <c r="W2571" s="496"/>
    </row>
    <row r="2572" spans="1:23" x14ac:dyDescent="0.2">
      <c r="A2572" s="348" t="str">
        <f t="shared" si="173"/>
        <v/>
      </c>
      <c r="B2572" s="349"/>
      <c r="C2572" s="584"/>
      <c r="D2572" s="345"/>
      <c r="E2572" s="345"/>
      <c r="F2572" s="350"/>
      <c r="G2572" s="345"/>
      <c r="H2572" s="345"/>
      <c r="I2572" s="355"/>
      <c r="J2572" s="345"/>
      <c r="K2572" s="345"/>
      <c r="L2572" s="345"/>
      <c r="M2572" s="345"/>
      <c r="N2572" s="585"/>
      <c r="O2572" s="351"/>
      <c r="P2572" s="582">
        <f t="shared" si="174"/>
        <v>0</v>
      </c>
      <c r="Q2572" s="582">
        <f t="shared" si="175"/>
        <v>0</v>
      </c>
      <c r="R2572" s="583" t="str">
        <f t="shared" si="176"/>
        <v/>
      </c>
      <c r="S2572" s="496"/>
      <c r="T2572" s="496"/>
      <c r="U2572" s="496"/>
      <c r="V2572" s="496"/>
      <c r="W2572" s="496"/>
    </row>
    <row r="2573" spans="1:23" x14ac:dyDescent="0.2">
      <c r="A2573" s="348" t="str">
        <f t="shared" si="173"/>
        <v/>
      </c>
      <c r="B2573" s="349"/>
      <c r="C2573" s="584"/>
      <c r="D2573" s="345"/>
      <c r="E2573" s="345"/>
      <c r="F2573" s="350"/>
      <c r="G2573" s="345"/>
      <c r="H2573" s="345"/>
      <c r="I2573" s="355"/>
      <c r="J2573" s="345"/>
      <c r="K2573" s="345"/>
      <c r="L2573" s="345"/>
      <c r="M2573" s="345"/>
      <c r="N2573" s="585"/>
      <c r="O2573" s="351"/>
      <c r="P2573" s="582">
        <f t="shared" si="174"/>
        <v>0</v>
      </c>
      <c r="Q2573" s="582">
        <f t="shared" si="175"/>
        <v>0</v>
      </c>
      <c r="R2573" s="583" t="str">
        <f t="shared" si="176"/>
        <v/>
      </c>
      <c r="S2573" s="496"/>
      <c r="T2573" s="496"/>
      <c r="U2573" s="496"/>
      <c r="V2573" s="496"/>
      <c r="W2573" s="496"/>
    </row>
    <row r="2574" spans="1:23" x14ac:dyDescent="0.2">
      <c r="A2574" s="348" t="str">
        <f t="shared" si="173"/>
        <v/>
      </c>
      <c r="B2574" s="349"/>
      <c r="C2574" s="584"/>
      <c r="D2574" s="345"/>
      <c r="E2574" s="345"/>
      <c r="F2574" s="350"/>
      <c r="G2574" s="345"/>
      <c r="H2574" s="345"/>
      <c r="I2574" s="355"/>
      <c r="J2574" s="345"/>
      <c r="K2574" s="345"/>
      <c r="L2574" s="345"/>
      <c r="M2574" s="345"/>
      <c r="N2574" s="585"/>
      <c r="O2574" s="351"/>
      <c r="P2574" s="582">
        <f t="shared" si="174"/>
        <v>0</v>
      </c>
      <c r="Q2574" s="582">
        <f t="shared" si="175"/>
        <v>0</v>
      </c>
      <c r="R2574" s="583" t="str">
        <f t="shared" si="176"/>
        <v/>
      </c>
      <c r="S2574" s="496"/>
      <c r="T2574" s="496"/>
      <c r="U2574" s="496"/>
      <c r="V2574" s="496"/>
      <c r="W2574" s="496"/>
    </row>
    <row r="2575" spans="1:23" x14ac:dyDescent="0.2">
      <c r="A2575" s="348" t="str">
        <f t="shared" si="173"/>
        <v/>
      </c>
      <c r="B2575" s="349"/>
      <c r="C2575" s="584"/>
      <c r="D2575" s="345"/>
      <c r="E2575" s="345"/>
      <c r="F2575" s="350"/>
      <c r="G2575" s="345"/>
      <c r="H2575" s="345"/>
      <c r="I2575" s="355"/>
      <c r="J2575" s="345"/>
      <c r="K2575" s="345"/>
      <c r="L2575" s="345"/>
      <c r="M2575" s="345"/>
      <c r="N2575" s="585"/>
      <c r="O2575" s="351"/>
      <c r="P2575" s="582">
        <f t="shared" si="174"/>
        <v>0</v>
      </c>
      <c r="Q2575" s="582">
        <f t="shared" si="175"/>
        <v>0</v>
      </c>
      <c r="R2575" s="583" t="str">
        <f t="shared" si="176"/>
        <v/>
      </c>
      <c r="S2575" s="496"/>
      <c r="T2575" s="496"/>
      <c r="U2575" s="496"/>
      <c r="V2575" s="496"/>
      <c r="W2575" s="496"/>
    </row>
    <row r="2576" spans="1:23" x14ac:dyDescent="0.2">
      <c r="A2576" s="348" t="str">
        <f t="shared" si="173"/>
        <v/>
      </c>
      <c r="B2576" s="349"/>
      <c r="C2576" s="584"/>
      <c r="D2576" s="345"/>
      <c r="E2576" s="345"/>
      <c r="F2576" s="350"/>
      <c r="G2576" s="345"/>
      <c r="H2576" s="345"/>
      <c r="I2576" s="355"/>
      <c r="J2576" s="345"/>
      <c r="K2576" s="345"/>
      <c r="L2576" s="345"/>
      <c r="M2576" s="345"/>
      <c r="N2576" s="585"/>
      <c r="O2576" s="351"/>
      <c r="P2576" s="582">
        <f t="shared" si="174"/>
        <v>0</v>
      </c>
      <c r="Q2576" s="582">
        <f t="shared" si="175"/>
        <v>0</v>
      </c>
      <c r="R2576" s="583" t="str">
        <f t="shared" si="176"/>
        <v/>
      </c>
      <c r="S2576" s="496"/>
      <c r="T2576" s="496"/>
      <c r="U2576" s="496"/>
      <c r="V2576" s="496"/>
      <c r="W2576" s="496"/>
    </row>
    <row r="2577" spans="1:23" x14ac:dyDescent="0.2">
      <c r="A2577" s="348" t="str">
        <f t="shared" si="173"/>
        <v/>
      </c>
      <c r="B2577" s="349"/>
      <c r="C2577" s="584"/>
      <c r="D2577" s="345"/>
      <c r="E2577" s="345"/>
      <c r="F2577" s="350"/>
      <c r="G2577" s="345"/>
      <c r="H2577" s="345"/>
      <c r="I2577" s="355"/>
      <c r="J2577" s="345"/>
      <c r="K2577" s="345"/>
      <c r="L2577" s="345"/>
      <c r="M2577" s="345"/>
      <c r="N2577" s="585"/>
      <c r="O2577" s="351"/>
      <c r="P2577" s="582">
        <f t="shared" si="174"/>
        <v>0</v>
      </c>
      <c r="Q2577" s="582">
        <f t="shared" si="175"/>
        <v>0</v>
      </c>
      <c r="R2577" s="583" t="str">
        <f t="shared" si="176"/>
        <v/>
      </c>
      <c r="S2577" s="496"/>
      <c r="T2577" s="496"/>
      <c r="U2577" s="496"/>
      <c r="V2577" s="496"/>
      <c r="W2577" s="496"/>
    </row>
    <row r="2578" spans="1:23" x14ac:dyDescent="0.2">
      <c r="A2578" s="348" t="str">
        <f t="shared" si="173"/>
        <v/>
      </c>
      <c r="B2578" s="349"/>
      <c r="C2578" s="584"/>
      <c r="D2578" s="345"/>
      <c r="E2578" s="345"/>
      <c r="F2578" s="350"/>
      <c r="G2578" s="345"/>
      <c r="H2578" s="345"/>
      <c r="I2578" s="355"/>
      <c r="J2578" s="345"/>
      <c r="K2578" s="345"/>
      <c r="L2578" s="345"/>
      <c r="M2578" s="345"/>
      <c r="N2578" s="585"/>
      <c r="O2578" s="351"/>
      <c r="P2578" s="582">
        <f t="shared" si="174"/>
        <v>0</v>
      </c>
      <c r="Q2578" s="582">
        <f t="shared" si="175"/>
        <v>0</v>
      </c>
      <c r="R2578" s="583" t="str">
        <f t="shared" si="176"/>
        <v/>
      </c>
      <c r="S2578" s="496"/>
      <c r="T2578" s="496"/>
      <c r="U2578" s="496"/>
      <c r="V2578" s="496"/>
      <c r="W2578" s="496"/>
    </row>
    <row r="2579" spans="1:23" x14ac:dyDescent="0.2">
      <c r="A2579" s="348" t="str">
        <f t="shared" si="173"/>
        <v/>
      </c>
      <c r="B2579" s="349"/>
      <c r="C2579" s="584"/>
      <c r="D2579" s="345"/>
      <c r="E2579" s="345"/>
      <c r="F2579" s="350"/>
      <c r="G2579" s="345"/>
      <c r="H2579" s="345"/>
      <c r="I2579" s="355"/>
      <c r="J2579" s="345"/>
      <c r="K2579" s="345"/>
      <c r="L2579" s="345"/>
      <c r="M2579" s="345"/>
      <c r="N2579" s="585"/>
      <c r="O2579" s="351"/>
      <c r="P2579" s="582">
        <f t="shared" si="174"/>
        <v>0</v>
      </c>
      <c r="Q2579" s="582">
        <f t="shared" si="175"/>
        <v>0</v>
      </c>
      <c r="R2579" s="583" t="str">
        <f t="shared" si="176"/>
        <v/>
      </c>
      <c r="S2579" s="496"/>
      <c r="T2579" s="496"/>
      <c r="U2579" s="496"/>
      <c r="V2579" s="496"/>
      <c r="W2579" s="496"/>
    </row>
    <row r="2580" spans="1:23" x14ac:dyDescent="0.2">
      <c r="A2580" s="348" t="str">
        <f t="shared" si="173"/>
        <v/>
      </c>
      <c r="B2580" s="349"/>
      <c r="C2580" s="584"/>
      <c r="D2580" s="345"/>
      <c r="E2580" s="345"/>
      <c r="F2580" s="350"/>
      <c r="G2580" s="345"/>
      <c r="H2580" s="345"/>
      <c r="I2580" s="355"/>
      <c r="J2580" s="345"/>
      <c r="K2580" s="345"/>
      <c r="L2580" s="345"/>
      <c r="M2580" s="345"/>
      <c r="N2580" s="585"/>
      <c r="O2580" s="351"/>
      <c r="P2580" s="582">
        <f t="shared" si="174"/>
        <v>0</v>
      </c>
      <c r="Q2580" s="582">
        <f t="shared" si="175"/>
        <v>0</v>
      </c>
      <c r="R2580" s="583" t="str">
        <f t="shared" si="176"/>
        <v/>
      </c>
      <c r="S2580" s="496"/>
      <c r="T2580" s="496"/>
      <c r="U2580" s="496"/>
      <c r="V2580" s="496"/>
      <c r="W2580" s="496"/>
    </row>
    <row r="2581" spans="1:23" x14ac:dyDescent="0.2">
      <c r="A2581" s="348" t="str">
        <f t="shared" si="173"/>
        <v/>
      </c>
      <c r="B2581" s="349"/>
      <c r="C2581" s="584"/>
      <c r="D2581" s="345"/>
      <c r="E2581" s="345"/>
      <c r="F2581" s="350"/>
      <c r="G2581" s="345"/>
      <c r="H2581" s="345"/>
      <c r="I2581" s="355"/>
      <c r="J2581" s="345"/>
      <c r="K2581" s="345"/>
      <c r="L2581" s="345"/>
      <c r="M2581" s="345"/>
      <c r="N2581" s="585"/>
      <c r="O2581" s="351"/>
      <c r="P2581" s="582">
        <f t="shared" si="174"/>
        <v>0</v>
      </c>
      <c r="Q2581" s="582">
        <f t="shared" si="175"/>
        <v>0</v>
      </c>
      <c r="R2581" s="583" t="str">
        <f t="shared" si="176"/>
        <v/>
      </c>
      <c r="S2581" s="496"/>
      <c r="T2581" s="496"/>
      <c r="U2581" s="496"/>
      <c r="V2581" s="496"/>
      <c r="W2581" s="496"/>
    </row>
    <row r="2582" spans="1:23" x14ac:dyDescent="0.2">
      <c r="A2582" s="348" t="str">
        <f t="shared" si="173"/>
        <v/>
      </c>
      <c r="B2582" s="349"/>
      <c r="C2582" s="584"/>
      <c r="D2582" s="345"/>
      <c r="E2582" s="345"/>
      <c r="F2582" s="350"/>
      <c r="G2582" s="345"/>
      <c r="H2582" s="345"/>
      <c r="I2582" s="355"/>
      <c r="J2582" s="345"/>
      <c r="K2582" s="345"/>
      <c r="L2582" s="345"/>
      <c r="M2582" s="345"/>
      <c r="N2582" s="585"/>
      <c r="O2582" s="351"/>
      <c r="P2582" s="582">
        <f t="shared" si="174"/>
        <v>0</v>
      </c>
      <c r="Q2582" s="582">
        <f t="shared" si="175"/>
        <v>0</v>
      </c>
      <c r="R2582" s="583" t="str">
        <f t="shared" si="176"/>
        <v/>
      </c>
      <c r="S2582" s="496"/>
      <c r="T2582" s="496"/>
      <c r="U2582" s="496"/>
      <c r="V2582" s="496"/>
      <c r="W2582" s="496"/>
    </row>
    <row r="2583" spans="1:23" x14ac:dyDescent="0.2">
      <c r="A2583" s="348" t="str">
        <f t="shared" si="173"/>
        <v/>
      </c>
      <c r="B2583" s="349"/>
      <c r="C2583" s="584"/>
      <c r="D2583" s="345"/>
      <c r="E2583" s="345"/>
      <c r="F2583" s="350"/>
      <c r="G2583" s="345"/>
      <c r="H2583" s="345"/>
      <c r="I2583" s="355"/>
      <c r="J2583" s="345"/>
      <c r="K2583" s="345"/>
      <c r="L2583" s="345"/>
      <c r="M2583" s="345"/>
      <c r="N2583" s="585"/>
      <c r="O2583" s="351"/>
      <c r="P2583" s="582">
        <f t="shared" si="174"/>
        <v>0</v>
      </c>
      <c r="Q2583" s="582">
        <f t="shared" si="175"/>
        <v>0</v>
      </c>
      <c r="R2583" s="583" t="str">
        <f t="shared" si="176"/>
        <v/>
      </c>
      <c r="S2583" s="496"/>
      <c r="T2583" s="496"/>
      <c r="U2583" s="496"/>
      <c r="V2583" s="496"/>
      <c r="W2583" s="496"/>
    </row>
    <row r="2584" spans="1:23" x14ac:dyDescent="0.2">
      <c r="A2584" s="348" t="str">
        <f t="shared" si="173"/>
        <v/>
      </c>
      <c r="B2584" s="349"/>
      <c r="C2584" s="584"/>
      <c r="D2584" s="345"/>
      <c r="E2584" s="345"/>
      <c r="F2584" s="350"/>
      <c r="G2584" s="345"/>
      <c r="H2584" s="345"/>
      <c r="I2584" s="355"/>
      <c r="J2584" s="345"/>
      <c r="K2584" s="345"/>
      <c r="L2584" s="345"/>
      <c r="M2584" s="345"/>
      <c r="N2584" s="585"/>
      <c r="O2584" s="351"/>
      <c r="P2584" s="582">
        <f t="shared" si="174"/>
        <v>0</v>
      </c>
      <c r="Q2584" s="582">
        <f t="shared" si="175"/>
        <v>0</v>
      </c>
      <c r="R2584" s="583" t="str">
        <f t="shared" si="176"/>
        <v/>
      </c>
      <c r="S2584" s="496"/>
      <c r="T2584" s="496"/>
      <c r="U2584" s="496"/>
      <c r="V2584" s="496"/>
      <c r="W2584" s="496"/>
    </row>
    <row r="2585" spans="1:23" x14ac:dyDescent="0.2">
      <c r="A2585" s="348" t="str">
        <f t="shared" ref="A2585:A2635" si="177">IF(B2585="","",ROW()-ROW($A$3))</f>
        <v/>
      </c>
      <c r="B2585" s="349"/>
      <c r="C2585" s="584"/>
      <c r="D2585" s="345"/>
      <c r="E2585" s="345"/>
      <c r="F2585" s="350"/>
      <c r="G2585" s="345"/>
      <c r="H2585" s="345"/>
      <c r="I2585" s="355"/>
      <c r="J2585" s="345"/>
      <c r="K2585" s="345"/>
      <c r="L2585" s="345"/>
      <c r="M2585" s="345"/>
      <c r="N2585" s="585"/>
      <c r="O2585" s="351"/>
      <c r="P2585" s="582">
        <f t="shared" ref="P2585:P2635" si="178">IF(B2585=0,0,IF(YEAR(B2585)=$Q$1,MONTH(B2585)-$P$1+1,(YEAR(B2585)-$Q$1)*12-$P$1+1+MONTH(B2585)))</f>
        <v>0</v>
      </c>
      <c r="Q2585" s="582">
        <f t="shared" ref="Q2585:Q2635" si="179">IF(C2585=0,0,IF(YEAR(C2585)=$Q$1,MONTH(C2585)-$P$1+1,(YEAR(C2585)-$Q$1)*12-$P$1+1+MONTH(C2585)))</f>
        <v>0</v>
      </c>
      <c r="R2585" s="583" t="str">
        <f t="shared" ref="R2585:R2635" si="180">SUBSTITUTE(D2585," ","_")</f>
        <v/>
      </c>
      <c r="S2585" s="496"/>
      <c r="T2585" s="496"/>
      <c r="U2585" s="496"/>
      <c r="V2585" s="496"/>
      <c r="W2585" s="496"/>
    </row>
    <row r="2586" spans="1:23" x14ac:dyDescent="0.2">
      <c r="A2586" s="348" t="str">
        <f t="shared" si="177"/>
        <v/>
      </c>
      <c r="B2586" s="349"/>
      <c r="C2586" s="584"/>
      <c r="D2586" s="345"/>
      <c r="E2586" s="345"/>
      <c r="F2586" s="350"/>
      <c r="G2586" s="345"/>
      <c r="H2586" s="345"/>
      <c r="I2586" s="355"/>
      <c r="J2586" s="345"/>
      <c r="K2586" s="345"/>
      <c r="L2586" s="345"/>
      <c r="M2586" s="345"/>
      <c r="N2586" s="585"/>
      <c r="O2586" s="351"/>
      <c r="P2586" s="582">
        <f t="shared" si="178"/>
        <v>0</v>
      </c>
      <c r="Q2586" s="582">
        <f t="shared" si="179"/>
        <v>0</v>
      </c>
      <c r="R2586" s="583" t="str">
        <f t="shared" si="180"/>
        <v/>
      </c>
      <c r="S2586" s="496"/>
      <c r="T2586" s="496"/>
      <c r="U2586" s="496"/>
      <c r="V2586" s="496"/>
      <c r="W2586" s="496"/>
    </row>
    <row r="2587" spans="1:23" x14ac:dyDescent="0.2">
      <c r="A2587" s="348" t="str">
        <f t="shared" si="177"/>
        <v/>
      </c>
      <c r="B2587" s="349"/>
      <c r="C2587" s="584"/>
      <c r="D2587" s="345"/>
      <c r="E2587" s="345"/>
      <c r="F2587" s="350"/>
      <c r="G2587" s="345"/>
      <c r="H2587" s="345"/>
      <c r="I2587" s="355"/>
      <c r="J2587" s="345"/>
      <c r="K2587" s="345"/>
      <c r="L2587" s="345"/>
      <c r="M2587" s="345"/>
      <c r="N2587" s="585"/>
      <c r="O2587" s="351"/>
      <c r="P2587" s="582">
        <f t="shared" si="178"/>
        <v>0</v>
      </c>
      <c r="Q2587" s="582">
        <f t="shared" si="179"/>
        <v>0</v>
      </c>
      <c r="R2587" s="583" t="str">
        <f t="shared" si="180"/>
        <v/>
      </c>
      <c r="S2587" s="496"/>
      <c r="T2587" s="496"/>
      <c r="U2587" s="496"/>
      <c r="V2587" s="496"/>
      <c r="W2587" s="496"/>
    </row>
    <row r="2588" spans="1:23" x14ac:dyDescent="0.2">
      <c r="A2588" s="348" t="str">
        <f t="shared" si="177"/>
        <v/>
      </c>
      <c r="B2588" s="349"/>
      <c r="C2588" s="584"/>
      <c r="D2588" s="345"/>
      <c r="E2588" s="345"/>
      <c r="F2588" s="350"/>
      <c r="G2588" s="345"/>
      <c r="H2588" s="345"/>
      <c r="I2588" s="355"/>
      <c r="J2588" s="345"/>
      <c r="K2588" s="345"/>
      <c r="L2588" s="345"/>
      <c r="M2588" s="345"/>
      <c r="N2588" s="585"/>
      <c r="O2588" s="351"/>
      <c r="P2588" s="582">
        <f t="shared" si="178"/>
        <v>0</v>
      </c>
      <c r="Q2588" s="582">
        <f t="shared" si="179"/>
        <v>0</v>
      </c>
      <c r="R2588" s="583" t="str">
        <f t="shared" si="180"/>
        <v/>
      </c>
      <c r="S2588" s="496"/>
      <c r="T2588" s="496"/>
      <c r="U2588" s="496"/>
      <c r="V2588" s="496"/>
      <c r="W2588" s="496"/>
    </row>
    <row r="2589" spans="1:23" x14ac:dyDescent="0.2">
      <c r="A2589" s="348" t="str">
        <f t="shared" si="177"/>
        <v/>
      </c>
      <c r="B2589" s="349"/>
      <c r="C2589" s="584"/>
      <c r="D2589" s="345"/>
      <c r="E2589" s="345"/>
      <c r="F2589" s="350"/>
      <c r="G2589" s="345"/>
      <c r="H2589" s="345"/>
      <c r="I2589" s="355"/>
      <c r="J2589" s="345"/>
      <c r="K2589" s="345"/>
      <c r="L2589" s="345"/>
      <c r="M2589" s="345"/>
      <c r="N2589" s="585"/>
      <c r="O2589" s="351"/>
      <c r="P2589" s="582">
        <f t="shared" si="178"/>
        <v>0</v>
      </c>
      <c r="Q2589" s="582">
        <f t="shared" si="179"/>
        <v>0</v>
      </c>
      <c r="R2589" s="583" t="str">
        <f t="shared" si="180"/>
        <v/>
      </c>
      <c r="S2589" s="496"/>
      <c r="T2589" s="496"/>
      <c r="U2589" s="496"/>
      <c r="V2589" s="496"/>
      <c r="W2589" s="496"/>
    </row>
    <row r="2590" spans="1:23" x14ac:dyDescent="0.2">
      <c r="A2590" s="348" t="str">
        <f t="shared" si="177"/>
        <v/>
      </c>
      <c r="B2590" s="349"/>
      <c r="C2590" s="584"/>
      <c r="D2590" s="345"/>
      <c r="E2590" s="345"/>
      <c r="F2590" s="350"/>
      <c r="G2590" s="345"/>
      <c r="H2590" s="345"/>
      <c r="I2590" s="355"/>
      <c r="J2590" s="345"/>
      <c r="K2590" s="345"/>
      <c r="L2590" s="345"/>
      <c r="M2590" s="345"/>
      <c r="N2590" s="585"/>
      <c r="O2590" s="351"/>
      <c r="P2590" s="582">
        <f t="shared" si="178"/>
        <v>0</v>
      </c>
      <c r="Q2590" s="582">
        <f t="shared" si="179"/>
        <v>0</v>
      </c>
      <c r="R2590" s="583" t="str">
        <f t="shared" si="180"/>
        <v/>
      </c>
      <c r="S2590" s="496"/>
      <c r="T2590" s="496"/>
      <c r="U2590" s="496"/>
      <c r="V2590" s="496"/>
      <c r="W2590" s="496"/>
    </row>
    <row r="2591" spans="1:23" x14ac:dyDescent="0.2">
      <c r="A2591" s="348" t="str">
        <f t="shared" si="177"/>
        <v/>
      </c>
      <c r="B2591" s="349"/>
      <c r="C2591" s="584"/>
      <c r="D2591" s="345"/>
      <c r="E2591" s="345"/>
      <c r="F2591" s="350"/>
      <c r="G2591" s="345"/>
      <c r="H2591" s="345"/>
      <c r="I2591" s="355"/>
      <c r="J2591" s="345"/>
      <c r="K2591" s="345"/>
      <c r="L2591" s="345"/>
      <c r="M2591" s="345"/>
      <c r="N2591" s="585"/>
      <c r="O2591" s="351"/>
      <c r="P2591" s="582">
        <f t="shared" si="178"/>
        <v>0</v>
      </c>
      <c r="Q2591" s="582">
        <f t="shared" si="179"/>
        <v>0</v>
      </c>
      <c r="R2591" s="583" t="str">
        <f t="shared" si="180"/>
        <v/>
      </c>
      <c r="S2591" s="496"/>
      <c r="T2591" s="496"/>
      <c r="U2591" s="496"/>
      <c r="V2591" s="496"/>
      <c r="W2591" s="496"/>
    </row>
    <row r="2592" spans="1:23" x14ac:dyDescent="0.2">
      <c r="A2592" s="348" t="str">
        <f t="shared" si="177"/>
        <v/>
      </c>
      <c r="B2592" s="349"/>
      <c r="C2592" s="584"/>
      <c r="D2592" s="345"/>
      <c r="E2592" s="345"/>
      <c r="F2592" s="350"/>
      <c r="G2592" s="345"/>
      <c r="H2592" s="345"/>
      <c r="I2592" s="355"/>
      <c r="J2592" s="345"/>
      <c r="K2592" s="345"/>
      <c r="L2592" s="345"/>
      <c r="M2592" s="345"/>
      <c r="N2592" s="585"/>
      <c r="O2592" s="351"/>
      <c r="P2592" s="582">
        <f t="shared" si="178"/>
        <v>0</v>
      </c>
      <c r="Q2592" s="582">
        <f t="shared" si="179"/>
        <v>0</v>
      </c>
      <c r="R2592" s="583" t="str">
        <f t="shared" si="180"/>
        <v/>
      </c>
      <c r="S2592" s="496"/>
      <c r="T2592" s="496"/>
      <c r="U2592" s="496"/>
      <c r="V2592" s="496"/>
      <c r="W2592" s="496"/>
    </row>
    <row r="2593" spans="1:23" x14ac:dyDescent="0.2">
      <c r="A2593" s="348" t="str">
        <f t="shared" si="177"/>
        <v/>
      </c>
      <c r="B2593" s="349"/>
      <c r="C2593" s="584"/>
      <c r="D2593" s="345"/>
      <c r="E2593" s="345"/>
      <c r="F2593" s="350"/>
      <c r="G2593" s="345"/>
      <c r="H2593" s="345"/>
      <c r="I2593" s="355"/>
      <c r="J2593" s="345"/>
      <c r="K2593" s="345"/>
      <c r="L2593" s="345"/>
      <c r="M2593" s="345"/>
      <c r="N2593" s="585"/>
      <c r="O2593" s="351"/>
      <c r="P2593" s="582">
        <f t="shared" si="178"/>
        <v>0</v>
      </c>
      <c r="Q2593" s="582">
        <f t="shared" si="179"/>
        <v>0</v>
      </c>
      <c r="R2593" s="583" t="str">
        <f t="shared" si="180"/>
        <v/>
      </c>
      <c r="S2593" s="496"/>
      <c r="T2593" s="496"/>
      <c r="U2593" s="496"/>
      <c r="V2593" s="496"/>
      <c r="W2593" s="496"/>
    </row>
    <row r="2594" spans="1:23" x14ac:dyDescent="0.2">
      <c r="A2594" s="348" t="str">
        <f t="shared" si="177"/>
        <v/>
      </c>
      <c r="B2594" s="349"/>
      <c r="C2594" s="584"/>
      <c r="D2594" s="345"/>
      <c r="E2594" s="345"/>
      <c r="F2594" s="350"/>
      <c r="G2594" s="345"/>
      <c r="H2594" s="345"/>
      <c r="I2594" s="355"/>
      <c r="J2594" s="345"/>
      <c r="K2594" s="345"/>
      <c r="L2594" s="345"/>
      <c r="M2594" s="345"/>
      <c r="N2594" s="585"/>
      <c r="O2594" s="351"/>
      <c r="P2594" s="582">
        <f t="shared" si="178"/>
        <v>0</v>
      </c>
      <c r="Q2594" s="582">
        <f t="shared" si="179"/>
        <v>0</v>
      </c>
      <c r="R2594" s="583" t="str">
        <f t="shared" si="180"/>
        <v/>
      </c>
      <c r="S2594" s="496"/>
      <c r="T2594" s="496"/>
      <c r="U2594" s="496"/>
      <c r="V2594" s="496"/>
      <c r="W2594" s="496"/>
    </row>
    <row r="2595" spans="1:23" x14ac:dyDescent="0.2">
      <c r="A2595" s="348" t="str">
        <f t="shared" si="177"/>
        <v/>
      </c>
      <c r="B2595" s="349"/>
      <c r="C2595" s="584"/>
      <c r="D2595" s="345"/>
      <c r="E2595" s="345"/>
      <c r="F2595" s="350"/>
      <c r="G2595" s="345"/>
      <c r="H2595" s="345"/>
      <c r="I2595" s="355"/>
      <c r="J2595" s="345"/>
      <c r="K2595" s="345"/>
      <c r="L2595" s="345"/>
      <c r="M2595" s="345"/>
      <c r="N2595" s="585"/>
      <c r="O2595" s="351"/>
      <c r="P2595" s="582">
        <f t="shared" si="178"/>
        <v>0</v>
      </c>
      <c r="Q2595" s="582">
        <f t="shared" si="179"/>
        <v>0</v>
      </c>
      <c r="R2595" s="583" t="str">
        <f t="shared" si="180"/>
        <v/>
      </c>
      <c r="S2595" s="496"/>
      <c r="T2595" s="496"/>
      <c r="U2595" s="496"/>
      <c r="V2595" s="496"/>
      <c r="W2595" s="496"/>
    </row>
    <row r="2596" spans="1:23" x14ac:dyDescent="0.2">
      <c r="A2596" s="348" t="str">
        <f t="shared" si="177"/>
        <v/>
      </c>
      <c r="B2596" s="349"/>
      <c r="C2596" s="584"/>
      <c r="D2596" s="345"/>
      <c r="E2596" s="345"/>
      <c r="F2596" s="350"/>
      <c r="G2596" s="345"/>
      <c r="H2596" s="345"/>
      <c r="I2596" s="355"/>
      <c r="J2596" s="345"/>
      <c r="K2596" s="345"/>
      <c r="L2596" s="345"/>
      <c r="M2596" s="345"/>
      <c r="N2596" s="585"/>
      <c r="O2596" s="351"/>
      <c r="P2596" s="582">
        <f t="shared" si="178"/>
        <v>0</v>
      </c>
      <c r="Q2596" s="582">
        <f t="shared" si="179"/>
        <v>0</v>
      </c>
      <c r="R2596" s="583" t="str">
        <f t="shared" si="180"/>
        <v/>
      </c>
      <c r="S2596" s="496"/>
      <c r="T2596" s="496"/>
      <c r="U2596" s="496"/>
      <c r="V2596" s="496"/>
      <c r="W2596" s="496"/>
    </row>
    <row r="2597" spans="1:23" x14ac:dyDescent="0.2">
      <c r="A2597" s="348" t="str">
        <f t="shared" si="177"/>
        <v/>
      </c>
      <c r="B2597" s="349"/>
      <c r="C2597" s="584"/>
      <c r="D2597" s="345"/>
      <c r="E2597" s="345"/>
      <c r="F2597" s="350"/>
      <c r="G2597" s="345"/>
      <c r="H2597" s="345"/>
      <c r="I2597" s="355"/>
      <c r="J2597" s="345"/>
      <c r="K2597" s="345"/>
      <c r="L2597" s="345"/>
      <c r="M2597" s="345"/>
      <c r="N2597" s="585"/>
      <c r="O2597" s="351"/>
      <c r="P2597" s="582">
        <f t="shared" si="178"/>
        <v>0</v>
      </c>
      <c r="Q2597" s="582">
        <f t="shared" si="179"/>
        <v>0</v>
      </c>
      <c r="R2597" s="583" t="str">
        <f t="shared" si="180"/>
        <v/>
      </c>
      <c r="S2597" s="496"/>
      <c r="T2597" s="496"/>
      <c r="U2597" s="496"/>
      <c r="V2597" s="496"/>
      <c r="W2597" s="496"/>
    </row>
    <row r="2598" spans="1:23" x14ac:dyDescent="0.2">
      <c r="A2598" s="348" t="str">
        <f t="shared" si="177"/>
        <v/>
      </c>
      <c r="B2598" s="349"/>
      <c r="C2598" s="584"/>
      <c r="D2598" s="345"/>
      <c r="E2598" s="345"/>
      <c r="F2598" s="350"/>
      <c r="G2598" s="345"/>
      <c r="H2598" s="345"/>
      <c r="I2598" s="355"/>
      <c r="J2598" s="345"/>
      <c r="K2598" s="345"/>
      <c r="L2598" s="345"/>
      <c r="M2598" s="345"/>
      <c r="N2598" s="585"/>
      <c r="O2598" s="351"/>
      <c r="P2598" s="582">
        <f t="shared" si="178"/>
        <v>0</v>
      </c>
      <c r="Q2598" s="582">
        <f t="shared" si="179"/>
        <v>0</v>
      </c>
      <c r="R2598" s="583" t="str">
        <f t="shared" si="180"/>
        <v/>
      </c>
      <c r="S2598" s="496"/>
      <c r="T2598" s="496"/>
      <c r="U2598" s="496"/>
      <c r="V2598" s="496"/>
      <c r="W2598" s="496"/>
    </row>
    <row r="2599" spans="1:23" x14ac:dyDescent="0.2">
      <c r="A2599" s="348" t="str">
        <f t="shared" si="177"/>
        <v/>
      </c>
      <c r="B2599" s="349"/>
      <c r="C2599" s="584"/>
      <c r="D2599" s="345"/>
      <c r="E2599" s="345"/>
      <c r="F2599" s="350"/>
      <c r="G2599" s="345"/>
      <c r="H2599" s="345"/>
      <c r="I2599" s="355"/>
      <c r="J2599" s="345"/>
      <c r="K2599" s="345"/>
      <c r="L2599" s="345"/>
      <c r="M2599" s="345"/>
      <c r="N2599" s="585"/>
      <c r="O2599" s="351"/>
      <c r="P2599" s="582">
        <f t="shared" si="178"/>
        <v>0</v>
      </c>
      <c r="Q2599" s="582">
        <f t="shared" si="179"/>
        <v>0</v>
      </c>
      <c r="R2599" s="583" t="str">
        <f t="shared" si="180"/>
        <v/>
      </c>
      <c r="S2599" s="496"/>
      <c r="T2599" s="496"/>
      <c r="U2599" s="496"/>
      <c r="V2599" s="496"/>
      <c r="W2599" s="496"/>
    </row>
    <row r="2600" spans="1:23" x14ac:dyDescent="0.2">
      <c r="A2600" s="348" t="str">
        <f t="shared" si="177"/>
        <v/>
      </c>
      <c r="B2600" s="349"/>
      <c r="C2600" s="584"/>
      <c r="D2600" s="345"/>
      <c r="E2600" s="345"/>
      <c r="F2600" s="350"/>
      <c r="G2600" s="345"/>
      <c r="H2600" s="345"/>
      <c r="I2600" s="355"/>
      <c r="J2600" s="345"/>
      <c r="K2600" s="345"/>
      <c r="L2600" s="345"/>
      <c r="M2600" s="345"/>
      <c r="N2600" s="585"/>
      <c r="O2600" s="351"/>
      <c r="P2600" s="582">
        <f t="shared" si="178"/>
        <v>0</v>
      </c>
      <c r="Q2600" s="582">
        <f t="shared" si="179"/>
        <v>0</v>
      </c>
      <c r="R2600" s="583" t="str">
        <f t="shared" si="180"/>
        <v/>
      </c>
      <c r="S2600" s="496"/>
      <c r="T2600" s="496"/>
      <c r="U2600" s="496"/>
      <c r="V2600" s="496"/>
      <c r="W2600" s="496"/>
    </row>
    <row r="2601" spans="1:23" x14ac:dyDescent="0.2">
      <c r="A2601" s="348" t="str">
        <f t="shared" si="177"/>
        <v/>
      </c>
      <c r="B2601" s="349"/>
      <c r="C2601" s="584"/>
      <c r="D2601" s="345"/>
      <c r="E2601" s="345"/>
      <c r="F2601" s="350"/>
      <c r="G2601" s="345"/>
      <c r="H2601" s="345"/>
      <c r="I2601" s="355"/>
      <c r="J2601" s="345"/>
      <c r="K2601" s="345"/>
      <c r="L2601" s="345"/>
      <c r="M2601" s="345"/>
      <c r="N2601" s="585"/>
      <c r="O2601" s="351"/>
      <c r="P2601" s="582">
        <f t="shared" si="178"/>
        <v>0</v>
      </c>
      <c r="Q2601" s="582">
        <f t="shared" si="179"/>
        <v>0</v>
      </c>
      <c r="R2601" s="583" t="str">
        <f t="shared" si="180"/>
        <v/>
      </c>
      <c r="S2601" s="496"/>
      <c r="T2601" s="496"/>
      <c r="U2601" s="496"/>
      <c r="V2601" s="496"/>
      <c r="W2601" s="496"/>
    </row>
    <row r="2602" spans="1:23" x14ac:dyDescent="0.2">
      <c r="A2602" s="348" t="str">
        <f t="shared" si="177"/>
        <v/>
      </c>
      <c r="B2602" s="349"/>
      <c r="C2602" s="584"/>
      <c r="D2602" s="345"/>
      <c r="E2602" s="345"/>
      <c r="F2602" s="350"/>
      <c r="G2602" s="345"/>
      <c r="H2602" s="345"/>
      <c r="I2602" s="355"/>
      <c r="J2602" s="345"/>
      <c r="K2602" s="345"/>
      <c r="L2602" s="345"/>
      <c r="M2602" s="345"/>
      <c r="N2602" s="585"/>
      <c r="O2602" s="351"/>
      <c r="P2602" s="582">
        <f t="shared" si="178"/>
        <v>0</v>
      </c>
      <c r="Q2602" s="582">
        <f t="shared" si="179"/>
        <v>0</v>
      </c>
      <c r="R2602" s="583" t="str">
        <f t="shared" si="180"/>
        <v/>
      </c>
      <c r="S2602" s="496"/>
      <c r="T2602" s="496"/>
      <c r="U2602" s="496"/>
      <c r="V2602" s="496"/>
      <c r="W2602" s="496"/>
    </row>
    <row r="2603" spans="1:23" x14ac:dyDescent="0.2">
      <c r="A2603" s="348" t="str">
        <f t="shared" si="177"/>
        <v/>
      </c>
      <c r="B2603" s="349"/>
      <c r="C2603" s="584"/>
      <c r="D2603" s="345"/>
      <c r="E2603" s="345"/>
      <c r="F2603" s="350"/>
      <c r="G2603" s="345"/>
      <c r="H2603" s="345"/>
      <c r="I2603" s="355"/>
      <c r="J2603" s="345"/>
      <c r="K2603" s="345"/>
      <c r="L2603" s="345"/>
      <c r="M2603" s="345"/>
      <c r="N2603" s="585"/>
      <c r="O2603" s="351"/>
      <c r="P2603" s="582">
        <f t="shared" si="178"/>
        <v>0</v>
      </c>
      <c r="Q2603" s="582">
        <f t="shared" si="179"/>
        <v>0</v>
      </c>
      <c r="R2603" s="583" t="str">
        <f t="shared" si="180"/>
        <v/>
      </c>
      <c r="S2603" s="496"/>
      <c r="T2603" s="496"/>
      <c r="U2603" s="496"/>
      <c r="V2603" s="496"/>
      <c r="W2603" s="496"/>
    </row>
    <row r="2604" spans="1:23" x14ac:dyDescent="0.2">
      <c r="A2604" s="348" t="str">
        <f t="shared" si="177"/>
        <v/>
      </c>
      <c r="B2604" s="349"/>
      <c r="C2604" s="584"/>
      <c r="D2604" s="345"/>
      <c r="E2604" s="345"/>
      <c r="F2604" s="350"/>
      <c r="G2604" s="345"/>
      <c r="H2604" s="345"/>
      <c r="I2604" s="355"/>
      <c r="J2604" s="345"/>
      <c r="K2604" s="345"/>
      <c r="L2604" s="345"/>
      <c r="M2604" s="345"/>
      <c r="N2604" s="585"/>
      <c r="O2604" s="351"/>
      <c r="P2604" s="582">
        <f t="shared" si="178"/>
        <v>0</v>
      </c>
      <c r="Q2604" s="582">
        <f t="shared" si="179"/>
        <v>0</v>
      </c>
      <c r="R2604" s="583" t="str">
        <f t="shared" si="180"/>
        <v/>
      </c>
      <c r="S2604" s="496"/>
      <c r="T2604" s="496"/>
      <c r="U2604" s="496"/>
      <c r="V2604" s="496"/>
      <c r="W2604" s="496"/>
    </row>
    <row r="2605" spans="1:23" x14ac:dyDescent="0.2">
      <c r="A2605" s="348" t="str">
        <f t="shared" si="177"/>
        <v/>
      </c>
      <c r="B2605" s="349"/>
      <c r="C2605" s="584"/>
      <c r="D2605" s="345"/>
      <c r="E2605" s="345"/>
      <c r="F2605" s="350"/>
      <c r="G2605" s="345"/>
      <c r="H2605" s="345"/>
      <c r="I2605" s="355"/>
      <c r="J2605" s="345"/>
      <c r="K2605" s="345"/>
      <c r="L2605" s="345"/>
      <c r="M2605" s="345"/>
      <c r="N2605" s="585"/>
      <c r="O2605" s="351"/>
      <c r="P2605" s="582">
        <f t="shared" si="178"/>
        <v>0</v>
      </c>
      <c r="Q2605" s="582">
        <f t="shared" si="179"/>
        <v>0</v>
      </c>
      <c r="R2605" s="583" t="str">
        <f t="shared" si="180"/>
        <v/>
      </c>
      <c r="S2605" s="496"/>
      <c r="T2605" s="496"/>
      <c r="U2605" s="496"/>
      <c r="V2605" s="496"/>
      <c r="W2605" s="496"/>
    </row>
    <row r="2606" spans="1:23" x14ac:dyDescent="0.2">
      <c r="A2606" s="348" t="str">
        <f t="shared" si="177"/>
        <v/>
      </c>
      <c r="B2606" s="349"/>
      <c r="C2606" s="584"/>
      <c r="D2606" s="345"/>
      <c r="E2606" s="345"/>
      <c r="F2606" s="350"/>
      <c r="G2606" s="345"/>
      <c r="H2606" s="345"/>
      <c r="I2606" s="355"/>
      <c r="J2606" s="345"/>
      <c r="K2606" s="345"/>
      <c r="L2606" s="345"/>
      <c r="M2606" s="345"/>
      <c r="N2606" s="585"/>
      <c r="O2606" s="351"/>
      <c r="P2606" s="582">
        <f t="shared" si="178"/>
        <v>0</v>
      </c>
      <c r="Q2606" s="582">
        <f t="shared" si="179"/>
        <v>0</v>
      </c>
      <c r="R2606" s="583" t="str">
        <f t="shared" si="180"/>
        <v/>
      </c>
      <c r="S2606" s="496"/>
      <c r="T2606" s="496"/>
      <c r="U2606" s="496"/>
      <c r="V2606" s="496"/>
      <c r="W2606" s="496"/>
    </row>
    <row r="2607" spans="1:23" x14ac:dyDescent="0.2">
      <c r="A2607" s="348" t="str">
        <f t="shared" si="177"/>
        <v/>
      </c>
      <c r="B2607" s="349"/>
      <c r="C2607" s="584"/>
      <c r="D2607" s="345"/>
      <c r="E2607" s="345"/>
      <c r="F2607" s="350"/>
      <c r="G2607" s="345"/>
      <c r="H2607" s="345"/>
      <c r="I2607" s="355"/>
      <c r="J2607" s="345"/>
      <c r="K2607" s="345"/>
      <c r="L2607" s="345"/>
      <c r="M2607" s="345"/>
      <c r="N2607" s="585"/>
      <c r="O2607" s="351"/>
      <c r="P2607" s="582">
        <f t="shared" si="178"/>
        <v>0</v>
      </c>
      <c r="Q2607" s="582">
        <f t="shared" si="179"/>
        <v>0</v>
      </c>
      <c r="R2607" s="583" t="str">
        <f t="shared" si="180"/>
        <v/>
      </c>
      <c r="S2607" s="496"/>
      <c r="T2607" s="496"/>
      <c r="U2607" s="496"/>
      <c r="V2607" s="496"/>
      <c r="W2607" s="496"/>
    </row>
    <row r="2608" spans="1:23" x14ac:dyDescent="0.2">
      <c r="A2608" s="348" t="str">
        <f t="shared" si="177"/>
        <v/>
      </c>
      <c r="B2608" s="349"/>
      <c r="C2608" s="584"/>
      <c r="D2608" s="345"/>
      <c r="E2608" s="345"/>
      <c r="F2608" s="350"/>
      <c r="G2608" s="345"/>
      <c r="H2608" s="345"/>
      <c r="I2608" s="355"/>
      <c r="J2608" s="345"/>
      <c r="K2608" s="345"/>
      <c r="L2608" s="345"/>
      <c r="M2608" s="345"/>
      <c r="N2608" s="585"/>
      <c r="O2608" s="351"/>
      <c r="P2608" s="582">
        <f t="shared" si="178"/>
        <v>0</v>
      </c>
      <c r="Q2608" s="582">
        <f t="shared" si="179"/>
        <v>0</v>
      </c>
      <c r="R2608" s="583" t="str">
        <f t="shared" si="180"/>
        <v/>
      </c>
      <c r="S2608" s="496"/>
      <c r="T2608" s="496"/>
      <c r="U2608" s="496"/>
      <c r="V2608" s="496"/>
      <c r="W2608" s="496"/>
    </row>
    <row r="2609" spans="1:23" x14ac:dyDescent="0.2">
      <c r="A2609" s="348" t="str">
        <f t="shared" si="177"/>
        <v/>
      </c>
      <c r="B2609" s="349"/>
      <c r="C2609" s="584"/>
      <c r="D2609" s="345"/>
      <c r="E2609" s="345"/>
      <c r="F2609" s="350"/>
      <c r="G2609" s="345"/>
      <c r="H2609" s="345"/>
      <c r="I2609" s="355"/>
      <c r="J2609" s="345"/>
      <c r="K2609" s="345"/>
      <c r="L2609" s="345"/>
      <c r="M2609" s="345"/>
      <c r="N2609" s="585"/>
      <c r="O2609" s="351"/>
      <c r="P2609" s="582">
        <f t="shared" si="178"/>
        <v>0</v>
      </c>
      <c r="Q2609" s="582">
        <f t="shared" si="179"/>
        <v>0</v>
      </c>
      <c r="R2609" s="583" t="str">
        <f t="shared" si="180"/>
        <v/>
      </c>
      <c r="S2609" s="496"/>
      <c r="T2609" s="496"/>
      <c r="U2609" s="496"/>
      <c r="V2609" s="496"/>
      <c r="W2609" s="496"/>
    </row>
    <row r="2610" spans="1:23" x14ac:dyDescent="0.2">
      <c r="A2610" s="348" t="str">
        <f t="shared" si="177"/>
        <v/>
      </c>
      <c r="B2610" s="349"/>
      <c r="C2610" s="584"/>
      <c r="D2610" s="345"/>
      <c r="E2610" s="345"/>
      <c r="F2610" s="350"/>
      <c r="G2610" s="345"/>
      <c r="H2610" s="345"/>
      <c r="I2610" s="355"/>
      <c r="J2610" s="345"/>
      <c r="K2610" s="345"/>
      <c r="L2610" s="345"/>
      <c r="M2610" s="345"/>
      <c r="N2610" s="585"/>
      <c r="O2610" s="351"/>
      <c r="P2610" s="582">
        <f t="shared" si="178"/>
        <v>0</v>
      </c>
      <c r="Q2610" s="582">
        <f t="shared" si="179"/>
        <v>0</v>
      </c>
      <c r="R2610" s="583" t="str">
        <f t="shared" si="180"/>
        <v/>
      </c>
      <c r="S2610" s="496"/>
      <c r="T2610" s="496"/>
      <c r="U2610" s="496"/>
      <c r="V2610" s="496"/>
      <c r="W2610" s="496"/>
    </row>
    <row r="2611" spans="1:23" x14ac:dyDescent="0.2">
      <c r="A2611" s="348" t="str">
        <f t="shared" si="177"/>
        <v/>
      </c>
      <c r="B2611" s="349"/>
      <c r="C2611" s="584"/>
      <c r="D2611" s="345"/>
      <c r="E2611" s="345"/>
      <c r="F2611" s="350"/>
      <c r="G2611" s="345"/>
      <c r="H2611" s="345"/>
      <c r="I2611" s="355"/>
      <c r="J2611" s="345"/>
      <c r="K2611" s="345"/>
      <c r="L2611" s="345"/>
      <c r="M2611" s="345"/>
      <c r="N2611" s="585"/>
      <c r="O2611" s="351"/>
      <c r="P2611" s="582">
        <f t="shared" si="178"/>
        <v>0</v>
      </c>
      <c r="Q2611" s="582">
        <f t="shared" si="179"/>
        <v>0</v>
      </c>
      <c r="R2611" s="583" t="str">
        <f t="shared" si="180"/>
        <v/>
      </c>
      <c r="S2611" s="496"/>
      <c r="T2611" s="496"/>
      <c r="U2611" s="496"/>
      <c r="V2611" s="496"/>
      <c r="W2611" s="496"/>
    </row>
    <row r="2612" spans="1:23" x14ac:dyDescent="0.2">
      <c r="A2612" s="348" t="str">
        <f t="shared" si="177"/>
        <v/>
      </c>
      <c r="B2612" s="349"/>
      <c r="C2612" s="584"/>
      <c r="D2612" s="345"/>
      <c r="E2612" s="345"/>
      <c r="F2612" s="350"/>
      <c r="G2612" s="345"/>
      <c r="H2612" s="345"/>
      <c r="I2612" s="355"/>
      <c r="J2612" s="345"/>
      <c r="K2612" s="345"/>
      <c r="L2612" s="345"/>
      <c r="M2612" s="345"/>
      <c r="N2612" s="585"/>
      <c r="O2612" s="351"/>
      <c r="P2612" s="582">
        <f t="shared" si="178"/>
        <v>0</v>
      </c>
      <c r="Q2612" s="582">
        <f t="shared" si="179"/>
        <v>0</v>
      </c>
      <c r="R2612" s="583" t="str">
        <f t="shared" si="180"/>
        <v/>
      </c>
      <c r="S2612" s="496"/>
      <c r="T2612" s="496"/>
      <c r="U2612" s="496"/>
      <c r="V2612" s="496"/>
      <c r="W2612" s="496"/>
    </row>
    <row r="2613" spans="1:23" x14ac:dyDescent="0.2">
      <c r="A2613" s="348" t="str">
        <f t="shared" si="177"/>
        <v/>
      </c>
      <c r="B2613" s="349"/>
      <c r="C2613" s="584"/>
      <c r="D2613" s="345"/>
      <c r="E2613" s="345"/>
      <c r="F2613" s="350"/>
      <c r="G2613" s="345"/>
      <c r="H2613" s="345"/>
      <c r="I2613" s="355"/>
      <c r="J2613" s="345"/>
      <c r="K2613" s="345"/>
      <c r="L2613" s="345"/>
      <c r="M2613" s="345"/>
      <c r="N2613" s="585"/>
      <c r="O2613" s="351"/>
      <c r="P2613" s="582">
        <f t="shared" si="178"/>
        <v>0</v>
      </c>
      <c r="Q2613" s="582">
        <f t="shared" si="179"/>
        <v>0</v>
      </c>
      <c r="R2613" s="583" t="str">
        <f t="shared" si="180"/>
        <v/>
      </c>
      <c r="S2613" s="496"/>
      <c r="T2613" s="496"/>
      <c r="U2613" s="496"/>
      <c r="V2613" s="496"/>
      <c r="W2613" s="496"/>
    </row>
    <row r="2614" spans="1:23" x14ac:dyDescent="0.2">
      <c r="A2614" s="348" t="str">
        <f t="shared" si="177"/>
        <v/>
      </c>
      <c r="B2614" s="349"/>
      <c r="C2614" s="584"/>
      <c r="D2614" s="345"/>
      <c r="E2614" s="345"/>
      <c r="F2614" s="350"/>
      <c r="G2614" s="345"/>
      <c r="H2614" s="345"/>
      <c r="I2614" s="355"/>
      <c r="J2614" s="345"/>
      <c r="K2614" s="345"/>
      <c r="L2614" s="345"/>
      <c r="M2614" s="345"/>
      <c r="N2614" s="585"/>
      <c r="O2614" s="351"/>
      <c r="P2614" s="582">
        <f t="shared" si="178"/>
        <v>0</v>
      </c>
      <c r="Q2614" s="582">
        <f t="shared" si="179"/>
        <v>0</v>
      </c>
      <c r="R2614" s="583" t="str">
        <f t="shared" si="180"/>
        <v/>
      </c>
      <c r="S2614" s="496"/>
      <c r="T2614" s="496"/>
      <c r="U2614" s="496"/>
      <c r="V2614" s="496"/>
      <c r="W2614" s="496"/>
    </row>
    <row r="2615" spans="1:23" x14ac:dyDescent="0.2">
      <c r="A2615" s="348" t="str">
        <f t="shared" si="177"/>
        <v/>
      </c>
      <c r="B2615" s="349"/>
      <c r="C2615" s="584"/>
      <c r="D2615" s="345"/>
      <c r="E2615" s="345"/>
      <c r="F2615" s="350"/>
      <c r="G2615" s="345"/>
      <c r="H2615" s="345"/>
      <c r="I2615" s="355"/>
      <c r="J2615" s="345"/>
      <c r="K2615" s="345"/>
      <c r="L2615" s="345"/>
      <c r="M2615" s="345"/>
      <c r="N2615" s="585"/>
      <c r="O2615" s="351"/>
      <c r="P2615" s="582">
        <f t="shared" si="178"/>
        <v>0</v>
      </c>
      <c r="Q2615" s="582">
        <f t="shared" si="179"/>
        <v>0</v>
      </c>
      <c r="R2615" s="583" t="str">
        <f t="shared" si="180"/>
        <v/>
      </c>
      <c r="S2615" s="496"/>
      <c r="T2615" s="496"/>
      <c r="U2615" s="496"/>
      <c r="V2615" s="496"/>
      <c r="W2615" s="496"/>
    </row>
    <row r="2616" spans="1:23" x14ac:dyDescent="0.2">
      <c r="A2616" s="348" t="str">
        <f t="shared" si="177"/>
        <v/>
      </c>
      <c r="B2616" s="349"/>
      <c r="C2616" s="584"/>
      <c r="D2616" s="345"/>
      <c r="E2616" s="345"/>
      <c r="F2616" s="350"/>
      <c r="G2616" s="345"/>
      <c r="H2616" s="345"/>
      <c r="I2616" s="355"/>
      <c r="J2616" s="345"/>
      <c r="K2616" s="345"/>
      <c r="L2616" s="345"/>
      <c r="M2616" s="345"/>
      <c r="N2616" s="586"/>
      <c r="O2616" s="351"/>
      <c r="P2616" s="582">
        <f t="shared" si="178"/>
        <v>0</v>
      </c>
      <c r="Q2616" s="582">
        <f t="shared" si="179"/>
        <v>0</v>
      </c>
      <c r="R2616" s="583" t="str">
        <f t="shared" si="180"/>
        <v/>
      </c>
      <c r="S2616" s="496"/>
      <c r="T2616" s="496"/>
      <c r="U2616" s="496"/>
      <c r="V2616" s="496"/>
      <c r="W2616" s="496"/>
    </row>
    <row r="2617" spans="1:23" x14ac:dyDescent="0.2">
      <c r="A2617" s="348" t="str">
        <f t="shared" si="177"/>
        <v/>
      </c>
      <c r="B2617" s="349"/>
      <c r="C2617" s="584"/>
      <c r="D2617" s="345"/>
      <c r="E2617" s="345"/>
      <c r="F2617" s="350"/>
      <c r="G2617" s="345"/>
      <c r="H2617" s="345"/>
      <c r="I2617" s="355"/>
      <c r="J2617" s="345"/>
      <c r="K2617" s="345"/>
      <c r="L2617" s="345"/>
      <c r="M2617" s="345"/>
      <c r="N2617" s="586"/>
      <c r="O2617" s="351"/>
      <c r="P2617" s="582">
        <f t="shared" si="178"/>
        <v>0</v>
      </c>
      <c r="Q2617" s="582">
        <f t="shared" si="179"/>
        <v>0</v>
      </c>
      <c r="R2617" s="583" t="str">
        <f t="shared" si="180"/>
        <v/>
      </c>
      <c r="S2617" s="496"/>
      <c r="T2617" s="496"/>
      <c r="U2617" s="496"/>
      <c r="V2617" s="496"/>
      <c r="W2617" s="496"/>
    </row>
    <row r="2618" spans="1:23" x14ac:dyDescent="0.2">
      <c r="A2618" s="348" t="str">
        <f t="shared" si="177"/>
        <v/>
      </c>
      <c r="B2618" s="349"/>
      <c r="C2618" s="584"/>
      <c r="D2618" s="345"/>
      <c r="E2618" s="345"/>
      <c r="F2618" s="350"/>
      <c r="G2618" s="345"/>
      <c r="H2618" s="345"/>
      <c r="I2618" s="355"/>
      <c r="J2618" s="345"/>
      <c r="K2618" s="345"/>
      <c r="L2618" s="345"/>
      <c r="M2618" s="345"/>
      <c r="N2618" s="586"/>
      <c r="O2618" s="351"/>
      <c r="P2618" s="582">
        <f t="shared" si="178"/>
        <v>0</v>
      </c>
      <c r="Q2618" s="582">
        <f t="shared" si="179"/>
        <v>0</v>
      </c>
      <c r="R2618" s="583" t="str">
        <f t="shared" si="180"/>
        <v/>
      </c>
      <c r="S2618" s="496"/>
      <c r="T2618" s="496"/>
      <c r="U2618" s="496"/>
      <c r="V2618" s="496"/>
      <c r="W2618" s="496"/>
    </row>
    <row r="2619" spans="1:23" x14ac:dyDescent="0.2">
      <c r="A2619" s="348" t="str">
        <f t="shared" si="177"/>
        <v/>
      </c>
      <c r="B2619" s="349"/>
      <c r="C2619" s="584"/>
      <c r="D2619" s="345"/>
      <c r="E2619" s="345"/>
      <c r="F2619" s="350"/>
      <c r="G2619" s="345"/>
      <c r="H2619" s="345"/>
      <c r="I2619" s="355"/>
      <c r="J2619" s="345"/>
      <c r="K2619" s="345"/>
      <c r="L2619" s="345"/>
      <c r="M2619" s="345"/>
      <c r="N2619" s="586"/>
      <c r="O2619" s="351"/>
      <c r="P2619" s="582">
        <f t="shared" si="178"/>
        <v>0</v>
      </c>
      <c r="Q2619" s="582">
        <f t="shared" si="179"/>
        <v>0</v>
      </c>
      <c r="R2619" s="583" t="str">
        <f t="shared" si="180"/>
        <v/>
      </c>
      <c r="S2619" s="496"/>
      <c r="T2619" s="496"/>
      <c r="U2619" s="496"/>
      <c r="V2619" s="496"/>
      <c r="W2619" s="496"/>
    </row>
    <row r="2620" spans="1:23" x14ac:dyDescent="0.2">
      <c r="A2620" s="348" t="str">
        <f t="shared" si="177"/>
        <v/>
      </c>
      <c r="B2620" s="349"/>
      <c r="C2620" s="584"/>
      <c r="D2620" s="345"/>
      <c r="E2620" s="345"/>
      <c r="F2620" s="350"/>
      <c r="G2620" s="345"/>
      <c r="H2620" s="345"/>
      <c r="I2620" s="355"/>
      <c r="J2620" s="345"/>
      <c r="K2620" s="345"/>
      <c r="L2620" s="345"/>
      <c r="M2620" s="345"/>
      <c r="N2620" s="586"/>
      <c r="O2620" s="351"/>
      <c r="P2620" s="582">
        <f t="shared" si="178"/>
        <v>0</v>
      </c>
      <c r="Q2620" s="582">
        <f t="shared" si="179"/>
        <v>0</v>
      </c>
      <c r="R2620" s="583" t="str">
        <f t="shared" si="180"/>
        <v/>
      </c>
      <c r="S2620" s="496"/>
      <c r="T2620" s="496"/>
      <c r="U2620" s="496"/>
      <c r="V2620" s="496"/>
      <c r="W2620" s="496"/>
    </row>
    <row r="2621" spans="1:23" x14ac:dyDescent="0.2">
      <c r="A2621" s="348" t="str">
        <f t="shared" si="177"/>
        <v/>
      </c>
      <c r="B2621" s="349"/>
      <c r="C2621" s="584"/>
      <c r="D2621" s="345"/>
      <c r="E2621" s="345"/>
      <c r="F2621" s="350"/>
      <c r="G2621" s="345"/>
      <c r="H2621" s="345"/>
      <c r="I2621" s="355"/>
      <c r="J2621" s="345"/>
      <c r="K2621" s="345"/>
      <c r="L2621" s="345"/>
      <c r="M2621" s="345"/>
      <c r="N2621" s="586"/>
      <c r="O2621" s="351"/>
      <c r="P2621" s="582">
        <f t="shared" si="178"/>
        <v>0</v>
      </c>
      <c r="Q2621" s="582">
        <f t="shared" si="179"/>
        <v>0</v>
      </c>
      <c r="R2621" s="583" t="str">
        <f t="shared" si="180"/>
        <v/>
      </c>
      <c r="S2621" s="496"/>
      <c r="T2621" s="496"/>
      <c r="U2621" s="496"/>
      <c r="V2621" s="496"/>
      <c r="W2621" s="496"/>
    </row>
    <row r="2622" spans="1:23" x14ac:dyDescent="0.2">
      <c r="A2622" s="348" t="str">
        <f t="shared" si="177"/>
        <v/>
      </c>
      <c r="B2622" s="349"/>
      <c r="C2622" s="584"/>
      <c r="D2622" s="345"/>
      <c r="E2622" s="345"/>
      <c r="F2622" s="350"/>
      <c r="G2622" s="345"/>
      <c r="H2622" s="345"/>
      <c r="I2622" s="355"/>
      <c r="J2622" s="345"/>
      <c r="K2622" s="345"/>
      <c r="L2622" s="345"/>
      <c r="M2622" s="345"/>
      <c r="N2622" s="586"/>
      <c r="O2622" s="351"/>
      <c r="P2622" s="582">
        <f t="shared" si="178"/>
        <v>0</v>
      </c>
      <c r="Q2622" s="582">
        <f t="shared" si="179"/>
        <v>0</v>
      </c>
      <c r="R2622" s="583" t="str">
        <f t="shared" si="180"/>
        <v/>
      </c>
      <c r="S2622" s="496"/>
      <c r="T2622" s="496"/>
      <c r="U2622" s="496"/>
      <c r="V2622" s="496"/>
      <c r="W2622" s="496"/>
    </row>
    <row r="2623" spans="1:23" x14ac:dyDescent="0.2">
      <c r="A2623" s="348" t="str">
        <f t="shared" si="177"/>
        <v/>
      </c>
      <c r="B2623" s="349"/>
      <c r="C2623" s="584"/>
      <c r="D2623" s="345"/>
      <c r="E2623" s="345"/>
      <c r="F2623" s="350"/>
      <c r="G2623" s="345"/>
      <c r="H2623" s="345"/>
      <c r="I2623" s="355"/>
      <c r="J2623" s="345"/>
      <c r="K2623" s="345"/>
      <c r="L2623" s="345"/>
      <c r="M2623" s="345"/>
      <c r="N2623" s="586"/>
      <c r="O2623" s="351"/>
      <c r="P2623" s="582">
        <f t="shared" si="178"/>
        <v>0</v>
      </c>
      <c r="Q2623" s="582">
        <f t="shared" si="179"/>
        <v>0</v>
      </c>
      <c r="R2623" s="583" t="str">
        <f t="shared" si="180"/>
        <v/>
      </c>
      <c r="S2623" s="496"/>
      <c r="T2623" s="496"/>
      <c r="U2623" s="496"/>
      <c r="V2623" s="496"/>
      <c r="W2623" s="496"/>
    </row>
    <row r="2624" spans="1:23" x14ac:dyDescent="0.2">
      <c r="A2624" s="348" t="str">
        <f t="shared" si="177"/>
        <v/>
      </c>
      <c r="B2624" s="349"/>
      <c r="C2624" s="584"/>
      <c r="D2624" s="345"/>
      <c r="E2624" s="345"/>
      <c r="F2624" s="350"/>
      <c r="G2624" s="345"/>
      <c r="H2624" s="345"/>
      <c r="I2624" s="355"/>
      <c r="J2624" s="345"/>
      <c r="K2624" s="345"/>
      <c r="L2624" s="345"/>
      <c r="M2624" s="345"/>
      <c r="N2624" s="586"/>
      <c r="O2624" s="351"/>
      <c r="P2624" s="582">
        <f t="shared" si="178"/>
        <v>0</v>
      </c>
      <c r="Q2624" s="582">
        <f t="shared" si="179"/>
        <v>0</v>
      </c>
      <c r="R2624" s="583" t="str">
        <f t="shared" si="180"/>
        <v/>
      </c>
      <c r="S2624" s="496"/>
      <c r="T2624" s="496"/>
      <c r="U2624" s="496"/>
      <c r="V2624" s="496"/>
      <c r="W2624" s="496"/>
    </row>
    <row r="2625" spans="1:23" x14ac:dyDescent="0.2">
      <c r="A2625" s="348" t="str">
        <f t="shared" si="177"/>
        <v/>
      </c>
      <c r="B2625" s="349"/>
      <c r="C2625" s="584"/>
      <c r="D2625" s="345"/>
      <c r="E2625" s="345"/>
      <c r="F2625" s="350"/>
      <c r="G2625" s="345"/>
      <c r="H2625" s="345"/>
      <c r="I2625" s="355"/>
      <c r="J2625" s="345"/>
      <c r="K2625" s="345"/>
      <c r="L2625" s="345"/>
      <c r="M2625" s="345"/>
      <c r="N2625" s="586"/>
      <c r="O2625" s="351"/>
      <c r="P2625" s="582">
        <f t="shared" si="178"/>
        <v>0</v>
      </c>
      <c r="Q2625" s="582">
        <f t="shared" si="179"/>
        <v>0</v>
      </c>
      <c r="R2625" s="583" t="str">
        <f t="shared" si="180"/>
        <v/>
      </c>
      <c r="S2625" s="496"/>
      <c r="T2625" s="496"/>
      <c r="U2625" s="496"/>
      <c r="V2625" s="496"/>
      <c r="W2625" s="496"/>
    </row>
    <row r="2626" spans="1:23" x14ac:dyDescent="0.2">
      <c r="A2626" s="348" t="str">
        <f t="shared" si="177"/>
        <v/>
      </c>
      <c r="B2626" s="349"/>
      <c r="C2626" s="584"/>
      <c r="D2626" s="345"/>
      <c r="E2626" s="345"/>
      <c r="F2626" s="350"/>
      <c r="G2626" s="345"/>
      <c r="H2626" s="345"/>
      <c r="I2626" s="355"/>
      <c r="J2626" s="345"/>
      <c r="K2626" s="345"/>
      <c r="L2626" s="345"/>
      <c r="M2626" s="345"/>
      <c r="N2626" s="586"/>
      <c r="O2626" s="351"/>
      <c r="P2626" s="582">
        <f t="shared" si="178"/>
        <v>0</v>
      </c>
      <c r="Q2626" s="582">
        <f t="shared" si="179"/>
        <v>0</v>
      </c>
      <c r="R2626" s="583" t="str">
        <f t="shared" si="180"/>
        <v/>
      </c>
      <c r="S2626" s="496"/>
      <c r="T2626" s="496"/>
      <c r="U2626" s="496"/>
      <c r="V2626" s="496"/>
      <c r="W2626" s="496"/>
    </row>
    <row r="2627" spans="1:23" x14ac:dyDescent="0.2">
      <c r="A2627" s="348" t="str">
        <f t="shared" si="177"/>
        <v/>
      </c>
      <c r="B2627" s="349"/>
      <c r="C2627" s="584"/>
      <c r="D2627" s="345"/>
      <c r="E2627" s="345"/>
      <c r="F2627" s="350"/>
      <c r="G2627" s="345"/>
      <c r="H2627" s="345"/>
      <c r="I2627" s="355"/>
      <c r="J2627" s="345"/>
      <c r="K2627" s="345"/>
      <c r="L2627" s="345"/>
      <c r="M2627" s="345"/>
      <c r="N2627" s="586"/>
      <c r="O2627" s="351"/>
      <c r="P2627" s="582">
        <f t="shared" si="178"/>
        <v>0</v>
      </c>
      <c r="Q2627" s="582">
        <f t="shared" si="179"/>
        <v>0</v>
      </c>
      <c r="R2627" s="583" t="str">
        <f t="shared" si="180"/>
        <v/>
      </c>
      <c r="S2627" s="496"/>
      <c r="T2627" s="496"/>
      <c r="U2627" s="496"/>
      <c r="V2627" s="496"/>
      <c r="W2627" s="496"/>
    </row>
    <row r="2628" spans="1:23" x14ac:dyDescent="0.2">
      <c r="A2628" s="348" t="str">
        <f t="shared" si="177"/>
        <v/>
      </c>
      <c r="B2628" s="349"/>
      <c r="C2628" s="584"/>
      <c r="D2628" s="345"/>
      <c r="E2628" s="345"/>
      <c r="F2628" s="350"/>
      <c r="G2628" s="345"/>
      <c r="H2628" s="345"/>
      <c r="I2628" s="355"/>
      <c r="J2628" s="345"/>
      <c r="K2628" s="345"/>
      <c r="L2628" s="345"/>
      <c r="M2628" s="345"/>
      <c r="N2628" s="586"/>
      <c r="O2628" s="351"/>
      <c r="P2628" s="582">
        <f t="shared" si="178"/>
        <v>0</v>
      </c>
      <c r="Q2628" s="582">
        <f t="shared" si="179"/>
        <v>0</v>
      </c>
      <c r="R2628" s="583" t="str">
        <f t="shared" si="180"/>
        <v/>
      </c>
      <c r="S2628" s="496"/>
      <c r="T2628" s="496"/>
      <c r="U2628" s="496"/>
      <c r="V2628" s="496"/>
      <c r="W2628" s="496"/>
    </row>
    <row r="2629" spans="1:23" x14ac:dyDescent="0.2">
      <c r="A2629" s="348" t="str">
        <f t="shared" si="177"/>
        <v/>
      </c>
      <c r="B2629" s="349"/>
      <c r="C2629" s="584"/>
      <c r="D2629" s="345"/>
      <c r="E2629" s="345"/>
      <c r="F2629" s="350"/>
      <c r="G2629" s="345"/>
      <c r="H2629" s="345"/>
      <c r="I2629" s="355"/>
      <c r="J2629" s="345"/>
      <c r="K2629" s="345"/>
      <c r="L2629" s="345"/>
      <c r="M2629" s="345"/>
      <c r="N2629" s="586"/>
      <c r="O2629" s="351"/>
      <c r="P2629" s="582">
        <f t="shared" si="178"/>
        <v>0</v>
      </c>
      <c r="Q2629" s="582">
        <f t="shared" si="179"/>
        <v>0</v>
      </c>
      <c r="R2629" s="583" t="str">
        <f t="shared" si="180"/>
        <v/>
      </c>
      <c r="S2629" s="496"/>
      <c r="T2629" s="496"/>
      <c r="U2629" s="496"/>
      <c r="V2629" s="496"/>
      <c r="W2629" s="496"/>
    </row>
    <row r="2630" spans="1:23" x14ac:dyDescent="0.2">
      <c r="A2630" s="348" t="str">
        <f t="shared" si="177"/>
        <v/>
      </c>
      <c r="B2630" s="349"/>
      <c r="C2630" s="584"/>
      <c r="D2630" s="345"/>
      <c r="E2630" s="345"/>
      <c r="F2630" s="350"/>
      <c r="G2630" s="345"/>
      <c r="H2630" s="345"/>
      <c r="I2630" s="355"/>
      <c r="J2630" s="345"/>
      <c r="K2630" s="345"/>
      <c r="L2630" s="345"/>
      <c r="M2630" s="345"/>
      <c r="N2630" s="586"/>
      <c r="O2630" s="351"/>
      <c r="P2630" s="582">
        <f t="shared" si="178"/>
        <v>0</v>
      </c>
      <c r="Q2630" s="582">
        <f t="shared" si="179"/>
        <v>0</v>
      </c>
      <c r="R2630" s="583" t="str">
        <f t="shared" si="180"/>
        <v/>
      </c>
      <c r="S2630" s="496"/>
      <c r="T2630" s="496"/>
      <c r="U2630" s="496"/>
      <c r="V2630" s="496"/>
      <c r="W2630" s="496"/>
    </row>
    <row r="2631" spans="1:23" x14ac:dyDescent="0.2">
      <c r="A2631" s="348" t="str">
        <f t="shared" si="177"/>
        <v/>
      </c>
      <c r="B2631" s="349"/>
      <c r="C2631" s="584"/>
      <c r="D2631" s="345"/>
      <c r="E2631" s="345"/>
      <c r="F2631" s="350"/>
      <c r="G2631" s="345"/>
      <c r="H2631" s="345"/>
      <c r="I2631" s="355"/>
      <c r="J2631" s="345"/>
      <c r="K2631" s="345"/>
      <c r="L2631" s="345"/>
      <c r="M2631" s="345"/>
      <c r="N2631" s="586"/>
      <c r="O2631" s="351"/>
      <c r="P2631" s="582">
        <f t="shared" si="178"/>
        <v>0</v>
      </c>
      <c r="Q2631" s="582">
        <f t="shared" si="179"/>
        <v>0</v>
      </c>
      <c r="R2631" s="583" t="str">
        <f t="shared" si="180"/>
        <v/>
      </c>
      <c r="S2631" s="496"/>
      <c r="T2631" s="496"/>
      <c r="U2631" s="496"/>
      <c r="V2631" s="496"/>
      <c r="W2631" s="496"/>
    </row>
    <row r="2632" spans="1:23" x14ac:dyDescent="0.2">
      <c r="A2632" s="348" t="str">
        <f t="shared" si="177"/>
        <v/>
      </c>
      <c r="B2632" s="349"/>
      <c r="C2632" s="584"/>
      <c r="D2632" s="345"/>
      <c r="E2632" s="345"/>
      <c r="F2632" s="350"/>
      <c r="G2632" s="345"/>
      <c r="H2632" s="345"/>
      <c r="I2632" s="355"/>
      <c r="J2632" s="345"/>
      <c r="K2632" s="345"/>
      <c r="L2632" s="345"/>
      <c r="M2632" s="345"/>
      <c r="N2632" s="586"/>
      <c r="O2632" s="351"/>
      <c r="P2632" s="582">
        <f t="shared" si="178"/>
        <v>0</v>
      </c>
      <c r="Q2632" s="582">
        <f t="shared" si="179"/>
        <v>0</v>
      </c>
      <c r="R2632" s="583" t="str">
        <f t="shared" si="180"/>
        <v/>
      </c>
      <c r="S2632" s="496"/>
      <c r="T2632" s="496"/>
      <c r="U2632" s="496"/>
      <c r="V2632" s="496"/>
      <c r="W2632" s="496"/>
    </row>
    <row r="2633" spans="1:23" x14ac:dyDescent="0.2">
      <c r="A2633" s="348" t="str">
        <f t="shared" si="177"/>
        <v/>
      </c>
      <c r="B2633" s="349"/>
      <c r="C2633" s="584"/>
      <c r="D2633" s="345"/>
      <c r="E2633" s="345"/>
      <c r="F2633" s="350"/>
      <c r="G2633" s="345"/>
      <c r="H2633" s="345"/>
      <c r="I2633" s="355"/>
      <c r="J2633" s="345"/>
      <c r="K2633" s="345"/>
      <c r="L2633" s="345"/>
      <c r="M2633" s="345"/>
      <c r="N2633" s="586"/>
      <c r="O2633" s="351"/>
      <c r="P2633" s="582">
        <f t="shared" si="178"/>
        <v>0</v>
      </c>
      <c r="Q2633" s="582">
        <f t="shared" si="179"/>
        <v>0</v>
      </c>
      <c r="R2633" s="583" t="str">
        <f t="shared" si="180"/>
        <v/>
      </c>
      <c r="S2633" s="496"/>
      <c r="T2633" s="496"/>
      <c r="U2633" s="496"/>
      <c r="V2633" s="496"/>
      <c r="W2633" s="496"/>
    </row>
    <row r="2634" spans="1:23" x14ac:dyDescent="0.2">
      <c r="A2634" s="348" t="str">
        <f t="shared" si="177"/>
        <v/>
      </c>
      <c r="B2634" s="349"/>
      <c r="C2634" s="584"/>
      <c r="D2634" s="345"/>
      <c r="E2634" s="345"/>
      <c r="F2634" s="350"/>
      <c r="G2634" s="345"/>
      <c r="H2634" s="345"/>
      <c r="I2634" s="355"/>
      <c r="J2634" s="345"/>
      <c r="K2634" s="345"/>
      <c r="L2634" s="345"/>
      <c r="M2634" s="345"/>
      <c r="N2634" s="586"/>
      <c r="O2634" s="351"/>
      <c r="P2634" s="582">
        <f t="shared" si="178"/>
        <v>0</v>
      </c>
      <c r="Q2634" s="582">
        <f t="shared" si="179"/>
        <v>0</v>
      </c>
      <c r="R2634" s="583" t="str">
        <f t="shared" si="180"/>
        <v/>
      </c>
      <c r="S2634" s="496"/>
      <c r="T2634" s="496"/>
      <c r="U2634" s="496"/>
      <c r="V2634" s="496"/>
      <c r="W2634" s="496"/>
    </row>
    <row r="2635" spans="1:23" x14ac:dyDescent="0.2">
      <c r="A2635" s="348" t="str">
        <f t="shared" si="177"/>
        <v/>
      </c>
      <c r="B2635" s="349"/>
      <c r="C2635" s="584"/>
      <c r="D2635" s="345"/>
      <c r="E2635" s="345"/>
      <c r="F2635" s="350"/>
      <c r="G2635" s="345"/>
      <c r="H2635" s="345"/>
      <c r="I2635" s="355"/>
      <c r="J2635" s="345"/>
      <c r="K2635" s="345"/>
      <c r="L2635" s="345"/>
      <c r="M2635" s="345"/>
      <c r="N2635" s="586"/>
      <c r="O2635" s="351"/>
      <c r="P2635" s="582">
        <f t="shared" si="178"/>
        <v>0</v>
      </c>
      <c r="Q2635" s="582">
        <f t="shared" si="179"/>
        <v>0</v>
      </c>
      <c r="R2635" s="583" t="str">
        <f t="shared" si="180"/>
        <v/>
      </c>
      <c r="S2635" s="496"/>
      <c r="T2635" s="496"/>
      <c r="U2635" s="496"/>
      <c r="V2635" s="496"/>
      <c r="W2635" s="496"/>
    </row>
  </sheetData>
  <sheetProtection formatColumns="0" formatRows="0" insertColumns="0" insertRows="0" deleteRows="0" autoFilter="0"/>
  <autoFilter ref="A3:W2635" xr:uid="{00000000-0009-0000-0000-00000A000000}">
    <sortState xmlns:xlrd2="http://schemas.microsoft.com/office/spreadsheetml/2017/richdata2" ref="A4:W2614">
      <sortCondition ref="B3"/>
    </sortState>
  </autoFilter>
  <sortState xmlns:xlrd2="http://schemas.microsoft.com/office/spreadsheetml/2017/richdata2" ref="A1112:W1739">
    <sortCondition ref="B1112:B1739"/>
  </sortState>
  <mergeCells count="2">
    <mergeCell ref="A2:N2"/>
    <mergeCell ref="A1:N1"/>
  </mergeCells>
  <phoneticPr fontId="0" type="noConversion"/>
  <conditionalFormatting sqref="G620">
    <cfRule type="expression" dxfId="28" priority="7" stopIfTrue="1">
      <formula>ISEVEN(ROW())</formula>
    </cfRule>
  </conditionalFormatting>
  <conditionalFormatting sqref="G1182">
    <cfRule type="expression" dxfId="27" priority="5" stopIfTrue="1">
      <formula>ISEVEN(ROW())</formula>
    </cfRule>
  </conditionalFormatting>
  <conditionalFormatting sqref="C327:D327">
    <cfRule type="timePeriod" dxfId="26" priority="4" timePeriod="yesterday">
      <formula>FLOOR(C327,1)=TODAY()-1</formula>
    </cfRule>
  </conditionalFormatting>
  <conditionalFormatting sqref="C328:D328">
    <cfRule type="timePeriod" dxfId="25" priority="3" timePeriod="yesterday">
      <formula>FLOOR(C328,1)=TODAY()-1</formula>
    </cfRule>
  </conditionalFormatting>
  <conditionalFormatting sqref="C329:D329">
    <cfRule type="timePeriod" dxfId="24" priority="2" timePeriod="yesterday">
      <formula>FLOOR(C329,1)=TODAY()-1</formula>
    </cfRule>
  </conditionalFormatting>
  <conditionalFormatting sqref="C330:D330">
    <cfRule type="timePeriod" dxfId="23" priority="1" timePeriod="yesterday">
      <formula>FLOOR(C330,1)=TODAY()-1</formula>
    </cfRule>
  </conditionalFormatting>
  <dataValidations count="6">
    <dataValidation type="list" allowBlank="1" showInputMessage="1" showErrorMessage="1" sqref="E558 E738:E740 E742:E743 E745 E752 E767:E771 E762 E418:E488 E409 E1112:E1122 E1125 E1127:E1128 E1241:E1246 E1477:E1483 E1289 E1285:E1287 E1355:E1364 E74:E143 E1109 E522:E532 E774:E775 E355:E360 E919:E931 E954:E1010 E206:E259 E377:E400 E935:E951 E60:E68 E149:E197 E4:E16 E871:E885 E1366:E1368 E543:E556 E23:E44 E599:E690 E1032:E1034 E1039:E1044 E496 E540:E541 E710:E734 E1460:E1471 E1090:E1095 E560:E579 E889:E898 E1058:E1071 E1074:E1081 E312:E325 E331:E351 E364:E370 E402:E406 E508:E510 E513:E516 E518:E520 E499:E506 E1249:E1258 E1291:E1328 E902:E915 E1450:E1458 E1489:E1493 E1497:E1566 E1601:E1605 E1370:E1387 E1656:E2635 E1579:E1581 E1643:E1645 E1651:E1653 E1394:E1395 E1399:E1424 E1427:E1444 E1583:E1590 E1592:E1599 E1613:E1641 E809:E869 E1132:E1239 E585:E591" xr:uid="{00000000-0002-0000-0A00-000000000000}">
      <formula1>INDIRECT($R4)</formula1>
    </dataValidation>
    <dataValidation type="list" allowBlank="1" showInputMessage="1" showErrorMessage="1" sqref="E144:E148 E557 E691:E709 E741 E744 E746:E751 E753:E761 E772:E773 E763:E766 E1123:E1124 E410:E417 E1240 E1247:E1248 E1288 E1290 E1369 E916:E918 E69:E73 D289 E497:E498 E735:E737 E899:E901 E870 E932:E934 E17:E22 E1035:E1038 E352:E354 E489:E495 E542 E45:E59 E401 E407:E408 E1459 E198:E205 E1642 E1072:E1073 E517 E886:E888 E952:E953 E1045:E1057 E1082:E1089 E326:E330 E361:E363 E375:E376 E507 E511:E512 E533:E539 E1646:E1650 E1096:E1108 E1396:E1398 E1445:E1449 E1494:E1496 E1484:E1488 E1425:E1426 E1388:E1393 E1129:E1131 E1591 E1259:E1284 E1475:E1476 E1582 E1365 E1329:E1354 E1472 E1567:E1578 E1606:E1612 E580:E584 E260:E311 E1011:E1031 E776:E808 E592:E598" xr:uid="{00000000-0002-0000-0A00-000001000000}">
      <formula1>INDIRECT($J17)</formula1>
    </dataValidation>
    <dataValidation type="list" allowBlank="1" showInputMessage="1" showErrorMessage="1" sqref="G226 H723:H727 H1290:H1297 H1299:H1302 H1304:H1305 H1454:H1497 H1527:H1551 H1553:H1554 H1562:H1563 H1499:H1525 H1565:H1596 H1641:H1739 H1242:H1288 H1311:H1348 I1361:I1362 H1598:H1621 H1623:H1633 I1352:I1353 H1351:H1452 H729:H1240 H4:H721" xr:uid="{00000000-0002-0000-0A00-000002000000}">
      <formula1>VinculoPT</formula1>
    </dataValidation>
    <dataValidation type="list" allowBlank="1" showErrorMessage="1" sqref="E1110:E1111 E559 E1654:E1655" xr:uid="{00000000-0002-0000-0A00-000003000000}">
      <formula1>INDIRECT($R559)</formula1>
    </dataValidation>
    <dataValidation type="list" allowBlank="1" showInputMessage="1" showErrorMessage="1" sqref="E521 E1126 E1600 E371:E374 E1473:E1474 D4:D288 D290:D2635" xr:uid="{00000000-0002-0000-0A00-000004000000}">
      <formula1>Categorias</formula1>
    </dataValidation>
    <dataValidation type="list" allowBlank="1" showInputMessage="1" showErrorMessage="1" sqref="O4:O2635" xr:uid="{00000000-0002-0000-0A00-000005000000}">
      <formula1>Conta</formula1>
    </dataValidation>
  </dataValidations>
  <printOptions horizontalCentered="1"/>
  <pageMargins left="0.59055118110236227" right="0.59055118110236227" top="0.59055118110236227" bottom="0.59055118110236227" header="0" footer="0"/>
  <pageSetup paperSize="9" scale="47" fitToHeight="0" pageOrder="overThenDown" orientation="landscape" r:id="rId1"/>
  <headerFooter>
    <oddFooter>Página &amp;P de &amp;N</oddFooter>
  </headerFooter>
  <rowBreaks count="4" manualBreakCount="4">
    <brk id="168" max="16383" man="1"/>
    <brk id="209" max="16383" man="1"/>
    <brk id="1447" max="14" man="1"/>
    <brk id="1562" max="16383" man="1"/>
  </rowBreaks>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U3040"/>
  <sheetViews>
    <sheetView zoomScale="94" zoomScaleNormal="94" zoomScaleSheetLayoutView="100" workbookViewId="0">
      <pane xSplit="6" ySplit="3" topLeftCell="L2365" activePane="bottomRight" state="frozen"/>
      <selection activeCell="G4" sqref="G4"/>
      <selection pane="topRight" activeCell="G4" sqref="G4"/>
      <selection pane="bottomLeft" activeCell="G4" sqref="G4"/>
      <selection pane="bottomRight" activeCell="A2367" sqref="A2367:XFD3040"/>
    </sheetView>
  </sheetViews>
  <sheetFormatPr defaultColWidth="9.140625" defaultRowHeight="12" x14ac:dyDescent="0.2"/>
  <cols>
    <col min="1" max="1" width="7.5703125" style="675" customWidth="1"/>
    <col min="2" max="2" width="10.5703125" style="676" bestFit="1" customWidth="1"/>
    <col min="3" max="3" width="6.7109375" style="677" customWidth="1"/>
    <col min="4" max="4" width="20.140625" style="676" customWidth="1"/>
    <col min="5" max="5" width="23.7109375" style="676" customWidth="1"/>
    <col min="6" max="6" width="12.85546875" style="678" customWidth="1"/>
    <col min="7" max="7" width="49.5703125" style="679" customWidth="1"/>
    <col min="8" max="8" width="19" style="676" customWidth="1"/>
    <col min="9" max="9" width="34.140625" style="514" customWidth="1"/>
    <col min="10" max="10" width="18.85546875" style="676" customWidth="1"/>
    <col min="11" max="11" width="17.28515625" style="676" customWidth="1"/>
    <col min="12" max="12" width="17.5703125" style="680" customWidth="1"/>
    <col min="13" max="13" width="22.5703125" style="676" customWidth="1"/>
    <col min="14" max="14" width="12.28515625" style="676" customWidth="1"/>
    <col min="15" max="15" width="19.5703125" style="676" customWidth="1"/>
    <col min="16" max="17" width="7.42578125" style="681" customWidth="1"/>
    <col min="18" max="18" width="23.28515625" style="661" customWidth="1"/>
    <col min="19" max="19" width="10" style="662" customWidth="1"/>
    <col min="20" max="20" width="9.85546875" style="662" customWidth="1"/>
    <col min="21" max="21" width="19.7109375" style="478" customWidth="1"/>
    <col min="22" max="16384" width="9.140625" style="478"/>
  </cols>
  <sheetData>
    <row r="1" spans="1:20" ht="18" customHeight="1" x14ac:dyDescent="0.2">
      <c r="A1" s="811" t="str">
        <f>Capa!A1</f>
        <v>Contrato de Gestão nº. 05/20 celebrado entre a Fundação Clóvis Salgado e a Associação Pró-Cultura e Promoção das Artes</v>
      </c>
      <c r="B1" s="811"/>
      <c r="C1" s="811"/>
      <c r="D1" s="811"/>
      <c r="E1" s="811"/>
      <c r="F1" s="811"/>
      <c r="G1" s="811"/>
      <c r="H1" s="811"/>
      <c r="I1" s="811"/>
      <c r="J1" s="811"/>
      <c r="K1" s="811"/>
      <c r="L1" s="811"/>
      <c r="M1" s="811"/>
      <c r="N1" s="811"/>
      <c r="O1" s="659"/>
      <c r="P1" s="660">
        <f>MONTH(Resumo!$C$5)</f>
        <v>1</v>
      </c>
      <c r="Q1" s="660">
        <f>YEAR(Resumo!$C$5)</f>
        <v>2022</v>
      </c>
    </row>
    <row r="2" spans="1:20" ht="18" customHeight="1" thickBot="1" x14ac:dyDescent="0.25">
      <c r="A2" s="812" t="str">
        <f>"Tabela 9 - Diário de Entradas e Saídas do Contrato de Gestão - "&amp;LEFT(Capa!A14,1)+1&amp;"º Período Avaliatório"</f>
        <v>Tabela 9 - Diário de Entradas e Saídas do Contrato de Gestão - 2º Período Avaliatório</v>
      </c>
      <c r="B2" s="812"/>
      <c r="C2" s="812"/>
      <c r="D2" s="812"/>
      <c r="E2" s="812"/>
      <c r="F2" s="812"/>
      <c r="G2" s="812"/>
      <c r="H2" s="812"/>
      <c r="I2" s="812"/>
      <c r="J2" s="812"/>
      <c r="K2" s="812"/>
      <c r="L2" s="812"/>
      <c r="M2" s="812"/>
      <c r="N2" s="812"/>
      <c r="O2" s="663"/>
      <c r="P2" s="664"/>
      <c r="Q2" s="664"/>
    </row>
    <row r="3" spans="1:20" s="672" customFormat="1" ht="24" x14ac:dyDescent="0.2">
      <c r="A3" s="665" t="s">
        <v>97</v>
      </c>
      <c r="B3" s="666" t="s">
        <v>280</v>
      </c>
      <c r="C3" s="667" t="s">
        <v>283</v>
      </c>
      <c r="D3" s="665" t="s">
        <v>35</v>
      </c>
      <c r="E3" s="667" t="s">
        <v>44</v>
      </c>
      <c r="F3" s="667" t="s">
        <v>272</v>
      </c>
      <c r="G3" s="701" t="s">
        <v>55</v>
      </c>
      <c r="H3" s="668" t="s">
        <v>305</v>
      </c>
      <c r="I3" s="701" t="s">
        <v>54</v>
      </c>
      <c r="J3" s="667" t="s">
        <v>56</v>
      </c>
      <c r="K3" s="667" t="s">
        <v>76</v>
      </c>
      <c r="L3" s="667" t="s">
        <v>52</v>
      </c>
      <c r="M3" s="667" t="s">
        <v>75</v>
      </c>
      <c r="N3" s="667" t="s">
        <v>165</v>
      </c>
      <c r="O3" s="669" t="s">
        <v>1222</v>
      </c>
      <c r="P3" s="670" t="s">
        <v>281</v>
      </c>
      <c r="Q3" s="670" t="s">
        <v>282</v>
      </c>
      <c r="R3" s="670" t="s">
        <v>35</v>
      </c>
      <c r="S3" s="671" t="s">
        <v>3340</v>
      </c>
      <c r="T3" s="671" t="s">
        <v>1002</v>
      </c>
    </row>
    <row r="4" spans="1:20" s="88" customFormat="1" ht="24" x14ac:dyDescent="0.2">
      <c r="A4" s="510">
        <f>IF(B4="","",COUNT('Diário 1º PA'!$A$4:$A$2635)+ROW()-3)</f>
        <v>1737</v>
      </c>
      <c r="B4" s="414">
        <v>44652</v>
      </c>
      <c r="C4" s="424">
        <v>44621</v>
      </c>
      <c r="D4" s="415" t="s">
        <v>182</v>
      </c>
      <c r="E4" s="415" t="s">
        <v>8</v>
      </c>
      <c r="F4" s="425">
        <v>-23.2</v>
      </c>
      <c r="G4" s="427" t="s">
        <v>3341</v>
      </c>
      <c r="H4" s="415" t="s">
        <v>310</v>
      </c>
      <c r="I4" s="427" t="s">
        <v>795</v>
      </c>
      <c r="J4" s="415" t="s">
        <v>796</v>
      </c>
      <c r="K4" s="415" t="s">
        <v>797</v>
      </c>
      <c r="L4" s="415" t="s">
        <v>798</v>
      </c>
      <c r="M4" s="415" t="s">
        <v>310</v>
      </c>
      <c r="N4" s="414">
        <v>44652</v>
      </c>
      <c r="O4" s="414" t="s">
        <v>400</v>
      </c>
      <c r="P4" s="603">
        <f t="shared" ref="P4:P70" si="0">IF(B4=0,0,IF(YEAR(B4)=$Q$1,MONTH(B4)-$P$1+1,(YEAR(B4)-$Q$1)*12-$P$1+1+MONTH(B4)))</f>
        <v>4</v>
      </c>
      <c r="Q4" s="603">
        <f t="shared" ref="Q4:Q70" si="1">IF(C4=0,0,IF(YEAR(C4)=$Q$1,MONTH(C4)-$P$1+1,(YEAR(C4)-$Q$1)*12-$P$1+1+MONTH(C4)))</f>
        <v>3</v>
      </c>
      <c r="R4" s="604" t="str">
        <f t="shared" ref="R4:R70" si="2">SUBSTITUTE(D4," ","_")</f>
        <v>Gastos_com_Pessoal</v>
      </c>
      <c r="S4" s="605" t="s">
        <v>310</v>
      </c>
      <c r="T4" s="605" t="s">
        <v>310</v>
      </c>
    </row>
    <row r="5" spans="1:20" s="88" customFormat="1" ht="36" x14ac:dyDescent="0.2">
      <c r="A5" s="510">
        <f>IF(B5="","",COUNT('Diário 1º PA'!$A$4:$A$2635)+ROW()-3)</f>
        <v>1738</v>
      </c>
      <c r="B5" s="414">
        <v>44652</v>
      </c>
      <c r="C5" s="424">
        <v>44621</v>
      </c>
      <c r="D5" s="415" t="s">
        <v>182</v>
      </c>
      <c r="E5" s="415" t="s">
        <v>179</v>
      </c>
      <c r="F5" s="425">
        <v>-15.8</v>
      </c>
      <c r="G5" s="427" t="s">
        <v>3342</v>
      </c>
      <c r="H5" s="415" t="s">
        <v>310</v>
      </c>
      <c r="I5" s="427" t="s">
        <v>795</v>
      </c>
      <c r="J5" s="415" t="s">
        <v>796</v>
      </c>
      <c r="K5" s="415" t="s">
        <v>797</v>
      </c>
      <c r="L5" s="415" t="s">
        <v>798</v>
      </c>
      <c r="M5" s="415" t="s">
        <v>310</v>
      </c>
      <c r="N5" s="414">
        <v>44652</v>
      </c>
      <c r="O5" s="414" t="s">
        <v>400</v>
      </c>
      <c r="P5" s="603">
        <f t="shared" si="0"/>
        <v>4</v>
      </c>
      <c r="Q5" s="603">
        <f t="shared" si="1"/>
        <v>3</v>
      </c>
      <c r="R5" s="604" t="str">
        <f t="shared" si="2"/>
        <v>Gastos_com_Pessoal</v>
      </c>
      <c r="S5" s="605" t="s">
        <v>310</v>
      </c>
      <c r="T5" s="605" t="s">
        <v>310</v>
      </c>
    </row>
    <row r="6" spans="1:20" s="88" customFormat="1" ht="24" x14ac:dyDescent="0.2">
      <c r="A6" s="510">
        <f>IF(B6="","",COUNT('Diário 1º PA'!$A$4:$A$2635)+ROW()-3)</f>
        <v>1739</v>
      </c>
      <c r="B6" s="414">
        <v>44652</v>
      </c>
      <c r="C6" s="424">
        <v>44621</v>
      </c>
      <c r="D6" s="415" t="s">
        <v>182</v>
      </c>
      <c r="E6" s="415" t="s">
        <v>8</v>
      </c>
      <c r="F6" s="425">
        <v>-23.2</v>
      </c>
      <c r="G6" s="427" t="s">
        <v>3341</v>
      </c>
      <c r="H6" s="415" t="s">
        <v>310</v>
      </c>
      <c r="I6" s="427" t="s">
        <v>795</v>
      </c>
      <c r="J6" s="415" t="s">
        <v>796</v>
      </c>
      <c r="K6" s="415" t="s">
        <v>797</v>
      </c>
      <c r="L6" s="415" t="s">
        <v>798</v>
      </c>
      <c r="M6" s="415" t="s">
        <v>310</v>
      </c>
      <c r="N6" s="414">
        <v>44652</v>
      </c>
      <c r="O6" s="414" t="s">
        <v>400</v>
      </c>
      <c r="P6" s="603">
        <f t="shared" si="0"/>
        <v>4</v>
      </c>
      <c r="Q6" s="603">
        <f t="shared" si="1"/>
        <v>3</v>
      </c>
      <c r="R6" s="604" t="str">
        <f t="shared" si="2"/>
        <v>Gastos_com_Pessoal</v>
      </c>
      <c r="S6" s="605" t="s">
        <v>310</v>
      </c>
      <c r="T6" s="605" t="s">
        <v>310</v>
      </c>
    </row>
    <row r="7" spans="1:20" s="88" customFormat="1" ht="36" x14ac:dyDescent="0.2">
      <c r="A7" s="510">
        <f>IF(B7="","",COUNT('Diário 1º PA'!$A$4:$A$2635)+ROW()-3)</f>
        <v>1740</v>
      </c>
      <c r="B7" s="414">
        <v>44652</v>
      </c>
      <c r="C7" s="424">
        <v>44621</v>
      </c>
      <c r="D7" s="415" t="s">
        <v>182</v>
      </c>
      <c r="E7" s="415" t="s">
        <v>179</v>
      </c>
      <c r="F7" s="425">
        <v>-110.6</v>
      </c>
      <c r="G7" s="427" t="s">
        <v>3343</v>
      </c>
      <c r="H7" s="415" t="s">
        <v>310</v>
      </c>
      <c r="I7" s="427" t="s">
        <v>795</v>
      </c>
      <c r="J7" s="415" t="s">
        <v>796</v>
      </c>
      <c r="K7" s="415" t="s">
        <v>797</v>
      </c>
      <c r="L7" s="415" t="s">
        <v>798</v>
      </c>
      <c r="M7" s="415" t="s">
        <v>310</v>
      </c>
      <c r="N7" s="414">
        <v>44652</v>
      </c>
      <c r="O7" s="414" t="s">
        <v>400</v>
      </c>
      <c r="P7" s="603">
        <f t="shared" si="0"/>
        <v>4</v>
      </c>
      <c r="Q7" s="603">
        <f t="shared" si="1"/>
        <v>3</v>
      </c>
      <c r="R7" s="604" t="str">
        <f t="shared" si="2"/>
        <v>Gastos_com_Pessoal</v>
      </c>
      <c r="S7" s="605" t="s">
        <v>310</v>
      </c>
      <c r="T7" s="605" t="s">
        <v>310</v>
      </c>
    </row>
    <row r="8" spans="1:20" s="88" customFormat="1" ht="24" x14ac:dyDescent="0.2">
      <c r="A8" s="510">
        <f>IF(B8="","",COUNT('Diário 1º PA'!$A$4:$A$2635)+ROW()-3)</f>
        <v>1741</v>
      </c>
      <c r="B8" s="414">
        <v>44652</v>
      </c>
      <c r="C8" s="424">
        <v>44621</v>
      </c>
      <c r="D8" s="415" t="s">
        <v>182</v>
      </c>
      <c r="E8" s="415" t="s">
        <v>8</v>
      </c>
      <c r="F8" s="425">
        <v>-139.19999999999999</v>
      </c>
      <c r="G8" s="427" t="s">
        <v>3341</v>
      </c>
      <c r="H8" s="415" t="s">
        <v>310</v>
      </c>
      <c r="I8" s="427" t="s">
        <v>795</v>
      </c>
      <c r="J8" s="415" t="s">
        <v>796</v>
      </c>
      <c r="K8" s="415" t="s">
        <v>797</v>
      </c>
      <c r="L8" s="415" t="s">
        <v>798</v>
      </c>
      <c r="M8" s="415" t="s">
        <v>310</v>
      </c>
      <c r="N8" s="414">
        <v>44652</v>
      </c>
      <c r="O8" s="414" t="s">
        <v>400</v>
      </c>
      <c r="P8" s="603">
        <f t="shared" si="0"/>
        <v>4</v>
      </c>
      <c r="Q8" s="603">
        <f t="shared" si="1"/>
        <v>3</v>
      </c>
      <c r="R8" s="604" t="str">
        <f t="shared" si="2"/>
        <v>Gastos_com_Pessoal</v>
      </c>
      <c r="S8" s="605" t="s">
        <v>310</v>
      </c>
      <c r="T8" s="605" t="s">
        <v>310</v>
      </c>
    </row>
    <row r="9" spans="1:20" s="88" customFormat="1" ht="72" x14ac:dyDescent="0.2">
      <c r="A9" s="510">
        <f>IF(B9="","",COUNT('Diário 1º PA'!$A$4:$A$2635)+ROW()-3)</f>
        <v>1742</v>
      </c>
      <c r="B9" s="414">
        <v>44652</v>
      </c>
      <c r="C9" s="424">
        <v>44621</v>
      </c>
      <c r="D9" s="415" t="s">
        <v>271</v>
      </c>
      <c r="E9" s="415" t="s">
        <v>82</v>
      </c>
      <c r="F9" s="425">
        <v>-436.3</v>
      </c>
      <c r="G9" s="427" t="s">
        <v>3344</v>
      </c>
      <c r="H9" s="415" t="s">
        <v>755</v>
      </c>
      <c r="I9" s="427" t="s">
        <v>795</v>
      </c>
      <c r="J9" s="415" t="s">
        <v>796</v>
      </c>
      <c r="K9" s="415" t="s">
        <v>797</v>
      </c>
      <c r="L9" s="415" t="s">
        <v>798</v>
      </c>
      <c r="M9" s="415" t="s">
        <v>310</v>
      </c>
      <c r="N9" s="414">
        <v>44652</v>
      </c>
      <c r="O9" s="414" t="s">
        <v>400</v>
      </c>
      <c r="P9" s="603">
        <f t="shared" si="0"/>
        <v>4</v>
      </c>
      <c r="Q9" s="603">
        <f t="shared" si="1"/>
        <v>3</v>
      </c>
      <c r="R9" s="604" t="str">
        <f t="shared" si="2"/>
        <v>Gastos_Gerais</v>
      </c>
      <c r="S9" s="605" t="s">
        <v>310</v>
      </c>
      <c r="T9" s="605" t="s">
        <v>310</v>
      </c>
    </row>
    <row r="10" spans="1:20" s="88" customFormat="1" ht="36" x14ac:dyDescent="0.2">
      <c r="A10" s="510">
        <f>IF(B10="","",COUNT('Diário 1º PA'!$A$4:$A$2635)+ROW()-3)</f>
        <v>1743</v>
      </c>
      <c r="B10" s="414">
        <v>44652</v>
      </c>
      <c r="C10" s="424">
        <v>44652</v>
      </c>
      <c r="D10" s="415" t="s">
        <v>182</v>
      </c>
      <c r="E10" s="415" t="s">
        <v>287</v>
      </c>
      <c r="F10" s="425">
        <v>14075.09</v>
      </c>
      <c r="G10" s="427" t="s">
        <v>1362</v>
      </c>
      <c r="H10" s="415" t="s">
        <v>310</v>
      </c>
      <c r="I10" s="427" t="s">
        <v>941</v>
      </c>
      <c r="J10" s="415" t="s">
        <v>942</v>
      </c>
      <c r="K10" s="415" t="s">
        <v>806</v>
      </c>
      <c r="L10" s="415" t="s">
        <v>925</v>
      </c>
      <c r="M10" s="415" t="s">
        <v>310</v>
      </c>
      <c r="N10" s="414">
        <v>44652</v>
      </c>
      <c r="O10" s="414" t="s">
        <v>400</v>
      </c>
      <c r="P10" s="603">
        <f t="shared" si="0"/>
        <v>4</v>
      </c>
      <c r="Q10" s="603">
        <f t="shared" si="1"/>
        <v>4</v>
      </c>
      <c r="R10" s="604" t="str">
        <f t="shared" si="2"/>
        <v>Gastos_com_Pessoal</v>
      </c>
      <c r="S10" s="605" t="s">
        <v>310</v>
      </c>
      <c r="T10" s="605" t="s">
        <v>310</v>
      </c>
    </row>
    <row r="11" spans="1:20" s="88" customFormat="1" ht="39.75" customHeight="1" x14ac:dyDescent="0.2">
      <c r="A11" s="510">
        <f>IF(B11="","",COUNT('Diário 1º PA'!$A$4:$A$2635)+ROW()-3)</f>
        <v>1744</v>
      </c>
      <c r="B11" s="414">
        <v>44652</v>
      </c>
      <c r="C11" s="424">
        <v>44652</v>
      </c>
      <c r="D11" s="415" t="s">
        <v>182</v>
      </c>
      <c r="E11" s="415" t="s">
        <v>287</v>
      </c>
      <c r="F11" s="425">
        <v>7272.04</v>
      </c>
      <c r="G11" s="427" t="s">
        <v>3345</v>
      </c>
      <c r="H11" s="415" t="s">
        <v>310</v>
      </c>
      <c r="I11" s="427" t="s">
        <v>990</v>
      </c>
      <c r="J11" s="415" t="s">
        <v>991</v>
      </c>
      <c r="K11" s="415" t="s">
        <v>830</v>
      </c>
      <c r="L11" s="415" t="s">
        <v>925</v>
      </c>
      <c r="M11" s="415" t="s">
        <v>310</v>
      </c>
      <c r="N11" s="414">
        <v>44652</v>
      </c>
      <c r="O11" s="414" t="s">
        <v>400</v>
      </c>
      <c r="P11" s="603">
        <f t="shared" si="0"/>
        <v>4</v>
      </c>
      <c r="Q11" s="603">
        <f t="shared" si="1"/>
        <v>4</v>
      </c>
      <c r="R11" s="604" t="str">
        <f t="shared" si="2"/>
        <v>Gastos_com_Pessoal</v>
      </c>
      <c r="S11" s="605" t="s">
        <v>310</v>
      </c>
      <c r="T11" s="605" t="s">
        <v>310</v>
      </c>
    </row>
    <row r="12" spans="1:20" s="88" customFormat="1" ht="36.75" customHeight="1" x14ac:dyDescent="0.2">
      <c r="A12" s="510">
        <f>IF(B12="","",COUNT('Diário 1º PA'!$A$4:$A$2635)+ROW()-3)</f>
        <v>1745</v>
      </c>
      <c r="B12" s="414">
        <v>44652</v>
      </c>
      <c r="C12" s="424">
        <v>44621</v>
      </c>
      <c r="D12" s="415" t="s">
        <v>182</v>
      </c>
      <c r="E12" s="415" t="s">
        <v>179</v>
      </c>
      <c r="F12" s="425">
        <v>400.37</v>
      </c>
      <c r="G12" s="437" t="s">
        <v>3346</v>
      </c>
      <c r="H12" s="415" t="s">
        <v>310</v>
      </c>
      <c r="I12" s="437" t="s">
        <v>771</v>
      </c>
      <c r="J12" s="415" t="s">
        <v>819</v>
      </c>
      <c r="K12" s="415" t="s">
        <v>812</v>
      </c>
      <c r="L12" s="415" t="s">
        <v>807</v>
      </c>
      <c r="M12" s="415" t="s">
        <v>3347</v>
      </c>
      <c r="N12" s="414">
        <v>44642</v>
      </c>
      <c r="O12" s="414" t="s">
        <v>400</v>
      </c>
      <c r="P12" s="603">
        <f t="shared" si="0"/>
        <v>4</v>
      </c>
      <c r="Q12" s="603">
        <f t="shared" si="1"/>
        <v>3</v>
      </c>
      <c r="R12" s="604" t="str">
        <f t="shared" si="2"/>
        <v>Gastos_com_Pessoal</v>
      </c>
      <c r="S12" s="605" t="s">
        <v>310</v>
      </c>
      <c r="T12" s="605" t="s">
        <v>310</v>
      </c>
    </row>
    <row r="13" spans="1:20" s="88" customFormat="1" ht="41.25" customHeight="1" x14ac:dyDescent="0.2">
      <c r="A13" s="510">
        <f>IF(B13="","",COUNT('Diário 1º PA'!$A$4:$A$2635)+ROW()-3)</f>
        <v>1746</v>
      </c>
      <c r="B13" s="414">
        <v>44652</v>
      </c>
      <c r="C13" s="424">
        <v>44621</v>
      </c>
      <c r="D13" s="415" t="s">
        <v>182</v>
      </c>
      <c r="E13" s="415" t="s">
        <v>179</v>
      </c>
      <c r="F13" s="425">
        <v>579.21</v>
      </c>
      <c r="G13" s="437" t="s">
        <v>514</v>
      </c>
      <c r="H13" s="415" t="s">
        <v>310</v>
      </c>
      <c r="I13" s="437" t="s">
        <v>771</v>
      </c>
      <c r="J13" s="415" t="s">
        <v>819</v>
      </c>
      <c r="K13" s="415" t="s">
        <v>812</v>
      </c>
      <c r="L13" s="415" t="s">
        <v>807</v>
      </c>
      <c r="M13" s="415" t="s">
        <v>3350</v>
      </c>
      <c r="N13" s="414">
        <v>44642</v>
      </c>
      <c r="O13" s="414" t="s">
        <v>400</v>
      </c>
      <c r="P13" s="603">
        <f t="shared" si="0"/>
        <v>4</v>
      </c>
      <c r="Q13" s="603">
        <f t="shared" si="1"/>
        <v>3</v>
      </c>
      <c r="R13" s="604" t="str">
        <f t="shared" si="2"/>
        <v>Gastos_com_Pessoal</v>
      </c>
      <c r="S13" s="605" t="s">
        <v>310</v>
      </c>
      <c r="T13" s="605" t="s">
        <v>310</v>
      </c>
    </row>
    <row r="14" spans="1:20" s="88" customFormat="1" ht="41.25" customHeight="1" x14ac:dyDescent="0.2">
      <c r="A14" s="510">
        <f>IF(B14="","",COUNT('Diário 1º PA'!$A$4:$A$2635)+ROW()-3)</f>
        <v>1747</v>
      </c>
      <c r="B14" s="414">
        <v>44652</v>
      </c>
      <c r="C14" s="424">
        <v>44621</v>
      </c>
      <c r="D14" s="415" t="s">
        <v>182</v>
      </c>
      <c r="E14" s="415" t="s">
        <v>8</v>
      </c>
      <c r="F14" s="425">
        <v>1577.59</v>
      </c>
      <c r="G14" s="437" t="s">
        <v>506</v>
      </c>
      <c r="H14" s="415" t="s">
        <v>310</v>
      </c>
      <c r="I14" s="437" t="s">
        <v>770</v>
      </c>
      <c r="J14" s="415" t="s">
        <v>796</v>
      </c>
      <c r="K14" s="415" t="s">
        <v>812</v>
      </c>
      <c r="L14" s="415" t="s">
        <v>826</v>
      </c>
      <c r="M14" s="548">
        <v>8134322</v>
      </c>
      <c r="N14" s="414">
        <v>44637</v>
      </c>
      <c r="O14" s="414" t="s">
        <v>400</v>
      </c>
      <c r="P14" s="603">
        <f t="shared" si="0"/>
        <v>4</v>
      </c>
      <c r="Q14" s="603">
        <f t="shared" si="1"/>
        <v>3</v>
      </c>
      <c r="R14" s="604" t="str">
        <f t="shared" si="2"/>
        <v>Gastos_com_Pessoal</v>
      </c>
      <c r="S14" s="605" t="s">
        <v>310</v>
      </c>
      <c r="T14" s="605" t="s">
        <v>310</v>
      </c>
    </row>
    <row r="15" spans="1:20" s="88" customFormat="1" ht="36" x14ac:dyDescent="0.2">
      <c r="A15" s="510">
        <v>1748</v>
      </c>
      <c r="B15" s="414">
        <v>44652</v>
      </c>
      <c r="C15" s="424">
        <v>44621</v>
      </c>
      <c r="D15" s="415" t="s">
        <v>468</v>
      </c>
      <c r="E15" s="415" t="s">
        <v>468</v>
      </c>
      <c r="F15" s="425">
        <v>2750</v>
      </c>
      <c r="G15" s="437" t="s">
        <v>694</v>
      </c>
      <c r="H15" s="415" t="s">
        <v>468</v>
      </c>
      <c r="I15" s="437" t="s">
        <v>3410</v>
      </c>
      <c r="J15" s="415" t="s">
        <v>1148</v>
      </c>
      <c r="K15" s="415" t="s">
        <v>830</v>
      </c>
      <c r="L15" s="415" t="s">
        <v>807</v>
      </c>
      <c r="M15" s="415" t="s">
        <v>1793</v>
      </c>
      <c r="N15" s="414">
        <v>44652</v>
      </c>
      <c r="O15" s="414" t="s">
        <v>408</v>
      </c>
      <c r="P15" s="603">
        <f t="shared" si="0"/>
        <v>4</v>
      </c>
      <c r="Q15" s="603">
        <f t="shared" si="1"/>
        <v>3</v>
      </c>
      <c r="R15" s="604" t="str">
        <f t="shared" si="2"/>
        <v>Gastos_custeados_por_captação</v>
      </c>
      <c r="S15" s="605" t="s">
        <v>1000</v>
      </c>
      <c r="T15" s="605">
        <v>2662</v>
      </c>
    </row>
    <row r="16" spans="1:20" s="88" customFormat="1" ht="60" x14ac:dyDescent="0.2">
      <c r="A16" s="510">
        <f>IF(B16="","",COUNT('Diário 1º PA'!$A$4:$A$2635)+ROW()-3)</f>
        <v>1749</v>
      </c>
      <c r="B16" s="414">
        <v>44655</v>
      </c>
      <c r="C16" s="431">
        <v>44621</v>
      </c>
      <c r="D16" s="415" t="s">
        <v>271</v>
      </c>
      <c r="E16" s="415" t="s">
        <v>90</v>
      </c>
      <c r="F16" s="425">
        <v>-1980.75</v>
      </c>
      <c r="G16" s="427" t="s">
        <v>3352</v>
      </c>
      <c r="H16" s="415" t="s">
        <v>309</v>
      </c>
      <c r="I16" s="427" t="s">
        <v>795</v>
      </c>
      <c r="J16" s="415" t="s">
        <v>796</v>
      </c>
      <c r="K16" s="415" t="s">
        <v>797</v>
      </c>
      <c r="L16" s="415" t="s">
        <v>798</v>
      </c>
      <c r="M16" s="415" t="s">
        <v>310</v>
      </c>
      <c r="N16" s="414">
        <v>44655</v>
      </c>
      <c r="O16" s="414" t="s">
        <v>400</v>
      </c>
      <c r="P16" s="603">
        <f t="shared" si="0"/>
        <v>4</v>
      </c>
      <c r="Q16" s="603">
        <f t="shared" si="1"/>
        <v>3</v>
      </c>
      <c r="R16" s="604" t="str">
        <f t="shared" si="2"/>
        <v>Gastos_Gerais</v>
      </c>
      <c r="S16" s="605" t="s">
        <v>310</v>
      </c>
      <c r="T16" s="605" t="s">
        <v>310</v>
      </c>
    </row>
    <row r="17" spans="1:20" s="88" customFormat="1" ht="24" x14ac:dyDescent="0.2">
      <c r="A17" s="510">
        <f>IF(B17="","",COUNT('Diário 1º PA'!$A$4:$A$2635)+ROW()-3)</f>
        <v>1750</v>
      </c>
      <c r="B17" s="414">
        <v>44655</v>
      </c>
      <c r="C17" s="431">
        <v>44652</v>
      </c>
      <c r="D17" s="415" t="s">
        <v>182</v>
      </c>
      <c r="E17" s="415" t="s">
        <v>161</v>
      </c>
      <c r="F17" s="425">
        <v>236.22</v>
      </c>
      <c r="G17" s="427" t="s">
        <v>1495</v>
      </c>
      <c r="H17" s="415" t="s">
        <v>310</v>
      </c>
      <c r="I17" s="427" t="s">
        <v>2008</v>
      </c>
      <c r="J17" s="548" t="s">
        <v>2009</v>
      </c>
      <c r="K17" s="415" t="s">
        <v>812</v>
      </c>
      <c r="L17" s="415" t="s">
        <v>807</v>
      </c>
      <c r="M17" s="415" t="s">
        <v>3353</v>
      </c>
      <c r="N17" s="414">
        <v>44658</v>
      </c>
      <c r="O17" s="414" t="s">
        <v>400</v>
      </c>
      <c r="P17" s="603">
        <f t="shared" si="0"/>
        <v>4</v>
      </c>
      <c r="Q17" s="603">
        <f t="shared" si="1"/>
        <v>4</v>
      </c>
      <c r="R17" s="604" t="str">
        <f t="shared" si="2"/>
        <v>Gastos_com_Pessoal</v>
      </c>
      <c r="S17" s="605" t="s">
        <v>310</v>
      </c>
      <c r="T17" s="605" t="s">
        <v>310</v>
      </c>
    </row>
    <row r="18" spans="1:20" s="88" customFormat="1" ht="24" x14ac:dyDescent="0.2">
      <c r="A18" s="510">
        <f>IF(B18="","",COUNT('Diário 1º PA'!$A$4:$A$2635)+ROW()-3)</f>
        <v>1751</v>
      </c>
      <c r="B18" s="414">
        <v>44655</v>
      </c>
      <c r="C18" s="431">
        <v>44652</v>
      </c>
      <c r="D18" s="415" t="s">
        <v>182</v>
      </c>
      <c r="E18" s="415" t="s">
        <v>161</v>
      </c>
      <c r="F18" s="425">
        <v>236.22</v>
      </c>
      <c r="G18" s="427" t="s">
        <v>1495</v>
      </c>
      <c r="H18" s="415" t="s">
        <v>310</v>
      </c>
      <c r="I18" s="427" t="s">
        <v>2008</v>
      </c>
      <c r="J18" s="548" t="s">
        <v>2009</v>
      </c>
      <c r="K18" s="415" t="s">
        <v>812</v>
      </c>
      <c r="L18" s="415" t="s">
        <v>807</v>
      </c>
      <c r="M18" s="415" t="s">
        <v>3355</v>
      </c>
      <c r="N18" s="414">
        <v>44658</v>
      </c>
      <c r="O18" s="414" t="s">
        <v>400</v>
      </c>
      <c r="P18" s="603">
        <f t="shared" si="0"/>
        <v>4</v>
      </c>
      <c r="Q18" s="603">
        <f t="shared" si="1"/>
        <v>4</v>
      </c>
      <c r="R18" s="604" t="str">
        <f t="shared" si="2"/>
        <v>Gastos_com_Pessoal</v>
      </c>
      <c r="S18" s="605" t="s">
        <v>310</v>
      </c>
      <c r="T18" s="605" t="s">
        <v>310</v>
      </c>
    </row>
    <row r="19" spans="1:20" s="88" customFormat="1" ht="24" x14ac:dyDescent="0.2">
      <c r="A19" s="510">
        <f>IF(B19="","",COUNT('Diário 1º PA'!$A$4:$A$2635)+ROW()-3)</f>
        <v>1752</v>
      </c>
      <c r="B19" s="414">
        <v>44655</v>
      </c>
      <c r="C19" s="466">
        <v>44621</v>
      </c>
      <c r="D19" s="415" t="s">
        <v>271</v>
      </c>
      <c r="E19" s="415" t="s">
        <v>297</v>
      </c>
      <c r="F19" s="435">
        <v>342</v>
      </c>
      <c r="G19" s="437" t="s">
        <v>1484</v>
      </c>
      <c r="H19" s="434" t="s">
        <v>309</v>
      </c>
      <c r="I19" s="437" t="s">
        <v>1485</v>
      </c>
      <c r="J19" s="434" t="s">
        <v>1483</v>
      </c>
      <c r="K19" s="418" t="s">
        <v>812</v>
      </c>
      <c r="L19" s="434" t="s">
        <v>807</v>
      </c>
      <c r="M19" s="415">
        <v>6121044</v>
      </c>
      <c r="N19" s="414">
        <v>44678</v>
      </c>
      <c r="O19" s="414" t="s">
        <v>400</v>
      </c>
      <c r="P19" s="603">
        <f t="shared" si="0"/>
        <v>4</v>
      </c>
      <c r="Q19" s="603">
        <f t="shared" si="1"/>
        <v>3</v>
      </c>
      <c r="R19" s="604" t="str">
        <f t="shared" si="2"/>
        <v>Gastos_Gerais</v>
      </c>
      <c r="S19" s="605" t="s">
        <v>1000</v>
      </c>
      <c r="T19" s="605">
        <v>1551</v>
      </c>
    </row>
    <row r="20" spans="1:20" s="88" customFormat="1" ht="48" x14ac:dyDescent="0.2">
      <c r="A20" s="510">
        <f>IF(B20="","",COUNT('Diário 1º PA'!$A$4:$A$2635)+ROW()-3)</f>
        <v>1753</v>
      </c>
      <c r="B20" s="414">
        <v>44655</v>
      </c>
      <c r="C20" s="431">
        <v>44621</v>
      </c>
      <c r="D20" s="415" t="s">
        <v>271</v>
      </c>
      <c r="E20" s="415" t="s">
        <v>456</v>
      </c>
      <c r="F20" s="425">
        <v>110.79</v>
      </c>
      <c r="G20" s="427" t="s">
        <v>2565</v>
      </c>
      <c r="H20" s="419" t="s">
        <v>755</v>
      </c>
      <c r="I20" s="427" t="s">
        <v>3357</v>
      </c>
      <c r="J20" s="415" t="s">
        <v>1006</v>
      </c>
      <c r="K20" s="418" t="s">
        <v>812</v>
      </c>
      <c r="L20" s="434" t="s">
        <v>807</v>
      </c>
      <c r="M20" s="415">
        <v>31265</v>
      </c>
      <c r="N20" s="414">
        <v>44656</v>
      </c>
      <c r="O20" s="414" t="s">
        <v>400</v>
      </c>
      <c r="P20" s="603">
        <f t="shared" si="0"/>
        <v>4</v>
      </c>
      <c r="Q20" s="603">
        <f t="shared" si="1"/>
        <v>3</v>
      </c>
      <c r="R20" s="604" t="str">
        <f t="shared" si="2"/>
        <v>Gastos_Gerais</v>
      </c>
      <c r="S20" s="605" t="s">
        <v>999</v>
      </c>
      <c r="T20" s="605">
        <v>3256</v>
      </c>
    </row>
    <row r="21" spans="1:20" s="88" customFormat="1" ht="96" x14ac:dyDescent="0.2">
      <c r="A21" s="510">
        <f>IF(B21="","",COUNT('Diário 1º PA'!$A$4:$A$2635)+ROW()-3)</f>
        <v>1754</v>
      </c>
      <c r="B21" s="414">
        <v>44655</v>
      </c>
      <c r="C21" s="431">
        <v>44621</v>
      </c>
      <c r="D21" s="415" t="s">
        <v>271</v>
      </c>
      <c r="E21" s="415" t="s">
        <v>90</v>
      </c>
      <c r="F21" s="425">
        <v>7340.25</v>
      </c>
      <c r="G21" s="427" t="s">
        <v>862</v>
      </c>
      <c r="H21" s="415" t="s">
        <v>309</v>
      </c>
      <c r="I21" s="427" t="s">
        <v>850</v>
      </c>
      <c r="J21" s="415" t="s">
        <v>863</v>
      </c>
      <c r="K21" s="415" t="s">
        <v>830</v>
      </c>
      <c r="L21" s="415" t="s">
        <v>807</v>
      </c>
      <c r="M21" s="415" t="s">
        <v>1813</v>
      </c>
      <c r="N21" s="414">
        <v>44655</v>
      </c>
      <c r="O21" s="414" t="s">
        <v>400</v>
      </c>
      <c r="P21" s="603">
        <f t="shared" si="0"/>
        <v>4</v>
      </c>
      <c r="Q21" s="603">
        <f t="shared" si="1"/>
        <v>3</v>
      </c>
      <c r="R21" s="604" t="str">
        <f t="shared" si="2"/>
        <v>Gastos_Gerais</v>
      </c>
      <c r="S21" s="605" t="s">
        <v>1000</v>
      </c>
      <c r="T21" s="605">
        <v>1134</v>
      </c>
    </row>
    <row r="22" spans="1:20" s="88" customFormat="1" ht="60" x14ac:dyDescent="0.2">
      <c r="A22" s="510">
        <f>IF(B22="","",COUNT('Diário 1º PA'!$A$4:$A$2635)+ROW()-3)</f>
        <v>1755</v>
      </c>
      <c r="B22" s="414">
        <v>44655</v>
      </c>
      <c r="C22" s="592">
        <v>44621</v>
      </c>
      <c r="D22" s="415" t="s">
        <v>271</v>
      </c>
      <c r="E22" s="415" t="s">
        <v>90</v>
      </c>
      <c r="F22" s="435">
        <v>23167.200000000001</v>
      </c>
      <c r="G22" s="437" t="s">
        <v>1905</v>
      </c>
      <c r="H22" s="419" t="s">
        <v>752</v>
      </c>
      <c r="I22" s="427" t="s">
        <v>2148</v>
      </c>
      <c r="J22" s="415" t="s">
        <v>1904</v>
      </c>
      <c r="K22" s="415" t="s">
        <v>830</v>
      </c>
      <c r="L22" s="415" t="s">
        <v>807</v>
      </c>
      <c r="M22" s="415" t="s">
        <v>842</v>
      </c>
      <c r="N22" s="414">
        <v>44655</v>
      </c>
      <c r="O22" s="414" t="s">
        <v>400</v>
      </c>
      <c r="P22" s="603">
        <f t="shared" si="0"/>
        <v>4</v>
      </c>
      <c r="Q22" s="603">
        <f t="shared" si="1"/>
        <v>3</v>
      </c>
      <c r="R22" s="604" t="str">
        <f t="shared" si="2"/>
        <v>Gastos_Gerais</v>
      </c>
      <c r="S22" s="605" t="s">
        <v>1000</v>
      </c>
      <c r="T22" s="605">
        <v>2901</v>
      </c>
    </row>
    <row r="23" spans="1:20" s="88" customFormat="1" ht="36" x14ac:dyDescent="0.2">
      <c r="A23" s="510">
        <f>IF(B23="","",COUNT('Diário 1º PA'!$A$4:$A$2635)+ROW()-3)</f>
        <v>1756</v>
      </c>
      <c r="B23" s="414">
        <v>44655</v>
      </c>
      <c r="C23" s="424">
        <v>44652</v>
      </c>
      <c r="D23" s="415" t="s">
        <v>182</v>
      </c>
      <c r="E23" s="415" t="s">
        <v>287</v>
      </c>
      <c r="F23" s="425">
        <v>3287.55</v>
      </c>
      <c r="G23" s="427" t="s">
        <v>3360</v>
      </c>
      <c r="H23" s="415" t="s">
        <v>310</v>
      </c>
      <c r="I23" s="427" t="s">
        <v>923</v>
      </c>
      <c r="J23" s="415" t="s">
        <v>924</v>
      </c>
      <c r="K23" s="415" t="s">
        <v>806</v>
      </c>
      <c r="L23" s="415" t="s">
        <v>925</v>
      </c>
      <c r="M23" s="415" t="s">
        <v>310</v>
      </c>
      <c r="N23" s="414">
        <v>44568</v>
      </c>
      <c r="O23" s="414" t="s">
        <v>400</v>
      </c>
      <c r="P23" s="603">
        <f t="shared" si="0"/>
        <v>4</v>
      </c>
      <c r="Q23" s="603">
        <f t="shared" si="1"/>
        <v>4</v>
      </c>
      <c r="R23" s="604" t="str">
        <f t="shared" si="2"/>
        <v>Gastos_com_Pessoal</v>
      </c>
      <c r="S23" s="605" t="s">
        <v>310</v>
      </c>
      <c r="T23" s="605" t="s">
        <v>310</v>
      </c>
    </row>
    <row r="24" spans="1:20" s="88" customFormat="1" ht="36" x14ac:dyDescent="0.2">
      <c r="A24" s="510">
        <f>IF(B24="","",COUNT('Diário 1º PA'!$A$4:$A$2635)+ROW()-3)</f>
        <v>1757</v>
      </c>
      <c r="B24" s="414">
        <v>44655</v>
      </c>
      <c r="C24" s="424">
        <v>44652</v>
      </c>
      <c r="D24" s="415" t="s">
        <v>468</v>
      </c>
      <c r="E24" s="415" t="s">
        <v>468</v>
      </c>
      <c r="F24" s="425">
        <v>-4500</v>
      </c>
      <c r="G24" s="639" t="s">
        <v>2438</v>
      </c>
      <c r="H24" s="415" t="s">
        <v>468</v>
      </c>
      <c r="I24" s="456" t="s">
        <v>2437</v>
      </c>
      <c r="J24" s="461" t="s">
        <v>796</v>
      </c>
      <c r="K24" s="461" t="s">
        <v>797</v>
      </c>
      <c r="L24" s="461" t="s">
        <v>798</v>
      </c>
      <c r="M24" s="461" t="s">
        <v>310</v>
      </c>
      <c r="N24" s="414">
        <v>44655</v>
      </c>
      <c r="O24" s="414" t="s">
        <v>408</v>
      </c>
      <c r="P24" s="603">
        <f t="shared" si="0"/>
        <v>4</v>
      </c>
      <c r="Q24" s="603">
        <f t="shared" si="1"/>
        <v>4</v>
      </c>
      <c r="R24" s="604" t="str">
        <f t="shared" si="2"/>
        <v>Gastos_custeados_por_captação</v>
      </c>
      <c r="S24" s="605" t="s">
        <v>310</v>
      </c>
      <c r="T24" s="605" t="s">
        <v>310</v>
      </c>
    </row>
    <row r="25" spans="1:20" s="88" customFormat="1" ht="36" x14ac:dyDescent="0.2">
      <c r="A25" s="510">
        <f>IF(B25="","",COUNT('Diário 1º PA'!$A$4:$A$2635)+ROW()-3)</f>
        <v>1758</v>
      </c>
      <c r="B25" s="414">
        <v>44655</v>
      </c>
      <c r="C25" s="424">
        <v>44652</v>
      </c>
      <c r="D25" s="415" t="s">
        <v>468</v>
      </c>
      <c r="E25" s="415" t="s">
        <v>468</v>
      </c>
      <c r="F25" s="425">
        <v>-5000</v>
      </c>
      <c r="G25" s="639" t="s">
        <v>2439</v>
      </c>
      <c r="H25" s="415" t="s">
        <v>468</v>
      </c>
      <c r="I25" s="456" t="s">
        <v>2437</v>
      </c>
      <c r="J25" s="461" t="s">
        <v>796</v>
      </c>
      <c r="K25" s="461" t="s">
        <v>797</v>
      </c>
      <c r="L25" s="461" t="s">
        <v>798</v>
      </c>
      <c r="M25" s="461" t="s">
        <v>310</v>
      </c>
      <c r="N25" s="414">
        <v>44655</v>
      </c>
      <c r="O25" s="414" t="s">
        <v>408</v>
      </c>
      <c r="P25" s="603">
        <f t="shared" si="0"/>
        <v>4</v>
      </c>
      <c r="Q25" s="603">
        <f t="shared" si="1"/>
        <v>4</v>
      </c>
      <c r="R25" s="604" t="str">
        <f t="shared" si="2"/>
        <v>Gastos_custeados_por_captação</v>
      </c>
      <c r="S25" s="605" t="s">
        <v>310</v>
      </c>
      <c r="T25" s="605" t="s">
        <v>310</v>
      </c>
    </row>
    <row r="26" spans="1:20" s="88" customFormat="1" ht="36" x14ac:dyDescent="0.2">
      <c r="A26" s="510">
        <f>IF(B26="","",COUNT('Diário 1º PA'!$A$4:$A$2635)+ROW()-3)</f>
        <v>1759</v>
      </c>
      <c r="B26" s="414">
        <v>44655</v>
      </c>
      <c r="C26" s="424">
        <v>44652</v>
      </c>
      <c r="D26" s="415" t="s">
        <v>468</v>
      </c>
      <c r="E26" s="415" t="s">
        <v>468</v>
      </c>
      <c r="F26" s="425">
        <v>-4350</v>
      </c>
      <c r="G26" s="639" t="s">
        <v>2440</v>
      </c>
      <c r="H26" s="415" t="s">
        <v>468</v>
      </c>
      <c r="I26" s="456" t="s">
        <v>2437</v>
      </c>
      <c r="J26" s="461" t="s">
        <v>796</v>
      </c>
      <c r="K26" s="461" t="s">
        <v>797</v>
      </c>
      <c r="L26" s="461" t="s">
        <v>798</v>
      </c>
      <c r="M26" s="461" t="s">
        <v>310</v>
      </c>
      <c r="N26" s="414">
        <v>44655</v>
      </c>
      <c r="O26" s="414" t="s">
        <v>408</v>
      </c>
      <c r="P26" s="603">
        <f t="shared" si="0"/>
        <v>4</v>
      </c>
      <c r="Q26" s="603">
        <f t="shared" si="1"/>
        <v>4</v>
      </c>
      <c r="R26" s="604" t="str">
        <f t="shared" si="2"/>
        <v>Gastos_custeados_por_captação</v>
      </c>
      <c r="S26" s="605" t="s">
        <v>310</v>
      </c>
      <c r="T26" s="605" t="s">
        <v>310</v>
      </c>
    </row>
    <row r="27" spans="1:20" s="88" customFormat="1" ht="36" x14ac:dyDescent="0.2">
      <c r="A27" s="510">
        <f>IF(B27="","",COUNT('Diário 1º PA'!$A$4:$A$2635)+ROW()-3)</f>
        <v>1760</v>
      </c>
      <c r="B27" s="414">
        <v>44655</v>
      </c>
      <c r="C27" s="424">
        <v>44652</v>
      </c>
      <c r="D27" s="415" t="s">
        <v>468</v>
      </c>
      <c r="E27" s="415" t="s">
        <v>468</v>
      </c>
      <c r="F27" s="425">
        <v>-20000</v>
      </c>
      <c r="G27" s="427" t="s">
        <v>2436</v>
      </c>
      <c r="H27" s="415" t="s">
        <v>468</v>
      </c>
      <c r="I27" s="456" t="s">
        <v>2437</v>
      </c>
      <c r="J27" s="461" t="s">
        <v>796</v>
      </c>
      <c r="K27" s="461" t="s">
        <v>797</v>
      </c>
      <c r="L27" s="461" t="s">
        <v>798</v>
      </c>
      <c r="M27" s="461" t="s">
        <v>310</v>
      </c>
      <c r="N27" s="414">
        <v>44655</v>
      </c>
      <c r="O27" s="414" t="s">
        <v>408</v>
      </c>
      <c r="P27" s="603">
        <f t="shared" si="0"/>
        <v>4</v>
      </c>
      <c r="Q27" s="603">
        <f t="shared" si="1"/>
        <v>4</v>
      </c>
      <c r="R27" s="604" t="str">
        <f t="shared" si="2"/>
        <v>Gastos_custeados_por_captação</v>
      </c>
      <c r="S27" s="605" t="s">
        <v>310</v>
      </c>
      <c r="T27" s="605" t="s">
        <v>310</v>
      </c>
    </row>
    <row r="28" spans="1:20" s="88" customFormat="1" ht="48" x14ac:dyDescent="0.2">
      <c r="A28" s="510">
        <f>IF(B28="","",COUNT('Diário 1º PA'!$A$4:$A$2635)+ROW()-3)</f>
        <v>1761</v>
      </c>
      <c r="B28" s="414">
        <v>44655</v>
      </c>
      <c r="C28" s="424">
        <v>44621</v>
      </c>
      <c r="D28" s="415" t="s">
        <v>468</v>
      </c>
      <c r="E28" s="415" t="s">
        <v>468</v>
      </c>
      <c r="F28" s="425">
        <v>4400</v>
      </c>
      <c r="G28" s="427" t="s">
        <v>701</v>
      </c>
      <c r="H28" s="415" t="s">
        <v>468</v>
      </c>
      <c r="I28" s="427" t="s">
        <v>2465</v>
      </c>
      <c r="J28" s="415" t="s">
        <v>1131</v>
      </c>
      <c r="K28" s="415" t="s">
        <v>830</v>
      </c>
      <c r="L28" s="415" t="s">
        <v>32</v>
      </c>
      <c r="M28" s="415" t="s">
        <v>1308</v>
      </c>
      <c r="N28" s="414">
        <v>44655</v>
      </c>
      <c r="O28" s="414" t="s">
        <v>408</v>
      </c>
      <c r="P28" s="603">
        <f t="shared" si="0"/>
        <v>4</v>
      </c>
      <c r="Q28" s="603">
        <f t="shared" si="1"/>
        <v>3</v>
      </c>
      <c r="R28" s="604" t="str">
        <f t="shared" si="2"/>
        <v>Gastos_custeados_por_captação</v>
      </c>
      <c r="S28" s="605" t="s">
        <v>1000</v>
      </c>
      <c r="T28" s="605">
        <v>2641</v>
      </c>
    </row>
    <row r="29" spans="1:20" s="88" customFormat="1" ht="36" x14ac:dyDescent="0.2">
      <c r="A29" s="510">
        <f>IF(B29="","",COUNT('Diário 1º PA'!$A$4:$A$2635)+ROW()-3)</f>
        <v>1762</v>
      </c>
      <c r="B29" s="414">
        <v>44655</v>
      </c>
      <c r="C29" s="424">
        <v>44621</v>
      </c>
      <c r="D29" s="415" t="s">
        <v>468</v>
      </c>
      <c r="E29" s="415" t="s">
        <v>468</v>
      </c>
      <c r="F29" s="425">
        <v>4000</v>
      </c>
      <c r="G29" s="427" t="s">
        <v>710</v>
      </c>
      <c r="H29" s="415" t="s">
        <v>468</v>
      </c>
      <c r="I29" s="427" t="s">
        <v>2454</v>
      </c>
      <c r="J29" s="415" t="s">
        <v>1135</v>
      </c>
      <c r="K29" s="415" t="s">
        <v>830</v>
      </c>
      <c r="L29" s="415" t="s">
        <v>32</v>
      </c>
      <c r="M29" s="415" t="s">
        <v>1786</v>
      </c>
      <c r="N29" s="414">
        <v>44655</v>
      </c>
      <c r="O29" s="414" t="s">
        <v>408</v>
      </c>
      <c r="P29" s="603">
        <f t="shared" si="0"/>
        <v>4</v>
      </c>
      <c r="Q29" s="603">
        <f t="shared" si="1"/>
        <v>3</v>
      </c>
      <c r="R29" s="604" t="str">
        <f t="shared" si="2"/>
        <v>Gastos_custeados_por_captação</v>
      </c>
      <c r="S29" s="605" t="s">
        <v>1000</v>
      </c>
      <c r="T29" s="605">
        <v>2757</v>
      </c>
    </row>
    <row r="30" spans="1:20" s="88" customFormat="1" ht="36" x14ac:dyDescent="0.2">
      <c r="A30" s="510">
        <f>IF(B30="","",COUNT('Diário 1º PA'!$A$4:$A$2635)+ROW()-3)</f>
        <v>1763</v>
      </c>
      <c r="B30" s="414">
        <v>44655</v>
      </c>
      <c r="C30" s="424">
        <v>44621</v>
      </c>
      <c r="D30" s="415" t="s">
        <v>468</v>
      </c>
      <c r="E30" s="415" t="s">
        <v>468</v>
      </c>
      <c r="F30" s="425">
        <v>2750</v>
      </c>
      <c r="G30" s="427" t="s">
        <v>694</v>
      </c>
      <c r="H30" s="415" t="s">
        <v>468</v>
      </c>
      <c r="I30" s="427" t="s">
        <v>2468</v>
      </c>
      <c r="J30" s="415" t="s">
        <v>1018</v>
      </c>
      <c r="K30" s="415" t="s">
        <v>830</v>
      </c>
      <c r="L30" s="415" t="s">
        <v>32</v>
      </c>
      <c r="M30" s="415" t="s">
        <v>1503</v>
      </c>
      <c r="N30" s="414">
        <v>44655</v>
      </c>
      <c r="O30" s="414" t="s">
        <v>408</v>
      </c>
      <c r="P30" s="603">
        <f t="shared" si="0"/>
        <v>4</v>
      </c>
      <c r="Q30" s="603">
        <f t="shared" si="1"/>
        <v>3</v>
      </c>
      <c r="R30" s="604" t="str">
        <f t="shared" si="2"/>
        <v>Gastos_custeados_por_captação</v>
      </c>
      <c r="S30" s="605" t="s">
        <v>1000</v>
      </c>
      <c r="T30" s="605">
        <v>2661</v>
      </c>
    </row>
    <row r="31" spans="1:20" s="88" customFormat="1" ht="36" x14ac:dyDescent="0.2">
      <c r="A31" s="510">
        <f>IF(B31="","",COUNT('Diário 1º PA'!$A$4:$A$2635)+ROW()-3)</f>
        <v>1764</v>
      </c>
      <c r="B31" s="414">
        <v>44655</v>
      </c>
      <c r="C31" s="424">
        <v>44621</v>
      </c>
      <c r="D31" s="415" t="s">
        <v>468</v>
      </c>
      <c r="E31" s="415" t="s">
        <v>468</v>
      </c>
      <c r="F31" s="425">
        <v>2650</v>
      </c>
      <c r="G31" s="427" t="s">
        <v>697</v>
      </c>
      <c r="H31" s="415" t="s">
        <v>468</v>
      </c>
      <c r="I31" s="427" t="s">
        <v>2466</v>
      </c>
      <c r="J31" s="415" t="s">
        <v>1128</v>
      </c>
      <c r="K31" s="415" t="s">
        <v>830</v>
      </c>
      <c r="L31" s="415" t="s">
        <v>32</v>
      </c>
      <c r="M31" s="415" t="s">
        <v>1696</v>
      </c>
      <c r="N31" s="414">
        <v>44655</v>
      </c>
      <c r="O31" s="414" t="s">
        <v>408</v>
      </c>
      <c r="P31" s="603">
        <f t="shared" si="0"/>
        <v>4</v>
      </c>
      <c r="Q31" s="603">
        <f t="shared" si="1"/>
        <v>3</v>
      </c>
      <c r="R31" s="604" t="str">
        <f t="shared" si="2"/>
        <v>Gastos_custeados_por_captação</v>
      </c>
      <c r="S31" s="605" t="s">
        <v>1000</v>
      </c>
      <c r="T31" s="605">
        <v>2687</v>
      </c>
    </row>
    <row r="32" spans="1:20" s="88" customFormat="1" ht="36" x14ac:dyDescent="0.2">
      <c r="A32" s="510">
        <f>IF(B32="","",COUNT('Diário 1º PA'!$A$4:$A$2635)+ROW()-3)</f>
        <v>1765</v>
      </c>
      <c r="B32" s="414">
        <v>44655</v>
      </c>
      <c r="C32" s="424">
        <v>44621</v>
      </c>
      <c r="D32" s="415" t="s">
        <v>468</v>
      </c>
      <c r="E32" s="415" t="s">
        <v>468</v>
      </c>
      <c r="F32" s="425">
        <v>4400</v>
      </c>
      <c r="G32" s="427" t="s">
        <v>691</v>
      </c>
      <c r="H32" s="415" t="s">
        <v>468</v>
      </c>
      <c r="I32" s="427" t="s">
        <v>846</v>
      </c>
      <c r="J32" s="415" t="s">
        <v>1122</v>
      </c>
      <c r="K32" s="415" t="s">
        <v>830</v>
      </c>
      <c r="L32" s="415" t="s">
        <v>32</v>
      </c>
      <c r="M32" s="415" t="s">
        <v>1308</v>
      </c>
      <c r="N32" s="414">
        <v>44655</v>
      </c>
      <c r="O32" s="414" t="s">
        <v>408</v>
      </c>
      <c r="P32" s="603">
        <f t="shared" si="0"/>
        <v>4</v>
      </c>
      <c r="Q32" s="603">
        <f t="shared" si="1"/>
        <v>3</v>
      </c>
      <c r="R32" s="604" t="str">
        <f t="shared" si="2"/>
        <v>Gastos_custeados_por_captação</v>
      </c>
      <c r="S32" s="605" t="s">
        <v>1000</v>
      </c>
      <c r="T32" s="605">
        <v>2640</v>
      </c>
    </row>
    <row r="33" spans="1:20" s="88" customFormat="1" ht="48" x14ac:dyDescent="0.2">
      <c r="A33" s="510">
        <f>IF(B33="","",COUNT('Diário 1º PA'!$A$4:$A$2635)+ROW()-3)</f>
        <v>1766</v>
      </c>
      <c r="B33" s="414">
        <v>44655</v>
      </c>
      <c r="C33" s="424">
        <v>44621</v>
      </c>
      <c r="D33" s="415" t="s">
        <v>468</v>
      </c>
      <c r="E33" s="415" t="s">
        <v>468</v>
      </c>
      <c r="F33" s="425">
        <v>2200</v>
      </c>
      <c r="G33" s="427" t="s">
        <v>700</v>
      </c>
      <c r="H33" s="415" t="s">
        <v>468</v>
      </c>
      <c r="I33" s="427" t="s">
        <v>2455</v>
      </c>
      <c r="J33" s="415" t="s">
        <v>2456</v>
      </c>
      <c r="K33" s="415" t="s">
        <v>830</v>
      </c>
      <c r="L33" s="415" t="s">
        <v>32</v>
      </c>
      <c r="M33" s="415" t="s">
        <v>1503</v>
      </c>
      <c r="N33" s="414">
        <v>44655</v>
      </c>
      <c r="O33" s="414" t="s">
        <v>408</v>
      </c>
      <c r="P33" s="603">
        <f t="shared" si="0"/>
        <v>4</v>
      </c>
      <c r="Q33" s="603">
        <f t="shared" si="1"/>
        <v>3</v>
      </c>
      <c r="R33" s="604" t="str">
        <f t="shared" si="2"/>
        <v>Gastos_custeados_por_captação</v>
      </c>
      <c r="S33" s="605" t="s">
        <v>1000</v>
      </c>
      <c r="T33" s="605">
        <v>2693</v>
      </c>
    </row>
    <row r="34" spans="1:20" s="88" customFormat="1" ht="36" x14ac:dyDescent="0.2">
      <c r="A34" s="510">
        <f>IF(B34="","",COUNT('Diário 1º PA'!$A$4:$A$2635)+ROW()-3)</f>
        <v>1767</v>
      </c>
      <c r="B34" s="414">
        <v>44655</v>
      </c>
      <c r="C34" s="424">
        <v>44621</v>
      </c>
      <c r="D34" s="415" t="s">
        <v>468</v>
      </c>
      <c r="E34" s="415" t="s">
        <v>468</v>
      </c>
      <c r="F34" s="425">
        <v>4310.68</v>
      </c>
      <c r="G34" s="427" t="s">
        <v>719</v>
      </c>
      <c r="H34" s="415" t="s">
        <v>468</v>
      </c>
      <c r="I34" s="427" t="s">
        <v>850</v>
      </c>
      <c r="J34" s="415" t="s">
        <v>863</v>
      </c>
      <c r="K34" s="415" t="s">
        <v>830</v>
      </c>
      <c r="L34" s="415" t="s">
        <v>32</v>
      </c>
      <c r="M34" s="415" t="s">
        <v>3763</v>
      </c>
      <c r="N34" s="414">
        <v>44655</v>
      </c>
      <c r="O34" s="414" t="s">
        <v>408</v>
      </c>
      <c r="P34" s="603">
        <f t="shared" si="0"/>
        <v>4</v>
      </c>
      <c r="Q34" s="603">
        <f t="shared" si="1"/>
        <v>3</v>
      </c>
      <c r="R34" s="604" t="str">
        <f t="shared" si="2"/>
        <v>Gastos_custeados_por_captação</v>
      </c>
      <c r="S34" s="605" t="s">
        <v>1000</v>
      </c>
      <c r="T34" s="605">
        <v>2776</v>
      </c>
    </row>
    <row r="35" spans="1:20" s="88" customFormat="1" ht="72" x14ac:dyDescent="0.2">
      <c r="A35" s="510">
        <f>IF(B35="","",COUNT('Diário 1º PA'!$A$4:$A$2635)+ROW()-3)</f>
        <v>1768</v>
      </c>
      <c r="B35" s="414">
        <v>44655</v>
      </c>
      <c r="C35" s="424">
        <v>44652</v>
      </c>
      <c r="D35" s="415" t="s">
        <v>468</v>
      </c>
      <c r="E35" s="415" t="s">
        <v>468</v>
      </c>
      <c r="F35" s="425">
        <v>4500</v>
      </c>
      <c r="G35" s="427" t="s">
        <v>2440</v>
      </c>
      <c r="H35" s="415" t="s">
        <v>468</v>
      </c>
      <c r="I35" s="456" t="s">
        <v>2437</v>
      </c>
      <c r="J35" s="461" t="s">
        <v>796</v>
      </c>
      <c r="K35" s="461" t="s">
        <v>806</v>
      </c>
      <c r="L35" s="461" t="s">
        <v>798</v>
      </c>
      <c r="M35" s="461" t="s">
        <v>310</v>
      </c>
      <c r="N35" s="414">
        <v>44655</v>
      </c>
      <c r="O35" s="414" t="s">
        <v>402</v>
      </c>
      <c r="P35" s="603">
        <f t="shared" si="0"/>
        <v>4</v>
      </c>
      <c r="Q35" s="603">
        <f t="shared" si="1"/>
        <v>4</v>
      </c>
      <c r="R35" s="604" t="str">
        <f t="shared" si="2"/>
        <v>Gastos_custeados_por_captação</v>
      </c>
      <c r="S35" s="605" t="s">
        <v>310</v>
      </c>
      <c r="T35" s="605" t="s">
        <v>310</v>
      </c>
    </row>
    <row r="36" spans="1:20" s="88" customFormat="1" ht="72" x14ac:dyDescent="0.2">
      <c r="A36" s="510">
        <f>IF(B36="","",COUNT('Diário 1º PA'!$A$4:$A$2635)+ROW()-3)</f>
        <v>1769</v>
      </c>
      <c r="B36" s="414">
        <v>44655</v>
      </c>
      <c r="C36" s="424">
        <v>44652</v>
      </c>
      <c r="D36" s="415" t="s">
        <v>468</v>
      </c>
      <c r="E36" s="415" t="s">
        <v>468</v>
      </c>
      <c r="F36" s="425">
        <v>5000</v>
      </c>
      <c r="G36" s="427" t="s">
        <v>2438</v>
      </c>
      <c r="H36" s="415" t="s">
        <v>468</v>
      </c>
      <c r="I36" s="456" t="s">
        <v>2437</v>
      </c>
      <c r="J36" s="461" t="s">
        <v>796</v>
      </c>
      <c r="K36" s="461" t="s">
        <v>806</v>
      </c>
      <c r="L36" s="461" t="s">
        <v>798</v>
      </c>
      <c r="M36" s="461" t="s">
        <v>310</v>
      </c>
      <c r="N36" s="414">
        <v>44655</v>
      </c>
      <c r="O36" s="414" t="s">
        <v>402</v>
      </c>
      <c r="P36" s="603">
        <f t="shared" si="0"/>
        <v>4</v>
      </c>
      <c r="Q36" s="603">
        <f t="shared" si="1"/>
        <v>4</v>
      </c>
      <c r="R36" s="604" t="str">
        <f t="shared" si="2"/>
        <v>Gastos_custeados_por_captação</v>
      </c>
      <c r="S36" s="605" t="s">
        <v>310</v>
      </c>
      <c r="T36" s="605" t="s">
        <v>310</v>
      </c>
    </row>
    <row r="37" spans="1:20" s="88" customFormat="1" ht="72" x14ac:dyDescent="0.2">
      <c r="A37" s="510">
        <f>IF(B37="","",COUNT('Diário 1º PA'!$A$4:$A$2635)+ROW()-3)</f>
        <v>1770</v>
      </c>
      <c r="B37" s="414">
        <v>44655</v>
      </c>
      <c r="C37" s="424">
        <v>44652</v>
      </c>
      <c r="D37" s="415" t="s">
        <v>468</v>
      </c>
      <c r="E37" s="415" t="s">
        <v>468</v>
      </c>
      <c r="F37" s="425">
        <v>4350</v>
      </c>
      <c r="G37" s="427" t="s">
        <v>2439</v>
      </c>
      <c r="H37" s="415" t="s">
        <v>468</v>
      </c>
      <c r="I37" s="456" t="s">
        <v>2437</v>
      </c>
      <c r="J37" s="461" t="s">
        <v>796</v>
      </c>
      <c r="K37" s="461" t="s">
        <v>806</v>
      </c>
      <c r="L37" s="461" t="s">
        <v>798</v>
      </c>
      <c r="M37" s="461" t="s">
        <v>310</v>
      </c>
      <c r="N37" s="414">
        <v>44655</v>
      </c>
      <c r="O37" s="414" t="s">
        <v>402</v>
      </c>
      <c r="P37" s="603">
        <f t="shared" si="0"/>
        <v>4</v>
      </c>
      <c r="Q37" s="603">
        <f t="shared" si="1"/>
        <v>4</v>
      </c>
      <c r="R37" s="604" t="str">
        <f t="shared" si="2"/>
        <v>Gastos_custeados_por_captação</v>
      </c>
      <c r="S37" s="605" t="s">
        <v>310</v>
      </c>
      <c r="T37" s="605" t="s">
        <v>310</v>
      </c>
    </row>
    <row r="38" spans="1:20" s="88" customFormat="1" ht="72" x14ac:dyDescent="0.2">
      <c r="A38" s="510">
        <f>IF(B38="","",COUNT('Diário 1º PA'!$A$4:$A$2635)+ROW()-3)</f>
        <v>1771</v>
      </c>
      <c r="B38" s="414">
        <v>44655</v>
      </c>
      <c r="C38" s="431">
        <v>44562</v>
      </c>
      <c r="D38" s="415" t="s">
        <v>468</v>
      </c>
      <c r="E38" s="415" t="s">
        <v>468</v>
      </c>
      <c r="F38" s="425">
        <v>9211.06</v>
      </c>
      <c r="G38" s="427" t="s">
        <v>676</v>
      </c>
      <c r="H38" s="415" t="s">
        <v>468</v>
      </c>
      <c r="I38" s="427" t="s">
        <v>4132</v>
      </c>
      <c r="J38" s="415" t="s">
        <v>1089</v>
      </c>
      <c r="K38" s="415" t="s">
        <v>830</v>
      </c>
      <c r="L38" s="415" t="s">
        <v>807</v>
      </c>
      <c r="M38" s="415" t="s">
        <v>1696</v>
      </c>
      <c r="N38" s="414">
        <v>44652</v>
      </c>
      <c r="O38" s="414" t="s">
        <v>402</v>
      </c>
      <c r="P38" s="603">
        <f t="shared" si="0"/>
        <v>4</v>
      </c>
      <c r="Q38" s="603">
        <f t="shared" si="1"/>
        <v>1</v>
      </c>
      <c r="R38" s="604" t="str">
        <f t="shared" si="2"/>
        <v>Gastos_custeados_por_captação</v>
      </c>
      <c r="S38" s="605" t="s">
        <v>998</v>
      </c>
      <c r="T38" s="605">
        <v>2743</v>
      </c>
    </row>
    <row r="39" spans="1:20" ht="60" x14ac:dyDescent="0.2">
      <c r="A39" s="510">
        <f>IF(B39="","",COUNT('Diário 1º PA'!$A$4:$A$2635)+ROW()-3)</f>
        <v>1772</v>
      </c>
      <c r="B39" s="414">
        <v>44655</v>
      </c>
      <c r="C39" s="431">
        <v>44621</v>
      </c>
      <c r="D39" s="415" t="s">
        <v>468</v>
      </c>
      <c r="E39" s="415" t="s">
        <v>468</v>
      </c>
      <c r="F39" s="425">
        <v>720.97</v>
      </c>
      <c r="G39" s="427" t="s">
        <v>1954</v>
      </c>
      <c r="H39" s="415" t="s">
        <v>468</v>
      </c>
      <c r="I39" s="427" t="s">
        <v>2180</v>
      </c>
      <c r="J39" s="415" t="s">
        <v>1010</v>
      </c>
      <c r="K39" s="415" t="s">
        <v>830</v>
      </c>
      <c r="L39" s="415" t="s">
        <v>807</v>
      </c>
      <c r="M39" s="415" t="s">
        <v>4341</v>
      </c>
      <c r="N39" s="414">
        <v>44652</v>
      </c>
      <c r="O39" s="414" t="s">
        <v>405</v>
      </c>
      <c r="P39" s="603">
        <f t="shared" ref="P39:Q42" si="3">IF(B39=0,0,IF(YEAR(B39)=$Q$1,MONTH(B39)-$P$1+1,(YEAR(B39)-$Q$1)*12-$P$1+1+MONTH(B39)))</f>
        <v>4</v>
      </c>
      <c r="Q39" s="603">
        <f t="shared" si="3"/>
        <v>3</v>
      </c>
      <c r="R39" s="604" t="str">
        <f>SUBSTITUTE(D39," ","_")</f>
        <v>Gastos_custeados_por_captação</v>
      </c>
      <c r="S39" s="605" t="s">
        <v>998</v>
      </c>
      <c r="T39" s="605">
        <v>3053</v>
      </c>
    </row>
    <row r="40" spans="1:20" ht="75" customHeight="1" x14ac:dyDescent="0.2">
      <c r="A40" s="510">
        <f>IF(B40="","",COUNT('Diário 1º PA'!$A$4:$A$2635)+ROW()-3)</f>
        <v>1773</v>
      </c>
      <c r="B40" s="414">
        <v>44655</v>
      </c>
      <c r="C40" s="431">
        <v>44621</v>
      </c>
      <c r="D40" s="415" t="s">
        <v>468</v>
      </c>
      <c r="E40" s="415" t="s">
        <v>468</v>
      </c>
      <c r="F40" s="425">
        <v>20000</v>
      </c>
      <c r="G40" s="427" t="s">
        <v>2436</v>
      </c>
      <c r="H40" s="415" t="s">
        <v>468</v>
      </c>
      <c r="I40" s="456" t="s">
        <v>3030</v>
      </c>
      <c r="J40" s="468" t="s">
        <v>796</v>
      </c>
      <c r="K40" s="415" t="s">
        <v>806</v>
      </c>
      <c r="L40" s="464" t="s">
        <v>1305</v>
      </c>
      <c r="M40" s="464" t="s">
        <v>310</v>
      </c>
      <c r="N40" s="414">
        <v>44655</v>
      </c>
      <c r="O40" s="414" t="s">
        <v>407</v>
      </c>
      <c r="P40" s="603">
        <f t="shared" si="3"/>
        <v>4</v>
      </c>
      <c r="Q40" s="603">
        <f t="shared" si="3"/>
        <v>3</v>
      </c>
      <c r="R40" s="604" t="str">
        <f>SUBSTITUTE(D40," ","_")</f>
        <v>Gastos_custeados_por_captação</v>
      </c>
      <c r="S40" s="605" t="s">
        <v>310</v>
      </c>
      <c r="T40" s="605" t="s">
        <v>310</v>
      </c>
    </row>
    <row r="41" spans="1:20" ht="82.5" customHeight="1" x14ac:dyDescent="0.2">
      <c r="A41" s="510">
        <f>IF(B41="","",COUNT('Diário 1º PA'!$A$4:$A$2635)+ROW()-3)</f>
        <v>1774</v>
      </c>
      <c r="B41" s="414">
        <v>44655</v>
      </c>
      <c r="C41" s="431">
        <v>44621</v>
      </c>
      <c r="D41" s="415" t="s">
        <v>468</v>
      </c>
      <c r="E41" s="415" t="s">
        <v>468</v>
      </c>
      <c r="F41" s="425">
        <v>19404</v>
      </c>
      <c r="G41" s="427" t="s">
        <v>736</v>
      </c>
      <c r="H41" s="415" t="s">
        <v>468</v>
      </c>
      <c r="I41" s="427" t="s">
        <v>4209</v>
      </c>
      <c r="J41" s="415" t="s">
        <v>1072</v>
      </c>
      <c r="K41" s="415" t="s">
        <v>830</v>
      </c>
      <c r="L41" s="415" t="s">
        <v>807</v>
      </c>
      <c r="M41" s="415">
        <v>204</v>
      </c>
      <c r="N41" s="414">
        <v>44652</v>
      </c>
      <c r="O41" s="414" t="s">
        <v>407</v>
      </c>
      <c r="P41" s="603">
        <f t="shared" si="3"/>
        <v>4</v>
      </c>
      <c r="Q41" s="603">
        <f t="shared" si="3"/>
        <v>3</v>
      </c>
      <c r="R41" s="604" t="str">
        <f>SUBSTITUTE(D41," ","_")</f>
        <v>Gastos_custeados_por_captação</v>
      </c>
      <c r="S41" s="605" t="s">
        <v>1000</v>
      </c>
      <c r="T41" s="605">
        <v>2815</v>
      </c>
    </row>
    <row r="42" spans="1:20" s="88" customFormat="1" ht="150" customHeight="1" x14ac:dyDescent="0.2">
      <c r="A42" s="510">
        <f>IF(B42="","",COUNT('Diário 1º PA'!$A$4:$A$2635)+ROW()-3)</f>
        <v>1775</v>
      </c>
      <c r="B42" s="414">
        <v>44655</v>
      </c>
      <c r="C42" s="431">
        <v>44621</v>
      </c>
      <c r="D42" s="415" t="s">
        <v>468</v>
      </c>
      <c r="E42" s="415" t="s">
        <v>468</v>
      </c>
      <c r="F42" s="425">
        <v>3180.8</v>
      </c>
      <c r="G42" s="427" t="s">
        <v>2104</v>
      </c>
      <c r="H42" s="415" t="s">
        <v>468</v>
      </c>
      <c r="I42" s="427" t="s">
        <v>4211</v>
      </c>
      <c r="J42" s="415" t="s">
        <v>1104</v>
      </c>
      <c r="K42" s="415" t="s">
        <v>830</v>
      </c>
      <c r="L42" s="415" t="s">
        <v>839</v>
      </c>
      <c r="M42" s="415">
        <v>1661</v>
      </c>
      <c r="N42" s="414">
        <v>44652</v>
      </c>
      <c r="O42" s="414" t="s">
        <v>407</v>
      </c>
      <c r="P42" s="603">
        <f t="shared" si="3"/>
        <v>4</v>
      </c>
      <c r="Q42" s="603">
        <f t="shared" si="3"/>
        <v>3</v>
      </c>
      <c r="R42" s="604" t="str">
        <f>SUBSTITUTE(D42," ","_")</f>
        <v>Gastos_custeados_por_captação</v>
      </c>
      <c r="S42" s="605" t="s">
        <v>998</v>
      </c>
      <c r="T42" s="605">
        <v>3104</v>
      </c>
    </row>
    <row r="43" spans="1:20" s="88" customFormat="1" ht="150" customHeight="1" x14ac:dyDescent="0.2">
      <c r="A43" s="510">
        <f>IF(B43="","",COUNT('Diário 1º PA'!$A$4:$A$2635)+ROW()-3)</f>
        <v>1776</v>
      </c>
      <c r="B43" s="414">
        <v>44655</v>
      </c>
      <c r="C43" s="431">
        <v>44621</v>
      </c>
      <c r="D43" s="415" t="s">
        <v>468</v>
      </c>
      <c r="E43" s="415" t="s">
        <v>468</v>
      </c>
      <c r="F43" s="425">
        <v>4000</v>
      </c>
      <c r="G43" s="427" t="s">
        <v>5017</v>
      </c>
      <c r="H43" s="415" t="s">
        <v>468</v>
      </c>
      <c r="I43" s="427" t="s">
        <v>5018</v>
      </c>
      <c r="J43" s="415" t="s">
        <v>1052</v>
      </c>
      <c r="K43" s="415" t="s">
        <v>830</v>
      </c>
      <c r="L43" s="415" t="s">
        <v>807</v>
      </c>
      <c r="M43" s="415">
        <v>141</v>
      </c>
      <c r="N43" s="414">
        <v>44652</v>
      </c>
      <c r="O43" s="414" t="s">
        <v>403</v>
      </c>
      <c r="P43" s="603">
        <f t="shared" si="0"/>
        <v>4</v>
      </c>
      <c r="Q43" s="603">
        <f t="shared" si="1"/>
        <v>3</v>
      </c>
      <c r="R43" s="604" t="str">
        <f t="shared" si="2"/>
        <v>Gastos_custeados_por_captação</v>
      </c>
      <c r="S43" s="605" t="s">
        <v>998</v>
      </c>
      <c r="T43" s="605">
        <v>3102</v>
      </c>
    </row>
    <row r="44" spans="1:20" s="88" customFormat="1" ht="150" customHeight="1" x14ac:dyDescent="0.2">
      <c r="A44" s="510">
        <f>IF(B44="","",COUNT('Diário 1º PA'!$A$4:$A$2635)+ROW()-3)</f>
        <v>1777</v>
      </c>
      <c r="B44" s="414">
        <v>44656</v>
      </c>
      <c r="C44" s="424">
        <v>44621</v>
      </c>
      <c r="D44" s="415" t="s">
        <v>271</v>
      </c>
      <c r="E44" s="415" t="s">
        <v>59</v>
      </c>
      <c r="F44" s="425">
        <v>-2244.85</v>
      </c>
      <c r="G44" s="427" t="s">
        <v>3361</v>
      </c>
      <c r="H44" s="415" t="s">
        <v>309</v>
      </c>
      <c r="I44" s="427" t="s">
        <v>795</v>
      </c>
      <c r="J44" s="415" t="s">
        <v>796</v>
      </c>
      <c r="K44" s="415" t="s">
        <v>797</v>
      </c>
      <c r="L44" s="415" t="s">
        <v>798</v>
      </c>
      <c r="M44" s="415" t="s">
        <v>310</v>
      </c>
      <c r="N44" s="414">
        <v>44656</v>
      </c>
      <c r="O44" s="414" t="s">
        <v>400</v>
      </c>
      <c r="P44" s="603">
        <f t="shared" si="0"/>
        <v>4</v>
      </c>
      <c r="Q44" s="603">
        <f t="shared" si="1"/>
        <v>3</v>
      </c>
      <c r="R44" s="604" t="str">
        <f t="shared" si="2"/>
        <v>Gastos_Gerais</v>
      </c>
      <c r="S44" s="605" t="s">
        <v>310</v>
      </c>
      <c r="T44" s="605" t="s">
        <v>310</v>
      </c>
    </row>
    <row r="45" spans="1:20" s="88" customFormat="1" ht="150" customHeight="1" x14ac:dyDescent="0.2">
      <c r="A45" s="510">
        <f>IF(B45="","",COUNT('Diário 1º PA'!$A$4:$A$2635)+ROW()-3)</f>
        <v>1778</v>
      </c>
      <c r="B45" s="414">
        <v>44656</v>
      </c>
      <c r="C45" s="424">
        <v>44621</v>
      </c>
      <c r="D45" s="415" t="s">
        <v>271</v>
      </c>
      <c r="E45" s="415" t="s">
        <v>186</v>
      </c>
      <c r="F45" s="425">
        <v>-154.06</v>
      </c>
      <c r="G45" s="427" t="s">
        <v>887</v>
      </c>
      <c r="H45" s="415" t="s">
        <v>309</v>
      </c>
      <c r="I45" s="427" t="s">
        <v>795</v>
      </c>
      <c r="J45" s="415" t="s">
        <v>796</v>
      </c>
      <c r="K45" s="415" t="s">
        <v>797</v>
      </c>
      <c r="L45" s="415" t="s">
        <v>798</v>
      </c>
      <c r="M45" s="415" t="s">
        <v>310</v>
      </c>
      <c r="N45" s="414">
        <v>44656</v>
      </c>
      <c r="O45" s="414" t="s">
        <v>400</v>
      </c>
      <c r="P45" s="603">
        <f t="shared" si="0"/>
        <v>4</v>
      </c>
      <c r="Q45" s="603">
        <f t="shared" si="1"/>
        <v>3</v>
      </c>
      <c r="R45" s="604" t="str">
        <f t="shared" si="2"/>
        <v>Gastos_Gerais</v>
      </c>
      <c r="S45" s="605" t="s">
        <v>310</v>
      </c>
      <c r="T45" s="605" t="s">
        <v>310</v>
      </c>
    </row>
    <row r="46" spans="1:20" s="88" customFormat="1" ht="150" customHeight="1" x14ac:dyDescent="0.2">
      <c r="A46" s="510">
        <f>IF(B46="","",COUNT('Diário 1º PA'!$A$4:$A$2635)+ROW()-3)</f>
        <v>1779</v>
      </c>
      <c r="B46" s="414">
        <v>44656</v>
      </c>
      <c r="C46" s="424">
        <v>44621</v>
      </c>
      <c r="D46" s="415" t="s">
        <v>271</v>
      </c>
      <c r="E46" s="415" t="s">
        <v>186</v>
      </c>
      <c r="F46" s="435">
        <v>-188.04</v>
      </c>
      <c r="G46" s="437" t="s">
        <v>887</v>
      </c>
      <c r="H46" s="434" t="s">
        <v>309</v>
      </c>
      <c r="I46" s="437" t="s">
        <v>795</v>
      </c>
      <c r="J46" s="434" t="s">
        <v>796</v>
      </c>
      <c r="K46" s="434" t="s">
        <v>797</v>
      </c>
      <c r="L46" s="434" t="s">
        <v>798</v>
      </c>
      <c r="M46" s="436" t="s">
        <v>310</v>
      </c>
      <c r="N46" s="414">
        <v>44656</v>
      </c>
      <c r="O46" s="414" t="s">
        <v>400</v>
      </c>
      <c r="P46" s="603">
        <f t="shared" si="0"/>
        <v>4</v>
      </c>
      <c r="Q46" s="603">
        <f t="shared" si="1"/>
        <v>3</v>
      </c>
      <c r="R46" s="604" t="str">
        <f t="shared" si="2"/>
        <v>Gastos_Gerais</v>
      </c>
      <c r="S46" s="605" t="s">
        <v>310</v>
      </c>
      <c r="T46" s="605" t="s">
        <v>310</v>
      </c>
    </row>
    <row r="47" spans="1:20" s="88" customFormat="1" ht="150" customHeight="1" x14ac:dyDescent="0.2">
      <c r="A47" s="510">
        <f>IF(B47="","",COUNT('Diário 1º PA'!$A$4:$A$2635)+ROW()-3)</f>
        <v>1780</v>
      </c>
      <c r="B47" s="414">
        <v>44656</v>
      </c>
      <c r="C47" s="424">
        <v>44621</v>
      </c>
      <c r="D47" s="415" t="s">
        <v>271</v>
      </c>
      <c r="E47" s="415" t="s">
        <v>186</v>
      </c>
      <c r="F47" s="435">
        <v>-1901.52</v>
      </c>
      <c r="G47" s="437" t="s">
        <v>3362</v>
      </c>
      <c r="H47" s="434" t="s">
        <v>309</v>
      </c>
      <c r="I47" s="437" t="s">
        <v>795</v>
      </c>
      <c r="J47" s="434" t="s">
        <v>796</v>
      </c>
      <c r="K47" s="434" t="s">
        <v>797</v>
      </c>
      <c r="L47" s="434" t="s">
        <v>798</v>
      </c>
      <c r="M47" s="436" t="s">
        <v>310</v>
      </c>
      <c r="N47" s="414">
        <v>44656</v>
      </c>
      <c r="O47" s="414" t="s">
        <v>400</v>
      </c>
      <c r="P47" s="603">
        <f t="shared" si="0"/>
        <v>4</v>
      </c>
      <c r="Q47" s="603">
        <f t="shared" si="1"/>
        <v>3</v>
      </c>
      <c r="R47" s="604" t="str">
        <f t="shared" si="2"/>
        <v>Gastos_Gerais</v>
      </c>
      <c r="S47" s="605" t="s">
        <v>310</v>
      </c>
      <c r="T47" s="605" t="s">
        <v>310</v>
      </c>
    </row>
    <row r="48" spans="1:20" s="88" customFormat="1" ht="150" customHeight="1" x14ac:dyDescent="0.2">
      <c r="A48" s="510">
        <f>IF(B48="","",COUNT('Diário 1º PA'!$A$4:$A$2635)+ROW()-3)</f>
        <v>1781</v>
      </c>
      <c r="B48" s="414">
        <v>44656</v>
      </c>
      <c r="C48" s="424">
        <v>44621</v>
      </c>
      <c r="D48" s="415" t="s">
        <v>271</v>
      </c>
      <c r="E48" s="415" t="s">
        <v>297</v>
      </c>
      <c r="F48" s="425">
        <v>21908.73</v>
      </c>
      <c r="G48" s="427" t="s">
        <v>521</v>
      </c>
      <c r="H48" s="415" t="s">
        <v>750</v>
      </c>
      <c r="I48" s="427" t="s">
        <v>774</v>
      </c>
      <c r="J48" s="415" t="s">
        <v>844</v>
      </c>
      <c r="K48" s="415" t="s">
        <v>812</v>
      </c>
      <c r="L48" s="415" t="s">
        <v>310</v>
      </c>
      <c r="M48" s="415" t="s">
        <v>310</v>
      </c>
      <c r="N48" s="414">
        <v>44656</v>
      </c>
      <c r="O48" s="414" t="s">
        <v>400</v>
      </c>
      <c r="P48" s="603">
        <f t="shared" si="0"/>
        <v>4</v>
      </c>
      <c r="Q48" s="603">
        <f t="shared" si="1"/>
        <v>3</v>
      </c>
      <c r="R48" s="604" t="str">
        <f t="shared" si="2"/>
        <v>Gastos_Gerais</v>
      </c>
      <c r="S48" s="605" t="s">
        <v>310</v>
      </c>
      <c r="T48" s="605" t="s">
        <v>310</v>
      </c>
    </row>
    <row r="49" spans="1:20" s="88" customFormat="1" ht="150" customHeight="1" x14ac:dyDescent="0.2">
      <c r="A49" s="510">
        <f>IF(B49="","",COUNT('Diário 1º PA'!$A$4:$A$2635)+ROW()-3)</f>
        <v>1782</v>
      </c>
      <c r="B49" s="414">
        <v>44656</v>
      </c>
      <c r="C49" s="431">
        <v>44621</v>
      </c>
      <c r="D49" s="415" t="s">
        <v>271</v>
      </c>
      <c r="E49" s="415" t="s">
        <v>59</v>
      </c>
      <c r="F49" s="425">
        <v>7977.25</v>
      </c>
      <c r="G49" s="427" t="s">
        <v>1615</v>
      </c>
      <c r="H49" s="415" t="s">
        <v>309</v>
      </c>
      <c r="I49" s="427" t="s">
        <v>859</v>
      </c>
      <c r="J49" s="415" t="s">
        <v>860</v>
      </c>
      <c r="K49" s="434" t="s">
        <v>830</v>
      </c>
      <c r="L49" s="415" t="s">
        <v>807</v>
      </c>
      <c r="M49" s="415" t="s">
        <v>3363</v>
      </c>
      <c r="N49" s="414">
        <v>44629</v>
      </c>
      <c r="O49" s="414" t="s">
        <v>400</v>
      </c>
      <c r="P49" s="603">
        <f t="shared" si="0"/>
        <v>4</v>
      </c>
      <c r="Q49" s="603">
        <f t="shared" si="1"/>
        <v>3</v>
      </c>
      <c r="R49" s="604" t="str">
        <f t="shared" si="2"/>
        <v>Gastos_Gerais</v>
      </c>
      <c r="S49" s="605" t="s">
        <v>1000</v>
      </c>
      <c r="T49" s="606">
        <v>1114</v>
      </c>
    </row>
    <row r="50" spans="1:20" s="88" customFormat="1" ht="150" customHeight="1" x14ac:dyDescent="0.2">
      <c r="A50" s="510">
        <f>IF(B50="","",COUNT('Diário 1º PA'!$A$4:$A$2635)+ROW()-3)</f>
        <v>1783</v>
      </c>
      <c r="B50" s="414">
        <v>44656</v>
      </c>
      <c r="C50" s="431">
        <v>44621</v>
      </c>
      <c r="D50" s="415" t="s">
        <v>271</v>
      </c>
      <c r="E50" s="415" t="s">
        <v>186</v>
      </c>
      <c r="F50" s="425">
        <v>712</v>
      </c>
      <c r="G50" s="427" t="s">
        <v>545</v>
      </c>
      <c r="H50" s="415" t="s">
        <v>309</v>
      </c>
      <c r="I50" s="427" t="s">
        <v>1610</v>
      </c>
      <c r="J50" s="415" t="s">
        <v>890</v>
      </c>
      <c r="K50" s="415" t="s">
        <v>812</v>
      </c>
      <c r="L50" s="415" t="s">
        <v>807</v>
      </c>
      <c r="M50" s="415">
        <v>2401</v>
      </c>
      <c r="N50" s="414">
        <v>44643</v>
      </c>
      <c r="O50" s="414" t="s">
        <v>400</v>
      </c>
      <c r="P50" s="603">
        <f t="shared" si="0"/>
        <v>4</v>
      </c>
      <c r="Q50" s="603">
        <f t="shared" si="1"/>
        <v>3</v>
      </c>
      <c r="R50" s="604" t="str">
        <f t="shared" si="2"/>
        <v>Gastos_Gerais</v>
      </c>
      <c r="S50" s="605" t="s">
        <v>1000</v>
      </c>
      <c r="T50" s="605" t="s">
        <v>310</v>
      </c>
    </row>
    <row r="51" spans="1:20" s="88" customFormat="1" ht="150" customHeight="1" x14ac:dyDescent="0.2">
      <c r="A51" s="510">
        <f>IF(B51="","",COUNT('Diário 1º PA'!$A$4:$A$2635)+ROW()-3)</f>
        <v>1784</v>
      </c>
      <c r="B51" s="414">
        <v>44656</v>
      </c>
      <c r="C51" s="431">
        <v>44621</v>
      </c>
      <c r="D51" s="415" t="s">
        <v>271</v>
      </c>
      <c r="E51" s="415" t="s">
        <v>456</v>
      </c>
      <c r="F51" s="425">
        <v>244.58</v>
      </c>
      <c r="G51" s="427" t="s">
        <v>1165</v>
      </c>
      <c r="H51" s="419" t="s">
        <v>760</v>
      </c>
      <c r="I51" s="427" t="s">
        <v>4906</v>
      </c>
      <c r="J51" s="415" t="s">
        <v>1255</v>
      </c>
      <c r="K51" s="415" t="s">
        <v>1372</v>
      </c>
      <c r="L51" s="415" t="s">
        <v>310</v>
      </c>
      <c r="M51" s="415" t="s">
        <v>310</v>
      </c>
      <c r="N51" s="414">
        <v>44656</v>
      </c>
      <c r="O51" s="414" t="s">
        <v>400</v>
      </c>
      <c r="P51" s="603">
        <f t="shared" si="0"/>
        <v>4</v>
      </c>
      <c r="Q51" s="603">
        <f t="shared" si="1"/>
        <v>3</v>
      </c>
      <c r="R51" s="604" t="str">
        <f t="shared" si="2"/>
        <v>Gastos_Gerais</v>
      </c>
      <c r="S51" s="605" t="s">
        <v>1000</v>
      </c>
      <c r="T51" s="605">
        <v>2768</v>
      </c>
    </row>
    <row r="52" spans="1:20" s="88" customFormat="1" ht="150" customHeight="1" x14ac:dyDescent="0.2">
      <c r="A52" s="510">
        <f>IF(B52="","",COUNT('Diário 1º PA'!$A$4:$A$2635)+ROW()-3)</f>
        <v>1785</v>
      </c>
      <c r="B52" s="414">
        <v>44656</v>
      </c>
      <c r="C52" s="431">
        <v>44621</v>
      </c>
      <c r="D52" s="415" t="s">
        <v>271</v>
      </c>
      <c r="E52" s="415" t="s">
        <v>186</v>
      </c>
      <c r="F52" s="425">
        <v>7200</v>
      </c>
      <c r="G52" s="427" t="s">
        <v>2347</v>
      </c>
      <c r="H52" s="415" t="s">
        <v>309</v>
      </c>
      <c r="I52" s="427" t="s">
        <v>3366</v>
      </c>
      <c r="J52" s="415" t="s">
        <v>2348</v>
      </c>
      <c r="K52" s="415" t="s">
        <v>807</v>
      </c>
      <c r="L52" s="415" t="s">
        <v>807</v>
      </c>
      <c r="M52" s="415">
        <v>251</v>
      </c>
      <c r="N52" s="414">
        <v>44652</v>
      </c>
      <c r="O52" s="414" t="s">
        <v>400</v>
      </c>
      <c r="P52" s="603">
        <f t="shared" si="0"/>
        <v>4</v>
      </c>
      <c r="Q52" s="603">
        <f t="shared" si="1"/>
        <v>3</v>
      </c>
      <c r="R52" s="604" t="str">
        <f t="shared" si="2"/>
        <v>Gastos_Gerais</v>
      </c>
      <c r="S52" s="605" t="s">
        <v>1000</v>
      </c>
      <c r="T52" s="605">
        <v>3106</v>
      </c>
    </row>
    <row r="53" spans="1:20" s="88" customFormat="1" ht="24" x14ac:dyDescent="0.2">
      <c r="A53" s="510">
        <f>IF(B53="","",COUNT('Diário 1º PA'!$A$4:$A$2635)+ROW()-3)</f>
        <v>1786</v>
      </c>
      <c r="B53" s="414">
        <v>44656</v>
      </c>
      <c r="C53" s="424">
        <v>44652</v>
      </c>
      <c r="D53" s="415" t="s">
        <v>271</v>
      </c>
      <c r="E53" s="415" t="s">
        <v>71</v>
      </c>
      <c r="F53" s="425">
        <v>153</v>
      </c>
      <c r="G53" s="427" t="s">
        <v>880</v>
      </c>
      <c r="H53" s="415" t="s">
        <v>309</v>
      </c>
      <c r="I53" s="427" t="s">
        <v>881</v>
      </c>
      <c r="J53" s="415" t="s">
        <v>882</v>
      </c>
      <c r="K53" s="415" t="s">
        <v>883</v>
      </c>
      <c r="L53" s="415" t="s">
        <v>798</v>
      </c>
      <c r="M53" s="415" t="s">
        <v>310</v>
      </c>
      <c r="N53" s="414">
        <v>44656</v>
      </c>
      <c r="O53" s="414" t="s">
        <v>400</v>
      </c>
      <c r="P53" s="603">
        <f t="shared" si="0"/>
        <v>4</v>
      </c>
      <c r="Q53" s="603">
        <f t="shared" si="1"/>
        <v>4</v>
      </c>
      <c r="R53" s="604" t="str">
        <f t="shared" si="2"/>
        <v>Gastos_Gerais</v>
      </c>
      <c r="S53" s="605" t="s">
        <v>310</v>
      </c>
      <c r="T53" s="605" t="s">
        <v>310</v>
      </c>
    </row>
    <row r="54" spans="1:20" s="88" customFormat="1" ht="36" x14ac:dyDescent="0.2">
      <c r="A54" s="510">
        <f>IF(B54="","",COUNT('Diário 1º PA'!$A$4:$A$2635)+ROW()-3)</f>
        <v>1787</v>
      </c>
      <c r="B54" s="414">
        <v>44656</v>
      </c>
      <c r="C54" s="424">
        <v>44621</v>
      </c>
      <c r="D54" s="415" t="s">
        <v>468</v>
      </c>
      <c r="E54" s="415" t="s">
        <v>468</v>
      </c>
      <c r="F54" s="425">
        <v>3820</v>
      </c>
      <c r="G54" s="427" t="s">
        <v>695</v>
      </c>
      <c r="H54" s="415" t="s">
        <v>468</v>
      </c>
      <c r="I54" s="427" t="s">
        <v>2405</v>
      </c>
      <c r="J54" s="415" t="s">
        <v>1030</v>
      </c>
      <c r="K54" s="415" t="s">
        <v>830</v>
      </c>
      <c r="L54" s="415" t="s">
        <v>32</v>
      </c>
      <c r="M54" s="415" t="s">
        <v>1786</v>
      </c>
      <c r="N54" s="414">
        <v>44655</v>
      </c>
      <c r="O54" s="414" t="s">
        <v>408</v>
      </c>
      <c r="P54" s="603">
        <f t="shared" si="0"/>
        <v>4</v>
      </c>
      <c r="Q54" s="603">
        <f t="shared" si="1"/>
        <v>3</v>
      </c>
      <c r="R54" s="604" t="str">
        <f t="shared" si="2"/>
        <v>Gastos_custeados_por_captação</v>
      </c>
      <c r="S54" s="605" t="s">
        <v>1000</v>
      </c>
      <c r="T54" s="605">
        <v>2631</v>
      </c>
    </row>
    <row r="55" spans="1:20" s="88" customFormat="1" ht="36" x14ac:dyDescent="0.2">
      <c r="A55" s="510">
        <f>IF(B55="","",COUNT('Diário 1º PA'!$A$4:$A$2635)+ROW()-3)</f>
        <v>1788</v>
      </c>
      <c r="B55" s="414">
        <v>44656</v>
      </c>
      <c r="C55" s="424">
        <v>44621</v>
      </c>
      <c r="D55" s="415" t="s">
        <v>468</v>
      </c>
      <c r="E55" s="415" t="s">
        <v>468</v>
      </c>
      <c r="F55" s="425">
        <v>142.84</v>
      </c>
      <c r="G55" s="427" t="s">
        <v>3764</v>
      </c>
      <c r="H55" s="415" t="s">
        <v>468</v>
      </c>
      <c r="I55" s="427" t="s">
        <v>3765</v>
      </c>
      <c r="J55" s="415" t="s">
        <v>310</v>
      </c>
      <c r="K55" s="415" t="s">
        <v>830</v>
      </c>
      <c r="L55" s="415" t="s">
        <v>32</v>
      </c>
      <c r="M55" s="415" t="s">
        <v>310</v>
      </c>
      <c r="N55" s="414">
        <v>44655</v>
      </c>
      <c r="O55" s="414" t="s">
        <v>408</v>
      </c>
      <c r="P55" s="603">
        <f t="shared" si="0"/>
        <v>4</v>
      </c>
      <c r="Q55" s="603">
        <f t="shared" si="1"/>
        <v>3</v>
      </c>
      <c r="R55" s="604" t="str">
        <f t="shared" si="2"/>
        <v>Gastos_custeados_por_captação</v>
      </c>
      <c r="S55" s="605" t="s">
        <v>1000</v>
      </c>
      <c r="T55" s="605">
        <v>2859</v>
      </c>
    </row>
    <row r="56" spans="1:20" s="88" customFormat="1" ht="72" x14ac:dyDescent="0.2">
      <c r="A56" s="510">
        <f>IF(B56="","",COUNT('Diário 1º PA'!$A$4:$A$2635)+ROW()-3)</f>
        <v>1789</v>
      </c>
      <c r="B56" s="414">
        <v>44656</v>
      </c>
      <c r="C56" s="431">
        <v>44621</v>
      </c>
      <c r="D56" s="415" t="s">
        <v>468</v>
      </c>
      <c r="E56" s="415" t="s">
        <v>468</v>
      </c>
      <c r="F56" s="425">
        <v>2522.5500000000002</v>
      </c>
      <c r="G56" s="427" t="s">
        <v>670</v>
      </c>
      <c r="H56" s="415" t="s">
        <v>468</v>
      </c>
      <c r="I56" s="427" t="s">
        <v>2358</v>
      </c>
      <c r="J56" s="415" t="s">
        <v>1132</v>
      </c>
      <c r="K56" s="415" t="s">
        <v>830</v>
      </c>
      <c r="L56" s="415" t="s">
        <v>839</v>
      </c>
      <c r="M56" s="415">
        <v>1660</v>
      </c>
      <c r="N56" s="414">
        <v>44652</v>
      </c>
      <c r="O56" s="414" t="s">
        <v>402</v>
      </c>
      <c r="P56" s="603">
        <f t="shared" si="0"/>
        <v>4</v>
      </c>
      <c r="Q56" s="603">
        <f t="shared" si="1"/>
        <v>3</v>
      </c>
      <c r="R56" s="604" t="str">
        <f t="shared" si="2"/>
        <v>Gastos_custeados_por_captação</v>
      </c>
      <c r="S56" s="605" t="s">
        <v>1000</v>
      </c>
      <c r="T56" s="605">
        <v>2723</v>
      </c>
    </row>
    <row r="57" spans="1:20" ht="72" x14ac:dyDescent="0.2">
      <c r="A57" s="510">
        <f>IF(B57="","",COUNT('Diário 1º PA'!$A$4:$A$2635)+ROW()-3)</f>
        <v>1790</v>
      </c>
      <c r="B57" s="414">
        <v>44656</v>
      </c>
      <c r="C57" s="431">
        <v>44621</v>
      </c>
      <c r="D57" s="415" t="s">
        <v>468</v>
      </c>
      <c r="E57" s="415" t="s">
        <v>468</v>
      </c>
      <c r="F57" s="425">
        <v>3260.8</v>
      </c>
      <c r="G57" s="427" t="s">
        <v>2577</v>
      </c>
      <c r="H57" s="415" t="s">
        <v>468</v>
      </c>
      <c r="I57" s="427" t="s">
        <v>2578</v>
      </c>
      <c r="J57" s="415" t="s">
        <v>2579</v>
      </c>
      <c r="K57" s="415" t="s">
        <v>830</v>
      </c>
      <c r="L57" s="415" t="s">
        <v>839</v>
      </c>
      <c r="M57" s="415">
        <v>1659</v>
      </c>
      <c r="N57" s="414">
        <v>44652</v>
      </c>
      <c r="O57" s="414" t="s">
        <v>402</v>
      </c>
      <c r="P57" s="603">
        <f>IF(B57=0,0,IF(YEAR(B57)=$Q$1,MONTH(B57)-$P$1+1,(YEAR(B57)-$Q$1)*12-$P$1+1+MONTH(B57)))</f>
        <v>4</v>
      </c>
      <c r="Q57" s="603">
        <f>IF(C57=0,0,IF(YEAR(C57)=$Q$1,MONTH(C57)-$P$1+1,(YEAR(C57)-$Q$1)*12-$P$1+1+MONTH(C57)))</f>
        <v>3</v>
      </c>
      <c r="R57" s="604" t="str">
        <f>SUBSTITUTE(D57," ","_")</f>
        <v>Gastos_custeados_por_captação</v>
      </c>
      <c r="S57" s="605" t="s">
        <v>1000</v>
      </c>
      <c r="T57" s="605">
        <v>2720</v>
      </c>
    </row>
    <row r="58" spans="1:20" ht="72" x14ac:dyDescent="0.2">
      <c r="A58" s="510">
        <f>IF(B58="","",COUNT('Diário 1º PA'!$A$4:$A$2635)+ROW()-3)</f>
        <v>1791</v>
      </c>
      <c r="B58" s="414">
        <v>44656</v>
      </c>
      <c r="C58" s="424">
        <v>44652</v>
      </c>
      <c r="D58" s="415" t="s">
        <v>468</v>
      </c>
      <c r="E58" s="415" t="s">
        <v>468</v>
      </c>
      <c r="F58" s="425">
        <v>96</v>
      </c>
      <c r="G58" s="427" t="s">
        <v>4213</v>
      </c>
      <c r="H58" s="415" t="s">
        <v>468</v>
      </c>
      <c r="I58" s="427" t="s">
        <v>4212</v>
      </c>
      <c r="J58" s="415" t="s">
        <v>4214</v>
      </c>
      <c r="K58" s="415" t="s">
        <v>830</v>
      </c>
      <c r="L58" s="415" t="s">
        <v>807</v>
      </c>
      <c r="M58" s="415">
        <v>42697</v>
      </c>
      <c r="N58" s="414">
        <v>44656</v>
      </c>
      <c r="O58" s="414" t="s">
        <v>407</v>
      </c>
      <c r="P58" s="603">
        <f t="shared" si="0"/>
        <v>4</v>
      </c>
      <c r="Q58" s="603">
        <f t="shared" si="1"/>
        <v>4</v>
      </c>
      <c r="R58" s="604" t="str">
        <f t="shared" si="2"/>
        <v>Gastos_custeados_por_captação</v>
      </c>
      <c r="S58" s="605" t="s">
        <v>999</v>
      </c>
      <c r="T58" s="605">
        <v>3344</v>
      </c>
    </row>
    <row r="59" spans="1:20" s="88" customFormat="1" ht="72" x14ac:dyDescent="0.2">
      <c r="A59" s="510">
        <f>IF(B59="","",COUNT('Diário 1º PA'!$A$4:$A$2635)+ROW()-3)</f>
        <v>1792</v>
      </c>
      <c r="B59" s="414">
        <v>44656</v>
      </c>
      <c r="C59" s="431">
        <v>44621</v>
      </c>
      <c r="D59" s="415" t="s">
        <v>468</v>
      </c>
      <c r="E59" s="415" t="s">
        <v>468</v>
      </c>
      <c r="F59" s="425">
        <v>3000</v>
      </c>
      <c r="G59" s="427" t="s">
        <v>669</v>
      </c>
      <c r="H59" s="415" t="s">
        <v>468</v>
      </c>
      <c r="I59" s="427" t="s">
        <v>2848</v>
      </c>
      <c r="J59" s="415" t="s">
        <v>1085</v>
      </c>
      <c r="K59" s="415" t="s">
        <v>830</v>
      </c>
      <c r="L59" s="415" t="s">
        <v>807</v>
      </c>
      <c r="M59" s="415" t="s">
        <v>1503</v>
      </c>
      <c r="N59" s="414">
        <v>44655</v>
      </c>
      <c r="O59" s="414" t="s">
        <v>407</v>
      </c>
      <c r="P59" s="603">
        <f>IF(B59=0,0,IF(YEAR(B59)=$Q$1,MONTH(B59)-$P$1+1,(YEAR(B59)-$Q$1)*12-$P$1+1+MONTH(B59)))</f>
        <v>4</v>
      </c>
      <c r="Q59" s="603">
        <f>IF(C59=0,0,IF(YEAR(C59)=$Q$1,MONTH(C59)-$P$1+1,(YEAR(C59)-$Q$1)*12-$P$1+1+MONTH(C59)))</f>
        <v>3</v>
      </c>
      <c r="R59" s="604" t="str">
        <f>SUBSTITUTE(D59," ","_")</f>
        <v>Gastos_custeados_por_captação</v>
      </c>
      <c r="S59" s="605" t="s">
        <v>1000</v>
      </c>
      <c r="T59" s="605">
        <v>2725</v>
      </c>
    </row>
    <row r="60" spans="1:20" s="88" customFormat="1" ht="48.75" customHeight="1" x14ac:dyDescent="0.2">
      <c r="A60" s="510">
        <f>IF(B60="","",COUNT('Diário 1º PA'!$A$4:$A$2635)+ROW()-3)</f>
        <v>1793</v>
      </c>
      <c r="B60" s="414">
        <v>44656</v>
      </c>
      <c r="C60" s="431">
        <v>44652</v>
      </c>
      <c r="D60" s="415" t="s">
        <v>468</v>
      </c>
      <c r="E60" s="415" t="s">
        <v>468</v>
      </c>
      <c r="F60" s="425">
        <v>103.1</v>
      </c>
      <c r="G60" s="427" t="s">
        <v>5019</v>
      </c>
      <c r="H60" s="415" t="s">
        <v>468</v>
      </c>
      <c r="I60" s="427" t="s">
        <v>4410</v>
      </c>
      <c r="J60" s="415" t="s">
        <v>1889</v>
      </c>
      <c r="K60" s="415" t="s">
        <v>830</v>
      </c>
      <c r="L60" s="415" t="s">
        <v>807</v>
      </c>
      <c r="M60" s="415">
        <v>2946</v>
      </c>
      <c r="N60" s="414">
        <v>44656</v>
      </c>
      <c r="O60" s="414" t="s">
        <v>403</v>
      </c>
      <c r="P60" s="603">
        <f t="shared" si="0"/>
        <v>4</v>
      </c>
      <c r="Q60" s="603">
        <f t="shared" si="1"/>
        <v>4</v>
      </c>
      <c r="R60" s="604" t="str">
        <f t="shared" si="2"/>
        <v>Gastos_custeados_por_captação</v>
      </c>
      <c r="S60" s="605" t="s">
        <v>999</v>
      </c>
      <c r="T60" s="605">
        <v>3337</v>
      </c>
    </row>
    <row r="61" spans="1:20" s="88" customFormat="1" ht="36" x14ac:dyDescent="0.2">
      <c r="A61" s="510">
        <f>IF(B61="","",COUNT('Diário 1º PA'!$A$4:$A$2635)+ROW()-3)</f>
        <v>1794</v>
      </c>
      <c r="B61" s="414">
        <v>44657</v>
      </c>
      <c r="C61" s="431">
        <v>44621</v>
      </c>
      <c r="D61" s="415" t="s">
        <v>271</v>
      </c>
      <c r="E61" s="415" t="s">
        <v>9</v>
      </c>
      <c r="F61" s="435">
        <v>-1741.71</v>
      </c>
      <c r="G61" s="437" t="s">
        <v>1622</v>
      </c>
      <c r="H61" s="415" t="s">
        <v>309</v>
      </c>
      <c r="I61" s="437" t="s">
        <v>795</v>
      </c>
      <c r="J61" s="434" t="s">
        <v>796</v>
      </c>
      <c r="K61" s="434" t="s">
        <v>797</v>
      </c>
      <c r="L61" s="434" t="s">
        <v>798</v>
      </c>
      <c r="M61" s="436" t="s">
        <v>310</v>
      </c>
      <c r="N61" s="414">
        <v>44657</v>
      </c>
      <c r="O61" s="414" t="s">
        <v>400</v>
      </c>
      <c r="P61" s="603">
        <f t="shared" si="0"/>
        <v>4</v>
      </c>
      <c r="Q61" s="603">
        <f t="shared" si="1"/>
        <v>3</v>
      </c>
      <c r="R61" s="604" t="str">
        <f t="shared" si="2"/>
        <v>Gastos_Gerais</v>
      </c>
      <c r="S61" s="605" t="s">
        <v>310</v>
      </c>
      <c r="T61" s="605" t="s">
        <v>310</v>
      </c>
    </row>
    <row r="62" spans="1:20" s="88" customFormat="1" ht="36" x14ac:dyDescent="0.2">
      <c r="A62" s="510">
        <f>IF(B62="","",COUNT('Diário 1º PA'!$A$4:$A$2635)+ROW()-3)</f>
        <v>1795</v>
      </c>
      <c r="B62" s="414">
        <v>44657</v>
      </c>
      <c r="C62" s="431">
        <v>44621</v>
      </c>
      <c r="D62" s="415" t="s">
        <v>182</v>
      </c>
      <c r="E62" s="415" t="s">
        <v>1</v>
      </c>
      <c r="F62" s="425">
        <v>4562.1499999999996</v>
      </c>
      <c r="G62" s="427" t="s">
        <v>3367</v>
      </c>
      <c r="H62" s="415" t="s">
        <v>310</v>
      </c>
      <c r="I62" s="427" t="s">
        <v>907</v>
      </c>
      <c r="J62" s="415" t="s">
        <v>908</v>
      </c>
      <c r="K62" s="415" t="s">
        <v>806</v>
      </c>
      <c r="L62" s="415" t="s">
        <v>909</v>
      </c>
      <c r="M62" s="415" t="s">
        <v>310</v>
      </c>
      <c r="N62" s="414">
        <v>44657</v>
      </c>
      <c r="O62" s="414" t="s">
        <v>400</v>
      </c>
      <c r="P62" s="603">
        <f t="shared" si="0"/>
        <v>4</v>
      </c>
      <c r="Q62" s="603">
        <f t="shared" si="1"/>
        <v>3</v>
      </c>
      <c r="R62" s="604" t="str">
        <f t="shared" si="2"/>
        <v>Gastos_com_Pessoal</v>
      </c>
      <c r="S62" s="605" t="s">
        <v>310</v>
      </c>
      <c r="T62" s="605" t="s">
        <v>310</v>
      </c>
    </row>
    <row r="63" spans="1:20" s="88" customFormat="1" ht="36" x14ac:dyDescent="0.2">
      <c r="A63" s="510">
        <f>IF(B63="","",COUNT('Diário 1º PA'!$A$4:$A$2635)+ROW()-3)</f>
        <v>1796</v>
      </c>
      <c r="B63" s="414">
        <v>44657</v>
      </c>
      <c r="C63" s="431">
        <v>44621</v>
      </c>
      <c r="D63" s="415" t="s">
        <v>182</v>
      </c>
      <c r="E63" s="415" t="s">
        <v>1</v>
      </c>
      <c r="F63" s="425">
        <v>1939.66</v>
      </c>
      <c r="G63" s="427" t="s">
        <v>3368</v>
      </c>
      <c r="H63" s="415" t="s">
        <v>310</v>
      </c>
      <c r="I63" s="427" t="s">
        <v>911</v>
      </c>
      <c r="J63" s="415" t="s">
        <v>912</v>
      </c>
      <c r="K63" s="415" t="s">
        <v>806</v>
      </c>
      <c r="L63" s="415" t="s">
        <v>909</v>
      </c>
      <c r="M63" s="415" t="s">
        <v>310</v>
      </c>
      <c r="N63" s="414">
        <v>44657</v>
      </c>
      <c r="O63" s="414" t="s">
        <v>400</v>
      </c>
      <c r="P63" s="603">
        <f t="shared" si="0"/>
        <v>4</v>
      </c>
      <c r="Q63" s="603">
        <f t="shared" si="1"/>
        <v>3</v>
      </c>
      <c r="R63" s="604" t="str">
        <f t="shared" si="2"/>
        <v>Gastos_com_Pessoal</v>
      </c>
      <c r="S63" s="605" t="s">
        <v>310</v>
      </c>
      <c r="T63" s="605" t="s">
        <v>310</v>
      </c>
    </row>
    <row r="64" spans="1:20" s="88" customFormat="1" ht="36" x14ac:dyDescent="0.2">
      <c r="A64" s="510">
        <f>IF(B64="","",COUNT('Diário 1º PA'!$A$4:$A$2635)+ROW()-3)</f>
        <v>1797</v>
      </c>
      <c r="B64" s="414">
        <v>44657</v>
      </c>
      <c r="C64" s="431">
        <v>44621</v>
      </c>
      <c r="D64" s="415" t="s">
        <v>182</v>
      </c>
      <c r="E64" s="415" t="s">
        <v>1</v>
      </c>
      <c r="F64" s="425">
        <v>2261.98</v>
      </c>
      <c r="G64" s="427" t="s">
        <v>3369</v>
      </c>
      <c r="H64" s="415" t="s">
        <v>310</v>
      </c>
      <c r="I64" s="427" t="s">
        <v>914</v>
      </c>
      <c r="J64" s="415" t="s">
        <v>915</v>
      </c>
      <c r="K64" s="415" t="s">
        <v>806</v>
      </c>
      <c r="L64" s="415" t="s">
        <v>909</v>
      </c>
      <c r="M64" s="415" t="s">
        <v>310</v>
      </c>
      <c r="N64" s="414">
        <v>44657</v>
      </c>
      <c r="O64" s="414" t="s">
        <v>400</v>
      </c>
      <c r="P64" s="603">
        <f t="shared" si="0"/>
        <v>4</v>
      </c>
      <c r="Q64" s="603">
        <f t="shared" si="1"/>
        <v>3</v>
      </c>
      <c r="R64" s="604" t="str">
        <f t="shared" si="2"/>
        <v>Gastos_com_Pessoal</v>
      </c>
      <c r="S64" s="605" t="s">
        <v>310</v>
      </c>
      <c r="T64" s="605" t="s">
        <v>310</v>
      </c>
    </row>
    <row r="65" spans="1:20" s="88" customFormat="1" ht="36" x14ac:dyDescent="0.2">
      <c r="A65" s="510">
        <f>IF(B65="","",COUNT('Diário 1º PA'!$A$4:$A$2635)+ROW()-3)</f>
        <v>1798</v>
      </c>
      <c r="B65" s="414">
        <v>44657</v>
      </c>
      <c r="C65" s="431">
        <v>44621</v>
      </c>
      <c r="D65" s="415" t="s">
        <v>182</v>
      </c>
      <c r="E65" s="415" t="s">
        <v>1</v>
      </c>
      <c r="F65" s="425">
        <v>2064.5700000000002</v>
      </c>
      <c r="G65" s="427" t="s">
        <v>3368</v>
      </c>
      <c r="H65" s="415" t="s">
        <v>310</v>
      </c>
      <c r="I65" s="427" t="s">
        <v>916</v>
      </c>
      <c r="J65" s="415" t="s">
        <v>917</v>
      </c>
      <c r="K65" s="415" t="s">
        <v>806</v>
      </c>
      <c r="L65" s="415" t="s">
        <v>909</v>
      </c>
      <c r="M65" s="415" t="s">
        <v>310</v>
      </c>
      <c r="N65" s="414">
        <v>44657</v>
      </c>
      <c r="O65" s="414" t="s">
        <v>400</v>
      </c>
      <c r="P65" s="603">
        <f t="shared" si="0"/>
        <v>4</v>
      </c>
      <c r="Q65" s="603">
        <f t="shared" si="1"/>
        <v>3</v>
      </c>
      <c r="R65" s="604" t="str">
        <f t="shared" si="2"/>
        <v>Gastos_com_Pessoal</v>
      </c>
      <c r="S65" s="605" t="s">
        <v>310</v>
      </c>
      <c r="T65" s="605" t="s">
        <v>310</v>
      </c>
    </row>
    <row r="66" spans="1:20" s="88" customFormat="1" ht="36" x14ac:dyDescent="0.2">
      <c r="A66" s="510">
        <f>IF(B66="","",COUNT('Diário 1º PA'!$A$4:$A$2635)+ROW()-3)</f>
        <v>1799</v>
      </c>
      <c r="B66" s="414">
        <v>44657</v>
      </c>
      <c r="C66" s="431">
        <v>44621</v>
      </c>
      <c r="D66" s="415" t="s">
        <v>182</v>
      </c>
      <c r="E66" s="415" t="s">
        <v>1</v>
      </c>
      <c r="F66" s="425">
        <v>1773.6</v>
      </c>
      <c r="G66" s="427" t="s">
        <v>3368</v>
      </c>
      <c r="H66" s="415" t="s">
        <v>310</v>
      </c>
      <c r="I66" s="427" t="s">
        <v>918</v>
      </c>
      <c r="J66" s="415" t="s">
        <v>919</v>
      </c>
      <c r="K66" s="415" t="s">
        <v>806</v>
      </c>
      <c r="L66" s="415" t="s">
        <v>909</v>
      </c>
      <c r="M66" s="415" t="s">
        <v>310</v>
      </c>
      <c r="N66" s="414">
        <v>44657</v>
      </c>
      <c r="O66" s="414" t="s">
        <v>400</v>
      </c>
      <c r="P66" s="603">
        <f t="shared" si="0"/>
        <v>4</v>
      </c>
      <c r="Q66" s="603">
        <f t="shared" si="1"/>
        <v>3</v>
      </c>
      <c r="R66" s="604" t="str">
        <f t="shared" si="2"/>
        <v>Gastos_com_Pessoal</v>
      </c>
      <c r="S66" s="605" t="s">
        <v>310</v>
      </c>
      <c r="T66" s="605" t="s">
        <v>310</v>
      </c>
    </row>
    <row r="67" spans="1:20" s="88" customFormat="1" ht="36" x14ac:dyDescent="0.2">
      <c r="A67" s="510">
        <f>IF(B67="","",COUNT('Diário 1º PA'!$A$4:$A$2635)+ROW()-3)</f>
        <v>1800</v>
      </c>
      <c r="B67" s="414">
        <v>44657</v>
      </c>
      <c r="C67" s="431">
        <v>44621</v>
      </c>
      <c r="D67" s="415" t="s">
        <v>182</v>
      </c>
      <c r="E67" s="415" t="s">
        <v>1</v>
      </c>
      <c r="F67" s="425">
        <v>2095.64</v>
      </c>
      <c r="G67" s="427" t="s">
        <v>3368</v>
      </c>
      <c r="H67" s="415" t="s">
        <v>310</v>
      </c>
      <c r="I67" s="427" t="s">
        <v>920</v>
      </c>
      <c r="J67" s="415" t="s">
        <v>921</v>
      </c>
      <c r="K67" s="415" t="s">
        <v>806</v>
      </c>
      <c r="L67" s="415" t="s">
        <v>909</v>
      </c>
      <c r="M67" s="415" t="s">
        <v>310</v>
      </c>
      <c r="N67" s="414">
        <v>44657</v>
      </c>
      <c r="O67" s="414" t="s">
        <v>400</v>
      </c>
      <c r="P67" s="603">
        <f t="shared" si="0"/>
        <v>4</v>
      </c>
      <c r="Q67" s="603">
        <f t="shared" si="1"/>
        <v>3</v>
      </c>
      <c r="R67" s="604" t="str">
        <f t="shared" si="2"/>
        <v>Gastos_com_Pessoal</v>
      </c>
      <c r="S67" s="605" t="s">
        <v>310</v>
      </c>
      <c r="T67" s="605" t="s">
        <v>310</v>
      </c>
    </row>
    <row r="68" spans="1:20" s="88" customFormat="1" ht="36" x14ac:dyDescent="0.2">
      <c r="A68" s="510">
        <f>IF(B68="","",COUNT('Diário 1º PA'!$A$4:$A$2635)+ROW()-3)</f>
        <v>1801</v>
      </c>
      <c r="B68" s="414">
        <v>44657</v>
      </c>
      <c r="C68" s="431">
        <v>44621</v>
      </c>
      <c r="D68" s="415" t="s">
        <v>182</v>
      </c>
      <c r="E68" s="415" t="s">
        <v>1</v>
      </c>
      <c r="F68" s="425">
        <v>4372.09</v>
      </c>
      <c r="G68" s="427" t="s">
        <v>3370</v>
      </c>
      <c r="H68" s="415" t="s">
        <v>310</v>
      </c>
      <c r="I68" s="427" t="s">
        <v>923</v>
      </c>
      <c r="J68" s="415" t="s">
        <v>924</v>
      </c>
      <c r="K68" s="415" t="s">
        <v>806</v>
      </c>
      <c r="L68" s="415" t="s">
        <v>909</v>
      </c>
      <c r="M68" s="415" t="s">
        <v>310</v>
      </c>
      <c r="N68" s="414">
        <v>44657</v>
      </c>
      <c r="O68" s="414" t="s">
        <v>400</v>
      </c>
      <c r="P68" s="603">
        <f t="shared" si="0"/>
        <v>4</v>
      </c>
      <c r="Q68" s="603">
        <f t="shared" si="1"/>
        <v>3</v>
      </c>
      <c r="R68" s="604" t="str">
        <f t="shared" si="2"/>
        <v>Gastos_com_Pessoal</v>
      </c>
      <c r="S68" s="605" t="s">
        <v>310</v>
      </c>
      <c r="T68" s="605" t="s">
        <v>310</v>
      </c>
    </row>
    <row r="69" spans="1:20" s="88" customFormat="1" ht="36" x14ac:dyDescent="0.2">
      <c r="A69" s="510">
        <f>IF(B69="","",COUNT('Diário 1º PA'!$A$4:$A$2635)+ROW()-3)</f>
        <v>1802</v>
      </c>
      <c r="B69" s="414">
        <v>44657</v>
      </c>
      <c r="C69" s="431">
        <v>44621</v>
      </c>
      <c r="D69" s="415" t="s">
        <v>182</v>
      </c>
      <c r="E69" s="415" t="s">
        <v>1</v>
      </c>
      <c r="F69" s="425">
        <v>2077.66</v>
      </c>
      <c r="G69" s="427" t="s">
        <v>3368</v>
      </c>
      <c r="H69" s="415" t="s">
        <v>310</v>
      </c>
      <c r="I69" s="427" t="s">
        <v>926</v>
      </c>
      <c r="J69" s="415" t="s">
        <v>927</v>
      </c>
      <c r="K69" s="415" t="s">
        <v>806</v>
      </c>
      <c r="L69" s="415" t="s">
        <v>909</v>
      </c>
      <c r="M69" s="415" t="s">
        <v>310</v>
      </c>
      <c r="N69" s="414">
        <v>44657</v>
      </c>
      <c r="O69" s="414" t="s">
        <v>400</v>
      </c>
      <c r="P69" s="603">
        <f t="shared" si="0"/>
        <v>4</v>
      </c>
      <c r="Q69" s="603">
        <f t="shared" si="1"/>
        <v>3</v>
      </c>
      <c r="R69" s="604" t="str">
        <f t="shared" si="2"/>
        <v>Gastos_com_Pessoal</v>
      </c>
      <c r="S69" s="605" t="s">
        <v>310</v>
      </c>
      <c r="T69" s="605" t="s">
        <v>310</v>
      </c>
    </row>
    <row r="70" spans="1:20" s="88" customFormat="1" ht="36" x14ac:dyDescent="0.2">
      <c r="A70" s="510">
        <f>IF(B70="","",COUNT('Diário 1º PA'!$A$4:$A$2635)+ROW()-3)</f>
        <v>1803</v>
      </c>
      <c r="B70" s="414">
        <v>44657</v>
      </c>
      <c r="C70" s="431">
        <v>44621</v>
      </c>
      <c r="D70" s="415" t="s">
        <v>182</v>
      </c>
      <c r="E70" s="415" t="s">
        <v>1</v>
      </c>
      <c r="F70" s="425">
        <v>1474.11</v>
      </c>
      <c r="G70" s="427" t="s">
        <v>3371</v>
      </c>
      <c r="H70" s="415" t="s">
        <v>310</v>
      </c>
      <c r="I70" s="427" t="s">
        <v>929</v>
      </c>
      <c r="J70" s="415" t="s">
        <v>930</v>
      </c>
      <c r="K70" s="415" t="s">
        <v>806</v>
      </c>
      <c r="L70" s="415" t="s">
        <v>909</v>
      </c>
      <c r="M70" s="415" t="s">
        <v>310</v>
      </c>
      <c r="N70" s="414">
        <v>44657</v>
      </c>
      <c r="O70" s="414" t="s">
        <v>400</v>
      </c>
      <c r="P70" s="603">
        <f t="shared" si="0"/>
        <v>4</v>
      </c>
      <c r="Q70" s="603">
        <f t="shared" si="1"/>
        <v>3</v>
      </c>
      <c r="R70" s="604" t="str">
        <f t="shared" si="2"/>
        <v>Gastos_com_Pessoal</v>
      </c>
      <c r="S70" s="605" t="s">
        <v>310</v>
      </c>
      <c r="T70" s="605" t="s">
        <v>310</v>
      </c>
    </row>
    <row r="71" spans="1:20" s="88" customFormat="1" ht="36" x14ac:dyDescent="0.2">
      <c r="A71" s="510">
        <f>IF(B71="","",COUNT('Diário 1º PA'!$A$4:$A$2635)+ROW()-3)</f>
        <v>1804</v>
      </c>
      <c r="B71" s="414">
        <v>44657</v>
      </c>
      <c r="C71" s="431">
        <v>44621</v>
      </c>
      <c r="D71" s="415" t="s">
        <v>182</v>
      </c>
      <c r="E71" s="415" t="s">
        <v>1</v>
      </c>
      <c r="F71" s="425">
        <v>1957.64</v>
      </c>
      <c r="G71" s="427" t="s">
        <v>3372</v>
      </c>
      <c r="H71" s="415" t="s">
        <v>310</v>
      </c>
      <c r="I71" s="427" t="s">
        <v>932</v>
      </c>
      <c r="J71" s="415" t="s">
        <v>933</v>
      </c>
      <c r="K71" s="415" t="s">
        <v>806</v>
      </c>
      <c r="L71" s="415" t="s">
        <v>909</v>
      </c>
      <c r="M71" s="415" t="s">
        <v>310</v>
      </c>
      <c r="N71" s="414">
        <v>44657</v>
      </c>
      <c r="O71" s="414" t="s">
        <v>400</v>
      </c>
      <c r="P71" s="603">
        <f t="shared" ref="P71:P134" si="4">IF(B71=0,0,IF(YEAR(B71)=$Q$1,MONTH(B71)-$P$1+1,(YEAR(B71)-$Q$1)*12-$P$1+1+MONTH(B71)))</f>
        <v>4</v>
      </c>
      <c r="Q71" s="603">
        <f t="shared" ref="Q71:Q134" si="5">IF(C71=0,0,IF(YEAR(C71)=$Q$1,MONTH(C71)-$P$1+1,(YEAR(C71)-$Q$1)*12-$P$1+1+MONTH(C71)))</f>
        <v>3</v>
      </c>
      <c r="R71" s="604" t="str">
        <f t="shared" ref="R71:R134" si="6">SUBSTITUTE(D71," ","_")</f>
        <v>Gastos_com_Pessoal</v>
      </c>
      <c r="S71" s="605" t="s">
        <v>310</v>
      </c>
      <c r="T71" s="605" t="s">
        <v>310</v>
      </c>
    </row>
    <row r="72" spans="1:20" s="88" customFormat="1" ht="36" x14ac:dyDescent="0.2">
      <c r="A72" s="510">
        <f>IF(B72="","",COUNT('Diário 1º PA'!$A$4:$A$2635)+ROW()-3)</f>
        <v>1805</v>
      </c>
      <c r="B72" s="414">
        <v>44657</v>
      </c>
      <c r="C72" s="431">
        <v>44621</v>
      </c>
      <c r="D72" s="415" t="s">
        <v>182</v>
      </c>
      <c r="E72" s="415" t="s">
        <v>1</v>
      </c>
      <c r="F72" s="425">
        <v>1957.64</v>
      </c>
      <c r="G72" s="427" t="s">
        <v>3373</v>
      </c>
      <c r="H72" s="415" t="s">
        <v>310</v>
      </c>
      <c r="I72" s="427" t="s">
        <v>935</v>
      </c>
      <c r="J72" s="415" t="s">
        <v>936</v>
      </c>
      <c r="K72" s="415" t="s">
        <v>806</v>
      </c>
      <c r="L72" s="415" t="s">
        <v>909</v>
      </c>
      <c r="M72" s="415" t="s">
        <v>310</v>
      </c>
      <c r="N72" s="414">
        <v>44657</v>
      </c>
      <c r="O72" s="414" t="s">
        <v>400</v>
      </c>
      <c r="P72" s="603">
        <f t="shared" si="4"/>
        <v>4</v>
      </c>
      <c r="Q72" s="603">
        <f t="shared" si="5"/>
        <v>3</v>
      </c>
      <c r="R72" s="604" t="str">
        <f t="shared" si="6"/>
        <v>Gastos_com_Pessoal</v>
      </c>
      <c r="S72" s="605" t="s">
        <v>310</v>
      </c>
      <c r="T72" s="605" t="s">
        <v>310</v>
      </c>
    </row>
    <row r="73" spans="1:20" s="88" customFormat="1" ht="24" x14ac:dyDescent="0.2">
      <c r="A73" s="510">
        <f>IF(B73="","",COUNT('Diário 1º PA'!$A$4:$A$2635)+ROW()-3)</f>
        <v>1806</v>
      </c>
      <c r="B73" s="414">
        <v>44657</v>
      </c>
      <c r="C73" s="431">
        <v>44621</v>
      </c>
      <c r="D73" s="415" t="s">
        <v>271</v>
      </c>
      <c r="E73" s="415" t="s">
        <v>9</v>
      </c>
      <c r="F73" s="425">
        <v>6308</v>
      </c>
      <c r="G73" s="427" t="s">
        <v>729</v>
      </c>
      <c r="H73" s="415" t="s">
        <v>309</v>
      </c>
      <c r="I73" s="427" t="s">
        <v>1620</v>
      </c>
      <c r="J73" s="415" t="s">
        <v>841</v>
      </c>
      <c r="K73" s="415" t="s">
        <v>806</v>
      </c>
      <c r="L73" s="415" t="s">
        <v>807</v>
      </c>
      <c r="M73" s="415" t="s">
        <v>3374</v>
      </c>
      <c r="N73" s="414">
        <v>44656</v>
      </c>
      <c r="O73" s="414" t="s">
        <v>400</v>
      </c>
      <c r="P73" s="603">
        <f t="shared" si="4"/>
        <v>4</v>
      </c>
      <c r="Q73" s="603">
        <f t="shared" si="5"/>
        <v>3</v>
      </c>
      <c r="R73" s="604" t="str">
        <f t="shared" si="6"/>
        <v>Gastos_Gerais</v>
      </c>
      <c r="S73" s="605" t="s">
        <v>1000</v>
      </c>
      <c r="T73" s="605">
        <v>2780</v>
      </c>
    </row>
    <row r="74" spans="1:20" s="88" customFormat="1" ht="36" x14ac:dyDescent="0.2">
      <c r="A74" s="510">
        <f>IF(B74="","",COUNT('Diário 1º PA'!$A$4:$A$2635)+ROW()-3)</f>
        <v>1807</v>
      </c>
      <c r="B74" s="414">
        <v>44657</v>
      </c>
      <c r="C74" s="431">
        <v>44621</v>
      </c>
      <c r="D74" s="415" t="s">
        <v>182</v>
      </c>
      <c r="E74" s="415" t="s">
        <v>1</v>
      </c>
      <c r="F74" s="425">
        <v>2856.08</v>
      </c>
      <c r="G74" s="427" t="s">
        <v>3376</v>
      </c>
      <c r="H74" s="415" t="s">
        <v>310</v>
      </c>
      <c r="I74" s="427" t="s">
        <v>938</v>
      </c>
      <c r="J74" s="415" t="s">
        <v>939</v>
      </c>
      <c r="K74" s="415" t="s">
        <v>806</v>
      </c>
      <c r="L74" s="415" t="s">
        <v>909</v>
      </c>
      <c r="M74" s="415" t="s">
        <v>310</v>
      </c>
      <c r="N74" s="414">
        <v>44657</v>
      </c>
      <c r="O74" s="414" t="s">
        <v>400</v>
      </c>
      <c r="P74" s="603">
        <f t="shared" si="4"/>
        <v>4</v>
      </c>
      <c r="Q74" s="603">
        <f t="shared" si="5"/>
        <v>3</v>
      </c>
      <c r="R74" s="604" t="str">
        <f t="shared" si="6"/>
        <v>Gastos_com_Pessoal</v>
      </c>
      <c r="S74" s="605" t="s">
        <v>310</v>
      </c>
      <c r="T74" s="605" t="s">
        <v>310</v>
      </c>
    </row>
    <row r="75" spans="1:20" s="88" customFormat="1" ht="36" x14ac:dyDescent="0.2">
      <c r="A75" s="510">
        <f>IF(B75="","",COUNT('Diário 1º PA'!$A$4:$A$2635)+ROW()-3)</f>
        <v>1808</v>
      </c>
      <c r="B75" s="414">
        <v>44657</v>
      </c>
      <c r="C75" s="431">
        <v>44621</v>
      </c>
      <c r="D75" s="415" t="s">
        <v>182</v>
      </c>
      <c r="E75" s="415" t="s">
        <v>1</v>
      </c>
      <c r="F75" s="425">
        <v>12128.77</v>
      </c>
      <c r="G75" s="427" t="s">
        <v>3377</v>
      </c>
      <c r="H75" s="415" t="s">
        <v>310</v>
      </c>
      <c r="I75" s="427" t="s">
        <v>941</v>
      </c>
      <c r="J75" s="415" t="s">
        <v>942</v>
      </c>
      <c r="K75" s="415" t="s">
        <v>806</v>
      </c>
      <c r="L75" s="415" t="s">
        <v>909</v>
      </c>
      <c r="M75" s="415" t="s">
        <v>310</v>
      </c>
      <c r="N75" s="414">
        <v>44657</v>
      </c>
      <c r="O75" s="414" t="s">
        <v>400</v>
      </c>
      <c r="P75" s="603">
        <f t="shared" si="4"/>
        <v>4</v>
      </c>
      <c r="Q75" s="603">
        <f t="shared" si="5"/>
        <v>3</v>
      </c>
      <c r="R75" s="604" t="str">
        <f t="shared" si="6"/>
        <v>Gastos_com_Pessoal</v>
      </c>
      <c r="S75" s="605" t="s">
        <v>310</v>
      </c>
      <c r="T75" s="605" t="s">
        <v>310</v>
      </c>
    </row>
    <row r="76" spans="1:20" s="88" customFormat="1" ht="36" x14ac:dyDescent="0.2">
      <c r="A76" s="510">
        <f>IF(B76="","",COUNT('Diário 1º PA'!$A$4:$A$2635)+ROW()-3)</f>
        <v>1809</v>
      </c>
      <c r="B76" s="414">
        <v>44657</v>
      </c>
      <c r="C76" s="431">
        <v>44621</v>
      </c>
      <c r="D76" s="415" t="s">
        <v>182</v>
      </c>
      <c r="E76" s="415" t="s">
        <v>1</v>
      </c>
      <c r="F76" s="425">
        <v>2095.64</v>
      </c>
      <c r="G76" s="427" t="s">
        <v>3368</v>
      </c>
      <c r="H76" s="415" t="s">
        <v>310</v>
      </c>
      <c r="I76" s="427" t="s">
        <v>943</v>
      </c>
      <c r="J76" s="415" t="s">
        <v>1553</v>
      </c>
      <c r="K76" s="415" t="s">
        <v>806</v>
      </c>
      <c r="L76" s="415" t="s">
        <v>909</v>
      </c>
      <c r="M76" s="415" t="s">
        <v>310</v>
      </c>
      <c r="N76" s="414">
        <v>44657</v>
      </c>
      <c r="O76" s="414" t="s">
        <v>400</v>
      </c>
      <c r="P76" s="603">
        <f t="shared" si="4"/>
        <v>4</v>
      </c>
      <c r="Q76" s="603">
        <f t="shared" si="5"/>
        <v>3</v>
      </c>
      <c r="R76" s="604" t="str">
        <f t="shared" si="6"/>
        <v>Gastos_com_Pessoal</v>
      </c>
      <c r="S76" s="605" t="s">
        <v>310</v>
      </c>
      <c r="T76" s="605" t="s">
        <v>310</v>
      </c>
    </row>
    <row r="77" spans="1:20" s="88" customFormat="1" ht="36" x14ac:dyDescent="0.2">
      <c r="A77" s="510">
        <f>IF(B77="","",COUNT('Diário 1º PA'!$A$4:$A$2635)+ROW()-3)</f>
        <v>1810</v>
      </c>
      <c r="B77" s="414">
        <v>44657</v>
      </c>
      <c r="C77" s="431">
        <v>44621</v>
      </c>
      <c r="D77" s="415" t="s">
        <v>182</v>
      </c>
      <c r="E77" s="415" t="s">
        <v>1</v>
      </c>
      <c r="F77" s="425">
        <v>2901.97</v>
      </c>
      <c r="G77" s="427" t="s">
        <v>3378</v>
      </c>
      <c r="H77" s="415" t="s">
        <v>310</v>
      </c>
      <c r="I77" s="427" t="s">
        <v>946</v>
      </c>
      <c r="J77" s="415" t="s">
        <v>947</v>
      </c>
      <c r="K77" s="415" t="s">
        <v>806</v>
      </c>
      <c r="L77" s="415" t="s">
        <v>909</v>
      </c>
      <c r="M77" s="415" t="s">
        <v>310</v>
      </c>
      <c r="N77" s="414">
        <v>44657</v>
      </c>
      <c r="O77" s="414" t="s">
        <v>400</v>
      </c>
      <c r="P77" s="603">
        <f t="shared" si="4"/>
        <v>4</v>
      </c>
      <c r="Q77" s="603">
        <f t="shared" si="5"/>
        <v>3</v>
      </c>
      <c r="R77" s="604" t="str">
        <f t="shared" si="6"/>
        <v>Gastos_com_Pessoal</v>
      </c>
      <c r="S77" s="605" t="s">
        <v>310</v>
      </c>
      <c r="T77" s="605" t="s">
        <v>310</v>
      </c>
    </row>
    <row r="78" spans="1:20" s="88" customFormat="1" ht="36" x14ac:dyDescent="0.2">
      <c r="A78" s="510">
        <f>IF(B78="","",COUNT('Diário 1º PA'!$A$4:$A$2635)+ROW()-3)</f>
        <v>1811</v>
      </c>
      <c r="B78" s="414">
        <v>44657</v>
      </c>
      <c r="C78" s="431">
        <v>44621</v>
      </c>
      <c r="D78" s="415" t="s">
        <v>182</v>
      </c>
      <c r="E78" s="415" t="s">
        <v>1</v>
      </c>
      <c r="F78" s="425">
        <v>4517.67</v>
      </c>
      <c r="G78" s="427" t="s">
        <v>3379</v>
      </c>
      <c r="H78" s="415" t="s">
        <v>310</v>
      </c>
      <c r="I78" s="427" t="s">
        <v>949</v>
      </c>
      <c r="J78" s="415" t="s">
        <v>950</v>
      </c>
      <c r="K78" s="415" t="s">
        <v>806</v>
      </c>
      <c r="L78" s="415" t="s">
        <v>909</v>
      </c>
      <c r="M78" s="415" t="s">
        <v>310</v>
      </c>
      <c r="N78" s="414">
        <v>44657</v>
      </c>
      <c r="O78" s="414" t="s">
        <v>400</v>
      </c>
      <c r="P78" s="603">
        <f t="shared" si="4"/>
        <v>4</v>
      </c>
      <c r="Q78" s="603">
        <f t="shared" si="5"/>
        <v>3</v>
      </c>
      <c r="R78" s="604" t="str">
        <f t="shared" si="6"/>
        <v>Gastos_com_Pessoal</v>
      </c>
      <c r="S78" s="605" t="s">
        <v>310</v>
      </c>
      <c r="T78" s="605" t="s">
        <v>310</v>
      </c>
    </row>
    <row r="79" spans="1:20" s="88" customFormat="1" ht="36" x14ac:dyDescent="0.2">
      <c r="A79" s="510">
        <f>IF(B79="","",COUNT('Diário 1º PA'!$A$4:$A$2635)+ROW()-3)</f>
        <v>1812</v>
      </c>
      <c r="B79" s="414">
        <v>44657</v>
      </c>
      <c r="C79" s="431">
        <v>44621</v>
      </c>
      <c r="D79" s="415" t="s">
        <v>182</v>
      </c>
      <c r="E79" s="415" t="s">
        <v>1</v>
      </c>
      <c r="F79" s="425">
        <v>10713.52</v>
      </c>
      <c r="G79" s="427" t="s">
        <v>3380</v>
      </c>
      <c r="H79" s="415" t="s">
        <v>310</v>
      </c>
      <c r="I79" s="427" t="s">
        <v>952</v>
      </c>
      <c r="J79" s="415" t="s">
        <v>953</v>
      </c>
      <c r="K79" s="415" t="s">
        <v>830</v>
      </c>
      <c r="L79" s="415" t="s">
        <v>909</v>
      </c>
      <c r="M79" s="415" t="s">
        <v>310</v>
      </c>
      <c r="N79" s="414">
        <v>44657</v>
      </c>
      <c r="O79" s="414" t="s">
        <v>400</v>
      </c>
      <c r="P79" s="603">
        <f t="shared" si="4"/>
        <v>4</v>
      </c>
      <c r="Q79" s="603">
        <f t="shared" si="5"/>
        <v>3</v>
      </c>
      <c r="R79" s="604" t="str">
        <f t="shared" si="6"/>
        <v>Gastos_com_Pessoal</v>
      </c>
      <c r="S79" s="605" t="s">
        <v>310</v>
      </c>
      <c r="T79" s="605" t="s">
        <v>310</v>
      </c>
    </row>
    <row r="80" spans="1:20" s="88" customFormat="1" ht="36" x14ac:dyDescent="0.2">
      <c r="A80" s="510">
        <f>IF(B80="","",COUNT('Diário 1º PA'!$A$4:$A$2635)+ROW()-3)</f>
        <v>1813</v>
      </c>
      <c r="B80" s="414">
        <v>44657</v>
      </c>
      <c r="C80" s="431">
        <v>44621</v>
      </c>
      <c r="D80" s="415" t="s">
        <v>182</v>
      </c>
      <c r="E80" s="415" t="s">
        <v>1</v>
      </c>
      <c r="F80" s="425">
        <v>1939.66</v>
      </c>
      <c r="G80" s="427" t="s">
        <v>3368</v>
      </c>
      <c r="H80" s="415" t="s">
        <v>310</v>
      </c>
      <c r="I80" s="427" t="s">
        <v>954</v>
      </c>
      <c r="J80" s="415" t="s">
        <v>955</v>
      </c>
      <c r="K80" s="415" t="s">
        <v>830</v>
      </c>
      <c r="L80" s="415" t="s">
        <v>909</v>
      </c>
      <c r="M80" s="415" t="s">
        <v>310</v>
      </c>
      <c r="N80" s="414">
        <v>44657</v>
      </c>
      <c r="O80" s="414" t="s">
        <v>400</v>
      </c>
      <c r="P80" s="603">
        <f t="shared" si="4"/>
        <v>4</v>
      </c>
      <c r="Q80" s="603">
        <f t="shared" si="5"/>
        <v>3</v>
      </c>
      <c r="R80" s="604" t="str">
        <f t="shared" si="6"/>
        <v>Gastos_com_Pessoal</v>
      </c>
      <c r="S80" s="605" t="s">
        <v>310</v>
      </c>
      <c r="T80" s="605" t="s">
        <v>310</v>
      </c>
    </row>
    <row r="81" spans="1:20" s="88" customFormat="1" ht="36" x14ac:dyDescent="0.2">
      <c r="A81" s="510">
        <f>IF(B81="","",COUNT('Diário 1º PA'!$A$4:$A$2635)+ROW()-3)</f>
        <v>1814</v>
      </c>
      <c r="B81" s="414">
        <v>44657</v>
      </c>
      <c r="C81" s="431">
        <v>44621</v>
      </c>
      <c r="D81" s="415" t="s">
        <v>182</v>
      </c>
      <c r="E81" s="415" t="s">
        <v>1</v>
      </c>
      <c r="F81" s="435">
        <v>2793.94</v>
      </c>
      <c r="G81" s="427" t="s">
        <v>3381</v>
      </c>
      <c r="H81" s="434" t="s">
        <v>310</v>
      </c>
      <c r="I81" s="427" t="s">
        <v>957</v>
      </c>
      <c r="J81" s="415" t="s">
        <v>958</v>
      </c>
      <c r="K81" s="415" t="s">
        <v>830</v>
      </c>
      <c r="L81" s="415" t="s">
        <v>909</v>
      </c>
      <c r="M81" s="415" t="s">
        <v>310</v>
      </c>
      <c r="N81" s="414">
        <v>44657</v>
      </c>
      <c r="O81" s="414" t="s">
        <v>400</v>
      </c>
      <c r="P81" s="603">
        <f t="shared" si="4"/>
        <v>4</v>
      </c>
      <c r="Q81" s="603">
        <f t="shared" si="5"/>
        <v>3</v>
      </c>
      <c r="R81" s="604" t="str">
        <f t="shared" si="6"/>
        <v>Gastos_com_Pessoal</v>
      </c>
      <c r="S81" s="605" t="s">
        <v>310</v>
      </c>
      <c r="T81" s="605" t="s">
        <v>310</v>
      </c>
    </row>
    <row r="82" spans="1:20" s="88" customFormat="1" ht="36" x14ac:dyDescent="0.2">
      <c r="A82" s="510">
        <f>IF(B82="","",COUNT('Diário 1º PA'!$A$4:$A$2635)+ROW()-3)</f>
        <v>1815</v>
      </c>
      <c r="B82" s="414">
        <v>44657</v>
      </c>
      <c r="C82" s="431">
        <v>44621</v>
      </c>
      <c r="D82" s="415" t="s">
        <v>182</v>
      </c>
      <c r="E82" s="415" t="s">
        <v>1</v>
      </c>
      <c r="F82" s="425">
        <v>2797.87</v>
      </c>
      <c r="G82" s="427" t="s">
        <v>3381</v>
      </c>
      <c r="H82" s="415" t="s">
        <v>310</v>
      </c>
      <c r="I82" s="427" t="s">
        <v>959</v>
      </c>
      <c r="J82" s="415" t="s">
        <v>960</v>
      </c>
      <c r="K82" s="415" t="s">
        <v>830</v>
      </c>
      <c r="L82" s="415" t="s">
        <v>909</v>
      </c>
      <c r="M82" s="415" t="s">
        <v>310</v>
      </c>
      <c r="N82" s="414">
        <v>44657</v>
      </c>
      <c r="O82" s="414" t="s">
        <v>400</v>
      </c>
      <c r="P82" s="603">
        <f t="shared" si="4"/>
        <v>4</v>
      </c>
      <c r="Q82" s="603">
        <f t="shared" si="5"/>
        <v>3</v>
      </c>
      <c r="R82" s="604" t="str">
        <f t="shared" si="6"/>
        <v>Gastos_com_Pessoal</v>
      </c>
      <c r="S82" s="605" t="s">
        <v>310</v>
      </c>
      <c r="T82" s="605" t="s">
        <v>310</v>
      </c>
    </row>
    <row r="83" spans="1:20" s="88" customFormat="1" ht="36" x14ac:dyDescent="0.2">
      <c r="A83" s="510">
        <f>IF(B83="","",COUNT('Diário 1º PA'!$A$4:$A$2635)+ROW()-3)</f>
        <v>1816</v>
      </c>
      <c r="B83" s="414">
        <v>44657</v>
      </c>
      <c r="C83" s="431">
        <v>44621</v>
      </c>
      <c r="D83" s="415" t="s">
        <v>182</v>
      </c>
      <c r="E83" s="415" t="s">
        <v>1</v>
      </c>
      <c r="F83" s="425">
        <v>2077.66</v>
      </c>
      <c r="G83" s="427" t="s">
        <v>3382</v>
      </c>
      <c r="H83" s="415" t="s">
        <v>310</v>
      </c>
      <c r="I83" s="427" t="s">
        <v>961</v>
      </c>
      <c r="J83" s="415" t="s">
        <v>962</v>
      </c>
      <c r="K83" s="415" t="s">
        <v>830</v>
      </c>
      <c r="L83" s="415" t="s">
        <v>909</v>
      </c>
      <c r="M83" s="415" t="s">
        <v>310</v>
      </c>
      <c r="N83" s="414">
        <v>44657</v>
      </c>
      <c r="O83" s="414" t="s">
        <v>400</v>
      </c>
      <c r="P83" s="603">
        <f t="shared" si="4"/>
        <v>4</v>
      </c>
      <c r="Q83" s="603">
        <f t="shared" si="5"/>
        <v>3</v>
      </c>
      <c r="R83" s="604" t="str">
        <f t="shared" si="6"/>
        <v>Gastos_com_Pessoal</v>
      </c>
      <c r="S83" s="605" t="s">
        <v>310</v>
      </c>
      <c r="T83" s="605" t="s">
        <v>310</v>
      </c>
    </row>
    <row r="84" spans="1:20" s="88" customFormat="1" ht="36" x14ac:dyDescent="0.2">
      <c r="A84" s="510">
        <f>IF(B84="","",COUNT('Diário 1º PA'!$A$4:$A$2635)+ROW()-3)</f>
        <v>1817</v>
      </c>
      <c r="B84" s="414">
        <v>44657</v>
      </c>
      <c r="C84" s="431">
        <v>44621</v>
      </c>
      <c r="D84" s="415" t="s">
        <v>182</v>
      </c>
      <c r="E84" s="415" t="s">
        <v>1</v>
      </c>
      <c r="F84" s="425">
        <v>3226.72</v>
      </c>
      <c r="G84" s="427" t="s">
        <v>3383</v>
      </c>
      <c r="H84" s="415" t="s">
        <v>310</v>
      </c>
      <c r="I84" s="427" t="s">
        <v>963</v>
      </c>
      <c r="J84" s="415" t="s">
        <v>964</v>
      </c>
      <c r="K84" s="415" t="s">
        <v>830</v>
      </c>
      <c r="L84" s="415" t="s">
        <v>909</v>
      </c>
      <c r="M84" s="415" t="s">
        <v>310</v>
      </c>
      <c r="N84" s="414">
        <v>44657</v>
      </c>
      <c r="O84" s="414" t="s">
        <v>400</v>
      </c>
      <c r="P84" s="603">
        <f t="shared" si="4"/>
        <v>4</v>
      </c>
      <c r="Q84" s="603">
        <f t="shared" si="5"/>
        <v>3</v>
      </c>
      <c r="R84" s="604" t="str">
        <f t="shared" si="6"/>
        <v>Gastos_com_Pessoal</v>
      </c>
      <c r="S84" s="605" t="s">
        <v>310</v>
      </c>
      <c r="T84" s="605" t="s">
        <v>310</v>
      </c>
    </row>
    <row r="85" spans="1:20" s="88" customFormat="1" ht="36" x14ac:dyDescent="0.2">
      <c r="A85" s="510">
        <f>IF(B85="","",COUNT('Diário 1º PA'!$A$4:$A$2635)+ROW()-3)</f>
        <v>1818</v>
      </c>
      <c r="B85" s="414">
        <v>44657</v>
      </c>
      <c r="C85" s="431">
        <v>44621</v>
      </c>
      <c r="D85" s="415" t="s">
        <v>182</v>
      </c>
      <c r="E85" s="415" t="s">
        <v>1</v>
      </c>
      <c r="F85" s="425">
        <v>2985.82</v>
      </c>
      <c r="G85" s="427" t="s">
        <v>3384</v>
      </c>
      <c r="H85" s="415" t="s">
        <v>310</v>
      </c>
      <c r="I85" s="427" t="s">
        <v>966</v>
      </c>
      <c r="J85" s="415" t="s">
        <v>967</v>
      </c>
      <c r="K85" s="415" t="s">
        <v>830</v>
      </c>
      <c r="L85" s="415" t="s">
        <v>909</v>
      </c>
      <c r="M85" s="415" t="s">
        <v>310</v>
      </c>
      <c r="N85" s="414">
        <v>44657</v>
      </c>
      <c r="O85" s="414" t="s">
        <v>400</v>
      </c>
      <c r="P85" s="603">
        <f t="shared" si="4"/>
        <v>4</v>
      </c>
      <c r="Q85" s="603">
        <f t="shared" si="5"/>
        <v>3</v>
      </c>
      <c r="R85" s="604" t="str">
        <f t="shared" si="6"/>
        <v>Gastos_com_Pessoal</v>
      </c>
      <c r="S85" s="605" t="s">
        <v>310</v>
      </c>
      <c r="T85" s="605" t="s">
        <v>310</v>
      </c>
    </row>
    <row r="86" spans="1:20" s="88" customFormat="1" ht="36" x14ac:dyDescent="0.2">
      <c r="A86" s="510">
        <f>IF(B86="","",COUNT('Diário 1º PA'!$A$4:$A$2635)+ROW()-3)</f>
        <v>1819</v>
      </c>
      <c r="B86" s="414">
        <v>44657</v>
      </c>
      <c r="C86" s="431">
        <v>44621</v>
      </c>
      <c r="D86" s="415" t="s">
        <v>182</v>
      </c>
      <c r="E86" s="415" t="s">
        <v>1</v>
      </c>
      <c r="F86" s="425">
        <v>1948.79</v>
      </c>
      <c r="G86" s="427" t="s">
        <v>3385</v>
      </c>
      <c r="H86" s="415" t="s">
        <v>310</v>
      </c>
      <c r="I86" s="427" t="s">
        <v>969</v>
      </c>
      <c r="J86" s="415" t="s">
        <v>970</v>
      </c>
      <c r="K86" s="415" t="s">
        <v>830</v>
      </c>
      <c r="L86" s="415" t="s">
        <v>909</v>
      </c>
      <c r="M86" s="415" t="s">
        <v>310</v>
      </c>
      <c r="N86" s="414">
        <v>44657</v>
      </c>
      <c r="O86" s="414" t="s">
        <v>400</v>
      </c>
      <c r="P86" s="603">
        <f t="shared" si="4"/>
        <v>4</v>
      </c>
      <c r="Q86" s="603">
        <f t="shared" si="5"/>
        <v>3</v>
      </c>
      <c r="R86" s="604" t="str">
        <f t="shared" si="6"/>
        <v>Gastos_com_Pessoal</v>
      </c>
      <c r="S86" s="605" t="s">
        <v>310</v>
      </c>
      <c r="T86" s="605" t="s">
        <v>310</v>
      </c>
    </row>
    <row r="87" spans="1:20" s="88" customFormat="1" ht="36" x14ac:dyDescent="0.2">
      <c r="A87" s="510">
        <f>IF(B87="","",COUNT('Diário 1º PA'!$A$4:$A$2635)+ROW()-3)</f>
        <v>1820</v>
      </c>
      <c r="B87" s="414">
        <v>44657</v>
      </c>
      <c r="C87" s="431">
        <v>44621</v>
      </c>
      <c r="D87" s="415" t="s">
        <v>182</v>
      </c>
      <c r="E87" s="415" t="s">
        <v>1</v>
      </c>
      <c r="F87" s="425">
        <v>2261.98</v>
      </c>
      <c r="G87" s="427" t="s">
        <v>3386</v>
      </c>
      <c r="H87" s="415" t="s">
        <v>310</v>
      </c>
      <c r="I87" s="427" t="s">
        <v>972</v>
      </c>
      <c r="J87" s="415" t="s">
        <v>973</v>
      </c>
      <c r="K87" s="415" t="s">
        <v>830</v>
      </c>
      <c r="L87" s="415" t="s">
        <v>909</v>
      </c>
      <c r="M87" s="415" t="s">
        <v>310</v>
      </c>
      <c r="N87" s="414">
        <v>44657</v>
      </c>
      <c r="O87" s="414" t="s">
        <v>400</v>
      </c>
      <c r="P87" s="603">
        <f t="shared" si="4"/>
        <v>4</v>
      </c>
      <c r="Q87" s="603">
        <f t="shared" si="5"/>
        <v>3</v>
      </c>
      <c r="R87" s="604" t="str">
        <f t="shared" si="6"/>
        <v>Gastos_com_Pessoal</v>
      </c>
      <c r="S87" s="605" t="s">
        <v>310</v>
      </c>
      <c r="T87" s="605" t="s">
        <v>310</v>
      </c>
    </row>
    <row r="88" spans="1:20" s="88" customFormat="1" ht="36" x14ac:dyDescent="0.2">
      <c r="A88" s="510">
        <f>IF(B88="","",COUNT('Diário 1º PA'!$A$4:$A$2635)+ROW()-3)</f>
        <v>1821</v>
      </c>
      <c r="B88" s="414">
        <v>44657</v>
      </c>
      <c r="C88" s="431">
        <v>44621</v>
      </c>
      <c r="D88" s="415" t="s">
        <v>182</v>
      </c>
      <c r="E88" s="415" t="s">
        <v>1</v>
      </c>
      <c r="F88" s="425">
        <v>2095.64</v>
      </c>
      <c r="G88" s="427" t="s">
        <v>3372</v>
      </c>
      <c r="H88" s="415" t="s">
        <v>310</v>
      </c>
      <c r="I88" s="427" t="s">
        <v>975</v>
      </c>
      <c r="J88" s="415" t="s">
        <v>1565</v>
      </c>
      <c r="K88" s="415" t="s">
        <v>830</v>
      </c>
      <c r="L88" s="415" t="s">
        <v>909</v>
      </c>
      <c r="M88" s="415" t="s">
        <v>310</v>
      </c>
      <c r="N88" s="414">
        <v>44657</v>
      </c>
      <c r="O88" s="414" t="s">
        <v>400</v>
      </c>
      <c r="P88" s="603">
        <f t="shared" si="4"/>
        <v>4</v>
      </c>
      <c r="Q88" s="603">
        <f t="shared" si="5"/>
        <v>3</v>
      </c>
      <c r="R88" s="604" t="str">
        <f t="shared" si="6"/>
        <v>Gastos_com_Pessoal</v>
      </c>
      <c r="S88" s="605" t="s">
        <v>310</v>
      </c>
      <c r="T88" s="605" t="s">
        <v>310</v>
      </c>
    </row>
    <row r="89" spans="1:20" s="88" customFormat="1" ht="36" x14ac:dyDescent="0.2">
      <c r="A89" s="510">
        <f>IF(B89="","",COUNT('Diário 1º PA'!$A$4:$A$2635)+ROW()-3)</f>
        <v>1822</v>
      </c>
      <c r="B89" s="414">
        <v>44657</v>
      </c>
      <c r="C89" s="431">
        <v>44621</v>
      </c>
      <c r="D89" s="415" t="s">
        <v>182</v>
      </c>
      <c r="E89" s="415" t="s">
        <v>1</v>
      </c>
      <c r="F89" s="425">
        <v>886.21</v>
      </c>
      <c r="G89" s="427" t="s">
        <v>3392</v>
      </c>
      <c r="H89" s="415" t="s">
        <v>310</v>
      </c>
      <c r="I89" s="427" t="s">
        <v>3665</v>
      </c>
      <c r="J89" s="415" t="s">
        <v>3193</v>
      </c>
      <c r="K89" s="415" t="s">
        <v>830</v>
      </c>
      <c r="L89" s="415" t="s">
        <v>909</v>
      </c>
      <c r="M89" s="415" t="s">
        <v>310</v>
      </c>
      <c r="N89" s="414">
        <v>44657</v>
      </c>
      <c r="O89" s="414" t="s">
        <v>400</v>
      </c>
      <c r="P89" s="603">
        <f t="shared" si="4"/>
        <v>4</v>
      </c>
      <c r="Q89" s="603">
        <f t="shared" si="5"/>
        <v>3</v>
      </c>
      <c r="R89" s="604" t="str">
        <f t="shared" si="6"/>
        <v>Gastos_com_Pessoal</v>
      </c>
      <c r="S89" s="605" t="s">
        <v>310</v>
      </c>
      <c r="T89" s="605" t="s">
        <v>310</v>
      </c>
    </row>
    <row r="90" spans="1:20" s="88" customFormat="1" ht="36" x14ac:dyDescent="0.2">
      <c r="A90" s="510">
        <f>IF(B90="","",COUNT('Diário 1º PA'!$A$4:$A$2635)+ROW()-3)</f>
        <v>1823</v>
      </c>
      <c r="B90" s="414">
        <v>44657</v>
      </c>
      <c r="C90" s="431">
        <v>44621</v>
      </c>
      <c r="D90" s="415" t="s">
        <v>182</v>
      </c>
      <c r="E90" s="415" t="s">
        <v>1</v>
      </c>
      <c r="F90" s="425">
        <v>1540.88</v>
      </c>
      <c r="G90" s="427" t="s">
        <v>3371</v>
      </c>
      <c r="H90" s="415" t="s">
        <v>310</v>
      </c>
      <c r="I90" s="427" t="s">
        <v>828</v>
      </c>
      <c r="J90" s="415" t="s">
        <v>829</v>
      </c>
      <c r="K90" s="415" t="s">
        <v>830</v>
      </c>
      <c r="L90" s="415" t="s">
        <v>909</v>
      </c>
      <c r="M90" s="415" t="s">
        <v>310</v>
      </c>
      <c r="N90" s="414">
        <v>44657</v>
      </c>
      <c r="O90" s="414" t="s">
        <v>400</v>
      </c>
      <c r="P90" s="603">
        <f t="shared" si="4"/>
        <v>4</v>
      </c>
      <c r="Q90" s="603">
        <f t="shared" si="5"/>
        <v>3</v>
      </c>
      <c r="R90" s="604" t="str">
        <f t="shared" si="6"/>
        <v>Gastos_com_Pessoal</v>
      </c>
      <c r="S90" s="605" t="s">
        <v>310</v>
      </c>
      <c r="T90" s="605" t="s">
        <v>310</v>
      </c>
    </row>
    <row r="91" spans="1:20" s="88" customFormat="1" ht="36" x14ac:dyDescent="0.2">
      <c r="A91" s="510">
        <f>IF(B91="","",COUNT('Diário 1º PA'!$A$4:$A$2635)+ROW()-3)</f>
        <v>1824</v>
      </c>
      <c r="B91" s="414">
        <v>44657</v>
      </c>
      <c r="C91" s="431">
        <v>44621</v>
      </c>
      <c r="D91" s="415" t="s">
        <v>182</v>
      </c>
      <c r="E91" s="415" t="s">
        <v>1</v>
      </c>
      <c r="F91" s="425">
        <v>2789.37</v>
      </c>
      <c r="G91" s="427" t="s">
        <v>3387</v>
      </c>
      <c r="H91" s="415" t="s">
        <v>310</v>
      </c>
      <c r="I91" s="427" t="s">
        <v>977</v>
      </c>
      <c r="J91" s="415" t="s">
        <v>978</v>
      </c>
      <c r="K91" s="415" t="s">
        <v>830</v>
      </c>
      <c r="L91" s="415" t="s">
        <v>909</v>
      </c>
      <c r="M91" s="415" t="s">
        <v>310</v>
      </c>
      <c r="N91" s="414">
        <v>44657</v>
      </c>
      <c r="O91" s="414" t="s">
        <v>400</v>
      </c>
      <c r="P91" s="603">
        <f t="shared" si="4"/>
        <v>4</v>
      </c>
      <c r="Q91" s="603">
        <f t="shared" si="5"/>
        <v>3</v>
      </c>
      <c r="R91" s="604" t="str">
        <f t="shared" si="6"/>
        <v>Gastos_com_Pessoal</v>
      </c>
      <c r="S91" s="605" t="s">
        <v>310</v>
      </c>
      <c r="T91" s="605" t="s">
        <v>310</v>
      </c>
    </row>
    <row r="92" spans="1:20" s="88" customFormat="1" ht="36" x14ac:dyDescent="0.2">
      <c r="A92" s="510">
        <f>IF(B92="","",COUNT('Diário 1º PA'!$A$4:$A$2635)+ROW()-3)</f>
        <v>1825</v>
      </c>
      <c r="B92" s="414">
        <v>44657</v>
      </c>
      <c r="C92" s="431">
        <v>44621</v>
      </c>
      <c r="D92" s="415" t="s">
        <v>182</v>
      </c>
      <c r="E92" s="415" t="s">
        <v>1</v>
      </c>
      <c r="F92" s="425">
        <v>2077.66</v>
      </c>
      <c r="G92" s="427" t="s">
        <v>3388</v>
      </c>
      <c r="H92" s="415" t="s">
        <v>310</v>
      </c>
      <c r="I92" s="427" t="s">
        <v>980</v>
      </c>
      <c r="J92" s="415" t="s">
        <v>981</v>
      </c>
      <c r="K92" s="415" t="s">
        <v>830</v>
      </c>
      <c r="L92" s="415" t="s">
        <v>909</v>
      </c>
      <c r="M92" s="415" t="s">
        <v>310</v>
      </c>
      <c r="N92" s="414">
        <v>44657</v>
      </c>
      <c r="O92" s="414" t="s">
        <v>400</v>
      </c>
      <c r="P92" s="603">
        <f t="shared" si="4"/>
        <v>4</v>
      </c>
      <c r="Q92" s="603">
        <f t="shared" si="5"/>
        <v>3</v>
      </c>
      <c r="R92" s="604" t="str">
        <f t="shared" si="6"/>
        <v>Gastos_com_Pessoal</v>
      </c>
      <c r="S92" s="605" t="s">
        <v>310</v>
      </c>
      <c r="T92" s="605" t="s">
        <v>310</v>
      </c>
    </row>
    <row r="93" spans="1:20" s="88" customFormat="1" ht="36" x14ac:dyDescent="0.2">
      <c r="A93" s="510">
        <f>IF(B93="","",COUNT('Diário 1º PA'!$A$4:$A$2635)+ROW()-3)</f>
        <v>1826</v>
      </c>
      <c r="B93" s="414">
        <v>44657</v>
      </c>
      <c r="C93" s="431">
        <v>44621</v>
      </c>
      <c r="D93" s="415" t="s">
        <v>182</v>
      </c>
      <c r="E93" s="415" t="s">
        <v>1</v>
      </c>
      <c r="F93" s="425">
        <v>1939.66</v>
      </c>
      <c r="G93" s="427" t="s">
        <v>3388</v>
      </c>
      <c r="H93" s="415" t="s">
        <v>310</v>
      </c>
      <c r="I93" s="427" t="s">
        <v>982</v>
      </c>
      <c r="J93" s="415" t="s">
        <v>983</v>
      </c>
      <c r="K93" s="415" t="s">
        <v>830</v>
      </c>
      <c r="L93" s="415" t="s">
        <v>909</v>
      </c>
      <c r="M93" s="415" t="s">
        <v>310</v>
      </c>
      <c r="N93" s="414">
        <v>44657</v>
      </c>
      <c r="O93" s="414" t="s">
        <v>400</v>
      </c>
      <c r="P93" s="603">
        <f t="shared" si="4"/>
        <v>4</v>
      </c>
      <c r="Q93" s="603">
        <f t="shared" si="5"/>
        <v>3</v>
      </c>
      <c r="R93" s="604" t="str">
        <f t="shared" si="6"/>
        <v>Gastos_com_Pessoal</v>
      </c>
      <c r="S93" s="605" t="s">
        <v>310</v>
      </c>
      <c r="T93" s="605" t="s">
        <v>310</v>
      </c>
    </row>
    <row r="94" spans="1:20" s="88" customFormat="1" ht="36" x14ac:dyDescent="0.2">
      <c r="A94" s="510">
        <f>IF(B94="","",COUNT('Diário 1º PA'!$A$4:$A$2635)+ROW()-3)</f>
        <v>1827</v>
      </c>
      <c r="B94" s="414">
        <v>44657</v>
      </c>
      <c r="C94" s="431">
        <v>44621</v>
      </c>
      <c r="D94" s="415" t="s">
        <v>182</v>
      </c>
      <c r="E94" s="415" t="s">
        <v>1</v>
      </c>
      <c r="F94" s="425">
        <v>2871.58</v>
      </c>
      <c r="G94" s="427" t="s">
        <v>3389</v>
      </c>
      <c r="H94" s="415" t="s">
        <v>310</v>
      </c>
      <c r="I94" s="427" t="s">
        <v>985</v>
      </c>
      <c r="J94" s="415" t="s">
        <v>986</v>
      </c>
      <c r="K94" s="415" t="s">
        <v>830</v>
      </c>
      <c r="L94" s="415" t="s">
        <v>909</v>
      </c>
      <c r="M94" s="415" t="s">
        <v>310</v>
      </c>
      <c r="N94" s="414">
        <v>44657</v>
      </c>
      <c r="O94" s="414" t="s">
        <v>400</v>
      </c>
      <c r="P94" s="603">
        <f t="shared" si="4"/>
        <v>4</v>
      </c>
      <c r="Q94" s="603">
        <f t="shared" si="5"/>
        <v>3</v>
      </c>
      <c r="R94" s="604" t="str">
        <f t="shared" si="6"/>
        <v>Gastos_com_Pessoal</v>
      </c>
      <c r="S94" s="605" t="s">
        <v>310</v>
      </c>
      <c r="T94" s="605" t="s">
        <v>310</v>
      </c>
    </row>
    <row r="95" spans="1:20" s="88" customFormat="1" ht="36" x14ac:dyDescent="0.2">
      <c r="A95" s="510">
        <f>IF(B95="","",COUNT('Diário 1º PA'!$A$4:$A$2635)+ROW()-3)</f>
        <v>1828</v>
      </c>
      <c r="B95" s="414">
        <v>44657</v>
      </c>
      <c r="C95" s="431">
        <v>44621</v>
      </c>
      <c r="D95" s="415" t="s">
        <v>182</v>
      </c>
      <c r="E95" s="415" t="s">
        <v>1</v>
      </c>
      <c r="F95" s="425">
        <v>10721.52</v>
      </c>
      <c r="G95" s="427" t="s">
        <v>3390</v>
      </c>
      <c r="H95" s="415" t="s">
        <v>310</v>
      </c>
      <c r="I95" s="427" t="s">
        <v>990</v>
      </c>
      <c r="J95" s="415" t="s">
        <v>991</v>
      </c>
      <c r="K95" s="415" t="s">
        <v>830</v>
      </c>
      <c r="L95" s="415" t="s">
        <v>909</v>
      </c>
      <c r="M95" s="415" t="s">
        <v>310</v>
      </c>
      <c r="N95" s="414">
        <v>44657</v>
      </c>
      <c r="O95" s="414" t="s">
        <v>400</v>
      </c>
      <c r="P95" s="603">
        <f t="shared" si="4"/>
        <v>4</v>
      </c>
      <c r="Q95" s="603">
        <f t="shared" si="5"/>
        <v>3</v>
      </c>
      <c r="R95" s="604" t="str">
        <f t="shared" si="6"/>
        <v>Gastos_com_Pessoal</v>
      </c>
      <c r="S95" s="605" t="s">
        <v>310</v>
      </c>
      <c r="T95" s="605" t="s">
        <v>310</v>
      </c>
    </row>
    <row r="96" spans="1:20" s="88" customFormat="1" ht="36" x14ac:dyDescent="0.2">
      <c r="A96" s="510">
        <f>IF(B96="","",COUNT('Diário 1º PA'!$A$4:$A$2635)+ROW()-3)</f>
        <v>1829</v>
      </c>
      <c r="B96" s="414">
        <v>44657</v>
      </c>
      <c r="C96" s="431">
        <v>44621</v>
      </c>
      <c r="D96" s="415" t="s">
        <v>182</v>
      </c>
      <c r="E96" s="415" t="s">
        <v>1</v>
      </c>
      <c r="F96" s="425">
        <v>2033.5</v>
      </c>
      <c r="G96" s="427" t="s">
        <v>3368</v>
      </c>
      <c r="H96" s="415" t="s">
        <v>310</v>
      </c>
      <c r="I96" s="427" t="s">
        <v>992</v>
      </c>
      <c r="J96" s="415" t="s">
        <v>993</v>
      </c>
      <c r="K96" s="415" t="s">
        <v>830</v>
      </c>
      <c r="L96" s="415" t="s">
        <v>909</v>
      </c>
      <c r="M96" s="415" t="s">
        <v>310</v>
      </c>
      <c r="N96" s="414">
        <v>44657</v>
      </c>
      <c r="O96" s="414" t="s">
        <v>400</v>
      </c>
      <c r="P96" s="603">
        <f t="shared" si="4"/>
        <v>4</v>
      </c>
      <c r="Q96" s="603">
        <f t="shared" si="5"/>
        <v>3</v>
      </c>
      <c r="R96" s="604" t="str">
        <f t="shared" si="6"/>
        <v>Gastos_com_Pessoal</v>
      </c>
      <c r="S96" s="605" t="s">
        <v>310</v>
      </c>
      <c r="T96" s="605" t="s">
        <v>310</v>
      </c>
    </row>
    <row r="97" spans="1:20" s="88" customFormat="1" ht="36" x14ac:dyDescent="0.2">
      <c r="A97" s="510">
        <f>IF(B97="","",COUNT('Diário 1º PA'!$A$4:$A$2635)+ROW()-3)</f>
        <v>1830</v>
      </c>
      <c r="B97" s="414">
        <v>44657</v>
      </c>
      <c r="C97" s="431">
        <v>44621</v>
      </c>
      <c r="D97" s="415" t="s">
        <v>182</v>
      </c>
      <c r="E97" s="415" t="s">
        <v>1</v>
      </c>
      <c r="F97" s="425">
        <v>2111.1799999999998</v>
      </c>
      <c r="G97" s="427" t="s">
        <v>3372</v>
      </c>
      <c r="H97" s="415" t="s">
        <v>310</v>
      </c>
      <c r="I97" s="427" t="s">
        <v>994</v>
      </c>
      <c r="J97" s="415" t="s">
        <v>995</v>
      </c>
      <c r="K97" s="415" t="s">
        <v>830</v>
      </c>
      <c r="L97" s="415" t="s">
        <v>909</v>
      </c>
      <c r="M97" s="415" t="s">
        <v>310</v>
      </c>
      <c r="N97" s="414">
        <v>44657</v>
      </c>
      <c r="O97" s="414" t="s">
        <v>400</v>
      </c>
      <c r="P97" s="603">
        <f t="shared" si="4"/>
        <v>4</v>
      </c>
      <c r="Q97" s="603">
        <f t="shared" si="5"/>
        <v>3</v>
      </c>
      <c r="R97" s="604" t="str">
        <f t="shared" si="6"/>
        <v>Gastos_com_Pessoal</v>
      </c>
      <c r="S97" s="605" t="s">
        <v>310</v>
      </c>
      <c r="T97" s="605" t="s">
        <v>310</v>
      </c>
    </row>
    <row r="98" spans="1:20" s="88" customFormat="1" ht="36" x14ac:dyDescent="0.2">
      <c r="A98" s="510">
        <f>IF(B98="","",COUNT('Diário 1º PA'!$A$4:$A$2635)+ROW()-3)</f>
        <v>1831</v>
      </c>
      <c r="B98" s="414">
        <v>44657</v>
      </c>
      <c r="C98" s="431">
        <v>44621</v>
      </c>
      <c r="D98" s="415" t="s">
        <v>182</v>
      </c>
      <c r="E98" s="415" t="s">
        <v>1</v>
      </c>
      <c r="F98" s="435">
        <v>2019.77</v>
      </c>
      <c r="G98" s="440" t="s">
        <v>3372</v>
      </c>
      <c r="H98" s="415" t="s">
        <v>310</v>
      </c>
      <c r="I98" s="437" t="s">
        <v>1167</v>
      </c>
      <c r="J98" s="434" t="s">
        <v>1168</v>
      </c>
      <c r="K98" s="415" t="s">
        <v>830</v>
      </c>
      <c r="L98" s="434" t="s">
        <v>909</v>
      </c>
      <c r="M98" s="415" t="s">
        <v>310</v>
      </c>
      <c r="N98" s="414">
        <v>44657</v>
      </c>
      <c r="O98" s="414" t="s">
        <v>400</v>
      </c>
      <c r="P98" s="603">
        <f t="shared" si="4"/>
        <v>4</v>
      </c>
      <c r="Q98" s="603">
        <f t="shared" si="5"/>
        <v>3</v>
      </c>
      <c r="R98" s="604" t="str">
        <f t="shared" si="6"/>
        <v>Gastos_com_Pessoal</v>
      </c>
      <c r="S98" s="605" t="s">
        <v>310</v>
      </c>
      <c r="T98" s="605" t="s">
        <v>310</v>
      </c>
    </row>
    <row r="99" spans="1:20" s="88" customFormat="1" ht="36" x14ac:dyDescent="0.2">
      <c r="A99" s="510">
        <f>IF(B99="","",COUNT('Diário 1º PA'!$A$4:$A$2635)+ROW()-3)</f>
        <v>1832</v>
      </c>
      <c r="B99" s="414">
        <v>44657</v>
      </c>
      <c r="C99" s="431">
        <v>44621</v>
      </c>
      <c r="D99" s="415" t="s">
        <v>182</v>
      </c>
      <c r="E99" s="415" t="s">
        <v>1</v>
      </c>
      <c r="F99" s="425">
        <v>2592.38</v>
      </c>
      <c r="G99" s="440" t="s">
        <v>3391</v>
      </c>
      <c r="H99" s="415" t="s">
        <v>310</v>
      </c>
      <c r="I99" s="427" t="s">
        <v>1169</v>
      </c>
      <c r="J99" s="415" t="s">
        <v>1170</v>
      </c>
      <c r="K99" s="415" t="s">
        <v>830</v>
      </c>
      <c r="L99" s="415" t="s">
        <v>909</v>
      </c>
      <c r="M99" s="415" t="s">
        <v>310</v>
      </c>
      <c r="N99" s="414">
        <v>44657</v>
      </c>
      <c r="O99" s="414" t="s">
        <v>400</v>
      </c>
      <c r="P99" s="603">
        <f t="shared" si="4"/>
        <v>4</v>
      </c>
      <c r="Q99" s="603">
        <f t="shared" si="5"/>
        <v>3</v>
      </c>
      <c r="R99" s="604" t="str">
        <f t="shared" si="6"/>
        <v>Gastos_com_Pessoal</v>
      </c>
      <c r="S99" s="605" t="s">
        <v>310</v>
      </c>
      <c r="T99" s="605" t="s">
        <v>310</v>
      </c>
    </row>
    <row r="100" spans="1:20" s="88" customFormat="1" ht="36" x14ac:dyDescent="0.2">
      <c r="A100" s="510">
        <f>IF(B100="","",COUNT('Diário 1º PA'!$A$4:$A$2635)+ROW()-3)</f>
        <v>1833</v>
      </c>
      <c r="B100" s="414">
        <v>44657</v>
      </c>
      <c r="C100" s="431">
        <v>44621</v>
      </c>
      <c r="D100" s="415" t="s">
        <v>182</v>
      </c>
      <c r="E100" s="415" t="s">
        <v>1</v>
      </c>
      <c r="F100" s="425">
        <v>1904.49</v>
      </c>
      <c r="G100" s="440" t="s">
        <v>3368</v>
      </c>
      <c r="H100" s="415" t="s">
        <v>310</v>
      </c>
      <c r="I100" s="427" t="s">
        <v>1173</v>
      </c>
      <c r="J100" s="415" t="s">
        <v>1174</v>
      </c>
      <c r="K100" s="415" t="s">
        <v>830</v>
      </c>
      <c r="L100" s="415" t="s">
        <v>909</v>
      </c>
      <c r="M100" s="415" t="s">
        <v>310</v>
      </c>
      <c r="N100" s="414">
        <v>44657</v>
      </c>
      <c r="O100" s="414" t="s">
        <v>400</v>
      </c>
      <c r="P100" s="603">
        <f t="shared" si="4"/>
        <v>4</v>
      </c>
      <c r="Q100" s="603">
        <f t="shared" si="5"/>
        <v>3</v>
      </c>
      <c r="R100" s="604" t="str">
        <f t="shared" si="6"/>
        <v>Gastos_com_Pessoal</v>
      </c>
      <c r="S100" s="605" t="s">
        <v>310</v>
      </c>
      <c r="T100" s="605" t="s">
        <v>310</v>
      </c>
    </row>
    <row r="101" spans="1:20" s="88" customFormat="1" ht="36" x14ac:dyDescent="0.2">
      <c r="A101" s="510">
        <f>IF(B101="","",COUNT('Diário 1º PA'!$A$4:$A$2635)+ROW()-3)</f>
        <v>1834</v>
      </c>
      <c r="B101" s="414">
        <v>44657</v>
      </c>
      <c r="C101" s="431">
        <v>44621</v>
      </c>
      <c r="D101" s="415" t="s">
        <v>182</v>
      </c>
      <c r="E101" s="415" t="s">
        <v>1</v>
      </c>
      <c r="F101" s="425">
        <v>1691.28</v>
      </c>
      <c r="G101" s="440" t="s">
        <v>3368</v>
      </c>
      <c r="H101" s="415" t="s">
        <v>310</v>
      </c>
      <c r="I101" s="427" t="s">
        <v>1175</v>
      </c>
      <c r="J101" s="415" t="s">
        <v>1176</v>
      </c>
      <c r="K101" s="415" t="s">
        <v>830</v>
      </c>
      <c r="L101" s="415" t="s">
        <v>909</v>
      </c>
      <c r="M101" s="415" t="s">
        <v>310</v>
      </c>
      <c r="N101" s="414">
        <v>44657</v>
      </c>
      <c r="O101" s="414" t="s">
        <v>400</v>
      </c>
      <c r="P101" s="603">
        <f t="shared" si="4"/>
        <v>4</v>
      </c>
      <c r="Q101" s="603">
        <f t="shared" si="5"/>
        <v>3</v>
      </c>
      <c r="R101" s="604" t="str">
        <f t="shared" si="6"/>
        <v>Gastos_com_Pessoal</v>
      </c>
      <c r="S101" s="605" t="s">
        <v>310</v>
      </c>
      <c r="T101" s="605" t="s">
        <v>310</v>
      </c>
    </row>
    <row r="102" spans="1:20" s="88" customFormat="1" ht="36" x14ac:dyDescent="0.2">
      <c r="A102" s="510">
        <f>IF(B102="","",COUNT('Diário 1º PA'!$A$4:$A$2635)+ROW()-3)</f>
        <v>1835</v>
      </c>
      <c r="B102" s="414">
        <v>44657</v>
      </c>
      <c r="C102" s="431">
        <v>44621</v>
      </c>
      <c r="D102" s="415" t="s">
        <v>182</v>
      </c>
      <c r="E102" s="415" t="s">
        <v>1</v>
      </c>
      <c r="F102" s="425">
        <v>1660.72</v>
      </c>
      <c r="G102" s="440" t="s">
        <v>3368</v>
      </c>
      <c r="H102" s="415" t="s">
        <v>310</v>
      </c>
      <c r="I102" s="427" t="s">
        <v>1177</v>
      </c>
      <c r="J102" s="415" t="s">
        <v>1178</v>
      </c>
      <c r="K102" s="415" t="s">
        <v>830</v>
      </c>
      <c r="L102" s="415" t="s">
        <v>909</v>
      </c>
      <c r="M102" s="415" t="s">
        <v>310</v>
      </c>
      <c r="N102" s="414">
        <v>44657</v>
      </c>
      <c r="O102" s="414" t="s">
        <v>400</v>
      </c>
      <c r="P102" s="603">
        <f t="shared" si="4"/>
        <v>4</v>
      </c>
      <c r="Q102" s="603">
        <f t="shared" si="5"/>
        <v>3</v>
      </c>
      <c r="R102" s="604" t="str">
        <f t="shared" si="6"/>
        <v>Gastos_com_Pessoal</v>
      </c>
      <c r="S102" s="605" t="s">
        <v>310</v>
      </c>
      <c r="T102" s="605" t="s">
        <v>310</v>
      </c>
    </row>
    <row r="103" spans="1:20" s="88" customFormat="1" ht="36" x14ac:dyDescent="0.2">
      <c r="A103" s="510">
        <f>IF(B103="","",COUNT('Diário 1º PA'!$A$4:$A$2635)+ROW()-3)</f>
        <v>1836</v>
      </c>
      <c r="B103" s="414">
        <v>44657</v>
      </c>
      <c r="C103" s="431">
        <v>44621</v>
      </c>
      <c r="D103" s="415" t="s">
        <v>182</v>
      </c>
      <c r="E103" s="415" t="s">
        <v>1</v>
      </c>
      <c r="F103" s="425">
        <v>886.21</v>
      </c>
      <c r="G103" s="440" t="s">
        <v>3392</v>
      </c>
      <c r="H103" s="415" t="s">
        <v>310</v>
      </c>
      <c r="I103" s="427" t="s">
        <v>3195</v>
      </c>
      <c r="J103" s="415" t="s">
        <v>3518</v>
      </c>
      <c r="K103" s="415" t="s">
        <v>830</v>
      </c>
      <c r="L103" s="415" t="s">
        <v>909</v>
      </c>
      <c r="M103" s="415" t="s">
        <v>310</v>
      </c>
      <c r="N103" s="414">
        <v>44657</v>
      </c>
      <c r="O103" s="414" t="s">
        <v>400</v>
      </c>
      <c r="P103" s="603">
        <f t="shared" si="4"/>
        <v>4</v>
      </c>
      <c r="Q103" s="603">
        <f t="shared" si="5"/>
        <v>3</v>
      </c>
      <c r="R103" s="604" t="str">
        <f t="shared" si="6"/>
        <v>Gastos_com_Pessoal</v>
      </c>
      <c r="S103" s="605" t="s">
        <v>310</v>
      </c>
      <c r="T103" s="605" t="s">
        <v>310</v>
      </c>
    </row>
    <row r="104" spans="1:20" s="88" customFormat="1" ht="36" x14ac:dyDescent="0.2">
      <c r="A104" s="510">
        <f>IF(B104="","",COUNT('Diário 1º PA'!$A$4:$A$2635)+ROW()-3)</f>
        <v>1837</v>
      </c>
      <c r="B104" s="414">
        <v>44657</v>
      </c>
      <c r="C104" s="431">
        <v>44621</v>
      </c>
      <c r="D104" s="415" t="s">
        <v>182</v>
      </c>
      <c r="E104" s="415" t="s">
        <v>1</v>
      </c>
      <c r="F104" s="425">
        <v>2843.71</v>
      </c>
      <c r="G104" s="440" t="s">
        <v>3393</v>
      </c>
      <c r="H104" s="415" t="s">
        <v>310</v>
      </c>
      <c r="I104" s="427" t="s">
        <v>1179</v>
      </c>
      <c r="J104" s="415" t="s">
        <v>1180</v>
      </c>
      <c r="K104" s="415" t="s">
        <v>830</v>
      </c>
      <c r="L104" s="415" t="s">
        <v>909</v>
      </c>
      <c r="M104" s="415" t="s">
        <v>310</v>
      </c>
      <c r="N104" s="414">
        <v>44657</v>
      </c>
      <c r="O104" s="414" t="s">
        <v>400</v>
      </c>
      <c r="P104" s="603">
        <f t="shared" si="4"/>
        <v>4</v>
      </c>
      <c r="Q104" s="603">
        <f t="shared" si="5"/>
        <v>3</v>
      </c>
      <c r="R104" s="604" t="str">
        <f t="shared" si="6"/>
        <v>Gastos_com_Pessoal</v>
      </c>
      <c r="S104" s="605" t="s">
        <v>310</v>
      </c>
      <c r="T104" s="605" t="s">
        <v>310</v>
      </c>
    </row>
    <row r="105" spans="1:20" s="88" customFormat="1" ht="36" x14ac:dyDescent="0.2">
      <c r="A105" s="510">
        <f>IF(B105="","",COUNT('Diário 1º PA'!$A$4:$A$2635)+ROW()-3)</f>
        <v>1838</v>
      </c>
      <c r="B105" s="414">
        <v>44657</v>
      </c>
      <c r="C105" s="431">
        <v>44621</v>
      </c>
      <c r="D105" s="415" t="s">
        <v>182</v>
      </c>
      <c r="E105" s="415" t="s">
        <v>1</v>
      </c>
      <c r="F105" s="435">
        <v>2882.58</v>
      </c>
      <c r="G105" s="440" t="s">
        <v>3392</v>
      </c>
      <c r="H105" s="415" t="s">
        <v>310</v>
      </c>
      <c r="I105" s="437" t="s">
        <v>1181</v>
      </c>
      <c r="J105" s="434" t="s">
        <v>933</v>
      </c>
      <c r="K105" s="415" t="s">
        <v>830</v>
      </c>
      <c r="L105" s="434" t="s">
        <v>909</v>
      </c>
      <c r="M105" s="415" t="s">
        <v>310</v>
      </c>
      <c r="N105" s="414">
        <v>44657</v>
      </c>
      <c r="O105" s="414" t="s">
        <v>400</v>
      </c>
      <c r="P105" s="603">
        <f t="shared" si="4"/>
        <v>4</v>
      </c>
      <c r="Q105" s="603">
        <f t="shared" si="5"/>
        <v>3</v>
      </c>
      <c r="R105" s="604" t="str">
        <f t="shared" si="6"/>
        <v>Gastos_com_Pessoal</v>
      </c>
      <c r="S105" s="605" t="s">
        <v>310</v>
      </c>
      <c r="T105" s="605" t="s">
        <v>310</v>
      </c>
    </row>
    <row r="106" spans="1:20" s="88" customFormat="1" ht="36" x14ac:dyDescent="0.2">
      <c r="A106" s="510">
        <f>IF(B106="","",COUNT('Diário 1º PA'!$A$4:$A$2635)+ROW()-3)</f>
        <v>1839</v>
      </c>
      <c r="B106" s="414">
        <v>44657</v>
      </c>
      <c r="C106" s="431">
        <v>44621</v>
      </c>
      <c r="D106" s="415" t="s">
        <v>182</v>
      </c>
      <c r="E106" s="415" t="s">
        <v>1</v>
      </c>
      <c r="F106" s="425">
        <v>2095.64</v>
      </c>
      <c r="G106" s="440" t="s">
        <v>3394</v>
      </c>
      <c r="H106" s="415" t="s">
        <v>310</v>
      </c>
      <c r="I106" s="427" t="s">
        <v>1182</v>
      </c>
      <c r="J106" s="415" t="s">
        <v>1183</v>
      </c>
      <c r="K106" s="415" t="s">
        <v>830</v>
      </c>
      <c r="L106" s="415" t="s">
        <v>909</v>
      </c>
      <c r="M106" s="415" t="s">
        <v>310</v>
      </c>
      <c r="N106" s="414">
        <v>44657</v>
      </c>
      <c r="O106" s="414" t="s">
        <v>400</v>
      </c>
      <c r="P106" s="603">
        <f t="shared" si="4"/>
        <v>4</v>
      </c>
      <c r="Q106" s="603">
        <f t="shared" si="5"/>
        <v>3</v>
      </c>
      <c r="R106" s="604" t="str">
        <f t="shared" si="6"/>
        <v>Gastos_com_Pessoal</v>
      </c>
      <c r="S106" s="605" t="s">
        <v>310</v>
      </c>
      <c r="T106" s="605" t="s">
        <v>310</v>
      </c>
    </row>
    <row r="107" spans="1:20" s="88" customFormat="1" ht="36" x14ac:dyDescent="0.2">
      <c r="A107" s="510">
        <f>IF(B107="","",COUNT('Diário 1º PA'!$A$4:$A$2635)+ROW()-3)</f>
        <v>1840</v>
      </c>
      <c r="B107" s="414">
        <v>44657</v>
      </c>
      <c r="C107" s="431">
        <v>44621</v>
      </c>
      <c r="D107" s="415" t="s">
        <v>182</v>
      </c>
      <c r="E107" s="415" t="s">
        <v>1</v>
      </c>
      <c r="F107" s="425">
        <v>2283.34</v>
      </c>
      <c r="G107" s="440" t="s">
        <v>3387</v>
      </c>
      <c r="H107" s="415" t="s">
        <v>310</v>
      </c>
      <c r="I107" s="427" t="s">
        <v>1188</v>
      </c>
      <c r="J107" s="415" t="s">
        <v>1189</v>
      </c>
      <c r="K107" s="415" t="s">
        <v>830</v>
      </c>
      <c r="L107" s="415" t="s">
        <v>909</v>
      </c>
      <c r="M107" s="415" t="s">
        <v>310</v>
      </c>
      <c r="N107" s="414">
        <v>44657</v>
      </c>
      <c r="O107" s="414" t="s">
        <v>400</v>
      </c>
      <c r="P107" s="603">
        <f t="shared" si="4"/>
        <v>4</v>
      </c>
      <c r="Q107" s="603">
        <f t="shared" si="5"/>
        <v>3</v>
      </c>
      <c r="R107" s="604" t="str">
        <f t="shared" si="6"/>
        <v>Gastos_com_Pessoal</v>
      </c>
      <c r="S107" s="605" t="s">
        <v>310</v>
      </c>
      <c r="T107" s="605" t="s">
        <v>310</v>
      </c>
    </row>
    <row r="108" spans="1:20" s="88" customFormat="1" ht="36" x14ac:dyDescent="0.2">
      <c r="A108" s="510">
        <f>IF(B108="","",COUNT('Diário 1º PA'!$A$4:$A$2635)+ROW()-3)</f>
        <v>1841</v>
      </c>
      <c r="B108" s="414">
        <v>44657</v>
      </c>
      <c r="C108" s="431">
        <v>44621</v>
      </c>
      <c r="D108" s="415" t="s">
        <v>182</v>
      </c>
      <c r="E108" s="415" t="s">
        <v>1</v>
      </c>
      <c r="F108" s="425">
        <v>1967.17</v>
      </c>
      <c r="G108" s="440" t="s">
        <v>3368</v>
      </c>
      <c r="H108" s="415" t="s">
        <v>310</v>
      </c>
      <c r="I108" s="639" t="s">
        <v>1190</v>
      </c>
      <c r="J108" s="399" t="s">
        <v>1191</v>
      </c>
      <c r="K108" s="415" t="s">
        <v>830</v>
      </c>
      <c r="L108" s="415" t="s">
        <v>909</v>
      </c>
      <c r="M108" s="415" t="s">
        <v>310</v>
      </c>
      <c r="N108" s="414">
        <v>44657</v>
      </c>
      <c r="O108" s="414" t="s">
        <v>400</v>
      </c>
      <c r="P108" s="603">
        <f t="shared" si="4"/>
        <v>4</v>
      </c>
      <c r="Q108" s="603">
        <f t="shared" si="5"/>
        <v>3</v>
      </c>
      <c r="R108" s="604" t="str">
        <f t="shared" si="6"/>
        <v>Gastos_com_Pessoal</v>
      </c>
      <c r="S108" s="605" t="s">
        <v>310</v>
      </c>
      <c r="T108" s="605" t="s">
        <v>310</v>
      </c>
    </row>
    <row r="109" spans="1:20" s="88" customFormat="1" ht="36" x14ac:dyDescent="0.2">
      <c r="A109" s="510">
        <f>IF(B109="","",COUNT('Diário 1º PA'!$A$4:$A$2635)+ROW()-3)</f>
        <v>1842</v>
      </c>
      <c r="B109" s="414">
        <v>44657</v>
      </c>
      <c r="C109" s="431">
        <v>44621</v>
      </c>
      <c r="D109" s="415" t="s">
        <v>182</v>
      </c>
      <c r="E109" s="415" t="s">
        <v>1</v>
      </c>
      <c r="F109" s="435">
        <v>3561.07</v>
      </c>
      <c r="G109" s="440" t="s">
        <v>3395</v>
      </c>
      <c r="H109" s="415" t="s">
        <v>310</v>
      </c>
      <c r="I109" s="437" t="s">
        <v>2061</v>
      </c>
      <c r="J109" s="434" t="s">
        <v>2062</v>
      </c>
      <c r="K109" s="415" t="s">
        <v>830</v>
      </c>
      <c r="L109" s="434" t="s">
        <v>909</v>
      </c>
      <c r="M109" s="415" t="s">
        <v>310</v>
      </c>
      <c r="N109" s="414">
        <v>44657</v>
      </c>
      <c r="O109" s="414" t="s">
        <v>400</v>
      </c>
      <c r="P109" s="603">
        <f t="shared" si="4"/>
        <v>4</v>
      </c>
      <c r="Q109" s="603">
        <f t="shared" si="5"/>
        <v>3</v>
      </c>
      <c r="R109" s="604" t="str">
        <f t="shared" si="6"/>
        <v>Gastos_com_Pessoal</v>
      </c>
      <c r="S109" s="605" t="s">
        <v>310</v>
      </c>
      <c r="T109" s="605" t="s">
        <v>310</v>
      </c>
    </row>
    <row r="110" spans="1:20" s="88" customFormat="1" ht="36" x14ac:dyDescent="0.2">
      <c r="A110" s="510">
        <f>IF(B110="","",COUNT('Diário 1º PA'!$A$4:$A$2635)+ROW()-3)</f>
        <v>1843</v>
      </c>
      <c r="B110" s="414">
        <v>44657</v>
      </c>
      <c r="C110" s="431">
        <v>44621</v>
      </c>
      <c r="D110" s="415" t="s">
        <v>182</v>
      </c>
      <c r="E110" s="415" t="s">
        <v>1</v>
      </c>
      <c r="F110" s="425">
        <v>2684.58</v>
      </c>
      <c r="G110" s="440" t="s">
        <v>3387</v>
      </c>
      <c r="H110" s="415" t="s">
        <v>310</v>
      </c>
      <c r="I110" s="427" t="s">
        <v>1192</v>
      </c>
      <c r="J110" s="434" t="s">
        <v>1191</v>
      </c>
      <c r="K110" s="415" t="s">
        <v>830</v>
      </c>
      <c r="L110" s="415" t="s">
        <v>909</v>
      </c>
      <c r="M110" s="415" t="s">
        <v>310</v>
      </c>
      <c r="N110" s="414">
        <v>44657</v>
      </c>
      <c r="O110" s="414" t="s">
        <v>400</v>
      </c>
      <c r="P110" s="603">
        <f t="shared" si="4"/>
        <v>4</v>
      </c>
      <c r="Q110" s="603">
        <f t="shared" si="5"/>
        <v>3</v>
      </c>
      <c r="R110" s="604" t="str">
        <f t="shared" si="6"/>
        <v>Gastos_com_Pessoal</v>
      </c>
      <c r="S110" s="605" t="s">
        <v>310</v>
      </c>
      <c r="T110" s="605" t="s">
        <v>310</v>
      </c>
    </row>
    <row r="111" spans="1:20" s="88" customFormat="1" ht="36" x14ac:dyDescent="0.2">
      <c r="A111" s="510">
        <f>IF(B111="","",COUNT('Diário 1º PA'!$A$4:$A$2635)+ROW()-3)</f>
        <v>1844</v>
      </c>
      <c r="B111" s="414">
        <v>44657</v>
      </c>
      <c r="C111" s="431">
        <v>44621</v>
      </c>
      <c r="D111" s="415" t="s">
        <v>182</v>
      </c>
      <c r="E111" s="415" t="s">
        <v>1</v>
      </c>
      <c r="F111" s="425">
        <v>1056.5999999999999</v>
      </c>
      <c r="G111" s="440" t="s">
        <v>3396</v>
      </c>
      <c r="H111" s="415" t="s">
        <v>310</v>
      </c>
      <c r="I111" s="427" t="s">
        <v>1194</v>
      </c>
      <c r="J111" s="415" t="s">
        <v>1193</v>
      </c>
      <c r="K111" s="415" t="s">
        <v>830</v>
      </c>
      <c r="L111" s="415" t="s">
        <v>909</v>
      </c>
      <c r="M111" s="415" t="s">
        <v>310</v>
      </c>
      <c r="N111" s="414">
        <v>44657</v>
      </c>
      <c r="O111" s="414" t="s">
        <v>400</v>
      </c>
      <c r="P111" s="603">
        <f t="shared" si="4"/>
        <v>4</v>
      </c>
      <c r="Q111" s="603">
        <f t="shared" si="5"/>
        <v>3</v>
      </c>
      <c r="R111" s="604" t="str">
        <f t="shared" si="6"/>
        <v>Gastos_com_Pessoal</v>
      </c>
      <c r="S111" s="605" t="s">
        <v>310</v>
      </c>
      <c r="T111" s="605" t="s">
        <v>310</v>
      </c>
    </row>
    <row r="112" spans="1:20" s="88" customFormat="1" ht="36" x14ac:dyDescent="0.2">
      <c r="A112" s="510">
        <f>IF(B112="","",COUNT('Diário 1º PA'!$A$4:$A$2635)+ROW()-3)</f>
        <v>1845</v>
      </c>
      <c r="B112" s="414">
        <v>44657</v>
      </c>
      <c r="C112" s="431">
        <v>44621</v>
      </c>
      <c r="D112" s="415" t="s">
        <v>182</v>
      </c>
      <c r="E112" s="415" t="s">
        <v>1</v>
      </c>
      <c r="F112" s="425">
        <v>1656.18</v>
      </c>
      <c r="G112" s="440" t="s">
        <v>3397</v>
      </c>
      <c r="H112" s="415" t="s">
        <v>310</v>
      </c>
      <c r="I112" s="427" t="s">
        <v>1196</v>
      </c>
      <c r="J112" s="415" t="s">
        <v>1195</v>
      </c>
      <c r="K112" s="415" t="s">
        <v>830</v>
      </c>
      <c r="L112" s="415" t="s">
        <v>909</v>
      </c>
      <c r="M112" s="415" t="s">
        <v>310</v>
      </c>
      <c r="N112" s="414">
        <v>44657</v>
      </c>
      <c r="O112" s="414" t="s">
        <v>400</v>
      </c>
      <c r="P112" s="603">
        <f t="shared" si="4"/>
        <v>4</v>
      </c>
      <c r="Q112" s="603">
        <f t="shared" si="5"/>
        <v>3</v>
      </c>
      <c r="R112" s="604" t="str">
        <f t="shared" si="6"/>
        <v>Gastos_com_Pessoal</v>
      </c>
      <c r="S112" s="605" t="s">
        <v>310</v>
      </c>
      <c r="T112" s="605" t="s">
        <v>310</v>
      </c>
    </row>
    <row r="113" spans="1:20" s="88" customFormat="1" ht="36" x14ac:dyDescent="0.2">
      <c r="A113" s="510">
        <f>IF(B113="","",COUNT('Diário 1º PA'!$A$4:$A$2635)+ROW()-3)</f>
        <v>1846</v>
      </c>
      <c r="B113" s="414">
        <v>44657</v>
      </c>
      <c r="C113" s="431">
        <v>44621</v>
      </c>
      <c r="D113" s="415" t="s">
        <v>182</v>
      </c>
      <c r="E113" s="415" t="s">
        <v>1</v>
      </c>
      <c r="F113" s="425">
        <v>1802.92</v>
      </c>
      <c r="G113" s="440" t="s">
        <v>3398</v>
      </c>
      <c r="H113" s="415" t="s">
        <v>310</v>
      </c>
      <c r="I113" s="427" t="s">
        <v>1198</v>
      </c>
      <c r="J113" s="415" t="s">
        <v>1197</v>
      </c>
      <c r="K113" s="415" t="s">
        <v>830</v>
      </c>
      <c r="L113" s="415" t="s">
        <v>909</v>
      </c>
      <c r="M113" s="415" t="s">
        <v>310</v>
      </c>
      <c r="N113" s="414">
        <v>44657</v>
      </c>
      <c r="O113" s="414" t="s">
        <v>400</v>
      </c>
      <c r="P113" s="603">
        <f t="shared" si="4"/>
        <v>4</v>
      </c>
      <c r="Q113" s="603">
        <f t="shared" si="5"/>
        <v>3</v>
      </c>
      <c r="R113" s="604" t="str">
        <f t="shared" si="6"/>
        <v>Gastos_com_Pessoal</v>
      </c>
      <c r="S113" s="605" t="s">
        <v>310</v>
      </c>
      <c r="T113" s="605" t="s">
        <v>310</v>
      </c>
    </row>
    <row r="114" spans="1:20" s="88" customFormat="1" ht="36" x14ac:dyDescent="0.2">
      <c r="A114" s="510">
        <f>IF(B114="","",COUNT('Diário 1º PA'!$A$4:$A$2635)+ROW()-3)</f>
        <v>1847</v>
      </c>
      <c r="B114" s="414">
        <v>44657</v>
      </c>
      <c r="C114" s="431">
        <v>44621</v>
      </c>
      <c r="D114" s="415" t="s">
        <v>182</v>
      </c>
      <c r="E114" s="415" t="s">
        <v>1</v>
      </c>
      <c r="F114" s="425">
        <v>2077.66</v>
      </c>
      <c r="G114" s="440" t="s">
        <v>3399</v>
      </c>
      <c r="H114" s="415" t="s">
        <v>310</v>
      </c>
      <c r="I114" s="427" t="s">
        <v>1202</v>
      </c>
      <c r="J114" s="415" t="s">
        <v>1201</v>
      </c>
      <c r="K114" s="415" t="s">
        <v>830</v>
      </c>
      <c r="L114" s="415" t="s">
        <v>909</v>
      </c>
      <c r="M114" s="415" t="s">
        <v>310</v>
      </c>
      <c r="N114" s="414">
        <v>44657</v>
      </c>
      <c r="O114" s="414" t="s">
        <v>400</v>
      </c>
      <c r="P114" s="603">
        <f t="shared" si="4"/>
        <v>4</v>
      </c>
      <c r="Q114" s="603">
        <f t="shared" si="5"/>
        <v>3</v>
      </c>
      <c r="R114" s="604" t="str">
        <f t="shared" si="6"/>
        <v>Gastos_com_Pessoal</v>
      </c>
      <c r="S114" s="605" t="s">
        <v>310</v>
      </c>
      <c r="T114" s="605" t="s">
        <v>310</v>
      </c>
    </row>
    <row r="115" spans="1:20" s="88" customFormat="1" ht="36" x14ac:dyDescent="0.2">
      <c r="A115" s="510">
        <f>IF(B115="","",COUNT('Diário 1º PA'!$A$4:$A$2635)+ROW()-3)</f>
        <v>1848</v>
      </c>
      <c r="B115" s="414">
        <v>44657</v>
      </c>
      <c r="C115" s="431">
        <v>44621</v>
      </c>
      <c r="D115" s="415" t="s">
        <v>182</v>
      </c>
      <c r="E115" s="415" t="s">
        <v>1</v>
      </c>
      <c r="F115" s="425">
        <v>2095.64</v>
      </c>
      <c r="G115" s="440" t="s">
        <v>3400</v>
      </c>
      <c r="H115" s="415" t="s">
        <v>310</v>
      </c>
      <c r="I115" s="427" t="s">
        <v>1203</v>
      </c>
      <c r="J115" s="415" t="s">
        <v>1201</v>
      </c>
      <c r="K115" s="415" t="s">
        <v>830</v>
      </c>
      <c r="L115" s="415" t="s">
        <v>909</v>
      </c>
      <c r="M115" s="415" t="s">
        <v>310</v>
      </c>
      <c r="N115" s="414">
        <v>44657</v>
      </c>
      <c r="O115" s="414" t="s">
        <v>400</v>
      </c>
      <c r="P115" s="603">
        <f t="shared" si="4"/>
        <v>4</v>
      </c>
      <c r="Q115" s="603">
        <f t="shared" si="5"/>
        <v>3</v>
      </c>
      <c r="R115" s="604" t="str">
        <f t="shared" si="6"/>
        <v>Gastos_com_Pessoal</v>
      </c>
      <c r="S115" s="605" t="s">
        <v>310</v>
      </c>
      <c r="T115" s="605" t="s">
        <v>310</v>
      </c>
    </row>
    <row r="116" spans="1:20" s="88" customFormat="1" ht="36" x14ac:dyDescent="0.2">
      <c r="A116" s="510">
        <f>IF(B116="","",COUNT('Diário 1º PA'!$A$4:$A$2635)+ROW()-3)</f>
        <v>1849</v>
      </c>
      <c r="B116" s="414">
        <v>44657</v>
      </c>
      <c r="C116" s="431">
        <v>44621</v>
      </c>
      <c r="D116" s="415" t="s">
        <v>182</v>
      </c>
      <c r="E116" s="415" t="s">
        <v>1</v>
      </c>
      <c r="F116" s="425">
        <v>2095.64</v>
      </c>
      <c r="G116" s="440" t="s">
        <v>3401</v>
      </c>
      <c r="H116" s="415" t="s">
        <v>310</v>
      </c>
      <c r="I116" s="427" t="s">
        <v>1205</v>
      </c>
      <c r="J116" s="415" t="s">
        <v>1204</v>
      </c>
      <c r="K116" s="415" t="s">
        <v>830</v>
      </c>
      <c r="L116" s="415" t="s">
        <v>909</v>
      </c>
      <c r="M116" s="415" t="s">
        <v>310</v>
      </c>
      <c r="N116" s="414">
        <v>44657</v>
      </c>
      <c r="O116" s="414" t="s">
        <v>400</v>
      </c>
      <c r="P116" s="603">
        <f t="shared" si="4"/>
        <v>4</v>
      </c>
      <c r="Q116" s="603">
        <f t="shared" si="5"/>
        <v>3</v>
      </c>
      <c r="R116" s="604" t="str">
        <f t="shared" si="6"/>
        <v>Gastos_com_Pessoal</v>
      </c>
      <c r="S116" s="605" t="s">
        <v>310</v>
      </c>
      <c r="T116" s="605" t="s">
        <v>310</v>
      </c>
    </row>
    <row r="117" spans="1:20" s="88" customFormat="1" ht="36" x14ac:dyDescent="0.2">
      <c r="A117" s="510">
        <f>IF(B117="","",COUNT('Diário 1º PA'!$A$4:$A$2635)+ROW()-3)</f>
        <v>1850</v>
      </c>
      <c r="B117" s="414">
        <v>44657</v>
      </c>
      <c r="C117" s="431">
        <v>44621</v>
      </c>
      <c r="D117" s="415" t="s">
        <v>182</v>
      </c>
      <c r="E117" s="415" t="s">
        <v>1</v>
      </c>
      <c r="F117" s="425">
        <v>340.79</v>
      </c>
      <c r="G117" s="440" t="s">
        <v>3402</v>
      </c>
      <c r="H117" s="415" t="s">
        <v>310</v>
      </c>
      <c r="I117" s="427" t="s">
        <v>1207</v>
      </c>
      <c r="J117" s="415" t="s">
        <v>1206</v>
      </c>
      <c r="K117" s="415" t="s">
        <v>830</v>
      </c>
      <c r="L117" s="415" t="s">
        <v>909</v>
      </c>
      <c r="M117" s="415" t="s">
        <v>310</v>
      </c>
      <c r="N117" s="414">
        <v>44657</v>
      </c>
      <c r="O117" s="414" t="s">
        <v>400</v>
      </c>
      <c r="P117" s="603">
        <f t="shared" si="4"/>
        <v>4</v>
      </c>
      <c r="Q117" s="603">
        <f t="shared" si="5"/>
        <v>3</v>
      </c>
      <c r="R117" s="604" t="str">
        <f t="shared" si="6"/>
        <v>Gastos_com_Pessoal</v>
      </c>
      <c r="S117" s="605" t="s">
        <v>310</v>
      </c>
      <c r="T117" s="605" t="s">
        <v>310</v>
      </c>
    </row>
    <row r="118" spans="1:20" s="88" customFormat="1" ht="36" x14ac:dyDescent="0.2">
      <c r="A118" s="510">
        <f>IF(B118="","",COUNT('Diário 1º PA'!$A$4:$A$2635)+ROW()-3)</f>
        <v>1851</v>
      </c>
      <c r="B118" s="414">
        <v>44657</v>
      </c>
      <c r="C118" s="431">
        <v>44621</v>
      </c>
      <c r="D118" s="415" t="s">
        <v>182</v>
      </c>
      <c r="E118" s="415" t="s">
        <v>1</v>
      </c>
      <c r="F118" s="425">
        <v>2077.66</v>
      </c>
      <c r="G118" s="440" t="s">
        <v>3399</v>
      </c>
      <c r="H118" s="415" t="s">
        <v>310</v>
      </c>
      <c r="I118" s="427" t="s">
        <v>3519</v>
      </c>
      <c r="J118" s="415" t="s">
        <v>988</v>
      </c>
      <c r="K118" s="415" t="s">
        <v>830</v>
      </c>
      <c r="L118" s="415" t="s">
        <v>909</v>
      </c>
      <c r="M118" s="415" t="s">
        <v>310</v>
      </c>
      <c r="N118" s="414">
        <v>44657</v>
      </c>
      <c r="O118" s="414" t="s">
        <v>400</v>
      </c>
      <c r="P118" s="603">
        <f t="shared" si="4"/>
        <v>4</v>
      </c>
      <c r="Q118" s="603">
        <f t="shared" si="5"/>
        <v>3</v>
      </c>
      <c r="R118" s="604" t="str">
        <f t="shared" si="6"/>
        <v>Gastos_com_Pessoal</v>
      </c>
      <c r="S118" s="605" t="s">
        <v>310</v>
      </c>
      <c r="T118" s="605" t="s">
        <v>310</v>
      </c>
    </row>
    <row r="119" spans="1:20" s="88" customFormat="1" ht="36" x14ac:dyDescent="0.2">
      <c r="A119" s="510">
        <f>IF(B119="","",COUNT('Diário 1º PA'!$A$4:$A$2635)+ROW()-3)</f>
        <v>1852</v>
      </c>
      <c r="B119" s="414">
        <v>44657</v>
      </c>
      <c r="C119" s="431">
        <v>44621</v>
      </c>
      <c r="D119" s="415" t="s">
        <v>182</v>
      </c>
      <c r="E119" s="415" t="s">
        <v>1</v>
      </c>
      <c r="F119" s="425">
        <v>3020.58</v>
      </c>
      <c r="G119" s="427" t="s">
        <v>3392</v>
      </c>
      <c r="H119" s="415" t="s">
        <v>310</v>
      </c>
      <c r="I119" s="427" t="s">
        <v>996</v>
      </c>
      <c r="J119" s="415" t="s">
        <v>997</v>
      </c>
      <c r="K119" s="415" t="s">
        <v>830</v>
      </c>
      <c r="L119" s="415" t="s">
        <v>909</v>
      </c>
      <c r="M119" s="415" t="s">
        <v>310</v>
      </c>
      <c r="N119" s="414">
        <v>44657</v>
      </c>
      <c r="O119" s="414" t="s">
        <v>400</v>
      </c>
      <c r="P119" s="603">
        <f t="shared" si="4"/>
        <v>4</v>
      </c>
      <c r="Q119" s="603">
        <f t="shared" si="5"/>
        <v>3</v>
      </c>
      <c r="R119" s="604" t="str">
        <f t="shared" si="6"/>
        <v>Gastos_com_Pessoal</v>
      </c>
      <c r="S119" s="605" t="s">
        <v>310</v>
      </c>
      <c r="T119" s="605" t="s">
        <v>310</v>
      </c>
    </row>
    <row r="120" spans="1:20" s="88" customFormat="1" ht="36" x14ac:dyDescent="0.2">
      <c r="A120" s="510">
        <f>IF(B120="","",COUNT('Diário 1º PA'!$A$4:$A$2635)+ROW()-3)</f>
        <v>1853</v>
      </c>
      <c r="B120" s="414">
        <v>44657</v>
      </c>
      <c r="C120" s="431">
        <v>44621</v>
      </c>
      <c r="D120" s="415" t="s">
        <v>182</v>
      </c>
      <c r="E120" s="415" t="s">
        <v>1</v>
      </c>
      <c r="F120" s="425">
        <v>2038.54</v>
      </c>
      <c r="G120" s="440" t="s">
        <v>3368</v>
      </c>
      <c r="H120" s="415" t="s">
        <v>310</v>
      </c>
      <c r="I120" s="427" t="s">
        <v>1171</v>
      </c>
      <c r="J120" s="415" t="s">
        <v>1172</v>
      </c>
      <c r="K120" s="415" t="s">
        <v>830</v>
      </c>
      <c r="L120" s="415" t="s">
        <v>909</v>
      </c>
      <c r="M120" s="415" t="s">
        <v>310</v>
      </c>
      <c r="N120" s="414">
        <v>44657</v>
      </c>
      <c r="O120" s="414" t="s">
        <v>400</v>
      </c>
      <c r="P120" s="603">
        <f t="shared" si="4"/>
        <v>4</v>
      </c>
      <c r="Q120" s="603">
        <f t="shared" si="5"/>
        <v>3</v>
      </c>
      <c r="R120" s="604" t="str">
        <f t="shared" si="6"/>
        <v>Gastos_com_Pessoal</v>
      </c>
      <c r="S120" s="605" t="s">
        <v>310</v>
      </c>
      <c r="T120" s="605" t="s">
        <v>310</v>
      </c>
    </row>
    <row r="121" spans="1:20" s="88" customFormat="1" ht="36" x14ac:dyDescent="0.2">
      <c r="A121" s="510">
        <f>IF(B121="","",COUNT('Diário 1º PA'!$A$4:$A$2635)+ROW()-3)</f>
        <v>1854</v>
      </c>
      <c r="B121" s="414">
        <v>44657</v>
      </c>
      <c r="C121" s="431">
        <v>44621</v>
      </c>
      <c r="D121" s="415" t="s">
        <v>182</v>
      </c>
      <c r="E121" s="415" t="s">
        <v>1</v>
      </c>
      <c r="F121" s="435">
        <v>2776.28</v>
      </c>
      <c r="G121" s="440" t="s">
        <v>3387</v>
      </c>
      <c r="H121" s="415" t="s">
        <v>310</v>
      </c>
      <c r="I121" s="437" t="s">
        <v>1184</v>
      </c>
      <c r="J121" s="434" t="s">
        <v>1185</v>
      </c>
      <c r="K121" s="415" t="s">
        <v>830</v>
      </c>
      <c r="L121" s="434" t="s">
        <v>909</v>
      </c>
      <c r="M121" s="415" t="s">
        <v>310</v>
      </c>
      <c r="N121" s="414">
        <v>44657</v>
      </c>
      <c r="O121" s="414" t="s">
        <v>400</v>
      </c>
      <c r="P121" s="603">
        <f t="shared" si="4"/>
        <v>4</v>
      </c>
      <c r="Q121" s="603">
        <f t="shared" si="5"/>
        <v>3</v>
      </c>
      <c r="R121" s="604" t="str">
        <f t="shared" si="6"/>
        <v>Gastos_com_Pessoal</v>
      </c>
      <c r="S121" s="605" t="s">
        <v>310</v>
      </c>
      <c r="T121" s="605" t="s">
        <v>310</v>
      </c>
    </row>
    <row r="122" spans="1:20" s="88" customFormat="1" ht="36" x14ac:dyDescent="0.2">
      <c r="A122" s="510">
        <f>IF(B122="","",COUNT('Diário 1º PA'!$A$4:$A$2635)+ROW()-3)</f>
        <v>1855</v>
      </c>
      <c r="B122" s="414">
        <v>44657</v>
      </c>
      <c r="C122" s="431">
        <v>44621</v>
      </c>
      <c r="D122" s="415" t="s">
        <v>182</v>
      </c>
      <c r="E122" s="415" t="s">
        <v>1</v>
      </c>
      <c r="F122" s="425">
        <v>2797.87</v>
      </c>
      <c r="G122" s="440" t="s">
        <v>3387</v>
      </c>
      <c r="H122" s="415" t="s">
        <v>310</v>
      </c>
      <c r="I122" s="427" t="s">
        <v>1186</v>
      </c>
      <c r="J122" s="415" t="s">
        <v>1187</v>
      </c>
      <c r="K122" s="415" t="s">
        <v>830</v>
      </c>
      <c r="L122" s="415" t="s">
        <v>909</v>
      </c>
      <c r="M122" s="415" t="s">
        <v>310</v>
      </c>
      <c r="N122" s="414">
        <v>44657</v>
      </c>
      <c r="O122" s="414" t="s">
        <v>400</v>
      </c>
      <c r="P122" s="603">
        <f t="shared" si="4"/>
        <v>4</v>
      </c>
      <c r="Q122" s="603">
        <f t="shared" si="5"/>
        <v>3</v>
      </c>
      <c r="R122" s="604" t="str">
        <f t="shared" si="6"/>
        <v>Gastos_com_Pessoal</v>
      </c>
      <c r="S122" s="605" t="s">
        <v>310</v>
      </c>
      <c r="T122" s="605" t="s">
        <v>310</v>
      </c>
    </row>
    <row r="123" spans="1:20" s="88" customFormat="1" ht="36" x14ac:dyDescent="0.2">
      <c r="A123" s="510">
        <f>IF(B123="","",COUNT('Diário 1º PA'!$A$4:$A$2635)+ROW()-3)</f>
        <v>1856</v>
      </c>
      <c r="B123" s="414">
        <v>44657</v>
      </c>
      <c r="C123" s="431">
        <v>44621</v>
      </c>
      <c r="D123" s="415" t="s">
        <v>182</v>
      </c>
      <c r="E123" s="415" t="s">
        <v>1</v>
      </c>
      <c r="F123" s="425">
        <v>1506.09</v>
      </c>
      <c r="G123" s="440" t="s">
        <v>3368</v>
      </c>
      <c r="H123" s="415" t="s">
        <v>310</v>
      </c>
      <c r="I123" s="427" t="s">
        <v>1200</v>
      </c>
      <c r="J123" s="415" t="s">
        <v>1201</v>
      </c>
      <c r="K123" s="415" t="s">
        <v>830</v>
      </c>
      <c r="L123" s="415" t="s">
        <v>909</v>
      </c>
      <c r="M123" s="415" t="s">
        <v>310</v>
      </c>
      <c r="N123" s="414">
        <v>44657</v>
      </c>
      <c r="O123" s="414" t="s">
        <v>400</v>
      </c>
      <c r="P123" s="603">
        <f t="shared" si="4"/>
        <v>4</v>
      </c>
      <c r="Q123" s="603">
        <f t="shared" si="5"/>
        <v>3</v>
      </c>
      <c r="R123" s="604" t="str">
        <f t="shared" si="6"/>
        <v>Gastos_com_Pessoal</v>
      </c>
      <c r="S123" s="605" t="s">
        <v>310</v>
      </c>
      <c r="T123" s="605" t="s">
        <v>310</v>
      </c>
    </row>
    <row r="124" spans="1:20" s="88" customFormat="1" ht="36" x14ac:dyDescent="0.2">
      <c r="A124" s="510">
        <f>IF(B124="","",COUNT('Diário 1º PA'!$A$4:$A$2635)+ROW()-3)</f>
        <v>1857</v>
      </c>
      <c r="B124" s="414">
        <v>44657</v>
      </c>
      <c r="C124" s="431">
        <v>44621</v>
      </c>
      <c r="D124" s="415" t="s">
        <v>182</v>
      </c>
      <c r="E124" s="415" t="s">
        <v>1</v>
      </c>
      <c r="F124" s="425">
        <v>617.66</v>
      </c>
      <c r="G124" s="440" t="s">
        <v>3368</v>
      </c>
      <c r="H124" s="415" t="s">
        <v>310</v>
      </c>
      <c r="I124" s="427" t="s">
        <v>3197</v>
      </c>
      <c r="J124" s="415" t="s">
        <v>3198</v>
      </c>
      <c r="K124" s="415" t="s">
        <v>830</v>
      </c>
      <c r="L124" s="415" t="s">
        <v>909</v>
      </c>
      <c r="M124" s="415" t="s">
        <v>310</v>
      </c>
      <c r="N124" s="414">
        <v>44657</v>
      </c>
      <c r="O124" s="414" t="s">
        <v>400</v>
      </c>
      <c r="P124" s="603">
        <f t="shared" si="4"/>
        <v>4</v>
      </c>
      <c r="Q124" s="603">
        <f t="shared" si="5"/>
        <v>3</v>
      </c>
      <c r="R124" s="604" t="str">
        <f t="shared" si="6"/>
        <v>Gastos_com_Pessoal</v>
      </c>
      <c r="S124" s="605" t="s">
        <v>310</v>
      </c>
      <c r="T124" s="605" t="s">
        <v>310</v>
      </c>
    </row>
    <row r="125" spans="1:20" s="88" customFormat="1" ht="24" x14ac:dyDescent="0.2">
      <c r="A125" s="510">
        <f>IF(B125="","",COUNT('Diário 1º PA'!$A$4:$A$2635)+ROW()-3)</f>
        <v>1858</v>
      </c>
      <c r="B125" s="414">
        <v>44657</v>
      </c>
      <c r="C125" s="424">
        <v>44652</v>
      </c>
      <c r="D125" s="415" t="s">
        <v>271</v>
      </c>
      <c r="E125" s="415" t="s">
        <v>71</v>
      </c>
      <c r="F125" s="425">
        <v>11</v>
      </c>
      <c r="G125" s="427" t="s">
        <v>1232</v>
      </c>
      <c r="H125" s="415" t="s">
        <v>310</v>
      </c>
      <c r="I125" s="639" t="s">
        <v>881</v>
      </c>
      <c r="J125" s="418" t="s">
        <v>882</v>
      </c>
      <c r="K125" s="418" t="s">
        <v>883</v>
      </c>
      <c r="L125" s="399" t="s">
        <v>798</v>
      </c>
      <c r="M125" s="544" t="s">
        <v>310</v>
      </c>
      <c r="N125" s="414">
        <v>44657</v>
      </c>
      <c r="O125" s="414" t="s">
        <v>400</v>
      </c>
      <c r="P125" s="603">
        <f t="shared" si="4"/>
        <v>4</v>
      </c>
      <c r="Q125" s="603">
        <f t="shared" si="5"/>
        <v>4</v>
      </c>
      <c r="R125" s="604" t="str">
        <f t="shared" si="6"/>
        <v>Gastos_Gerais</v>
      </c>
      <c r="S125" s="605" t="s">
        <v>310</v>
      </c>
      <c r="T125" s="605" t="s">
        <v>310</v>
      </c>
    </row>
    <row r="126" spans="1:20" s="88" customFormat="1" ht="24" x14ac:dyDescent="0.2">
      <c r="A126" s="510">
        <f>IF(B126="","",COUNT('Diário 1º PA'!$A$4:$A$2635)+ROW()-3)</f>
        <v>1859</v>
      </c>
      <c r="B126" s="414">
        <v>44657</v>
      </c>
      <c r="C126" s="424">
        <v>44652</v>
      </c>
      <c r="D126" s="415" t="s">
        <v>271</v>
      </c>
      <c r="E126" s="415" t="s">
        <v>71</v>
      </c>
      <c r="F126" s="425">
        <v>11</v>
      </c>
      <c r="G126" s="427" t="s">
        <v>1233</v>
      </c>
      <c r="H126" s="415" t="s">
        <v>310</v>
      </c>
      <c r="I126" s="639" t="s">
        <v>881</v>
      </c>
      <c r="J126" s="418" t="s">
        <v>882</v>
      </c>
      <c r="K126" s="418" t="s">
        <v>883</v>
      </c>
      <c r="L126" s="399" t="s">
        <v>798</v>
      </c>
      <c r="M126" s="544" t="s">
        <v>310</v>
      </c>
      <c r="N126" s="414">
        <v>44657</v>
      </c>
      <c r="O126" s="414" t="s">
        <v>400</v>
      </c>
      <c r="P126" s="603">
        <f t="shared" si="4"/>
        <v>4</v>
      </c>
      <c r="Q126" s="603">
        <f t="shared" si="5"/>
        <v>4</v>
      </c>
      <c r="R126" s="604" t="str">
        <f t="shared" si="6"/>
        <v>Gastos_Gerais</v>
      </c>
      <c r="S126" s="605" t="s">
        <v>310</v>
      </c>
      <c r="T126" s="605" t="s">
        <v>310</v>
      </c>
    </row>
    <row r="127" spans="1:20" s="88" customFormat="1" ht="24" x14ac:dyDescent="0.2">
      <c r="A127" s="510">
        <f>IF(B127="","",COUNT('Diário 1º PA'!$A$4:$A$2635)+ROW()-3)</f>
        <v>1860</v>
      </c>
      <c r="B127" s="414">
        <v>44657</v>
      </c>
      <c r="C127" s="424">
        <v>44652</v>
      </c>
      <c r="D127" s="415" t="s">
        <v>271</v>
      </c>
      <c r="E127" s="415" t="s">
        <v>71</v>
      </c>
      <c r="F127" s="425">
        <v>11</v>
      </c>
      <c r="G127" s="427" t="s">
        <v>1246</v>
      </c>
      <c r="H127" s="415" t="s">
        <v>310</v>
      </c>
      <c r="I127" s="639" t="s">
        <v>881</v>
      </c>
      <c r="J127" s="418" t="s">
        <v>882</v>
      </c>
      <c r="K127" s="418" t="s">
        <v>883</v>
      </c>
      <c r="L127" s="399" t="s">
        <v>798</v>
      </c>
      <c r="M127" s="544" t="s">
        <v>310</v>
      </c>
      <c r="N127" s="414">
        <v>44657</v>
      </c>
      <c r="O127" s="414" t="s">
        <v>400</v>
      </c>
      <c r="P127" s="603">
        <f t="shared" si="4"/>
        <v>4</v>
      </c>
      <c r="Q127" s="603">
        <f t="shared" si="5"/>
        <v>4</v>
      </c>
      <c r="R127" s="604" t="str">
        <f t="shared" si="6"/>
        <v>Gastos_Gerais</v>
      </c>
      <c r="S127" s="605" t="s">
        <v>310</v>
      </c>
      <c r="T127" s="605" t="s">
        <v>310</v>
      </c>
    </row>
    <row r="128" spans="1:20" s="88" customFormat="1" ht="24" x14ac:dyDescent="0.2">
      <c r="A128" s="510">
        <f>IF(B128="","",COUNT('Diário 1º PA'!$A$4:$A$2635)+ROW()-3)</f>
        <v>1861</v>
      </c>
      <c r="B128" s="414">
        <v>44657</v>
      </c>
      <c r="C128" s="424">
        <v>44652</v>
      </c>
      <c r="D128" s="415" t="s">
        <v>271</v>
      </c>
      <c r="E128" s="415" t="s">
        <v>71</v>
      </c>
      <c r="F128" s="425">
        <v>11</v>
      </c>
      <c r="G128" s="427" t="s">
        <v>1246</v>
      </c>
      <c r="H128" s="415" t="s">
        <v>310</v>
      </c>
      <c r="I128" s="639" t="s">
        <v>881</v>
      </c>
      <c r="J128" s="418" t="s">
        <v>882</v>
      </c>
      <c r="K128" s="418" t="s">
        <v>883</v>
      </c>
      <c r="L128" s="399" t="s">
        <v>798</v>
      </c>
      <c r="M128" s="544" t="s">
        <v>310</v>
      </c>
      <c r="N128" s="414">
        <v>44657</v>
      </c>
      <c r="O128" s="414" t="s">
        <v>400</v>
      </c>
      <c r="P128" s="603">
        <f t="shared" si="4"/>
        <v>4</v>
      </c>
      <c r="Q128" s="603">
        <f t="shared" si="5"/>
        <v>4</v>
      </c>
      <c r="R128" s="604" t="str">
        <f t="shared" si="6"/>
        <v>Gastos_Gerais</v>
      </c>
      <c r="S128" s="605" t="s">
        <v>310</v>
      </c>
      <c r="T128" s="605" t="s">
        <v>310</v>
      </c>
    </row>
    <row r="129" spans="1:20" s="88" customFormat="1" ht="24" x14ac:dyDescent="0.2">
      <c r="A129" s="510">
        <f>IF(B129="","",COUNT('Diário 1º PA'!$A$4:$A$2635)+ROW()-3)</f>
        <v>1862</v>
      </c>
      <c r="B129" s="414">
        <v>44657</v>
      </c>
      <c r="C129" s="424">
        <v>44652</v>
      </c>
      <c r="D129" s="415" t="s">
        <v>271</v>
      </c>
      <c r="E129" s="415" t="s">
        <v>71</v>
      </c>
      <c r="F129" s="425">
        <v>11</v>
      </c>
      <c r="G129" s="427" t="s">
        <v>1233</v>
      </c>
      <c r="H129" s="415" t="s">
        <v>310</v>
      </c>
      <c r="I129" s="639" t="s">
        <v>881</v>
      </c>
      <c r="J129" s="418" t="s">
        <v>882</v>
      </c>
      <c r="K129" s="418" t="s">
        <v>883</v>
      </c>
      <c r="L129" s="399" t="s">
        <v>798</v>
      </c>
      <c r="M129" s="544" t="s">
        <v>310</v>
      </c>
      <c r="N129" s="414">
        <v>44657</v>
      </c>
      <c r="O129" s="414" t="s">
        <v>400</v>
      </c>
      <c r="P129" s="603">
        <f t="shared" si="4"/>
        <v>4</v>
      </c>
      <c r="Q129" s="603">
        <f t="shared" si="5"/>
        <v>4</v>
      </c>
      <c r="R129" s="604" t="str">
        <f t="shared" si="6"/>
        <v>Gastos_Gerais</v>
      </c>
      <c r="S129" s="605" t="s">
        <v>310</v>
      </c>
      <c r="T129" s="605" t="s">
        <v>310</v>
      </c>
    </row>
    <row r="130" spans="1:20" s="88" customFormat="1" ht="24" x14ac:dyDescent="0.2">
      <c r="A130" s="510">
        <f>IF(B130="","",COUNT('Diário 1º PA'!$A$4:$A$2635)+ROW()-3)</f>
        <v>1863</v>
      </c>
      <c r="B130" s="414">
        <v>44657</v>
      </c>
      <c r="C130" s="424">
        <v>44652</v>
      </c>
      <c r="D130" s="415" t="s">
        <v>271</v>
      </c>
      <c r="E130" s="415" t="s">
        <v>71</v>
      </c>
      <c r="F130" s="425">
        <v>11</v>
      </c>
      <c r="G130" s="427" t="s">
        <v>1585</v>
      </c>
      <c r="H130" s="415" t="s">
        <v>310</v>
      </c>
      <c r="I130" s="639" t="s">
        <v>881</v>
      </c>
      <c r="J130" s="418" t="s">
        <v>882</v>
      </c>
      <c r="K130" s="418" t="s">
        <v>883</v>
      </c>
      <c r="L130" s="399" t="s">
        <v>798</v>
      </c>
      <c r="M130" s="544" t="s">
        <v>310</v>
      </c>
      <c r="N130" s="414">
        <v>44657</v>
      </c>
      <c r="O130" s="414" t="s">
        <v>400</v>
      </c>
      <c r="P130" s="603">
        <f t="shared" si="4"/>
        <v>4</v>
      </c>
      <c r="Q130" s="603">
        <f t="shared" si="5"/>
        <v>4</v>
      </c>
      <c r="R130" s="604" t="str">
        <f t="shared" si="6"/>
        <v>Gastos_Gerais</v>
      </c>
      <c r="S130" s="605" t="s">
        <v>310</v>
      </c>
      <c r="T130" s="605" t="s">
        <v>310</v>
      </c>
    </row>
    <row r="131" spans="1:20" s="88" customFormat="1" ht="24" x14ac:dyDescent="0.2">
      <c r="A131" s="510">
        <f>IF(B131="","",COUNT('Diário 1º PA'!$A$4:$A$2635)+ROW()-3)</f>
        <v>1864</v>
      </c>
      <c r="B131" s="414">
        <v>44657</v>
      </c>
      <c r="C131" s="424">
        <v>44652</v>
      </c>
      <c r="D131" s="415" t="s">
        <v>271</v>
      </c>
      <c r="E131" s="415" t="s">
        <v>71</v>
      </c>
      <c r="F131" s="425">
        <v>11</v>
      </c>
      <c r="G131" s="427" t="s">
        <v>1235</v>
      </c>
      <c r="H131" s="415" t="s">
        <v>310</v>
      </c>
      <c r="I131" s="639" t="s">
        <v>881</v>
      </c>
      <c r="J131" s="418" t="s">
        <v>882</v>
      </c>
      <c r="K131" s="418" t="s">
        <v>883</v>
      </c>
      <c r="L131" s="399" t="s">
        <v>798</v>
      </c>
      <c r="M131" s="544" t="s">
        <v>310</v>
      </c>
      <c r="N131" s="414">
        <v>44657</v>
      </c>
      <c r="O131" s="414" t="s">
        <v>400</v>
      </c>
      <c r="P131" s="603">
        <f t="shared" si="4"/>
        <v>4</v>
      </c>
      <c r="Q131" s="603">
        <f t="shared" si="5"/>
        <v>4</v>
      </c>
      <c r="R131" s="604" t="str">
        <f t="shared" si="6"/>
        <v>Gastos_Gerais</v>
      </c>
      <c r="S131" s="605" t="s">
        <v>310</v>
      </c>
      <c r="T131" s="605" t="s">
        <v>310</v>
      </c>
    </row>
    <row r="132" spans="1:20" s="88" customFormat="1" ht="24" x14ac:dyDescent="0.2">
      <c r="A132" s="510">
        <f>IF(B132="","",COUNT('Diário 1º PA'!$A$4:$A$2635)+ROW()-3)</f>
        <v>1865</v>
      </c>
      <c r="B132" s="414">
        <v>44657</v>
      </c>
      <c r="C132" s="424">
        <v>44652</v>
      </c>
      <c r="D132" s="415" t="s">
        <v>271</v>
      </c>
      <c r="E132" s="415" t="s">
        <v>71</v>
      </c>
      <c r="F132" s="425">
        <v>11</v>
      </c>
      <c r="G132" s="427" t="s">
        <v>1233</v>
      </c>
      <c r="H132" s="415" t="s">
        <v>310</v>
      </c>
      <c r="I132" s="639" t="s">
        <v>881</v>
      </c>
      <c r="J132" s="418" t="s">
        <v>882</v>
      </c>
      <c r="K132" s="418" t="s">
        <v>883</v>
      </c>
      <c r="L132" s="399" t="s">
        <v>798</v>
      </c>
      <c r="M132" s="544" t="s">
        <v>310</v>
      </c>
      <c r="N132" s="414">
        <v>44657</v>
      </c>
      <c r="O132" s="414" t="s">
        <v>400</v>
      </c>
      <c r="P132" s="603">
        <f t="shared" si="4"/>
        <v>4</v>
      </c>
      <c r="Q132" s="603">
        <f t="shared" si="5"/>
        <v>4</v>
      </c>
      <c r="R132" s="604" t="str">
        <f t="shared" si="6"/>
        <v>Gastos_Gerais</v>
      </c>
      <c r="S132" s="605" t="s">
        <v>310</v>
      </c>
      <c r="T132" s="605" t="s">
        <v>310</v>
      </c>
    </row>
    <row r="133" spans="1:20" s="88" customFormat="1" ht="24" x14ac:dyDescent="0.2">
      <c r="A133" s="510">
        <f>IF(B133="","",COUNT('Diário 1º PA'!$A$4:$A$2635)+ROW()-3)</f>
        <v>1866</v>
      </c>
      <c r="B133" s="414">
        <v>44657</v>
      </c>
      <c r="C133" s="424">
        <v>44652</v>
      </c>
      <c r="D133" s="415" t="s">
        <v>271</v>
      </c>
      <c r="E133" s="415" t="s">
        <v>71</v>
      </c>
      <c r="F133" s="425">
        <v>11</v>
      </c>
      <c r="G133" s="427" t="s">
        <v>1587</v>
      </c>
      <c r="H133" s="415" t="s">
        <v>310</v>
      </c>
      <c r="I133" s="639" t="s">
        <v>881</v>
      </c>
      <c r="J133" s="418" t="s">
        <v>882</v>
      </c>
      <c r="K133" s="418" t="s">
        <v>883</v>
      </c>
      <c r="L133" s="399" t="s">
        <v>798</v>
      </c>
      <c r="M133" s="544" t="s">
        <v>310</v>
      </c>
      <c r="N133" s="414">
        <v>44657</v>
      </c>
      <c r="O133" s="414" t="s">
        <v>400</v>
      </c>
      <c r="P133" s="603">
        <f t="shared" si="4"/>
        <v>4</v>
      </c>
      <c r="Q133" s="603">
        <f t="shared" si="5"/>
        <v>4</v>
      </c>
      <c r="R133" s="604" t="str">
        <f t="shared" si="6"/>
        <v>Gastos_Gerais</v>
      </c>
      <c r="S133" s="605" t="s">
        <v>310</v>
      </c>
      <c r="T133" s="605" t="s">
        <v>310</v>
      </c>
    </row>
    <row r="134" spans="1:20" s="88" customFormat="1" ht="24" x14ac:dyDescent="0.2">
      <c r="A134" s="510">
        <f>IF(B134="","",COUNT('Diário 1º PA'!$A$4:$A$2635)+ROW()-3)</f>
        <v>1867</v>
      </c>
      <c r="B134" s="414">
        <v>44657</v>
      </c>
      <c r="C134" s="424">
        <v>44652</v>
      </c>
      <c r="D134" s="415" t="s">
        <v>271</v>
      </c>
      <c r="E134" s="415" t="s">
        <v>71</v>
      </c>
      <c r="F134" s="425">
        <v>11</v>
      </c>
      <c r="G134" s="427" t="s">
        <v>1233</v>
      </c>
      <c r="H134" s="415" t="s">
        <v>310</v>
      </c>
      <c r="I134" s="639" t="s">
        <v>881</v>
      </c>
      <c r="J134" s="418" t="s">
        <v>882</v>
      </c>
      <c r="K134" s="418" t="s">
        <v>883</v>
      </c>
      <c r="L134" s="399" t="s">
        <v>798</v>
      </c>
      <c r="M134" s="544" t="s">
        <v>310</v>
      </c>
      <c r="N134" s="414">
        <v>44657</v>
      </c>
      <c r="O134" s="414" t="s">
        <v>400</v>
      </c>
      <c r="P134" s="603">
        <f t="shared" si="4"/>
        <v>4</v>
      </c>
      <c r="Q134" s="603">
        <f t="shared" si="5"/>
        <v>4</v>
      </c>
      <c r="R134" s="604" t="str">
        <f t="shared" si="6"/>
        <v>Gastos_Gerais</v>
      </c>
      <c r="S134" s="605" t="s">
        <v>310</v>
      </c>
      <c r="T134" s="605" t="s">
        <v>310</v>
      </c>
    </row>
    <row r="135" spans="1:20" s="88" customFormat="1" ht="24" x14ac:dyDescent="0.2">
      <c r="A135" s="510">
        <f>IF(B135="","",COUNT('Diário 1º PA'!$A$4:$A$2635)+ROW()-3)</f>
        <v>1868</v>
      </c>
      <c r="B135" s="414">
        <v>44657</v>
      </c>
      <c r="C135" s="424">
        <v>44652</v>
      </c>
      <c r="D135" s="415" t="s">
        <v>271</v>
      </c>
      <c r="E135" s="415" t="s">
        <v>71</v>
      </c>
      <c r="F135" s="425">
        <v>11</v>
      </c>
      <c r="G135" s="427" t="s">
        <v>1586</v>
      </c>
      <c r="H135" s="415" t="s">
        <v>310</v>
      </c>
      <c r="I135" s="639" t="s">
        <v>881</v>
      </c>
      <c r="J135" s="418" t="s">
        <v>882</v>
      </c>
      <c r="K135" s="418" t="s">
        <v>883</v>
      </c>
      <c r="L135" s="399" t="s">
        <v>798</v>
      </c>
      <c r="M135" s="544" t="s">
        <v>310</v>
      </c>
      <c r="N135" s="414">
        <v>44657</v>
      </c>
      <c r="O135" s="414" t="s">
        <v>400</v>
      </c>
      <c r="P135" s="603">
        <f t="shared" ref="P135:P199" si="7">IF(B135=0,0,IF(YEAR(B135)=$Q$1,MONTH(B135)-$P$1+1,(YEAR(B135)-$Q$1)*12-$P$1+1+MONTH(B135)))</f>
        <v>4</v>
      </c>
      <c r="Q135" s="603">
        <f t="shared" ref="Q135:Q199" si="8">IF(C135=0,0,IF(YEAR(C135)=$Q$1,MONTH(C135)-$P$1+1,(YEAR(C135)-$Q$1)*12-$P$1+1+MONTH(C135)))</f>
        <v>4</v>
      </c>
      <c r="R135" s="604" t="str">
        <f t="shared" ref="R135:R199" si="9">SUBSTITUTE(D135," ","_")</f>
        <v>Gastos_Gerais</v>
      </c>
      <c r="S135" s="605" t="s">
        <v>310</v>
      </c>
      <c r="T135" s="605" t="s">
        <v>310</v>
      </c>
    </row>
    <row r="136" spans="1:20" s="88" customFormat="1" ht="24" x14ac:dyDescent="0.2">
      <c r="A136" s="510">
        <f>IF(B136="","",COUNT('Diário 1º PA'!$A$4:$A$2635)+ROW()-3)</f>
        <v>1869</v>
      </c>
      <c r="B136" s="414">
        <v>44657</v>
      </c>
      <c r="C136" s="424">
        <v>44652</v>
      </c>
      <c r="D136" s="415" t="s">
        <v>271</v>
      </c>
      <c r="E136" s="415" t="s">
        <v>71</v>
      </c>
      <c r="F136" s="425">
        <v>11</v>
      </c>
      <c r="G136" s="427" t="s">
        <v>1588</v>
      </c>
      <c r="H136" s="415" t="s">
        <v>310</v>
      </c>
      <c r="I136" s="639" t="s">
        <v>881</v>
      </c>
      <c r="J136" s="418" t="s">
        <v>882</v>
      </c>
      <c r="K136" s="418" t="s">
        <v>883</v>
      </c>
      <c r="L136" s="399" t="s">
        <v>798</v>
      </c>
      <c r="M136" s="544" t="s">
        <v>310</v>
      </c>
      <c r="N136" s="414">
        <v>44657</v>
      </c>
      <c r="O136" s="414" t="s">
        <v>400</v>
      </c>
      <c r="P136" s="603">
        <f t="shared" si="7"/>
        <v>4</v>
      </c>
      <c r="Q136" s="603">
        <f t="shared" si="8"/>
        <v>4</v>
      </c>
      <c r="R136" s="604" t="str">
        <f t="shared" si="9"/>
        <v>Gastos_Gerais</v>
      </c>
      <c r="S136" s="605" t="s">
        <v>310</v>
      </c>
      <c r="T136" s="605" t="s">
        <v>310</v>
      </c>
    </row>
    <row r="137" spans="1:20" s="88" customFormat="1" ht="24" x14ac:dyDescent="0.2">
      <c r="A137" s="510">
        <f>IF(B137="","",COUNT('Diário 1º PA'!$A$4:$A$2635)+ROW()-3)</f>
        <v>1870</v>
      </c>
      <c r="B137" s="414">
        <v>44657</v>
      </c>
      <c r="C137" s="424">
        <v>44652</v>
      </c>
      <c r="D137" s="415" t="s">
        <v>271</v>
      </c>
      <c r="E137" s="415" t="s">
        <v>71</v>
      </c>
      <c r="F137" s="425">
        <v>11</v>
      </c>
      <c r="G137" s="427" t="s">
        <v>1233</v>
      </c>
      <c r="H137" s="415" t="s">
        <v>310</v>
      </c>
      <c r="I137" s="639" t="s">
        <v>881</v>
      </c>
      <c r="J137" s="418" t="s">
        <v>882</v>
      </c>
      <c r="K137" s="418" t="s">
        <v>883</v>
      </c>
      <c r="L137" s="399" t="s">
        <v>798</v>
      </c>
      <c r="M137" s="544" t="s">
        <v>310</v>
      </c>
      <c r="N137" s="414">
        <v>44657</v>
      </c>
      <c r="O137" s="414" t="s">
        <v>400</v>
      </c>
      <c r="P137" s="603">
        <f t="shared" si="7"/>
        <v>4</v>
      </c>
      <c r="Q137" s="603">
        <f t="shared" si="8"/>
        <v>4</v>
      </c>
      <c r="R137" s="604" t="str">
        <f t="shared" si="9"/>
        <v>Gastos_Gerais</v>
      </c>
      <c r="S137" s="605" t="s">
        <v>310</v>
      </c>
      <c r="T137" s="605" t="s">
        <v>310</v>
      </c>
    </row>
    <row r="138" spans="1:20" s="88" customFormat="1" ht="24" x14ac:dyDescent="0.2">
      <c r="A138" s="510">
        <f>IF(B138="","",COUNT('Diário 1º PA'!$A$4:$A$2635)+ROW()-3)</f>
        <v>1871</v>
      </c>
      <c r="B138" s="414">
        <v>44657</v>
      </c>
      <c r="C138" s="424">
        <v>44652</v>
      </c>
      <c r="D138" s="415" t="s">
        <v>271</v>
      </c>
      <c r="E138" s="415" t="s">
        <v>71</v>
      </c>
      <c r="F138" s="425">
        <v>11</v>
      </c>
      <c r="G138" s="427" t="s">
        <v>1233</v>
      </c>
      <c r="H138" s="415" t="s">
        <v>310</v>
      </c>
      <c r="I138" s="639" t="s">
        <v>881</v>
      </c>
      <c r="J138" s="418" t="s">
        <v>882</v>
      </c>
      <c r="K138" s="418" t="s">
        <v>883</v>
      </c>
      <c r="L138" s="399" t="s">
        <v>798</v>
      </c>
      <c r="M138" s="544" t="s">
        <v>310</v>
      </c>
      <c r="N138" s="414">
        <v>44657</v>
      </c>
      <c r="O138" s="414" t="s">
        <v>400</v>
      </c>
      <c r="P138" s="603">
        <f t="shared" si="7"/>
        <v>4</v>
      </c>
      <c r="Q138" s="603">
        <f t="shared" si="8"/>
        <v>4</v>
      </c>
      <c r="R138" s="604" t="str">
        <f t="shared" si="9"/>
        <v>Gastos_Gerais</v>
      </c>
      <c r="S138" s="605" t="s">
        <v>310</v>
      </c>
      <c r="T138" s="605" t="s">
        <v>310</v>
      </c>
    </row>
    <row r="139" spans="1:20" s="88" customFormat="1" ht="24" x14ac:dyDescent="0.2">
      <c r="A139" s="510">
        <f>IF(B139="","",COUNT('Diário 1º PA'!$A$4:$A$2635)+ROW()-3)</f>
        <v>1872</v>
      </c>
      <c r="B139" s="414">
        <v>44657</v>
      </c>
      <c r="C139" s="424">
        <v>44652</v>
      </c>
      <c r="D139" s="415" t="s">
        <v>271</v>
      </c>
      <c r="E139" s="415" t="s">
        <v>71</v>
      </c>
      <c r="F139" s="425">
        <v>11</v>
      </c>
      <c r="G139" s="427" t="s">
        <v>1245</v>
      </c>
      <c r="H139" s="415" t="s">
        <v>310</v>
      </c>
      <c r="I139" s="639" t="s">
        <v>881</v>
      </c>
      <c r="J139" s="418" t="s">
        <v>882</v>
      </c>
      <c r="K139" s="418" t="s">
        <v>883</v>
      </c>
      <c r="L139" s="399" t="s">
        <v>798</v>
      </c>
      <c r="M139" s="544" t="s">
        <v>310</v>
      </c>
      <c r="N139" s="414">
        <v>44657</v>
      </c>
      <c r="O139" s="414" t="s">
        <v>400</v>
      </c>
      <c r="P139" s="603">
        <f t="shared" si="7"/>
        <v>4</v>
      </c>
      <c r="Q139" s="603">
        <f t="shared" si="8"/>
        <v>4</v>
      </c>
      <c r="R139" s="604" t="str">
        <f t="shared" si="9"/>
        <v>Gastos_Gerais</v>
      </c>
      <c r="S139" s="605" t="s">
        <v>310</v>
      </c>
      <c r="T139" s="605" t="s">
        <v>310</v>
      </c>
    </row>
    <row r="140" spans="1:20" s="88" customFormat="1" ht="24" x14ac:dyDescent="0.2">
      <c r="A140" s="510">
        <f>IF(B140="","",COUNT('Diário 1º PA'!$A$4:$A$2635)+ROW()-3)</f>
        <v>1873</v>
      </c>
      <c r="B140" s="414">
        <v>44657</v>
      </c>
      <c r="C140" s="424">
        <v>44652</v>
      </c>
      <c r="D140" s="415" t="s">
        <v>271</v>
      </c>
      <c r="E140" s="415" t="s">
        <v>71</v>
      </c>
      <c r="F140" s="425">
        <v>11</v>
      </c>
      <c r="G140" s="427" t="s">
        <v>1233</v>
      </c>
      <c r="H140" s="415" t="s">
        <v>310</v>
      </c>
      <c r="I140" s="639" t="s">
        <v>881</v>
      </c>
      <c r="J140" s="418" t="s">
        <v>882</v>
      </c>
      <c r="K140" s="418" t="s">
        <v>883</v>
      </c>
      <c r="L140" s="399" t="s">
        <v>798</v>
      </c>
      <c r="M140" s="544" t="s">
        <v>310</v>
      </c>
      <c r="N140" s="414">
        <v>44657</v>
      </c>
      <c r="O140" s="414" t="s">
        <v>400</v>
      </c>
      <c r="P140" s="603">
        <f t="shared" si="7"/>
        <v>4</v>
      </c>
      <c r="Q140" s="603">
        <f t="shared" si="8"/>
        <v>4</v>
      </c>
      <c r="R140" s="604" t="str">
        <f t="shared" si="9"/>
        <v>Gastos_Gerais</v>
      </c>
      <c r="S140" s="605" t="s">
        <v>310</v>
      </c>
      <c r="T140" s="605" t="s">
        <v>310</v>
      </c>
    </row>
    <row r="141" spans="1:20" s="88" customFormat="1" ht="24" x14ac:dyDescent="0.2">
      <c r="A141" s="510">
        <f>IF(B141="","",COUNT('Diário 1º PA'!$A$4:$A$2635)+ROW()-3)</f>
        <v>1874</v>
      </c>
      <c r="B141" s="414">
        <v>44657</v>
      </c>
      <c r="C141" s="424">
        <v>44652</v>
      </c>
      <c r="D141" s="415" t="s">
        <v>271</v>
      </c>
      <c r="E141" s="415" t="s">
        <v>71</v>
      </c>
      <c r="F141" s="425">
        <v>11</v>
      </c>
      <c r="G141" s="427" t="s">
        <v>1240</v>
      </c>
      <c r="H141" s="415" t="s">
        <v>310</v>
      </c>
      <c r="I141" s="639" t="s">
        <v>881</v>
      </c>
      <c r="J141" s="418" t="s">
        <v>882</v>
      </c>
      <c r="K141" s="418" t="s">
        <v>883</v>
      </c>
      <c r="L141" s="399" t="s">
        <v>798</v>
      </c>
      <c r="M141" s="544" t="s">
        <v>310</v>
      </c>
      <c r="N141" s="414">
        <v>44657</v>
      </c>
      <c r="O141" s="414" t="s">
        <v>400</v>
      </c>
      <c r="P141" s="603">
        <f t="shared" si="7"/>
        <v>4</v>
      </c>
      <c r="Q141" s="603">
        <f t="shared" si="8"/>
        <v>4</v>
      </c>
      <c r="R141" s="604" t="str">
        <f t="shared" si="9"/>
        <v>Gastos_Gerais</v>
      </c>
      <c r="S141" s="605" t="s">
        <v>310</v>
      </c>
      <c r="T141" s="605" t="s">
        <v>310</v>
      </c>
    </row>
    <row r="142" spans="1:20" s="88" customFormat="1" ht="24" x14ac:dyDescent="0.2">
      <c r="A142" s="510">
        <f>IF(B142="","",COUNT('Diário 1º PA'!$A$4:$A$2635)+ROW()-3)</f>
        <v>1875</v>
      </c>
      <c r="B142" s="414">
        <v>44657</v>
      </c>
      <c r="C142" s="424">
        <v>44652</v>
      </c>
      <c r="D142" s="415" t="s">
        <v>271</v>
      </c>
      <c r="E142" s="415" t="s">
        <v>71</v>
      </c>
      <c r="F142" s="425">
        <v>11</v>
      </c>
      <c r="G142" s="427" t="s">
        <v>1233</v>
      </c>
      <c r="H142" s="415" t="s">
        <v>310</v>
      </c>
      <c r="I142" s="639" t="s">
        <v>881</v>
      </c>
      <c r="J142" s="418" t="s">
        <v>882</v>
      </c>
      <c r="K142" s="418" t="s">
        <v>883</v>
      </c>
      <c r="L142" s="399" t="s">
        <v>798</v>
      </c>
      <c r="M142" s="544" t="s">
        <v>310</v>
      </c>
      <c r="N142" s="414">
        <v>44657</v>
      </c>
      <c r="O142" s="414" t="s">
        <v>400</v>
      </c>
      <c r="P142" s="603">
        <f t="shared" si="7"/>
        <v>4</v>
      </c>
      <c r="Q142" s="603">
        <f t="shared" si="8"/>
        <v>4</v>
      </c>
      <c r="R142" s="604" t="str">
        <f t="shared" si="9"/>
        <v>Gastos_Gerais</v>
      </c>
      <c r="S142" s="605" t="s">
        <v>310</v>
      </c>
      <c r="T142" s="605" t="s">
        <v>310</v>
      </c>
    </row>
    <row r="143" spans="1:20" s="88" customFormat="1" ht="24" x14ac:dyDescent="0.2">
      <c r="A143" s="510">
        <f>IF(B143="","",COUNT('Diário 1º PA'!$A$4:$A$2635)+ROW()-3)</f>
        <v>1876</v>
      </c>
      <c r="B143" s="414">
        <v>44657</v>
      </c>
      <c r="C143" s="424">
        <v>44652</v>
      </c>
      <c r="D143" s="415" t="s">
        <v>271</v>
      </c>
      <c r="E143" s="415" t="s">
        <v>71</v>
      </c>
      <c r="F143" s="425">
        <v>11</v>
      </c>
      <c r="G143" s="427" t="s">
        <v>1233</v>
      </c>
      <c r="H143" s="415" t="s">
        <v>310</v>
      </c>
      <c r="I143" s="639" t="s">
        <v>881</v>
      </c>
      <c r="J143" s="418" t="s">
        <v>882</v>
      </c>
      <c r="K143" s="418" t="s">
        <v>883</v>
      </c>
      <c r="L143" s="399" t="s">
        <v>798</v>
      </c>
      <c r="M143" s="544" t="s">
        <v>310</v>
      </c>
      <c r="N143" s="414">
        <v>44657</v>
      </c>
      <c r="O143" s="414" t="s">
        <v>400</v>
      </c>
      <c r="P143" s="603">
        <f t="shared" si="7"/>
        <v>4</v>
      </c>
      <c r="Q143" s="603">
        <f t="shared" si="8"/>
        <v>4</v>
      </c>
      <c r="R143" s="604" t="str">
        <f t="shared" si="9"/>
        <v>Gastos_Gerais</v>
      </c>
      <c r="S143" s="605" t="s">
        <v>310</v>
      </c>
      <c r="T143" s="605" t="s">
        <v>310</v>
      </c>
    </row>
    <row r="144" spans="1:20" s="88" customFormat="1" ht="24" x14ac:dyDescent="0.2">
      <c r="A144" s="510">
        <f>IF(B144="","",COUNT('Diário 1º PA'!$A$4:$A$2635)+ROW()-3)</f>
        <v>1877</v>
      </c>
      <c r="B144" s="414">
        <v>44657</v>
      </c>
      <c r="C144" s="424">
        <v>44652</v>
      </c>
      <c r="D144" s="415" t="s">
        <v>271</v>
      </c>
      <c r="E144" s="415" t="s">
        <v>71</v>
      </c>
      <c r="F144" s="425">
        <v>11</v>
      </c>
      <c r="G144" s="427" t="s">
        <v>1246</v>
      </c>
      <c r="H144" s="415" t="s">
        <v>310</v>
      </c>
      <c r="I144" s="639" t="s">
        <v>881</v>
      </c>
      <c r="J144" s="418" t="s">
        <v>882</v>
      </c>
      <c r="K144" s="418" t="s">
        <v>883</v>
      </c>
      <c r="L144" s="399" t="s">
        <v>798</v>
      </c>
      <c r="M144" s="544" t="s">
        <v>310</v>
      </c>
      <c r="N144" s="414">
        <v>44657</v>
      </c>
      <c r="O144" s="414" t="s">
        <v>400</v>
      </c>
      <c r="P144" s="603">
        <f t="shared" si="7"/>
        <v>4</v>
      </c>
      <c r="Q144" s="603">
        <f t="shared" si="8"/>
        <v>4</v>
      </c>
      <c r="R144" s="604" t="str">
        <f t="shared" si="9"/>
        <v>Gastos_Gerais</v>
      </c>
      <c r="S144" s="605" t="s">
        <v>310</v>
      </c>
      <c r="T144" s="605" t="s">
        <v>310</v>
      </c>
    </row>
    <row r="145" spans="1:20" s="88" customFormat="1" ht="24" x14ac:dyDescent="0.2">
      <c r="A145" s="510">
        <f>IF(B145="","",COUNT('Diário 1º PA'!$A$4:$A$2635)+ROW()-3)</f>
        <v>1878</v>
      </c>
      <c r="B145" s="414">
        <v>44657</v>
      </c>
      <c r="C145" s="424">
        <v>44652</v>
      </c>
      <c r="D145" s="415" t="s">
        <v>271</v>
      </c>
      <c r="E145" s="415" t="s">
        <v>71</v>
      </c>
      <c r="F145" s="425">
        <v>11</v>
      </c>
      <c r="G145" s="427" t="s">
        <v>1589</v>
      </c>
      <c r="H145" s="415" t="s">
        <v>310</v>
      </c>
      <c r="I145" s="639" t="s">
        <v>881</v>
      </c>
      <c r="J145" s="418" t="s">
        <v>882</v>
      </c>
      <c r="K145" s="418" t="s">
        <v>883</v>
      </c>
      <c r="L145" s="399" t="s">
        <v>798</v>
      </c>
      <c r="M145" s="544" t="s">
        <v>310</v>
      </c>
      <c r="N145" s="414">
        <v>44657</v>
      </c>
      <c r="O145" s="414" t="s">
        <v>400</v>
      </c>
      <c r="P145" s="603">
        <f t="shared" si="7"/>
        <v>4</v>
      </c>
      <c r="Q145" s="603">
        <f t="shared" si="8"/>
        <v>4</v>
      </c>
      <c r="R145" s="604" t="str">
        <f t="shared" si="9"/>
        <v>Gastos_Gerais</v>
      </c>
      <c r="S145" s="605" t="s">
        <v>310</v>
      </c>
      <c r="T145" s="605" t="s">
        <v>310</v>
      </c>
    </row>
    <row r="146" spans="1:20" s="88" customFormat="1" ht="24" x14ac:dyDescent="0.2">
      <c r="A146" s="510">
        <f>IF(B146="","",COUNT('Diário 1º PA'!$A$4:$A$2635)+ROW()-3)</f>
        <v>1879</v>
      </c>
      <c r="B146" s="414">
        <v>44657</v>
      </c>
      <c r="C146" s="424">
        <v>44652</v>
      </c>
      <c r="D146" s="415" t="s">
        <v>271</v>
      </c>
      <c r="E146" s="415" t="s">
        <v>71</v>
      </c>
      <c r="F146" s="425">
        <v>11</v>
      </c>
      <c r="G146" s="427" t="s">
        <v>1233</v>
      </c>
      <c r="H146" s="415" t="s">
        <v>310</v>
      </c>
      <c r="I146" s="639" t="s">
        <v>881</v>
      </c>
      <c r="J146" s="418" t="s">
        <v>882</v>
      </c>
      <c r="K146" s="418" t="s">
        <v>883</v>
      </c>
      <c r="L146" s="399" t="s">
        <v>798</v>
      </c>
      <c r="M146" s="544" t="s">
        <v>310</v>
      </c>
      <c r="N146" s="414">
        <v>44657</v>
      </c>
      <c r="O146" s="414" t="s">
        <v>400</v>
      </c>
      <c r="P146" s="603">
        <f t="shared" si="7"/>
        <v>4</v>
      </c>
      <c r="Q146" s="603">
        <f t="shared" si="8"/>
        <v>4</v>
      </c>
      <c r="R146" s="604" t="str">
        <f t="shared" si="9"/>
        <v>Gastos_Gerais</v>
      </c>
      <c r="S146" s="605" t="s">
        <v>310</v>
      </c>
      <c r="T146" s="605" t="s">
        <v>310</v>
      </c>
    </row>
    <row r="147" spans="1:20" s="88" customFormat="1" ht="24" x14ac:dyDescent="0.2">
      <c r="A147" s="510">
        <f>IF(B147="","",COUNT('Diário 1º PA'!$A$4:$A$2635)+ROW()-3)</f>
        <v>1880</v>
      </c>
      <c r="B147" s="414">
        <v>44657</v>
      </c>
      <c r="C147" s="424">
        <v>44652</v>
      </c>
      <c r="D147" s="415" t="s">
        <v>271</v>
      </c>
      <c r="E147" s="415" t="s">
        <v>71</v>
      </c>
      <c r="F147" s="425">
        <v>11</v>
      </c>
      <c r="G147" s="427" t="s">
        <v>1233</v>
      </c>
      <c r="H147" s="415" t="s">
        <v>310</v>
      </c>
      <c r="I147" s="639" t="s">
        <v>881</v>
      </c>
      <c r="J147" s="418" t="s">
        <v>882</v>
      </c>
      <c r="K147" s="418" t="s">
        <v>883</v>
      </c>
      <c r="L147" s="399" t="s">
        <v>798</v>
      </c>
      <c r="M147" s="544" t="s">
        <v>310</v>
      </c>
      <c r="N147" s="414">
        <v>44657</v>
      </c>
      <c r="O147" s="414" t="s">
        <v>400</v>
      </c>
      <c r="P147" s="603">
        <f t="shared" si="7"/>
        <v>4</v>
      </c>
      <c r="Q147" s="603">
        <f t="shared" si="8"/>
        <v>4</v>
      </c>
      <c r="R147" s="604" t="str">
        <f t="shared" si="9"/>
        <v>Gastos_Gerais</v>
      </c>
      <c r="S147" s="605" t="s">
        <v>310</v>
      </c>
      <c r="T147" s="605" t="s">
        <v>310</v>
      </c>
    </row>
    <row r="148" spans="1:20" s="88" customFormat="1" ht="24" x14ac:dyDescent="0.2">
      <c r="A148" s="510">
        <f>IF(B148="","",COUNT('Diário 1º PA'!$A$4:$A$2635)+ROW()-3)</f>
        <v>1881</v>
      </c>
      <c r="B148" s="414">
        <v>44657</v>
      </c>
      <c r="C148" s="424">
        <v>44652</v>
      </c>
      <c r="D148" s="415" t="s">
        <v>271</v>
      </c>
      <c r="E148" s="415" t="s">
        <v>71</v>
      </c>
      <c r="F148" s="425">
        <v>11</v>
      </c>
      <c r="G148" s="427" t="s">
        <v>1233</v>
      </c>
      <c r="H148" s="415" t="s">
        <v>310</v>
      </c>
      <c r="I148" s="639" t="s">
        <v>881</v>
      </c>
      <c r="J148" s="418" t="s">
        <v>882</v>
      </c>
      <c r="K148" s="418" t="s">
        <v>883</v>
      </c>
      <c r="L148" s="399" t="s">
        <v>798</v>
      </c>
      <c r="M148" s="544" t="s">
        <v>310</v>
      </c>
      <c r="N148" s="414">
        <v>44657</v>
      </c>
      <c r="O148" s="414" t="s">
        <v>400</v>
      </c>
      <c r="P148" s="603">
        <f t="shared" si="7"/>
        <v>4</v>
      </c>
      <c r="Q148" s="603">
        <f t="shared" si="8"/>
        <v>4</v>
      </c>
      <c r="R148" s="604" t="str">
        <f t="shared" si="9"/>
        <v>Gastos_Gerais</v>
      </c>
      <c r="S148" s="605" t="s">
        <v>310</v>
      </c>
      <c r="T148" s="605" t="s">
        <v>310</v>
      </c>
    </row>
    <row r="149" spans="1:20" s="88" customFormat="1" ht="24" x14ac:dyDescent="0.2">
      <c r="A149" s="510">
        <f>IF(B149="","",COUNT('Diário 1º PA'!$A$4:$A$2635)+ROW()-3)</f>
        <v>1882</v>
      </c>
      <c r="B149" s="414">
        <v>44657</v>
      </c>
      <c r="C149" s="424">
        <v>44652</v>
      </c>
      <c r="D149" s="415" t="s">
        <v>271</v>
      </c>
      <c r="E149" s="415" t="s">
        <v>71</v>
      </c>
      <c r="F149" s="425">
        <v>11</v>
      </c>
      <c r="G149" s="427" t="s">
        <v>1233</v>
      </c>
      <c r="H149" s="415" t="s">
        <v>310</v>
      </c>
      <c r="I149" s="639" t="s">
        <v>881</v>
      </c>
      <c r="J149" s="418" t="s">
        <v>882</v>
      </c>
      <c r="K149" s="418" t="s">
        <v>883</v>
      </c>
      <c r="L149" s="399" t="s">
        <v>798</v>
      </c>
      <c r="M149" s="544" t="s">
        <v>310</v>
      </c>
      <c r="N149" s="414">
        <v>44657</v>
      </c>
      <c r="O149" s="414" t="s">
        <v>400</v>
      </c>
      <c r="P149" s="603">
        <f t="shared" si="7"/>
        <v>4</v>
      </c>
      <c r="Q149" s="603">
        <f t="shared" si="8"/>
        <v>4</v>
      </c>
      <c r="R149" s="604" t="str">
        <f t="shared" si="9"/>
        <v>Gastos_Gerais</v>
      </c>
      <c r="S149" s="605" t="s">
        <v>310</v>
      </c>
      <c r="T149" s="605" t="s">
        <v>310</v>
      </c>
    </row>
    <row r="150" spans="1:20" s="88" customFormat="1" ht="24" x14ac:dyDescent="0.2">
      <c r="A150" s="510">
        <f>IF(B150="","",COUNT('Diário 1º PA'!$A$4:$A$2635)+ROW()-3)</f>
        <v>1883</v>
      </c>
      <c r="B150" s="414">
        <v>44657</v>
      </c>
      <c r="C150" s="424">
        <v>44652</v>
      </c>
      <c r="D150" s="415" t="s">
        <v>271</v>
      </c>
      <c r="E150" s="415" t="s">
        <v>71</v>
      </c>
      <c r="F150" s="425">
        <v>11</v>
      </c>
      <c r="G150" s="427" t="s">
        <v>1233</v>
      </c>
      <c r="H150" s="415" t="s">
        <v>310</v>
      </c>
      <c r="I150" s="639" t="s">
        <v>881</v>
      </c>
      <c r="J150" s="418" t="s">
        <v>882</v>
      </c>
      <c r="K150" s="418" t="s">
        <v>883</v>
      </c>
      <c r="L150" s="399" t="s">
        <v>798</v>
      </c>
      <c r="M150" s="544" t="s">
        <v>310</v>
      </c>
      <c r="N150" s="414">
        <v>44657</v>
      </c>
      <c r="O150" s="414" t="s">
        <v>400</v>
      </c>
      <c r="P150" s="603">
        <f t="shared" si="7"/>
        <v>4</v>
      </c>
      <c r="Q150" s="603">
        <f t="shared" si="8"/>
        <v>4</v>
      </c>
      <c r="R150" s="604" t="str">
        <f t="shared" si="9"/>
        <v>Gastos_Gerais</v>
      </c>
      <c r="S150" s="605" t="s">
        <v>310</v>
      </c>
      <c r="T150" s="605" t="s">
        <v>310</v>
      </c>
    </row>
    <row r="151" spans="1:20" s="88" customFormat="1" ht="24" x14ac:dyDescent="0.2">
      <c r="A151" s="510">
        <f>IF(B151="","",COUNT('Diário 1º PA'!$A$4:$A$2635)+ROW()-3)</f>
        <v>1884</v>
      </c>
      <c r="B151" s="414">
        <v>44657</v>
      </c>
      <c r="C151" s="424">
        <v>44652</v>
      </c>
      <c r="D151" s="415" t="s">
        <v>271</v>
      </c>
      <c r="E151" s="415" t="s">
        <v>71</v>
      </c>
      <c r="F151" s="425">
        <v>11</v>
      </c>
      <c r="G151" s="427" t="s">
        <v>1239</v>
      </c>
      <c r="H151" s="415" t="s">
        <v>310</v>
      </c>
      <c r="I151" s="639" t="s">
        <v>881</v>
      </c>
      <c r="J151" s="418" t="s">
        <v>882</v>
      </c>
      <c r="K151" s="418" t="s">
        <v>883</v>
      </c>
      <c r="L151" s="399" t="s">
        <v>798</v>
      </c>
      <c r="M151" s="544" t="s">
        <v>310</v>
      </c>
      <c r="N151" s="414">
        <v>44657</v>
      </c>
      <c r="O151" s="414" t="s">
        <v>400</v>
      </c>
      <c r="P151" s="603">
        <f t="shared" si="7"/>
        <v>4</v>
      </c>
      <c r="Q151" s="603">
        <f t="shared" si="8"/>
        <v>4</v>
      </c>
      <c r="R151" s="604" t="str">
        <f t="shared" si="9"/>
        <v>Gastos_Gerais</v>
      </c>
      <c r="S151" s="605" t="s">
        <v>310</v>
      </c>
      <c r="T151" s="605" t="s">
        <v>310</v>
      </c>
    </row>
    <row r="152" spans="1:20" s="88" customFormat="1" ht="24" x14ac:dyDescent="0.2">
      <c r="A152" s="510">
        <f>IF(B152="","",COUNT('Diário 1º PA'!$A$4:$A$2635)+ROW()-3)</f>
        <v>1885</v>
      </c>
      <c r="B152" s="414">
        <v>44657</v>
      </c>
      <c r="C152" s="424">
        <v>44652</v>
      </c>
      <c r="D152" s="415" t="s">
        <v>271</v>
      </c>
      <c r="E152" s="415" t="s">
        <v>71</v>
      </c>
      <c r="F152" s="425">
        <v>11</v>
      </c>
      <c r="G152" s="427" t="s">
        <v>1246</v>
      </c>
      <c r="H152" s="415" t="s">
        <v>310</v>
      </c>
      <c r="I152" s="639" t="s">
        <v>881</v>
      </c>
      <c r="J152" s="418" t="s">
        <v>882</v>
      </c>
      <c r="K152" s="418" t="s">
        <v>883</v>
      </c>
      <c r="L152" s="399" t="s">
        <v>798</v>
      </c>
      <c r="M152" s="544" t="s">
        <v>310</v>
      </c>
      <c r="N152" s="414">
        <v>44657</v>
      </c>
      <c r="O152" s="414" t="s">
        <v>400</v>
      </c>
      <c r="P152" s="603">
        <f t="shared" si="7"/>
        <v>4</v>
      </c>
      <c r="Q152" s="603">
        <f t="shared" si="8"/>
        <v>4</v>
      </c>
      <c r="R152" s="604" t="str">
        <f t="shared" si="9"/>
        <v>Gastos_Gerais</v>
      </c>
      <c r="S152" s="605" t="s">
        <v>310</v>
      </c>
      <c r="T152" s="605" t="s">
        <v>310</v>
      </c>
    </row>
    <row r="153" spans="1:20" s="88" customFormat="1" ht="24" x14ac:dyDescent="0.2">
      <c r="A153" s="510">
        <f>IF(B153="","",COUNT('Diário 1º PA'!$A$4:$A$2635)+ROW()-3)</f>
        <v>1886</v>
      </c>
      <c r="B153" s="414">
        <v>44657</v>
      </c>
      <c r="C153" s="424">
        <v>44652</v>
      </c>
      <c r="D153" s="415" t="s">
        <v>271</v>
      </c>
      <c r="E153" s="415" t="s">
        <v>71</v>
      </c>
      <c r="F153" s="425">
        <v>11</v>
      </c>
      <c r="G153" s="427" t="s">
        <v>1233</v>
      </c>
      <c r="H153" s="415" t="s">
        <v>310</v>
      </c>
      <c r="I153" s="639" t="s">
        <v>881</v>
      </c>
      <c r="J153" s="418" t="s">
        <v>882</v>
      </c>
      <c r="K153" s="418" t="s">
        <v>883</v>
      </c>
      <c r="L153" s="399" t="s">
        <v>798</v>
      </c>
      <c r="M153" s="544" t="s">
        <v>310</v>
      </c>
      <c r="N153" s="414">
        <v>44657</v>
      </c>
      <c r="O153" s="414" t="s">
        <v>400</v>
      </c>
      <c r="P153" s="603">
        <f t="shared" si="7"/>
        <v>4</v>
      </c>
      <c r="Q153" s="603">
        <f t="shared" si="8"/>
        <v>4</v>
      </c>
      <c r="R153" s="604" t="str">
        <f t="shared" si="9"/>
        <v>Gastos_Gerais</v>
      </c>
      <c r="S153" s="605" t="s">
        <v>310</v>
      </c>
      <c r="T153" s="605" t="s">
        <v>310</v>
      </c>
    </row>
    <row r="154" spans="1:20" s="88" customFormat="1" ht="24" x14ac:dyDescent="0.2">
      <c r="A154" s="510">
        <f>IF(B154="","",COUNT('Diário 1º PA'!$A$4:$A$2635)+ROW()-3)</f>
        <v>1887</v>
      </c>
      <c r="B154" s="414">
        <v>44657</v>
      </c>
      <c r="C154" s="424">
        <v>44652</v>
      </c>
      <c r="D154" s="415" t="s">
        <v>271</v>
      </c>
      <c r="E154" s="415" t="s">
        <v>71</v>
      </c>
      <c r="F154" s="425">
        <v>11</v>
      </c>
      <c r="G154" s="427" t="s">
        <v>1247</v>
      </c>
      <c r="H154" s="415" t="s">
        <v>310</v>
      </c>
      <c r="I154" s="639" t="s">
        <v>881</v>
      </c>
      <c r="J154" s="418" t="s">
        <v>882</v>
      </c>
      <c r="K154" s="418" t="s">
        <v>883</v>
      </c>
      <c r="L154" s="399" t="s">
        <v>798</v>
      </c>
      <c r="M154" s="544" t="s">
        <v>310</v>
      </c>
      <c r="N154" s="414">
        <v>44657</v>
      </c>
      <c r="O154" s="414" t="s">
        <v>400</v>
      </c>
      <c r="P154" s="603">
        <f t="shared" si="7"/>
        <v>4</v>
      </c>
      <c r="Q154" s="603">
        <f t="shared" si="8"/>
        <v>4</v>
      </c>
      <c r="R154" s="604" t="str">
        <f t="shared" si="9"/>
        <v>Gastos_Gerais</v>
      </c>
      <c r="S154" s="605" t="s">
        <v>310</v>
      </c>
      <c r="T154" s="605" t="s">
        <v>310</v>
      </c>
    </row>
    <row r="155" spans="1:20" s="88" customFormat="1" ht="24" x14ac:dyDescent="0.2">
      <c r="A155" s="510">
        <f>IF(B155="","",COUNT('Diário 1º PA'!$A$4:$A$2635)+ROW()-3)</f>
        <v>1888</v>
      </c>
      <c r="B155" s="414">
        <v>44657</v>
      </c>
      <c r="C155" s="424">
        <v>44652</v>
      </c>
      <c r="D155" s="415" t="s">
        <v>271</v>
      </c>
      <c r="E155" s="415" t="s">
        <v>71</v>
      </c>
      <c r="F155" s="425">
        <v>11</v>
      </c>
      <c r="G155" s="427" t="s">
        <v>1247</v>
      </c>
      <c r="H155" s="415" t="s">
        <v>310</v>
      </c>
      <c r="I155" s="639" t="s">
        <v>881</v>
      </c>
      <c r="J155" s="418" t="s">
        <v>882</v>
      </c>
      <c r="K155" s="418" t="s">
        <v>883</v>
      </c>
      <c r="L155" s="399" t="s">
        <v>798</v>
      </c>
      <c r="M155" s="544" t="s">
        <v>310</v>
      </c>
      <c r="N155" s="414">
        <v>44657</v>
      </c>
      <c r="O155" s="414" t="s">
        <v>400</v>
      </c>
      <c r="P155" s="603">
        <f t="shared" si="7"/>
        <v>4</v>
      </c>
      <c r="Q155" s="603">
        <f t="shared" si="8"/>
        <v>4</v>
      </c>
      <c r="R155" s="604" t="str">
        <f t="shared" si="9"/>
        <v>Gastos_Gerais</v>
      </c>
      <c r="S155" s="605" t="s">
        <v>310</v>
      </c>
      <c r="T155" s="605" t="s">
        <v>310</v>
      </c>
    </row>
    <row r="156" spans="1:20" s="88" customFormat="1" ht="24" x14ac:dyDescent="0.2">
      <c r="A156" s="510">
        <f>IF(B156="","",COUNT('Diário 1º PA'!$A$4:$A$2635)+ROW()-3)</f>
        <v>1889</v>
      </c>
      <c r="B156" s="414">
        <v>44657</v>
      </c>
      <c r="C156" s="424">
        <v>44652</v>
      </c>
      <c r="D156" s="415" t="s">
        <v>271</v>
      </c>
      <c r="E156" s="415" t="s">
        <v>71</v>
      </c>
      <c r="F156" s="425">
        <v>11</v>
      </c>
      <c r="G156" s="427" t="s">
        <v>1247</v>
      </c>
      <c r="H156" s="415" t="s">
        <v>310</v>
      </c>
      <c r="I156" s="639" t="s">
        <v>881</v>
      </c>
      <c r="J156" s="418" t="s">
        <v>882</v>
      </c>
      <c r="K156" s="418" t="s">
        <v>883</v>
      </c>
      <c r="L156" s="399" t="s">
        <v>798</v>
      </c>
      <c r="M156" s="544" t="s">
        <v>310</v>
      </c>
      <c r="N156" s="414">
        <v>44657</v>
      </c>
      <c r="O156" s="414" t="s">
        <v>400</v>
      </c>
      <c r="P156" s="603">
        <f t="shared" si="7"/>
        <v>4</v>
      </c>
      <c r="Q156" s="603">
        <f t="shared" si="8"/>
        <v>4</v>
      </c>
      <c r="R156" s="604" t="str">
        <f t="shared" si="9"/>
        <v>Gastos_Gerais</v>
      </c>
      <c r="S156" s="605" t="s">
        <v>310</v>
      </c>
      <c r="T156" s="605" t="s">
        <v>310</v>
      </c>
    </row>
    <row r="157" spans="1:20" s="88" customFormat="1" ht="24" x14ac:dyDescent="0.2">
      <c r="A157" s="510">
        <f>IF(B157="","",COUNT('Diário 1º PA'!$A$4:$A$2635)+ROW()-3)</f>
        <v>1890</v>
      </c>
      <c r="B157" s="414">
        <v>44657</v>
      </c>
      <c r="C157" s="424">
        <v>44652</v>
      </c>
      <c r="D157" s="415" t="s">
        <v>271</v>
      </c>
      <c r="E157" s="415" t="s">
        <v>71</v>
      </c>
      <c r="F157" s="425">
        <v>11</v>
      </c>
      <c r="G157" s="427" t="s">
        <v>1233</v>
      </c>
      <c r="H157" s="415" t="s">
        <v>310</v>
      </c>
      <c r="I157" s="639" t="s">
        <v>881</v>
      </c>
      <c r="J157" s="418" t="s">
        <v>882</v>
      </c>
      <c r="K157" s="418" t="s">
        <v>883</v>
      </c>
      <c r="L157" s="399" t="s">
        <v>798</v>
      </c>
      <c r="M157" s="544" t="s">
        <v>310</v>
      </c>
      <c r="N157" s="414">
        <v>44657</v>
      </c>
      <c r="O157" s="414" t="s">
        <v>400</v>
      </c>
      <c r="P157" s="603">
        <f t="shared" si="7"/>
        <v>4</v>
      </c>
      <c r="Q157" s="603">
        <f t="shared" si="8"/>
        <v>4</v>
      </c>
      <c r="R157" s="604" t="str">
        <f t="shared" si="9"/>
        <v>Gastos_Gerais</v>
      </c>
      <c r="S157" s="605" t="s">
        <v>310</v>
      </c>
      <c r="T157" s="605" t="s">
        <v>310</v>
      </c>
    </row>
    <row r="158" spans="1:20" s="88" customFormat="1" ht="24" x14ac:dyDescent="0.2">
      <c r="A158" s="510">
        <f>IF(B158="","",COUNT('Diário 1º PA'!$A$4:$A$2635)+ROW()-3)</f>
        <v>1891</v>
      </c>
      <c r="B158" s="414">
        <v>44657</v>
      </c>
      <c r="C158" s="424">
        <v>44652</v>
      </c>
      <c r="D158" s="415" t="s">
        <v>271</v>
      </c>
      <c r="E158" s="415" t="s">
        <v>71</v>
      </c>
      <c r="F158" s="425">
        <v>11</v>
      </c>
      <c r="G158" s="427" t="s">
        <v>1233</v>
      </c>
      <c r="H158" s="415" t="s">
        <v>310</v>
      </c>
      <c r="I158" s="639" t="s">
        <v>881</v>
      </c>
      <c r="J158" s="418" t="s">
        <v>882</v>
      </c>
      <c r="K158" s="418" t="s">
        <v>883</v>
      </c>
      <c r="L158" s="399" t="s">
        <v>798</v>
      </c>
      <c r="M158" s="544" t="s">
        <v>310</v>
      </c>
      <c r="N158" s="414">
        <v>44657</v>
      </c>
      <c r="O158" s="414" t="s">
        <v>400</v>
      </c>
      <c r="P158" s="603">
        <f t="shared" si="7"/>
        <v>4</v>
      </c>
      <c r="Q158" s="603">
        <f t="shared" si="8"/>
        <v>4</v>
      </c>
      <c r="R158" s="604" t="str">
        <f t="shared" si="9"/>
        <v>Gastos_Gerais</v>
      </c>
      <c r="S158" s="605" t="s">
        <v>310</v>
      </c>
      <c r="T158" s="605" t="s">
        <v>310</v>
      </c>
    </row>
    <row r="159" spans="1:20" s="88" customFormat="1" ht="24" x14ac:dyDescent="0.2">
      <c r="A159" s="510">
        <f>IF(B159="","",COUNT('Diário 1º PA'!$A$4:$A$2635)+ROW()-3)</f>
        <v>1892</v>
      </c>
      <c r="B159" s="414">
        <v>44657</v>
      </c>
      <c r="C159" s="424">
        <v>44652</v>
      </c>
      <c r="D159" s="415" t="s">
        <v>271</v>
      </c>
      <c r="E159" s="415" t="s">
        <v>71</v>
      </c>
      <c r="F159" s="425">
        <v>11</v>
      </c>
      <c r="G159" s="427" t="s">
        <v>1233</v>
      </c>
      <c r="H159" s="415" t="s">
        <v>310</v>
      </c>
      <c r="I159" s="639" t="s">
        <v>881</v>
      </c>
      <c r="J159" s="418" t="s">
        <v>882</v>
      </c>
      <c r="K159" s="418" t="s">
        <v>883</v>
      </c>
      <c r="L159" s="399" t="s">
        <v>798</v>
      </c>
      <c r="M159" s="544" t="s">
        <v>310</v>
      </c>
      <c r="N159" s="414">
        <v>44657</v>
      </c>
      <c r="O159" s="414" t="s">
        <v>400</v>
      </c>
      <c r="P159" s="603">
        <f t="shared" si="7"/>
        <v>4</v>
      </c>
      <c r="Q159" s="603">
        <f t="shared" si="8"/>
        <v>4</v>
      </c>
      <c r="R159" s="604" t="str">
        <f t="shared" si="9"/>
        <v>Gastos_Gerais</v>
      </c>
      <c r="S159" s="605" t="s">
        <v>310</v>
      </c>
      <c r="T159" s="605" t="s">
        <v>310</v>
      </c>
    </row>
    <row r="160" spans="1:20" s="88" customFormat="1" ht="24" x14ac:dyDescent="0.2">
      <c r="A160" s="510">
        <f>IF(B160="","",COUNT('Diário 1º PA'!$A$4:$A$2635)+ROW()-3)</f>
        <v>1893</v>
      </c>
      <c r="B160" s="414">
        <v>44657</v>
      </c>
      <c r="C160" s="424">
        <v>44652</v>
      </c>
      <c r="D160" s="415" t="s">
        <v>271</v>
      </c>
      <c r="E160" s="415" t="s">
        <v>71</v>
      </c>
      <c r="F160" s="425">
        <v>11</v>
      </c>
      <c r="G160" s="427" t="s">
        <v>1233</v>
      </c>
      <c r="H160" s="415" t="s">
        <v>310</v>
      </c>
      <c r="I160" s="639" t="s">
        <v>881</v>
      </c>
      <c r="J160" s="418" t="s">
        <v>882</v>
      </c>
      <c r="K160" s="418" t="s">
        <v>883</v>
      </c>
      <c r="L160" s="399" t="s">
        <v>798</v>
      </c>
      <c r="M160" s="544" t="s">
        <v>310</v>
      </c>
      <c r="N160" s="414">
        <v>44657</v>
      </c>
      <c r="O160" s="414" t="s">
        <v>400</v>
      </c>
      <c r="P160" s="603">
        <f t="shared" si="7"/>
        <v>4</v>
      </c>
      <c r="Q160" s="603">
        <f t="shared" si="8"/>
        <v>4</v>
      </c>
      <c r="R160" s="604" t="str">
        <f t="shared" si="9"/>
        <v>Gastos_Gerais</v>
      </c>
      <c r="S160" s="605" t="s">
        <v>310</v>
      </c>
      <c r="T160" s="605" t="s">
        <v>310</v>
      </c>
    </row>
    <row r="161" spans="1:20" s="88" customFormat="1" ht="24" x14ac:dyDescent="0.2">
      <c r="A161" s="510">
        <f>IF(B161="","",COUNT('Diário 1º PA'!$A$4:$A$2635)+ROW()-3)</f>
        <v>1894</v>
      </c>
      <c r="B161" s="414">
        <v>44657</v>
      </c>
      <c r="C161" s="424">
        <v>44652</v>
      </c>
      <c r="D161" s="415" t="s">
        <v>271</v>
      </c>
      <c r="E161" s="415" t="s">
        <v>71</v>
      </c>
      <c r="F161" s="425">
        <v>11</v>
      </c>
      <c r="G161" s="427" t="s">
        <v>1233</v>
      </c>
      <c r="H161" s="415" t="s">
        <v>310</v>
      </c>
      <c r="I161" s="639" t="s">
        <v>881</v>
      </c>
      <c r="J161" s="418" t="s">
        <v>882</v>
      </c>
      <c r="K161" s="418" t="s">
        <v>883</v>
      </c>
      <c r="L161" s="399" t="s">
        <v>798</v>
      </c>
      <c r="M161" s="544" t="s">
        <v>310</v>
      </c>
      <c r="N161" s="414">
        <v>44657</v>
      </c>
      <c r="O161" s="414" t="s">
        <v>400</v>
      </c>
      <c r="P161" s="603">
        <f t="shared" si="7"/>
        <v>4</v>
      </c>
      <c r="Q161" s="603">
        <f t="shared" si="8"/>
        <v>4</v>
      </c>
      <c r="R161" s="604" t="str">
        <f t="shared" si="9"/>
        <v>Gastos_Gerais</v>
      </c>
      <c r="S161" s="605" t="s">
        <v>310</v>
      </c>
      <c r="T161" s="605" t="s">
        <v>310</v>
      </c>
    </row>
    <row r="162" spans="1:20" s="88" customFormat="1" ht="24" x14ac:dyDescent="0.2">
      <c r="A162" s="510">
        <f>IF(B162="","",COUNT('Diário 1º PA'!$A$4:$A$2635)+ROW()-3)</f>
        <v>1895</v>
      </c>
      <c r="B162" s="414">
        <v>44657</v>
      </c>
      <c r="C162" s="424">
        <v>44652</v>
      </c>
      <c r="D162" s="415" t="s">
        <v>271</v>
      </c>
      <c r="E162" s="415" t="s">
        <v>71</v>
      </c>
      <c r="F162" s="425">
        <v>11</v>
      </c>
      <c r="G162" s="427" t="s">
        <v>1233</v>
      </c>
      <c r="H162" s="415" t="s">
        <v>310</v>
      </c>
      <c r="I162" s="639" t="s">
        <v>881</v>
      </c>
      <c r="J162" s="418" t="s">
        <v>882</v>
      </c>
      <c r="K162" s="418" t="s">
        <v>883</v>
      </c>
      <c r="L162" s="399" t="s">
        <v>798</v>
      </c>
      <c r="M162" s="544" t="s">
        <v>310</v>
      </c>
      <c r="N162" s="414">
        <v>44657</v>
      </c>
      <c r="O162" s="414" t="s">
        <v>400</v>
      </c>
      <c r="P162" s="603">
        <f t="shared" si="7"/>
        <v>4</v>
      </c>
      <c r="Q162" s="603">
        <f t="shared" si="8"/>
        <v>4</v>
      </c>
      <c r="R162" s="604" t="str">
        <f t="shared" si="9"/>
        <v>Gastos_Gerais</v>
      </c>
      <c r="S162" s="605" t="s">
        <v>310</v>
      </c>
      <c r="T162" s="605" t="s">
        <v>310</v>
      </c>
    </row>
    <row r="163" spans="1:20" s="88" customFormat="1" ht="24" x14ac:dyDescent="0.2">
      <c r="A163" s="510">
        <f>IF(B163="","",COUNT('Diário 1º PA'!$A$4:$A$2635)+ROW()-3)</f>
        <v>1896</v>
      </c>
      <c r="B163" s="414">
        <v>44657</v>
      </c>
      <c r="C163" s="424">
        <v>44652</v>
      </c>
      <c r="D163" s="415" t="s">
        <v>271</v>
      </c>
      <c r="E163" s="415" t="s">
        <v>71</v>
      </c>
      <c r="F163" s="425">
        <v>11</v>
      </c>
      <c r="G163" s="427" t="s">
        <v>1233</v>
      </c>
      <c r="H163" s="415" t="s">
        <v>310</v>
      </c>
      <c r="I163" s="639" t="s">
        <v>881</v>
      </c>
      <c r="J163" s="418" t="s">
        <v>882</v>
      </c>
      <c r="K163" s="418" t="s">
        <v>883</v>
      </c>
      <c r="L163" s="399" t="s">
        <v>798</v>
      </c>
      <c r="M163" s="544" t="s">
        <v>310</v>
      </c>
      <c r="N163" s="414">
        <v>44657</v>
      </c>
      <c r="O163" s="414" t="s">
        <v>400</v>
      </c>
      <c r="P163" s="603">
        <f t="shared" si="7"/>
        <v>4</v>
      </c>
      <c r="Q163" s="603">
        <f t="shared" si="8"/>
        <v>4</v>
      </c>
      <c r="R163" s="604" t="str">
        <f t="shared" si="9"/>
        <v>Gastos_Gerais</v>
      </c>
      <c r="S163" s="605" t="s">
        <v>310</v>
      </c>
      <c r="T163" s="605" t="s">
        <v>310</v>
      </c>
    </row>
    <row r="164" spans="1:20" s="88" customFormat="1" ht="24" x14ac:dyDescent="0.2">
      <c r="A164" s="510">
        <f>IF(B164="","",COUNT('Diário 1º PA'!$A$4:$A$2635)+ROW()-3)</f>
        <v>1897</v>
      </c>
      <c r="B164" s="414">
        <v>44657</v>
      </c>
      <c r="C164" s="424">
        <v>44652</v>
      </c>
      <c r="D164" s="415" t="s">
        <v>271</v>
      </c>
      <c r="E164" s="415" t="s">
        <v>71</v>
      </c>
      <c r="F164" s="425">
        <v>11</v>
      </c>
      <c r="G164" s="427" t="s">
        <v>1233</v>
      </c>
      <c r="H164" s="415" t="s">
        <v>310</v>
      </c>
      <c r="I164" s="639" t="s">
        <v>881</v>
      </c>
      <c r="J164" s="418" t="s">
        <v>882</v>
      </c>
      <c r="K164" s="418" t="s">
        <v>883</v>
      </c>
      <c r="L164" s="399" t="s">
        <v>798</v>
      </c>
      <c r="M164" s="544" t="s">
        <v>310</v>
      </c>
      <c r="N164" s="414">
        <v>44657</v>
      </c>
      <c r="O164" s="414" t="s">
        <v>400</v>
      </c>
      <c r="P164" s="603">
        <f t="shared" si="7"/>
        <v>4</v>
      </c>
      <c r="Q164" s="603">
        <f t="shared" si="8"/>
        <v>4</v>
      </c>
      <c r="R164" s="604" t="str">
        <f t="shared" si="9"/>
        <v>Gastos_Gerais</v>
      </c>
      <c r="S164" s="605" t="s">
        <v>310</v>
      </c>
      <c r="T164" s="605" t="s">
        <v>310</v>
      </c>
    </row>
    <row r="165" spans="1:20" s="88" customFormat="1" ht="99.95" customHeight="1" x14ac:dyDescent="0.2">
      <c r="A165" s="510">
        <f>IF(B165="","",COUNT('Diário 1º PA'!$A$4:$A$2635)+ROW()-3)</f>
        <v>1898</v>
      </c>
      <c r="B165" s="414">
        <v>44657</v>
      </c>
      <c r="C165" s="424">
        <v>44652</v>
      </c>
      <c r="D165" s="415" t="s">
        <v>271</v>
      </c>
      <c r="E165" s="415" t="s">
        <v>71</v>
      </c>
      <c r="F165" s="425">
        <v>11</v>
      </c>
      <c r="G165" s="427" t="s">
        <v>1233</v>
      </c>
      <c r="H165" s="415" t="s">
        <v>310</v>
      </c>
      <c r="I165" s="639" t="s">
        <v>881</v>
      </c>
      <c r="J165" s="418" t="s">
        <v>882</v>
      </c>
      <c r="K165" s="418" t="s">
        <v>883</v>
      </c>
      <c r="L165" s="399" t="s">
        <v>798</v>
      </c>
      <c r="M165" s="544" t="s">
        <v>310</v>
      </c>
      <c r="N165" s="414">
        <v>44657</v>
      </c>
      <c r="O165" s="414" t="s">
        <v>400</v>
      </c>
      <c r="P165" s="603">
        <f t="shared" si="7"/>
        <v>4</v>
      </c>
      <c r="Q165" s="603">
        <f t="shared" si="8"/>
        <v>4</v>
      </c>
      <c r="R165" s="604" t="str">
        <f t="shared" si="9"/>
        <v>Gastos_Gerais</v>
      </c>
      <c r="S165" s="605" t="s">
        <v>310</v>
      </c>
      <c r="T165" s="605" t="s">
        <v>310</v>
      </c>
    </row>
    <row r="166" spans="1:20" s="88" customFormat="1" ht="99.95" customHeight="1" x14ac:dyDescent="0.2">
      <c r="A166" s="510">
        <f>IF(B166="","",COUNT('Diário 1º PA'!$A$4:$A$2635)+ROW()-3)</f>
        <v>1899</v>
      </c>
      <c r="B166" s="414">
        <v>44657</v>
      </c>
      <c r="C166" s="424">
        <v>44621</v>
      </c>
      <c r="D166" s="415" t="s">
        <v>468</v>
      </c>
      <c r="E166" s="415" t="s">
        <v>468</v>
      </c>
      <c r="F166" s="425">
        <v>2522.5500000000002</v>
      </c>
      <c r="G166" s="427" t="s">
        <v>695</v>
      </c>
      <c r="H166" s="415" t="s">
        <v>468</v>
      </c>
      <c r="I166" s="427" t="s">
        <v>2405</v>
      </c>
      <c r="J166" s="415" t="s">
        <v>1030</v>
      </c>
      <c r="K166" s="415" t="s">
        <v>830</v>
      </c>
      <c r="L166" s="415" t="s">
        <v>839</v>
      </c>
      <c r="M166" s="415">
        <v>1674</v>
      </c>
      <c r="N166" s="414">
        <v>44655</v>
      </c>
      <c r="O166" s="414" t="s">
        <v>408</v>
      </c>
      <c r="P166" s="603">
        <f t="shared" si="7"/>
        <v>4</v>
      </c>
      <c r="Q166" s="603">
        <f t="shared" si="8"/>
        <v>3</v>
      </c>
      <c r="R166" s="604" t="str">
        <f t="shared" si="9"/>
        <v>Gastos_custeados_por_captação</v>
      </c>
      <c r="S166" s="605" t="s">
        <v>1000</v>
      </c>
      <c r="T166" s="605">
        <v>2672</v>
      </c>
    </row>
    <row r="167" spans="1:20" s="88" customFormat="1" ht="99.95" customHeight="1" x14ac:dyDescent="0.2">
      <c r="A167" s="510">
        <f>IF(B167="","",COUNT('Diário 1º PA'!$A$4:$A$2635)+ROW()-3)</f>
        <v>1900</v>
      </c>
      <c r="B167" s="414">
        <v>44657</v>
      </c>
      <c r="C167" s="424">
        <v>44621</v>
      </c>
      <c r="D167" s="415" t="s">
        <v>468</v>
      </c>
      <c r="E167" s="415" t="s">
        <v>468</v>
      </c>
      <c r="F167" s="425">
        <v>4311.5600000000004</v>
      </c>
      <c r="G167" s="427" t="s">
        <v>693</v>
      </c>
      <c r="H167" s="415" t="s">
        <v>468</v>
      </c>
      <c r="I167" s="427" t="s">
        <v>2464</v>
      </c>
      <c r="J167" s="415" t="s">
        <v>1124</v>
      </c>
      <c r="K167" s="415" t="s">
        <v>830</v>
      </c>
      <c r="L167" s="415" t="s">
        <v>32</v>
      </c>
      <c r="M167" s="415" t="s">
        <v>1786</v>
      </c>
      <c r="N167" s="414">
        <v>44655</v>
      </c>
      <c r="O167" s="414" t="s">
        <v>408</v>
      </c>
      <c r="P167" s="603">
        <f t="shared" si="7"/>
        <v>4</v>
      </c>
      <c r="Q167" s="603">
        <f t="shared" si="8"/>
        <v>3</v>
      </c>
      <c r="R167" s="604" t="str">
        <f t="shared" si="9"/>
        <v>Gastos_custeados_por_captação</v>
      </c>
      <c r="S167" s="605" t="s">
        <v>1000</v>
      </c>
      <c r="T167" s="605">
        <v>2642</v>
      </c>
    </row>
    <row r="168" spans="1:20" s="88" customFormat="1" ht="99.95" customHeight="1" x14ac:dyDescent="0.2">
      <c r="A168" s="510">
        <f>IF(B168="","",COUNT('Diário 1º PA'!$A$4:$A$2635)+ROW()-3)</f>
        <v>1901</v>
      </c>
      <c r="B168" s="414">
        <v>44657</v>
      </c>
      <c r="C168" s="424">
        <v>44621</v>
      </c>
      <c r="D168" s="415" t="s">
        <v>468</v>
      </c>
      <c r="E168" s="415" t="s">
        <v>468</v>
      </c>
      <c r="F168" s="425">
        <v>2694.72</v>
      </c>
      <c r="G168" s="427" t="s">
        <v>694</v>
      </c>
      <c r="H168" s="415" t="s">
        <v>468</v>
      </c>
      <c r="I168" s="427" t="s">
        <v>2940</v>
      </c>
      <c r="J168" s="415" t="s">
        <v>2410</v>
      </c>
      <c r="K168" s="415" t="s">
        <v>830</v>
      </c>
      <c r="L168" s="415" t="s">
        <v>32</v>
      </c>
      <c r="M168" s="415" t="s">
        <v>1890</v>
      </c>
      <c r="N168" s="414">
        <v>44655</v>
      </c>
      <c r="O168" s="414" t="s">
        <v>408</v>
      </c>
      <c r="P168" s="603">
        <f t="shared" si="7"/>
        <v>4</v>
      </c>
      <c r="Q168" s="603">
        <f t="shared" si="8"/>
        <v>3</v>
      </c>
      <c r="R168" s="604" t="str">
        <f t="shared" si="9"/>
        <v>Gastos_custeados_por_captação</v>
      </c>
      <c r="S168" s="605" t="s">
        <v>1000</v>
      </c>
      <c r="T168" s="605">
        <v>2663</v>
      </c>
    </row>
    <row r="169" spans="1:20" s="88" customFormat="1" ht="36" x14ac:dyDescent="0.2">
      <c r="A169" s="510">
        <f>IF(B169="","",COUNT('Diário 1º PA'!$A$4:$A$2635)+ROW()-3)</f>
        <v>1902</v>
      </c>
      <c r="B169" s="414">
        <v>44657</v>
      </c>
      <c r="C169" s="424">
        <v>44652</v>
      </c>
      <c r="D169" s="415" t="s">
        <v>468</v>
      </c>
      <c r="E169" s="415" t="s">
        <v>468</v>
      </c>
      <c r="F169" s="425">
        <v>11</v>
      </c>
      <c r="G169" s="427" t="s">
        <v>2469</v>
      </c>
      <c r="H169" s="415" t="s">
        <v>468</v>
      </c>
      <c r="I169" s="639" t="s">
        <v>881</v>
      </c>
      <c r="J169" s="418" t="s">
        <v>882</v>
      </c>
      <c r="K169" s="418" t="s">
        <v>883</v>
      </c>
      <c r="L169" s="399" t="s">
        <v>798</v>
      </c>
      <c r="M169" s="544" t="s">
        <v>310</v>
      </c>
      <c r="N169" s="414">
        <v>44657</v>
      </c>
      <c r="O169" s="414" t="s">
        <v>408</v>
      </c>
      <c r="P169" s="603">
        <f t="shared" si="7"/>
        <v>4</v>
      </c>
      <c r="Q169" s="603">
        <f t="shared" si="8"/>
        <v>4</v>
      </c>
      <c r="R169" s="604" t="str">
        <f t="shared" si="9"/>
        <v>Gastos_custeados_por_captação</v>
      </c>
      <c r="S169" s="605" t="s">
        <v>310</v>
      </c>
      <c r="T169" s="605" t="s">
        <v>310</v>
      </c>
    </row>
    <row r="170" spans="1:20" s="88" customFormat="1" ht="99.95" customHeight="1" x14ac:dyDescent="0.2">
      <c r="A170" s="510">
        <f>IF(B170="","",COUNT('Diário 1º PA'!$A$4:$A$2635)+ROW()-3)</f>
        <v>1903</v>
      </c>
      <c r="B170" s="414">
        <v>44657</v>
      </c>
      <c r="C170" s="424">
        <v>44652</v>
      </c>
      <c r="D170" s="415" t="s">
        <v>468</v>
      </c>
      <c r="E170" s="415" t="s">
        <v>468</v>
      </c>
      <c r="F170" s="425">
        <v>11</v>
      </c>
      <c r="G170" s="427" t="s">
        <v>2469</v>
      </c>
      <c r="H170" s="415" t="s">
        <v>468</v>
      </c>
      <c r="I170" s="639" t="s">
        <v>881</v>
      </c>
      <c r="J170" s="418" t="s">
        <v>882</v>
      </c>
      <c r="K170" s="418" t="s">
        <v>883</v>
      </c>
      <c r="L170" s="399" t="s">
        <v>798</v>
      </c>
      <c r="M170" s="544" t="s">
        <v>310</v>
      </c>
      <c r="N170" s="414">
        <v>44657</v>
      </c>
      <c r="O170" s="414" t="s">
        <v>408</v>
      </c>
      <c r="P170" s="603">
        <f t="shared" si="7"/>
        <v>4</v>
      </c>
      <c r="Q170" s="603">
        <f t="shared" si="8"/>
        <v>4</v>
      </c>
      <c r="R170" s="604" t="str">
        <f t="shared" si="9"/>
        <v>Gastos_custeados_por_captação</v>
      </c>
      <c r="S170" s="605" t="s">
        <v>310</v>
      </c>
      <c r="T170" s="605" t="s">
        <v>310</v>
      </c>
    </row>
    <row r="171" spans="1:20" s="88" customFormat="1" ht="99.95" customHeight="1" x14ac:dyDescent="0.2">
      <c r="A171" s="510">
        <f>IF(B171="","",COUNT('Diário 1º PA'!$A$4:$A$2635)+ROW()-3)</f>
        <v>1904</v>
      </c>
      <c r="B171" s="414">
        <v>44657</v>
      </c>
      <c r="C171" s="424">
        <v>44652</v>
      </c>
      <c r="D171" s="415" t="s">
        <v>468</v>
      </c>
      <c r="E171" s="415" t="s">
        <v>468</v>
      </c>
      <c r="F171" s="425">
        <v>11</v>
      </c>
      <c r="G171" s="427" t="s">
        <v>2469</v>
      </c>
      <c r="H171" s="415" t="s">
        <v>468</v>
      </c>
      <c r="I171" s="639" t="s">
        <v>881</v>
      </c>
      <c r="J171" s="418" t="s">
        <v>882</v>
      </c>
      <c r="K171" s="418" t="s">
        <v>883</v>
      </c>
      <c r="L171" s="399" t="s">
        <v>798</v>
      </c>
      <c r="M171" s="544" t="s">
        <v>310</v>
      </c>
      <c r="N171" s="414">
        <v>44657</v>
      </c>
      <c r="O171" s="414" t="s">
        <v>408</v>
      </c>
      <c r="P171" s="603">
        <f t="shared" si="7"/>
        <v>4</v>
      </c>
      <c r="Q171" s="603">
        <f t="shared" si="8"/>
        <v>4</v>
      </c>
      <c r="R171" s="604" t="str">
        <f t="shared" si="9"/>
        <v>Gastos_custeados_por_captação</v>
      </c>
      <c r="S171" s="605" t="s">
        <v>310</v>
      </c>
      <c r="T171" s="605" t="s">
        <v>310</v>
      </c>
    </row>
    <row r="172" spans="1:20" s="88" customFormat="1" ht="99.95" customHeight="1" x14ac:dyDescent="0.2">
      <c r="A172" s="510">
        <f>IF(B172="","",COUNT('Diário 1º PA'!$A$4:$A$2635)+ROW()-3)</f>
        <v>1905</v>
      </c>
      <c r="B172" s="414">
        <v>44657</v>
      </c>
      <c r="C172" s="431">
        <v>44621</v>
      </c>
      <c r="D172" s="415" t="s">
        <v>468</v>
      </c>
      <c r="E172" s="415" t="s">
        <v>468</v>
      </c>
      <c r="F172" s="435">
        <v>2694.72</v>
      </c>
      <c r="G172" s="427" t="s">
        <v>706</v>
      </c>
      <c r="H172" s="415" t="s">
        <v>468</v>
      </c>
      <c r="I172" s="427" t="s">
        <v>1811</v>
      </c>
      <c r="J172" s="415" t="s">
        <v>1023</v>
      </c>
      <c r="K172" s="415" t="s">
        <v>830</v>
      </c>
      <c r="L172" s="415" t="s">
        <v>807</v>
      </c>
      <c r="M172" s="415" t="s">
        <v>3672</v>
      </c>
      <c r="N172" s="414">
        <v>44655</v>
      </c>
      <c r="O172" s="414" t="s">
        <v>402</v>
      </c>
      <c r="P172" s="603">
        <f t="shared" si="7"/>
        <v>4</v>
      </c>
      <c r="Q172" s="603">
        <f t="shared" si="8"/>
        <v>3</v>
      </c>
      <c r="R172" s="604" t="str">
        <f t="shared" si="9"/>
        <v>Gastos_custeados_por_captação</v>
      </c>
      <c r="S172" s="605" t="s">
        <v>1000</v>
      </c>
      <c r="T172" s="605">
        <v>2730</v>
      </c>
    </row>
    <row r="173" spans="1:20" ht="99.95" customHeight="1" x14ac:dyDescent="0.2">
      <c r="A173" s="510">
        <f>IF(B173="","",COUNT('Diário 1º PA'!$A$4:$A$2635)+ROW()-3)</f>
        <v>1906</v>
      </c>
      <c r="B173" s="414">
        <v>44657</v>
      </c>
      <c r="C173" s="431">
        <v>44621</v>
      </c>
      <c r="D173" s="415" t="s">
        <v>468</v>
      </c>
      <c r="E173" s="415" t="s">
        <v>468</v>
      </c>
      <c r="F173" s="435">
        <v>2075.92</v>
      </c>
      <c r="G173" s="427" t="s">
        <v>721</v>
      </c>
      <c r="H173" s="415" t="s">
        <v>468</v>
      </c>
      <c r="I173" s="427" t="s">
        <v>2376</v>
      </c>
      <c r="J173" s="415" t="s">
        <v>1143</v>
      </c>
      <c r="K173" s="415" t="s">
        <v>830</v>
      </c>
      <c r="L173" s="415" t="s">
        <v>839</v>
      </c>
      <c r="M173" s="415">
        <v>1673</v>
      </c>
      <c r="N173" s="414">
        <v>44655</v>
      </c>
      <c r="O173" s="414" t="s">
        <v>405</v>
      </c>
      <c r="P173" s="603">
        <f t="shared" si="7"/>
        <v>4</v>
      </c>
      <c r="Q173" s="603">
        <f t="shared" si="8"/>
        <v>3</v>
      </c>
      <c r="R173" s="604" t="str">
        <f t="shared" si="9"/>
        <v>Gastos_custeados_por_captação</v>
      </c>
      <c r="S173" s="605" t="s">
        <v>1000</v>
      </c>
      <c r="T173" s="605">
        <v>2781</v>
      </c>
    </row>
    <row r="174" spans="1:20" s="88" customFormat="1" ht="99.95" customHeight="1" x14ac:dyDescent="0.2">
      <c r="A174" s="510">
        <f>IF(B174="","",COUNT('Diário 1º PA'!$A$4:$A$2635)+ROW()-3)</f>
        <v>1907</v>
      </c>
      <c r="B174" s="414">
        <v>44657</v>
      </c>
      <c r="C174" s="431">
        <v>44621</v>
      </c>
      <c r="D174" s="415" t="s">
        <v>468</v>
      </c>
      <c r="E174" s="415" t="s">
        <v>468</v>
      </c>
      <c r="F174" s="425">
        <v>2522.5500000000002</v>
      </c>
      <c r="G174" s="427" t="s">
        <v>670</v>
      </c>
      <c r="H174" s="415" t="s">
        <v>468</v>
      </c>
      <c r="I174" s="427" t="s">
        <v>4215</v>
      </c>
      <c r="J174" s="415" t="s">
        <v>1086</v>
      </c>
      <c r="K174" s="415" t="s">
        <v>830</v>
      </c>
      <c r="L174" s="415" t="s">
        <v>839</v>
      </c>
      <c r="M174" s="415">
        <v>1672</v>
      </c>
      <c r="N174" s="414">
        <v>44655</v>
      </c>
      <c r="O174" s="414" t="s">
        <v>407</v>
      </c>
      <c r="P174" s="603">
        <f>IF(B174=0,0,IF(YEAR(B174)=$Q$1,MONTH(B174)-$P$1+1,(YEAR(B174)-$Q$1)*12-$P$1+1+MONTH(B174)))</f>
        <v>4</v>
      </c>
      <c r="Q174" s="603">
        <f>IF(C174=0,0,IF(YEAR(C174)=$Q$1,MONTH(C174)-$P$1+1,(YEAR(C174)-$Q$1)*12-$P$1+1+MONTH(C174)))</f>
        <v>3</v>
      </c>
      <c r="R174" s="604" t="str">
        <f>SUBSTITUTE(D174," ","_")</f>
        <v>Gastos_custeados_por_captação</v>
      </c>
      <c r="S174" s="605" t="s">
        <v>1000</v>
      </c>
      <c r="T174" s="605">
        <v>2724</v>
      </c>
    </row>
    <row r="175" spans="1:20" s="88" customFormat="1" ht="99.95" customHeight="1" x14ac:dyDescent="0.2">
      <c r="A175" s="510">
        <f>IF(B175="","",COUNT('Diário 1º PA'!$A$4:$A$2635)+ROW()-3)</f>
        <v>1908</v>
      </c>
      <c r="B175" s="414">
        <v>44657</v>
      </c>
      <c r="C175" s="431">
        <v>44621</v>
      </c>
      <c r="D175" s="415" t="s">
        <v>468</v>
      </c>
      <c r="E175" s="415" t="s">
        <v>468</v>
      </c>
      <c r="F175" s="425">
        <v>56.7</v>
      </c>
      <c r="G175" s="427" t="s">
        <v>3235</v>
      </c>
      <c r="H175" s="415" t="s">
        <v>468</v>
      </c>
      <c r="I175" s="427" t="s">
        <v>5020</v>
      </c>
      <c r="J175" s="415" t="s">
        <v>3236</v>
      </c>
      <c r="K175" s="415" t="s">
        <v>830</v>
      </c>
      <c r="L175" s="415" t="s">
        <v>807</v>
      </c>
      <c r="M175" s="415">
        <v>68</v>
      </c>
      <c r="N175" s="414">
        <v>44657</v>
      </c>
      <c r="O175" s="414" t="s">
        <v>403</v>
      </c>
      <c r="P175" s="603">
        <f t="shared" si="7"/>
        <v>4</v>
      </c>
      <c r="Q175" s="603">
        <f t="shared" si="8"/>
        <v>3</v>
      </c>
      <c r="R175" s="604" t="str">
        <f t="shared" si="9"/>
        <v>Gastos_custeados_por_captação</v>
      </c>
      <c r="S175" s="605" t="s">
        <v>999</v>
      </c>
      <c r="T175" s="605">
        <v>3345</v>
      </c>
    </row>
    <row r="176" spans="1:20" s="88" customFormat="1" ht="99.95" customHeight="1" x14ac:dyDescent="0.2">
      <c r="A176" s="510">
        <f>IF(B176="","",COUNT('Diário 1º PA'!$A$4:$A$2635)+ROW()-3)</f>
        <v>1909</v>
      </c>
      <c r="B176" s="414">
        <v>44658</v>
      </c>
      <c r="C176" s="431">
        <v>44621</v>
      </c>
      <c r="D176" s="415" t="s">
        <v>271</v>
      </c>
      <c r="E176" s="415" t="s">
        <v>297</v>
      </c>
      <c r="F176" s="425">
        <v>-14.47</v>
      </c>
      <c r="G176" s="427" t="s">
        <v>3907</v>
      </c>
      <c r="H176" s="415" t="s">
        <v>309</v>
      </c>
      <c r="I176" s="427" t="s">
        <v>795</v>
      </c>
      <c r="J176" s="415" t="s">
        <v>796</v>
      </c>
      <c r="K176" s="415" t="s">
        <v>797</v>
      </c>
      <c r="L176" s="415" t="s">
        <v>798</v>
      </c>
      <c r="M176" s="415" t="s">
        <v>310</v>
      </c>
      <c r="N176" s="414">
        <v>44658</v>
      </c>
      <c r="O176" s="414" t="s">
        <v>400</v>
      </c>
      <c r="P176" s="603">
        <f t="shared" si="7"/>
        <v>4</v>
      </c>
      <c r="Q176" s="603">
        <f t="shared" si="8"/>
        <v>3</v>
      </c>
      <c r="R176" s="604" t="str">
        <f t="shared" si="9"/>
        <v>Gastos_Gerais</v>
      </c>
      <c r="S176" s="605" t="s">
        <v>310</v>
      </c>
      <c r="T176" s="605" t="s">
        <v>310</v>
      </c>
    </row>
    <row r="177" spans="1:20" s="88" customFormat="1" ht="99.95" customHeight="1" x14ac:dyDescent="0.2">
      <c r="A177" s="510">
        <f>IF(B177="","",COUNT('Diário 1º PA'!$A$4:$A$2635)+ROW()-3)</f>
        <v>1910</v>
      </c>
      <c r="B177" s="414">
        <v>44658</v>
      </c>
      <c r="C177" s="431">
        <v>44621</v>
      </c>
      <c r="D177" s="415" t="s">
        <v>271</v>
      </c>
      <c r="E177" s="415" t="s">
        <v>297</v>
      </c>
      <c r="F177" s="425">
        <v>-28.94</v>
      </c>
      <c r="G177" s="427" t="s">
        <v>3908</v>
      </c>
      <c r="H177" s="415" t="s">
        <v>309</v>
      </c>
      <c r="I177" s="427" t="s">
        <v>795</v>
      </c>
      <c r="J177" s="415" t="s">
        <v>796</v>
      </c>
      <c r="K177" s="415" t="s">
        <v>797</v>
      </c>
      <c r="L177" s="415" t="s">
        <v>798</v>
      </c>
      <c r="M177" s="415" t="s">
        <v>310</v>
      </c>
      <c r="N177" s="414">
        <v>44658</v>
      </c>
      <c r="O177" s="414" t="s">
        <v>400</v>
      </c>
      <c r="P177" s="603">
        <f t="shared" si="7"/>
        <v>4</v>
      </c>
      <c r="Q177" s="603">
        <f t="shared" si="8"/>
        <v>3</v>
      </c>
      <c r="R177" s="604" t="str">
        <f t="shared" si="9"/>
        <v>Gastos_Gerais</v>
      </c>
      <c r="S177" s="605" t="s">
        <v>310</v>
      </c>
      <c r="T177" s="605" t="s">
        <v>310</v>
      </c>
    </row>
    <row r="178" spans="1:20" s="88" customFormat="1" ht="99.95" customHeight="1" x14ac:dyDescent="0.2">
      <c r="A178" s="510">
        <f>IF(B178="","",COUNT('Diário 1º PA'!$A$4:$A$2635)+ROW()-3)</f>
        <v>1911</v>
      </c>
      <c r="B178" s="414">
        <v>44658</v>
      </c>
      <c r="C178" s="431">
        <v>44621</v>
      </c>
      <c r="D178" s="415" t="s">
        <v>271</v>
      </c>
      <c r="E178" s="415" t="s">
        <v>297</v>
      </c>
      <c r="F178" s="425">
        <v>-289.39999999999998</v>
      </c>
      <c r="G178" s="427" t="s">
        <v>3426</v>
      </c>
      <c r="H178" s="415" t="s">
        <v>309</v>
      </c>
      <c r="I178" s="427" t="s">
        <v>795</v>
      </c>
      <c r="J178" s="415" t="s">
        <v>796</v>
      </c>
      <c r="K178" s="415" t="s">
        <v>797</v>
      </c>
      <c r="L178" s="415" t="s">
        <v>798</v>
      </c>
      <c r="M178" s="415" t="s">
        <v>310</v>
      </c>
      <c r="N178" s="414">
        <v>44658</v>
      </c>
      <c r="O178" s="414" t="s">
        <v>400</v>
      </c>
      <c r="P178" s="603">
        <f t="shared" si="7"/>
        <v>4</v>
      </c>
      <c r="Q178" s="603">
        <f t="shared" si="8"/>
        <v>3</v>
      </c>
      <c r="R178" s="604" t="str">
        <f t="shared" si="9"/>
        <v>Gastos_Gerais</v>
      </c>
      <c r="S178" s="605" t="s">
        <v>310</v>
      </c>
      <c r="T178" s="605" t="s">
        <v>310</v>
      </c>
    </row>
    <row r="179" spans="1:20" s="88" customFormat="1" ht="48" x14ac:dyDescent="0.2">
      <c r="A179" s="510">
        <f>IF(B179="","",COUNT('Diário 1º PA'!$A$4:$A$2635)+ROW()-3)</f>
        <v>1912</v>
      </c>
      <c r="B179" s="414">
        <v>44658</v>
      </c>
      <c r="C179" s="424">
        <v>44621</v>
      </c>
      <c r="D179" s="415" t="s">
        <v>182</v>
      </c>
      <c r="E179" s="415" t="s">
        <v>4</v>
      </c>
      <c r="F179" s="425">
        <v>-2527.0300000000002</v>
      </c>
      <c r="G179" s="427" t="s">
        <v>3428</v>
      </c>
      <c r="H179" s="415" t="s">
        <v>310</v>
      </c>
      <c r="I179" s="427" t="s">
        <v>795</v>
      </c>
      <c r="J179" s="415" t="s">
        <v>796</v>
      </c>
      <c r="K179" s="415" t="s">
        <v>797</v>
      </c>
      <c r="L179" s="415" t="s">
        <v>798</v>
      </c>
      <c r="M179" s="415" t="s">
        <v>310</v>
      </c>
      <c r="N179" s="414">
        <v>44658</v>
      </c>
      <c r="O179" s="414" t="s">
        <v>400</v>
      </c>
      <c r="P179" s="603">
        <f t="shared" si="7"/>
        <v>4</v>
      </c>
      <c r="Q179" s="603">
        <f t="shared" si="8"/>
        <v>3</v>
      </c>
      <c r="R179" s="604" t="str">
        <f t="shared" si="9"/>
        <v>Gastos_com_Pessoal</v>
      </c>
      <c r="S179" s="605" t="s">
        <v>310</v>
      </c>
      <c r="T179" s="605" t="s">
        <v>310</v>
      </c>
    </row>
    <row r="180" spans="1:20" s="88" customFormat="1" ht="36" x14ac:dyDescent="0.2">
      <c r="A180" s="510">
        <f>IF(B180="","",COUNT('Diário 1º PA'!$A$4:$A$2635)+ROW()-3)</f>
        <v>1913</v>
      </c>
      <c r="B180" s="414">
        <v>44658</v>
      </c>
      <c r="C180" s="424">
        <v>44621</v>
      </c>
      <c r="D180" s="415" t="s">
        <v>182</v>
      </c>
      <c r="E180" s="415" t="s">
        <v>4</v>
      </c>
      <c r="F180" s="425">
        <v>-130.32</v>
      </c>
      <c r="G180" s="427" t="s">
        <v>3427</v>
      </c>
      <c r="H180" s="415" t="s">
        <v>310</v>
      </c>
      <c r="I180" s="427" t="s">
        <v>795</v>
      </c>
      <c r="J180" s="415" t="s">
        <v>796</v>
      </c>
      <c r="K180" s="415" t="s">
        <v>797</v>
      </c>
      <c r="L180" s="415" t="s">
        <v>798</v>
      </c>
      <c r="M180" s="415" t="s">
        <v>310</v>
      </c>
      <c r="N180" s="414">
        <v>44658</v>
      </c>
      <c r="O180" s="414" t="s">
        <v>400</v>
      </c>
      <c r="P180" s="603">
        <f t="shared" si="7"/>
        <v>4</v>
      </c>
      <c r="Q180" s="603">
        <f t="shared" si="8"/>
        <v>3</v>
      </c>
      <c r="R180" s="604" t="str">
        <f t="shared" si="9"/>
        <v>Gastos_com_Pessoal</v>
      </c>
      <c r="S180" s="605" t="s">
        <v>310</v>
      </c>
      <c r="T180" s="605" t="s">
        <v>310</v>
      </c>
    </row>
    <row r="181" spans="1:20" s="88" customFormat="1" ht="48" x14ac:dyDescent="0.2">
      <c r="A181" s="510">
        <f>IF(B181="","",COUNT('Diário 1º PA'!$A$4:$A$2635)+ROW()-3)</f>
        <v>1914</v>
      </c>
      <c r="B181" s="414">
        <v>44658</v>
      </c>
      <c r="C181" s="424">
        <v>44621</v>
      </c>
      <c r="D181" s="415" t="s">
        <v>271</v>
      </c>
      <c r="E181" s="415" t="s">
        <v>442</v>
      </c>
      <c r="F181" s="425">
        <v>1720</v>
      </c>
      <c r="G181" s="427" t="s">
        <v>2001</v>
      </c>
      <c r="H181" s="415" t="s">
        <v>755</v>
      </c>
      <c r="I181" s="427" t="s">
        <v>3411</v>
      </c>
      <c r="J181" s="415" t="s">
        <v>2002</v>
      </c>
      <c r="K181" s="415" t="s">
        <v>806</v>
      </c>
      <c r="L181" s="415" t="s">
        <v>839</v>
      </c>
      <c r="M181" s="415">
        <v>1686</v>
      </c>
      <c r="N181" s="414">
        <v>44658</v>
      </c>
      <c r="O181" s="414" t="s">
        <v>400</v>
      </c>
      <c r="P181" s="603">
        <f t="shared" si="7"/>
        <v>4</v>
      </c>
      <c r="Q181" s="603">
        <f t="shared" si="8"/>
        <v>3</v>
      </c>
      <c r="R181" s="604" t="str">
        <f t="shared" si="9"/>
        <v>Gastos_Gerais</v>
      </c>
      <c r="S181" s="605" t="s">
        <v>998</v>
      </c>
      <c r="T181" s="605">
        <v>3134</v>
      </c>
    </row>
    <row r="182" spans="1:20" s="88" customFormat="1" ht="132" x14ac:dyDescent="0.2">
      <c r="A182" s="510">
        <f>IF(B182="","",COUNT('Diário 1º PA'!$A$4:$A$2635)+ROW()-3)</f>
        <v>1915</v>
      </c>
      <c r="B182" s="599">
        <v>44658</v>
      </c>
      <c r="C182" s="593">
        <v>44652</v>
      </c>
      <c r="D182" s="430" t="s">
        <v>271</v>
      </c>
      <c r="E182" s="430" t="s">
        <v>186</v>
      </c>
      <c r="F182" s="425">
        <v>556.21</v>
      </c>
      <c r="G182" s="427" t="s">
        <v>545</v>
      </c>
      <c r="H182" s="415" t="s">
        <v>309</v>
      </c>
      <c r="I182" s="427" t="s">
        <v>1610</v>
      </c>
      <c r="J182" s="415" t="s">
        <v>890</v>
      </c>
      <c r="K182" s="415" t="s">
        <v>812</v>
      </c>
      <c r="L182" s="415" t="s">
        <v>807</v>
      </c>
      <c r="M182" s="415">
        <v>2404</v>
      </c>
      <c r="N182" s="414">
        <v>44643</v>
      </c>
      <c r="O182" s="414" t="s">
        <v>400</v>
      </c>
      <c r="P182" s="603">
        <f t="shared" si="7"/>
        <v>4</v>
      </c>
      <c r="Q182" s="603">
        <f t="shared" si="8"/>
        <v>4</v>
      </c>
      <c r="R182" s="604" t="str">
        <f t="shared" si="9"/>
        <v>Gastos_Gerais</v>
      </c>
      <c r="S182" s="605" t="s">
        <v>1000</v>
      </c>
      <c r="T182" s="605" t="s">
        <v>310</v>
      </c>
    </row>
    <row r="183" spans="1:20" s="88" customFormat="1" ht="120" customHeight="1" x14ac:dyDescent="0.2">
      <c r="A183" s="510">
        <f>IF(B183="","",COUNT('Diário 1º PA'!$A$4:$A$2635)+ROW()-3)</f>
        <v>1916</v>
      </c>
      <c r="B183" s="414">
        <v>44658</v>
      </c>
      <c r="C183" s="424">
        <v>44621</v>
      </c>
      <c r="D183" s="415" t="s">
        <v>182</v>
      </c>
      <c r="E183" s="415" t="s">
        <v>4</v>
      </c>
      <c r="F183" s="425">
        <v>18848.75</v>
      </c>
      <c r="G183" s="440" t="s">
        <v>3414</v>
      </c>
      <c r="H183" s="415" t="s">
        <v>310</v>
      </c>
      <c r="I183" s="639" t="s">
        <v>1219</v>
      </c>
      <c r="J183" s="418" t="s">
        <v>310</v>
      </c>
      <c r="K183" s="418" t="s">
        <v>1220</v>
      </c>
      <c r="L183" s="399" t="s">
        <v>4</v>
      </c>
      <c r="M183" s="543" t="s">
        <v>310</v>
      </c>
      <c r="N183" s="414">
        <v>44658</v>
      </c>
      <c r="O183" s="414" t="s">
        <v>400</v>
      </c>
      <c r="P183" s="603">
        <f t="shared" si="7"/>
        <v>4</v>
      </c>
      <c r="Q183" s="603">
        <f t="shared" si="8"/>
        <v>3</v>
      </c>
      <c r="R183" s="604" t="str">
        <f t="shared" si="9"/>
        <v>Gastos_com_Pessoal</v>
      </c>
      <c r="S183" s="605" t="s">
        <v>310</v>
      </c>
      <c r="T183" s="605" t="s">
        <v>310</v>
      </c>
    </row>
    <row r="184" spans="1:20" s="88" customFormat="1" ht="96" x14ac:dyDescent="0.2">
      <c r="A184" s="510">
        <f>IF(B184="","",COUNT('Diário 1º PA'!$A$4:$A$2635)+ROW()-3)</f>
        <v>1917</v>
      </c>
      <c r="B184" s="414">
        <v>44658</v>
      </c>
      <c r="C184" s="431">
        <v>44621</v>
      </c>
      <c r="D184" s="415" t="s">
        <v>271</v>
      </c>
      <c r="E184" s="415" t="s">
        <v>297</v>
      </c>
      <c r="F184" s="425">
        <v>1186.54</v>
      </c>
      <c r="G184" s="427" t="s">
        <v>538</v>
      </c>
      <c r="H184" s="415" t="s">
        <v>309</v>
      </c>
      <c r="I184" s="427" t="s">
        <v>776</v>
      </c>
      <c r="J184" s="415" t="s">
        <v>1036</v>
      </c>
      <c r="K184" s="415" t="s">
        <v>812</v>
      </c>
      <c r="L184" s="415" t="s">
        <v>807</v>
      </c>
      <c r="M184" s="415">
        <v>43309</v>
      </c>
      <c r="N184" s="414">
        <v>44652</v>
      </c>
      <c r="O184" s="414" t="s">
        <v>400</v>
      </c>
      <c r="P184" s="603">
        <f t="shared" si="7"/>
        <v>4</v>
      </c>
      <c r="Q184" s="603">
        <f t="shared" si="8"/>
        <v>3</v>
      </c>
      <c r="R184" s="604" t="str">
        <f t="shared" si="9"/>
        <v>Gastos_Gerais</v>
      </c>
      <c r="S184" s="605" t="s">
        <v>1000</v>
      </c>
      <c r="T184" s="605">
        <v>1141</v>
      </c>
    </row>
    <row r="185" spans="1:20" s="88" customFormat="1" ht="150" customHeight="1" x14ac:dyDescent="0.2">
      <c r="A185" s="510">
        <f>IF(B185="","",COUNT('Diário 1º PA'!$A$4:$A$2635)+ROW()-3)</f>
        <v>1918</v>
      </c>
      <c r="B185" s="414">
        <v>44658</v>
      </c>
      <c r="C185" s="431">
        <v>44621</v>
      </c>
      <c r="D185" s="415" t="s">
        <v>271</v>
      </c>
      <c r="E185" s="415" t="s">
        <v>453</v>
      </c>
      <c r="F185" s="425">
        <v>1068</v>
      </c>
      <c r="G185" s="427" t="s">
        <v>2459</v>
      </c>
      <c r="H185" s="415" t="s">
        <v>748</v>
      </c>
      <c r="I185" s="427" t="s">
        <v>1500</v>
      </c>
      <c r="J185" s="415" t="s">
        <v>1501</v>
      </c>
      <c r="K185" s="415" t="s">
        <v>830</v>
      </c>
      <c r="L185" s="415" t="s">
        <v>839</v>
      </c>
      <c r="M185" s="415">
        <v>1680</v>
      </c>
      <c r="N185" s="414">
        <v>44656</v>
      </c>
      <c r="O185" s="414" t="s">
        <v>400</v>
      </c>
      <c r="P185" s="603">
        <f t="shared" si="7"/>
        <v>4</v>
      </c>
      <c r="Q185" s="603">
        <f t="shared" si="8"/>
        <v>3</v>
      </c>
      <c r="R185" s="604" t="str">
        <f t="shared" si="9"/>
        <v>Gastos_Gerais</v>
      </c>
      <c r="S185" s="605" t="s">
        <v>998</v>
      </c>
      <c r="T185" s="605">
        <v>3237</v>
      </c>
    </row>
    <row r="186" spans="1:20" s="88" customFormat="1" ht="150" customHeight="1" x14ac:dyDescent="0.2">
      <c r="A186" s="510">
        <f>IF(B186="","",COUNT('Diário 1º PA'!$A$4:$A$2635)+ROW()-3)</f>
        <v>1919</v>
      </c>
      <c r="B186" s="414">
        <v>44658</v>
      </c>
      <c r="C186" s="431">
        <v>44593</v>
      </c>
      <c r="D186" s="415" t="s">
        <v>271</v>
      </c>
      <c r="E186" s="415" t="s">
        <v>456</v>
      </c>
      <c r="F186" s="425">
        <v>500</v>
      </c>
      <c r="G186" s="427" t="s">
        <v>1903</v>
      </c>
      <c r="H186" s="415" t="s">
        <v>761</v>
      </c>
      <c r="I186" s="427" t="s">
        <v>3416</v>
      </c>
      <c r="J186" s="415" t="s">
        <v>1902</v>
      </c>
      <c r="K186" s="415" t="s">
        <v>830</v>
      </c>
      <c r="L186" s="415" t="s">
        <v>807</v>
      </c>
      <c r="M186" s="415">
        <v>20</v>
      </c>
      <c r="N186" s="414">
        <v>44658</v>
      </c>
      <c r="O186" s="414" t="s">
        <v>400</v>
      </c>
      <c r="P186" s="603">
        <f t="shared" si="7"/>
        <v>4</v>
      </c>
      <c r="Q186" s="603">
        <f t="shared" si="8"/>
        <v>2</v>
      </c>
      <c r="R186" s="604" t="str">
        <f t="shared" si="9"/>
        <v>Gastos_Gerais</v>
      </c>
      <c r="S186" s="605" t="s">
        <v>998</v>
      </c>
      <c r="T186" s="605">
        <v>2965</v>
      </c>
    </row>
    <row r="187" spans="1:20" s="88" customFormat="1" ht="150" customHeight="1" x14ac:dyDescent="0.2">
      <c r="A187" s="510">
        <f>IF(B187="","",COUNT('Diário 1º PA'!$A$4:$A$2635)+ROW()-3)</f>
        <v>1920</v>
      </c>
      <c r="B187" s="414">
        <v>44658</v>
      </c>
      <c r="C187" s="431">
        <v>44621</v>
      </c>
      <c r="D187" s="415" t="s">
        <v>271</v>
      </c>
      <c r="E187" s="415" t="s">
        <v>452</v>
      </c>
      <c r="F187" s="425">
        <v>918</v>
      </c>
      <c r="G187" s="427" t="s">
        <v>2223</v>
      </c>
      <c r="H187" s="415" t="s">
        <v>758</v>
      </c>
      <c r="I187" s="427" t="s">
        <v>3418</v>
      </c>
      <c r="J187" s="415" t="s">
        <v>2224</v>
      </c>
      <c r="K187" s="415" t="s">
        <v>830</v>
      </c>
      <c r="L187" s="415" t="s">
        <v>807</v>
      </c>
      <c r="M187" s="415" t="s">
        <v>1308</v>
      </c>
      <c r="N187" s="414">
        <v>44656</v>
      </c>
      <c r="O187" s="414" t="s">
        <v>400</v>
      </c>
      <c r="P187" s="603">
        <f t="shared" si="7"/>
        <v>4</v>
      </c>
      <c r="Q187" s="603">
        <f t="shared" si="8"/>
        <v>3</v>
      </c>
      <c r="R187" s="604" t="str">
        <f t="shared" si="9"/>
        <v>Gastos_Gerais</v>
      </c>
      <c r="S187" s="605" t="s">
        <v>1000</v>
      </c>
      <c r="T187" s="605">
        <v>3151</v>
      </c>
    </row>
    <row r="188" spans="1:20" s="88" customFormat="1" ht="150" customHeight="1" x14ac:dyDescent="0.2">
      <c r="A188" s="510">
        <f>IF(B188="","",COUNT('Diário 1º PA'!$A$4:$A$2635)+ROW()-3)</f>
        <v>1921</v>
      </c>
      <c r="B188" s="414">
        <v>44658</v>
      </c>
      <c r="C188" s="431">
        <v>44621</v>
      </c>
      <c r="D188" s="415" t="s">
        <v>271</v>
      </c>
      <c r="E188" s="415" t="s">
        <v>90</v>
      </c>
      <c r="F188" s="425">
        <v>929.04</v>
      </c>
      <c r="G188" s="427" t="s">
        <v>1955</v>
      </c>
      <c r="H188" s="415" t="s">
        <v>790</v>
      </c>
      <c r="I188" s="427" t="s">
        <v>5367</v>
      </c>
      <c r="J188" s="415" t="s">
        <v>1982</v>
      </c>
      <c r="K188" s="415" t="s">
        <v>830</v>
      </c>
      <c r="L188" s="415" t="s">
        <v>807</v>
      </c>
      <c r="M188" s="415" t="s">
        <v>1696</v>
      </c>
      <c r="N188" s="414">
        <v>44657</v>
      </c>
      <c r="O188" s="414" t="s">
        <v>400</v>
      </c>
      <c r="P188" s="603">
        <f t="shared" si="7"/>
        <v>4</v>
      </c>
      <c r="Q188" s="603">
        <f t="shared" si="8"/>
        <v>3</v>
      </c>
      <c r="R188" s="604" t="str">
        <f t="shared" si="9"/>
        <v>Gastos_Gerais</v>
      </c>
      <c r="S188" s="605" t="s">
        <v>998</v>
      </c>
      <c r="T188" s="605">
        <v>3067</v>
      </c>
    </row>
    <row r="189" spans="1:20" s="88" customFormat="1" ht="60" x14ac:dyDescent="0.2">
      <c r="A189" s="510">
        <f>IF(B189="","",COUNT('Diário 1º PA'!$A$4:$A$2635)+ROW()-3)</f>
        <v>1922</v>
      </c>
      <c r="B189" s="414">
        <v>44658</v>
      </c>
      <c r="C189" s="431">
        <v>44621</v>
      </c>
      <c r="D189" s="415" t="s">
        <v>271</v>
      </c>
      <c r="E189" s="415" t="s">
        <v>444</v>
      </c>
      <c r="F189" s="425">
        <v>8075</v>
      </c>
      <c r="G189" s="427" t="s">
        <v>2272</v>
      </c>
      <c r="H189" s="415" t="s">
        <v>758</v>
      </c>
      <c r="I189" s="427" t="s">
        <v>3424</v>
      </c>
      <c r="J189" s="415" t="s">
        <v>2273</v>
      </c>
      <c r="K189" s="415" t="s">
        <v>830</v>
      </c>
      <c r="L189" s="415" t="s">
        <v>807</v>
      </c>
      <c r="M189" s="415" t="s">
        <v>842</v>
      </c>
      <c r="N189" s="414">
        <v>44657</v>
      </c>
      <c r="O189" s="414" t="s">
        <v>400</v>
      </c>
      <c r="P189" s="603">
        <f t="shared" si="7"/>
        <v>4</v>
      </c>
      <c r="Q189" s="603">
        <f t="shared" si="8"/>
        <v>3</v>
      </c>
      <c r="R189" s="604" t="str">
        <f t="shared" si="9"/>
        <v>Gastos_Gerais</v>
      </c>
      <c r="S189" s="605" t="s">
        <v>1000</v>
      </c>
      <c r="T189" s="605">
        <v>3142</v>
      </c>
    </row>
    <row r="190" spans="1:20" s="88" customFormat="1" ht="36" x14ac:dyDescent="0.2">
      <c r="A190" s="510">
        <f>IF(B190="","",COUNT('Diário 1º PA'!$A$4:$A$2635)+ROW()-3)</f>
        <v>1923</v>
      </c>
      <c r="B190" s="414">
        <v>44658</v>
      </c>
      <c r="C190" s="424">
        <v>44652</v>
      </c>
      <c r="D190" s="415" t="s">
        <v>271</v>
      </c>
      <c r="E190" s="415" t="s">
        <v>71</v>
      </c>
      <c r="F190" s="425">
        <v>11</v>
      </c>
      <c r="G190" s="427" t="s">
        <v>3417</v>
      </c>
      <c r="H190" s="415" t="s">
        <v>748</v>
      </c>
      <c r="I190" s="639" t="s">
        <v>881</v>
      </c>
      <c r="J190" s="418" t="s">
        <v>882</v>
      </c>
      <c r="K190" s="418" t="s">
        <v>883</v>
      </c>
      <c r="L190" s="399" t="s">
        <v>798</v>
      </c>
      <c r="M190" s="544" t="s">
        <v>310</v>
      </c>
      <c r="N190" s="414">
        <v>44658</v>
      </c>
      <c r="O190" s="414" t="s">
        <v>400</v>
      </c>
      <c r="P190" s="603">
        <f t="shared" si="7"/>
        <v>4</v>
      </c>
      <c r="Q190" s="603">
        <f t="shared" si="8"/>
        <v>4</v>
      </c>
      <c r="R190" s="604" t="str">
        <f t="shared" si="9"/>
        <v>Gastos_Gerais</v>
      </c>
      <c r="S190" s="605" t="s">
        <v>310</v>
      </c>
      <c r="T190" s="605" t="s">
        <v>310</v>
      </c>
    </row>
    <row r="191" spans="1:20" s="88" customFormat="1" ht="36" x14ac:dyDescent="0.2">
      <c r="A191" s="510">
        <f>IF(B191="","",COUNT('Diário 1º PA'!$A$4:$A$2635)+ROW()-3)</f>
        <v>1924</v>
      </c>
      <c r="B191" s="414">
        <v>44658</v>
      </c>
      <c r="C191" s="424">
        <v>44652</v>
      </c>
      <c r="D191" s="415" t="s">
        <v>271</v>
      </c>
      <c r="E191" s="415" t="s">
        <v>71</v>
      </c>
      <c r="F191" s="425">
        <v>11</v>
      </c>
      <c r="G191" s="427" t="s">
        <v>3420</v>
      </c>
      <c r="H191" s="415" t="s">
        <v>761</v>
      </c>
      <c r="I191" s="639" t="s">
        <v>881</v>
      </c>
      <c r="J191" s="418" t="s">
        <v>882</v>
      </c>
      <c r="K191" s="418" t="s">
        <v>883</v>
      </c>
      <c r="L191" s="399" t="s">
        <v>798</v>
      </c>
      <c r="M191" s="544" t="s">
        <v>310</v>
      </c>
      <c r="N191" s="414">
        <v>44658</v>
      </c>
      <c r="O191" s="414" t="s">
        <v>400</v>
      </c>
      <c r="P191" s="603">
        <f t="shared" si="7"/>
        <v>4</v>
      </c>
      <c r="Q191" s="603">
        <f t="shared" si="8"/>
        <v>4</v>
      </c>
      <c r="R191" s="604" t="str">
        <f t="shared" si="9"/>
        <v>Gastos_Gerais</v>
      </c>
      <c r="S191" s="605" t="s">
        <v>310</v>
      </c>
      <c r="T191" s="605" t="s">
        <v>310</v>
      </c>
    </row>
    <row r="192" spans="1:20" s="88" customFormat="1" ht="36" x14ac:dyDescent="0.2">
      <c r="A192" s="510">
        <f>IF(B192="","",COUNT('Diário 1º PA'!$A$4:$A$2635)+ROW()-3)</f>
        <v>1925</v>
      </c>
      <c r="B192" s="414">
        <v>44658</v>
      </c>
      <c r="C192" s="424">
        <v>44652</v>
      </c>
      <c r="D192" s="415" t="s">
        <v>271</v>
      </c>
      <c r="E192" s="415" t="s">
        <v>71</v>
      </c>
      <c r="F192" s="425">
        <v>11</v>
      </c>
      <c r="G192" s="427" t="s">
        <v>3419</v>
      </c>
      <c r="H192" s="415" t="s">
        <v>758</v>
      </c>
      <c r="I192" s="639" t="s">
        <v>881</v>
      </c>
      <c r="J192" s="418" t="s">
        <v>882</v>
      </c>
      <c r="K192" s="418" t="s">
        <v>883</v>
      </c>
      <c r="L192" s="399" t="s">
        <v>798</v>
      </c>
      <c r="M192" s="544" t="s">
        <v>310</v>
      </c>
      <c r="N192" s="414">
        <v>44658</v>
      </c>
      <c r="O192" s="414" t="s">
        <v>400</v>
      </c>
      <c r="P192" s="603">
        <f t="shared" si="7"/>
        <v>4</v>
      </c>
      <c r="Q192" s="603">
        <f t="shared" si="8"/>
        <v>4</v>
      </c>
      <c r="R192" s="604" t="str">
        <f t="shared" si="9"/>
        <v>Gastos_Gerais</v>
      </c>
      <c r="S192" s="605" t="s">
        <v>310</v>
      </c>
      <c r="T192" s="605" t="s">
        <v>310</v>
      </c>
    </row>
    <row r="193" spans="1:20" s="88" customFormat="1" ht="48" x14ac:dyDescent="0.2">
      <c r="A193" s="510">
        <f>IF(B193="","",COUNT('Diário 1º PA'!$A$4:$A$2635)+ROW()-3)</f>
        <v>1926</v>
      </c>
      <c r="B193" s="414">
        <v>44658</v>
      </c>
      <c r="C193" s="424">
        <v>44652</v>
      </c>
      <c r="D193" s="415" t="s">
        <v>271</v>
      </c>
      <c r="E193" s="415" t="s">
        <v>71</v>
      </c>
      <c r="F193" s="425">
        <v>11</v>
      </c>
      <c r="G193" s="427" t="s">
        <v>3421</v>
      </c>
      <c r="H193" s="415" t="s">
        <v>790</v>
      </c>
      <c r="I193" s="639" t="s">
        <v>881</v>
      </c>
      <c r="J193" s="418" t="s">
        <v>882</v>
      </c>
      <c r="K193" s="418" t="s">
        <v>883</v>
      </c>
      <c r="L193" s="399" t="s">
        <v>798</v>
      </c>
      <c r="M193" s="544" t="s">
        <v>310</v>
      </c>
      <c r="N193" s="414">
        <v>44658</v>
      </c>
      <c r="O193" s="414" t="s">
        <v>400</v>
      </c>
      <c r="P193" s="603">
        <f t="shared" si="7"/>
        <v>4</v>
      </c>
      <c r="Q193" s="603">
        <f t="shared" si="8"/>
        <v>4</v>
      </c>
      <c r="R193" s="604" t="str">
        <f t="shared" si="9"/>
        <v>Gastos_Gerais</v>
      </c>
      <c r="S193" s="605" t="s">
        <v>310</v>
      </c>
      <c r="T193" s="605" t="s">
        <v>310</v>
      </c>
    </row>
    <row r="194" spans="1:20" ht="36" x14ac:dyDescent="0.2">
      <c r="A194" s="510">
        <f>IF(B194="","",COUNT('Diário 1º PA'!$A$4:$A$2635)+ROW()-3)</f>
        <v>1927</v>
      </c>
      <c r="B194" s="414">
        <v>44658</v>
      </c>
      <c r="C194" s="424">
        <v>44652</v>
      </c>
      <c r="D194" s="415" t="s">
        <v>271</v>
      </c>
      <c r="E194" s="415" t="s">
        <v>71</v>
      </c>
      <c r="F194" s="425">
        <v>11</v>
      </c>
      <c r="G194" s="427" t="s">
        <v>3423</v>
      </c>
      <c r="H194" s="415" t="s">
        <v>758</v>
      </c>
      <c r="I194" s="639" t="s">
        <v>881</v>
      </c>
      <c r="J194" s="418" t="s">
        <v>882</v>
      </c>
      <c r="K194" s="418" t="s">
        <v>883</v>
      </c>
      <c r="L194" s="399" t="s">
        <v>798</v>
      </c>
      <c r="M194" s="544" t="s">
        <v>310</v>
      </c>
      <c r="N194" s="414">
        <v>44658</v>
      </c>
      <c r="O194" s="414" t="s">
        <v>400</v>
      </c>
      <c r="P194" s="603">
        <f t="shared" si="7"/>
        <v>4</v>
      </c>
      <c r="Q194" s="603">
        <f t="shared" si="8"/>
        <v>4</v>
      </c>
      <c r="R194" s="604" t="str">
        <f t="shared" si="9"/>
        <v>Gastos_Gerais</v>
      </c>
      <c r="S194" s="605" t="s">
        <v>310</v>
      </c>
      <c r="T194" s="605" t="s">
        <v>310</v>
      </c>
    </row>
    <row r="195" spans="1:20" ht="72" x14ac:dyDescent="0.2">
      <c r="A195" s="510">
        <f>IF(B195="","",COUNT('Diário 1º PA'!$A$4:$A$2635)+ROW()-3)</f>
        <v>1928</v>
      </c>
      <c r="B195" s="414">
        <v>44658</v>
      </c>
      <c r="C195" s="431">
        <v>44652</v>
      </c>
      <c r="D195" s="434" t="s">
        <v>468</v>
      </c>
      <c r="E195" s="434" t="s">
        <v>468</v>
      </c>
      <c r="F195" s="425">
        <v>5499</v>
      </c>
      <c r="G195" s="427" t="s">
        <v>3295</v>
      </c>
      <c r="H195" s="415" t="s">
        <v>468</v>
      </c>
      <c r="I195" s="427" t="s">
        <v>4216</v>
      </c>
      <c r="J195" s="415" t="s">
        <v>2420</v>
      </c>
      <c r="K195" s="415" t="s">
        <v>830</v>
      </c>
      <c r="L195" s="415" t="s">
        <v>807</v>
      </c>
      <c r="M195" s="415">
        <v>1473</v>
      </c>
      <c r="N195" s="414">
        <v>44658</v>
      </c>
      <c r="O195" s="414" t="s">
        <v>407</v>
      </c>
      <c r="P195" s="603">
        <f t="shared" si="7"/>
        <v>4</v>
      </c>
      <c r="Q195" s="603">
        <f t="shared" si="8"/>
        <v>4</v>
      </c>
      <c r="R195" s="604" t="str">
        <f t="shared" si="9"/>
        <v>Gastos_custeados_por_captação</v>
      </c>
      <c r="S195" s="605" t="s">
        <v>999</v>
      </c>
      <c r="T195" s="605">
        <v>3126</v>
      </c>
    </row>
    <row r="196" spans="1:20" ht="72" x14ac:dyDescent="0.2">
      <c r="A196" s="510">
        <f>IF(B196="","",COUNT('Diário 1º PA'!$A$4:$A$2635)+ROW()-3)</f>
        <v>1929</v>
      </c>
      <c r="B196" s="414">
        <v>44658</v>
      </c>
      <c r="C196" s="431">
        <v>44652</v>
      </c>
      <c r="D196" s="415" t="s">
        <v>468</v>
      </c>
      <c r="E196" s="415" t="s">
        <v>468</v>
      </c>
      <c r="F196" s="425">
        <v>210.4</v>
      </c>
      <c r="G196" s="427" t="s">
        <v>3233</v>
      </c>
      <c r="H196" s="415" t="s">
        <v>468</v>
      </c>
      <c r="I196" s="427" t="s">
        <v>4218</v>
      </c>
      <c r="J196" s="415" t="s">
        <v>3234</v>
      </c>
      <c r="K196" s="415" t="s">
        <v>830</v>
      </c>
      <c r="L196" s="415" t="s">
        <v>807</v>
      </c>
      <c r="M196" s="415">
        <v>4299207</v>
      </c>
      <c r="N196" s="414">
        <v>44658</v>
      </c>
      <c r="O196" s="414" t="s">
        <v>407</v>
      </c>
      <c r="P196" s="603">
        <f t="shared" si="7"/>
        <v>4</v>
      </c>
      <c r="Q196" s="603">
        <f t="shared" si="8"/>
        <v>4</v>
      </c>
      <c r="R196" s="604" t="str">
        <f t="shared" si="9"/>
        <v>Gastos_custeados_por_captação</v>
      </c>
      <c r="S196" s="605" t="s">
        <v>999</v>
      </c>
      <c r="T196" s="605">
        <v>3346</v>
      </c>
    </row>
    <row r="197" spans="1:20" s="88" customFormat="1" ht="72" x14ac:dyDescent="0.2">
      <c r="A197" s="510">
        <f>IF(B197="","",COUNT('Diário 1º PA'!$A$4:$A$2635)+ROW()-3)</f>
        <v>1930</v>
      </c>
      <c r="B197" s="414">
        <v>44658</v>
      </c>
      <c r="C197" s="431">
        <v>44652</v>
      </c>
      <c r="D197" s="434" t="s">
        <v>468</v>
      </c>
      <c r="E197" s="434" t="s">
        <v>468</v>
      </c>
      <c r="F197" s="425">
        <v>999.9</v>
      </c>
      <c r="G197" s="427" t="s">
        <v>3249</v>
      </c>
      <c r="H197" s="415" t="s">
        <v>468</v>
      </c>
      <c r="I197" s="427" t="s">
        <v>4217</v>
      </c>
      <c r="J197" s="415" t="s">
        <v>3250</v>
      </c>
      <c r="K197" s="415" t="s">
        <v>830</v>
      </c>
      <c r="L197" s="415" t="s">
        <v>807</v>
      </c>
      <c r="M197" s="415">
        <v>4640</v>
      </c>
      <c r="N197" s="414">
        <v>44658</v>
      </c>
      <c r="O197" s="414" t="s">
        <v>407</v>
      </c>
      <c r="P197" s="603">
        <f t="shared" si="7"/>
        <v>4</v>
      </c>
      <c r="Q197" s="603">
        <f t="shared" si="8"/>
        <v>4</v>
      </c>
      <c r="R197" s="604" t="str">
        <f t="shared" si="9"/>
        <v>Gastos_custeados_por_captação</v>
      </c>
      <c r="S197" s="605" t="s">
        <v>999</v>
      </c>
      <c r="T197" s="605">
        <v>3366</v>
      </c>
    </row>
    <row r="198" spans="1:20" s="88" customFormat="1" ht="36" x14ac:dyDescent="0.2">
      <c r="A198" s="510">
        <f>IF(B198="","",COUNT('Diário 1º PA'!$A$4:$A$2635)+ROW()-3)</f>
        <v>1931</v>
      </c>
      <c r="B198" s="414">
        <v>44659</v>
      </c>
      <c r="C198" s="424">
        <v>44621</v>
      </c>
      <c r="D198" s="415" t="s">
        <v>271</v>
      </c>
      <c r="E198" s="415" t="s">
        <v>453</v>
      </c>
      <c r="F198" s="425">
        <v>420</v>
      </c>
      <c r="G198" s="427" t="s">
        <v>2282</v>
      </c>
      <c r="H198" s="415" t="s">
        <v>761</v>
      </c>
      <c r="I198" s="427" t="s">
        <v>3444</v>
      </c>
      <c r="J198" s="415" t="s">
        <v>2283</v>
      </c>
      <c r="K198" s="415" t="s">
        <v>806</v>
      </c>
      <c r="L198" s="415" t="s">
        <v>839</v>
      </c>
      <c r="M198" s="415">
        <v>1688</v>
      </c>
      <c r="N198" s="414">
        <v>44658</v>
      </c>
      <c r="O198" s="414" t="s">
        <v>400</v>
      </c>
      <c r="P198" s="603">
        <f t="shared" si="7"/>
        <v>4</v>
      </c>
      <c r="Q198" s="603">
        <f t="shared" si="8"/>
        <v>3</v>
      </c>
      <c r="R198" s="604" t="str">
        <f t="shared" si="9"/>
        <v>Gastos_Gerais</v>
      </c>
      <c r="S198" s="605" t="s">
        <v>998</v>
      </c>
      <c r="T198" s="605">
        <v>3183</v>
      </c>
    </row>
    <row r="199" spans="1:20" s="88" customFormat="1" ht="24" x14ac:dyDescent="0.2">
      <c r="A199" s="510">
        <f>IF(B199="","",COUNT('Diário 1º PA'!$A$4:$A$2635)+ROW()-3)</f>
        <v>1932</v>
      </c>
      <c r="B199" s="414">
        <v>44659</v>
      </c>
      <c r="C199" s="424">
        <v>44652</v>
      </c>
      <c r="D199" s="415" t="s">
        <v>271</v>
      </c>
      <c r="E199" s="415" t="s">
        <v>297</v>
      </c>
      <c r="F199" s="425">
        <v>112</v>
      </c>
      <c r="G199" s="427" t="s">
        <v>2731</v>
      </c>
      <c r="H199" s="419" t="s">
        <v>753</v>
      </c>
      <c r="I199" s="427" t="s">
        <v>1530</v>
      </c>
      <c r="J199" s="415" t="s">
        <v>1254</v>
      </c>
      <c r="K199" s="415" t="s">
        <v>812</v>
      </c>
      <c r="L199" s="415" t="s">
        <v>807</v>
      </c>
      <c r="M199" s="415" t="s">
        <v>3447</v>
      </c>
      <c r="N199" s="414">
        <v>44651</v>
      </c>
      <c r="O199" s="414" t="s">
        <v>400</v>
      </c>
      <c r="P199" s="603">
        <f t="shared" si="7"/>
        <v>4</v>
      </c>
      <c r="Q199" s="603">
        <f t="shared" si="8"/>
        <v>4</v>
      </c>
      <c r="R199" s="604" t="str">
        <f t="shared" si="9"/>
        <v>Gastos_Gerais</v>
      </c>
      <c r="S199" s="605" t="s">
        <v>999</v>
      </c>
      <c r="T199" s="605">
        <v>3323</v>
      </c>
    </row>
    <row r="200" spans="1:20" s="88" customFormat="1" ht="48" x14ac:dyDescent="0.2">
      <c r="A200" s="510">
        <f>IF(B200="","",COUNT('Diário 1º PA'!$A$4:$A$2635)+ROW()-3)</f>
        <v>1933</v>
      </c>
      <c r="B200" s="414">
        <v>44659</v>
      </c>
      <c r="C200" s="424">
        <v>44531</v>
      </c>
      <c r="D200" s="415" t="s">
        <v>271</v>
      </c>
      <c r="E200" s="415" t="s">
        <v>459</v>
      </c>
      <c r="F200" s="425">
        <v>74.5</v>
      </c>
      <c r="G200" s="427" t="s">
        <v>2142</v>
      </c>
      <c r="H200" s="419" t="s">
        <v>755</v>
      </c>
      <c r="I200" s="423" t="s">
        <v>755</v>
      </c>
      <c r="J200" s="415" t="s">
        <v>310</v>
      </c>
      <c r="K200" s="415" t="s">
        <v>1220</v>
      </c>
      <c r="L200" s="415" t="s">
        <v>3443</v>
      </c>
      <c r="M200" s="546">
        <v>222070362185</v>
      </c>
      <c r="N200" s="414">
        <v>44659</v>
      </c>
      <c r="O200" s="414" t="s">
        <v>400</v>
      </c>
      <c r="P200" s="603">
        <f t="shared" ref="P200:P263" si="10">IF(B200=0,0,IF(YEAR(B200)=$Q$1,MONTH(B200)-$P$1+1,(YEAR(B200)-$Q$1)*12-$P$1+1+MONTH(B200)))</f>
        <v>4</v>
      </c>
      <c r="Q200" s="603">
        <f t="shared" ref="Q200:Q263" si="11">IF(C200=0,0,IF(YEAR(C200)=$Q$1,MONTH(C200)-$P$1+1,(YEAR(C200)-$Q$1)*12-$P$1+1+MONTH(C200)))</f>
        <v>0</v>
      </c>
      <c r="R200" s="604" t="str">
        <f t="shared" ref="R200:R263" si="12">SUBSTITUTE(D200," ","_")</f>
        <v>Gastos_Gerais</v>
      </c>
      <c r="S200" s="605" t="s">
        <v>310</v>
      </c>
      <c r="T200" s="605" t="s">
        <v>310</v>
      </c>
    </row>
    <row r="201" spans="1:20" s="88" customFormat="1" ht="60" x14ac:dyDescent="0.2">
      <c r="A201" s="510">
        <f>IF(B201="","",COUNT('Diário 1º PA'!$A$4:$A$2635)+ROW()-3)</f>
        <v>1934</v>
      </c>
      <c r="B201" s="414">
        <v>44659</v>
      </c>
      <c r="C201" s="424">
        <v>44562</v>
      </c>
      <c r="D201" s="415" t="s">
        <v>271</v>
      </c>
      <c r="E201" s="415" t="s">
        <v>466</v>
      </c>
      <c r="F201" s="425">
        <v>150</v>
      </c>
      <c r="G201" s="427" t="s">
        <v>2207</v>
      </c>
      <c r="H201" s="419" t="s">
        <v>754</v>
      </c>
      <c r="I201" s="427" t="s">
        <v>764</v>
      </c>
      <c r="J201" s="415" t="s">
        <v>310</v>
      </c>
      <c r="K201" s="415" t="s">
        <v>1220</v>
      </c>
      <c r="L201" s="415" t="s">
        <v>3443</v>
      </c>
      <c r="M201" s="546">
        <v>222070362509</v>
      </c>
      <c r="N201" s="414">
        <v>44659</v>
      </c>
      <c r="O201" s="414" t="s">
        <v>400</v>
      </c>
      <c r="P201" s="603">
        <f>IF(B201=0,0,IF(YEAR(B201)=$Q$1,MONTH(B201)-$P$1+1,(YEAR(B201)-$Q$1)*12-$P$1+1+MONTH(B201)))</f>
        <v>4</v>
      </c>
      <c r="Q201" s="603">
        <f t="shared" si="11"/>
        <v>1</v>
      </c>
      <c r="R201" s="604" t="str">
        <f t="shared" si="12"/>
        <v>Gastos_Gerais</v>
      </c>
      <c r="S201" s="605" t="s">
        <v>310</v>
      </c>
      <c r="T201" s="605" t="s">
        <v>310</v>
      </c>
    </row>
    <row r="202" spans="1:20" s="88" customFormat="1" ht="36" x14ac:dyDescent="0.2">
      <c r="A202" s="510">
        <f>IF(B202="","",COUNT('Diário 1º PA'!$A$4:$A$2635)+ROW()-3)</f>
        <v>1935</v>
      </c>
      <c r="B202" s="414">
        <v>44659</v>
      </c>
      <c r="C202" s="424">
        <v>44593</v>
      </c>
      <c r="D202" s="415" t="s">
        <v>271</v>
      </c>
      <c r="E202" s="415" t="s">
        <v>453</v>
      </c>
      <c r="F202" s="425">
        <v>64</v>
      </c>
      <c r="G202" s="427" t="s">
        <v>2175</v>
      </c>
      <c r="H202" s="419" t="s">
        <v>752</v>
      </c>
      <c r="I202" s="427" t="s">
        <v>764</v>
      </c>
      <c r="J202" s="415" t="s">
        <v>310</v>
      </c>
      <c r="K202" s="415" t="s">
        <v>1220</v>
      </c>
      <c r="L202" s="415" t="s">
        <v>3443</v>
      </c>
      <c r="M202" s="546" t="s">
        <v>3448</v>
      </c>
      <c r="N202" s="414">
        <v>44659</v>
      </c>
      <c r="O202" s="414" t="s">
        <v>400</v>
      </c>
      <c r="P202" s="603">
        <f t="shared" si="10"/>
        <v>4</v>
      </c>
      <c r="Q202" s="603">
        <f t="shared" si="11"/>
        <v>2</v>
      </c>
      <c r="R202" s="604" t="str">
        <f>SUBSTITUTE(D202," ","_")</f>
        <v>Gastos_Gerais</v>
      </c>
      <c r="S202" s="605" t="s">
        <v>310</v>
      </c>
      <c r="T202" s="605" t="s">
        <v>310</v>
      </c>
    </row>
    <row r="203" spans="1:20" s="88" customFormat="1" ht="36" x14ac:dyDescent="0.2">
      <c r="A203" s="510">
        <f>IF(B203="","",COUNT('Diário 1º PA'!$A$4:$A$2635)+ROW()-3)</f>
        <v>1936</v>
      </c>
      <c r="B203" s="414">
        <v>44659</v>
      </c>
      <c r="C203" s="424">
        <v>44593</v>
      </c>
      <c r="D203" s="415" t="s">
        <v>271</v>
      </c>
      <c r="E203" s="415" t="s">
        <v>453</v>
      </c>
      <c r="F203" s="425">
        <v>64</v>
      </c>
      <c r="G203" s="427" t="s">
        <v>2161</v>
      </c>
      <c r="H203" s="419" t="s">
        <v>752</v>
      </c>
      <c r="I203" s="427" t="s">
        <v>764</v>
      </c>
      <c r="J203" s="415" t="s">
        <v>310</v>
      </c>
      <c r="K203" s="415" t="s">
        <v>1220</v>
      </c>
      <c r="L203" s="415" t="s">
        <v>3443</v>
      </c>
      <c r="M203" s="546">
        <v>222070362851</v>
      </c>
      <c r="N203" s="414">
        <v>44659</v>
      </c>
      <c r="O203" s="414" t="s">
        <v>400</v>
      </c>
      <c r="P203" s="603">
        <f t="shared" si="10"/>
        <v>4</v>
      </c>
      <c r="Q203" s="603">
        <f t="shared" si="11"/>
        <v>2</v>
      </c>
      <c r="R203" s="604" t="str">
        <f t="shared" si="12"/>
        <v>Gastos_Gerais</v>
      </c>
      <c r="S203" s="605" t="s">
        <v>310</v>
      </c>
      <c r="T203" s="605" t="s">
        <v>310</v>
      </c>
    </row>
    <row r="204" spans="1:20" s="88" customFormat="1" ht="36" x14ac:dyDescent="0.2">
      <c r="A204" s="510">
        <f>IF(B204="","",COUNT('Diário 1º PA'!$A$4:$A$2635)+ROW()-3)</f>
        <v>1937</v>
      </c>
      <c r="B204" s="414">
        <v>44659</v>
      </c>
      <c r="C204" s="424">
        <v>44593</v>
      </c>
      <c r="D204" s="415" t="s">
        <v>271</v>
      </c>
      <c r="E204" s="415" t="s">
        <v>453</v>
      </c>
      <c r="F204" s="425">
        <v>128</v>
      </c>
      <c r="G204" s="427" t="s">
        <v>2183</v>
      </c>
      <c r="H204" s="419" t="s">
        <v>752</v>
      </c>
      <c r="I204" s="427" t="s">
        <v>764</v>
      </c>
      <c r="J204" s="415" t="s">
        <v>310</v>
      </c>
      <c r="K204" s="415" t="s">
        <v>1220</v>
      </c>
      <c r="L204" s="415" t="s">
        <v>3443</v>
      </c>
      <c r="M204" s="546">
        <v>222070363076</v>
      </c>
      <c r="N204" s="414">
        <v>44659</v>
      </c>
      <c r="O204" s="414" t="s">
        <v>400</v>
      </c>
      <c r="P204" s="603">
        <f t="shared" si="10"/>
        <v>4</v>
      </c>
      <c r="Q204" s="603">
        <f t="shared" si="11"/>
        <v>2</v>
      </c>
      <c r="R204" s="604" t="str">
        <f t="shared" si="12"/>
        <v>Gastos_Gerais</v>
      </c>
      <c r="S204" s="605" t="s">
        <v>310</v>
      </c>
      <c r="T204" s="605" t="s">
        <v>310</v>
      </c>
    </row>
    <row r="205" spans="1:20" s="88" customFormat="1" ht="36" x14ac:dyDescent="0.2">
      <c r="A205" s="510">
        <f>IF(B205="","",COUNT('Diário 1º PA'!$A$4:$A$2635)+ROW()-3)</f>
        <v>1938</v>
      </c>
      <c r="B205" s="414">
        <v>44659</v>
      </c>
      <c r="C205" s="424">
        <v>44593</v>
      </c>
      <c r="D205" s="415" t="s">
        <v>271</v>
      </c>
      <c r="E205" s="415" t="s">
        <v>453</v>
      </c>
      <c r="F205" s="425">
        <v>120</v>
      </c>
      <c r="G205" s="427" t="s">
        <v>2163</v>
      </c>
      <c r="H205" s="419" t="s">
        <v>752</v>
      </c>
      <c r="I205" s="427" t="s">
        <v>764</v>
      </c>
      <c r="J205" s="415" t="s">
        <v>310</v>
      </c>
      <c r="K205" s="415" t="s">
        <v>1220</v>
      </c>
      <c r="L205" s="415" t="s">
        <v>3443</v>
      </c>
      <c r="M205" s="546" t="s">
        <v>3449</v>
      </c>
      <c r="N205" s="414">
        <v>44659</v>
      </c>
      <c r="O205" s="414" t="s">
        <v>400</v>
      </c>
      <c r="P205" s="603">
        <f t="shared" si="10"/>
        <v>4</v>
      </c>
      <c r="Q205" s="603">
        <f t="shared" si="11"/>
        <v>2</v>
      </c>
      <c r="R205" s="604" t="str">
        <f t="shared" si="12"/>
        <v>Gastos_Gerais</v>
      </c>
      <c r="S205" s="605" t="s">
        <v>310</v>
      </c>
      <c r="T205" s="605" t="s">
        <v>310</v>
      </c>
    </row>
    <row r="206" spans="1:20" s="88" customFormat="1" ht="36" x14ac:dyDescent="0.2">
      <c r="A206" s="510">
        <f>IF(B206="","",COUNT('Diário 1º PA'!$A$4:$A$2635)+ROW()-3)</f>
        <v>1939</v>
      </c>
      <c r="B206" s="414">
        <v>44659</v>
      </c>
      <c r="C206" s="424">
        <v>44593</v>
      </c>
      <c r="D206" s="415" t="s">
        <v>271</v>
      </c>
      <c r="E206" s="415" t="s">
        <v>453</v>
      </c>
      <c r="F206" s="425">
        <v>120</v>
      </c>
      <c r="G206" s="427" t="s">
        <v>2172</v>
      </c>
      <c r="H206" s="419" t="s">
        <v>752</v>
      </c>
      <c r="I206" s="427" t="s">
        <v>764</v>
      </c>
      <c r="J206" s="415" t="s">
        <v>310</v>
      </c>
      <c r="K206" s="415" t="s">
        <v>1220</v>
      </c>
      <c r="L206" s="415" t="s">
        <v>3443</v>
      </c>
      <c r="M206" s="546">
        <v>222070363408</v>
      </c>
      <c r="N206" s="414">
        <v>44659</v>
      </c>
      <c r="O206" s="414" t="s">
        <v>400</v>
      </c>
      <c r="P206" s="603">
        <f t="shared" si="10"/>
        <v>4</v>
      </c>
      <c r="Q206" s="603">
        <f t="shared" si="11"/>
        <v>2</v>
      </c>
      <c r="R206" s="604" t="str">
        <f t="shared" si="12"/>
        <v>Gastos_Gerais</v>
      </c>
      <c r="S206" s="605" t="s">
        <v>310</v>
      </c>
      <c r="T206" s="605" t="s">
        <v>310</v>
      </c>
    </row>
    <row r="207" spans="1:20" s="88" customFormat="1" ht="36" x14ac:dyDescent="0.2">
      <c r="A207" s="510">
        <f>IF(B207="","",COUNT('Diário 1º PA'!$A$4:$A$2635)+ROW()-3)</f>
        <v>1940</v>
      </c>
      <c r="B207" s="414">
        <v>44659</v>
      </c>
      <c r="C207" s="424">
        <v>44593</v>
      </c>
      <c r="D207" s="415" t="s">
        <v>271</v>
      </c>
      <c r="E207" s="415" t="s">
        <v>453</v>
      </c>
      <c r="F207" s="425">
        <v>128</v>
      </c>
      <c r="G207" s="427" t="s">
        <v>2203</v>
      </c>
      <c r="H207" s="419" t="s">
        <v>752</v>
      </c>
      <c r="I207" s="427" t="s">
        <v>764</v>
      </c>
      <c r="J207" s="415" t="s">
        <v>310</v>
      </c>
      <c r="K207" s="415" t="s">
        <v>1220</v>
      </c>
      <c r="L207" s="415" t="s">
        <v>3443</v>
      </c>
      <c r="M207" s="546">
        <v>222070363661</v>
      </c>
      <c r="N207" s="414">
        <v>44659</v>
      </c>
      <c r="O207" s="414" t="s">
        <v>400</v>
      </c>
      <c r="P207" s="603">
        <f t="shared" si="10"/>
        <v>4</v>
      </c>
      <c r="Q207" s="603">
        <f t="shared" si="11"/>
        <v>2</v>
      </c>
      <c r="R207" s="604" t="str">
        <f t="shared" si="12"/>
        <v>Gastos_Gerais</v>
      </c>
      <c r="S207" s="605" t="s">
        <v>310</v>
      </c>
      <c r="T207" s="605" t="s">
        <v>310</v>
      </c>
    </row>
    <row r="208" spans="1:20" s="88" customFormat="1" ht="36" x14ac:dyDescent="0.2">
      <c r="A208" s="510">
        <f>IF(B208="","",COUNT('Diário 1º PA'!$A$4:$A$2635)+ROW()-3)</f>
        <v>1941</v>
      </c>
      <c r="B208" s="414">
        <v>44659</v>
      </c>
      <c r="C208" s="424">
        <v>44593</v>
      </c>
      <c r="D208" s="415" t="s">
        <v>271</v>
      </c>
      <c r="E208" s="415" t="s">
        <v>453</v>
      </c>
      <c r="F208" s="425">
        <v>72</v>
      </c>
      <c r="G208" s="427" t="s">
        <v>2211</v>
      </c>
      <c r="H208" s="419" t="s">
        <v>752</v>
      </c>
      <c r="I208" s="427" t="s">
        <v>764</v>
      </c>
      <c r="J208" s="415" t="s">
        <v>310</v>
      </c>
      <c r="K208" s="415" t="s">
        <v>1220</v>
      </c>
      <c r="L208" s="415" t="s">
        <v>3443</v>
      </c>
      <c r="M208" s="546">
        <v>222070364048</v>
      </c>
      <c r="N208" s="414">
        <v>44659</v>
      </c>
      <c r="O208" s="414" t="s">
        <v>400</v>
      </c>
      <c r="P208" s="603">
        <f t="shared" si="10"/>
        <v>4</v>
      </c>
      <c r="Q208" s="603">
        <f t="shared" si="11"/>
        <v>2</v>
      </c>
      <c r="R208" s="604" t="str">
        <f t="shared" si="12"/>
        <v>Gastos_Gerais</v>
      </c>
      <c r="S208" s="605" t="s">
        <v>310</v>
      </c>
      <c r="T208" s="605" t="s">
        <v>310</v>
      </c>
    </row>
    <row r="209" spans="1:20" s="88" customFormat="1" ht="36" x14ac:dyDescent="0.2">
      <c r="A209" s="510">
        <f>IF(B209="","",COUNT('Diário 1º PA'!$A$4:$A$2635)+ROW()-3)</f>
        <v>1942</v>
      </c>
      <c r="B209" s="414">
        <v>44659</v>
      </c>
      <c r="C209" s="424">
        <v>44562</v>
      </c>
      <c r="D209" s="415" t="s">
        <v>271</v>
      </c>
      <c r="E209" s="415" t="s">
        <v>297</v>
      </c>
      <c r="F209" s="425">
        <v>175</v>
      </c>
      <c r="G209" s="427" t="s">
        <v>2199</v>
      </c>
      <c r="H209" s="419" t="s">
        <v>752</v>
      </c>
      <c r="I209" s="427" t="s">
        <v>764</v>
      </c>
      <c r="J209" s="415" t="s">
        <v>310</v>
      </c>
      <c r="K209" s="415" t="s">
        <v>1220</v>
      </c>
      <c r="L209" s="415" t="s">
        <v>3443</v>
      </c>
      <c r="M209" s="546">
        <v>222070365362</v>
      </c>
      <c r="N209" s="414">
        <v>44659</v>
      </c>
      <c r="O209" s="414" t="s">
        <v>400</v>
      </c>
      <c r="P209" s="603">
        <f t="shared" si="10"/>
        <v>4</v>
      </c>
      <c r="Q209" s="603">
        <f t="shared" si="11"/>
        <v>1</v>
      </c>
      <c r="R209" s="604" t="str">
        <f t="shared" si="12"/>
        <v>Gastos_Gerais</v>
      </c>
      <c r="S209" s="605" t="s">
        <v>310</v>
      </c>
      <c r="T209" s="605" t="s">
        <v>310</v>
      </c>
    </row>
    <row r="210" spans="1:20" s="88" customFormat="1" ht="48" x14ac:dyDescent="0.2">
      <c r="A210" s="510">
        <f>IF(B210="","",COUNT('Diário 1º PA'!$A$4:$A$2635)+ROW()-3)</f>
        <v>1943</v>
      </c>
      <c r="B210" s="414">
        <v>44659</v>
      </c>
      <c r="C210" s="424">
        <v>44621</v>
      </c>
      <c r="D210" s="415" t="s">
        <v>271</v>
      </c>
      <c r="E210" s="415" t="s">
        <v>442</v>
      </c>
      <c r="F210" s="425">
        <v>75</v>
      </c>
      <c r="G210" s="427" t="s">
        <v>2246</v>
      </c>
      <c r="H210" s="419" t="s">
        <v>755</v>
      </c>
      <c r="I210" s="427" t="s">
        <v>764</v>
      </c>
      <c r="J210" s="415" t="s">
        <v>310</v>
      </c>
      <c r="K210" s="415" t="s">
        <v>1220</v>
      </c>
      <c r="L210" s="415" t="s">
        <v>3443</v>
      </c>
      <c r="M210" s="546">
        <v>222070365958</v>
      </c>
      <c r="N210" s="414">
        <v>44659</v>
      </c>
      <c r="O210" s="414" t="s">
        <v>400</v>
      </c>
      <c r="P210" s="603">
        <f t="shared" si="10"/>
        <v>4</v>
      </c>
      <c r="Q210" s="603">
        <f t="shared" si="11"/>
        <v>3</v>
      </c>
      <c r="R210" s="604" t="str">
        <f t="shared" si="12"/>
        <v>Gastos_Gerais</v>
      </c>
      <c r="S210" s="605" t="s">
        <v>310</v>
      </c>
      <c r="T210" s="605" t="s">
        <v>310</v>
      </c>
    </row>
    <row r="211" spans="1:20" s="88" customFormat="1" ht="48" x14ac:dyDescent="0.2">
      <c r="A211" s="510">
        <f>IF(B211="","",COUNT('Diário 1º PA'!$A$4:$A$2635)+ROW()-3)</f>
        <v>1944</v>
      </c>
      <c r="B211" s="414">
        <v>44659</v>
      </c>
      <c r="C211" s="424">
        <v>44621</v>
      </c>
      <c r="D211" s="415" t="s">
        <v>271</v>
      </c>
      <c r="E211" s="415" t="s">
        <v>442</v>
      </c>
      <c r="F211" s="425">
        <v>30</v>
      </c>
      <c r="G211" s="427" t="s">
        <v>2301</v>
      </c>
      <c r="H211" s="419" t="s">
        <v>790</v>
      </c>
      <c r="I211" s="427" t="s">
        <v>764</v>
      </c>
      <c r="J211" s="415" t="s">
        <v>310</v>
      </c>
      <c r="K211" s="415" t="s">
        <v>1220</v>
      </c>
      <c r="L211" s="415" t="s">
        <v>3443</v>
      </c>
      <c r="M211" s="546">
        <v>222070366415</v>
      </c>
      <c r="N211" s="414">
        <v>44659</v>
      </c>
      <c r="O211" s="414" t="s">
        <v>400</v>
      </c>
      <c r="P211" s="603">
        <f t="shared" si="10"/>
        <v>4</v>
      </c>
      <c r="Q211" s="603">
        <f t="shared" si="11"/>
        <v>3</v>
      </c>
      <c r="R211" s="604" t="str">
        <f t="shared" si="12"/>
        <v>Gastos_Gerais</v>
      </c>
      <c r="S211" s="605" t="s">
        <v>310</v>
      </c>
      <c r="T211" s="605" t="s">
        <v>310</v>
      </c>
    </row>
    <row r="212" spans="1:20" s="88" customFormat="1" ht="36" x14ac:dyDescent="0.2">
      <c r="A212" s="510">
        <f>IF(B212="","",COUNT('Diário 1º PA'!$A$4:$A$2635)+ROW()-3)</f>
        <v>1945</v>
      </c>
      <c r="B212" s="414">
        <v>44659</v>
      </c>
      <c r="C212" s="424">
        <v>44593</v>
      </c>
      <c r="D212" s="415" t="s">
        <v>271</v>
      </c>
      <c r="E212" s="415" t="s">
        <v>453</v>
      </c>
      <c r="F212" s="425">
        <v>8</v>
      </c>
      <c r="G212" s="427" t="s">
        <v>2335</v>
      </c>
      <c r="H212" s="419" t="s">
        <v>752</v>
      </c>
      <c r="I212" s="427" t="s">
        <v>764</v>
      </c>
      <c r="J212" s="415" t="s">
        <v>310</v>
      </c>
      <c r="K212" s="415" t="s">
        <v>1220</v>
      </c>
      <c r="L212" s="415" t="s">
        <v>3443</v>
      </c>
      <c r="M212" s="546">
        <v>222070366920</v>
      </c>
      <c r="N212" s="414">
        <v>44659</v>
      </c>
      <c r="O212" s="414" t="s">
        <v>400</v>
      </c>
      <c r="P212" s="603">
        <f t="shared" si="10"/>
        <v>4</v>
      </c>
      <c r="Q212" s="603">
        <f t="shared" si="11"/>
        <v>2</v>
      </c>
      <c r="R212" s="604" t="str">
        <f t="shared" si="12"/>
        <v>Gastos_Gerais</v>
      </c>
      <c r="S212" s="605" t="s">
        <v>310</v>
      </c>
      <c r="T212" s="605" t="s">
        <v>310</v>
      </c>
    </row>
    <row r="213" spans="1:20" s="88" customFormat="1" ht="36" x14ac:dyDescent="0.2">
      <c r="A213" s="510">
        <f>IF(B213="","",COUNT('Diário 1º PA'!$A$4:$A$2635)+ROW()-3)</f>
        <v>1946</v>
      </c>
      <c r="B213" s="414">
        <v>44659</v>
      </c>
      <c r="C213" s="424">
        <v>44621</v>
      </c>
      <c r="D213" s="415" t="s">
        <v>271</v>
      </c>
      <c r="E213" s="415" t="s">
        <v>297</v>
      </c>
      <c r="F213" s="425">
        <v>402</v>
      </c>
      <c r="G213" s="427" t="s">
        <v>2560</v>
      </c>
      <c r="H213" s="419" t="s">
        <v>748</v>
      </c>
      <c r="I213" s="427" t="s">
        <v>764</v>
      </c>
      <c r="J213" s="415" t="s">
        <v>310</v>
      </c>
      <c r="K213" s="415" t="s">
        <v>1220</v>
      </c>
      <c r="L213" s="415" t="s">
        <v>3443</v>
      </c>
      <c r="M213" s="546">
        <v>222070367900</v>
      </c>
      <c r="N213" s="414">
        <v>44659</v>
      </c>
      <c r="O213" s="414" t="s">
        <v>400</v>
      </c>
      <c r="P213" s="603">
        <f t="shared" si="10"/>
        <v>4</v>
      </c>
      <c r="Q213" s="603">
        <f t="shared" si="11"/>
        <v>3</v>
      </c>
      <c r="R213" s="604" t="str">
        <f t="shared" si="12"/>
        <v>Gastos_Gerais</v>
      </c>
      <c r="S213" s="605" t="s">
        <v>310</v>
      </c>
      <c r="T213" s="605" t="s">
        <v>310</v>
      </c>
    </row>
    <row r="214" spans="1:20" s="88" customFormat="1" ht="48" x14ac:dyDescent="0.2">
      <c r="A214" s="510">
        <f>IF(B214="","",COUNT('Diário 1º PA'!$A$4:$A$2635)+ROW()-3)</f>
        <v>1947</v>
      </c>
      <c r="B214" s="414">
        <v>44659</v>
      </c>
      <c r="C214" s="424">
        <v>44593</v>
      </c>
      <c r="D214" s="415" t="s">
        <v>271</v>
      </c>
      <c r="E214" s="415" t="s">
        <v>456</v>
      </c>
      <c r="F214" s="425">
        <v>150</v>
      </c>
      <c r="G214" s="427" t="s">
        <v>2216</v>
      </c>
      <c r="H214" s="419" t="s">
        <v>755</v>
      </c>
      <c r="I214" s="427" t="s">
        <v>764</v>
      </c>
      <c r="J214" s="415" t="s">
        <v>310</v>
      </c>
      <c r="K214" s="415" t="s">
        <v>1220</v>
      </c>
      <c r="L214" s="415" t="s">
        <v>3443</v>
      </c>
      <c r="M214" s="546">
        <v>222070368620</v>
      </c>
      <c r="N214" s="414">
        <v>44659</v>
      </c>
      <c r="O214" s="414" t="s">
        <v>400</v>
      </c>
      <c r="P214" s="603">
        <f t="shared" si="10"/>
        <v>4</v>
      </c>
      <c r="Q214" s="603">
        <f t="shared" si="11"/>
        <v>2</v>
      </c>
      <c r="R214" s="604" t="str">
        <f t="shared" si="12"/>
        <v>Gastos_Gerais</v>
      </c>
      <c r="S214" s="605" t="s">
        <v>310</v>
      </c>
      <c r="T214" s="605" t="s">
        <v>310</v>
      </c>
    </row>
    <row r="215" spans="1:20" s="88" customFormat="1" ht="48" x14ac:dyDescent="0.2">
      <c r="A215" s="510">
        <f>IF(B215="","",COUNT('Diário 1º PA'!$A$4:$A$2635)+ROW()-3)</f>
        <v>1948</v>
      </c>
      <c r="B215" s="414">
        <v>44659</v>
      </c>
      <c r="C215" s="424">
        <v>44593</v>
      </c>
      <c r="D215" s="415" t="s">
        <v>271</v>
      </c>
      <c r="E215" s="415" t="s">
        <v>442</v>
      </c>
      <c r="F215" s="425">
        <v>69</v>
      </c>
      <c r="G215" s="427" t="s">
        <v>2137</v>
      </c>
      <c r="H215" s="419" t="s">
        <v>755</v>
      </c>
      <c r="I215" s="427" t="s">
        <v>764</v>
      </c>
      <c r="J215" s="415" t="s">
        <v>310</v>
      </c>
      <c r="K215" s="415" t="s">
        <v>1220</v>
      </c>
      <c r="L215" s="415" t="s">
        <v>3443</v>
      </c>
      <c r="M215" s="546" t="s">
        <v>3450</v>
      </c>
      <c r="N215" s="414">
        <v>44659</v>
      </c>
      <c r="O215" s="414" t="s">
        <v>400</v>
      </c>
      <c r="P215" s="603">
        <f t="shared" si="10"/>
        <v>4</v>
      </c>
      <c r="Q215" s="603">
        <f t="shared" si="11"/>
        <v>2</v>
      </c>
      <c r="R215" s="604" t="str">
        <f t="shared" si="12"/>
        <v>Gastos_Gerais</v>
      </c>
      <c r="S215" s="605" t="s">
        <v>310</v>
      </c>
      <c r="T215" s="605" t="s">
        <v>310</v>
      </c>
    </row>
    <row r="216" spans="1:20" s="88" customFormat="1" ht="48" x14ac:dyDescent="0.2">
      <c r="A216" s="510">
        <f>IF(B216="","",COUNT('Diário 1º PA'!$A$4:$A$2635)+ROW()-3)</f>
        <v>1949</v>
      </c>
      <c r="B216" s="414">
        <v>44659</v>
      </c>
      <c r="C216" s="424">
        <v>44593</v>
      </c>
      <c r="D216" s="415" t="s">
        <v>271</v>
      </c>
      <c r="E216" s="415" t="s">
        <v>456</v>
      </c>
      <c r="F216" s="425">
        <v>18.96</v>
      </c>
      <c r="G216" s="427" t="s">
        <v>2145</v>
      </c>
      <c r="H216" s="419" t="s">
        <v>790</v>
      </c>
      <c r="I216" s="427" t="s">
        <v>764</v>
      </c>
      <c r="J216" s="415" t="s">
        <v>310</v>
      </c>
      <c r="K216" s="415" t="s">
        <v>1220</v>
      </c>
      <c r="L216" s="415" t="s">
        <v>3443</v>
      </c>
      <c r="M216" s="546" t="s">
        <v>3451</v>
      </c>
      <c r="N216" s="414">
        <v>44659</v>
      </c>
      <c r="O216" s="414" t="s">
        <v>400</v>
      </c>
      <c r="P216" s="603">
        <f t="shared" si="10"/>
        <v>4</v>
      </c>
      <c r="Q216" s="603">
        <f t="shared" si="11"/>
        <v>2</v>
      </c>
      <c r="R216" s="604" t="str">
        <f t="shared" si="12"/>
        <v>Gastos_Gerais</v>
      </c>
      <c r="S216" s="605" t="s">
        <v>310</v>
      </c>
      <c r="T216" s="605" t="s">
        <v>310</v>
      </c>
    </row>
    <row r="217" spans="1:20" s="88" customFormat="1" ht="36" x14ac:dyDescent="0.2">
      <c r="A217" s="510">
        <f>IF(B217="","",COUNT('Diário 1º PA'!$A$4:$A$2635)+ROW()-3)</f>
        <v>1950</v>
      </c>
      <c r="B217" s="414">
        <v>44659</v>
      </c>
      <c r="C217" s="424">
        <v>44621</v>
      </c>
      <c r="D217" s="415" t="s">
        <v>271</v>
      </c>
      <c r="E217" s="415" t="s">
        <v>444</v>
      </c>
      <c r="F217" s="425">
        <v>196.8</v>
      </c>
      <c r="G217" s="427" t="s">
        <v>2149</v>
      </c>
      <c r="H217" s="419" t="s">
        <v>752</v>
      </c>
      <c r="I217" s="427" t="s">
        <v>764</v>
      </c>
      <c r="J217" s="415" t="s">
        <v>310</v>
      </c>
      <c r="K217" s="415" t="s">
        <v>1220</v>
      </c>
      <c r="L217" s="415" t="s">
        <v>3443</v>
      </c>
      <c r="M217" s="546" t="s">
        <v>3452</v>
      </c>
      <c r="N217" s="414">
        <v>44659</v>
      </c>
      <c r="O217" s="414" t="s">
        <v>400</v>
      </c>
      <c r="P217" s="603">
        <f t="shared" si="10"/>
        <v>4</v>
      </c>
      <c r="Q217" s="603">
        <f t="shared" si="11"/>
        <v>3</v>
      </c>
      <c r="R217" s="604" t="str">
        <f t="shared" si="12"/>
        <v>Gastos_Gerais</v>
      </c>
      <c r="S217" s="605" t="s">
        <v>310</v>
      </c>
      <c r="T217" s="605" t="s">
        <v>310</v>
      </c>
    </row>
    <row r="218" spans="1:20" s="88" customFormat="1" ht="60" x14ac:dyDescent="0.2">
      <c r="A218" s="510">
        <f>IF(B218="","",COUNT('Diário 1º PA'!$A$4:$A$2635)+ROW()-3)</f>
        <v>1951</v>
      </c>
      <c r="B218" s="414">
        <v>44659</v>
      </c>
      <c r="C218" s="424">
        <v>44593</v>
      </c>
      <c r="D218" s="415" t="s">
        <v>271</v>
      </c>
      <c r="E218" s="415" t="s">
        <v>253</v>
      </c>
      <c r="F218" s="425">
        <v>12.64</v>
      </c>
      <c r="G218" s="427" t="s">
        <v>2232</v>
      </c>
      <c r="H218" s="419" t="s">
        <v>754</v>
      </c>
      <c r="I218" s="427" t="s">
        <v>764</v>
      </c>
      <c r="J218" s="415" t="s">
        <v>310</v>
      </c>
      <c r="K218" s="415" t="s">
        <v>1220</v>
      </c>
      <c r="L218" s="415" t="s">
        <v>3443</v>
      </c>
      <c r="M218" s="546">
        <v>222070370285</v>
      </c>
      <c r="N218" s="414">
        <v>44659</v>
      </c>
      <c r="O218" s="414" t="s">
        <v>400</v>
      </c>
      <c r="P218" s="603">
        <f t="shared" si="10"/>
        <v>4</v>
      </c>
      <c r="Q218" s="603">
        <f t="shared" si="11"/>
        <v>2</v>
      </c>
      <c r="R218" s="604" t="str">
        <f t="shared" si="12"/>
        <v>Gastos_Gerais</v>
      </c>
      <c r="S218" s="605" t="s">
        <v>310</v>
      </c>
      <c r="T218" s="605" t="s">
        <v>310</v>
      </c>
    </row>
    <row r="219" spans="1:20" s="88" customFormat="1" ht="24" x14ac:dyDescent="0.2">
      <c r="A219" s="510">
        <f>IF(B219="","",COUNT('Diário 1º PA'!$A$4:$A$2635)+ROW()-3)</f>
        <v>1952</v>
      </c>
      <c r="B219" s="414">
        <v>44659</v>
      </c>
      <c r="C219" s="424">
        <v>44562</v>
      </c>
      <c r="D219" s="415" t="s">
        <v>271</v>
      </c>
      <c r="E219" s="415" t="s">
        <v>456</v>
      </c>
      <c r="F219" s="425">
        <v>86.73</v>
      </c>
      <c r="G219" s="427" t="s">
        <v>2558</v>
      </c>
      <c r="H219" s="419" t="s">
        <v>756</v>
      </c>
      <c r="I219" s="427" t="s">
        <v>764</v>
      </c>
      <c r="J219" s="415" t="s">
        <v>310</v>
      </c>
      <c r="K219" s="415" t="s">
        <v>1220</v>
      </c>
      <c r="L219" s="415" t="s">
        <v>3443</v>
      </c>
      <c r="M219" s="546" t="s">
        <v>3453</v>
      </c>
      <c r="N219" s="414">
        <v>44659</v>
      </c>
      <c r="O219" s="414" t="s">
        <v>400</v>
      </c>
      <c r="P219" s="603">
        <f t="shared" si="10"/>
        <v>4</v>
      </c>
      <c r="Q219" s="603">
        <f t="shared" si="11"/>
        <v>1</v>
      </c>
      <c r="R219" s="604" t="str">
        <f t="shared" si="12"/>
        <v>Gastos_Gerais</v>
      </c>
      <c r="S219" s="605" t="s">
        <v>310</v>
      </c>
      <c r="T219" s="605" t="s">
        <v>310</v>
      </c>
    </row>
    <row r="220" spans="1:20" s="88" customFormat="1" ht="48" x14ac:dyDescent="0.2">
      <c r="A220" s="510">
        <f>IF(B220="","",COUNT('Diário 1º PA'!$A$4:$A$2635)+ROW()-3)</f>
        <v>1953</v>
      </c>
      <c r="B220" s="414">
        <v>44659</v>
      </c>
      <c r="C220" s="424">
        <v>44593</v>
      </c>
      <c r="D220" s="415" t="s">
        <v>271</v>
      </c>
      <c r="E220" s="415" t="s">
        <v>456</v>
      </c>
      <c r="F220" s="425">
        <v>248.5</v>
      </c>
      <c r="G220" s="427" t="s">
        <v>2147</v>
      </c>
      <c r="H220" s="419" t="s">
        <v>790</v>
      </c>
      <c r="I220" s="427" t="s">
        <v>764</v>
      </c>
      <c r="J220" s="415" t="s">
        <v>310</v>
      </c>
      <c r="K220" s="415" t="s">
        <v>1220</v>
      </c>
      <c r="L220" s="415" t="s">
        <v>3443</v>
      </c>
      <c r="M220" s="546">
        <v>222070371761</v>
      </c>
      <c r="N220" s="414">
        <v>44659</v>
      </c>
      <c r="O220" s="414" t="s">
        <v>400</v>
      </c>
      <c r="P220" s="603">
        <f t="shared" si="10"/>
        <v>4</v>
      </c>
      <c r="Q220" s="603">
        <f t="shared" si="11"/>
        <v>2</v>
      </c>
      <c r="R220" s="604" t="str">
        <f t="shared" si="12"/>
        <v>Gastos_Gerais</v>
      </c>
      <c r="S220" s="605" t="s">
        <v>310</v>
      </c>
      <c r="T220" s="605" t="s">
        <v>310</v>
      </c>
    </row>
    <row r="221" spans="1:20" s="88" customFormat="1" ht="37.5" customHeight="1" x14ac:dyDescent="0.2">
      <c r="A221" s="510">
        <f>IF(B221="","",COUNT('Diário 1º PA'!$A$4:$A$2635)+ROW()-3)</f>
        <v>1954</v>
      </c>
      <c r="B221" s="414">
        <v>44659</v>
      </c>
      <c r="C221" s="424">
        <v>44621</v>
      </c>
      <c r="D221" s="415" t="s">
        <v>271</v>
      </c>
      <c r="E221" s="415" t="s">
        <v>450</v>
      </c>
      <c r="F221" s="425">
        <v>16.2</v>
      </c>
      <c r="G221" s="427" t="s">
        <v>2077</v>
      </c>
      <c r="H221" s="419" t="s">
        <v>754</v>
      </c>
      <c r="I221" s="427" t="s">
        <v>764</v>
      </c>
      <c r="J221" s="415" t="s">
        <v>310</v>
      </c>
      <c r="K221" s="415" t="s">
        <v>1220</v>
      </c>
      <c r="L221" s="415" t="s">
        <v>3443</v>
      </c>
      <c r="M221" s="546" t="s">
        <v>3455</v>
      </c>
      <c r="N221" s="414">
        <v>44659</v>
      </c>
      <c r="O221" s="414" t="s">
        <v>400</v>
      </c>
      <c r="P221" s="603">
        <f t="shared" si="10"/>
        <v>4</v>
      </c>
      <c r="Q221" s="603">
        <f t="shared" si="11"/>
        <v>3</v>
      </c>
      <c r="R221" s="604" t="str">
        <f t="shared" si="12"/>
        <v>Gastos_Gerais</v>
      </c>
      <c r="S221" s="605" t="s">
        <v>310</v>
      </c>
      <c r="T221" s="605" t="s">
        <v>310</v>
      </c>
    </row>
    <row r="222" spans="1:20" s="88" customFormat="1" ht="24" x14ac:dyDescent="0.2">
      <c r="A222" s="510">
        <f>IF(B222="","",COUNT('Diário 1º PA'!$A$4:$A$2635)+ROW()-3)</f>
        <v>1955</v>
      </c>
      <c r="B222" s="414">
        <v>44659</v>
      </c>
      <c r="C222" s="424">
        <v>44593</v>
      </c>
      <c r="D222" s="415" t="s">
        <v>271</v>
      </c>
      <c r="E222" s="415" t="s">
        <v>297</v>
      </c>
      <c r="F222" s="425">
        <v>31.44</v>
      </c>
      <c r="G222" s="427" t="s">
        <v>2082</v>
      </c>
      <c r="H222" s="419" t="s">
        <v>753</v>
      </c>
      <c r="I222" s="427" t="s">
        <v>764</v>
      </c>
      <c r="J222" s="415" t="s">
        <v>310</v>
      </c>
      <c r="K222" s="415" t="s">
        <v>1220</v>
      </c>
      <c r="L222" s="415" t="s">
        <v>3443</v>
      </c>
      <c r="M222" s="546">
        <v>222070373039</v>
      </c>
      <c r="N222" s="414">
        <v>44659</v>
      </c>
      <c r="O222" s="414" t="s">
        <v>400</v>
      </c>
      <c r="P222" s="603">
        <f t="shared" si="10"/>
        <v>4</v>
      </c>
      <c r="Q222" s="603">
        <f t="shared" si="11"/>
        <v>2</v>
      </c>
      <c r="R222" s="604" t="str">
        <f t="shared" si="12"/>
        <v>Gastos_Gerais</v>
      </c>
      <c r="S222" s="605" t="s">
        <v>310</v>
      </c>
      <c r="T222" s="605" t="s">
        <v>310</v>
      </c>
    </row>
    <row r="223" spans="1:20" s="88" customFormat="1" ht="60" x14ac:dyDescent="0.2">
      <c r="A223" s="510">
        <f>IF(B223="","",COUNT('Diário 1º PA'!$A$4:$A$2635)+ROW()-3)</f>
        <v>1956</v>
      </c>
      <c r="B223" s="414">
        <v>44659</v>
      </c>
      <c r="C223" s="424">
        <v>44621</v>
      </c>
      <c r="D223" s="415" t="s">
        <v>271</v>
      </c>
      <c r="E223" s="415" t="s">
        <v>464</v>
      </c>
      <c r="F223" s="425">
        <v>40</v>
      </c>
      <c r="G223" s="427" t="s">
        <v>2080</v>
      </c>
      <c r="H223" s="419" t="s">
        <v>754</v>
      </c>
      <c r="I223" s="427" t="s">
        <v>764</v>
      </c>
      <c r="J223" s="415" t="s">
        <v>310</v>
      </c>
      <c r="K223" s="415" t="s">
        <v>1220</v>
      </c>
      <c r="L223" s="415" t="s">
        <v>3443</v>
      </c>
      <c r="M223" s="546" t="s">
        <v>3456</v>
      </c>
      <c r="N223" s="414">
        <v>44659</v>
      </c>
      <c r="O223" s="414" t="s">
        <v>400</v>
      </c>
      <c r="P223" s="603">
        <f t="shared" si="10"/>
        <v>4</v>
      </c>
      <c r="Q223" s="603">
        <f t="shared" si="11"/>
        <v>3</v>
      </c>
      <c r="R223" s="604" t="str">
        <f t="shared" si="12"/>
        <v>Gastos_Gerais</v>
      </c>
      <c r="S223" s="605" t="s">
        <v>310</v>
      </c>
      <c r="T223" s="605" t="s">
        <v>310</v>
      </c>
    </row>
    <row r="224" spans="1:20" s="88" customFormat="1" ht="24" x14ac:dyDescent="0.2">
      <c r="A224" s="510">
        <f>IF(B224="","",COUNT('Diário 1º PA'!$A$4:$A$2635)+ROW()-3)</f>
        <v>1957</v>
      </c>
      <c r="B224" s="414">
        <v>44659</v>
      </c>
      <c r="C224" s="424">
        <v>44593</v>
      </c>
      <c r="D224" s="415" t="s">
        <v>271</v>
      </c>
      <c r="E224" s="415" t="s">
        <v>90</v>
      </c>
      <c r="F224" s="425">
        <v>150</v>
      </c>
      <c r="G224" s="427" t="s">
        <v>3457</v>
      </c>
      <c r="H224" s="415" t="s">
        <v>309</v>
      </c>
      <c r="I224" s="427" t="s">
        <v>764</v>
      </c>
      <c r="J224" s="415" t="s">
        <v>310</v>
      </c>
      <c r="K224" s="415" t="s">
        <v>1220</v>
      </c>
      <c r="L224" s="415" t="s">
        <v>3443</v>
      </c>
      <c r="M224" s="546" t="s">
        <v>3458</v>
      </c>
      <c r="N224" s="414">
        <v>44659</v>
      </c>
      <c r="O224" s="414" t="s">
        <v>400</v>
      </c>
      <c r="P224" s="603">
        <f t="shared" si="10"/>
        <v>4</v>
      </c>
      <c r="Q224" s="603">
        <f t="shared" si="11"/>
        <v>2</v>
      </c>
      <c r="R224" s="604" t="str">
        <f t="shared" si="12"/>
        <v>Gastos_Gerais</v>
      </c>
      <c r="S224" s="605" t="s">
        <v>310</v>
      </c>
      <c r="T224" s="605" t="s">
        <v>310</v>
      </c>
    </row>
    <row r="225" spans="1:20" s="88" customFormat="1" ht="24" x14ac:dyDescent="0.2">
      <c r="A225" s="510">
        <f>IF(B225="","",COUNT('Diário 1º PA'!$A$4:$A$2635)+ROW()-3)</f>
        <v>1958</v>
      </c>
      <c r="B225" s="414">
        <v>44659</v>
      </c>
      <c r="C225" s="424">
        <v>44593</v>
      </c>
      <c r="D225" s="415" t="s">
        <v>271</v>
      </c>
      <c r="E225" s="415" t="s">
        <v>297</v>
      </c>
      <c r="F225" s="425">
        <v>200</v>
      </c>
      <c r="G225" s="427" t="s">
        <v>2234</v>
      </c>
      <c r="H225" s="419" t="s">
        <v>792</v>
      </c>
      <c r="I225" s="427" t="s">
        <v>764</v>
      </c>
      <c r="J225" s="415" t="s">
        <v>310</v>
      </c>
      <c r="K225" s="415" t="s">
        <v>1220</v>
      </c>
      <c r="L225" s="415" t="s">
        <v>3443</v>
      </c>
      <c r="M225" s="546" t="s">
        <v>3456</v>
      </c>
      <c r="N225" s="414">
        <v>44659</v>
      </c>
      <c r="O225" s="414" t="s">
        <v>400</v>
      </c>
      <c r="P225" s="603">
        <f t="shared" si="10"/>
        <v>4</v>
      </c>
      <c r="Q225" s="603">
        <f t="shared" si="11"/>
        <v>2</v>
      </c>
      <c r="R225" s="604" t="str">
        <f t="shared" si="12"/>
        <v>Gastos_Gerais</v>
      </c>
      <c r="S225" s="605" t="s">
        <v>310</v>
      </c>
      <c r="T225" s="605" t="s">
        <v>310</v>
      </c>
    </row>
    <row r="226" spans="1:20" s="88" customFormat="1" ht="48" x14ac:dyDescent="0.2">
      <c r="A226" s="510">
        <f>IF(B226="","",COUNT('Diário 1º PA'!$A$4:$A$2635)+ROW()-3)</f>
        <v>1959</v>
      </c>
      <c r="B226" s="414">
        <v>44659</v>
      </c>
      <c r="C226" s="424">
        <v>44593</v>
      </c>
      <c r="D226" s="415" t="s">
        <v>271</v>
      </c>
      <c r="E226" s="415" t="s">
        <v>183</v>
      </c>
      <c r="F226" s="425">
        <v>50.55</v>
      </c>
      <c r="G226" s="427" t="s">
        <v>2169</v>
      </c>
      <c r="H226" s="419" t="s">
        <v>790</v>
      </c>
      <c r="I226" s="427" t="s">
        <v>764</v>
      </c>
      <c r="J226" s="415" t="s">
        <v>310</v>
      </c>
      <c r="K226" s="415" t="s">
        <v>1220</v>
      </c>
      <c r="L226" s="415" t="s">
        <v>3443</v>
      </c>
      <c r="M226" s="546" t="s">
        <v>3459</v>
      </c>
      <c r="N226" s="414">
        <v>44659</v>
      </c>
      <c r="O226" s="414" t="s">
        <v>400</v>
      </c>
      <c r="P226" s="603">
        <f t="shared" si="10"/>
        <v>4</v>
      </c>
      <c r="Q226" s="603">
        <f t="shared" si="11"/>
        <v>2</v>
      </c>
      <c r="R226" s="604" t="str">
        <f t="shared" si="12"/>
        <v>Gastos_Gerais</v>
      </c>
      <c r="S226" s="605" t="s">
        <v>310</v>
      </c>
      <c r="T226" s="605" t="s">
        <v>310</v>
      </c>
    </row>
    <row r="227" spans="1:20" s="88" customFormat="1" ht="48" x14ac:dyDescent="0.2">
      <c r="A227" s="510">
        <f>IF(B227="","",COUNT('Diário 1º PA'!$A$4:$A$2635)+ROW()-3)</f>
        <v>1960</v>
      </c>
      <c r="B227" s="414">
        <v>44659</v>
      </c>
      <c r="C227" s="424">
        <v>44593</v>
      </c>
      <c r="D227" s="415" t="s">
        <v>271</v>
      </c>
      <c r="E227" s="415" t="s">
        <v>183</v>
      </c>
      <c r="F227" s="425">
        <v>50.55</v>
      </c>
      <c r="G227" s="427" t="s">
        <v>2187</v>
      </c>
      <c r="H227" s="419" t="s">
        <v>755</v>
      </c>
      <c r="I227" s="427" t="s">
        <v>764</v>
      </c>
      <c r="J227" s="415" t="s">
        <v>310</v>
      </c>
      <c r="K227" s="415" t="s">
        <v>1220</v>
      </c>
      <c r="L227" s="415" t="s">
        <v>3443</v>
      </c>
      <c r="M227" s="546">
        <v>222070375678</v>
      </c>
      <c r="N227" s="414">
        <v>44659</v>
      </c>
      <c r="O227" s="414" t="s">
        <v>400</v>
      </c>
      <c r="P227" s="603">
        <f t="shared" si="10"/>
        <v>4</v>
      </c>
      <c r="Q227" s="603">
        <f t="shared" si="11"/>
        <v>2</v>
      </c>
      <c r="R227" s="604" t="str">
        <f t="shared" si="12"/>
        <v>Gastos_Gerais</v>
      </c>
      <c r="S227" s="605" t="s">
        <v>310</v>
      </c>
      <c r="T227" s="605" t="s">
        <v>310</v>
      </c>
    </row>
    <row r="228" spans="1:20" s="88" customFormat="1" ht="48" x14ac:dyDescent="0.2">
      <c r="A228" s="510">
        <f>IF(B228="","",COUNT('Diário 1º PA'!$A$4:$A$2635)+ROW()-3)</f>
        <v>1961</v>
      </c>
      <c r="B228" s="414">
        <v>44659</v>
      </c>
      <c r="C228" s="424">
        <v>44593</v>
      </c>
      <c r="D228" s="415" t="s">
        <v>271</v>
      </c>
      <c r="E228" s="415" t="s">
        <v>456</v>
      </c>
      <c r="F228" s="425">
        <v>418</v>
      </c>
      <c r="G228" s="427" t="s">
        <v>2660</v>
      </c>
      <c r="H228" s="419" t="s">
        <v>755</v>
      </c>
      <c r="I228" s="427" t="s">
        <v>764</v>
      </c>
      <c r="J228" s="415" t="s">
        <v>310</v>
      </c>
      <c r="K228" s="415" t="s">
        <v>1220</v>
      </c>
      <c r="L228" s="415" t="s">
        <v>3443</v>
      </c>
      <c r="M228" s="546">
        <v>222070376216</v>
      </c>
      <c r="N228" s="414">
        <v>44659</v>
      </c>
      <c r="O228" s="414" t="s">
        <v>400</v>
      </c>
      <c r="P228" s="603">
        <f t="shared" si="10"/>
        <v>4</v>
      </c>
      <c r="Q228" s="603">
        <f t="shared" si="11"/>
        <v>2</v>
      </c>
      <c r="R228" s="604" t="str">
        <f t="shared" si="12"/>
        <v>Gastos_Gerais</v>
      </c>
      <c r="S228" s="605" t="s">
        <v>310</v>
      </c>
      <c r="T228" s="605" t="s">
        <v>310</v>
      </c>
    </row>
    <row r="229" spans="1:20" s="88" customFormat="1" ht="43.5" customHeight="1" x14ac:dyDescent="0.2">
      <c r="A229" s="510">
        <f>IF(B229="","",COUNT('Diário 1º PA'!$A$4:$A$2635)+ROW()-3)</f>
        <v>1962</v>
      </c>
      <c r="B229" s="414">
        <v>44659</v>
      </c>
      <c r="C229" s="424">
        <v>44593</v>
      </c>
      <c r="D229" s="415" t="s">
        <v>271</v>
      </c>
      <c r="E229" s="415" t="s">
        <v>183</v>
      </c>
      <c r="F229" s="425">
        <v>99.42</v>
      </c>
      <c r="G229" s="427" t="s">
        <v>2253</v>
      </c>
      <c r="H229" s="419" t="s">
        <v>755</v>
      </c>
      <c r="I229" s="427" t="s">
        <v>764</v>
      </c>
      <c r="J229" s="415" t="s">
        <v>310</v>
      </c>
      <c r="K229" s="415" t="s">
        <v>1220</v>
      </c>
      <c r="L229" s="415" t="s">
        <v>3443</v>
      </c>
      <c r="M229" s="546">
        <v>222070377298</v>
      </c>
      <c r="N229" s="414">
        <v>44659</v>
      </c>
      <c r="O229" s="414" t="s">
        <v>400</v>
      </c>
      <c r="P229" s="603">
        <f t="shared" si="10"/>
        <v>4</v>
      </c>
      <c r="Q229" s="603">
        <f t="shared" si="11"/>
        <v>2</v>
      </c>
      <c r="R229" s="604" t="str">
        <f t="shared" si="12"/>
        <v>Gastos_Gerais</v>
      </c>
      <c r="S229" s="605" t="s">
        <v>310</v>
      </c>
      <c r="T229" s="605" t="s">
        <v>310</v>
      </c>
    </row>
    <row r="230" spans="1:20" s="88" customFormat="1" ht="24" x14ac:dyDescent="0.2">
      <c r="A230" s="510">
        <f>IF(B230="","",COUNT('Diário 1º PA'!$A$4:$A$2635)+ROW()-3)</f>
        <v>1963</v>
      </c>
      <c r="B230" s="414">
        <v>44659</v>
      </c>
      <c r="C230" s="424">
        <v>44593</v>
      </c>
      <c r="D230" s="415" t="s">
        <v>271</v>
      </c>
      <c r="E230" s="415" t="s">
        <v>9</v>
      </c>
      <c r="F230" s="425">
        <v>287.54000000000002</v>
      </c>
      <c r="G230" s="427" t="s">
        <v>2071</v>
      </c>
      <c r="H230" s="415" t="s">
        <v>309</v>
      </c>
      <c r="I230" s="427" t="s">
        <v>764</v>
      </c>
      <c r="J230" s="415" t="s">
        <v>310</v>
      </c>
      <c r="K230" s="415" t="s">
        <v>1220</v>
      </c>
      <c r="L230" s="415" t="s">
        <v>3443</v>
      </c>
      <c r="M230" s="546" t="s">
        <v>3460</v>
      </c>
      <c r="N230" s="414">
        <v>44659</v>
      </c>
      <c r="O230" s="414" t="s">
        <v>400</v>
      </c>
      <c r="P230" s="603">
        <f t="shared" si="10"/>
        <v>4</v>
      </c>
      <c r="Q230" s="603">
        <f t="shared" si="11"/>
        <v>2</v>
      </c>
      <c r="R230" s="604" t="str">
        <f t="shared" si="12"/>
        <v>Gastos_Gerais</v>
      </c>
      <c r="S230" s="605" t="s">
        <v>310</v>
      </c>
      <c r="T230" s="605" t="s">
        <v>310</v>
      </c>
    </row>
    <row r="231" spans="1:20" s="88" customFormat="1" ht="48" x14ac:dyDescent="0.2">
      <c r="A231" s="510">
        <f>IF(B231="","",COUNT('Diário 1º PA'!$A$4:$A$2635)+ROW()-3)</f>
        <v>1964</v>
      </c>
      <c r="B231" s="414">
        <v>44659</v>
      </c>
      <c r="C231" s="424">
        <v>44593</v>
      </c>
      <c r="D231" s="415" t="s">
        <v>271</v>
      </c>
      <c r="E231" s="415" t="s">
        <v>186</v>
      </c>
      <c r="F231" s="425">
        <v>116.58</v>
      </c>
      <c r="G231" s="427" t="s">
        <v>2332</v>
      </c>
      <c r="H231" s="419" t="s">
        <v>751</v>
      </c>
      <c r="I231" s="427" t="s">
        <v>764</v>
      </c>
      <c r="J231" s="415" t="s">
        <v>310</v>
      </c>
      <c r="K231" s="415" t="s">
        <v>1220</v>
      </c>
      <c r="L231" s="415" t="s">
        <v>3443</v>
      </c>
      <c r="M231" s="546">
        <v>222070378006</v>
      </c>
      <c r="N231" s="414">
        <v>44659</v>
      </c>
      <c r="O231" s="414" t="s">
        <v>400</v>
      </c>
      <c r="P231" s="603">
        <f t="shared" si="10"/>
        <v>4</v>
      </c>
      <c r="Q231" s="603">
        <f t="shared" si="11"/>
        <v>2</v>
      </c>
      <c r="R231" s="604" t="str">
        <f t="shared" si="12"/>
        <v>Gastos_Gerais</v>
      </c>
      <c r="S231" s="605" t="s">
        <v>310</v>
      </c>
      <c r="T231" s="605" t="s">
        <v>310</v>
      </c>
    </row>
    <row r="232" spans="1:20" s="88" customFormat="1" ht="36" x14ac:dyDescent="0.2">
      <c r="A232" s="510">
        <f>IF(B232="","",COUNT('Diário 1º PA'!$A$4:$A$2635)+ROW()-3)</f>
        <v>1965</v>
      </c>
      <c r="B232" s="414">
        <v>44659</v>
      </c>
      <c r="C232" s="424">
        <v>44593</v>
      </c>
      <c r="D232" s="415" t="s">
        <v>271</v>
      </c>
      <c r="E232" s="415" t="s">
        <v>465</v>
      </c>
      <c r="F232" s="425">
        <v>41.8</v>
      </c>
      <c r="G232" s="427" t="s">
        <v>2181</v>
      </c>
      <c r="H232" s="419" t="s">
        <v>752</v>
      </c>
      <c r="I232" s="427" t="s">
        <v>764</v>
      </c>
      <c r="J232" s="415" t="s">
        <v>310</v>
      </c>
      <c r="K232" s="415" t="s">
        <v>1220</v>
      </c>
      <c r="L232" s="415" t="s">
        <v>3443</v>
      </c>
      <c r="M232" s="546" t="s">
        <v>3461</v>
      </c>
      <c r="N232" s="414">
        <v>44659</v>
      </c>
      <c r="O232" s="414" t="s">
        <v>400</v>
      </c>
      <c r="P232" s="603">
        <f t="shared" si="10"/>
        <v>4</v>
      </c>
      <c r="Q232" s="603">
        <f t="shared" si="11"/>
        <v>2</v>
      </c>
      <c r="R232" s="604" t="str">
        <f t="shared" si="12"/>
        <v>Gastos_Gerais</v>
      </c>
      <c r="S232" s="605" t="s">
        <v>310</v>
      </c>
      <c r="T232" s="605" t="s">
        <v>310</v>
      </c>
    </row>
    <row r="233" spans="1:20" s="88" customFormat="1" ht="36" x14ac:dyDescent="0.2">
      <c r="A233" s="510">
        <f>IF(B233="","",COUNT('Diário 1º PA'!$A$4:$A$2635)+ROW()-3)</f>
        <v>1966</v>
      </c>
      <c r="B233" s="414">
        <v>44659</v>
      </c>
      <c r="C233" s="424">
        <v>44593</v>
      </c>
      <c r="D233" s="415" t="s">
        <v>271</v>
      </c>
      <c r="E233" s="415" t="s">
        <v>465</v>
      </c>
      <c r="F233" s="425">
        <v>43.59</v>
      </c>
      <c r="G233" s="427" t="s">
        <v>3462</v>
      </c>
      <c r="H233" s="419" t="s">
        <v>752</v>
      </c>
      <c r="I233" s="427" t="s">
        <v>764</v>
      </c>
      <c r="J233" s="415" t="s">
        <v>310</v>
      </c>
      <c r="K233" s="415" t="s">
        <v>1220</v>
      </c>
      <c r="L233" s="415" t="s">
        <v>3443</v>
      </c>
      <c r="M233" s="546">
        <v>222070379401</v>
      </c>
      <c r="N233" s="414">
        <v>44659</v>
      </c>
      <c r="O233" s="414" t="s">
        <v>400</v>
      </c>
      <c r="P233" s="603">
        <f t="shared" si="10"/>
        <v>4</v>
      </c>
      <c r="Q233" s="603">
        <f t="shared" si="11"/>
        <v>2</v>
      </c>
      <c r="R233" s="604" t="str">
        <f t="shared" si="12"/>
        <v>Gastos_Gerais</v>
      </c>
      <c r="S233" s="605" t="s">
        <v>310</v>
      </c>
      <c r="T233" s="605" t="s">
        <v>310</v>
      </c>
    </row>
    <row r="234" spans="1:20" s="88" customFormat="1" ht="24" x14ac:dyDescent="0.2">
      <c r="A234" s="510">
        <f>IF(B234="","",COUNT('Diário 1º PA'!$A$4:$A$2635)+ROW()-3)</f>
        <v>1967</v>
      </c>
      <c r="B234" s="414">
        <v>44659</v>
      </c>
      <c r="C234" s="424">
        <v>44621</v>
      </c>
      <c r="D234" s="415" t="s">
        <v>182</v>
      </c>
      <c r="E234" s="415" t="s">
        <v>161</v>
      </c>
      <c r="F234" s="425">
        <v>0.83</v>
      </c>
      <c r="G234" s="427" t="s">
        <v>3147</v>
      </c>
      <c r="H234" s="415" t="s">
        <v>310</v>
      </c>
      <c r="I234" s="427" t="s">
        <v>764</v>
      </c>
      <c r="J234" s="415" t="s">
        <v>310</v>
      </c>
      <c r="K234" s="415" t="s">
        <v>1220</v>
      </c>
      <c r="L234" s="415" t="s">
        <v>3443</v>
      </c>
      <c r="M234" s="546">
        <v>22207038075</v>
      </c>
      <c r="N234" s="414">
        <v>44659</v>
      </c>
      <c r="O234" s="414" t="s">
        <v>400</v>
      </c>
      <c r="P234" s="603">
        <f t="shared" si="10"/>
        <v>4</v>
      </c>
      <c r="Q234" s="603">
        <f t="shared" si="11"/>
        <v>3</v>
      </c>
      <c r="R234" s="604" t="str">
        <f t="shared" si="12"/>
        <v>Gastos_com_Pessoal</v>
      </c>
      <c r="S234" s="605" t="s">
        <v>310</v>
      </c>
      <c r="T234" s="605" t="s">
        <v>310</v>
      </c>
    </row>
    <row r="235" spans="1:20" s="88" customFormat="1" ht="24" x14ac:dyDescent="0.2">
      <c r="A235" s="510">
        <f>IF(B235="","",COUNT('Diário 1º PA'!$A$4:$A$2635)+ROW()-3)</f>
        <v>1968</v>
      </c>
      <c r="B235" s="414">
        <v>44659</v>
      </c>
      <c r="C235" s="424">
        <v>44621</v>
      </c>
      <c r="D235" s="415" t="s">
        <v>182</v>
      </c>
      <c r="E235" s="415" t="s">
        <v>161</v>
      </c>
      <c r="F235" s="425">
        <v>0.56000000000000005</v>
      </c>
      <c r="G235" s="427" t="s">
        <v>3145</v>
      </c>
      <c r="H235" s="415" t="s">
        <v>310</v>
      </c>
      <c r="I235" s="427" t="s">
        <v>764</v>
      </c>
      <c r="J235" s="415" t="s">
        <v>310</v>
      </c>
      <c r="K235" s="415" t="s">
        <v>1220</v>
      </c>
      <c r="L235" s="415" t="s">
        <v>3443</v>
      </c>
      <c r="M235" s="546">
        <v>222070380914</v>
      </c>
      <c r="N235" s="414">
        <v>44659</v>
      </c>
      <c r="O235" s="414" t="s">
        <v>400</v>
      </c>
      <c r="P235" s="603">
        <f t="shared" si="10"/>
        <v>4</v>
      </c>
      <c r="Q235" s="603">
        <f t="shared" si="11"/>
        <v>3</v>
      </c>
      <c r="R235" s="604" t="str">
        <f t="shared" si="12"/>
        <v>Gastos_com_Pessoal</v>
      </c>
      <c r="S235" s="605" t="s">
        <v>310</v>
      </c>
      <c r="T235" s="605" t="s">
        <v>310</v>
      </c>
    </row>
    <row r="236" spans="1:20" s="88" customFormat="1" ht="24" x14ac:dyDescent="0.2">
      <c r="A236" s="510">
        <f>IF(B236="","",COUNT('Diário 1º PA'!$A$4:$A$2635)+ROW()-3)</f>
        <v>1969</v>
      </c>
      <c r="B236" s="414">
        <v>44659</v>
      </c>
      <c r="C236" s="424">
        <v>44621</v>
      </c>
      <c r="D236" s="415" t="s">
        <v>182</v>
      </c>
      <c r="E236" s="415" t="s">
        <v>161</v>
      </c>
      <c r="F236" s="425">
        <v>0.02</v>
      </c>
      <c r="G236" s="427" t="s">
        <v>3143</v>
      </c>
      <c r="H236" s="415" t="s">
        <v>310</v>
      </c>
      <c r="I236" s="427" t="s">
        <v>764</v>
      </c>
      <c r="J236" s="415" t="s">
        <v>310</v>
      </c>
      <c r="K236" s="415" t="s">
        <v>1220</v>
      </c>
      <c r="L236" s="415" t="s">
        <v>3443</v>
      </c>
      <c r="M236" s="546" t="s">
        <v>3463</v>
      </c>
      <c r="N236" s="414">
        <v>44659</v>
      </c>
      <c r="O236" s="414" t="s">
        <v>400</v>
      </c>
      <c r="P236" s="603">
        <f t="shared" si="10"/>
        <v>4</v>
      </c>
      <c r="Q236" s="603">
        <f t="shared" si="11"/>
        <v>3</v>
      </c>
      <c r="R236" s="604" t="str">
        <f t="shared" si="12"/>
        <v>Gastos_com_Pessoal</v>
      </c>
      <c r="S236" s="605" t="s">
        <v>310</v>
      </c>
      <c r="T236" s="605" t="s">
        <v>310</v>
      </c>
    </row>
    <row r="237" spans="1:20" s="88" customFormat="1" ht="24" x14ac:dyDescent="0.2">
      <c r="A237" s="510">
        <f>IF(B237="","",COUNT('Diário 1º PA'!$A$4:$A$2635)+ROW()-3)</f>
        <v>1970</v>
      </c>
      <c r="B237" s="414">
        <v>44659</v>
      </c>
      <c r="C237" s="424">
        <v>44621</v>
      </c>
      <c r="D237" s="415" t="s">
        <v>182</v>
      </c>
      <c r="E237" s="415" t="s">
        <v>179</v>
      </c>
      <c r="F237" s="425">
        <v>10.78</v>
      </c>
      <c r="G237" s="427" t="s">
        <v>3348</v>
      </c>
      <c r="H237" s="415" t="s">
        <v>310</v>
      </c>
      <c r="I237" s="427" t="s">
        <v>764</v>
      </c>
      <c r="J237" s="415" t="s">
        <v>310</v>
      </c>
      <c r="K237" s="415" t="s">
        <v>1220</v>
      </c>
      <c r="L237" s="415" t="s">
        <v>3443</v>
      </c>
      <c r="M237" s="546">
        <v>222070381805</v>
      </c>
      <c r="N237" s="414">
        <v>44659</v>
      </c>
      <c r="O237" s="414" t="s">
        <v>400</v>
      </c>
      <c r="P237" s="603">
        <f t="shared" si="10"/>
        <v>4</v>
      </c>
      <c r="Q237" s="603">
        <f t="shared" si="11"/>
        <v>3</v>
      </c>
      <c r="R237" s="604" t="str">
        <f t="shared" si="12"/>
        <v>Gastos_com_Pessoal</v>
      </c>
      <c r="S237" s="605" t="s">
        <v>310</v>
      </c>
      <c r="T237" s="605" t="s">
        <v>310</v>
      </c>
    </row>
    <row r="238" spans="1:20" s="88" customFormat="1" ht="24" x14ac:dyDescent="0.2">
      <c r="A238" s="510">
        <f>IF(B238="","",COUNT('Diário 1º PA'!$A$4:$A$2635)+ROW()-3)</f>
        <v>1971</v>
      </c>
      <c r="B238" s="414">
        <v>44659</v>
      </c>
      <c r="C238" s="424">
        <v>44621</v>
      </c>
      <c r="D238" s="415" t="s">
        <v>182</v>
      </c>
      <c r="E238" s="415" t="s">
        <v>179</v>
      </c>
      <c r="F238" s="425">
        <v>18.82</v>
      </c>
      <c r="G238" s="427" t="s">
        <v>3351</v>
      </c>
      <c r="H238" s="415" t="s">
        <v>310</v>
      </c>
      <c r="I238" s="427" t="s">
        <v>764</v>
      </c>
      <c r="J238" s="415" t="s">
        <v>310</v>
      </c>
      <c r="K238" s="415" t="s">
        <v>1220</v>
      </c>
      <c r="L238" s="415" t="s">
        <v>3443</v>
      </c>
      <c r="M238" s="546">
        <v>222070382100</v>
      </c>
      <c r="N238" s="414">
        <v>44659</v>
      </c>
      <c r="O238" s="414" t="s">
        <v>400</v>
      </c>
      <c r="P238" s="603">
        <f t="shared" si="10"/>
        <v>4</v>
      </c>
      <c r="Q238" s="603">
        <f t="shared" si="11"/>
        <v>3</v>
      </c>
      <c r="R238" s="604" t="str">
        <f t="shared" si="12"/>
        <v>Gastos_com_Pessoal</v>
      </c>
      <c r="S238" s="605" t="s">
        <v>310</v>
      </c>
      <c r="T238" s="605" t="s">
        <v>310</v>
      </c>
    </row>
    <row r="239" spans="1:20" s="88" customFormat="1" ht="24" x14ac:dyDescent="0.2">
      <c r="A239" s="510">
        <f>IF(B239="","",COUNT('Diário 1º PA'!$A$4:$A$2635)+ROW()-3)</f>
        <v>1972</v>
      </c>
      <c r="B239" s="414">
        <v>44659</v>
      </c>
      <c r="C239" s="424">
        <v>44621</v>
      </c>
      <c r="D239" s="415" t="s">
        <v>182</v>
      </c>
      <c r="E239" s="415" t="s">
        <v>161</v>
      </c>
      <c r="F239" s="425">
        <v>0.04</v>
      </c>
      <c r="G239" s="427" t="s">
        <v>3005</v>
      </c>
      <c r="H239" s="415" t="s">
        <v>310</v>
      </c>
      <c r="I239" s="427" t="s">
        <v>764</v>
      </c>
      <c r="J239" s="415" t="s">
        <v>310</v>
      </c>
      <c r="K239" s="415" t="s">
        <v>1220</v>
      </c>
      <c r="L239" s="415" t="s">
        <v>3443</v>
      </c>
      <c r="M239" s="546">
        <v>222070382704</v>
      </c>
      <c r="N239" s="414">
        <v>44659</v>
      </c>
      <c r="O239" s="414" t="s">
        <v>400</v>
      </c>
      <c r="P239" s="603">
        <f t="shared" si="10"/>
        <v>4</v>
      </c>
      <c r="Q239" s="603">
        <f t="shared" si="11"/>
        <v>3</v>
      </c>
      <c r="R239" s="604" t="str">
        <f t="shared" si="12"/>
        <v>Gastos_com_Pessoal</v>
      </c>
      <c r="S239" s="605" t="s">
        <v>310</v>
      </c>
      <c r="T239" s="605" t="s">
        <v>310</v>
      </c>
    </row>
    <row r="240" spans="1:20" s="88" customFormat="1" ht="24" x14ac:dyDescent="0.2">
      <c r="A240" s="510">
        <f>IF(B240="","",COUNT('Diário 1º PA'!$A$4:$A$2635)+ROW()-3)</f>
        <v>1973</v>
      </c>
      <c r="B240" s="414">
        <v>44659</v>
      </c>
      <c r="C240" s="424">
        <v>44621</v>
      </c>
      <c r="D240" s="415" t="s">
        <v>182</v>
      </c>
      <c r="E240" s="415" t="s">
        <v>161</v>
      </c>
      <c r="F240" s="425">
        <v>0.03</v>
      </c>
      <c r="G240" s="427" t="s">
        <v>3003</v>
      </c>
      <c r="H240" s="415" t="s">
        <v>310</v>
      </c>
      <c r="I240" s="427" t="s">
        <v>764</v>
      </c>
      <c r="J240" s="415" t="s">
        <v>310</v>
      </c>
      <c r="K240" s="415" t="s">
        <v>1220</v>
      </c>
      <c r="L240" s="415" t="s">
        <v>3443</v>
      </c>
      <c r="M240" s="546" t="s">
        <v>3464</v>
      </c>
      <c r="N240" s="414">
        <v>44659</v>
      </c>
      <c r="O240" s="414" t="s">
        <v>400</v>
      </c>
      <c r="P240" s="603">
        <f t="shared" si="10"/>
        <v>4</v>
      </c>
      <c r="Q240" s="603">
        <f t="shared" si="11"/>
        <v>3</v>
      </c>
      <c r="R240" s="604" t="str">
        <f t="shared" si="12"/>
        <v>Gastos_com_Pessoal</v>
      </c>
      <c r="S240" s="605" t="s">
        <v>310</v>
      </c>
      <c r="T240" s="605" t="s">
        <v>310</v>
      </c>
    </row>
    <row r="241" spans="1:20" s="88" customFormat="1" ht="24" x14ac:dyDescent="0.2">
      <c r="A241" s="510">
        <f>IF(B241="","",COUNT('Diário 1º PA'!$A$4:$A$2635)+ROW()-3)</f>
        <v>1974</v>
      </c>
      <c r="B241" s="414">
        <v>44659</v>
      </c>
      <c r="C241" s="424">
        <v>44652</v>
      </c>
      <c r="D241" s="415" t="s">
        <v>182</v>
      </c>
      <c r="E241" s="415" t="s">
        <v>325</v>
      </c>
      <c r="F241" s="425">
        <v>215.05</v>
      </c>
      <c r="G241" s="427" t="s">
        <v>3466</v>
      </c>
      <c r="H241" s="415" t="s">
        <v>310</v>
      </c>
      <c r="I241" s="427" t="s">
        <v>764</v>
      </c>
      <c r="J241" s="415" t="s">
        <v>310</v>
      </c>
      <c r="K241" s="415" t="s">
        <v>1220</v>
      </c>
      <c r="L241" s="415" t="s">
        <v>3443</v>
      </c>
      <c r="M241" s="546" t="s">
        <v>3465</v>
      </c>
      <c r="N241" s="414">
        <v>44659</v>
      </c>
      <c r="O241" s="414" t="s">
        <v>400</v>
      </c>
      <c r="P241" s="603">
        <f t="shared" si="10"/>
        <v>4</v>
      </c>
      <c r="Q241" s="603">
        <f t="shared" si="11"/>
        <v>4</v>
      </c>
      <c r="R241" s="604" t="str">
        <f t="shared" si="12"/>
        <v>Gastos_com_Pessoal</v>
      </c>
      <c r="S241" s="605" t="s">
        <v>310</v>
      </c>
      <c r="T241" s="605" t="s">
        <v>310</v>
      </c>
    </row>
    <row r="242" spans="1:20" s="88" customFormat="1" ht="36" x14ac:dyDescent="0.2">
      <c r="A242" s="510">
        <f>IF(B242="","",COUNT('Diário 1º PA'!$A$4:$A$2635)+ROW()-3)</f>
        <v>1975</v>
      </c>
      <c r="B242" s="414">
        <v>44659</v>
      </c>
      <c r="C242" s="424">
        <v>44593</v>
      </c>
      <c r="D242" s="415" t="s">
        <v>182</v>
      </c>
      <c r="E242" s="415" t="s">
        <v>1</v>
      </c>
      <c r="F242" s="425">
        <v>22.06</v>
      </c>
      <c r="G242" s="427" t="s">
        <v>3467</v>
      </c>
      <c r="H242" s="415" t="s">
        <v>310</v>
      </c>
      <c r="I242" s="427" t="s">
        <v>764</v>
      </c>
      <c r="J242" s="415" t="s">
        <v>310</v>
      </c>
      <c r="K242" s="415" t="s">
        <v>1220</v>
      </c>
      <c r="L242" s="415" t="s">
        <v>3443</v>
      </c>
      <c r="M242" s="546">
        <v>222070384820</v>
      </c>
      <c r="N242" s="414">
        <v>44659</v>
      </c>
      <c r="O242" s="414" t="s">
        <v>400</v>
      </c>
      <c r="P242" s="603">
        <f t="shared" si="10"/>
        <v>4</v>
      </c>
      <c r="Q242" s="603">
        <f t="shared" si="11"/>
        <v>2</v>
      </c>
      <c r="R242" s="604" t="str">
        <f t="shared" si="12"/>
        <v>Gastos_com_Pessoal</v>
      </c>
      <c r="S242" s="605" t="s">
        <v>310</v>
      </c>
      <c r="T242" s="605" t="s">
        <v>310</v>
      </c>
    </row>
    <row r="243" spans="1:20" s="88" customFormat="1" ht="24" x14ac:dyDescent="0.2">
      <c r="A243" s="510">
        <f>IF(B243="","",COUNT('Diário 1º PA'!$A$4:$A$2635)+ROW()-3)</f>
        <v>1976</v>
      </c>
      <c r="B243" s="414">
        <v>44659</v>
      </c>
      <c r="C243" s="424">
        <v>44621</v>
      </c>
      <c r="D243" s="415" t="s">
        <v>182</v>
      </c>
      <c r="E243" s="415" t="s">
        <v>161</v>
      </c>
      <c r="F243" s="425">
        <v>0.56000000000000005</v>
      </c>
      <c r="G243" s="427" t="s">
        <v>2999</v>
      </c>
      <c r="H243" s="415" t="s">
        <v>310</v>
      </c>
      <c r="I243" s="427" t="s">
        <v>764</v>
      </c>
      <c r="J243" s="415" t="s">
        <v>310</v>
      </c>
      <c r="K243" s="415" t="s">
        <v>1220</v>
      </c>
      <c r="L243" s="415" t="s">
        <v>3443</v>
      </c>
      <c r="M243" s="546">
        <v>222070385126</v>
      </c>
      <c r="N243" s="414">
        <v>44659</v>
      </c>
      <c r="O243" s="414" t="s">
        <v>400</v>
      </c>
      <c r="P243" s="603">
        <f t="shared" si="10"/>
        <v>4</v>
      </c>
      <c r="Q243" s="603">
        <f t="shared" si="11"/>
        <v>3</v>
      </c>
      <c r="R243" s="604" t="str">
        <f t="shared" si="12"/>
        <v>Gastos_com_Pessoal</v>
      </c>
      <c r="S243" s="605" t="s">
        <v>310</v>
      </c>
      <c r="T243" s="605" t="s">
        <v>310</v>
      </c>
    </row>
    <row r="244" spans="1:20" s="88" customFormat="1" ht="48" x14ac:dyDescent="0.2">
      <c r="A244" s="510">
        <f>IF(B244="","",COUNT('Diário 1º PA'!$A$4:$A$2635)+ROW()-3)</f>
        <v>1977</v>
      </c>
      <c r="B244" s="414">
        <v>44659</v>
      </c>
      <c r="C244" s="424">
        <v>44593</v>
      </c>
      <c r="D244" s="415" t="s">
        <v>271</v>
      </c>
      <c r="E244" s="415" t="s">
        <v>297</v>
      </c>
      <c r="F244" s="425">
        <v>38.020000000000003</v>
      </c>
      <c r="G244" s="427" t="s">
        <v>3199</v>
      </c>
      <c r="H244" s="415" t="s">
        <v>755</v>
      </c>
      <c r="I244" s="427" t="s">
        <v>764</v>
      </c>
      <c r="J244" s="415" t="s">
        <v>310</v>
      </c>
      <c r="K244" s="415" t="s">
        <v>1220</v>
      </c>
      <c r="L244" s="415" t="s">
        <v>3443</v>
      </c>
      <c r="M244" s="546" t="s">
        <v>3468</v>
      </c>
      <c r="N244" s="414">
        <v>44659</v>
      </c>
      <c r="O244" s="414" t="s">
        <v>400</v>
      </c>
      <c r="P244" s="603">
        <f t="shared" si="10"/>
        <v>4</v>
      </c>
      <c r="Q244" s="603">
        <f t="shared" si="11"/>
        <v>2</v>
      </c>
      <c r="R244" s="604" t="str">
        <f t="shared" si="12"/>
        <v>Gastos_Gerais</v>
      </c>
      <c r="S244" s="605" t="s">
        <v>310</v>
      </c>
      <c r="T244" s="605" t="s">
        <v>310</v>
      </c>
    </row>
    <row r="245" spans="1:20" s="88" customFormat="1" ht="46.5" customHeight="1" x14ac:dyDescent="0.2">
      <c r="A245" s="510">
        <f>IF(B245="","",COUNT('Diário 1º PA'!$A$4:$A$2635)+ROW()-3)</f>
        <v>1978</v>
      </c>
      <c r="B245" s="414">
        <v>44659</v>
      </c>
      <c r="C245" s="424">
        <v>44621</v>
      </c>
      <c r="D245" s="415" t="s">
        <v>271</v>
      </c>
      <c r="E245" s="415" t="s">
        <v>178</v>
      </c>
      <c r="F245" s="425">
        <v>9.5399999999999991</v>
      </c>
      <c r="G245" s="427" t="s">
        <v>3469</v>
      </c>
      <c r="H245" s="415" t="s">
        <v>309</v>
      </c>
      <c r="I245" s="427" t="s">
        <v>764</v>
      </c>
      <c r="J245" s="415" t="s">
        <v>310</v>
      </c>
      <c r="K245" s="415" t="s">
        <v>1220</v>
      </c>
      <c r="L245" s="415" t="s">
        <v>3443</v>
      </c>
      <c r="M245" s="546">
        <v>222070385630</v>
      </c>
      <c r="N245" s="414">
        <v>44659</v>
      </c>
      <c r="O245" s="414" t="s">
        <v>400</v>
      </c>
      <c r="P245" s="603">
        <f t="shared" si="10"/>
        <v>4</v>
      </c>
      <c r="Q245" s="603">
        <f t="shared" si="11"/>
        <v>3</v>
      </c>
      <c r="R245" s="604" t="str">
        <f t="shared" si="12"/>
        <v>Gastos_Gerais</v>
      </c>
      <c r="S245" s="605" t="s">
        <v>310</v>
      </c>
      <c r="T245" s="605" t="s">
        <v>310</v>
      </c>
    </row>
    <row r="246" spans="1:20" s="88" customFormat="1" ht="24" x14ac:dyDescent="0.2">
      <c r="A246" s="510">
        <f>IF(B246="","",COUNT('Diário 1º PA'!$A$4:$A$2635)+ROW()-3)</f>
        <v>1979</v>
      </c>
      <c r="B246" s="414">
        <v>44659</v>
      </c>
      <c r="C246" s="424">
        <v>44621</v>
      </c>
      <c r="D246" s="415" t="s">
        <v>182</v>
      </c>
      <c r="E246" s="415" t="s">
        <v>161</v>
      </c>
      <c r="F246" s="425">
        <v>1.1499999999999999</v>
      </c>
      <c r="G246" s="427" t="s">
        <v>3001</v>
      </c>
      <c r="H246" s="415" t="s">
        <v>310</v>
      </c>
      <c r="I246" s="427" t="s">
        <v>764</v>
      </c>
      <c r="J246" s="415" t="s">
        <v>310</v>
      </c>
      <c r="K246" s="415" t="s">
        <v>1220</v>
      </c>
      <c r="L246" s="415" t="s">
        <v>3443</v>
      </c>
      <c r="M246" s="546">
        <v>222070386017</v>
      </c>
      <c r="N246" s="414">
        <v>44659</v>
      </c>
      <c r="O246" s="414" t="s">
        <v>400</v>
      </c>
      <c r="P246" s="603">
        <f t="shared" si="10"/>
        <v>4</v>
      </c>
      <c r="Q246" s="603">
        <f t="shared" si="11"/>
        <v>3</v>
      </c>
      <c r="R246" s="604" t="str">
        <f t="shared" si="12"/>
        <v>Gastos_com_Pessoal</v>
      </c>
      <c r="S246" s="605" t="s">
        <v>310</v>
      </c>
      <c r="T246" s="605" t="s">
        <v>310</v>
      </c>
    </row>
    <row r="247" spans="1:20" s="88" customFormat="1" ht="36" x14ac:dyDescent="0.2">
      <c r="A247" s="510">
        <f>IF(B247="","",COUNT('Diário 1º PA'!$A$4:$A$2635)+ROW()-3)</f>
        <v>1980</v>
      </c>
      <c r="B247" s="414">
        <v>44659</v>
      </c>
      <c r="C247" s="424">
        <v>44593</v>
      </c>
      <c r="D247" s="415" t="s">
        <v>468</v>
      </c>
      <c r="E247" s="415" t="s">
        <v>468</v>
      </c>
      <c r="F247" s="425">
        <v>90</v>
      </c>
      <c r="G247" s="427" t="s">
        <v>2942</v>
      </c>
      <c r="H247" s="415" t="s">
        <v>468</v>
      </c>
      <c r="I247" s="427" t="s">
        <v>764</v>
      </c>
      <c r="J247" s="415" t="s">
        <v>310</v>
      </c>
      <c r="K247" s="415" t="s">
        <v>1220</v>
      </c>
      <c r="L247" s="415" t="s">
        <v>3443</v>
      </c>
      <c r="M247" s="546">
        <v>222069903178</v>
      </c>
      <c r="N247" s="414">
        <v>44659</v>
      </c>
      <c r="O247" s="414" t="s">
        <v>408</v>
      </c>
      <c r="P247" s="603">
        <f t="shared" si="10"/>
        <v>4</v>
      </c>
      <c r="Q247" s="603">
        <f t="shared" si="11"/>
        <v>2</v>
      </c>
      <c r="R247" s="604" t="str">
        <f t="shared" si="12"/>
        <v>Gastos_custeados_por_captação</v>
      </c>
      <c r="S247" s="605" t="s">
        <v>310</v>
      </c>
      <c r="T247" s="605" t="s">
        <v>310</v>
      </c>
    </row>
    <row r="248" spans="1:20" s="88" customFormat="1" ht="36" x14ac:dyDescent="0.2">
      <c r="A248" s="510">
        <f>IF(B248="","",COUNT('Diário 1º PA'!$A$4:$A$2635)+ROW()-3)</f>
        <v>1981</v>
      </c>
      <c r="B248" s="414">
        <v>44659</v>
      </c>
      <c r="C248" s="424">
        <v>44593</v>
      </c>
      <c r="D248" s="415" t="s">
        <v>468</v>
      </c>
      <c r="E248" s="415" t="s">
        <v>468</v>
      </c>
      <c r="F248" s="425">
        <v>200</v>
      </c>
      <c r="G248" s="427" t="s">
        <v>2991</v>
      </c>
      <c r="H248" s="415" t="s">
        <v>468</v>
      </c>
      <c r="I248" s="427" t="s">
        <v>764</v>
      </c>
      <c r="J248" s="415" t="s">
        <v>310</v>
      </c>
      <c r="K248" s="415" t="s">
        <v>1220</v>
      </c>
      <c r="L248" s="415" t="s">
        <v>3443</v>
      </c>
      <c r="M248" s="546" t="s">
        <v>3785</v>
      </c>
      <c r="N248" s="414">
        <v>44659</v>
      </c>
      <c r="O248" s="414" t="s">
        <v>408</v>
      </c>
      <c r="P248" s="603">
        <f t="shared" si="10"/>
        <v>4</v>
      </c>
      <c r="Q248" s="603">
        <f t="shared" si="11"/>
        <v>2</v>
      </c>
      <c r="R248" s="604" t="str">
        <f t="shared" si="12"/>
        <v>Gastos_custeados_por_captação</v>
      </c>
      <c r="S248" s="605" t="s">
        <v>310</v>
      </c>
      <c r="T248" s="605" t="s">
        <v>310</v>
      </c>
    </row>
    <row r="249" spans="1:20" s="88" customFormat="1" ht="36" x14ac:dyDescent="0.2">
      <c r="A249" s="510">
        <f>IF(B249="","",COUNT('Diário 1º PA'!$A$4:$A$2635)+ROW()-3)</f>
        <v>1982</v>
      </c>
      <c r="B249" s="414">
        <v>44659</v>
      </c>
      <c r="C249" s="424">
        <v>44593</v>
      </c>
      <c r="D249" s="415" t="s">
        <v>468</v>
      </c>
      <c r="E249" s="415" t="s">
        <v>468</v>
      </c>
      <c r="F249" s="425">
        <v>88.44</v>
      </c>
      <c r="G249" s="427" t="s">
        <v>2949</v>
      </c>
      <c r="H249" s="415" t="s">
        <v>468</v>
      </c>
      <c r="I249" s="427" t="s">
        <v>764</v>
      </c>
      <c r="J249" s="415" t="s">
        <v>310</v>
      </c>
      <c r="K249" s="415" t="s">
        <v>1220</v>
      </c>
      <c r="L249" s="415" t="s">
        <v>3443</v>
      </c>
      <c r="M249" s="415" t="s">
        <v>3786</v>
      </c>
      <c r="N249" s="414">
        <v>44659</v>
      </c>
      <c r="O249" s="414" t="s">
        <v>408</v>
      </c>
      <c r="P249" s="603">
        <f t="shared" si="10"/>
        <v>4</v>
      </c>
      <c r="Q249" s="603">
        <f t="shared" si="11"/>
        <v>2</v>
      </c>
      <c r="R249" s="604" t="str">
        <f t="shared" si="12"/>
        <v>Gastos_custeados_por_captação</v>
      </c>
      <c r="S249" s="605" t="s">
        <v>310</v>
      </c>
      <c r="T249" s="605" t="s">
        <v>310</v>
      </c>
    </row>
    <row r="250" spans="1:20" s="88" customFormat="1" ht="36" x14ac:dyDescent="0.2">
      <c r="A250" s="510">
        <f>IF(B250="","",COUNT('Diário 1º PA'!$A$4:$A$2635)+ROW()-3)</f>
        <v>1983</v>
      </c>
      <c r="B250" s="414">
        <v>44659</v>
      </c>
      <c r="C250" s="424">
        <v>44593</v>
      </c>
      <c r="D250" s="415" t="s">
        <v>468</v>
      </c>
      <c r="E250" s="415" t="s">
        <v>468</v>
      </c>
      <c r="F250" s="425">
        <v>180</v>
      </c>
      <c r="G250" s="427" t="s">
        <v>2946</v>
      </c>
      <c r="H250" s="415" t="s">
        <v>468</v>
      </c>
      <c r="I250" s="427" t="s">
        <v>764</v>
      </c>
      <c r="J250" s="415" t="s">
        <v>310</v>
      </c>
      <c r="K250" s="415" t="s">
        <v>1220</v>
      </c>
      <c r="L250" s="415" t="s">
        <v>3443</v>
      </c>
      <c r="M250" s="415" t="s">
        <v>3787</v>
      </c>
      <c r="N250" s="414">
        <v>44659</v>
      </c>
      <c r="O250" s="414" t="s">
        <v>408</v>
      </c>
      <c r="P250" s="603">
        <f t="shared" si="10"/>
        <v>4</v>
      </c>
      <c r="Q250" s="603">
        <f t="shared" si="11"/>
        <v>2</v>
      </c>
      <c r="R250" s="604" t="str">
        <f t="shared" si="12"/>
        <v>Gastos_custeados_por_captação</v>
      </c>
      <c r="S250" s="605" t="s">
        <v>310</v>
      </c>
      <c r="T250" s="605" t="s">
        <v>310</v>
      </c>
    </row>
    <row r="251" spans="1:20" s="88" customFormat="1" ht="36" x14ac:dyDescent="0.2">
      <c r="A251" s="510">
        <f>IF(B251="","",COUNT('Diário 1º PA'!$A$4:$A$2635)+ROW()-3)</f>
        <v>1984</v>
      </c>
      <c r="B251" s="414">
        <v>44659</v>
      </c>
      <c r="C251" s="424">
        <v>44621</v>
      </c>
      <c r="D251" s="415" t="s">
        <v>468</v>
      </c>
      <c r="E251" s="415" t="s">
        <v>468</v>
      </c>
      <c r="F251" s="425">
        <v>300</v>
      </c>
      <c r="G251" s="427" t="s">
        <v>2997</v>
      </c>
      <c r="H251" s="415" t="s">
        <v>468</v>
      </c>
      <c r="I251" s="427" t="s">
        <v>764</v>
      </c>
      <c r="J251" s="415" t="s">
        <v>310</v>
      </c>
      <c r="K251" s="415" t="s">
        <v>1220</v>
      </c>
      <c r="L251" s="415" t="s">
        <v>3443</v>
      </c>
      <c r="M251" s="415" t="s">
        <v>3788</v>
      </c>
      <c r="N251" s="414">
        <v>44659</v>
      </c>
      <c r="O251" s="414" t="s">
        <v>408</v>
      </c>
      <c r="P251" s="603">
        <f t="shared" si="10"/>
        <v>4</v>
      </c>
      <c r="Q251" s="603">
        <f t="shared" si="11"/>
        <v>3</v>
      </c>
      <c r="R251" s="604" t="str">
        <f t="shared" si="12"/>
        <v>Gastos_custeados_por_captação</v>
      </c>
      <c r="S251" s="605" t="s">
        <v>310</v>
      </c>
      <c r="T251" s="605" t="s">
        <v>310</v>
      </c>
    </row>
    <row r="252" spans="1:20" s="88" customFormat="1" ht="36" x14ac:dyDescent="0.2">
      <c r="A252" s="510">
        <f>IF(B252="","",COUNT('Diário 1º PA'!$A$4:$A$2635)+ROW()-3)</f>
        <v>1985</v>
      </c>
      <c r="B252" s="414">
        <v>44659</v>
      </c>
      <c r="C252" s="424">
        <v>44593</v>
      </c>
      <c r="D252" s="415" t="s">
        <v>468</v>
      </c>
      <c r="E252" s="415" t="s">
        <v>468</v>
      </c>
      <c r="F252" s="425">
        <v>55.27</v>
      </c>
      <c r="G252" s="427" t="s">
        <v>2939</v>
      </c>
      <c r="H252" s="415" t="s">
        <v>468</v>
      </c>
      <c r="I252" s="427" t="s">
        <v>764</v>
      </c>
      <c r="J252" s="415" t="s">
        <v>310</v>
      </c>
      <c r="K252" s="415" t="s">
        <v>1220</v>
      </c>
      <c r="L252" s="415" t="s">
        <v>3443</v>
      </c>
      <c r="M252" s="415" t="s">
        <v>3789</v>
      </c>
      <c r="N252" s="414">
        <v>44659</v>
      </c>
      <c r="O252" s="414" t="s">
        <v>408</v>
      </c>
      <c r="P252" s="603">
        <f t="shared" si="10"/>
        <v>4</v>
      </c>
      <c r="Q252" s="603">
        <f t="shared" si="11"/>
        <v>2</v>
      </c>
      <c r="R252" s="604" t="str">
        <f t="shared" si="12"/>
        <v>Gastos_custeados_por_captação</v>
      </c>
      <c r="S252" s="605" t="s">
        <v>310</v>
      </c>
      <c r="T252" s="605" t="s">
        <v>310</v>
      </c>
    </row>
    <row r="253" spans="1:20" s="88" customFormat="1" ht="36" x14ac:dyDescent="0.2">
      <c r="A253" s="510">
        <f>IF(B253="","",COUNT('Diário 1º PA'!$A$4:$A$2635)+ROW()-3)</f>
        <v>1986</v>
      </c>
      <c r="B253" s="414">
        <v>44659</v>
      </c>
      <c r="C253" s="592">
        <v>44593</v>
      </c>
      <c r="D253" s="415" t="s">
        <v>468</v>
      </c>
      <c r="E253" s="415" t="s">
        <v>468</v>
      </c>
      <c r="F253" s="425">
        <v>88</v>
      </c>
      <c r="G253" s="427" t="s">
        <v>5577</v>
      </c>
      <c r="H253" s="415" t="s">
        <v>468</v>
      </c>
      <c r="I253" s="427" t="s">
        <v>764</v>
      </c>
      <c r="J253" s="415" t="s">
        <v>310</v>
      </c>
      <c r="K253" s="415" t="s">
        <v>1220</v>
      </c>
      <c r="L253" s="415" t="s">
        <v>3443</v>
      </c>
      <c r="M253" s="415" t="s">
        <v>3790</v>
      </c>
      <c r="N253" s="414">
        <v>44659</v>
      </c>
      <c r="O253" s="414" t="s">
        <v>408</v>
      </c>
      <c r="P253" s="603">
        <f t="shared" si="10"/>
        <v>4</v>
      </c>
      <c r="Q253" s="603">
        <f t="shared" si="11"/>
        <v>2</v>
      </c>
      <c r="R253" s="604" t="str">
        <f t="shared" si="12"/>
        <v>Gastos_custeados_por_captação</v>
      </c>
      <c r="S253" s="605" t="s">
        <v>310</v>
      </c>
      <c r="T253" s="605" t="s">
        <v>310</v>
      </c>
    </row>
    <row r="254" spans="1:20" s="88" customFormat="1" ht="72" x14ac:dyDescent="0.2">
      <c r="A254" s="510">
        <f>IF(B254="","",COUNT('Diário 1º PA'!$A$4:$A$2635)+ROW()-3)</f>
        <v>1987</v>
      </c>
      <c r="B254" s="414">
        <v>44659</v>
      </c>
      <c r="C254" s="431">
        <v>44593</v>
      </c>
      <c r="D254" s="415" t="s">
        <v>468</v>
      </c>
      <c r="E254" s="415" t="s">
        <v>468</v>
      </c>
      <c r="F254" s="425">
        <v>120</v>
      </c>
      <c r="G254" s="427" t="s">
        <v>3023</v>
      </c>
      <c r="H254" s="415" t="s">
        <v>468</v>
      </c>
      <c r="I254" s="427" t="s">
        <v>764</v>
      </c>
      <c r="J254" s="415" t="s">
        <v>310</v>
      </c>
      <c r="K254" s="415" t="s">
        <v>1220</v>
      </c>
      <c r="L254" s="415" t="s">
        <v>3443</v>
      </c>
      <c r="M254" s="415" t="s">
        <v>4348</v>
      </c>
      <c r="N254" s="414">
        <v>44659</v>
      </c>
      <c r="O254" s="414" t="s">
        <v>402</v>
      </c>
      <c r="P254" s="603">
        <f t="shared" si="10"/>
        <v>4</v>
      </c>
      <c r="Q254" s="603">
        <f t="shared" si="11"/>
        <v>2</v>
      </c>
      <c r="R254" s="604" t="str">
        <f t="shared" si="12"/>
        <v>Gastos_custeados_por_captação</v>
      </c>
      <c r="S254" s="605" t="s">
        <v>310</v>
      </c>
      <c r="T254" s="605" t="s">
        <v>310</v>
      </c>
    </row>
    <row r="255" spans="1:20" s="88" customFormat="1" ht="72" x14ac:dyDescent="0.2">
      <c r="A255" s="510">
        <f>IF(B255="","",COUNT('Diário 1º PA'!$A$4:$A$2635)+ROW()-3)</f>
        <v>1988</v>
      </c>
      <c r="B255" s="414">
        <v>44659</v>
      </c>
      <c r="C255" s="431">
        <v>44593</v>
      </c>
      <c r="D255" s="415" t="s">
        <v>468</v>
      </c>
      <c r="E255" s="415" t="s">
        <v>468</v>
      </c>
      <c r="F255" s="425">
        <v>90</v>
      </c>
      <c r="G255" s="427" t="s">
        <v>3014</v>
      </c>
      <c r="H255" s="415" t="s">
        <v>468</v>
      </c>
      <c r="I255" s="427" t="s">
        <v>764</v>
      </c>
      <c r="J255" s="415" t="s">
        <v>310</v>
      </c>
      <c r="K255" s="415" t="s">
        <v>1220</v>
      </c>
      <c r="L255" s="415" t="s">
        <v>3443</v>
      </c>
      <c r="M255" s="415" t="s">
        <v>4349</v>
      </c>
      <c r="N255" s="414">
        <v>44659</v>
      </c>
      <c r="O255" s="414" t="s">
        <v>402</v>
      </c>
      <c r="P255" s="603">
        <f t="shared" si="10"/>
        <v>4</v>
      </c>
      <c r="Q255" s="603">
        <f t="shared" si="11"/>
        <v>2</v>
      </c>
      <c r="R255" s="604" t="str">
        <f t="shared" si="12"/>
        <v>Gastos_custeados_por_captação</v>
      </c>
      <c r="S255" s="605" t="s">
        <v>310</v>
      </c>
      <c r="T255" s="605" t="s">
        <v>310</v>
      </c>
    </row>
    <row r="256" spans="1:20" s="88" customFormat="1" ht="72" x14ac:dyDescent="0.2">
      <c r="A256" s="510">
        <f>IF(B256="","",COUNT('Diário 1º PA'!$A$4:$A$2635)+ROW()-3)</f>
        <v>1989</v>
      </c>
      <c r="B256" s="414">
        <v>44659</v>
      </c>
      <c r="C256" s="433">
        <v>44593</v>
      </c>
      <c r="D256" s="415" t="s">
        <v>468</v>
      </c>
      <c r="E256" s="415" t="s">
        <v>468</v>
      </c>
      <c r="F256" s="425">
        <v>275</v>
      </c>
      <c r="G256" s="427" t="s">
        <v>4350</v>
      </c>
      <c r="H256" s="415" t="s">
        <v>468</v>
      </c>
      <c r="I256" s="427" t="s">
        <v>764</v>
      </c>
      <c r="J256" s="415" t="s">
        <v>310</v>
      </c>
      <c r="K256" s="415" t="s">
        <v>1220</v>
      </c>
      <c r="L256" s="415" t="s">
        <v>3443</v>
      </c>
      <c r="M256" s="415" t="s">
        <v>4351</v>
      </c>
      <c r="N256" s="414">
        <v>44659</v>
      </c>
      <c r="O256" s="414" t="s">
        <v>402</v>
      </c>
      <c r="P256" s="603">
        <f t="shared" si="10"/>
        <v>4</v>
      </c>
      <c r="Q256" s="603">
        <f t="shared" si="11"/>
        <v>2</v>
      </c>
      <c r="R256" s="604" t="str">
        <f t="shared" si="12"/>
        <v>Gastos_custeados_por_captação</v>
      </c>
      <c r="S256" s="605" t="s">
        <v>310</v>
      </c>
      <c r="T256" s="605" t="s">
        <v>310</v>
      </c>
    </row>
    <row r="257" spans="1:20" s="88" customFormat="1" ht="72" x14ac:dyDescent="0.2">
      <c r="A257" s="510">
        <f>IF(B257="","",COUNT('Diário 1º PA'!$A$4:$A$2635)+ROW()-3)</f>
        <v>1990</v>
      </c>
      <c r="B257" s="414">
        <v>44659</v>
      </c>
      <c r="C257" s="431">
        <v>44593</v>
      </c>
      <c r="D257" s="415" t="s">
        <v>468</v>
      </c>
      <c r="E257" s="415" t="s">
        <v>468</v>
      </c>
      <c r="F257" s="435">
        <v>110.55</v>
      </c>
      <c r="G257" s="427" t="s">
        <v>4352</v>
      </c>
      <c r="H257" s="415" t="s">
        <v>468</v>
      </c>
      <c r="I257" s="427" t="s">
        <v>764</v>
      </c>
      <c r="J257" s="415" t="s">
        <v>310</v>
      </c>
      <c r="K257" s="415" t="s">
        <v>1220</v>
      </c>
      <c r="L257" s="415" t="s">
        <v>3443</v>
      </c>
      <c r="M257" s="415" t="s">
        <v>4353</v>
      </c>
      <c r="N257" s="414">
        <v>44659</v>
      </c>
      <c r="O257" s="414" t="s">
        <v>402</v>
      </c>
      <c r="P257" s="603">
        <f t="shared" si="10"/>
        <v>4</v>
      </c>
      <c r="Q257" s="603">
        <f t="shared" si="11"/>
        <v>2</v>
      </c>
      <c r="R257" s="604" t="str">
        <f t="shared" si="12"/>
        <v>Gastos_custeados_por_captação</v>
      </c>
      <c r="S257" s="605" t="s">
        <v>310</v>
      </c>
      <c r="T257" s="605" t="s">
        <v>310</v>
      </c>
    </row>
    <row r="258" spans="1:20" s="88" customFormat="1" ht="72" x14ac:dyDescent="0.2">
      <c r="A258" s="510">
        <f>IF(B258="","",COUNT('Diário 1º PA'!$A$4:$A$2635)+ROW()-3)</f>
        <v>1991</v>
      </c>
      <c r="B258" s="414">
        <v>44659</v>
      </c>
      <c r="C258" s="431">
        <v>44562</v>
      </c>
      <c r="D258" s="415" t="s">
        <v>468</v>
      </c>
      <c r="E258" s="415" t="s">
        <v>468</v>
      </c>
      <c r="F258" s="425">
        <v>105.53</v>
      </c>
      <c r="G258" s="427" t="s">
        <v>3027</v>
      </c>
      <c r="H258" s="415" t="s">
        <v>468</v>
      </c>
      <c r="I258" s="427" t="s">
        <v>764</v>
      </c>
      <c r="J258" s="415" t="s">
        <v>310</v>
      </c>
      <c r="K258" s="415" t="s">
        <v>1220</v>
      </c>
      <c r="L258" s="415" t="s">
        <v>3443</v>
      </c>
      <c r="M258" s="415" t="s">
        <v>4354</v>
      </c>
      <c r="N258" s="414">
        <v>44659</v>
      </c>
      <c r="O258" s="414" t="s">
        <v>402</v>
      </c>
      <c r="P258" s="603">
        <f t="shared" si="10"/>
        <v>4</v>
      </c>
      <c r="Q258" s="603">
        <f t="shared" si="11"/>
        <v>1</v>
      </c>
      <c r="R258" s="604" t="str">
        <f t="shared" si="12"/>
        <v>Gastos_custeados_por_captação</v>
      </c>
      <c r="S258" s="605" t="s">
        <v>310</v>
      </c>
      <c r="T258" s="605" t="s">
        <v>310</v>
      </c>
    </row>
    <row r="259" spans="1:20" s="88" customFormat="1" ht="72" x14ac:dyDescent="0.2">
      <c r="A259" s="510">
        <f>IF(B259="","",COUNT('Diário 1º PA'!$A$4:$A$2635)+ROW()-3)</f>
        <v>1992</v>
      </c>
      <c r="B259" s="414">
        <v>44659</v>
      </c>
      <c r="C259" s="431">
        <v>44593</v>
      </c>
      <c r="D259" s="415" t="s">
        <v>468</v>
      </c>
      <c r="E259" s="415" t="s">
        <v>468</v>
      </c>
      <c r="F259" s="425">
        <v>60.3</v>
      </c>
      <c r="G259" s="427" t="s">
        <v>3016</v>
      </c>
      <c r="H259" s="415" t="s">
        <v>468</v>
      </c>
      <c r="I259" s="427" t="s">
        <v>764</v>
      </c>
      <c r="J259" s="415" t="s">
        <v>310</v>
      </c>
      <c r="K259" s="415" t="s">
        <v>1220</v>
      </c>
      <c r="L259" s="415" t="s">
        <v>3443</v>
      </c>
      <c r="M259" s="415" t="s">
        <v>4355</v>
      </c>
      <c r="N259" s="414">
        <v>44659</v>
      </c>
      <c r="O259" s="414" t="s">
        <v>402</v>
      </c>
      <c r="P259" s="603">
        <f t="shared" si="10"/>
        <v>4</v>
      </c>
      <c r="Q259" s="603">
        <f t="shared" si="11"/>
        <v>2</v>
      </c>
      <c r="R259" s="604" t="str">
        <f t="shared" si="12"/>
        <v>Gastos_custeados_por_captação</v>
      </c>
      <c r="S259" s="605" t="s">
        <v>310</v>
      </c>
      <c r="T259" s="605" t="s">
        <v>310</v>
      </c>
    </row>
    <row r="260" spans="1:20" s="88" customFormat="1" ht="72" x14ac:dyDescent="0.2">
      <c r="A260" s="510">
        <f>IF(B260="","",COUNT('Diário 1º PA'!$A$4:$A$2635)+ROW()-3)</f>
        <v>1993</v>
      </c>
      <c r="B260" s="414">
        <v>44659</v>
      </c>
      <c r="C260" s="431">
        <v>44593</v>
      </c>
      <c r="D260" s="415" t="s">
        <v>468</v>
      </c>
      <c r="E260" s="415" t="s">
        <v>468</v>
      </c>
      <c r="F260" s="425">
        <v>60.3</v>
      </c>
      <c r="G260" s="427" t="s">
        <v>3017</v>
      </c>
      <c r="H260" s="415" t="s">
        <v>468</v>
      </c>
      <c r="I260" s="427" t="s">
        <v>764</v>
      </c>
      <c r="J260" s="415" t="s">
        <v>310</v>
      </c>
      <c r="K260" s="415" t="s">
        <v>1220</v>
      </c>
      <c r="L260" s="415" t="s">
        <v>3443</v>
      </c>
      <c r="M260" s="415" t="s">
        <v>4356</v>
      </c>
      <c r="N260" s="414">
        <v>44659</v>
      </c>
      <c r="O260" s="414" t="s">
        <v>402</v>
      </c>
      <c r="P260" s="603">
        <f t="shared" si="10"/>
        <v>4</v>
      </c>
      <c r="Q260" s="603">
        <f t="shared" si="11"/>
        <v>2</v>
      </c>
      <c r="R260" s="604" t="str">
        <f t="shared" si="12"/>
        <v>Gastos_custeados_por_captação</v>
      </c>
      <c r="S260" s="605" t="s">
        <v>310</v>
      </c>
      <c r="T260" s="605" t="s">
        <v>310</v>
      </c>
    </row>
    <row r="261" spans="1:20" s="88" customFormat="1" ht="72" x14ac:dyDescent="0.2">
      <c r="A261" s="510">
        <f>IF(B261="","",COUNT('Diário 1º PA'!$A$4:$A$2635)+ROW()-3)</f>
        <v>1994</v>
      </c>
      <c r="B261" s="414">
        <v>44659</v>
      </c>
      <c r="C261" s="431">
        <v>44593</v>
      </c>
      <c r="D261" s="415" t="s">
        <v>468</v>
      </c>
      <c r="E261" s="415" t="s">
        <v>468</v>
      </c>
      <c r="F261" s="425">
        <v>55.27</v>
      </c>
      <c r="G261" s="427" t="s">
        <v>3028</v>
      </c>
      <c r="H261" s="415" t="s">
        <v>468</v>
      </c>
      <c r="I261" s="427" t="s">
        <v>764</v>
      </c>
      <c r="J261" s="415" t="s">
        <v>310</v>
      </c>
      <c r="K261" s="415" t="s">
        <v>1220</v>
      </c>
      <c r="L261" s="415" t="s">
        <v>3443</v>
      </c>
      <c r="M261" s="415" t="s">
        <v>4357</v>
      </c>
      <c r="N261" s="414">
        <v>44659</v>
      </c>
      <c r="O261" s="414" t="s">
        <v>402</v>
      </c>
      <c r="P261" s="603">
        <f t="shared" si="10"/>
        <v>4</v>
      </c>
      <c r="Q261" s="603">
        <f t="shared" si="11"/>
        <v>2</v>
      </c>
      <c r="R261" s="604" t="str">
        <f t="shared" si="12"/>
        <v>Gastos_custeados_por_captação</v>
      </c>
      <c r="S261" s="605" t="s">
        <v>310</v>
      </c>
      <c r="T261" s="605" t="s">
        <v>310</v>
      </c>
    </row>
    <row r="262" spans="1:20" s="88" customFormat="1" ht="72" x14ac:dyDescent="0.2">
      <c r="A262" s="510">
        <f>IF(B262="","",COUNT('Diário 1º PA'!$A$4:$A$2635)+ROW()-3)</f>
        <v>1995</v>
      </c>
      <c r="B262" s="414">
        <v>44659</v>
      </c>
      <c r="C262" s="431">
        <v>44562</v>
      </c>
      <c r="D262" s="415" t="s">
        <v>468</v>
      </c>
      <c r="E262" s="415" t="s">
        <v>468</v>
      </c>
      <c r="F262" s="425">
        <v>79.8</v>
      </c>
      <c r="G262" s="427" t="s">
        <v>3092</v>
      </c>
      <c r="H262" s="415" t="s">
        <v>468</v>
      </c>
      <c r="I262" s="427" t="s">
        <v>764</v>
      </c>
      <c r="J262" s="415" t="s">
        <v>310</v>
      </c>
      <c r="K262" s="415" t="s">
        <v>1220</v>
      </c>
      <c r="L262" s="415" t="s">
        <v>3443</v>
      </c>
      <c r="M262" s="415" t="s">
        <v>4358</v>
      </c>
      <c r="N262" s="414">
        <v>44659</v>
      </c>
      <c r="O262" s="414" t="s">
        <v>402</v>
      </c>
      <c r="P262" s="603">
        <f t="shared" si="10"/>
        <v>4</v>
      </c>
      <c r="Q262" s="603">
        <f t="shared" si="11"/>
        <v>1</v>
      </c>
      <c r="R262" s="604" t="str">
        <f t="shared" si="12"/>
        <v>Gastos_custeados_por_captação</v>
      </c>
      <c r="S262" s="605" t="s">
        <v>310</v>
      </c>
      <c r="T262" s="605" t="s">
        <v>310</v>
      </c>
    </row>
    <row r="263" spans="1:20" s="88" customFormat="1" ht="72" x14ac:dyDescent="0.2">
      <c r="A263" s="510">
        <f>IF(B263="","",COUNT('Diário 1º PA'!$A$4:$A$2635)+ROW()-3)</f>
        <v>1996</v>
      </c>
      <c r="B263" s="414">
        <v>44659</v>
      </c>
      <c r="C263" s="431">
        <v>44621</v>
      </c>
      <c r="D263" s="415" t="s">
        <v>468</v>
      </c>
      <c r="E263" s="415" t="s">
        <v>468</v>
      </c>
      <c r="F263" s="425">
        <v>7.18</v>
      </c>
      <c r="G263" s="427" t="s">
        <v>4359</v>
      </c>
      <c r="H263" s="415" t="s">
        <v>468</v>
      </c>
      <c r="I263" s="427" t="s">
        <v>764</v>
      </c>
      <c r="J263" s="415" t="s">
        <v>310</v>
      </c>
      <c r="K263" s="415" t="s">
        <v>1220</v>
      </c>
      <c r="L263" s="415" t="s">
        <v>3443</v>
      </c>
      <c r="M263" s="415" t="s">
        <v>4360</v>
      </c>
      <c r="N263" s="414">
        <v>44659</v>
      </c>
      <c r="O263" s="414" t="s">
        <v>402</v>
      </c>
      <c r="P263" s="603">
        <f t="shared" si="10"/>
        <v>4</v>
      </c>
      <c r="Q263" s="603">
        <f t="shared" si="11"/>
        <v>3</v>
      </c>
      <c r="R263" s="604" t="str">
        <f t="shared" si="12"/>
        <v>Gastos_custeados_por_captação</v>
      </c>
      <c r="S263" s="605" t="s">
        <v>310</v>
      </c>
      <c r="T263" s="605" t="s">
        <v>310</v>
      </c>
    </row>
    <row r="264" spans="1:20" s="88" customFormat="1" ht="72" x14ac:dyDescent="0.2">
      <c r="A264" s="510">
        <f>IF(B264="","",COUNT('Diário 1º PA'!$A$4:$A$2635)+ROW()-3)</f>
        <v>1997</v>
      </c>
      <c r="B264" s="414">
        <v>44659</v>
      </c>
      <c r="C264" s="431">
        <v>44562</v>
      </c>
      <c r="D264" s="415" t="s">
        <v>468</v>
      </c>
      <c r="E264" s="415" t="s">
        <v>468</v>
      </c>
      <c r="F264" s="425">
        <v>216.38</v>
      </c>
      <c r="G264" s="427" t="s">
        <v>3454</v>
      </c>
      <c r="H264" s="415" t="s">
        <v>468</v>
      </c>
      <c r="I264" s="427" t="s">
        <v>764</v>
      </c>
      <c r="J264" s="415" t="s">
        <v>310</v>
      </c>
      <c r="K264" s="415" t="s">
        <v>1220</v>
      </c>
      <c r="L264" s="415" t="s">
        <v>3443</v>
      </c>
      <c r="M264" s="415" t="s">
        <v>4361</v>
      </c>
      <c r="N264" s="414">
        <v>44659</v>
      </c>
      <c r="O264" s="414" t="s">
        <v>402</v>
      </c>
      <c r="P264" s="603">
        <f t="shared" ref="P264:P327" si="13">IF(B264=0,0,IF(YEAR(B264)=$Q$1,MONTH(B264)-$P$1+1,(YEAR(B264)-$Q$1)*12-$P$1+1+MONTH(B264)))</f>
        <v>4</v>
      </c>
      <c r="Q264" s="603">
        <f t="shared" ref="Q264:Q327" si="14">IF(C264=0,0,IF(YEAR(C264)=$Q$1,MONTH(C264)-$P$1+1,(YEAR(C264)-$Q$1)*12-$P$1+1+MONTH(C264)))</f>
        <v>1</v>
      </c>
      <c r="R264" s="604" t="str">
        <f t="shared" ref="R264:R327" si="15">SUBSTITUTE(D264," ","_")</f>
        <v>Gastos_custeados_por_captação</v>
      </c>
      <c r="S264" s="605" t="s">
        <v>310</v>
      </c>
      <c r="T264" s="605" t="s">
        <v>310</v>
      </c>
    </row>
    <row r="265" spans="1:20" s="88" customFormat="1" ht="72" x14ac:dyDescent="0.2">
      <c r="A265" s="510">
        <f>IF(B265="","",COUNT('Diário 1º PA'!$A$4:$A$2635)+ROW()-3)</f>
        <v>1998</v>
      </c>
      <c r="B265" s="414">
        <v>44659</v>
      </c>
      <c r="C265" s="431">
        <v>44470</v>
      </c>
      <c r="D265" s="415" t="s">
        <v>468</v>
      </c>
      <c r="E265" s="415" t="s">
        <v>468</v>
      </c>
      <c r="F265" s="425">
        <v>125</v>
      </c>
      <c r="G265" s="427" t="s">
        <v>3022</v>
      </c>
      <c r="H265" s="415" t="s">
        <v>468</v>
      </c>
      <c r="I265" s="427" t="s">
        <v>764</v>
      </c>
      <c r="J265" s="415" t="s">
        <v>310</v>
      </c>
      <c r="K265" s="415" t="s">
        <v>1220</v>
      </c>
      <c r="L265" s="415" t="s">
        <v>3443</v>
      </c>
      <c r="M265" s="415" t="s">
        <v>4362</v>
      </c>
      <c r="N265" s="414">
        <v>44659</v>
      </c>
      <c r="O265" s="414" t="s">
        <v>402</v>
      </c>
      <c r="P265" s="603">
        <f t="shared" si="13"/>
        <v>4</v>
      </c>
      <c r="Q265" s="603">
        <f t="shared" si="14"/>
        <v>-2</v>
      </c>
      <c r="R265" s="604" t="str">
        <f t="shared" si="15"/>
        <v>Gastos_custeados_por_captação</v>
      </c>
      <c r="S265" s="605" t="s">
        <v>310</v>
      </c>
      <c r="T265" s="605" t="s">
        <v>310</v>
      </c>
    </row>
    <row r="266" spans="1:20" s="88" customFormat="1" ht="72" x14ac:dyDescent="0.2">
      <c r="A266" s="510">
        <f>IF(B266="","",COUNT('Diário 1º PA'!$A$4:$A$2635)+ROW()-3)</f>
        <v>1999</v>
      </c>
      <c r="B266" s="414">
        <v>44659</v>
      </c>
      <c r="C266" s="431">
        <v>44621</v>
      </c>
      <c r="D266" s="415" t="s">
        <v>468</v>
      </c>
      <c r="E266" s="415" t="s">
        <v>468</v>
      </c>
      <c r="F266" s="425">
        <v>60.3</v>
      </c>
      <c r="G266" s="427" t="s">
        <v>3088</v>
      </c>
      <c r="H266" s="415" t="s">
        <v>468</v>
      </c>
      <c r="I266" s="427" t="s">
        <v>764</v>
      </c>
      <c r="J266" s="415" t="s">
        <v>310</v>
      </c>
      <c r="K266" s="415" t="s">
        <v>1220</v>
      </c>
      <c r="L266" s="415" t="s">
        <v>3443</v>
      </c>
      <c r="M266" s="415" t="s">
        <v>4363</v>
      </c>
      <c r="N266" s="414">
        <v>44659</v>
      </c>
      <c r="O266" s="414" t="s">
        <v>402</v>
      </c>
      <c r="P266" s="603">
        <f t="shared" si="13"/>
        <v>4</v>
      </c>
      <c r="Q266" s="603">
        <f t="shared" si="14"/>
        <v>3</v>
      </c>
      <c r="R266" s="604" t="str">
        <f t="shared" si="15"/>
        <v>Gastos_custeados_por_captação</v>
      </c>
      <c r="S266" s="605" t="s">
        <v>310</v>
      </c>
      <c r="T266" s="605" t="s">
        <v>310</v>
      </c>
    </row>
    <row r="267" spans="1:20" s="88" customFormat="1" ht="72" x14ac:dyDescent="0.2">
      <c r="A267" s="510">
        <f>IF(B267="","",COUNT('Diário 1º PA'!$A$4:$A$2635)+ROW()-3)</f>
        <v>2000</v>
      </c>
      <c r="B267" s="414">
        <v>44659</v>
      </c>
      <c r="C267" s="431">
        <v>44621</v>
      </c>
      <c r="D267" s="415" t="s">
        <v>468</v>
      </c>
      <c r="E267" s="415" t="s">
        <v>468</v>
      </c>
      <c r="F267" s="425">
        <v>60.3</v>
      </c>
      <c r="G267" s="427" t="s">
        <v>3090</v>
      </c>
      <c r="H267" s="415" t="s">
        <v>468</v>
      </c>
      <c r="I267" s="427" t="s">
        <v>764</v>
      </c>
      <c r="J267" s="415" t="s">
        <v>310</v>
      </c>
      <c r="K267" s="415" t="s">
        <v>1220</v>
      </c>
      <c r="L267" s="415" t="s">
        <v>3443</v>
      </c>
      <c r="M267" s="415" t="s">
        <v>4364</v>
      </c>
      <c r="N267" s="414">
        <v>44659</v>
      </c>
      <c r="O267" s="414" t="s">
        <v>402</v>
      </c>
      <c r="P267" s="603">
        <f t="shared" si="13"/>
        <v>4</v>
      </c>
      <c r="Q267" s="603">
        <f t="shared" si="14"/>
        <v>3</v>
      </c>
      <c r="R267" s="604" t="str">
        <f t="shared" si="15"/>
        <v>Gastos_custeados_por_captação</v>
      </c>
      <c r="S267" s="605" t="s">
        <v>310</v>
      </c>
      <c r="T267" s="605" t="s">
        <v>310</v>
      </c>
    </row>
    <row r="268" spans="1:20" s="88" customFormat="1" ht="60" x14ac:dyDescent="0.2">
      <c r="A268" s="510">
        <f>IF(B268="","",COUNT('Diário 1º PA'!$A$4:$A$2635)+ROW()-3)</f>
        <v>2001</v>
      </c>
      <c r="B268" s="414">
        <v>44659</v>
      </c>
      <c r="C268" s="466">
        <v>44562</v>
      </c>
      <c r="D268" s="415" t="s">
        <v>468</v>
      </c>
      <c r="E268" s="415" t="s">
        <v>468</v>
      </c>
      <c r="F268" s="425">
        <v>64</v>
      </c>
      <c r="G268" s="427" t="s">
        <v>4374</v>
      </c>
      <c r="H268" s="415" t="s">
        <v>468</v>
      </c>
      <c r="I268" s="427" t="s">
        <v>764</v>
      </c>
      <c r="J268" s="415" t="s">
        <v>310</v>
      </c>
      <c r="K268" s="415" t="s">
        <v>1220</v>
      </c>
      <c r="L268" s="415" t="s">
        <v>3443</v>
      </c>
      <c r="M268" s="415" t="s">
        <v>4375</v>
      </c>
      <c r="N268" s="414">
        <v>44659</v>
      </c>
      <c r="O268" s="414" t="s">
        <v>404</v>
      </c>
      <c r="P268" s="603">
        <f t="shared" si="13"/>
        <v>4</v>
      </c>
      <c r="Q268" s="603">
        <f t="shared" si="14"/>
        <v>1</v>
      </c>
      <c r="R268" s="604" t="str">
        <f t="shared" si="15"/>
        <v>Gastos_custeados_por_captação</v>
      </c>
      <c r="S268" s="605" t="s">
        <v>310</v>
      </c>
      <c r="T268" s="605" t="s">
        <v>310</v>
      </c>
    </row>
    <row r="269" spans="1:20" s="88" customFormat="1" ht="60" x14ac:dyDescent="0.2">
      <c r="A269" s="510">
        <f>IF(B269="","",COUNT('Diário 1º PA'!$A$4:$A$2635)+ROW()-3)</f>
        <v>2002</v>
      </c>
      <c r="B269" s="414">
        <v>44659</v>
      </c>
      <c r="C269" s="424">
        <v>44593</v>
      </c>
      <c r="D269" s="415" t="s">
        <v>468</v>
      </c>
      <c r="E269" s="415" t="s">
        <v>468</v>
      </c>
      <c r="F269" s="425">
        <v>96</v>
      </c>
      <c r="G269" s="427" t="s">
        <v>4376</v>
      </c>
      <c r="H269" s="415" t="s">
        <v>468</v>
      </c>
      <c r="I269" s="427" t="s">
        <v>764</v>
      </c>
      <c r="J269" s="415" t="s">
        <v>310</v>
      </c>
      <c r="K269" s="415" t="s">
        <v>1220</v>
      </c>
      <c r="L269" s="415" t="s">
        <v>3443</v>
      </c>
      <c r="M269" s="415" t="s">
        <v>4377</v>
      </c>
      <c r="N269" s="414">
        <v>44659</v>
      </c>
      <c r="O269" s="414" t="s">
        <v>404</v>
      </c>
      <c r="P269" s="603">
        <f t="shared" si="13"/>
        <v>4</v>
      </c>
      <c r="Q269" s="603">
        <f t="shared" si="14"/>
        <v>2</v>
      </c>
      <c r="R269" s="604" t="str">
        <f t="shared" si="15"/>
        <v>Gastos_custeados_por_captação</v>
      </c>
      <c r="S269" s="605" t="s">
        <v>310</v>
      </c>
      <c r="T269" s="605" t="s">
        <v>310</v>
      </c>
    </row>
    <row r="270" spans="1:20" s="88" customFormat="1" ht="60" x14ac:dyDescent="0.2">
      <c r="A270" s="510">
        <f>IF(B270="","",COUNT('Diário 1º PA'!$A$4:$A$2635)+ROW()-3)</f>
        <v>2003</v>
      </c>
      <c r="B270" s="414">
        <v>44659</v>
      </c>
      <c r="C270" s="424">
        <v>44593</v>
      </c>
      <c r="D270" s="415" t="s">
        <v>468</v>
      </c>
      <c r="E270" s="415" t="s">
        <v>468</v>
      </c>
      <c r="F270" s="425">
        <v>96</v>
      </c>
      <c r="G270" s="427" t="s">
        <v>4378</v>
      </c>
      <c r="H270" s="415" t="s">
        <v>468</v>
      </c>
      <c r="I270" s="427" t="s">
        <v>764</v>
      </c>
      <c r="J270" s="415" t="s">
        <v>310</v>
      </c>
      <c r="K270" s="415" t="s">
        <v>1220</v>
      </c>
      <c r="L270" s="415" t="s">
        <v>3443</v>
      </c>
      <c r="M270" s="415" t="s">
        <v>4379</v>
      </c>
      <c r="N270" s="414">
        <v>44659</v>
      </c>
      <c r="O270" s="414" t="s">
        <v>404</v>
      </c>
      <c r="P270" s="603">
        <f t="shared" si="13"/>
        <v>4</v>
      </c>
      <c r="Q270" s="603">
        <f t="shared" si="14"/>
        <v>2</v>
      </c>
      <c r="R270" s="604" t="str">
        <f t="shared" si="15"/>
        <v>Gastos_custeados_por_captação</v>
      </c>
      <c r="S270" s="605" t="s">
        <v>310</v>
      </c>
      <c r="T270" s="605" t="s">
        <v>310</v>
      </c>
    </row>
    <row r="271" spans="1:20" s="88" customFormat="1" ht="60" x14ac:dyDescent="0.2">
      <c r="A271" s="510">
        <f>IF(B271="","",COUNT('Diário 1º PA'!$A$4:$A$2635)+ROW()-3)</f>
        <v>2004</v>
      </c>
      <c r="B271" s="414">
        <v>44659</v>
      </c>
      <c r="C271" s="424">
        <v>44593</v>
      </c>
      <c r="D271" s="415" t="s">
        <v>468</v>
      </c>
      <c r="E271" s="415" t="s">
        <v>468</v>
      </c>
      <c r="F271" s="425">
        <v>132</v>
      </c>
      <c r="G271" s="427" t="s">
        <v>4380</v>
      </c>
      <c r="H271" s="415" t="s">
        <v>468</v>
      </c>
      <c r="I271" s="427" t="s">
        <v>764</v>
      </c>
      <c r="J271" s="415" t="s">
        <v>310</v>
      </c>
      <c r="K271" s="415" t="s">
        <v>1220</v>
      </c>
      <c r="L271" s="415" t="s">
        <v>3443</v>
      </c>
      <c r="M271" s="415" t="s">
        <v>4381</v>
      </c>
      <c r="N271" s="414">
        <v>44659</v>
      </c>
      <c r="O271" s="414" t="s">
        <v>404</v>
      </c>
      <c r="P271" s="603">
        <f t="shared" si="13"/>
        <v>4</v>
      </c>
      <c r="Q271" s="603">
        <f t="shared" si="14"/>
        <v>2</v>
      </c>
      <c r="R271" s="604" t="str">
        <f t="shared" si="15"/>
        <v>Gastos_custeados_por_captação</v>
      </c>
      <c r="S271" s="605" t="s">
        <v>310</v>
      </c>
      <c r="T271" s="605" t="s">
        <v>310</v>
      </c>
    </row>
    <row r="272" spans="1:20" s="88" customFormat="1" ht="60" x14ac:dyDescent="0.2">
      <c r="A272" s="510">
        <f>IF(B272="","",COUNT('Diário 1º PA'!$A$4:$A$2635)+ROW()-3)</f>
        <v>2005</v>
      </c>
      <c r="B272" s="414">
        <v>44659</v>
      </c>
      <c r="C272" s="424">
        <v>44593</v>
      </c>
      <c r="D272" s="415" t="s">
        <v>468</v>
      </c>
      <c r="E272" s="415" t="s">
        <v>468</v>
      </c>
      <c r="F272" s="425">
        <v>136</v>
      </c>
      <c r="G272" s="427" t="s">
        <v>4382</v>
      </c>
      <c r="H272" s="415" t="s">
        <v>468</v>
      </c>
      <c r="I272" s="427" t="s">
        <v>764</v>
      </c>
      <c r="J272" s="415" t="s">
        <v>310</v>
      </c>
      <c r="K272" s="415" t="s">
        <v>1220</v>
      </c>
      <c r="L272" s="415" t="s">
        <v>3443</v>
      </c>
      <c r="M272" s="415" t="s">
        <v>4383</v>
      </c>
      <c r="N272" s="414">
        <v>44659</v>
      </c>
      <c r="O272" s="414" t="s">
        <v>404</v>
      </c>
      <c r="P272" s="603">
        <f t="shared" si="13"/>
        <v>4</v>
      </c>
      <c r="Q272" s="603">
        <f t="shared" si="14"/>
        <v>2</v>
      </c>
      <c r="R272" s="604" t="str">
        <f t="shared" si="15"/>
        <v>Gastos_custeados_por_captação</v>
      </c>
      <c r="S272" s="605" t="s">
        <v>310</v>
      </c>
      <c r="T272" s="605" t="s">
        <v>310</v>
      </c>
    </row>
    <row r="273" spans="1:20" s="88" customFormat="1" ht="60" x14ac:dyDescent="0.2">
      <c r="A273" s="510">
        <f>IF(B273="","",COUNT('Diário 1º PA'!$A$4:$A$2635)+ROW()-3)</f>
        <v>2006</v>
      </c>
      <c r="B273" s="414">
        <v>44659</v>
      </c>
      <c r="C273" s="424">
        <v>44621</v>
      </c>
      <c r="D273" s="415" t="s">
        <v>468</v>
      </c>
      <c r="E273" s="415" t="s">
        <v>468</v>
      </c>
      <c r="F273" s="425">
        <v>76</v>
      </c>
      <c r="G273" s="427" t="s">
        <v>4384</v>
      </c>
      <c r="H273" s="415" t="s">
        <v>468</v>
      </c>
      <c r="I273" s="427" t="s">
        <v>764</v>
      </c>
      <c r="J273" s="415" t="s">
        <v>310</v>
      </c>
      <c r="K273" s="415" t="s">
        <v>1220</v>
      </c>
      <c r="L273" s="415" t="s">
        <v>3443</v>
      </c>
      <c r="M273" s="415" t="s">
        <v>4385</v>
      </c>
      <c r="N273" s="414">
        <v>44659</v>
      </c>
      <c r="O273" s="414" t="s">
        <v>404</v>
      </c>
      <c r="P273" s="603">
        <f t="shared" si="13"/>
        <v>4</v>
      </c>
      <c r="Q273" s="603">
        <f t="shared" si="14"/>
        <v>3</v>
      </c>
      <c r="R273" s="604" t="str">
        <f t="shared" si="15"/>
        <v>Gastos_custeados_por_captação</v>
      </c>
      <c r="S273" s="605" t="s">
        <v>310</v>
      </c>
      <c r="T273" s="605" t="s">
        <v>310</v>
      </c>
    </row>
    <row r="274" spans="1:20" s="88" customFormat="1" ht="60" x14ac:dyDescent="0.2">
      <c r="A274" s="510">
        <f>IF(B274="","",COUNT('Diário 1º PA'!$A$4:$A$2635)+ROW()-3)</f>
        <v>2007</v>
      </c>
      <c r="B274" s="414">
        <v>44659</v>
      </c>
      <c r="C274" s="424">
        <v>44621</v>
      </c>
      <c r="D274" s="415" t="s">
        <v>468</v>
      </c>
      <c r="E274" s="415" t="s">
        <v>468</v>
      </c>
      <c r="F274" s="425">
        <v>60</v>
      </c>
      <c r="G274" s="427" t="s">
        <v>4386</v>
      </c>
      <c r="H274" s="415" t="s">
        <v>468</v>
      </c>
      <c r="I274" s="427" t="s">
        <v>764</v>
      </c>
      <c r="J274" s="415" t="s">
        <v>310</v>
      </c>
      <c r="K274" s="415" t="s">
        <v>1220</v>
      </c>
      <c r="L274" s="415" t="s">
        <v>3443</v>
      </c>
      <c r="M274" s="415" t="s">
        <v>4387</v>
      </c>
      <c r="N274" s="414">
        <v>44659</v>
      </c>
      <c r="O274" s="414" t="s">
        <v>404</v>
      </c>
      <c r="P274" s="603">
        <f t="shared" si="13"/>
        <v>4</v>
      </c>
      <c r="Q274" s="603">
        <f t="shared" si="14"/>
        <v>3</v>
      </c>
      <c r="R274" s="604" t="str">
        <f t="shared" si="15"/>
        <v>Gastos_custeados_por_captação</v>
      </c>
      <c r="S274" s="605" t="s">
        <v>310</v>
      </c>
      <c r="T274" s="605" t="s">
        <v>310</v>
      </c>
    </row>
    <row r="275" spans="1:20" s="88" customFormat="1" ht="60" x14ac:dyDescent="0.2">
      <c r="A275" s="510">
        <f>IF(B275="","",COUNT('Diário 1º PA'!$A$4:$A$2635)+ROW()-3)</f>
        <v>2008</v>
      </c>
      <c r="B275" s="414">
        <v>44659</v>
      </c>
      <c r="C275" s="424">
        <v>44621</v>
      </c>
      <c r="D275" s="415" t="s">
        <v>468</v>
      </c>
      <c r="E275" s="415" t="s">
        <v>468</v>
      </c>
      <c r="F275" s="425">
        <v>60</v>
      </c>
      <c r="G275" s="427" t="s">
        <v>4388</v>
      </c>
      <c r="H275" s="415" t="s">
        <v>468</v>
      </c>
      <c r="I275" s="427" t="s">
        <v>764</v>
      </c>
      <c r="J275" s="415" t="s">
        <v>310</v>
      </c>
      <c r="K275" s="415" t="s">
        <v>1220</v>
      </c>
      <c r="L275" s="415" t="s">
        <v>3443</v>
      </c>
      <c r="M275" s="415" t="s">
        <v>4389</v>
      </c>
      <c r="N275" s="414">
        <v>44659</v>
      </c>
      <c r="O275" s="414" t="s">
        <v>404</v>
      </c>
      <c r="P275" s="603">
        <f t="shared" si="13"/>
        <v>4</v>
      </c>
      <c r="Q275" s="603">
        <f t="shared" si="14"/>
        <v>3</v>
      </c>
      <c r="R275" s="604" t="str">
        <f t="shared" si="15"/>
        <v>Gastos_custeados_por_captação</v>
      </c>
      <c r="S275" s="605" t="s">
        <v>310</v>
      </c>
      <c r="T275" s="605" t="s">
        <v>310</v>
      </c>
    </row>
    <row r="276" spans="1:20" s="88" customFormat="1" ht="60" x14ac:dyDescent="0.2">
      <c r="A276" s="510">
        <f>IF(B276="","",COUNT('Diário 1º PA'!$A$4:$A$2635)+ROW()-3)</f>
        <v>2009</v>
      </c>
      <c r="B276" s="414">
        <v>44659</v>
      </c>
      <c r="C276" s="424">
        <v>44621</v>
      </c>
      <c r="D276" s="415" t="s">
        <v>468</v>
      </c>
      <c r="E276" s="415" t="s">
        <v>468</v>
      </c>
      <c r="F276" s="425">
        <v>76</v>
      </c>
      <c r="G276" s="427" t="s">
        <v>4390</v>
      </c>
      <c r="H276" s="415" t="s">
        <v>468</v>
      </c>
      <c r="I276" s="427" t="s">
        <v>764</v>
      </c>
      <c r="J276" s="415" t="s">
        <v>310</v>
      </c>
      <c r="K276" s="415" t="s">
        <v>1220</v>
      </c>
      <c r="L276" s="415" t="s">
        <v>3443</v>
      </c>
      <c r="M276" s="415" t="s">
        <v>4391</v>
      </c>
      <c r="N276" s="414">
        <v>44659</v>
      </c>
      <c r="O276" s="414" t="s">
        <v>404</v>
      </c>
      <c r="P276" s="603">
        <f t="shared" si="13"/>
        <v>4</v>
      </c>
      <c r="Q276" s="603">
        <f t="shared" si="14"/>
        <v>3</v>
      </c>
      <c r="R276" s="604" t="str">
        <f t="shared" si="15"/>
        <v>Gastos_custeados_por_captação</v>
      </c>
      <c r="S276" s="605" t="s">
        <v>310</v>
      </c>
      <c r="T276" s="605" t="s">
        <v>310</v>
      </c>
    </row>
    <row r="277" spans="1:20" s="88" customFormat="1" ht="60" x14ac:dyDescent="0.2">
      <c r="A277" s="510">
        <f>IF(B277="","",COUNT('Diário 1º PA'!$A$4:$A$2635)+ROW()-3)</f>
        <v>2010</v>
      </c>
      <c r="B277" s="414">
        <v>44659</v>
      </c>
      <c r="C277" s="424">
        <v>44621</v>
      </c>
      <c r="D277" s="415" t="s">
        <v>468</v>
      </c>
      <c r="E277" s="415" t="s">
        <v>468</v>
      </c>
      <c r="F277" s="425">
        <v>80</v>
      </c>
      <c r="G277" s="427" t="s">
        <v>4392</v>
      </c>
      <c r="H277" s="415" t="s">
        <v>468</v>
      </c>
      <c r="I277" s="427" t="s">
        <v>764</v>
      </c>
      <c r="J277" s="415" t="s">
        <v>310</v>
      </c>
      <c r="K277" s="415" t="s">
        <v>1220</v>
      </c>
      <c r="L277" s="415" t="s">
        <v>3443</v>
      </c>
      <c r="M277" s="415" t="s">
        <v>4393</v>
      </c>
      <c r="N277" s="414">
        <v>44659</v>
      </c>
      <c r="O277" s="414" t="s">
        <v>404</v>
      </c>
      <c r="P277" s="603">
        <f t="shared" si="13"/>
        <v>4</v>
      </c>
      <c r="Q277" s="603">
        <f t="shared" si="14"/>
        <v>3</v>
      </c>
      <c r="R277" s="604" t="str">
        <f t="shared" si="15"/>
        <v>Gastos_custeados_por_captação</v>
      </c>
      <c r="S277" s="605" t="s">
        <v>310</v>
      </c>
      <c r="T277" s="605" t="s">
        <v>310</v>
      </c>
    </row>
    <row r="278" spans="1:20" s="88" customFormat="1" ht="60" x14ac:dyDescent="0.2">
      <c r="A278" s="510">
        <f>IF(B278="","",COUNT('Diário 1º PA'!$A$4:$A$2635)+ROW()-3)</f>
        <v>2011</v>
      </c>
      <c r="B278" s="414">
        <v>44659</v>
      </c>
      <c r="C278" s="424">
        <v>44621</v>
      </c>
      <c r="D278" s="415" t="s">
        <v>468</v>
      </c>
      <c r="E278" s="415" t="s">
        <v>468</v>
      </c>
      <c r="F278" s="425">
        <v>60</v>
      </c>
      <c r="G278" s="427" t="s">
        <v>4394</v>
      </c>
      <c r="H278" s="415" t="s">
        <v>468</v>
      </c>
      <c r="I278" s="427" t="s">
        <v>764</v>
      </c>
      <c r="J278" s="415" t="s">
        <v>310</v>
      </c>
      <c r="K278" s="415" t="s">
        <v>1220</v>
      </c>
      <c r="L278" s="415" t="s">
        <v>3443</v>
      </c>
      <c r="M278" s="415" t="s">
        <v>4395</v>
      </c>
      <c r="N278" s="414">
        <v>44659</v>
      </c>
      <c r="O278" s="414" t="s">
        <v>404</v>
      </c>
      <c r="P278" s="603">
        <f t="shared" si="13"/>
        <v>4</v>
      </c>
      <c r="Q278" s="603">
        <f t="shared" si="14"/>
        <v>3</v>
      </c>
      <c r="R278" s="604" t="str">
        <f t="shared" si="15"/>
        <v>Gastos_custeados_por_captação</v>
      </c>
      <c r="S278" s="605" t="s">
        <v>310</v>
      </c>
      <c r="T278" s="605" t="s">
        <v>310</v>
      </c>
    </row>
    <row r="279" spans="1:20" s="88" customFormat="1" ht="60" x14ac:dyDescent="0.2">
      <c r="A279" s="510">
        <f>IF(B279="","",COUNT('Diário 1º PA'!$A$4:$A$2635)+ROW()-3)</f>
        <v>2012</v>
      </c>
      <c r="B279" s="414">
        <v>44659</v>
      </c>
      <c r="C279" s="466">
        <v>44593</v>
      </c>
      <c r="D279" s="415" t="s">
        <v>468</v>
      </c>
      <c r="E279" s="415" t="s">
        <v>468</v>
      </c>
      <c r="F279" s="425">
        <v>55.27</v>
      </c>
      <c r="G279" s="427" t="s">
        <v>4396</v>
      </c>
      <c r="H279" s="415" t="s">
        <v>468</v>
      </c>
      <c r="I279" s="427" t="s">
        <v>764</v>
      </c>
      <c r="J279" s="415" t="s">
        <v>310</v>
      </c>
      <c r="K279" s="415" t="s">
        <v>1220</v>
      </c>
      <c r="L279" s="415" t="s">
        <v>3443</v>
      </c>
      <c r="M279" s="415" t="s">
        <v>4395</v>
      </c>
      <c r="N279" s="414">
        <v>44659</v>
      </c>
      <c r="O279" s="414" t="s">
        <v>405</v>
      </c>
      <c r="P279" s="603">
        <f t="shared" si="13"/>
        <v>4</v>
      </c>
      <c r="Q279" s="603">
        <f t="shared" si="14"/>
        <v>2</v>
      </c>
      <c r="R279" s="604" t="str">
        <f t="shared" si="15"/>
        <v>Gastos_custeados_por_captação</v>
      </c>
      <c r="S279" s="605" t="s">
        <v>310</v>
      </c>
      <c r="T279" s="605" t="s">
        <v>310</v>
      </c>
    </row>
    <row r="280" spans="1:20" ht="60" x14ac:dyDescent="0.2">
      <c r="A280" s="510">
        <f>IF(B280="","",COUNT('Diário 1º PA'!$A$4:$A$2635)+ROW()-3)</f>
        <v>2013</v>
      </c>
      <c r="B280" s="414">
        <v>44659</v>
      </c>
      <c r="C280" s="424">
        <v>44621</v>
      </c>
      <c r="D280" s="415" t="s">
        <v>468</v>
      </c>
      <c r="E280" s="415" t="s">
        <v>468</v>
      </c>
      <c r="F280" s="425">
        <v>12.02</v>
      </c>
      <c r="G280" s="427" t="s">
        <v>4397</v>
      </c>
      <c r="H280" s="415" t="s">
        <v>468</v>
      </c>
      <c r="I280" s="427" t="s">
        <v>764</v>
      </c>
      <c r="J280" s="415" t="s">
        <v>310</v>
      </c>
      <c r="K280" s="415" t="s">
        <v>1220</v>
      </c>
      <c r="L280" s="415" t="s">
        <v>3443</v>
      </c>
      <c r="M280" s="415" t="s">
        <v>4398</v>
      </c>
      <c r="N280" s="414">
        <v>44659</v>
      </c>
      <c r="O280" s="414" t="s">
        <v>405</v>
      </c>
      <c r="P280" s="603">
        <f t="shared" si="13"/>
        <v>4</v>
      </c>
      <c r="Q280" s="603">
        <f t="shared" si="14"/>
        <v>3</v>
      </c>
      <c r="R280" s="604" t="str">
        <f t="shared" si="15"/>
        <v>Gastos_custeados_por_captação</v>
      </c>
      <c r="S280" s="605" t="s">
        <v>310</v>
      </c>
      <c r="T280" s="605" t="s">
        <v>310</v>
      </c>
    </row>
    <row r="281" spans="1:20" ht="72" x14ac:dyDescent="0.2">
      <c r="A281" s="510">
        <f>IF(B281="","",COUNT('Diário 1º PA'!$A$4:$A$2635)+ROW()-3)</f>
        <v>2014</v>
      </c>
      <c r="B281" s="414">
        <v>44659</v>
      </c>
      <c r="C281" s="592">
        <v>44652</v>
      </c>
      <c r="D281" s="415" t="s">
        <v>468</v>
      </c>
      <c r="E281" s="415" t="s">
        <v>468</v>
      </c>
      <c r="F281" s="425">
        <v>649.45000000000005</v>
      </c>
      <c r="G281" s="427" t="s">
        <v>2446</v>
      </c>
      <c r="H281" s="415" t="s">
        <v>468</v>
      </c>
      <c r="I281" s="427" t="s">
        <v>4399</v>
      </c>
      <c r="J281" s="545" t="s">
        <v>3263</v>
      </c>
      <c r="K281" s="415" t="s">
        <v>830</v>
      </c>
      <c r="L281" s="415" t="s">
        <v>807</v>
      </c>
      <c r="M281" s="415">
        <v>1464</v>
      </c>
      <c r="N281" s="414">
        <v>44659</v>
      </c>
      <c r="O281" s="414" t="s">
        <v>407</v>
      </c>
      <c r="P281" s="603">
        <f t="shared" si="13"/>
        <v>4</v>
      </c>
      <c r="Q281" s="603">
        <f t="shared" si="14"/>
        <v>4</v>
      </c>
      <c r="R281" s="604" t="str">
        <f t="shared" si="15"/>
        <v>Gastos_custeados_por_captação</v>
      </c>
      <c r="S281" s="605" t="s">
        <v>999</v>
      </c>
      <c r="T281" s="605">
        <v>3254</v>
      </c>
    </row>
    <row r="282" spans="1:20" ht="72" x14ac:dyDescent="0.2">
      <c r="A282" s="510">
        <f>IF(B282="","",COUNT('Diário 1º PA'!$A$4:$A$2635)+ROW()-3)</f>
        <v>2015</v>
      </c>
      <c r="B282" s="414">
        <v>44659</v>
      </c>
      <c r="C282" s="424">
        <v>44470</v>
      </c>
      <c r="D282" s="415" t="s">
        <v>468</v>
      </c>
      <c r="E282" s="415" t="s">
        <v>468</v>
      </c>
      <c r="F282" s="425">
        <v>25</v>
      </c>
      <c r="G282" s="427" t="s">
        <v>4400</v>
      </c>
      <c r="H282" s="415" t="s">
        <v>468</v>
      </c>
      <c r="I282" s="427" t="s">
        <v>764</v>
      </c>
      <c r="J282" s="415" t="s">
        <v>310</v>
      </c>
      <c r="K282" s="415" t="s">
        <v>1220</v>
      </c>
      <c r="L282" s="415" t="s">
        <v>3443</v>
      </c>
      <c r="M282" s="415" t="s">
        <v>4401</v>
      </c>
      <c r="N282" s="414">
        <v>44659</v>
      </c>
      <c r="O282" s="414" t="s">
        <v>407</v>
      </c>
      <c r="P282" s="603">
        <f t="shared" si="13"/>
        <v>4</v>
      </c>
      <c r="Q282" s="603">
        <f t="shared" si="14"/>
        <v>-2</v>
      </c>
      <c r="R282" s="604" t="str">
        <f t="shared" si="15"/>
        <v>Gastos_custeados_por_captação</v>
      </c>
      <c r="S282" s="605" t="s">
        <v>310</v>
      </c>
      <c r="T282" s="605" t="s">
        <v>310</v>
      </c>
    </row>
    <row r="283" spans="1:20" ht="72" x14ac:dyDescent="0.2">
      <c r="A283" s="510">
        <f>IF(B283="","",COUNT('Diário 1º PA'!$A$4:$A$2635)+ROW()-3)</f>
        <v>2016</v>
      </c>
      <c r="B283" s="414">
        <v>44659</v>
      </c>
      <c r="C283" s="431">
        <v>44652</v>
      </c>
      <c r="D283" s="434" t="s">
        <v>468</v>
      </c>
      <c r="E283" s="434" t="s">
        <v>468</v>
      </c>
      <c r="F283" s="425">
        <v>591.04</v>
      </c>
      <c r="G283" s="427" t="s">
        <v>3257</v>
      </c>
      <c r="H283" s="415" t="s">
        <v>468</v>
      </c>
      <c r="I283" s="427" t="s">
        <v>4402</v>
      </c>
      <c r="J283" s="415" t="s">
        <v>4403</v>
      </c>
      <c r="K283" s="415" t="s">
        <v>830</v>
      </c>
      <c r="L283" s="415" t="s">
        <v>807</v>
      </c>
      <c r="M283" s="415">
        <v>51543</v>
      </c>
      <c r="N283" s="414">
        <v>44659</v>
      </c>
      <c r="O283" s="414" t="s">
        <v>407</v>
      </c>
      <c r="P283" s="603">
        <f t="shared" si="13"/>
        <v>4</v>
      </c>
      <c r="Q283" s="603">
        <f t="shared" si="14"/>
        <v>4</v>
      </c>
      <c r="R283" s="604" t="str">
        <f t="shared" si="15"/>
        <v>Gastos_custeados_por_captação</v>
      </c>
      <c r="S283" s="605" t="s">
        <v>999</v>
      </c>
      <c r="T283" s="605">
        <v>3371</v>
      </c>
    </row>
    <row r="284" spans="1:20" ht="72" x14ac:dyDescent="0.2">
      <c r="A284" s="510">
        <f>IF(B284="","",COUNT('Diário 1º PA'!$A$4:$A$2635)+ROW()-3)</f>
        <v>2017</v>
      </c>
      <c r="B284" s="414">
        <v>44659</v>
      </c>
      <c r="C284" s="431">
        <v>44652</v>
      </c>
      <c r="D284" s="415" t="s">
        <v>468</v>
      </c>
      <c r="E284" s="415" t="s">
        <v>468</v>
      </c>
      <c r="F284" s="425">
        <v>56.1</v>
      </c>
      <c r="G284" s="427" t="s">
        <v>3252</v>
      </c>
      <c r="H284" s="415" t="s">
        <v>468</v>
      </c>
      <c r="I284" s="427" t="s">
        <v>4404</v>
      </c>
      <c r="J284" s="415" t="s">
        <v>3253</v>
      </c>
      <c r="K284" s="415" t="s">
        <v>830</v>
      </c>
      <c r="L284" s="415" t="s">
        <v>807</v>
      </c>
      <c r="M284" s="415">
        <v>24017</v>
      </c>
      <c r="N284" s="414">
        <v>44659</v>
      </c>
      <c r="O284" s="414" t="s">
        <v>407</v>
      </c>
      <c r="P284" s="603">
        <f t="shared" si="13"/>
        <v>4</v>
      </c>
      <c r="Q284" s="603">
        <f t="shared" si="14"/>
        <v>4</v>
      </c>
      <c r="R284" s="604" t="str">
        <f t="shared" si="15"/>
        <v>Gastos_custeados_por_captação</v>
      </c>
      <c r="S284" s="605" t="s">
        <v>999</v>
      </c>
      <c r="T284" s="605">
        <v>3372</v>
      </c>
    </row>
    <row r="285" spans="1:20" ht="72" x14ac:dyDescent="0.2">
      <c r="A285" s="510">
        <f>IF(B285="","",COUNT('Diário 1º PA'!$A$4:$A$2635)+ROW()-3)</f>
        <v>2018</v>
      </c>
      <c r="B285" s="414">
        <v>44659</v>
      </c>
      <c r="C285" s="431">
        <v>44652</v>
      </c>
      <c r="D285" s="434" t="s">
        <v>468</v>
      </c>
      <c r="E285" s="434" t="s">
        <v>468</v>
      </c>
      <c r="F285" s="425">
        <v>224.5</v>
      </c>
      <c r="G285" s="427" t="s">
        <v>3251</v>
      </c>
      <c r="H285" s="415" t="s">
        <v>468</v>
      </c>
      <c r="I285" s="427" t="s">
        <v>4405</v>
      </c>
      <c r="J285" s="415" t="s">
        <v>4406</v>
      </c>
      <c r="K285" s="415" t="s">
        <v>830</v>
      </c>
      <c r="L285" s="415" t="s">
        <v>807</v>
      </c>
      <c r="M285" s="415">
        <v>2799</v>
      </c>
      <c r="N285" s="414">
        <v>44659</v>
      </c>
      <c r="O285" s="414" t="s">
        <v>407</v>
      </c>
      <c r="P285" s="603">
        <f t="shared" si="13"/>
        <v>4</v>
      </c>
      <c r="Q285" s="603">
        <f t="shared" si="14"/>
        <v>4</v>
      </c>
      <c r="R285" s="604" t="str">
        <f t="shared" si="15"/>
        <v>Gastos_custeados_por_captação</v>
      </c>
      <c r="S285" s="605" t="s">
        <v>999</v>
      </c>
      <c r="T285" s="605">
        <v>3373</v>
      </c>
    </row>
    <row r="286" spans="1:20" ht="103.5" customHeight="1" x14ac:dyDescent="0.2">
      <c r="A286" s="510">
        <f>IF(B286="","",COUNT('Diário 1º PA'!$A$4:$A$2635)+ROW()-3)</f>
        <v>2019</v>
      </c>
      <c r="B286" s="414">
        <v>44659</v>
      </c>
      <c r="C286" s="431">
        <v>44652</v>
      </c>
      <c r="D286" s="434" t="s">
        <v>468</v>
      </c>
      <c r="E286" s="434" t="s">
        <v>468</v>
      </c>
      <c r="F286" s="425">
        <v>180</v>
      </c>
      <c r="G286" s="427" t="s">
        <v>3254</v>
      </c>
      <c r="H286" s="415" t="s">
        <v>468</v>
      </c>
      <c r="I286" s="427" t="s">
        <v>4407</v>
      </c>
      <c r="J286" s="415" t="s">
        <v>3255</v>
      </c>
      <c r="K286" s="415" t="s">
        <v>830</v>
      </c>
      <c r="L286" s="415" t="s">
        <v>807</v>
      </c>
      <c r="M286" s="415">
        <v>168</v>
      </c>
      <c r="N286" s="414">
        <v>44749</v>
      </c>
      <c r="O286" s="414" t="s">
        <v>407</v>
      </c>
      <c r="P286" s="603">
        <f t="shared" si="13"/>
        <v>4</v>
      </c>
      <c r="Q286" s="603">
        <f t="shared" si="14"/>
        <v>4</v>
      </c>
      <c r="R286" s="604" t="str">
        <f t="shared" si="15"/>
        <v>Gastos_custeados_por_captação</v>
      </c>
      <c r="S286" s="605" t="s">
        <v>999</v>
      </c>
      <c r="T286" s="605">
        <v>3375</v>
      </c>
    </row>
    <row r="287" spans="1:20" ht="96" x14ac:dyDescent="0.2">
      <c r="A287" s="510">
        <f>IF(B287="","",COUNT('Diário 1º PA'!$A$4:$A$2635)+ROW()-3)</f>
        <v>2020</v>
      </c>
      <c r="B287" s="414">
        <v>44659</v>
      </c>
      <c r="C287" s="431">
        <v>44621</v>
      </c>
      <c r="D287" s="415" t="s">
        <v>468</v>
      </c>
      <c r="E287" s="415" t="s">
        <v>468</v>
      </c>
      <c r="F287" s="425">
        <v>2686.25</v>
      </c>
      <c r="G287" s="427" t="s">
        <v>2662</v>
      </c>
      <c r="H287" s="415" t="s">
        <v>468</v>
      </c>
      <c r="I287" s="427" t="s">
        <v>4408</v>
      </c>
      <c r="J287" s="415" t="s">
        <v>2663</v>
      </c>
      <c r="K287" s="415" t="s">
        <v>830</v>
      </c>
      <c r="L287" s="415" t="s">
        <v>839</v>
      </c>
      <c r="M287" s="415">
        <v>1689</v>
      </c>
      <c r="N287" s="414">
        <v>44659</v>
      </c>
      <c r="O287" s="414" t="s">
        <v>407</v>
      </c>
      <c r="P287" s="603">
        <f t="shared" si="13"/>
        <v>4</v>
      </c>
      <c r="Q287" s="603">
        <f t="shared" si="14"/>
        <v>3</v>
      </c>
      <c r="R287" s="604" t="str">
        <f t="shared" si="15"/>
        <v>Gastos_custeados_por_captação</v>
      </c>
      <c r="S287" s="605" t="s">
        <v>1000</v>
      </c>
      <c r="T287" s="605">
        <v>3030</v>
      </c>
    </row>
    <row r="288" spans="1:20" ht="72" x14ac:dyDescent="0.2">
      <c r="A288" s="510">
        <f>IF(B288="","",COUNT('Diário 1º PA'!$A$4:$A$2635)+ROW()-3)</f>
        <v>2021</v>
      </c>
      <c r="B288" s="414">
        <v>44659</v>
      </c>
      <c r="C288" s="592">
        <v>44652</v>
      </c>
      <c r="D288" s="415" t="s">
        <v>468</v>
      </c>
      <c r="E288" s="415" t="s">
        <v>468</v>
      </c>
      <c r="F288" s="425">
        <v>61.4</v>
      </c>
      <c r="G288" s="427" t="s">
        <v>4409</v>
      </c>
      <c r="H288" s="415" t="s">
        <v>468</v>
      </c>
      <c r="I288" s="427" t="s">
        <v>4878</v>
      </c>
      <c r="J288" s="415" t="s">
        <v>5664</v>
      </c>
      <c r="K288" s="415" t="s">
        <v>830</v>
      </c>
      <c r="L288" s="415" t="s">
        <v>807</v>
      </c>
      <c r="M288" s="415">
        <v>11024</v>
      </c>
      <c r="N288" s="414">
        <v>44656</v>
      </c>
      <c r="O288" s="414" t="s">
        <v>407</v>
      </c>
      <c r="P288" s="603">
        <f t="shared" si="13"/>
        <v>4</v>
      </c>
      <c r="Q288" s="603">
        <f t="shared" si="14"/>
        <v>4</v>
      </c>
      <c r="R288" s="604" t="str">
        <f t="shared" si="15"/>
        <v>Gastos_custeados_por_captação</v>
      </c>
      <c r="S288" s="605" t="s">
        <v>999</v>
      </c>
      <c r="T288" s="605">
        <v>3343</v>
      </c>
    </row>
    <row r="289" spans="1:20" ht="72" x14ac:dyDescent="0.2">
      <c r="A289" s="510">
        <f>IF(B289="","",COUNT('Diário 1º PA'!$A$4:$A$2635)+ROW()-3)</f>
        <v>2022</v>
      </c>
      <c r="B289" s="414">
        <v>44659</v>
      </c>
      <c r="C289" s="431">
        <v>44621</v>
      </c>
      <c r="D289" s="415" t="s">
        <v>468</v>
      </c>
      <c r="E289" s="415" t="s">
        <v>468</v>
      </c>
      <c r="F289" s="425">
        <v>12501</v>
      </c>
      <c r="G289" s="427" t="s">
        <v>4411</v>
      </c>
      <c r="H289" s="415" t="s">
        <v>468</v>
      </c>
      <c r="I289" s="427" t="s">
        <v>4412</v>
      </c>
      <c r="J289" s="415" t="s">
        <v>4413</v>
      </c>
      <c r="K289" s="415" t="s">
        <v>830</v>
      </c>
      <c r="L289" s="415" t="s">
        <v>807</v>
      </c>
      <c r="M289" s="415">
        <v>265</v>
      </c>
      <c r="N289" s="414">
        <v>44659</v>
      </c>
      <c r="O289" s="414" t="s">
        <v>407</v>
      </c>
      <c r="P289" s="603">
        <f t="shared" si="13"/>
        <v>4</v>
      </c>
      <c r="Q289" s="603">
        <f t="shared" si="14"/>
        <v>3</v>
      </c>
      <c r="R289" s="604" t="str">
        <f t="shared" si="15"/>
        <v>Gastos_custeados_por_captação</v>
      </c>
      <c r="S289" s="605" t="s">
        <v>1000</v>
      </c>
      <c r="T289" s="605">
        <v>3287</v>
      </c>
    </row>
    <row r="290" spans="1:20" ht="72" x14ac:dyDescent="0.2">
      <c r="A290" s="510">
        <f>IF(B290="","",COUNT('Diário 1º PA'!$A$4:$A$2635)+ROW()-3)</f>
        <v>2023</v>
      </c>
      <c r="B290" s="414">
        <v>44659</v>
      </c>
      <c r="C290" s="431">
        <v>44621</v>
      </c>
      <c r="D290" s="415" t="s">
        <v>468</v>
      </c>
      <c r="E290" s="415" t="s">
        <v>468</v>
      </c>
      <c r="F290" s="425">
        <v>2939.7</v>
      </c>
      <c r="G290" s="427" t="s">
        <v>713</v>
      </c>
      <c r="H290" s="415" t="s">
        <v>468</v>
      </c>
      <c r="I290" s="427" t="s">
        <v>4414</v>
      </c>
      <c r="J290" s="415" t="s">
        <v>1137</v>
      </c>
      <c r="K290" s="415" t="s">
        <v>830</v>
      </c>
      <c r="L290" s="415" t="s">
        <v>807</v>
      </c>
      <c r="M290" s="415" t="s">
        <v>1540</v>
      </c>
      <c r="N290" s="414">
        <v>44659</v>
      </c>
      <c r="O290" s="414" t="s">
        <v>407</v>
      </c>
      <c r="P290" s="603">
        <f t="shared" si="13"/>
        <v>4</v>
      </c>
      <c r="Q290" s="603">
        <f t="shared" si="14"/>
        <v>3</v>
      </c>
      <c r="R290" s="604" t="str">
        <f t="shared" si="15"/>
        <v>Gastos_custeados_por_captação</v>
      </c>
      <c r="S290" s="605" t="s">
        <v>1000</v>
      </c>
      <c r="T290" s="605">
        <v>2728</v>
      </c>
    </row>
    <row r="291" spans="1:20" ht="72" x14ac:dyDescent="0.2">
      <c r="A291" s="510">
        <f>IF(B291="","",COUNT('Diário 1º PA'!$A$4:$A$2635)+ROW()-3)</f>
        <v>2024</v>
      </c>
      <c r="B291" s="414">
        <v>44659</v>
      </c>
      <c r="C291" s="431">
        <v>44621</v>
      </c>
      <c r="D291" s="415" t="s">
        <v>468</v>
      </c>
      <c r="E291" s="415" t="s">
        <v>468</v>
      </c>
      <c r="F291" s="425">
        <v>2939.7</v>
      </c>
      <c r="G291" s="427" t="s">
        <v>713</v>
      </c>
      <c r="H291" s="415" t="s">
        <v>468</v>
      </c>
      <c r="I291" s="427" t="s">
        <v>4414</v>
      </c>
      <c r="J291" s="415" t="s">
        <v>1137</v>
      </c>
      <c r="K291" s="415" t="s">
        <v>830</v>
      </c>
      <c r="L291" s="415" t="s">
        <v>807</v>
      </c>
      <c r="M291" s="415" t="s">
        <v>1795</v>
      </c>
      <c r="N291" s="414">
        <v>44659</v>
      </c>
      <c r="O291" s="414" t="s">
        <v>407</v>
      </c>
      <c r="P291" s="603">
        <f t="shared" si="13"/>
        <v>4</v>
      </c>
      <c r="Q291" s="603">
        <f t="shared" si="14"/>
        <v>3</v>
      </c>
      <c r="R291" s="604" t="str">
        <f t="shared" si="15"/>
        <v>Gastos_custeados_por_captação</v>
      </c>
      <c r="S291" s="605" t="s">
        <v>1000</v>
      </c>
      <c r="T291" s="605">
        <v>2727</v>
      </c>
    </row>
    <row r="292" spans="1:20" ht="72" x14ac:dyDescent="0.2">
      <c r="A292" s="510">
        <f>IF(B292="","",COUNT('Diário 1º PA'!$A$4:$A$2635)+ROW()-3)</f>
        <v>2025</v>
      </c>
      <c r="B292" s="414">
        <v>44659</v>
      </c>
      <c r="C292" s="592">
        <v>44621</v>
      </c>
      <c r="D292" s="415" t="s">
        <v>468</v>
      </c>
      <c r="E292" s="415" t="s">
        <v>468</v>
      </c>
      <c r="F292" s="425">
        <v>596</v>
      </c>
      <c r="G292" s="427" t="s">
        <v>4210</v>
      </c>
      <c r="H292" s="415" t="s">
        <v>468</v>
      </c>
      <c r="I292" s="427" t="s">
        <v>764</v>
      </c>
      <c r="J292" s="415" t="s">
        <v>310</v>
      </c>
      <c r="K292" s="415" t="s">
        <v>1220</v>
      </c>
      <c r="L292" s="415" t="s">
        <v>3443</v>
      </c>
      <c r="M292" s="546">
        <v>222070336346</v>
      </c>
      <c r="N292" s="414">
        <v>44659</v>
      </c>
      <c r="O292" s="414" t="s">
        <v>407</v>
      </c>
      <c r="P292" s="603">
        <f t="shared" si="13"/>
        <v>4</v>
      </c>
      <c r="Q292" s="603">
        <f t="shared" si="14"/>
        <v>3</v>
      </c>
      <c r="R292" s="604" t="str">
        <f t="shared" si="15"/>
        <v>Gastos_custeados_por_captação</v>
      </c>
      <c r="S292" s="605" t="s">
        <v>310</v>
      </c>
      <c r="T292" s="605" t="s">
        <v>310</v>
      </c>
    </row>
    <row r="293" spans="1:20" ht="72" x14ac:dyDescent="0.2">
      <c r="A293" s="510">
        <f>IF(B293="","",COUNT('Diário 1º PA'!$A$4:$A$2635)+ROW()-3)</f>
        <v>2026</v>
      </c>
      <c r="B293" s="414">
        <v>44659</v>
      </c>
      <c r="C293" s="424">
        <v>44470</v>
      </c>
      <c r="D293" s="415" t="s">
        <v>468</v>
      </c>
      <c r="E293" s="415" t="s">
        <v>468</v>
      </c>
      <c r="F293" s="425">
        <v>25</v>
      </c>
      <c r="G293" s="427" t="s">
        <v>4415</v>
      </c>
      <c r="H293" s="415" t="s">
        <v>468</v>
      </c>
      <c r="I293" s="427" t="s">
        <v>764</v>
      </c>
      <c r="J293" s="415" t="s">
        <v>310</v>
      </c>
      <c r="K293" s="415" t="s">
        <v>1220</v>
      </c>
      <c r="L293" s="415" t="s">
        <v>3443</v>
      </c>
      <c r="M293" s="546">
        <v>222070337407</v>
      </c>
      <c r="N293" s="414">
        <v>44659</v>
      </c>
      <c r="O293" s="414" t="s">
        <v>407</v>
      </c>
      <c r="P293" s="603">
        <f t="shared" si="13"/>
        <v>4</v>
      </c>
      <c r="Q293" s="603">
        <f t="shared" si="14"/>
        <v>-2</v>
      </c>
      <c r="R293" s="604" t="str">
        <f t="shared" si="15"/>
        <v>Gastos_custeados_por_captação</v>
      </c>
      <c r="S293" s="605" t="s">
        <v>310</v>
      </c>
      <c r="T293" s="605" t="s">
        <v>310</v>
      </c>
    </row>
    <row r="294" spans="1:20" ht="72" x14ac:dyDescent="0.2">
      <c r="A294" s="510">
        <f>IF(B294="","",COUNT('Diário 1º PA'!$A$4:$A$2635)+ROW()-3)</f>
        <v>2027</v>
      </c>
      <c r="B294" s="414">
        <v>44659</v>
      </c>
      <c r="C294" s="592">
        <v>44621</v>
      </c>
      <c r="D294" s="415" t="s">
        <v>468</v>
      </c>
      <c r="E294" s="415" t="s">
        <v>468</v>
      </c>
      <c r="F294" s="425">
        <v>50</v>
      </c>
      <c r="G294" s="427" t="s">
        <v>4416</v>
      </c>
      <c r="H294" s="415" t="s">
        <v>468</v>
      </c>
      <c r="I294" s="427" t="s">
        <v>764</v>
      </c>
      <c r="J294" s="415" t="s">
        <v>310</v>
      </c>
      <c r="K294" s="415" t="s">
        <v>1220</v>
      </c>
      <c r="L294" s="415" t="s">
        <v>3443</v>
      </c>
      <c r="M294" s="546">
        <v>2220703337903</v>
      </c>
      <c r="N294" s="414">
        <v>44659</v>
      </c>
      <c r="O294" s="414" t="s">
        <v>407</v>
      </c>
      <c r="P294" s="603">
        <f t="shared" si="13"/>
        <v>4</v>
      </c>
      <c r="Q294" s="603">
        <f t="shared" si="14"/>
        <v>3</v>
      </c>
      <c r="R294" s="604" t="str">
        <f t="shared" si="15"/>
        <v>Gastos_custeados_por_captação</v>
      </c>
      <c r="S294" s="605" t="s">
        <v>310</v>
      </c>
      <c r="T294" s="605" t="s">
        <v>310</v>
      </c>
    </row>
    <row r="295" spans="1:20" ht="72" x14ac:dyDescent="0.2">
      <c r="A295" s="510">
        <f>IF(B295="","",COUNT('Diário 1º PA'!$A$4:$A$2635)+ROW()-3)</f>
        <v>2028</v>
      </c>
      <c r="B295" s="414">
        <v>44659</v>
      </c>
      <c r="C295" s="424">
        <v>44621</v>
      </c>
      <c r="D295" s="415" t="s">
        <v>468</v>
      </c>
      <c r="E295" s="415" t="s">
        <v>468</v>
      </c>
      <c r="F295" s="425">
        <v>6.5</v>
      </c>
      <c r="G295" s="427" t="s">
        <v>4776</v>
      </c>
      <c r="H295" s="415" t="s">
        <v>468</v>
      </c>
      <c r="I295" s="427" t="s">
        <v>764</v>
      </c>
      <c r="J295" s="415" t="s">
        <v>310</v>
      </c>
      <c r="K295" s="415" t="s">
        <v>1220</v>
      </c>
      <c r="L295" s="415" t="s">
        <v>3443</v>
      </c>
      <c r="M295" s="546">
        <v>222070338985</v>
      </c>
      <c r="N295" s="414">
        <v>44659</v>
      </c>
      <c r="O295" s="414" t="s">
        <v>407</v>
      </c>
      <c r="P295" s="603">
        <f t="shared" si="13"/>
        <v>4</v>
      </c>
      <c r="Q295" s="603">
        <f t="shared" si="14"/>
        <v>3</v>
      </c>
      <c r="R295" s="604" t="str">
        <f t="shared" si="15"/>
        <v>Gastos_custeados_por_captação</v>
      </c>
      <c r="S295" s="605" t="s">
        <v>310</v>
      </c>
      <c r="T295" s="605" t="s">
        <v>310</v>
      </c>
    </row>
    <row r="296" spans="1:20" ht="72" x14ac:dyDescent="0.2">
      <c r="A296" s="510">
        <f>IF(B296="","",COUNT('Diário 1º PA'!$A$4:$A$2635)+ROW()-3)</f>
        <v>2029</v>
      </c>
      <c r="B296" s="414">
        <v>44659</v>
      </c>
      <c r="C296" s="592">
        <v>44621</v>
      </c>
      <c r="D296" s="415" t="s">
        <v>468</v>
      </c>
      <c r="E296" s="415" t="s">
        <v>468</v>
      </c>
      <c r="F296" s="425">
        <v>25</v>
      </c>
      <c r="G296" s="427" t="s">
        <v>4495</v>
      </c>
      <c r="H296" s="415" t="s">
        <v>468</v>
      </c>
      <c r="I296" s="427" t="s">
        <v>764</v>
      </c>
      <c r="J296" s="415" t="s">
        <v>310</v>
      </c>
      <c r="K296" s="415" t="s">
        <v>1220</v>
      </c>
      <c r="L296" s="415" t="s">
        <v>3443</v>
      </c>
      <c r="M296" s="546">
        <v>222070339957</v>
      </c>
      <c r="N296" s="414">
        <v>44659</v>
      </c>
      <c r="O296" s="414" t="s">
        <v>407</v>
      </c>
      <c r="P296" s="603">
        <f t="shared" si="13"/>
        <v>4</v>
      </c>
      <c r="Q296" s="603">
        <f t="shared" si="14"/>
        <v>3</v>
      </c>
      <c r="R296" s="604" t="str">
        <f t="shared" si="15"/>
        <v>Gastos_custeados_por_captação</v>
      </c>
      <c r="S296" s="605" t="s">
        <v>310</v>
      </c>
      <c r="T296" s="605" t="s">
        <v>310</v>
      </c>
    </row>
    <row r="297" spans="1:20" ht="72" x14ac:dyDescent="0.2">
      <c r="A297" s="510">
        <f>IF(B297="","",COUNT('Diário 1º PA'!$A$4:$A$2635)+ROW()-3)</f>
        <v>2030</v>
      </c>
      <c r="B297" s="414">
        <v>44659</v>
      </c>
      <c r="C297" s="424">
        <v>44501</v>
      </c>
      <c r="D297" s="415" t="s">
        <v>468</v>
      </c>
      <c r="E297" s="415" t="s">
        <v>468</v>
      </c>
      <c r="F297" s="425">
        <v>25</v>
      </c>
      <c r="G297" s="427" t="s">
        <v>4496</v>
      </c>
      <c r="H297" s="415" t="s">
        <v>468</v>
      </c>
      <c r="I297" s="427" t="s">
        <v>764</v>
      </c>
      <c r="J297" s="415" t="s">
        <v>310</v>
      </c>
      <c r="K297" s="415" t="s">
        <v>1220</v>
      </c>
      <c r="L297" s="415" t="s">
        <v>3443</v>
      </c>
      <c r="M297" s="546">
        <v>222070340530</v>
      </c>
      <c r="N297" s="414">
        <v>44659</v>
      </c>
      <c r="O297" s="414" t="s">
        <v>407</v>
      </c>
      <c r="P297" s="603">
        <f t="shared" si="13"/>
        <v>4</v>
      </c>
      <c r="Q297" s="603">
        <f t="shared" si="14"/>
        <v>-1</v>
      </c>
      <c r="R297" s="604" t="str">
        <f t="shared" si="15"/>
        <v>Gastos_custeados_por_captação</v>
      </c>
      <c r="S297" s="605" t="s">
        <v>310</v>
      </c>
      <c r="T297" s="605" t="s">
        <v>310</v>
      </c>
    </row>
    <row r="298" spans="1:20" ht="72" x14ac:dyDescent="0.2">
      <c r="A298" s="510">
        <f>IF(B298="","",COUNT('Diário 1º PA'!$A$4:$A$2635)+ROW()-3)</f>
        <v>2031</v>
      </c>
      <c r="B298" s="414">
        <v>44659</v>
      </c>
      <c r="C298" s="424">
        <v>44470</v>
      </c>
      <c r="D298" s="415" t="s">
        <v>468</v>
      </c>
      <c r="E298" s="415" t="s">
        <v>468</v>
      </c>
      <c r="F298" s="425">
        <v>25</v>
      </c>
      <c r="G298" s="427" t="s">
        <v>4497</v>
      </c>
      <c r="H298" s="415" t="s">
        <v>468</v>
      </c>
      <c r="I298" s="427" t="s">
        <v>764</v>
      </c>
      <c r="J298" s="415" t="s">
        <v>310</v>
      </c>
      <c r="K298" s="415" t="s">
        <v>1220</v>
      </c>
      <c r="L298" s="415" t="s">
        <v>3443</v>
      </c>
      <c r="M298" s="546">
        <v>222070341269</v>
      </c>
      <c r="N298" s="414">
        <v>44659</v>
      </c>
      <c r="O298" s="414" t="s">
        <v>407</v>
      </c>
      <c r="P298" s="603">
        <f t="shared" si="13"/>
        <v>4</v>
      </c>
      <c r="Q298" s="603">
        <f t="shared" si="14"/>
        <v>-2</v>
      </c>
      <c r="R298" s="604" t="str">
        <f t="shared" si="15"/>
        <v>Gastos_custeados_por_captação</v>
      </c>
      <c r="S298" s="605" t="s">
        <v>310</v>
      </c>
      <c r="T298" s="605" t="s">
        <v>310</v>
      </c>
    </row>
    <row r="299" spans="1:20" ht="72" x14ac:dyDescent="0.2">
      <c r="A299" s="510">
        <f>IF(B299="","",COUNT('Diário 1º PA'!$A$4:$A$2635)+ROW()-3)</f>
        <v>2032</v>
      </c>
      <c r="B299" s="414">
        <v>44659</v>
      </c>
      <c r="C299" s="424">
        <v>44621</v>
      </c>
      <c r="D299" s="415" t="s">
        <v>468</v>
      </c>
      <c r="E299" s="415" t="s">
        <v>468</v>
      </c>
      <c r="F299" s="425">
        <v>625</v>
      </c>
      <c r="G299" s="427" t="s">
        <v>4498</v>
      </c>
      <c r="H299" s="415" t="s">
        <v>468</v>
      </c>
      <c r="I299" s="427" t="s">
        <v>764</v>
      </c>
      <c r="J299" s="415" t="s">
        <v>310</v>
      </c>
      <c r="K299" s="415" t="s">
        <v>1220</v>
      </c>
      <c r="L299" s="415" t="s">
        <v>3443</v>
      </c>
      <c r="M299" s="546">
        <v>222070341854</v>
      </c>
      <c r="N299" s="414">
        <v>44659</v>
      </c>
      <c r="O299" s="414" t="s">
        <v>407</v>
      </c>
      <c r="P299" s="603">
        <f t="shared" si="13"/>
        <v>4</v>
      </c>
      <c r="Q299" s="603">
        <f t="shared" si="14"/>
        <v>3</v>
      </c>
      <c r="R299" s="604" t="str">
        <f t="shared" si="15"/>
        <v>Gastos_custeados_por_captação</v>
      </c>
      <c r="S299" s="605" t="s">
        <v>310</v>
      </c>
      <c r="T299" s="605" t="s">
        <v>310</v>
      </c>
    </row>
    <row r="300" spans="1:20" ht="72" x14ac:dyDescent="0.2">
      <c r="A300" s="510">
        <f>IF(B300="","",COUNT('Diário 1º PA'!$A$4:$A$2635)+ROW()-3)</f>
        <v>2033</v>
      </c>
      <c r="B300" s="414">
        <v>44659</v>
      </c>
      <c r="C300" s="424">
        <v>44621</v>
      </c>
      <c r="D300" s="415" t="s">
        <v>468</v>
      </c>
      <c r="E300" s="415" t="s">
        <v>468</v>
      </c>
      <c r="F300" s="425">
        <v>22.65</v>
      </c>
      <c r="G300" s="427" t="s">
        <v>4499</v>
      </c>
      <c r="H300" s="415" t="s">
        <v>468</v>
      </c>
      <c r="I300" s="427" t="s">
        <v>764</v>
      </c>
      <c r="J300" s="415" t="s">
        <v>310</v>
      </c>
      <c r="K300" s="415" t="s">
        <v>1220</v>
      </c>
      <c r="L300" s="415" t="s">
        <v>3443</v>
      </c>
      <c r="M300" s="546">
        <v>222070343040</v>
      </c>
      <c r="N300" s="414">
        <v>44659</v>
      </c>
      <c r="O300" s="414" t="s">
        <v>407</v>
      </c>
      <c r="P300" s="603">
        <f t="shared" si="13"/>
        <v>4</v>
      </c>
      <c r="Q300" s="603">
        <f t="shared" si="14"/>
        <v>3</v>
      </c>
      <c r="R300" s="604" t="str">
        <f t="shared" si="15"/>
        <v>Gastos_custeados_por_captação</v>
      </c>
      <c r="S300" s="605" t="s">
        <v>310</v>
      </c>
      <c r="T300" s="605" t="s">
        <v>310</v>
      </c>
    </row>
    <row r="301" spans="1:20" ht="72" x14ac:dyDescent="0.2">
      <c r="A301" s="510">
        <f>IF(B301="","",COUNT('Diário 1º PA'!$A$4:$A$2635)+ROW()-3)</f>
        <v>2034</v>
      </c>
      <c r="B301" s="414">
        <v>44659</v>
      </c>
      <c r="C301" s="424">
        <v>44621</v>
      </c>
      <c r="D301" s="415" t="s">
        <v>468</v>
      </c>
      <c r="E301" s="415" t="s">
        <v>468</v>
      </c>
      <c r="F301" s="425">
        <v>365.12</v>
      </c>
      <c r="G301" s="427" t="s">
        <v>4500</v>
      </c>
      <c r="H301" s="415" t="s">
        <v>468</v>
      </c>
      <c r="I301" s="427" t="s">
        <v>764</v>
      </c>
      <c r="J301" s="415" t="s">
        <v>310</v>
      </c>
      <c r="K301" s="415" t="s">
        <v>1220</v>
      </c>
      <c r="L301" s="415" t="s">
        <v>3443</v>
      </c>
      <c r="M301" s="546">
        <v>222070343717</v>
      </c>
      <c r="N301" s="414">
        <v>44659</v>
      </c>
      <c r="O301" s="414" t="s">
        <v>407</v>
      </c>
      <c r="P301" s="603">
        <f t="shared" si="13"/>
        <v>4</v>
      </c>
      <c r="Q301" s="603">
        <f t="shared" si="14"/>
        <v>3</v>
      </c>
      <c r="R301" s="604" t="str">
        <f t="shared" si="15"/>
        <v>Gastos_custeados_por_captação</v>
      </c>
      <c r="S301" s="605" t="s">
        <v>310</v>
      </c>
      <c r="T301" s="605" t="s">
        <v>310</v>
      </c>
    </row>
    <row r="302" spans="1:20" ht="72" x14ac:dyDescent="0.2">
      <c r="A302" s="510">
        <f>IF(B302="","",COUNT('Diário 1º PA'!$A$4:$A$2635)+ROW()-3)</f>
        <v>2035</v>
      </c>
      <c r="B302" s="414">
        <v>44659</v>
      </c>
      <c r="C302" s="592">
        <v>44621</v>
      </c>
      <c r="D302" s="415" t="s">
        <v>468</v>
      </c>
      <c r="E302" s="415" t="s">
        <v>468</v>
      </c>
      <c r="F302" s="425">
        <v>2.5099999999999998</v>
      </c>
      <c r="G302" s="427" t="s">
        <v>4501</v>
      </c>
      <c r="H302" s="415" t="s">
        <v>468</v>
      </c>
      <c r="I302" s="427" t="s">
        <v>764</v>
      </c>
      <c r="J302" s="415" t="s">
        <v>310</v>
      </c>
      <c r="K302" s="415" t="s">
        <v>1220</v>
      </c>
      <c r="L302" s="415" t="s">
        <v>3443</v>
      </c>
      <c r="M302" s="546">
        <v>222070344101</v>
      </c>
      <c r="N302" s="414">
        <v>44659</v>
      </c>
      <c r="O302" s="414" t="s">
        <v>407</v>
      </c>
      <c r="P302" s="603">
        <f t="shared" si="13"/>
        <v>4</v>
      </c>
      <c r="Q302" s="603">
        <f t="shared" si="14"/>
        <v>3</v>
      </c>
      <c r="R302" s="604" t="str">
        <f t="shared" si="15"/>
        <v>Gastos_custeados_por_captação</v>
      </c>
      <c r="S302" s="605" t="s">
        <v>310</v>
      </c>
      <c r="T302" s="605" t="s">
        <v>310</v>
      </c>
    </row>
    <row r="303" spans="1:20" ht="72" x14ac:dyDescent="0.2">
      <c r="A303" s="510">
        <f>IF(B303="","",COUNT('Diário 1º PA'!$A$4:$A$2635)+ROW()-3)</f>
        <v>2036</v>
      </c>
      <c r="B303" s="414">
        <v>44659</v>
      </c>
      <c r="C303" s="592">
        <v>44621</v>
      </c>
      <c r="D303" s="415" t="s">
        <v>468</v>
      </c>
      <c r="E303" s="415" t="s">
        <v>468</v>
      </c>
      <c r="F303" s="425">
        <v>106.05</v>
      </c>
      <c r="G303" s="427" t="s">
        <v>4502</v>
      </c>
      <c r="H303" s="415" t="s">
        <v>468</v>
      </c>
      <c r="I303" s="427" t="s">
        <v>764</v>
      </c>
      <c r="J303" s="415" t="s">
        <v>310</v>
      </c>
      <c r="K303" s="415" t="s">
        <v>1220</v>
      </c>
      <c r="L303" s="415" t="s">
        <v>3443</v>
      </c>
      <c r="M303" s="546">
        <v>222070344527</v>
      </c>
      <c r="N303" s="414">
        <v>44659</v>
      </c>
      <c r="O303" s="414" t="s">
        <v>407</v>
      </c>
      <c r="P303" s="603">
        <f t="shared" si="13"/>
        <v>4</v>
      </c>
      <c r="Q303" s="603">
        <f t="shared" si="14"/>
        <v>3</v>
      </c>
      <c r="R303" s="604" t="str">
        <f t="shared" si="15"/>
        <v>Gastos_custeados_por_captação</v>
      </c>
      <c r="S303" s="605" t="s">
        <v>310</v>
      </c>
      <c r="T303" s="605" t="s">
        <v>310</v>
      </c>
    </row>
    <row r="304" spans="1:20" ht="72" x14ac:dyDescent="0.2">
      <c r="A304" s="510">
        <f>IF(B304="","",COUNT('Diário 1º PA'!$A$4:$A$2635)+ROW()-3)</f>
        <v>2037</v>
      </c>
      <c r="B304" s="414">
        <v>44659</v>
      </c>
      <c r="C304" s="592">
        <v>44621</v>
      </c>
      <c r="D304" s="415" t="s">
        <v>468</v>
      </c>
      <c r="E304" s="415" t="s">
        <v>468</v>
      </c>
      <c r="F304" s="425">
        <v>248.5</v>
      </c>
      <c r="G304" s="427" t="s">
        <v>4503</v>
      </c>
      <c r="H304" s="415" t="s">
        <v>468</v>
      </c>
      <c r="I304" s="427" t="s">
        <v>764</v>
      </c>
      <c r="J304" s="415" t="s">
        <v>310</v>
      </c>
      <c r="K304" s="415" t="s">
        <v>1220</v>
      </c>
      <c r="L304" s="415" t="s">
        <v>3443</v>
      </c>
      <c r="M304" s="546">
        <v>222070345094</v>
      </c>
      <c r="N304" s="414">
        <v>44659</v>
      </c>
      <c r="O304" s="414" t="s">
        <v>407</v>
      </c>
      <c r="P304" s="603">
        <f t="shared" si="13"/>
        <v>4</v>
      </c>
      <c r="Q304" s="603">
        <f t="shared" si="14"/>
        <v>3</v>
      </c>
      <c r="R304" s="604" t="str">
        <f t="shared" si="15"/>
        <v>Gastos_custeados_por_captação</v>
      </c>
      <c r="S304" s="605" t="s">
        <v>310</v>
      </c>
      <c r="T304" s="605" t="s">
        <v>310</v>
      </c>
    </row>
    <row r="305" spans="1:20" ht="72" x14ac:dyDescent="0.2">
      <c r="A305" s="510">
        <f>IF(B305="","",COUNT('Diário 1º PA'!$A$4:$A$2635)+ROW()-3)</f>
        <v>2038</v>
      </c>
      <c r="B305" s="414">
        <v>44659</v>
      </c>
      <c r="C305" s="592">
        <v>44621</v>
      </c>
      <c r="D305" s="415" t="s">
        <v>468</v>
      </c>
      <c r="E305" s="415" t="s">
        <v>468</v>
      </c>
      <c r="F305" s="425">
        <v>253.75</v>
      </c>
      <c r="G305" s="427" t="s">
        <v>4504</v>
      </c>
      <c r="H305" s="415" t="s">
        <v>468</v>
      </c>
      <c r="I305" s="427" t="s">
        <v>764</v>
      </c>
      <c r="J305" s="415" t="s">
        <v>310</v>
      </c>
      <c r="K305" s="415" t="s">
        <v>1220</v>
      </c>
      <c r="L305" s="415" t="s">
        <v>3443</v>
      </c>
      <c r="M305" s="546">
        <v>222070345841</v>
      </c>
      <c r="N305" s="414">
        <v>44659</v>
      </c>
      <c r="O305" s="414" t="s">
        <v>407</v>
      </c>
      <c r="P305" s="603">
        <f t="shared" si="13"/>
        <v>4</v>
      </c>
      <c r="Q305" s="603">
        <f t="shared" si="14"/>
        <v>3</v>
      </c>
      <c r="R305" s="604" t="str">
        <f t="shared" si="15"/>
        <v>Gastos_custeados_por_captação</v>
      </c>
      <c r="S305" s="605" t="s">
        <v>310</v>
      </c>
      <c r="T305" s="605" t="s">
        <v>310</v>
      </c>
    </row>
    <row r="306" spans="1:20" s="88" customFormat="1" ht="72" x14ac:dyDescent="0.2">
      <c r="A306" s="510">
        <f>IF(B306="","",COUNT('Diário 1º PA'!$A$4:$A$2635)+ROW()-3)</f>
        <v>2039</v>
      </c>
      <c r="B306" s="414">
        <v>44659</v>
      </c>
      <c r="C306" s="592">
        <v>44621</v>
      </c>
      <c r="D306" s="415" t="s">
        <v>468</v>
      </c>
      <c r="E306" s="415" t="s">
        <v>468</v>
      </c>
      <c r="F306" s="425">
        <v>11</v>
      </c>
      <c r="G306" s="427" t="s">
        <v>4505</v>
      </c>
      <c r="H306" s="415" t="s">
        <v>468</v>
      </c>
      <c r="I306" s="427" t="s">
        <v>764</v>
      </c>
      <c r="J306" s="415" t="s">
        <v>310</v>
      </c>
      <c r="K306" s="415" t="s">
        <v>1220</v>
      </c>
      <c r="L306" s="415" t="s">
        <v>3443</v>
      </c>
      <c r="M306" s="546">
        <v>222070346309</v>
      </c>
      <c r="N306" s="414">
        <v>44659</v>
      </c>
      <c r="O306" s="414" t="s">
        <v>407</v>
      </c>
      <c r="P306" s="603">
        <f t="shared" si="13"/>
        <v>4</v>
      </c>
      <c r="Q306" s="603">
        <f t="shared" si="14"/>
        <v>3</v>
      </c>
      <c r="R306" s="604" t="str">
        <f t="shared" si="15"/>
        <v>Gastos_custeados_por_captação</v>
      </c>
      <c r="S306" s="605" t="s">
        <v>310</v>
      </c>
      <c r="T306" s="605" t="s">
        <v>310</v>
      </c>
    </row>
    <row r="307" spans="1:20" s="88" customFormat="1" ht="36" x14ac:dyDescent="0.2">
      <c r="A307" s="510">
        <f>IF(B307="","",COUNT('Diário 1º PA'!$A$4:$A$2635)+ROW()-3)</f>
        <v>2040</v>
      </c>
      <c r="B307" s="414">
        <v>44662</v>
      </c>
      <c r="C307" s="431">
        <v>44621</v>
      </c>
      <c r="D307" s="415" t="s">
        <v>468</v>
      </c>
      <c r="E307" s="415" t="s">
        <v>468</v>
      </c>
      <c r="F307" s="425">
        <v>2750</v>
      </c>
      <c r="G307" s="427" t="s">
        <v>694</v>
      </c>
      <c r="H307" s="415" t="s">
        <v>468</v>
      </c>
      <c r="I307" s="427" t="s">
        <v>2476</v>
      </c>
      <c r="J307" s="415" t="s">
        <v>2477</v>
      </c>
      <c r="K307" s="415" t="s">
        <v>830</v>
      </c>
      <c r="L307" s="415" t="s">
        <v>32</v>
      </c>
      <c r="M307" s="415" t="s">
        <v>1786</v>
      </c>
      <c r="N307" s="414">
        <v>44662</v>
      </c>
      <c r="O307" s="414" t="s">
        <v>408</v>
      </c>
      <c r="P307" s="603">
        <f t="shared" si="13"/>
        <v>4</v>
      </c>
      <c r="Q307" s="603">
        <f t="shared" si="14"/>
        <v>3</v>
      </c>
      <c r="R307" s="604" t="str">
        <f t="shared" si="15"/>
        <v>Gastos_custeados_por_captação</v>
      </c>
      <c r="S307" s="605" t="s">
        <v>1000</v>
      </c>
      <c r="T307" s="605">
        <v>2740</v>
      </c>
    </row>
    <row r="308" spans="1:20" s="88" customFormat="1" ht="36" x14ac:dyDescent="0.2">
      <c r="A308" s="510">
        <f>IF(B308="","",COUNT('Diário 1º PA'!$A$4:$A$2635)+ROW()-3)</f>
        <v>2041</v>
      </c>
      <c r="B308" s="414">
        <v>44662</v>
      </c>
      <c r="C308" s="424">
        <v>44652</v>
      </c>
      <c r="D308" s="415" t="s">
        <v>468</v>
      </c>
      <c r="E308" s="415" t="s">
        <v>468</v>
      </c>
      <c r="F308" s="425">
        <v>11</v>
      </c>
      <c r="G308" s="427" t="s">
        <v>2469</v>
      </c>
      <c r="H308" s="415" t="s">
        <v>468</v>
      </c>
      <c r="I308" s="639" t="s">
        <v>881</v>
      </c>
      <c r="J308" s="418" t="s">
        <v>882</v>
      </c>
      <c r="K308" s="418" t="s">
        <v>883</v>
      </c>
      <c r="L308" s="399" t="s">
        <v>798</v>
      </c>
      <c r="M308" s="544" t="s">
        <v>310</v>
      </c>
      <c r="N308" s="414">
        <v>44662</v>
      </c>
      <c r="O308" s="414" t="s">
        <v>408</v>
      </c>
      <c r="P308" s="603">
        <f t="shared" si="13"/>
        <v>4</v>
      </c>
      <c r="Q308" s="603">
        <f t="shared" si="14"/>
        <v>4</v>
      </c>
      <c r="R308" s="604" t="str">
        <f t="shared" si="15"/>
        <v>Gastos_custeados_por_captação</v>
      </c>
      <c r="S308" s="605" t="s">
        <v>310</v>
      </c>
      <c r="T308" s="605" t="s">
        <v>310</v>
      </c>
    </row>
    <row r="309" spans="1:20" s="88" customFormat="1" ht="72" x14ac:dyDescent="0.2">
      <c r="A309" s="510">
        <f>IF(B309="","",COUNT('Diário 1º PA'!$A$4:$A$2635)+ROW()-3)</f>
        <v>2042</v>
      </c>
      <c r="B309" s="414">
        <v>44662</v>
      </c>
      <c r="C309" s="431">
        <v>44621</v>
      </c>
      <c r="D309" s="415" t="s">
        <v>468</v>
      </c>
      <c r="E309" s="415" t="s">
        <v>468</v>
      </c>
      <c r="F309" s="425">
        <v>2694.72</v>
      </c>
      <c r="G309" s="427" t="s">
        <v>704</v>
      </c>
      <c r="H309" s="415" t="s">
        <v>468</v>
      </c>
      <c r="I309" s="427" t="s">
        <v>3668</v>
      </c>
      <c r="J309" s="415" t="s">
        <v>1023</v>
      </c>
      <c r="K309" s="415" t="s">
        <v>830</v>
      </c>
      <c r="L309" s="415" t="s">
        <v>32</v>
      </c>
      <c r="M309" s="415" t="s">
        <v>1795</v>
      </c>
      <c r="N309" s="414">
        <v>44655</v>
      </c>
      <c r="O309" s="414" t="s">
        <v>402</v>
      </c>
      <c r="P309" s="603">
        <f t="shared" si="13"/>
        <v>4</v>
      </c>
      <c r="Q309" s="603">
        <f t="shared" si="14"/>
        <v>3</v>
      </c>
      <c r="R309" s="604" t="str">
        <f t="shared" si="15"/>
        <v>Gastos_custeados_por_captação</v>
      </c>
      <c r="S309" s="605" t="s">
        <v>1000</v>
      </c>
      <c r="T309" s="605">
        <v>2732</v>
      </c>
    </row>
    <row r="310" spans="1:20" ht="72" x14ac:dyDescent="0.2">
      <c r="A310" s="510">
        <f>IF(B310="","",COUNT('Diário 1º PA'!$A$4:$A$2635)+ROW()-3)</f>
        <v>2043</v>
      </c>
      <c r="B310" s="414">
        <v>44662</v>
      </c>
      <c r="C310" s="592">
        <v>44652</v>
      </c>
      <c r="D310" s="415" t="s">
        <v>468</v>
      </c>
      <c r="E310" s="415" t="s">
        <v>468</v>
      </c>
      <c r="F310" s="425">
        <v>153</v>
      </c>
      <c r="G310" s="427" t="s">
        <v>4506</v>
      </c>
      <c r="H310" s="415" t="s">
        <v>468</v>
      </c>
      <c r="I310" s="639" t="s">
        <v>881</v>
      </c>
      <c r="J310" s="418" t="s">
        <v>882</v>
      </c>
      <c r="K310" s="418" t="s">
        <v>883</v>
      </c>
      <c r="L310" s="399" t="s">
        <v>798</v>
      </c>
      <c r="M310" s="544" t="s">
        <v>310</v>
      </c>
      <c r="N310" s="414">
        <v>44662</v>
      </c>
      <c r="O310" s="414" t="s">
        <v>402</v>
      </c>
      <c r="P310" s="603">
        <f t="shared" si="13"/>
        <v>4</v>
      </c>
      <c r="Q310" s="603">
        <f t="shared" si="14"/>
        <v>4</v>
      </c>
      <c r="R310" s="604" t="str">
        <f t="shared" si="15"/>
        <v>Gastos_custeados_por_captação</v>
      </c>
      <c r="S310" s="605" t="s">
        <v>310</v>
      </c>
      <c r="T310" s="605" t="s">
        <v>310</v>
      </c>
    </row>
    <row r="311" spans="1:20" ht="72" x14ac:dyDescent="0.2">
      <c r="A311" s="510">
        <f>IF(B311="","",COUNT('Diário 1º PA'!$A$4:$A$2635)+ROW()-3)</f>
        <v>2044</v>
      </c>
      <c r="B311" s="414">
        <v>44662</v>
      </c>
      <c r="C311" s="592">
        <v>44621</v>
      </c>
      <c r="D311" s="415" t="s">
        <v>468</v>
      </c>
      <c r="E311" s="415" t="s">
        <v>468</v>
      </c>
      <c r="F311" s="425">
        <v>368.81</v>
      </c>
      <c r="G311" s="427" t="s">
        <v>4507</v>
      </c>
      <c r="H311" s="415" t="s">
        <v>468</v>
      </c>
      <c r="I311" s="427" t="s">
        <v>4508</v>
      </c>
      <c r="J311" s="415" t="s">
        <v>4509</v>
      </c>
      <c r="K311" s="415" t="s">
        <v>830</v>
      </c>
      <c r="L311" s="415" t="s">
        <v>826</v>
      </c>
      <c r="M311" s="415" t="s">
        <v>310</v>
      </c>
      <c r="N311" s="414">
        <v>44662</v>
      </c>
      <c r="O311" s="414" t="s">
        <v>407</v>
      </c>
      <c r="P311" s="603">
        <f t="shared" si="13"/>
        <v>4</v>
      </c>
      <c r="Q311" s="603">
        <f t="shared" si="14"/>
        <v>3</v>
      </c>
      <c r="R311" s="604" t="str">
        <f t="shared" si="15"/>
        <v>Gastos_custeados_por_captação</v>
      </c>
      <c r="S311" s="605" t="s">
        <v>998</v>
      </c>
      <c r="T311" s="605">
        <v>3206</v>
      </c>
    </row>
    <row r="312" spans="1:20" ht="72" x14ac:dyDescent="0.2">
      <c r="A312" s="510">
        <f>IF(B312="","",COUNT('Diário 1º PA'!$A$4:$A$2635)+ROW()-3)</f>
        <v>2045</v>
      </c>
      <c r="B312" s="414">
        <v>44662</v>
      </c>
      <c r="C312" s="431">
        <v>44621</v>
      </c>
      <c r="D312" s="415" t="s">
        <v>468</v>
      </c>
      <c r="E312" s="415" t="s">
        <v>468</v>
      </c>
      <c r="F312" s="425">
        <v>1322.07</v>
      </c>
      <c r="G312" s="427" t="s">
        <v>4510</v>
      </c>
      <c r="H312" s="415" t="s">
        <v>468</v>
      </c>
      <c r="I312" s="427" t="s">
        <v>4511</v>
      </c>
      <c r="J312" s="415" t="s">
        <v>1594</v>
      </c>
      <c r="K312" s="415" t="s">
        <v>830</v>
      </c>
      <c r="L312" s="415" t="s">
        <v>807</v>
      </c>
      <c r="M312" s="415" t="s">
        <v>4512</v>
      </c>
      <c r="N312" s="414">
        <v>44662</v>
      </c>
      <c r="O312" s="414" t="s">
        <v>407</v>
      </c>
      <c r="P312" s="603">
        <f t="shared" si="13"/>
        <v>4</v>
      </c>
      <c r="Q312" s="603">
        <f t="shared" si="14"/>
        <v>3</v>
      </c>
      <c r="R312" s="604" t="str">
        <f t="shared" si="15"/>
        <v>Gastos_custeados_por_captação</v>
      </c>
      <c r="S312" s="605" t="s">
        <v>998</v>
      </c>
      <c r="T312" s="605">
        <v>3231</v>
      </c>
    </row>
    <row r="313" spans="1:20" s="88" customFormat="1" ht="72" x14ac:dyDescent="0.2">
      <c r="A313" s="510">
        <f>IF(B313="","",COUNT('Diário 1º PA'!$A$4:$A$2635)+ROW()-3)</f>
        <v>2046</v>
      </c>
      <c r="B313" s="414">
        <v>44662</v>
      </c>
      <c r="C313" s="431">
        <v>44621</v>
      </c>
      <c r="D313" s="415" t="s">
        <v>468</v>
      </c>
      <c r="E313" s="415" t="s">
        <v>468</v>
      </c>
      <c r="F313" s="425">
        <v>15909.95</v>
      </c>
      <c r="G313" s="427" t="s">
        <v>2392</v>
      </c>
      <c r="H313" s="415" t="s">
        <v>468</v>
      </c>
      <c r="I313" s="427" t="s">
        <v>4511</v>
      </c>
      <c r="J313" s="415" t="s">
        <v>1594</v>
      </c>
      <c r="K313" s="415" t="s">
        <v>830</v>
      </c>
      <c r="L313" s="415" t="s">
        <v>807</v>
      </c>
      <c r="M313" s="415" t="s">
        <v>4513</v>
      </c>
      <c r="N313" s="414">
        <v>44662</v>
      </c>
      <c r="O313" s="414" t="s">
        <v>407</v>
      </c>
      <c r="P313" s="603">
        <f t="shared" si="13"/>
        <v>4</v>
      </c>
      <c r="Q313" s="603">
        <f t="shared" si="14"/>
        <v>3</v>
      </c>
      <c r="R313" s="604" t="str">
        <f t="shared" si="15"/>
        <v>Gastos_custeados_por_captação</v>
      </c>
      <c r="S313" s="605" t="s">
        <v>998</v>
      </c>
      <c r="T313" s="605">
        <v>3205</v>
      </c>
    </row>
    <row r="314" spans="1:20" s="88" customFormat="1" ht="48" x14ac:dyDescent="0.2">
      <c r="A314" s="510">
        <f>IF(B314="","",COUNT('Diário 1º PA'!$A$4:$A$2635)+ROW()-3)</f>
        <v>2047</v>
      </c>
      <c r="B314" s="414">
        <v>44662</v>
      </c>
      <c r="C314" s="431">
        <v>44621</v>
      </c>
      <c r="D314" s="415" t="s">
        <v>271</v>
      </c>
      <c r="E314" s="415" t="s">
        <v>187</v>
      </c>
      <c r="F314" s="435">
        <v>-184.87</v>
      </c>
      <c r="G314" s="427" t="s">
        <v>3470</v>
      </c>
      <c r="H314" s="415" t="s">
        <v>309</v>
      </c>
      <c r="I314" s="427" t="s">
        <v>795</v>
      </c>
      <c r="J314" s="415" t="s">
        <v>796</v>
      </c>
      <c r="K314" s="415" t="s">
        <v>797</v>
      </c>
      <c r="L314" s="415" t="s">
        <v>798</v>
      </c>
      <c r="M314" s="415" t="s">
        <v>310</v>
      </c>
      <c r="N314" s="414">
        <v>44662</v>
      </c>
      <c r="O314" s="414" t="s">
        <v>400</v>
      </c>
      <c r="P314" s="603">
        <f t="shared" si="13"/>
        <v>4</v>
      </c>
      <c r="Q314" s="603">
        <f t="shared" si="14"/>
        <v>3</v>
      </c>
      <c r="R314" s="604" t="str">
        <f t="shared" si="15"/>
        <v>Gastos_Gerais</v>
      </c>
      <c r="S314" s="605" t="s">
        <v>310</v>
      </c>
      <c r="T314" s="605" t="s">
        <v>310</v>
      </c>
    </row>
    <row r="315" spans="1:20" s="88" customFormat="1" ht="36" x14ac:dyDescent="0.2">
      <c r="A315" s="510">
        <f>IF(B315="","",COUNT('Diário 1º PA'!$A$4:$A$2635)+ROW()-3)</f>
        <v>2048</v>
      </c>
      <c r="B315" s="414">
        <v>44662</v>
      </c>
      <c r="C315" s="431">
        <v>44621</v>
      </c>
      <c r="D315" s="415" t="s">
        <v>271</v>
      </c>
      <c r="E315" s="415" t="s">
        <v>2</v>
      </c>
      <c r="F315" s="425">
        <v>-2643.58</v>
      </c>
      <c r="G315" s="427" t="s">
        <v>3471</v>
      </c>
      <c r="H315" s="415" t="s">
        <v>309</v>
      </c>
      <c r="I315" s="427" t="s">
        <v>795</v>
      </c>
      <c r="J315" s="415" t="s">
        <v>796</v>
      </c>
      <c r="K315" s="415" t="s">
        <v>797</v>
      </c>
      <c r="L315" s="415" t="s">
        <v>798</v>
      </c>
      <c r="M315" s="415" t="s">
        <v>310</v>
      </c>
      <c r="N315" s="414">
        <v>44662</v>
      </c>
      <c r="O315" s="414" t="s">
        <v>400</v>
      </c>
      <c r="P315" s="603">
        <f t="shared" si="13"/>
        <v>4</v>
      </c>
      <c r="Q315" s="603">
        <f t="shared" si="14"/>
        <v>3</v>
      </c>
      <c r="R315" s="604" t="str">
        <f t="shared" si="15"/>
        <v>Gastos_Gerais</v>
      </c>
      <c r="S315" s="605" t="s">
        <v>310</v>
      </c>
      <c r="T315" s="605" t="s">
        <v>310</v>
      </c>
    </row>
    <row r="316" spans="1:20" s="88" customFormat="1" ht="24" x14ac:dyDescent="0.2">
      <c r="A316" s="510">
        <f>IF(B316="","",COUNT('Diário 1º PA'!$A$4:$A$2635)+ROW()-3)</f>
        <v>2049</v>
      </c>
      <c r="B316" s="414">
        <v>44662</v>
      </c>
      <c r="C316" s="431">
        <v>44621</v>
      </c>
      <c r="D316" s="415" t="s">
        <v>271</v>
      </c>
      <c r="E316" s="415" t="s">
        <v>3</v>
      </c>
      <c r="F316" s="425">
        <v>-451.27</v>
      </c>
      <c r="G316" s="427" t="s">
        <v>3472</v>
      </c>
      <c r="H316" s="415" t="s">
        <v>309</v>
      </c>
      <c r="I316" s="427" t="s">
        <v>795</v>
      </c>
      <c r="J316" s="415" t="s">
        <v>796</v>
      </c>
      <c r="K316" s="415" t="s">
        <v>797</v>
      </c>
      <c r="L316" s="415" t="s">
        <v>798</v>
      </c>
      <c r="M316" s="415" t="s">
        <v>310</v>
      </c>
      <c r="N316" s="414">
        <v>44662</v>
      </c>
      <c r="O316" s="414" t="s">
        <v>400</v>
      </c>
      <c r="P316" s="603">
        <f t="shared" si="13"/>
        <v>4</v>
      </c>
      <c r="Q316" s="603">
        <f t="shared" si="14"/>
        <v>3</v>
      </c>
      <c r="R316" s="604" t="str">
        <f t="shared" si="15"/>
        <v>Gastos_Gerais</v>
      </c>
      <c r="S316" s="605" t="s">
        <v>310</v>
      </c>
      <c r="T316" s="605" t="s">
        <v>310</v>
      </c>
    </row>
    <row r="317" spans="1:20" s="88" customFormat="1" ht="36" x14ac:dyDescent="0.2">
      <c r="A317" s="510">
        <f>IF(B317="","",COUNT('Diário 1º PA'!$A$4:$A$2635)+ROW()-3)</f>
        <v>2050</v>
      </c>
      <c r="B317" s="414">
        <v>44662</v>
      </c>
      <c r="C317" s="431">
        <v>44621</v>
      </c>
      <c r="D317" s="415" t="s">
        <v>271</v>
      </c>
      <c r="E317" s="415" t="s">
        <v>178</v>
      </c>
      <c r="F317" s="425">
        <v>-69.989999999999995</v>
      </c>
      <c r="G317" s="427" t="s">
        <v>3473</v>
      </c>
      <c r="H317" s="415" t="s">
        <v>309</v>
      </c>
      <c r="I317" s="427" t="s">
        <v>795</v>
      </c>
      <c r="J317" s="415" t="s">
        <v>796</v>
      </c>
      <c r="K317" s="415" t="s">
        <v>797</v>
      </c>
      <c r="L317" s="415" t="s">
        <v>798</v>
      </c>
      <c r="M317" s="415" t="s">
        <v>310</v>
      </c>
      <c r="N317" s="414">
        <v>44662</v>
      </c>
      <c r="O317" s="414" t="s">
        <v>400</v>
      </c>
      <c r="P317" s="603">
        <f t="shared" si="13"/>
        <v>4</v>
      </c>
      <c r="Q317" s="603">
        <f t="shared" si="14"/>
        <v>3</v>
      </c>
      <c r="R317" s="604" t="str">
        <f t="shared" si="15"/>
        <v>Gastos_Gerais</v>
      </c>
      <c r="S317" s="605" t="s">
        <v>310</v>
      </c>
      <c r="T317" s="605" t="s">
        <v>310</v>
      </c>
    </row>
    <row r="318" spans="1:20" s="88" customFormat="1" ht="36" x14ac:dyDescent="0.2">
      <c r="A318" s="510">
        <f>IF(B318="","",COUNT('Diário 1º PA'!$A$4:$A$2635)+ROW()-3)</f>
        <v>2051</v>
      </c>
      <c r="B318" s="414">
        <v>44662</v>
      </c>
      <c r="C318" s="431">
        <v>44621</v>
      </c>
      <c r="D318" s="415" t="s">
        <v>271</v>
      </c>
      <c r="E318" s="415" t="s">
        <v>2</v>
      </c>
      <c r="F318" s="425">
        <v>-238.46</v>
      </c>
      <c r="G318" s="427" t="s">
        <v>3474</v>
      </c>
      <c r="H318" s="415" t="s">
        <v>309</v>
      </c>
      <c r="I318" s="427" t="s">
        <v>795</v>
      </c>
      <c r="J318" s="415" t="s">
        <v>796</v>
      </c>
      <c r="K318" s="415" t="s">
        <v>797</v>
      </c>
      <c r="L318" s="415" t="s">
        <v>798</v>
      </c>
      <c r="M318" s="415" t="s">
        <v>310</v>
      </c>
      <c r="N318" s="414">
        <v>44662</v>
      </c>
      <c r="O318" s="414" t="s">
        <v>400</v>
      </c>
      <c r="P318" s="603">
        <f t="shared" si="13"/>
        <v>4</v>
      </c>
      <c r="Q318" s="603">
        <f t="shared" si="14"/>
        <v>3</v>
      </c>
      <c r="R318" s="604" t="str">
        <f t="shared" si="15"/>
        <v>Gastos_Gerais</v>
      </c>
      <c r="S318" s="605" t="s">
        <v>310</v>
      </c>
      <c r="T318" s="605" t="s">
        <v>310</v>
      </c>
    </row>
    <row r="319" spans="1:20" s="88" customFormat="1" ht="24" x14ac:dyDescent="0.2">
      <c r="A319" s="510">
        <f>IF(B319="","",COUNT('Diário 1º PA'!$A$4:$A$2635)+ROW()-3)</f>
        <v>2052</v>
      </c>
      <c r="B319" s="414">
        <v>44662</v>
      </c>
      <c r="C319" s="431">
        <v>44621</v>
      </c>
      <c r="D319" s="415" t="s">
        <v>271</v>
      </c>
      <c r="E319" s="415" t="s">
        <v>2</v>
      </c>
      <c r="F319" s="425">
        <v>8128.76</v>
      </c>
      <c r="G319" s="437" t="s">
        <v>499</v>
      </c>
      <c r="H319" s="415" t="s">
        <v>309</v>
      </c>
      <c r="I319" s="437" t="s">
        <v>767</v>
      </c>
      <c r="J319" s="434" t="s">
        <v>1020</v>
      </c>
      <c r="K319" s="415" t="s">
        <v>812</v>
      </c>
      <c r="L319" s="415" t="s">
        <v>1305</v>
      </c>
      <c r="M319" s="415">
        <v>4</v>
      </c>
      <c r="N319" s="414">
        <v>44645</v>
      </c>
      <c r="O319" s="414" t="s">
        <v>400</v>
      </c>
      <c r="P319" s="603">
        <f t="shared" si="13"/>
        <v>4</v>
      </c>
      <c r="Q319" s="603">
        <f t="shared" si="14"/>
        <v>3</v>
      </c>
      <c r="R319" s="604" t="str">
        <f t="shared" si="15"/>
        <v>Gastos_Gerais</v>
      </c>
      <c r="S319" s="605" t="s">
        <v>310</v>
      </c>
      <c r="T319" s="605" t="s">
        <v>310</v>
      </c>
    </row>
    <row r="320" spans="1:20" s="88" customFormat="1" ht="24.75" customHeight="1" x14ac:dyDescent="0.2">
      <c r="A320" s="510">
        <f>IF(B320="","",COUNT('Diário 1º PA'!$A$4:$A$2635)+ROW()-3)</f>
        <v>2053</v>
      </c>
      <c r="B320" s="414">
        <v>44662</v>
      </c>
      <c r="C320" s="431">
        <v>44621</v>
      </c>
      <c r="D320" s="415" t="s">
        <v>271</v>
      </c>
      <c r="E320" s="415" t="s">
        <v>3</v>
      </c>
      <c r="F320" s="425">
        <v>1708.71</v>
      </c>
      <c r="G320" s="437" t="s">
        <v>500</v>
      </c>
      <c r="H320" s="415" t="s">
        <v>309</v>
      </c>
      <c r="I320" s="437" t="s">
        <v>767</v>
      </c>
      <c r="J320" s="434" t="s">
        <v>1020</v>
      </c>
      <c r="K320" s="415" t="s">
        <v>812</v>
      </c>
      <c r="L320" s="415" t="s">
        <v>1305</v>
      </c>
      <c r="M320" s="415">
        <v>4</v>
      </c>
      <c r="N320" s="414">
        <v>44645</v>
      </c>
      <c r="O320" s="414" t="s">
        <v>400</v>
      </c>
      <c r="P320" s="603">
        <f t="shared" si="13"/>
        <v>4</v>
      </c>
      <c r="Q320" s="603">
        <f t="shared" si="14"/>
        <v>3</v>
      </c>
      <c r="R320" s="604" t="str">
        <f t="shared" si="15"/>
        <v>Gastos_Gerais</v>
      </c>
      <c r="S320" s="605" t="s">
        <v>310</v>
      </c>
      <c r="T320" s="605" t="s">
        <v>310</v>
      </c>
    </row>
    <row r="321" spans="1:20" s="88" customFormat="1" ht="24" x14ac:dyDescent="0.2">
      <c r="A321" s="510">
        <f>IF(B321="","",COUNT('Diário 1º PA'!$A$4:$A$2635)+ROW()-3)</f>
        <v>2054</v>
      </c>
      <c r="B321" s="414">
        <v>44662</v>
      </c>
      <c r="C321" s="431">
        <v>44621</v>
      </c>
      <c r="D321" s="415" t="s">
        <v>271</v>
      </c>
      <c r="E321" s="415" t="s">
        <v>64</v>
      </c>
      <c r="F321" s="425">
        <v>305.37</v>
      </c>
      <c r="G321" s="427" t="s">
        <v>1328</v>
      </c>
      <c r="H321" s="415" t="s">
        <v>309</v>
      </c>
      <c r="I321" s="427" t="s">
        <v>1329</v>
      </c>
      <c r="J321" s="415" t="s">
        <v>1330</v>
      </c>
      <c r="K321" s="415" t="s">
        <v>812</v>
      </c>
      <c r="L321" s="415" t="s">
        <v>807</v>
      </c>
      <c r="M321" s="415" t="s">
        <v>3479</v>
      </c>
      <c r="N321" s="414">
        <v>44656</v>
      </c>
      <c r="O321" s="414" t="s">
        <v>400</v>
      </c>
      <c r="P321" s="603">
        <f t="shared" si="13"/>
        <v>4</v>
      </c>
      <c r="Q321" s="603">
        <f t="shared" si="14"/>
        <v>3</v>
      </c>
      <c r="R321" s="604" t="str">
        <f t="shared" si="15"/>
        <v>Gastos_Gerais</v>
      </c>
      <c r="S321" s="605" t="s">
        <v>310</v>
      </c>
      <c r="T321" s="605" t="s">
        <v>310</v>
      </c>
    </row>
    <row r="322" spans="1:20" s="88" customFormat="1" ht="48" x14ac:dyDescent="0.2">
      <c r="A322" s="510">
        <f>IF(B322="","",COUNT('Diário 1º PA'!$A$4:$A$2635)+ROW()-3)</f>
        <v>2055</v>
      </c>
      <c r="B322" s="414">
        <v>44662</v>
      </c>
      <c r="C322" s="592">
        <v>44652</v>
      </c>
      <c r="D322" s="415" t="s">
        <v>271</v>
      </c>
      <c r="E322" s="415" t="s">
        <v>456</v>
      </c>
      <c r="F322" s="425">
        <v>652</v>
      </c>
      <c r="G322" s="427" t="s">
        <v>3258</v>
      </c>
      <c r="H322" s="426" t="s">
        <v>757</v>
      </c>
      <c r="I322" s="427" t="s">
        <v>3480</v>
      </c>
      <c r="J322" s="415" t="s">
        <v>3259</v>
      </c>
      <c r="K322" s="415" t="s">
        <v>812</v>
      </c>
      <c r="L322" s="415" t="s">
        <v>807</v>
      </c>
      <c r="M322" s="601" t="s">
        <v>3481</v>
      </c>
      <c r="N322" s="414">
        <v>44659</v>
      </c>
      <c r="O322" s="414" t="s">
        <v>400</v>
      </c>
      <c r="P322" s="603">
        <f t="shared" si="13"/>
        <v>4</v>
      </c>
      <c r="Q322" s="603">
        <f t="shared" si="14"/>
        <v>4</v>
      </c>
      <c r="R322" s="604" t="str">
        <f t="shared" si="15"/>
        <v>Gastos_Gerais</v>
      </c>
      <c r="S322" s="605" t="s">
        <v>999</v>
      </c>
      <c r="T322" s="605">
        <v>3365</v>
      </c>
    </row>
    <row r="323" spans="1:20" s="88" customFormat="1" ht="72" x14ac:dyDescent="0.2">
      <c r="A323" s="510">
        <f>IF(B323="","",COUNT('Diário 1º PA'!$A$4:$A$2635)+ROW()-3)</f>
        <v>2056</v>
      </c>
      <c r="B323" s="414">
        <v>44662</v>
      </c>
      <c r="C323" s="431">
        <v>44621</v>
      </c>
      <c r="D323" s="415" t="s">
        <v>271</v>
      </c>
      <c r="E323" s="415" t="s">
        <v>178</v>
      </c>
      <c r="F323" s="425">
        <v>255.46</v>
      </c>
      <c r="G323" s="427" t="s">
        <v>482</v>
      </c>
      <c r="H323" s="415" t="s">
        <v>309</v>
      </c>
      <c r="I323" s="427" t="s">
        <v>1276</v>
      </c>
      <c r="J323" s="415" t="s">
        <v>1017</v>
      </c>
      <c r="K323" s="415" t="s">
        <v>812</v>
      </c>
      <c r="L323" s="415" t="s">
        <v>32</v>
      </c>
      <c r="M323" s="415" t="s">
        <v>3482</v>
      </c>
      <c r="N323" s="414">
        <v>44625</v>
      </c>
      <c r="O323" s="414" t="s">
        <v>400</v>
      </c>
      <c r="P323" s="603">
        <f t="shared" si="13"/>
        <v>4</v>
      </c>
      <c r="Q323" s="603">
        <f t="shared" si="14"/>
        <v>3</v>
      </c>
      <c r="R323" s="604" t="str">
        <f t="shared" si="15"/>
        <v>Gastos_Gerais</v>
      </c>
      <c r="S323" s="605" t="s">
        <v>1000</v>
      </c>
      <c r="T323" s="606">
        <v>1133</v>
      </c>
    </row>
    <row r="324" spans="1:20" s="88" customFormat="1" ht="36" x14ac:dyDescent="0.2">
      <c r="A324" s="510">
        <f>IF(B324="","",COUNT('Diário 1º PA'!$A$4:$A$2635)+ROW()-3)</f>
        <v>2057</v>
      </c>
      <c r="B324" s="414">
        <v>44662</v>
      </c>
      <c r="C324" s="592">
        <v>44593</v>
      </c>
      <c r="D324" s="415" t="s">
        <v>271</v>
      </c>
      <c r="E324" s="415" t="s">
        <v>456</v>
      </c>
      <c r="F324" s="425">
        <v>729</v>
      </c>
      <c r="G324" s="427" t="s">
        <v>1996</v>
      </c>
      <c r="H324" s="419" t="s">
        <v>753</v>
      </c>
      <c r="I324" s="427" t="s">
        <v>3483</v>
      </c>
      <c r="J324" s="415" t="s">
        <v>3484</v>
      </c>
      <c r="K324" s="415" t="s">
        <v>812</v>
      </c>
      <c r="L324" s="415" t="s">
        <v>32</v>
      </c>
      <c r="M324" s="415" t="s">
        <v>3485</v>
      </c>
      <c r="N324" s="414">
        <v>44634</v>
      </c>
      <c r="O324" s="414" t="s">
        <v>400</v>
      </c>
      <c r="P324" s="603">
        <f t="shared" si="13"/>
        <v>4</v>
      </c>
      <c r="Q324" s="603">
        <f t="shared" si="14"/>
        <v>2</v>
      </c>
      <c r="R324" s="604" t="str">
        <f t="shared" si="15"/>
        <v>Gastos_Gerais</v>
      </c>
      <c r="S324" s="605" t="s">
        <v>999</v>
      </c>
      <c r="T324" s="605">
        <v>3128</v>
      </c>
    </row>
    <row r="325" spans="1:20" s="88" customFormat="1" ht="100.5" customHeight="1" x14ac:dyDescent="0.2">
      <c r="A325" s="510">
        <f>IF(B325="","",COUNT('Diário 1º PA'!$A$4:$A$2635)+ROW()-3)</f>
        <v>2058</v>
      </c>
      <c r="B325" s="414">
        <v>44662</v>
      </c>
      <c r="C325" s="592">
        <v>44621</v>
      </c>
      <c r="D325" s="415" t="s">
        <v>271</v>
      </c>
      <c r="E325" s="415" t="s">
        <v>0</v>
      </c>
      <c r="F325" s="425">
        <v>1499.88</v>
      </c>
      <c r="G325" s="427" t="s">
        <v>1983</v>
      </c>
      <c r="H325" s="419" t="s">
        <v>753</v>
      </c>
      <c r="I325" s="427" t="s">
        <v>3486</v>
      </c>
      <c r="J325" s="415" t="s">
        <v>1065</v>
      </c>
      <c r="K325" s="415" t="s">
        <v>812</v>
      </c>
      <c r="L325" s="415" t="s">
        <v>32</v>
      </c>
      <c r="M325" s="415">
        <v>18471</v>
      </c>
      <c r="N325" s="414">
        <v>44634</v>
      </c>
      <c r="O325" s="414" t="s">
        <v>400</v>
      </c>
      <c r="P325" s="603">
        <f t="shared" si="13"/>
        <v>4</v>
      </c>
      <c r="Q325" s="603">
        <f t="shared" si="14"/>
        <v>3</v>
      </c>
      <c r="R325" s="604" t="str">
        <f t="shared" si="15"/>
        <v>Gastos_Gerais</v>
      </c>
      <c r="S325" s="605" t="s">
        <v>999</v>
      </c>
      <c r="T325" s="605">
        <v>3042</v>
      </c>
    </row>
    <row r="326" spans="1:20" s="88" customFormat="1" ht="84" x14ac:dyDescent="0.2">
      <c r="A326" s="510">
        <f>IF(B326="","",COUNT('Diário 1º PA'!$A$4:$A$2635)+ROW()-3)</f>
        <v>2059</v>
      </c>
      <c r="B326" s="414">
        <v>44662</v>
      </c>
      <c r="C326" s="592">
        <v>44621</v>
      </c>
      <c r="D326" s="415" t="s">
        <v>271</v>
      </c>
      <c r="E326" s="415" t="s">
        <v>187</v>
      </c>
      <c r="F326" s="425">
        <v>700</v>
      </c>
      <c r="G326" s="427" t="s">
        <v>642</v>
      </c>
      <c r="H326" s="415" t="s">
        <v>309</v>
      </c>
      <c r="I326" s="427" t="s">
        <v>1701</v>
      </c>
      <c r="J326" s="415" t="s">
        <v>1071</v>
      </c>
      <c r="K326" s="415" t="s">
        <v>812</v>
      </c>
      <c r="L326" s="415" t="s">
        <v>32</v>
      </c>
      <c r="M326" s="415" t="s">
        <v>3487</v>
      </c>
      <c r="N326" s="414">
        <v>44655</v>
      </c>
      <c r="O326" s="414" t="s">
        <v>400</v>
      </c>
      <c r="P326" s="603">
        <f t="shared" si="13"/>
        <v>4</v>
      </c>
      <c r="Q326" s="603">
        <f t="shared" si="14"/>
        <v>3</v>
      </c>
      <c r="R326" s="604" t="str">
        <f t="shared" si="15"/>
        <v>Gastos_Gerais</v>
      </c>
      <c r="S326" s="605" t="s">
        <v>1000</v>
      </c>
      <c r="T326" s="605">
        <v>2666</v>
      </c>
    </row>
    <row r="327" spans="1:20" s="88" customFormat="1" ht="48" x14ac:dyDescent="0.2">
      <c r="A327" s="510">
        <f>IF(B327="","",COUNT('Diário 1º PA'!$A$4:$A$2635)+ROW()-3)</f>
        <v>2060</v>
      </c>
      <c r="B327" s="414">
        <v>44662</v>
      </c>
      <c r="C327" s="592">
        <v>44621</v>
      </c>
      <c r="D327" s="415" t="s">
        <v>271</v>
      </c>
      <c r="E327" s="415" t="s">
        <v>183</v>
      </c>
      <c r="F327" s="425">
        <v>140.24</v>
      </c>
      <c r="G327" s="427" t="s">
        <v>551</v>
      </c>
      <c r="H327" s="415" t="s">
        <v>753</v>
      </c>
      <c r="I327" s="427" t="s">
        <v>1705</v>
      </c>
      <c r="J327" s="415" t="s">
        <v>1704</v>
      </c>
      <c r="K327" s="415" t="s">
        <v>1404</v>
      </c>
      <c r="L327" s="415" t="s">
        <v>32</v>
      </c>
      <c r="M327" s="546">
        <v>2203953726526</v>
      </c>
      <c r="N327" s="414">
        <v>44642</v>
      </c>
      <c r="O327" s="414" t="s">
        <v>400</v>
      </c>
      <c r="P327" s="603">
        <f t="shared" si="13"/>
        <v>4</v>
      </c>
      <c r="Q327" s="603">
        <f t="shared" si="14"/>
        <v>3</v>
      </c>
      <c r="R327" s="604" t="str">
        <f t="shared" si="15"/>
        <v>Gastos_Gerais</v>
      </c>
      <c r="S327" s="605" t="s">
        <v>1000</v>
      </c>
      <c r="T327" s="605">
        <v>1997</v>
      </c>
    </row>
    <row r="328" spans="1:20" s="88" customFormat="1" ht="86.25" customHeight="1" x14ac:dyDescent="0.2">
      <c r="A328" s="510">
        <f>IF(B328="","",COUNT('Diário 1º PA'!$A$4:$A$2635)+ROW()-3)</f>
        <v>2061</v>
      </c>
      <c r="B328" s="414">
        <v>44662</v>
      </c>
      <c r="C328" s="592">
        <v>44593</v>
      </c>
      <c r="D328" s="415" t="s">
        <v>271</v>
      </c>
      <c r="E328" s="415" t="s">
        <v>453</v>
      </c>
      <c r="F328" s="425">
        <v>850</v>
      </c>
      <c r="G328" s="427" t="s">
        <v>1901</v>
      </c>
      <c r="H328" s="419" t="s">
        <v>748</v>
      </c>
      <c r="I328" s="427" t="s">
        <v>3488</v>
      </c>
      <c r="J328" s="415" t="s">
        <v>1900</v>
      </c>
      <c r="K328" s="415" t="s">
        <v>830</v>
      </c>
      <c r="L328" s="415" t="s">
        <v>32</v>
      </c>
      <c r="M328" s="415" t="s">
        <v>848</v>
      </c>
      <c r="N328" s="414">
        <v>44658</v>
      </c>
      <c r="O328" s="414" t="s">
        <v>400</v>
      </c>
      <c r="P328" s="603">
        <f t="shared" ref="P328:P432" si="16">IF(B328=0,0,IF(YEAR(B328)=$Q$1,MONTH(B328)-$P$1+1,(YEAR(B328)-$Q$1)*12-$P$1+1+MONTH(B328)))</f>
        <v>4</v>
      </c>
      <c r="Q328" s="603">
        <f t="shared" ref="Q328:Q432" si="17">IF(C328=0,0,IF(YEAR(C328)=$Q$1,MONTH(C328)-$P$1+1,(YEAR(C328)-$Q$1)*12-$P$1+1+MONTH(C328)))</f>
        <v>2</v>
      </c>
      <c r="R328" s="604" t="str">
        <f t="shared" ref="R328:R432" si="18">SUBSTITUTE(D328," ","_")</f>
        <v>Gastos_Gerais</v>
      </c>
      <c r="S328" s="605" t="s">
        <v>998</v>
      </c>
      <c r="T328" s="605">
        <v>2931</v>
      </c>
    </row>
    <row r="329" spans="1:20" s="88" customFormat="1" ht="72" x14ac:dyDescent="0.2">
      <c r="A329" s="510">
        <f>IF(B329="","",COUNT('Diário 1º PA'!$A$4:$A$2635)+ROW()-3)</f>
        <v>2062</v>
      </c>
      <c r="B329" s="414">
        <v>44662</v>
      </c>
      <c r="C329" s="592">
        <v>44621</v>
      </c>
      <c r="D329" s="415" t="s">
        <v>271</v>
      </c>
      <c r="E329" s="415" t="s">
        <v>92</v>
      </c>
      <c r="F329" s="425">
        <v>408.33</v>
      </c>
      <c r="G329" s="427" t="s">
        <v>1684</v>
      </c>
      <c r="H329" s="415" t="s">
        <v>309</v>
      </c>
      <c r="I329" s="427" t="s">
        <v>1304</v>
      </c>
      <c r="J329" s="415" t="s">
        <v>1033</v>
      </c>
      <c r="K329" s="415" t="s">
        <v>830</v>
      </c>
      <c r="L329" s="415" t="s">
        <v>1305</v>
      </c>
      <c r="M329" s="415" t="s">
        <v>310</v>
      </c>
      <c r="N329" s="414">
        <v>44652</v>
      </c>
      <c r="O329" s="414" t="s">
        <v>400</v>
      </c>
      <c r="P329" s="603">
        <f t="shared" si="16"/>
        <v>4</v>
      </c>
      <c r="Q329" s="603">
        <f t="shared" si="17"/>
        <v>3</v>
      </c>
      <c r="R329" s="604" t="str">
        <f t="shared" si="18"/>
        <v>Gastos_Gerais</v>
      </c>
      <c r="S329" s="605" t="s">
        <v>1000</v>
      </c>
      <c r="T329" s="606">
        <v>2842</v>
      </c>
    </row>
    <row r="330" spans="1:20" s="88" customFormat="1" ht="99.95" customHeight="1" x14ac:dyDescent="0.2">
      <c r="A330" s="510">
        <f>IF(B330="","",COUNT('Diário 1º PA'!$A$4:$A$2635)+ROW()-3)</f>
        <v>2063</v>
      </c>
      <c r="B330" s="414">
        <v>44662</v>
      </c>
      <c r="C330" s="592">
        <v>44652</v>
      </c>
      <c r="D330" s="415" t="s">
        <v>271</v>
      </c>
      <c r="E330" s="415" t="s">
        <v>71</v>
      </c>
      <c r="F330" s="425">
        <v>11</v>
      </c>
      <c r="G330" s="427" t="s">
        <v>3489</v>
      </c>
      <c r="H330" s="419" t="s">
        <v>748</v>
      </c>
      <c r="I330" s="639" t="s">
        <v>881</v>
      </c>
      <c r="J330" s="418" t="s">
        <v>882</v>
      </c>
      <c r="K330" s="418" t="s">
        <v>883</v>
      </c>
      <c r="L330" s="399" t="s">
        <v>798</v>
      </c>
      <c r="M330" s="544" t="s">
        <v>310</v>
      </c>
      <c r="N330" s="414">
        <v>44662</v>
      </c>
      <c r="O330" s="414" t="s">
        <v>400</v>
      </c>
      <c r="P330" s="603">
        <f t="shared" si="16"/>
        <v>4</v>
      </c>
      <c r="Q330" s="603">
        <f t="shared" si="17"/>
        <v>4</v>
      </c>
      <c r="R330" s="604" t="str">
        <f t="shared" si="18"/>
        <v>Gastos_Gerais</v>
      </c>
      <c r="S330" s="605" t="s">
        <v>310</v>
      </c>
      <c r="T330" s="605" t="s">
        <v>310</v>
      </c>
    </row>
    <row r="331" spans="1:20" s="88" customFormat="1" ht="99.95" customHeight="1" x14ac:dyDescent="0.2">
      <c r="A331" s="510">
        <f>IF(B331="","",COUNT('Diário 1º PA'!$A$4:$A$2635)+ROW()-3)</f>
        <v>2064</v>
      </c>
      <c r="B331" s="414">
        <v>44662</v>
      </c>
      <c r="C331" s="592">
        <v>44652</v>
      </c>
      <c r="D331" s="415" t="s">
        <v>271</v>
      </c>
      <c r="E331" s="415" t="s">
        <v>71</v>
      </c>
      <c r="F331" s="425">
        <v>11</v>
      </c>
      <c r="G331" s="427" t="s">
        <v>2452</v>
      </c>
      <c r="H331" s="415" t="s">
        <v>309</v>
      </c>
      <c r="I331" s="639" t="s">
        <v>881</v>
      </c>
      <c r="J331" s="418" t="s">
        <v>882</v>
      </c>
      <c r="K331" s="418" t="s">
        <v>883</v>
      </c>
      <c r="L331" s="399" t="s">
        <v>798</v>
      </c>
      <c r="M331" s="544" t="s">
        <v>310</v>
      </c>
      <c r="N331" s="414">
        <v>44662</v>
      </c>
      <c r="O331" s="414" t="s">
        <v>400</v>
      </c>
      <c r="P331" s="603">
        <f t="shared" si="16"/>
        <v>4</v>
      </c>
      <c r="Q331" s="603">
        <f t="shared" si="17"/>
        <v>4</v>
      </c>
      <c r="R331" s="604" t="str">
        <f t="shared" si="18"/>
        <v>Gastos_Gerais</v>
      </c>
      <c r="S331" s="605" t="s">
        <v>310</v>
      </c>
      <c r="T331" s="605" t="s">
        <v>310</v>
      </c>
    </row>
    <row r="332" spans="1:20" s="88" customFormat="1" ht="99.95" customHeight="1" x14ac:dyDescent="0.2">
      <c r="A332" s="510">
        <f>IF(B332="","",COUNT('Diário 1º PA'!$A$4:$A$2635)+ROW()-3)</f>
        <v>2065</v>
      </c>
      <c r="B332" s="414">
        <v>44663</v>
      </c>
      <c r="C332" s="431">
        <v>44621</v>
      </c>
      <c r="D332" s="415" t="s">
        <v>468</v>
      </c>
      <c r="E332" s="415" t="s">
        <v>468</v>
      </c>
      <c r="F332" s="425">
        <v>2537.5500000000002</v>
      </c>
      <c r="G332" s="427" t="s">
        <v>659</v>
      </c>
      <c r="H332" s="415" t="s">
        <v>468</v>
      </c>
      <c r="I332" s="427" t="s">
        <v>1748</v>
      </c>
      <c r="J332" s="415" t="s">
        <v>1027</v>
      </c>
      <c r="K332" s="415" t="s">
        <v>830</v>
      </c>
      <c r="L332" s="415" t="s">
        <v>839</v>
      </c>
      <c r="M332" s="415">
        <v>1691</v>
      </c>
      <c r="N332" s="414">
        <v>44663</v>
      </c>
      <c r="O332" s="414" t="s">
        <v>402</v>
      </c>
      <c r="P332" s="603">
        <f t="shared" si="16"/>
        <v>4</v>
      </c>
      <c r="Q332" s="603">
        <f t="shared" si="17"/>
        <v>3</v>
      </c>
      <c r="R332" s="604" t="str">
        <f t="shared" si="18"/>
        <v>Gastos_custeados_por_captação</v>
      </c>
      <c r="S332" s="605" t="s">
        <v>1000</v>
      </c>
      <c r="T332" s="605">
        <v>2716</v>
      </c>
    </row>
    <row r="333" spans="1:20" s="88" customFormat="1" ht="99.95" customHeight="1" x14ac:dyDescent="0.2">
      <c r="A333" s="510">
        <f>IF(B333="","",COUNT('Diário 1º PA'!$A$4:$A$2635)+ROW()-3)</f>
        <v>2066</v>
      </c>
      <c r="B333" s="414">
        <v>44663</v>
      </c>
      <c r="C333" s="431">
        <v>44621</v>
      </c>
      <c r="D333" s="434" t="s">
        <v>468</v>
      </c>
      <c r="E333" s="434" t="s">
        <v>468</v>
      </c>
      <c r="F333" s="425">
        <v>4116</v>
      </c>
      <c r="G333" s="427" t="s">
        <v>4515</v>
      </c>
      <c r="H333" s="415" t="s">
        <v>468</v>
      </c>
      <c r="I333" s="427" t="s">
        <v>4514</v>
      </c>
      <c r="J333" s="415" t="s">
        <v>1037</v>
      </c>
      <c r="K333" s="415" t="s">
        <v>830</v>
      </c>
      <c r="L333" s="415" t="s">
        <v>807</v>
      </c>
      <c r="M333" s="415" t="s">
        <v>3672</v>
      </c>
      <c r="N333" s="414">
        <v>44658</v>
      </c>
      <c r="O333" s="414" t="s">
        <v>402</v>
      </c>
      <c r="P333" s="603">
        <f t="shared" si="16"/>
        <v>4</v>
      </c>
      <c r="Q333" s="603">
        <f t="shared" si="17"/>
        <v>3</v>
      </c>
      <c r="R333" s="604" t="str">
        <f t="shared" si="18"/>
        <v>Gastos_custeados_por_captação</v>
      </c>
      <c r="S333" s="605" t="s">
        <v>998</v>
      </c>
      <c r="T333" s="605">
        <v>2749</v>
      </c>
    </row>
    <row r="334" spans="1:20" s="88" customFormat="1" ht="72" x14ac:dyDescent="0.2">
      <c r="A334" s="510">
        <f>IF(B334="","",COUNT('Diário 1º PA'!$A$4:$A$2635)+ROW()-3)</f>
        <v>2067</v>
      </c>
      <c r="B334" s="414">
        <v>44663</v>
      </c>
      <c r="C334" s="431">
        <v>44652</v>
      </c>
      <c r="D334" s="434" t="s">
        <v>468</v>
      </c>
      <c r="E334" s="434" t="s">
        <v>468</v>
      </c>
      <c r="F334" s="425">
        <v>702.5</v>
      </c>
      <c r="G334" s="427" t="s">
        <v>4516</v>
      </c>
      <c r="H334" s="415" t="s">
        <v>468</v>
      </c>
      <c r="I334" s="427" t="s">
        <v>4517</v>
      </c>
      <c r="J334" s="415" t="s">
        <v>4518</v>
      </c>
      <c r="K334" s="415" t="s">
        <v>830</v>
      </c>
      <c r="L334" s="415" t="s">
        <v>807</v>
      </c>
      <c r="M334" s="415">
        <v>75</v>
      </c>
      <c r="N334" s="414">
        <v>44651</v>
      </c>
      <c r="O334" s="414" t="s">
        <v>402</v>
      </c>
      <c r="P334" s="603">
        <f t="shared" si="16"/>
        <v>4</v>
      </c>
      <c r="Q334" s="603">
        <f t="shared" si="17"/>
        <v>4</v>
      </c>
      <c r="R334" s="604" t="str">
        <f t="shared" si="18"/>
        <v>Gastos_custeados_por_captação</v>
      </c>
      <c r="S334" s="605" t="s">
        <v>998</v>
      </c>
      <c r="T334" s="605">
        <v>2022</v>
      </c>
    </row>
    <row r="335" spans="1:20" ht="72" x14ac:dyDescent="0.2">
      <c r="A335" s="510">
        <f>IF(B335="","",COUNT('Diário 1º PA'!$A$4:$A$2635)+ROW()-3)</f>
        <v>2068</v>
      </c>
      <c r="B335" s="414">
        <v>44663</v>
      </c>
      <c r="C335" s="431">
        <v>44621</v>
      </c>
      <c r="D335" s="415" t="s">
        <v>468</v>
      </c>
      <c r="E335" s="415" t="s">
        <v>468</v>
      </c>
      <c r="F335" s="425">
        <v>172.82</v>
      </c>
      <c r="G335" s="427" t="s">
        <v>4519</v>
      </c>
      <c r="H335" s="415" t="s">
        <v>468</v>
      </c>
      <c r="I335" s="427" t="s">
        <v>3093</v>
      </c>
      <c r="J335" s="415" t="s">
        <v>1153</v>
      </c>
      <c r="K335" s="415" t="s">
        <v>830</v>
      </c>
      <c r="L335" s="415" t="s">
        <v>807</v>
      </c>
      <c r="M335" s="415" t="s">
        <v>4520</v>
      </c>
      <c r="N335" s="414">
        <v>44648</v>
      </c>
      <c r="O335" s="414" t="s">
        <v>402</v>
      </c>
      <c r="P335" s="603">
        <f t="shared" si="16"/>
        <v>4</v>
      </c>
      <c r="Q335" s="603">
        <f t="shared" si="17"/>
        <v>3</v>
      </c>
      <c r="R335" s="604" t="str">
        <f t="shared" si="18"/>
        <v>Gastos_custeados_por_captação</v>
      </c>
      <c r="S335" s="605" t="s">
        <v>998</v>
      </c>
      <c r="T335" s="605">
        <v>3172</v>
      </c>
    </row>
    <row r="336" spans="1:20" ht="55.5" customHeight="1" x14ac:dyDescent="0.2">
      <c r="A336" s="510">
        <f>IF(B336="","",COUNT('Diário 1º PA'!$A$4:$A$2635)+ROW()-3)</f>
        <v>2069</v>
      </c>
      <c r="B336" s="414">
        <v>44663</v>
      </c>
      <c r="C336" s="431">
        <v>44652</v>
      </c>
      <c r="D336" s="434" t="s">
        <v>468</v>
      </c>
      <c r="E336" s="434" t="s">
        <v>468</v>
      </c>
      <c r="F336" s="425">
        <v>2287</v>
      </c>
      <c r="G336" s="427" t="s">
        <v>3272</v>
      </c>
      <c r="H336" s="415" t="s">
        <v>468</v>
      </c>
      <c r="I336" s="427" t="s">
        <v>4216</v>
      </c>
      <c r="J336" s="415" t="s">
        <v>2420</v>
      </c>
      <c r="K336" s="415" t="s">
        <v>830</v>
      </c>
      <c r="L336" s="415" t="s">
        <v>807</v>
      </c>
      <c r="M336" s="415">
        <v>1480</v>
      </c>
      <c r="N336" s="414">
        <v>44663</v>
      </c>
      <c r="O336" s="414" t="s">
        <v>407</v>
      </c>
      <c r="P336" s="603">
        <f t="shared" si="16"/>
        <v>4</v>
      </c>
      <c r="Q336" s="603">
        <f t="shared" si="17"/>
        <v>4</v>
      </c>
      <c r="R336" s="604" t="str">
        <f t="shared" si="18"/>
        <v>Gastos_custeados_por_captação</v>
      </c>
      <c r="S336" s="605" t="s">
        <v>999</v>
      </c>
      <c r="T336" s="605">
        <v>3399</v>
      </c>
    </row>
    <row r="337" spans="1:20" ht="72" x14ac:dyDescent="0.2">
      <c r="A337" s="510">
        <f>IF(B337="","",COUNT('Diário 1º PA'!$A$4:$A$2635)+ROW()-3)</f>
        <v>2070</v>
      </c>
      <c r="B337" s="414">
        <v>44663</v>
      </c>
      <c r="C337" s="433">
        <v>44652</v>
      </c>
      <c r="D337" s="434" t="s">
        <v>468</v>
      </c>
      <c r="E337" s="434" t="s">
        <v>468</v>
      </c>
      <c r="F337" s="425">
        <v>684.79</v>
      </c>
      <c r="G337" s="427" t="s">
        <v>3262</v>
      </c>
      <c r="H337" s="415" t="s">
        <v>468</v>
      </c>
      <c r="I337" s="427" t="s">
        <v>4596</v>
      </c>
      <c r="J337" s="415" t="s">
        <v>2447</v>
      </c>
      <c r="K337" s="415" t="s">
        <v>830</v>
      </c>
      <c r="L337" s="415" t="s">
        <v>807</v>
      </c>
      <c r="M337" s="415">
        <v>1466</v>
      </c>
      <c r="N337" s="414">
        <v>44663</v>
      </c>
      <c r="O337" s="414" t="s">
        <v>407</v>
      </c>
      <c r="P337" s="603">
        <f t="shared" si="16"/>
        <v>4</v>
      </c>
      <c r="Q337" s="603">
        <f t="shared" si="17"/>
        <v>4</v>
      </c>
      <c r="R337" s="604" t="str">
        <f t="shared" si="18"/>
        <v>Gastos_custeados_por_captação</v>
      </c>
      <c r="S337" s="605" t="s">
        <v>999</v>
      </c>
      <c r="T337" s="605">
        <v>3396</v>
      </c>
    </row>
    <row r="338" spans="1:20" ht="95.25" customHeight="1" x14ac:dyDescent="0.2">
      <c r="A338" s="510">
        <f>IF(B338="","",COUNT('Diário 1º PA'!$A$4:$A$2635)+ROW()-3)</f>
        <v>2071</v>
      </c>
      <c r="B338" s="414">
        <v>44663</v>
      </c>
      <c r="C338" s="592">
        <v>44652</v>
      </c>
      <c r="D338" s="415" t="s">
        <v>468</v>
      </c>
      <c r="E338" s="415" t="s">
        <v>468</v>
      </c>
      <c r="F338" s="425">
        <v>430.25</v>
      </c>
      <c r="G338" s="427" t="s">
        <v>4597</v>
      </c>
      <c r="H338" s="415" t="s">
        <v>468</v>
      </c>
      <c r="I338" s="427" t="s">
        <v>4598</v>
      </c>
      <c r="J338" s="415" t="s">
        <v>2310</v>
      </c>
      <c r="K338" s="415" t="s">
        <v>830</v>
      </c>
      <c r="L338" s="415" t="s">
        <v>807</v>
      </c>
      <c r="M338" s="415" t="s">
        <v>1428</v>
      </c>
      <c r="N338" s="414">
        <v>44663</v>
      </c>
      <c r="O338" s="414" t="s">
        <v>407</v>
      </c>
      <c r="P338" s="603">
        <f t="shared" si="16"/>
        <v>4</v>
      </c>
      <c r="Q338" s="603">
        <f t="shared" si="17"/>
        <v>4</v>
      </c>
      <c r="R338" s="604" t="str">
        <f t="shared" si="18"/>
        <v>Gastos_custeados_por_captação</v>
      </c>
      <c r="S338" s="605" t="s">
        <v>1000</v>
      </c>
      <c r="T338" s="605">
        <v>3300</v>
      </c>
    </row>
    <row r="339" spans="1:20" ht="72" x14ac:dyDescent="0.2">
      <c r="A339" s="510">
        <f>IF(B339="","",COUNT('Diário 1º PA'!$A$4:$A$2635)+ROW()-3)</f>
        <v>2072</v>
      </c>
      <c r="B339" s="414">
        <v>44663</v>
      </c>
      <c r="C339" s="431">
        <v>44593</v>
      </c>
      <c r="D339" s="415" t="s">
        <v>468</v>
      </c>
      <c r="E339" s="415" t="s">
        <v>468</v>
      </c>
      <c r="F339" s="425">
        <v>1500</v>
      </c>
      <c r="G339" s="427" t="s">
        <v>1753</v>
      </c>
      <c r="H339" s="415" t="s">
        <v>468</v>
      </c>
      <c r="I339" s="427" t="s">
        <v>4599</v>
      </c>
      <c r="J339" s="415" t="s">
        <v>1752</v>
      </c>
      <c r="K339" s="415" t="s">
        <v>830</v>
      </c>
      <c r="L339" s="415" t="s">
        <v>807</v>
      </c>
      <c r="M339" s="415">
        <v>3</v>
      </c>
      <c r="N339" s="414">
        <v>44662</v>
      </c>
      <c r="O339" s="414" t="s">
        <v>407</v>
      </c>
      <c r="P339" s="603">
        <f t="shared" si="16"/>
        <v>4</v>
      </c>
      <c r="Q339" s="603">
        <f t="shared" si="17"/>
        <v>2</v>
      </c>
      <c r="R339" s="604" t="str">
        <f t="shared" si="18"/>
        <v>Gastos_custeados_por_captação</v>
      </c>
      <c r="S339" s="605" t="s">
        <v>1000</v>
      </c>
      <c r="T339" s="605">
        <v>2869</v>
      </c>
    </row>
    <row r="340" spans="1:20" s="88" customFormat="1" ht="72" x14ac:dyDescent="0.2">
      <c r="A340" s="510">
        <f>IF(B340="","",COUNT('Diário 1º PA'!$A$4:$A$2635)+ROW()-3)</f>
        <v>2073</v>
      </c>
      <c r="B340" s="414">
        <v>44663</v>
      </c>
      <c r="C340" s="433">
        <v>44652</v>
      </c>
      <c r="D340" s="434" t="s">
        <v>468</v>
      </c>
      <c r="E340" s="434" t="s">
        <v>468</v>
      </c>
      <c r="F340" s="425">
        <v>300</v>
      </c>
      <c r="G340" s="427" t="s">
        <v>3264</v>
      </c>
      <c r="H340" s="415" t="s">
        <v>468</v>
      </c>
      <c r="I340" s="427" t="s">
        <v>4407</v>
      </c>
      <c r="J340" s="415" t="s">
        <v>3255</v>
      </c>
      <c r="K340" s="415" t="s">
        <v>830</v>
      </c>
      <c r="L340" s="415" t="s">
        <v>807</v>
      </c>
      <c r="M340" s="415">
        <v>169</v>
      </c>
      <c r="N340" s="414">
        <v>44663</v>
      </c>
      <c r="O340" s="414" t="s">
        <v>407</v>
      </c>
      <c r="P340" s="603">
        <f t="shared" si="16"/>
        <v>4</v>
      </c>
      <c r="Q340" s="603">
        <f t="shared" si="17"/>
        <v>4</v>
      </c>
      <c r="R340" s="604" t="str">
        <f t="shared" si="18"/>
        <v>Gastos_custeados_por_captação</v>
      </c>
      <c r="S340" s="605" t="s">
        <v>999</v>
      </c>
      <c r="T340" s="605">
        <v>3395</v>
      </c>
    </row>
    <row r="341" spans="1:20" s="88" customFormat="1" ht="36" x14ac:dyDescent="0.2">
      <c r="A341" s="510">
        <f>IF(B341="","",COUNT('Diário 1º PA'!$A$4:$A$2635)+ROW()-3)</f>
        <v>2074</v>
      </c>
      <c r="B341" s="414">
        <v>44663</v>
      </c>
      <c r="C341" s="424">
        <v>44621</v>
      </c>
      <c r="D341" s="415" t="s">
        <v>271</v>
      </c>
      <c r="E341" s="415" t="s">
        <v>139</v>
      </c>
      <c r="F341" s="425">
        <v>-248.92</v>
      </c>
      <c r="G341" s="427" t="s">
        <v>3491</v>
      </c>
      <c r="H341" s="415" t="s">
        <v>309</v>
      </c>
      <c r="I341" s="427" t="s">
        <v>795</v>
      </c>
      <c r="J341" s="415" t="s">
        <v>796</v>
      </c>
      <c r="K341" s="415" t="s">
        <v>797</v>
      </c>
      <c r="L341" s="415" t="s">
        <v>798</v>
      </c>
      <c r="M341" s="415" t="s">
        <v>310</v>
      </c>
      <c r="N341" s="414">
        <v>44663</v>
      </c>
      <c r="O341" s="414" t="s">
        <v>400</v>
      </c>
      <c r="P341" s="603">
        <f t="shared" si="16"/>
        <v>4</v>
      </c>
      <c r="Q341" s="603">
        <f t="shared" si="17"/>
        <v>3</v>
      </c>
      <c r="R341" s="604" t="str">
        <f t="shared" si="18"/>
        <v>Gastos_Gerais</v>
      </c>
      <c r="S341" s="605" t="s">
        <v>310</v>
      </c>
      <c r="T341" s="605" t="s">
        <v>310</v>
      </c>
    </row>
    <row r="342" spans="1:20" s="88" customFormat="1" ht="36" x14ac:dyDescent="0.2">
      <c r="A342" s="510">
        <f>IF(B342="","",COUNT('Diário 1º PA'!$A$4:$A$2635)+ROW()-3)</f>
        <v>2075</v>
      </c>
      <c r="B342" s="414">
        <v>44663</v>
      </c>
      <c r="C342" s="424">
        <v>44621</v>
      </c>
      <c r="D342" s="415" t="s">
        <v>271</v>
      </c>
      <c r="E342" s="415" t="s">
        <v>163</v>
      </c>
      <c r="F342" s="425">
        <v>-76.319999999999993</v>
      </c>
      <c r="G342" s="427" t="s">
        <v>3490</v>
      </c>
      <c r="H342" s="415" t="s">
        <v>309</v>
      </c>
      <c r="I342" s="427" t="s">
        <v>795</v>
      </c>
      <c r="J342" s="415" t="s">
        <v>796</v>
      </c>
      <c r="K342" s="415" t="s">
        <v>797</v>
      </c>
      <c r="L342" s="415" t="s">
        <v>798</v>
      </c>
      <c r="M342" s="415" t="s">
        <v>310</v>
      </c>
      <c r="N342" s="414">
        <v>44663</v>
      </c>
      <c r="O342" s="414" t="s">
        <v>400</v>
      </c>
      <c r="P342" s="603">
        <f t="shared" si="16"/>
        <v>4</v>
      </c>
      <c r="Q342" s="603">
        <f t="shared" si="17"/>
        <v>3</v>
      </c>
      <c r="R342" s="604" t="str">
        <f t="shared" si="18"/>
        <v>Gastos_Gerais</v>
      </c>
      <c r="S342" s="605" t="s">
        <v>310</v>
      </c>
      <c r="T342" s="605" t="s">
        <v>310</v>
      </c>
    </row>
    <row r="343" spans="1:20" s="88" customFormat="1" ht="24" x14ac:dyDescent="0.2">
      <c r="A343" s="510">
        <f>IF(B343="","",COUNT('Diário 1º PA'!$A$4:$A$2635)+ROW()-3)</f>
        <v>2076</v>
      </c>
      <c r="B343" s="414">
        <v>44663</v>
      </c>
      <c r="C343" s="424">
        <v>44621</v>
      </c>
      <c r="D343" s="415" t="s">
        <v>271</v>
      </c>
      <c r="E343" s="415" t="s">
        <v>163</v>
      </c>
      <c r="F343" s="435">
        <v>288.98</v>
      </c>
      <c r="G343" s="437" t="s">
        <v>3492</v>
      </c>
      <c r="H343" s="434" t="s">
        <v>309</v>
      </c>
      <c r="I343" s="437" t="s">
        <v>768</v>
      </c>
      <c r="J343" s="434" t="s">
        <v>1021</v>
      </c>
      <c r="K343" s="434" t="s">
        <v>1404</v>
      </c>
      <c r="L343" s="415" t="s">
        <v>807</v>
      </c>
      <c r="M343" s="434" t="s">
        <v>3493</v>
      </c>
      <c r="N343" s="455">
        <v>44639</v>
      </c>
      <c r="O343" s="414" t="s">
        <v>400</v>
      </c>
      <c r="P343" s="603">
        <f t="shared" si="16"/>
        <v>4</v>
      </c>
      <c r="Q343" s="603">
        <f t="shared" si="17"/>
        <v>3</v>
      </c>
      <c r="R343" s="604" t="str">
        <f t="shared" si="18"/>
        <v>Gastos_Gerais</v>
      </c>
      <c r="S343" s="605" t="s">
        <v>310</v>
      </c>
      <c r="T343" s="605" t="s">
        <v>310</v>
      </c>
    </row>
    <row r="344" spans="1:20" s="88" customFormat="1" ht="131.25" customHeight="1" x14ac:dyDescent="0.2">
      <c r="A344" s="510">
        <f>IF(B344="","",COUNT('Diário 1º PA'!$A$4:$A$2635)+ROW()-3)</f>
        <v>2077</v>
      </c>
      <c r="B344" s="414">
        <v>44663</v>
      </c>
      <c r="C344" s="592">
        <v>44621</v>
      </c>
      <c r="D344" s="415" t="s">
        <v>271</v>
      </c>
      <c r="E344" s="415" t="s">
        <v>139</v>
      </c>
      <c r="F344" s="425">
        <v>942.52</v>
      </c>
      <c r="G344" s="427" t="s">
        <v>1995</v>
      </c>
      <c r="H344" s="434" t="s">
        <v>309</v>
      </c>
      <c r="I344" s="427" t="s">
        <v>3494</v>
      </c>
      <c r="J344" s="415" t="s">
        <v>1994</v>
      </c>
      <c r="K344" s="415" t="s">
        <v>812</v>
      </c>
      <c r="L344" s="415" t="s">
        <v>807</v>
      </c>
      <c r="M344" s="415" t="s">
        <v>3495</v>
      </c>
      <c r="N344" s="414">
        <v>44635</v>
      </c>
      <c r="O344" s="414" t="s">
        <v>400</v>
      </c>
      <c r="P344" s="603">
        <f t="shared" si="16"/>
        <v>4</v>
      </c>
      <c r="Q344" s="603">
        <f t="shared" si="17"/>
        <v>3</v>
      </c>
      <c r="R344" s="604" t="str">
        <f t="shared" si="18"/>
        <v>Gastos_Gerais</v>
      </c>
      <c r="S344" s="605" t="s">
        <v>999</v>
      </c>
      <c r="T344" s="605">
        <v>3125</v>
      </c>
    </row>
    <row r="345" spans="1:20" s="88" customFormat="1" ht="144" customHeight="1" x14ac:dyDescent="0.2">
      <c r="A345" s="510">
        <f>IF(B345="","",COUNT('Diário 1º PA'!$A$4:$A$2635)+ROW()-3)</f>
        <v>2078</v>
      </c>
      <c r="B345" s="414">
        <v>44663</v>
      </c>
      <c r="C345" s="592">
        <v>44470</v>
      </c>
      <c r="D345" s="415" t="s">
        <v>271</v>
      </c>
      <c r="E345" s="415" t="s">
        <v>465</v>
      </c>
      <c r="F345" s="425">
        <v>1409.41</v>
      </c>
      <c r="G345" s="427" t="s">
        <v>567</v>
      </c>
      <c r="H345" s="419" t="s">
        <v>752</v>
      </c>
      <c r="I345" s="427" t="s">
        <v>3496</v>
      </c>
      <c r="J345" s="415" t="s">
        <v>3497</v>
      </c>
      <c r="K345" s="415" t="s">
        <v>830</v>
      </c>
      <c r="L345" s="415" t="s">
        <v>807</v>
      </c>
      <c r="M345" s="415" t="s">
        <v>3498</v>
      </c>
      <c r="N345" s="414">
        <v>44642</v>
      </c>
      <c r="O345" s="414" t="s">
        <v>400</v>
      </c>
      <c r="P345" s="603">
        <f t="shared" si="16"/>
        <v>4</v>
      </c>
      <c r="Q345" s="603">
        <f t="shared" si="17"/>
        <v>-2</v>
      </c>
      <c r="R345" s="604" t="str">
        <f t="shared" si="18"/>
        <v>Gastos_Gerais</v>
      </c>
      <c r="S345" s="605" t="s">
        <v>998</v>
      </c>
      <c r="T345" s="605">
        <v>2179</v>
      </c>
    </row>
    <row r="346" spans="1:20" s="88" customFormat="1" ht="132" x14ac:dyDescent="0.2">
      <c r="A346" s="510">
        <f>IF(B346="","",COUNT('Diário 1º PA'!$A$4:$A$2635)+ROW()-3)</f>
        <v>2079</v>
      </c>
      <c r="B346" s="414">
        <v>44663</v>
      </c>
      <c r="C346" s="592">
        <v>44621</v>
      </c>
      <c r="D346" s="415" t="s">
        <v>271</v>
      </c>
      <c r="E346" s="415" t="s">
        <v>90</v>
      </c>
      <c r="F346" s="425">
        <v>2000</v>
      </c>
      <c r="G346" s="427" t="s">
        <v>656</v>
      </c>
      <c r="H346" s="419" t="s">
        <v>760</v>
      </c>
      <c r="I346" s="427" t="s">
        <v>1656</v>
      </c>
      <c r="J346" s="415" t="s">
        <v>1655</v>
      </c>
      <c r="K346" s="415" t="s">
        <v>830</v>
      </c>
      <c r="L346" s="415" t="s">
        <v>807</v>
      </c>
      <c r="M346" s="415" t="s">
        <v>1786</v>
      </c>
      <c r="N346" s="414">
        <v>44663</v>
      </c>
      <c r="O346" s="414" t="s">
        <v>400</v>
      </c>
      <c r="P346" s="603">
        <f t="shared" si="16"/>
        <v>4</v>
      </c>
      <c r="Q346" s="603">
        <f t="shared" si="17"/>
        <v>3</v>
      </c>
      <c r="R346" s="604" t="str">
        <f t="shared" si="18"/>
        <v>Gastos_Gerais</v>
      </c>
      <c r="S346" s="605" t="s">
        <v>1000</v>
      </c>
      <c r="T346" s="605">
        <v>2711</v>
      </c>
    </row>
    <row r="347" spans="1:20" s="88" customFormat="1" ht="36" x14ac:dyDescent="0.2">
      <c r="A347" s="510">
        <f>IF(B347="","",COUNT('Diário 1º PA'!$A$4:$A$2635)+ROW()-3)</f>
        <v>2080</v>
      </c>
      <c r="B347" s="414">
        <v>44663</v>
      </c>
      <c r="C347" s="592">
        <v>44652</v>
      </c>
      <c r="D347" s="415" t="s">
        <v>271</v>
      </c>
      <c r="E347" s="415" t="s">
        <v>71</v>
      </c>
      <c r="F347" s="425">
        <v>11</v>
      </c>
      <c r="G347" s="427" t="s">
        <v>3499</v>
      </c>
      <c r="H347" s="419" t="s">
        <v>752</v>
      </c>
      <c r="I347" s="639" t="s">
        <v>881</v>
      </c>
      <c r="J347" s="418" t="s">
        <v>882</v>
      </c>
      <c r="K347" s="418" t="s">
        <v>883</v>
      </c>
      <c r="L347" s="399" t="s">
        <v>798</v>
      </c>
      <c r="M347" s="544" t="s">
        <v>310</v>
      </c>
      <c r="N347" s="414">
        <v>44663</v>
      </c>
      <c r="O347" s="414" t="s">
        <v>400</v>
      </c>
      <c r="P347" s="603">
        <f t="shared" si="16"/>
        <v>4</v>
      </c>
      <c r="Q347" s="603">
        <f t="shared" si="17"/>
        <v>4</v>
      </c>
      <c r="R347" s="604" t="str">
        <f t="shared" si="18"/>
        <v>Gastos_Gerais</v>
      </c>
      <c r="S347" s="605" t="s">
        <v>310</v>
      </c>
      <c r="T347" s="605" t="s">
        <v>310</v>
      </c>
    </row>
    <row r="348" spans="1:20" s="88" customFormat="1" ht="48" x14ac:dyDescent="0.2">
      <c r="A348" s="510">
        <f>IF(B348="","",COUNT('Diário 1º PA'!$A$4:$A$2635)+ROW()-3)</f>
        <v>2081</v>
      </c>
      <c r="B348" s="414">
        <v>44663</v>
      </c>
      <c r="C348" s="592">
        <v>44652</v>
      </c>
      <c r="D348" s="415" t="s">
        <v>271</v>
      </c>
      <c r="E348" s="415" t="s">
        <v>71</v>
      </c>
      <c r="F348" s="425">
        <v>11</v>
      </c>
      <c r="G348" s="427" t="s">
        <v>3500</v>
      </c>
      <c r="H348" s="419" t="s">
        <v>760</v>
      </c>
      <c r="I348" s="639" t="s">
        <v>881</v>
      </c>
      <c r="J348" s="418" t="s">
        <v>882</v>
      </c>
      <c r="K348" s="418" t="s">
        <v>883</v>
      </c>
      <c r="L348" s="399" t="s">
        <v>798</v>
      </c>
      <c r="M348" s="544" t="s">
        <v>310</v>
      </c>
      <c r="N348" s="414">
        <v>44663</v>
      </c>
      <c r="O348" s="414" t="s">
        <v>400</v>
      </c>
      <c r="P348" s="603">
        <f t="shared" si="16"/>
        <v>4</v>
      </c>
      <c r="Q348" s="603">
        <f t="shared" si="17"/>
        <v>4</v>
      </c>
      <c r="R348" s="604" t="str">
        <f t="shared" si="18"/>
        <v>Gastos_Gerais</v>
      </c>
      <c r="S348" s="605" t="s">
        <v>310</v>
      </c>
      <c r="T348" s="605" t="s">
        <v>310</v>
      </c>
    </row>
    <row r="349" spans="1:20" s="88" customFormat="1" ht="36" x14ac:dyDescent="0.2">
      <c r="A349" s="510">
        <f>IF(B349="","",COUNT('Diário 1º PA'!$A$4:$A$2635)+ROW()-3)</f>
        <v>2082</v>
      </c>
      <c r="B349" s="414">
        <v>44664</v>
      </c>
      <c r="C349" s="592">
        <v>44621</v>
      </c>
      <c r="D349" s="415" t="s">
        <v>468</v>
      </c>
      <c r="E349" s="415" t="s">
        <v>468</v>
      </c>
      <c r="F349" s="425">
        <v>1500</v>
      </c>
      <c r="G349" s="427" t="s">
        <v>2947</v>
      </c>
      <c r="H349" s="415" t="s">
        <v>468</v>
      </c>
      <c r="I349" s="427" t="s">
        <v>2948</v>
      </c>
      <c r="J349" s="415" t="s">
        <v>2414</v>
      </c>
      <c r="K349" s="415" t="s">
        <v>830</v>
      </c>
      <c r="L349" s="415" t="s">
        <v>807</v>
      </c>
      <c r="M349" s="415">
        <v>58395</v>
      </c>
      <c r="N349" s="414">
        <v>44635</v>
      </c>
      <c r="O349" s="414" t="s">
        <v>408</v>
      </c>
      <c r="P349" s="603">
        <f t="shared" si="16"/>
        <v>4</v>
      </c>
      <c r="Q349" s="603">
        <f t="shared" si="17"/>
        <v>3</v>
      </c>
      <c r="R349" s="604" t="str">
        <f t="shared" si="18"/>
        <v>Gastos_custeados_por_captação</v>
      </c>
      <c r="S349" s="605" t="s">
        <v>1000</v>
      </c>
      <c r="T349" s="605">
        <v>2456</v>
      </c>
    </row>
    <row r="350" spans="1:20" s="88" customFormat="1" ht="102" customHeight="1" x14ac:dyDescent="0.2">
      <c r="A350" s="510">
        <f>IF(B350="","",COUNT('Diário 1º PA'!$A$4:$A$2635)+ROW()-3)</f>
        <v>2083</v>
      </c>
      <c r="B350" s="414">
        <v>44664</v>
      </c>
      <c r="C350" s="424">
        <v>44652</v>
      </c>
      <c r="D350" s="415" t="s">
        <v>468</v>
      </c>
      <c r="E350" s="415" t="s">
        <v>468</v>
      </c>
      <c r="F350" s="425">
        <v>153</v>
      </c>
      <c r="G350" s="427" t="s">
        <v>2469</v>
      </c>
      <c r="H350" s="415" t="s">
        <v>468</v>
      </c>
      <c r="I350" s="639" t="s">
        <v>881</v>
      </c>
      <c r="J350" s="418" t="s">
        <v>882</v>
      </c>
      <c r="K350" s="418" t="s">
        <v>883</v>
      </c>
      <c r="L350" s="399" t="s">
        <v>798</v>
      </c>
      <c r="M350" s="544" t="s">
        <v>310</v>
      </c>
      <c r="N350" s="414">
        <v>44664</v>
      </c>
      <c r="O350" s="414" t="s">
        <v>408</v>
      </c>
      <c r="P350" s="603">
        <f t="shared" si="16"/>
        <v>4</v>
      </c>
      <c r="Q350" s="603">
        <f t="shared" si="17"/>
        <v>4</v>
      </c>
      <c r="R350" s="604" t="str">
        <f t="shared" si="18"/>
        <v>Gastos_custeados_por_captação</v>
      </c>
      <c r="S350" s="605" t="s">
        <v>310</v>
      </c>
      <c r="T350" s="605" t="s">
        <v>310</v>
      </c>
    </row>
    <row r="351" spans="1:20" ht="96" x14ac:dyDescent="0.2">
      <c r="A351" s="510">
        <f>IF(B351="","",COUNT('Diário 1º PA'!$A$4:$A$2635)+ROW()-3)</f>
        <v>2084</v>
      </c>
      <c r="B351" s="414">
        <v>44664</v>
      </c>
      <c r="C351" s="431">
        <v>44621</v>
      </c>
      <c r="D351" s="434" t="s">
        <v>468</v>
      </c>
      <c r="E351" s="434" t="s">
        <v>468</v>
      </c>
      <c r="F351" s="425">
        <v>1500</v>
      </c>
      <c r="G351" s="427" t="s">
        <v>675</v>
      </c>
      <c r="H351" s="415" t="s">
        <v>468</v>
      </c>
      <c r="I351" s="427" t="s">
        <v>4588</v>
      </c>
      <c r="J351" s="415" t="s">
        <v>1015</v>
      </c>
      <c r="K351" s="415" t="s">
        <v>830</v>
      </c>
      <c r="L351" s="415" t="s">
        <v>32</v>
      </c>
      <c r="M351" s="415" t="s">
        <v>1503</v>
      </c>
      <c r="N351" s="414">
        <v>44663</v>
      </c>
      <c r="O351" s="414" t="s">
        <v>402</v>
      </c>
      <c r="P351" s="603">
        <f t="shared" si="16"/>
        <v>4</v>
      </c>
      <c r="Q351" s="603">
        <f t="shared" si="17"/>
        <v>3</v>
      </c>
      <c r="R351" s="604" t="str">
        <f t="shared" si="18"/>
        <v>Gastos_custeados_por_captação</v>
      </c>
      <c r="S351" s="605" t="s">
        <v>1000</v>
      </c>
      <c r="T351" s="605">
        <v>2713</v>
      </c>
    </row>
    <row r="352" spans="1:20" ht="72" x14ac:dyDescent="0.2">
      <c r="A352" s="510">
        <f>IF(B352="","",COUNT('Diário 1º PA'!$A$4:$A$2635)+ROW()-3)</f>
        <v>2085</v>
      </c>
      <c r="B352" s="414">
        <v>44664</v>
      </c>
      <c r="C352" s="431">
        <v>44652</v>
      </c>
      <c r="D352" s="415" t="s">
        <v>468</v>
      </c>
      <c r="E352" s="415" t="s">
        <v>468</v>
      </c>
      <c r="F352" s="425">
        <v>480</v>
      </c>
      <c r="G352" s="427" t="s">
        <v>3313</v>
      </c>
      <c r="H352" s="415" t="s">
        <v>468</v>
      </c>
      <c r="I352" s="427" t="s">
        <v>4589</v>
      </c>
      <c r="J352" s="415" t="s">
        <v>3314</v>
      </c>
      <c r="K352" s="415" t="s">
        <v>830</v>
      </c>
      <c r="L352" s="415" t="s">
        <v>32</v>
      </c>
      <c r="M352" s="415">
        <v>388</v>
      </c>
      <c r="N352" s="414">
        <v>44664</v>
      </c>
      <c r="O352" s="414" t="s">
        <v>407</v>
      </c>
      <c r="P352" s="603">
        <f t="shared" si="16"/>
        <v>4</v>
      </c>
      <c r="Q352" s="603">
        <f t="shared" si="17"/>
        <v>4</v>
      </c>
      <c r="R352" s="604" t="str">
        <f t="shared" si="18"/>
        <v>Gastos_custeados_por_captação</v>
      </c>
      <c r="S352" s="605" t="s">
        <v>999</v>
      </c>
      <c r="T352" s="605">
        <v>3435</v>
      </c>
    </row>
    <row r="353" spans="1:20" ht="72" x14ac:dyDescent="0.2">
      <c r="A353" s="510">
        <f>IF(B353="","",COUNT('Diário 1º PA'!$A$4:$A$2635)+ROW()-3)</f>
        <v>2086</v>
      </c>
      <c r="B353" s="414">
        <v>44664</v>
      </c>
      <c r="C353" s="431">
        <v>44652</v>
      </c>
      <c r="D353" s="415" t="s">
        <v>468</v>
      </c>
      <c r="E353" s="415" t="s">
        <v>468</v>
      </c>
      <c r="F353" s="425">
        <v>355.7</v>
      </c>
      <c r="G353" s="427" t="s">
        <v>3312</v>
      </c>
      <c r="H353" s="415" t="s">
        <v>468</v>
      </c>
      <c r="I353" s="427" t="s">
        <v>4590</v>
      </c>
      <c r="J353" s="415" t="s">
        <v>4591</v>
      </c>
      <c r="K353" s="415" t="s">
        <v>830</v>
      </c>
      <c r="L353" s="415" t="s">
        <v>32</v>
      </c>
      <c r="M353" s="415">
        <v>2203</v>
      </c>
      <c r="N353" s="414">
        <v>44664</v>
      </c>
      <c r="O353" s="414" t="s">
        <v>407</v>
      </c>
      <c r="P353" s="603">
        <f t="shared" si="16"/>
        <v>4</v>
      </c>
      <c r="Q353" s="603">
        <f t="shared" si="17"/>
        <v>4</v>
      </c>
      <c r="R353" s="604" t="str">
        <f t="shared" si="18"/>
        <v>Gastos_custeados_por_captação</v>
      </c>
      <c r="S353" s="605" t="s">
        <v>999</v>
      </c>
      <c r="T353" s="605">
        <v>3434</v>
      </c>
    </row>
    <row r="354" spans="1:20" ht="72" x14ac:dyDescent="0.2">
      <c r="A354" s="510">
        <f>IF(B354="","",COUNT('Diário 1º PA'!$A$4:$A$2635)+ROW()-3)</f>
        <v>2087</v>
      </c>
      <c r="B354" s="414">
        <v>44664</v>
      </c>
      <c r="C354" s="431">
        <v>44652</v>
      </c>
      <c r="D354" s="434" t="s">
        <v>468</v>
      </c>
      <c r="E354" s="434" t="s">
        <v>468</v>
      </c>
      <c r="F354" s="425">
        <v>586.64</v>
      </c>
      <c r="G354" s="427" t="s">
        <v>3279</v>
      </c>
      <c r="H354" s="415" t="s">
        <v>468</v>
      </c>
      <c r="I354" s="427" t="s">
        <v>4402</v>
      </c>
      <c r="J354" s="415" t="s">
        <v>2445</v>
      </c>
      <c r="K354" s="415" t="s">
        <v>830</v>
      </c>
      <c r="L354" s="415" t="s">
        <v>32</v>
      </c>
      <c r="M354" s="415">
        <v>51627</v>
      </c>
      <c r="N354" s="414">
        <v>44663</v>
      </c>
      <c r="O354" s="414" t="s">
        <v>407</v>
      </c>
      <c r="P354" s="603">
        <f t="shared" si="16"/>
        <v>4</v>
      </c>
      <c r="Q354" s="603">
        <f t="shared" si="17"/>
        <v>4</v>
      </c>
      <c r="R354" s="604" t="str">
        <f t="shared" si="18"/>
        <v>Gastos_custeados_por_captação</v>
      </c>
      <c r="S354" s="605" t="s">
        <v>999</v>
      </c>
      <c r="T354" s="605">
        <v>3402</v>
      </c>
    </row>
    <row r="355" spans="1:20" ht="99.95" customHeight="1" x14ac:dyDescent="0.2">
      <c r="A355" s="510">
        <f>IF(B355="","",COUNT('Diário 1º PA'!$A$4:$A$2635)+ROW()-3)</f>
        <v>2088</v>
      </c>
      <c r="B355" s="414">
        <v>44664</v>
      </c>
      <c r="C355" s="431">
        <v>44621</v>
      </c>
      <c r="D355" s="415" t="s">
        <v>468</v>
      </c>
      <c r="E355" s="415" t="s">
        <v>468</v>
      </c>
      <c r="F355" s="425">
        <v>523.5</v>
      </c>
      <c r="G355" s="427" t="s">
        <v>2305</v>
      </c>
      <c r="H355" s="415" t="s">
        <v>468</v>
      </c>
      <c r="I355" s="427" t="s">
        <v>1302</v>
      </c>
      <c r="J355" s="415" t="s">
        <v>1066</v>
      </c>
      <c r="K355" s="415" t="s">
        <v>830</v>
      </c>
      <c r="L355" s="415" t="s">
        <v>32</v>
      </c>
      <c r="M355" s="415">
        <v>67353</v>
      </c>
      <c r="N355" s="414">
        <v>44643</v>
      </c>
      <c r="O355" s="414" t="s">
        <v>407</v>
      </c>
      <c r="P355" s="603">
        <f t="shared" si="16"/>
        <v>4</v>
      </c>
      <c r="Q355" s="603">
        <f t="shared" si="17"/>
        <v>3</v>
      </c>
      <c r="R355" s="604" t="str">
        <f t="shared" si="18"/>
        <v>Gastos_custeados_por_captação</v>
      </c>
      <c r="S355" s="605" t="s">
        <v>999</v>
      </c>
      <c r="T355" s="605">
        <v>3188</v>
      </c>
    </row>
    <row r="356" spans="1:20" ht="99.95" customHeight="1" x14ac:dyDescent="0.2">
      <c r="A356" s="510">
        <f>IF(B356="","",COUNT('Diário 1º PA'!$A$4:$A$2635)+ROW()-3)</f>
        <v>2089</v>
      </c>
      <c r="B356" s="414">
        <v>44664</v>
      </c>
      <c r="C356" s="431">
        <v>44621</v>
      </c>
      <c r="D356" s="415" t="s">
        <v>468</v>
      </c>
      <c r="E356" s="415" t="s">
        <v>468</v>
      </c>
      <c r="F356" s="425">
        <v>800</v>
      </c>
      <c r="G356" s="427" t="s">
        <v>2398</v>
      </c>
      <c r="H356" s="415" t="s">
        <v>468</v>
      </c>
      <c r="I356" s="427" t="s">
        <v>4592</v>
      </c>
      <c r="J356" s="415" t="s">
        <v>1111</v>
      </c>
      <c r="K356" s="415" t="s">
        <v>830</v>
      </c>
      <c r="L356" s="415" t="s">
        <v>32</v>
      </c>
      <c r="M356" s="415" t="s">
        <v>1786</v>
      </c>
      <c r="N356" s="414">
        <v>44663</v>
      </c>
      <c r="O356" s="414" t="s">
        <v>407</v>
      </c>
      <c r="P356" s="603">
        <f t="shared" si="16"/>
        <v>4</v>
      </c>
      <c r="Q356" s="603">
        <f t="shared" si="17"/>
        <v>3</v>
      </c>
      <c r="R356" s="604" t="str">
        <f t="shared" si="18"/>
        <v>Gastos_custeados_por_captação</v>
      </c>
      <c r="S356" s="605" t="s">
        <v>1000</v>
      </c>
      <c r="T356" s="605">
        <v>3087</v>
      </c>
    </row>
    <row r="357" spans="1:20" s="88" customFormat="1" ht="84" x14ac:dyDescent="0.2">
      <c r="A357" s="510">
        <f>IF(B357="","",COUNT('Diário 1º PA'!$A$4:$A$2635)+ROW()-3)</f>
        <v>2090</v>
      </c>
      <c r="B357" s="414">
        <v>44664</v>
      </c>
      <c r="C357" s="592">
        <v>44470</v>
      </c>
      <c r="D357" s="415" t="s">
        <v>468</v>
      </c>
      <c r="E357" s="415" t="s">
        <v>468</v>
      </c>
      <c r="F357" s="425">
        <v>500</v>
      </c>
      <c r="G357" s="427" t="s">
        <v>4593</v>
      </c>
      <c r="H357" s="415" t="s">
        <v>468</v>
      </c>
      <c r="I357" s="427" t="s">
        <v>4594</v>
      </c>
      <c r="J357" s="415" t="s">
        <v>4595</v>
      </c>
      <c r="K357" s="415" t="s">
        <v>830</v>
      </c>
      <c r="L357" s="415" t="s">
        <v>32</v>
      </c>
      <c r="M357" s="415">
        <v>2</v>
      </c>
      <c r="N357" s="414">
        <v>44662</v>
      </c>
      <c r="O357" s="414" t="s">
        <v>407</v>
      </c>
      <c r="P357" s="603">
        <f t="shared" si="16"/>
        <v>4</v>
      </c>
      <c r="Q357" s="603">
        <f t="shared" si="17"/>
        <v>-2</v>
      </c>
      <c r="R357" s="604" t="str">
        <f t="shared" si="18"/>
        <v>Gastos_custeados_por_captação</v>
      </c>
      <c r="S357" s="605" t="s">
        <v>998</v>
      </c>
      <c r="T357" s="605">
        <v>2149</v>
      </c>
    </row>
    <row r="358" spans="1:20" s="88" customFormat="1" ht="48" x14ac:dyDescent="0.2">
      <c r="A358" s="510">
        <f>IF(B358="","",COUNT('Diário 1º PA'!$A$4:$A$2635)+ROW()-3)</f>
        <v>2091</v>
      </c>
      <c r="B358" s="414">
        <v>44664</v>
      </c>
      <c r="C358" s="592">
        <v>44652</v>
      </c>
      <c r="D358" s="415" t="s">
        <v>271</v>
      </c>
      <c r="E358" s="415" t="s">
        <v>297</v>
      </c>
      <c r="F358" s="425">
        <v>457.57</v>
      </c>
      <c r="G358" s="427" t="s">
        <v>3274</v>
      </c>
      <c r="H358" s="419" t="s">
        <v>752</v>
      </c>
      <c r="I358" s="427" t="s">
        <v>3501</v>
      </c>
      <c r="J358" s="415" t="s">
        <v>3275</v>
      </c>
      <c r="K358" s="415" t="s">
        <v>812</v>
      </c>
      <c r="L358" s="415" t="s">
        <v>807</v>
      </c>
      <c r="M358" s="415">
        <v>486269</v>
      </c>
      <c r="N358" s="414">
        <v>44665</v>
      </c>
      <c r="O358" s="414" t="s">
        <v>400</v>
      </c>
      <c r="P358" s="603">
        <f t="shared" si="16"/>
        <v>4</v>
      </c>
      <c r="Q358" s="603">
        <f t="shared" si="17"/>
        <v>4</v>
      </c>
      <c r="R358" s="604" t="str">
        <f t="shared" si="18"/>
        <v>Gastos_Gerais</v>
      </c>
      <c r="S358" s="605" t="s">
        <v>999</v>
      </c>
      <c r="T358" s="605">
        <v>3397</v>
      </c>
    </row>
    <row r="359" spans="1:20" s="88" customFormat="1" ht="99.95" customHeight="1" x14ac:dyDescent="0.2">
      <c r="A359" s="510">
        <f>IF(B359="","",COUNT('Diário 1º PA'!$A$4:$A$2635)+ROW()-3)</f>
        <v>2092</v>
      </c>
      <c r="B359" s="414">
        <v>44664</v>
      </c>
      <c r="C359" s="592">
        <v>44652</v>
      </c>
      <c r="D359" s="415" t="s">
        <v>271</v>
      </c>
      <c r="E359" s="415" t="s">
        <v>297</v>
      </c>
      <c r="F359" s="425">
        <v>1006.13</v>
      </c>
      <c r="G359" s="427" t="s">
        <v>3502</v>
      </c>
      <c r="H359" s="415" t="s">
        <v>758</v>
      </c>
      <c r="I359" s="427" t="s">
        <v>3503</v>
      </c>
      <c r="J359" s="415" t="s">
        <v>3504</v>
      </c>
      <c r="K359" s="415" t="s">
        <v>830</v>
      </c>
      <c r="L359" s="415" t="s">
        <v>807</v>
      </c>
      <c r="M359" s="415">
        <v>39003</v>
      </c>
      <c r="N359" s="414">
        <v>44664</v>
      </c>
      <c r="O359" s="414" t="s">
        <v>400</v>
      </c>
      <c r="P359" s="603">
        <f t="shared" si="16"/>
        <v>4</v>
      </c>
      <c r="Q359" s="603">
        <f t="shared" si="17"/>
        <v>4</v>
      </c>
      <c r="R359" s="604" t="str">
        <f t="shared" si="18"/>
        <v>Gastos_Gerais</v>
      </c>
      <c r="S359" s="605" t="s">
        <v>999</v>
      </c>
      <c r="T359" s="605">
        <v>3359</v>
      </c>
    </row>
    <row r="360" spans="1:20" s="88" customFormat="1" ht="99.95" customHeight="1" x14ac:dyDescent="0.2">
      <c r="A360" s="510">
        <f>IF(B360="","",COUNT('Diário 1º PA'!$A$4:$A$2635)+ROW()-3)</f>
        <v>2093</v>
      </c>
      <c r="B360" s="414">
        <v>44664</v>
      </c>
      <c r="C360" s="592">
        <v>44621</v>
      </c>
      <c r="D360" s="415" t="s">
        <v>271</v>
      </c>
      <c r="E360" s="415" t="s">
        <v>456</v>
      </c>
      <c r="F360" s="425">
        <v>500</v>
      </c>
      <c r="G360" s="427" t="s">
        <v>1923</v>
      </c>
      <c r="H360" s="419" t="s">
        <v>761</v>
      </c>
      <c r="I360" s="427" t="s">
        <v>3505</v>
      </c>
      <c r="J360" s="415" t="s">
        <v>2601</v>
      </c>
      <c r="K360" s="415" t="s">
        <v>830</v>
      </c>
      <c r="L360" s="415" t="s">
        <v>807</v>
      </c>
      <c r="M360" s="415">
        <v>20</v>
      </c>
      <c r="N360" s="414">
        <v>44663</v>
      </c>
      <c r="O360" s="414" t="s">
        <v>400</v>
      </c>
      <c r="P360" s="603">
        <f t="shared" si="16"/>
        <v>4</v>
      </c>
      <c r="Q360" s="603">
        <f t="shared" si="17"/>
        <v>3</v>
      </c>
      <c r="R360" s="604" t="str">
        <f t="shared" si="18"/>
        <v>Gastos_Gerais</v>
      </c>
      <c r="S360" s="605" t="s">
        <v>998</v>
      </c>
      <c r="T360" s="605">
        <v>2959</v>
      </c>
    </row>
    <row r="361" spans="1:20" s="88" customFormat="1" ht="99.95" customHeight="1" x14ac:dyDescent="0.2">
      <c r="A361" s="510">
        <f>IF(B361="","",COUNT('Diário 1º PA'!$A$4:$A$2635)+ROW()-3)</f>
        <v>2094</v>
      </c>
      <c r="B361" s="414">
        <v>44664</v>
      </c>
      <c r="C361" s="592">
        <v>44621</v>
      </c>
      <c r="D361" s="415" t="s">
        <v>271</v>
      </c>
      <c r="E361" s="415" t="s">
        <v>90</v>
      </c>
      <c r="F361" s="425">
        <v>2000</v>
      </c>
      <c r="G361" s="427" t="s">
        <v>656</v>
      </c>
      <c r="H361" s="419" t="s">
        <v>758</v>
      </c>
      <c r="I361" s="427" t="s">
        <v>1609</v>
      </c>
      <c r="J361" s="415" t="s">
        <v>1016</v>
      </c>
      <c r="K361" s="415" t="s">
        <v>830</v>
      </c>
      <c r="L361" s="415" t="s">
        <v>807</v>
      </c>
      <c r="M361" s="415" t="s">
        <v>1786</v>
      </c>
      <c r="N361" s="414">
        <v>44663</v>
      </c>
      <c r="O361" s="414" t="s">
        <v>400</v>
      </c>
      <c r="P361" s="603">
        <f t="shared" si="16"/>
        <v>4</v>
      </c>
      <c r="Q361" s="603">
        <f t="shared" si="17"/>
        <v>3</v>
      </c>
      <c r="R361" s="604" t="str">
        <f t="shared" si="18"/>
        <v>Gastos_Gerais</v>
      </c>
      <c r="S361" s="605" t="s">
        <v>1000</v>
      </c>
      <c r="T361" s="605">
        <v>2712</v>
      </c>
    </row>
    <row r="362" spans="1:20" s="88" customFormat="1" ht="99.95" customHeight="1" x14ac:dyDescent="0.2">
      <c r="A362" s="510">
        <f>IF(B362="","",COUNT('Diário 1º PA'!$A$4:$A$2635)+ROW()-3)</f>
        <v>2095</v>
      </c>
      <c r="B362" s="414">
        <v>44664</v>
      </c>
      <c r="C362" s="592">
        <v>44652</v>
      </c>
      <c r="D362" s="415" t="s">
        <v>271</v>
      </c>
      <c r="E362" s="415" t="s">
        <v>253</v>
      </c>
      <c r="F362" s="425">
        <v>309.68</v>
      </c>
      <c r="G362" s="427" t="s">
        <v>3298</v>
      </c>
      <c r="H362" s="419" t="s">
        <v>790</v>
      </c>
      <c r="I362" s="427" t="s">
        <v>3506</v>
      </c>
      <c r="J362" s="415" t="s">
        <v>1093</v>
      </c>
      <c r="K362" s="415" t="s">
        <v>830</v>
      </c>
      <c r="L362" s="415" t="s">
        <v>807</v>
      </c>
      <c r="M362" s="415" t="s">
        <v>1795</v>
      </c>
      <c r="N362" s="414">
        <v>44663</v>
      </c>
      <c r="O362" s="414" t="s">
        <v>400</v>
      </c>
      <c r="P362" s="603">
        <f t="shared" si="16"/>
        <v>4</v>
      </c>
      <c r="Q362" s="603">
        <f t="shared" si="17"/>
        <v>4</v>
      </c>
      <c r="R362" s="604" t="str">
        <f t="shared" si="18"/>
        <v>Gastos_Gerais</v>
      </c>
      <c r="S362" s="605" t="s">
        <v>998</v>
      </c>
      <c r="T362" s="605">
        <v>3353</v>
      </c>
    </row>
    <row r="363" spans="1:20" s="88" customFormat="1" ht="99.95" customHeight="1" x14ac:dyDescent="0.2">
      <c r="A363" s="510">
        <f>IF(B363="","",COUNT('Diário 1º PA'!$A$4:$A$2635)+ROW()-3)</f>
        <v>2096</v>
      </c>
      <c r="B363" s="414">
        <v>44664</v>
      </c>
      <c r="C363" s="592">
        <v>44621</v>
      </c>
      <c r="D363" s="415" t="s">
        <v>271</v>
      </c>
      <c r="E363" s="415" t="s">
        <v>90</v>
      </c>
      <c r="F363" s="425">
        <v>3920</v>
      </c>
      <c r="G363" s="427" t="s">
        <v>699</v>
      </c>
      <c r="H363" s="419" t="s">
        <v>748</v>
      </c>
      <c r="I363" s="427" t="s">
        <v>865</v>
      </c>
      <c r="J363" s="415" t="s">
        <v>866</v>
      </c>
      <c r="K363" s="415" t="s">
        <v>830</v>
      </c>
      <c r="L363" s="415" t="s">
        <v>807</v>
      </c>
      <c r="M363" s="415" t="s">
        <v>3508</v>
      </c>
      <c r="N363" s="414">
        <v>44663</v>
      </c>
      <c r="O363" s="414" t="s">
        <v>400</v>
      </c>
      <c r="P363" s="603">
        <f t="shared" si="16"/>
        <v>4</v>
      </c>
      <c r="Q363" s="603">
        <f t="shared" si="17"/>
        <v>3</v>
      </c>
      <c r="R363" s="604" t="str">
        <f t="shared" si="18"/>
        <v>Gastos_Gerais</v>
      </c>
      <c r="S363" s="605" t="s">
        <v>1000</v>
      </c>
      <c r="T363" s="605">
        <v>2710</v>
      </c>
    </row>
    <row r="364" spans="1:20" s="88" customFormat="1" ht="99.95" customHeight="1" x14ac:dyDescent="0.2">
      <c r="A364" s="510">
        <f>IF(B364="","",COUNT('Diário 1º PA'!$A$4:$A$2635)+ROW()-3)</f>
        <v>2097</v>
      </c>
      <c r="B364" s="414">
        <v>44664</v>
      </c>
      <c r="C364" s="592">
        <v>44621</v>
      </c>
      <c r="D364" s="415" t="s">
        <v>271</v>
      </c>
      <c r="E364" s="415" t="s">
        <v>453</v>
      </c>
      <c r="F364" s="425">
        <v>1597.55</v>
      </c>
      <c r="G364" s="427" t="s">
        <v>1972</v>
      </c>
      <c r="H364" s="419" t="s">
        <v>757</v>
      </c>
      <c r="I364" s="427" t="s">
        <v>3510</v>
      </c>
      <c r="J364" s="415" t="s">
        <v>1830</v>
      </c>
      <c r="K364" s="415" t="s">
        <v>830</v>
      </c>
      <c r="L364" s="415" t="s">
        <v>839</v>
      </c>
      <c r="M364" s="415">
        <v>1694</v>
      </c>
      <c r="N364" s="414">
        <v>44664</v>
      </c>
      <c r="O364" s="414" t="s">
        <v>400</v>
      </c>
      <c r="P364" s="603">
        <f t="shared" si="16"/>
        <v>4</v>
      </c>
      <c r="Q364" s="603">
        <f t="shared" si="17"/>
        <v>3</v>
      </c>
      <c r="R364" s="604" t="str">
        <f t="shared" si="18"/>
        <v>Gastos_Gerais</v>
      </c>
      <c r="S364" s="605" t="s">
        <v>998</v>
      </c>
      <c r="T364" s="605">
        <v>3048</v>
      </c>
    </row>
    <row r="365" spans="1:20" s="88" customFormat="1" ht="99.95" customHeight="1" x14ac:dyDescent="0.2">
      <c r="A365" s="510">
        <f>IF(B365="","",COUNT('Diário 1º PA'!$A$4:$A$2635)+ROW()-3)</f>
        <v>2098</v>
      </c>
      <c r="B365" s="414">
        <v>44664</v>
      </c>
      <c r="C365" s="592">
        <v>44652</v>
      </c>
      <c r="D365" s="415" t="s">
        <v>271</v>
      </c>
      <c r="E365" s="415" t="s">
        <v>71</v>
      </c>
      <c r="F365" s="425">
        <v>11</v>
      </c>
      <c r="G365" s="427" t="s">
        <v>3512</v>
      </c>
      <c r="H365" s="415" t="s">
        <v>758</v>
      </c>
      <c r="I365" s="639" t="s">
        <v>881</v>
      </c>
      <c r="J365" s="418" t="s">
        <v>882</v>
      </c>
      <c r="K365" s="418" t="s">
        <v>883</v>
      </c>
      <c r="L365" s="399" t="s">
        <v>798</v>
      </c>
      <c r="M365" s="544" t="s">
        <v>310</v>
      </c>
      <c r="N365" s="414">
        <v>44664</v>
      </c>
      <c r="O365" s="414" t="s">
        <v>400</v>
      </c>
      <c r="P365" s="603">
        <f t="shared" si="16"/>
        <v>4</v>
      </c>
      <c r="Q365" s="603">
        <f t="shared" si="17"/>
        <v>4</v>
      </c>
      <c r="R365" s="604" t="str">
        <f t="shared" si="18"/>
        <v>Gastos_Gerais</v>
      </c>
      <c r="S365" s="605" t="s">
        <v>310</v>
      </c>
      <c r="T365" s="605" t="s">
        <v>310</v>
      </c>
    </row>
    <row r="366" spans="1:20" s="88" customFormat="1" ht="99.95" customHeight="1" x14ac:dyDescent="0.2">
      <c r="A366" s="510">
        <f>IF(B366="","",COUNT('Diário 1º PA'!$A$4:$A$2635)+ROW()-3)</f>
        <v>2099</v>
      </c>
      <c r="B366" s="414">
        <v>44664</v>
      </c>
      <c r="C366" s="592">
        <v>44652</v>
      </c>
      <c r="D366" s="415" t="s">
        <v>271</v>
      </c>
      <c r="E366" s="415" t="s">
        <v>71</v>
      </c>
      <c r="F366" s="425">
        <v>11</v>
      </c>
      <c r="G366" s="427" t="s">
        <v>3513</v>
      </c>
      <c r="H366" s="419" t="s">
        <v>761</v>
      </c>
      <c r="I366" s="639" t="s">
        <v>881</v>
      </c>
      <c r="J366" s="418" t="s">
        <v>882</v>
      </c>
      <c r="K366" s="418" t="s">
        <v>883</v>
      </c>
      <c r="L366" s="399" t="s">
        <v>798</v>
      </c>
      <c r="M366" s="544" t="s">
        <v>310</v>
      </c>
      <c r="N366" s="414">
        <v>44664</v>
      </c>
      <c r="O366" s="414" t="s">
        <v>400</v>
      </c>
      <c r="P366" s="603">
        <f t="shared" si="16"/>
        <v>4</v>
      </c>
      <c r="Q366" s="603">
        <f t="shared" si="17"/>
        <v>4</v>
      </c>
      <c r="R366" s="604" t="str">
        <f t="shared" si="18"/>
        <v>Gastos_Gerais</v>
      </c>
      <c r="S366" s="605" t="s">
        <v>310</v>
      </c>
      <c r="T366" s="605" t="s">
        <v>310</v>
      </c>
    </row>
    <row r="367" spans="1:20" s="88" customFormat="1" ht="99.95" customHeight="1" x14ac:dyDescent="0.2">
      <c r="A367" s="510">
        <f>IF(B367="","",COUNT('Diário 1º PA'!$A$4:$A$2635)+ROW()-3)</f>
        <v>2100</v>
      </c>
      <c r="B367" s="414">
        <v>44664</v>
      </c>
      <c r="C367" s="592">
        <v>44652</v>
      </c>
      <c r="D367" s="415" t="s">
        <v>271</v>
      </c>
      <c r="E367" s="415" t="s">
        <v>71</v>
      </c>
      <c r="F367" s="425">
        <v>11</v>
      </c>
      <c r="G367" s="427" t="s">
        <v>3514</v>
      </c>
      <c r="H367" s="419" t="s">
        <v>758</v>
      </c>
      <c r="I367" s="639" t="s">
        <v>881</v>
      </c>
      <c r="J367" s="418" t="s">
        <v>882</v>
      </c>
      <c r="K367" s="418" t="s">
        <v>883</v>
      </c>
      <c r="L367" s="399" t="s">
        <v>798</v>
      </c>
      <c r="M367" s="544" t="s">
        <v>310</v>
      </c>
      <c r="N367" s="414">
        <v>44664</v>
      </c>
      <c r="O367" s="414" t="s">
        <v>400</v>
      </c>
      <c r="P367" s="603">
        <f t="shared" si="16"/>
        <v>4</v>
      </c>
      <c r="Q367" s="603">
        <f t="shared" si="17"/>
        <v>4</v>
      </c>
      <c r="R367" s="604" t="str">
        <f t="shared" si="18"/>
        <v>Gastos_Gerais</v>
      </c>
      <c r="S367" s="605" t="s">
        <v>310</v>
      </c>
      <c r="T367" s="605" t="s">
        <v>310</v>
      </c>
    </row>
    <row r="368" spans="1:20" s="88" customFormat="1" ht="99.95" customHeight="1" x14ac:dyDescent="0.2">
      <c r="A368" s="510">
        <f>IF(B368="","",COUNT('Diário 1º PA'!$A$4:$A$2635)+ROW()-3)</f>
        <v>2101</v>
      </c>
      <c r="B368" s="414">
        <v>44664</v>
      </c>
      <c r="C368" s="592">
        <v>44652</v>
      </c>
      <c r="D368" s="415" t="s">
        <v>271</v>
      </c>
      <c r="E368" s="415" t="s">
        <v>71</v>
      </c>
      <c r="F368" s="425">
        <v>11</v>
      </c>
      <c r="G368" s="427" t="s">
        <v>3515</v>
      </c>
      <c r="H368" s="419" t="s">
        <v>790</v>
      </c>
      <c r="I368" s="639" t="s">
        <v>881</v>
      </c>
      <c r="J368" s="418" t="s">
        <v>882</v>
      </c>
      <c r="K368" s="418" t="s">
        <v>883</v>
      </c>
      <c r="L368" s="399" t="s">
        <v>798</v>
      </c>
      <c r="M368" s="544" t="s">
        <v>310</v>
      </c>
      <c r="N368" s="414">
        <v>44664</v>
      </c>
      <c r="O368" s="414" t="s">
        <v>400</v>
      </c>
      <c r="P368" s="603">
        <f t="shared" si="16"/>
        <v>4</v>
      </c>
      <c r="Q368" s="603">
        <f t="shared" si="17"/>
        <v>4</v>
      </c>
      <c r="R368" s="604" t="str">
        <f t="shared" si="18"/>
        <v>Gastos_Gerais</v>
      </c>
      <c r="S368" s="605" t="s">
        <v>310</v>
      </c>
      <c r="T368" s="605" t="s">
        <v>310</v>
      </c>
    </row>
    <row r="369" spans="1:20" s="88" customFormat="1" ht="99.95" customHeight="1" x14ac:dyDescent="0.2">
      <c r="A369" s="510">
        <f>IF(B369="","",COUNT('Diário 1º PA'!$A$4:$A$2635)+ROW()-3)</f>
        <v>2102</v>
      </c>
      <c r="B369" s="414">
        <v>44664</v>
      </c>
      <c r="C369" s="592">
        <v>44652</v>
      </c>
      <c r="D369" s="415" t="s">
        <v>271</v>
      </c>
      <c r="E369" s="415" t="s">
        <v>71</v>
      </c>
      <c r="F369" s="425">
        <v>11</v>
      </c>
      <c r="G369" s="427" t="s">
        <v>3516</v>
      </c>
      <c r="H369" s="419" t="s">
        <v>748</v>
      </c>
      <c r="I369" s="639" t="s">
        <v>881</v>
      </c>
      <c r="J369" s="418" t="s">
        <v>882</v>
      </c>
      <c r="K369" s="418" t="s">
        <v>883</v>
      </c>
      <c r="L369" s="399" t="s">
        <v>798</v>
      </c>
      <c r="M369" s="544" t="s">
        <v>310</v>
      </c>
      <c r="N369" s="414">
        <v>44664</v>
      </c>
      <c r="O369" s="414" t="s">
        <v>400</v>
      </c>
      <c r="P369" s="603">
        <f t="shared" si="16"/>
        <v>4</v>
      </c>
      <c r="Q369" s="603">
        <f t="shared" si="17"/>
        <v>4</v>
      </c>
      <c r="R369" s="604" t="str">
        <f t="shared" si="18"/>
        <v>Gastos_Gerais</v>
      </c>
      <c r="S369" s="605" t="s">
        <v>310</v>
      </c>
      <c r="T369" s="605" t="s">
        <v>310</v>
      </c>
    </row>
    <row r="370" spans="1:20" s="88" customFormat="1" ht="48" x14ac:dyDescent="0.2">
      <c r="A370" s="510">
        <f>IF(B370="","",COUNT('Diário 1º PA'!$A$4:$A$2635)+ROW()-3)</f>
        <v>2103</v>
      </c>
      <c r="B370" s="414">
        <v>44664</v>
      </c>
      <c r="C370" s="592">
        <v>44652</v>
      </c>
      <c r="D370" s="415" t="s">
        <v>271</v>
      </c>
      <c r="E370" s="415" t="s">
        <v>71</v>
      </c>
      <c r="F370" s="425">
        <v>11</v>
      </c>
      <c r="G370" s="427" t="s">
        <v>3517</v>
      </c>
      <c r="H370" s="419" t="s">
        <v>757</v>
      </c>
      <c r="I370" s="639" t="s">
        <v>881</v>
      </c>
      <c r="J370" s="418" t="s">
        <v>882</v>
      </c>
      <c r="K370" s="418" t="s">
        <v>883</v>
      </c>
      <c r="L370" s="399" t="s">
        <v>798</v>
      </c>
      <c r="M370" s="544" t="s">
        <v>310</v>
      </c>
      <c r="N370" s="414">
        <v>44664</v>
      </c>
      <c r="O370" s="414" t="s">
        <v>400</v>
      </c>
      <c r="P370" s="603">
        <f t="shared" ref="P370:P377" si="19">IF(B370=0,0,IF(YEAR(B370)=$Q$1,MONTH(B370)-$P$1+1,(YEAR(B370)-$Q$1)*12-$P$1+1+MONTH(B370)))</f>
        <v>4</v>
      </c>
      <c r="Q370" s="603">
        <f t="shared" ref="Q370:Q377" si="20">IF(C370=0,0,IF(YEAR(C370)=$Q$1,MONTH(C370)-$P$1+1,(YEAR(C370)-$Q$1)*12-$P$1+1+MONTH(C370)))</f>
        <v>4</v>
      </c>
      <c r="R370" s="604" t="str">
        <f t="shared" ref="R370:R377" si="21">SUBSTITUTE(D370," ","_")</f>
        <v>Gastos_Gerais</v>
      </c>
      <c r="S370" s="605" t="s">
        <v>310</v>
      </c>
      <c r="T370" s="605" t="s">
        <v>310</v>
      </c>
    </row>
    <row r="371" spans="1:20" s="88" customFormat="1" ht="36" x14ac:dyDescent="0.2">
      <c r="A371" s="510">
        <f>IF(B371="","",COUNT('Diário 1º PA'!$A$4:$A$2635)+ROW()-3)</f>
        <v>2104</v>
      </c>
      <c r="B371" s="414">
        <v>44665</v>
      </c>
      <c r="C371" s="592">
        <v>44621</v>
      </c>
      <c r="D371" s="415" t="s">
        <v>271</v>
      </c>
      <c r="E371" s="415" t="s">
        <v>447</v>
      </c>
      <c r="F371" s="425">
        <v>2000</v>
      </c>
      <c r="G371" s="427" t="s">
        <v>2280</v>
      </c>
      <c r="H371" s="419" t="s">
        <v>758</v>
      </c>
      <c r="I371" s="639" t="s">
        <v>3557</v>
      </c>
      <c r="J371" s="418" t="s">
        <v>2281</v>
      </c>
      <c r="K371" s="418" t="s">
        <v>830</v>
      </c>
      <c r="L371" s="399" t="s">
        <v>807</v>
      </c>
      <c r="M371" s="415" t="s">
        <v>1540</v>
      </c>
      <c r="N371" s="414">
        <v>44665</v>
      </c>
      <c r="O371" s="414" t="s">
        <v>400</v>
      </c>
      <c r="P371" s="603">
        <f t="shared" si="19"/>
        <v>4</v>
      </c>
      <c r="Q371" s="603">
        <f t="shared" si="20"/>
        <v>3</v>
      </c>
      <c r="R371" s="604" t="str">
        <f t="shared" si="21"/>
        <v>Gastos_Gerais</v>
      </c>
      <c r="S371" s="605" t="s">
        <v>1000</v>
      </c>
      <c r="T371" s="605">
        <v>3143</v>
      </c>
    </row>
    <row r="372" spans="1:20" s="88" customFormat="1" ht="24" x14ac:dyDescent="0.2">
      <c r="A372" s="510">
        <f>IF(B372="","",COUNT('Diário 1º PA'!$A$4:$A$2635)+ROW()-3)</f>
        <v>2105</v>
      </c>
      <c r="B372" s="414">
        <v>44665</v>
      </c>
      <c r="C372" s="592">
        <v>44652</v>
      </c>
      <c r="D372" s="415" t="s">
        <v>182</v>
      </c>
      <c r="E372" s="415" t="s">
        <v>161</v>
      </c>
      <c r="F372" s="425">
        <v>554.82000000000005</v>
      </c>
      <c r="G372" s="427" t="s">
        <v>1495</v>
      </c>
      <c r="H372" s="415" t="s">
        <v>310</v>
      </c>
      <c r="I372" s="427" t="s">
        <v>1496</v>
      </c>
      <c r="J372" s="548" t="s">
        <v>1497</v>
      </c>
      <c r="K372" s="415" t="s">
        <v>812</v>
      </c>
      <c r="L372" s="415" t="s">
        <v>807</v>
      </c>
      <c r="M372" s="415" t="s">
        <v>3696</v>
      </c>
      <c r="N372" s="414">
        <v>44669</v>
      </c>
      <c r="O372" s="414" t="s">
        <v>400</v>
      </c>
      <c r="P372" s="603">
        <f t="shared" si="19"/>
        <v>4</v>
      </c>
      <c r="Q372" s="603">
        <f t="shared" si="20"/>
        <v>4</v>
      </c>
      <c r="R372" s="604" t="str">
        <f t="shared" si="21"/>
        <v>Gastos_com_Pessoal</v>
      </c>
      <c r="S372" s="605" t="s">
        <v>310</v>
      </c>
      <c r="T372" s="605" t="s">
        <v>310</v>
      </c>
    </row>
    <row r="373" spans="1:20" s="88" customFormat="1" ht="24" x14ac:dyDescent="0.2">
      <c r="A373" s="510">
        <f>IF(B373="","",COUNT('Diário 1º PA'!$A$4:$A$2635)+ROW()-3)</f>
        <v>2106</v>
      </c>
      <c r="B373" s="414">
        <v>44665</v>
      </c>
      <c r="C373" s="592">
        <v>44652</v>
      </c>
      <c r="D373" s="415" t="s">
        <v>182</v>
      </c>
      <c r="E373" s="415" t="s">
        <v>161</v>
      </c>
      <c r="F373" s="425">
        <v>79.25</v>
      </c>
      <c r="G373" s="427" t="s">
        <v>1495</v>
      </c>
      <c r="H373" s="415" t="s">
        <v>310</v>
      </c>
      <c r="I373" s="427" t="s">
        <v>2008</v>
      </c>
      <c r="J373" s="548" t="s">
        <v>2009</v>
      </c>
      <c r="K373" s="415" t="s">
        <v>812</v>
      </c>
      <c r="L373" s="415" t="s">
        <v>807</v>
      </c>
      <c r="M373" s="415" t="s">
        <v>3698</v>
      </c>
      <c r="N373" s="414">
        <v>44669</v>
      </c>
      <c r="O373" s="414" t="s">
        <v>400</v>
      </c>
      <c r="P373" s="603">
        <f t="shared" si="19"/>
        <v>4</v>
      </c>
      <c r="Q373" s="603">
        <f t="shared" si="20"/>
        <v>4</v>
      </c>
      <c r="R373" s="604" t="str">
        <f t="shared" si="21"/>
        <v>Gastos_com_Pessoal</v>
      </c>
      <c r="S373" s="605" t="s">
        <v>310</v>
      </c>
      <c r="T373" s="605" t="s">
        <v>310</v>
      </c>
    </row>
    <row r="374" spans="1:20" s="88" customFormat="1" ht="120.75" customHeight="1" x14ac:dyDescent="0.2">
      <c r="A374" s="510">
        <f>IF(B374="","",COUNT('Diário 1º PA'!$A$4:$A$2635)+ROW()-3)</f>
        <v>2107</v>
      </c>
      <c r="B374" s="414">
        <v>44665</v>
      </c>
      <c r="C374" s="592">
        <v>44562</v>
      </c>
      <c r="D374" s="415" t="s">
        <v>271</v>
      </c>
      <c r="E374" s="415" t="s">
        <v>297</v>
      </c>
      <c r="F374" s="425">
        <v>3500</v>
      </c>
      <c r="G374" s="427" t="s">
        <v>726</v>
      </c>
      <c r="H374" s="419" t="s">
        <v>752</v>
      </c>
      <c r="I374" s="427" t="s">
        <v>3558</v>
      </c>
      <c r="J374" s="418" t="s">
        <v>1052</v>
      </c>
      <c r="K374" s="418" t="s">
        <v>830</v>
      </c>
      <c r="L374" s="399" t="s">
        <v>807</v>
      </c>
      <c r="M374" s="415">
        <v>144</v>
      </c>
      <c r="N374" s="414">
        <v>44665</v>
      </c>
      <c r="O374" s="414" t="s">
        <v>400</v>
      </c>
      <c r="P374" s="603">
        <f t="shared" si="19"/>
        <v>4</v>
      </c>
      <c r="Q374" s="603">
        <f t="shared" si="20"/>
        <v>1</v>
      </c>
      <c r="R374" s="607" t="str">
        <f t="shared" si="21"/>
        <v>Gastos_Gerais</v>
      </c>
      <c r="S374" s="605" t="s">
        <v>998</v>
      </c>
      <c r="T374" s="605">
        <v>2796</v>
      </c>
    </row>
    <row r="375" spans="1:20" s="88" customFormat="1" ht="120" x14ac:dyDescent="0.2">
      <c r="A375" s="510">
        <f>IF(B375="","",COUNT('Diário 1º PA'!$A$4:$A$2635)+ROW()-3)</f>
        <v>2108</v>
      </c>
      <c r="B375" s="414">
        <v>44665</v>
      </c>
      <c r="C375" s="424">
        <v>44593</v>
      </c>
      <c r="D375" s="415" t="s">
        <v>271</v>
      </c>
      <c r="E375" s="415" t="s">
        <v>456</v>
      </c>
      <c r="F375" s="425">
        <v>8623.7999999999993</v>
      </c>
      <c r="G375" s="427" t="s">
        <v>1906</v>
      </c>
      <c r="H375" s="415" t="s">
        <v>790</v>
      </c>
      <c r="I375" s="427" t="s">
        <v>2658</v>
      </c>
      <c r="J375" s="415" t="s">
        <v>1720</v>
      </c>
      <c r="K375" s="415" t="s">
        <v>812</v>
      </c>
      <c r="L375" s="415" t="s">
        <v>807</v>
      </c>
      <c r="M375" s="415" t="s">
        <v>3560</v>
      </c>
      <c r="N375" s="414">
        <v>44665</v>
      </c>
      <c r="O375" s="414" t="s">
        <v>400</v>
      </c>
      <c r="P375" s="603">
        <f t="shared" si="19"/>
        <v>4</v>
      </c>
      <c r="Q375" s="603">
        <f t="shared" si="20"/>
        <v>2</v>
      </c>
      <c r="R375" s="604" t="str">
        <f t="shared" si="21"/>
        <v>Gastos_Gerais</v>
      </c>
      <c r="S375" s="605" t="s">
        <v>1000</v>
      </c>
      <c r="T375" s="605">
        <v>2952</v>
      </c>
    </row>
    <row r="376" spans="1:20" s="88" customFormat="1" ht="36" x14ac:dyDescent="0.2">
      <c r="A376" s="510">
        <f>IF(B376="","",COUNT('Diário 1º PA'!$A$4:$A$2635)+ROW()-3)</f>
        <v>2109</v>
      </c>
      <c r="B376" s="414">
        <v>44665</v>
      </c>
      <c r="C376" s="592">
        <v>44652</v>
      </c>
      <c r="D376" s="415" t="s">
        <v>271</v>
      </c>
      <c r="E376" s="415" t="s">
        <v>71</v>
      </c>
      <c r="F376" s="425">
        <v>11</v>
      </c>
      <c r="G376" s="427" t="s">
        <v>3561</v>
      </c>
      <c r="H376" s="419" t="s">
        <v>758</v>
      </c>
      <c r="I376" s="639" t="s">
        <v>881</v>
      </c>
      <c r="J376" s="418" t="s">
        <v>882</v>
      </c>
      <c r="K376" s="418" t="s">
        <v>883</v>
      </c>
      <c r="L376" s="399" t="s">
        <v>798</v>
      </c>
      <c r="M376" s="544" t="s">
        <v>310</v>
      </c>
      <c r="N376" s="414">
        <v>44665</v>
      </c>
      <c r="O376" s="414" t="s">
        <v>400</v>
      </c>
      <c r="P376" s="603">
        <f t="shared" si="19"/>
        <v>4</v>
      </c>
      <c r="Q376" s="603">
        <f t="shared" si="20"/>
        <v>4</v>
      </c>
      <c r="R376" s="604" t="str">
        <f t="shared" si="21"/>
        <v>Gastos_Gerais</v>
      </c>
      <c r="S376" s="605" t="s">
        <v>310</v>
      </c>
      <c r="T376" s="605" t="s">
        <v>310</v>
      </c>
    </row>
    <row r="377" spans="1:20" s="88" customFormat="1" ht="36" x14ac:dyDescent="0.2">
      <c r="A377" s="510">
        <f>IF(B377="","",COUNT('Diário 1º PA'!$A$4:$A$2635)+ROW()-3)</f>
        <v>2110</v>
      </c>
      <c r="B377" s="414">
        <v>44665</v>
      </c>
      <c r="C377" s="592">
        <v>44652</v>
      </c>
      <c r="D377" s="415" t="s">
        <v>271</v>
      </c>
      <c r="E377" s="415" t="s">
        <v>71</v>
      </c>
      <c r="F377" s="425">
        <v>11</v>
      </c>
      <c r="G377" s="427" t="s">
        <v>3562</v>
      </c>
      <c r="H377" s="419" t="s">
        <v>752</v>
      </c>
      <c r="I377" s="639" t="s">
        <v>881</v>
      </c>
      <c r="J377" s="418" t="s">
        <v>882</v>
      </c>
      <c r="K377" s="418" t="s">
        <v>883</v>
      </c>
      <c r="L377" s="399" t="s">
        <v>798</v>
      </c>
      <c r="M377" s="544" t="s">
        <v>310</v>
      </c>
      <c r="N377" s="414">
        <v>44665</v>
      </c>
      <c r="O377" s="414" t="s">
        <v>400</v>
      </c>
      <c r="P377" s="603">
        <f t="shared" si="19"/>
        <v>4</v>
      </c>
      <c r="Q377" s="603">
        <f t="shared" si="20"/>
        <v>4</v>
      </c>
      <c r="R377" s="604" t="str">
        <f t="shared" si="21"/>
        <v>Gastos_Gerais</v>
      </c>
      <c r="S377" s="605" t="s">
        <v>310</v>
      </c>
      <c r="T377" s="605" t="s">
        <v>310</v>
      </c>
    </row>
    <row r="378" spans="1:20" s="88" customFormat="1" ht="74.25" customHeight="1" x14ac:dyDescent="0.2">
      <c r="A378" s="510">
        <f>IF(B378="","",COUNT('Diário 1º PA'!$A$4:$A$2635)+ROW()-3)</f>
        <v>2111</v>
      </c>
      <c r="B378" s="414">
        <v>44665</v>
      </c>
      <c r="C378" s="592">
        <v>44652</v>
      </c>
      <c r="D378" s="415" t="s">
        <v>271</v>
      </c>
      <c r="E378" s="415" t="s">
        <v>71</v>
      </c>
      <c r="F378" s="425">
        <v>11</v>
      </c>
      <c r="G378" s="427" t="s">
        <v>3563</v>
      </c>
      <c r="H378" s="415" t="s">
        <v>790</v>
      </c>
      <c r="I378" s="639" t="s">
        <v>881</v>
      </c>
      <c r="J378" s="418" t="s">
        <v>882</v>
      </c>
      <c r="K378" s="418" t="s">
        <v>883</v>
      </c>
      <c r="L378" s="399" t="s">
        <v>798</v>
      </c>
      <c r="M378" s="544" t="s">
        <v>310</v>
      </c>
      <c r="N378" s="414">
        <v>44665</v>
      </c>
      <c r="O378" s="414" t="s">
        <v>400</v>
      </c>
      <c r="P378" s="603">
        <f t="shared" si="16"/>
        <v>4</v>
      </c>
      <c r="Q378" s="603">
        <f t="shared" si="17"/>
        <v>4</v>
      </c>
      <c r="R378" s="604" t="str">
        <f t="shared" si="18"/>
        <v>Gastos_Gerais</v>
      </c>
      <c r="S378" s="605" t="s">
        <v>310</v>
      </c>
      <c r="T378" s="605" t="s">
        <v>310</v>
      </c>
    </row>
    <row r="379" spans="1:20" s="88" customFormat="1" ht="48" x14ac:dyDescent="0.2">
      <c r="A379" s="510">
        <f>IF(B379="","",COUNT('Diário 1º PA'!$A$4:$A$2635)+ROW()-3)</f>
        <v>2112</v>
      </c>
      <c r="B379" s="414">
        <v>44665</v>
      </c>
      <c r="C379" s="431">
        <v>44621</v>
      </c>
      <c r="D379" s="415" t="s">
        <v>468</v>
      </c>
      <c r="E379" s="415" t="s">
        <v>468</v>
      </c>
      <c r="F379" s="425">
        <v>3500</v>
      </c>
      <c r="G379" s="427" t="s">
        <v>1974</v>
      </c>
      <c r="H379" s="415" t="s">
        <v>468</v>
      </c>
      <c r="I379" s="427" t="s">
        <v>4122</v>
      </c>
      <c r="J379" s="415" t="s">
        <v>1975</v>
      </c>
      <c r="K379" s="415" t="s">
        <v>830</v>
      </c>
      <c r="L379" s="415" t="s">
        <v>807</v>
      </c>
      <c r="M379" s="415" t="s">
        <v>848</v>
      </c>
      <c r="N379" s="414">
        <v>44665</v>
      </c>
      <c r="O379" s="414" t="s">
        <v>408</v>
      </c>
      <c r="P379" s="603">
        <f t="shared" si="16"/>
        <v>4</v>
      </c>
      <c r="Q379" s="603">
        <f t="shared" si="17"/>
        <v>3</v>
      </c>
      <c r="R379" s="604" t="str">
        <f t="shared" si="18"/>
        <v>Gastos_custeados_por_captação</v>
      </c>
      <c r="S379" s="605" t="s">
        <v>1000</v>
      </c>
      <c r="T379" s="605">
        <v>3047</v>
      </c>
    </row>
    <row r="380" spans="1:20" ht="36" x14ac:dyDescent="0.2">
      <c r="A380" s="510">
        <f>IF(B380="","",COUNT('Diário 1º PA'!$A$4:$A$2635)+ROW()-3)</f>
        <v>2113</v>
      </c>
      <c r="B380" s="414">
        <v>44665</v>
      </c>
      <c r="C380" s="424">
        <v>44652</v>
      </c>
      <c r="D380" s="415" t="s">
        <v>468</v>
      </c>
      <c r="E380" s="415" t="s">
        <v>468</v>
      </c>
      <c r="F380" s="425">
        <v>11</v>
      </c>
      <c r="G380" s="427" t="s">
        <v>2469</v>
      </c>
      <c r="H380" s="415" t="s">
        <v>468</v>
      </c>
      <c r="I380" s="639" t="s">
        <v>881</v>
      </c>
      <c r="J380" s="418" t="s">
        <v>882</v>
      </c>
      <c r="K380" s="418" t="s">
        <v>883</v>
      </c>
      <c r="L380" s="399" t="s">
        <v>798</v>
      </c>
      <c r="M380" s="544" t="s">
        <v>310</v>
      </c>
      <c r="N380" s="414">
        <v>44665</v>
      </c>
      <c r="O380" s="414" t="s">
        <v>408</v>
      </c>
      <c r="P380" s="603">
        <f t="shared" si="16"/>
        <v>4</v>
      </c>
      <c r="Q380" s="603">
        <f t="shared" si="17"/>
        <v>4</v>
      </c>
      <c r="R380" s="604" t="str">
        <f t="shared" si="18"/>
        <v>Gastos_custeados_por_captação</v>
      </c>
      <c r="S380" s="605" t="s">
        <v>310</v>
      </c>
      <c r="T380" s="605" t="s">
        <v>310</v>
      </c>
    </row>
    <row r="381" spans="1:20" ht="72" x14ac:dyDescent="0.2">
      <c r="A381" s="510">
        <f>IF(B381="","",COUNT('Diário 1º PA'!$A$4:$A$2635)+ROW()-3)</f>
        <v>2114</v>
      </c>
      <c r="B381" s="414">
        <v>44665</v>
      </c>
      <c r="C381" s="431">
        <v>44652</v>
      </c>
      <c r="D381" s="434" t="s">
        <v>468</v>
      </c>
      <c r="E381" s="434" t="s">
        <v>468</v>
      </c>
      <c r="F381" s="425">
        <v>2542</v>
      </c>
      <c r="G381" s="427" t="s">
        <v>3292</v>
      </c>
      <c r="H381" s="415" t="s">
        <v>468</v>
      </c>
      <c r="I381" s="427" t="s">
        <v>4677</v>
      </c>
      <c r="J381" s="545" t="s">
        <v>3293</v>
      </c>
      <c r="K381" s="415" t="s">
        <v>830</v>
      </c>
      <c r="L381" s="415" t="s">
        <v>807</v>
      </c>
      <c r="M381" s="415">
        <v>1661</v>
      </c>
      <c r="N381" s="414">
        <v>44665</v>
      </c>
      <c r="O381" s="414" t="s">
        <v>407</v>
      </c>
      <c r="P381" s="603">
        <f t="shared" si="16"/>
        <v>4</v>
      </c>
      <c r="Q381" s="603">
        <f t="shared" si="17"/>
        <v>4</v>
      </c>
      <c r="R381" s="604" t="str">
        <f t="shared" si="18"/>
        <v>Gastos_custeados_por_captação</v>
      </c>
      <c r="S381" s="605" t="s">
        <v>999</v>
      </c>
      <c r="T381" s="605">
        <v>3417</v>
      </c>
    </row>
    <row r="382" spans="1:20" ht="72" x14ac:dyDescent="0.2">
      <c r="A382" s="510">
        <f>IF(B382="","",COUNT('Diário 1º PA'!$A$4:$A$2635)+ROW()-3)</f>
        <v>2115</v>
      </c>
      <c r="B382" s="414">
        <v>44665</v>
      </c>
      <c r="C382" s="592">
        <v>44652</v>
      </c>
      <c r="D382" s="415" t="s">
        <v>468</v>
      </c>
      <c r="E382" s="415" t="s">
        <v>468</v>
      </c>
      <c r="F382" s="425">
        <v>50</v>
      </c>
      <c r="G382" s="427" t="s">
        <v>4678</v>
      </c>
      <c r="H382" s="415" t="s">
        <v>468</v>
      </c>
      <c r="I382" s="427" t="s">
        <v>1461</v>
      </c>
      <c r="J382" s="415" t="s">
        <v>310</v>
      </c>
      <c r="K382" s="415" t="s">
        <v>1220</v>
      </c>
      <c r="L382" s="415" t="s">
        <v>1368</v>
      </c>
      <c r="M382" s="415" t="s">
        <v>310</v>
      </c>
      <c r="N382" s="414">
        <v>44665</v>
      </c>
      <c r="O382" s="414" t="s">
        <v>407</v>
      </c>
      <c r="P382" s="603">
        <f t="shared" si="16"/>
        <v>4</v>
      </c>
      <c r="Q382" s="603">
        <f t="shared" si="17"/>
        <v>4</v>
      </c>
      <c r="R382" s="604" t="str">
        <f t="shared" si="18"/>
        <v>Gastos_custeados_por_captação</v>
      </c>
      <c r="S382" s="605" t="s">
        <v>310</v>
      </c>
      <c r="T382" s="605" t="s">
        <v>310</v>
      </c>
    </row>
    <row r="383" spans="1:20" ht="72" x14ac:dyDescent="0.2">
      <c r="A383" s="510">
        <f>IF(B383="","",COUNT('Diário 1º PA'!$A$4:$A$2635)+ROW()-3)</f>
        <v>2116</v>
      </c>
      <c r="B383" s="414">
        <v>44665</v>
      </c>
      <c r="C383" s="592">
        <v>44621</v>
      </c>
      <c r="D383" s="415" t="s">
        <v>468</v>
      </c>
      <c r="E383" s="415" t="s">
        <v>468</v>
      </c>
      <c r="F383" s="425">
        <v>391.7</v>
      </c>
      <c r="G383" s="427" t="s">
        <v>2460</v>
      </c>
      <c r="H383" s="415" t="s">
        <v>468</v>
      </c>
      <c r="I383" s="427" t="s">
        <v>4679</v>
      </c>
      <c r="J383" s="415" t="s">
        <v>4680</v>
      </c>
      <c r="K383" s="415" t="s">
        <v>812</v>
      </c>
      <c r="L383" s="415" t="s">
        <v>826</v>
      </c>
      <c r="M383" s="415" t="s">
        <v>310</v>
      </c>
      <c r="N383" s="414">
        <v>44665</v>
      </c>
      <c r="O383" s="414" t="s">
        <v>407</v>
      </c>
      <c r="P383" s="603">
        <f t="shared" si="16"/>
        <v>4</v>
      </c>
      <c r="Q383" s="603">
        <f t="shared" si="17"/>
        <v>3</v>
      </c>
      <c r="R383" s="604" t="str">
        <f t="shared" si="18"/>
        <v>Gastos_custeados_por_captação</v>
      </c>
      <c r="S383" s="605" t="s">
        <v>998</v>
      </c>
      <c r="T383" s="605">
        <v>3277</v>
      </c>
    </row>
    <row r="384" spans="1:20" ht="63.75" customHeight="1" x14ac:dyDescent="0.2">
      <c r="A384" s="510">
        <f>IF(B384="","",COUNT('Diário 1º PA'!$A$4:$A$2635)+ROW()-3)</f>
        <v>2117</v>
      </c>
      <c r="B384" s="414">
        <v>44665</v>
      </c>
      <c r="C384" s="431">
        <v>44621</v>
      </c>
      <c r="D384" s="415" t="s">
        <v>468</v>
      </c>
      <c r="E384" s="415" t="s">
        <v>468</v>
      </c>
      <c r="F384" s="425">
        <v>240.64</v>
      </c>
      <c r="G384" s="427" t="s">
        <v>2598</v>
      </c>
      <c r="H384" s="415" t="s">
        <v>468</v>
      </c>
      <c r="I384" s="427" t="s">
        <v>4681</v>
      </c>
      <c r="J384" s="415" t="s">
        <v>2599</v>
      </c>
      <c r="K384" s="415" t="s">
        <v>830</v>
      </c>
      <c r="L384" s="415" t="s">
        <v>807</v>
      </c>
      <c r="M384" s="415">
        <v>97175</v>
      </c>
      <c r="N384" s="414">
        <v>44650</v>
      </c>
      <c r="O384" s="414" t="s">
        <v>407</v>
      </c>
      <c r="P384" s="603">
        <f t="shared" si="16"/>
        <v>4</v>
      </c>
      <c r="Q384" s="603">
        <f t="shared" si="17"/>
        <v>3</v>
      </c>
      <c r="R384" s="604" t="str">
        <f t="shared" si="18"/>
        <v>Gastos_custeados_por_captação</v>
      </c>
      <c r="S384" s="605" t="s">
        <v>999</v>
      </c>
      <c r="T384" s="605">
        <v>3286</v>
      </c>
    </row>
    <row r="385" spans="1:20" s="88" customFormat="1" ht="54.75" customHeight="1" x14ac:dyDescent="0.2">
      <c r="A385" s="510">
        <f>IF(B385="","",COUNT('Diário 1º PA'!$A$4:$A$2635)+ROW()-3)</f>
        <v>2118</v>
      </c>
      <c r="B385" s="414">
        <v>44665</v>
      </c>
      <c r="C385" s="592">
        <v>44621</v>
      </c>
      <c r="D385" s="415" t="s">
        <v>468</v>
      </c>
      <c r="E385" s="415" t="s">
        <v>468</v>
      </c>
      <c r="F385" s="425">
        <v>800</v>
      </c>
      <c r="G385" s="427" t="s">
        <v>2398</v>
      </c>
      <c r="H385" s="415" t="s">
        <v>468</v>
      </c>
      <c r="I385" s="427" t="s">
        <v>4682</v>
      </c>
      <c r="J385" s="415" t="s">
        <v>1118</v>
      </c>
      <c r="K385" s="415" t="s">
        <v>830</v>
      </c>
      <c r="L385" s="415" t="s">
        <v>807</v>
      </c>
      <c r="M385" s="415">
        <v>36</v>
      </c>
      <c r="N385" s="414">
        <v>44663</v>
      </c>
      <c r="O385" s="414" t="s">
        <v>407</v>
      </c>
      <c r="P385" s="603">
        <f t="shared" si="16"/>
        <v>4</v>
      </c>
      <c r="Q385" s="603">
        <f t="shared" si="17"/>
        <v>3</v>
      </c>
      <c r="R385" s="604" t="str">
        <f t="shared" si="18"/>
        <v>Gastos_custeados_por_captação</v>
      </c>
      <c r="S385" s="605" t="s">
        <v>1000</v>
      </c>
      <c r="T385" s="605">
        <v>3086</v>
      </c>
    </row>
    <row r="386" spans="1:20" s="88" customFormat="1" ht="36" x14ac:dyDescent="0.2">
      <c r="A386" s="510">
        <f>IF(B386="","",COUNT('Diário 1º PA'!$A$4:$A$2635)+ROW()-3)</f>
        <v>2119</v>
      </c>
      <c r="B386" s="414">
        <v>44669</v>
      </c>
      <c r="C386" s="433">
        <v>44621</v>
      </c>
      <c r="D386" s="415" t="s">
        <v>271</v>
      </c>
      <c r="E386" s="415" t="s">
        <v>164</v>
      </c>
      <c r="F386" s="425">
        <v>-142.6</v>
      </c>
      <c r="G386" s="427" t="s">
        <v>3564</v>
      </c>
      <c r="H386" s="415" t="s">
        <v>309</v>
      </c>
      <c r="I386" s="427" t="s">
        <v>795</v>
      </c>
      <c r="J386" s="415" t="s">
        <v>796</v>
      </c>
      <c r="K386" s="415" t="s">
        <v>797</v>
      </c>
      <c r="L386" s="415" t="s">
        <v>798</v>
      </c>
      <c r="M386" s="415" t="s">
        <v>310</v>
      </c>
      <c r="N386" s="414">
        <v>44669</v>
      </c>
      <c r="O386" s="414" t="s">
        <v>400</v>
      </c>
      <c r="P386" s="603">
        <f t="shared" si="16"/>
        <v>4</v>
      </c>
      <c r="Q386" s="603">
        <f t="shared" si="17"/>
        <v>3</v>
      </c>
      <c r="R386" s="604" t="str">
        <f t="shared" si="18"/>
        <v>Gastos_Gerais</v>
      </c>
      <c r="S386" s="605" t="s">
        <v>310</v>
      </c>
      <c r="T386" s="605" t="s">
        <v>310</v>
      </c>
    </row>
    <row r="387" spans="1:20" s="88" customFormat="1" ht="36" x14ac:dyDescent="0.2">
      <c r="A387" s="510">
        <f>IF(B387="","",COUNT('Diário 1º PA'!$A$4:$A$2635)+ROW()-3)</f>
        <v>2120</v>
      </c>
      <c r="B387" s="414">
        <v>44669</v>
      </c>
      <c r="C387" s="433">
        <v>44621</v>
      </c>
      <c r="D387" s="415" t="s">
        <v>271</v>
      </c>
      <c r="E387" s="415" t="s">
        <v>84</v>
      </c>
      <c r="F387" s="425">
        <v>-18.61</v>
      </c>
      <c r="G387" s="427" t="s">
        <v>3565</v>
      </c>
      <c r="H387" s="415" t="s">
        <v>309</v>
      </c>
      <c r="I387" s="427" t="s">
        <v>795</v>
      </c>
      <c r="J387" s="415" t="s">
        <v>796</v>
      </c>
      <c r="K387" s="415" t="s">
        <v>797</v>
      </c>
      <c r="L387" s="415" t="s">
        <v>798</v>
      </c>
      <c r="M387" s="415" t="s">
        <v>310</v>
      </c>
      <c r="N387" s="414">
        <v>44669</v>
      </c>
      <c r="O387" s="414" t="s">
        <v>400</v>
      </c>
      <c r="P387" s="603">
        <f t="shared" si="16"/>
        <v>4</v>
      </c>
      <c r="Q387" s="603">
        <f t="shared" si="17"/>
        <v>3</v>
      </c>
      <c r="R387" s="604" t="str">
        <f t="shared" si="18"/>
        <v>Gastos_Gerais</v>
      </c>
      <c r="S387" s="605" t="s">
        <v>310</v>
      </c>
      <c r="T387" s="605" t="s">
        <v>310</v>
      </c>
    </row>
    <row r="388" spans="1:20" s="88" customFormat="1" ht="48" x14ac:dyDescent="0.2">
      <c r="A388" s="510">
        <f>IF(B388="","",COUNT('Diário 1º PA'!$A$4:$A$2635)+ROW()-3)</f>
        <v>2121</v>
      </c>
      <c r="B388" s="414">
        <v>44669</v>
      </c>
      <c r="C388" s="433">
        <v>44621</v>
      </c>
      <c r="D388" s="415" t="s">
        <v>271</v>
      </c>
      <c r="E388" s="415" t="s">
        <v>85</v>
      </c>
      <c r="F388" s="425">
        <v>-158.94</v>
      </c>
      <c r="G388" s="427" t="s">
        <v>3566</v>
      </c>
      <c r="H388" s="415" t="s">
        <v>309</v>
      </c>
      <c r="I388" s="427" t="s">
        <v>795</v>
      </c>
      <c r="J388" s="415" t="s">
        <v>796</v>
      </c>
      <c r="K388" s="415" t="s">
        <v>797</v>
      </c>
      <c r="L388" s="415" t="s">
        <v>798</v>
      </c>
      <c r="M388" s="415" t="s">
        <v>310</v>
      </c>
      <c r="N388" s="414">
        <v>44669</v>
      </c>
      <c r="O388" s="414" t="s">
        <v>400</v>
      </c>
      <c r="P388" s="603">
        <f t="shared" si="16"/>
        <v>4</v>
      </c>
      <c r="Q388" s="603">
        <f t="shared" si="17"/>
        <v>3</v>
      </c>
      <c r="R388" s="604" t="str">
        <f t="shared" si="18"/>
        <v>Gastos_Gerais</v>
      </c>
      <c r="S388" s="605" t="s">
        <v>310</v>
      </c>
      <c r="T388" s="605" t="s">
        <v>310</v>
      </c>
    </row>
    <row r="389" spans="1:20" s="88" customFormat="1" ht="36" x14ac:dyDescent="0.2">
      <c r="A389" s="510">
        <f>IF(B389="","",COUNT('Diário 1º PA'!$A$4:$A$2635)+ROW()-3)</f>
        <v>2122</v>
      </c>
      <c r="B389" s="414">
        <v>44669</v>
      </c>
      <c r="C389" s="466">
        <v>44652</v>
      </c>
      <c r="D389" s="415" t="s">
        <v>182</v>
      </c>
      <c r="E389" s="415" t="s">
        <v>325</v>
      </c>
      <c r="F389" s="435">
        <v>-225.4</v>
      </c>
      <c r="G389" s="427" t="s">
        <v>1378</v>
      </c>
      <c r="H389" s="415" t="s">
        <v>310</v>
      </c>
      <c r="I389" s="427" t="s">
        <v>795</v>
      </c>
      <c r="J389" s="415" t="s">
        <v>796</v>
      </c>
      <c r="K389" s="415" t="s">
        <v>797</v>
      </c>
      <c r="L389" s="415" t="s">
        <v>798</v>
      </c>
      <c r="M389" s="415" t="s">
        <v>310</v>
      </c>
      <c r="N389" s="414">
        <v>44669</v>
      </c>
      <c r="O389" s="414" t="s">
        <v>400</v>
      </c>
      <c r="P389" s="603">
        <f t="shared" ref="P389:Q392" si="22">IF(B389=0,0,IF(YEAR(B389)=$Q$1,MONTH(B389)-$P$1+1,(YEAR(B389)-$Q$1)*12-$P$1+1+MONTH(B389)))</f>
        <v>4</v>
      </c>
      <c r="Q389" s="603">
        <f t="shared" si="22"/>
        <v>4</v>
      </c>
      <c r="R389" s="604" t="str">
        <f>SUBSTITUTE(D389," ","_")</f>
        <v>Gastos_com_Pessoal</v>
      </c>
      <c r="S389" s="605" t="s">
        <v>310</v>
      </c>
      <c r="T389" s="605" t="s">
        <v>310</v>
      </c>
    </row>
    <row r="390" spans="1:20" s="88" customFormat="1" ht="36" x14ac:dyDescent="0.2">
      <c r="A390" s="510">
        <f>IF(B390="","",COUNT('Diário 1º PA'!$A$4:$A$2635)+ROW()-3)</f>
        <v>2123</v>
      </c>
      <c r="B390" s="414">
        <v>44669</v>
      </c>
      <c r="C390" s="433">
        <v>44621</v>
      </c>
      <c r="D390" s="415" t="s">
        <v>271</v>
      </c>
      <c r="E390" s="415" t="s">
        <v>60</v>
      </c>
      <c r="F390" s="425">
        <v>-22.75</v>
      </c>
      <c r="G390" s="427" t="s">
        <v>3567</v>
      </c>
      <c r="H390" s="415" t="s">
        <v>309</v>
      </c>
      <c r="I390" s="427" t="s">
        <v>795</v>
      </c>
      <c r="J390" s="415" t="s">
        <v>796</v>
      </c>
      <c r="K390" s="415" t="s">
        <v>797</v>
      </c>
      <c r="L390" s="415" t="s">
        <v>798</v>
      </c>
      <c r="M390" s="415" t="s">
        <v>310</v>
      </c>
      <c r="N390" s="414">
        <v>44669</v>
      </c>
      <c r="O390" s="414" t="s">
        <v>400</v>
      </c>
      <c r="P390" s="603">
        <f t="shared" si="22"/>
        <v>4</v>
      </c>
      <c r="Q390" s="603">
        <f t="shared" si="22"/>
        <v>3</v>
      </c>
      <c r="R390" s="604" t="str">
        <f>SUBSTITUTE(D390," ","_")</f>
        <v>Gastos_Gerais</v>
      </c>
      <c r="S390" s="605" t="s">
        <v>310</v>
      </c>
      <c r="T390" s="605" t="s">
        <v>310</v>
      </c>
    </row>
    <row r="391" spans="1:20" s="88" customFormat="1" ht="48" x14ac:dyDescent="0.2">
      <c r="A391" s="510">
        <f>IF(B391="","",COUNT('Diário 1º PA'!$A$4:$A$2635)+ROW()-3)</f>
        <v>2124</v>
      </c>
      <c r="B391" s="414">
        <v>44669</v>
      </c>
      <c r="C391" s="433">
        <v>44621</v>
      </c>
      <c r="D391" s="415" t="s">
        <v>271</v>
      </c>
      <c r="E391" s="415" t="s">
        <v>92</v>
      </c>
      <c r="F391" s="425">
        <v>-132.05000000000001</v>
      </c>
      <c r="G391" s="427" t="s">
        <v>3568</v>
      </c>
      <c r="H391" s="415" t="s">
        <v>309</v>
      </c>
      <c r="I391" s="427" t="s">
        <v>795</v>
      </c>
      <c r="J391" s="415" t="s">
        <v>796</v>
      </c>
      <c r="K391" s="415" t="s">
        <v>797</v>
      </c>
      <c r="L391" s="399" t="s">
        <v>798</v>
      </c>
      <c r="M391" s="544" t="s">
        <v>310</v>
      </c>
      <c r="N391" s="414">
        <v>44669</v>
      </c>
      <c r="O391" s="414" t="s">
        <v>400</v>
      </c>
      <c r="P391" s="603">
        <f t="shared" si="22"/>
        <v>4</v>
      </c>
      <c r="Q391" s="603">
        <f t="shared" si="22"/>
        <v>3</v>
      </c>
      <c r="R391" s="604" t="str">
        <f>SUBSTITUTE(D391," ","_")</f>
        <v>Gastos_Gerais</v>
      </c>
      <c r="S391" s="605" t="s">
        <v>310</v>
      </c>
      <c r="T391" s="605" t="s">
        <v>310</v>
      </c>
    </row>
    <row r="392" spans="1:20" s="88" customFormat="1" ht="36" x14ac:dyDescent="0.2">
      <c r="A392" s="510">
        <f>IF(B392="","",COUNT('Diário 1º PA'!$A$4:$A$2635)+ROW()-3)</f>
        <v>2125</v>
      </c>
      <c r="B392" s="414">
        <v>44669</v>
      </c>
      <c r="C392" s="433">
        <v>44593</v>
      </c>
      <c r="D392" s="415" t="s">
        <v>182</v>
      </c>
      <c r="E392" s="415" t="s">
        <v>1</v>
      </c>
      <c r="F392" s="435">
        <v>-238.01</v>
      </c>
      <c r="G392" s="427" t="s">
        <v>1384</v>
      </c>
      <c r="H392" s="415" t="s">
        <v>310</v>
      </c>
      <c r="I392" s="427" t="s">
        <v>795</v>
      </c>
      <c r="J392" s="415" t="s">
        <v>796</v>
      </c>
      <c r="K392" s="415" t="s">
        <v>797</v>
      </c>
      <c r="L392" s="415" t="s">
        <v>798</v>
      </c>
      <c r="M392" s="415" t="s">
        <v>310</v>
      </c>
      <c r="N392" s="414">
        <v>44669</v>
      </c>
      <c r="O392" s="414" t="s">
        <v>400</v>
      </c>
      <c r="P392" s="603">
        <f t="shared" si="22"/>
        <v>4</v>
      </c>
      <c r="Q392" s="603">
        <f t="shared" si="22"/>
        <v>2</v>
      </c>
      <c r="R392" s="604" t="str">
        <f>SUBSTITUTE(D392," ","_")</f>
        <v>Gastos_com_Pessoal</v>
      </c>
      <c r="S392" s="605" t="s">
        <v>310</v>
      </c>
      <c r="T392" s="605" t="s">
        <v>310</v>
      </c>
    </row>
    <row r="393" spans="1:20" s="88" customFormat="1" ht="36" x14ac:dyDescent="0.2">
      <c r="A393" s="510">
        <f>IF(B393="","",COUNT('Diário 1º PA'!$A$4:$A$2635)+ROW()-3)</f>
        <v>2126</v>
      </c>
      <c r="B393" s="414">
        <v>44669</v>
      </c>
      <c r="C393" s="466">
        <v>44652</v>
      </c>
      <c r="D393" s="415" t="s">
        <v>182</v>
      </c>
      <c r="E393" s="415" t="s">
        <v>325</v>
      </c>
      <c r="F393" s="425">
        <v>-2919.41</v>
      </c>
      <c r="G393" s="427" t="s">
        <v>1382</v>
      </c>
      <c r="H393" s="415" t="s">
        <v>310</v>
      </c>
      <c r="I393" s="427" t="s">
        <v>795</v>
      </c>
      <c r="J393" s="415" t="s">
        <v>796</v>
      </c>
      <c r="K393" s="415" t="s">
        <v>797</v>
      </c>
      <c r="L393" s="415" t="s">
        <v>798</v>
      </c>
      <c r="M393" s="415" t="s">
        <v>310</v>
      </c>
      <c r="N393" s="414">
        <v>44669</v>
      </c>
      <c r="O393" s="414" t="s">
        <v>400</v>
      </c>
      <c r="P393" s="603">
        <f t="shared" ref="P393:P402" si="23">IF(B393=0,0,IF(YEAR(B393)=$Q$1,MONTH(B393)-$P$1+1,(YEAR(B393)-$Q$1)*12-$P$1+1+MONTH(B393)))</f>
        <v>4</v>
      </c>
      <c r="Q393" s="603">
        <f t="shared" ref="Q393:Q402" si="24">IF(C393=0,0,IF(YEAR(C393)=$Q$1,MONTH(C393)-$P$1+1,(YEAR(C393)-$Q$1)*12-$P$1+1+MONTH(C393)))</f>
        <v>4</v>
      </c>
      <c r="R393" s="604" t="str">
        <f t="shared" ref="R393:R402" si="25">SUBSTITUTE(D393," ","_")</f>
        <v>Gastos_com_Pessoal</v>
      </c>
      <c r="S393" s="605" t="s">
        <v>310</v>
      </c>
      <c r="T393" s="605" t="s">
        <v>310</v>
      </c>
    </row>
    <row r="394" spans="1:20" s="88" customFormat="1" ht="60" x14ac:dyDescent="0.2">
      <c r="A394" s="510">
        <f>IF(B394="","",COUNT('Diário 1º PA'!$A$4:$A$2635)+ROW()-3)</f>
        <v>2127</v>
      </c>
      <c r="B394" s="414">
        <v>44669</v>
      </c>
      <c r="C394" s="592">
        <v>44652</v>
      </c>
      <c r="D394" s="415" t="s">
        <v>271</v>
      </c>
      <c r="E394" s="415" t="s">
        <v>297</v>
      </c>
      <c r="F394" s="425">
        <v>118</v>
      </c>
      <c r="G394" s="427" t="s">
        <v>3569</v>
      </c>
      <c r="H394" s="415" t="s">
        <v>752</v>
      </c>
      <c r="I394" s="427" t="s">
        <v>3570</v>
      </c>
      <c r="J394" s="415" t="s">
        <v>3571</v>
      </c>
      <c r="K394" s="415" t="s">
        <v>812</v>
      </c>
      <c r="L394" s="415" t="s">
        <v>1372</v>
      </c>
      <c r="M394" s="415" t="s">
        <v>310</v>
      </c>
      <c r="N394" s="414">
        <v>44669</v>
      </c>
      <c r="O394" s="414" t="s">
        <v>400</v>
      </c>
      <c r="P394" s="603">
        <f t="shared" si="23"/>
        <v>4</v>
      </c>
      <c r="Q394" s="603">
        <f t="shared" si="24"/>
        <v>4</v>
      </c>
      <c r="R394" s="604" t="str">
        <f t="shared" si="25"/>
        <v>Gastos_Gerais</v>
      </c>
      <c r="S394" s="605" t="s">
        <v>998</v>
      </c>
      <c r="T394" s="605">
        <v>3398</v>
      </c>
    </row>
    <row r="395" spans="1:20" s="88" customFormat="1" ht="109.5" customHeight="1" x14ac:dyDescent="0.2">
      <c r="A395" s="510">
        <f>IF(B395="","",COUNT('Diário 1º PA'!$A$4:$A$2635)+ROW()-3)</f>
        <v>2128</v>
      </c>
      <c r="B395" s="414">
        <v>44669</v>
      </c>
      <c r="C395" s="433">
        <v>44621</v>
      </c>
      <c r="D395" s="415" t="s">
        <v>271</v>
      </c>
      <c r="E395" s="415" t="s">
        <v>92</v>
      </c>
      <c r="F395" s="425">
        <v>500</v>
      </c>
      <c r="G395" s="427" t="s">
        <v>692</v>
      </c>
      <c r="H395" s="415" t="s">
        <v>309</v>
      </c>
      <c r="I395" s="456" t="s">
        <v>1371</v>
      </c>
      <c r="J395" s="415" t="s">
        <v>1123</v>
      </c>
      <c r="K395" s="415" t="s">
        <v>812</v>
      </c>
      <c r="L395" s="415" t="s">
        <v>1372</v>
      </c>
      <c r="M395" s="415" t="s">
        <v>3572</v>
      </c>
      <c r="N395" s="414">
        <v>44656</v>
      </c>
      <c r="O395" s="414" t="s">
        <v>400</v>
      </c>
      <c r="P395" s="603">
        <f t="shared" si="23"/>
        <v>4</v>
      </c>
      <c r="Q395" s="603">
        <f t="shared" si="24"/>
        <v>3</v>
      </c>
      <c r="R395" s="604" t="str">
        <f t="shared" si="25"/>
        <v>Gastos_Gerais</v>
      </c>
      <c r="S395" s="605" t="s">
        <v>1000</v>
      </c>
      <c r="T395" s="605">
        <v>2665</v>
      </c>
    </row>
    <row r="396" spans="1:20" s="88" customFormat="1" ht="96" x14ac:dyDescent="0.2">
      <c r="A396" s="510">
        <f>IF(B396="","",COUNT('Diário 1º PA'!$A$4:$A$2635)+ROW()-3)</f>
        <v>2129</v>
      </c>
      <c r="B396" s="414">
        <v>44669</v>
      </c>
      <c r="C396" s="433">
        <v>44593</v>
      </c>
      <c r="D396" s="415" t="s">
        <v>182</v>
      </c>
      <c r="E396" s="415" t="s">
        <v>1</v>
      </c>
      <c r="F396" s="425">
        <v>2377.4499999999998</v>
      </c>
      <c r="G396" s="427" t="s">
        <v>1396</v>
      </c>
      <c r="H396" s="415" t="s">
        <v>310</v>
      </c>
      <c r="I396" s="437" t="s">
        <v>773</v>
      </c>
      <c r="J396" s="415" t="s">
        <v>1397</v>
      </c>
      <c r="K396" s="415" t="s">
        <v>812</v>
      </c>
      <c r="L396" s="415" t="s">
        <v>32</v>
      </c>
      <c r="M396" s="415" t="s">
        <v>3573</v>
      </c>
      <c r="N396" s="414">
        <v>44624</v>
      </c>
      <c r="O396" s="414" t="s">
        <v>400</v>
      </c>
      <c r="P396" s="603">
        <f t="shared" si="23"/>
        <v>4</v>
      </c>
      <c r="Q396" s="603">
        <f t="shared" si="24"/>
        <v>2</v>
      </c>
      <c r="R396" s="604" t="str">
        <f t="shared" si="25"/>
        <v>Gastos_com_Pessoal</v>
      </c>
      <c r="S396" s="605" t="s">
        <v>310</v>
      </c>
      <c r="T396" s="605" t="s">
        <v>310</v>
      </c>
    </row>
    <row r="397" spans="1:20" s="88" customFormat="1" ht="81" customHeight="1" x14ac:dyDescent="0.2">
      <c r="A397" s="510">
        <f>IF(B397="","",COUNT('Diário 1º PA'!$A$4:$A$2635)+ROW()-3)</f>
        <v>2130</v>
      </c>
      <c r="B397" s="414">
        <v>44669</v>
      </c>
      <c r="C397" s="433">
        <v>44652</v>
      </c>
      <c r="D397" s="415" t="s">
        <v>182</v>
      </c>
      <c r="E397" s="415" t="s">
        <v>325</v>
      </c>
      <c r="F397" s="425">
        <v>23679.43</v>
      </c>
      <c r="G397" s="427" t="s">
        <v>1399</v>
      </c>
      <c r="H397" s="415" t="s">
        <v>310</v>
      </c>
      <c r="I397" s="437" t="s">
        <v>773</v>
      </c>
      <c r="J397" s="415" t="s">
        <v>1397</v>
      </c>
      <c r="K397" s="415" t="s">
        <v>812</v>
      </c>
      <c r="L397" s="415" t="s">
        <v>32</v>
      </c>
      <c r="M397" s="415" t="s">
        <v>3576</v>
      </c>
      <c r="N397" s="414">
        <v>44629</v>
      </c>
      <c r="O397" s="414" t="s">
        <v>400</v>
      </c>
      <c r="P397" s="603">
        <f t="shared" si="23"/>
        <v>4</v>
      </c>
      <c r="Q397" s="603">
        <f t="shared" si="24"/>
        <v>4</v>
      </c>
      <c r="R397" s="604" t="str">
        <f t="shared" si="25"/>
        <v>Gastos_com_Pessoal</v>
      </c>
      <c r="S397" s="605" t="s">
        <v>310</v>
      </c>
      <c r="T397" s="605" t="s">
        <v>310</v>
      </c>
    </row>
    <row r="398" spans="1:20" s="88" customFormat="1" ht="65.25" customHeight="1" x14ac:dyDescent="0.2">
      <c r="A398" s="510">
        <f>IF(B398="","",COUNT('Diário 1º PA'!$A$4:$A$2635)+ROW()-3)</f>
        <v>2131</v>
      </c>
      <c r="B398" s="414">
        <v>44669</v>
      </c>
      <c r="C398" s="421">
        <v>44621</v>
      </c>
      <c r="D398" s="415" t="s">
        <v>271</v>
      </c>
      <c r="E398" s="415" t="s">
        <v>456</v>
      </c>
      <c r="F398" s="429">
        <v>1482.97</v>
      </c>
      <c r="G398" s="427" t="s">
        <v>552</v>
      </c>
      <c r="H398" s="430" t="s">
        <v>755</v>
      </c>
      <c r="I398" s="427" t="s">
        <v>1785</v>
      </c>
      <c r="J398" s="415" t="s">
        <v>1044</v>
      </c>
      <c r="K398" s="415" t="s">
        <v>812</v>
      </c>
      <c r="L398" s="415" t="s">
        <v>32</v>
      </c>
      <c r="M398" s="415" t="s">
        <v>3577</v>
      </c>
      <c r="N398" s="414">
        <v>44655</v>
      </c>
      <c r="O398" s="414" t="s">
        <v>400</v>
      </c>
      <c r="P398" s="603">
        <f t="shared" si="23"/>
        <v>4</v>
      </c>
      <c r="Q398" s="603">
        <f t="shared" si="24"/>
        <v>3</v>
      </c>
      <c r="R398" s="604" t="str">
        <f t="shared" si="25"/>
        <v>Gastos_Gerais</v>
      </c>
      <c r="S398" s="605" t="s">
        <v>1000</v>
      </c>
      <c r="T398" s="605">
        <v>1371</v>
      </c>
    </row>
    <row r="399" spans="1:20" s="88" customFormat="1" ht="48" x14ac:dyDescent="0.2">
      <c r="A399" s="510">
        <f>IF(B399="","",COUNT('Diário 1º PA'!$A$4:$A$2635)+ROW()-3)</f>
        <v>2132</v>
      </c>
      <c r="B399" s="414">
        <v>44669</v>
      </c>
      <c r="C399" s="421">
        <v>44621</v>
      </c>
      <c r="D399" s="415" t="s">
        <v>271</v>
      </c>
      <c r="E399" s="415" t="s">
        <v>91</v>
      </c>
      <c r="F399" s="425">
        <v>315.98</v>
      </c>
      <c r="G399" s="437" t="s">
        <v>471</v>
      </c>
      <c r="H399" s="415" t="s">
        <v>309</v>
      </c>
      <c r="I399" s="437" t="s">
        <v>1505</v>
      </c>
      <c r="J399" s="434" t="s">
        <v>1009</v>
      </c>
      <c r="K399" s="415" t="s">
        <v>812</v>
      </c>
      <c r="L399" s="415" t="s">
        <v>32</v>
      </c>
      <c r="M399" s="415">
        <v>4058675</v>
      </c>
      <c r="N399" s="414">
        <v>44652</v>
      </c>
      <c r="O399" s="414" t="s">
        <v>400</v>
      </c>
      <c r="P399" s="603">
        <f t="shared" si="23"/>
        <v>4</v>
      </c>
      <c r="Q399" s="603">
        <f t="shared" si="24"/>
        <v>3</v>
      </c>
      <c r="R399" s="604" t="str">
        <f t="shared" si="25"/>
        <v>Gastos_Gerais</v>
      </c>
      <c r="S399" s="605" t="s">
        <v>1000</v>
      </c>
      <c r="T399" s="605">
        <v>1142</v>
      </c>
    </row>
    <row r="400" spans="1:20" s="88" customFormat="1" ht="24" x14ac:dyDescent="0.2">
      <c r="A400" s="510">
        <f>IF(B400="","",COUNT('Diário 1º PA'!$A$4:$A$2635)+ROW()-3)</f>
        <v>2133</v>
      </c>
      <c r="B400" s="414">
        <v>44669</v>
      </c>
      <c r="C400" s="421">
        <v>44621</v>
      </c>
      <c r="D400" s="415" t="s">
        <v>271</v>
      </c>
      <c r="E400" s="415" t="s">
        <v>60</v>
      </c>
      <c r="F400" s="435">
        <v>86.16</v>
      </c>
      <c r="G400" s="437" t="s">
        <v>688</v>
      </c>
      <c r="H400" s="434" t="s">
        <v>309</v>
      </c>
      <c r="I400" s="437" t="s">
        <v>1390</v>
      </c>
      <c r="J400" s="434" t="s">
        <v>1391</v>
      </c>
      <c r="K400" s="434" t="s">
        <v>812</v>
      </c>
      <c r="L400" s="434" t="s">
        <v>310</v>
      </c>
      <c r="M400" s="434">
        <v>86943</v>
      </c>
      <c r="N400" s="455">
        <v>44661</v>
      </c>
      <c r="O400" s="414" t="s">
        <v>400</v>
      </c>
      <c r="P400" s="603">
        <f t="shared" si="23"/>
        <v>4</v>
      </c>
      <c r="Q400" s="603">
        <f t="shared" si="24"/>
        <v>3</v>
      </c>
      <c r="R400" s="604" t="str">
        <f t="shared" si="25"/>
        <v>Gastos_Gerais</v>
      </c>
      <c r="S400" s="605" t="s">
        <v>310</v>
      </c>
      <c r="T400" s="605" t="s">
        <v>310</v>
      </c>
    </row>
    <row r="401" spans="1:20" s="88" customFormat="1" ht="24" x14ac:dyDescent="0.2">
      <c r="A401" s="510">
        <f>IF(B401="","",COUNT('Diário 1º PA'!$A$4:$A$2635)+ROW()-3)</f>
        <v>2134</v>
      </c>
      <c r="B401" s="414">
        <v>44669</v>
      </c>
      <c r="C401" s="421">
        <v>44621</v>
      </c>
      <c r="D401" s="415" t="s">
        <v>271</v>
      </c>
      <c r="E401" s="415" t="s">
        <v>164</v>
      </c>
      <c r="F401" s="425">
        <v>539.94000000000005</v>
      </c>
      <c r="G401" s="427" t="s">
        <v>1403</v>
      </c>
      <c r="H401" s="415" t="s">
        <v>309</v>
      </c>
      <c r="I401" s="437" t="s">
        <v>768</v>
      </c>
      <c r="J401" s="434" t="s">
        <v>1021</v>
      </c>
      <c r="K401" s="415" t="s">
        <v>812</v>
      </c>
      <c r="L401" s="415" t="s">
        <v>1372</v>
      </c>
      <c r="M401" s="415" t="s">
        <v>310</v>
      </c>
      <c r="N401" s="414">
        <v>44652</v>
      </c>
      <c r="O401" s="414" t="s">
        <v>400</v>
      </c>
      <c r="P401" s="603">
        <f t="shared" si="23"/>
        <v>4</v>
      </c>
      <c r="Q401" s="603">
        <f t="shared" si="24"/>
        <v>3</v>
      </c>
      <c r="R401" s="604" t="str">
        <f t="shared" si="25"/>
        <v>Gastos_Gerais</v>
      </c>
      <c r="S401" s="605" t="s">
        <v>310</v>
      </c>
      <c r="T401" s="605" t="s">
        <v>310</v>
      </c>
    </row>
    <row r="402" spans="1:20" s="88" customFormat="1" ht="24" x14ac:dyDescent="0.2">
      <c r="A402" s="510">
        <f>IF(B402="","",COUNT('Diário 1º PA'!$A$4:$A$2635)+ROW()-3)</f>
        <v>2135</v>
      </c>
      <c r="B402" s="414">
        <v>44669</v>
      </c>
      <c r="C402" s="421">
        <v>44621</v>
      </c>
      <c r="D402" s="415" t="s">
        <v>271</v>
      </c>
      <c r="E402" s="415" t="s">
        <v>85</v>
      </c>
      <c r="F402" s="425">
        <v>601.80999999999995</v>
      </c>
      <c r="G402" s="427" t="s">
        <v>493</v>
      </c>
      <c r="H402" s="415" t="s">
        <v>309</v>
      </c>
      <c r="I402" s="437" t="s">
        <v>765</v>
      </c>
      <c r="J402" s="434" t="s">
        <v>892</v>
      </c>
      <c r="K402" s="415" t="s">
        <v>893</v>
      </c>
      <c r="L402" s="399" t="s">
        <v>807</v>
      </c>
      <c r="M402" s="415">
        <v>76001910</v>
      </c>
      <c r="N402" s="414">
        <v>44645</v>
      </c>
      <c r="O402" s="414" t="s">
        <v>400</v>
      </c>
      <c r="P402" s="603">
        <f t="shared" si="23"/>
        <v>4</v>
      </c>
      <c r="Q402" s="603">
        <f t="shared" si="24"/>
        <v>3</v>
      </c>
      <c r="R402" s="604" t="str">
        <f t="shared" si="25"/>
        <v>Gastos_Gerais</v>
      </c>
      <c r="S402" s="605" t="s">
        <v>310</v>
      </c>
      <c r="T402" s="605" t="s">
        <v>310</v>
      </c>
    </row>
    <row r="403" spans="1:20" ht="83.25" customHeight="1" x14ac:dyDescent="0.2">
      <c r="A403" s="510">
        <f>IF(B403="","",COUNT('Diário 1º PA'!$A$4:$A$2635)+ROW()-3)</f>
        <v>2136</v>
      </c>
      <c r="B403" s="414">
        <v>44669</v>
      </c>
      <c r="C403" s="421">
        <v>44621</v>
      </c>
      <c r="D403" s="415" t="s">
        <v>271</v>
      </c>
      <c r="E403" s="415" t="s">
        <v>84</v>
      </c>
      <c r="F403" s="425">
        <v>70.48</v>
      </c>
      <c r="G403" s="437" t="s">
        <v>2735</v>
      </c>
      <c r="H403" s="415" t="s">
        <v>309</v>
      </c>
      <c r="I403" s="437" t="s">
        <v>766</v>
      </c>
      <c r="J403" s="415" t="s">
        <v>1019</v>
      </c>
      <c r="K403" s="415" t="s">
        <v>1392</v>
      </c>
      <c r="L403" s="399" t="s">
        <v>1372</v>
      </c>
      <c r="M403" s="415" t="s">
        <v>3580</v>
      </c>
      <c r="N403" s="414">
        <v>44622</v>
      </c>
      <c r="O403" s="414" t="s">
        <v>400</v>
      </c>
      <c r="P403" s="603">
        <f t="shared" si="16"/>
        <v>4</v>
      </c>
      <c r="Q403" s="603">
        <f t="shared" si="17"/>
        <v>3</v>
      </c>
      <c r="R403" s="604" t="str">
        <f t="shared" si="18"/>
        <v>Gastos_Gerais</v>
      </c>
      <c r="S403" s="605" t="s">
        <v>310</v>
      </c>
      <c r="T403" s="605" t="s">
        <v>310</v>
      </c>
    </row>
    <row r="404" spans="1:20" ht="72" x14ac:dyDescent="0.2">
      <c r="A404" s="510">
        <f>IF(B404="","",COUNT('Diário 1º PA'!$A$4:$A$2635)+ROW()-3)</f>
        <v>2137</v>
      </c>
      <c r="B404" s="414">
        <v>44669</v>
      </c>
      <c r="C404" s="592">
        <v>44652</v>
      </c>
      <c r="D404" s="415" t="s">
        <v>468</v>
      </c>
      <c r="E404" s="415" t="s">
        <v>468</v>
      </c>
      <c r="F404" s="425">
        <v>1237.5</v>
      </c>
      <c r="G404" s="427" t="s">
        <v>4683</v>
      </c>
      <c r="H404" s="415" t="s">
        <v>468</v>
      </c>
      <c r="I404" s="427" t="s">
        <v>4684</v>
      </c>
      <c r="J404" s="415" t="s">
        <v>3319</v>
      </c>
      <c r="K404" s="415" t="s">
        <v>830</v>
      </c>
      <c r="L404" s="415" t="s">
        <v>32</v>
      </c>
      <c r="M404" s="415">
        <v>3466</v>
      </c>
      <c r="N404" s="414">
        <v>44669</v>
      </c>
      <c r="O404" s="414" t="s">
        <v>407</v>
      </c>
      <c r="P404" s="603">
        <f t="shared" si="16"/>
        <v>4</v>
      </c>
      <c r="Q404" s="603">
        <f t="shared" si="17"/>
        <v>4</v>
      </c>
      <c r="R404" s="604" t="str">
        <f t="shared" si="18"/>
        <v>Gastos_custeados_por_captação</v>
      </c>
      <c r="S404" s="605" t="s">
        <v>1000</v>
      </c>
      <c r="T404" s="605">
        <v>3416</v>
      </c>
    </row>
    <row r="405" spans="1:20" ht="72" x14ac:dyDescent="0.2">
      <c r="A405" s="510">
        <f>IF(B405="","",COUNT('Diário 1º PA'!$A$4:$A$2635)+ROW()-3)</f>
        <v>2138</v>
      </c>
      <c r="B405" s="414">
        <v>44669</v>
      </c>
      <c r="C405" s="592">
        <v>44652</v>
      </c>
      <c r="D405" s="415" t="s">
        <v>468</v>
      </c>
      <c r="E405" s="415" t="s">
        <v>468</v>
      </c>
      <c r="F405" s="425">
        <v>295</v>
      </c>
      <c r="G405" s="427" t="s">
        <v>3527</v>
      </c>
      <c r="H405" s="415" t="s">
        <v>468</v>
      </c>
      <c r="I405" s="427" t="s">
        <v>4685</v>
      </c>
      <c r="J405" s="415" t="s">
        <v>3523</v>
      </c>
      <c r="K405" s="415" t="s">
        <v>830</v>
      </c>
      <c r="L405" s="415" t="s">
        <v>32</v>
      </c>
      <c r="M405" s="415">
        <v>6761</v>
      </c>
      <c r="N405" s="414">
        <v>44669</v>
      </c>
      <c r="O405" s="414" t="s">
        <v>407</v>
      </c>
      <c r="P405" s="603">
        <f t="shared" si="16"/>
        <v>4</v>
      </c>
      <c r="Q405" s="603">
        <f t="shared" si="17"/>
        <v>4</v>
      </c>
      <c r="R405" s="604" t="str">
        <f t="shared" si="18"/>
        <v>Gastos_custeados_por_captação</v>
      </c>
      <c r="S405" s="605" t="s">
        <v>999</v>
      </c>
      <c r="T405" s="605">
        <v>3468</v>
      </c>
    </row>
    <row r="406" spans="1:20" ht="72" x14ac:dyDescent="0.2">
      <c r="A406" s="510">
        <f>IF(B406="","",COUNT('Diário 1º PA'!$A$4:$A$2635)+ROW()-3)</f>
        <v>2139</v>
      </c>
      <c r="B406" s="414">
        <v>44669</v>
      </c>
      <c r="C406" s="592">
        <v>44652</v>
      </c>
      <c r="D406" s="415" t="s">
        <v>468</v>
      </c>
      <c r="E406" s="415" t="s">
        <v>468</v>
      </c>
      <c r="F406" s="425">
        <v>189.99</v>
      </c>
      <c r="G406" s="427" t="s">
        <v>3320</v>
      </c>
      <c r="H406" s="415" t="s">
        <v>468</v>
      </c>
      <c r="I406" s="427" t="s">
        <v>4686</v>
      </c>
      <c r="J406" s="415" t="s">
        <v>2421</v>
      </c>
      <c r="K406" s="415" t="s">
        <v>830</v>
      </c>
      <c r="L406" s="415" t="s">
        <v>32</v>
      </c>
      <c r="M406" s="415">
        <v>31594</v>
      </c>
      <c r="N406" s="414">
        <v>44669</v>
      </c>
      <c r="O406" s="414" t="s">
        <v>407</v>
      </c>
      <c r="P406" s="603">
        <f t="shared" si="16"/>
        <v>4</v>
      </c>
      <c r="Q406" s="603">
        <f t="shared" si="17"/>
        <v>4</v>
      </c>
      <c r="R406" s="604" t="str">
        <f t="shared" si="18"/>
        <v>Gastos_custeados_por_captação</v>
      </c>
      <c r="S406" s="605" t="s">
        <v>999</v>
      </c>
      <c r="T406" s="605">
        <v>3436</v>
      </c>
    </row>
    <row r="407" spans="1:20" ht="72" x14ac:dyDescent="0.2">
      <c r="A407" s="510">
        <f>IF(B407="","",COUNT('Diário 1º PA'!$A$4:$A$2635)+ROW()-3)</f>
        <v>2140</v>
      </c>
      <c r="B407" s="414">
        <v>44669</v>
      </c>
      <c r="C407" s="592">
        <v>44652</v>
      </c>
      <c r="D407" s="415" t="s">
        <v>468</v>
      </c>
      <c r="E407" s="415" t="s">
        <v>468</v>
      </c>
      <c r="F407" s="425">
        <v>145.22999999999999</v>
      </c>
      <c r="G407" s="427" t="s">
        <v>3300</v>
      </c>
      <c r="H407" s="415" t="s">
        <v>468</v>
      </c>
      <c r="I407" s="427" t="s">
        <v>4687</v>
      </c>
      <c r="J407" s="415" t="s">
        <v>1321</v>
      </c>
      <c r="K407" s="415" t="s">
        <v>830</v>
      </c>
      <c r="L407" s="415" t="s">
        <v>32</v>
      </c>
      <c r="M407" s="415">
        <v>42166</v>
      </c>
      <c r="N407" s="414">
        <v>44665</v>
      </c>
      <c r="O407" s="414" t="s">
        <v>407</v>
      </c>
      <c r="P407" s="603">
        <f t="shared" si="16"/>
        <v>4</v>
      </c>
      <c r="Q407" s="603">
        <f t="shared" si="17"/>
        <v>4</v>
      </c>
      <c r="R407" s="604" t="str">
        <f t="shared" si="18"/>
        <v>Gastos_custeados_por_captação</v>
      </c>
      <c r="S407" s="605" t="s">
        <v>999</v>
      </c>
      <c r="T407" s="605">
        <v>3422</v>
      </c>
    </row>
    <row r="408" spans="1:20" ht="72" x14ac:dyDescent="0.2">
      <c r="A408" s="510">
        <f>IF(B408="","",COUNT('Diário 1º PA'!$A$4:$A$2635)+ROW()-3)</f>
        <v>2141</v>
      </c>
      <c r="B408" s="414">
        <v>44669</v>
      </c>
      <c r="C408" s="592">
        <v>44652</v>
      </c>
      <c r="D408" s="415" t="s">
        <v>468</v>
      </c>
      <c r="E408" s="415" t="s">
        <v>468</v>
      </c>
      <c r="F408" s="425">
        <v>23958.560000000001</v>
      </c>
      <c r="G408" s="427" t="s">
        <v>3269</v>
      </c>
      <c r="H408" s="415" t="s">
        <v>468</v>
      </c>
      <c r="I408" s="427" t="s">
        <v>4688</v>
      </c>
      <c r="J408" s="415" t="s">
        <v>3268</v>
      </c>
      <c r="K408" s="415" t="s">
        <v>830</v>
      </c>
      <c r="L408" s="415" t="s">
        <v>32</v>
      </c>
      <c r="M408" s="415" t="s">
        <v>2681</v>
      </c>
      <c r="N408" s="414">
        <v>44669</v>
      </c>
      <c r="O408" s="414" t="s">
        <v>407</v>
      </c>
      <c r="P408" s="603">
        <f t="shared" si="16"/>
        <v>4</v>
      </c>
      <c r="Q408" s="603">
        <f t="shared" si="17"/>
        <v>4</v>
      </c>
      <c r="R408" s="604" t="str">
        <f t="shared" si="18"/>
        <v>Gastos_custeados_por_captação</v>
      </c>
      <c r="S408" s="605" t="s">
        <v>1000</v>
      </c>
      <c r="T408" s="605">
        <v>3320</v>
      </c>
    </row>
    <row r="409" spans="1:20" ht="72" x14ac:dyDescent="0.2">
      <c r="A409" s="510">
        <f>IF(B409="","",COUNT('Diário 1º PA'!$A$4:$A$2635)+ROW()-3)</f>
        <v>2142</v>
      </c>
      <c r="B409" s="414">
        <v>44669</v>
      </c>
      <c r="C409" s="592">
        <v>44652</v>
      </c>
      <c r="D409" s="415" t="s">
        <v>468</v>
      </c>
      <c r="E409" s="415" t="s">
        <v>468</v>
      </c>
      <c r="F409" s="425">
        <v>160</v>
      </c>
      <c r="G409" s="427" t="s">
        <v>3324</v>
      </c>
      <c r="H409" s="415" t="s">
        <v>468</v>
      </c>
      <c r="I409" s="427" t="s">
        <v>4689</v>
      </c>
      <c r="J409" s="415" t="s">
        <v>3314</v>
      </c>
      <c r="K409" s="415" t="s">
        <v>830</v>
      </c>
      <c r="L409" s="415" t="s">
        <v>32</v>
      </c>
      <c r="M409" s="415">
        <v>390</v>
      </c>
      <c r="N409" s="414">
        <v>44669</v>
      </c>
      <c r="O409" s="414" t="s">
        <v>407</v>
      </c>
      <c r="P409" s="603">
        <f t="shared" si="16"/>
        <v>4</v>
      </c>
      <c r="Q409" s="603">
        <f t="shared" si="17"/>
        <v>4</v>
      </c>
      <c r="R409" s="604" t="str">
        <f t="shared" si="18"/>
        <v>Gastos_custeados_por_captação</v>
      </c>
      <c r="S409" s="605" t="s">
        <v>999</v>
      </c>
      <c r="T409" s="605">
        <v>3446</v>
      </c>
    </row>
    <row r="410" spans="1:20" ht="72" x14ac:dyDescent="0.2">
      <c r="A410" s="510">
        <f>IF(B410="","",COUNT('Diário 1º PA'!$A$4:$A$2635)+ROW()-3)</f>
        <v>2143</v>
      </c>
      <c r="B410" s="414">
        <v>44669</v>
      </c>
      <c r="C410" s="592">
        <v>44652</v>
      </c>
      <c r="D410" s="415" t="s">
        <v>468</v>
      </c>
      <c r="E410" s="415" t="s">
        <v>468</v>
      </c>
      <c r="F410" s="425">
        <v>300</v>
      </c>
      <c r="G410" s="427" t="s">
        <v>3321</v>
      </c>
      <c r="H410" s="415" t="s">
        <v>468</v>
      </c>
      <c r="I410" s="427" t="s">
        <v>4690</v>
      </c>
      <c r="J410" s="415" t="s">
        <v>3322</v>
      </c>
      <c r="K410" s="415" t="s">
        <v>830</v>
      </c>
      <c r="L410" s="415" t="s">
        <v>310</v>
      </c>
      <c r="M410" s="415" t="s">
        <v>310</v>
      </c>
      <c r="N410" s="414">
        <v>44669</v>
      </c>
      <c r="O410" s="414" t="s">
        <v>407</v>
      </c>
      <c r="P410" s="603">
        <f t="shared" si="16"/>
        <v>4</v>
      </c>
      <c r="Q410" s="603">
        <f t="shared" si="17"/>
        <v>4</v>
      </c>
      <c r="R410" s="604" t="str">
        <f t="shared" si="18"/>
        <v>Gastos_custeados_por_captação</v>
      </c>
      <c r="S410" s="605" t="s">
        <v>998</v>
      </c>
      <c r="T410" s="605">
        <v>3404</v>
      </c>
    </row>
    <row r="411" spans="1:20" ht="72" x14ac:dyDescent="0.2">
      <c r="A411" s="510">
        <f>IF(B411="","",COUNT('Diário 1º PA'!$A$4:$A$2635)+ROW()-3)</f>
        <v>2144</v>
      </c>
      <c r="B411" s="414">
        <v>44669</v>
      </c>
      <c r="C411" s="592">
        <v>44682</v>
      </c>
      <c r="D411" s="415" t="s">
        <v>468</v>
      </c>
      <c r="E411" s="415" t="s">
        <v>468</v>
      </c>
      <c r="F411" s="425">
        <v>430.35</v>
      </c>
      <c r="G411" s="427" t="s">
        <v>2346</v>
      </c>
      <c r="H411" s="415" t="s">
        <v>468</v>
      </c>
      <c r="I411" s="427" t="s">
        <v>4691</v>
      </c>
      <c r="J411" s="415" t="s">
        <v>1633</v>
      </c>
      <c r="K411" s="415" t="s">
        <v>830</v>
      </c>
      <c r="L411" s="415" t="s">
        <v>807</v>
      </c>
      <c r="M411" s="415" t="s">
        <v>4692</v>
      </c>
      <c r="N411" s="414">
        <v>44651</v>
      </c>
      <c r="O411" s="414" t="s">
        <v>407</v>
      </c>
      <c r="P411" s="603">
        <f t="shared" si="16"/>
        <v>4</v>
      </c>
      <c r="Q411" s="603">
        <f t="shared" si="17"/>
        <v>5</v>
      </c>
      <c r="R411" s="604" t="str">
        <f t="shared" si="18"/>
        <v>Gastos_custeados_por_captação</v>
      </c>
      <c r="S411" s="605" t="s">
        <v>998</v>
      </c>
      <c r="T411" s="605">
        <v>3225</v>
      </c>
    </row>
    <row r="412" spans="1:20" s="88" customFormat="1" ht="99.95" customHeight="1" x14ac:dyDescent="0.2">
      <c r="A412" s="510">
        <f>IF(B412="","",COUNT('Diário 1º PA'!$A$4:$A$2635)+ROW()-3)</f>
        <v>2145</v>
      </c>
      <c r="B412" s="414">
        <v>44669</v>
      </c>
      <c r="C412" s="592">
        <v>44621</v>
      </c>
      <c r="D412" s="415" t="s">
        <v>468</v>
      </c>
      <c r="E412" s="415" t="s">
        <v>468</v>
      </c>
      <c r="F412" s="425">
        <v>8334</v>
      </c>
      <c r="G412" s="427" t="s">
        <v>2654</v>
      </c>
      <c r="H412" s="415" t="s">
        <v>468</v>
      </c>
      <c r="I412" s="427" t="s">
        <v>4693</v>
      </c>
      <c r="J412" s="415" t="s">
        <v>4413</v>
      </c>
      <c r="K412" s="415" t="s">
        <v>830</v>
      </c>
      <c r="L412" s="415" t="s">
        <v>807</v>
      </c>
      <c r="M412" s="415">
        <v>266</v>
      </c>
      <c r="N412" s="414">
        <v>44665</v>
      </c>
      <c r="O412" s="414" t="s">
        <v>407</v>
      </c>
      <c r="P412" s="603">
        <f t="shared" si="16"/>
        <v>4</v>
      </c>
      <c r="Q412" s="603">
        <f t="shared" si="17"/>
        <v>3</v>
      </c>
      <c r="R412" s="604" t="str">
        <f t="shared" si="18"/>
        <v>Gastos_custeados_por_captação</v>
      </c>
      <c r="S412" s="605" t="s">
        <v>1000</v>
      </c>
      <c r="T412" s="605">
        <v>3287</v>
      </c>
    </row>
    <row r="413" spans="1:20" s="88" customFormat="1" ht="99.95" customHeight="1" x14ac:dyDescent="0.2">
      <c r="A413" s="510">
        <f>IF(B413="","",COUNT('Diário 1º PA'!$A$4:$A$2635)+ROW()-3)</f>
        <v>2146</v>
      </c>
      <c r="B413" s="414">
        <v>44670</v>
      </c>
      <c r="C413" s="431">
        <v>44531</v>
      </c>
      <c r="D413" s="415" t="s">
        <v>271</v>
      </c>
      <c r="E413" s="415" t="s">
        <v>326</v>
      </c>
      <c r="F413" s="425">
        <v>-3697.4</v>
      </c>
      <c r="G413" s="427" t="s">
        <v>3582</v>
      </c>
      <c r="H413" s="415" t="s">
        <v>309</v>
      </c>
      <c r="I413" s="427" t="s">
        <v>795</v>
      </c>
      <c r="J413" s="415" t="s">
        <v>796</v>
      </c>
      <c r="K413" s="415" t="s">
        <v>797</v>
      </c>
      <c r="L413" s="415" t="s">
        <v>798</v>
      </c>
      <c r="M413" s="415" t="s">
        <v>310</v>
      </c>
      <c r="N413" s="414">
        <v>44670</v>
      </c>
      <c r="O413" s="414" t="s">
        <v>400</v>
      </c>
      <c r="P413" s="603">
        <f t="shared" ref="P413:P430" si="26">IF(B413=0,0,IF(YEAR(B413)=$Q$1,MONTH(B413)-$P$1+1,(YEAR(B413)-$Q$1)*12-$P$1+1+MONTH(B413)))</f>
        <v>4</v>
      </c>
      <c r="Q413" s="603">
        <f t="shared" ref="Q413:Q430" si="27">IF(C413=0,0,IF(YEAR(C413)=$Q$1,MONTH(C413)-$P$1+1,(YEAR(C413)-$Q$1)*12-$P$1+1+MONTH(C413)))</f>
        <v>0</v>
      </c>
      <c r="R413" s="604" t="str">
        <f t="shared" ref="R413:R430" si="28">SUBSTITUTE(D413," ","_")</f>
        <v>Gastos_Gerais</v>
      </c>
      <c r="S413" s="605" t="s">
        <v>310</v>
      </c>
      <c r="T413" s="605" t="s">
        <v>310</v>
      </c>
    </row>
    <row r="414" spans="1:20" s="88" customFormat="1" ht="99.95" customHeight="1" x14ac:dyDescent="0.2">
      <c r="A414" s="510">
        <f>IF(B414="","",COUNT('Diário 1º PA'!$A$4:$A$2635)+ROW()-3)</f>
        <v>2147</v>
      </c>
      <c r="B414" s="414">
        <v>44670</v>
      </c>
      <c r="C414" s="431">
        <v>44621</v>
      </c>
      <c r="D414" s="415" t="s">
        <v>271</v>
      </c>
      <c r="E414" s="415" t="s">
        <v>456</v>
      </c>
      <c r="F414" s="425">
        <v>2462.5500000000002</v>
      </c>
      <c r="G414" s="427" t="s">
        <v>1988</v>
      </c>
      <c r="H414" s="419" t="s">
        <v>755</v>
      </c>
      <c r="I414" s="427" t="s">
        <v>3583</v>
      </c>
      <c r="J414" s="415" t="s">
        <v>1990</v>
      </c>
      <c r="K414" s="415" t="s">
        <v>830</v>
      </c>
      <c r="L414" s="415" t="s">
        <v>839</v>
      </c>
      <c r="M414" s="415">
        <v>1696</v>
      </c>
      <c r="N414" s="414">
        <v>44665</v>
      </c>
      <c r="O414" s="414" t="s">
        <v>400</v>
      </c>
      <c r="P414" s="603">
        <f t="shared" si="26"/>
        <v>4</v>
      </c>
      <c r="Q414" s="603">
        <f t="shared" si="27"/>
        <v>3</v>
      </c>
      <c r="R414" s="604" t="str">
        <f t="shared" si="28"/>
        <v>Gastos_Gerais</v>
      </c>
      <c r="S414" s="605" t="s">
        <v>998</v>
      </c>
      <c r="T414" s="605">
        <v>3012</v>
      </c>
    </row>
    <row r="415" spans="1:20" s="88" customFormat="1" ht="99.95" customHeight="1" x14ac:dyDescent="0.2">
      <c r="A415" s="510">
        <f>IF(B415="","",COUNT('Diário 1º PA'!$A$4:$A$2635)+ROW()-3)</f>
        <v>2148</v>
      </c>
      <c r="B415" s="414">
        <v>44670</v>
      </c>
      <c r="C415" s="431">
        <v>44621</v>
      </c>
      <c r="D415" s="415" t="s">
        <v>271</v>
      </c>
      <c r="E415" s="415" t="s">
        <v>456</v>
      </c>
      <c r="F415" s="425">
        <v>2462.5500000000002</v>
      </c>
      <c r="G415" s="427" t="s">
        <v>1988</v>
      </c>
      <c r="H415" s="419" t="s">
        <v>755</v>
      </c>
      <c r="I415" s="427" t="s">
        <v>3587</v>
      </c>
      <c r="J415" s="415" t="s">
        <v>1991</v>
      </c>
      <c r="K415" s="415" t="s">
        <v>830</v>
      </c>
      <c r="L415" s="415" t="s">
        <v>839</v>
      </c>
      <c r="M415" s="415">
        <v>1697</v>
      </c>
      <c r="N415" s="414">
        <v>44665</v>
      </c>
      <c r="O415" s="414" t="s">
        <v>400</v>
      </c>
      <c r="P415" s="603">
        <f t="shared" si="26"/>
        <v>4</v>
      </c>
      <c r="Q415" s="603">
        <f t="shared" si="27"/>
        <v>3</v>
      </c>
      <c r="R415" s="604" t="str">
        <f t="shared" si="28"/>
        <v>Gastos_Gerais</v>
      </c>
      <c r="S415" s="605" t="s">
        <v>998</v>
      </c>
      <c r="T415" s="605">
        <v>3018</v>
      </c>
    </row>
    <row r="416" spans="1:20" s="88" customFormat="1" ht="36" x14ac:dyDescent="0.2">
      <c r="A416" s="510">
        <f>IF(B416="","",COUNT('Diário 1º PA'!$A$4:$A$2635)+ROW()-3)</f>
        <v>2149</v>
      </c>
      <c r="B416" s="414">
        <v>44670</v>
      </c>
      <c r="C416" s="431">
        <v>44593</v>
      </c>
      <c r="D416" s="415" t="s">
        <v>271</v>
      </c>
      <c r="E416" s="415" t="s">
        <v>453</v>
      </c>
      <c r="F416" s="425">
        <v>1068</v>
      </c>
      <c r="G416" s="427" t="s">
        <v>1867</v>
      </c>
      <c r="H416" s="419" t="s">
        <v>748</v>
      </c>
      <c r="I416" s="427" t="s">
        <v>3591</v>
      </c>
      <c r="J416" s="415" t="s">
        <v>1866</v>
      </c>
      <c r="K416" s="415" t="s">
        <v>830</v>
      </c>
      <c r="L416" s="415" t="s">
        <v>839</v>
      </c>
      <c r="M416" s="415">
        <v>1708</v>
      </c>
      <c r="N416" s="414">
        <v>44669</v>
      </c>
      <c r="O416" s="414" t="s">
        <v>400</v>
      </c>
      <c r="P416" s="603">
        <f t="shared" si="26"/>
        <v>4</v>
      </c>
      <c r="Q416" s="603">
        <f t="shared" si="27"/>
        <v>2</v>
      </c>
      <c r="R416" s="604" t="str">
        <f t="shared" si="28"/>
        <v>Gastos_Gerais</v>
      </c>
      <c r="S416" s="605" t="s">
        <v>998</v>
      </c>
      <c r="T416" s="605">
        <v>2860</v>
      </c>
    </row>
    <row r="417" spans="1:20" s="88" customFormat="1" ht="48" x14ac:dyDescent="0.2">
      <c r="A417" s="510">
        <f>IF(B417="","",COUNT('Diário 1º PA'!$A$4:$A$2635)+ROW()-3)</f>
        <v>2150</v>
      </c>
      <c r="B417" s="414">
        <v>44670</v>
      </c>
      <c r="C417" s="431">
        <v>44652</v>
      </c>
      <c r="D417" s="415" t="s">
        <v>271</v>
      </c>
      <c r="E417" s="415" t="s">
        <v>442</v>
      </c>
      <c r="F417" s="425">
        <v>1100.8</v>
      </c>
      <c r="G417" s="427" t="s">
        <v>1985</v>
      </c>
      <c r="H417" s="419" t="s">
        <v>757</v>
      </c>
      <c r="I417" s="427" t="s">
        <v>3593</v>
      </c>
      <c r="J417" s="415" t="s">
        <v>3594</v>
      </c>
      <c r="K417" s="415" t="s">
        <v>830</v>
      </c>
      <c r="L417" s="415" t="s">
        <v>839</v>
      </c>
      <c r="M417" s="415">
        <v>1707</v>
      </c>
      <c r="N417" s="414">
        <v>44669</v>
      </c>
      <c r="O417" s="414" t="s">
        <v>400</v>
      </c>
      <c r="P417" s="603">
        <f t="shared" si="26"/>
        <v>4</v>
      </c>
      <c r="Q417" s="603">
        <f t="shared" si="27"/>
        <v>4</v>
      </c>
      <c r="R417" s="604" t="str">
        <f t="shared" si="28"/>
        <v>Gastos_Gerais</v>
      </c>
      <c r="S417" s="605" t="s">
        <v>1000</v>
      </c>
      <c r="T417" s="605">
        <v>3076</v>
      </c>
    </row>
    <row r="418" spans="1:20" s="88" customFormat="1" ht="48" x14ac:dyDescent="0.2">
      <c r="A418" s="510">
        <f>IF(B418="","",COUNT('Diário 1º PA'!$A$4:$A$2635)+ROW()-3)</f>
        <v>2151</v>
      </c>
      <c r="B418" s="414">
        <v>44670</v>
      </c>
      <c r="C418" s="431">
        <v>44652</v>
      </c>
      <c r="D418" s="594" t="s">
        <v>271</v>
      </c>
      <c r="E418" s="430" t="s">
        <v>465</v>
      </c>
      <c r="F418" s="425">
        <v>6536.13</v>
      </c>
      <c r="G418" s="427" t="s">
        <v>3237</v>
      </c>
      <c r="H418" s="430" t="s">
        <v>752</v>
      </c>
      <c r="I418" s="427" t="s">
        <v>3597</v>
      </c>
      <c r="J418" s="415" t="s">
        <v>3238</v>
      </c>
      <c r="K418" s="415" t="s">
        <v>830</v>
      </c>
      <c r="L418" s="415" t="s">
        <v>32</v>
      </c>
      <c r="M418" s="415" t="s">
        <v>3598</v>
      </c>
      <c r="N418" s="414">
        <v>44669</v>
      </c>
      <c r="O418" s="414" t="s">
        <v>400</v>
      </c>
      <c r="P418" s="603">
        <f t="shared" si="26"/>
        <v>4</v>
      </c>
      <c r="Q418" s="603">
        <f t="shared" si="27"/>
        <v>4</v>
      </c>
      <c r="R418" s="604" t="str">
        <f t="shared" si="28"/>
        <v>Gastos_Gerais</v>
      </c>
      <c r="S418" s="605" t="s">
        <v>998</v>
      </c>
      <c r="T418" s="605">
        <v>3354</v>
      </c>
    </row>
    <row r="419" spans="1:20" s="88" customFormat="1" ht="36" x14ac:dyDescent="0.2">
      <c r="A419" s="510">
        <f>IF(B419="","",COUNT('Diário 1º PA'!$A$4:$A$2635)+ROW()-3)</f>
        <v>2152</v>
      </c>
      <c r="B419" s="414">
        <v>44670</v>
      </c>
      <c r="C419" s="431">
        <v>44593</v>
      </c>
      <c r="D419" s="415" t="s">
        <v>271</v>
      </c>
      <c r="E419" s="415" t="s">
        <v>178</v>
      </c>
      <c r="F419" s="425">
        <v>1843.38</v>
      </c>
      <c r="G419" s="427" t="s">
        <v>2995</v>
      </c>
      <c r="H419" s="419" t="s">
        <v>752</v>
      </c>
      <c r="I419" s="427" t="s">
        <v>3600</v>
      </c>
      <c r="J419" s="415" t="s">
        <v>1293</v>
      </c>
      <c r="K419" s="415" t="s">
        <v>830</v>
      </c>
      <c r="L419" s="415" t="s">
        <v>32</v>
      </c>
      <c r="M419" s="415" t="s">
        <v>3601</v>
      </c>
      <c r="N419" s="414">
        <v>44670</v>
      </c>
      <c r="O419" s="414" t="s">
        <v>400</v>
      </c>
      <c r="P419" s="603">
        <f t="shared" si="26"/>
        <v>4</v>
      </c>
      <c r="Q419" s="603">
        <f t="shared" si="27"/>
        <v>2</v>
      </c>
      <c r="R419" s="604" t="str">
        <f t="shared" si="28"/>
        <v>Gastos_Gerais</v>
      </c>
      <c r="S419" s="605" t="s">
        <v>1000</v>
      </c>
      <c r="T419" s="605">
        <v>2826</v>
      </c>
    </row>
    <row r="420" spans="1:20" s="88" customFormat="1" ht="24" x14ac:dyDescent="0.2">
      <c r="A420" s="510">
        <f>IF(B420="","",COUNT('Diário 1º PA'!$A$4:$A$2635)+ROW()-3)</f>
        <v>2153</v>
      </c>
      <c r="B420" s="414">
        <v>44670</v>
      </c>
      <c r="C420" s="431">
        <v>44531</v>
      </c>
      <c r="D420" s="415" t="s">
        <v>271</v>
      </c>
      <c r="E420" s="415" t="s">
        <v>326</v>
      </c>
      <c r="F420" s="425">
        <v>13386.8</v>
      </c>
      <c r="G420" s="427" t="s">
        <v>629</v>
      </c>
      <c r="H420" s="415" t="s">
        <v>309</v>
      </c>
      <c r="I420" s="427" t="s">
        <v>3603</v>
      </c>
      <c r="J420" s="415" t="s">
        <v>3604</v>
      </c>
      <c r="K420" s="415" t="s">
        <v>830</v>
      </c>
      <c r="L420" s="415" t="s">
        <v>32</v>
      </c>
      <c r="M420" s="415" t="s">
        <v>3605</v>
      </c>
      <c r="N420" s="414">
        <v>44669</v>
      </c>
      <c r="O420" s="414" t="s">
        <v>400</v>
      </c>
      <c r="P420" s="603">
        <f t="shared" si="26"/>
        <v>4</v>
      </c>
      <c r="Q420" s="603">
        <f t="shared" si="27"/>
        <v>0</v>
      </c>
      <c r="R420" s="604" t="str">
        <f t="shared" si="28"/>
        <v>Gastos_Gerais</v>
      </c>
      <c r="S420" s="605" t="s">
        <v>998</v>
      </c>
      <c r="T420" s="605">
        <v>2473</v>
      </c>
    </row>
    <row r="421" spans="1:20" s="88" customFormat="1" ht="48" x14ac:dyDescent="0.2">
      <c r="A421" s="510">
        <f>IF(B421="","",COUNT('Diário 1º PA'!$A$4:$A$2635)+ROW()-3)</f>
        <v>2154</v>
      </c>
      <c r="B421" s="414">
        <v>44670</v>
      </c>
      <c r="C421" s="592">
        <v>44652</v>
      </c>
      <c r="D421" s="415" t="s">
        <v>271</v>
      </c>
      <c r="E421" s="415" t="s">
        <v>71</v>
      </c>
      <c r="F421" s="425">
        <v>11</v>
      </c>
      <c r="G421" s="427" t="s">
        <v>3607</v>
      </c>
      <c r="H421" s="419" t="s">
        <v>755</v>
      </c>
      <c r="I421" s="639" t="s">
        <v>881</v>
      </c>
      <c r="J421" s="418" t="s">
        <v>882</v>
      </c>
      <c r="K421" s="418" t="s">
        <v>883</v>
      </c>
      <c r="L421" s="399" t="s">
        <v>798</v>
      </c>
      <c r="M421" s="544" t="s">
        <v>310</v>
      </c>
      <c r="N421" s="414">
        <v>44665</v>
      </c>
      <c r="O421" s="414" t="s">
        <v>400</v>
      </c>
      <c r="P421" s="603">
        <f t="shared" si="26"/>
        <v>4</v>
      </c>
      <c r="Q421" s="603">
        <f t="shared" si="27"/>
        <v>4</v>
      </c>
      <c r="R421" s="604" t="str">
        <f t="shared" si="28"/>
        <v>Gastos_Gerais</v>
      </c>
      <c r="S421" s="605" t="s">
        <v>310</v>
      </c>
      <c r="T421" s="605" t="s">
        <v>310</v>
      </c>
    </row>
    <row r="422" spans="1:20" s="88" customFormat="1" ht="48" x14ac:dyDescent="0.2">
      <c r="A422" s="510">
        <f>IF(B422="","",COUNT('Diário 1º PA'!$A$4:$A$2635)+ROW()-3)</f>
        <v>2155</v>
      </c>
      <c r="B422" s="414">
        <v>44670</v>
      </c>
      <c r="C422" s="592">
        <v>44652</v>
      </c>
      <c r="D422" s="415" t="s">
        <v>271</v>
      </c>
      <c r="E422" s="415" t="s">
        <v>71</v>
      </c>
      <c r="F422" s="425">
        <v>11</v>
      </c>
      <c r="G422" s="427" t="s">
        <v>3608</v>
      </c>
      <c r="H422" s="419" t="s">
        <v>755</v>
      </c>
      <c r="I422" s="639" t="s">
        <v>881</v>
      </c>
      <c r="J422" s="418" t="s">
        <v>882</v>
      </c>
      <c r="K422" s="418" t="s">
        <v>883</v>
      </c>
      <c r="L422" s="399" t="s">
        <v>798</v>
      </c>
      <c r="M422" s="544" t="s">
        <v>310</v>
      </c>
      <c r="N422" s="414">
        <v>44665</v>
      </c>
      <c r="O422" s="414" t="s">
        <v>400</v>
      </c>
      <c r="P422" s="603">
        <f t="shared" si="26"/>
        <v>4</v>
      </c>
      <c r="Q422" s="603">
        <f t="shared" si="27"/>
        <v>4</v>
      </c>
      <c r="R422" s="604" t="str">
        <f t="shared" si="28"/>
        <v>Gastos_Gerais</v>
      </c>
      <c r="S422" s="605" t="s">
        <v>310</v>
      </c>
      <c r="T422" s="605" t="s">
        <v>310</v>
      </c>
    </row>
    <row r="423" spans="1:20" s="88" customFormat="1" ht="36" x14ac:dyDescent="0.2">
      <c r="A423" s="510">
        <f>IF(B423="","",COUNT('Diário 1º PA'!$A$4:$A$2635)+ROW()-3)</f>
        <v>2156</v>
      </c>
      <c r="B423" s="414">
        <v>44670</v>
      </c>
      <c r="C423" s="592">
        <v>44652</v>
      </c>
      <c r="D423" s="415" t="s">
        <v>271</v>
      </c>
      <c r="E423" s="415" t="s">
        <v>71</v>
      </c>
      <c r="F423" s="425">
        <v>11</v>
      </c>
      <c r="G423" s="427" t="s">
        <v>3609</v>
      </c>
      <c r="H423" s="419" t="s">
        <v>748</v>
      </c>
      <c r="I423" s="639" t="s">
        <v>881</v>
      </c>
      <c r="J423" s="418" t="s">
        <v>882</v>
      </c>
      <c r="K423" s="418" t="s">
        <v>883</v>
      </c>
      <c r="L423" s="399" t="s">
        <v>798</v>
      </c>
      <c r="M423" s="544" t="s">
        <v>310</v>
      </c>
      <c r="N423" s="414">
        <v>44665</v>
      </c>
      <c r="O423" s="414" t="s">
        <v>400</v>
      </c>
      <c r="P423" s="603">
        <f t="shared" si="26"/>
        <v>4</v>
      </c>
      <c r="Q423" s="603">
        <f t="shared" si="27"/>
        <v>4</v>
      </c>
      <c r="R423" s="604" t="str">
        <f t="shared" si="28"/>
        <v>Gastos_Gerais</v>
      </c>
      <c r="S423" s="605" t="s">
        <v>310</v>
      </c>
      <c r="T423" s="605" t="s">
        <v>310</v>
      </c>
    </row>
    <row r="424" spans="1:20" s="88" customFormat="1" ht="48" x14ac:dyDescent="0.2">
      <c r="A424" s="510">
        <f>IF(B424="","",COUNT('Diário 1º PA'!$A$4:$A$2635)+ROW()-3)</f>
        <v>2157</v>
      </c>
      <c r="B424" s="414">
        <v>44670</v>
      </c>
      <c r="C424" s="592">
        <v>44652</v>
      </c>
      <c r="D424" s="415" t="s">
        <v>271</v>
      </c>
      <c r="E424" s="415" t="s">
        <v>71</v>
      </c>
      <c r="F424" s="425">
        <v>11</v>
      </c>
      <c r="G424" s="427" t="s">
        <v>3610</v>
      </c>
      <c r="H424" s="419" t="s">
        <v>757</v>
      </c>
      <c r="I424" s="639" t="s">
        <v>881</v>
      </c>
      <c r="J424" s="418" t="s">
        <v>882</v>
      </c>
      <c r="K424" s="418" t="s">
        <v>883</v>
      </c>
      <c r="L424" s="399" t="s">
        <v>798</v>
      </c>
      <c r="M424" s="544" t="s">
        <v>310</v>
      </c>
      <c r="N424" s="414">
        <v>44665</v>
      </c>
      <c r="O424" s="414" t="s">
        <v>400</v>
      </c>
      <c r="P424" s="603">
        <f t="shared" si="26"/>
        <v>4</v>
      </c>
      <c r="Q424" s="603">
        <f t="shared" si="27"/>
        <v>4</v>
      </c>
      <c r="R424" s="604" t="str">
        <f t="shared" si="28"/>
        <v>Gastos_Gerais</v>
      </c>
      <c r="S424" s="605" t="s">
        <v>310</v>
      </c>
      <c r="T424" s="605" t="s">
        <v>310</v>
      </c>
    </row>
    <row r="425" spans="1:20" s="88" customFormat="1" ht="36" x14ac:dyDescent="0.2">
      <c r="A425" s="510">
        <f>IF(B425="","",COUNT('Diário 1º PA'!$A$4:$A$2635)+ROW()-3)</f>
        <v>2158</v>
      </c>
      <c r="B425" s="414">
        <v>44670</v>
      </c>
      <c r="C425" s="592">
        <v>44652</v>
      </c>
      <c r="D425" s="415" t="s">
        <v>271</v>
      </c>
      <c r="E425" s="415" t="s">
        <v>71</v>
      </c>
      <c r="F425" s="425">
        <v>11</v>
      </c>
      <c r="G425" s="427" t="s">
        <v>3611</v>
      </c>
      <c r="H425" s="430" t="s">
        <v>752</v>
      </c>
      <c r="I425" s="639" t="s">
        <v>881</v>
      </c>
      <c r="J425" s="418" t="s">
        <v>882</v>
      </c>
      <c r="K425" s="418" t="s">
        <v>883</v>
      </c>
      <c r="L425" s="399" t="s">
        <v>798</v>
      </c>
      <c r="M425" s="544" t="s">
        <v>310</v>
      </c>
      <c r="N425" s="414">
        <v>44665</v>
      </c>
      <c r="O425" s="414" t="s">
        <v>400</v>
      </c>
      <c r="P425" s="603">
        <f t="shared" si="26"/>
        <v>4</v>
      </c>
      <c r="Q425" s="603">
        <f t="shared" si="27"/>
        <v>4</v>
      </c>
      <c r="R425" s="604" t="str">
        <f t="shared" si="28"/>
        <v>Gastos_Gerais</v>
      </c>
      <c r="S425" s="605" t="s">
        <v>310</v>
      </c>
      <c r="T425" s="605" t="s">
        <v>310</v>
      </c>
    </row>
    <row r="426" spans="1:20" s="88" customFormat="1" ht="36" x14ac:dyDescent="0.2">
      <c r="A426" s="510">
        <f>IF(B426="","",COUNT('Diário 1º PA'!$A$4:$A$2635)+ROW()-3)</f>
        <v>2159</v>
      </c>
      <c r="B426" s="414">
        <v>44670</v>
      </c>
      <c r="C426" s="592">
        <v>44652</v>
      </c>
      <c r="D426" s="415" t="s">
        <v>271</v>
      </c>
      <c r="E426" s="415" t="s">
        <v>71</v>
      </c>
      <c r="F426" s="425">
        <v>11</v>
      </c>
      <c r="G426" s="427" t="s">
        <v>3612</v>
      </c>
      <c r="H426" s="419" t="s">
        <v>752</v>
      </c>
      <c r="I426" s="639" t="s">
        <v>881</v>
      </c>
      <c r="J426" s="418" t="s">
        <v>882</v>
      </c>
      <c r="K426" s="418" t="s">
        <v>883</v>
      </c>
      <c r="L426" s="399" t="s">
        <v>798</v>
      </c>
      <c r="M426" s="544" t="s">
        <v>310</v>
      </c>
      <c r="N426" s="414">
        <v>44665</v>
      </c>
      <c r="O426" s="414" t="s">
        <v>400</v>
      </c>
      <c r="P426" s="603">
        <f t="shared" si="26"/>
        <v>4</v>
      </c>
      <c r="Q426" s="603">
        <f t="shared" si="27"/>
        <v>4</v>
      </c>
      <c r="R426" s="604" t="str">
        <f t="shared" si="28"/>
        <v>Gastos_Gerais</v>
      </c>
      <c r="S426" s="605" t="s">
        <v>310</v>
      </c>
      <c r="T426" s="605" t="s">
        <v>310</v>
      </c>
    </row>
    <row r="427" spans="1:20" s="88" customFormat="1" ht="36" x14ac:dyDescent="0.2">
      <c r="A427" s="510">
        <f>IF(B427="","",COUNT('Diário 1º PA'!$A$4:$A$2635)+ROW()-3)</f>
        <v>2160</v>
      </c>
      <c r="B427" s="414">
        <v>44670</v>
      </c>
      <c r="C427" s="592">
        <v>44652</v>
      </c>
      <c r="D427" s="415" t="s">
        <v>271</v>
      </c>
      <c r="E427" s="415" t="s">
        <v>71</v>
      </c>
      <c r="F427" s="425">
        <v>11</v>
      </c>
      <c r="G427" s="427" t="s">
        <v>3613</v>
      </c>
      <c r="H427" s="415" t="s">
        <v>309</v>
      </c>
      <c r="I427" s="639" t="s">
        <v>881</v>
      </c>
      <c r="J427" s="418" t="s">
        <v>882</v>
      </c>
      <c r="K427" s="418" t="s">
        <v>883</v>
      </c>
      <c r="L427" s="399" t="s">
        <v>798</v>
      </c>
      <c r="M427" s="544" t="s">
        <v>310</v>
      </c>
      <c r="N427" s="414">
        <v>44665</v>
      </c>
      <c r="O427" s="414" t="s">
        <v>400</v>
      </c>
      <c r="P427" s="603">
        <f t="shared" si="26"/>
        <v>4</v>
      </c>
      <c r="Q427" s="603">
        <f t="shared" si="27"/>
        <v>4</v>
      </c>
      <c r="R427" s="604" t="str">
        <f t="shared" si="28"/>
        <v>Gastos_Gerais</v>
      </c>
      <c r="S427" s="605" t="s">
        <v>310</v>
      </c>
      <c r="T427" s="605" t="s">
        <v>310</v>
      </c>
    </row>
    <row r="428" spans="1:20" s="88" customFormat="1" ht="36" x14ac:dyDescent="0.2">
      <c r="A428" s="510">
        <f>IF(B428="","",COUNT('Diário 1º PA'!$A$4:$A$2635)+ROW()-3)</f>
        <v>2161</v>
      </c>
      <c r="B428" s="414">
        <v>44670</v>
      </c>
      <c r="C428" s="424">
        <v>44652</v>
      </c>
      <c r="D428" s="415" t="s">
        <v>468</v>
      </c>
      <c r="E428" s="415" t="s">
        <v>468</v>
      </c>
      <c r="F428" s="425">
        <v>-5000</v>
      </c>
      <c r="G428" s="639" t="s">
        <v>2438</v>
      </c>
      <c r="H428" s="415" t="s">
        <v>468</v>
      </c>
      <c r="I428" s="456" t="s">
        <v>2437</v>
      </c>
      <c r="J428" s="461" t="s">
        <v>796</v>
      </c>
      <c r="K428" s="461" t="s">
        <v>797</v>
      </c>
      <c r="L428" s="461" t="s">
        <v>798</v>
      </c>
      <c r="M428" s="461" t="s">
        <v>310</v>
      </c>
      <c r="N428" s="414">
        <v>44670</v>
      </c>
      <c r="O428" s="414" t="s">
        <v>408</v>
      </c>
      <c r="P428" s="603">
        <f t="shared" si="26"/>
        <v>4</v>
      </c>
      <c r="Q428" s="603">
        <f t="shared" si="27"/>
        <v>4</v>
      </c>
      <c r="R428" s="604" t="str">
        <f t="shared" si="28"/>
        <v>Gastos_custeados_por_captação</v>
      </c>
      <c r="S428" s="605" t="s">
        <v>310</v>
      </c>
      <c r="T428" s="605" t="s">
        <v>310</v>
      </c>
    </row>
    <row r="429" spans="1:20" s="88" customFormat="1" ht="36" x14ac:dyDescent="0.2">
      <c r="A429" s="510">
        <f>IF(B429="","",COUNT('Diário 1º PA'!$A$4:$A$2635)+ROW()-3)</f>
        <v>2162</v>
      </c>
      <c r="B429" s="414">
        <v>44670</v>
      </c>
      <c r="C429" s="424">
        <v>44652</v>
      </c>
      <c r="D429" s="415" t="s">
        <v>468</v>
      </c>
      <c r="E429" s="415" t="s">
        <v>468</v>
      </c>
      <c r="F429" s="425">
        <v>-5000</v>
      </c>
      <c r="G429" s="639" t="s">
        <v>2439</v>
      </c>
      <c r="H429" s="415" t="s">
        <v>468</v>
      </c>
      <c r="I429" s="456" t="s">
        <v>2437</v>
      </c>
      <c r="J429" s="461" t="s">
        <v>796</v>
      </c>
      <c r="K429" s="461" t="s">
        <v>797</v>
      </c>
      <c r="L429" s="461" t="s">
        <v>798</v>
      </c>
      <c r="M429" s="461" t="s">
        <v>310</v>
      </c>
      <c r="N429" s="414">
        <v>44670</v>
      </c>
      <c r="O429" s="414" t="s">
        <v>408</v>
      </c>
      <c r="P429" s="603">
        <f t="shared" si="26"/>
        <v>4</v>
      </c>
      <c r="Q429" s="603">
        <f t="shared" si="27"/>
        <v>4</v>
      </c>
      <c r="R429" s="604" t="str">
        <f t="shared" si="28"/>
        <v>Gastos_custeados_por_captação</v>
      </c>
      <c r="S429" s="605" t="s">
        <v>310</v>
      </c>
      <c r="T429" s="605" t="s">
        <v>310</v>
      </c>
    </row>
    <row r="430" spans="1:20" s="88" customFormat="1" ht="36" x14ac:dyDescent="0.2">
      <c r="A430" s="510">
        <f>IF(B430="","",COUNT('Diário 1º PA'!$A$4:$A$2635)+ROW()-3)</f>
        <v>2163</v>
      </c>
      <c r="B430" s="414">
        <v>44670</v>
      </c>
      <c r="C430" s="424">
        <v>44652</v>
      </c>
      <c r="D430" s="415" t="s">
        <v>468</v>
      </c>
      <c r="E430" s="415" t="s">
        <v>468</v>
      </c>
      <c r="F430" s="425">
        <v>-6000</v>
      </c>
      <c r="G430" s="639" t="s">
        <v>2440</v>
      </c>
      <c r="H430" s="415" t="s">
        <v>468</v>
      </c>
      <c r="I430" s="456" t="s">
        <v>2437</v>
      </c>
      <c r="J430" s="461" t="s">
        <v>796</v>
      </c>
      <c r="K430" s="461" t="s">
        <v>797</v>
      </c>
      <c r="L430" s="461" t="s">
        <v>798</v>
      </c>
      <c r="M430" s="461" t="s">
        <v>310</v>
      </c>
      <c r="N430" s="414">
        <v>44670</v>
      </c>
      <c r="O430" s="414" t="s">
        <v>408</v>
      </c>
      <c r="P430" s="603">
        <f t="shared" si="26"/>
        <v>4</v>
      </c>
      <c r="Q430" s="603">
        <f t="shared" si="27"/>
        <v>4</v>
      </c>
      <c r="R430" s="604" t="str">
        <f t="shared" si="28"/>
        <v>Gastos_custeados_por_captação</v>
      </c>
      <c r="S430" s="605" t="s">
        <v>310</v>
      </c>
      <c r="T430" s="605" t="s">
        <v>310</v>
      </c>
    </row>
    <row r="431" spans="1:20" s="88" customFormat="1" ht="36" x14ac:dyDescent="0.2">
      <c r="A431" s="510">
        <f>IF(B431="","",COUNT('Diário 1º PA'!$A$4:$A$2635)+ROW()-3)</f>
        <v>2164</v>
      </c>
      <c r="B431" s="414">
        <v>44670</v>
      </c>
      <c r="C431" s="424">
        <v>44652</v>
      </c>
      <c r="D431" s="415" t="s">
        <v>468</v>
      </c>
      <c r="E431" s="415" t="s">
        <v>468</v>
      </c>
      <c r="F431" s="425">
        <v>-6000</v>
      </c>
      <c r="G431" s="427" t="s">
        <v>2436</v>
      </c>
      <c r="H431" s="415" t="s">
        <v>468</v>
      </c>
      <c r="I431" s="456" t="s">
        <v>2437</v>
      </c>
      <c r="J431" s="461" t="s">
        <v>796</v>
      </c>
      <c r="K431" s="461" t="s">
        <v>797</v>
      </c>
      <c r="L431" s="461" t="s">
        <v>798</v>
      </c>
      <c r="M431" s="461" t="s">
        <v>310</v>
      </c>
      <c r="N431" s="414">
        <v>44670</v>
      </c>
      <c r="O431" s="414" t="s">
        <v>408</v>
      </c>
      <c r="P431" s="603">
        <f t="shared" si="16"/>
        <v>4</v>
      </c>
      <c r="Q431" s="603">
        <f t="shared" si="17"/>
        <v>4</v>
      </c>
      <c r="R431" s="604" t="str">
        <f t="shared" si="18"/>
        <v>Gastos_custeados_por_captação</v>
      </c>
      <c r="S431" s="605" t="s">
        <v>310</v>
      </c>
      <c r="T431" s="605" t="s">
        <v>310</v>
      </c>
    </row>
    <row r="432" spans="1:20" s="88" customFormat="1" ht="110.1" customHeight="1" x14ac:dyDescent="0.2">
      <c r="A432" s="510">
        <f>IF(B432="","",COUNT('Diário 1º PA'!$A$4:$A$2635)+ROW()-3)</f>
        <v>2165</v>
      </c>
      <c r="B432" s="414">
        <v>44670</v>
      </c>
      <c r="C432" s="424">
        <v>44652</v>
      </c>
      <c r="D432" s="415" t="s">
        <v>468</v>
      </c>
      <c r="E432" s="415" t="s">
        <v>468</v>
      </c>
      <c r="F432" s="425">
        <v>11</v>
      </c>
      <c r="G432" s="427" t="s">
        <v>2469</v>
      </c>
      <c r="H432" s="415" t="s">
        <v>468</v>
      </c>
      <c r="I432" s="639" t="s">
        <v>881</v>
      </c>
      <c r="J432" s="418" t="s">
        <v>882</v>
      </c>
      <c r="K432" s="418" t="s">
        <v>883</v>
      </c>
      <c r="L432" s="399" t="s">
        <v>798</v>
      </c>
      <c r="M432" s="544" t="s">
        <v>310</v>
      </c>
      <c r="N432" s="414">
        <v>44670</v>
      </c>
      <c r="O432" s="414" t="s">
        <v>408</v>
      </c>
      <c r="P432" s="603">
        <f t="shared" si="16"/>
        <v>4</v>
      </c>
      <c r="Q432" s="603">
        <f t="shared" si="17"/>
        <v>4</v>
      </c>
      <c r="R432" s="604" t="str">
        <f t="shared" si="18"/>
        <v>Gastos_custeados_por_captação</v>
      </c>
      <c r="S432" s="605" t="s">
        <v>310</v>
      </c>
      <c r="T432" s="605" t="s">
        <v>310</v>
      </c>
    </row>
    <row r="433" spans="1:20" s="88" customFormat="1" ht="110.1" customHeight="1" x14ac:dyDescent="0.2">
      <c r="A433" s="510">
        <f>IF(B433="","",COUNT('Diário 1º PA'!$A$4:$A$2635)+ROW()-3)</f>
        <v>2166</v>
      </c>
      <c r="B433" s="414">
        <v>44670</v>
      </c>
      <c r="C433" s="592">
        <v>44621</v>
      </c>
      <c r="D433" s="415" t="s">
        <v>468</v>
      </c>
      <c r="E433" s="415" t="s">
        <v>468</v>
      </c>
      <c r="F433" s="425">
        <v>2500</v>
      </c>
      <c r="G433" s="427" t="s">
        <v>1986</v>
      </c>
      <c r="H433" s="415" t="s">
        <v>468</v>
      </c>
      <c r="I433" s="427" t="s">
        <v>4694</v>
      </c>
      <c r="J433" s="415" t="s">
        <v>4695</v>
      </c>
      <c r="K433" s="415" t="s">
        <v>830</v>
      </c>
      <c r="L433" s="415" t="s">
        <v>807</v>
      </c>
      <c r="M433" s="415" t="s">
        <v>848</v>
      </c>
      <c r="N433" s="414">
        <v>44669</v>
      </c>
      <c r="O433" s="414" t="s">
        <v>402</v>
      </c>
      <c r="P433" s="603">
        <f t="shared" ref="P433:P457" si="29">IF(B433=0,0,IF(YEAR(B433)=$Q$1,MONTH(B433)-$P$1+1,(YEAR(B433)-$Q$1)*12-$P$1+1+MONTH(B433)))</f>
        <v>4</v>
      </c>
      <c r="Q433" s="603">
        <f t="shared" ref="Q433:Q457" si="30">IF(C433=0,0,IF(YEAR(C433)=$Q$1,MONTH(C433)-$P$1+1,(YEAR(C433)-$Q$1)*12-$P$1+1+MONTH(C433)))</f>
        <v>3</v>
      </c>
      <c r="R433" s="604" t="str">
        <f t="shared" ref="R433:R457" si="31">SUBSTITUTE(D433," ","_")</f>
        <v>Gastos_custeados_por_captação</v>
      </c>
      <c r="S433" s="605" t="s">
        <v>1000</v>
      </c>
      <c r="T433" s="605">
        <v>3045</v>
      </c>
    </row>
    <row r="434" spans="1:20" s="88" customFormat="1" ht="96" x14ac:dyDescent="0.2">
      <c r="A434" s="510">
        <f>IF(B434="","",COUNT('Diário 1º PA'!$A$4:$A$2635)+ROW()-3)</f>
        <v>2167</v>
      </c>
      <c r="B434" s="414">
        <v>44670</v>
      </c>
      <c r="C434" s="592">
        <v>44621</v>
      </c>
      <c r="D434" s="415" t="s">
        <v>468</v>
      </c>
      <c r="E434" s="415" t="s">
        <v>468</v>
      </c>
      <c r="F434" s="425">
        <v>1500</v>
      </c>
      <c r="G434" s="427" t="s">
        <v>675</v>
      </c>
      <c r="H434" s="415" t="s">
        <v>468</v>
      </c>
      <c r="I434" s="427" t="s">
        <v>1727</v>
      </c>
      <c r="J434" s="415" t="s">
        <v>1088</v>
      </c>
      <c r="K434" s="415" t="s">
        <v>830</v>
      </c>
      <c r="L434" s="415" t="s">
        <v>807</v>
      </c>
      <c r="M434" s="414" t="s">
        <v>842</v>
      </c>
      <c r="N434" s="414">
        <v>44665</v>
      </c>
      <c r="O434" s="414" t="s">
        <v>402</v>
      </c>
      <c r="P434" s="603">
        <f t="shared" si="29"/>
        <v>4</v>
      </c>
      <c r="Q434" s="603">
        <f t="shared" si="30"/>
        <v>3</v>
      </c>
      <c r="R434" s="604" t="str">
        <f t="shared" si="31"/>
        <v>Gastos_custeados_por_captação</v>
      </c>
      <c r="S434" s="605" t="s">
        <v>998</v>
      </c>
      <c r="T434" s="605">
        <v>2714</v>
      </c>
    </row>
    <row r="435" spans="1:20" s="88" customFormat="1" ht="60" x14ac:dyDescent="0.2">
      <c r="A435" s="510">
        <f>IF(B435="","",COUNT('Diário 1º PA'!$A$4:$A$2635)+ROW()-3)</f>
        <v>2168</v>
      </c>
      <c r="B435" s="414">
        <v>44670</v>
      </c>
      <c r="C435" s="592">
        <v>44652</v>
      </c>
      <c r="D435" s="415" t="s">
        <v>468</v>
      </c>
      <c r="E435" s="415" t="s">
        <v>468</v>
      </c>
      <c r="F435" s="425">
        <v>6000</v>
      </c>
      <c r="G435" s="427" t="s">
        <v>2679</v>
      </c>
      <c r="H435" s="415" t="s">
        <v>468</v>
      </c>
      <c r="I435" s="456" t="s">
        <v>2437</v>
      </c>
      <c r="J435" s="461" t="s">
        <v>796</v>
      </c>
      <c r="K435" s="461" t="s">
        <v>806</v>
      </c>
      <c r="L435" s="461" t="s">
        <v>798</v>
      </c>
      <c r="M435" s="461" t="s">
        <v>310</v>
      </c>
      <c r="N435" s="414">
        <v>44670</v>
      </c>
      <c r="O435" s="414" t="s">
        <v>404</v>
      </c>
      <c r="P435" s="603">
        <f t="shared" si="29"/>
        <v>4</v>
      </c>
      <c r="Q435" s="603">
        <f t="shared" si="30"/>
        <v>4</v>
      </c>
      <c r="R435" s="604" t="str">
        <f t="shared" si="31"/>
        <v>Gastos_custeados_por_captação</v>
      </c>
      <c r="S435" s="605" t="s">
        <v>310</v>
      </c>
      <c r="T435" s="605" t="s">
        <v>310</v>
      </c>
    </row>
    <row r="436" spans="1:20" s="88" customFormat="1" ht="110.1" customHeight="1" x14ac:dyDescent="0.2">
      <c r="A436" s="510">
        <f>IF(B436="","",COUNT('Diário 1º PA'!$A$4:$A$2635)+ROW()-3)</f>
        <v>2169</v>
      </c>
      <c r="B436" s="414">
        <v>44670</v>
      </c>
      <c r="C436" s="592">
        <v>44652</v>
      </c>
      <c r="D436" s="415" t="s">
        <v>468</v>
      </c>
      <c r="E436" s="415" t="s">
        <v>468</v>
      </c>
      <c r="F436" s="425">
        <v>6000</v>
      </c>
      <c r="G436" s="427" t="s">
        <v>2678</v>
      </c>
      <c r="H436" s="415" t="s">
        <v>468</v>
      </c>
      <c r="I436" s="456" t="s">
        <v>2437</v>
      </c>
      <c r="J436" s="461" t="s">
        <v>796</v>
      </c>
      <c r="K436" s="461" t="s">
        <v>806</v>
      </c>
      <c r="L436" s="461" t="s">
        <v>798</v>
      </c>
      <c r="M436" s="461" t="s">
        <v>310</v>
      </c>
      <c r="N436" s="414">
        <v>44670</v>
      </c>
      <c r="O436" s="414" t="s">
        <v>404</v>
      </c>
      <c r="P436" s="603">
        <f t="shared" si="29"/>
        <v>4</v>
      </c>
      <c r="Q436" s="603">
        <f t="shared" si="30"/>
        <v>4</v>
      </c>
      <c r="R436" s="604" t="str">
        <f t="shared" si="31"/>
        <v>Gastos_custeados_por_captação</v>
      </c>
      <c r="S436" s="605" t="s">
        <v>310</v>
      </c>
      <c r="T436" s="605" t="s">
        <v>310</v>
      </c>
    </row>
    <row r="437" spans="1:20" s="88" customFormat="1" ht="110.1" customHeight="1" x14ac:dyDescent="0.2">
      <c r="A437" s="510">
        <f>IF(B437="","",COUNT('Diário 1º PA'!$A$4:$A$2635)+ROW()-3)</f>
        <v>2170</v>
      </c>
      <c r="B437" s="414">
        <v>44670</v>
      </c>
      <c r="C437" s="592">
        <v>44562</v>
      </c>
      <c r="D437" s="415" t="s">
        <v>468</v>
      </c>
      <c r="E437" s="415" t="s">
        <v>468</v>
      </c>
      <c r="F437" s="425">
        <v>979.9</v>
      </c>
      <c r="G437" s="427" t="s">
        <v>743</v>
      </c>
      <c r="H437" s="415" t="s">
        <v>468</v>
      </c>
      <c r="I437" s="427" t="s">
        <v>4709</v>
      </c>
      <c r="J437" s="415" t="s">
        <v>1161</v>
      </c>
      <c r="K437" s="415" t="s">
        <v>830</v>
      </c>
      <c r="L437" s="415" t="s">
        <v>32</v>
      </c>
      <c r="M437" s="415" t="s">
        <v>1608</v>
      </c>
      <c r="N437" s="414">
        <v>44665</v>
      </c>
      <c r="O437" s="414" t="s">
        <v>404</v>
      </c>
      <c r="P437" s="603">
        <f t="shared" si="29"/>
        <v>4</v>
      </c>
      <c r="Q437" s="603">
        <f t="shared" si="30"/>
        <v>1</v>
      </c>
      <c r="R437" s="604" t="str">
        <f t="shared" si="31"/>
        <v>Gastos_custeados_por_captação</v>
      </c>
      <c r="S437" s="605" t="s">
        <v>998</v>
      </c>
      <c r="T437" s="605">
        <v>2818</v>
      </c>
    </row>
    <row r="438" spans="1:20" s="88" customFormat="1" ht="110.1" customHeight="1" x14ac:dyDescent="0.2">
      <c r="A438" s="510">
        <f>IF(B438="","",COUNT('Diário 1º PA'!$A$4:$A$2635)+ROW()-3)</f>
        <v>2171</v>
      </c>
      <c r="B438" s="414">
        <v>44670</v>
      </c>
      <c r="C438" s="592">
        <v>44562</v>
      </c>
      <c r="D438" s="415" t="s">
        <v>468</v>
      </c>
      <c r="E438" s="415" t="s">
        <v>468</v>
      </c>
      <c r="F438" s="425">
        <v>7876.26</v>
      </c>
      <c r="G438" s="427" t="s">
        <v>1294</v>
      </c>
      <c r="H438" s="415" t="s">
        <v>468</v>
      </c>
      <c r="I438" s="427" t="s">
        <v>3600</v>
      </c>
      <c r="J438" s="415" t="s">
        <v>1293</v>
      </c>
      <c r="K438" s="415" t="s">
        <v>830</v>
      </c>
      <c r="L438" s="415" t="s">
        <v>32</v>
      </c>
      <c r="M438" s="415" t="s">
        <v>2252</v>
      </c>
      <c r="N438" s="414">
        <v>44670</v>
      </c>
      <c r="O438" s="414" t="s">
        <v>404</v>
      </c>
      <c r="P438" s="603">
        <f t="shared" si="29"/>
        <v>4</v>
      </c>
      <c r="Q438" s="603">
        <f t="shared" si="30"/>
        <v>1</v>
      </c>
      <c r="R438" s="604" t="str">
        <f t="shared" si="31"/>
        <v>Gastos_custeados_por_captação</v>
      </c>
      <c r="S438" s="605" t="s">
        <v>998</v>
      </c>
      <c r="T438" s="605">
        <v>2826</v>
      </c>
    </row>
    <row r="439" spans="1:20" s="88" customFormat="1" ht="60" x14ac:dyDescent="0.2">
      <c r="A439" s="510">
        <f>IF(B439="","",COUNT('Diário 1º PA'!$A$4:$A$2635)+ROW()-3)</f>
        <v>2172</v>
      </c>
      <c r="B439" s="414">
        <v>44670</v>
      </c>
      <c r="C439" s="592">
        <v>44621</v>
      </c>
      <c r="D439" s="415" t="s">
        <v>468</v>
      </c>
      <c r="E439" s="415" t="s">
        <v>468</v>
      </c>
      <c r="F439" s="425">
        <v>23000</v>
      </c>
      <c r="G439" s="427" t="s">
        <v>2263</v>
      </c>
      <c r="H439" s="415" t="s">
        <v>468</v>
      </c>
      <c r="I439" s="427" t="s">
        <v>4710</v>
      </c>
      <c r="J439" s="415" t="s">
        <v>2264</v>
      </c>
      <c r="K439" s="415" t="s">
        <v>830</v>
      </c>
      <c r="L439" s="415" t="s">
        <v>2140</v>
      </c>
      <c r="M439" s="415" t="s">
        <v>4711</v>
      </c>
      <c r="N439" s="414" t="s">
        <v>4712</v>
      </c>
      <c r="O439" s="414" t="s">
        <v>404</v>
      </c>
      <c r="P439" s="603">
        <f t="shared" si="29"/>
        <v>4</v>
      </c>
      <c r="Q439" s="603">
        <f t="shared" si="30"/>
        <v>3</v>
      </c>
      <c r="R439" s="604" t="str">
        <f t="shared" si="31"/>
        <v>Gastos_custeados_por_captação</v>
      </c>
      <c r="S439" s="605" t="s">
        <v>998</v>
      </c>
      <c r="T439" s="605">
        <v>3127</v>
      </c>
    </row>
    <row r="440" spans="1:20" s="88" customFormat="1" ht="60" x14ac:dyDescent="0.2">
      <c r="A440" s="510">
        <f>IF(B440="","",COUNT('Diário 1º PA'!$A$4:$A$2635)+ROW()-3)</f>
        <v>2173</v>
      </c>
      <c r="B440" s="414">
        <v>44670</v>
      </c>
      <c r="C440" s="592">
        <v>44652</v>
      </c>
      <c r="D440" s="415" t="s">
        <v>468</v>
      </c>
      <c r="E440" s="415" t="s">
        <v>468</v>
      </c>
      <c r="F440" s="425">
        <v>5000</v>
      </c>
      <c r="G440" s="427" t="s">
        <v>4713</v>
      </c>
      <c r="H440" s="415" t="s">
        <v>468</v>
      </c>
      <c r="I440" s="456" t="s">
        <v>2437</v>
      </c>
      <c r="J440" s="461" t="s">
        <v>796</v>
      </c>
      <c r="K440" s="461" t="s">
        <v>806</v>
      </c>
      <c r="L440" s="461" t="s">
        <v>798</v>
      </c>
      <c r="M440" s="461" t="s">
        <v>310</v>
      </c>
      <c r="N440" s="414">
        <v>44670</v>
      </c>
      <c r="O440" s="414" t="s">
        <v>405</v>
      </c>
      <c r="P440" s="603">
        <f t="shared" si="29"/>
        <v>4</v>
      </c>
      <c r="Q440" s="603">
        <f t="shared" si="30"/>
        <v>4</v>
      </c>
      <c r="R440" s="604" t="str">
        <f t="shared" si="31"/>
        <v>Gastos_custeados_por_captação</v>
      </c>
      <c r="S440" s="605" t="s">
        <v>310</v>
      </c>
      <c r="T440" s="605" t="s">
        <v>310</v>
      </c>
    </row>
    <row r="441" spans="1:20" ht="60" x14ac:dyDescent="0.2">
      <c r="A441" s="510">
        <f>IF(B441="","",COUNT('Diário 1º PA'!$A$4:$A$2635)+ROW()-3)</f>
        <v>2174</v>
      </c>
      <c r="B441" s="414">
        <v>44670</v>
      </c>
      <c r="C441" s="592">
        <v>44652</v>
      </c>
      <c r="D441" s="415" t="s">
        <v>468</v>
      </c>
      <c r="E441" s="415" t="s">
        <v>468</v>
      </c>
      <c r="F441" s="425">
        <v>5000</v>
      </c>
      <c r="G441" s="427" t="s">
        <v>4714</v>
      </c>
      <c r="H441" s="415" t="s">
        <v>468</v>
      </c>
      <c r="I441" s="456" t="s">
        <v>2437</v>
      </c>
      <c r="J441" s="461" t="s">
        <v>796</v>
      </c>
      <c r="K441" s="461" t="s">
        <v>806</v>
      </c>
      <c r="L441" s="461" t="s">
        <v>798</v>
      </c>
      <c r="M441" s="461" t="s">
        <v>310</v>
      </c>
      <c r="N441" s="414">
        <v>44670</v>
      </c>
      <c r="O441" s="414" t="s">
        <v>405</v>
      </c>
      <c r="P441" s="603">
        <f t="shared" si="29"/>
        <v>4</v>
      </c>
      <c r="Q441" s="603">
        <f t="shared" si="30"/>
        <v>4</v>
      </c>
      <c r="R441" s="604" t="str">
        <f t="shared" si="31"/>
        <v>Gastos_custeados_por_captação</v>
      </c>
      <c r="S441" s="605" t="s">
        <v>310</v>
      </c>
      <c r="T441" s="605" t="s">
        <v>310</v>
      </c>
    </row>
    <row r="442" spans="1:20" ht="72" x14ac:dyDescent="0.2">
      <c r="A442" s="510">
        <f>IF(B442="","",COUNT('Diário 1º PA'!$A$4:$A$2635)+ROW()-3)</f>
        <v>2175</v>
      </c>
      <c r="B442" s="414">
        <v>44670</v>
      </c>
      <c r="C442" s="592">
        <v>44621</v>
      </c>
      <c r="D442" s="415" t="s">
        <v>468</v>
      </c>
      <c r="E442" s="415" t="s">
        <v>468</v>
      </c>
      <c r="F442" s="425">
        <v>989</v>
      </c>
      <c r="G442" s="427" t="s">
        <v>2278</v>
      </c>
      <c r="H442" s="415" t="s">
        <v>468</v>
      </c>
      <c r="I442" s="427" t="s">
        <v>4715</v>
      </c>
      <c r="J442" s="415" t="s">
        <v>2279</v>
      </c>
      <c r="K442" s="415" t="s">
        <v>830</v>
      </c>
      <c r="L442" s="415" t="s">
        <v>839</v>
      </c>
      <c r="M442" s="415">
        <v>1700</v>
      </c>
      <c r="N442" s="414">
        <v>44670</v>
      </c>
      <c r="O442" s="414" t="s">
        <v>407</v>
      </c>
      <c r="P442" s="603">
        <f t="shared" si="29"/>
        <v>4</v>
      </c>
      <c r="Q442" s="603">
        <f t="shared" si="30"/>
        <v>3</v>
      </c>
      <c r="R442" s="604" t="str">
        <f t="shared" si="31"/>
        <v>Gastos_custeados_por_captação</v>
      </c>
      <c r="S442" s="605" t="s">
        <v>998</v>
      </c>
      <c r="T442" s="605">
        <v>3179</v>
      </c>
    </row>
    <row r="443" spans="1:20" ht="72" x14ac:dyDescent="0.2">
      <c r="A443" s="510">
        <f>IF(B443="","",COUNT('Diário 1º PA'!$A$4:$A$2635)+ROW()-3)</f>
        <v>2176</v>
      </c>
      <c r="B443" s="414">
        <v>44670</v>
      </c>
      <c r="C443" s="592">
        <v>44378</v>
      </c>
      <c r="D443" s="415" t="s">
        <v>468</v>
      </c>
      <c r="E443" s="415" t="s">
        <v>468</v>
      </c>
      <c r="F443" s="425">
        <v>3.23</v>
      </c>
      <c r="G443" s="427" t="s">
        <v>4716</v>
      </c>
      <c r="H443" s="415" t="s">
        <v>468</v>
      </c>
      <c r="I443" s="639" t="s">
        <v>881</v>
      </c>
      <c r="J443" s="418" t="s">
        <v>882</v>
      </c>
      <c r="K443" s="418" t="s">
        <v>883</v>
      </c>
      <c r="L443" s="399" t="s">
        <v>798</v>
      </c>
      <c r="M443" s="544" t="s">
        <v>310</v>
      </c>
      <c r="N443" s="414">
        <v>44670</v>
      </c>
      <c r="O443" s="414" t="s">
        <v>407</v>
      </c>
      <c r="P443" s="603">
        <f t="shared" si="29"/>
        <v>4</v>
      </c>
      <c r="Q443" s="603">
        <f t="shared" si="30"/>
        <v>-5</v>
      </c>
      <c r="R443" s="604" t="str">
        <f t="shared" si="31"/>
        <v>Gastos_custeados_por_captação</v>
      </c>
      <c r="S443" s="605" t="s">
        <v>310</v>
      </c>
      <c r="T443" s="605" t="s">
        <v>310</v>
      </c>
    </row>
    <row r="444" spans="1:20" ht="72" x14ac:dyDescent="0.2">
      <c r="A444" s="510">
        <f>IF(B444="","",COUNT('Diário 1º PA'!$A$4:$A$2635)+ROW()-3)</f>
        <v>2177</v>
      </c>
      <c r="B444" s="414">
        <v>44670</v>
      </c>
      <c r="C444" s="592">
        <v>44378</v>
      </c>
      <c r="D444" s="415" t="s">
        <v>468</v>
      </c>
      <c r="E444" s="415" t="s">
        <v>468</v>
      </c>
      <c r="F444" s="425">
        <v>850</v>
      </c>
      <c r="G444" s="427" t="s">
        <v>4717</v>
      </c>
      <c r="H444" s="415" t="s">
        <v>468</v>
      </c>
      <c r="I444" s="427" t="s">
        <v>4718</v>
      </c>
      <c r="J444" s="415">
        <v>548564832</v>
      </c>
      <c r="K444" s="415" t="s">
        <v>2389</v>
      </c>
      <c r="L444" s="415" t="s">
        <v>1305</v>
      </c>
      <c r="M444" s="415" t="s">
        <v>310</v>
      </c>
      <c r="N444" s="414">
        <v>44670</v>
      </c>
      <c r="O444" s="414" t="s">
        <v>407</v>
      </c>
      <c r="P444" s="603">
        <f t="shared" si="29"/>
        <v>4</v>
      </c>
      <c r="Q444" s="603">
        <f t="shared" si="30"/>
        <v>-5</v>
      </c>
      <c r="R444" s="604" t="str">
        <f t="shared" si="31"/>
        <v>Gastos_custeados_por_captação</v>
      </c>
      <c r="S444" s="605" t="s">
        <v>998</v>
      </c>
      <c r="T444" s="605">
        <v>2075</v>
      </c>
    </row>
    <row r="445" spans="1:20" ht="72" x14ac:dyDescent="0.2">
      <c r="A445" s="510">
        <f>IF(B445="","",COUNT('Diário 1º PA'!$A$4:$A$2635)+ROW()-3)</f>
        <v>2178</v>
      </c>
      <c r="B445" s="414">
        <v>44670</v>
      </c>
      <c r="C445" s="592">
        <v>44378</v>
      </c>
      <c r="D445" s="415" t="s">
        <v>468</v>
      </c>
      <c r="E445" s="415" t="s">
        <v>468</v>
      </c>
      <c r="F445" s="425">
        <v>440</v>
      </c>
      <c r="G445" s="427" t="s">
        <v>4719</v>
      </c>
      <c r="H445" s="415" t="s">
        <v>468</v>
      </c>
      <c r="I445" s="639" t="s">
        <v>881</v>
      </c>
      <c r="J445" s="418" t="s">
        <v>882</v>
      </c>
      <c r="K445" s="418" t="s">
        <v>883</v>
      </c>
      <c r="L445" s="399" t="s">
        <v>798</v>
      </c>
      <c r="M445" s="544" t="s">
        <v>310</v>
      </c>
      <c r="N445" s="414">
        <v>44670</v>
      </c>
      <c r="O445" s="414" t="s">
        <v>407</v>
      </c>
      <c r="P445" s="603">
        <f t="shared" si="29"/>
        <v>4</v>
      </c>
      <c r="Q445" s="603">
        <f t="shared" si="30"/>
        <v>-5</v>
      </c>
      <c r="R445" s="604" t="str">
        <f t="shared" si="31"/>
        <v>Gastos_custeados_por_captação</v>
      </c>
      <c r="S445" s="605" t="s">
        <v>310</v>
      </c>
      <c r="T445" s="605" t="s">
        <v>310</v>
      </c>
    </row>
    <row r="446" spans="1:20" ht="72" x14ac:dyDescent="0.2">
      <c r="A446" s="510">
        <f>IF(B446="","",COUNT('Diário 1º PA'!$A$4:$A$2635)+ROW()-3)</f>
        <v>2179</v>
      </c>
      <c r="B446" s="414">
        <v>44670</v>
      </c>
      <c r="C446" s="592">
        <v>44378</v>
      </c>
      <c r="D446" s="415" t="s">
        <v>468</v>
      </c>
      <c r="E446" s="415" t="s">
        <v>468</v>
      </c>
      <c r="F446" s="425">
        <v>152.29</v>
      </c>
      <c r="G446" s="427" t="s">
        <v>4720</v>
      </c>
      <c r="H446" s="415" t="s">
        <v>468</v>
      </c>
      <c r="I446" s="427" t="s">
        <v>1461</v>
      </c>
      <c r="J446" s="415" t="s">
        <v>310</v>
      </c>
      <c r="K446" s="415" t="s">
        <v>1220</v>
      </c>
      <c r="L446" s="415" t="s">
        <v>1368</v>
      </c>
      <c r="M446" s="415" t="s">
        <v>310</v>
      </c>
      <c r="N446" s="414">
        <v>44670</v>
      </c>
      <c r="O446" s="414" t="s">
        <v>407</v>
      </c>
      <c r="P446" s="603">
        <f t="shared" si="29"/>
        <v>4</v>
      </c>
      <c r="Q446" s="603">
        <f t="shared" si="30"/>
        <v>-5</v>
      </c>
      <c r="R446" s="604" t="str">
        <f t="shared" si="31"/>
        <v>Gastos_custeados_por_captação</v>
      </c>
      <c r="S446" s="605" t="s">
        <v>310</v>
      </c>
      <c r="T446" s="605" t="s">
        <v>310</v>
      </c>
    </row>
    <row r="447" spans="1:20" ht="72" x14ac:dyDescent="0.2">
      <c r="A447" s="510">
        <f>IF(B447="","",COUNT('Diário 1º PA'!$A$4:$A$2635)+ROW()-3)</f>
        <v>2180</v>
      </c>
      <c r="B447" s="414">
        <v>44670</v>
      </c>
      <c r="C447" s="592">
        <v>44470</v>
      </c>
      <c r="D447" s="415" t="s">
        <v>468</v>
      </c>
      <c r="E447" s="415" t="s">
        <v>468</v>
      </c>
      <c r="F447" s="425">
        <v>6.46</v>
      </c>
      <c r="G447" s="427" t="s">
        <v>4716</v>
      </c>
      <c r="H447" s="415" t="s">
        <v>468</v>
      </c>
      <c r="I447" s="639" t="s">
        <v>881</v>
      </c>
      <c r="J447" s="418" t="s">
        <v>882</v>
      </c>
      <c r="K447" s="418" t="s">
        <v>883</v>
      </c>
      <c r="L447" s="399" t="s">
        <v>798</v>
      </c>
      <c r="M447" s="544" t="s">
        <v>310</v>
      </c>
      <c r="N447" s="414">
        <v>44670</v>
      </c>
      <c r="O447" s="414" t="s">
        <v>407</v>
      </c>
      <c r="P447" s="603">
        <f t="shared" si="29"/>
        <v>4</v>
      </c>
      <c r="Q447" s="603">
        <f t="shared" si="30"/>
        <v>-2</v>
      </c>
      <c r="R447" s="604" t="str">
        <f t="shared" si="31"/>
        <v>Gastos_custeados_por_captação</v>
      </c>
      <c r="S447" s="605" t="s">
        <v>310</v>
      </c>
      <c r="T447" s="605" t="s">
        <v>310</v>
      </c>
    </row>
    <row r="448" spans="1:20" ht="72" x14ac:dyDescent="0.2">
      <c r="A448" s="510">
        <f>IF(B448="","",COUNT('Diário 1º PA'!$A$4:$A$2635)+ROW()-3)</f>
        <v>2181</v>
      </c>
      <c r="B448" s="414">
        <v>44670</v>
      </c>
      <c r="C448" s="592">
        <v>44470</v>
      </c>
      <c r="D448" s="415" t="s">
        <v>468</v>
      </c>
      <c r="E448" s="415" t="s">
        <v>468</v>
      </c>
      <c r="F448" s="425">
        <v>1700</v>
      </c>
      <c r="G448" s="427" t="s">
        <v>4721</v>
      </c>
      <c r="H448" s="415" t="s">
        <v>468</v>
      </c>
      <c r="I448" s="427" t="s">
        <v>4722</v>
      </c>
      <c r="J448" s="415" t="s">
        <v>310</v>
      </c>
      <c r="K448" s="415" t="s">
        <v>2389</v>
      </c>
      <c r="L448" s="415" t="s">
        <v>1305</v>
      </c>
      <c r="M448" s="415" t="s">
        <v>310</v>
      </c>
      <c r="N448" s="414">
        <v>44670</v>
      </c>
      <c r="O448" s="414" t="s">
        <v>407</v>
      </c>
      <c r="P448" s="603">
        <f t="shared" si="29"/>
        <v>4</v>
      </c>
      <c r="Q448" s="603">
        <f t="shared" si="30"/>
        <v>-2</v>
      </c>
      <c r="R448" s="604" t="str">
        <f t="shared" si="31"/>
        <v>Gastos_custeados_por_captação</v>
      </c>
      <c r="S448" s="605" t="s">
        <v>998</v>
      </c>
      <c r="T448" s="605">
        <v>2040</v>
      </c>
    </row>
    <row r="449" spans="1:20" ht="72" x14ac:dyDescent="0.2">
      <c r="A449" s="510">
        <f>IF(B449="","",COUNT('Diário 1º PA'!$A$4:$A$2635)+ROW()-3)</f>
        <v>2182</v>
      </c>
      <c r="B449" s="414">
        <v>44670</v>
      </c>
      <c r="C449" s="592">
        <v>44470</v>
      </c>
      <c r="D449" s="415" t="s">
        <v>468</v>
      </c>
      <c r="E449" s="415" t="s">
        <v>468</v>
      </c>
      <c r="F449" s="425">
        <v>440</v>
      </c>
      <c r="G449" s="427" t="s">
        <v>4719</v>
      </c>
      <c r="H449" s="415" t="s">
        <v>468</v>
      </c>
      <c r="I449" s="639" t="s">
        <v>881</v>
      </c>
      <c r="J449" s="418" t="s">
        <v>882</v>
      </c>
      <c r="K449" s="418" t="s">
        <v>883</v>
      </c>
      <c r="L449" s="399" t="s">
        <v>798</v>
      </c>
      <c r="M449" s="544" t="s">
        <v>310</v>
      </c>
      <c r="N449" s="414">
        <v>44670</v>
      </c>
      <c r="O449" s="414" t="s">
        <v>407</v>
      </c>
      <c r="P449" s="603">
        <f t="shared" si="29"/>
        <v>4</v>
      </c>
      <c r="Q449" s="603">
        <f t="shared" si="30"/>
        <v>-2</v>
      </c>
      <c r="R449" s="604" t="str">
        <f t="shared" si="31"/>
        <v>Gastos_custeados_por_captação</v>
      </c>
      <c r="S449" s="605" t="s">
        <v>310</v>
      </c>
      <c r="T449" s="605" t="s">
        <v>310</v>
      </c>
    </row>
    <row r="450" spans="1:20" ht="72" x14ac:dyDescent="0.2">
      <c r="A450" s="510">
        <f>IF(B450="","",COUNT('Diário 1º PA'!$A$4:$A$2635)+ROW()-3)</f>
        <v>2183</v>
      </c>
      <c r="B450" s="414">
        <v>44670</v>
      </c>
      <c r="C450" s="592">
        <v>44470</v>
      </c>
      <c r="D450" s="415" t="s">
        <v>468</v>
      </c>
      <c r="E450" s="415" t="s">
        <v>468</v>
      </c>
      <c r="F450" s="425">
        <v>303.41000000000003</v>
      </c>
      <c r="G450" s="427" t="s">
        <v>4720</v>
      </c>
      <c r="H450" s="415" t="s">
        <v>468</v>
      </c>
      <c r="I450" s="427" t="s">
        <v>1461</v>
      </c>
      <c r="J450" s="415" t="s">
        <v>310</v>
      </c>
      <c r="K450" s="415" t="s">
        <v>1220</v>
      </c>
      <c r="L450" s="415" t="s">
        <v>1368</v>
      </c>
      <c r="M450" s="415" t="s">
        <v>310</v>
      </c>
      <c r="N450" s="414">
        <v>44670</v>
      </c>
      <c r="O450" s="414" t="s">
        <v>407</v>
      </c>
      <c r="P450" s="603">
        <f t="shared" si="29"/>
        <v>4</v>
      </c>
      <c r="Q450" s="603">
        <f t="shared" si="30"/>
        <v>-2</v>
      </c>
      <c r="R450" s="604" t="str">
        <f t="shared" si="31"/>
        <v>Gastos_custeados_por_captação</v>
      </c>
      <c r="S450" s="605" t="s">
        <v>310</v>
      </c>
      <c r="T450" s="605" t="s">
        <v>310</v>
      </c>
    </row>
    <row r="451" spans="1:20" ht="72" x14ac:dyDescent="0.2">
      <c r="A451" s="510">
        <f>IF(B451="","",COUNT('Diário 1º PA'!$A$4:$A$2635)+ROW()-3)</f>
        <v>2184</v>
      </c>
      <c r="B451" s="414">
        <v>44670</v>
      </c>
      <c r="C451" s="592">
        <v>44652</v>
      </c>
      <c r="D451" s="415" t="s">
        <v>468</v>
      </c>
      <c r="E451" s="415" t="s">
        <v>468</v>
      </c>
      <c r="F451" s="425">
        <v>289.89999999999998</v>
      </c>
      <c r="G451" s="427" t="s">
        <v>3327</v>
      </c>
      <c r="H451" s="415" t="s">
        <v>468</v>
      </c>
      <c r="I451" s="427" t="s">
        <v>4733</v>
      </c>
      <c r="J451" s="415" t="s">
        <v>4406</v>
      </c>
      <c r="K451" s="415" t="s">
        <v>830</v>
      </c>
      <c r="L451" s="415" t="s">
        <v>807</v>
      </c>
      <c r="M451" s="415">
        <v>2823</v>
      </c>
      <c r="N451" s="414">
        <v>44669</v>
      </c>
      <c r="O451" s="414" t="s">
        <v>407</v>
      </c>
      <c r="P451" s="603">
        <f t="shared" si="29"/>
        <v>4</v>
      </c>
      <c r="Q451" s="603">
        <f t="shared" si="30"/>
        <v>4</v>
      </c>
      <c r="R451" s="604" t="str">
        <f t="shared" si="31"/>
        <v>Gastos_custeados_por_captação</v>
      </c>
      <c r="S451" s="605" t="s">
        <v>999</v>
      </c>
      <c r="T451" s="605">
        <v>3458</v>
      </c>
    </row>
    <row r="452" spans="1:20" ht="72" x14ac:dyDescent="0.2">
      <c r="A452" s="510">
        <f>IF(B452="","",COUNT('Diário 1º PA'!$A$4:$A$2635)+ROW()-3)</f>
        <v>2185</v>
      </c>
      <c r="B452" s="414">
        <v>44670</v>
      </c>
      <c r="C452" s="592">
        <v>44621</v>
      </c>
      <c r="D452" s="415" t="s">
        <v>468</v>
      </c>
      <c r="E452" s="415" t="s">
        <v>468</v>
      </c>
      <c r="F452" s="425">
        <v>144.19</v>
      </c>
      <c r="G452" s="427" t="s">
        <v>2554</v>
      </c>
      <c r="H452" s="415" t="s">
        <v>468</v>
      </c>
      <c r="I452" s="427" t="s">
        <v>2180</v>
      </c>
      <c r="J452" s="415" t="s">
        <v>1010</v>
      </c>
      <c r="K452" s="415" t="s">
        <v>830</v>
      </c>
      <c r="L452" s="415" t="s">
        <v>807</v>
      </c>
      <c r="M452" s="415" t="s">
        <v>1711</v>
      </c>
      <c r="N452" s="414">
        <v>44665</v>
      </c>
      <c r="O452" s="414" t="s">
        <v>407</v>
      </c>
      <c r="P452" s="603">
        <f t="shared" si="29"/>
        <v>4</v>
      </c>
      <c r="Q452" s="603">
        <f t="shared" si="30"/>
        <v>3</v>
      </c>
      <c r="R452" s="604" t="str">
        <f t="shared" si="31"/>
        <v>Gastos_custeados_por_captação</v>
      </c>
      <c r="S452" s="605" t="s">
        <v>998</v>
      </c>
      <c r="T452" s="605">
        <v>3299</v>
      </c>
    </row>
    <row r="453" spans="1:20" ht="72" x14ac:dyDescent="0.2">
      <c r="A453" s="510">
        <f>IF(B453="","",COUNT('Diário 1º PA'!$A$4:$A$2635)+ROW()-3)</f>
        <v>2186</v>
      </c>
      <c r="B453" s="414">
        <v>44670</v>
      </c>
      <c r="C453" s="592">
        <v>44652</v>
      </c>
      <c r="D453" s="415" t="s">
        <v>468</v>
      </c>
      <c r="E453" s="415" t="s">
        <v>468</v>
      </c>
      <c r="F453" s="425">
        <v>294.5</v>
      </c>
      <c r="G453" s="427" t="s">
        <v>3404</v>
      </c>
      <c r="H453" s="415" t="s">
        <v>468</v>
      </c>
      <c r="I453" s="427" t="s">
        <v>4734</v>
      </c>
      <c r="J453" s="415" t="s">
        <v>3405</v>
      </c>
      <c r="K453" s="415" t="s">
        <v>830</v>
      </c>
      <c r="L453" s="415" t="s">
        <v>807</v>
      </c>
      <c r="M453" s="415">
        <v>3119</v>
      </c>
      <c r="N453" s="414">
        <v>44670</v>
      </c>
      <c r="O453" s="414" t="s">
        <v>407</v>
      </c>
      <c r="P453" s="603">
        <f t="shared" si="29"/>
        <v>4</v>
      </c>
      <c r="Q453" s="603">
        <f t="shared" si="30"/>
        <v>4</v>
      </c>
      <c r="R453" s="604" t="str">
        <f t="shared" si="31"/>
        <v>Gastos_custeados_por_captação</v>
      </c>
      <c r="S453" s="605" t="s">
        <v>998</v>
      </c>
      <c r="T453" s="605">
        <v>3462</v>
      </c>
    </row>
    <row r="454" spans="1:20" ht="72" x14ac:dyDescent="0.2">
      <c r="A454" s="510">
        <f>IF(B454="","",COUNT('Diário 1º PA'!$A$4:$A$2635)+ROW()-3)</f>
        <v>2187</v>
      </c>
      <c r="B454" s="414">
        <v>44670</v>
      </c>
      <c r="C454" s="592">
        <v>44378</v>
      </c>
      <c r="D454" s="415" t="s">
        <v>468</v>
      </c>
      <c r="E454" s="415" t="s">
        <v>468</v>
      </c>
      <c r="F454" s="425">
        <v>87.93</v>
      </c>
      <c r="G454" s="427" t="s">
        <v>4735</v>
      </c>
      <c r="H454" s="415" t="s">
        <v>468</v>
      </c>
      <c r="I454" s="427" t="s">
        <v>1461</v>
      </c>
      <c r="J454" s="415" t="s">
        <v>310</v>
      </c>
      <c r="K454" s="415" t="s">
        <v>1220</v>
      </c>
      <c r="L454" s="415" t="s">
        <v>1368</v>
      </c>
      <c r="M454" s="415" t="s">
        <v>310</v>
      </c>
      <c r="N454" s="414">
        <v>44670</v>
      </c>
      <c r="O454" s="414" t="s">
        <v>407</v>
      </c>
      <c r="P454" s="603">
        <f t="shared" si="29"/>
        <v>4</v>
      </c>
      <c r="Q454" s="603">
        <f t="shared" si="30"/>
        <v>-5</v>
      </c>
      <c r="R454" s="604" t="str">
        <f t="shared" si="31"/>
        <v>Gastos_custeados_por_captação</v>
      </c>
      <c r="S454" s="605" t="s">
        <v>310</v>
      </c>
      <c r="T454" s="605" t="s">
        <v>310</v>
      </c>
    </row>
    <row r="455" spans="1:20" ht="72" x14ac:dyDescent="0.2">
      <c r="A455" s="510">
        <f>IF(B455="","",COUNT('Diário 1º PA'!$A$4:$A$2635)+ROW()-3)</f>
        <v>2188</v>
      </c>
      <c r="B455" s="414">
        <v>44670</v>
      </c>
      <c r="C455" s="592">
        <v>44378</v>
      </c>
      <c r="D455" s="415" t="s">
        <v>468</v>
      </c>
      <c r="E455" s="415" t="s">
        <v>468</v>
      </c>
      <c r="F455" s="425">
        <v>28.64</v>
      </c>
      <c r="G455" s="427" t="s">
        <v>4736</v>
      </c>
      <c r="H455" s="415" t="s">
        <v>468</v>
      </c>
      <c r="I455" s="427" t="s">
        <v>1461</v>
      </c>
      <c r="J455" s="415" t="s">
        <v>310</v>
      </c>
      <c r="K455" s="415" t="s">
        <v>1220</v>
      </c>
      <c r="L455" s="415" t="s">
        <v>1368</v>
      </c>
      <c r="M455" s="415" t="s">
        <v>310</v>
      </c>
      <c r="N455" s="414">
        <v>44670</v>
      </c>
      <c r="O455" s="414" t="s">
        <v>407</v>
      </c>
      <c r="P455" s="603">
        <f t="shared" si="29"/>
        <v>4</v>
      </c>
      <c r="Q455" s="603">
        <f t="shared" si="30"/>
        <v>-5</v>
      </c>
      <c r="R455" s="604" t="str">
        <f t="shared" si="31"/>
        <v>Gastos_custeados_por_captação</v>
      </c>
      <c r="S455" s="605" t="s">
        <v>310</v>
      </c>
      <c r="T455" s="605" t="s">
        <v>310</v>
      </c>
    </row>
    <row r="456" spans="1:20" ht="72" x14ac:dyDescent="0.2">
      <c r="A456" s="510">
        <f>IF(B456="","",COUNT('Diário 1º PA'!$A$4:$A$2635)+ROW()-3)</f>
        <v>2189</v>
      </c>
      <c r="B456" s="414">
        <v>44670</v>
      </c>
      <c r="C456" s="592">
        <v>44470</v>
      </c>
      <c r="D456" s="415" t="s">
        <v>468</v>
      </c>
      <c r="E456" s="415" t="s">
        <v>468</v>
      </c>
      <c r="F456" s="425">
        <v>175.87</v>
      </c>
      <c r="G456" s="427" t="s">
        <v>4737</v>
      </c>
      <c r="H456" s="415" t="s">
        <v>468</v>
      </c>
      <c r="I456" s="427" t="s">
        <v>1461</v>
      </c>
      <c r="J456" s="415" t="s">
        <v>310</v>
      </c>
      <c r="K456" s="415" t="s">
        <v>1220</v>
      </c>
      <c r="L456" s="415" t="s">
        <v>1368</v>
      </c>
      <c r="M456" s="415" t="s">
        <v>310</v>
      </c>
      <c r="N456" s="414">
        <v>44670</v>
      </c>
      <c r="O456" s="414" t="s">
        <v>407</v>
      </c>
      <c r="P456" s="603">
        <f t="shared" si="29"/>
        <v>4</v>
      </c>
      <c r="Q456" s="603">
        <f t="shared" si="30"/>
        <v>-2</v>
      </c>
      <c r="R456" s="604" t="str">
        <f t="shared" si="31"/>
        <v>Gastos_custeados_por_captação</v>
      </c>
      <c r="S456" s="605" t="s">
        <v>310</v>
      </c>
      <c r="T456" s="605" t="s">
        <v>310</v>
      </c>
    </row>
    <row r="457" spans="1:20" s="88" customFormat="1" ht="72" x14ac:dyDescent="0.2">
      <c r="A457" s="510">
        <f>IF(B457="","",COUNT('Diário 1º PA'!$A$4:$A$2635)+ROW()-3)</f>
        <v>2190</v>
      </c>
      <c r="B457" s="414">
        <v>44670</v>
      </c>
      <c r="C457" s="592">
        <v>44470</v>
      </c>
      <c r="D457" s="415" t="s">
        <v>468</v>
      </c>
      <c r="E457" s="415" t="s">
        <v>468</v>
      </c>
      <c r="F457" s="425">
        <v>38.18</v>
      </c>
      <c r="G457" s="427" t="s">
        <v>4738</v>
      </c>
      <c r="H457" s="415" t="s">
        <v>468</v>
      </c>
      <c r="I457" s="427" t="s">
        <v>1461</v>
      </c>
      <c r="J457" s="415" t="s">
        <v>310</v>
      </c>
      <c r="K457" s="415" t="s">
        <v>1220</v>
      </c>
      <c r="L457" s="415" t="s">
        <v>1368</v>
      </c>
      <c r="M457" s="415" t="s">
        <v>310</v>
      </c>
      <c r="N457" s="414">
        <v>44670</v>
      </c>
      <c r="O457" s="414" t="s">
        <v>407</v>
      </c>
      <c r="P457" s="603">
        <f t="shared" si="29"/>
        <v>4</v>
      </c>
      <c r="Q457" s="603">
        <f t="shared" si="30"/>
        <v>-2</v>
      </c>
      <c r="R457" s="604" t="str">
        <f t="shared" si="31"/>
        <v>Gastos_custeados_por_captação</v>
      </c>
      <c r="S457" s="605" t="s">
        <v>310</v>
      </c>
      <c r="T457" s="605" t="s">
        <v>310</v>
      </c>
    </row>
    <row r="458" spans="1:20" s="88" customFormat="1" ht="24" x14ac:dyDescent="0.2">
      <c r="A458" s="510">
        <f>IF(B458="","",COUNT('Diário 1º PA'!$A$4:$A$2635)+ROW()-3)</f>
        <v>2191</v>
      </c>
      <c r="B458" s="414">
        <v>44671</v>
      </c>
      <c r="C458" s="424">
        <v>44621</v>
      </c>
      <c r="D458" s="415" t="s">
        <v>468</v>
      </c>
      <c r="E458" s="415" t="s">
        <v>468</v>
      </c>
      <c r="F458" s="425">
        <v>-248</v>
      </c>
      <c r="G458" s="440" t="s">
        <v>3618</v>
      </c>
      <c r="H458" s="415" t="s">
        <v>468</v>
      </c>
      <c r="I458" s="427" t="s">
        <v>795</v>
      </c>
      <c r="J458" s="415" t="s">
        <v>796</v>
      </c>
      <c r="K458" s="415" t="s">
        <v>797</v>
      </c>
      <c r="L458" s="415" t="s">
        <v>798</v>
      </c>
      <c r="M458" s="415" t="s">
        <v>310</v>
      </c>
      <c r="N458" s="414">
        <v>44671</v>
      </c>
      <c r="O458" s="414" t="s">
        <v>400</v>
      </c>
      <c r="P458" s="603">
        <f t="shared" ref="P458:P467" si="32">IF(B458=0,0,IF(YEAR(B458)=$Q$1,MONTH(B458)-$P$1+1,(YEAR(B458)-$Q$1)*12-$P$1+1+MONTH(B458)))</f>
        <v>4</v>
      </c>
      <c r="Q458" s="603">
        <f t="shared" ref="Q458:Q467" si="33">IF(C458=0,0,IF(YEAR(C458)=$Q$1,MONTH(C458)-$P$1+1,(YEAR(C458)-$Q$1)*12-$P$1+1+MONTH(C458)))</f>
        <v>3</v>
      </c>
      <c r="R458" s="604" t="str">
        <f t="shared" ref="R458:R467" si="34">SUBSTITUTE(D458," ","_")</f>
        <v>Gastos_custeados_por_captação</v>
      </c>
      <c r="S458" s="605" t="s">
        <v>310</v>
      </c>
      <c r="T458" s="605" t="s">
        <v>310</v>
      </c>
    </row>
    <row r="459" spans="1:20" s="88" customFormat="1" ht="24" x14ac:dyDescent="0.2">
      <c r="A459" s="510">
        <f>IF(B459="","",COUNT('Diário 1º PA'!$A$4:$A$2635)+ROW()-3)</f>
        <v>2192</v>
      </c>
      <c r="B459" s="414">
        <v>44671</v>
      </c>
      <c r="C459" s="424">
        <v>44621</v>
      </c>
      <c r="D459" s="415" t="s">
        <v>468</v>
      </c>
      <c r="E459" s="415" t="s">
        <v>468</v>
      </c>
      <c r="F459" s="425">
        <v>-1071.05</v>
      </c>
      <c r="G459" s="440" t="s">
        <v>3618</v>
      </c>
      <c r="H459" s="415" t="s">
        <v>468</v>
      </c>
      <c r="I459" s="427" t="s">
        <v>795</v>
      </c>
      <c r="J459" s="415" t="s">
        <v>796</v>
      </c>
      <c r="K459" s="415" t="s">
        <v>797</v>
      </c>
      <c r="L459" s="415" t="s">
        <v>798</v>
      </c>
      <c r="M459" s="415" t="s">
        <v>310</v>
      </c>
      <c r="N459" s="414">
        <v>44671</v>
      </c>
      <c r="O459" s="414" t="s">
        <v>400</v>
      </c>
      <c r="P459" s="603">
        <f t="shared" si="32"/>
        <v>4</v>
      </c>
      <c r="Q459" s="603">
        <f t="shared" si="33"/>
        <v>3</v>
      </c>
      <c r="R459" s="604" t="str">
        <f t="shared" si="34"/>
        <v>Gastos_custeados_por_captação</v>
      </c>
      <c r="S459" s="605" t="s">
        <v>310</v>
      </c>
      <c r="T459" s="605" t="s">
        <v>310</v>
      </c>
    </row>
    <row r="460" spans="1:20" s="88" customFormat="1" ht="36" x14ac:dyDescent="0.2">
      <c r="A460" s="510">
        <f>IF(B460="","",COUNT('Diário 1º PA'!$A$4:$A$2635)+ROW()-3)</f>
        <v>2193</v>
      </c>
      <c r="B460" s="414">
        <v>44671</v>
      </c>
      <c r="C460" s="424">
        <v>44621</v>
      </c>
      <c r="D460" s="415" t="s">
        <v>468</v>
      </c>
      <c r="E460" s="415" t="s">
        <v>468</v>
      </c>
      <c r="F460" s="425">
        <v>-930</v>
      </c>
      <c r="G460" s="440" t="s">
        <v>3619</v>
      </c>
      <c r="H460" s="415" t="s">
        <v>468</v>
      </c>
      <c r="I460" s="427" t="s">
        <v>795</v>
      </c>
      <c r="J460" s="415" t="s">
        <v>796</v>
      </c>
      <c r="K460" s="415" t="s">
        <v>797</v>
      </c>
      <c r="L460" s="415" t="s">
        <v>798</v>
      </c>
      <c r="M460" s="415" t="s">
        <v>310</v>
      </c>
      <c r="N460" s="414">
        <v>44671</v>
      </c>
      <c r="O460" s="414" t="s">
        <v>400</v>
      </c>
      <c r="P460" s="603">
        <f t="shared" si="32"/>
        <v>4</v>
      </c>
      <c r="Q460" s="603">
        <f t="shared" si="33"/>
        <v>3</v>
      </c>
      <c r="R460" s="604" t="str">
        <f t="shared" si="34"/>
        <v>Gastos_custeados_por_captação</v>
      </c>
      <c r="S460" s="605" t="s">
        <v>310</v>
      </c>
      <c r="T460" s="605" t="s">
        <v>310</v>
      </c>
    </row>
    <row r="461" spans="1:20" s="88" customFormat="1" ht="36" x14ac:dyDescent="0.2">
      <c r="A461" s="510">
        <f>IF(B461="","",COUNT('Diário 1º PA'!$A$4:$A$2635)+ROW()-3)</f>
        <v>2194</v>
      </c>
      <c r="B461" s="414">
        <v>44671</v>
      </c>
      <c r="C461" s="424">
        <v>44621</v>
      </c>
      <c r="D461" s="415" t="s">
        <v>468</v>
      </c>
      <c r="E461" s="415" t="s">
        <v>468</v>
      </c>
      <c r="F461" s="425">
        <v>-3875</v>
      </c>
      <c r="G461" s="440" t="s">
        <v>3620</v>
      </c>
      <c r="H461" s="415" t="s">
        <v>468</v>
      </c>
      <c r="I461" s="427" t="s">
        <v>795</v>
      </c>
      <c r="J461" s="415" t="s">
        <v>796</v>
      </c>
      <c r="K461" s="415" t="s">
        <v>797</v>
      </c>
      <c r="L461" s="415" t="s">
        <v>798</v>
      </c>
      <c r="M461" s="415" t="s">
        <v>310</v>
      </c>
      <c r="N461" s="414">
        <v>44671</v>
      </c>
      <c r="O461" s="414" t="s">
        <v>400</v>
      </c>
      <c r="P461" s="603">
        <f t="shared" si="32"/>
        <v>4</v>
      </c>
      <c r="Q461" s="603">
        <f t="shared" si="33"/>
        <v>3</v>
      </c>
      <c r="R461" s="604" t="str">
        <f t="shared" si="34"/>
        <v>Gastos_custeados_por_captação</v>
      </c>
      <c r="S461" s="605" t="s">
        <v>310</v>
      </c>
      <c r="T461" s="605" t="s">
        <v>310</v>
      </c>
    </row>
    <row r="462" spans="1:20" s="88" customFormat="1" ht="36" x14ac:dyDescent="0.2">
      <c r="A462" s="510">
        <f>IF(B462="","",COUNT('Diário 1º PA'!$A$4:$A$2635)+ROW()-3)</f>
        <v>2195</v>
      </c>
      <c r="B462" s="414">
        <v>44671</v>
      </c>
      <c r="C462" s="424">
        <v>44621</v>
      </c>
      <c r="D462" s="415" t="s">
        <v>271</v>
      </c>
      <c r="E462" s="415" t="s">
        <v>183</v>
      </c>
      <c r="F462" s="425">
        <v>-93.22</v>
      </c>
      <c r="G462" s="440" t="s">
        <v>3621</v>
      </c>
      <c r="H462" s="415" t="s">
        <v>309</v>
      </c>
      <c r="I462" s="427" t="s">
        <v>795</v>
      </c>
      <c r="J462" s="415" t="s">
        <v>796</v>
      </c>
      <c r="K462" s="415" t="s">
        <v>797</v>
      </c>
      <c r="L462" s="415" t="s">
        <v>798</v>
      </c>
      <c r="M462" s="415" t="s">
        <v>310</v>
      </c>
      <c r="N462" s="414">
        <v>44671</v>
      </c>
      <c r="O462" s="414" t="s">
        <v>400</v>
      </c>
      <c r="P462" s="603">
        <f t="shared" si="32"/>
        <v>4</v>
      </c>
      <c r="Q462" s="603">
        <f t="shared" si="33"/>
        <v>3</v>
      </c>
      <c r="R462" s="604" t="str">
        <f t="shared" si="34"/>
        <v>Gastos_Gerais</v>
      </c>
      <c r="S462" s="605" t="s">
        <v>310</v>
      </c>
      <c r="T462" s="605" t="s">
        <v>310</v>
      </c>
    </row>
    <row r="463" spans="1:20" s="88" customFormat="1" ht="36" x14ac:dyDescent="0.2">
      <c r="A463" s="510">
        <f>IF(B463="","",COUNT('Diário 1º PA'!$A$4:$A$2635)+ROW()-3)</f>
        <v>2196</v>
      </c>
      <c r="B463" s="414">
        <v>44671</v>
      </c>
      <c r="C463" s="424">
        <v>44621</v>
      </c>
      <c r="D463" s="415" t="s">
        <v>182</v>
      </c>
      <c r="E463" s="415" t="s">
        <v>1</v>
      </c>
      <c r="F463" s="425">
        <v>-3203.98</v>
      </c>
      <c r="G463" s="440" t="s">
        <v>3622</v>
      </c>
      <c r="H463" s="415" t="s">
        <v>310</v>
      </c>
      <c r="I463" s="427" t="s">
        <v>795</v>
      </c>
      <c r="J463" s="415" t="s">
        <v>796</v>
      </c>
      <c r="K463" s="415" t="s">
        <v>797</v>
      </c>
      <c r="L463" s="415" t="s">
        <v>798</v>
      </c>
      <c r="M463" s="415" t="s">
        <v>310</v>
      </c>
      <c r="N463" s="414">
        <v>44671</v>
      </c>
      <c r="O463" s="414" t="s">
        <v>400</v>
      </c>
      <c r="P463" s="603">
        <f t="shared" si="32"/>
        <v>4</v>
      </c>
      <c r="Q463" s="603">
        <f t="shared" si="33"/>
        <v>3</v>
      </c>
      <c r="R463" s="604" t="str">
        <f t="shared" si="34"/>
        <v>Gastos_com_Pessoal</v>
      </c>
      <c r="S463" s="605" t="s">
        <v>310</v>
      </c>
      <c r="T463" s="605" t="s">
        <v>310</v>
      </c>
    </row>
    <row r="464" spans="1:20" s="88" customFormat="1" ht="36" x14ac:dyDescent="0.2">
      <c r="A464" s="510">
        <f>IF(B464="","",COUNT('Diário 1º PA'!$A$4:$A$2635)+ROW()-3)</f>
        <v>2197</v>
      </c>
      <c r="B464" s="414">
        <v>44671</v>
      </c>
      <c r="C464" s="424">
        <v>44621</v>
      </c>
      <c r="D464" s="415" t="s">
        <v>182</v>
      </c>
      <c r="E464" s="415" t="s">
        <v>252</v>
      </c>
      <c r="F464" s="425">
        <v>-8054.9</v>
      </c>
      <c r="G464" s="440" t="s">
        <v>3623</v>
      </c>
      <c r="H464" s="415" t="s">
        <v>310</v>
      </c>
      <c r="I464" s="427" t="s">
        <v>795</v>
      </c>
      <c r="J464" s="415" t="s">
        <v>796</v>
      </c>
      <c r="K464" s="415" t="s">
        <v>797</v>
      </c>
      <c r="L464" s="415" t="s">
        <v>798</v>
      </c>
      <c r="M464" s="415" t="s">
        <v>310</v>
      </c>
      <c r="N464" s="414">
        <v>44671</v>
      </c>
      <c r="O464" s="414" t="s">
        <v>400</v>
      </c>
      <c r="P464" s="603">
        <f t="shared" si="32"/>
        <v>4</v>
      </c>
      <c r="Q464" s="603">
        <f t="shared" si="33"/>
        <v>3</v>
      </c>
      <c r="R464" s="604" t="str">
        <f t="shared" si="34"/>
        <v>Gastos_com_Pessoal</v>
      </c>
      <c r="S464" s="605" t="s">
        <v>310</v>
      </c>
      <c r="T464" s="605" t="s">
        <v>310</v>
      </c>
    </row>
    <row r="465" spans="1:20" s="88" customFormat="1" ht="36" x14ac:dyDescent="0.2">
      <c r="A465" s="510">
        <f>IF(B465="","",COUNT('Diário 1º PA'!$A$4:$A$2635)+ROW()-3)</f>
        <v>2198</v>
      </c>
      <c r="B465" s="414">
        <v>44671</v>
      </c>
      <c r="C465" s="424">
        <v>44621</v>
      </c>
      <c r="D465" s="415" t="s">
        <v>271</v>
      </c>
      <c r="E465" s="415" t="s">
        <v>90</v>
      </c>
      <c r="F465" s="425">
        <v>-706.8</v>
      </c>
      <c r="G465" s="440" t="s">
        <v>3624</v>
      </c>
      <c r="H465" s="415" t="s">
        <v>310</v>
      </c>
      <c r="I465" s="427" t="s">
        <v>795</v>
      </c>
      <c r="J465" s="415" t="s">
        <v>796</v>
      </c>
      <c r="K465" s="415" t="s">
        <v>797</v>
      </c>
      <c r="L465" s="415" t="s">
        <v>798</v>
      </c>
      <c r="M465" s="415" t="s">
        <v>310</v>
      </c>
      <c r="N465" s="414">
        <v>44671</v>
      </c>
      <c r="O465" s="414" t="s">
        <v>400</v>
      </c>
      <c r="P465" s="603">
        <f t="shared" si="32"/>
        <v>4</v>
      </c>
      <c r="Q465" s="603">
        <f t="shared" si="33"/>
        <v>3</v>
      </c>
      <c r="R465" s="604" t="str">
        <f t="shared" si="34"/>
        <v>Gastos_Gerais</v>
      </c>
      <c r="S465" s="605" t="s">
        <v>310</v>
      </c>
      <c r="T465" s="605" t="s">
        <v>310</v>
      </c>
    </row>
    <row r="466" spans="1:20" s="88" customFormat="1" ht="36" x14ac:dyDescent="0.2">
      <c r="A466" s="510">
        <f>IF(B466="","",COUNT('Diário 1º PA'!$A$4:$A$2635)+ROW()-3)</f>
        <v>2199</v>
      </c>
      <c r="B466" s="414">
        <v>44671</v>
      </c>
      <c r="C466" s="424">
        <v>44621</v>
      </c>
      <c r="D466" s="415" t="s">
        <v>468</v>
      </c>
      <c r="E466" s="415" t="s">
        <v>468</v>
      </c>
      <c r="F466" s="425">
        <v>-5803.2</v>
      </c>
      <c r="G466" s="440" t="s">
        <v>3625</v>
      </c>
      <c r="H466" s="415" t="s">
        <v>468</v>
      </c>
      <c r="I466" s="427" t="s">
        <v>795</v>
      </c>
      <c r="J466" s="415" t="s">
        <v>796</v>
      </c>
      <c r="K466" s="415" t="s">
        <v>797</v>
      </c>
      <c r="L466" s="415" t="s">
        <v>798</v>
      </c>
      <c r="M466" s="415" t="s">
        <v>310</v>
      </c>
      <c r="N466" s="414">
        <v>44671</v>
      </c>
      <c r="O466" s="414" t="s">
        <v>400</v>
      </c>
      <c r="P466" s="603">
        <f t="shared" si="32"/>
        <v>4</v>
      </c>
      <c r="Q466" s="603">
        <f t="shared" si="33"/>
        <v>3</v>
      </c>
      <c r="R466" s="604" t="str">
        <f t="shared" si="34"/>
        <v>Gastos_custeados_por_captação</v>
      </c>
      <c r="S466" s="605" t="s">
        <v>310</v>
      </c>
      <c r="T466" s="605" t="s">
        <v>310</v>
      </c>
    </row>
    <row r="467" spans="1:20" s="88" customFormat="1" ht="36" x14ac:dyDescent="0.2">
      <c r="A467" s="510">
        <f>IF(B467="","",COUNT('Diário 1º PA'!$A$4:$A$2635)+ROW()-3)</f>
        <v>2200</v>
      </c>
      <c r="B467" s="414">
        <v>44671</v>
      </c>
      <c r="C467" s="424">
        <v>44621</v>
      </c>
      <c r="D467" s="415" t="s">
        <v>468</v>
      </c>
      <c r="E467" s="415" t="s">
        <v>468</v>
      </c>
      <c r="F467" s="425">
        <v>-660.3</v>
      </c>
      <c r="G467" s="440" t="s">
        <v>3626</v>
      </c>
      <c r="H467" s="415" t="s">
        <v>468</v>
      </c>
      <c r="I467" s="427" t="s">
        <v>795</v>
      </c>
      <c r="J467" s="415" t="s">
        <v>796</v>
      </c>
      <c r="K467" s="415" t="s">
        <v>797</v>
      </c>
      <c r="L467" s="415" t="s">
        <v>798</v>
      </c>
      <c r="M467" s="415" t="s">
        <v>310</v>
      </c>
      <c r="N467" s="414">
        <v>44671</v>
      </c>
      <c r="O467" s="414" t="s">
        <v>400</v>
      </c>
      <c r="P467" s="603">
        <f t="shared" si="32"/>
        <v>4</v>
      </c>
      <c r="Q467" s="603">
        <f t="shared" si="33"/>
        <v>3</v>
      </c>
      <c r="R467" s="604" t="str">
        <f t="shared" si="34"/>
        <v>Gastos_custeados_por_captação</v>
      </c>
      <c r="S467" s="605" t="s">
        <v>310</v>
      </c>
      <c r="T467" s="605" t="s">
        <v>310</v>
      </c>
    </row>
    <row r="468" spans="1:20" s="88" customFormat="1" ht="36" x14ac:dyDescent="0.2">
      <c r="A468" s="510">
        <f>IF(B468="","",COUNT('Diário 1º PA'!$A$4:$A$2635)+ROW()-3)</f>
        <v>2201</v>
      </c>
      <c r="B468" s="414">
        <v>44671</v>
      </c>
      <c r="C468" s="424">
        <v>44621</v>
      </c>
      <c r="D468" s="415" t="s">
        <v>468</v>
      </c>
      <c r="E468" s="415" t="s">
        <v>468</v>
      </c>
      <c r="F468" s="425">
        <v>-664.64</v>
      </c>
      <c r="G468" s="440" t="s">
        <v>3627</v>
      </c>
      <c r="H468" s="415" t="s">
        <v>468</v>
      </c>
      <c r="I468" s="427" t="s">
        <v>795</v>
      </c>
      <c r="J468" s="415" t="s">
        <v>796</v>
      </c>
      <c r="K468" s="415" t="s">
        <v>797</v>
      </c>
      <c r="L468" s="415" t="s">
        <v>798</v>
      </c>
      <c r="M468" s="415" t="s">
        <v>310</v>
      </c>
      <c r="N468" s="414">
        <v>44671</v>
      </c>
      <c r="O468" s="414" t="s">
        <v>400</v>
      </c>
      <c r="P468" s="603">
        <f t="shared" ref="P468:P495" si="35">IF(B468=0,0,IF(YEAR(B468)=$Q$1,MONTH(B468)-$P$1+1,(YEAR(B468)-$Q$1)*12-$P$1+1+MONTH(B468)))</f>
        <v>4</v>
      </c>
      <c r="Q468" s="603">
        <f t="shared" ref="Q468:Q495" si="36">IF(C468=0,0,IF(YEAR(C468)=$Q$1,MONTH(C468)-$P$1+1,(YEAR(C468)-$Q$1)*12-$P$1+1+MONTH(C468)))</f>
        <v>3</v>
      </c>
      <c r="R468" s="604" t="str">
        <f t="shared" ref="R468:R495" si="37">SUBSTITUTE(D468," ","_")</f>
        <v>Gastos_custeados_por_captação</v>
      </c>
      <c r="S468" s="605" t="s">
        <v>310</v>
      </c>
      <c r="T468" s="605" t="s">
        <v>310</v>
      </c>
    </row>
    <row r="469" spans="1:20" s="88" customFormat="1" ht="36" x14ac:dyDescent="0.2">
      <c r="A469" s="510">
        <f>IF(B469="","",COUNT('Diário 1º PA'!$A$4:$A$2635)+ROW()-3)</f>
        <v>2202</v>
      </c>
      <c r="B469" s="414">
        <v>44671</v>
      </c>
      <c r="C469" s="424">
        <v>44621</v>
      </c>
      <c r="D469" s="415" t="s">
        <v>468</v>
      </c>
      <c r="E469" s="415" t="s">
        <v>468</v>
      </c>
      <c r="F469" s="425">
        <v>-543.83000000000004</v>
      </c>
      <c r="G469" s="440" t="s">
        <v>3627</v>
      </c>
      <c r="H469" s="415" t="s">
        <v>468</v>
      </c>
      <c r="I469" s="427" t="s">
        <v>795</v>
      </c>
      <c r="J469" s="415" t="s">
        <v>796</v>
      </c>
      <c r="K469" s="415" t="s">
        <v>797</v>
      </c>
      <c r="L469" s="415" t="s">
        <v>798</v>
      </c>
      <c r="M469" s="415" t="s">
        <v>310</v>
      </c>
      <c r="N469" s="414">
        <v>44671</v>
      </c>
      <c r="O469" s="414" t="s">
        <v>400</v>
      </c>
      <c r="P469" s="603">
        <f t="shared" si="35"/>
        <v>4</v>
      </c>
      <c r="Q469" s="603">
        <f t="shared" si="36"/>
        <v>3</v>
      </c>
      <c r="R469" s="604" t="str">
        <f t="shared" si="37"/>
        <v>Gastos_custeados_por_captação</v>
      </c>
      <c r="S469" s="605" t="s">
        <v>310</v>
      </c>
      <c r="T469" s="605" t="s">
        <v>310</v>
      </c>
    </row>
    <row r="470" spans="1:20" s="88" customFormat="1" ht="36" x14ac:dyDescent="0.2">
      <c r="A470" s="510">
        <f>IF(B470="","",COUNT('Diário 1º PA'!$A$4:$A$2635)+ROW()-3)</f>
        <v>2203</v>
      </c>
      <c r="B470" s="414">
        <v>44671</v>
      </c>
      <c r="C470" s="424">
        <v>44621</v>
      </c>
      <c r="D470" s="415" t="s">
        <v>468</v>
      </c>
      <c r="E470" s="415" t="s">
        <v>468</v>
      </c>
      <c r="F470" s="425">
        <v>-1148.4000000000001</v>
      </c>
      <c r="G470" s="440" t="s">
        <v>3628</v>
      </c>
      <c r="H470" s="415" t="s">
        <v>468</v>
      </c>
      <c r="I470" s="427" t="s">
        <v>795</v>
      </c>
      <c r="J470" s="415" t="s">
        <v>796</v>
      </c>
      <c r="K470" s="415" t="s">
        <v>797</v>
      </c>
      <c r="L470" s="415" t="s">
        <v>798</v>
      </c>
      <c r="M470" s="415" t="s">
        <v>310</v>
      </c>
      <c r="N470" s="414">
        <v>44671</v>
      </c>
      <c r="O470" s="414" t="s">
        <v>400</v>
      </c>
      <c r="P470" s="603">
        <f t="shared" si="35"/>
        <v>4</v>
      </c>
      <c r="Q470" s="603">
        <f t="shared" si="36"/>
        <v>3</v>
      </c>
      <c r="R470" s="604" t="str">
        <f t="shared" si="37"/>
        <v>Gastos_custeados_por_captação</v>
      </c>
      <c r="S470" s="605" t="s">
        <v>310</v>
      </c>
      <c r="T470" s="605" t="s">
        <v>310</v>
      </c>
    </row>
    <row r="471" spans="1:20" s="88" customFormat="1" ht="36" x14ac:dyDescent="0.2">
      <c r="A471" s="510">
        <f>IF(B471="","",COUNT('Diário 1º PA'!$A$4:$A$2635)+ROW()-3)</f>
        <v>2204</v>
      </c>
      <c r="B471" s="414">
        <v>44671</v>
      </c>
      <c r="C471" s="424">
        <v>44621</v>
      </c>
      <c r="D471" s="415" t="s">
        <v>468</v>
      </c>
      <c r="E471" s="415" t="s">
        <v>468</v>
      </c>
      <c r="F471" s="425">
        <v>-2170</v>
      </c>
      <c r="G471" s="440" t="s">
        <v>3629</v>
      </c>
      <c r="H471" s="415" t="s">
        <v>468</v>
      </c>
      <c r="I471" s="427" t="s">
        <v>795</v>
      </c>
      <c r="J471" s="415" t="s">
        <v>796</v>
      </c>
      <c r="K471" s="415" t="s">
        <v>797</v>
      </c>
      <c r="L471" s="415" t="s">
        <v>798</v>
      </c>
      <c r="M471" s="415" t="s">
        <v>310</v>
      </c>
      <c r="N471" s="414">
        <v>44671</v>
      </c>
      <c r="O471" s="414" t="s">
        <v>400</v>
      </c>
      <c r="P471" s="603">
        <f t="shared" si="35"/>
        <v>4</v>
      </c>
      <c r="Q471" s="603">
        <f t="shared" si="36"/>
        <v>3</v>
      </c>
      <c r="R471" s="604" t="str">
        <f t="shared" si="37"/>
        <v>Gastos_custeados_por_captação</v>
      </c>
      <c r="S471" s="605" t="s">
        <v>310</v>
      </c>
      <c r="T471" s="605" t="s">
        <v>310</v>
      </c>
    </row>
    <row r="472" spans="1:20" s="88" customFormat="1" ht="36" x14ac:dyDescent="0.2">
      <c r="A472" s="510">
        <f>IF(B472="","",COUNT('Diário 1º PA'!$A$4:$A$2635)+ROW()-3)</f>
        <v>2205</v>
      </c>
      <c r="B472" s="414">
        <v>44671</v>
      </c>
      <c r="C472" s="424">
        <v>44621</v>
      </c>
      <c r="D472" s="415" t="s">
        <v>468</v>
      </c>
      <c r="E472" s="415" t="s">
        <v>468</v>
      </c>
      <c r="F472" s="425">
        <v>-5115</v>
      </c>
      <c r="G472" s="440" t="s">
        <v>3630</v>
      </c>
      <c r="H472" s="415" t="s">
        <v>468</v>
      </c>
      <c r="I472" s="427" t="s">
        <v>795</v>
      </c>
      <c r="J472" s="415" t="s">
        <v>796</v>
      </c>
      <c r="K472" s="415" t="s">
        <v>797</v>
      </c>
      <c r="L472" s="415" t="s">
        <v>798</v>
      </c>
      <c r="M472" s="415" t="s">
        <v>310</v>
      </c>
      <c r="N472" s="414">
        <v>44671</v>
      </c>
      <c r="O472" s="414" t="s">
        <v>400</v>
      </c>
      <c r="P472" s="603">
        <f t="shared" si="35"/>
        <v>4</v>
      </c>
      <c r="Q472" s="603">
        <f t="shared" si="36"/>
        <v>3</v>
      </c>
      <c r="R472" s="604" t="str">
        <f t="shared" si="37"/>
        <v>Gastos_custeados_por_captação</v>
      </c>
      <c r="S472" s="605" t="s">
        <v>310</v>
      </c>
      <c r="T472" s="605" t="s">
        <v>310</v>
      </c>
    </row>
    <row r="473" spans="1:20" s="88" customFormat="1" ht="99.95" customHeight="1" x14ac:dyDescent="0.2">
      <c r="A473" s="510">
        <f>IF(B473="","",COUNT('Diário 1º PA'!$A$4:$A$2635)+ROW()-3)</f>
        <v>2206</v>
      </c>
      <c r="B473" s="414">
        <v>44671</v>
      </c>
      <c r="C473" s="431">
        <v>44652</v>
      </c>
      <c r="D473" s="415" t="s">
        <v>271</v>
      </c>
      <c r="E473" s="415" t="s">
        <v>462</v>
      </c>
      <c r="F473" s="425">
        <v>1512</v>
      </c>
      <c r="G473" s="427" t="s">
        <v>2839</v>
      </c>
      <c r="H473" s="419" t="s">
        <v>752</v>
      </c>
      <c r="I473" s="427" t="s">
        <v>3631</v>
      </c>
      <c r="J473" s="415" t="s">
        <v>2838</v>
      </c>
      <c r="K473" s="415" t="s">
        <v>806</v>
      </c>
      <c r="L473" s="415" t="s">
        <v>839</v>
      </c>
      <c r="M473" s="415">
        <v>1702</v>
      </c>
      <c r="N473" s="414">
        <v>44669</v>
      </c>
      <c r="O473" s="414" t="s">
        <v>400</v>
      </c>
      <c r="P473" s="603">
        <f t="shared" si="35"/>
        <v>4</v>
      </c>
      <c r="Q473" s="603">
        <f t="shared" si="36"/>
        <v>4</v>
      </c>
      <c r="R473" s="604" t="str">
        <f t="shared" si="37"/>
        <v>Gastos_Gerais</v>
      </c>
      <c r="S473" s="605" t="s">
        <v>1000</v>
      </c>
      <c r="T473" s="605">
        <v>3281</v>
      </c>
    </row>
    <row r="474" spans="1:20" s="88" customFormat="1" ht="99.95" customHeight="1" x14ac:dyDescent="0.2">
      <c r="A474" s="510">
        <f>IF(B474="","",COUNT('Diário 1º PA'!$A$4:$A$2635)+ROW()-3)</f>
        <v>2207</v>
      </c>
      <c r="B474" s="414">
        <v>44671</v>
      </c>
      <c r="C474" s="424">
        <v>44621</v>
      </c>
      <c r="D474" s="415" t="s">
        <v>271</v>
      </c>
      <c r="E474" s="415" t="s">
        <v>85</v>
      </c>
      <c r="F474" s="425">
        <v>109.61</v>
      </c>
      <c r="G474" s="437" t="s">
        <v>3635</v>
      </c>
      <c r="H474" s="415" t="s">
        <v>750</v>
      </c>
      <c r="I474" s="427" t="s">
        <v>3634</v>
      </c>
      <c r="J474" s="415" t="s">
        <v>796</v>
      </c>
      <c r="K474" s="415" t="s">
        <v>806</v>
      </c>
      <c r="L474" s="415" t="s">
        <v>798</v>
      </c>
      <c r="M474" s="415" t="s">
        <v>310</v>
      </c>
      <c r="N474" s="414">
        <v>44671</v>
      </c>
      <c r="O474" s="414" t="s">
        <v>400</v>
      </c>
      <c r="P474" s="603">
        <f t="shared" si="35"/>
        <v>4</v>
      </c>
      <c r="Q474" s="603">
        <f t="shared" si="36"/>
        <v>3</v>
      </c>
      <c r="R474" s="604" t="str">
        <f t="shared" si="37"/>
        <v>Gastos_Gerais</v>
      </c>
      <c r="S474" s="605" t="s">
        <v>310</v>
      </c>
      <c r="T474" s="605" t="s">
        <v>310</v>
      </c>
    </row>
    <row r="475" spans="1:20" s="88" customFormat="1" ht="99.95" customHeight="1" x14ac:dyDescent="0.2">
      <c r="A475" s="510">
        <f>IF(B475="","",COUNT('Diário 1º PA'!$A$4:$A$2635)+ROW()-3)</f>
        <v>2208</v>
      </c>
      <c r="B475" s="414">
        <v>44671</v>
      </c>
      <c r="C475" s="431">
        <v>44621</v>
      </c>
      <c r="D475" s="415" t="s">
        <v>271</v>
      </c>
      <c r="E475" s="415" t="s">
        <v>456</v>
      </c>
      <c r="F475" s="425">
        <v>795</v>
      </c>
      <c r="G475" s="427" t="s">
        <v>2603</v>
      </c>
      <c r="H475" s="415" t="s">
        <v>752</v>
      </c>
      <c r="I475" s="427" t="s">
        <v>3639</v>
      </c>
      <c r="J475" s="415" t="s">
        <v>2604</v>
      </c>
      <c r="K475" s="415" t="s">
        <v>806</v>
      </c>
      <c r="L475" s="415" t="s">
        <v>32</v>
      </c>
      <c r="M475" s="415" t="s">
        <v>1503</v>
      </c>
      <c r="N475" s="414">
        <v>44670</v>
      </c>
      <c r="O475" s="414" t="s">
        <v>400</v>
      </c>
      <c r="P475" s="603">
        <f t="shared" si="35"/>
        <v>4</v>
      </c>
      <c r="Q475" s="603">
        <f t="shared" si="36"/>
        <v>3</v>
      </c>
      <c r="R475" s="604" t="str">
        <f t="shared" si="37"/>
        <v>Gastos_Gerais</v>
      </c>
      <c r="S475" s="605" t="s">
        <v>1000</v>
      </c>
      <c r="T475" s="605">
        <v>3239</v>
      </c>
    </row>
    <row r="476" spans="1:20" s="88" customFormat="1" ht="99.95" customHeight="1" x14ac:dyDescent="0.2">
      <c r="A476" s="510">
        <f>IF(B476="","",COUNT('Diário 1º PA'!$A$4:$A$2635)+ROW()-3)</f>
        <v>2209</v>
      </c>
      <c r="B476" s="414">
        <v>44671</v>
      </c>
      <c r="C476" s="431">
        <v>44621</v>
      </c>
      <c r="D476" s="415" t="s">
        <v>271</v>
      </c>
      <c r="E476" s="415" t="s">
        <v>453</v>
      </c>
      <c r="F476" s="425">
        <v>1566.4</v>
      </c>
      <c r="G476" s="427" t="s">
        <v>1593</v>
      </c>
      <c r="H476" s="419" t="s">
        <v>757</v>
      </c>
      <c r="I476" s="427" t="s">
        <v>1352</v>
      </c>
      <c r="J476" s="415" t="s">
        <v>1057</v>
      </c>
      <c r="K476" s="415" t="s">
        <v>830</v>
      </c>
      <c r="L476" s="415" t="s">
        <v>839</v>
      </c>
      <c r="M476" s="415">
        <v>1706</v>
      </c>
      <c r="N476" s="414">
        <v>44669</v>
      </c>
      <c r="O476" s="414" t="s">
        <v>400</v>
      </c>
      <c r="P476" s="603">
        <f t="shared" si="35"/>
        <v>4</v>
      </c>
      <c r="Q476" s="603">
        <f t="shared" si="36"/>
        <v>3</v>
      </c>
      <c r="R476" s="604" t="str">
        <f t="shared" si="37"/>
        <v>Gastos_Gerais</v>
      </c>
      <c r="S476" s="605" t="s">
        <v>1000</v>
      </c>
      <c r="T476" s="605">
        <v>2837</v>
      </c>
    </row>
    <row r="477" spans="1:20" s="88" customFormat="1" ht="24" x14ac:dyDescent="0.2">
      <c r="A477" s="510">
        <f>IF(B477="","",COUNT('Diário 1º PA'!$A$4:$A$2635)+ROW()-3)</f>
        <v>2210</v>
      </c>
      <c r="B477" s="414">
        <v>44671</v>
      </c>
      <c r="C477" s="431">
        <v>44593</v>
      </c>
      <c r="D477" s="415" t="s">
        <v>271</v>
      </c>
      <c r="E477" s="415" t="s">
        <v>297</v>
      </c>
      <c r="F477" s="425">
        <v>132</v>
      </c>
      <c r="G477" s="427" t="s">
        <v>2083</v>
      </c>
      <c r="H477" s="419" t="s">
        <v>753</v>
      </c>
      <c r="I477" s="427" t="s">
        <v>1461</v>
      </c>
      <c r="J477" s="415" t="s">
        <v>310</v>
      </c>
      <c r="K477" s="415" t="s">
        <v>1220</v>
      </c>
      <c r="L477" s="415" t="s">
        <v>1368</v>
      </c>
      <c r="M477" s="415" t="s">
        <v>310</v>
      </c>
      <c r="N477" s="414">
        <v>44671</v>
      </c>
      <c r="O477" s="414" t="s">
        <v>400</v>
      </c>
      <c r="P477" s="603">
        <f t="shared" si="35"/>
        <v>4</v>
      </c>
      <c r="Q477" s="603">
        <f t="shared" si="36"/>
        <v>2</v>
      </c>
      <c r="R477" s="604" t="str">
        <f t="shared" si="37"/>
        <v>Gastos_Gerais</v>
      </c>
      <c r="S477" s="605" t="s">
        <v>310</v>
      </c>
      <c r="T477" s="605" t="s">
        <v>310</v>
      </c>
    </row>
    <row r="478" spans="1:20" s="88" customFormat="1" ht="36" x14ac:dyDescent="0.2">
      <c r="A478" s="510">
        <f>IF(B478="","",COUNT('Diário 1º PA'!$A$4:$A$2635)+ROW()-3)</f>
        <v>2211</v>
      </c>
      <c r="B478" s="414">
        <v>44671</v>
      </c>
      <c r="C478" s="424">
        <v>44621</v>
      </c>
      <c r="D478" s="415" t="s">
        <v>468</v>
      </c>
      <c r="E478" s="415" t="s">
        <v>468</v>
      </c>
      <c r="F478" s="425">
        <v>1148.4000000000001</v>
      </c>
      <c r="G478" s="440" t="s">
        <v>3628</v>
      </c>
      <c r="H478" s="415" t="s">
        <v>468</v>
      </c>
      <c r="I478" s="427" t="s">
        <v>1461</v>
      </c>
      <c r="J478" s="415" t="s">
        <v>310</v>
      </c>
      <c r="K478" s="415" t="s">
        <v>1220</v>
      </c>
      <c r="L478" s="415" t="s">
        <v>1368</v>
      </c>
      <c r="M478" s="415" t="s">
        <v>310</v>
      </c>
      <c r="N478" s="414">
        <v>44671</v>
      </c>
      <c r="O478" s="414" t="s">
        <v>400</v>
      </c>
      <c r="P478" s="603">
        <f t="shared" si="35"/>
        <v>4</v>
      </c>
      <c r="Q478" s="603">
        <f t="shared" si="36"/>
        <v>3</v>
      </c>
      <c r="R478" s="604" t="str">
        <f t="shared" si="37"/>
        <v>Gastos_custeados_por_captação</v>
      </c>
      <c r="S478" s="605" t="s">
        <v>310</v>
      </c>
      <c r="T478" s="605" t="s">
        <v>310</v>
      </c>
    </row>
    <row r="479" spans="1:20" s="88" customFormat="1" ht="36" x14ac:dyDescent="0.2">
      <c r="A479" s="510">
        <f>IF(B479="","",COUNT('Diário 1º PA'!$A$4:$A$2635)+ROW()-3)</f>
        <v>2212</v>
      </c>
      <c r="B479" s="414">
        <v>44671</v>
      </c>
      <c r="C479" s="431">
        <v>44593</v>
      </c>
      <c r="D479" s="415" t="s">
        <v>271</v>
      </c>
      <c r="E479" s="415" t="s">
        <v>453</v>
      </c>
      <c r="F479" s="425">
        <v>28.08</v>
      </c>
      <c r="G479" s="427" t="s">
        <v>2185</v>
      </c>
      <c r="H479" s="419" t="s">
        <v>752</v>
      </c>
      <c r="I479" s="427" t="s">
        <v>1461</v>
      </c>
      <c r="J479" s="415" t="s">
        <v>310</v>
      </c>
      <c r="K479" s="415" t="s">
        <v>1220</v>
      </c>
      <c r="L479" s="415" t="s">
        <v>1368</v>
      </c>
      <c r="M479" s="415" t="s">
        <v>310</v>
      </c>
      <c r="N479" s="414">
        <v>44671</v>
      </c>
      <c r="O479" s="414" t="s">
        <v>400</v>
      </c>
      <c r="P479" s="603">
        <f t="shared" si="35"/>
        <v>4</v>
      </c>
      <c r="Q479" s="603">
        <f t="shared" si="36"/>
        <v>2</v>
      </c>
      <c r="R479" s="604" t="str">
        <f t="shared" si="37"/>
        <v>Gastos_Gerais</v>
      </c>
      <c r="S479" s="605" t="s">
        <v>310</v>
      </c>
      <c r="T479" s="605" t="s">
        <v>310</v>
      </c>
    </row>
    <row r="480" spans="1:20" s="88" customFormat="1" ht="48" x14ac:dyDescent="0.2">
      <c r="A480" s="510">
        <f>IF(B480="","",COUNT('Diário 1º PA'!$A$4:$A$2635)+ROW()-3)</f>
        <v>2213</v>
      </c>
      <c r="B480" s="414">
        <v>44671</v>
      </c>
      <c r="C480" s="431">
        <v>44621</v>
      </c>
      <c r="D480" s="415" t="s">
        <v>271</v>
      </c>
      <c r="E480" s="415" t="s">
        <v>442</v>
      </c>
      <c r="F480" s="425">
        <v>24.08</v>
      </c>
      <c r="G480" s="427" t="s">
        <v>2247</v>
      </c>
      <c r="H480" s="419" t="s">
        <v>755</v>
      </c>
      <c r="I480" s="427" t="s">
        <v>1461</v>
      </c>
      <c r="J480" s="415" t="s">
        <v>310</v>
      </c>
      <c r="K480" s="415" t="s">
        <v>1220</v>
      </c>
      <c r="L480" s="415" t="s">
        <v>1368</v>
      </c>
      <c r="M480" s="415" t="s">
        <v>310</v>
      </c>
      <c r="N480" s="414">
        <v>44671</v>
      </c>
      <c r="O480" s="414" t="s">
        <v>400</v>
      </c>
      <c r="P480" s="603">
        <f t="shared" si="35"/>
        <v>4</v>
      </c>
      <c r="Q480" s="603">
        <f t="shared" si="36"/>
        <v>3</v>
      </c>
      <c r="R480" s="604" t="str">
        <f t="shared" si="37"/>
        <v>Gastos_Gerais</v>
      </c>
      <c r="S480" s="605" t="s">
        <v>310</v>
      </c>
      <c r="T480" s="605" t="s">
        <v>310</v>
      </c>
    </row>
    <row r="481" spans="1:20" s="88" customFormat="1" ht="60" x14ac:dyDescent="0.2">
      <c r="A481" s="510">
        <f>IF(B481="","",COUNT('Diário 1º PA'!$A$4:$A$2635)+ROW()-3)</f>
        <v>2214</v>
      </c>
      <c r="B481" s="414">
        <v>44671</v>
      </c>
      <c r="C481" s="431">
        <v>44562</v>
      </c>
      <c r="D481" s="415" t="s">
        <v>271</v>
      </c>
      <c r="E481" s="415" t="s">
        <v>466</v>
      </c>
      <c r="F481" s="425">
        <v>57.45</v>
      </c>
      <c r="G481" s="427" t="s">
        <v>2208</v>
      </c>
      <c r="H481" s="419" t="s">
        <v>754</v>
      </c>
      <c r="I481" s="427" t="s">
        <v>1461</v>
      </c>
      <c r="J481" s="415" t="s">
        <v>310</v>
      </c>
      <c r="K481" s="415" t="s">
        <v>1220</v>
      </c>
      <c r="L481" s="415" t="s">
        <v>1368</v>
      </c>
      <c r="M481" s="415" t="s">
        <v>310</v>
      </c>
      <c r="N481" s="414">
        <v>44671</v>
      </c>
      <c r="O481" s="414" t="s">
        <v>400</v>
      </c>
      <c r="P481" s="603">
        <f t="shared" si="35"/>
        <v>4</v>
      </c>
      <c r="Q481" s="603">
        <f t="shared" si="36"/>
        <v>1</v>
      </c>
      <c r="R481" s="604" t="str">
        <f t="shared" si="37"/>
        <v>Gastos_Gerais</v>
      </c>
      <c r="S481" s="605" t="s">
        <v>310</v>
      </c>
      <c r="T481" s="605" t="s">
        <v>310</v>
      </c>
    </row>
    <row r="482" spans="1:20" s="88" customFormat="1" ht="36" x14ac:dyDescent="0.2">
      <c r="A482" s="510">
        <f>IF(B482="","",COUNT('Diário 1º PA'!$A$4:$A$2635)+ROW()-3)</f>
        <v>2215</v>
      </c>
      <c r="B482" s="414">
        <v>44671</v>
      </c>
      <c r="C482" s="431">
        <v>44593</v>
      </c>
      <c r="D482" s="415" t="s">
        <v>271</v>
      </c>
      <c r="E482" s="415" t="s">
        <v>453</v>
      </c>
      <c r="F482" s="425">
        <v>17.399999999999999</v>
      </c>
      <c r="G482" s="427" t="s">
        <v>2173</v>
      </c>
      <c r="H482" s="419" t="s">
        <v>752</v>
      </c>
      <c r="I482" s="427" t="s">
        <v>1461</v>
      </c>
      <c r="J482" s="415" t="s">
        <v>310</v>
      </c>
      <c r="K482" s="415" t="s">
        <v>1220</v>
      </c>
      <c r="L482" s="415" t="s">
        <v>1368</v>
      </c>
      <c r="M482" s="415" t="s">
        <v>310</v>
      </c>
      <c r="N482" s="414">
        <v>44671</v>
      </c>
      <c r="O482" s="414" t="s">
        <v>400</v>
      </c>
      <c r="P482" s="603">
        <f t="shared" si="35"/>
        <v>4</v>
      </c>
      <c r="Q482" s="603">
        <f t="shared" si="36"/>
        <v>2</v>
      </c>
      <c r="R482" s="604" t="str">
        <f t="shared" si="37"/>
        <v>Gastos_Gerais</v>
      </c>
      <c r="S482" s="605" t="s">
        <v>310</v>
      </c>
      <c r="T482" s="605" t="s">
        <v>310</v>
      </c>
    </row>
    <row r="483" spans="1:20" s="88" customFormat="1" ht="36" x14ac:dyDescent="0.2">
      <c r="A483" s="510">
        <f>IF(B483="","",COUNT('Diário 1º PA'!$A$4:$A$2635)+ROW()-3)</f>
        <v>2216</v>
      </c>
      <c r="B483" s="414">
        <v>44671</v>
      </c>
      <c r="C483" s="431">
        <v>44593</v>
      </c>
      <c r="D483" s="415" t="s">
        <v>271</v>
      </c>
      <c r="E483" s="415" t="s">
        <v>453</v>
      </c>
      <c r="F483" s="425">
        <v>28.08</v>
      </c>
      <c r="G483" s="427" t="s">
        <v>2204</v>
      </c>
      <c r="H483" s="419" t="s">
        <v>752</v>
      </c>
      <c r="I483" s="427" t="s">
        <v>1461</v>
      </c>
      <c r="J483" s="415" t="s">
        <v>310</v>
      </c>
      <c r="K483" s="415" t="s">
        <v>1220</v>
      </c>
      <c r="L483" s="415" t="s">
        <v>1368</v>
      </c>
      <c r="M483" s="415" t="s">
        <v>310</v>
      </c>
      <c r="N483" s="414">
        <v>44671</v>
      </c>
      <c r="O483" s="414" t="s">
        <v>400</v>
      </c>
      <c r="P483" s="603">
        <f t="shared" si="35"/>
        <v>4</v>
      </c>
      <c r="Q483" s="603">
        <f t="shared" si="36"/>
        <v>2</v>
      </c>
      <c r="R483" s="604" t="str">
        <f t="shared" si="37"/>
        <v>Gastos_Gerais</v>
      </c>
      <c r="S483" s="605" t="s">
        <v>310</v>
      </c>
      <c r="T483" s="605" t="s">
        <v>310</v>
      </c>
    </row>
    <row r="484" spans="1:20" s="88" customFormat="1" ht="36" x14ac:dyDescent="0.2">
      <c r="A484" s="510">
        <f>IF(B484="","",COUNT('Diário 1º PA'!$A$4:$A$2635)+ROW()-3)</f>
        <v>2217</v>
      </c>
      <c r="B484" s="414">
        <v>44671</v>
      </c>
      <c r="C484" s="431">
        <v>44562</v>
      </c>
      <c r="D484" s="415" t="s">
        <v>271</v>
      </c>
      <c r="E484" s="415" t="s">
        <v>297</v>
      </c>
      <c r="F484" s="425">
        <v>112.45</v>
      </c>
      <c r="G484" s="427" t="s">
        <v>2200</v>
      </c>
      <c r="H484" s="419" t="s">
        <v>752</v>
      </c>
      <c r="I484" s="427" t="s">
        <v>1461</v>
      </c>
      <c r="J484" s="415" t="s">
        <v>310</v>
      </c>
      <c r="K484" s="415" t="s">
        <v>1220</v>
      </c>
      <c r="L484" s="415" t="s">
        <v>1368</v>
      </c>
      <c r="M484" s="415" t="s">
        <v>310</v>
      </c>
      <c r="N484" s="414">
        <v>44671</v>
      </c>
      <c r="O484" s="414" t="s">
        <v>400</v>
      </c>
      <c r="P484" s="603">
        <f t="shared" si="35"/>
        <v>4</v>
      </c>
      <c r="Q484" s="603">
        <f t="shared" si="36"/>
        <v>1</v>
      </c>
      <c r="R484" s="604" t="str">
        <f t="shared" si="37"/>
        <v>Gastos_Gerais</v>
      </c>
      <c r="S484" s="605" t="s">
        <v>310</v>
      </c>
      <c r="T484" s="605" t="s">
        <v>310</v>
      </c>
    </row>
    <row r="485" spans="1:20" s="88" customFormat="1" ht="36" x14ac:dyDescent="0.2">
      <c r="A485" s="510">
        <f>IF(B485="","",COUNT('Diário 1º PA'!$A$4:$A$2635)+ROW()-3)</f>
        <v>2218</v>
      </c>
      <c r="B485" s="414">
        <v>44671</v>
      </c>
      <c r="C485" s="431">
        <v>44593</v>
      </c>
      <c r="D485" s="415" t="s">
        <v>271</v>
      </c>
      <c r="E485" s="415" t="s">
        <v>453</v>
      </c>
      <c r="F485" s="425">
        <v>17.399999999999999</v>
      </c>
      <c r="G485" s="427" t="s">
        <v>2164</v>
      </c>
      <c r="H485" s="419" t="s">
        <v>752</v>
      </c>
      <c r="I485" s="427" t="s">
        <v>1461</v>
      </c>
      <c r="J485" s="415" t="s">
        <v>310</v>
      </c>
      <c r="K485" s="415" t="s">
        <v>1220</v>
      </c>
      <c r="L485" s="415" t="s">
        <v>1368</v>
      </c>
      <c r="M485" s="415" t="s">
        <v>310</v>
      </c>
      <c r="N485" s="414">
        <v>44671</v>
      </c>
      <c r="O485" s="414" t="s">
        <v>400</v>
      </c>
      <c r="P485" s="603">
        <f t="shared" si="35"/>
        <v>4</v>
      </c>
      <c r="Q485" s="603">
        <f t="shared" si="36"/>
        <v>2</v>
      </c>
      <c r="R485" s="604" t="str">
        <f t="shared" si="37"/>
        <v>Gastos_Gerais</v>
      </c>
      <c r="S485" s="605" t="s">
        <v>310</v>
      </c>
      <c r="T485" s="605" t="s">
        <v>310</v>
      </c>
    </row>
    <row r="486" spans="1:20" s="88" customFormat="1" ht="48" x14ac:dyDescent="0.2">
      <c r="A486" s="510">
        <f>IF(B486="","",COUNT('Diário 1º PA'!$A$4:$A$2635)+ROW()-3)</f>
        <v>2219</v>
      </c>
      <c r="B486" s="414">
        <v>44671</v>
      </c>
      <c r="C486" s="431">
        <v>44593</v>
      </c>
      <c r="D486" s="415" t="s">
        <v>271</v>
      </c>
      <c r="E486" s="415" t="s">
        <v>453</v>
      </c>
      <c r="F486" s="425">
        <v>33.42</v>
      </c>
      <c r="G486" s="427" t="s">
        <v>5446</v>
      </c>
      <c r="H486" s="419" t="s">
        <v>757</v>
      </c>
      <c r="I486" s="427" t="s">
        <v>1461</v>
      </c>
      <c r="J486" s="415" t="s">
        <v>310</v>
      </c>
      <c r="K486" s="415" t="s">
        <v>1220</v>
      </c>
      <c r="L486" s="415" t="s">
        <v>1368</v>
      </c>
      <c r="M486" s="415" t="s">
        <v>310</v>
      </c>
      <c r="N486" s="414">
        <v>44671</v>
      </c>
      <c r="O486" s="414" t="s">
        <v>400</v>
      </c>
      <c r="P486" s="603">
        <f t="shared" si="35"/>
        <v>4</v>
      </c>
      <c r="Q486" s="603">
        <f t="shared" si="36"/>
        <v>2</v>
      </c>
      <c r="R486" s="604" t="str">
        <f t="shared" si="37"/>
        <v>Gastos_Gerais</v>
      </c>
      <c r="S486" s="605" t="s">
        <v>310</v>
      </c>
      <c r="T486" s="605" t="s">
        <v>310</v>
      </c>
    </row>
    <row r="487" spans="1:20" s="88" customFormat="1" ht="24" x14ac:dyDescent="0.2">
      <c r="A487" s="510">
        <f>IF(B487="","",COUNT('Diário 1º PA'!$A$4:$A$2635)+ROW()-3)</f>
        <v>2220</v>
      </c>
      <c r="B487" s="414">
        <v>44671</v>
      </c>
      <c r="C487" s="433">
        <v>44593</v>
      </c>
      <c r="D487" s="434" t="s">
        <v>182</v>
      </c>
      <c r="E487" s="434" t="s">
        <v>1</v>
      </c>
      <c r="F487" s="425">
        <v>12.5</v>
      </c>
      <c r="G487" s="427" t="s">
        <v>3574</v>
      </c>
      <c r="H487" s="415" t="s">
        <v>310</v>
      </c>
      <c r="I487" s="427" t="s">
        <v>1461</v>
      </c>
      <c r="J487" s="415" t="s">
        <v>310</v>
      </c>
      <c r="K487" s="415" t="s">
        <v>1220</v>
      </c>
      <c r="L487" s="415" t="s">
        <v>1368</v>
      </c>
      <c r="M487" s="415" t="s">
        <v>310</v>
      </c>
      <c r="N487" s="414">
        <v>44671</v>
      </c>
      <c r="O487" s="414" t="s">
        <v>400</v>
      </c>
      <c r="P487" s="603">
        <f t="shared" si="35"/>
        <v>4</v>
      </c>
      <c r="Q487" s="603">
        <f t="shared" si="36"/>
        <v>2</v>
      </c>
      <c r="R487" s="604" t="str">
        <f t="shared" si="37"/>
        <v>Gastos_com_Pessoal</v>
      </c>
      <c r="S487" s="605" t="s">
        <v>310</v>
      </c>
      <c r="T487" s="605" t="s">
        <v>310</v>
      </c>
    </row>
    <row r="488" spans="1:20" s="88" customFormat="1" ht="24" x14ac:dyDescent="0.2">
      <c r="A488" s="510">
        <f>IF(B488="","",COUNT('Diário 1º PA'!$A$4:$A$2635)+ROW()-3)</f>
        <v>2221</v>
      </c>
      <c r="B488" s="414">
        <v>44671</v>
      </c>
      <c r="C488" s="433">
        <v>44593</v>
      </c>
      <c r="D488" s="434" t="s">
        <v>271</v>
      </c>
      <c r="E488" s="434" t="s">
        <v>2</v>
      </c>
      <c r="F488" s="425">
        <v>1881</v>
      </c>
      <c r="G488" s="427" t="s">
        <v>494</v>
      </c>
      <c r="H488" s="415" t="s">
        <v>309</v>
      </c>
      <c r="I488" s="427" t="s">
        <v>1461</v>
      </c>
      <c r="J488" s="415" t="s">
        <v>310</v>
      </c>
      <c r="K488" s="415" t="s">
        <v>1220</v>
      </c>
      <c r="L488" s="415" t="s">
        <v>1368</v>
      </c>
      <c r="M488" s="415" t="s">
        <v>310</v>
      </c>
      <c r="N488" s="414">
        <v>44671</v>
      </c>
      <c r="O488" s="414" t="s">
        <v>400</v>
      </c>
      <c r="P488" s="603">
        <f t="shared" si="35"/>
        <v>4</v>
      </c>
      <c r="Q488" s="603">
        <f t="shared" si="36"/>
        <v>2</v>
      </c>
      <c r="R488" s="604" t="str">
        <f t="shared" si="37"/>
        <v>Gastos_Gerais</v>
      </c>
      <c r="S488" s="605" t="s">
        <v>310</v>
      </c>
      <c r="T488" s="605" t="s">
        <v>310</v>
      </c>
    </row>
    <row r="489" spans="1:20" s="88" customFormat="1" ht="24" x14ac:dyDescent="0.2">
      <c r="A489" s="510">
        <f>IF(B489="","",COUNT('Diário 1º PA'!$A$4:$A$2635)+ROW()-3)</f>
        <v>2222</v>
      </c>
      <c r="B489" s="414">
        <v>44671</v>
      </c>
      <c r="C489" s="433">
        <v>44593</v>
      </c>
      <c r="D489" s="434" t="s">
        <v>182</v>
      </c>
      <c r="E489" s="434" t="s">
        <v>1</v>
      </c>
      <c r="F489" s="425">
        <v>12494.88</v>
      </c>
      <c r="G489" s="427" t="s">
        <v>1949</v>
      </c>
      <c r="H489" s="415" t="s">
        <v>310</v>
      </c>
      <c r="I489" s="427" t="s">
        <v>1461</v>
      </c>
      <c r="J489" s="415" t="s">
        <v>310</v>
      </c>
      <c r="K489" s="415" t="s">
        <v>1220</v>
      </c>
      <c r="L489" s="415" t="s">
        <v>1368</v>
      </c>
      <c r="M489" s="415" t="s">
        <v>310</v>
      </c>
      <c r="N489" s="414">
        <v>44671</v>
      </c>
      <c r="O489" s="414" t="s">
        <v>400</v>
      </c>
      <c r="P489" s="603">
        <f t="shared" si="35"/>
        <v>4</v>
      </c>
      <c r="Q489" s="603">
        <f t="shared" si="36"/>
        <v>2</v>
      </c>
      <c r="R489" s="604" t="str">
        <f t="shared" si="37"/>
        <v>Gastos_com_Pessoal</v>
      </c>
      <c r="S489" s="605" t="s">
        <v>310</v>
      </c>
      <c r="T489" s="605" t="s">
        <v>310</v>
      </c>
    </row>
    <row r="490" spans="1:20" s="88" customFormat="1" ht="24" x14ac:dyDescent="0.2">
      <c r="A490" s="510">
        <f>IF(B490="","",COUNT('Diário 1º PA'!$A$4:$A$2635)+ROW()-3)</f>
        <v>2223</v>
      </c>
      <c r="B490" s="414">
        <v>44671</v>
      </c>
      <c r="C490" s="421">
        <v>44621</v>
      </c>
      <c r="D490" s="415" t="s">
        <v>271</v>
      </c>
      <c r="E490" s="415" t="s">
        <v>59</v>
      </c>
      <c r="F490" s="425">
        <v>127.5</v>
      </c>
      <c r="G490" s="427" t="s">
        <v>3364</v>
      </c>
      <c r="H490" s="415" t="s">
        <v>309</v>
      </c>
      <c r="I490" s="427" t="s">
        <v>1461</v>
      </c>
      <c r="J490" s="415" t="s">
        <v>310</v>
      </c>
      <c r="K490" s="415" t="s">
        <v>1220</v>
      </c>
      <c r="L490" s="415" t="s">
        <v>1368</v>
      </c>
      <c r="M490" s="415" t="s">
        <v>310</v>
      </c>
      <c r="N490" s="414">
        <v>44671</v>
      </c>
      <c r="O490" s="414" t="s">
        <v>400</v>
      </c>
      <c r="P490" s="603">
        <f t="shared" si="35"/>
        <v>4</v>
      </c>
      <c r="Q490" s="603">
        <f t="shared" si="36"/>
        <v>3</v>
      </c>
      <c r="R490" s="604" t="str">
        <f t="shared" si="37"/>
        <v>Gastos_Gerais</v>
      </c>
      <c r="S490" s="605" t="s">
        <v>310</v>
      </c>
      <c r="T490" s="605" t="s">
        <v>310</v>
      </c>
    </row>
    <row r="491" spans="1:20" s="88" customFormat="1" ht="24" x14ac:dyDescent="0.2">
      <c r="A491" s="510">
        <f>IF(B491="","",COUNT('Diário 1º PA'!$A$4:$A$2635)+ROW()-3)</f>
        <v>2224</v>
      </c>
      <c r="B491" s="414">
        <v>44671</v>
      </c>
      <c r="C491" s="421">
        <v>44621</v>
      </c>
      <c r="D491" s="415" t="s">
        <v>271</v>
      </c>
      <c r="E491" s="415" t="s">
        <v>183</v>
      </c>
      <c r="F491" s="425">
        <v>352.97</v>
      </c>
      <c r="G491" s="437" t="s">
        <v>1433</v>
      </c>
      <c r="H491" s="434" t="s">
        <v>309</v>
      </c>
      <c r="I491" s="437" t="s">
        <v>768</v>
      </c>
      <c r="J491" s="434" t="s">
        <v>1021</v>
      </c>
      <c r="K491" s="418" t="s">
        <v>812</v>
      </c>
      <c r="L491" s="399" t="s">
        <v>1372</v>
      </c>
      <c r="M491" s="544" t="s">
        <v>3641</v>
      </c>
      <c r="N491" s="414">
        <v>44652</v>
      </c>
      <c r="O491" s="414" t="s">
        <v>400</v>
      </c>
      <c r="P491" s="603">
        <f t="shared" si="35"/>
        <v>4</v>
      </c>
      <c r="Q491" s="603">
        <f t="shared" si="36"/>
        <v>3</v>
      </c>
      <c r="R491" s="604" t="str">
        <f t="shared" si="37"/>
        <v>Gastos_Gerais</v>
      </c>
      <c r="S491" s="605" t="s">
        <v>310</v>
      </c>
      <c r="T491" s="605" t="s">
        <v>310</v>
      </c>
    </row>
    <row r="492" spans="1:20" s="88" customFormat="1" ht="24" x14ac:dyDescent="0.2">
      <c r="A492" s="510">
        <f>IF(B492="","",COUNT('Diário 1º PA'!$A$4:$A$2635)+ROW()-3)</f>
        <v>2225</v>
      </c>
      <c r="B492" s="414">
        <v>44671</v>
      </c>
      <c r="C492" s="431">
        <v>44593</v>
      </c>
      <c r="D492" s="415" t="s">
        <v>271</v>
      </c>
      <c r="E492" s="415" t="s">
        <v>186</v>
      </c>
      <c r="F492" s="425">
        <v>27.12</v>
      </c>
      <c r="G492" s="427" t="s">
        <v>2078</v>
      </c>
      <c r="H492" s="434" t="s">
        <v>309</v>
      </c>
      <c r="I492" s="427" t="s">
        <v>1461</v>
      </c>
      <c r="J492" s="415" t="s">
        <v>310</v>
      </c>
      <c r="K492" s="415" t="s">
        <v>1220</v>
      </c>
      <c r="L492" s="415" t="s">
        <v>1368</v>
      </c>
      <c r="M492" s="415" t="s">
        <v>310</v>
      </c>
      <c r="N492" s="414">
        <v>44671</v>
      </c>
      <c r="O492" s="414" t="s">
        <v>400</v>
      </c>
      <c r="P492" s="603">
        <f t="shared" si="35"/>
        <v>4</v>
      </c>
      <c r="Q492" s="603">
        <f t="shared" si="36"/>
        <v>2</v>
      </c>
      <c r="R492" s="604" t="str">
        <f t="shared" si="37"/>
        <v>Gastos_Gerais</v>
      </c>
      <c r="S492" s="605" t="s">
        <v>310</v>
      </c>
      <c r="T492" s="605" t="s">
        <v>310</v>
      </c>
    </row>
    <row r="493" spans="1:20" s="88" customFormat="1" ht="24" x14ac:dyDescent="0.2">
      <c r="A493" s="510">
        <f>IF(B493="","",COUNT('Diário 1º PA'!$A$4:$A$2635)+ROW()-3)</f>
        <v>2226</v>
      </c>
      <c r="B493" s="414">
        <v>44671</v>
      </c>
      <c r="C493" s="433">
        <v>44593</v>
      </c>
      <c r="D493" s="434" t="s">
        <v>182</v>
      </c>
      <c r="E493" s="434" t="s">
        <v>179</v>
      </c>
      <c r="F493" s="425">
        <v>27.5</v>
      </c>
      <c r="G493" s="427" t="s">
        <v>2013</v>
      </c>
      <c r="H493" s="415" t="s">
        <v>310</v>
      </c>
      <c r="I493" s="427" t="s">
        <v>1461</v>
      </c>
      <c r="J493" s="415" t="s">
        <v>310</v>
      </c>
      <c r="K493" s="415" t="s">
        <v>1220</v>
      </c>
      <c r="L493" s="415" t="s">
        <v>1368</v>
      </c>
      <c r="M493" s="415" t="s">
        <v>310</v>
      </c>
      <c r="N493" s="414">
        <v>44671</v>
      </c>
      <c r="O493" s="414" t="s">
        <v>400</v>
      </c>
      <c r="P493" s="603">
        <f t="shared" si="35"/>
        <v>4</v>
      </c>
      <c r="Q493" s="603">
        <f t="shared" si="36"/>
        <v>2</v>
      </c>
      <c r="R493" s="604" t="str">
        <f t="shared" si="37"/>
        <v>Gastos_com_Pessoal</v>
      </c>
      <c r="S493" s="605" t="s">
        <v>310</v>
      </c>
      <c r="T493" s="605" t="s">
        <v>310</v>
      </c>
    </row>
    <row r="494" spans="1:20" s="88" customFormat="1" ht="32.25" customHeight="1" x14ac:dyDescent="0.2">
      <c r="A494" s="510">
        <f>IF(B494="","",COUNT('Diário 1º PA'!$A$4:$A$2635)+ROW()-3)</f>
        <v>2227</v>
      </c>
      <c r="B494" s="414">
        <v>44671</v>
      </c>
      <c r="C494" s="433">
        <v>44593</v>
      </c>
      <c r="D494" s="434" t="s">
        <v>182</v>
      </c>
      <c r="E494" s="434" t="s">
        <v>179</v>
      </c>
      <c r="F494" s="425">
        <v>18.91</v>
      </c>
      <c r="G494" s="427" t="s">
        <v>2016</v>
      </c>
      <c r="H494" s="415" t="s">
        <v>310</v>
      </c>
      <c r="I494" s="427" t="s">
        <v>1461</v>
      </c>
      <c r="J494" s="415" t="s">
        <v>310</v>
      </c>
      <c r="K494" s="415" t="s">
        <v>1220</v>
      </c>
      <c r="L494" s="415" t="s">
        <v>1368</v>
      </c>
      <c r="M494" s="415" t="s">
        <v>310</v>
      </c>
      <c r="N494" s="414">
        <v>44671</v>
      </c>
      <c r="O494" s="414" t="s">
        <v>400</v>
      </c>
      <c r="P494" s="603">
        <f t="shared" si="35"/>
        <v>4</v>
      </c>
      <c r="Q494" s="603">
        <f t="shared" si="36"/>
        <v>2</v>
      </c>
      <c r="R494" s="604" t="str">
        <f t="shared" si="37"/>
        <v>Gastos_com_Pessoal</v>
      </c>
      <c r="S494" s="605" t="s">
        <v>310</v>
      </c>
      <c r="T494" s="605" t="s">
        <v>310</v>
      </c>
    </row>
    <row r="495" spans="1:20" s="88" customFormat="1" ht="24" x14ac:dyDescent="0.2">
      <c r="A495" s="510">
        <f>IF(B495="","",COUNT('Diário 1º PA'!$A$4:$A$2635)+ROW()-3)</f>
        <v>2228</v>
      </c>
      <c r="B495" s="414">
        <v>44671</v>
      </c>
      <c r="C495" s="433">
        <v>44562</v>
      </c>
      <c r="D495" s="434" t="s">
        <v>182</v>
      </c>
      <c r="E495" s="434" t="s">
        <v>1</v>
      </c>
      <c r="F495" s="425">
        <v>34.369999999999997</v>
      </c>
      <c r="G495" s="427" t="s">
        <v>2318</v>
      </c>
      <c r="H495" s="415" t="s">
        <v>310</v>
      </c>
      <c r="I495" s="427" t="s">
        <v>1461</v>
      </c>
      <c r="J495" s="415" t="s">
        <v>310</v>
      </c>
      <c r="K495" s="415" t="s">
        <v>1220</v>
      </c>
      <c r="L495" s="415" t="s">
        <v>1368</v>
      </c>
      <c r="M495" s="415" t="s">
        <v>310</v>
      </c>
      <c r="N495" s="414">
        <v>44671</v>
      </c>
      <c r="O495" s="414" t="s">
        <v>400</v>
      </c>
      <c r="P495" s="603">
        <f t="shared" si="35"/>
        <v>4</v>
      </c>
      <c r="Q495" s="603">
        <f t="shared" si="36"/>
        <v>1</v>
      </c>
      <c r="R495" s="604" t="str">
        <f t="shared" si="37"/>
        <v>Gastos_com_Pessoal</v>
      </c>
      <c r="S495" s="605" t="s">
        <v>310</v>
      </c>
      <c r="T495" s="605" t="s">
        <v>310</v>
      </c>
    </row>
    <row r="496" spans="1:20" s="88" customFormat="1" ht="24" x14ac:dyDescent="0.2">
      <c r="A496" s="510">
        <f>IF(B496="","",COUNT('Diário 1º PA'!$A$4:$A$2635)+ROW()-3)</f>
        <v>2229</v>
      </c>
      <c r="B496" s="414">
        <v>44671</v>
      </c>
      <c r="C496" s="421">
        <v>44593</v>
      </c>
      <c r="D496" s="415" t="s">
        <v>271</v>
      </c>
      <c r="E496" s="415" t="s">
        <v>59</v>
      </c>
      <c r="F496" s="425">
        <v>395.25</v>
      </c>
      <c r="G496" s="427" t="s">
        <v>2076</v>
      </c>
      <c r="H496" s="415" t="s">
        <v>309</v>
      </c>
      <c r="I496" s="427" t="s">
        <v>1461</v>
      </c>
      <c r="J496" s="415" t="s">
        <v>310</v>
      </c>
      <c r="K496" s="415" t="s">
        <v>1220</v>
      </c>
      <c r="L496" s="415" t="s">
        <v>1368</v>
      </c>
      <c r="M496" s="415" t="s">
        <v>310</v>
      </c>
      <c r="N496" s="414">
        <v>44671</v>
      </c>
      <c r="O496" s="414" t="s">
        <v>400</v>
      </c>
      <c r="P496" s="603">
        <f t="shared" ref="P496:P510" si="38">IF(B496=0,0,IF(YEAR(B496)=$Q$1,MONTH(B496)-$P$1+1,(YEAR(B496)-$Q$1)*12-$P$1+1+MONTH(B496)))</f>
        <v>4</v>
      </c>
      <c r="Q496" s="603">
        <f t="shared" ref="Q496:Q510" si="39">IF(C496=0,0,IF(YEAR(C496)=$Q$1,MONTH(C496)-$P$1+1,(YEAR(C496)-$Q$1)*12-$P$1+1+MONTH(C496)))</f>
        <v>2</v>
      </c>
      <c r="R496" s="604" t="str">
        <f t="shared" ref="R496:R510" si="40">SUBSTITUTE(D496," ","_")</f>
        <v>Gastos_Gerais</v>
      </c>
      <c r="S496" s="605" t="s">
        <v>310</v>
      </c>
      <c r="T496" s="605" t="s">
        <v>310</v>
      </c>
    </row>
    <row r="497" spans="1:20" s="88" customFormat="1" ht="24" x14ac:dyDescent="0.2">
      <c r="A497" s="510">
        <f>IF(B497="","",COUNT('Diário 1º PA'!$A$4:$A$2635)+ROW()-3)</f>
        <v>2230</v>
      </c>
      <c r="B497" s="414">
        <v>44671</v>
      </c>
      <c r="C497" s="424">
        <v>44621</v>
      </c>
      <c r="D497" s="415" t="s">
        <v>468</v>
      </c>
      <c r="E497" s="415" t="s">
        <v>468</v>
      </c>
      <c r="F497" s="425">
        <v>248</v>
      </c>
      <c r="G497" s="440" t="s">
        <v>3618</v>
      </c>
      <c r="H497" s="415" t="s">
        <v>468</v>
      </c>
      <c r="I497" s="427" t="s">
        <v>1461</v>
      </c>
      <c r="J497" s="415" t="s">
        <v>310</v>
      </c>
      <c r="K497" s="415" t="s">
        <v>1220</v>
      </c>
      <c r="L497" s="415" t="s">
        <v>1368</v>
      </c>
      <c r="M497" s="415" t="s">
        <v>310</v>
      </c>
      <c r="N497" s="414">
        <v>44671</v>
      </c>
      <c r="O497" s="414" t="s">
        <v>400</v>
      </c>
      <c r="P497" s="603">
        <f t="shared" si="38"/>
        <v>4</v>
      </c>
      <c r="Q497" s="603">
        <f t="shared" si="39"/>
        <v>3</v>
      </c>
      <c r="R497" s="604" t="str">
        <f t="shared" si="40"/>
        <v>Gastos_custeados_por_captação</v>
      </c>
      <c r="S497" s="605" t="s">
        <v>310</v>
      </c>
      <c r="T497" s="605" t="s">
        <v>310</v>
      </c>
    </row>
    <row r="498" spans="1:20" s="88" customFormat="1" ht="24" x14ac:dyDescent="0.2">
      <c r="A498" s="510">
        <f>IF(B498="","",COUNT('Diário 1º PA'!$A$4:$A$2635)+ROW()-3)</f>
        <v>2231</v>
      </c>
      <c r="B498" s="414">
        <v>44671</v>
      </c>
      <c r="C498" s="424">
        <v>44621</v>
      </c>
      <c r="D498" s="415" t="s">
        <v>468</v>
      </c>
      <c r="E498" s="415" t="s">
        <v>468</v>
      </c>
      <c r="F498" s="425">
        <v>1071.05</v>
      </c>
      <c r="G498" s="440" t="s">
        <v>3618</v>
      </c>
      <c r="H498" s="415" t="s">
        <v>468</v>
      </c>
      <c r="I498" s="427" t="s">
        <v>1461</v>
      </c>
      <c r="J498" s="415" t="s">
        <v>310</v>
      </c>
      <c r="K498" s="415" t="s">
        <v>1220</v>
      </c>
      <c r="L498" s="415" t="s">
        <v>1368</v>
      </c>
      <c r="M498" s="415" t="s">
        <v>310</v>
      </c>
      <c r="N498" s="414">
        <v>44671</v>
      </c>
      <c r="O498" s="414" t="s">
        <v>400</v>
      </c>
      <c r="P498" s="603">
        <f t="shared" si="38"/>
        <v>4</v>
      </c>
      <c r="Q498" s="603">
        <f t="shared" si="39"/>
        <v>3</v>
      </c>
      <c r="R498" s="604" t="str">
        <f t="shared" si="40"/>
        <v>Gastos_custeados_por_captação</v>
      </c>
      <c r="S498" s="605" t="s">
        <v>310</v>
      </c>
      <c r="T498" s="605" t="s">
        <v>310</v>
      </c>
    </row>
    <row r="499" spans="1:20" s="88" customFormat="1" ht="99.95" customHeight="1" x14ac:dyDescent="0.2">
      <c r="A499" s="510">
        <f>IF(B499="","",COUNT('Diário 1º PA'!$A$4:$A$2635)+ROW()-3)</f>
        <v>2232</v>
      </c>
      <c r="B499" s="414">
        <v>44671</v>
      </c>
      <c r="C499" s="424">
        <v>44621</v>
      </c>
      <c r="D499" s="415" t="s">
        <v>468</v>
      </c>
      <c r="E499" s="415" t="s">
        <v>468</v>
      </c>
      <c r="F499" s="425">
        <v>930</v>
      </c>
      <c r="G499" s="440" t="s">
        <v>3619</v>
      </c>
      <c r="H499" s="415" t="s">
        <v>468</v>
      </c>
      <c r="I499" s="427" t="s">
        <v>1461</v>
      </c>
      <c r="J499" s="415" t="s">
        <v>310</v>
      </c>
      <c r="K499" s="415" t="s">
        <v>1220</v>
      </c>
      <c r="L499" s="415" t="s">
        <v>1368</v>
      </c>
      <c r="M499" s="415" t="s">
        <v>310</v>
      </c>
      <c r="N499" s="414">
        <v>44671</v>
      </c>
      <c r="O499" s="414" t="s">
        <v>400</v>
      </c>
      <c r="P499" s="603">
        <f t="shared" si="38"/>
        <v>4</v>
      </c>
      <c r="Q499" s="603">
        <f t="shared" si="39"/>
        <v>3</v>
      </c>
      <c r="R499" s="604" t="str">
        <f t="shared" si="40"/>
        <v>Gastos_custeados_por_captação</v>
      </c>
      <c r="S499" s="605" t="s">
        <v>310</v>
      </c>
      <c r="T499" s="605" t="s">
        <v>310</v>
      </c>
    </row>
    <row r="500" spans="1:20" s="88" customFormat="1" ht="99.95" customHeight="1" x14ac:dyDescent="0.2">
      <c r="A500" s="510">
        <f>IF(B500="","",COUNT('Diário 1º PA'!$A$4:$A$2635)+ROW()-3)</f>
        <v>2233</v>
      </c>
      <c r="B500" s="414">
        <v>44671</v>
      </c>
      <c r="C500" s="424">
        <v>44621</v>
      </c>
      <c r="D500" s="415" t="s">
        <v>468</v>
      </c>
      <c r="E500" s="415" t="s">
        <v>468</v>
      </c>
      <c r="F500" s="425">
        <v>3875</v>
      </c>
      <c r="G500" s="440" t="s">
        <v>3620</v>
      </c>
      <c r="H500" s="415" t="s">
        <v>468</v>
      </c>
      <c r="I500" s="427" t="s">
        <v>1461</v>
      </c>
      <c r="J500" s="415" t="s">
        <v>310</v>
      </c>
      <c r="K500" s="415" t="s">
        <v>1220</v>
      </c>
      <c r="L500" s="415" t="s">
        <v>1368</v>
      </c>
      <c r="M500" s="415" t="s">
        <v>310</v>
      </c>
      <c r="N500" s="414">
        <v>44671</v>
      </c>
      <c r="O500" s="414" t="s">
        <v>400</v>
      </c>
      <c r="P500" s="603">
        <f t="shared" si="38"/>
        <v>4</v>
      </c>
      <c r="Q500" s="603">
        <f t="shared" si="39"/>
        <v>3</v>
      </c>
      <c r="R500" s="604" t="str">
        <f t="shared" si="40"/>
        <v>Gastos_custeados_por_captação</v>
      </c>
      <c r="S500" s="605" t="s">
        <v>310</v>
      </c>
      <c r="T500" s="605" t="s">
        <v>310</v>
      </c>
    </row>
    <row r="501" spans="1:20" s="88" customFormat="1" ht="99.95" customHeight="1" x14ac:dyDescent="0.2">
      <c r="A501" s="510">
        <f>IF(B501="","",COUNT('Diário 1º PA'!$A$4:$A$2635)+ROW()-3)</f>
        <v>2234</v>
      </c>
      <c r="B501" s="414">
        <v>44671</v>
      </c>
      <c r="C501" s="424">
        <v>44621</v>
      </c>
      <c r="D501" s="415" t="s">
        <v>182</v>
      </c>
      <c r="E501" s="415" t="s">
        <v>1</v>
      </c>
      <c r="F501" s="425">
        <v>3203.98</v>
      </c>
      <c r="G501" s="440" t="s">
        <v>3622</v>
      </c>
      <c r="H501" s="415" t="s">
        <v>310</v>
      </c>
      <c r="I501" s="427" t="s">
        <v>1461</v>
      </c>
      <c r="J501" s="415" t="s">
        <v>310</v>
      </c>
      <c r="K501" s="415" t="s">
        <v>1220</v>
      </c>
      <c r="L501" s="415" t="s">
        <v>1368</v>
      </c>
      <c r="M501" s="415" t="s">
        <v>310</v>
      </c>
      <c r="N501" s="414">
        <v>44671</v>
      </c>
      <c r="O501" s="414" t="s">
        <v>400</v>
      </c>
      <c r="P501" s="603">
        <f t="shared" si="38"/>
        <v>4</v>
      </c>
      <c r="Q501" s="603">
        <f t="shared" si="39"/>
        <v>3</v>
      </c>
      <c r="R501" s="604" t="str">
        <f t="shared" si="40"/>
        <v>Gastos_com_Pessoal</v>
      </c>
      <c r="S501" s="605" t="s">
        <v>310</v>
      </c>
      <c r="T501" s="605" t="s">
        <v>310</v>
      </c>
    </row>
    <row r="502" spans="1:20" s="88" customFormat="1" ht="99.95" customHeight="1" x14ac:dyDescent="0.2">
      <c r="A502" s="510">
        <f>IF(B502="","",COUNT('Diário 1º PA'!$A$4:$A$2635)+ROW()-3)</f>
        <v>2235</v>
      </c>
      <c r="B502" s="414">
        <v>44671</v>
      </c>
      <c r="C502" s="424">
        <v>44621</v>
      </c>
      <c r="D502" s="415" t="s">
        <v>182</v>
      </c>
      <c r="E502" s="415" t="s">
        <v>252</v>
      </c>
      <c r="F502" s="425">
        <v>8054.9</v>
      </c>
      <c r="G502" s="440" t="s">
        <v>3623</v>
      </c>
      <c r="H502" s="415" t="s">
        <v>310</v>
      </c>
      <c r="I502" s="427" t="s">
        <v>1461</v>
      </c>
      <c r="J502" s="415" t="s">
        <v>310</v>
      </c>
      <c r="K502" s="415" t="s">
        <v>1220</v>
      </c>
      <c r="L502" s="415" t="s">
        <v>1368</v>
      </c>
      <c r="M502" s="415" t="s">
        <v>310</v>
      </c>
      <c r="N502" s="414">
        <v>44671</v>
      </c>
      <c r="O502" s="414" t="s">
        <v>400</v>
      </c>
      <c r="P502" s="603">
        <f t="shared" si="38"/>
        <v>4</v>
      </c>
      <c r="Q502" s="603">
        <f t="shared" si="39"/>
        <v>3</v>
      </c>
      <c r="R502" s="604" t="str">
        <f t="shared" si="40"/>
        <v>Gastos_com_Pessoal</v>
      </c>
      <c r="S502" s="605" t="s">
        <v>310</v>
      </c>
      <c r="T502" s="605" t="s">
        <v>310</v>
      </c>
    </row>
    <row r="503" spans="1:20" s="88" customFormat="1" ht="99.95" customHeight="1" x14ac:dyDescent="0.2">
      <c r="A503" s="510">
        <f>IF(B503="","",COUNT('Diário 1º PA'!$A$4:$A$2635)+ROW()-3)</f>
        <v>2236</v>
      </c>
      <c r="B503" s="414">
        <v>44671</v>
      </c>
      <c r="C503" s="424">
        <v>44621</v>
      </c>
      <c r="D503" s="415" t="s">
        <v>271</v>
      </c>
      <c r="E503" s="415" t="s">
        <v>90</v>
      </c>
      <c r="F503" s="425">
        <v>706.8</v>
      </c>
      <c r="G503" s="440" t="s">
        <v>3624</v>
      </c>
      <c r="H503" s="415" t="s">
        <v>310</v>
      </c>
      <c r="I503" s="427" t="s">
        <v>1461</v>
      </c>
      <c r="J503" s="415" t="s">
        <v>310</v>
      </c>
      <c r="K503" s="415" t="s">
        <v>1220</v>
      </c>
      <c r="L503" s="415" t="s">
        <v>1368</v>
      </c>
      <c r="M503" s="415" t="s">
        <v>310</v>
      </c>
      <c r="N503" s="414">
        <v>44671</v>
      </c>
      <c r="O503" s="414" t="s">
        <v>400</v>
      </c>
      <c r="P503" s="603">
        <f t="shared" si="38"/>
        <v>4</v>
      </c>
      <c r="Q503" s="603">
        <f t="shared" si="39"/>
        <v>3</v>
      </c>
      <c r="R503" s="604" t="str">
        <f t="shared" si="40"/>
        <v>Gastos_Gerais</v>
      </c>
      <c r="S503" s="605" t="s">
        <v>310</v>
      </c>
      <c r="T503" s="605" t="s">
        <v>310</v>
      </c>
    </row>
    <row r="504" spans="1:20" s="88" customFormat="1" ht="99.95" customHeight="1" x14ac:dyDescent="0.2">
      <c r="A504" s="510">
        <f>IF(B504="","",COUNT('Diário 1º PA'!$A$4:$A$2635)+ROW()-3)</f>
        <v>2237</v>
      </c>
      <c r="B504" s="414">
        <v>44671</v>
      </c>
      <c r="C504" s="424">
        <v>44621</v>
      </c>
      <c r="D504" s="415" t="s">
        <v>468</v>
      </c>
      <c r="E504" s="415" t="s">
        <v>468</v>
      </c>
      <c r="F504" s="425">
        <v>5803.2</v>
      </c>
      <c r="G504" s="440" t="s">
        <v>3625</v>
      </c>
      <c r="H504" s="415" t="s">
        <v>468</v>
      </c>
      <c r="I504" s="427" t="s">
        <v>1461</v>
      </c>
      <c r="J504" s="415" t="s">
        <v>310</v>
      </c>
      <c r="K504" s="415" t="s">
        <v>1220</v>
      </c>
      <c r="L504" s="415" t="s">
        <v>1368</v>
      </c>
      <c r="M504" s="415" t="s">
        <v>310</v>
      </c>
      <c r="N504" s="414">
        <v>44671</v>
      </c>
      <c r="O504" s="414" t="s">
        <v>400</v>
      </c>
      <c r="P504" s="603">
        <f t="shared" si="38"/>
        <v>4</v>
      </c>
      <c r="Q504" s="603">
        <f t="shared" si="39"/>
        <v>3</v>
      </c>
      <c r="R504" s="604" t="str">
        <f t="shared" si="40"/>
        <v>Gastos_custeados_por_captação</v>
      </c>
      <c r="S504" s="605" t="s">
        <v>310</v>
      </c>
      <c r="T504" s="605" t="s">
        <v>310</v>
      </c>
    </row>
    <row r="505" spans="1:20" s="88" customFormat="1" ht="99.95" customHeight="1" x14ac:dyDescent="0.2">
      <c r="A505" s="510">
        <f>IF(B505="","",COUNT('Diário 1º PA'!$A$4:$A$2635)+ROW()-3)</f>
        <v>2238</v>
      </c>
      <c r="B505" s="414">
        <v>44671</v>
      </c>
      <c r="C505" s="424">
        <v>44621</v>
      </c>
      <c r="D505" s="415" t="s">
        <v>468</v>
      </c>
      <c r="E505" s="415" t="s">
        <v>468</v>
      </c>
      <c r="F505" s="425">
        <v>660.3</v>
      </c>
      <c r="G505" s="440" t="s">
        <v>3626</v>
      </c>
      <c r="H505" s="415" t="s">
        <v>468</v>
      </c>
      <c r="I505" s="427" t="s">
        <v>1461</v>
      </c>
      <c r="J505" s="415" t="s">
        <v>310</v>
      </c>
      <c r="K505" s="415" t="s">
        <v>1220</v>
      </c>
      <c r="L505" s="415" t="s">
        <v>1368</v>
      </c>
      <c r="M505" s="415" t="s">
        <v>310</v>
      </c>
      <c r="N505" s="414">
        <v>44671</v>
      </c>
      <c r="O505" s="414" t="s">
        <v>400</v>
      </c>
      <c r="P505" s="603">
        <f t="shared" si="38"/>
        <v>4</v>
      </c>
      <c r="Q505" s="603">
        <f t="shared" si="39"/>
        <v>3</v>
      </c>
      <c r="R505" s="604" t="str">
        <f t="shared" si="40"/>
        <v>Gastos_custeados_por_captação</v>
      </c>
      <c r="S505" s="605" t="s">
        <v>310</v>
      </c>
      <c r="T505" s="605" t="s">
        <v>310</v>
      </c>
    </row>
    <row r="506" spans="1:20" s="88" customFormat="1" ht="99.95" customHeight="1" x14ac:dyDescent="0.2">
      <c r="A506" s="510">
        <f>IF(B506="","",COUNT('Diário 1º PA'!$A$4:$A$2635)+ROW()-3)</f>
        <v>2239</v>
      </c>
      <c r="B506" s="414">
        <v>44671</v>
      </c>
      <c r="C506" s="424">
        <v>44621</v>
      </c>
      <c r="D506" s="415" t="s">
        <v>468</v>
      </c>
      <c r="E506" s="415" t="s">
        <v>468</v>
      </c>
      <c r="F506" s="425">
        <v>664.64</v>
      </c>
      <c r="G506" s="440" t="s">
        <v>3627</v>
      </c>
      <c r="H506" s="415" t="s">
        <v>468</v>
      </c>
      <c r="I506" s="427" t="s">
        <v>1461</v>
      </c>
      <c r="J506" s="415" t="s">
        <v>310</v>
      </c>
      <c r="K506" s="415" t="s">
        <v>1220</v>
      </c>
      <c r="L506" s="415" t="s">
        <v>1368</v>
      </c>
      <c r="M506" s="415" t="s">
        <v>310</v>
      </c>
      <c r="N506" s="414">
        <v>44671</v>
      </c>
      <c r="O506" s="414" t="s">
        <v>400</v>
      </c>
      <c r="P506" s="603">
        <f t="shared" si="38"/>
        <v>4</v>
      </c>
      <c r="Q506" s="603">
        <f t="shared" si="39"/>
        <v>3</v>
      </c>
      <c r="R506" s="604" t="str">
        <f t="shared" si="40"/>
        <v>Gastos_custeados_por_captação</v>
      </c>
      <c r="S506" s="605" t="s">
        <v>310</v>
      </c>
      <c r="T506" s="605" t="s">
        <v>310</v>
      </c>
    </row>
    <row r="507" spans="1:20" s="88" customFormat="1" ht="99.95" customHeight="1" x14ac:dyDescent="0.2">
      <c r="A507" s="510">
        <f>IF(B507="","",COUNT('Diário 1º PA'!$A$4:$A$2635)+ROW()-3)</f>
        <v>2240</v>
      </c>
      <c r="B507" s="414">
        <v>44671</v>
      </c>
      <c r="C507" s="424">
        <v>44621</v>
      </c>
      <c r="D507" s="415" t="s">
        <v>468</v>
      </c>
      <c r="E507" s="415" t="s">
        <v>468</v>
      </c>
      <c r="F507" s="425">
        <v>543.83000000000004</v>
      </c>
      <c r="G507" s="440" t="s">
        <v>3627</v>
      </c>
      <c r="H507" s="415" t="s">
        <v>468</v>
      </c>
      <c r="I507" s="427" t="s">
        <v>1461</v>
      </c>
      <c r="J507" s="415" t="s">
        <v>310</v>
      </c>
      <c r="K507" s="415" t="s">
        <v>1220</v>
      </c>
      <c r="L507" s="415" t="s">
        <v>1368</v>
      </c>
      <c r="M507" s="415" t="s">
        <v>310</v>
      </c>
      <c r="N507" s="414">
        <v>44671</v>
      </c>
      <c r="O507" s="414" t="s">
        <v>400</v>
      </c>
      <c r="P507" s="603">
        <f t="shared" si="38"/>
        <v>4</v>
      </c>
      <c r="Q507" s="603">
        <f t="shared" si="39"/>
        <v>3</v>
      </c>
      <c r="R507" s="604" t="str">
        <f t="shared" si="40"/>
        <v>Gastos_custeados_por_captação</v>
      </c>
      <c r="S507" s="605" t="s">
        <v>310</v>
      </c>
      <c r="T507" s="605" t="s">
        <v>310</v>
      </c>
    </row>
    <row r="508" spans="1:20" s="88" customFormat="1" ht="99.95" customHeight="1" x14ac:dyDescent="0.2">
      <c r="A508" s="510">
        <f>IF(B508="","",COUNT('Diário 1º PA'!$A$4:$A$2635)+ROW()-3)</f>
        <v>2241</v>
      </c>
      <c r="B508" s="414">
        <v>44671</v>
      </c>
      <c r="C508" s="424">
        <v>44621</v>
      </c>
      <c r="D508" s="415" t="s">
        <v>468</v>
      </c>
      <c r="E508" s="415" t="s">
        <v>468</v>
      </c>
      <c r="F508" s="425">
        <v>2170</v>
      </c>
      <c r="G508" s="440" t="s">
        <v>3629</v>
      </c>
      <c r="H508" s="415" t="s">
        <v>468</v>
      </c>
      <c r="I508" s="427" t="s">
        <v>1461</v>
      </c>
      <c r="J508" s="415" t="s">
        <v>310</v>
      </c>
      <c r="K508" s="415" t="s">
        <v>1220</v>
      </c>
      <c r="L508" s="415" t="s">
        <v>1368</v>
      </c>
      <c r="M508" s="415" t="s">
        <v>310</v>
      </c>
      <c r="N508" s="414">
        <v>44671</v>
      </c>
      <c r="O508" s="414" t="s">
        <v>400</v>
      </c>
      <c r="P508" s="603">
        <f t="shared" si="38"/>
        <v>4</v>
      </c>
      <c r="Q508" s="603">
        <f t="shared" si="39"/>
        <v>3</v>
      </c>
      <c r="R508" s="604" t="str">
        <f t="shared" si="40"/>
        <v>Gastos_custeados_por_captação</v>
      </c>
      <c r="S508" s="605" t="s">
        <v>310</v>
      </c>
      <c r="T508" s="605" t="s">
        <v>310</v>
      </c>
    </row>
    <row r="509" spans="1:20" s="88" customFormat="1" ht="99.95" customHeight="1" x14ac:dyDescent="0.2">
      <c r="A509" s="510">
        <f>IF(B509="","",COUNT('Diário 1º PA'!$A$4:$A$2635)+ROW()-3)</f>
        <v>2242</v>
      </c>
      <c r="B509" s="414">
        <v>44671</v>
      </c>
      <c r="C509" s="424">
        <v>44621</v>
      </c>
      <c r="D509" s="415" t="s">
        <v>468</v>
      </c>
      <c r="E509" s="415" t="s">
        <v>468</v>
      </c>
      <c r="F509" s="425">
        <v>5115</v>
      </c>
      <c r="G509" s="440" t="s">
        <v>3630</v>
      </c>
      <c r="H509" s="415" t="s">
        <v>468</v>
      </c>
      <c r="I509" s="427" t="s">
        <v>1461</v>
      </c>
      <c r="J509" s="415" t="s">
        <v>310</v>
      </c>
      <c r="K509" s="415" t="s">
        <v>1220</v>
      </c>
      <c r="L509" s="415" t="s">
        <v>1368</v>
      </c>
      <c r="M509" s="415" t="s">
        <v>310</v>
      </c>
      <c r="N509" s="414">
        <v>44671</v>
      </c>
      <c r="O509" s="414" t="s">
        <v>400</v>
      </c>
      <c r="P509" s="603">
        <f t="shared" si="38"/>
        <v>4</v>
      </c>
      <c r="Q509" s="603">
        <f t="shared" si="39"/>
        <v>3</v>
      </c>
      <c r="R509" s="604" t="str">
        <f t="shared" si="40"/>
        <v>Gastos_custeados_por_captação</v>
      </c>
      <c r="S509" s="605" t="s">
        <v>310</v>
      </c>
      <c r="T509" s="605" t="s">
        <v>310</v>
      </c>
    </row>
    <row r="510" spans="1:20" s="88" customFormat="1" ht="99.95" customHeight="1" x14ac:dyDescent="0.2">
      <c r="A510" s="510">
        <f>IF(B510="","",COUNT('Diário 1º PA'!$A$4:$A$2635)+ROW()-3)</f>
        <v>2243</v>
      </c>
      <c r="B510" s="414">
        <v>44671</v>
      </c>
      <c r="C510" s="424">
        <v>44621</v>
      </c>
      <c r="D510" s="415" t="s">
        <v>182</v>
      </c>
      <c r="E510" s="415" t="s">
        <v>1</v>
      </c>
      <c r="F510" s="425">
        <v>16436.72</v>
      </c>
      <c r="G510" s="427" t="s">
        <v>3141</v>
      </c>
      <c r="H510" s="415" t="s">
        <v>310</v>
      </c>
      <c r="I510" s="639" t="s">
        <v>1461</v>
      </c>
      <c r="J510" s="415" t="s">
        <v>310</v>
      </c>
      <c r="K510" s="415" t="s">
        <v>1220</v>
      </c>
      <c r="L510" s="415" t="s">
        <v>1368</v>
      </c>
      <c r="M510" s="415" t="s">
        <v>310</v>
      </c>
      <c r="N510" s="414">
        <v>44671</v>
      </c>
      <c r="O510" s="414" t="s">
        <v>400</v>
      </c>
      <c r="P510" s="603">
        <f t="shared" si="38"/>
        <v>4</v>
      </c>
      <c r="Q510" s="603">
        <f t="shared" si="39"/>
        <v>3</v>
      </c>
      <c r="R510" s="604" t="str">
        <f t="shared" si="40"/>
        <v>Gastos_com_Pessoal</v>
      </c>
      <c r="S510" s="605" t="s">
        <v>310</v>
      </c>
      <c r="T510" s="605" t="s">
        <v>310</v>
      </c>
    </row>
    <row r="511" spans="1:20" s="88" customFormat="1" ht="99.95" customHeight="1" x14ac:dyDescent="0.2">
      <c r="A511" s="510">
        <f>IF(B511="","",COUNT('Diário 1º PA'!$A$4:$A$2635)+ROW()-3)</f>
        <v>2244</v>
      </c>
      <c r="B511" s="414">
        <v>44671</v>
      </c>
      <c r="C511" s="424">
        <v>44621</v>
      </c>
      <c r="D511" s="415" t="s">
        <v>182</v>
      </c>
      <c r="E511" s="415" t="s">
        <v>252</v>
      </c>
      <c r="F511" s="425">
        <v>51553.61</v>
      </c>
      <c r="G511" s="427" t="s">
        <v>3644</v>
      </c>
      <c r="H511" s="415" t="s">
        <v>310</v>
      </c>
      <c r="I511" s="639" t="s">
        <v>1461</v>
      </c>
      <c r="J511" s="415" t="s">
        <v>310</v>
      </c>
      <c r="K511" s="415" t="s">
        <v>1220</v>
      </c>
      <c r="L511" s="415" t="s">
        <v>1368</v>
      </c>
      <c r="M511" s="415" t="s">
        <v>310</v>
      </c>
      <c r="N511" s="414">
        <v>44671</v>
      </c>
      <c r="O511" s="414" t="s">
        <v>400</v>
      </c>
      <c r="P511" s="603">
        <f>IF(B511=0,0,IF(YEAR(B511)=$Q$1,MONTH(B511)-$P$1+1,(YEAR(B511)-$Q$1)*12-$P$1+1+MONTH(B511)))</f>
        <v>4</v>
      </c>
      <c r="Q511" s="603">
        <f>IF(C511=0,0,IF(YEAR(C511)=$Q$1,MONTH(C511)-$P$1+1,(YEAR(C511)-$Q$1)*12-$P$1+1+MONTH(C511)))</f>
        <v>3</v>
      </c>
      <c r="R511" s="604" t="str">
        <f>SUBSTITUTE(D511," ","_")</f>
        <v>Gastos_com_Pessoal</v>
      </c>
      <c r="S511" s="605" t="s">
        <v>310</v>
      </c>
      <c r="T511" s="605" t="s">
        <v>310</v>
      </c>
    </row>
    <row r="512" spans="1:20" s="88" customFormat="1" ht="99.95" customHeight="1" x14ac:dyDescent="0.2">
      <c r="A512" s="510">
        <f>IF(B512="","",COUNT('Diário 1º PA'!$A$4:$A$2635)+ROW()-3)</f>
        <v>2245</v>
      </c>
      <c r="B512" s="414">
        <v>44671</v>
      </c>
      <c r="C512" s="431">
        <v>44593</v>
      </c>
      <c r="D512" s="415" t="s">
        <v>271</v>
      </c>
      <c r="E512" s="415" t="s">
        <v>453</v>
      </c>
      <c r="F512" s="425">
        <v>793.6</v>
      </c>
      <c r="G512" s="423" t="s">
        <v>2184</v>
      </c>
      <c r="H512" s="419" t="s">
        <v>752</v>
      </c>
      <c r="I512" s="639" t="s">
        <v>1461</v>
      </c>
      <c r="J512" s="415" t="s">
        <v>310</v>
      </c>
      <c r="K512" s="415" t="s">
        <v>1220</v>
      </c>
      <c r="L512" s="415" t="s">
        <v>1368</v>
      </c>
      <c r="M512" s="415" t="s">
        <v>310</v>
      </c>
      <c r="N512" s="414">
        <v>44671</v>
      </c>
      <c r="O512" s="414" t="s">
        <v>400</v>
      </c>
      <c r="P512" s="603">
        <f t="shared" ref="P512:P528" si="41">IF(B512=0,0,IF(YEAR(B512)=$Q$1,MONTH(B512)-$P$1+1,(YEAR(B512)-$Q$1)*12-$P$1+1+MONTH(B512)))</f>
        <v>4</v>
      </c>
      <c r="Q512" s="603">
        <f t="shared" ref="Q512:Q528" si="42">IF(C512=0,0,IF(YEAR(C512)=$Q$1,MONTH(C512)-$P$1+1,(YEAR(C512)-$Q$1)*12-$P$1+1+MONTH(C512)))</f>
        <v>2</v>
      </c>
      <c r="R512" s="604" t="str">
        <f t="shared" ref="R512:R528" si="43">SUBSTITUTE(D512," ","_")</f>
        <v>Gastos_Gerais</v>
      </c>
      <c r="S512" s="605" t="s">
        <v>310</v>
      </c>
      <c r="T512" s="605" t="s">
        <v>310</v>
      </c>
    </row>
    <row r="513" spans="1:20" s="88" customFormat="1" ht="99.95" customHeight="1" x14ac:dyDescent="0.2">
      <c r="A513" s="510">
        <f>IF(B513="","",COUNT('Diário 1º PA'!$A$4:$A$2635)+ROW()-3)</f>
        <v>2246</v>
      </c>
      <c r="B513" s="414">
        <v>44671</v>
      </c>
      <c r="C513" s="431">
        <v>44621</v>
      </c>
      <c r="D513" s="415" t="s">
        <v>271</v>
      </c>
      <c r="E513" s="415" t="s">
        <v>442</v>
      </c>
      <c r="F513" s="425">
        <v>775</v>
      </c>
      <c r="G513" s="427" t="s">
        <v>2248</v>
      </c>
      <c r="H513" s="419" t="s">
        <v>755</v>
      </c>
      <c r="I513" s="639" t="s">
        <v>1461</v>
      </c>
      <c r="J513" s="415" t="s">
        <v>310</v>
      </c>
      <c r="K513" s="415" t="s">
        <v>1220</v>
      </c>
      <c r="L513" s="415" t="s">
        <v>1368</v>
      </c>
      <c r="M513" s="415" t="s">
        <v>310</v>
      </c>
      <c r="N513" s="414">
        <v>44671</v>
      </c>
      <c r="O513" s="414" t="s">
        <v>400</v>
      </c>
      <c r="P513" s="603">
        <f t="shared" si="41"/>
        <v>4</v>
      </c>
      <c r="Q513" s="603">
        <f t="shared" si="42"/>
        <v>3</v>
      </c>
      <c r="R513" s="604" t="str">
        <f t="shared" si="43"/>
        <v>Gastos_Gerais</v>
      </c>
      <c r="S513" s="605" t="s">
        <v>310</v>
      </c>
      <c r="T513" s="605" t="s">
        <v>310</v>
      </c>
    </row>
    <row r="514" spans="1:20" s="88" customFormat="1" ht="99.95" customHeight="1" x14ac:dyDescent="0.2">
      <c r="A514" s="510">
        <f>IF(B514="","",COUNT('Diário 1º PA'!$A$4:$A$2635)+ROW()-3)</f>
        <v>2247</v>
      </c>
      <c r="B514" s="414">
        <v>44671</v>
      </c>
      <c r="C514" s="431">
        <v>44593</v>
      </c>
      <c r="D514" s="415" t="s">
        <v>271</v>
      </c>
      <c r="E514" s="415" t="s">
        <v>453</v>
      </c>
      <c r="F514" s="425">
        <v>49.6</v>
      </c>
      <c r="G514" s="427" t="s">
        <v>2336</v>
      </c>
      <c r="H514" s="419" t="s">
        <v>752</v>
      </c>
      <c r="I514" s="639" t="s">
        <v>1461</v>
      </c>
      <c r="J514" s="415" t="s">
        <v>310</v>
      </c>
      <c r="K514" s="415" t="s">
        <v>1220</v>
      </c>
      <c r="L514" s="415" t="s">
        <v>1368</v>
      </c>
      <c r="M514" s="415" t="s">
        <v>310</v>
      </c>
      <c r="N514" s="414">
        <v>44671</v>
      </c>
      <c r="O514" s="414" t="s">
        <v>400</v>
      </c>
      <c r="P514" s="603">
        <f t="shared" si="41"/>
        <v>4</v>
      </c>
      <c r="Q514" s="603">
        <f t="shared" si="42"/>
        <v>2</v>
      </c>
      <c r="R514" s="604" t="str">
        <f t="shared" si="43"/>
        <v>Gastos_Gerais</v>
      </c>
      <c r="S514" s="605" t="s">
        <v>310</v>
      </c>
      <c r="T514" s="605" t="s">
        <v>310</v>
      </c>
    </row>
    <row r="515" spans="1:20" s="88" customFormat="1" ht="99.95" customHeight="1" x14ac:dyDescent="0.2">
      <c r="A515" s="510">
        <f>IF(B515="","",COUNT('Diário 1º PA'!$A$4:$A$2635)+ROW()-3)</f>
        <v>2248</v>
      </c>
      <c r="B515" s="414">
        <v>44671</v>
      </c>
      <c r="C515" s="431">
        <v>44593</v>
      </c>
      <c r="D515" s="415" t="s">
        <v>271</v>
      </c>
      <c r="E515" s="415" t="s">
        <v>453</v>
      </c>
      <c r="F515" s="425">
        <v>396.8</v>
      </c>
      <c r="G515" s="427" t="s">
        <v>2162</v>
      </c>
      <c r="H515" s="419" t="s">
        <v>752</v>
      </c>
      <c r="I515" s="639" t="s">
        <v>1461</v>
      </c>
      <c r="J515" s="415" t="s">
        <v>310</v>
      </c>
      <c r="K515" s="415" t="s">
        <v>1220</v>
      </c>
      <c r="L515" s="415" t="s">
        <v>1368</v>
      </c>
      <c r="M515" s="415" t="s">
        <v>310</v>
      </c>
      <c r="N515" s="414">
        <v>44671</v>
      </c>
      <c r="O515" s="414" t="s">
        <v>400</v>
      </c>
      <c r="P515" s="603">
        <f t="shared" si="41"/>
        <v>4</v>
      </c>
      <c r="Q515" s="603">
        <f t="shared" si="42"/>
        <v>2</v>
      </c>
      <c r="R515" s="604" t="str">
        <f t="shared" si="43"/>
        <v>Gastos_Gerais</v>
      </c>
      <c r="S515" s="605" t="s">
        <v>310</v>
      </c>
      <c r="T515" s="605" t="s">
        <v>310</v>
      </c>
    </row>
    <row r="516" spans="1:20" s="88" customFormat="1" ht="48" x14ac:dyDescent="0.2">
      <c r="A516" s="510">
        <f>IF(B516="","",COUNT('Diário 1º PA'!$A$4:$A$2635)+ROW()-3)</f>
        <v>2249</v>
      </c>
      <c r="B516" s="414">
        <v>44671</v>
      </c>
      <c r="C516" s="431">
        <v>44593</v>
      </c>
      <c r="D516" s="415" t="s">
        <v>271</v>
      </c>
      <c r="E516" s="415" t="s">
        <v>453</v>
      </c>
      <c r="F516" s="425">
        <v>818.4</v>
      </c>
      <c r="G516" s="427" t="s">
        <v>5447</v>
      </c>
      <c r="H516" s="419" t="s">
        <v>757</v>
      </c>
      <c r="I516" s="639" t="s">
        <v>1461</v>
      </c>
      <c r="J516" s="415" t="s">
        <v>310</v>
      </c>
      <c r="K516" s="415" t="s">
        <v>1220</v>
      </c>
      <c r="L516" s="415" t="s">
        <v>1368</v>
      </c>
      <c r="M516" s="415" t="s">
        <v>310</v>
      </c>
      <c r="N516" s="414">
        <v>44671</v>
      </c>
      <c r="O516" s="414" t="s">
        <v>400</v>
      </c>
      <c r="P516" s="603">
        <f t="shared" si="41"/>
        <v>4</v>
      </c>
      <c r="Q516" s="603">
        <f t="shared" si="42"/>
        <v>2</v>
      </c>
      <c r="R516" s="604" t="str">
        <f t="shared" si="43"/>
        <v>Gastos_Gerais</v>
      </c>
      <c r="S516" s="605" t="s">
        <v>310</v>
      </c>
      <c r="T516" s="605" t="s">
        <v>310</v>
      </c>
    </row>
    <row r="517" spans="1:20" s="88" customFormat="1" ht="36" x14ac:dyDescent="0.2">
      <c r="A517" s="510">
        <f>IF(B517="","",COUNT('Diário 1º PA'!$A$4:$A$2635)+ROW()-3)</f>
        <v>2250</v>
      </c>
      <c r="B517" s="414">
        <v>44671</v>
      </c>
      <c r="C517" s="431">
        <v>44593</v>
      </c>
      <c r="D517" s="415" t="s">
        <v>271</v>
      </c>
      <c r="E517" s="415" t="s">
        <v>453</v>
      </c>
      <c r="F517" s="425">
        <v>446.4</v>
      </c>
      <c r="G517" s="427" t="s">
        <v>2212</v>
      </c>
      <c r="H517" s="419" t="s">
        <v>752</v>
      </c>
      <c r="I517" s="639" t="s">
        <v>1461</v>
      </c>
      <c r="J517" s="415" t="s">
        <v>310</v>
      </c>
      <c r="K517" s="415" t="s">
        <v>1220</v>
      </c>
      <c r="L517" s="415" t="s">
        <v>1368</v>
      </c>
      <c r="M517" s="415" t="s">
        <v>310</v>
      </c>
      <c r="N517" s="414">
        <v>44671</v>
      </c>
      <c r="O517" s="414" t="s">
        <v>400</v>
      </c>
      <c r="P517" s="603">
        <f t="shared" si="41"/>
        <v>4</v>
      </c>
      <c r="Q517" s="603">
        <f t="shared" si="42"/>
        <v>2</v>
      </c>
      <c r="R517" s="604" t="str">
        <f t="shared" si="43"/>
        <v>Gastos_Gerais</v>
      </c>
      <c r="S517" s="605" t="s">
        <v>310</v>
      </c>
      <c r="T517" s="605" t="s">
        <v>310</v>
      </c>
    </row>
    <row r="518" spans="1:20" s="88" customFormat="1" ht="60" x14ac:dyDescent="0.2">
      <c r="A518" s="510">
        <f>IF(B518="","",COUNT('Diário 1º PA'!$A$4:$A$2635)+ROW()-3)</f>
        <v>2251</v>
      </c>
      <c r="B518" s="414">
        <v>44671</v>
      </c>
      <c r="C518" s="431">
        <v>44562</v>
      </c>
      <c r="D518" s="415" t="s">
        <v>271</v>
      </c>
      <c r="E518" s="415" t="s">
        <v>466</v>
      </c>
      <c r="F518" s="425">
        <v>930</v>
      </c>
      <c r="G518" s="427" t="s">
        <v>2209</v>
      </c>
      <c r="H518" s="419" t="s">
        <v>754</v>
      </c>
      <c r="I518" s="639" t="s">
        <v>1461</v>
      </c>
      <c r="J518" s="415" t="s">
        <v>310</v>
      </c>
      <c r="K518" s="415" t="s">
        <v>1220</v>
      </c>
      <c r="L518" s="415" t="s">
        <v>1368</v>
      </c>
      <c r="M518" s="415" t="s">
        <v>310</v>
      </c>
      <c r="N518" s="414">
        <v>44671</v>
      </c>
      <c r="O518" s="414" t="s">
        <v>400</v>
      </c>
      <c r="P518" s="603">
        <f t="shared" si="41"/>
        <v>4</v>
      </c>
      <c r="Q518" s="603">
        <f t="shared" si="42"/>
        <v>1</v>
      </c>
      <c r="R518" s="604" t="str">
        <f t="shared" si="43"/>
        <v>Gastos_Gerais</v>
      </c>
      <c r="S518" s="605" t="s">
        <v>310</v>
      </c>
      <c r="T518" s="605" t="s">
        <v>310</v>
      </c>
    </row>
    <row r="519" spans="1:20" s="88" customFormat="1" ht="36" x14ac:dyDescent="0.2">
      <c r="A519" s="510">
        <f>IF(B519="","",COUNT('Diário 1º PA'!$A$4:$A$2635)+ROW()-3)</f>
        <v>2252</v>
      </c>
      <c r="B519" s="414">
        <v>44671</v>
      </c>
      <c r="C519" s="431">
        <v>44593</v>
      </c>
      <c r="D519" s="415" t="s">
        <v>271</v>
      </c>
      <c r="E519" s="415" t="s">
        <v>453</v>
      </c>
      <c r="F519" s="425">
        <v>396.8</v>
      </c>
      <c r="G519" s="427" t="s">
        <v>2176</v>
      </c>
      <c r="H519" s="419" t="s">
        <v>752</v>
      </c>
      <c r="I519" s="639" t="s">
        <v>1461</v>
      </c>
      <c r="J519" s="415" t="s">
        <v>310</v>
      </c>
      <c r="K519" s="415" t="s">
        <v>1220</v>
      </c>
      <c r="L519" s="415" t="s">
        <v>1368</v>
      </c>
      <c r="M519" s="415" t="s">
        <v>310</v>
      </c>
      <c r="N519" s="414">
        <v>44671</v>
      </c>
      <c r="O519" s="414" t="s">
        <v>400</v>
      </c>
      <c r="P519" s="603">
        <f t="shared" si="41"/>
        <v>4</v>
      </c>
      <c r="Q519" s="603">
        <f t="shared" si="42"/>
        <v>2</v>
      </c>
      <c r="R519" s="604" t="str">
        <f t="shared" si="43"/>
        <v>Gastos_Gerais</v>
      </c>
      <c r="S519" s="605" t="s">
        <v>310</v>
      </c>
      <c r="T519" s="605" t="s">
        <v>310</v>
      </c>
    </row>
    <row r="520" spans="1:20" s="88" customFormat="1" ht="36" x14ac:dyDescent="0.2">
      <c r="A520" s="510">
        <f>IF(B520="","",COUNT('Diário 1º PA'!$A$4:$A$2635)+ROW()-3)</f>
        <v>2253</v>
      </c>
      <c r="B520" s="414">
        <v>44671</v>
      </c>
      <c r="C520" s="431">
        <v>44593</v>
      </c>
      <c r="D520" s="415" t="s">
        <v>271</v>
      </c>
      <c r="E520" s="415" t="s">
        <v>453</v>
      </c>
      <c r="F520" s="425">
        <v>744</v>
      </c>
      <c r="G520" s="427" t="s">
        <v>2174</v>
      </c>
      <c r="H520" s="419" t="s">
        <v>752</v>
      </c>
      <c r="I520" s="639" t="s">
        <v>1461</v>
      </c>
      <c r="J520" s="415" t="s">
        <v>310</v>
      </c>
      <c r="K520" s="415" t="s">
        <v>1220</v>
      </c>
      <c r="L520" s="415" t="s">
        <v>1368</v>
      </c>
      <c r="M520" s="415" t="s">
        <v>310</v>
      </c>
      <c r="N520" s="414">
        <v>44671</v>
      </c>
      <c r="O520" s="414" t="s">
        <v>400</v>
      </c>
      <c r="P520" s="603">
        <f t="shared" si="41"/>
        <v>4</v>
      </c>
      <c r="Q520" s="603">
        <f t="shared" si="42"/>
        <v>2</v>
      </c>
      <c r="R520" s="604" t="str">
        <f t="shared" si="43"/>
        <v>Gastos_Gerais</v>
      </c>
      <c r="S520" s="605" t="s">
        <v>310</v>
      </c>
      <c r="T520" s="605" t="s">
        <v>310</v>
      </c>
    </row>
    <row r="521" spans="1:20" s="88" customFormat="1" ht="36" x14ac:dyDescent="0.2">
      <c r="A521" s="510">
        <f>IF(B521="","",COUNT('Diário 1º PA'!$A$4:$A$2635)+ROW()-3)</f>
        <v>2254</v>
      </c>
      <c r="B521" s="414">
        <v>44671</v>
      </c>
      <c r="C521" s="431">
        <v>44593</v>
      </c>
      <c r="D521" s="415" t="s">
        <v>271</v>
      </c>
      <c r="E521" s="415" t="s">
        <v>453</v>
      </c>
      <c r="F521" s="425">
        <v>793.6</v>
      </c>
      <c r="G521" s="427" t="s">
        <v>2205</v>
      </c>
      <c r="H521" s="419" t="s">
        <v>752</v>
      </c>
      <c r="I521" s="639" t="s">
        <v>1461</v>
      </c>
      <c r="J521" s="415" t="s">
        <v>310</v>
      </c>
      <c r="K521" s="415" t="s">
        <v>1220</v>
      </c>
      <c r="L521" s="415" t="s">
        <v>1368</v>
      </c>
      <c r="M521" s="415" t="s">
        <v>310</v>
      </c>
      <c r="N521" s="414">
        <v>44671</v>
      </c>
      <c r="O521" s="414" t="s">
        <v>400</v>
      </c>
      <c r="P521" s="603">
        <f t="shared" si="41"/>
        <v>4</v>
      </c>
      <c r="Q521" s="603">
        <f t="shared" si="42"/>
        <v>2</v>
      </c>
      <c r="R521" s="604" t="str">
        <f t="shared" si="43"/>
        <v>Gastos_Gerais</v>
      </c>
      <c r="S521" s="605" t="s">
        <v>310</v>
      </c>
      <c r="T521" s="605" t="s">
        <v>310</v>
      </c>
    </row>
    <row r="522" spans="1:20" s="88" customFormat="1" ht="48" x14ac:dyDescent="0.2">
      <c r="A522" s="510">
        <f>IF(B522="","",COUNT('Diário 1º PA'!$A$4:$A$2635)+ROW()-3)</f>
        <v>2255</v>
      </c>
      <c r="B522" s="414">
        <v>44671</v>
      </c>
      <c r="C522" s="431">
        <v>44562</v>
      </c>
      <c r="D522" s="415" t="s">
        <v>271</v>
      </c>
      <c r="E522" s="415" t="s">
        <v>453</v>
      </c>
      <c r="F522" s="425">
        <v>372</v>
      </c>
      <c r="G522" s="427" t="s">
        <v>2260</v>
      </c>
      <c r="H522" s="419" t="s">
        <v>760</v>
      </c>
      <c r="I522" s="639" t="s">
        <v>1461</v>
      </c>
      <c r="J522" s="415" t="s">
        <v>310</v>
      </c>
      <c r="K522" s="415" t="s">
        <v>1220</v>
      </c>
      <c r="L522" s="415" t="s">
        <v>1368</v>
      </c>
      <c r="M522" s="415" t="s">
        <v>310</v>
      </c>
      <c r="N522" s="414">
        <v>44671</v>
      </c>
      <c r="O522" s="414" t="s">
        <v>400</v>
      </c>
      <c r="P522" s="603">
        <f t="shared" si="41"/>
        <v>4</v>
      </c>
      <c r="Q522" s="603">
        <f t="shared" si="42"/>
        <v>1</v>
      </c>
      <c r="R522" s="604" t="str">
        <f t="shared" si="43"/>
        <v>Gastos_Gerais</v>
      </c>
      <c r="S522" s="605" t="s">
        <v>310</v>
      </c>
      <c r="T522" s="605" t="s">
        <v>310</v>
      </c>
    </row>
    <row r="523" spans="1:20" s="88" customFormat="1" ht="36" x14ac:dyDescent="0.2">
      <c r="A523" s="510">
        <f>IF(B523="","",COUNT('Diário 1º PA'!$A$4:$A$2635)+ROW()-3)</f>
        <v>2256</v>
      </c>
      <c r="B523" s="414">
        <v>44671</v>
      </c>
      <c r="C523" s="431">
        <v>44562</v>
      </c>
      <c r="D523" s="415" t="s">
        <v>271</v>
      </c>
      <c r="E523" s="415" t="s">
        <v>297</v>
      </c>
      <c r="F523" s="425">
        <v>1085</v>
      </c>
      <c r="G523" s="427" t="s">
        <v>2201</v>
      </c>
      <c r="H523" s="419" t="s">
        <v>752</v>
      </c>
      <c r="I523" s="639" t="s">
        <v>1461</v>
      </c>
      <c r="J523" s="415" t="s">
        <v>310</v>
      </c>
      <c r="K523" s="415" t="s">
        <v>1220</v>
      </c>
      <c r="L523" s="415" t="s">
        <v>1368</v>
      </c>
      <c r="M523" s="415" t="s">
        <v>310</v>
      </c>
      <c r="N523" s="414">
        <v>44671</v>
      </c>
      <c r="O523" s="414" t="s">
        <v>400</v>
      </c>
      <c r="P523" s="603">
        <f t="shared" si="41"/>
        <v>4</v>
      </c>
      <c r="Q523" s="603">
        <f t="shared" si="42"/>
        <v>1</v>
      </c>
      <c r="R523" s="604" t="str">
        <f t="shared" si="43"/>
        <v>Gastos_Gerais</v>
      </c>
      <c r="S523" s="605" t="s">
        <v>310</v>
      </c>
      <c r="T523" s="605" t="s">
        <v>310</v>
      </c>
    </row>
    <row r="524" spans="1:20" s="88" customFormat="1" ht="36" x14ac:dyDescent="0.2">
      <c r="A524" s="510">
        <f>IF(B524="","",COUNT('Diário 1º PA'!$A$4:$A$2635)+ROW()-3)</f>
        <v>2257</v>
      </c>
      <c r="B524" s="414">
        <v>44671</v>
      </c>
      <c r="C524" s="431">
        <v>44593</v>
      </c>
      <c r="D524" s="415" t="s">
        <v>271</v>
      </c>
      <c r="E524" s="415" t="s">
        <v>453</v>
      </c>
      <c r="F524" s="425">
        <v>744</v>
      </c>
      <c r="G524" s="427" t="s">
        <v>2165</v>
      </c>
      <c r="H524" s="419" t="s">
        <v>752</v>
      </c>
      <c r="I524" s="639" t="s">
        <v>1461</v>
      </c>
      <c r="J524" s="415" t="s">
        <v>310</v>
      </c>
      <c r="K524" s="415" t="s">
        <v>1220</v>
      </c>
      <c r="L524" s="415" t="s">
        <v>1368</v>
      </c>
      <c r="M524" s="415" t="s">
        <v>310</v>
      </c>
      <c r="N524" s="414">
        <v>44671</v>
      </c>
      <c r="O524" s="414" t="s">
        <v>400</v>
      </c>
      <c r="P524" s="603">
        <f t="shared" si="41"/>
        <v>4</v>
      </c>
      <c r="Q524" s="603">
        <f t="shared" si="42"/>
        <v>2</v>
      </c>
      <c r="R524" s="604" t="str">
        <f t="shared" si="43"/>
        <v>Gastos_Gerais</v>
      </c>
      <c r="S524" s="605" t="s">
        <v>310</v>
      </c>
      <c r="T524" s="605" t="s">
        <v>310</v>
      </c>
    </row>
    <row r="525" spans="1:20" s="88" customFormat="1" ht="48" x14ac:dyDescent="0.2">
      <c r="A525" s="510">
        <f>IF(B525="","",COUNT('Diário 1º PA'!$A$4:$A$2635)+ROW()-3)</f>
        <v>2258</v>
      </c>
      <c r="B525" s="414">
        <v>44671</v>
      </c>
      <c r="C525" s="431">
        <v>44621</v>
      </c>
      <c r="D525" s="415" t="s">
        <v>271</v>
      </c>
      <c r="E525" s="415" t="s">
        <v>442</v>
      </c>
      <c r="F525" s="425">
        <v>310</v>
      </c>
      <c r="G525" s="427" t="s">
        <v>2301</v>
      </c>
      <c r="H525" s="419" t="s">
        <v>790</v>
      </c>
      <c r="I525" s="639" t="s">
        <v>1461</v>
      </c>
      <c r="J525" s="415" t="s">
        <v>310</v>
      </c>
      <c r="K525" s="415" t="s">
        <v>1220</v>
      </c>
      <c r="L525" s="415" t="s">
        <v>1368</v>
      </c>
      <c r="M525" s="415" t="s">
        <v>310</v>
      </c>
      <c r="N525" s="414">
        <v>44671</v>
      </c>
      <c r="O525" s="414" t="s">
        <v>400</v>
      </c>
      <c r="P525" s="603">
        <f t="shared" si="41"/>
        <v>4</v>
      </c>
      <c r="Q525" s="603">
        <f t="shared" si="42"/>
        <v>3</v>
      </c>
      <c r="R525" s="604" t="str">
        <f t="shared" si="43"/>
        <v>Gastos_Gerais</v>
      </c>
      <c r="S525" s="605" t="s">
        <v>310</v>
      </c>
      <c r="T525" s="605" t="s">
        <v>310</v>
      </c>
    </row>
    <row r="526" spans="1:20" s="88" customFormat="1" ht="48" x14ac:dyDescent="0.2">
      <c r="A526" s="510">
        <f>IF(B526="","",COUNT('Diário 1º PA'!$A$4:$A$2635)+ROW()-3)</f>
        <v>2259</v>
      </c>
      <c r="B526" s="414">
        <v>44671</v>
      </c>
      <c r="C526" s="431">
        <v>44593</v>
      </c>
      <c r="D526" s="415" t="s">
        <v>271</v>
      </c>
      <c r="E526" s="415" t="s">
        <v>453</v>
      </c>
      <c r="F526" s="425">
        <v>545.6</v>
      </c>
      <c r="G526" s="427" t="s">
        <v>2179</v>
      </c>
      <c r="H526" s="419" t="s">
        <v>757</v>
      </c>
      <c r="I526" s="639" t="s">
        <v>1461</v>
      </c>
      <c r="J526" s="415" t="s">
        <v>310</v>
      </c>
      <c r="K526" s="415" t="s">
        <v>1220</v>
      </c>
      <c r="L526" s="415" t="s">
        <v>1368</v>
      </c>
      <c r="M526" s="415" t="s">
        <v>310</v>
      </c>
      <c r="N526" s="414">
        <v>44671</v>
      </c>
      <c r="O526" s="414" t="s">
        <v>400</v>
      </c>
      <c r="P526" s="603">
        <f t="shared" si="41"/>
        <v>4</v>
      </c>
      <c r="Q526" s="603">
        <f t="shared" si="42"/>
        <v>2</v>
      </c>
      <c r="R526" s="604" t="str">
        <f t="shared" si="43"/>
        <v>Gastos_Gerais</v>
      </c>
      <c r="S526" s="605" t="s">
        <v>310</v>
      </c>
      <c r="T526" s="605" t="s">
        <v>310</v>
      </c>
    </row>
    <row r="527" spans="1:20" s="88" customFormat="1" ht="36" x14ac:dyDescent="0.2">
      <c r="A527" s="510">
        <f>IF(B527="","",COUNT('Diário 1º PA'!$A$4:$A$2635)+ROW()-3)</f>
        <v>2260</v>
      </c>
      <c r="B527" s="414">
        <v>44671</v>
      </c>
      <c r="C527" s="431">
        <v>44652</v>
      </c>
      <c r="D527" s="415" t="s">
        <v>271</v>
      </c>
      <c r="E527" s="415" t="s">
        <v>456</v>
      </c>
      <c r="F527" s="425">
        <v>289.5</v>
      </c>
      <c r="G527" s="427" t="s">
        <v>3429</v>
      </c>
      <c r="H527" s="419" t="s">
        <v>758</v>
      </c>
      <c r="I527" s="639" t="s">
        <v>3645</v>
      </c>
      <c r="J527" s="415" t="s">
        <v>3430</v>
      </c>
      <c r="K527" s="415" t="s">
        <v>830</v>
      </c>
      <c r="L527" s="415" t="s">
        <v>807</v>
      </c>
      <c r="M527" s="415" t="s">
        <v>3646</v>
      </c>
      <c r="N527" s="414">
        <v>44671</v>
      </c>
      <c r="O527" s="414" t="s">
        <v>400</v>
      </c>
      <c r="P527" s="603">
        <f t="shared" si="41"/>
        <v>4</v>
      </c>
      <c r="Q527" s="603">
        <f t="shared" si="42"/>
        <v>4</v>
      </c>
      <c r="R527" s="604" t="str">
        <f t="shared" si="43"/>
        <v>Gastos_Gerais</v>
      </c>
      <c r="S527" s="605" t="s">
        <v>1303</v>
      </c>
      <c r="T527" s="605">
        <v>3453</v>
      </c>
    </row>
    <row r="528" spans="1:20" s="88" customFormat="1" ht="48" x14ac:dyDescent="0.2">
      <c r="A528" s="510">
        <f>IF(B528="","",COUNT('Diário 1º PA'!$A$4:$A$2635)+ROW()-3)</f>
        <v>2261</v>
      </c>
      <c r="B528" s="414">
        <v>44671</v>
      </c>
      <c r="C528" s="592">
        <v>44652</v>
      </c>
      <c r="D528" s="415" t="s">
        <v>271</v>
      </c>
      <c r="E528" s="415" t="s">
        <v>71</v>
      </c>
      <c r="F528" s="425">
        <v>11</v>
      </c>
      <c r="G528" s="427" t="s">
        <v>3647</v>
      </c>
      <c r="H528" s="419" t="s">
        <v>757</v>
      </c>
      <c r="I528" s="639" t="s">
        <v>881</v>
      </c>
      <c r="J528" s="418" t="s">
        <v>882</v>
      </c>
      <c r="K528" s="418" t="s">
        <v>883</v>
      </c>
      <c r="L528" s="399" t="s">
        <v>798</v>
      </c>
      <c r="M528" s="544" t="s">
        <v>310</v>
      </c>
      <c r="N528" s="414">
        <v>44671</v>
      </c>
      <c r="O528" s="414" t="s">
        <v>400</v>
      </c>
      <c r="P528" s="603">
        <f t="shared" si="41"/>
        <v>4</v>
      </c>
      <c r="Q528" s="603">
        <f t="shared" si="42"/>
        <v>4</v>
      </c>
      <c r="R528" s="604" t="str">
        <f t="shared" si="43"/>
        <v>Gastos_Gerais</v>
      </c>
      <c r="S528" s="605" t="s">
        <v>310</v>
      </c>
      <c r="T528" s="605" t="s">
        <v>310</v>
      </c>
    </row>
    <row r="529" spans="1:20" s="88" customFormat="1" ht="36" x14ac:dyDescent="0.2">
      <c r="A529" s="510">
        <f>IF(B529="","",COUNT('Diário 1º PA'!$A$4:$A$2635)+ROW()-3)</f>
        <v>2262</v>
      </c>
      <c r="B529" s="414">
        <v>44671</v>
      </c>
      <c r="C529" s="592">
        <v>44652</v>
      </c>
      <c r="D529" s="415" t="s">
        <v>271</v>
      </c>
      <c r="E529" s="415" t="s">
        <v>71</v>
      </c>
      <c r="F529" s="425">
        <v>11</v>
      </c>
      <c r="G529" s="427" t="s">
        <v>3648</v>
      </c>
      <c r="H529" s="419" t="s">
        <v>758</v>
      </c>
      <c r="I529" s="639" t="s">
        <v>881</v>
      </c>
      <c r="J529" s="418" t="s">
        <v>882</v>
      </c>
      <c r="K529" s="418" t="s">
        <v>883</v>
      </c>
      <c r="L529" s="399" t="s">
        <v>798</v>
      </c>
      <c r="M529" s="544" t="s">
        <v>310</v>
      </c>
      <c r="N529" s="414">
        <v>44671</v>
      </c>
      <c r="O529" s="414" t="s">
        <v>400</v>
      </c>
      <c r="P529" s="603">
        <f t="shared" ref="P529:P542" si="44">IF(B529=0,0,IF(YEAR(B529)=$Q$1,MONTH(B529)-$P$1+1,(YEAR(B529)-$Q$1)*12-$P$1+1+MONTH(B529)))</f>
        <v>4</v>
      </c>
      <c r="Q529" s="603">
        <f t="shared" ref="Q529:Q542" si="45">IF(C529=0,0,IF(YEAR(C529)=$Q$1,MONTH(C529)-$P$1+1,(YEAR(C529)-$Q$1)*12-$P$1+1+MONTH(C529)))</f>
        <v>4</v>
      </c>
      <c r="R529" s="604" t="str">
        <f t="shared" ref="R529:R542" si="46">SUBSTITUTE(D529," ","_")</f>
        <v>Gastos_Gerais</v>
      </c>
      <c r="S529" s="605" t="s">
        <v>310</v>
      </c>
      <c r="T529" s="605" t="s">
        <v>310</v>
      </c>
    </row>
    <row r="530" spans="1:20" s="88" customFormat="1" ht="36" x14ac:dyDescent="0.2">
      <c r="A530" s="510">
        <f>IF(B530="","",COUNT('Diário 1º PA'!$A$4:$A$2635)+ROW()-3)</f>
        <v>2263</v>
      </c>
      <c r="B530" s="414">
        <v>44671</v>
      </c>
      <c r="C530" s="431">
        <v>44593</v>
      </c>
      <c r="D530" s="415" t="s">
        <v>468</v>
      </c>
      <c r="E530" s="415" t="s">
        <v>468</v>
      </c>
      <c r="F530" s="425">
        <v>930</v>
      </c>
      <c r="G530" s="427" t="s">
        <v>4191</v>
      </c>
      <c r="H530" s="415" t="s">
        <v>468</v>
      </c>
      <c r="I530" s="427" t="s">
        <v>795</v>
      </c>
      <c r="J530" s="415" t="s">
        <v>796</v>
      </c>
      <c r="K530" s="415" t="s">
        <v>806</v>
      </c>
      <c r="L530" s="415" t="s">
        <v>798</v>
      </c>
      <c r="M530" s="415" t="s">
        <v>310</v>
      </c>
      <c r="N530" s="414">
        <v>44671</v>
      </c>
      <c r="O530" s="414" t="s">
        <v>408</v>
      </c>
      <c r="P530" s="603">
        <f t="shared" si="44"/>
        <v>4</v>
      </c>
      <c r="Q530" s="603">
        <f t="shared" si="45"/>
        <v>2</v>
      </c>
      <c r="R530" s="604" t="str">
        <f t="shared" si="46"/>
        <v>Gastos_custeados_por_captação</v>
      </c>
      <c r="S530" s="605" t="s">
        <v>310</v>
      </c>
      <c r="T530" s="605" t="s">
        <v>310</v>
      </c>
    </row>
    <row r="531" spans="1:20" s="88" customFormat="1" ht="36" x14ac:dyDescent="0.2">
      <c r="A531" s="510">
        <f>IF(B531="","",COUNT('Diário 1º PA'!$A$4:$A$2635)+ROW()-3)</f>
        <v>2264</v>
      </c>
      <c r="B531" s="414">
        <v>44671</v>
      </c>
      <c r="C531" s="431">
        <v>44593</v>
      </c>
      <c r="D531" s="415" t="s">
        <v>468</v>
      </c>
      <c r="E531" s="415" t="s">
        <v>468</v>
      </c>
      <c r="F531" s="425">
        <v>1240</v>
      </c>
      <c r="G531" s="427" t="s">
        <v>4192</v>
      </c>
      <c r="H531" s="415" t="s">
        <v>468</v>
      </c>
      <c r="I531" s="427" t="s">
        <v>795</v>
      </c>
      <c r="J531" s="415" t="s">
        <v>796</v>
      </c>
      <c r="K531" s="415" t="s">
        <v>806</v>
      </c>
      <c r="L531" s="415" t="s">
        <v>798</v>
      </c>
      <c r="M531" s="415" t="s">
        <v>310</v>
      </c>
      <c r="N531" s="414">
        <v>44671</v>
      </c>
      <c r="O531" s="414" t="s">
        <v>408</v>
      </c>
      <c r="P531" s="603">
        <f t="shared" si="44"/>
        <v>4</v>
      </c>
      <c r="Q531" s="603">
        <f t="shared" si="45"/>
        <v>2</v>
      </c>
      <c r="R531" s="604" t="str">
        <f t="shared" si="46"/>
        <v>Gastos_custeados_por_captação</v>
      </c>
      <c r="S531" s="605" t="s">
        <v>310</v>
      </c>
      <c r="T531" s="605" t="s">
        <v>310</v>
      </c>
    </row>
    <row r="532" spans="1:20" s="88" customFormat="1" ht="36" x14ac:dyDescent="0.2">
      <c r="A532" s="510">
        <f>IF(B532="","",COUNT('Diário 1º PA'!$A$4:$A$2635)+ROW()-3)</f>
        <v>2265</v>
      </c>
      <c r="B532" s="414">
        <v>44671</v>
      </c>
      <c r="C532" s="431">
        <v>44621</v>
      </c>
      <c r="D532" s="415" t="s">
        <v>468</v>
      </c>
      <c r="E532" s="415" t="s">
        <v>468</v>
      </c>
      <c r="F532" s="425">
        <v>587.94000000000005</v>
      </c>
      <c r="G532" s="427" t="s">
        <v>2268</v>
      </c>
      <c r="H532" s="415" t="s">
        <v>468</v>
      </c>
      <c r="I532" s="427" t="s">
        <v>4123</v>
      </c>
      <c r="J532" s="415" t="s">
        <v>2269</v>
      </c>
      <c r="K532" s="415" t="s">
        <v>812</v>
      </c>
      <c r="L532" s="415" t="s">
        <v>807</v>
      </c>
      <c r="M532" s="415" t="s">
        <v>3763</v>
      </c>
      <c r="N532" s="414">
        <v>44670</v>
      </c>
      <c r="O532" s="414" t="s">
        <v>408</v>
      </c>
      <c r="P532" s="603">
        <f t="shared" si="44"/>
        <v>4</v>
      </c>
      <c r="Q532" s="603">
        <f t="shared" si="45"/>
        <v>3</v>
      </c>
      <c r="R532" s="604" t="str">
        <f t="shared" si="46"/>
        <v>Gastos_custeados_por_captação</v>
      </c>
      <c r="S532" s="605" t="s">
        <v>1000</v>
      </c>
      <c r="T532" s="605">
        <v>3093</v>
      </c>
    </row>
    <row r="533" spans="1:20" s="88" customFormat="1" ht="36" x14ac:dyDescent="0.2">
      <c r="A533" s="510">
        <f>IF(B533="","",COUNT('Diário 1º PA'!$A$4:$A$2635)+ROW()-3)</f>
        <v>2266</v>
      </c>
      <c r="B533" s="414">
        <v>44671</v>
      </c>
      <c r="C533" s="431">
        <v>44621</v>
      </c>
      <c r="D533" s="415" t="s">
        <v>468</v>
      </c>
      <c r="E533" s="415" t="s">
        <v>468</v>
      </c>
      <c r="F533" s="425">
        <v>1000</v>
      </c>
      <c r="G533" s="427" t="s">
        <v>4124</v>
      </c>
      <c r="H533" s="415" t="s">
        <v>468</v>
      </c>
      <c r="I533" s="427" t="s">
        <v>2993</v>
      </c>
      <c r="J533" s="415" t="s">
        <v>2994</v>
      </c>
      <c r="K533" s="415" t="s">
        <v>812</v>
      </c>
      <c r="L533" s="415" t="s">
        <v>32</v>
      </c>
      <c r="M533" s="415">
        <v>15717</v>
      </c>
      <c r="N533" s="414">
        <v>44662</v>
      </c>
      <c r="O533" s="414" t="s">
        <v>408</v>
      </c>
      <c r="P533" s="603">
        <f t="shared" si="44"/>
        <v>4</v>
      </c>
      <c r="Q533" s="603">
        <f t="shared" si="45"/>
        <v>3</v>
      </c>
      <c r="R533" s="604" t="str">
        <f t="shared" si="46"/>
        <v>Gastos_custeados_por_captação</v>
      </c>
      <c r="S533" s="605" t="s">
        <v>1000</v>
      </c>
      <c r="T533" s="605">
        <v>2783</v>
      </c>
    </row>
    <row r="534" spans="1:20" s="88" customFormat="1" ht="36" x14ac:dyDescent="0.2">
      <c r="A534" s="510">
        <f>IF(B534="","",COUNT('Diário 1º PA'!$A$4:$A$2635)+ROW()-3)</f>
        <v>2267</v>
      </c>
      <c r="B534" s="414">
        <v>44671</v>
      </c>
      <c r="C534" s="431">
        <v>44621</v>
      </c>
      <c r="D534" s="415" t="s">
        <v>468</v>
      </c>
      <c r="E534" s="415" t="s">
        <v>468</v>
      </c>
      <c r="F534" s="425">
        <v>6286.15</v>
      </c>
      <c r="G534" s="427" t="s">
        <v>2330</v>
      </c>
      <c r="H534" s="415" t="s">
        <v>468</v>
      </c>
      <c r="I534" s="427" t="s">
        <v>4125</v>
      </c>
      <c r="J534" s="415" t="s">
        <v>2329</v>
      </c>
      <c r="K534" s="415" t="s">
        <v>812</v>
      </c>
      <c r="L534" s="415" t="s">
        <v>32</v>
      </c>
      <c r="M534" s="415" t="s">
        <v>1793</v>
      </c>
      <c r="N534" s="414">
        <v>44670</v>
      </c>
      <c r="O534" s="414" t="s">
        <v>408</v>
      </c>
      <c r="P534" s="603">
        <f t="shared" si="44"/>
        <v>4</v>
      </c>
      <c r="Q534" s="603">
        <f t="shared" si="45"/>
        <v>3</v>
      </c>
      <c r="R534" s="604" t="str">
        <f t="shared" si="46"/>
        <v>Gastos_custeados_por_captação</v>
      </c>
      <c r="S534" s="605" t="s">
        <v>1000</v>
      </c>
      <c r="T534" s="605">
        <v>3094</v>
      </c>
    </row>
    <row r="535" spans="1:20" s="88" customFormat="1" ht="36" x14ac:dyDescent="0.2">
      <c r="A535" s="510">
        <f>IF(B535="","",COUNT('Diário 1º PA'!$A$4:$A$2635)+ROW()-3)</f>
        <v>2268</v>
      </c>
      <c r="B535" s="414">
        <v>44671</v>
      </c>
      <c r="C535" s="431">
        <v>44593</v>
      </c>
      <c r="D535" s="415" t="s">
        <v>468</v>
      </c>
      <c r="E535" s="415" t="s">
        <v>468</v>
      </c>
      <c r="F535" s="425">
        <v>57.45</v>
      </c>
      <c r="G535" s="427" t="s">
        <v>2943</v>
      </c>
      <c r="H535" s="415" t="s">
        <v>468</v>
      </c>
      <c r="I535" s="427" t="s">
        <v>1461</v>
      </c>
      <c r="J535" s="415" t="s">
        <v>310</v>
      </c>
      <c r="K535" s="415" t="s">
        <v>1220</v>
      </c>
      <c r="L535" s="415" t="s">
        <v>1368</v>
      </c>
      <c r="M535" s="415" t="s">
        <v>310</v>
      </c>
      <c r="N535" s="414">
        <v>44671</v>
      </c>
      <c r="O535" s="414" t="s">
        <v>408</v>
      </c>
      <c r="P535" s="603">
        <f t="shared" si="44"/>
        <v>4</v>
      </c>
      <c r="Q535" s="603">
        <f t="shared" si="45"/>
        <v>2</v>
      </c>
      <c r="R535" s="604" t="str">
        <f t="shared" si="46"/>
        <v>Gastos_custeados_por_captação</v>
      </c>
      <c r="S535" s="605" t="s">
        <v>310</v>
      </c>
      <c r="T535" s="605" t="s">
        <v>310</v>
      </c>
    </row>
    <row r="536" spans="1:20" s="88" customFormat="1" ht="36" x14ac:dyDescent="0.2">
      <c r="A536" s="510">
        <f>IF(B536="","",COUNT('Diário 1º PA'!$A$4:$A$2635)+ROW()-3)</f>
        <v>2269</v>
      </c>
      <c r="B536" s="414">
        <v>44671</v>
      </c>
      <c r="C536" s="431">
        <v>44593</v>
      </c>
      <c r="D536" s="415" t="s">
        <v>468</v>
      </c>
      <c r="E536" s="415" t="s">
        <v>468</v>
      </c>
      <c r="F536" s="425">
        <v>179.2</v>
      </c>
      <c r="G536" s="427" t="s">
        <v>2992</v>
      </c>
      <c r="H536" s="415" t="s">
        <v>468</v>
      </c>
      <c r="I536" s="427" t="s">
        <v>1461</v>
      </c>
      <c r="J536" s="415" t="s">
        <v>310</v>
      </c>
      <c r="K536" s="415" t="s">
        <v>1220</v>
      </c>
      <c r="L536" s="415" t="s">
        <v>1368</v>
      </c>
      <c r="M536" s="415" t="s">
        <v>310</v>
      </c>
      <c r="N536" s="414">
        <v>44671</v>
      </c>
      <c r="O536" s="414" t="s">
        <v>408</v>
      </c>
      <c r="P536" s="603">
        <f t="shared" si="44"/>
        <v>4</v>
      </c>
      <c r="Q536" s="603">
        <f t="shared" si="45"/>
        <v>2</v>
      </c>
      <c r="R536" s="604" t="str">
        <f t="shared" si="46"/>
        <v>Gastos_custeados_por_captação</v>
      </c>
      <c r="S536" s="605" t="s">
        <v>310</v>
      </c>
      <c r="T536" s="605" t="s">
        <v>310</v>
      </c>
    </row>
    <row r="537" spans="1:20" s="88" customFormat="1" ht="72" x14ac:dyDescent="0.2">
      <c r="A537" s="510">
        <f>IF(B537="","",COUNT('Diário 1º PA'!$A$4:$A$2635)+ROW()-3)</f>
        <v>2270</v>
      </c>
      <c r="B537" s="414">
        <v>44671</v>
      </c>
      <c r="C537" s="592">
        <v>44593</v>
      </c>
      <c r="D537" s="415" t="s">
        <v>468</v>
      </c>
      <c r="E537" s="415" t="s">
        <v>468</v>
      </c>
      <c r="F537" s="425">
        <v>930</v>
      </c>
      <c r="G537" s="427" t="s">
        <v>4747</v>
      </c>
      <c r="H537" s="415" t="s">
        <v>468</v>
      </c>
      <c r="I537" s="427" t="s">
        <v>795</v>
      </c>
      <c r="J537" s="415" t="s">
        <v>796</v>
      </c>
      <c r="K537" s="415" t="s">
        <v>806</v>
      </c>
      <c r="L537" s="415" t="s">
        <v>798</v>
      </c>
      <c r="M537" s="415" t="s">
        <v>310</v>
      </c>
      <c r="N537" s="414">
        <v>44671</v>
      </c>
      <c r="O537" s="414" t="s">
        <v>402</v>
      </c>
      <c r="P537" s="603">
        <f t="shared" si="44"/>
        <v>4</v>
      </c>
      <c r="Q537" s="603">
        <f t="shared" si="45"/>
        <v>2</v>
      </c>
      <c r="R537" s="604" t="str">
        <f t="shared" si="46"/>
        <v>Gastos_custeados_por_captação</v>
      </c>
      <c r="S537" s="605" t="s">
        <v>310</v>
      </c>
      <c r="T537" s="605" t="s">
        <v>310</v>
      </c>
    </row>
    <row r="538" spans="1:20" s="88" customFormat="1" ht="72" x14ac:dyDescent="0.2">
      <c r="A538" s="510">
        <f>IF(B538="","",COUNT('Diário 1º PA'!$A$4:$A$2635)+ROW()-3)</f>
        <v>2271</v>
      </c>
      <c r="B538" s="414">
        <v>44671</v>
      </c>
      <c r="C538" s="592">
        <v>44593</v>
      </c>
      <c r="D538" s="415" t="s">
        <v>468</v>
      </c>
      <c r="E538" s="415" t="s">
        <v>468</v>
      </c>
      <c r="F538" s="425">
        <v>1705</v>
      </c>
      <c r="G538" s="427" t="s">
        <v>4748</v>
      </c>
      <c r="H538" s="415" t="s">
        <v>468</v>
      </c>
      <c r="I538" s="427" t="s">
        <v>795</v>
      </c>
      <c r="J538" s="415" t="s">
        <v>796</v>
      </c>
      <c r="K538" s="415" t="s">
        <v>806</v>
      </c>
      <c r="L538" s="415" t="s">
        <v>798</v>
      </c>
      <c r="M538" s="415" t="s">
        <v>310</v>
      </c>
      <c r="N538" s="414">
        <v>44671</v>
      </c>
      <c r="O538" s="414" t="s">
        <v>402</v>
      </c>
      <c r="P538" s="603">
        <f t="shared" si="44"/>
        <v>4</v>
      </c>
      <c r="Q538" s="603">
        <f t="shared" si="45"/>
        <v>2</v>
      </c>
      <c r="R538" s="604" t="str">
        <f t="shared" si="46"/>
        <v>Gastos_custeados_por_captação</v>
      </c>
      <c r="S538" s="605" t="s">
        <v>310</v>
      </c>
      <c r="T538" s="605" t="s">
        <v>310</v>
      </c>
    </row>
    <row r="539" spans="1:20" s="88" customFormat="1" ht="72" x14ac:dyDescent="0.2">
      <c r="A539" s="510">
        <f>IF(B539="","",COUNT('Diário 1º PA'!$A$4:$A$2635)+ROW()-3)</f>
        <v>2272</v>
      </c>
      <c r="B539" s="414">
        <v>44671</v>
      </c>
      <c r="C539" s="592">
        <v>44593</v>
      </c>
      <c r="D539" s="415" t="s">
        <v>468</v>
      </c>
      <c r="E539" s="415" t="s">
        <v>468</v>
      </c>
      <c r="F539" s="425">
        <v>1240</v>
      </c>
      <c r="G539" s="427" t="s">
        <v>4749</v>
      </c>
      <c r="H539" s="415" t="s">
        <v>468</v>
      </c>
      <c r="I539" s="427" t="s">
        <v>795</v>
      </c>
      <c r="J539" s="415" t="s">
        <v>796</v>
      </c>
      <c r="K539" s="415" t="s">
        <v>806</v>
      </c>
      <c r="L539" s="415" t="s">
        <v>798</v>
      </c>
      <c r="M539" s="415" t="s">
        <v>310</v>
      </c>
      <c r="N539" s="414">
        <v>44671</v>
      </c>
      <c r="O539" s="414" t="s">
        <v>402</v>
      </c>
      <c r="P539" s="603">
        <f t="shared" si="44"/>
        <v>4</v>
      </c>
      <c r="Q539" s="603">
        <f t="shared" si="45"/>
        <v>2</v>
      </c>
      <c r="R539" s="604" t="str">
        <f t="shared" si="46"/>
        <v>Gastos_custeados_por_captação</v>
      </c>
      <c r="S539" s="605" t="s">
        <v>310</v>
      </c>
      <c r="T539" s="605" t="s">
        <v>310</v>
      </c>
    </row>
    <row r="540" spans="1:20" s="88" customFormat="1" ht="72" x14ac:dyDescent="0.2">
      <c r="A540" s="510">
        <f>IF(B540="","",COUNT('Diário 1º PA'!$A$4:$A$2635)+ROW()-3)</f>
        <v>2273</v>
      </c>
      <c r="B540" s="414">
        <v>44671</v>
      </c>
      <c r="C540" s="592">
        <v>44593</v>
      </c>
      <c r="D540" s="415" t="s">
        <v>468</v>
      </c>
      <c r="E540" s="415" t="s">
        <v>468</v>
      </c>
      <c r="F540" s="425">
        <v>57.45</v>
      </c>
      <c r="G540" s="427" t="s">
        <v>3015</v>
      </c>
      <c r="H540" s="415" t="s">
        <v>468</v>
      </c>
      <c r="I540" s="427" t="s">
        <v>1461</v>
      </c>
      <c r="J540" s="415" t="s">
        <v>310</v>
      </c>
      <c r="K540" s="415" t="s">
        <v>1220</v>
      </c>
      <c r="L540" s="415" t="s">
        <v>1368</v>
      </c>
      <c r="M540" s="415" t="s">
        <v>310</v>
      </c>
      <c r="N540" s="414">
        <v>44671</v>
      </c>
      <c r="O540" s="414" t="s">
        <v>402</v>
      </c>
      <c r="P540" s="603">
        <f t="shared" si="44"/>
        <v>4</v>
      </c>
      <c r="Q540" s="603">
        <f t="shared" si="45"/>
        <v>2</v>
      </c>
      <c r="R540" s="604" t="str">
        <f t="shared" si="46"/>
        <v>Gastos_custeados_por_captação</v>
      </c>
      <c r="S540" s="605" t="s">
        <v>310</v>
      </c>
      <c r="T540" s="605" t="s">
        <v>310</v>
      </c>
    </row>
    <row r="541" spans="1:20" s="88" customFormat="1" ht="72" x14ac:dyDescent="0.2">
      <c r="A541" s="510">
        <f>IF(B541="","",COUNT('Diário 1º PA'!$A$4:$A$2635)+ROW()-3)</f>
        <v>2274</v>
      </c>
      <c r="B541" s="414">
        <v>44671</v>
      </c>
      <c r="C541" s="592">
        <v>44593</v>
      </c>
      <c r="D541" s="415" t="s">
        <v>468</v>
      </c>
      <c r="E541" s="415" t="s">
        <v>468</v>
      </c>
      <c r="F541" s="425">
        <v>476.77</v>
      </c>
      <c r="G541" s="427" t="s">
        <v>4750</v>
      </c>
      <c r="H541" s="415" t="s">
        <v>468</v>
      </c>
      <c r="I541" s="427" t="s">
        <v>1461</v>
      </c>
      <c r="J541" s="415" t="s">
        <v>310</v>
      </c>
      <c r="K541" s="415" t="s">
        <v>1220</v>
      </c>
      <c r="L541" s="415" t="s">
        <v>1368</v>
      </c>
      <c r="M541" s="415" t="s">
        <v>310</v>
      </c>
      <c r="N541" s="414">
        <v>44671</v>
      </c>
      <c r="O541" s="414" t="s">
        <v>402</v>
      </c>
      <c r="P541" s="603">
        <f t="shared" si="44"/>
        <v>4</v>
      </c>
      <c r="Q541" s="603">
        <f t="shared" si="45"/>
        <v>2</v>
      </c>
      <c r="R541" s="604" t="str">
        <f t="shared" si="46"/>
        <v>Gastos_custeados_por_captação</v>
      </c>
      <c r="S541" s="605" t="s">
        <v>310</v>
      </c>
      <c r="T541" s="605" t="s">
        <v>310</v>
      </c>
    </row>
    <row r="542" spans="1:20" s="88" customFormat="1" ht="72" x14ac:dyDescent="0.2">
      <c r="A542" s="510">
        <f>IF(B542="","",COUNT('Diário 1º PA'!$A$4:$A$2635)+ROW()-3)</f>
        <v>2275</v>
      </c>
      <c r="B542" s="414">
        <v>44671</v>
      </c>
      <c r="C542" s="592">
        <v>44593</v>
      </c>
      <c r="D542" s="415" t="s">
        <v>468</v>
      </c>
      <c r="E542" s="415" t="s">
        <v>468</v>
      </c>
      <c r="F542" s="425">
        <v>179.2</v>
      </c>
      <c r="G542" s="427" t="s">
        <v>3024</v>
      </c>
      <c r="H542" s="415" t="s">
        <v>468</v>
      </c>
      <c r="I542" s="427" t="s">
        <v>1461</v>
      </c>
      <c r="J542" s="415" t="s">
        <v>310</v>
      </c>
      <c r="K542" s="415" t="s">
        <v>1220</v>
      </c>
      <c r="L542" s="415" t="s">
        <v>1368</v>
      </c>
      <c r="M542" s="415" t="s">
        <v>310</v>
      </c>
      <c r="N542" s="414">
        <v>44671</v>
      </c>
      <c r="O542" s="414" t="s">
        <v>402</v>
      </c>
      <c r="P542" s="603">
        <f t="shared" si="44"/>
        <v>4</v>
      </c>
      <c r="Q542" s="603">
        <f t="shared" si="45"/>
        <v>2</v>
      </c>
      <c r="R542" s="604" t="str">
        <f t="shared" si="46"/>
        <v>Gastos_custeados_por_captação</v>
      </c>
      <c r="S542" s="605" t="s">
        <v>310</v>
      </c>
      <c r="T542" s="605" t="s">
        <v>310</v>
      </c>
    </row>
    <row r="543" spans="1:20" s="88" customFormat="1" ht="60" x14ac:dyDescent="0.2">
      <c r="A543" s="510">
        <f>IF(B543="","",COUNT('Diário 1º PA'!$A$4:$A$2635)+ROW()-3)</f>
        <v>2276</v>
      </c>
      <c r="B543" s="414">
        <v>44671</v>
      </c>
      <c r="C543" s="592">
        <v>44621</v>
      </c>
      <c r="D543" s="415" t="s">
        <v>468</v>
      </c>
      <c r="E543" s="415" t="s">
        <v>468</v>
      </c>
      <c r="F543" s="425">
        <v>372</v>
      </c>
      <c r="G543" s="427" t="s">
        <v>4760</v>
      </c>
      <c r="H543" s="415" t="s">
        <v>468</v>
      </c>
      <c r="I543" s="427" t="s">
        <v>795</v>
      </c>
      <c r="J543" s="415" t="s">
        <v>796</v>
      </c>
      <c r="K543" s="415" t="s">
        <v>806</v>
      </c>
      <c r="L543" s="415" t="s">
        <v>798</v>
      </c>
      <c r="M543" s="415" t="s">
        <v>310</v>
      </c>
      <c r="N543" s="414">
        <v>44671</v>
      </c>
      <c r="O543" s="414" t="s">
        <v>404</v>
      </c>
      <c r="P543" s="603">
        <f t="shared" ref="P543:P552" si="47">IF(B543=0,0,IF(YEAR(B543)=$Q$1,MONTH(B543)-$P$1+1,(YEAR(B543)-$Q$1)*12-$P$1+1+MONTH(B543)))</f>
        <v>4</v>
      </c>
      <c r="Q543" s="603">
        <f t="shared" ref="Q543:Q552" si="48">IF(C543=0,0,IF(YEAR(C543)=$Q$1,MONTH(C543)-$P$1+1,(YEAR(C543)-$Q$1)*12-$P$1+1+MONTH(C543)))</f>
        <v>3</v>
      </c>
      <c r="R543" s="604" t="str">
        <f t="shared" ref="R543:R552" si="49">SUBSTITUTE(D543," ","_")</f>
        <v>Gastos_custeados_por_captação</v>
      </c>
      <c r="S543" s="605" t="s">
        <v>310</v>
      </c>
      <c r="T543" s="605" t="s">
        <v>310</v>
      </c>
    </row>
    <row r="544" spans="1:20" s="88" customFormat="1" ht="60" x14ac:dyDescent="0.2">
      <c r="A544" s="510">
        <f>IF(B544="","",COUNT('Diário 1º PA'!$A$4:$A$2635)+ROW()-3)</f>
        <v>2277</v>
      </c>
      <c r="B544" s="414">
        <v>44671</v>
      </c>
      <c r="C544" s="592">
        <v>44621</v>
      </c>
      <c r="D544" s="415" t="s">
        <v>468</v>
      </c>
      <c r="E544" s="415" t="s">
        <v>468</v>
      </c>
      <c r="F544" s="425">
        <v>372</v>
      </c>
      <c r="G544" s="427" t="s">
        <v>4761</v>
      </c>
      <c r="H544" s="415" t="s">
        <v>468</v>
      </c>
      <c r="I544" s="427" t="s">
        <v>795</v>
      </c>
      <c r="J544" s="415" t="s">
        <v>796</v>
      </c>
      <c r="K544" s="415" t="s">
        <v>806</v>
      </c>
      <c r="L544" s="415" t="s">
        <v>798</v>
      </c>
      <c r="M544" s="415" t="s">
        <v>310</v>
      </c>
      <c r="N544" s="414">
        <v>44671</v>
      </c>
      <c r="O544" s="414" t="s">
        <v>404</v>
      </c>
      <c r="P544" s="603">
        <f t="shared" si="47"/>
        <v>4</v>
      </c>
      <c r="Q544" s="603">
        <f t="shared" si="48"/>
        <v>3</v>
      </c>
      <c r="R544" s="604" t="str">
        <f t="shared" si="49"/>
        <v>Gastos_custeados_por_captação</v>
      </c>
      <c r="S544" s="605" t="s">
        <v>310</v>
      </c>
      <c r="T544" s="605" t="s">
        <v>310</v>
      </c>
    </row>
    <row r="545" spans="1:20" s="88" customFormat="1" ht="60" x14ac:dyDescent="0.2">
      <c r="A545" s="510">
        <f>IF(B545="","",COUNT('Diário 1º PA'!$A$4:$A$2635)+ROW()-3)</f>
        <v>2278</v>
      </c>
      <c r="B545" s="414">
        <v>44671</v>
      </c>
      <c r="C545" s="592">
        <v>44621</v>
      </c>
      <c r="D545" s="415" t="s">
        <v>468</v>
      </c>
      <c r="E545" s="415" t="s">
        <v>468</v>
      </c>
      <c r="F545" s="425">
        <v>372</v>
      </c>
      <c r="G545" s="427" t="s">
        <v>4762</v>
      </c>
      <c r="H545" s="415" t="s">
        <v>468</v>
      </c>
      <c r="I545" s="427" t="s">
        <v>795</v>
      </c>
      <c r="J545" s="415" t="s">
        <v>796</v>
      </c>
      <c r="K545" s="415" t="s">
        <v>806</v>
      </c>
      <c r="L545" s="415" t="s">
        <v>798</v>
      </c>
      <c r="M545" s="415" t="s">
        <v>310</v>
      </c>
      <c r="N545" s="414">
        <v>44671</v>
      </c>
      <c r="O545" s="414" t="s">
        <v>404</v>
      </c>
      <c r="P545" s="603">
        <f t="shared" si="47"/>
        <v>4</v>
      </c>
      <c r="Q545" s="603">
        <f t="shared" si="48"/>
        <v>3</v>
      </c>
      <c r="R545" s="604" t="str">
        <f t="shared" si="49"/>
        <v>Gastos_custeados_por_captação</v>
      </c>
      <c r="S545" s="605" t="s">
        <v>310</v>
      </c>
      <c r="T545" s="605" t="s">
        <v>310</v>
      </c>
    </row>
    <row r="546" spans="1:20" s="88" customFormat="1" ht="60" x14ac:dyDescent="0.2">
      <c r="A546" s="510">
        <f>IF(B546="","",COUNT('Diário 1º PA'!$A$4:$A$2635)+ROW()-3)</f>
        <v>2279</v>
      </c>
      <c r="B546" s="414">
        <v>44671</v>
      </c>
      <c r="C546" s="592">
        <v>44621</v>
      </c>
      <c r="D546" s="415" t="s">
        <v>468</v>
      </c>
      <c r="E546" s="415" t="s">
        <v>468</v>
      </c>
      <c r="F546" s="425">
        <v>471.2</v>
      </c>
      <c r="G546" s="427" t="s">
        <v>4763</v>
      </c>
      <c r="H546" s="415" t="s">
        <v>468</v>
      </c>
      <c r="I546" s="427" t="s">
        <v>795</v>
      </c>
      <c r="J546" s="415" t="s">
        <v>796</v>
      </c>
      <c r="K546" s="415" t="s">
        <v>806</v>
      </c>
      <c r="L546" s="415" t="s">
        <v>798</v>
      </c>
      <c r="M546" s="415" t="s">
        <v>310</v>
      </c>
      <c r="N546" s="414">
        <v>44671</v>
      </c>
      <c r="O546" s="414" t="s">
        <v>404</v>
      </c>
      <c r="P546" s="603">
        <f t="shared" si="47"/>
        <v>4</v>
      </c>
      <c r="Q546" s="603">
        <f t="shared" si="48"/>
        <v>3</v>
      </c>
      <c r="R546" s="604" t="str">
        <f t="shared" si="49"/>
        <v>Gastos_custeados_por_captação</v>
      </c>
      <c r="S546" s="605" t="s">
        <v>310</v>
      </c>
      <c r="T546" s="605" t="s">
        <v>310</v>
      </c>
    </row>
    <row r="547" spans="1:20" s="88" customFormat="1" ht="60" x14ac:dyDescent="0.2">
      <c r="A547" s="510">
        <f>IF(B547="","",COUNT('Diário 1º PA'!$A$4:$A$2635)+ROW()-3)</f>
        <v>2280</v>
      </c>
      <c r="B547" s="414">
        <v>44671</v>
      </c>
      <c r="C547" s="592">
        <v>44621</v>
      </c>
      <c r="D547" s="415" t="s">
        <v>468</v>
      </c>
      <c r="E547" s="415" t="s">
        <v>468</v>
      </c>
      <c r="F547" s="425">
        <v>471.2</v>
      </c>
      <c r="G547" s="427" t="s">
        <v>4764</v>
      </c>
      <c r="H547" s="415" t="s">
        <v>468</v>
      </c>
      <c r="I547" s="427" t="s">
        <v>795</v>
      </c>
      <c r="J547" s="415" t="s">
        <v>796</v>
      </c>
      <c r="K547" s="415" t="s">
        <v>806</v>
      </c>
      <c r="L547" s="415" t="s">
        <v>798</v>
      </c>
      <c r="M547" s="415" t="s">
        <v>310</v>
      </c>
      <c r="N547" s="414">
        <v>44671</v>
      </c>
      <c r="O547" s="414" t="s">
        <v>404</v>
      </c>
      <c r="P547" s="603">
        <f t="shared" si="47"/>
        <v>4</v>
      </c>
      <c r="Q547" s="603">
        <f t="shared" si="48"/>
        <v>3</v>
      </c>
      <c r="R547" s="604" t="str">
        <f t="shared" si="49"/>
        <v>Gastos_custeados_por_captação</v>
      </c>
      <c r="S547" s="605" t="s">
        <v>310</v>
      </c>
      <c r="T547" s="605" t="s">
        <v>310</v>
      </c>
    </row>
    <row r="548" spans="1:20" s="88" customFormat="1" ht="60" x14ac:dyDescent="0.2">
      <c r="A548" s="510">
        <f>IF(B548="","",COUNT('Diário 1º PA'!$A$4:$A$2635)+ROW()-3)</f>
        <v>2281</v>
      </c>
      <c r="B548" s="414">
        <v>44671</v>
      </c>
      <c r="C548" s="592">
        <v>44621</v>
      </c>
      <c r="D548" s="415" t="s">
        <v>468</v>
      </c>
      <c r="E548" s="415" t="s">
        <v>468</v>
      </c>
      <c r="F548" s="425">
        <v>818.4</v>
      </c>
      <c r="G548" s="427" t="s">
        <v>4767</v>
      </c>
      <c r="H548" s="415" t="s">
        <v>468</v>
      </c>
      <c r="I548" s="427" t="s">
        <v>795</v>
      </c>
      <c r="J548" s="415" t="s">
        <v>796</v>
      </c>
      <c r="K548" s="415" t="s">
        <v>806</v>
      </c>
      <c r="L548" s="415" t="s">
        <v>798</v>
      </c>
      <c r="M548" s="415" t="s">
        <v>310</v>
      </c>
      <c r="N548" s="414">
        <v>44671</v>
      </c>
      <c r="O548" s="414" t="s">
        <v>404</v>
      </c>
      <c r="P548" s="603">
        <f t="shared" si="47"/>
        <v>4</v>
      </c>
      <c r="Q548" s="603">
        <f t="shared" si="48"/>
        <v>3</v>
      </c>
      <c r="R548" s="604" t="str">
        <f t="shared" si="49"/>
        <v>Gastos_custeados_por_captação</v>
      </c>
      <c r="S548" s="605" t="s">
        <v>310</v>
      </c>
      <c r="T548" s="605" t="s">
        <v>310</v>
      </c>
    </row>
    <row r="549" spans="1:20" s="88" customFormat="1" ht="60" x14ac:dyDescent="0.2">
      <c r="A549" s="510">
        <f>IF(B549="","",COUNT('Diário 1º PA'!$A$4:$A$2635)+ROW()-3)</f>
        <v>2282</v>
      </c>
      <c r="B549" s="414">
        <v>44671</v>
      </c>
      <c r="C549" s="592">
        <v>44593</v>
      </c>
      <c r="D549" s="415" t="s">
        <v>468</v>
      </c>
      <c r="E549" s="415" t="s">
        <v>468</v>
      </c>
      <c r="F549" s="425">
        <v>843.2</v>
      </c>
      <c r="G549" s="427" t="s">
        <v>4766</v>
      </c>
      <c r="H549" s="415" t="s">
        <v>468</v>
      </c>
      <c r="I549" s="427" t="s">
        <v>795</v>
      </c>
      <c r="J549" s="415" t="s">
        <v>796</v>
      </c>
      <c r="K549" s="415" t="s">
        <v>806</v>
      </c>
      <c r="L549" s="415" t="s">
        <v>798</v>
      </c>
      <c r="M549" s="415" t="s">
        <v>310</v>
      </c>
      <c r="N549" s="414">
        <v>44671</v>
      </c>
      <c r="O549" s="414" t="s">
        <v>404</v>
      </c>
      <c r="P549" s="603">
        <f t="shared" si="47"/>
        <v>4</v>
      </c>
      <c r="Q549" s="603">
        <f t="shared" si="48"/>
        <v>2</v>
      </c>
      <c r="R549" s="604" t="str">
        <f t="shared" si="49"/>
        <v>Gastos_custeados_por_captação</v>
      </c>
      <c r="S549" s="605" t="s">
        <v>310</v>
      </c>
      <c r="T549" s="605" t="s">
        <v>310</v>
      </c>
    </row>
    <row r="550" spans="1:20" s="88" customFormat="1" ht="60" x14ac:dyDescent="0.2">
      <c r="A550" s="510">
        <f>IF(B550="","",COUNT('Diário 1º PA'!$A$4:$A$2635)+ROW()-3)</f>
        <v>2283</v>
      </c>
      <c r="B550" s="414">
        <v>44671</v>
      </c>
      <c r="C550" s="592">
        <v>44593</v>
      </c>
      <c r="D550" s="415" t="s">
        <v>468</v>
      </c>
      <c r="E550" s="415" t="s">
        <v>468</v>
      </c>
      <c r="F550" s="425">
        <v>595.20000000000005</v>
      </c>
      <c r="G550" s="427" t="s">
        <v>4765</v>
      </c>
      <c r="H550" s="415" t="s">
        <v>468</v>
      </c>
      <c r="I550" s="427" t="s">
        <v>795</v>
      </c>
      <c r="J550" s="415" t="s">
        <v>796</v>
      </c>
      <c r="K550" s="415" t="s">
        <v>806</v>
      </c>
      <c r="L550" s="415" t="s">
        <v>798</v>
      </c>
      <c r="M550" s="415" t="s">
        <v>310</v>
      </c>
      <c r="N550" s="414">
        <v>44671</v>
      </c>
      <c r="O550" s="414" t="s">
        <v>404</v>
      </c>
      <c r="P550" s="603">
        <f t="shared" si="47"/>
        <v>4</v>
      </c>
      <c r="Q550" s="603">
        <f t="shared" si="48"/>
        <v>2</v>
      </c>
      <c r="R550" s="604" t="str">
        <f t="shared" si="49"/>
        <v>Gastos_custeados_por_captação</v>
      </c>
      <c r="S550" s="605" t="s">
        <v>310</v>
      </c>
      <c r="T550" s="605" t="s">
        <v>310</v>
      </c>
    </row>
    <row r="551" spans="1:20" s="88" customFormat="1" ht="60" x14ac:dyDescent="0.2">
      <c r="A551" s="510">
        <f>IF(B551="","",COUNT('Diário 1º PA'!$A$4:$A$2635)+ROW()-3)</f>
        <v>2284</v>
      </c>
      <c r="B551" s="414">
        <v>44671</v>
      </c>
      <c r="C551" s="592">
        <v>44621</v>
      </c>
      <c r="D551" s="415" t="s">
        <v>468</v>
      </c>
      <c r="E551" s="415" t="s">
        <v>468</v>
      </c>
      <c r="F551" s="425">
        <v>496</v>
      </c>
      <c r="G551" s="427" t="s">
        <v>4768</v>
      </c>
      <c r="H551" s="415" t="s">
        <v>468</v>
      </c>
      <c r="I551" s="427" t="s">
        <v>795</v>
      </c>
      <c r="J551" s="415" t="s">
        <v>796</v>
      </c>
      <c r="K551" s="415" t="s">
        <v>806</v>
      </c>
      <c r="L551" s="415" t="s">
        <v>798</v>
      </c>
      <c r="M551" s="415" t="s">
        <v>310</v>
      </c>
      <c r="N551" s="414">
        <v>44671</v>
      </c>
      <c r="O551" s="414" t="s">
        <v>404</v>
      </c>
      <c r="P551" s="603">
        <f t="shared" si="47"/>
        <v>4</v>
      </c>
      <c r="Q551" s="603">
        <f t="shared" si="48"/>
        <v>3</v>
      </c>
      <c r="R551" s="604" t="str">
        <f t="shared" si="49"/>
        <v>Gastos_custeados_por_captação</v>
      </c>
      <c r="S551" s="605" t="s">
        <v>310</v>
      </c>
      <c r="T551" s="605" t="s">
        <v>310</v>
      </c>
    </row>
    <row r="552" spans="1:20" s="88" customFormat="1" ht="60" x14ac:dyDescent="0.2">
      <c r="A552" s="510">
        <f>IF(B552="","",COUNT('Diário 1º PA'!$A$4:$A$2635)+ROW()-3)</f>
        <v>2285</v>
      </c>
      <c r="B552" s="414">
        <v>44671</v>
      </c>
      <c r="C552" s="592">
        <v>44621</v>
      </c>
      <c r="D552" s="415" t="s">
        <v>468</v>
      </c>
      <c r="E552" s="415" t="s">
        <v>468</v>
      </c>
      <c r="F552" s="425">
        <v>396.8</v>
      </c>
      <c r="G552" s="427" t="s">
        <v>4769</v>
      </c>
      <c r="H552" s="415" t="s">
        <v>468</v>
      </c>
      <c r="I552" s="427" t="s">
        <v>795</v>
      </c>
      <c r="J552" s="415" t="s">
        <v>796</v>
      </c>
      <c r="K552" s="415" t="s">
        <v>806</v>
      </c>
      <c r="L552" s="415" t="s">
        <v>798</v>
      </c>
      <c r="M552" s="415" t="s">
        <v>310</v>
      </c>
      <c r="N552" s="414">
        <v>44671</v>
      </c>
      <c r="O552" s="414" t="s">
        <v>404</v>
      </c>
      <c r="P552" s="603">
        <f t="shared" si="47"/>
        <v>4</v>
      </c>
      <c r="Q552" s="603">
        <f t="shared" si="48"/>
        <v>3</v>
      </c>
      <c r="R552" s="604" t="str">
        <f t="shared" si="49"/>
        <v>Gastos_custeados_por_captação</v>
      </c>
      <c r="S552" s="605" t="s">
        <v>310</v>
      </c>
      <c r="T552" s="605" t="s">
        <v>310</v>
      </c>
    </row>
    <row r="553" spans="1:20" s="88" customFormat="1" ht="60" x14ac:dyDescent="0.2">
      <c r="A553" s="510">
        <f>IF(B553="","",COUNT('Diário 1º PA'!$A$4:$A$2635)+ROW()-3)</f>
        <v>2286</v>
      </c>
      <c r="B553" s="414">
        <v>44671</v>
      </c>
      <c r="C553" s="592">
        <v>44562</v>
      </c>
      <c r="D553" s="415" t="s">
        <v>468</v>
      </c>
      <c r="E553" s="415" t="s">
        <v>468</v>
      </c>
      <c r="F553" s="425">
        <v>595.20000000000005</v>
      </c>
      <c r="G553" s="427" t="s">
        <v>4770</v>
      </c>
      <c r="H553" s="415" t="s">
        <v>468</v>
      </c>
      <c r="I553" s="427" t="s">
        <v>795</v>
      </c>
      <c r="J553" s="415" t="s">
        <v>796</v>
      </c>
      <c r="K553" s="415" t="s">
        <v>806</v>
      </c>
      <c r="L553" s="415" t="s">
        <v>798</v>
      </c>
      <c r="M553" s="415" t="s">
        <v>310</v>
      </c>
      <c r="N553" s="414">
        <v>44671</v>
      </c>
      <c r="O553" s="414" t="s">
        <v>404</v>
      </c>
      <c r="P553" s="603">
        <f t="shared" ref="P553:P578" si="50">IF(B553=0,0,IF(YEAR(B553)=$Q$1,MONTH(B553)-$P$1+1,(YEAR(B553)-$Q$1)*12-$P$1+1+MONTH(B553)))</f>
        <v>4</v>
      </c>
      <c r="Q553" s="603">
        <f t="shared" ref="Q553:Q578" si="51">IF(C553=0,0,IF(YEAR(C553)=$Q$1,MONTH(C553)-$P$1+1,(YEAR(C553)-$Q$1)*12-$P$1+1+MONTH(C553)))</f>
        <v>1</v>
      </c>
      <c r="R553" s="604" t="str">
        <f t="shared" ref="R553:R578" si="52">SUBSTITUTE(D553," ","_")</f>
        <v>Gastos_custeados_por_captação</v>
      </c>
      <c r="S553" s="605" t="s">
        <v>310</v>
      </c>
      <c r="T553" s="605" t="s">
        <v>310</v>
      </c>
    </row>
    <row r="554" spans="1:20" s="88" customFormat="1" ht="60" x14ac:dyDescent="0.2">
      <c r="A554" s="510">
        <f>IF(B554="","",COUNT('Diário 1º PA'!$A$4:$A$2635)+ROW()-3)</f>
        <v>2287</v>
      </c>
      <c r="B554" s="414">
        <v>44671</v>
      </c>
      <c r="C554" s="592">
        <v>44621</v>
      </c>
      <c r="D554" s="415" t="s">
        <v>468</v>
      </c>
      <c r="E554" s="415" t="s">
        <v>468</v>
      </c>
      <c r="F554" s="425">
        <v>33.42</v>
      </c>
      <c r="G554" s="427" t="s">
        <v>4771</v>
      </c>
      <c r="H554" s="415" t="s">
        <v>468</v>
      </c>
      <c r="I554" s="427" t="s">
        <v>1461</v>
      </c>
      <c r="J554" s="415" t="s">
        <v>310</v>
      </c>
      <c r="K554" s="415" t="s">
        <v>1220</v>
      </c>
      <c r="L554" s="415" t="s">
        <v>1368</v>
      </c>
      <c r="M554" s="415" t="s">
        <v>310</v>
      </c>
      <c r="N554" s="414">
        <v>44671</v>
      </c>
      <c r="O554" s="414" t="s">
        <v>404</v>
      </c>
      <c r="P554" s="603">
        <f t="shared" si="50"/>
        <v>4</v>
      </c>
      <c r="Q554" s="603">
        <f t="shared" si="51"/>
        <v>3</v>
      </c>
      <c r="R554" s="604" t="str">
        <f t="shared" si="52"/>
        <v>Gastos_custeados_por_captação</v>
      </c>
      <c r="S554" s="605" t="s">
        <v>310</v>
      </c>
      <c r="T554" s="605" t="s">
        <v>310</v>
      </c>
    </row>
    <row r="555" spans="1:20" ht="60" x14ac:dyDescent="0.2">
      <c r="A555" s="510">
        <f>IF(B555="","",COUNT('Diário 1º PA'!$A$4:$A$2635)+ROW()-3)</f>
        <v>2288</v>
      </c>
      <c r="B555" s="414">
        <v>44671</v>
      </c>
      <c r="C555" s="592">
        <v>44593</v>
      </c>
      <c r="D555" s="415" t="s">
        <v>468</v>
      </c>
      <c r="E555" s="415" t="s">
        <v>468</v>
      </c>
      <c r="F555" s="425">
        <v>38.76</v>
      </c>
      <c r="G555" s="427" t="s">
        <v>4772</v>
      </c>
      <c r="H555" s="415" t="s">
        <v>468</v>
      </c>
      <c r="I555" s="427" t="s">
        <v>1461</v>
      </c>
      <c r="J555" s="415" t="s">
        <v>310</v>
      </c>
      <c r="K555" s="415" t="s">
        <v>1220</v>
      </c>
      <c r="L555" s="415" t="s">
        <v>1368</v>
      </c>
      <c r="M555" s="415" t="s">
        <v>310</v>
      </c>
      <c r="N555" s="414">
        <v>44671</v>
      </c>
      <c r="O555" s="414" t="s">
        <v>404</v>
      </c>
      <c r="P555" s="603">
        <f t="shared" si="50"/>
        <v>4</v>
      </c>
      <c r="Q555" s="603">
        <f t="shared" si="51"/>
        <v>2</v>
      </c>
      <c r="R555" s="604" t="str">
        <f t="shared" si="52"/>
        <v>Gastos_custeados_por_captação</v>
      </c>
      <c r="S555" s="605" t="s">
        <v>310</v>
      </c>
      <c r="T555" s="605" t="s">
        <v>310</v>
      </c>
    </row>
    <row r="556" spans="1:20" ht="72" x14ac:dyDescent="0.2">
      <c r="A556" s="510">
        <f>IF(B556="","",COUNT('Diário 1º PA'!$A$4:$A$2635)+ROW()-3)</f>
        <v>2289</v>
      </c>
      <c r="B556" s="414">
        <v>44671</v>
      </c>
      <c r="C556" s="431">
        <v>44652</v>
      </c>
      <c r="D556" s="415" t="s">
        <v>468</v>
      </c>
      <c r="E556" s="415" t="s">
        <v>468</v>
      </c>
      <c r="F556" s="425">
        <v>211</v>
      </c>
      <c r="G556" s="427" t="s">
        <v>3522</v>
      </c>
      <c r="H556" s="415" t="s">
        <v>468</v>
      </c>
      <c r="I556" s="427" t="s">
        <v>4773</v>
      </c>
      <c r="J556" s="415" t="s">
        <v>3523</v>
      </c>
      <c r="K556" s="415" t="s">
        <v>830</v>
      </c>
      <c r="L556" s="415" t="s">
        <v>807</v>
      </c>
      <c r="M556" s="415">
        <v>6775</v>
      </c>
      <c r="N556" s="414">
        <v>44671</v>
      </c>
      <c r="O556" s="414" t="s">
        <v>407</v>
      </c>
      <c r="P556" s="603">
        <f t="shared" si="50"/>
        <v>4</v>
      </c>
      <c r="Q556" s="603">
        <f t="shared" si="51"/>
        <v>4</v>
      </c>
      <c r="R556" s="604" t="str">
        <f t="shared" si="52"/>
        <v>Gastos_custeados_por_captação</v>
      </c>
      <c r="S556" s="605" t="s">
        <v>1303</v>
      </c>
      <c r="T556" s="605">
        <v>3478</v>
      </c>
    </row>
    <row r="557" spans="1:20" ht="72" x14ac:dyDescent="0.2">
      <c r="A557" s="510">
        <f>IF(B557="","",COUNT('Diário 1º PA'!$A$4:$A$2635)+ROW()-3)</f>
        <v>2290</v>
      </c>
      <c r="B557" s="414">
        <v>44671</v>
      </c>
      <c r="C557" s="592">
        <v>44470</v>
      </c>
      <c r="D557" s="415" t="s">
        <v>468</v>
      </c>
      <c r="E557" s="415" t="s">
        <v>468</v>
      </c>
      <c r="F557" s="425">
        <v>155</v>
      </c>
      <c r="G557" s="427" t="s">
        <v>4774</v>
      </c>
      <c r="H557" s="415" t="s">
        <v>468</v>
      </c>
      <c r="I557" s="427" t="s">
        <v>795</v>
      </c>
      <c r="J557" s="415" t="s">
        <v>796</v>
      </c>
      <c r="K557" s="415" t="s">
        <v>806</v>
      </c>
      <c r="L557" s="415" t="s">
        <v>798</v>
      </c>
      <c r="M557" s="415" t="s">
        <v>310</v>
      </c>
      <c r="N557" s="414">
        <v>44671</v>
      </c>
      <c r="O557" s="414" t="s">
        <v>407</v>
      </c>
      <c r="P557" s="603">
        <f t="shared" si="50"/>
        <v>4</v>
      </c>
      <c r="Q557" s="603">
        <f t="shared" si="51"/>
        <v>-2</v>
      </c>
      <c r="R557" s="604" t="str">
        <f t="shared" si="52"/>
        <v>Gastos_custeados_por_captação</v>
      </c>
      <c r="S557" s="605" t="s">
        <v>310</v>
      </c>
      <c r="T557" s="605" t="s">
        <v>310</v>
      </c>
    </row>
    <row r="558" spans="1:20" ht="72" x14ac:dyDescent="0.2">
      <c r="A558" s="510">
        <f>IF(B558="","",COUNT('Diário 1º PA'!$A$4:$A$2635)+ROW()-3)</f>
        <v>2291</v>
      </c>
      <c r="B558" s="414">
        <v>44671</v>
      </c>
      <c r="C558" s="592">
        <v>44621</v>
      </c>
      <c r="D558" s="415" t="s">
        <v>468</v>
      </c>
      <c r="E558" s="415" t="s">
        <v>468</v>
      </c>
      <c r="F558" s="425">
        <v>155</v>
      </c>
      <c r="G558" s="427" t="s">
        <v>4775</v>
      </c>
      <c r="H558" s="415" t="s">
        <v>468</v>
      </c>
      <c r="I558" s="427" t="s">
        <v>795</v>
      </c>
      <c r="J558" s="415" t="s">
        <v>796</v>
      </c>
      <c r="K558" s="415" t="s">
        <v>806</v>
      </c>
      <c r="L558" s="415" t="s">
        <v>798</v>
      </c>
      <c r="M558" s="415" t="s">
        <v>310</v>
      </c>
      <c r="N558" s="414">
        <v>44671</v>
      </c>
      <c r="O558" s="414" t="s">
        <v>407</v>
      </c>
      <c r="P558" s="603">
        <f t="shared" si="50"/>
        <v>4</v>
      </c>
      <c r="Q558" s="603">
        <f t="shared" si="51"/>
        <v>3</v>
      </c>
      <c r="R558" s="604" t="str">
        <f t="shared" si="52"/>
        <v>Gastos_custeados_por_captação</v>
      </c>
      <c r="S558" s="605" t="s">
        <v>310</v>
      </c>
      <c r="T558" s="605" t="s">
        <v>310</v>
      </c>
    </row>
    <row r="559" spans="1:20" ht="72" x14ac:dyDescent="0.2">
      <c r="A559" s="510">
        <f>IF(B559="","",COUNT('Diário 1º PA'!$A$4:$A$2635)+ROW()-3)</f>
        <v>2292</v>
      </c>
      <c r="B559" s="414">
        <v>44671</v>
      </c>
      <c r="C559" s="592">
        <v>44621</v>
      </c>
      <c r="D559" s="415" t="s">
        <v>468</v>
      </c>
      <c r="E559" s="415" t="s">
        <v>468</v>
      </c>
      <c r="F559" s="425">
        <v>40.299999999999997</v>
      </c>
      <c r="G559" s="427" t="s">
        <v>4777</v>
      </c>
      <c r="H559" s="415" t="s">
        <v>468</v>
      </c>
      <c r="I559" s="427" t="s">
        <v>795</v>
      </c>
      <c r="J559" s="415" t="s">
        <v>796</v>
      </c>
      <c r="K559" s="415" t="s">
        <v>806</v>
      </c>
      <c r="L559" s="415" t="s">
        <v>798</v>
      </c>
      <c r="M559" s="415" t="s">
        <v>310</v>
      </c>
      <c r="N559" s="414">
        <v>44671</v>
      </c>
      <c r="O559" s="414" t="s">
        <v>407</v>
      </c>
      <c r="P559" s="603">
        <f t="shared" si="50"/>
        <v>4</v>
      </c>
      <c r="Q559" s="603">
        <f t="shared" si="51"/>
        <v>3</v>
      </c>
      <c r="R559" s="604" t="str">
        <f t="shared" si="52"/>
        <v>Gastos_custeados_por_captação</v>
      </c>
      <c r="S559" s="605" t="s">
        <v>310</v>
      </c>
      <c r="T559" s="605" t="s">
        <v>310</v>
      </c>
    </row>
    <row r="560" spans="1:20" ht="72" x14ac:dyDescent="0.2">
      <c r="A560" s="510">
        <f>IF(B560="","",COUNT('Diário 1º PA'!$A$4:$A$2635)+ROW()-3)</f>
        <v>2293</v>
      </c>
      <c r="B560" s="414">
        <v>44671</v>
      </c>
      <c r="C560" s="592">
        <v>44621</v>
      </c>
      <c r="D560" s="415" t="s">
        <v>468</v>
      </c>
      <c r="E560" s="415" t="s">
        <v>468</v>
      </c>
      <c r="F560" s="425">
        <v>155</v>
      </c>
      <c r="G560" s="427" t="s">
        <v>4778</v>
      </c>
      <c r="H560" s="415" t="s">
        <v>468</v>
      </c>
      <c r="I560" s="427" t="s">
        <v>795</v>
      </c>
      <c r="J560" s="415" t="s">
        <v>796</v>
      </c>
      <c r="K560" s="415" t="s">
        <v>806</v>
      </c>
      <c r="L560" s="415" t="s">
        <v>798</v>
      </c>
      <c r="M560" s="415" t="s">
        <v>310</v>
      </c>
      <c r="N560" s="414">
        <v>44671</v>
      </c>
      <c r="O560" s="414" t="s">
        <v>407</v>
      </c>
      <c r="P560" s="603">
        <f t="shared" si="50"/>
        <v>4</v>
      </c>
      <c r="Q560" s="603">
        <f t="shared" si="51"/>
        <v>3</v>
      </c>
      <c r="R560" s="604" t="str">
        <f t="shared" si="52"/>
        <v>Gastos_custeados_por_captação</v>
      </c>
      <c r="S560" s="605" t="s">
        <v>310</v>
      </c>
      <c r="T560" s="605" t="s">
        <v>310</v>
      </c>
    </row>
    <row r="561" spans="1:20" ht="72" x14ac:dyDescent="0.2">
      <c r="A561" s="510">
        <f>IF(B561="","",COUNT('Diário 1º PA'!$A$4:$A$2635)+ROW()-3)</f>
        <v>2294</v>
      </c>
      <c r="B561" s="414">
        <v>44671</v>
      </c>
      <c r="C561" s="592">
        <v>44470</v>
      </c>
      <c r="D561" s="415" t="s">
        <v>468</v>
      </c>
      <c r="E561" s="415" t="s">
        <v>468</v>
      </c>
      <c r="F561" s="425">
        <v>155</v>
      </c>
      <c r="G561" s="427" t="s">
        <v>4779</v>
      </c>
      <c r="H561" s="415" t="s">
        <v>468</v>
      </c>
      <c r="I561" s="427" t="s">
        <v>795</v>
      </c>
      <c r="J561" s="415" t="s">
        <v>796</v>
      </c>
      <c r="K561" s="415" t="s">
        <v>806</v>
      </c>
      <c r="L561" s="415" t="s">
        <v>798</v>
      </c>
      <c r="M561" s="415" t="s">
        <v>310</v>
      </c>
      <c r="N561" s="414">
        <v>44671</v>
      </c>
      <c r="O561" s="414" t="s">
        <v>407</v>
      </c>
      <c r="P561" s="603">
        <f t="shared" si="50"/>
        <v>4</v>
      </c>
      <c r="Q561" s="603">
        <f t="shared" si="51"/>
        <v>-2</v>
      </c>
      <c r="R561" s="604" t="str">
        <f t="shared" si="52"/>
        <v>Gastos_custeados_por_captação</v>
      </c>
      <c r="S561" s="605" t="s">
        <v>310</v>
      </c>
      <c r="T561" s="605" t="s">
        <v>310</v>
      </c>
    </row>
    <row r="562" spans="1:20" ht="72" x14ac:dyDescent="0.2">
      <c r="A562" s="510">
        <f>IF(B562="","",COUNT('Diário 1º PA'!$A$4:$A$2635)+ROW()-3)</f>
        <v>2295</v>
      </c>
      <c r="B562" s="414">
        <v>44671</v>
      </c>
      <c r="C562" s="431">
        <v>44621</v>
      </c>
      <c r="D562" s="415" t="s">
        <v>468</v>
      </c>
      <c r="E562" s="415" t="s">
        <v>468</v>
      </c>
      <c r="F562" s="425">
        <v>340</v>
      </c>
      <c r="G562" s="427" t="s">
        <v>2309</v>
      </c>
      <c r="H562" s="415" t="s">
        <v>468</v>
      </c>
      <c r="I562" s="427" t="s">
        <v>2803</v>
      </c>
      <c r="J562" s="415" t="s">
        <v>2426</v>
      </c>
      <c r="K562" s="415" t="s">
        <v>797</v>
      </c>
      <c r="L562" s="415" t="s">
        <v>798</v>
      </c>
      <c r="M562" s="415">
        <v>32763549</v>
      </c>
      <c r="N562" s="414">
        <v>44670</v>
      </c>
      <c r="O562" s="414" t="s">
        <v>407</v>
      </c>
      <c r="P562" s="603">
        <f t="shared" si="50"/>
        <v>4</v>
      </c>
      <c r="Q562" s="603">
        <f t="shared" si="51"/>
        <v>3</v>
      </c>
      <c r="R562" s="604" t="str">
        <f t="shared" si="52"/>
        <v>Gastos_custeados_por_captação</v>
      </c>
      <c r="S562" s="605" t="s">
        <v>998</v>
      </c>
      <c r="T562" s="605">
        <v>3226</v>
      </c>
    </row>
    <row r="563" spans="1:20" ht="84" x14ac:dyDescent="0.2">
      <c r="A563" s="510">
        <f>IF(B563="","",COUNT('Diário 1º PA'!$A$4:$A$2635)+ROW()-3)</f>
        <v>2296</v>
      </c>
      <c r="B563" s="414">
        <v>44671</v>
      </c>
      <c r="C563" s="592">
        <v>44470</v>
      </c>
      <c r="D563" s="415" t="s">
        <v>468</v>
      </c>
      <c r="E563" s="415" t="s">
        <v>468</v>
      </c>
      <c r="F563" s="425">
        <v>420</v>
      </c>
      <c r="G563" s="427" t="s">
        <v>4780</v>
      </c>
      <c r="H563" s="415" t="s">
        <v>468</v>
      </c>
      <c r="I563" s="427" t="s">
        <v>4782</v>
      </c>
      <c r="J563" s="415" t="s">
        <v>4781</v>
      </c>
      <c r="K563" s="415" t="s">
        <v>830</v>
      </c>
      <c r="L563" s="415" t="s">
        <v>839</v>
      </c>
      <c r="M563" s="415">
        <v>1625</v>
      </c>
      <c r="N563" s="414">
        <v>44635</v>
      </c>
      <c r="O563" s="414" t="s">
        <v>407</v>
      </c>
      <c r="P563" s="603">
        <f t="shared" si="50"/>
        <v>4</v>
      </c>
      <c r="Q563" s="603">
        <f t="shared" si="51"/>
        <v>-2</v>
      </c>
      <c r="R563" s="604" t="str">
        <f t="shared" si="52"/>
        <v>Gastos_custeados_por_captação</v>
      </c>
      <c r="S563" s="605" t="s">
        <v>998</v>
      </c>
      <c r="T563" s="605">
        <v>2207</v>
      </c>
    </row>
    <row r="564" spans="1:20" ht="72" x14ac:dyDescent="0.2">
      <c r="A564" s="510">
        <f>IF(B564="","",COUNT('Diário 1º PA'!$A$4:$A$2635)+ROW()-3)</f>
        <v>2297</v>
      </c>
      <c r="B564" s="414">
        <v>44671</v>
      </c>
      <c r="C564" s="592">
        <v>44652</v>
      </c>
      <c r="D564" s="415" t="s">
        <v>468</v>
      </c>
      <c r="E564" s="415" t="s">
        <v>468</v>
      </c>
      <c r="F564" s="425">
        <v>912.88</v>
      </c>
      <c r="G564" s="427" t="s">
        <v>3334</v>
      </c>
      <c r="H564" s="415" t="s">
        <v>468</v>
      </c>
      <c r="I564" s="427" t="s">
        <v>4402</v>
      </c>
      <c r="J564" s="415" t="s">
        <v>2445</v>
      </c>
      <c r="K564" s="415" t="s">
        <v>830</v>
      </c>
      <c r="L564" s="415" t="s">
        <v>807</v>
      </c>
      <c r="M564" s="415">
        <v>51762</v>
      </c>
      <c r="N564" s="414">
        <v>44670</v>
      </c>
      <c r="O564" s="414" t="s">
        <v>407</v>
      </c>
      <c r="P564" s="603">
        <f t="shared" si="50"/>
        <v>4</v>
      </c>
      <c r="Q564" s="603">
        <f t="shared" si="51"/>
        <v>4</v>
      </c>
      <c r="R564" s="604" t="str">
        <f t="shared" si="52"/>
        <v>Gastos_custeados_por_captação</v>
      </c>
      <c r="S564" s="605" t="s">
        <v>999</v>
      </c>
      <c r="T564" s="605">
        <v>3463</v>
      </c>
    </row>
    <row r="565" spans="1:20" ht="72" x14ac:dyDescent="0.2">
      <c r="A565" s="510">
        <f>IF(B565="","",COUNT('Diário 1º PA'!$A$4:$A$2635)+ROW()-3)</f>
        <v>2298</v>
      </c>
      <c r="B565" s="414">
        <v>44671</v>
      </c>
      <c r="C565" s="433">
        <v>44652</v>
      </c>
      <c r="D565" s="434" t="s">
        <v>468</v>
      </c>
      <c r="E565" s="434" t="s">
        <v>468</v>
      </c>
      <c r="F565" s="425">
        <v>1032</v>
      </c>
      <c r="G565" s="427" t="s">
        <v>3265</v>
      </c>
      <c r="H565" s="415" t="s">
        <v>468</v>
      </c>
      <c r="I565" s="427" t="s">
        <v>4783</v>
      </c>
      <c r="J565" s="415" t="s">
        <v>4784</v>
      </c>
      <c r="K565" s="415" t="s">
        <v>830</v>
      </c>
      <c r="L565" s="415" t="s">
        <v>807</v>
      </c>
      <c r="M565" s="415">
        <v>1710</v>
      </c>
      <c r="N565" s="414">
        <v>44670</v>
      </c>
      <c r="O565" s="414" t="s">
        <v>407</v>
      </c>
      <c r="P565" s="603">
        <f t="shared" si="50"/>
        <v>4</v>
      </c>
      <c r="Q565" s="603">
        <f t="shared" si="51"/>
        <v>4</v>
      </c>
      <c r="R565" s="604" t="str">
        <f t="shared" si="52"/>
        <v>Gastos_custeados_por_captação</v>
      </c>
      <c r="S565" s="605" t="s">
        <v>1000</v>
      </c>
      <c r="T565" s="605">
        <v>3360</v>
      </c>
    </row>
    <row r="566" spans="1:20" ht="72" x14ac:dyDescent="0.2">
      <c r="A566" s="510">
        <f>IF(B566="","",COUNT('Diário 1º PA'!$A$4:$A$2635)+ROW()-3)</f>
        <v>2299</v>
      </c>
      <c r="B566" s="414">
        <v>44671</v>
      </c>
      <c r="C566" s="592">
        <v>44652</v>
      </c>
      <c r="D566" s="415" t="s">
        <v>468</v>
      </c>
      <c r="E566" s="415" t="s">
        <v>468</v>
      </c>
      <c r="F566" s="425">
        <v>351</v>
      </c>
      <c r="G566" s="427" t="s">
        <v>3528</v>
      </c>
      <c r="H566" s="415" t="s">
        <v>468</v>
      </c>
      <c r="I566" s="427" t="s">
        <v>4785</v>
      </c>
      <c r="J566" s="415" t="s">
        <v>3529</v>
      </c>
      <c r="K566" s="415" t="s">
        <v>830</v>
      </c>
      <c r="L566" s="415" t="s">
        <v>807</v>
      </c>
      <c r="M566" s="415">
        <v>371</v>
      </c>
      <c r="N566" s="414">
        <v>44671</v>
      </c>
      <c r="O566" s="414" t="s">
        <v>407</v>
      </c>
      <c r="P566" s="603">
        <f t="shared" si="50"/>
        <v>4</v>
      </c>
      <c r="Q566" s="603">
        <f t="shared" si="51"/>
        <v>4</v>
      </c>
      <c r="R566" s="604" t="str">
        <f t="shared" si="52"/>
        <v>Gastos_custeados_por_captação</v>
      </c>
      <c r="S566" s="605" t="s">
        <v>999</v>
      </c>
      <c r="T566" s="605">
        <v>3495</v>
      </c>
    </row>
    <row r="567" spans="1:20" s="88" customFormat="1" ht="72" x14ac:dyDescent="0.2">
      <c r="A567" s="510">
        <f>IF(B567="","",COUNT('Diário 1º PA'!$A$4:$A$2635)+ROW()-3)</f>
        <v>2300</v>
      </c>
      <c r="B567" s="414">
        <v>44671</v>
      </c>
      <c r="C567" s="592">
        <v>44621</v>
      </c>
      <c r="D567" s="415" t="s">
        <v>468</v>
      </c>
      <c r="E567" s="415" t="s">
        <v>468</v>
      </c>
      <c r="F567" s="425">
        <v>1115.5</v>
      </c>
      <c r="G567" s="427" t="s">
        <v>4786</v>
      </c>
      <c r="H567" s="415" t="s">
        <v>468</v>
      </c>
      <c r="I567" s="427" t="s">
        <v>4787</v>
      </c>
      <c r="J567" s="415" t="s">
        <v>1075</v>
      </c>
      <c r="K567" s="415" t="s">
        <v>830</v>
      </c>
      <c r="L567" s="415" t="s">
        <v>807</v>
      </c>
      <c r="M567" s="415" t="s">
        <v>1540</v>
      </c>
      <c r="N567" s="414">
        <v>44671</v>
      </c>
      <c r="O567" s="414" t="s">
        <v>407</v>
      </c>
      <c r="P567" s="603">
        <f t="shared" si="50"/>
        <v>4</v>
      </c>
      <c r="Q567" s="603">
        <f t="shared" si="51"/>
        <v>3</v>
      </c>
      <c r="R567" s="604" t="str">
        <f t="shared" si="52"/>
        <v>Gastos_custeados_por_captação</v>
      </c>
      <c r="S567" s="605" t="s">
        <v>998</v>
      </c>
      <c r="T567" s="605">
        <v>3178</v>
      </c>
    </row>
    <row r="568" spans="1:20" s="88" customFormat="1" ht="48" x14ac:dyDescent="0.2">
      <c r="A568" s="510">
        <f>IF(B568="","",COUNT('Diário 1º PA'!$A$4:$A$2635)+ROW()-3)</f>
        <v>2301</v>
      </c>
      <c r="B568" s="414">
        <v>44671</v>
      </c>
      <c r="C568" s="431">
        <v>44621</v>
      </c>
      <c r="D568" s="415" t="s">
        <v>271</v>
      </c>
      <c r="E568" s="415" t="s">
        <v>456</v>
      </c>
      <c r="F568" s="425">
        <v>172</v>
      </c>
      <c r="G568" s="427" t="s">
        <v>2423</v>
      </c>
      <c r="H568" s="419" t="s">
        <v>755</v>
      </c>
      <c r="I568" s="427" t="s">
        <v>3653</v>
      </c>
      <c r="J568" s="415" t="s">
        <v>2424</v>
      </c>
      <c r="K568" s="415" t="s">
        <v>812</v>
      </c>
      <c r="L568" s="415" t="s">
        <v>807</v>
      </c>
      <c r="M568" s="415" t="s">
        <v>3654</v>
      </c>
      <c r="N568" s="414">
        <v>44625</v>
      </c>
      <c r="O568" s="414" t="s">
        <v>400</v>
      </c>
      <c r="P568" s="603">
        <f t="shared" si="50"/>
        <v>4</v>
      </c>
      <c r="Q568" s="603">
        <f t="shared" si="51"/>
        <v>3</v>
      </c>
      <c r="R568" s="604" t="str">
        <f t="shared" si="52"/>
        <v>Gastos_Gerais</v>
      </c>
      <c r="S568" s="605" t="s">
        <v>1303</v>
      </c>
      <c r="T568" s="605">
        <v>3198</v>
      </c>
    </row>
    <row r="569" spans="1:20" ht="72" x14ac:dyDescent="0.2">
      <c r="A569" s="510">
        <f>IF(B569="","",COUNT('Diário 1º PA'!$A$4:$A$2635)+ROW()-3)</f>
        <v>2302</v>
      </c>
      <c r="B569" s="414">
        <v>44673</v>
      </c>
      <c r="C569" s="592">
        <v>44562</v>
      </c>
      <c r="D569" s="415" t="s">
        <v>468</v>
      </c>
      <c r="E569" s="415" t="s">
        <v>468</v>
      </c>
      <c r="F569" s="425">
        <v>287.91000000000003</v>
      </c>
      <c r="G569" s="427" t="s">
        <v>4788</v>
      </c>
      <c r="H569" s="415" t="s">
        <v>468</v>
      </c>
      <c r="I569" s="427" t="s">
        <v>4789</v>
      </c>
      <c r="J569" s="415" t="s">
        <v>4790</v>
      </c>
      <c r="K569" s="415" t="s">
        <v>830</v>
      </c>
      <c r="L569" s="415" t="s">
        <v>807</v>
      </c>
      <c r="M569" s="415" t="s">
        <v>4791</v>
      </c>
      <c r="N569" s="414">
        <v>44657</v>
      </c>
      <c r="O569" s="414" t="s">
        <v>402</v>
      </c>
      <c r="P569" s="603">
        <f t="shared" si="50"/>
        <v>4</v>
      </c>
      <c r="Q569" s="603">
        <f t="shared" si="51"/>
        <v>1</v>
      </c>
      <c r="R569" s="604" t="str">
        <f t="shared" si="52"/>
        <v>Gastos_custeados_por_captação</v>
      </c>
      <c r="S569" s="605" t="s">
        <v>998</v>
      </c>
      <c r="T569" s="605">
        <v>2804</v>
      </c>
    </row>
    <row r="570" spans="1:20" ht="72" x14ac:dyDescent="0.2">
      <c r="A570" s="510">
        <f>IF(B570="","",COUNT('Diário 1º PA'!$A$4:$A$2635)+ROW()-3)</f>
        <v>2303</v>
      </c>
      <c r="B570" s="414">
        <v>44673</v>
      </c>
      <c r="C570" s="592">
        <v>44652</v>
      </c>
      <c r="D570" s="415" t="s">
        <v>468</v>
      </c>
      <c r="E570" s="415" t="s">
        <v>468</v>
      </c>
      <c r="F570" s="425">
        <v>21560</v>
      </c>
      <c r="G570" s="427" t="s">
        <v>3306</v>
      </c>
      <c r="H570" s="415" t="s">
        <v>468</v>
      </c>
      <c r="I570" s="427" t="s">
        <v>4792</v>
      </c>
      <c r="J570" s="415" t="s">
        <v>3307</v>
      </c>
      <c r="K570" s="415" t="s">
        <v>830</v>
      </c>
      <c r="L570" s="415" t="s">
        <v>807</v>
      </c>
      <c r="M570" s="415" t="s">
        <v>1696</v>
      </c>
      <c r="N570" s="414">
        <v>44671</v>
      </c>
      <c r="O570" s="414" t="s">
        <v>407</v>
      </c>
      <c r="P570" s="603">
        <f t="shared" si="50"/>
        <v>4</v>
      </c>
      <c r="Q570" s="603">
        <f t="shared" si="51"/>
        <v>4</v>
      </c>
      <c r="R570" s="604" t="str">
        <f t="shared" si="52"/>
        <v>Gastos_custeados_por_captação</v>
      </c>
      <c r="S570" s="605" t="s">
        <v>1000</v>
      </c>
      <c r="T570" s="605">
        <v>3390</v>
      </c>
    </row>
    <row r="571" spans="1:20" ht="72" x14ac:dyDescent="0.2">
      <c r="A571" s="510">
        <f>IF(B571="","",COUNT('Diário 1º PA'!$A$4:$A$2635)+ROW()-3)</f>
        <v>2304</v>
      </c>
      <c r="B571" s="414">
        <v>44673</v>
      </c>
      <c r="C571" s="431">
        <v>44652</v>
      </c>
      <c r="D571" s="415" t="s">
        <v>468</v>
      </c>
      <c r="E571" s="415" t="s">
        <v>468</v>
      </c>
      <c r="F571" s="425">
        <v>1237.5</v>
      </c>
      <c r="G571" s="427" t="s">
        <v>4793</v>
      </c>
      <c r="H571" s="415" t="s">
        <v>468</v>
      </c>
      <c r="I571" s="427" t="s">
        <v>4684</v>
      </c>
      <c r="J571" s="415" t="s">
        <v>3319</v>
      </c>
      <c r="K571" s="415" t="s">
        <v>830</v>
      </c>
      <c r="L571" s="415" t="s">
        <v>807</v>
      </c>
      <c r="M571" s="415">
        <v>3466</v>
      </c>
      <c r="N571" s="414">
        <v>44669</v>
      </c>
      <c r="O571" s="414" t="s">
        <v>407</v>
      </c>
      <c r="P571" s="603">
        <f t="shared" si="50"/>
        <v>4</v>
      </c>
      <c r="Q571" s="603">
        <f t="shared" si="51"/>
        <v>4</v>
      </c>
      <c r="R571" s="604" t="str">
        <f t="shared" si="52"/>
        <v>Gastos_custeados_por_captação</v>
      </c>
      <c r="S571" s="605" t="s">
        <v>998</v>
      </c>
      <c r="T571" s="605">
        <v>3416</v>
      </c>
    </row>
    <row r="572" spans="1:20" ht="72" x14ac:dyDescent="0.2">
      <c r="A572" s="510">
        <f>IF(B572="","",COUNT('Diário 1º PA'!$A$4:$A$2635)+ROW()-3)</f>
        <v>2305</v>
      </c>
      <c r="B572" s="414">
        <v>44673</v>
      </c>
      <c r="C572" s="592">
        <v>44652</v>
      </c>
      <c r="D572" s="415" t="s">
        <v>468</v>
      </c>
      <c r="E572" s="415" t="s">
        <v>468</v>
      </c>
      <c r="F572" s="425">
        <v>5650</v>
      </c>
      <c r="G572" s="427" t="s">
        <v>3435</v>
      </c>
      <c r="H572" s="415" t="s">
        <v>468</v>
      </c>
      <c r="I572" s="427" t="s">
        <v>4794</v>
      </c>
      <c r="J572" s="415" t="s">
        <v>3436</v>
      </c>
      <c r="K572" s="415" t="s">
        <v>830</v>
      </c>
      <c r="L572" s="415" t="s">
        <v>807</v>
      </c>
      <c r="M572" s="415">
        <v>3184</v>
      </c>
      <c r="N572" s="414">
        <v>44676</v>
      </c>
      <c r="O572" s="414" t="s">
        <v>407</v>
      </c>
      <c r="P572" s="603">
        <f t="shared" si="50"/>
        <v>4</v>
      </c>
      <c r="Q572" s="603">
        <f t="shared" si="51"/>
        <v>4</v>
      </c>
      <c r="R572" s="604" t="str">
        <f t="shared" si="52"/>
        <v>Gastos_custeados_por_captação</v>
      </c>
      <c r="S572" s="605" t="s">
        <v>1000</v>
      </c>
      <c r="T572" s="605">
        <v>3472</v>
      </c>
    </row>
    <row r="573" spans="1:20" ht="72" x14ac:dyDescent="0.2">
      <c r="A573" s="510">
        <f>IF(B573="","",COUNT('Diário 1º PA'!$A$4:$A$2635)+ROW()-3)</f>
        <v>2306</v>
      </c>
      <c r="B573" s="414">
        <v>44673</v>
      </c>
      <c r="C573" s="592">
        <v>44621</v>
      </c>
      <c r="D573" s="415" t="s">
        <v>468</v>
      </c>
      <c r="E573" s="415" t="s">
        <v>468</v>
      </c>
      <c r="F573" s="425">
        <v>2500</v>
      </c>
      <c r="G573" s="427" t="s">
        <v>2547</v>
      </c>
      <c r="H573" s="415" t="s">
        <v>468</v>
      </c>
      <c r="I573" s="427" t="s">
        <v>4795</v>
      </c>
      <c r="J573" s="415" t="s">
        <v>1107</v>
      </c>
      <c r="K573" s="415" t="s">
        <v>830</v>
      </c>
      <c r="L573" s="415" t="s">
        <v>807</v>
      </c>
      <c r="M573" s="415" t="s">
        <v>1786</v>
      </c>
      <c r="N573" s="414">
        <v>44673</v>
      </c>
      <c r="O573" s="414" t="s">
        <v>407</v>
      </c>
      <c r="P573" s="603">
        <f t="shared" si="50"/>
        <v>4</v>
      </c>
      <c r="Q573" s="603">
        <f t="shared" si="51"/>
        <v>3</v>
      </c>
      <c r="R573" s="604" t="str">
        <f t="shared" si="52"/>
        <v>Gastos_custeados_por_captação</v>
      </c>
      <c r="S573" s="605" t="s">
        <v>1000</v>
      </c>
      <c r="T573" s="605">
        <v>3251</v>
      </c>
    </row>
    <row r="574" spans="1:20" ht="72" x14ac:dyDescent="0.2">
      <c r="A574" s="510">
        <f>IF(B574="","",COUNT('Diário 1º PA'!$A$4:$A$2635)+ROW()-3)</f>
        <v>2307</v>
      </c>
      <c r="B574" s="414">
        <v>44673</v>
      </c>
      <c r="C574" s="592">
        <v>44652</v>
      </c>
      <c r="D574" s="415" t="s">
        <v>468</v>
      </c>
      <c r="E574" s="415" t="s">
        <v>468</v>
      </c>
      <c r="F574" s="425">
        <v>132</v>
      </c>
      <c r="G574" s="427" t="s">
        <v>3536</v>
      </c>
      <c r="H574" s="415" t="s">
        <v>468</v>
      </c>
      <c r="I574" s="427" t="s">
        <v>4796</v>
      </c>
      <c r="J574" s="415" t="s">
        <v>3537</v>
      </c>
      <c r="K574" s="415" t="s">
        <v>830</v>
      </c>
      <c r="L574" s="415" t="s">
        <v>4797</v>
      </c>
      <c r="M574" s="415">
        <v>4694</v>
      </c>
      <c r="N574" s="414">
        <v>44673</v>
      </c>
      <c r="O574" s="414" t="s">
        <v>407</v>
      </c>
      <c r="P574" s="603">
        <f t="shared" si="50"/>
        <v>4</v>
      </c>
      <c r="Q574" s="603">
        <f t="shared" si="51"/>
        <v>4</v>
      </c>
      <c r="R574" s="604" t="str">
        <f t="shared" si="52"/>
        <v>Gastos_custeados_por_captação</v>
      </c>
      <c r="S574" s="605" t="s">
        <v>999</v>
      </c>
      <c r="T574" s="605">
        <v>3484</v>
      </c>
    </row>
    <row r="575" spans="1:20" s="88" customFormat="1" ht="72" x14ac:dyDescent="0.2">
      <c r="A575" s="510">
        <f>IF(B575="","",COUNT('Diário 1º PA'!$A$4:$A$2635)+ROW()-3)</f>
        <v>2308</v>
      </c>
      <c r="B575" s="414">
        <v>44673</v>
      </c>
      <c r="C575" s="592">
        <v>44621</v>
      </c>
      <c r="D575" s="415" t="s">
        <v>468</v>
      </c>
      <c r="E575" s="415" t="s">
        <v>468</v>
      </c>
      <c r="F575" s="425">
        <v>1721.4</v>
      </c>
      <c r="G575" s="427" t="s">
        <v>2284</v>
      </c>
      <c r="H575" s="415" t="s">
        <v>468</v>
      </c>
      <c r="I575" s="427" t="s">
        <v>4691</v>
      </c>
      <c r="J575" s="415" t="s">
        <v>1633</v>
      </c>
      <c r="K575" s="415" t="s">
        <v>830</v>
      </c>
      <c r="L575" s="415" t="s">
        <v>807</v>
      </c>
      <c r="M575" s="415" t="s">
        <v>4798</v>
      </c>
      <c r="N575" s="414">
        <v>44653</v>
      </c>
      <c r="O575" s="414" t="s">
        <v>407</v>
      </c>
      <c r="P575" s="603">
        <f t="shared" si="50"/>
        <v>4</v>
      </c>
      <c r="Q575" s="603">
        <f t="shared" si="51"/>
        <v>3</v>
      </c>
      <c r="R575" s="604" t="str">
        <f t="shared" si="52"/>
        <v>Gastos_custeados_por_captação</v>
      </c>
      <c r="S575" s="605" t="s">
        <v>998</v>
      </c>
      <c r="T575" s="605">
        <v>3203</v>
      </c>
    </row>
    <row r="576" spans="1:20" s="88" customFormat="1" ht="36" x14ac:dyDescent="0.2">
      <c r="A576" s="510">
        <f>IF(B576="","",COUNT('Diário 1º PA'!$A$4:$A$2635)+ROW()-3)</f>
        <v>2309</v>
      </c>
      <c r="B576" s="414">
        <v>44676</v>
      </c>
      <c r="C576" s="466">
        <v>44621</v>
      </c>
      <c r="D576" s="415" t="s">
        <v>271</v>
      </c>
      <c r="E576" s="415" t="s">
        <v>164</v>
      </c>
      <c r="F576" s="435">
        <v>-208.35</v>
      </c>
      <c r="G576" s="427" t="s">
        <v>3564</v>
      </c>
      <c r="H576" s="415" t="s">
        <v>309</v>
      </c>
      <c r="I576" s="427" t="s">
        <v>795</v>
      </c>
      <c r="J576" s="415" t="s">
        <v>796</v>
      </c>
      <c r="K576" s="415" t="s">
        <v>797</v>
      </c>
      <c r="L576" s="415" t="s">
        <v>798</v>
      </c>
      <c r="M576" s="415" t="s">
        <v>310</v>
      </c>
      <c r="N576" s="414">
        <v>44676</v>
      </c>
      <c r="O576" s="414" t="s">
        <v>400</v>
      </c>
      <c r="P576" s="603">
        <f t="shared" si="50"/>
        <v>4</v>
      </c>
      <c r="Q576" s="603">
        <f t="shared" si="51"/>
        <v>3</v>
      </c>
      <c r="R576" s="604" t="str">
        <f t="shared" si="52"/>
        <v>Gastos_Gerais</v>
      </c>
      <c r="S576" s="605" t="s">
        <v>310</v>
      </c>
      <c r="T576" s="605" t="s">
        <v>310</v>
      </c>
    </row>
    <row r="577" spans="1:20" s="88" customFormat="1" ht="48" x14ac:dyDescent="0.2">
      <c r="A577" s="510">
        <f>IF(B577="","",COUNT('Diário 1º PA'!$A$4:$A$2635)+ROW()-3)</f>
        <v>2310</v>
      </c>
      <c r="B577" s="414">
        <v>44676</v>
      </c>
      <c r="C577" s="466">
        <v>44621</v>
      </c>
      <c r="D577" s="415" t="s">
        <v>271</v>
      </c>
      <c r="E577" s="415" t="s">
        <v>92</v>
      </c>
      <c r="F577" s="425">
        <v>-114.88</v>
      </c>
      <c r="G577" s="427" t="s">
        <v>3652</v>
      </c>
      <c r="H577" s="415" t="s">
        <v>309</v>
      </c>
      <c r="I577" s="437" t="s">
        <v>795</v>
      </c>
      <c r="J577" s="434" t="s">
        <v>796</v>
      </c>
      <c r="K577" s="434" t="s">
        <v>797</v>
      </c>
      <c r="L577" s="434" t="s">
        <v>798</v>
      </c>
      <c r="M577" s="436" t="s">
        <v>310</v>
      </c>
      <c r="N577" s="414">
        <v>44676</v>
      </c>
      <c r="O577" s="414" t="s">
        <v>400</v>
      </c>
      <c r="P577" s="603">
        <f t="shared" si="50"/>
        <v>4</v>
      </c>
      <c r="Q577" s="603">
        <f t="shared" si="51"/>
        <v>3</v>
      </c>
      <c r="R577" s="604" t="str">
        <f t="shared" si="52"/>
        <v>Gastos_Gerais</v>
      </c>
      <c r="S577" s="605" t="s">
        <v>310</v>
      </c>
      <c r="T577" s="605" t="s">
        <v>310</v>
      </c>
    </row>
    <row r="578" spans="1:20" s="88" customFormat="1" ht="24" x14ac:dyDescent="0.2">
      <c r="A578" s="510">
        <f>IF(B578="","",COUNT('Diário 1º PA'!$A$4:$A$2635)+ROW()-3)</f>
        <v>2311</v>
      </c>
      <c r="B578" s="414">
        <v>44676</v>
      </c>
      <c r="C578" s="466">
        <v>44652</v>
      </c>
      <c r="D578" s="415" t="s">
        <v>182</v>
      </c>
      <c r="E578" s="415" t="s">
        <v>6</v>
      </c>
      <c r="F578" s="425">
        <v>240</v>
      </c>
      <c r="G578" s="427" t="s">
        <v>3655</v>
      </c>
      <c r="H578" s="415" t="s">
        <v>310</v>
      </c>
      <c r="I578" s="427" t="s">
        <v>911</v>
      </c>
      <c r="J578" s="415" t="s">
        <v>912</v>
      </c>
      <c r="K578" s="415" t="s">
        <v>806</v>
      </c>
      <c r="L578" s="415" t="s">
        <v>1305</v>
      </c>
      <c r="M578" s="415" t="s">
        <v>310</v>
      </c>
      <c r="N578" s="414">
        <v>44676</v>
      </c>
      <c r="O578" s="414" t="s">
        <v>400</v>
      </c>
      <c r="P578" s="603">
        <f t="shared" si="50"/>
        <v>4</v>
      </c>
      <c r="Q578" s="603">
        <f t="shared" si="51"/>
        <v>4</v>
      </c>
      <c r="R578" s="604" t="str">
        <f t="shared" si="52"/>
        <v>Gastos_com_Pessoal</v>
      </c>
      <c r="S578" s="605" t="s">
        <v>310</v>
      </c>
      <c r="T578" s="605" t="s">
        <v>310</v>
      </c>
    </row>
    <row r="579" spans="1:20" s="88" customFormat="1" ht="24" x14ac:dyDescent="0.2">
      <c r="A579" s="510">
        <f>IF(B579="","",COUNT('Diário 1º PA'!$A$4:$A$2635)+ROW()-3)</f>
        <v>2312</v>
      </c>
      <c r="B579" s="414">
        <v>44676</v>
      </c>
      <c r="C579" s="466">
        <v>44652</v>
      </c>
      <c r="D579" s="415" t="s">
        <v>182</v>
      </c>
      <c r="E579" s="415" t="s">
        <v>6</v>
      </c>
      <c r="F579" s="425">
        <v>240</v>
      </c>
      <c r="G579" s="427" t="s">
        <v>3655</v>
      </c>
      <c r="H579" s="415" t="s">
        <v>310</v>
      </c>
      <c r="I579" s="427" t="s">
        <v>916</v>
      </c>
      <c r="J579" s="415" t="s">
        <v>917</v>
      </c>
      <c r="K579" s="415" t="s">
        <v>806</v>
      </c>
      <c r="L579" s="415" t="s">
        <v>1305</v>
      </c>
      <c r="M579" s="415" t="s">
        <v>310</v>
      </c>
      <c r="N579" s="414">
        <v>44676</v>
      </c>
      <c r="O579" s="414" t="s">
        <v>400</v>
      </c>
      <c r="P579" s="603">
        <f t="shared" ref="P579:P629" si="53">IF(B579=0,0,IF(YEAR(B579)=$Q$1,MONTH(B579)-$P$1+1,(YEAR(B579)-$Q$1)*12-$P$1+1+MONTH(B579)))</f>
        <v>4</v>
      </c>
      <c r="Q579" s="603">
        <f t="shared" ref="Q579:Q629" si="54">IF(C579=0,0,IF(YEAR(C579)=$Q$1,MONTH(C579)-$P$1+1,(YEAR(C579)-$Q$1)*12-$P$1+1+MONTH(C579)))</f>
        <v>4</v>
      </c>
      <c r="R579" s="604" t="str">
        <f t="shared" ref="R579:R629" si="55">SUBSTITUTE(D579," ","_")</f>
        <v>Gastos_com_Pessoal</v>
      </c>
      <c r="S579" s="605" t="s">
        <v>310</v>
      </c>
      <c r="T579" s="605" t="s">
        <v>310</v>
      </c>
    </row>
    <row r="580" spans="1:20" s="88" customFormat="1" ht="24" x14ac:dyDescent="0.2">
      <c r="A580" s="510">
        <f>IF(B580="","",COUNT('Diário 1º PA'!$A$4:$A$2635)+ROW()-3)</f>
        <v>2313</v>
      </c>
      <c r="B580" s="414">
        <v>44676</v>
      </c>
      <c r="C580" s="466">
        <v>44652</v>
      </c>
      <c r="D580" s="415" t="s">
        <v>182</v>
      </c>
      <c r="E580" s="415" t="s">
        <v>6</v>
      </c>
      <c r="F580" s="425">
        <v>240</v>
      </c>
      <c r="G580" s="427" t="s">
        <v>3655</v>
      </c>
      <c r="H580" s="415" t="s">
        <v>310</v>
      </c>
      <c r="I580" s="427" t="s">
        <v>920</v>
      </c>
      <c r="J580" s="415" t="s">
        <v>921</v>
      </c>
      <c r="K580" s="415" t="s">
        <v>806</v>
      </c>
      <c r="L580" s="415" t="s">
        <v>1305</v>
      </c>
      <c r="M580" s="415" t="s">
        <v>310</v>
      </c>
      <c r="N580" s="414">
        <v>44676</v>
      </c>
      <c r="O580" s="414" t="s">
        <v>400</v>
      </c>
      <c r="P580" s="603">
        <f t="shared" si="53"/>
        <v>4</v>
      </c>
      <c r="Q580" s="603">
        <f t="shared" si="54"/>
        <v>4</v>
      </c>
      <c r="R580" s="604" t="str">
        <f t="shared" si="55"/>
        <v>Gastos_com_Pessoal</v>
      </c>
      <c r="S580" s="605" t="s">
        <v>310</v>
      </c>
      <c r="T580" s="605" t="s">
        <v>310</v>
      </c>
    </row>
    <row r="581" spans="1:20" s="88" customFormat="1" ht="24" x14ac:dyDescent="0.2">
      <c r="A581" s="510">
        <f>IF(B581="","",COUNT('Diário 1º PA'!$A$4:$A$2635)+ROW()-3)</f>
        <v>2314</v>
      </c>
      <c r="B581" s="414">
        <v>44676</v>
      </c>
      <c r="C581" s="466">
        <v>44652</v>
      </c>
      <c r="D581" s="415" t="s">
        <v>182</v>
      </c>
      <c r="E581" s="415" t="s">
        <v>6</v>
      </c>
      <c r="F581" s="425">
        <v>240</v>
      </c>
      <c r="G581" s="427" t="s">
        <v>3655</v>
      </c>
      <c r="H581" s="415" t="s">
        <v>310</v>
      </c>
      <c r="I581" s="427" t="s">
        <v>926</v>
      </c>
      <c r="J581" s="415" t="s">
        <v>927</v>
      </c>
      <c r="K581" s="415" t="s">
        <v>806</v>
      </c>
      <c r="L581" s="415" t="s">
        <v>1305</v>
      </c>
      <c r="M581" s="415" t="s">
        <v>310</v>
      </c>
      <c r="N581" s="414">
        <v>44676</v>
      </c>
      <c r="O581" s="414" t="s">
        <v>400</v>
      </c>
      <c r="P581" s="603">
        <f t="shared" si="53"/>
        <v>4</v>
      </c>
      <c r="Q581" s="603">
        <f t="shared" si="54"/>
        <v>4</v>
      </c>
      <c r="R581" s="604" t="str">
        <f t="shared" si="55"/>
        <v>Gastos_com_Pessoal</v>
      </c>
      <c r="S581" s="605" t="s">
        <v>310</v>
      </c>
      <c r="T581" s="605" t="s">
        <v>310</v>
      </c>
    </row>
    <row r="582" spans="1:20" s="88" customFormat="1" ht="24" x14ac:dyDescent="0.2">
      <c r="A582" s="510">
        <f>IF(B582="","",COUNT('Diário 1º PA'!$A$4:$A$2635)+ROW()-3)</f>
        <v>2315</v>
      </c>
      <c r="B582" s="414">
        <v>44676</v>
      </c>
      <c r="C582" s="466">
        <v>44652</v>
      </c>
      <c r="D582" s="415" t="s">
        <v>182</v>
      </c>
      <c r="E582" s="415" t="s">
        <v>6</v>
      </c>
      <c r="F582" s="425">
        <v>420</v>
      </c>
      <c r="G582" s="427" t="s">
        <v>3655</v>
      </c>
      <c r="H582" s="415" t="s">
        <v>310</v>
      </c>
      <c r="I582" s="427" t="s">
        <v>929</v>
      </c>
      <c r="J582" s="415" t="s">
        <v>930</v>
      </c>
      <c r="K582" s="415" t="s">
        <v>806</v>
      </c>
      <c r="L582" s="415" t="s">
        <v>1305</v>
      </c>
      <c r="M582" s="415" t="s">
        <v>310</v>
      </c>
      <c r="N582" s="414">
        <v>44676</v>
      </c>
      <c r="O582" s="414" t="s">
        <v>400</v>
      </c>
      <c r="P582" s="603">
        <f t="shared" si="53"/>
        <v>4</v>
      </c>
      <c r="Q582" s="603">
        <f t="shared" si="54"/>
        <v>4</v>
      </c>
      <c r="R582" s="604" t="str">
        <f t="shared" si="55"/>
        <v>Gastos_com_Pessoal</v>
      </c>
      <c r="S582" s="605" t="s">
        <v>310</v>
      </c>
      <c r="T582" s="605" t="s">
        <v>310</v>
      </c>
    </row>
    <row r="583" spans="1:20" s="88" customFormat="1" ht="24" x14ac:dyDescent="0.2">
      <c r="A583" s="510">
        <f>IF(B583="","",COUNT('Diário 1º PA'!$A$4:$A$2635)+ROW()-3)</f>
        <v>2316</v>
      </c>
      <c r="B583" s="414">
        <v>44676</v>
      </c>
      <c r="C583" s="466">
        <v>44652</v>
      </c>
      <c r="D583" s="415" t="s">
        <v>182</v>
      </c>
      <c r="E583" s="415" t="s">
        <v>6</v>
      </c>
      <c r="F583" s="425">
        <v>480</v>
      </c>
      <c r="G583" s="427" t="s">
        <v>3655</v>
      </c>
      <c r="H583" s="415" t="s">
        <v>310</v>
      </c>
      <c r="I583" s="427" t="s">
        <v>932</v>
      </c>
      <c r="J583" s="415" t="s">
        <v>933</v>
      </c>
      <c r="K583" s="415" t="s">
        <v>806</v>
      </c>
      <c r="L583" s="415" t="s">
        <v>1305</v>
      </c>
      <c r="M583" s="415" t="s">
        <v>310</v>
      </c>
      <c r="N583" s="414">
        <v>44676</v>
      </c>
      <c r="O583" s="414" t="s">
        <v>400</v>
      </c>
      <c r="P583" s="603">
        <f t="shared" si="53"/>
        <v>4</v>
      </c>
      <c r="Q583" s="603">
        <f t="shared" si="54"/>
        <v>4</v>
      </c>
      <c r="R583" s="604" t="str">
        <f t="shared" si="55"/>
        <v>Gastos_com_Pessoal</v>
      </c>
      <c r="S583" s="605" t="s">
        <v>310</v>
      </c>
      <c r="T583" s="605" t="s">
        <v>310</v>
      </c>
    </row>
    <row r="584" spans="1:20" s="88" customFormat="1" ht="24" x14ac:dyDescent="0.2">
      <c r="A584" s="510">
        <f>IF(B584="","",COUNT('Diário 1º PA'!$A$4:$A$2635)+ROW()-3)</f>
        <v>2317</v>
      </c>
      <c r="B584" s="414">
        <v>44676</v>
      </c>
      <c r="C584" s="466">
        <v>44652</v>
      </c>
      <c r="D584" s="415" t="s">
        <v>182</v>
      </c>
      <c r="E584" s="415" t="s">
        <v>6</v>
      </c>
      <c r="F584" s="425">
        <v>240</v>
      </c>
      <c r="G584" s="427" t="s">
        <v>3655</v>
      </c>
      <c r="H584" s="415" t="s">
        <v>310</v>
      </c>
      <c r="I584" s="427" t="s">
        <v>935</v>
      </c>
      <c r="J584" s="415" t="s">
        <v>936</v>
      </c>
      <c r="K584" s="415" t="s">
        <v>806</v>
      </c>
      <c r="L584" s="415" t="s">
        <v>1305</v>
      </c>
      <c r="M584" s="415" t="s">
        <v>310</v>
      </c>
      <c r="N584" s="414">
        <v>44676</v>
      </c>
      <c r="O584" s="414" t="s">
        <v>400</v>
      </c>
      <c r="P584" s="603">
        <f t="shared" si="53"/>
        <v>4</v>
      </c>
      <c r="Q584" s="603">
        <f t="shared" si="54"/>
        <v>4</v>
      </c>
      <c r="R584" s="604" t="str">
        <f t="shared" si="55"/>
        <v>Gastos_com_Pessoal</v>
      </c>
      <c r="S584" s="605" t="s">
        <v>310</v>
      </c>
      <c r="T584" s="605" t="s">
        <v>310</v>
      </c>
    </row>
    <row r="585" spans="1:20" s="88" customFormat="1" ht="24" x14ac:dyDescent="0.2">
      <c r="A585" s="510">
        <f>IF(B585="","",COUNT('Diário 1º PA'!$A$4:$A$2635)+ROW()-3)</f>
        <v>2318</v>
      </c>
      <c r="B585" s="414">
        <v>44676</v>
      </c>
      <c r="C585" s="466">
        <v>44652</v>
      </c>
      <c r="D585" s="415" t="s">
        <v>182</v>
      </c>
      <c r="E585" s="415" t="s">
        <v>6</v>
      </c>
      <c r="F585" s="425">
        <v>480</v>
      </c>
      <c r="G585" s="427" t="s">
        <v>3655</v>
      </c>
      <c r="H585" s="415" t="s">
        <v>310</v>
      </c>
      <c r="I585" s="427" t="s">
        <v>938</v>
      </c>
      <c r="J585" s="415" t="s">
        <v>939</v>
      </c>
      <c r="K585" s="415" t="s">
        <v>806</v>
      </c>
      <c r="L585" s="415" t="s">
        <v>1305</v>
      </c>
      <c r="M585" s="415" t="s">
        <v>310</v>
      </c>
      <c r="N585" s="414">
        <v>44676</v>
      </c>
      <c r="O585" s="414" t="s">
        <v>400</v>
      </c>
      <c r="P585" s="603">
        <f t="shared" si="53"/>
        <v>4</v>
      </c>
      <c r="Q585" s="603">
        <f t="shared" si="54"/>
        <v>4</v>
      </c>
      <c r="R585" s="604" t="str">
        <f t="shared" si="55"/>
        <v>Gastos_com_Pessoal</v>
      </c>
      <c r="S585" s="605" t="s">
        <v>310</v>
      </c>
      <c r="T585" s="605" t="s">
        <v>310</v>
      </c>
    </row>
    <row r="586" spans="1:20" s="88" customFormat="1" ht="96" x14ac:dyDescent="0.2">
      <c r="A586" s="510">
        <f>IF(B586="","",COUNT('Diário 1º PA'!$A$4:$A$2635)+ROW()-3)</f>
        <v>2319</v>
      </c>
      <c r="B586" s="414">
        <v>44676</v>
      </c>
      <c r="C586" s="431">
        <v>44652</v>
      </c>
      <c r="D586" s="594" t="s">
        <v>271</v>
      </c>
      <c r="E586" s="415" t="s">
        <v>456</v>
      </c>
      <c r="F586" s="425">
        <v>900</v>
      </c>
      <c r="G586" s="437" t="s">
        <v>3242</v>
      </c>
      <c r="H586" s="426" t="s">
        <v>752</v>
      </c>
      <c r="I586" s="427" t="s">
        <v>1389</v>
      </c>
      <c r="J586" s="415" t="s">
        <v>805</v>
      </c>
      <c r="K586" s="415" t="s">
        <v>806</v>
      </c>
      <c r="L586" s="415" t="s">
        <v>807</v>
      </c>
      <c r="M586" s="415" t="s">
        <v>1540</v>
      </c>
      <c r="N586" s="414">
        <v>44673</v>
      </c>
      <c r="O586" s="414" t="s">
        <v>400</v>
      </c>
      <c r="P586" s="603">
        <f t="shared" si="53"/>
        <v>4</v>
      </c>
      <c r="Q586" s="603">
        <f t="shared" si="54"/>
        <v>4</v>
      </c>
      <c r="R586" s="604" t="str">
        <f t="shared" si="55"/>
        <v>Gastos_Gerais</v>
      </c>
      <c r="S586" s="605" t="s">
        <v>1000</v>
      </c>
      <c r="T586" s="605">
        <v>3329</v>
      </c>
    </row>
    <row r="587" spans="1:20" s="88" customFormat="1" ht="24" x14ac:dyDescent="0.2">
      <c r="A587" s="510">
        <f>IF(B587="","",COUNT('Diário 1º PA'!$A$4:$A$2635)+ROW()-3)</f>
        <v>2320</v>
      </c>
      <c r="B587" s="414">
        <v>44676</v>
      </c>
      <c r="C587" s="466">
        <v>44652</v>
      </c>
      <c r="D587" s="415" t="s">
        <v>182</v>
      </c>
      <c r="E587" s="415" t="s">
        <v>6</v>
      </c>
      <c r="F587" s="425">
        <v>240</v>
      </c>
      <c r="G587" s="427" t="s">
        <v>3655</v>
      </c>
      <c r="H587" s="415" t="s">
        <v>310</v>
      </c>
      <c r="I587" s="427" t="s">
        <v>943</v>
      </c>
      <c r="J587" s="415" t="s">
        <v>1553</v>
      </c>
      <c r="K587" s="415" t="s">
        <v>806</v>
      </c>
      <c r="L587" s="415" t="s">
        <v>1305</v>
      </c>
      <c r="M587" s="415" t="s">
        <v>310</v>
      </c>
      <c r="N587" s="414">
        <v>44676</v>
      </c>
      <c r="O587" s="414" t="s">
        <v>400</v>
      </c>
      <c r="P587" s="603">
        <f t="shared" si="53"/>
        <v>4</v>
      </c>
      <c r="Q587" s="603">
        <f t="shared" si="54"/>
        <v>4</v>
      </c>
      <c r="R587" s="604" t="str">
        <f t="shared" si="55"/>
        <v>Gastos_com_Pessoal</v>
      </c>
      <c r="S587" s="605" t="s">
        <v>310</v>
      </c>
      <c r="T587" s="605" t="s">
        <v>310</v>
      </c>
    </row>
    <row r="588" spans="1:20" s="88" customFormat="1" ht="24" x14ac:dyDescent="0.2">
      <c r="A588" s="510">
        <f>IF(B588="","",COUNT('Diário 1º PA'!$A$4:$A$2635)+ROW()-3)</f>
        <v>2321</v>
      </c>
      <c r="B588" s="414">
        <v>44676</v>
      </c>
      <c r="C588" s="466">
        <v>44652</v>
      </c>
      <c r="D588" s="415" t="s">
        <v>182</v>
      </c>
      <c r="E588" s="415" t="s">
        <v>6</v>
      </c>
      <c r="F588" s="425">
        <v>420</v>
      </c>
      <c r="G588" s="427" t="s">
        <v>3655</v>
      </c>
      <c r="H588" s="415" t="s">
        <v>310</v>
      </c>
      <c r="I588" s="427" t="s">
        <v>949</v>
      </c>
      <c r="J588" s="415" t="s">
        <v>950</v>
      </c>
      <c r="K588" s="415" t="s">
        <v>806</v>
      </c>
      <c r="L588" s="415" t="s">
        <v>1305</v>
      </c>
      <c r="M588" s="415" t="s">
        <v>310</v>
      </c>
      <c r="N588" s="414">
        <v>44676</v>
      </c>
      <c r="O588" s="414" t="s">
        <v>400</v>
      </c>
      <c r="P588" s="603">
        <f t="shared" si="53"/>
        <v>4</v>
      </c>
      <c r="Q588" s="603">
        <f t="shared" si="54"/>
        <v>4</v>
      </c>
      <c r="R588" s="604" t="str">
        <f t="shared" si="55"/>
        <v>Gastos_com_Pessoal</v>
      </c>
      <c r="S588" s="605" t="s">
        <v>310</v>
      </c>
      <c r="T588" s="605" t="s">
        <v>310</v>
      </c>
    </row>
    <row r="589" spans="1:20" s="88" customFormat="1" ht="36" x14ac:dyDescent="0.2">
      <c r="A589" s="510">
        <f>IF(B589="","",COUNT('Diário 1º PA'!$A$4:$A$2635)+ROW()-3)</f>
        <v>2322</v>
      </c>
      <c r="B589" s="414">
        <v>44676</v>
      </c>
      <c r="C589" s="431">
        <v>44621</v>
      </c>
      <c r="D589" s="415" t="s">
        <v>271</v>
      </c>
      <c r="E589" s="415" t="s">
        <v>456</v>
      </c>
      <c r="F589" s="425">
        <v>4600</v>
      </c>
      <c r="G589" s="427" t="s">
        <v>2129</v>
      </c>
      <c r="H589" s="419" t="s">
        <v>752</v>
      </c>
      <c r="I589" s="427" t="s">
        <v>2350</v>
      </c>
      <c r="J589" s="415" t="s">
        <v>2130</v>
      </c>
      <c r="K589" s="415" t="s">
        <v>812</v>
      </c>
      <c r="L589" s="415" t="s">
        <v>807</v>
      </c>
      <c r="M589" s="415">
        <v>239</v>
      </c>
      <c r="N589" s="414">
        <v>44642</v>
      </c>
      <c r="O589" s="414" t="s">
        <v>400</v>
      </c>
      <c r="P589" s="603">
        <f t="shared" si="53"/>
        <v>4</v>
      </c>
      <c r="Q589" s="603">
        <f t="shared" si="54"/>
        <v>3</v>
      </c>
      <c r="R589" s="604" t="str">
        <f t="shared" si="55"/>
        <v>Gastos_Gerais</v>
      </c>
      <c r="S589" s="605" t="s">
        <v>998</v>
      </c>
      <c r="T589" s="605">
        <v>3066</v>
      </c>
    </row>
    <row r="590" spans="1:20" s="88" customFormat="1" ht="24" x14ac:dyDescent="0.2">
      <c r="A590" s="510">
        <f>IF(B590="","",COUNT('Diário 1º PA'!$A$4:$A$2635)+ROW()-3)</f>
        <v>2323</v>
      </c>
      <c r="B590" s="414">
        <v>44676</v>
      </c>
      <c r="C590" s="466">
        <v>44652</v>
      </c>
      <c r="D590" s="415" t="s">
        <v>182</v>
      </c>
      <c r="E590" s="415" t="s">
        <v>6</v>
      </c>
      <c r="F590" s="425">
        <v>240</v>
      </c>
      <c r="G590" s="427" t="s">
        <v>3655</v>
      </c>
      <c r="H590" s="415" t="s">
        <v>310</v>
      </c>
      <c r="I590" s="427" t="s">
        <v>954</v>
      </c>
      <c r="J590" s="415" t="s">
        <v>955</v>
      </c>
      <c r="K590" s="415" t="s">
        <v>830</v>
      </c>
      <c r="L590" s="415" t="s">
        <v>1305</v>
      </c>
      <c r="M590" s="415" t="s">
        <v>310</v>
      </c>
      <c r="N590" s="414">
        <v>44676</v>
      </c>
      <c r="O590" s="414" t="s">
        <v>400</v>
      </c>
      <c r="P590" s="603">
        <f t="shared" si="53"/>
        <v>4</v>
      </c>
      <c r="Q590" s="603">
        <f t="shared" si="54"/>
        <v>4</v>
      </c>
      <c r="R590" s="604" t="str">
        <f t="shared" si="55"/>
        <v>Gastos_com_Pessoal</v>
      </c>
      <c r="S590" s="605" t="s">
        <v>310</v>
      </c>
      <c r="T590" s="605" t="s">
        <v>310</v>
      </c>
    </row>
    <row r="591" spans="1:20" s="88" customFormat="1" ht="24" x14ac:dyDescent="0.2">
      <c r="A591" s="510">
        <f>IF(B591="","",COUNT('Diário 1º PA'!$A$4:$A$2635)+ROW()-3)</f>
        <v>2324</v>
      </c>
      <c r="B591" s="414">
        <v>44676</v>
      </c>
      <c r="C591" s="466">
        <v>44652</v>
      </c>
      <c r="D591" s="415" t="s">
        <v>182</v>
      </c>
      <c r="E591" s="415" t="s">
        <v>6</v>
      </c>
      <c r="F591" s="425">
        <v>240</v>
      </c>
      <c r="G591" s="427" t="s">
        <v>3655</v>
      </c>
      <c r="H591" s="415" t="s">
        <v>310</v>
      </c>
      <c r="I591" s="427" t="s">
        <v>1198</v>
      </c>
      <c r="J591" s="415" t="s">
        <v>1197</v>
      </c>
      <c r="K591" s="415" t="s">
        <v>830</v>
      </c>
      <c r="L591" s="415" t="s">
        <v>1305</v>
      </c>
      <c r="M591" s="415" t="s">
        <v>310</v>
      </c>
      <c r="N591" s="414">
        <v>44676</v>
      </c>
      <c r="O591" s="414" t="s">
        <v>400</v>
      </c>
      <c r="P591" s="603">
        <f t="shared" si="53"/>
        <v>4</v>
      </c>
      <c r="Q591" s="603">
        <f t="shared" si="54"/>
        <v>4</v>
      </c>
      <c r="R591" s="604" t="str">
        <f t="shared" si="55"/>
        <v>Gastos_com_Pessoal</v>
      </c>
      <c r="S591" s="605" t="s">
        <v>310</v>
      </c>
      <c r="T591" s="605" t="s">
        <v>310</v>
      </c>
    </row>
    <row r="592" spans="1:20" s="88" customFormat="1" ht="24" x14ac:dyDescent="0.2">
      <c r="A592" s="510">
        <f>IF(B592="","",COUNT('Diário 1º PA'!$A$4:$A$2635)+ROW()-3)</f>
        <v>2325</v>
      </c>
      <c r="B592" s="414">
        <v>44676</v>
      </c>
      <c r="C592" s="466">
        <v>44652</v>
      </c>
      <c r="D592" s="415" t="s">
        <v>182</v>
      </c>
      <c r="E592" s="415" t="s">
        <v>6</v>
      </c>
      <c r="F592" s="425">
        <v>480</v>
      </c>
      <c r="G592" s="427" t="s">
        <v>3655</v>
      </c>
      <c r="H592" s="415" t="s">
        <v>310</v>
      </c>
      <c r="I592" s="427" t="s">
        <v>975</v>
      </c>
      <c r="J592" s="415" t="s">
        <v>1565</v>
      </c>
      <c r="K592" s="415" t="s">
        <v>830</v>
      </c>
      <c r="L592" s="415" t="s">
        <v>1305</v>
      </c>
      <c r="M592" s="415" t="s">
        <v>310</v>
      </c>
      <c r="N592" s="414">
        <v>44676</v>
      </c>
      <c r="O592" s="414" t="s">
        <v>400</v>
      </c>
      <c r="P592" s="603">
        <f t="shared" si="53"/>
        <v>4</v>
      </c>
      <c r="Q592" s="603">
        <f t="shared" si="54"/>
        <v>4</v>
      </c>
      <c r="R592" s="604" t="str">
        <f t="shared" si="55"/>
        <v>Gastos_com_Pessoal</v>
      </c>
      <c r="S592" s="605" t="s">
        <v>310</v>
      </c>
      <c r="T592" s="605" t="s">
        <v>310</v>
      </c>
    </row>
    <row r="593" spans="1:20" s="88" customFormat="1" ht="24" x14ac:dyDescent="0.2">
      <c r="A593" s="510">
        <f>IF(B593="","",COUNT('Diário 1º PA'!$A$4:$A$2635)+ROW()-3)</f>
        <v>2326</v>
      </c>
      <c r="B593" s="414">
        <v>44676</v>
      </c>
      <c r="C593" s="466">
        <v>44652</v>
      </c>
      <c r="D593" s="415" t="s">
        <v>182</v>
      </c>
      <c r="E593" s="415" t="s">
        <v>6</v>
      </c>
      <c r="F593" s="425">
        <v>240</v>
      </c>
      <c r="G593" s="427" t="s">
        <v>3655</v>
      </c>
      <c r="H593" s="415" t="s">
        <v>310</v>
      </c>
      <c r="I593" s="427" t="s">
        <v>992</v>
      </c>
      <c r="J593" s="415" t="s">
        <v>993</v>
      </c>
      <c r="K593" s="415" t="s">
        <v>830</v>
      </c>
      <c r="L593" s="415" t="s">
        <v>1305</v>
      </c>
      <c r="M593" s="415" t="s">
        <v>310</v>
      </c>
      <c r="N593" s="414">
        <v>44676</v>
      </c>
      <c r="O593" s="414" t="s">
        <v>400</v>
      </c>
      <c r="P593" s="603">
        <f t="shared" si="53"/>
        <v>4</v>
      </c>
      <c r="Q593" s="603">
        <f t="shared" si="54"/>
        <v>4</v>
      </c>
      <c r="R593" s="607" t="str">
        <f t="shared" si="55"/>
        <v>Gastos_com_Pessoal</v>
      </c>
      <c r="S593" s="605" t="s">
        <v>310</v>
      </c>
      <c r="T593" s="605" t="s">
        <v>310</v>
      </c>
    </row>
    <row r="594" spans="1:20" s="88" customFormat="1" ht="105.75" customHeight="1" x14ac:dyDescent="0.2">
      <c r="A594" s="510">
        <f>IF(B594="","",COUNT('Diário 1º PA'!$A$4:$A$2635)+ROW()-3)</f>
        <v>2327</v>
      </c>
      <c r="B594" s="414">
        <v>44676</v>
      </c>
      <c r="C594" s="466">
        <v>44652</v>
      </c>
      <c r="D594" s="415" t="s">
        <v>271</v>
      </c>
      <c r="E594" s="415" t="s">
        <v>84</v>
      </c>
      <c r="F594" s="425">
        <v>31.72</v>
      </c>
      <c r="G594" s="437" t="s">
        <v>1479</v>
      </c>
      <c r="H594" s="434" t="s">
        <v>750</v>
      </c>
      <c r="I594" s="437" t="s">
        <v>766</v>
      </c>
      <c r="J594" s="415" t="s">
        <v>1019</v>
      </c>
      <c r="K594" s="418" t="s">
        <v>1392</v>
      </c>
      <c r="L594" s="399" t="s">
        <v>1372</v>
      </c>
      <c r="M594" s="544" t="s">
        <v>3656</v>
      </c>
      <c r="N594" s="414">
        <v>44663</v>
      </c>
      <c r="O594" s="414" t="s">
        <v>400</v>
      </c>
      <c r="P594" s="603">
        <f t="shared" si="53"/>
        <v>4</v>
      </c>
      <c r="Q594" s="603">
        <f t="shared" si="54"/>
        <v>4</v>
      </c>
      <c r="R594" s="604" t="str">
        <f t="shared" si="55"/>
        <v>Gastos_Gerais</v>
      </c>
      <c r="S594" s="605" t="s">
        <v>310</v>
      </c>
      <c r="T594" s="605" t="s">
        <v>310</v>
      </c>
    </row>
    <row r="595" spans="1:20" s="88" customFormat="1" ht="96" x14ac:dyDescent="0.2">
      <c r="A595" s="510">
        <f>IF(B595="","",COUNT('Diário 1º PA'!$A$4:$A$2635)+ROW()-3)</f>
        <v>2328</v>
      </c>
      <c r="B595" s="414">
        <v>44676</v>
      </c>
      <c r="C595" s="431">
        <v>44166</v>
      </c>
      <c r="D595" s="415" t="s">
        <v>271</v>
      </c>
      <c r="E595" s="415" t="s">
        <v>186</v>
      </c>
      <c r="F595" s="425">
        <v>1370.25</v>
      </c>
      <c r="G595" s="427" t="s">
        <v>469</v>
      </c>
      <c r="H595" s="415" t="s">
        <v>309</v>
      </c>
      <c r="I595" s="427" t="s">
        <v>3657</v>
      </c>
      <c r="J595" s="415" t="s">
        <v>1008</v>
      </c>
      <c r="K595" s="415" t="s">
        <v>830</v>
      </c>
      <c r="L595" s="415" t="s">
        <v>807</v>
      </c>
      <c r="M595" s="415" t="s">
        <v>1795</v>
      </c>
      <c r="N595" s="414">
        <v>44676</v>
      </c>
      <c r="O595" s="414" t="s">
        <v>400</v>
      </c>
      <c r="P595" s="603">
        <f t="shared" si="53"/>
        <v>4</v>
      </c>
      <c r="Q595" s="603">
        <f t="shared" si="54"/>
        <v>-12</v>
      </c>
      <c r="R595" s="604" t="str">
        <f t="shared" si="55"/>
        <v>Gastos_Gerais</v>
      </c>
      <c r="S595" s="605" t="s">
        <v>998</v>
      </c>
      <c r="T595" s="605">
        <v>564</v>
      </c>
    </row>
    <row r="596" spans="1:20" s="88" customFormat="1" ht="24" x14ac:dyDescent="0.2">
      <c r="A596" s="510">
        <f>IF(B596="","",COUNT('Diário 1º PA'!$A$4:$A$2635)+ROW()-3)</f>
        <v>2329</v>
      </c>
      <c r="B596" s="414">
        <v>44676</v>
      </c>
      <c r="C596" s="466">
        <v>44652</v>
      </c>
      <c r="D596" s="415" t="s">
        <v>182</v>
      </c>
      <c r="E596" s="415" t="s">
        <v>6</v>
      </c>
      <c r="F596" s="425">
        <v>480</v>
      </c>
      <c r="G596" s="427" t="s">
        <v>3655</v>
      </c>
      <c r="H596" s="415" t="s">
        <v>310</v>
      </c>
      <c r="I596" s="427" t="s">
        <v>1182</v>
      </c>
      <c r="J596" s="415" t="s">
        <v>1183</v>
      </c>
      <c r="K596" s="415" t="s">
        <v>830</v>
      </c>
      <c r="L596" s="415" t="s">
        <v>1305</v>
      </c>
      <c r="M596" s="415" t="s">
        <v>310</v>
      </c>
      <c r="N596" s="414">
        <v>44676</v>
      </c>
      <c r="O596" s="414" t="s">
        <v>400</v>
      </c>
      <c r="P596" s="603">
        <f t="shared" si="53"/>
        <v>4</v>
      </c>
      <c r="Q596" s="603">
        <f t="shared" si="54"/>
        <v>4</v>
      </c>
      <c r="R596" s="604" t="str">
        <f t="shared" si="55"/>
        <v>Gastos_com_Pessoal</v>
      </c>
      <c r="S596" s="605" t="s">
        <v>310</v>
      </c>
      <c r="T596" s="605" t="s">
        <v>310</v>
      </c>
    </row>
    <row r="597" spans="1:20" s="88" customFormat="1" ht="24" x14ac:dyDescent="0.2">
      <c r="A597" s="510">
        <f>IF(B597="","",COUNT('Diário 1º PA'!$A$4:$A$2635)+ROW()-3)</f>
        <v>2330</v>
      </c>
      <c r="B597" s="414">
        <v>44676</v>
      </c>
      <c r="C597" s="466">
        <v>44652</v>
      </c>
      <c r="D597" s="415" t="s">
        <v>182</v>
      </c>
      <c r="E597" s="415" t="s">
        <v>6</v>
      </c>
      <c r="F597" s="425">
        <v>480</v>
      </c>
      <c r="G597" s="427" t="s">
        <v>3655</v>
      </c>
      <c r="H597" s="415" t="s">
        <v>310</v>
      </c>
      <c r="I597" s="427" t="s">
        <v>957</v>
      </c>
      <c r="J597" s="415" t="s">
        <v>958</v>
      </c>
      <c r="K597" s="415" t="s">
        <v>830</v>
      </c>
      <c r="L597" s="415" t="s">
        <v>1305</v>
      </c>
      <c r="M597" s="415" t="s">
        <v>310</v>
      </c>
      <c r="N597" s="414">
        <v>44676</v>
      </c>
      <c r="O597" s="414" t="s">
        <v>400</v>
      </c>
      <c r="P597" s="603">
        <f t="shared" si="53"/>
        <v>4</v>
      </c>
      <c r="Q597" s="603">
        <f t="shared" si="54"/>
        <v>4</v>
      </c>
      <c r="R597" s="604" t="str">
        <f t="shared" si="55"/>
        <v>Gastos_com_Pessoal</v>
      </c>
      <c r="S597" s="605" t="s">
        <v>310</v>
      </c>
      <c r="T597" s="605" t="s">
        <v>310</v>
      </c>
    </row>
    <row r="598" spans="1:20" s="88" customFormat="1" ht="24" x14ac:dyDescent="0.2">
      <c r="A598" s="510">
        <f>IF(B598="","",COUNT('Diário 1º PA'!$A$4:$A$2635)+ROW()-3)</f>
        <v>2331</v>
      </c>
      <c r="B598" s="414">
        <v>44676</v>
      </c>
      <c r="C598" s="466">
        <v>44652</v>
      </c>
      <c r="D598" s="415" t="s">
        <v>182</v>
      </c>
      <c r="E598" s="415" t="s">
        <v>6</v>
      </c>
      <c r="F598" s="425">
        <v>480</v>
      </c>
      <c r="G598" s="427" t="s">
        <v>3655</v>
      </c>
      <c r="H598" s="415" t="s">
        <v>310</v>
      </c>
      <c r="I598" s="427" t="s">
        <v>1203</v>
      </c>
      <c r="J598" s="415" t="s">
        <v>1201</v>
      </c>
      <c r="K598" s="415" t="s">
        <v>830</v>
      </c>
      <c r="L598" s="415" t="s">
        <v>1305</v>
      </c>
      <c r="M598" s="415" t="s">
        <v>310</v>
      </c>
      <c r="N598" s="414">
        <v>44676</v>
      </c>
      <c r="O598" s="414" t="s">
        <v>400</v>
      </c>
      <c r="P598" s="603">
        <f t="shared" si="53"/>
        <v>4</v>
      </c>
      <c r="Q598" s="603">
        <f t="shared" si="54"/>
        <v>4</v>
      </c>
      <c r="R598" s="604" t="str">
        <f t="shared" si="55"/>
        <v>Gastos_com_Pessoal</v>
      </c>
      <c r="S598" s="605" t="s">
        <v>310</v>
      </c>
      <c r="T598" s="605" t="s">
        <v>310</v>
      </c>
    </row>
    <row r="599" spans="1:20" s="88" customFormat="1" ht="24" x14ac:dyDescent="0.2">
      <c r="A599" s="510">
        <f>IF(B599="","",COUNT('Diário 1º PA'!$A$4:$A$2635)+ROW()-3)</f>
        <v>2332</v>
      </c>
      <c r="B599" s="414">
        <v>44676</v>
      </c>
      <c r="C599" s="466">
        <v>44652</v>
      </c>
      <c r="D599" s="415" t="s">
        <v>182</v>
      </c>
      <c r="E599" s="415" t="s">
        <v>6</v>
      </c>
      <c r="F599" s="425">
        <v>480</v>
      </c>
      <c r="G599" s="427" t="s">
        <v>3655</v>
      </c>
      <c r="H599" s="415" t="s">
        <v>310</v>
      </c>
      <c r="I599" s="427" t="s">
        <v>972</v>
      </c>
      <c r="J599" s="415" t="s">
        <v>973</v>
      </c>
      <c r="K599" s="415" t="s">
        <v>830</v>
      </c>
      <c r="L599" s="415" t="s">
        <v>1305</v>
      </c>
      <c r="M599" s="415" t="s">
        <v>310</v>
      </c>
      <c r="N599" s="414">
        <v>44676</v>
      </c>
      <c r="O599" s="414" t="s">
        <v>400</v>
      </c>
      <c r="P599" s="603">
        <f t="shared" si="53"/>
        <v>4</v>
      </c>
      <c r="Q599" s="603">
        <f t="shared" si="54"/>
        <v>4</v>
      </c>
      <c r="R599" s="604" t="str">
        <f t="shared" si="55"/>
        <v>Gastos_com_Pessoal</v>
      </c>
      <c r="S599" s="605" t="s">
        <v>310</v>
      </c>
      <c r="T599" s="605" t="s">
        <v>310</v>
      </c>
    </row>
    <row r="600" spans="1:20" s="88" customFormat="1" ht="24" x14ac:dyDescent="0.2">
      <c r="A600" s="510">
        <f>IF(B600="","",COUNT('Diário 1º PA'!$A$4:$A$2635)+ROW()-3)</f>
        <v>2333</v>
      </c>
      <c r="B600" s="414">
        <v>44676</v>
      </c>
      <c r="C600" s="466">
        <v>44652</v>
      </c>
      <c r="D600" s="415" t="s">
        <v>182</v>
      </c>
      <c r="E600" s="415" t="s">
        <v>6</v>
      </c>
      <c r="F600" s="425">
        <v>480</v>
      </c>
      <c r="G600" s="427" t="s">
        <v>3655</v>
      </c>
      <c r="H600" s="415" t="s">
        <v>310</v>
      </c>
      <c r="I600" s="427" t="s">
        <v>982</v>
      </c>
      <c r="J600" s="415" t="s">
        <v>983</v>
      </c>
      <c r="K600" s="415" t="s">
        <v>830</v>
      </c>
      <c r="L600" s="415" t="s">
        <v>1305</v>
      </c>
      <c r="M600" s="415" t="s">
        <v>310</v>
      </c>
      <c r="N600" s="414">
        <v>44676</v>
      </c>
      <c r="O600" s="414" t="s">
        <v>400</v>
      </c>
      <c r="P600" s="603">
        <f t="shared" si="53"/>
        <v>4</v>
      </c>
      <c r="Q600" s="603">
        <f t="shared" si="54"/>
        <v>4</v>
      </c>
      <c r="R600" s="604" t="str">
        <f t="shared" si="55"/>
        <v>Gastos_com_Pessoal</v>
      </c>
      <c r="S600" s="605" t="s">
        <v>310</v>
      </c>
      <c r="T600" s="605" t="s">
        <v>310</v>
      </c>
    </row>
    <row r="601" spans="1:20" s="88" customFormat="1" ht="24" x14ac:dyDescent="0.2">
      <c r="A601" s="510">
        <f>IF(B601="","",COUNT('Diário 1º PA'!$A$4:$A$2635)+ROW()-3)</f>
        <v>2334</v>
      </c>
      <c r="B601" s="414">
        <v>44676</v>
      </c>
      <c r="C601" s="466">
        <v>44652</v>
      </c>
      <c r="D601" s="415" t="s">
        <v>182</v>
      </c>
      <c r="E601" s="415" t="s">
        <v>6</v>
      </c>
      <c r="F601" s="425">
        <v>480</v>
      </c>
      <c r="G601" s="427" t="s">
        <v>3655</v>
      </c>
      <c r="H601" s="415" t="s">
        <v>310</v>
      </c>
      <c r="I601" s="427" t="s">
        <v>969</v>
      </c>
      <c r="J601" s="415" t="s">
        <v>970</v>
      </c>
      <c r="K601" s="415" t="s">
        <v>830</v>
      </c>
      <c r="L601" s="415" t="s">
        <v>1305</v>
      </c>
      <c r="M601" s="415" t="s">
        <v>310</v>
      </c>
      <c r="N601" s="414">
        <v>44676</v>
      </c>
      <c r="O601" s="414" t="s">
        <v>400</v>
      </c>
      <c r="P601" s="603">
        <f t="shared" si="53"/>
        <v>4</v>
      </c>
      <c r="Q601" s="603">
        <f t="shared" si="54"/>
        <v>4</v>
      </c>
      <c r="R601" s="604" t="str">
        <f t="shared" si="55"/>
        <v>Gastos_com_Pessoal</v>
      </c>
      <c r="S601" s="605" t="s">
        <v>310</v>
      </c>
      <c r="T601" s="605" t="s">
        <v>310</v>
      </c>
    </row>
    <row r="602" spans="1:20" s="88" customFormat="1" ht="24" x14ac:dyDescent="0.2">
      <c r="A602" s="510">
        <f>IF(B602="","",COUNT('Diário 1º PA'!$A$4:$A$2635)+ROW()-3)</f>
        <v>2335</v>
      </c>
      <c r="B602" s="414">
        <v>44676</v>
      </c>
      <c r="C602" s="466">
        <v>44652</v>
      </c>
      <c r="D602" s="415" t="s">
        <v>271</v>
      </c>
      <c r="E602" s="415" t="s">
        <v>297</v>
      </c>
      <c r="F602" s="435">
        <v>349.98</v>
      </c>
      <c r="G602" s="437" t="s">
        <v>1484</v>
      </c>
      <c r="H602" s="434" t="s">
        <v>309</v>
      </c>
      <c r="I602" s="437" t="s">
        <v>1485</v>
      </c>
      <c r="J602" s="434" t="s">
        <v>1483</v>
      </c>
      <c r="K602" s="418" t="s">
        <v>812</v>
      </c>
      <c r="L602" s="434" t="s">
        <v>807</v>
      </c>
      <c r="M602" s="415">
        <v>6121044</v>
      </c>
      <c r="N602" s="414">
        <v>44678</v>
      </c>
      <c r="O602" s="414" t="s">
        <v>400</v>
      </c>
      <c r="P602" s="603">
        <f t="shared" si="53"/>
        <v>4</v>
      </c>
      <c r="Q602" s="603">
        <f t="shared" si="54"/>
        <v>4</v>
      </c>
      <c r="R602" s="604" t="str">
        <f t="shared" si="55"/>
        <v>Gastos_Gerais</v>
      </c>
      <c r="S602" s="605" t="s">
        <v>1000</v>
      </c>
      <c r="T602" s="605">
        <v>1551</v>
      </c>
    </row>
    <row r="603" spans="1:20" s="88" customFormat="1" ht="24" x14ac:dyDescent="0.2">
      <c r="A603" s="510">
        <f>IF(B603="","",COUNT('Diário 1º PA'!$A$4:$A$2635)+ROW()-3)</f>
        <v>2336</v>
      </c>
      <c r="B603" s="414">
        <v>44676</v>
      </c>
      <c r="C603" s="466">
        <v>44652</v>
      </c>
      <c r="D603" s="415" t="s">
        <v>182</v>
      </c>
      <c r="E603" s="415" t="s">
        <v>6</v>
      </c>
      <c r="F603" s="425">
        <v>240</v>
      </c>
      <c r="G603" s="427" t="s">
        <v>3655</v>
      </c>
      <c r="H603" s="415" t="s">
        <v>310</v>
      </c>
      <c r="I603" s="427" t="s">
        <v>1202</v>
      </c>
      <c r="J603" s="415" t="s">
        <v>1201</v>
      </c>
      <c r="K603" s="415" t="s">
        <v>830</v>
      </c>
      <c r="L603" s="415" t="s">
        <v>1305</v>
      </c>
      <c r="M603" s="415" t="s">
        <v>310</v>
      </c>
      <c r="N603" s="414">
        <v>44676</v>
      </c>
      <c r="O603" s="414" t="s">
        <v>400</v>
      </c>
      <c r="P603" s="603">
        <f t="shared" si="53"/>
        <v>4</v>
      </c>
      <c r="Q603" s="603">
        <f t="shared" si="54"/>
        <v>4</v>
      </c>
      <c r="R603" s="604" t="str">
        <f t="shared" si="55"/>
        <v>Gastos_com_Pessoal</v>
      </c>
      <c r="S603" s="605" t="s">
        <v>310</v>
      </c>
      <c r="T603" s="605" t="s">
        <v>310</v>
      </c>
    </row>
    <row r="604" spans="1:20" s="88" customFormat="1" ht="24" x14ac:dyDescent="0.2">
      <c r="A604" s="510">
        <f>IF(B604="","",COUNT('Diário 1º PA'!$A$4:$A$2635)+ROW()-3)</f>
        <v>2337</v>
      </c>
      <c r="B604" s="414">
        <v>44676</v>
      </c>
      <c r="C604" s="466">
        <v>44652</v>
      </c>
      <c r="D604" s="415" t="s">
        <v>182</v>
      </c>
      <c r="E604" s="415" t="s">
        <v>6</v>
      </c>
      <c r="F604" s="425">
        <v>240</v>
      </c>
      <c r="G604" s="427" t="s">
        <v>3655</v>
      </c>
      <c r="H604" s="415" t="s">
        <v>310</v>
      </c>
      <c r="I604" s="427" t="s">
        <v>1205</v>
      </c>
      <c r="J604" s="415" t="s">
        <v>1204</v>
      </c>
      <c r="K604" s="415" t="s">
        <v>830</v>
      </c>
      <c r="L604" s="415" t="s">
        <v>1305</v>
      </c>
      <c r="M604" s="415" t="s">
        <v>310</v>
      </c>
      <c r="N604" s="414">
        <v>44676</v>
      </c>
      <c r="O604" s="414" t="s">
        <v>400</v>
      </c>
      <c r="P604" s="603">
        <f t="shared" si="53"/>
        <v>4</v>
      </c>
      <c r="Q604" s="603">
        <f t="shared" si="54"/>
        <v>4</v>
      </c>
      <c r="R604" s="604" t="str">
        <f t="shared" si="55"/>
        <v>Gastos_com_Pessoal</v>
      </c>
      <c r="S604" s="605" t="s">
        <v>310</v>
      </c>
      <c r="T604" s="605" t="s">
        <v>310</v>
      </c>
    </row>
    <row r="605" spans="1:20" s="88" customFormat="1" ht="24" x14ac:dyDescent="0.2">
      <c r="A605" s="510">
        <f>IF(B605="","",COUNT('Diário 1º PA'!$A$4:$A$2635)+ROW()-3)</f>
        <v>2338</v>
      </c>
      <c r="B605" s="414">
        <v>44676</v>
      </c>
      <c r="C605" s="466">
        <v>44621</v>
      </c>
      <c r="D605" s="415" t="s">
        <v>271</v>
      </c>
      <c r="E605" s="415" t="s">
        <v>164</v>
      </c>
      <c r="F605" s="435">
        <v>788.92</v>
      </c>
      <c r="G605" s="437" t="s">
        <v>1403</v>
      </c>
      <c r="H605" s="434" t="s">
        <v>309</v>
      </c>
      <c r="I605" s="437" t="s">
        <v>769</v>
      </c>
      <c r="J605" s="434" t="s">
        <v>1478</v>
      </c>
      <c r="K605" s="434" t="s">
        <v>1404</v>
      </c>
      <c r="L605" s="434" t="s">
        <v>1372</v>
      </c>
      <c r="M605" s="415" t="s">
        <v>3661</v>
      </c>
      <c r="N605" s="414">
        <v>44669</v>
      </c>
      <c r="O605" s="414" t="s">
        <v>400</v>
      </c>
      <c r="P605" s="603">
        <f t="shared" si="53"/>
        <v>4</v>
      </c>
      <c r="Q605" s="603">
        <f t="shared" si="54"/>
        <v>3</v>
      </c>
      <c r="R605" s="604" t="str">
        <f t="shared" si="55"/>
        <v>Gastos_Gerais</v>
      </c>
      <c r="S605" s="605" t="s">
        <v>310</v>
      </c>
      <c r="T605" s="605" t="s">
        <v>310</v>
      </c>
    </row>
    <row r="606" spans="1:20" s="88" customFormat="1" ht="24" x14ac:dyDescent="0.2">
      <c r="A606" s="510">
        <f>IF(B606="","",COUNT('Diário 1º PA'!$A$4:$A$2635)+ROW()-3)</f>
        <v>2339</v>
      </c>
      <c r="B606" s="414">
        <v>44676</v>
      </c>
      <c r="C606" s="466">
        <v>44621</v>
      </c>
      <c r="D606" s="415" t="s">
        <v>271</v>
      </c>
      <c r="E606" s="415" t="s">
        <v>67</v>
      </c>
      <c r="F606" s="435">
        <v>515.08000000000004</v>
      </c>
      <c r="G606" s="437" t="s">
        <v>3662</v>
      </c>
      <c r="H606" s="434" t="s">
        <v>310</v>
      </c>
      <c r="I606" s="639" t="s">
        <v>1461</v>
      </c>
      <c r="J606" s="434" t="s">
        <v>310</v>
      </c>
      <c r="K606" s="434" t="s">
        <v>1220</v>
      </c>
      <c r="L606" s="434" t="s">
        <v>1368</v>
      </c>
      <c r="M606" s="415" t="s">
        <v>310</v>
      </c>
      <c r="N606" s="414">
        <v>44676</v>
      </c>
      <c r="O606" s="414" t="s">
        <v>400</v>
      </c>
      <c r="P606" s="603">
        <f t="shared" si="53"/>
        <v>4</v>
      </c>
      <c r="Q606" s="603">
        <f t="shared" si="54"/>
        <v>3</v>
      </c>
      <c r="R606" s="604" t="str">
        <f t="shared" si="55"/>
        <v>Gastos_Gerais</v>
      </c>
      <c r="S606" s="605" t="s">
        <v>310</v>
      </c>
      <c r="T606" s="605" t="s">
        <v>310</v>
      </c>
    </row>
    <row r="607" spans="1:20" s="88" customFormat="1" ht="24" x14ac:dyDescent="0.2">
      <c r="A607" s="510">
        <f>IF(B607="","",COUNT('Diário 1º PA'!$A$4:$A$2635)+ROW()-3)</f>
        <v>2340</v>
      </c>
      <c r="B607" s="414">
        <v>44676</v>
      </c>
      <c r="C607" s="466">
        <v>44652</v>
      </c>
      <c r="D607" s="415" t="s">
        <v>182</v>
      </c>
      <c r="E607" s="415" t="s">
        <v>6</v>
      </c>
      <c r="F607" s="425">
        <v>480</v>
      </c>
      <c r="G607" s="427" t="s">
        <v>3655</v>
      </c>
      <c r="H607" s="415" t="s">
        <v>310</v>
      </c>
      <c r="I607" s="427" t="s">
        <v>1188</v>
      </c>
      <c r="J607" s="415" t="s">
        <v>1189</v>
      </c>
      <c r="K607" s="415" t="s">
        <v>830</v>
      </c>
      <c r="L607" s="415" t="s">
        <v>1305</v>
      </c>
      <c r="M607" s="415" t="s">
        <v>310</v>
      </c>
      <c r="N607" s="414">
        <v>44676</v>
      </c>
      <c r="O607" s="414" t="s">
        <v>400</v>
      </c>
      <c r="P607" s="603">
        <f t="shared" si="53"/>
        <v>4</v>
      </c>
      <c r="Q607" s="603">
        <f t="shared" si="54"/>
        <v>4</v>
      </c>
      <c r="R607" s="604" t="str">
        <f t="shared" si="55"/>
        <v>Gastos_com_Pessoal</v>
      </c>
      <c r="S607" s="605" t="s">
        <v>310</v>
      </c>
      <c r="T607" s="605" t="s">
        <v>310</v>
      </c>
    </row>
    <row r="608" spans="1:20" s="88" customFormat="1" ht="24" x14ac:dyDescent="0.2">
      <c r="A608" s="510">
        <f>IF(B608="","",COUNT('Diário 1º PA'!$A$4:$A$2635)+ROW()-3)</f>
        <v>2341</v>
      </c>
      <c r="B608" s="414">
        <v>44676</v>
      </c>
      <c r="C608" s="466">
        <v>44652</v>
      </c>
      <c r="D608" s="415" t="s">
        <v>182</v>
      </c>
      <c r="E608" s="415" t="s">
        <v>6</v>
      </c>
      <c r="F608" s="425">
        <v>480</v>
      </c>
      <c r="G608" s="427" t="s">
        <v>3655</v>
      </c>
      <c r="H608" s="415" t="s">
        <v>310</v>
      </c>
      <c r="I608" s="427" t="s">
        <v>1200</v>
      </c>
      <c r="J608" s="415" t="s">
        <v>1201</v>
      </c>
      <c r="K608" s="415" t="s">
        <v>830</v>
      </c>
      <c r="L608" s="415" t="s">
        <v>1305</v>
      </c>
      <c r="M608" s="415" t="s">
        <v>310</v>
      </c>
      <c r="N608" s="414">
        <v>44676</v>
      </c>
      <c r="O608" s="414" t="s">
        <v>400</v>
      </c>
      <c r="P608" s="603">
        <f t="shared" si="53"/>
        <v>4</v>
      </c>
      <c r="Q608" s="603">
        <f t="shared" si="54"/>
        <v>4</v>
      </c>
      <c r="R608" s="604" t="str">
        <f t="shared" si="55"/>
        <v>Gastos_com_Pessoal</v>
      </c>
      <c r="S608" s="605" t="s">
        <v>310</v>
      </c>
      <c r="T608" s="605" t="s">
        <v>310</v>
      </c>
    </row>
    <row r="609" spans="1:20" s="88" customFormat="1" ht="24" x14ac:dyDescent="0.2">
      <c r="A609" s="510">
        <f>IF(B609="","",COUNT('Diário 1º PA'!$A$4:$A$2635)+ROW()-3)</f>
        <v>2342</v>
      </c>
      <c r="B609" s="414">
        <v>44676</v>
      </c>
      <c r="C609" s="466">
        <v>44652</v>
      </c>
      <c r="D609" s="415" t="s">
        <v>182</v>
      </c>
      <c r="E609" s="415" t="s">
        <v>6</v>
      </c>
      <c r="F609" s="425">
        <v>480</v>
      </c>
      <c r="G609" s="427" t="s">
        <v>3655</v>
      </c>
      <c r="H609" s="415" t="s">
        <v>310</v>
      </c>
      <c r="I609" s="427" t="s">
        <v>3665</v>
      </c>
      <c r="J609" s="415" t="s">
        <v>3193</v>
      </c>
      <c r="K609" s="415" t="s">
        <v>830</v>
      </c>
      <c r="L609" s="415" t="s">
        <v>1305</v>
      </c>
      <c r="M609" s="415" t="s">
        <v>310</v>
      </c>
      <c r="N609" s="414">
        <v>44676</v>
      </c>
      <c r="O609" s="414" t="s">
        <v>400</v>
      </c>
      <c r="P609" s="603">
        <f t="shared" si="53"/>
        <v>4</v>
      </c>
      <c r="Q609" s="603">
        <f t="shared" si="54"/>
        <v>4</v>
      </c>
      <c r="R609" s="604" t="str">
        <f t="shared" si="55"/>
        <v>Gastos_com_Pessoal</v>
      </c>
      <c r="S609" s="605" t="s">
        <v>310</v>
      </c>
      <c r="T609" s="605" t="s">
        <v>310</v>
      </c>
    </row>
    <row r="610" spans="1:20" s="88" customFormat="1" ht="24" x14ac:dyDescent="0.2">
      <c r="A610" s="510">
        <f>IF(B610="","",COUNT('Diário 1º PA'!$A$4:$A$2635)+ROW()-3)</f>
        <v>2343</v>
      </c>
      <c r="B610" s="414">
        <v>44676</v>
      </c>
      <c r="C610" s="466">
        <v>44652</v>
      </c>
      <c r="D610" s="415" t="s">
        <v>182</v>
      </c>
      <c r="E610" s="415" t="s">
        <v>6</v>
      </c>
      <c r="F610" s="425">
        <v>240</v>
      </c>
      <c r="G610" s="427" t="s">
        <v>3655</v>
      </c>
      <c r="H610" s="415" t="s">
        <v>310</v>
      </c>
      <c r="I610" s="427" t="s">
        <v>1177</v>
      </c>
      <c r="J610" s="415" t="s">
        <v>1178</v>
      </c>
      <c r="K610" s="415" t="s">
        <v>830</v>
      </c>
      <c r="L610" s="415" t="s">
        <v>1305</v>
      </c>
      <c r="M610" s="415" t="s">
        <v>310</v>
      </c>
      <c r="N610" s="414">
        <v>44676</v>
      </c>
      <c r="O610" s="414" t="s">
        <v>400</v>
      </c>
      <c r="P610" s="603">
        <f t="shared" si="53"/>
        <v>4</v>
      </c>
      <c r="Q610" s="603">
        <f t="shared" si="54"/>
        <v>4</v>
      </c>
      <c r="R610" s="604" t="str">
        <f t="shared" si="55"/>
        <v>Gastos_com_Pessoal</v>
      </c>
      <c r="S610" s="605" t="s">
        <v>310</v>
      </c>
      <c r="T610" s="605" t="s">
        <v>310</v>
      </c>
    </row>
    <row r="611" spans="1:20" s="88" customFormat="1" ht="24" x14ac:dyDescent="0.2">
      <c r="A611" s="510">
        <f>IF(B611="","",COUNT('Diário 1º PA'!$A$4:$A$2635)+ROW()-3)</f>
        <v>2344</v>
      </c>
      <c r="B611" s="414">
        <v>44676</v>
      </c>
      <c r="C611" s="466">
        <v>44652</v>
      </c>
      <c r="D611" s="415" t="s">
        <v>182</v>
      </c>
      <c r="E611" s="415" t="s">
        <v>6</v>
      </c>
      <c r="F611" s="425">
        <v>480</v>
      </c>
      <c r="G611" s="427" t="s">
        <v>3655</v>
      </c>
      <c r="H611" s="415" t="s">
        <v>310</v>
      </c>
      <c r="I611" s="427" t="s">
        <v>959</v>
      </c>
      <c r="J611" s="415" t="s">
        <v>960</v>
      </c>
      <c r="K611" s="415" t="s">
        <v>830</v>
      </c>
      <c r="L611" s="415" t="s">
        <v>1305</v>
      </c>
      <c r="M611" s="415" t="s">
        <v>310</v>
      </c>
      <c r="N611" s="414">
        <v>44676</v>
      </c>
      <c r="O611" s="414" t="s">
        <v>400</v>
      </c>
      <c r="P611" s="603">
        <f t="shared" si="53"/>
        <v>4</v>
      </c>
      <c r="Q611" s="603">
        <f t="shared" si="54"/>
        <v>4</v>
      </c>
      <c r="R611" s="604" t="str">
        <f t="shared" si="55"/>
        <v>Gastos_com_Pessoal</v>
      </c>
      <c r="S611" s="605" t="s">
        <v>310</v>
      </c>
      <c r="T611" s="605" t="s">
        <v>310</v>
      </c>
    </row>
    <row r="612" spans="1:20" s="88" customFormat="1" ht="24" x14ac:dyDescent="0.2">
      <c r="A612" s="510">
        <f>IF(B612="","",COUNT('Diário 1º PA'!$A$4:$A$2635)+ROW()-3)</f>
        <v>2345</v>
      </c>
      <c r="B612" s="414">
        <v>44676</v>
      </c>
      <c r="C612" s="466">
        <v>44652</v>
      </c>
      <c r="D612" s="415" t="s">
        <v>182</v>
      </c>
      <c r="E612" s="415" t="s">
        <v>6</v>
      </c>
      <c r="F612" s="425">
        <v>240</v>
      </c>
      <c r="G612" s="427" t="s">
        <v>3655</v>
      </c>
      <c r="H612" s="415" t="s">
        <v>310</v>
      </c>
      <c r="I612" s="427" t="s">
        <v>3197</v>
      </c>
      <c r="J612" s="415" t="s">
        <v>3198</v>
      </c>
      <c r="K612" s="415" t="s">
        <v>830</v>
      </c>
      <c r="L612" s="415" t="s">
        <v>1305</v>
      </c>
      <c r="M612" s="415" t="s">
        <v>310</v>
      </c>
      <c r="N612" s="414">
        <v>44676</v>
      </c>
      <c r="O612" s="414" t="s">
        <v>400</v>
      </c>
      <c r="P612" s="603">
        <f t="shared" si="53"/>
        <v>4</v>
      </c>
      <c r="Q612" s="603">
        <f t="shared" si="54"/>
        <v>4</v>
      </c>
      <c r="R612" s="604" t="str">
        <f t="shared" si="55"/>
        <v>Gastos_com_Pessoal</v>
      </c>
      <c r="S612" s="605" t="s">
        <v>310</v>
      </c>
      <c r="T612" s="605" t="s">
        <v>310</v>
      </c>
    </row>
    <row r="613" spans="1:20" s="88" customFormat="1" ht="24" x14ac:dyDescent="0.2">
      <c r="A613" s="510">
        <f>IF(B613="","",COUNT('Diário 1º PA'!$A$4:$A$2635)+ROW()-3)</f>
        <v>2346</v>
      </c>
      <c r="B613" s="414">
        <v>44676</v>
      </c>
      <c r="C613" s="466">
        <v>44652</v>
      </c>
      <c r="D613" s="415" t="s">
        <v>182</v>
      </c>
      <c r="E613" s="415" t="s">
        <v>6</v>
      </c>
      <c r="F613" s="425">
        <v>240</v>
      </c>
      <c r="G613" s="427" t="s">
        <v>3655</v>
      </c>
      <c r="H613" s="415" t="s">
        <v>310</v>
      </c>
      <c r="I613" s="427" t="s">
        <v>1171</v>
      </c>
      <c r="J613" s="415" t="s">
        <v>1172</v>
      </c>
      <c r="K613" s="415" t="s">
        <v>830</v>
      </c>
      <c r="L613" s="415" t="s">
        <v>1305</v>
      </c>
      <c r="M613" s="415" t="s">
        <v>310</v>
      </c>
      <c r="N613" s="414">
        <v>44676</v>
      </c>
      <c r="O613" s="414" t="s">
        <v>400</v>
      </c>
      <c r="P613" s="603">
        <f t="shared" si="53"/>
        <v>4</v>
      </c>
      <c r="Q613" s="603">
        <f t="shared" si="54"/>
        <v>4</v>
      </c>
      <c r="R613" s="604" t="str">
        <f t="shared" si="55"/>
        <v>Gastos_com_Pessoal</v>
      </c>
      <c r="S613" s="605" t="s">
        <v>310</v>
      </c>
      <c r="T613" s="605" t="s">
        <v>310</v>
      </c>
    </row>
    <row r="614" spans="1:20" s="88" customFormat="1" ht="24" x14ac:dyDescent="0.2">
      <c r="A614" s="510">
        <f>IF(B614="","",COUNT('Diário 1º PA'!$A$4:$A$2635)+ROW()-3)</f>
        <v>2347</v>
      </c>
      <c r="B614" s="414">
        <v>44676</v>
      </c>
      <c r="C614" s="466">
        <v>44652</v>
      </c>
      <c r="D614" s="415" t="s">
        <v>182</v>
      </c>
      <c r="E614" s="415" t="s">
        <v>6</v>
      </c>
      <c r="F614" s="425">
        <v>480</v>
      </c>
      <c r="G614" s="427" t="s">
        <v>3655</v>
      </c>
      <c r="H614" s="415" t="s">
        <v>310</v>
      </c>
      <c r="I614" s="437" t="s">
        <v>1184</v>
      </c>
      <c r="J614" s="434" t="s">
        <v>1185</v>
      </c>
      <c r="K614" s="415" t="s">
        <v>830</v>
      </c>
      <c r="L614" s="415" t="s">
        <v>1305</v>
      </c>
      <c r="M614" s="415" t="s">
        <v>310</v>
      </c>
      <c r="N614" s="414">
        <v>44676</v>
      </c>
      <c r="O614" s="414" t="s">
        <v>400</v>
      </c>
      <c r="P614" s="603">
        <f t="shared" si="53"/>
        <v>4</v>
      </c>
      <c r="Q614" s="603">
        <f t="shared" si="54"/>
        <v>4</v>
      </c>
      <c r="R614" s="604" t="str">
        <f t="shared" si="55"/>
        <v>Gastos_com_Pessoal</v>
      </c>
      <c r="S614" s="605" t="s">
        <v>310</v>
      </c>
      <c r="T614" s="605" t="s">
        <v>310</v>
      </c>
    </row>
    <row r="615" spans="1:20" s="88" customFormat="1" ht="114.75" customHeight="1" x14ac:dyDescent="0.2">
      <c r="A615" s="510">
        <f>IF(B615="","",COUNT('Diário 1º PA'!$A$4:$A$2635)+ROW()-3)</f>
        <v>2348</v>
      </c>
      <c r="B615" s="414">
        <v>44676</v>
      </c>
      <c r="C615" s="466">
        <v>44652</v>
      </c>
      <c r="D615" s="415" t="s">
        <v>182</v>
      </c>
      <c r="E615" s="415" t="s">
        <v>6</v>
      </c>
      <c r="F615" s="425">
        <v>480</v>
      </c>
      <c r="G615" s="427" t="s">
        <v>3655</v>
      </c>
      <c r="H615" s="415" t="s">
        <v>310</v>
      </c>
      <c r="I615" s="427" t="s">
        <v>961</v>
      </c>
      <c r="J615" s="415" t="s">
        <v>962</v>
      </c>
      <c r="K615" s="415" t="s">
        <v>830</v>
      </c>
      <c r="L615" s="415" t="s">
        <v>1305</v>
      </c>
      <c r="M615" s="415" t="s">
        <v>310</v>
      </c>
      <c r="N615" s="414">
        <v>44676</v>
      </c>
      <c r="O615" s="414" t="s">
        <v>400</v>
      </c>
      <c r="P615" s="603">
        <f t="shared" si="53"/>
        <v>4</v>
      </c>
      <c r="Q615" s="603">
        <f t="shared" si="54"/>
        <v>4</v>
      </c>
      <c r="R615" s="604" t="str">
        <f t="shared" si="55"/>
        <v>Gastos_com_Pessoal</v>
      </c>
      <c r="S615" s="605" t="s">
        <v>310</v>
      </c>
      <c r="T615" s="605" t="s">
        <v>310</v>
      </c>
    </row>
    <row r="616" spans="1:20" s="88" customFormat="1" ht="120" x14ac:dyDescent="0.2">
      <c r="A616" s="510">
        <f>IF(B616="","",COUNT('Diário 1º PA'!$A$4:$A$2635)+ROW()-3)</f>
        <v>2349</v>
      </c>
      <c r="B616" s="414">
        <v>44676</v>
      </c>
      <c r="C616" s="466">
        <v>44621</v>
      </c>
      <c r="D616" s="415" t="s">
        <v>271</v>
      </c>
      <c r="E616" s="415" t="s">
        <v>92</v>
      </c>
      <c r="F616" s="435">
        <v>435</v>
      </c>
      <c r="G616" s="437" t="s">
        <v>473</v>
      </c>
      <c r="H616" s="434" t="s">
        <v>309</v>
      </c>
      <c r="I616" s="456" t="s">
        <v>1488</v>
      </c>
      <c r="J616" s="418" t="s">
        <v>1078</v>
      </c>
      <c r="K616" s="418" t="s">
        <v>1353</v>
      </c>
      <c r="L616" s="399" t="s">
        <v>1489</v>
      </c>
      <c r="M616" s="415">
        <v>22199</v>
      </c>
      <c r="N616" s="414">
        <v>44662</v>
      </c>
      <c r="O616" s="414" t="s">
        <v>400</v>
      </c>
      <c r="P616" s="603">
        <f t="shared" si="53"/>
        <v>4</v>
      </c>
      <c r="Q616" s="603">
        <f t="shared" si="54"/>
        <v>3</v>
      </c>
      <c r="R616" s="604" t="str">
        <f t="shared" si="55"/>
        <v>Gastos_Gerais</v>
      </c>
      <c r="S616" s="605" t="s">
        <v>1000</v>
      </c>
      <c r="T616" s="605">
        <v>2667</v>
      </c>
    </row>
    <row r="617" spans="1:20" s="88" customFormat="1" ht="24" x14ac:dyDescent="0.2">
      <c r="A617" s="510">
        <f>IF(B617="","",COUNT('Diário 1º PA'!$A$4:$A$2635)+ROW()-3)</f>
        <v>2350</v>
      </c>
      <c r="B617" s="414">
        <v>44676</v>
      </c>
      <c r="C617" s="466">
        <v>44652</v>
      </c>
      <c r="D617" s="415" t="s">
        <v>182</v>
      </c>
      <c r="E617" s="415" t="s">
        <v>6</v>
      </c>
      <c r="F617" s="425">
        <v>480</v>
      </c>
      <c r="G617" s="427" t="s">
        <v>3655</v>
      </c>
      <c r="H617" s="415" t="s">
        <v>310</v>
      </c>
      <c r="I617" s="427" t="s">
        <v>977</v>
      </c>
      <c r="J617" s="415" t="s">
        <v>978</v>
      </c>
      <c r="K617" s="415" t="s">
        <v>830</v>
      </c>
      <c r="L617" s="415" t="s">
        <v>1305</v>
      </c>
      <c r="M617" s="415" t="s">
        <v>310</v>
      </c>
      <c r="N617" s="414">
        <v>44676</v>
      </c>
      <c r="O617" s="414" t="s">
        <v>400</v>
      </c>
      <c r="P617" s="603">
        <f t="shared" si="53"/>
        <v>4</v>
      </c>
      <c r="Q617" s="603">
        <f t="shared" si="54"/>
        <v>4</v>
      </c>
      <c r="R617" s="604" t="str">
        <f t="shared" si="55"/>
        <v>Gastos_com_Pessoal</v>
      </c>
      <c r="S617" s="605" t="s">
        <v>310</v>
      </c>
      <c r="T617" s="605" t="s">
        <v>310</v>
      </c>
    </row>
    <row r="618" spans="1:20" s="88" customFormat="1" ht="24" x14ac:dyDescent="0.2">
      <c r="A618" s="510">
        <f>IF(B618="","",COUNT('Diário 1º PA'!$A$4:$A$2635)+ROW()-3)</f>
        <v>2351</v>
      </c>
      <c r="B618" s="414">
        <v>44676</v>
      </c>
      <c r="C618" s="466">
        <v>44652</v>
      </c>
      <c r="D618" s="415" t="s">
        <v>182</v>
      </c>
      <c r="E618" s="415" t="s">
        <v>6</v>
      </c>
      <c r="F618" s="425">
        <v>240</v>
      </c>
      <c r="G618" s="427" t="s">
        <v>3655</v>
      </c>
      <c r="H618" s="415" t="s">
        <v>310</v>
      </c>
      <c r="I618" s="427" t="s">
        <v>3519</v>
      </c>
      <c r="J618" s="415" t="s">
        <v>988</v>
      </c>
      <c r="K618" s="415" t="s">
        <v>830</v>
      </c>
      <c r="L618" s="415" t="s">
        <v>1305</v>
      </c>
      <c r="M618" s="415" t="s">
        <v>310</v>
      </c>
      <c r="N618" s="414">
        <v>44676</v>
      </c>
      <c r="O618" s="414" t="s">
        <v>400</v>
      </c>
      <c r="P618" s="603">
        <f t="shared" si="53"/>
        <v>4</v>
      </c>
      <c r="Q618" s="603">
        <f t="shared" si="54"/>
        <v>4</v>
      </c>
      <c r="R618" s="604" t="str">
        <f t="shared" si="55"/>
        <v>Gastos_com_Pessoal</v>
      </c>
      <c r="S618" s="605" t="s">
        <v>310</v>
      </c>
      <c r="T618" s="605" t="s">
        <v>310</v>
      </c>
    </row>
    <row r="619" spans="1:20" s="88" customFormat="1" ht="24" x14ac:dyDescent="0.2">
      <c r="A619" s="510">
        <f>IF(B619="","",COUNT('Diário 1º PA'!$A$4:$A$2635)+ROW()-3)</f>
        <v>2352</v>
      </c>
      <c r="B619" s="414">
        <v>44676</v>
      </c>
      <c r="C619" s="466">
        <v>44652</v>
      </c>
      <c r="D619" s="415" t="s">
        <v>182</v>
      </c>
      <c r="E619" s="415" t="s">
        <v>6</v>
      </c>
      <c r="F619" s="425">
        <v>240</v>
      </c>
      <c r="G619" s="427" t="s">
        <v>3655</v>
      </c>
      <c r="H619" s="415" t="s">
        <v>310</v>
      </c>
      <c r="I619" s="427" t="s">
        <v>1173</v>
      </c>
      <c r="J619" s="415" t="s">
        <v>1174</v>
      </c>
      <c r="K619" s="415" t="s">
        <v>830</v>
      </c>
      <c r="L619" s="415" t="s">
        <v>1305</v>
      </c>
      <c r="M619" s="415" t="s">
        <v>310</v>
      </c>
      <c r="N619" s="414">
        <v>44676</v>
      </c>
      <c r="O619" s="414" t="s">
        <v>400</v>
      </c>
      <c r="P619" s="603">
        <f t="shared" si="53"/>
        <v>4</v>
      </c>
      <c r="Q619" s="603">
        <f t="shared" si="54"/>
        <v>4</v>
      </c>
      <c r="R619" s="604" t="str">
        <f t="shared" si="55"/>
        <v>Gastos_com_Pessoal</v>
      </c>
      <c r="S619" s="605" t="s">
        <v>310</v>
      </c>
      <c r="T619" s="605" t="s">
        <v>310</v>
      </c>
    </row>
    <row r="620" spans="1:20" s="88" customFormat="1" ht="24" x14ac:dyDescent="0.2">
      <c r="A620" s="510">
        <f>IF(B620="","",COUNT('Diário 1º PA'!$A$4:$A$2635)+ROW()-3)</f>
        <v>2353</v>
      </c>
      <c r="B620" s="414">
        <v>44676</v>
      </c>
      <c r="C620" s="466">
        <v>44652</v>
      </c>
      <c r="D620" s="415" t="s">
        <v>182</v>
      </c>
      <c r="E620" s="415" t="s">
        <v>6</v>
      </c>
      <c r="F620" s="425">
        <v>240</v>
      </c>
      <c r="G620" s="427" t="s">
        <v>3655</v>
      </c>
      <c r="H620" s="415" t="s">
        <v>310</v>
      </c>
      <c r="I620" s="639" t="s">
        <v>1190</v>
      </c>
      <c r="J620" s="399" t="s">
        <v>1191</v>
      </c>
      <c r="K620" s="415" t="s">
        <v>830</v>
      </c>
      <c r="L620" s="415" t="s">
        <v>1305</v>
      </c>
      <c r="M620" s="415" t="s">
        <v>310</v>
      </c>
      <c r="N620" s="414">
        <v>44676</v>
      </c>
      <c r="O620" s="414" t="s">
        <v>400</v>
      </c>
      <c r="P620" s="603">
        <f t="shared" si="53"/>
        <v>4</v>
      </c>
      <c r="Q620" s="603">
        <f t="shared" si="54"/>
        <v>4</v>
      </c>
      <c r="R620" s="604" t="str">
        <f t="shared" si="55"/>
        <v>Gastos_com_Pessoal</v>
      </c>
      <c r="S620" s="605" t="s">
        <v>310</v>
      </c>
      <c r="T620" s="605" t="s">
        <v>310</v>
      </c>
    </row>
    <row r="621" spans="1:20" s="88" customFormat="1" ht="24" x14ac:dyDescent="0.2">
      <c r="A621" s="510">
        <f>IF(B621="","",COUNT('Diário 1º PA'!$A$4:$A$2635)+ROW()-3)</f>
        <v>2354</v>
      </c>
      <c r="B621" s="414">
        <v>44676</v>
      </c>
      <c r="C621" s="466">
        <v>44652</v>
      </c>
      <c r="D621" s="415" t="s">
        <v>182</v>
      </c>
      <c r="E621" s="415" t="s">
        <v>6</v>
      </c>
      <c r="F621" s="425">
        <v>420</v>
      </c>
      <c r="G621" s="427" t="s">
        <v>3655</v>
      </c>
      <c r="H621" s="415" t="s">
        <v>310</v>
      </c>
      <c r="I621" s="427" t="s">
        <v>1169</v>
      </c>
      <c r="J621" s="415" t="s">
        <v>1170</v>
      </c>
      <c r="K621" s="415" t="s">
        <v>830</v>
      </c>
      <c r="L621" s="415" t="s">
        <v>1305</v>
      </c>
      <c r="M621" s="415" t="s">
        <v>310</v>
      </c>
      <c r="N621" s="414">
        <v>44676</v>
      </c>
      <c r="O621" s="414" t="s">
        <v>400</v>
      </c>
      <c r="P621" s="603">
        <f t="shared" si="53"/>
        <v>4</v>
      </c>
      <c r="Q621" s="603">
        <f t="shared" si="54"/>
        <v>4</v>
      </c>
      <c r="R621" s="604" t="str">
        <f t="shared" si="55"/>
        <v>Gastos_com_Pessoal</v>
      </c>
      <c r="S621" s="605" t="s">
        <v>310</v>
      </c>
      <c r="T621" s="605" t="s">
        <v>310</v>
      </c>
    </row>
    <row r="622" spans="1:20" s="88" customFormat="1" ht="24" x14ac:dyDescent="0.2">
      <c r="A622" s="510">
        <f>IF(B622="","",COUNT('Diário 1º PA'!$A$4:$A$2635)+ROW()-3)</f>
        <v>2355</v>
      </c>
      <c r="B622" s="414">
        <v>44676</v>
      </c>
      <c r="C622" s="466">
        <v>44652</v>
      </c>
      <c r="D622" s="415" t="s">
        <v>182</v>
      </c>
      <c r="E622" s="415" t="s">
        <v>6</v>
      </c>
      <c r="F622" s="425">
        <v>480</v>
      </c>
      <c r="G622" s="427" t="s">
        <v>3655</v>
      </c>
      <c r="H622" s="415" t="s">
        <v>310</v>
      </c>
      <c r="I622" s="427" t="s">
        <v>1186</v>
      </c>
      <c r="J622" s="415" t="s">
        <v>1187</v>
      </c>
      <c r="K622" s="415" t="s">
        <v>830</v>
      </c>
      <c r="L622" s="415" t="s">
        <v>1305</v>
      </c>
      <c r="M622" s="415" t="s">
        <v>310</v>
      </c>
      <c r="N622" s="414">
        <v>44676</v>
      </c>
      <c r="O622" s="414" t="s">
        <v>400</v>
      </c>
      <c r="P622" s="603">
        <f t="shared" si="53"/>
        <v>4</v>
      </c>
      <c r="Q622" s="603">
        <f t="shared" si="54"/>
        <v>4</v>
      </c>
      <c r="R622" s="604" t="str">
        <f t="shared" si="55"/>
        <v>Gastos_com_Pessoal</v>
      </c>
      <c r="S622" s="605" t="s">
        <v>310</v>
      </c>
      <c r="T622" s="605" t="s">
        <v>310</v>
      </c>
    </row>
    <row r="623" spans="1:20" s="88" customFormat="1" ht="24" x14ac:dyDescent="0.2">
      <c r="A623" s="510">
        <f>IF(B623="","",COUNT('Diário 1º PA'!$A$4:$A$2635)+ROW()-3)</f>
        <v>2356</v>
      </c>
      <c r="B623" s="414">
        <v>44676</v>
      </c>
      <c r="C623" s="466">
        <v>44652</v>
      </c>
      <c r="D623" s="415" t="s">
        <v>182</v>
      </c>
      <c r="E623" s="415" t="s">
        <v>6</v>
      </c>
      <c r="F623" s="425">
        <v>480</v>
      </c>
      <c r="G623" s="427" t="s">
        <v>3655</v>
      </c>
      <c r="H623" s="415" t="s">
        <v>310</v>
      </c>
      <c r="I623" s="427" t="s">
        <v>980</v>
      </c>
      <c r="J623" s="415" t="s">
        <v>981</v>
      </c>
      <c r="K623" s="415" t="s">
        <v>830</v>
      </c>
      <c r="L623" s="415" t="s">
        <v>1305</v>
      </c>
      <c r="M623" s="415" t="s">
        <v>310</v>
      </c>
      <c r="N623" s="414">
        <v>44676</v>
      </c>
      <c r="O623" s="414" t="s">
        <v>400</v>
      </c>
      <c r="P623" s="603">
        <f t="shared" si="53"/>
        <v>4</v>
      </c>
      <c r="Q623" s="603">
        <f t="shared" si="54"/>
        <v>4</v>
      </c>
      <c r="R623" s="604" t="str">
        <f t="shared" si="55"/>
        <v>Gastos_com_Pessoal</v>
      </c>
      <c r="S623" s="605" t="s">
        <v>310</v>
      </c>
      <c r="T623" s="605" t="s">
        <v>310</v>
      </c>
    </row>
    <row r="624" spans="1:20" s="88" customFormat="1" ht="24" x14ac:dyDescent="0.2">
      <c r="A624" s="510">
        <f>IF(B624="","",COUNT('Diário 1º PA'!$A$4:$A$2635)+ROW()-3)</f>
        <v>2357</v>
      </c>
      <c r="B624" s="414">
        <v>44676</v>
      </c>
      <c r="C624" s="466">
        <v>44652</v>
      </c>
      <c r="D624" s="415" t="s">
        <v>182</v>
      </c>
      <c r="E624" s="415" t="s">
        <v>6</v>
      </c>
      <c r="F624" s="425">
        <v>480</v>
      </c>
      <c r="G624" s="427" t="s">
        <v>3655</v>
      </c>
      <c r="H624" s="415" t="s">
        <v>310</v>
      </c>
      <c r="I624" s="427" t="s">
        <v>1192</v>
      </c>
      <c r="J624" s="434" t="s">
        <v>1191</v>
      </c>
      <c r="K624" s="415" t="s">
        <v>830</v>
      </c>
      <c r="L624" s="415" t="s">
        <v>1305</v>
      </c>
      <c r="M624" s="415" t="s">
        <v>310</v>
      </c>
      <c r="N624" s="414">
        <v>44676</v>
      </c>
      <c r="O624" s="414" t="s">
        <v>400</v>
      </c>
      <c r="P624" s="603">
        <f t="shared" si="53"/>
        <v>4</v>
      </c>
      <c r="Q624" s="603">
        <f t="shared" si="54"/>
        <v>4</v>
      </c>
      <c r="R624" s="604" t="str">
        <f t="shared" si="55"/>
        <v>Gastos_com_Pessoal</v>
      </c>
      <c r="S624" s="605" t="s">
        <v>310</v>
      </c>
      <c r="T624" s="605" t="s">
        <v>310</v>
      </c>
    </row>
    <row r="625" spans="1:20" s="88" customFormat="1" ht="24" x14ac:dyDescent="0.2">
      <c r="A625" s="510">
        <f>IF(B625="","",COUNT('Diário 1º PA'!$A$4:$A$2635)+ROW()-3)</f>
        <v>2358</v>
      </c>
      <c r="B625" s="414">
        <v>44676</v>
      </c>
      <c r="C625" s="466">
        <v>44652</v>
      </c>
      <c r="D625" s="415" t="s">
        <v>182</v>
      </c>
      <c r="E625" s="415" t="s">
        <v>6</v>
      </c>
      <c r="F625" s="425">
        <v>480</v>
      </c>
      <c r="G625" s="427" t="s">
        <v>3655</v>
      </c>
      <c r="H625" s="415" t="s">
        <v>310</v>
      </c>
      <c r="I625" s="427" t="s">
        <v>996</v>
      </c>
      <c r="J625" s="415" t="s">
        <v>997</v>
      </c>
      <c r="K625" s="415" t="s">
        <v>830</v>
      </c>
      <c r="L625" s="415" t="s">
        <v>1305</v>
      </c>
      <c r="M625" s="415" t="s">
        <v>310</v>
      </c>
      <c r="N625" s="414">
        <v>44676</v>
      </c>
      <c r="O625" s="414" t="s">
        <v>400</v>
      </c>
      <c r="P625" s="603">
        <f t="shared" si="53"/>
        <v>4</v>
      </c>
      <c r="Q625" s="603">
        <f t="shared" si="54"/>
        <v>4</v>
      </c>
      <c r="R625" s="604" t="str">
        <f t="shared" si="55"/>
        <v>Gastos_com_Pessoal</v>
      </c>
      <c r="S625" s="605" t="s">
        <v>310</v>
      </c>
      <c r="T625" s="605" t="s">
        <v>310</v>
      </c>
    </row>
    <row r="626" spans="1:20" s="88" customFormat="1" ht="24" x14ac:dyDescent="0.2">
      <c r="A626" s="510">
        <f>IF(B626="","",COUNT('Diário 1º PA'!$A$4:$A$2635)+ROW()-3)</f>
        <v>2359</v>
      </c>
      <c r="B626" s="414">
        <v>44676</v>
      </c>
      <c r="C626" s="466">
        <v>44652</v>
      </c>
      <c r="D626" s="415" t="s">
        <v>182</v>
      </c>
      <c r="E626" s="415" t="s">
        <v>6</v>
      </c>
      <c r="F626" s="425">
        <v>480</v>
      </c>
      <c r="G626" s="427" t="s">
        <v>3655</v>
      </c>
      <c r="H626" s="415" t="s">
        <v>310</v>
      </c>
      <c r="I626" s="427" t="s">
        <v>994</v>
      </c>
      <c r="J626" s="415" t="s">
        <v>995</v>
      </c>
      <c r="K626" s="415" t="s">
        <v>830</v>
      </c>
      <c r="L626" s="415" t="s">
        <v>1305</v>
      </c>
      <c r="M626" s="415" t="s">
        <v>310</v>
      </c>
      <c r="N626" s="414">
        <v>44676</v>
      </c>
      <c r="O626" s="414" t="s">
        <v>400</v>
      </c>
      <c r="P626" s="603">
        <f t="shared" si="53"/>
        <v>4</v>
      </c>
      <c r="Q626" s="603">
        <f t="shared" si="54"/>
        <v>4</v>
      </c>
      <c r="R626" s="604" t="str">
        <f t="shared" si="55"/>
        <v>Gastos_com_Pessoal</v>
      </c>
      <c r="S626" s="605" t="s">
        <v>310</v>
      </c>
      <c r="T626" s="605" t="s">
        <v>310</v>
      </c>
    </row>
    <row r="627" spans="1:20" s="88" customFormat="1" ht="24" x14ac:dyDescent="0.2">
      <c r="A627" s="510">
        <f>IF(B627="","",COUNT('Diário 1º PA'!$A$4:$A$2635)+ROW()-3)</f>
        <v>2360</v>
      </c>
      <c r="B627" s="414">
        <v>44676</v>
      </c>
      <c r="C627" s="466">
        <v>44652</v>
      </c>
      <c r="D627" s="415" t="s">
        <v>182</v>
      </c>
      <c r="E627" s="415" t="s">
        <v>6</v>
      </c>
      <c r="F627" s="425">
        <v>480</v>
      </c>
      <c r="G627" s="427" t="s">
        <v>3655</v>
      </c>
      <c r="H627" s="415" t="s">
        <v>310</v>
      </c>
      <c r="I627" s="437" t="s">
        <v>1167</v>
      </c>
      <c r="J627" s="434" t="s">
        <v>1168</v>
      </c>
      <c r="K627" s="415" t="s">
        <v>830</v>
      </c>
      <c r="L627" s="415" t="s">
        <v>1305</v>
      </c>
      <c r="M627" s="415" t="s">
        <v>310</v>
      </c>
      <c r="N627" s="414">
        <v>44676</v>
      </c>
      <c r="O627" s="414" t="s">
        <v>400</v>
      </c>
      <c r="P627" s="603">
        <f t="shared" si="53"/>
        <v>4</v>
      </c>
      <c r="Q627" s="603">
        <f t="shared" si="54"/>
        <v>4</v>
      </c>
      <c r="R627" s="604" t="str">
        <f t="shared" si="55"/>
        <v>Gastos_com_Pessoal</v>
      </c>
      <c r="S627" s="605" t="s">
        <v>310</v>
      </c>
      <c r="T627" s="605" t="s">
        <v>310</v>
      </c>
    </row>
    <row r="628" spans="1:20" s="88" customFormat="1" ht="24" x14ac:dyDescent="0.2">
      <c r="A628" s="510">
        <f>IF(B628="","",COUNT('Diário 1º PA'!$A$4:$A$2635)+ROW()-3)</f>
        <v>2361</v>
      </c>
      <c r="B628" s="414">
        <v>44676</v>
      </c>
      <c r="C628" s="424">
        <v>44621</v>
      </c>
      <c r="D628" s="415" t="s">
        <v>182</v>
      </c>
      <c r="E628" s="415" t="s">
        <v>267</v>
      </c>
      <c r="F628" s="435">
        <v>2023.93</v>
      </c>
      <c r="G628" s="437" t="s">
        <v>3663</v>
      </c>
      <c r="H628" s="434" t="s">
        <v>310</v>
      </c>
      <c r="I628" s="639" t="s">
        <v>1461</v>
      </c>
      <c r="J628" s="434" t="s">
        <v>310</v>
      </c>
      <c r="K628" s="434" t="s">
        <v>1220</v>
      </c>
      <c r="L628" s="434" t="s">
        <v>1368</v>
      </c>
      <c r="M628" s="415" t="s">
        <v>310</v>
      </c>
      <c r="N628" s="414">
        <v>44676</v>
      </c>
      <c r="O628" s="414" t="s">
        <v>400</v>
      </c>
      <c r="P628" s="603">
        <f t="shared" si="53"/>
        <v>4</v>
      </c>
      <c r="Q628" s="603">
        <f t="shared" si="54"/>
        <v>3</v>
      </c>
      <c r="R628" s="604" t="str">
        <f t="shared" si="55"/>
        <v>Gastos_com_Pessoal</v>
      </c>
      <c r="S628" s="605" t="s">
        <v>310</v>
      </c>
      <c r="T628" s="605" t="s">
        <v>310</v>
      </c>
    </row>
    <row r="629" spans="1:20" s="88" customFormat="1" ht="24" x14ac:dyDescent="0.2">
      <c r="A629" s="510">
        <f>IF(B629="","",COUNT('Diário 1º PA'!$A$4:$A$2635)+ROW()-3)</f>
        <v>2362</v>
      </c>
      <c r="B629" s="414">
        <v>44676</v>
      </c>
      <c r="C629" s="466">
        <v>44652</v>
      </c>
      <c r="D629" s="415" t="s">
        <v>182</v>
      </c>
      <c r="E629" s="415" t="s">
        <v>6</v>
      </c>
      <c r="F629" s="425">
        <v>240</v>
      </c>
      <c r="G629" s="427" t="s">
        <v>3655</v>
      </c>
      <c r="H629" s="415" t="s">
        <v>310</v>
      </c>
      <c r="I629" s="427" t="s">
        <v>1175</v>
      </c>
      <c r="J629" s="415" t="s">
        <v>1176</v>
      </c>
      <c r="K629" s="415" t="s">
        <v>830</v>
      </c>
      <c r="L629" s="415" t="s">
        <v>1305</v>
      </c>
      <c r="M629" s="415" t="s">
        <v>310</v>
      </c>
      <c r="N629" s="414">
        <v>44676</v>
      </c>
      <c r="O629" s="414" t="s">
        <v>400</v>
      </c>
      <c r="P629" s="603">
        <f t="shared" si="53"/>
        <v>4</v>
      </c>
      <c r="Q629" s="603">
        <f t="shared" si="54"/>
        <v>4</v>
      </c>
      <c r="R629" s="604" t="str">
        <f t="shared" si="55"/>
        <v>Gastos_com_Pessoal</v>
      </c>
      <c r="S629" s="605" t="s">
        <v>310</v>
      </c>
      <c r="T629" s="605" t="s">
        <v>310</v>
      </c>
    </row>
    <row r="630" spans="1:20" s="88" customFormat="1" ht="24" x14ac:dyDescent="0.2">
      <c r="A630" s="510">
        <f>IF(B630="","",COUNT('Diário 1º PA'!$A$4:$A$2635)+ROW()-3)</f>
        <v>2363</v>
      </c>
      <c r="B630" s="414">
        <v>44676</v>
      </c>
      <c r="C630" s="466">
        <v>44652</v>
      </c>
      <c r="D630" s="415" t="s">
        <v>271</v>
      </c>
      <c r="E630" s="415" t="s">
        <v>71</v>
      </c>
      <c r="F630" s="425">
        <v>11</v>
      </c>
      <c r="G630" s="427" t="s">
        <v>3664</v>
      </c>
      <c r="H630" s="419" t="s">
        <v>310</v>
      </c>
      <c r="I630" s="639" t="s">
        <v>881</v>
      </c>
      <c r="J630" s="418" t="s">
        <v>882</v>
      </c>
      <c r="K630" s="418" t="s">
        <v>883</v>
      </c>
      <c r="L630" s="399" t="s">
        <v>798</v>
      </c>
      <c r="M630" s="544" t="s">
        <v>310</v>
      </c>
      <c r="N630" s="414">
        <v>44676</v>
      </c>
      <c r="O630" s="414" t="s">
        <v>400</v>
      </c>
      <c r="P630" s="603">
        <f t="shared" ref="P630:P655" si="56">IF(B630=0,0,IF(YEAR(B630)=$Q$1,MONTH(B630)-$P$1+1,(YEAR(B630)-$Q$1)*12-$P$1+1+MONTH(B630)))</f>
        <v>4</v>
      </c>
      <c r="Q630" s="603">
        <f t="shared" ref="Q630:Q655" si="57">IF(C630=0,0,IF(YEAR(C630)=$Q$1,MONTH(C630)-$P$1+1,(YEAR(C630)-$Q$1)*12-$P$1+1+MONTH(C630)))</f>
        <v>4</v>
      </c>
      <c r="R630" s="604" t="str">
        <f t="shared" ref="R630:R655" si="58">SUBSTITUTE(D630," ","_")</f>
        <v>Gastos_Gerais</v>
      </c>
      <c r="S630" s="605" t="s">
        <v>310</v>
      </c>
      <c r="T630" s="605" t="s">
        <v>310</v>
      </c>
    </row>
    <row r="631" spans="1:20" s="88" customFormat="1" ht="24" x14ac:dyDescent="0.2">
      <c r="A631" s="510">
        <f>IF(B631="","",COUNT('Diário 1º PA'!$A$4:$A$2635)+ROW()-3)</f>
        <v>2364</v>
      </c>
      <c r="B631" s="414">
        <v>44676</v>
      </c>
      <c r="C631" s="466">
        <v>44652</v>
      </c>
      <c r="D631" s="415" t="s">
        <v>271</v>
      </c>
      <c r="E631" s="415" t="s">
        <v>71</v>
      </c>
      <c r="F631" s="425">
        <v>11</v>
      </c>
      <c r="G631" s="427" t="s">
        <v>3664</v>
      </c>
      <c r="H631" s="419" t="s">
        <v>310</v>
      </c>
      <c r="I631" s="639" t="s">
        <v>881</v>
      </c>
      <c r="J631" s="418" t="s">
        <v>882</v>
      </c>
      <c r="K631" s="418" t="s">
        <v>883</v>
      </c>
      <c r="L631" s="399" t="s">
        <v>798</v>
      </c>
      <c r="M631" s="544" t="s">
        <v>310</v>
      </c>
      <c r="N631" s="414">
        <v>44676</v>
      </c>
      <c r="O631" s="414" t="s">
        <v>400</v>
      </c>
      <c r="P631" s="603">
        <f t="shared" si="56"/>
        <v>4</v>
      </c>
      <c r="Q631" s="603">
        <f t="shared" si="57"/>
        <v>4</v>
      </c>
      <c r="R631" s="604" t="str">
        <f t="shared" si="58"/>
        <v>Gastos_Gerais</v>
      </c>
      <c r="S631" s="605" t="s">
        <v>310</v>
      </c>
      <c r="T631" s="605" t="s">
        <v>310</v>
      </c>
    </row>
    <row r="632" spans="1:20" s="88" customFormat="1" ht="24" x14ac:dyDescent="0.2">
      <c r="A632" s="510">
        <f>IF(B632="","",COUNT('Diário 1º PA'!$A$4:$A$2635)+ROW()-3)</f>
        <v>2365</v>
      </c>
      <c r="B632" s="414">
        <v>44676</v>
      </c>
      <c r="C632" s="466">
        <v>44652</v>
      </c>
      <c r="D632" s="415" t="s">
        <v>271</v>
      </c>
      <c r="E632" s="415" t="s">
        <v>71</v>
      </c>
      <c r="F632" s="425">
        <v>11</v>
      </c>
      <c r="G632" s="427" t="s">
        <v>3664</v>
      </c>
      <c r="H632" s="419" t="s">
        <v>310</v>
      </c>
      <c r="I632" s="639" t="s">
        <v>881</v>
      </c>
      <c r="J632" s="418" t="s">
        <v>882</v>
      </c>
      <c r="K632" s="418" t="s">
        <v>883</v>
      </c>
      <c r="L632" s="399" t="s">
        <v>798</v>
      </c>
      <c r="M632" s="544" t="s">
        <v>310</v>
      </c>
      <c r="N632" s="414">
        <v>44676</v>
      </c>
      <c r="O632" s="414" t="s">
        <v>400</v>
      </c>
      <c r="P632" s="603">
        <f t="shared" si="56"/>
        <v>4</v>
      </c>
      <c r="Q632" s="603">
        <f t="shared" si="57"/>
        <v>4</v>
      </c>
      <c r="R632" s="604" t="str">
        <f t="shared" si="58"/>
        <v>Gastos_Gerais</v>
      </c>
      <c r="S632" s="605" t="s">
        <v>310</v>
      </c>
      <c r="T632" s="605" t="s">
        <v>310</v>
      </c>
    </row>
    <row r="633" spans="1:20" s="88" customFormat="1" ht="24" x14ac:dyDescent="0.2">
      <c r="A633" s="510">
        <f>IF(B633="","",COUNT('Diário 1º PA'!$A$4:$A$2635)+ROW()-3)</f>
        <v>2366</v>
      </c>
      <c r="B633" s="414">
        <v>44676</v>
      </c>
      <c r="C633" s="466">
        <v>44652</v>
      </c>
      <c r="D633" s="415" t="s">
        <v>271</v>
      </c>
      <c r="E633" s="415" t="s">
        <v>71</v>
      </c>
      <c r="F633" s="425">
        <v>11</v>
      </c>
      <c r="G633" s="427" t="s">
        <v>3664</v>
      </c>
      <c r="H633" s="419" t="s">
        <v>310</v>
      </c>
      <c r="I633" s="639" t="s">
        <v>881</v>
      </c>
      <c r="J633" s="418" t="s">
        <v>882</v>
      </c>
      <c r="K633" s="418" t="s">
        <v>883</v>
      </c>
      <c r="L633" s="399" t="s">
        <v>798</v>
      </c>
      <c r="M633" s="544" t="s">
        <v>310</v>
      </c>
      <c r="N633" s="414">
        <v>44676</v>
      </c>
      <c r="O633" s="414" t="s">
        <v>400</v>
      </c>
      <c r="P633" s="603">
        <f t="shared" si="56"/>
        <v>4</v>
      </c>
      <c r="Q633" s="603">
        <f t="shared" si="57"/>
        <v>4</v>
      </c>
      <c r="R633" s="604" t="str">
        <f t="shared" si="58"/>
        <v>Gastos_Gerais</v>
      </c>
      <c r="S633" s="605" t="s">
        <v>310</v>
      </c>
      <c r="T633" s="605" t="s">
        <v>310</v>
      </c>
    </row>
    <row r="634" spans="1:20" s="88" customFormat="1" ht="24" x14ac:dyDescent="0.2">
      <c r="A634" s="510">
        <f>IF(B634="","",COUNT('Diário 1º PA'!$A$4:$A$2635)+ROW()-3)</f>
        <v>2367</v>
      </c>
      <c r="B634" s="414">
        <v>44676</v>
      </c>
      <c r="C634" s="466">
        <v>44652</v>
      </c>
      <c r="D634" s="415" t="s">
        <v>271</v>
      </c>
      <c r="E634" s="415" t="s">
        <v>71</v>
      </c>
      <c r="F634" s="425">
        <v>11</v>
      </c>
      <c r="G634" s="427" t="s">
        <v>3664</v>
      </c>
      <c r="H634" s="419" t="s">
        <v>310</v>
      </c>
      <c r="I634" s="639" t="s">
        <v>881</v>
      </c>
      <c r="J634" s="418" t="s">
        <v>882</v>
      </c>
      <c r="K634" s="418" t="s">
        <v>883</v>
      </c>
      <c r="L634" s="399" t="s">
        <v>798</v>
      </c>
      <c r="M634" s="544" t="s">
        <v>310</v>
      </c>
      <c r="N634" s="414">
        <v>44676</v>
      </c>
      <c r="O634" s="414" t="s">
        <v>400</v>
      </c>
      <c r="P634" s="603">
        <f t="shared" si="56"/>
        <v>4</v>
      </c>
      <c r="Q634" s="603">
        <f t="shared" si="57"/>
        <v>4</v>
      </c>
      <c r="R634" s="604" t="str">
        <f t="shared" si="58"/>
        <v>Gastos_Gerais</v>
      </c>
      <c r="S634" s="605" t="s">
        <v>310</v>
      </c>
      <c r="T634" s="605" t="s">
        <v>310</v>
      </c>
    </row>
    <row r="635" spans="1:20" s="88" customFormat="1" ht="24" x14ac:dyDescent="0.2">
      <c r="A635" s="510">
        <f>IF(B635="","",COUNT('Diário 1º PA'!$A$4:$A$2635)+ROW()-3)</f>
        <v>2368</v>
      </c>
      <c r="B635" s="414">
        <v>44676</v>
      </c>
      <c r="C635" s="466">
        <v>44652</v>
      </c>
      <c r="D635" s="415" t="s">
        <v>271</v>
      </c>
      <c r="E635" s="415" t="s">
        <v>71</v>
      </c>
      <c r="F635" s="425">
        <v>11</v>
      </c>
      <c r="G635" s="427" t="s">
        <v>3664</v>
      </c>
      <c r="H635" s="419" t="s">
        <v>310</v>
      </c>
      <c r="I635" s="639" t="s">
        <v>881</v>
      </c>
      <c r="J635" s="418" t="s">
        <v>882</v>
      </c>
      <c r="K635" s="418" t="s">
        <v>883</v>
      </c>
      <c r="L635" s="399" t="s">
        <v>798</v>
      </c>
      <c r="M635" s="544" t="s">
        <v>310</v>
      </c>
      <c r="N635" s="414">
        <v>44676</v>
      </c>
      <c r="O635" s="414" t="s">
        <v>400</v>
      </c>
      <c r="P635" s="603">
        <f t="shared" si="56"/>
        <v>4</v>
      </c>
      <c r="Q635" s="603">
        <f t="shared" si="57"/>
        <v>4</v>
      </c>
      <c r="R635" s="604" t="str">
        <f t="shared" si="58"/>
        <v>Gastos_Gerais</v>
      </c>
      <c r="S635" s="605" t="s">
        <v>310</v>
      </c>
      <c r="T635" s="605" t="s">
        <v>310</v>
      </c>
    </row>
    <row r="636" spans="1:20" s="88" customFormat="1" ht="24" x14ac:dyDescent="0.2">
      <c r="A636" s="510">
        <f>IF(B636="","",COUNT('Diário 1º PA'!$A$4:$A$2635)+ROW()-3)</f>
        <v>2369</v>
      </c>
      <c r="B636" s="414">
        <v>44676</v>
      </c>
      <c r="C636" s="466">
        <v>44652</v>
      </c>
      <c r="D636" s="415" t="s">
        <v>271</v>
      </c>
      <c r="E636" s="415" t="s">
        <v>71</v>
      </c>
      <c r="F636" s="425">
        <v>11</v>
      </c>
      <c r="G636" s="427" t="s">
        <v>3664</v>
      </c>
      <c r="H636" s="419" t="s">
        <v>310</v>
      </c>
      <c r="I636" s="639" t="s">
        <v>881</v>
      </c>
      <c r="J636" s="418" t="s">
        <v>882</v>
      </c>
      <c r="K636" s="418" t="s">
        <v>883</v>
      </c>
      <c r="L636" s="399" t="s">
        <v>798</v>
      </c>
      <c r="M636" s="544" t="s">
        <v>310</v>
      </c>
      <c r="N636" s="414">
        <v>44676</v>
      </c>
      <c r="O636" s="414" t="s">
        <v>400</v>
      </c>
      <c r="P636" s="603">
        <f t="shared" si="56"/>
        <v>4</v>
      </c>
      <c r="Q636" s="603">
        <f t="shared" si="57"/>
        <v>4</v>
      </c>
      <c r="R636" s="604" t="str">
        <f t="shared" si="58"/>
        <v>Gastos_Gerais</v>
      </c>
      <c r="S636" s="605" t="s">
        <v>310</v>
      </c>
      <c r="T636" s="605" t="s">
        <v>310</v>
      </c>
    </row>
    <row r="637" spans="1:20" s="88" customFormat="1" ht="24" x14ac:dyDescent="0.2">
      <c r="A637" s="510">
        <f>IF(B637="","",COUNT('Diário 1º PA'!$A$4:$A$2635)+ROW()-3)</f>
        <v>2370</v>
      </c>
      <c r="B637" s="414">
        <v>44676</v>
      </c>
      <c r="C637" s="466">
        <v>44652</v>
      </c>
      <c r="D637" s="415" t="s">
        <v>271</v>
      </c>
      <c r="E637" s="415" t="s">
        <v>71</v>
      </c>
      <c r="F637" s="425">
        <v>11</v>
      </c>
      <c r="G637" s="427" t="s">
        <v>3664</v>
      </c>
      <c r="H637" s="419" t="s">
        <v>310</v>
      </c>
      <c r="I637" s="639" t="s">
        <v>881</v>
      </c>
      <c r="J637" s="418" t="s">
        <v>882</v>
      </c>
      <c r="K637" s="418" t="s">
        <v>883</v>
      </c>
      <c r="L637" s="399" t="s">
        <v>798</v>
      </c>
      <c r="M637" s="544" t="s">
        <v>310</v>
      </c>
      <c r="N637" s="414">
        <v>44676</v>
      </c>
      <c r="O637" s="414" t="s">
        <v>400</v>
      </c>
      <c r="P637" s="603">
        <f t="shared" si="56"/>
        <v>4</v>
      </c>
      <c r="Q637" s="603">
        <f t="shared" si="57"/>
        <v>4</v>
      </c>
      <c r="R637" s="604" t="str">
        <f t="shared" si="58"/>
        <v>Gastos_Gerais</v>
      </c>
      <c r="S637" s="605" t="s">
        <v>310</v>
      </c>
      <c r="T637" s="605" t="s">
        <v>310</v>
      </c>
    </row>
    <row r="638" spans="1:20" s="88" customFormat="1" ht="24" x14ac:dyDescent="0.2">
      <c r="A638" s="510">
        <f>IF(B638="","",COUNT('Diário 1º PA'!$A$4:$A$2635)+ROW()-3)</f>
        <v>2371</v>
      </c>
      <c r="B638" s="414">
        <v>44676</v>
      </c>
      <c r="C638" s="466">
        <v>44652</v>
      </c>
      <c r="D638" s="415" t="s">
        <v>271</v>
      </c>
      <c r="E638" s="415" t="s">
        <v>71</v>
      </c>
      <c r="F638" s="425">
        <v>11</v>
      </c>
      <c r="G638" s="427" t="s">
        <v>3664</v>
      </c>
      <c r="H638" s="419" t="s">
        <v>310</v>
      </c>
      <c r="I638" s="639" t="s">
        <v>881</v>
      </c>
      <c r="J638" s="418" t="s">
        <v>882</v>
      </c>
      <c r="K638" s="418" t="s">
        <v>883</v>
      </c>
      <c r="L638" s="399" t="s">
        <v>798</v>
      </c>
      <c r="M638" s="544" t="s">
        <v>310</v>
      </c>
      <c r="N638" s="414">
        <v>44676</v>
      </c>
      <c r="O638" s="414" t="s">
        <v>400</v>
      </c>
      <c r="P638" s="603">
        <f t="shared" si="56"/>
        <v>4</v>
      </c>
      <c r="Q638" s="603">
        <f t="shared" si="57"/>
        <v>4</v>
      </c>
      <c r="R638" s="604" t="str">
        <f t="shared" si="58"/>
        <v>Gastos_Gerais</v>
      </c>
      <c r="S638" s="605" t="s">
        <v>310</v>
      </c>
      <c r="T638" s="605" t="s">
        <v>310</v>
      </c>
    </row>
    <row r="639" spans="1:20" s="88" customFormat="1" ht="24" x14ac:dyDescent="0.2">
      <c r="A639" s="510">
        <f>IF(B639="","",COUNT('Diário 1º PA'!$A$4:$A$2635)+ROW()-3)</f>
        <v>2372</v>
      </c>
      <c r="B639" s="414">
        <v>44676</v>
      </c>
      <c r="C639" s="466">
        <v>44652</v>
      </c>
      <c r="D639" s="415" t="s">
        <v>271</v>
      </c>
      <c r="E639" s="415" t="s">
        <v>71</v>
      </c>
      <c r="F639" s="425">
        <v>11</v>
      </c>
      <c r="G639" s="427" t="s">
        <v>3664</v>
      </c>
      <c r="H639" s="419" t="s">
        <v>310</v>
      </c>
      <c r="I639" s="639" t="s">
        <v>881</v>
      </c>
      <c r="J639" s="418" t="s">
        <v>882</v>
      </c>
      <c r="K639" s="418" t="s">
        <v>883</v>
      </c>
      <c r="L639" s="399" t="s">
        <v>798</v>
      </c>
      <c r="M639" s="544" t="s">
        <v>310</v>
      </c>
      <c r="N639" s="414">
        <v>44676</v>
      </c>
      <c r="O639" s="414" t="s">
        <v>400</v>
      </c>
      <c r="P639" s="603">
        <f t="shared" si="56"/>
        <v>4</v>
      </c>
      <c r="Q639" s="603">
        <f t="shared" si="57"/>
        <v>4</v>
      </c>
      <c r="R639" s="604" t="str">
        <f t="shared" si="58"/>
        <v>Gastos_Gerais</v>
      </c>
      <c r="S639" s="605" t="s">
        <v>310</v>
      </c>
      <c r="T639" s="605" t="s">
        <v>310</v>
      </c>
    </row>
    <row r="640" spans="1:20" s="88" customFormat="1" ht="24" x14ac:dyDescent="0.2">
      <c r="A640" s="510">
        <f>IF(B640="","",COUNT('Diário 1º PA'!$A$4:$A$2635)+ROW()-3)</f>
        <v>2373</v>
      </c>
      <c r="B640" s="414">
        <v>44676</v>
      </c>
      <c r="C640" s="466">
        <v>44652</v>
      </c>
      <c r="D640" s="415" t="s">
        <v>271</v>
      </c>
      <c r="E640" s="415" t="s">
        <v>71</v>
      </c>
      <c r="F640" s="425">
        <v>11</v>
      </c>
      <c r="G640" s="427" t="s">
        <v>3664</v>
      </c>
      <c r="H640" s="419" t="s">
        <v>310</v>
      </c>
      <c r="I640" s="639" t="s">
        <v>881</v>
      </c>
      <c r="J640" s="418" t="s">
        <v>882</v>
      </c>
      <c r="K640" s="418" t="s">
        <v>883</v>
      </c>
      <c r="L640" s="399" t="s">
        <v>798</v>
      </c>
      <c r="M640" s="544" t="s">
        <v>310</v>
      </c>
      <c r="N640" s="414">
        <v>44676</v>
      </c>
      <c r="O640" s="414" t="s">
        <v>400</v>
      </c>
      <c r="P640" s="603">
        <f t="shared" si="56"/>
        <v>4</v>
      </c>
      <c r="Q640" s="603">
        <f t="shared" si="57"/>
        <v>4</v>
      </c>
      <c r="R640" s="604" t="str">
        <f t="shared" si="58"/>
        <v>Gastos_Gerais</v>
      </c>
      <c r="S640" s="605" t="s">
        <v>310</v>
      </c>
      <c r="T640" s="605" t="s">
        <v>310</v>
      </c>
    </row>
    <row r="641" spans="1:20" s="88" customFormat="1" ht="24" x14ac:dyDescent="0.2">
      <c r="A641" s="510">
        <f>IF(B641="","",COUNT('Diário 1º PA'!$A$4:$A$2635)+ROW()-3)</f>
        <v>2374</v>
      </c>
      <c r="B641" s="414">
        <v>44676</v>
      </c>
      <c r="C641" s="466">
        <v>44652</v>
      </c>
      <c r="D641" s="415" t="s">
        <v>271</v>
      </c>
      <c r="E641" s="415" t="s">
        <v>71</v>
      </c>
      <c r="F641" s="425">
        <v>11</v>
      </c>
      <c r="G641" s="427" t="s">
        <v>3664</v>
      </c>
      <c r="H641" s="419" t="s">
        <v>310</v>
      </c>
      <c r="I641" s="639" t="s">
        <v>881</v>
      </c>
      <c r="J641" s="418" t="s">
        <v>882</v>
      </c>
      <c r="K641" s="418" t="s">
        <v>883</v>
      </c>
      <c r="L641" s="399" t="s">
        <v>798</v>
      </c>
      <c r="M641" s="544" t="s">
        <v>310</v>
      </c>
      <c r="N641" s="414">
        <v>44676</v>
      </c>
      <c r="O641" s="414" t="s">
        <v>400</v>
      </c>
      <c r="P641" s="603">
        <f t="shared" si="56"/>
        <v>4</v>
      </c>
      <c r="Q641" s="603">
        <f t="shared" si="57"/>
        <v>4</v>
      </c>
      <c r="R641" s="604" t="str">
        <f t="shared" si="58"/>
        <v>Gastos_Gerais</v>
      </c>
      <c r="S641" s="605" t="s">
        <v>310</v>
      </c>
      <c r="T641" s="605" t="s">
        <v>310</v>
      </c>
    </row>
    <row r="642" spans="1:20" s="88" customFormat="1" ht="24" x14ac:dyDescent="0.2">
      <c r="A642" s="510">
        <f>IF(B642="","",COUNT('Diário 1º PA'!$A$4:$A$2635)+ROW()-3)</f>
        <v>2375</v>
      </c>
      <c r="B642" s="414">
        <v>44676</v>
      </c>
      <c r="C642" s="466">
        <v>44652</v>
      </c>
      <c r="D642" s="415" t="s">
        <v>271</v>
      </c>
      <c r="E642" s="415" t="s">
        <v>71</v>
      </c>
      <c r="F642" s="425">
        <v>11</v>
      </c>
      <c r="G642" s="427" t="s">
        <v>3664</v>
      </c>
      <c r="H642" s="419" t="s">
        <v>310</v>
      </c>
      <c r="I642" s="639" t="s">
        <v>881</v>
      </c>
      <c r="J642" s="418" t="s">
        <v>882</v>
      </c>
      <c r="K642" s="418" t="s">
        <v>883</v>
      </c>
      <c r="L642" s="399" t="s">
        <v>798</v>
      </c>
      <c r="M642" s="544" t="s">
        <v>310</v>
      </c>
      <c r="N642" s="414">
        <v>44676</v>
      </c>
      <c r="O642" s="414" t="s">
        <v>400</v>
      </c>
      <c r="P642" s="603">
        <f t="shared" si="56"/>
        <v>4</v>
      </c>
      <c r="Q642" s="603">
        <f t="shared" si="57"/>
        <v>4</v>
      </c>
      <c r="R642" s="604" t="str">
        <f t="shared" si="58"/>
        <v>Gastos_Gerais</v>
      </c>
      <c r="S642" s="605" t="s">
        <v>310</v>
      </c>
      <c r="T642" s="605" t="s">
        <v>310</v>
      </c>
    </row>
    <row r="643" spans="1:20" s="88" customFormat="1" ht="24" x14ac:dyDescent="0.2">
      <c r="A643" s="510">
        <f>IF(B643="","",COUNT('Diário 1º PA'!$A$4:$A$2635)+ROW()-3)</f>
        <v>2376</v>
      </c>
      <c r="B643" s="414">
        <v>44676</v>
      </c>
      <c r="C643" s="466">
        <v>44652</v>
      </c>
      <c r="D643" s="415" t="s">
        <v>271</v>
      </c>
      <c r="E643" s="415" t="s">
        <v>71</v>
      </c>
      <c r="F643" s="425">
        <v>11</v>
      </c>
      <c r="G643" s="427" t="s">
        <v>3664</v>
      </c>
      <c r="H643" s="419" t="s">
        <v>310</v>
      </c>
      <c r="I643" s="639" t="s">
        <v>881</v>
      </c>
      <c r="J643" s="418" t="s">
        <v>882</v>
      </c>
      <c r="K643" s="418" t="s">
        <v>883</v>
      </c>
      <c r="L643" s="399" t="s">
        <v>798</v>
      </c>
      <c r="M643" s="544" t="s">
        <v>310</v>
      </c>
      <c r="N643" s="414">
        <v>44676</v>
      </c>
      <c r="O643" s="414" t="s">
        <v>400</v>
      </c>
      <c r="P643" s="603">
        <f t="shared" si="56"/>
        <v>4</v>
      </c>
      <c r="Q643" s="603">
        <f t="shared" si="57"/>
        <v>4</v>
      </c>
      <c r="R643" s="604" t="str">
        <f t="shared" si="58"/>
        <v>Gastos_Gerais</v>
      </c>
      <c r="S643" s="605" t="s">
        <v>310</v>
      </c>
      <c r="T643" s="605" t="s">
        <v>310</v>
      </c>
    </row>
    <row r="644" spans="1:20" s="88" customFormat="1" ht="24" x14ac:dyDescent="0.2">
      <c r="A644" s="510">
        <f>IF(B644="","",COUNT('Diário 1º PA'!$A$4:$A$2635)+ROW()-3)</f>
        <v>2377</v>
      </c>
      <c r="B644" s="414">
        <v>44676</v>
      </c>
      <c r="C644" s="466">
        <v>44652</v>
      </c>
      <c r="D644" s="415" t="s">
        <v>271</v>
      </c>
      <c r="E644" s="415" t="s">
        <v>71</v>
      </c>
      <c r="F644" s="425">
        <v>11</v>
      </c>
      <c r="G644" s="427" t="s">
        <v>3664</v>
      </c>
      <c r="H644" s="419" t="s">
        <v>310</v>
      </c>
      <c r="I644" s="639" t="s">
        <v>881</v>
      </c>
      <c r="J644" s="418" t="s">
        <v>882</v>
      </c>
      <c r="K644" s="418" t="s">
        <v>883</v>
      </c>
      <c r="L644" s="399" t="s">
        <v>798</v>
      </c>
      <c r="M644" s="544" t="s">
        <v>310</v>
      </c>
      <c r="N644" s="414">
        <v>44676</v>
      </c>
      <c r="O644" s="414" t="s">
        <v>400</v>
      </c>
      <c r="P644" s="603">
        <f t="shared" si="56"/>
        <v>4</v>
      </c>
      <c r="Q644" s="603">
        <f t="shared" si="57"/>
        <v>4</v>
      </c>
      <c r="R644" s="604" t="str">
        <f t="shared" si="58"/>
        <v>Gastos_Gerais</v>
      </c>
      <c r="S644" s="605" t="s">
        <v>310</v>
      </c>
      <c r="T644" s="605" t="s">
        <v>310</v>
      </c>
    </row>
    <row r="645" spans="1:20" s="88" customFormat="1" ht="24" x14ac:dyDescent="0.2">
      <c r="A645" s="510">
        <f>IF(B645="","",COUNT('Diário 1º PA'!$A$4:$A$2635)+ROW()-3)</f>
        <v>2378</v>
      </c>
      <c r="B645" s="414">
        <v>44676</v>
      </c>
      <c r="C645" s="466">
        <v>44652</v>
      </c>
      <c r="D645" s="415" t="s">
        <v>271</v>
      </c>
      <c r="E645" s="415" t="s">
        <v>71</v>
      </c>
      <c r="F645" s="425">
        <v>11</v>
      </c>
      <c r="G645" s="427" t="s">
        <v>3664</v>
      </c>
      <c r="H645" s="419" t="s">
        <v>310</v>
      </c>
      <c r="I645" s="639" t="s">
        <v>881</v>
      </c>
      <c r="J645" s="418" t="s">
        <v>882</v>
      </c>
      <c r="K645" s="418" t="s">
        <v>883</v>
      </c>
      <c r="L645" s="399" t="s">
        <v>798</v>
      </c>
      <c r="M645" s="544" t="s">
        <v>310</v>
      </c>
      <c r="N645" s="414">
        <v>44676</v>
      </c>
      <c r="O645" s="414" t="s">
        <v>400</v>
      </c>
      <c r="P645" s="603">
        <f t="shared" si="56"/>
        <v>4</v>
      </c>
      <c r="Q645" s="603">
        <f t="shared" si="57"/>
        <v>4</v>
      </c>
      <c r="R645" s="604" t="str">
        <f t="shared" si="58"/>
        <v>Gastos_Gerais</v>
      </c>
      <c r="S645" s="605" t="s">
        <v>310</v>
      </c>
      <c r="T645" s="605" t="s">
        <v>310</v>
      </c>
    </row>
    <row r="646" spans="1:20" s="88" customFormat="1" ht="24" x14ac:dyDescent="0.2">
      <c r="A646" s="510">
        <f>IF(B646="","",COUNT('Diário 1º PA'!$A$4:$A$2635)+ROW()-3)</f>
        <v>2379</v>
      </c>
      <c r="B646" s="414">
        <v>44676</v>
      </c>
      <c r="C646" s="466">
        <v>44652</v>
      </c>
      <c r="D646" s="415" t="s">
        <v>271</v>
      </c>
      <c r="E646" s="415" t="s">
        <v>71</v>
      </c>
      <c r="F646" s="425">
        <v>11</v>
      </c>
      <c r="G646" s="427" t="s">
        <v>3664</v>
      </c>
      <c r="H646" s="419" t="s">
        <v>310</v>
      </c>
      <c r="I646" s="639" t="s">
        <v>881</v>
      </c>
      <c r="J646" s="418" t="s">
        <v>882</v>
      </c>
      <c r="K646" s="418" t="s">
        <v>883</v>
      </c>
      <c r="L646" s="399" t="s">
        <v>798</v>
      </c>
      <c r="M646" s="544" t="s">
        <v>310</v>
      </c>
      <c r="N646" s="414">
        <v>44676</v>
      </c>
      <c r="O646" s="414" t="s">
        <v>400</v>
      </c>
      <c r="P646" s="603">
        <f t="shared" si="56"/>
        <v>4</v>
      </c>
      <c r="Q646" s="603">
        <f t="shared" si="57"/>
        <v>4</v>
      </c>
      <c r="R646" s="604" t="str">
        <f t="shared" si="58"/>
        <v>Gastos_Gerais</v>
      </c>
      <c r="S646" s="605" t="s">
        <v>310</v>
      </c>
      <c r="T646" s="605" t="s">
        <v>310</v>
      </c>
    </row>
    <row r="647" spans="1:20" s="88" customFormat="1" ht="24" x14ac:dyDescent="0.2">
      <c r="A647" s="510">
        <f>IF(B647="","",COUNT('Diário 1º PA'!$A$4:$A$2635)+ROW()-3)</f>
        <v>2380</v>
      </c>
      <c r="B647" s="414">
        <v>44676</v>
      </c>
      <c r="C647" s="466">
        <v>44652</v>
      </c>
      <c r="D647" s="415" t="s">
        <v>271</v>
      </c>
      <c r="E647" s="415" t="s">
        <v>71</v>
      </c>
      <c r="F647" s="425">
        <v>11</v>
      </c>
      <c r="G647" s="427" t="s">
        <v>3664</v>
      </c>
      <c r="H647" s="419" t="s">
        <v>310</v>
      </c>
      <c r="I647" s="639" t="s">
        <v>881</v>
      </c>
      <c r="J647" s="418" t="s">
        <v>882</v>
      </c>
      <c r="K647" s="418" t="s">
        <v>883</v>
      </c>
      <c r="L647" s="399" t="s">
        <v>798</v>
      </c>
      <c r="M647" s="544" t="s">
        <v>310</v>
      </c>
      <c r="N647" s="414">
        <v>44676</v>
      </c>
      <c r="O647" s="414" t="s">
        <v>400</v>
      </c>
      <c r="P647" s="603">
        <f t="shared" si="56"/>
        <v>4</v>
      </c>
      <c r="Q647" s="603">
        <f t="shared" si="57"/>
        <v>4</v>
      </c>
      <c r="R647" s="604" t="str">
        <f t="shared" si="58"/>
        <v>Gastos_Gerais</v>
      </c>
      <c r="S647" s="605" t="s">
        <v>310</v>
      </c>
      <c r="T647" s="605" t="s">
        <v>310</v>
      </c>
    </row>
    <row r="648" spans="1:20" s="88" customFormat="1" ht="24" x14ac:dyDescent="0.2">
      <c r="A648" s="510">
        <f>IF(B648="","",COUNT('Diário 1º PA'!$A$4:$A$2635)+ROW()-3)</f>
        <v>2381</v>
      </c>
      <c r="B648" s="414">
        <v>44676</v>
      </c>
      <c r="C648" s="466">
        <v>44652</v>
      </c>
      <c r="D648" s="415" t="s">
        <v>271</v>
      </c>
      <c r="E648" s="415" t="s">
        <v>71</v>
      </c>
      <c r="F648" s="425">
        <v>11</v>
      </c>
      <c r="G648" s="427" t="s">
        <v>3664</v>
      </c>
      <c r="H648" s="419" t="s">
        <v>310</v>
      </c>
      <c r="I648" s="639" t="s">
        <v>881</v>
      </c>
      <c r="J648" s="418" t="s">
        <v>882</v>
      </c>
      <c r="K648" s="418" t="s">
        <v>883</v>
      </c>
      <c r="L648" s="399" t="s">
        <v>798</v>
      </c>
      <c r="M648" s="544" t="s">
        <v>310</v>
      </c>
      <c r="N648" s="414">
        <v>44676</v>
      </c>
      <c r="O648" s="414" t="s">
        <v>400</v>
      </c>
      <c r="P648" s="603">
        <f t="shared" si="56"/>
        <v>4</v>
      </c>
      <c r="Q648" s="603">
        <f t="shared" si="57"/>
        <v>4</v>
      </c>
      <c r="R648" s="604" t="str">
        <f t="shared" si="58"/>
        <v>Gastos_Gerais</v>
      </c>
      <c r="S648" s="605" t="s">
        <v>310</v>
      </c>
      <c r="T648" s="605" t="s">
        <v>310</v>
      </c>
    </row>
    <row r="649" spans="1:20" s="88" customFormat="1" ht="24" x14ac:dyDescent="0.2">
      <c r="A649" s="510">
        <f>IF(B649="","",COUNT('Diário 1º PA'!$A$4:$A$2635)+ROW()-3)</f>
        <v>2382</v>
      </c>
      <c r="B649" s="414">
        <v>44676</v>
      </c>
      <c r="C649" s="466">
        <v>44652</v>
      </c>
      <c r="D649" s="415" t="s">
        <v>271</v>
      </c>
      <c r="E649" s="415" t="s">
        <v>71</v>
      </c>
      <c r="F649" s="425">
        <v>11</v>
      </c>
      <c r="G649" s="427" t="s">
        <v>3664</v>
      </c>
      <c r="H649" s="419" t="s">
        <v>310</v>
      </c>
      <c r="I649" s="639" t="s">
        <v>881</v>
      </c>
      <c r="J649" s="418" t="s">
        <v>882</v>
      </c>
      <c r="K649" s="418" t="s">
        <v>883</v>
      </c>
      <c r="L649" s="399" t="s">
        <v>798</v>
      </c>
      <c r="M649" s="544" t="s">
        <v>310</v>
      </c>
      <c r="N649" s="414">
        <v>44676</v>
      </c>
      <c r="O649" s="414" t="s">
        <v>400</v>
      </c>
      <c r="P649" s="603">
        <f t="shared" si="56"/>
        <v>4</v>
      </c>
      <c r="Q649" s="603">
        <f t="shared" si="57"/>
        <v>4</v>
      </c>
      <c r="R649" s="604" t="str">
        <f t="shared" si="58"/>
        <v>Gastos_Gerais</v>
      </c>
      <c r="S649" s="605" t="s">
        <v>310</v>
      </c>
      <c r="T649" s="605" t="s">
        <v>310</v>
      </c>
    </row>
    <row r="650" spans="1:20" s="88" customFormat="1" ht="24" x14ac:dyDescent="0.2">
      <c r="A650" s="510">
        <f>IF(B650="","",COUNT('Diário 1º PA'!$A$4:$A$2635)+ROW()-3)</f>
        <v>2383</v>
      </c>
      <c r="B650" s="414">
        <v>44676</v>
      </c>
      <c r="C650" s="466">
        <v>44652</v>
      </c>
      <c r="D650" s="415" t="s">
        <v>271</v>
      </c>
      <c r="E650" s="415" t="s">
        <v>71</v>
      </c>
      <c r="F650" s="425">
        <v>11</v>
      </c>
      <c r="G650" s="427" t="s">
        <v>3664</v>
      </c>
      <c r="H650" s="419" t="s">
        <v>310</v>
      </c>
      <c r="I650" s="639" t="s">
        <v>881</v>
      </c>
      <c r="J650" s="418" t="s">
        <v>882</v>
      </c>
      <c r="K650" s="418" t="s">
        <v>883</v>
      </c>
      <c r="L650" s="399" t="s">
        <v>798</v>
      </c>
      <c r="M650" s="544" t="s">
        <v>310</v>
      </c>
      <c r="N650" s="414">
        <v>44676</v>
      </c>
      <c r="O650" s="414" t="s">
        <v>400</v>
      </c>
      <c r="P650" s="603">
        <f t="shared" si="56"/>
        <v>4</v>
      </c>
      <c r="Q650" s="603">
        <f t="shared" si="57"/>
        <v>4</v>
      </c>
      <c r="R650" s="604" t="str">
        <f t="shared" si="58"/>
        <v>Gastos_Gerais</v>
      </c>
      <c r="S650" s="605" t="s">
        <v>310</v>
      </c>
      <c r="T650" s="605" t="s">
        <v>310</v>
      </c>
    </row>
    <row r="651" spans="1:20" s="88" customFormat="1" ht="24" x14ac:dyDescent="0.2">
      <c r="A651" s="510">
        <f>IF(B651="","",COUNT('Diário 1º PA'!$A$4:$A$2635)+ROW()-3)</f>
        <v>2384</v>
      </c>
      <c r="B651" s="414">
        <v>44676</v>
      </c>
      <c r="C651" s="466">
        <v>44652</v>
      </c>
      <c r="D651" s="415" t="s">
        <v>271</v>
      </c>
      <c r="E651" s="415" t="s">
        <v>71</v>
      </c>
      <c r="F651" s="425">
        <v>11</v>
      </c>
      <c r="G651" s="427" t="s">
        <v>3664</v>
      </c>
      <c r="H651" s="419" t="s">
        <v>310</v>
      </c>
      <c r="I651" s="639" t="s">
        <v>881</v>
      </c>
      <c r="J651" s="418" t="s">
        <v>882</v>
      </c>
      <c r="K651" s="418" t="s">
        <v>883</v>
      </c>
      <c r="L651" s="399" t="s">
        <v>798</v>
      </c>
      <c r="M651" s="544" t="s">
        <v>310</v>
      </c>
      <c r="N651" s="414">
        <v>44676</v>
      </c>
      <c r="O651" s="414" t="s">
        <v>400</v>
      </c>
      <c r="P651" s="603">
        <f t="shared" si="56"/>
        <v>4</v>
      </c>
      <c r="Q651" s="603">
        <f t="shared" si="57"/>
        <v>4</v>
      </c>
      <c r="R651" s="604" t="str">
        <f t="shared" si="58"/>
        <v>Gastos_Gerais</v>
      </c>
      <c r="S651" s="605" t="s">
        <v>310</v>
      </c>
      <c r="T651" s="605" t="s">
        <v>310</v>
      </c>
    </row>
    <row r="652" spans="1:20" s="88" customFormat="1" ht="24" x14ac:dyDescent="0.2">
      <c r="A652" s="510">
        <f>IF(B652="","",COUNT('Diário 1º PA'!$A$4:$A$2635)+ROW()-3)</f>
        <v>2385</v>
      </c>
      <c r="B652" s="414">
        <v>44676</v>
      </c>
      <c r="C652" s="466">
        <v>44652</v>
      </c>
      <c r="D652" s="415" t="s">
        <v>271</v>
      </c>
      <c r="E652" s="415" t="s">
        <v>71</v>
      </c>
      <c r="F652" s="425">
        <v>11</v>
      </c>
      <c r="G652" s="427" t="s">
        <v>3664</v>
      </c>
      <c r="H652" s="419" t="s">
        <v>310</v>
      </c>
      <c r="I652" s="639" t="s">
        <v>881</v>
      </c>
      <c r="J652" s="418" t="s">
        <v>882</v>
      </c>
      <c r="K652" s="418" t="s">
        <v>883</v>
      </c>
      <c r="L652" s="399" t="s">
        <v>798</v>
      </c>
      <c r="M652" s="544" t="s">
        <v>310</v>
      </c>
      <c r="N652" s="414">
        <v>44676</v>
      </c>
      <c r="O652" s="414" t="s">
        <v>400</v>
      </c>
      <c r="P652" s="603">
        <f t="shared" si="56"/>
        <v>4</v>
      </c>
      <c r="Q652" s="603">
        <f t="shared" si="57"/>
        <v>4</v>
      </c>
      <c r="R652" s="604" t="str">
        <f t="shared" si="58"/>
        <v>Gastos_Gerais</v>
      </c>
      <c r="S652" s="605" t="s">
        <v>310</v>
      </c>
      <c r="T652" s="605" t="s">
        <v>310</v>
      </c>
    </row>
    <row r="653" spans="1:20" s="88" customFormat="1" ht="24" x14ac:dyDescent="0.2">
      <c r="A653" s="510">
        <f>IF(B653="","",COUNT('Diário 1º PA'!$A$4:$A$2635)+ROW()-3)</f>
        <v>2386</v>
      </c>
      <c r="B653" s="414">
        <v>44676</v>
      </c>
      <c r="C653" s="466">
        <v>44652</v>
      </c>
      <c r="D653" s="415" t="s">
        <v>271</v>
      </c>
      <c r="E653" s="415" t="s">
        <v>71</v>
      </c>
      <c r="F653" s="425">
        <v>11</v>
      </c>
      <c r="G653" s="427" t="s">
        <v>3664</v>
      </c>
      <c r="H653" s="419" t="s">
        <v>310</v>
      </c>
      <c r="I653" s="639" t="s">
        <v>881</v>
      </c>
      <c r="J653" s="418" t="s">
        <v>882</v>
      </c>
      <c r="K653" s="418" t="s">
        <v>883</v>
      </c>
      <c r="L653" s="399" t="s">
        <v>798</v>
      </c>
      <c r="M653" s="544" t="s">
        <v>310</v>
      </c>
      <c r="N653" s="414">
        <v>44676</v>
      </c>
      <c r="O653" s="414" t="s">
        <v>400</v>
      </c>
      <c r="P653" s="603">
        <f t="shared" si="56"/>
        <v>4</v>
      </c>
      <c r="Q653" s="603">
        <f t="shared" si="57"/>
        <v>4</v>
      </c>
      <c r="R653" s="604" t="str">
        <f t="shared" si="58"/>
        <v>Gastos_Gerais</v>
      </c>
      <c r="S653" s="605" t="s">
        <v>310</v>
      </c>
      <c r="T653" s="605" t="s">
        <v>310</v>
      </c>
    </row>
    <row r="654" spans="1:20" s="88" customFormat="1" ht="24" x14ac:dyDescent="0.2">
      <c r="A654" s="510">
        <f>IF(B654="","",COUNT('Diário 1º PA'!$A$4:$A$2635)+ROW()-3)</f>
        <v>2387</v>
      </c>
      <c r="B654" s="414">
        <v>44676</v>
      </c>
      <c r="C654" s="466">
        <v>44652</v>
      </c>
      <c r="D654" s="415" t="s">
        <v>271</v>
      </c>
      <c r="E654" s="415" t="s">
        <v>71</v>
      </c>
      <c r="F654" s="425">
        <v>11</v>
      </c>
      <c r="G654" s="427" t="s">
        <v>3664</v>
      </c>
      <c r="H654" s="419" t="s">
        <v>310</v>
      </c>
      <c r="I654" s="639" t="s">
        <v>881</v>
      </c>
      <c r="J654" s="418" t="s">
        <v>882</v>
      </c>
      <c r="K654" s="418" t="s">
        <v>883</v>
      </c>
      <c r="L654" s="399" t="s">
        <v>798</v>
      </c>
      <c r="M654" s="544" t="s">
        <v>310</v>
      </c>
      <c r="N654" s="414">
        <v>44676</v>
      </c>
      <c r="O654" s="414" t="s">
        <v>400</v>
      </c>
      <c r="P654" s="603">
        <f t="shared" si="56"/>
        <v>4</v>
      </c>
      <c r="Q654" s="603">
        <f t="shared" si="57"/>
        <v>4</v>
      </c>
      <c r="R654" s="604" t="str">
        <f t="shared" si="58"/>
        <v>Gastos_Gerais</v>
      </c>
      <c r="S654" s="605" t="s">
        <v>310</v>
      </c>
      <c r="T654" s="605" t="s">
        <v>310</v>
      </c>
    </row>
    <row r="655" spans="1:20" s="88" customFormat="1" ht="24" x14ac:dyDescent="0.2">
      <c r="A655" s="510">
        <f>IF(B655="","",COUNT('Diário 1º PA'!$A$4:$A$2635)+ROW()-3)</f>
        <v>2388</v>
      </c>
      <c r="B655" s="414">
        <v>44676</v>
      </c>
      <c r="C655" s="466">
        <v>44652</v>
      </c>
      <c r="D655" s="415" t="s">
        <v>271</v>
      </c>
      <c r="E655" s="415" t="s">
        <v>71</v>
      </c>
      <c r="F655" s="425">
        <v>11</v>
      </c>
      <c r="G655" s="427" t="s">
        <v>3664</v>
      </c>
      <c r="H655" s="419" t="s">
        <v>310</v>
      </c>
      <c r="I655" s="639" t="s">
        <v>881</v>
      </c>
      <c r="J655" s="418" t="s">
        <v>882</v>
      </c>
      <c r="K655" s="418" t="s">
        <v>883</v>
      </c>
      <c r="L655" s="399" t="s">
        <v>798</v>
      </c>
      <c r="M655" s="544" t="s">
        <v>310</v>
      </c>
      <c r="N655" s="414">
        <v>44676</v>
      </c>
      <c r="O655" s="414" t="s">
        <v>400</v>
      </c>
      <c r="P655" s="603">
        <f t="shared" si="56"/>
        <v>4</v>
      </c>
      <c r="Q655" s="603">
        <f t="shared" si="57"/>
        <v>4</v>
      </c>
      <c r="R655" s="604" t="str">
        <f t="shared" si="58"/>
        <v>Gastos_Gerais</v>
      </c>
      <c r="S655" s="605" t="s">
        <v>310</v>
      </c>
      <c r="T655" s="605" t="s">
        <v>310</v>
      </c>
    </row>
    <row r="656" spans="1:20" s="88" customFormat="1" ht="24" x14ac:dyDescent="0.2">
      <c r="A656" s="510">
        <f>IF(B656="","",COUNT('Diário 1º PA'!$A$4:$A$2635)+ROW()-3)</f>
        <v>2389</v>
      </c>
      <c r="B656" s="414">
        <v>44676</v>
      </c>
      <c r="C656" s="466">
        <v>44652</v>
      </c>
      <c r="D656" s="415" t="s">
        <v>271</v>
      </c>
      <c r="E656" s="415" t="s">
        <v>71</v>
      </c>
      <c r="F656" s="425">
        <v>11</v>
      </c>
      <c r="G656" s="427" t="s">
        <v>3664</v>
      </c>
      <c r="H656" s="419" t="s">
        <v>310</v>
      </c>
      <c r="I656" s="639" t="s">
        <v>881</v>
      </c>
      <c r="J656" s="418" t="s">
        <v>882</v>
      </c>
      <c r="K656" s="418" t="s">
        <v>883</v>
      </c>
      <c r="L656" s="399" t="s">
        <v>798</v>
      </c>
      <c r="M656" s="544" t="s">
        <v>310</v>
      </c>
      <c r="N656" s="414">
        <v>44676</v>
      </c>
      <c r="O656" s="414" t="s">
        <v>400</v>
      </c>
      <c r="P656" s="603">
        <f t="shared" ref="P656:P663" si="59">IF(B656=0,0,IF(YEAR(B656)=$Q$1,MONTH(B656)-$P$1+1,(YEAR(B656)-$Q$1)*12-$P$1+1+MONTH(B656)))</f>
        <v>4</v>
      </c>
      <c r="Q656" s="603">
        <f t="shared" ref="Q656:Q663" si="60">IF(C656=0,0,IF(YEAR(C656)=$Q$1,MONTH(C656)-$P$1+1,(YEAR(C656)-$Q$1)*12-$P$1+1+MONTH(C656)))</f>
        <v>4</v>
      </c>
      <c r="R656" s="604" t="str">
        <f t="shared" ref="R656:R663" si="61">SUBSTITUTE(D656," ","_")</f>
        <v>Gastos_Gerais</v>
      </c>
      <c r="S656" s="605" t="s">
        <v>310</v>
      </c>
      <c r="T656" s="605" t="s">
        <v>310</v>
      </c>
    </row>
    <row r="657" spans="1:20" s="88" customFormat="1" ht="24" x14ac:dyDescent="0.2">
      <c r="A657" s="510">
        <f>IF(B657="","",COUNT('Diário 1º PA'!$A$4:$A$2635)+ROW()-3)</f>
        <v>2390</v>
      </c>
      <c r="B657" s="414">
        <v>44676</v>
      </c>
      <c r="C657" s="466">
        <v>44652</v>
      </c>
      <c r="D657" s="415" t="s">
        <v>271</v>
      </c>
      <c r="E657" s="415" t="s">
        <v>71</v>
      </c>
      <c r="F657" s="425">
        <v>11</v>
      </c>
      <c r="G657" s="427" t="s">
        <v>3664</v>
      </c>
      <c r="H657" s="419" t="s">
        <v>310</v>
      </c>
      <c r="I657" s="639" t="s">
        <v>881</v>
      </c>
      <c r="J657" s="418" t="s">
        <v>882</v>
      </c>
      <c r="K657" s="418" t="s">
        <v>883</v>
      </c>
      <c r="L657" s="399" t="s">
        <v>798</v>
      </c>
      <c r="M657" s="544" t="s">
        <v>310</v>
      </c>
      <c r="N657" s="414">
        <v>44676</v>
      </c>
      <c r="O657" s="414" t="s">
        <v>400</v>
      </c>
      <c r="P657" s="603">
        <f t="shared" si="59"/>
        <v>4</v>
      </c>
      <c r="Q657" s="603">
        <f t="shared" si="60"/>
        <v>4</v>
      </c>
      <c r="R657" s="604" t="str">
        <f t="shared" si="61"/>
        <v>Gastos_Gerais</v>
      </c>
      <c r="S657" s="605" t="s">
        <v>310</v>
      </c>
      <c r="T657" s="605" t="s">
        <v>310</v>
      </c>
    </row>
    <row r="658" spans="1:20" s="88" customFormat="1" ht="24" x14ac:dyDescent="0.2">
      <c r="A658" s="510">
        <f>IF(B658="","",COUNT('Diário 1º PA'!$A$4:$A$2635)+ROW()-3)</f>
        <v>2391</v>
      </c>
      <c r="B658" s="414">
        <v>44676</v>
      </c>
      <c r="C658" s="466">
        <v>44652</v>
      </c>
      <c r="D658" s="415" t="s">
        <v>271</v>
      </c>
      <c r="E658" s="415" t="s">
        <v>71</v>
      </c>
      <c r="F658" s="425">
        <v>11</v>
      </c>
      <c r="G658" s="427" t="s">
        <v>3664</v>
      </c>
      <c r="H658" s="419" t="s">
        <v>310</v>
      </c>
      <c r="I658" s="639" t="s">
        <v>881</v>
      </c>
      <c r="J658" s="418" t="s">
        <v>882</v>
      </c>
      <c r="K658" s="418" t="s">
        <v>883</v>
      </c>
      <c r="L658" s="399" t="s">
        <v>798</v>
      </c>
      <c r="M658" s="544" t="s">
        <v>310</v>
      </c>
      <c r="N658" s="414">
        <v>44676</v>
      </c>
      <c r="O658" s="414" t="s">
        <v>400</v>
      </c>
      <c r="P658" s="603">
        <f t="shared" si="59"/>
        <v>4</v>
      </c>
      <c r="Q658" s="603">
        <f t="shared" si="60"/>
        <v>4</v>
      </c>
      <c r="R658" s="604" t="str">
        <f t="shared" si="61"/>
        <v>Gastos_Gerais</v>
      </c>
      <c r="S658" s="605" t="s">
        <v>310</v>
      </c>
      <c r="T658" s="605" t="s">
        <v>310</v>
      </c>
    </row>
    <row r="659" spans="1:20" s="88" customFormat="1" ht="24" x14ac:dyDescent="0.2">
      <c r="A659" s="510">
        <f>IF(B659="","",COUNT('Diário 1º PA'!$A$4:$A$2635)+ROW()-3)</f>
        <v>2392</v>
      </c>
      <c r="B659" s="414">
        <v>44676</v>
      </c>
      <c r="C659" s="466">
        <v>44652</v>
      </c>
      <c r="D659" s="415" t="s">
        <v>271</v>
      </c>
      <c r="E659" s="415" t="s">
        <v>71</v>
      </c>
      <c r="F659" s="425">
        <v>11</v>
      </c>
      <c r="G659" s="427" t="s">
        <v>3664</v>
      </c>
      <c r="H659" s="419" t="s">
        <v>310</v>
      </c>
      <c r="I659" s="639" t="s">
        <v>881</v>
      </c>
      <c r="J659" s="418" t="s">
        <v>882</v>
      </c>
      <c r="K659" s="418" t="s">
        <v>883</v>
      </c>
      <c r="L659" s="399" t="s">
        <v>798</v>
      </c>
      <c r="M659" s="544" t="s">
        <v>310</v>
      </c>
      <c r="N659" s="414">
        <v>44676</v>
      </c>
      <c r="O659" s="414" t="s">
        <v>400</v>
      </c>
      <c r="P659" s="603">
        <f t="shared" si="59"/>
        <v>4</v>
      </c>
      <c r="Q659" s="603">
        <f t="shared" si="60"/>
        <v>4</v>
      </c>
      <c r="R659" s="604" t="str">
        <f t="shared" si="61"/>
        <v>Gastos_Gerais</v>
      </c>
      <c r="S659" s="605" t="s">
        <v>310</v>
      </c>
      <c r="T659" s="605" t="s">
        <v>310</v>
      </c>
    </row>
    <row r="660" spans="1:20" s="88" customFormat="1" ht="24" x14ac:dyDescent="0.2">
      <c r="A660" s="510">
        <f>IF(B660="","",COUNT('Diário 1º PA'!$A$4:$A$2635)+ROW()-3)</f>
        <v>2393</v>
      </c>
      <c r="B660" s="414">
        <v>44676</v>
      </c>
      <c r="C660" s="466">
        <v>44652</v>
      </c>
      <c r="D660" s="415" t="s">
        <v>271</v>
      </c>
      <c r="E660" s="415" t="s">
        <v>71</v>
      </c>
      <c r="F660" s="425">
        <v>11</v>
      </c>
      <c r="G660" s="427" t="s">
        <v>3664</v>
      </c>
      <c r="H660" s="419" t="s">
        <v>310</v>
      </c>
      <c r="I660" s="639" t="s">
        <v>881</v>
      </c>
      <c r="J660" s="418" t="s">
        <v>882</v>
      </c>
      <c r="K660" s="418" t="s">
        <v>883</v>
      </c>
      <c r="L660" s="399" t="s">
        <v>798</v>
      </c>
      <c r="M660" s="544" t="s">
        <v>310</v>
      </c>
      <c r="N660" s="414">
        <v>44676</v>
      </c>
      <c r="O660" s="414" t="s">
        <v>400</v>
      </c>
      <c r="P660" s="603">
        <f t="shared" si="59"/>
        <v>4</v>
      </c>
      <c r="Q660" s="603">
        <f t="shared" si="60"/>
        <v>4</v>
      </c>
      <c r="R660" s="604" t="str">
        <f t="shared" si="61"/>
        <v>Gastos_Gerais</v>
      </c>
      <c r="S660" s="605" t="s">
        <v>310</v>
      </c>
      <c r="T660" s="605" t="s">
        <v>310</v>
      </c>
    </row>
    <row r="661" spans="1:20" s="88" customFormat="1" ht="24" x14ac:dyDescent="0.2">
      <c r="A661" s="510">
        <f>IF(B661="","",COUNT('Diário 1º PA'!$A$4:$A$2635)+ROW()-3)</f>
        <v>2394</v>
      </c>
      <c r="B661" s="414">
        <v>44676</v>
      </c>
      <c r="C661" s="466">
        <v>44652</v>
      </c>
      <c r="D661" s="415" t="s">
        <v>271</v>
      </c>
      <c r="E661" s="415" t="s">
        <v>71</v>
      </c>
      <c r="F661" s="425">
        <v>11</v>
      </c>
      <c r="G661" s="427" t="s">
        <v>3664</v>
      </c>
      <c r="H661" s="419" t="s">
        <v>310</v>
      </c>
      <c r="I661" s="639" t="s">
        <v>881</v>
      </c>
      <c r="J661" s="418" t="s">
        <v>882</v>
      </c>
      <c r="K661" s="418" t="s">
        <v>883</v>
      </c>
      <c r="L661" s="399" t="s">
        <v>798</v>
      </c>
      <c r="M661" s="544" t="s">
        <v>310</v>
      </c>
      <c r="N661" s="414">
        <v>44676</v>
      </c>
      <c r="O661" s="414" t="s">
        <v>400</v>
      </c>
      <c r="P661" s="603">
        <f t="shared" si="59"/>
        <v>4</v>
      </c>
      <c r="Q661" s="603">
        <f t="shared" si="60"/>
        <v>4</v>
      </c>
      <c r="R661" s="604" t="str">
        <f t="shared" si="61"/>
        <v>Gastos_Gerais</v>
      </c>
      <c r="S661" s="605" t="s">
        <v>310</v>
      </c>
      <c r="T661" s="605" t="s">
        <v>310</v>
      </c>
    </row>
    <row r="662" spans="1:20" s="88" customFormat="1" ht="24" x14ac:dyDescent="0.2">
      <c r="A662" s="510">
        <f>IF(B662="","",COUNT('Diário 1º PA'!$A$4:$A$2635)+ROW()-3)</f>
        <v>2395</v>
      </c>
      <c r="B662" s="414">
        <v>44676</v>
      </c>
      <c r="C662" s="466">
        <v>44652</v>
      </c>
      <c r="D662" s="415" t="s">
        <v>271</v>
      </c>
      <c r="E662" s="415" t="s">
        <v>71</v>
      </c>
      <c r="F662" s="425">
        <v>11</v>
      </c>
      <c r="G662" s="427" t="s">
        <v>3664</v>
      </c>
      <c r="H662" s="419" t="s">
        <v>310</v>
      </c>
      <c r="I662" s="639" t="s">
        <v>881</v>
      </c>
      <c r="J662" s="418" t="s">
        <v>882</v>
      </c>
      <c r="K662" s="418" t="s">
        <v>883</v>
      </c>
      <c r="L662" s="399" t="s">
        <v>798</v>
      </c>
      <c r="M662" s="544" t="s">
        <v>310</v>
      </c>
      <c r="N662" s="414">
        <v>44676</v>
      </c>
      <c r="O662" s="414" t="s">
        <v>400</v>
      </c>
      <c r="P662" s="603">
        <f t="shared" si="59"/>
        <v>4</v>
      </c>
      <c r="Q662" s="603">
        <f t="shared" si="60"/>
        <v>4</v>
      </c>
      <c r="R662" s="604" t="str">
        <f t="shared" si="61"/>
        <v>Gastos_Gerais</v>
      </c>
      <c r="S662" s="605" t="s">
        <v>310</v>
      </c>
      <c r="T662" s="605" t="s">
        <v>310</v>
      </c>
    </row>
    <row r="663" spans="1:20" s="88" customFormat="1" ht="24" x14ac:dyDescent="0.2">
      <c r="A663" s="510">
        <f>IF(B663="","",COUNT('Diário 1º PA'!$A$4:$A$2635)+ROW()-3)</f>
        <v>2396</v>
      </c>
      <c r="B663" s="414">
        <v>44676</v>
      </c>
      <c r="C663" s="466">
        <v>44652</v>
      </c>
      <c r="D663" s="415" t="s">
        <v>271</v>
      </c>
      <c r="E663" s="415" t="s">
        <v>71</v>
      </c>
      <c r="F663" s="425">
        <v>11</v>
      </c>
      <c r="G663" s="427" t="s">
        <v>3664</v>
      </c>
      <c r="H663" s="419" t="s">
        <v>310</v>
      </c>
      <c r="I663" s="639" t="s">
        <v>881</v>
      </c>
      <c r="J663" s="418" t="s">
        <v>882</v>
      </c>
      <c r="K663" s="418" t="s">
        <v>883</v>
      </c>
      <c r="L663" s="399" t="s">
        <v>798</v>
      </c>
      <c r="M663" s="544" t="s">
        <v>310</v>
      </c>
      <c r="N663" s="414">
        <v>44676</v>
      </c>
      <c r="O663" s="414" t="s">
        <v>400</v>
      </c>
      <c r="P663" s="603">
        <f t="shared" si="59"/>
        <v>4</v>
      </c>
      <c r="Q663" s="603">
        <f t="shared" si="60"/>
        <v>4</v>
      </c>
      <c r="R663" s="604" t="str">
        <f t="shared" si="61"/>
        <v>Gastos_Gerais</v>
      </c>
      <c r="S663" s="605" t="s">
        <v>310</v>
      </c>
      <c r="T663" s="605" t="s">
        <v>310</v>
      </c>
    </row>
    <row r="664" spans="1:20" s="88" customFormat="1" ht="99.95" customHeight="1" x14ac:dyDescent="0.2">
      <c r="A664" s="510">
        <f>IF(B664="","",COUNT('Diário 1º PA'!$A$4:$A$2635)+ROW()-3)</f>
        <v>2397</v>
      </c>
      <c r="B664" s="414">
        <v>44676</v>
      </c>
      <c r="C664" s="466">
        <v>44652</v>
      </c>
      <c r="D664" s="415" t="s">
        <v>271</v>
      </c>
      <c r="E664" s="415" t="s">
        <v>71</v>
      </c>
      <c r="F664" s="425">
        <v>11</v>
      </c>
      <c r="G664" s="427" t="s">
        <v>3664</v>
      </c>
      <c r="H664" s="419" t="s">
        <v>310</v>
      </c>
      <c r="I664" s="639" t="s">
        <v>881</v>
      </c>
      <c r="J664" s="418" t="s">
        <v>882</v>
      </c>
      <c r="K664" s="418" t="s">
        <v>883</v>
      </c>
      <c r="L664" s="399" t="s">
        <v>798</v>
      </c>
      <c r="M664" s="544" t="s">
        <v>310</v>
      </c>
      <c r="N664" s="414">
        <v>44676</v>
      </c>
      <c r="O664" s="414" t="s">
        <v>400</v>
      </c>
      <c r="P664" s="603">
        <f t="shared" ref="P664:P674" si="62">IF(B664=0,0,IF(YEAR(B664)=$Q$1,MONTH(B664)-$P$1+1,(YEAR(B664)-$Q$1)*12-$P$1+1+MONTH(B664)))</f>
        <v>4</v>
      </c>
      <c r="Q664" s="603">
        <f t="shared" ref="Q664:Q674" si="63">IF(C664=0,0,IF(YEAR(C664)=$Q$1,MONTH(C664)-$P$1+1,(YEAR(C664)-$Q$1)*12-$P$1+1+MONTH(C664)))</f>
        <v>4</v>
      </c>
      <c r="R664" s="604" t="str">
        <f t="shared" ref="R664:R674" si="64">SUBSTITUTE(D664," ","_")</f>
        <v>Gastos_Gerais</v>
      </c>
      <c r="S664" s="605" t="s">
        <v>310</v>
      </c>
      <c r="T664" s="605" t="s">
        <v>310</v>
      </c>
    </row>
    <row r="665" spans="1:20" ht="99.95" customHeight="1" x14ac:dyDescent="0.2">
      <c r="A665" s="510">
        <f>IF(B665="","",COUNT('Diário 1º PA'!$A$4:$A$2635)+ROW()-3)</f>
        <v>2398</v>
      </c>
      <c r="B665" s="414">
        <v>44676</v>
      </c>
      <c r="C665" s="466">
        <v>44652</v>
      </c>
      <c r="D665" s="415" t="s">
        <v>271</v>
      </c>
      <c r="E665" s="415" t="s">
        <v>71</v>
      </c>
      <c r="F665" s="425">
        <v>11</v>
      </c>
      <c r="G665" s="427" t="s">
        <v>2221</v>
      </c>
      <c r="H665" s="434" t="s">
        <v>309</v>
      </c>
      <c r="I665" s="639" t="s">
        <v>881</v>
      </c>
      <c r="J665" s="418" t="s">
        <v>882</v>
      </c>
      <c r="K665" s="418" t="s">
        <v>883</v>
      </c>
      <c r="L665" s="399" t="s">
        <v>798</v>
      </c>
      <c r="M665" s="544" t="s">
        <v>310</v>
      </c>
      <c r="N665" s="414">
        <v>44676</v>
      </c>
      <c r="O665" s="414" t="s">
        <v>400</v>
      </c>
      <c r="P665" s="603">
        <f t="shared" si="62"/>
        <v>4</v>
      </c>
      <c r="Q665" s="603">
        <f t="shared" si="63"/>
        <v>4</v>
      </c>
      <c r="R665" s="604" t="str">
        <f t="shared" si="64"/>
        <v>Gastos_Gerais</v>
      </c>
      <c r="S665" s="605" t="s">
        <v>310</v>
      </c>
      <c r="T665" s="605" t="s">
        <v>310</v>
      </c>
    </row>
    <row r="666" spans="1:20" ht="99.95" customHeight="1" x14ac:dyDescent="0.2">
      <c r="A666" s="510">
        <f>IF(B666="","",COUNT('Diário 1º PA'!$A$4:$A$2635)+ROW()-3)</f>
        <v>2399</v>
      </c>
      <c r="B666" s="414">
        <v>44676</v>
      </c>
      <c r="C666" s="431">
        <v>44652</v>
      </c>
      <c r="D666" s="415" t="s">
        <v>468</v>
      </c>
      <c r="E666" s="415" t="s">
        <v>468</v>
      </c>
      <c r="F666" s="425">
        <v>675</v>
      </c>
      <c r="G666" s="427" t="s">
        <v>3526</v>
      </c>
      <c r="H666" s="434" t="s">
        <v>468</v>
      </c>
      <c r="I666" s="639" t="s">
        <v>4684</v>
      </c>
      <c r="J666" s="418" t="s">
        <v>3319</v>
      </c>
      <c r="K666" s="418" t="s">
        <v>830</v>
      </c>
      <c r="L666" s="399" t="s">
        <v>807</v>
      </c>
      <c r="M666" s="544">
        <v>3475</v>
      </c>
      <c r="N666" s="414">
        <v>44674</v>
      </c>
      <c r="O666" s="414" t="s">
        <v>407</v>
      </c>
      <c r="P666" s="603">
        <f t="shared" si="62"/>
        <v>4</v>
      </c>
      <c r="Q666" s="603">
        <f t="shared" si="63"/>
        <v>4</v>
      </c>
      <c r="R666" s="604" t="str">
        <f t="shared" si="64"/>
        <v>Gastos_custeados_por_captação</v>
      </c>
      <c r="S666" s="605" t="s">
        <v>1000</v>
      </c>
      <c r="T666" s="605">
        <v>3493</v>
      </c>
    </row>
    <row r="667" spans="1:20" ht="99.95" customHeight="1" x14ac:dyDescent="0.2">
      <c r="A667" s="510">
        <f>IF(B667="","",COUNT('Diário 1º PA'!$A$4:$A$2635)+ROW()-3)</f>
        <v>2400</v>
      </c>
      <c r="B667" s="414">
        <v>44676</v>
      </c>
      <c r="C667" s="431">
        <v>44652</v>
      </c>
      <c r="D667" s="415" t="s">
        <v>468</v>
      </c>
      <c r="E667" s="415" t="s">
        <v>468</v>
      </c>
      <c r="F667" s="425">
        <v>487.14</v>
      </c>
      <c r="G667" s="427" t="s">
        <v>3542</v>
      </c>
      <c r="H667" s="434" t="s">
        <v>468</v>
      </c>
      <c r="I667" s="639" t="s">
        <v>4800</v>
      </c>
      <c r="J667" s="418" t="s">
        <v>3543</v>
      </c>
      <c r="K667" s="418" t="s">
        <v>830</v>
      </c>
      <c r="L667" s="399" t="s">
        <v>807</v>
      </c>
      <c r="M667" s="544">
        <v>10794</v>
      </c>
      <c r="N667" s="414">
        <v>44676</v>
      </c>
      <c r="O667" s="414" t="s">
        <v>407</v>
      </c>
      <c r="P667" s="603">
        <f t="shared" si="62"/>
        <v>4</v>
      </c>
      <c r="Q667" s="603">
        <f t="shared" si="63"/>
        <v>4</v>
      </c>
      <c r="R667" s="604" t="str">
        <f t="shared" si="64"/>
        <v>Gastos_custeados_por_captação</v>
      </c>
      <c r="S667" s="605" t="s">
        <v>999</v>
      </c>
      <c r="T667" s="605">
        <v>3477</v>
      </c>
    </row>
    <row r="668" spans="1:20" ht="99.95" customHeight="1" x14ac:dyDescent="0.2">
      <c r="A668" s="510">
        <f>IF(B668="","",COUNT('Diário 1º PA'!$A$4:$A$2635)+ROW()-3)</f>
        <v>2401</v>
      </c>
      <c r="B668" s="414">
        <v>44676</v>
      </c>
      <c r="C668" s="431">
        <v>44621</v>
      </c>
      <c r="D668" s="415" t="s">
        <v>468</v>
      </c>
      <c r="E668" s="415" t="s">
        <v>468</v>
      </c>
      <c r="F668" s="425">
        <v>6000</v>
      </c>
      <c r="G668" s="427" t="s">
        <v>2550</v>
      </c>
      <c r="H668" s="434" t="s">
        <v>468</v>
      </c>
      <c r="I668" s="639" t="s">
        <v>4801</v>
      </c>
      <c r="J668" s="418" t="s">
        <v>2551</v>
      </c>
      <c r="K668" s="418" t="s">
        <v>830</v>
      </c>
      <c r="L668" s="399" t="s">
        <v>807</v>
      </c>
      <c r="M668" s="544">
        <v>683</v>
      </c>
      <c r="N668" s="414">
        <v>44673</v>
      </c>
      <c r="O668" s="414" t="s">
        <v>407</v>
      </c>
      <c r="P668" s="603">
        <f t="shared" si="62"/>
        <v>4</v>
      </c>
      <c r="Q668" s="603">
        <f t="shared" si="63"/>
        <v>3</v>
      </c>
      <c r="R668" s="604" t="str">
        <f t="shared" si="64"/>
        <v>Gastos_custeados_por_captação</v>
      </c>
      <c r="S668" s="605" t="s">
        <v>1000</v>
      </c>
      <c r="T668" s="605">
        <v>3154</v>
      </c>
    </row>
    <row r="669" spans="1:20" ht="99.95" customHeight="1" x14ac:dyDescent="0.2">
      <c r="A669" s="510">
        <f>IF(B669="","",COUNT('Diário 1º PA'!$A$4:$A$2635)+ROW()-3)</f>
        <v>2402</v>
      </c>
      <c r="B669" s="414">
        <v>44676</v>
      </c>
      <c r="C669" s="466">
        <v>44621</v>
      </c>
      <c r="D669" s="415" t="s">
        <v>468</v>
      </c>
      <c r="E669" s="415" t="s">
        <v>468</v>
      </c>
      <c r="F669" s="425">
        <v>1374.24</v>
      </c>
      <c r="G669" s="427" t="s">
        <v>4802</v>
      </c>
      <c r="H669" s="434" t="s">
        <v>468</v>
      </c>
      <c r="I669" s="639" t="s">
        <v>1461</v>
      </c>
      <c r="J669" s="418" t="s">
        <v>310</v>
      </c>
      <c r="K669" s="418" t="s">
        <v>1220</v>
      </c>
      <c r="L669" s="399" t="s">
        <v>1368</v>
      </c>
      <c r="M669" s="544" t="s">
        <v>310</v>
      </c>
      <c r="N669" s="414">
        <v>44676</v>
      </c>
      <c r="O669" s="414" t="s">
        <v>407</v>
      </c>
      <c r="P669" s="603">
        <f t="shared" si="62"/>
        <v>4</v>
      </c>
      <c r="Q669" s="603">
        <f t="shared" si="63"/>
        <v>3</v>
      </c>
      <c r="R669" s="604" t="str">
        <f t="shared" si="64"/>
        <v>Gastos_custeados_por_captação</v>
      </c>
      <c r="S669" s="605" t="s">
        <v>310</v>
      </c>
      <c r="T669" s="605" t="s">
        <v>310</v>
      </c>
    </row>
    <row r="670" spans="1:20" s="88" customFormat="1" ht="72" x14ac:dyDescent="0.2">
      <c r="A670" s="510">
        <f>IF(B670="","",COUNT('Diário 1º PA'!$A$4:$A$2635)+ROW()-3)</f>
        <v>2403</v>
      </c>
      <c r="B670" s="414">
        <v>44676</v>
      </c>
      <c r="C670" s="466">
        <v>44621</v>
      </c>
      <c r="D670" s="415" t="s">
        <v>468</v>
      </c>
      <c r="E670" s="415" t="s">
        <v>468</v>
      </c>
      <c r="F670" s="425">
        <v>990.85</v>
      </c>
      <c r="G670" s="427" t="s">
        <v>4803</v>
      </c>
      <c r="H670" s="434" t="s">
        <v>468</v>
      </c>
      <c r="I670" s="639" t="s">
        <v>4691</v>
      </c>
      <c r="J670" s="418" t="s">
        <v>4804</v>
      </c>
      <c r="K670" s="418" t="s">
        <v>830</v>
      </c>
      <c r="L670" s="399" t="s">
        <v>807</v>
      </c>
      <c r="M670" s="415" t="s">
        <v>4805</v>
      </c>
      <c r="N670" s="414">
        <v>44657</v>
      </c>
      <c r="O670" s="414" t="s">
        <v>407</v>
      </c>
      <c r="P670" s="603">
        <f t="shared" si="62"/>
        <v>4</v>
      </c>
      <c r="Q670" s="603">
        <f t="shared" si="63"/>
        <v>3</v>
      </c>
      <c r="R670" s="604" t="str">
        <f t="shared" si="64"/>
        <v>Gastos_custeados_por_captação</v>
      </c>
      <c r="S670" s="605" t="s">
        <v>1000</v>
      </c>
      <c r="T670" s="605">
        <v>3233</v>
      </c>
    </row>
    <row r="671" spans="1:20" s="88" customFormat="1" ht="72" x14ac:dyDescent="0.2">
      <c r="A671" s="510">
        <f>IF(B671="","",COUNT('Diário 1º PA'!$A$4:$A$2635)+ROW()-3)</f>
        <v>2404</v>
      </c>
      <c r="B671" s="414">
        <v>44676</v>
      </c>
      <c r="C671" s="466">
        <v>44621</v>
      </c>
      <c r="D671" s="415" t="s">
        <v>468</v>
      </c>
      <c r="E671" s="415" t="s">
        <v>468</v>
      </c>
      <c r="F671" s="425">
        <v>118.76</v>
      </c>
      <c r="G671" s="427" t="s">
        <v>4802</v>
      </c>
      <c r="H671" s="434" t="s">
        <v>468</v>
      </c>
      <c r="I671" s="639" t="s">
        <v>1461</v>
      </c>
      <c r="J671" s="418" t="s">
        <v>310</v>
      </c>
      <c r="K671" s="418" t="s">
        <v>1220</v>
      </c>
      <c r="L671" s="399" t="s">
        <v>1368</v>
      </c>
      <c r="M671" s="544" t="s">
        <v>310</v>
      </c>
      <c r="N671" s="414">
        <v>44676</v>
      </c>
      <c r="O671" s="414" t="s">
        <v>402</v>
      </c>
      <c r="P671" s="603">
        <f t="shared" si="62"/>
        <v>4</v>
      </c>
      <c r="Q671" s="603">
        <f t="shared" si="63"/>
        <v>3</v>
      </c>
      <c r="R671" s="604" t="str">
        <f t="shared" si="64"/>
        <v>Gastos_custeados_por_captação</v>
      </c>
      <c r="S671" s="605" t="s">
        <v>310</v>
      </c>
      <c r="T671" s="605" t="s">
        <v>310</v>
      </c>
    </row>
    <row r="672" spans="1:20" s="88" customFormat="1" ht="60" x14ac:dyDescent="0.2">
      <c r="A672" s="510">
        <f>IF(B672="","",COUNT('Diário 1º PA'!$A$4:$A$2635)+ROW()-3)</f>
        <v>2405</v>
      </c>
      <c r="B672" s="414">
        <v>44676</v>
      </c>
      <c r="C672" s="466">
        <v>44621</v>
      </c>
      <c r="D672" s="415" t="s">
        <v>468</v>
      </c>
      <c r="E672" s="415" t="s">
        <v>468</v>
      </c>
      <c r="F672" s="425">
        <v>328.8</v>
      </c>
      <c r="G672" s="427" t="s">
        <v>4802</v>
      </c>
      <c r="H672" s="434" t="s">
        <v>468</v>
      </c>
      <c r="I672" s="639" t="s">
        <v>1461</v>
      </c>
      <c r="J672" s="418" t="s">
        <v>310</v>
      </c>
      <c r="K672" s="418" t="s">
        <v>1220</v>
      </c>
      <c r="L672" s="399" t="s">
        <v>1368</v>
      </c>
      <c r="M672" s="544" t="s">
        <v>310</v>
      </c>
      <c r="N672" s="414">
        <v>44676</v>
      </c>
      <c r="O672" s="414" t="s">
        <v>405</v>
      </c>
      <c r="P672" s="603">
        <f t="shared" si="62"/>
        <v>4</v>
      </c>
      <c r="Q672" s="603">
        <f t="shared" si="63"/>
        <v>3</v>
      </c>
      <c r="R672" s="604" t="str">
        <f t="shared" si="64"/>
        <v>Gastos_custeados_por_captação</v>
      </c>
      <c r="S672" s="605" t="s">
        <v>310</v>
      </c>
      <c r="T672" s="605" t="s">
        <v>310</v>
      </c>
    </row>
    <row r="673" spans="1:20" s="88" customFormat="1" ht="60" x14ac:dyDescent="0.2">
      <c r="A673" s="510">
        <f>IF(B673="","",COUNT('Diário 1º PA'!$A$4:$A$2635)+ROW()-3)</f>
        <v>2406</v>
      </c>
      <c r="B673" s="414">
        <v>44676</v>
      </c>
      <c r="C673" s="466">
        <v>44621</v>
      </c>
      <c r="D673" s="415" t="s">
        <v>468</v>
      </c>
      <c r="E673" s="415" t="s">
        <v>468</v>
      </c>
      <c r="F673" s="425">
        <v>427.01</v>
      </c>
      <c r="G673" s="427" t="s">
        <v>4802</v>
      </c>
      <c r="H673" s="434" t="s">
        <v>468</v>
      </c>
      <c r="I673" s="639" t="s">
        <v>1461</v>
      </c>
      <c r="J673" s="418" t="s">
        <v>310</v>
      </c>
      <c r="K673" s="418" t="s">
        <v>1220</v>
      </c>
      <c r="L673" s="399" t="s">
        <v>1368</v>
      </c>
      <c r="M673" s="544" t="s">
        <v>310</v>
      </c>
      <c r="N673" s="414">
        <v>44676</v>
      </c>
      <c r="O673" s="414" t="s">
        <v>404</v>
      </c>
      <c r="P673" s="603">
        <f t="shared" si="62"/>
        <v>4</v>
      </c>
      <c r="Q673" s="603">
        <f t="shared" si="63"/>
        <v>3</v>
      </c>
      <c r="R673" s="604" t="str">
        <f t="shared" si="64"/>
        <v>Gastos_custeados_por_captação</v>
      </c>
      <c r="S673" s="605" t="s">
        <v>310</v>
      </c>
      <c r="T673" s="605" t="s">
        <v>310</v>
      </c>
    </row>
    <row r="674" spans="1:20" s="88" customFormat="1" ht="36" x14ac:dyDescent="0.2">
      <c r="A674" s="510">
        <f>IF(B674="","",COUNT('Diário 1º PA'!$A$4:$A$2635)+ROW()-3)</f>
        <v>2407</v>
      </c>
      <c r="B674" s="414">
        <v>44677</v>
      </c>
      <c r="C674" s="466">
        <v>44621</v>
      </c>
      <c r="D674" s="415" t="s">
        <v>315</v>
      </c>
      <c r="E674" s="415" t="s">
        <v>315</v>
      </c>
      <c r="F674" s="435">
        <v>10906.71</v>
      </c>
      <c r="G674" s="437" t="s">
        <v>3667</v>
      </c>
      <c r="H674" s="434" t="s">
        <v>310</v>
      </c>
      <c r="I674" s="437" t="s">
        <v>1473</v>
      </c>
      <c r="J674" s="434" t="s">
        <v>796</v>
      </c>
      <c r="K674" s="415" t="s">
        <v>806</v>
      </c>
      <c r="L674" s="434" t="s">
        <v>798</v>
      </c>
      <c r="M674" s="436" t="s">
        <v>310</v>
      </c>
      <c r="N674" s="414">
        <v>44677</v>
      </c>
      <c r="O674" s="414" t="s">
        <v>400</v>
      </c>
      <c r="P674" s="603">
        <f t="shared" si="62"/>
        <v>4</v>
      </c>
      <c r="Q674" s="603">
        <f t="shared" si="63"/>
        <v>3</v>
      </c>
      <c r="R674" s="604" t="str">
        <f t="shared" si="64"/>
        <v>Transferência_para_Reserva_de_Recursos</v>
      </c>
      <c r="S674" s="605" t="s">
        <v>310</v>
      </c>
      <c r="T674" s="605" t="s">
        <v>310</v>
      </c>
    </row>
    <row r="675" spans="1:20" s="88" customFormat="1" ht="99.95" customHeight="1" x14ac:dyDescent="0.2">
      <c r="A675" s="510">
        <f>IF(B675="","",COUNT('Diário 1º PA'!$A$4:$A$2635)+ROW()-3)</f>
        <v>2408</v>
      </c>
      <c r="B675" s="414">
        <v>44677</v>
      </c>
      <c r="C675" s="466">
        <v>44652</v>
      </c>
      <c r="D675" s="415" t="s">
        <v>182</v>
      </c>
      <c r="E675" s="415" t="s">
        <v>6</v>
      </c>
      <c r="F675" s="425">
        <v>420</v>
      </c>
      <c r="G675" s="427" t="s">
        <v>3655</v>
      </c>
      <c r="H675" s="415" t="s">
        <v>310</v>
      </c>
      <c r="I675" s="427" t="s">
        <v>828</v>
      </c>
      <c r="J675" s="415" t="s">
        <v>829</v>
      </c>
      <c r="K675" s="415" t="s">
        <v>830</v>
      </c>
      <c r="L675" s="415" t="s">
        <v>1305</v>
      </c>
      <c r="M675" s="415" t="s">
        <v>310</v>
      </c>
      <c r="N675" s="414">
        <v>44677</v>
      </c>
      <c r="O675" s="414" t="s">
        <v>400</v>
      </c>
      <c r="P675" s="603">
        <f t="shared" ref="P675:P696" si="65">IF(B675=0,0,IF(YEAR(B675)=$Q$1,MONTH(B675)-$P$1+1,(YEAR(B675)-$Q$1)*12-$P$1+1+MONTH(B675)))</f>
        <v>4</v>
      </c>
      <c r="Q675" s="603">
        <f t="shared" ref="Q675:Q696" si="66">IF(C675=0,0,IF(YEAR(C675)=$Q$1,MONTH(C675)-$P$1+1,(YEAR(C675)-$Q$1)*12-$P$1+1+MONTH(C675)))</f>
        <v>4</v>
      </c>
      <c r="R675" s="604" t="str">
        <f t="shared" ref="R675:R696" si="67">SUBSTITUTE(D675," ","_")</f>
        <v>Gastos_com_Pessoal</v>
      </c>
      <c r="S675" s="605" t="s">
        <v>310</v>
      </c>
      <c r="T675" s="605" t="s">
        <v>310</v>
      </c>
    </row>
    <row r="676" spans="1:20" s="88" customFormat="1" ht="99.95" customHeight="1" x14ac:dyDescent="0.2">
      <c r="A676" s="510">
        <f>IF(B676="","",COUNT('Diário 1º PA'!$A$4:$A$2635)+ROW()-3)</f>
        <v>2409</v>
      </c>
      <c r="B676" s="414">
        <v>44677</v>
      </c>
      <c r="C676" s="431">
        <v>44652</v>
      </c>
      <c r="D676" s="415" t="s">
        <v>271</v>
      </c>
      <c r="E676" s="415" t="s">
        <v>456</v>
      </c>
      <c r="F676" s="425">
        <v>489.95</v>
      </c>
      <c r="G676" s="427" t="s">
        <v>3283</v>
      </c>
      <c r="H676" s="419" t="s">
        <v>761</v>
      </c>
      <c r="I676" s="427" t="s">
        <v>3668</v>
      </c>
      <c r="J676" s="415" t="s">
        <v>1023</v>
      </c>
      <c r="K676" s="415" t="s">
        <v>830</v>
      </c>
      <c r="L676" s="415" t="s">
        <v>807</v>
      </c>
      <c r="M676" s="415" t="s">
        <v>1465</v>
      </c>
      <c r="N676" s="414">
        <v>44677</v>
      </c>
      <c r="O676" s="414" t="s">
        <v>400</v>
      </c>
      <c r="P676" s="603">
        <f t="shared" si="65"/>
        <v>4</v>
      </c>
      <c r="Q676" s="603">
        <f t="shared" si="66"/>
        <v>4</v>
      </c>
      <c r="R676" s="604" t="str">
        <f t="shared" si="67"/>
        <v>Gastos_Gerais</v>
      </c>
      <c r="S676" s="605" t="s">
        <v>998</v>
      </c>
      <c r="T676" s="605">
        <v>3384</v>
      </c>
    </row>
    <row r="677" spans="1:20" s="88" customFormat="1" ht="99.95" customHeight="1" x14ac:dyDescent="0.2">
      <c r="A677" s="510">
        <f>IF(B677="","",COUNT('Diário 1º PA'!$A$4:$A$2635)+ROW()-3)</f>
        <v>2410</v>
      </c>
      <c r="B677" s="414">
        <v>44677</v>
      </c>
      <c r="C677" s="431">
        <v>44652</v>
      </c>
      <c r="D677" s="415" t="s">
        <v>271</v>
      </c>
      <c r="E677" s="415" t="s">
        <v>456</v>
      </c>
      <c r="F677" s="425">
        <v>164.35</v>
      </c>
      <c r="G677" s="427" t="s">
        <v>3538</v>
      </c>
      <c r="H677" s="419" t="s">
        <v>752</v>
      </c>
      <c r="I677" s="427" t="s">
        <v>2337</v>
      </c>
      <c r="J677" s="415" t="s">
        <v>1602</v>
      </c>
      <c r="K677" s="415" t="s">
        <v>812</v>
      </c>
      <c r="L677" s="415" t="s">
        <v>807</v>
      </c>
      <c r="M677" s="415" t="s">
        <v>4030</v>
      </c>
      <c r="N677" s="414">
        <v>44678</v>
      </c>
      <c r="O677" s="414" t="s">
        <v>400</v>
      </c>
      <c r="P677" s="603">
        <f t="shared" si="65"/>
        <v>4</v>
      </c>
      <c r="Q677" s="603">
        <f t="shared" si="66"/>
        <v>4</v>
      </c>
      <c r="R677" s="604" t="str">
        <f t="shared" si="67"/>
        <v>Gastos_Gerais</v>
      </c>
      <c r="S677" s="605" t="s">
        <v>999</v>
      </c>
      <c r="T677" s="605">
        <v>3482</v>
      </c>
    </row>
    <row r="678" spans="1:20" s="88" customFormat="1" ht="99.95" customHeight="1" x14ac:dyDescent="0.2">
      <c r="A678" s="510">
        <f>IF(B678="","",COUNT('Diário 1º PA'!$A$4:$A$2635)+ROW()-3)</f>
        <v>2411</v>
      </c>
      <c r="B678" s="414">
        <v>44677</v>
      </c>
      <c r="C678" s="431">
        <v>44652</v>
      </c>
      <c r="D678" s="415" t="s">
        <v>271</v>
      </c>
      <c r="E678" s="415" t="s">
        <v>456</v>
      </c>
      <c r="F678" s="425">
        <v>3467.5</v>
      </c>
      <c r="G678" s="427" t="s">
        <v>3281</v>
      </c>
      <c r="H678" s="419" t="s">
        <v>752</v>
      </c>
      <c r="I678" s="427" t="s">
        <v>3671</v>
      </c>
      <c r="J678" s="415" t="s">
        <v>3282</v>
      </c>
      <c r="K678" s="415" t="s">
        <v>830</v>
      </c>
      <c r="L678" s="415" t="s">
        <v>807</v>
      </c>
      <c r="M678" s="415" t="s">
        <v>3672</v>
      </c>
      <c r="N678" s="414">
        <v>44677</v>
      </c>
      <c r="O678" s="414" t="s">
        <v>400</v>
      </c>
      <c r="P678" s="603">
        <f t="shared" si="65"/>
        <v>4</v>
      </c>
      <c r="Q678" s="603">
        <f t="shared" si="66"/>
        <v>4</v>
      </c>
      <c r="R678" s="604" t="str">
        <f t="shared" si="67"/>
        <v>Gastos_Gerais</v>
      </c>
      <c r="S678" s="605" t="s">
        <v>1000</v>
      </c>
      <c r="T678" s="605">
        <v>3327</v>
      </c>
    </row>
    <row r="679" spans="1:20" s="88" customFormat="1" ht="24" x14ac:dyDescent="0.2">
      <c r="A679" s="510">
        <f>IF(B679="","",COUNT('Diário 1º PA'!$A$4:$A$2635)+ROW()-3)</f>
        <v>2412</v>
      </c>
      <c r="B679" s="414">
        <v>44677</v>
      </c>
      <c r="C679" s="431">
        <v>44652</v>
      </c>
      <c r="D679" s="415" t="s">
        <v>271</v>
      </c>
      <c r="E679" s="415" t="s">
        <v>71</v>
      </c>
      <c r="F679" s="425">
        <v>11</v>
      </c>
      <c r="G679" s="427" t="s">
        <v>3664</v>
      </c>
      <c r="H679" s="419" t="s">
        <v>310</v>
      </c>
      <c r="I679" s="639" t="s">
        <v>881</v>
      </c>
      <c r="J679" s="418" t="s">
        <v>882</v>
      </c>
      <c r="K679" s="418" t="s">
        <v>883</v>
      </c>
      <c r="L679" s="399" t="s">
        <v>798</v>
      </c>
      <c r="M679" s="544" t="s">
        <v>310</v>
      </c>
      <c r="N679" s="414">
        <v>44677</v>
      </c>
      <c r="O679" s="414" t="s">
        <v>400</v>
      </c>
      <c r="P679" s="603">
        <f t="shared" si="65"/>
        <v>4</v>
      </c>
      <c r="Q679" s="603">
        <f t="shared" si="66"/>
        <v>4</v>
      </c>
      <c r="R679" s="604" t="str">
        <f t="shared" si="67"/>
        <v>Gastos_Gerais</v>
      </c>
      <c r="S679" s="605" t="s">
        <v>310</v>
      </c>
      <c r="T679" s="605" t="s">
        <v>310</v>
      </c>
    </row>
    <row r="680" spans="1:20" s="88" customFormat="1" ht="36" x14ac:dyDescent="0.2">
      <c r="A680" s="510">
        <f>IF(B680="","",COUNT('Diário 1º PA'!$A$4:$A$2635)+ROW()-3)</f>
        <v>2413</v>
      </c>
      <c r="B680" s="414">
        <v>44677</v>
      </c>
      <c r="C680" s="466">
        <v>44652</v>
      </c>
      <c r="D680" s="415" t="s">
        <v>271</v>
      </c>
      <c r="E680" s="415" t="s">
        <v>71</v>
      </c>
      <c r="F680" s="425">
        <v>11</v>
      </c>
      <c r="G680" s="427" t="s">
        <v>3673</v>
      </c>
      <c r="H680" s="419" t="s">
        <v>761</v>
      </c>
      <c r="I680" s="639" t="s">
        <v>881</v>
      </c>
      <c r="J680" s="418" t="s">
        <v>882</v>
      </c>
      <c r="K680" s="418" t="s">
        <v>883</v>
      </c>
      <c r="L680" s="399" t="s">
        <v>798</v>
      </c>
      <c r="M680" s="544" t="s">
        <v>310</v>
      </c>
      <c r="N680" s="414">
        <v>44677</v>
      </c>
      <c r="O680" s="414" t="s">
        <v>400</v>
      </c>
      <c r="P680" s="603">
        <f t="shared" si="65"/>
        <v>4</v>
      </c>
      <c r="Q680" s="603">
        <f t="shared" si="66"/>
        <v>4</v>
      </c>
      <c r="R680" s="604" t="str">
        <f t="shared" si="67"/>
        <v>Gastos_Gerais</v>
      </c>
      <c r="S680" s="605" t="s">
        <v>310</v>
      </c>
      <c r="T680" s="605" t="s">
        <v>310</v>
      </c>
    </row>
    <row r="681" spans="1:20" s="88" customFormat="1" ht="36" x14ac:dyDescent="0.2">
      <c r="A681" s="510">
        <f>IF(B681="","",COUNT('Diário 1º PA'!$A$4:$A$2635)+ROW()-3)</f>
        <v>2414</v>
      </c>
      <c r="B681" s="414">
        <v>44677</v>
      </c>
      <c r="C681" s="466">
        <v>44652</v>
      </c>
      <c r="D681" s="415" t="s">
        <v>271</v>
      </c>
      <c r="E681" s="415" t="s">
        <v>71</v>
      </c>
      <c r="F681" s="425">
        <v>11</v>
      </c>
      <c r="G681" s="427" t="s">
        <v>3674</v>
      </c>
      <c r="H681" s="419" t="s">
        <v>752</v>
      </c>
      <c r="I681" s="639" t="s">
        <v>881</v>
      </c>
      <c r="J681" s="418" t="s">
        <v>882</v>
      </c>
      <c r="K681" s="418" t="s">
        <v>883</v>
      </c>
      <c r="L681" s="399" t="s">
        <v>798</v>
      </c>
      <c r="M681" s="544" t="s">
        <v>310</v>
      </c>
      <c r="N681" s="414">
        <v>44677</v>
      </c>
      <c r="O681" s="414" t="s">
        <v>400</v>
      </c>
      <c r="P681" s="603">
        <f>IF(B681=0,0,IF(YEAR(B681)=$Q$1,MONTH(B681)-$P$1+1,(YEAR(B681)-$Q$1)*12-$P$1+1+MONTH(B681)))</f>
        <v>4</v>
      </c>
      <c r="Q681" s="603">
        <f>IF(C681=0,0,IF(YEAR(C681)=$Q$1,MONTH(C681)-$P$1+1,(YEAR(C681)-$Q$1)*12-$P$1+1+MONTH(C681)))</f>
        <v>4</v>
      </c>
      <c r="R681" s="604" t="str">
        <f>SUBSTITUTE(D681," ","_")</f>
        <v>Gastos_Gerais</v>
      </c>
      <c r="S681" s="605" t="s">
        <v>310</v>
      </c>
      <c r="T681" s="605" t="s">
        <v>310</v>
      </c>
    </row>
    <row r="682" spans="1:20" s="88" customFormat="1" ht="48" x14ac:dyDescent="0.2">
      <c r="A682" s="510">
        <f>IF(B682="","",COUNT('Diário 1º PA'!$A$4:$A$2635)+ROW()-3)</f>
        <v>2415</v>
      </c>
      <c r="B682" s="414">
        <v>44677</v>
      </c>
      <c r="C682" s="431">
        <v>44652</v>
      </c>
      <c r="D682" s="415" t="s">
        <v>468</v>
      </c>
      <c r="E682" s="415" t="s">
        <v>468</v>
      </c>
      <c r="F682" s="425">
        <v>14700</v>
      </c>
      <c r="G682" s="427" t="s">
        <v>1600</v>
      </c>
      <c r="H682" s="419" t="s">
        <v>468</v>
      </c>
      <c r="I682" s="639" t="s">
        <v>2483</v>
      </c>
      <c r="J682" s="418" t="s">
        <v>1601</v>
      </c>
      <c r="K682" s="415" t="s">
        <v>830</v>
      </c>
      <c r="L682" s="415" t="s">
        <v>807</v>
      </c>
      <c r="M682" s="415" t="s">
        <v>1308</v>
      </c>
      <c r="N682" s="414">
        <v>44676</v>
      </c>
      <c r="O682" s="414" t="s">
        <v>408</v>
      </c>
      <c r="P682" s="603">
        <f>IF(B682=0,0,IF(YEAR(B682)=$Q$1,MONTH(B682)-$P$1+1,(YEAR(B682)-$Q$1)*12-$P$1+1+MONTH(B682)))</f>
        <v>4</v>
      </c>
      <c r="Q682" s="603">
        <f>IF(C682=0,0,IF(YEAR(C682)=$Q$1,MONTH(C682)-$P$1+1,(YEAR(C682)-$Q$1)*12-$P$1+1+MONTH(C682)))</f>
        <v>4</v>
      </c>
      <c r="R682" s="604" t="str">
        <f>SUBSTITUTE(D682," ","_")</f>
        <v>Gastos_custeados_por_captação</v>
      </c>
      <c r="S682" s="605" t="s">
        <v>998</v>
      </c>
      <c r="T682" s="605">
        <v>2835</v>
      </c>
    </row>
    <row r="683" spans="1:20" ht="36" x14ac:dyDescent="0.2">
      <c r="A683" s="510">
        <f>IF(B683="","",COUNT('Diário 1º PA'!$A$4:$A$2635)+ROW()-3)</f>
        <v>2416</v>
      </c>
      <c r="B683" s="414">
        <v>44677</v>
      </c>
      <c r="C683" s="466">
        <v>44652</v>
      </c>
      <c r="D683" s="415" t="s">
        <v>468</v>
      </c>
      <c r="E683" s="415" t="s">
        <v>468</v>
      </c>
      <c r="F683" s="425">
        <v>11</v>
      </c>
      <c r="G683" s="427" t="s">
        <v>4799</v>
      </c>
      <c r="H683" s="419" t="s">
        <v>468</v>
      </c>
      <c r="I683" s="639" t="s">
        <v>881</v>
      </c>
      <c r="J683" s="418" t="s">
        <v>882</v>
      </c>
      <c r="K683" s="418" t="s">
        <v>883</v>
      </c>
      <c r="L683" s="399" t="s">
        <v>798</v>
      </c>
      <c r="M683" s="544" t="s">
        <v>310</v>
      </c>
      <c r="N683" s="414">
        <v>44677</v>
      </c>
      <c r="O683" s="414" t="s">
        <v>408</v>
      </c>
      <c r="P683" s="603">
        <f t="shared" ref="P683:P691" si="68">IF(B683=0,0,IF(YEAR(B683)=$Q$1,MONTH(B683)-$P$1+1,(YEAR(B683)-$Q$1)*12-$P$1+1+MONTH(B683)))</f>
        <v>4</v>
      </c>
      <c r="Q683" s="603">
        <f t="shared" ref="Q683:Q691" si="69">IF(C683=0,0,IF(YEAR(C683)=$Q$1,MONTH(C683)-$P$1+1,(YEAR(C683)-$Q$1)*12-$P$1+1+MONTH(C683)))</f>
        <v>4</v>
      </c>
      <c r="R683" s="604" t="str">
        <f t="shared" ref="R683:R691" si="70">SUBSTITUTE(D683," ","_")</f>
        <v>Gastos_custeados_por_captação</v>
      </c>
      <c r="S683" s="605" t="s">
        <v>310</v>
      </c>
      <c r="T683" s="605" t="s">
        <v>310</v>
      </c>
    </row>
    <row r="684" spans="1:20" ht="72" x14ac:dyDescent="0.2">
      <c r="A684" s="510">
        <f>IF(B684="","",COUNT('Diário 1º PA'!$A$4:$A$2635)+ROW()-3)</f>
        <v>2417</v>
      </c>
      <c r="B684" s="414">
        <v>44677</v>
      </c>
      <c r="C684" s="466">
        <v>44593</v>
      </c>
      <c r="D684" s="415" t="s">
        <v>468</v>
      </c>
      <c r="E684" s="415" t="s">
        <v>468</v>
      </c>
      <c r="F684" s="425">
        <v>550</v>
      </c>
      <c r="G684" s="427" t="s">
        <v>3245</v>
      </c>
      <c r="H684" s="419" t="s">
        <v>468</v>
      </c>
      <c r="I684" s="639" t="s">
        <v>2803</v>
      </c>
      <c r="J684" s="418" t="s">
        <v>2426</v>
      </c>
      <c r="K684" s="418" t="s">
        <v>830</v>
      </c>
      <c r="L684" s="399" t="s">
        <v>32</v>
      </c>
      <c r="M684" s="544">
        <v>32745375</v>
      </c>
      <c r="N684" s="414">
        <v>44669</v>
      </c>
      <c r="O684" s="414" t="s">
        <v>407</v>
      </c>
      <c r="P684" s="603">
        <f t="shared" si="68"/>
        <v>4</v>
      </c>
      <c r="Q684" s="603">
        <f t="shared" si="69"/>
        <v>2</v>
      </c>
      <c r="R684" s="604" t="str">
        <f t="shared" si="70"/>
        <v>Gastos_custeados_por_captação</v>
      </c>
      <c r="S684" s="605" t="s">
        <v>998</v>
      </c>
      <c r="T684" s="605">
        <v>3364</v>
      </c>
    </row>
    <row r="685" spans="1:20" ht="72" x14ac:dyDescent="0.2">
      <c r="A685" s="510">
        <f>IF(B685="","",COUNT('Diário 1º PA'!$A$4:$A$2635)+ROW()-3)</f>
        <v>2418</v>
      </c>
      <c r="B685" s="414">
        <v>44677</v>
      </c>
      <c r="C685" s="466">
        <v>44621</v>
      </c>
      <c r="D685" s="415" t="s">
        <v>468</v>
      </c>
      <c r="E685" s="415" t="s">
        <v>468</v>
      </c>
      <c r="F685" s="425">
        <v>1150</v>
      </c>
      <c r="G685" s="427" t="s">
        <v>2266</v>
      </c>
      <c r="H685" s="419" t="s">
        <v>468</v>
      </c>
      <c r="I685" s="639" t="s">
        <v>4811</v>
      </c>
      <c r="J685" s="418" t="s">
        <v>2265</v>
      </c>
      <c r="K685" s="418" t="s">
        <v>830</v>
      </c>
      <c r="L685" s="399" t="s">
        <v>32</v>
      </c>
      <c r="M685" s="415" t="s">
        <v>1608</v>
      </c>
      <c r="N685" s="414">
        <v>44676</v>
      </c>
      <c r="O685" s="414" t="s">
        <v>407</v>
      </c>
      <c r="P685" s="603">
        <f t="shared" si="68"/>
        <v>4</v>
      </c>
      <c r="Q685" s="603">
        <f t="shared" si="69"/>
        <v>3</v>
      </c>
      <c r="R685" s="604" t="str">
        <f t="shared" si="70"/>
        <v>Gastos_custeados_por_captação</v>
      </c>
      <c r="S685" s="605" t="s">
        <v>998</v>
      </c>
      <c r="T685" s="605">
        <v>3201</v>
      </c>
    </row>
    <row r="686" spans="1:20" ht="99.95" customHeight="1" x14ac:dyDescent="0.2">
      <c r="A686" s="510">
        <f>IF(B686="","",COUNT('Diário 1º PA'!$A$4:$A$2635)+ROW()-3)</f>
        <v>2419</v>
      </c>
      <c r="B686" s="414">
        <v>44677</v>
      </c>
      <c r="C686" s="466">
        <v>44652</v>
      </c>
      <c r="D686" s="415" t="s">
        <v>468</v>
      </c>
      <c r="E686" s="415" t="s">
        <v>468</v>
      </c>
      <c r="F686" s="425">
        <v>850</v>
      </c>
      <c r="G686" s="427" t="s">
        <v>3530</v>
      </c>
      <c r="H686" s="419" t="s">
        <v>468</v>
      </c>
      <c r="I686" s="639" t="s">
        <v>785</v>
      </c>
      <c r="J686" s="418" t="s">
        <v>4812</v>
      </c>
      <c r="K686" s="418" t="s">
        <v>830</v>
      </c>
      <c r="L686" s="399" t="s">
        <v>32</v>
      </c>
      <c r="M686" s="544">
        <v>32745262</v>
      </c>
      <c r="N686" s="414">
        <v>44669</v>
      </c>
      <c r="O686" s="414" t="s">
        <v>407</v>
      </c>
      <c r="P686" s="603">
        <f t="shared" si="68"/>
        <v>4</v>
      </c>
      <c r="Q686" s="603">
        <f t="shared" si="69"/>
        <v>4</v>
      </c>
      <c r="R686" s="604" t="str">
        <f t="shared" si="70"/>
        <v>Gastos_custeados_por_captação</v>
      </c>
      <c r="S686" s="605" t="s">
        <v>999</v>
      </c>
      <c r="T686" s="605">
        <v>3494</v>
      </c>
    </row>
    <row r="687" spans="1:20" ht="99.95" customHeight="1" x14ac:dyDescent="0.2">
      <c r="A687" s="510">
        <f>IF(B687="","",COUNT('Diário 1º PA'!$A$4:$A$2635)+ROW()-3)</f>
        <v>2420</v>
      </c>
      <c r="B687" s="414">
        <v>44677</v>
      </c>
      <c r="C687" s="466">
        <v>44470</v>
      </c>
      <c r="D687" s="415" t="s">
        <v>468</v>
      </c>
      <c r="E687" s="415" t="s">
        <v>468</v>
      </c>
      <c r="F687" s="425">
        <v>500</v>
      </c>
      <c r="G687" s="427" t="s">
        <v>4813</v>
      </c>
      <c r="H687" s="419" t="s">
        <v>468</v>
      </c>
      <c r="I687" s="639" t="s">
        <v>4814</v>
      </c>
      <c r="J687" s="418" t="s">
        <v>4815</v>
      </c>
      <c r="K687" s="418" t="s">
        <v>830</v>
      </c>
      <c r="L687" s="399" t="s">
        <v>32</v>
      </c>
      <c r="M687" s="415" t="s">
        <v>1786</v>
      </c>
      <c r="N687" s="414">
        <v>44669</v>
      </c>
      <c r="O687" s="414" t="s">
        <v>407</v>
      </c>
      <c r="P687" s="603">
        <f t="shared" si="68"/>
        <v>4</v>
      </c>
      <c r="Q687" s="603">
        <f t="shared" si="69"/>
        <v>-2</v>
      </c>
      <c r="R687" s="604" t="str">
        <f t="shared" si="70"/>
        <v>Gastos_custeados_por_captação</v>
      </c>
      <c r="S687" s="605" t="s">
        <v>998</v>
      </c>
      <c r="T687" s="605">
        <v>2208</v>
      </c>
    </row>
    <row r="688" spans="1:20" ht="99.95" customHeight="1" x14ac:dyDescent="0.2">
      <c r="A688" s="510">
        <f>IF(B688="","",COUNT('Diário 1º PA'!$A$4:$A$2635)+ROW()-3)</f>
        <v>2421</v>
      </c>
      <c r="B688" s="414">
        <v>44677</v>
      </c>
      <c r="C688" s="466">
        <v>44621</v>
      </c>
      <c r="D688" s="415" t="s">
        <v>468</v>
      </c>
      <c r="E688" s="415" t="s">
        <v>468</v>
      </c>
      <c r="F688" s="425">
        <v>1000</v>
      </c>
      <c r="G688" s="427" t="s">
        <v>2540</v>
      </c>
      <c r="H688" s="419" t="s">
        <v>468</v>
      </c>
      <c r="I688" s="639" t="s">
        <v>815</v>
      </c>
      <c r="J688" s="418" t="s">
        <v>816</v>
      </c>
      <c r="K688" s="418" t="s">
        <v>830</v>
      </c>
      <c r="L688" s="399" t="s">
        <v>32</v>
      </c>
      <c r="M688" s="544">
        <v>308703</v>
      </c>
      <c r="N688" s="414">
        <v>44649</v>
      </c>
      <c r="O688" s="414" t="s">
        <v>407</v>
      </c>
      <c r="P688" s="603">
        <f t="shared" si="68"/>
        <v>4</v>
      </c>
      <c r="Q688" s="603">
        <f t="shared" si="69"/>
        <v>3</v>
      </c>
      <c r="R688" s="604" t="str">
        <f t="shared" si="70"/>
        <v>Gastos_custeados_por_captação</v>
      </c>
      <c r="S688" s="605" t="s">
        <v>999</v>
      </c>
      <c r="T688" s="605">
        <v>3285</v>
      </c>
    </row>
    <row r="689" spans="1:20" ht="99.95" customHeight="1" x14ac:dyDescent="0.2">
      <c r="A689" s="510">
        <f>IF(B689="","",COUNT('Diário 1º PA'!$A$4:$A$2635)+ROW()-3)</f>
        <v>2422</v>
      </c>
      <c r="B689" s="414">
        <v>44677</v>
      </c>
      <c r="C689" s="466">
        <v>44652</v>
      </c>
      <c r="D689" s="415" t="s">
        <v>468</v>
      </c>
      <c r="E689" s="415" t="s">
        <v>468</v>
      </c>
      <c r="F689" s="425">
        <v>1116.4000000000001</v>
      </c>
      <c r="G689" s="427" t="s">
        <v>3550</v>
      </c>
      <c r="H689" s="419" t="s">
        <v>468</v>
      </c>
      <c r="I689" s="639" t="s">
        <v>4816</v>
      </c>
      <c r="J689" s="418" t="s">
        <v>3551</v>
      </c>
      <c r="K689" s="418" t="s">
        <v>830</v>
      </c>
      <c r="L689" s="399" t="s">
        <v>32</v>
      </c>
      <c r="M689" s="544">
        <v>1227</v>
      </c>
      <c r="N689" s="414">
        <v>44677</v>
      </c>
      <c r="O689" s="414" t="s">
        <v>407</v>
      </c>
      <c r="P689" s="603">
        <f t="shared" si="68"/>
        <v>4</v>
      </c>
      <c r="Q689" s="603">
        <f t="shared" si="69"/>
        <v>4</v>
      </c>
      <c r="R689" s="604" t="str">
        <f t="shared" si="70"/>
        <v>Gastos_custeados_por_captação</v>
      </c>
      <c r="S689" s="605" t="s">
        <v>999</v>
      </c>
      <c r="T689" s="605">
        <v>3513</v>
      </c>
    </row>
    <row r="690" spans="1:20" ht="72" x14ac:dyDescent="0.2">
      <c r="A690" s="510">
        <f>IF(B690="","",COUNT('Diário 1º PA'!$A$4:$A$2635)+ROW()-3)</f>
        <v>2423</v>
      </c>
      <c r="B690" s="414">
        <v>44677</v>
      </c>
      <c r="C690" s="466">
        <v>44621</v>
      </c>
      <c r="D690" s="415" t="s">
        <v>468</v>
      </c>
      <c r="E690" s="415" t="s">
        <v>468</v>
      </c>
      <c r="F690" s="425">
        <v>6000</v>
      </c>
      <c r="G690" s="427" t="s">
        <v>720</v>
      </c>
      <c r="H690" s="419" t="s">
        <v>468</v>
      </c>
      <c r="I690" s="639" t="s">
        <v>3558</v>
      </c>
      <c r="J690" s="418" t="s">
        <v>1052</v>
      </c>
      <c r="K690" s="418" t="s">
        <v>830</v>
      </c>
      <c r="L690" s="399" t="s">
        <v>32</v>
      </c>
      <c r="M690" s="544">
        <v>146</v>
      </c>
      <c r="N690" s="414">
        <v>44676</v>
      </c>
      <c r="O690" s="414" t="s">
        <v>407</v>
      </c>
      <c r="P690" s="603">
        <f t="shared" si="68"/>
        <v>4</v>
      </c>
      <c r="Q690" s="603">
        <f t="shared" si="69"/>
        <v>3</v>
      </c>
      <c r="R690" s="604" t="str">
        <f t="shared" si="70"/>
        <v>Gastos_custeados_por_captação</v>
      </c>
      <c r="S690" s="605" t="s">
        <v>1000</v>
      </c>
      <c r="T690" s="605">
        <v>2766</v>
      </c>
    </row>
    <row r="691" spans="1:20" ht="72" x14ac:dyDescent="0.2">
      <c r="A691" s="510">
        <f>IF(B691="","",COUNT('Diário 1º PA'!$A$4:$A$2635)+ROW()-3)</f>
        <v>2424</v>
      </c>
      <c r="B691" s="414">
        <v>44677</v>
      </c>
      <c r="C691" s="466">
        <v>44621</v>
      </c>
      <c r="D691" s="415" t="s">
        <v>468</v>
      </c>
      <c r="E691" s="415" t="s">
        <v>468</v>
      </c>
      <c r="F691" s="425">
        <v>9697</v>
      </c>
      <c r="G691" s="427" t="s">
        <v>2308</v>
      </c>
      <c r="H691" s="419" t="s">
        <v>468</v>
      </c>
      <c r="I691" s="639" t="s">
        <v>4817</v>
      </c>
      <c r="J691" s="418" t="s">
        <v>1051</v>
      </c>
      <c r="K691" s="418" t="s">
        <v>830</v>
      </c>
      <c r="L691" s="399" t="s">
        <v>32</v>
      </c>
      <c r="M691" s="415" t="s">
        <v>3075</v>
      </c>
      <c r="N691" s="414">
        <v>44676</v>
      </c>
      <c r="O691" s="414" t="s">
        <v>407</v>
      </c>
      <c r="P691" s="603">
        <f t="shared" si="68"/>
        <v>4</v>
      </c>
      <c r="Q691" s="603">
        <f t="shared" si="69"/>
        <v>3</v>
      </c>
      <c r="R691" s="604" t="str">
        <f t="shared" si="70"/>
        <v>Gastos_custeados_por_captação</v>
      </c>
      <c r="S691" s="605" t="s">
        <v>1000</v>
      </c>
      <c r="T691" s="605">
        <v>3204</v>
      </c>
    </row>
    <row r="692" spans="1:20" s="88" customFormat="1" ht="48" x14ac:dyDescent="0.2">
      <c r="A692" s="510">
        <f>IF(B692="","",COUNT('Diário 1º PA'!$A$4:$A$2635)+ROW()-3)</f>
        <v>2425</v>
      </c>
      <c r="B692" s="414">
        <v>44677</v>
      </c>
      <c r="C692" s="592">
        <v>44652</v>
      </c>
      <c r="D692" s="415" t="s">
        <v>468</v>
      </c>
      <c r="E692" s="415" t="s">
        <v>468</v>
      </c>
      <c r="F692" s="425">
        <v>68.8</v>
      </c>
      <c r="G692" s="427" t="s">
        <v>5021</v>
      </c>
      <c r="H692" s="415" t="s">
        <v>468</v>
      </c>
      <c r="I692" s="427" t="s">
        <v>5022</v>
      </c>
      <c r="J692" s="415" t="s">
        <v>3715</v>
      </c>
      <c r="K692" s="415" t="s">
        <v>812</v>
      </c>
      <c r="L692" s="415" t="s">
        <v>807</v>
      </c>
      <c r="M692" s="415">
        <v>79491</v>
      </c>
      <c r="N692" s="414">
        <v>44656</v>
      </c>
      <c r="O692" s="414" t="s">
        <v>403</v>
      </c>
      <c r="P692" s="603">
        <f t="shared" si="65"/>
        <v>4</v>
      </c>
      <c r="Q692" s="603">
        <f t="shared" si="66"/>
        <v>4</v>
      </c>
      <c r="R692" s="604" t="str">
        <f t="shared" si="67"/>
        <v>Gastos_custeados_por_captação</v>
      </c>
      <c r="S692" s="605" t="s">
        <v>999</v>
      </c>
      <c r="T692" s="605">
        <v>3341</v>
      </c>
    </row>
    <row r="693" spans="1:20" s="88" customFormat="1" ht="60" x14ac:dyDescent="0.2">
      <c r="A693" s="510">
        <f>IF(B693="","",COUNT('Diário 1º PA'!$A$4:$A$2635)+ROW()-3)</f>
        <v>2426</v>
      </c>
      <c r="B693" s="414">
        <v>44678</v>
      </c>
      <c r="C693" s="431">
        <v>44652</v>
      </c>
      <c r="D693" s="415" t="s">
        <v>271</v>
      </c>
      <c r="E693" s="415" t="s">
        <v>456</v>
      </c>
      <c r="F693" s="425">
        <v>1697.5</v>
      </c>
      <c r="G693" s="427" t="s">
        <v>2842</v>
      </c>
      <c r="H693" s="419" t="s">
        <v>792</v>
      </c>
      <c r="I693" s="427" t="s">
        <v>3675</v>
      </c>
      <c r="J693" s="415" t="s">
        <v>2843</v>
      </c>
      <c r="K693" s="415" t="s">
        <v>830</v>
      </c>
      <c r="L693" s="415" t="s">
        <v>32</v>
      </c>
      <c r="M693" s="415" t="s">
        <v>3676</v>
      </c>
      <c r="N693" s="414">
        <v>44670</v>
      </c>
      <c r="O693" s="414" t="s">
        <v>400</v>
      </c>
      <c r="P693" s="603">
        <f t="shared" si="65"/>
        <v>4</v>
      </c>
      <c r="Q693" s="603">
        <f t="shared" si="66"/>
        <v>4</v>
      </c>
      <c r="R693" s="607" t="str">
        <f t="shared" si="67"/>
        <v>Gastos_Gerais</v>
      </c>
      <c r="S693" s="605" t="s">
        <v>1000</v>
      </c>
      <c r="T693" s="605">
        <v>3333</v>
      </c>
    </row>
    <row r="694" spans="1:20" s="88" customFormat="1" ht="99.95" customHeight="1" x14ac:dyDescent="0.2">
      <c r="A694" s="510">
        <f>IF(B694="","",COUNT('Diário 1º PA'!$A$4:$A$2635)+ROW()-3)</f>
        <v>2427</v>
      </c>
      <c r="B694" s="414">
        <v>44678</v>
      </c>
      <c r="C694" s="431">
        <v>44652</v>
      </c>
      <c r="D694" s="415" t="s">
        <v>182</v>
      </c>
      <c r="E694" s="415" t="s">
        <v>6</v>
      </c>
      <c r="F694" s="425">
        <v>4713.2</v>
      </c>
      <c r="G694" s="440" t="s">
        <v>1493</v>
      </c>
      <c r="H694" s="415" t="s">
        <v>310</v>
      </c>
      <c r="I694" s="437" t="s">
        <v>1486</v>
      </c>
      <c r="J694" s="418" t="s">
        <v>1487</v>
      </c>
      <c r="K694" s="418" t="s">
        <v>812</v>
      </c>
      <c r="L694" s="399" t="s">
        <v>807</v>
      </c>
      <c r="M694" s="544">
        <v>477149</v>
      </c>
      <c r="N694" s="414">
        <v>44683</v>
      </c>
      <c r="O694" s="414" t="s">
        <v>400</v>
      </c>
      <c r="P694" s="603">
        <f t="shared" si="65"/>
        <v>4</v>
      </c>
      <c r="Q694" s="603">
        <f t="shared" si="66"/>
        <v>4</v>
      </c>
      <c r="R694" s="607" t="str">
        <f t="shared" si="67"/>
        <v>Gastos_com_Pessoal</v>
      </c>
      <c r="S694" s="605" t="s">
        <v>310</v>
      </c>
      <c r="T694" s="605" t="s">
        <v>310</v>
      </c>
    </row>
    <row r="695" spans="1:20" s="88" customFormat="1" ht="99.95" customHeight="1" x14ac:dyDescent="0.2">
      <c r="A695" s="510">
        <f>IF(B695="","",COUNT('Diário 1º PA'!$A$4:$A$2635)+ROW()-3)</f>
        <v>2428</v>
      </c>
      <c r="B695" s="414">
        <v>44678</v>
      </c>
      <c r="C695" s="431">
        <v>44652</v>
      </c>
      <c r="D695" s="415" t="s">
        <v>182</v>
      </c>
      <c r="E695" s="415" t="s">
        <v>6</v>
      </c>
      <c r="F695" s="425">
        <v>23178.21</v>
      </c>
      <c r="G695" s="440" t="s">
        <v>1494</v>
      </c>
      <c r="H695" s="415" t="s">
        <v>310</v>
      </c>
      <c r="I695" s="437" t="s">
        <v>1486</v>
      </c>
      <c r="J695" s="418" t="s">
        <v>1487</v>
      </c>
      <c r="K695" s="418" t="s">
        <v>812</v>
      </c>
      <c r="L695" s="399" t="s">
        <v>807</v>
      </c>
      <c r="M695" s="544">
        <v>489892</v>
      </c>
      <c r="N695" s="414">
        <v>44683</v>
      </c>
      <c r="O695" s="414" t="s">
        <v>400</v>
      </c>
      <c r="P695" s="603">
        <f t="shared" si="65"/>
        <v>4</v>
      </c>
      <c r="Q695" s="603">
        <f t="shared" si="66"/>
        <v>4</v>
      </c>
      <c r="R695" s="604" t="str">
        <f t="shared" si="67"/>
        <v>Gastos_com_Pessoal</v>
      </c>
      <c r="S695" s="605" t="s">
        <v>310</v>
      </c>
      <c r="T695" s="605" t="s">
        <v>310</v>
      </c>
    </row>
    <row r="696" spans="1:20" s="88" customFormat="1" ht="99.95" customHeight="1" x14ac:dyDescent="0.2">
      <c r="A696" s="510">
        <f>IF(B696="","",COUNT('Diário 1º PA'!$A$4:$A$2635)+ROW()-3)</f>
        <v>2429</v>
      </c>
      <c r="B696" s="414">
        <v>44678</v>
      </c>
      <c r="C696" s="431">
        <v>44652</v>
      </c>
      <c r="D696" s="415" t="s">
        <v>271</v>
      </c>
      <c r="E696" s="415" t="s">
        <v>456</v>
      </c>
      <c r="F696" s="425">
        <v>10100</v>
      </c>
      <c r="G696" s="427" t="s">
        <v>3432</v>
      </c>
      <c r="H696" s="415" t="s">
        <v>792</v>
      </c>
      <c r="I696" s="427" t="s">
        <v>3678</v>
      </c>
      <c r="J696" s="415" t="s">
        <v>3433</v>
      </c>
      <c r="K696" s="415" t="s">
        <v>830</v>
      </c>
      <c r="L696" s="415" t="s">
        <v>1489</v>
      </c>
      <c r="M696" s="415">
        <v>125</v>
      </c>
      <c r="N696" s="414">
        <v>44676</v>
      </c>
      <c r="O696" s="414" t="s">
        <v>400</v>
      </c>
      <c r="P696" s="603">
        <f t="shared" si="65"/>
        <v>4</v>
      </c>
      <c r="Q696" s="603">
        <f t="shared" si="66"/>
        <v>4</v>
      </c>
      <c r="R696" s="604" t="str">
        <f t="shared" si="67"/>
        <v>Gastos_Gerais</v>
      </c>
      <c r="S696" s="605" t="s">
        <v>1000</v>
      </c>
      <c r="T696" s="605">
        <v>3411</v>
      </c>
    </row>
    <row r="697" spans="1:20" s="88" customFormat="1" ht="99.95" customHeight="1" x14ac:dyDescent="0.2">
      <c r="A697" s="510">
        <f>IF(B697="","",COUNT('Diário 1º PA'!$A$4:$A$2635)+ROW()-3)</f>
        <v>2430</v>
      </c>
      <c r="B697" s="414">
        <v>44678</v>
      </c>
      <c r="C697" s="431">
        <v>44652</v>
      </c>
      <c r="D697" s="415" t="s">
        <v>271</v>
      </c>
      <c r="E697" s="415" t="s">
        <v>456</v>
      </c>
      <c r="F697" s="425">
        <v>10288.950000000001</v>
      </c>
      <c r="G697" s="427" t="s">
        <v>3311</v>
      </c>
      <c r="H697" s="419" t="s">
        <v>792</v>
      </c>
      <c r="I697" s="427" t="s">
        <v>4688</v>
      </c>
      <c r="J697" s="415" t="s">
        <v>3268</v>
      </c>
      <c r="K697" s="415" t="s">
        <v>830</v>
      </c>
      <c r="L697" s="415" t="s">
        <v>807</v>
      </c>
      <c r="M697" s="415" t="s">
        <v>3679</v>
      </c>
      <c r="N697" s="414">
        <v>44677</v>
      </c>
      <c r="O697" s="414" t="s">
        <v>400</v>
      </c>
      <c r="P697" s="603">
        <f t="shared" ref="P697:P711" si="71">IF(B697=0,0,IF(YEAR(B697)=$Q$1,MONTH(B697)-$P$1+1,(YEAR(B697)-$Q$1)*12-$P$1+1+MONTH(B697)))</f>
        <v>4</v>
      </c>
      <c r="Q697" s="603">
        <f t="shared" ref="Q697:Q711" si="72">IF(C697=0,0,IF(YEAR(C697)=$Q$1,MONTH(C697)-$P$1+1,(YEAR(C697)-$Q$1)*12-$P$1+1+MONTH(C697)))</f>
        <v>4</v>
      </c>
      <c r="R697" s="604" t="str">
        <f t="shared" ref="R697:R711" si="73">SUBSTITUTE(D697," ","_")</f>
        <v>Gastos_Gerais</v>
      </c>
      <c r="S697" s="605" t="s">
        <v>1000</v>
      </c>
      <c r="T697" s="605">
        <v>3392</v>
      </c>
    </row>
    <row r="698" spans="1:20" s="88" customFormat="1" ht="36" x14ac:dyDescent="0.2">
      <c r="A698" s="510">
        <f>IF(B698="","",COUNT('Diário 1º PA'!$A$4:$A$2635)+ROW()-3)</f>
        <v>2431</v>
      </c>
      <c r="B698" s="414">
        <v>44678</v>
      </c>
      <c r="C698" s="466">
        <v>44652</v>
      </c>
      <c r="D698" s="415" t="s">
        <v>271</v>
      </c>
      <c r="E698" s="415" t="s">
        <v>71</v>
      </c>
      <c r="F698" s="425">
        <v>11</v>
      </c>
      <c r="G698" s="427" t="s">
        <v>3681</v>
      </c>
      <c r="H698" s="419" t="s">
        <v>792</v>
      </c>
      <c r="I698" s="639" t="s">
        <v>881</v>
      </c>
      <c r="J698" s="418" t="s">
        <v>882</v>
      </c>
      <c r="K698" s="418" t="s">
        <v>883</v>
      </c>
      <c r="L698" s="399" t="s">
        <v>798</v>
      </c>
      <c r="M698" s="544" t="s">
        <v>310</v>
      </c>
      <c r="N698" s="414">
        <v>44678</v>
      </c>
      <c r="O698" s="414" t="s">
        <v>400</v>
      </c>
      <c r="P698" s="603">
        <f t="shared" si="71"/>
        <v>4</v>
      </c>
      <c r="Q698" s="603">
        <f t="shared" si="72"/>
        <v>4</v>
      </c>
      <c r="R698" s="604" t="str">
        <f t="shared" si="73"/>
        <v>Gastos_Gerais</v>
      </c>
      <c r="S698" s="605" t="s">
        <v>310</v>
      </c>
      <c r="T698" s="605" t="s">
        <v>310</v>
      </c>
    </row>
    <row r="699" spans="1:20" s="88" customFormat="1" ht="36" x14ac:dyDescent="0.2">
      <c r="A699" s="510">
        <f>IF(B699="","",COUNT('Diário 1º PA'!$A$4:$A$2635)+ROW()-3)</f>
        <v>2432</v>
      </c>
      <c r="B699" s="414">
        <v>44678</v>
      </c>
      <c r="C699" s="466">
        <v>44652</v>
      </c>
      <c r="D699" s="415" t="s">
        <v>271</v>
      </c>
      <c r="E699" s="415" t="s">
        <v>71</v>
      </c>
      <c r="F699" s="425">
        <v>11</v>
      </c>
      <c r="G699" s="427" t="s">
        <v>3680</v>
      </c>
      <c r="H699" s="415" t="s">
        <v>792</v>
      </c>
      <c r="I699" s="639" t="s">
        <v>881</v>
      </c>
      <c r="J699" s="418" t="s">
        <v>882</v>
      </c>
      <c r="K699" s="418" t="s">
        <v>883</v>
      </c>
      <c r="L699" s="399" t="s">
        <v>798</v>
      </c>
      <c r="M699" s="544" t="s">
        <v>310</v>
      </c>
      <c r="N699" s="414">
        <v>44678</v>
      </c>
      <c r="O699" s="414" t="s">
        <v>400</v>
      </c>
      <c r="P699" s="603">
        <f t="shared" si="71"/>
        <v>4</v>
      </c>
      <c r="Q699" s="603">
        <f t="shared" si="72"/>
        <v>4</v>
      </c>
      <c r="R699" s="604" t="str">
        <f t="shared" si="73"/>
        <v>Gastos_Gerais</v>
      </c>
      <c r="S699" s="605" t="s">
        <v>310</v>
      </c>
      <c r="T699" s="605" t="s">
        <v>310</v>
      </c>
    </row>
    <row r="700" spans="1:20" s="88" customFormat="1" ht="48" x14ac:dyDescent="0.2">
      <c r="A700" s="510">
        <f>IF(B700="","",COUNT('Diário 1º PA'!$A$4:$A$2635)+ROW()-3)</f>
        <v>2433</v>
      </c>
      <c r="B700" s="414">
        <v>44678</v>
      </c>
      <c r="C700" s="466">
        <v>44652</v>
      </c>
      <c r="D700" s="415" t="s">
        <v>271</v>
      </c>
      <c r="E700" s="415" t="s">
        <v>71</v>
      </c>
      <c r="F700" s="425">
        <v>11</v>
      </c>
      <c r="G700" s="427" t="s">
        <v>3682</v>
      </c>
      <c r="H700" s="419" t="s">
        <v>792</v>
      </c>
      <c r="I700" s="639" t="s">
        <v>881</v>
      </c>
      <c r="J700" s="418" t="s">
        <v>882</v>
      </c>
      <c r="K700" s="418" t="s">
        <v>883</v>
      </c>
      <c r="L700" s="399" t="s">
        <v>798</v>
      </c>
      <c r="M700" s="544" t="s">
        <v>310</v>
      </c>
      <c r="N700" s="414">
        <v>44678</v>
      </c>
      <c r="O700" s="414" t="s">
        <v>400</v>
      </c>
      <c r="P700" s="603">
        <f t="shared" ref="P700:Q707" si="74">IF(B700=0,0,IF(YEAR(B700)=$Q$1,MONTH(B700)-$P$1+1,(YEAR(B700)-$Q$1)*12-$P$1+1+MONTH(B700)))</f>
        <v>4</v>
      </c>
      <c r="Q700" s="603">
        <f t="shared" si="74"/>
        <v>4</v>
      </c>
      <c r="R700" s="604" t="str">
        <f t="shared" ref="R700:R707" si="75">SUBSTITUTE(D700," ","_")</f>
        <v>Gastos_Gerais</v>
      </c>
      <c r="S700" s="605" t="s">
        <v>310</v>
      </c>
      <c r="T700" s="605" t="s">
        <v>310</v>
      </c>
    </row>
    <row r="701" spans="1:20" s="88" customFormat="1" ht="48" x14ac:dyDescent="0.2">
      <c r="A701" s="510">
        <f>IF(B701="","",COUNT('Diário 1º PA'!$A$4:$A$2635)+ROW()-3)</f>
        <v>2434</v>
      </c>
      <c r="B701" s="414">
        <v>44678</v>
      </c>
      <c r="C701" s="466">
        <v>44652</v>
      </c>
      <c r="D701" s="415" t="s">
        <v>34</v>
      </c>
      <c r="E701" s="415" t="s">
        <v>331</v>
      </c>
      <c r="F701" s="425">
        <v>45000</v>
      </c>
      <c r="G701" s="427" t="s">
        <v>3760</v>
      </c>
      <c r="H701" s="419" t="s">
        <v>310</v>
      </c>
      <c r="I701" s="703" t="s">
        <v>3761</v>
      </c>
      <c r="J701" s="596" t="s">
        <v>796</v>
      </c>
      <c r="K701" s="415" t="s">
        <v>806</v>
      </c>
      <c r="L701" s="596" t="s">
        <v>1305</v>
      </c>
      <c r="M701" s="596" t="s">
        <v>310</v>
      </c>
      <c r="N701" s="414">
        <v>44678</v>
      </c>
      <c r="O701" s="414" t="s">
        <v>3762</v>
      </c>
      <c r="P701" s="603">
        <f t="shared" si="74"/>
        <v>4</v>
      </c>
      <c r="Q701" s="603">
        <f t="shared" si="74"/>
        <v>4</v>
      </c>
      <c r="R701" s="604" t="str">
        <f t="shared" si="75"/>
        <v>Receitas</v>
      </c>
      <c r="S701" s="605" t="s">
        <v>310</v>
      </c>
      <c r="T701" s="605" t="s">
        <v>310</v>
      </c>
    </row>
    <row r="702" spans="1:20" s="88" customFormat="1" ht="108" customHeight="1" x14ac:dyDescent="0.2">
      <c r="A702" s="510">
        <f>IF(B702="","",COUNT('Diário 1º PA'!$A$4:$A$2635)+ROW()-3)</f>
        <v>2435</v>
      </c>
      <c r="B702" s="414">
        <v>44678</v>
      </c>
      <c r="C702" s="466">
        <v>44652</v>
      </c>
      <c r="D702" s="415" t="s">
        <v>34</v>
      </c>
      <c r="E702" s="415" t="s">
        <v>331</v>
      </c>
      <c r="F702" s="425">
        <v>255000</v>
      </c>
      <c r="G702" s="427" t="s">
        <v>3760</v>
      </c>
      <c r="H702" s="419" t="s">
        <v>310</v>
      </c>
      <c r="I702" s="703" t="s">
        <v>3761</v>
      </c>
      <c r="J702" s="596" t="s">
        <v>796</v>
      </c>
      <c r="K702" s="415" t="s">
        <v>806</v>
      </c>
      <c r="L702" s="596" t="s">
        <v>1305</v>
      </c>
      <c r="M702" s="596" t="s">
        <v>310</v>
      </c>
      <c r="N702" s="414">
        <v>44678</v>
      </c>
      <c r="O702" s="414" t="s">
        <v>3762</v>
      </c>
      <c r="P702" s="603">
        <f t="shared" si="74"/>
        <v>4</v>
      </c>
      <c r="Q702" s="603">
        <f t="shared" si="74"/>
        <v>4</v>
      </c>
      <c r="R702" s="604" t="str">
        <f t="shared" si="75"/>
        <v>Receitas</v>
      </c>
      <c r="S702" s="605" t="s">
        <v>310</v>
      </c>
      <c r="T702" s="605" t="s">
        <v>310</v>
      </c>
    </row>
    <row r="703" spans="1:20" s="88" customFormat="1" ht="96" x14ac:dyDescent="0.2">
      <c r="A703" s="510">
        <f>IF(B703="","",COUNT('Diário 1º PA'!$A$4:$A$2635)+ROW()-3)</f>
        <v>2436</v>
      </c>
      <c r="B703" s="414">
        <v>44678</v>
      </c>
      <c r="C703" s="466">
        <v>44621</v>
      </c>
      <c r="D703" s="415" t="s">
        <v>468</v>
      </c>
      <c r="E703" s="415" t="s">
        <v>468</v>
      </c>
      <c r="F703" s="425">
        <v>3180.8</v>
      </c>
      <c r="G703" s="427" t="s">
        <v>1736</v>
      </c>
      <c r="H703" s="419" t="s">
        <v>468</v>
      </c>
      <c r="I703" s="703" t="s">
        <v>2482</v>
      </c>
      <c r="J703" s="596" t="s">
        <v>1735</v>
      </c>
      <c r="K703" s="596" t="s">
        <v>830</v>
      </c>
      <c r="L703" s="596" t="s">
        <v>1341</v>
      </c>
      <c r="M703" s="596">
        <v>1709</v>
      </c>
      <c r="N703" s="414">
        <v>44670</v>
      </c>
      <c r="O703" s="414" t="s">
        <v>408</v>
      </c>
      <c r="P703" s="603">
        <f t="shared" si="74"/>
        <v>4</v>
      </c>
      <c r="Q703" s="603">
        <f t="shared" si="74"/>
        <v>3</v>
      </c>
      <c r="R703" s="604" t="str">
        <f t="shared" si="75"/>
        <v>Gastos_custeados_por_captação</v>
      </c>
      <c r="S703" s="605" t="s">
        <v>1000</v>
      </c>
      <c r="T703" s="605">
        <v>2759</v>
      </c>
    </row>
    <row r="704" spans="1:20" ht="36" x14ac:dyDescent="0.2">
      <c r="A704" s="510">
        <f>IF(B704="","",COUNT('Diário 1º PA'!$A$4:$A$2635)+ROW()-3)</f>
        <v>2437</v>
      </c>
      <c r="B704" s="414">
        <v>44678</v>
      </c>
      <c r="C704" s="466">
        <v>44652</v>
      </c>
      <c r="D704" s="415" t="s">
        <v>468</v>
      </c>
      <c r="E704" s="415" t="s">
        <v>468</v>
      </c>
      <c r="F704" s="425">
        <v>11</v>
      </c>
      <c r="G704" s="427" t="s">
        <v>4799</v>
      </c>
      <c r="H704" s="419" t="s">
        <v>468</v>
      </c>
      <c r="I704" s="639" t="s">
        <v>881</v>
      </c>
      <c r="J704" s="418" t="s">
        <v>882</v>
      </c>
      <c r="K704" s="418" t="s">
        <v>883</v>
      </c>
      <c r="L704" s="399" t="s">
        <v>798</v>
      </c>
      <c r="M704" s="544" t="s">
        <v>310</v>
      </c>
      <c r="N704" s="414">
        <v>44678</v>
      </c>
      <c r="O704" s="414" t="s">
        <v>408</v>
      </c>
      <c r="P704" s="603">
        <f t="shared" si="74"/>
        <v>4</v>
      </c>
      <c r="Q704" s="603">
        <f t="shared" si="74"/>
        <v>4</v>
      </c>
      <c r="R704" s="604" t="str">
        <f t="shared" si="75"/>
        <v>Gastos_custeados_por_captação</v>
      </c>
      <c r="S704" s="605" t="s">
        <v>310</v>
      </c>
      <c r="T704" s="605" t="s">
        <v>310</v>
      </c>
    </row>
    <row r="705" spans="1:20" ht="72" x14ac:dyDescent="0.2">
      <c r="A705" s="510">
        <f>IF(B705="","",COUNT('Diário 1º PA'!$A$4:$A$2635)+ROW()-3)</f>
        <v>2438</v>
      </c>
      <c r="B705" s="414">
        <v>44678</v>
      </c>
      <c r="C705" s="431">
        <v>44621</v>
      </c>
      <c r="D705" s="415" t="s">
        <v>468</v>
      </c>
      <c r="E705" s="415" t="s">
        <v>468</v>
      </c>
      <c r="F705" s="425">
        <v>3525.75</v>
      </c>
      <c r="G705" s="427" t="s">
        <v>2548</v>
      </c>
      <c r="H705" s="419" t="s">
        <v>468</v>
      </c>
      <c r="I705" s="639" t="s">
        <v>4818</v>
      </c>
      <c r="J705" s="418" t="s">
        <v>2549</v>
      </c>
      <c r="K705" s="418" t="s">
        <v>830</v>
      </c>
      <c r="L705" s="399" t="s">
        <v>807</v>
      </c>
      <c r="M705" s="544">
        <v>1726</v>
      </c>
      <c r="N705" s="414">
        <v>44671</v>
      </c>
      <c r="O705" s="414" t="s">
        <v>407</v>
      </c>
      <c r="P705" s="603">
        <f t="shared" si="74"/>
        <v>4</v>
      </c>
      <c r="Q705" s="603">
        <f t="shared" si="74"/>
        <v>3</v>
      </c>
      <c r="R705" s="604" t="str">
        <f t="shared" si="75"/>
        <v>Gastos_custeados_por_captação</v>
      </c>
      <c r="S705" s="605" t="s">
        <v>1000</v>
      </c>
      <c r="T705" s="605">
        <v>3220</v>
      </c>
    </row>
    <row r="706" spans="1:20" ht="99.95" customHeight="1" x14ac:dyDescent="0.2">
      <c r="A706" s="510">
        <f>IF(B706="","",COUNT('Diário 1º PA'!$A$4:$A$2635)+ROW()-3)</f>
        <v>2439</v>
      </c>
      <c r="B706" s="414">
        <v>44678</v>
      </c>
      <c r="C706" s="431">
        <v>44621</v>
      </c>
      <c r="D706" s="415" t="s">
        <v>468</v>
      </c>
      <c r="E706" s="415" t="s">
        <v>468</v>
      </c>
      <c r="F706" s="425">
        <v>123.9</v>
      </c>
      <c r="G706" s="427" t="s">
        <v>2653</v>
      </c>
      <c r="H706" s="419" t="s">
        <v>468</v>
      </c>
      <c r="I706" s="639" t="s">
        <v>4819</v>
      </c>
      <c r="J706" s="418" t="s">
        <v>1957</v>
      </c>
      <c r="K706" s="418" t="s">
        <v>830</v>
      </c>
      <c r="L706" s="399" t="s">
        <v>807</v>
      </c>
      <c r="M706" s="544">
        <v>79523</v>
      </c>
      <c r="N706" s="414">
        <v>44657</v>
      </c>
      <c r="O706" s="414" t="s">
        <v>407</v>
      </c>
      <c r="P706" s="603">
        <f t="shared" si="74"/>
        <v>4</v>
      </c>
      <c r="Q706" s="603">
        <f t="shared" si="74"/>
        <v>3</v>
      </c>
      <c r="R706" s="604" t="str">
        <f t="shared" si="75"/>
        <v>Gastos_custeados_por_captação</v>
      </c>
      <c r="S706" s="605" t="s">
        <v>999</v>
      </c>
      <c r="T706" s="605">
        <v>3318</v>
      </c>
    </row>
    <row r="707" spans="1:20" ht="99.95" customHeight="1" x14ac:dyDescent="0.2">
      <c r="A707" s="510">
        <f>IF(B707="","",COUNT('Diário 1º PA'!$A$4:$A$2635)+ROW()-3)</f>
        <v>2440</v>
      </c>
      <c r="B707" s="414">
        <v>44678</v>
      </c>
      <c r="C707" s="466">
        <v>44652</v>
      </c>
      <c r="D707" s="415" t="s">
        <v>468</v>
      </c>
      <c r="E707" s="415" t="s">
        <v>468</v>
      </c>
      <c r="F707" s="425">
        <v>7500</v>
      </c>
      <c r="G707" s="427" t="s">
        <v>3432</v>
      </c>
      <c r="H707" s="419" t="s">
        <v>468</v>
      </c>
      <c r="I707" s="639" t="s">
        <v>4179</v>
      </c>
      <c r="J707" s="418" t="s">
        <v>3433</v>
      </c>
      <c r="K707" s="418" t="s">
        <v>830</v>
      </c>
      <c r="L707" s="399" t="s">
        <v>1372</v>
      </c>
      <c r="M707" s="544">
        <v>124</v>
      </c>
      <c r="N707" s="414">
        <v>44676</v>
      </c>
      <c r="O707" s="414" t="s">
        <v>407</v>
      </c>
      <c r="P707" s="603">
        <f t="shared" si="74"/>
        <v>4</v>
      </c>
      <c r="Q707" s="603">
        <f t="shared" si="74"/>
        <v>4</v>
      </c>
      <c r="R707" s="604" t="str">
        <f t="shared" si="75"/>
        <v>Gastos_custeados_por_captação</v>
      </c>
      <c r="S707" s="605" t="s">
        <v>998</v>
      </c>
      <c r="T707" s="605">
        <v>3411</v>
      </c>
    </row>
    <row r="708" spans="1:20" s="88" customFormat="1" ht="72" x14ac:dyDescent="0.2">
      <c r="A708" s="510">
        <f>IF(B708="","",COUNT('Diário 1º PA'!$A$4:$A$2635)+ROW()-3)</f>
        <v>2441</v>
      </c>
      <c r="B708" s="414">
        <v>44678</v>
      </c>
      <c r="C708" s="433">
        <v>44652</v>
      </c>
      <c r="D708" s="434" t="s">
        <v>468</v>
      </c>
      <c r="E708" s="434" t="s">
        <v>468</v>
      </c>
      <c r="F708" s="425">
        <v>1032</v>
      </c>
      <c r="G708" s="427" t="s">
        <v>3261</v>
      </c>
      <c r="H708" s="419" t="s">
        <v>468</v>
      </c>
      <c r="I708" s="639" t="s">
        <v>4820</v>
      </c>
      <c r="J708" s="418" t="s">
        <v>3284</v>
      </c>
      <c r="K708" s="418" t="s">
        <v>830</v>
      </c>
      <c r="L708" s="399" t="s">
        <v>839</v>
      </c>
      <c r="M708" s="544">
        <v>1711</v>
      </c>
      <c r="N708" s="414">
        <v>44673</v>
      </c>
      <c r="O708" s="414" t="s">
        <v>407</v>
      </c>
      <c r="P708" s="603">
        <f t="shared" si="71"/>
        <v>4</v>
      </c>
      <c r="Q708" s="603">
        <f t="shared" si="72"/>
        <v>4</v>
      </c>
      <c r="R708" s="604" t="str">
        <f t="shared" si="73"/>
        <v>Gastos_custeados_por_captação</v>
      </c>
      <c r="S708" s="605" t="s">
        <v>1000</v>
      </c>
      <c r="T708" s="605">
        <v>3358</v>
      </c>
    </row>
    <row r="709" spans="1:20" s="88" customFormat="1" ht="48" x14ac:dyDescent="0.2">
      <c r="A709" s="510">
        <f>IF(B709="","",COUNT('Diário 1º PA'!$A$4:$A$2635)+ROW()-3)</f>
        <v>2442</v>
      </c>
      <c r="B709" s="414">
        <v>44679</v>
      </c>
      <c r="C709" s="424">
        <v>44593</v>
      </c>
      <c r="D709" s="415" t="s">
        <v>271</v>
      </c>
      <c r="E709" s="415" t="s">
        <v>456</v>
      </c>
      <c r="F709" s="425">
        <v>-8523.7999999999993</v>
      </c>
      <c r="G709" s="427" t="s">
        <v>3683</v>
      </c>
      <c r="H709" s="415" t="s">
        <v>790</v>
      </c>
      <c r="I709" s="437" t="s">
        <v>795</v>
      </c>
      <c r="J709" s="434" t="s">
        <v>796</v>
      </c>
      <c r="K709" s="434" t="s">
        <v>797</v>
      </c>
      <c r="L709" s="434" t="s">
        <v>798</v>
      </c>
      <c r="M709" s="436" t="s">
        <v>310</v>
      </c>
      <c r="N709" s="414">
        <v>44679</v>
      </c>
      <c r="O709" s="414" t="s">
        <v>400</v>
      </c>
      <c r="P709" s="603">
        <f t="shared" si="71"/>
        <v>4</v>
      </c>
      <c r="Q709" s="603">
        <f t="shared" si="72"/>
        <v>2</v>
      </c>
      <c r="R709" s="604" t="str">
        <f t="shared" si="73"/>
        <v>Gastos_Gerais</v>
      </c>
      <c r="S709" s="605" t="s">
        <v>310</v>
      </c>
      <c r="T709" s="605" t="s">
        <v>310</v>
      </c>
    </row>
    <row r="710" spans="1:20" s="88" customFormat="1" ht="48" x14ac:dyDescent="0.2">
      <c r="A710" s="510">
        <f>IF(B710="","",COUNT('Diário 1º PA'!$A$4:$A$2635)+ROW()-3)</f>
        <v>2443</v>
      </c>
      <c r="B710" s="414">
        <v>44679</v>
      </c>
      <c r="C710" s="424">
        <v>44593</v>
      </c>
      <c r="D710" s="415" t="s">
        <v>271</v>
      </c>
      <c r="E710" s="415" t="s">
        <v>456</v>
      </c>
      <c r="F710" s="425">
        <v>-100</v>
      </c>
      <c r="G710" s="427" t="s">
        <v>3683</v>
      </c>
      <c r="H710" s="415" t="s">
        <v>790</v>
      </c>
      <c r="I710" s="437" t="s">
        <v>795</v>
      </c>
      <c r="J710" s="434" t="s">
        <v>796</v>
      </c>
      <c r="K710" s="434" t="s">
        <v>797</v>
      </c>
      <c r="L710" s="434" t="s">
        <v>798</v>
      </c>
      <c r="M710" s="436" t="s">
        <v>310</v>
      </c>
      <c r="N710" s="414">
        <v>44679</v>
      </c>
      <c r="O710" s="414" t="s">
        <v>400</v>
      </c>
      <c r="P710" s="603">
        <f t="shared" si="71"/>
        <v>4</v>
      </c>
      <c r="Q710" s="603">
        <f t="shared" si="72"/>
        <v>2</v>
      </c>
      <c r="R710" s="604" t="str">
        <f t="shared" si="73"/>
        <v>Gastos_Gerais</v>
      </c>
      <c r="S710" s="605" t="s">
        <v>310</v>
      </c>
      <c r="T710" s="605" t="s">
        <v>310</v>
      </c>
    </row>
    <row r="711" spans="1:20" s="88" customFormat="1" ht="24" x14ac:dyDescent="0.2">
      <c r="A711" s="510">
        <f>IF(B711="","",COUNT('Diário 1º PA'!$A$4:$A$2635)+ROW()-3)</f>
        <v>2444</v>
      </c>
      <c r="B711" s="414">
        <v>44679</v>
      </c>
      <c r="C711" s="592">
        <v>44652</v>
      </c>
      <c r="D711" s="415" t="s">
        <v>182</v>
      </c>
      <c r="E711" s="415" t="s">
        <v>161</v>
      </c>
      <c r="F711" s="425">
        <v>1740.41</v>
      </c>
      <c r="G711" s="427" t="s">
        <v>1495</v>
      </c>
      <c r="H711" s="415" t="s">
        <v>310</v>
      </c>
      <c r="I711" s="427" t="s">
        <v>2008</v>
      </c>
      <c r="J711" s="548" t="s">
        <v>2009</v>
      </c>
      <c r="K711" s="415" t="s">
        <v>812</v>
      </c>
      <c r="L711" s="415" t="s">
        <v>807</v>
      </c>
      <c r="M711" s="415" t="s">
        <v>4031</v>
      </c>
      <c r="N711" s="414">
        <v>44683</v>
      </c>
      <c r="O711" s="414" t="s">
        <v>400</v>
      </c>
      <c r="P711" s="603">
        <f t="shared" si="71"/>
        <v>4</v>
      </c>
      <c r="Q711" s="603">
        <f t="shared" si="72"/>
        <v>4</v>
      </c>
      <c r="R711" s="604" t="str">
        <f t="shared" si="73"/>
        <v>Gastos_com_Pessoal</v>
      </c>
      <c r="S711" s="605" t="s">
        <v>310</v>
      </c>
      <c r="T711" s="605" t="s">
        <v>310</v>
      </c>
    </row>
    <row r="712" spans="1:20" s="88" customFormat="1" ht="88.5" customHeight="1" x14ac:dyDescent="0.2">
      <c r="A712" s="510">
        <f>IF(B712="","",COUNT('Diário 1º PA'!$A$4:$A$2635)+ROW()-3)</f>
        <v>2445</v>
      </c>
      <c r="B712" s="414">
        <v>44679</v>
      </c>
      <c r="C712" s="592">
        <v>44652</v>
      </c>
      <c r="D712" s="415" t="s">
        <v>182</v>
      </c>
      <c r="E712" s="415" t="s">
        <v>161</v>
      </c>
      <c r="F712" s="425">
        <v>1009.73</v>
      </c>
      <c r="G712" s="427" t="s">
        <v>1495</v>
      </c>
      <c r="H712" s="415" t="s">
        <v>310</v>
      </c>
      <c r="I712" s="427" t="s">
        <v>1496</v>
      </c>
      <c r="J712" s="548" t="s">
        <v>1497</v>
      </c>
      <c r="K712" s="415" t="s">
        <v>812</v>
      </c>
      <c r="L712" s="415" t="s">
        <v>807</v>
      </c>
      <c r="M712" s="415" t="s">
        <v>4032</v>
      </c>
      <c r="N712" s="414">
        <v>44680</v>
      </c>
      <c r="O712" s="414" t="s">
        <v>400</v>
      </c>
      <c r="P712" s="603">
        <f t="shared" ref="P712:P720" si="76">IF(B712=0,0,IF(YEAR(B712)=$Q$1,MONTH(B712)-$P$1+1,(YEAR(B712)-$Q$1)*12-$P$1+1+MONTH(B712)))</f>
        <v>4</v>
      </c>
      <c r="Q712" s="603">
        <f t="shared" ref="Q712:Q720" si="77">IF(C712=0,0,IF(YEAR(C712)=$Q$1,MONTH(C712)-$P$1+1,(YEAR(C712)-$Q$1)*12-$P$1+1+MONTH(C712)))</f>
        <v>4</v>
      </c>
      <c r="R712" s="604" t="str">
        <f t="shared" ref="R712:R720" si="78">SUBSTITUTE(D712," ","_")</f>
        <v>Gastos_com_Pessoal</v>
      </c>
      <c r="S712" s="605" t="s">
        <v>310</v>
      </c>
      <c r="T712" s="605" t="s">
        <v>310</v>
      </c>
    </row>
    <row r="713" spans="1:20" s="88" customFormat="1" ht="60" x14ac:dyDescent="0.2">
      <c r="A713" s="510">
        <f>IF(B713="","",COUNT('Diário 1º PA'!$A$4:$A$2635)+ROW()-3)</f>
        <v>2446</v>
      </c>
      <c r="B713" s="414">
        <v>44679</v>
      </c>
      <c r="C713" s="431">
        <v>44652</v>
      </c>
      <c r="D713" s="415" t="s">
        <v>271</v>
      </c>
      <c r="E713" s="415" t="s">
        <v>462</v>
      </c>
      <c r="F713" s="425">
        <v>504</v>
      </c>
      <c r="G713" s="427" t="s">
        <v>3339</v>
      </c>
      <c r="H713" s="415" t="s">
        <v>752</v>
      </c>
      <c r="I713" s="427" t="s">
        <v>3684</v>
      </c>
      <c r="J713" s="415" t="s">
        <v>3685</v>
      </c>
      <c r="K713" s="415" t="s">
        <v>830</v>
      </c>
      <c r="L713" s="415" t="s">
        <v>839</v>
      </c>
      <c r="M713" s="415">
        <v>1718</v>
      </c>
      <c r="N713" s="414">
        <v>44677</v>
      </c>
      <c r="O713" s="414" t="s">
        <v>400</v>
      </c>
      <c r="P713" s="603">
        <f t="shared" si="76"/>
        <v>4</v>
      </c>
      <c r="Q713" s="603">
        <f t="shared" si="77"/>
        <v>4</v>
      </c>
      <c r="R713" s="604" t="str">
        <f t="shared" si="78"/>
        <v>Gastos_Gerais</v>
      </c>
      <c r="S713" s="605" t="s">
        <v>998</v>
      </c>
      <c r="T713" s="605">
        <v>3442</v>
      </c>
    </row>
    <row r="714" spans="1:20" s="88" customFormat="1" ht="24" x14ac:dyDescent="0.2">
      <c r="A714" s="510">
        <f>IF(B714="","",COUNT('Diário 1º PA'!$A$4:$A$2635)+ROW()-3)</f>
        <v>2447</v>
      </c>
      <c r="B714" s="414">
        <v>44679</v>
      </c>
      <c r="C714" s="431">
        <v>44652</v>
      </c>
      <c r="D714" s="415" t="s">
        <v>271</v>
      </c>
      <c r="E714" s="415" t="s">
        <v>456</v>
      </c>
      <c r="F714" s="425">
        <v>112</v>
      </c>
      <c r="G714" s="427" t="s">
        <v>2731</v>
      </c>
      <c r="H714" s="419" t="s">
        <v>753</v>
      </c>
      <c r="I714" s="427" t="s">
        <v>3688</v>
      </c>
      <c r="J714" s="415" t="s">
        <v>1254</v>
      </c>
      <c r="K714" s="415" t="s">
        <v>812</v>
      </c>
      <c r="L714" s="415" t="s">
        <v>32</v>
      </c>
      <c r="M714" s="415" t="s">
        <v>3689</v>
      </c>
      <c r="N714" s="414">
        <v>44671</v>
      </c>
      <c r="O714" s="414" t="s">
        <v>400</v>
      </c>
      <c r="P714" s="603">
        <f t="shared" si="76"/>
        <v>4</v>
      </c>
      <c r="Q714" s="603">
        <f t="shared" si="77"/>
        <v>4</v>
      </c>
      <c r="R714" s="604" t="str">
        <f t="shared" si="78"/>
        <v>Gastos_Gerais</v>
      </c>
      <c r="S714" s="605" t="s">
        <v>999</v>
      </c>
      <c r="T714" s="605">
        <v>3440</v>
      </c>
    </row>
    <row r="715" spans="1:20" s="88" customFormat="1" ht="48" x14ac:dyDescent="0.2">
      <c r="A715" s="510">
        <f>IF(B715="","",COUNT('Diário 1º PA'!$A$4:$A$2635)+ROW()-3)</f>
        <v>2448</v>
      </c>
      <c r="B715" s="414">
        <v>44679</v>
      </c>
      <c r="C715" s="431">
        <v>44621</v>
      </c>
      <c r="D715" s="415" t="s">
        <v>271</v>
      </c>
      <c r="E715" s="415" t="s">
        <v>456</v>
      </c>
      <c r="F715" s="425">
        <v>2462.5500000000002</v>
      </c>
      <c r="G715" s="427" t="s">
        <v>1988</v>
      </c>
      <c r="H715" s="419" t="s">
        <v>755</v>
      </c>
      <c r="I715" s="427" t="s">
        <v>3690</v>
      </c>
      <c r="J715" s="415" t="s">
        <v>1989</v>
      </c>
      <c r="K715" s="415" t="s">
        <v>830</v>
      </c>
      <c r="L715" s="415" t="s">
        <v>839</v>
      </c>
      <c r="M715" s="415">
        <v>1695</v>
      </c>
      <c r="N715" s="414">
        <v>44664</v>
      </c>
      <c r="O715" s="414" t="s">
        <v>400</v>
      </c>
      <c r="P715" s="603">
        <f t="shared" si="76"/>
        <v>4</v>
      </c>
      <c r="Q715" s="603">
        <f t="shared" si="77"/>
        <v>3</v>
      </c>
      <c r="R715" s="604" t="str">
        <f t="shared" si="78"/>
        <v>Gastos_Gerais</v>
      </c>
      <c r="S715" s="605" t="s">
        <v>998</v>
      </c>
      <c r="T715" s="605">
        <v>3009</v>
      </c>
    </row>
    <row r="716" spans="1:20" s="88" customFormat="1" ht="60" x14ac:dyDescent="0.2">
      <c r="A716" s="510">
        <f>IF(B716="","",COUNT('Diário 1º PA'!$A$4:$A$2635)+ROW()-3)</f>
        <v>2449</v>
      </c>
      <c r="B716" s="414">
        <v>44679</v>
      </c>
      <c r="C716" s="431">
        <v>44621</v>
      </c>
      <c r="D716" s="415" t="s">
        <v>271</v>
      </c>
      <c r="E716" s="415" t="s">
        <v>453</v>
      </c>
      <c r="F716" s="425">
        <v>2316.1799999999998</v>
      </c>
      <c r="G716" s="427" t="s">
        <v>1538</v>
      </c>
      <c r="H716" s="419" t="s">
        <v>757</v>
      </c>
      <c r="I716" s="427" t="s">
        <v>5439</v>
      </c>
      <c r="J716" s="415" t="s">
        <v>1539</v>
      </c>
      <c r="K716" s="415" t="s">
        <v>830</v>
      </c>
      <c r="L716" s="415" t="s">
        <v>839</v>
      </c>
      <c r="M716" s="415">
        <v>1719</v>
      </c>
      <c r="N716" s="414">
        <v>44677</v>
      </c>
      <c r="O716" s="414" t="s">
        <v>400</v>
      </c>
      <c r="P716" s="603">
        <f t="shared" si="76"/>
        <v>4</v>
      </c>
      <c r="Q716" s="603">
        <f t="shared" si="77"/>
        <v>3</v>
      </c>
      <c r="R716" s="604" t="str">
        <f t="shared" si="78"/>
        <v>Gastos_Gerais</v>
      </c>
      <c r="S716" s="605" t="s">
        <v>1000</v>
      </c>
      <c r="T716" s="605">
        <v>2836</v>
      </c>
    </row>
    <row r="717" spans="1:20" s="88" customFormat="1" ht="36" x14ac:dyDescent="0.2">
      <c r="A717" s="510">
        <f>IF(B717="","",COUNT('Diário 1º PA'!$A$4:$A$2635)+ROW()-3)</f>
        <v>2450</v>
      </c>
      <c r="B717" s="414">
        <v>44679</v>
      </c>
      <c r="C717" s="466">
        <v>44652</v>
      </c>
      <c r="D717" s="415" t="s">
        <v>271</v>
      </c>
      <c r="E717" s="415" t="s">
        <v>71</v>
      </c>
      <c r="F717" s="425">
        <v>11</v>
      </c>
      <c r="G717" s="427" t="s">
        <v>3694</v>
      </c>
      <c r="H717" s="415" t="s">
        <v>752</v>
      </c>
      <c r="I717" s="639" t="s">
        <v>881</v>
      </c>
      <c r="J717" s="418" t="s">
        <v>882</v>
      </c>
      <c r="K717" s="418" t="s">
        <v>883</v>
      </c>
      <c r="L717" s="399" t="s">
        <v>798</v>
      </c>
      <c r="M717" s="544" t="s">
        <v>310</v>
      </c>
      <c r="N717" s="414">
        <v>44679</v>
      </c>
      <c r="O717" s="414" t="s">
        <v>400</v>
      </c>
      <c r="P717" s="603">
        <f t="shared" si="76"/>
        <v>4</v>
      </c>
      <c r="Q717" s="603">
        <f t="shared" si="77"/>
        <v>4</v>
      </c>
      <c r="R717" s="604" t="str">
        <f t="shared" si="78"/>
        <v>Gastos_Gerais</v>
      </c>
      <c r="S717" s="605" t="s">
        <v>310</v>
      </c>
      <c r="T717" s="605" t="s">
        <v>310</v>
      </c>
    </row>
    <row r="718" spans="1:20" s="88" customFormat="1" ht="48" x14ac:dyDescent="0.2">
      <c r="A718" s="510">
        <f>IF(B718="","",COUNT('Diário 1º PA'!$A$4:$A$2635)+ROW()-3)</f>
        <v>2451</v>
      </c>
      <c r="B718" s="414">
        <v>44679</v>
      </c>
      <c r="C718" s="466">
        <v>44652</v>
      </c>
      <c r="D718" s="415" t="s">
        <v>271</v>
      </c>
      <c r="E718" s="415" t="s">
        <v>71</v>
      </c>
      <c r="F718" s="425">
        <v>11</v>
      </c>
      <c r="G718" s="427" t="s">
        <v>3695</v>
      </c>
      <c r="H718" s="419" t="s">
        <v>755</v>
      </c>
      <c r="I718" s="639" t="s">
        <v>881</v>
      </c>
      <c r="J718" s="418" t="s">
        <v>882</v>
      </c>
      <c r="K718" s="418" t="s">
        <v>883</v>
      </c>
      <c r="L718" s="399" t="s">
        <v>798</v>
      </c>
      <c r="M718" s="544" t="s">
        <v>310</v>
      </c>
      <c r="N718" s="414">
        <v>44679</v>
      </c>
      <c r="O718" s="414" t="s">
        <v>400</v>
      </c>
      <c r="P718" s="603">
        <f t="shared" si="76"/>
        <v>4</v>
      </c>
      <c r="Q718" s="603">
        <f t="shared" si="77"/>
        <v>4</v>
      </c>
      <c r="R718" s="604" t="str">
        <f t="shared" si="78"/>
        <v>Gastos_Gerais</v>
      </c>
      <c r="S718" s="605" t="s">
        <v>310</v>
      </c>
      <c r="T718" s="605" t="s">
        <v>310</v>
      </c>
    </row>
    <row r="719" spans="1:20" s="88" customFormat="1" ht="48" x14ac:dyDescent="0.2">
      <c r="A719" s="510">
        <f>IF(B719="","",COUNT('Diário 1º PA'!$A$4:$A$2635)+ROW()-3)</f>
        <v>2452</v>
      </c>
      <c r="B719" s="414">
        <v>44679</v>
      </c>
      <c r="C719" s="466">
        <v>44652</v>
      </c>
      <c r="D719" s="415" t="s">
        <v>271</v>
      </c>
      <c r="E719" s="415" t="s">
        <v>71</v>
      </c>
      <c r="F719" s="425">
        <v>11</v>
      </c>
      <c r="G719" s="427" t="s">
        <v>5440</v>
      </c>
      <c r="H719" s="419" t="s">
        <v>757</v>
      </c>
      <c r="I719" s="639" t="s">
        <v>881</v>
      </c>
      <c r="J719" s="418" t="s">
        <v>882</v>
      </c>
      <c r="K719" s="418" t="s">
        <v>883</v>
      </c>
      <c r="L719" s="399" t="s">
        <v>798</v>
      </c>
      <c r="M719" s="544" t="s">
        <v>310</v>
      </c>
      <c r="N719" s="414">
        <v>44679</v>
      </c>
      <c r="O719" s="414" t="s">
        <v>400</v>
      </c>
      <c r="P719" s="603">
        <f t="shared" si="76"/>
        <v>4</v>
      </c>
      <c r="Q719" s="603">
        <f t="shared" si="77"/>
        <v>4</v>
      </c>
      <c r="R719" s="604" t="str">
        <f t="shared" si="78"/>
        <v>Gastos_Gerais</v>
      </c>
      <c r="S719" s="605" t="s">
        <v>310</v>
      </c>
      <c r="T719" s="605" t="s">
        <v>310</v>
      </c>
    </row>
    <row r="720" spans="1:20" s="88" customFormat="1" ht="60" x14ac:dyDescent="0.2">
      <c r="A720" s="510">
        <f>IF(B720="","",COUNT('Diário 1º PA'!$A$4:$A$2635)+ROW()-3)</f>
        <v>2453</v>
      </c>
      <c r="B720" s="414">
        <v>44679</v>
      </c>
      <c r="C720" s="431">
        <v>44621</v>
      </c>
      <c r="D720" s="415" t="s">
        <v>468</v>
      </c>
      <c r="E720" s="415" t="s">
        <v>468</v>
      </c>
      <c r="F720" s="425">
        <v>979.9</v>
      </c>
      <c r="G720" s="427" t="s">
        <v>1966</v>
      </c>
      <c r="H720" s="419" t="s">
        <v>468</v>
      </c>
      <c r="I720" s="639" t="s">
        <v>4806</v>
      </c>
      <c r="J720" s="418" t="s">
        <v>1025</v>
      </c>
      <c r="K720" s="418" t="s">
        <v>830</v>
      </c>
      <c r="L720" s="399" t="s">
        <v>807</v>
      </c>
      <c r="M720" s="415" t="s">
        <v>1333</v>
      </c>
      <c r="N720" s="414">
        <v>44678</v>
      </c>
      <c r="O720" s="414" t="s">
        <v>405</v>
      </c>
      <c r="P720" s="603">
        <f t="shared" si="76"/>
        <v>4</v>
      </c>
      <c r="Q720" s="603">
        <f t="shared" si="77"/>
        <v>3</v>
      </c>
      <c r="R720" s="604" t="str">
        <f t="shared" si="78"/>
        <v>Gastos_custeados_por_captação</v>
      </c>
      <c r="S720" s="605" t="s">
        <v>998</v>
      </c>
      <c r="T720" s="605">
        <v>3052</v>
      </c>
    </row>
    <row r="721" spans="1:20" ht="61.5" customHeight="1" x14ac:dyDescent="0.2">
      <c r="A721" s="510">
        <f>IF(B721="","",COUNT('Diário 1º PA'!$A$4:$A$2635)+ROW()-3)</f>
        <v>2454</v>
      </c>
      <c r="B721" s="414">
        <v>44679</v>
      </c>
      <c r="C721" s="431">
        <v>44621</v>
      </c>
      <c r="D721" s="415" t="s">
        <v>468</v>
      </c>
      <c r="E721" s="415" t="s">
        <v>468</v>
      </c>
      <c r="F721" s="425">
        <v>2462.5500000000002</v>
      </c>
      <c r="G721" s="427" t="s">
        <v>698</v>
      </c>
      <c r="H721" s="419" t="s">
        <v>468</v>
      </c>
      <c r="I721" s="639" t="s">
        <v>4808</v>
      </c>
      <c r="J721" s="418" t="s">
        <v>1129</v>
      </c>
      <c r="K721" s="418" t="s">
        <v>830</v>
      </c>
      <c r="L721" s="399" t="s">
        <v>839</v>
      </c>
      <c r="M721" s="415">
        <v>1721</v>
      </c>
      <c r="N721" s="414">
        <v>44678</v>
      </c>
      <c r="O721" s="414" t="s">
        <v>404</v>
      </c>
      <c r="P721" s="603">
        <f t="shared" ref="P721:P728" si="79">IF(B721=0,0,IF(YEAR(B721)=$Q$1,MONTH(B721)-$P$1+1,(YEAR(B721)-$Q$1)*12-$P$1+1+MONTH(B721)))</f>
        <v>4</v>
      </c>
      <c r="Q721" s="603">
        <f t="shared" ref="Q721:Q728" si="80">IF(C721=0,0,IF(YEAR(C721)=$Q$1,MONTH(C721)-$P$1+1,(YEAR(C721)-$Q$1)*12-$P$1+1+MONTH(C721)))</f>
        <v>3</v>
      </c>
      <c r="R721" s="604" t="str">
        <f t="shared" ref="R721:R728" si="81">SUBSTITUTE(D721," ","_")</f>
        <v>Gastos_custeados_por_captação</v>
      </c>
      <c r="S721" s="605" t="s">
        <v>1000</v>
      </c>
      <c r="T721" s="605">
        <v>2722</v>
      </c>
    </row>
    <row r="722" spans="1:20" ht="72" x14ac:dyDescent="0.2">
      <c r="A722" s="510">
        <f>IF(B722="","",COUNT('Diário 1º PA'!$A$4:$A$2635)+ROW()-3)</f>
        <v>2455</v>
      </c>
      <c r="B722" s="414">
        <v>44679</v>
      </c>
      <c r="C722" s="431">
        <v>44652</v>
      </c>
      <c r="D722" s="415" t="s">
        <v>468</v>
      </c>
      <c r="E722" s="415" t="s">
        <v>468</v>
      </c>
      <c r="F722" s="425">
        <v>582</v>
      </c>
      <c r="G722" s="427" t="s">
        <v>2842</v>
      </c>
      <c r="H722" s="419" t="s">
        <v>468</v>
      </c>
      <c r="I722" s="639" t="s">
        <v>3675</v>
      </c>
      <c r="J722" s="418" t="s">
        <v>2843</v>
      </c>
      <c r="K722" s="418" t="s">
        <v>830</v>
      </c>
      <c r="L722" s="399" t="s">
        <v>32</v>
      </c>
      <c r="M722" s="415" t="s">
        <v>4821</v>
      </c>
      <c r="N722" s="414">
        <v>44670</v>
      </c>
      <c r="O722" s="414" t="s">
        <v>407</v>
      </c>
      <c r="P722" s="603">
        <f t="shared" si="79"/>
        <v>4</v>
      </c>
      <c r="Q722" s="603">
        <f t="shared" si="80"/>
        <v>4</v>
      </c>
      <c r="R722" s="604" t="str">
        <f t="shared" si="81"/>
        <v>Gastos_custeados_por_captação</v>
      </c>
      <c r="S722" s="605" t="s">
        <v>1000</v>
      </c>
      <c r="T722" s="605">
        <v>3333</v>
      </c>
    </row>
    <row r="723" spans="1:20" ht="99.95" customHeight="1" x14ac:dyDescent="0.2">
      <c r="A723" s="510">
        <f>IF(B723="","",COUNT('Diário 1º PA'!$A$4:$A$2635)+ROW()-3)</f>
        <v>2456</v>
      </c>
      <c r="B723" s="414">
        <v>44679</v>
      </c>
      <c r="C723" s="431">
        <v>44652</v>
      </c>
      <c r="D723" s="415" t="s">
        <v>468</v>
      </c>
      <c r="E723" s="415" t="s">
        <v>468</v>
      </c>
      <c r="F723" s="425">
        <v>528.71</v>
      </c>
      <c r="G723" s="427" t="s">
        <v>3556</v>
      </c>
      <c r="H723" s="419" t="s">
        <v>468</v>
      </c>
      <c r="I723" s="639" t="s">
        <v>1464</v>
      </c>
      <c r="J723" s="418" t="s">
        <v>1010</v>
      </c>
      <c r="K723" s="418" t="s">
        <v>830</v>
      </c>
      <c r="L723" s="399" t="s">
        <v>32</v>
      </c>
      <c r="M723" s="415" t="s">
        <v>4822</v>
      </c>
      <c r="N723" s="414">
        <v>44675</v>
      </c>
      <c r="O723" s="414" t="s">
        <v>407</v>
      </c>
      <c r="P723" s="603">
        <f>IF(B723=0,0,IF(YEAR(B723)=$Q$1,MONTH(B723)-$P$1+1,(YEAR(B723)-$Q$1)*12-$P$1+1+MONTH(B723)))</f>
        <v>4</v>
      </c>
      <c r="Q723" s="603">
        <f>IF(C723=0,0,IF(YEAR(C723)=$Q$1,MONTH(C723)-$P$1+1,(YEAR(C723)-$Q$1)*12-$P$1+1+MONTH(C723)))</f>
        <v>4</v>
      </c>
      <c r="R723" s="604" t="str">
        <f>SUBSTITUTE(D723," ","_")</f>
        <v>Gastos_custeados_por_captação</v>
      </c>
      <c r="S723" s="605" t="s">
        <v>998</v>
      </c>
      <c r="T723" s="605">
        <v>3424</v>
      </c>
    </row>
    <row r="724" spans="1:20" ht="99.95" customHeight="1" x14ac:dyDescent="0.2">
      <c r="A724" s="510">
        <f>IF(B724="","",COUNT('Diário 1º PA'!$A$4:$A$2635)+ROW()-3)</f>
        <v>2457</v>
      </c>
      <c r="B724" s="414">
        <v>44679</v>
      </c>
      <c r="C724" s="431">
        <v>44621</v>
      </c>
      <c r="D724" s="415" t="s">
        <v>468</v>
      </c>
      <c r="E724" s="415" t="s">
        <v>468</v>
      </c>
      <c r="F724" s="459">
        <v>3393.95</v>
      </c>
      <c r="G724" s="456" t="s">
        <v>3139</v>
      </c>
      <c r="H724" s="415" t="s">
        <v>468</v>
      </c>
      <c r="I724" s="456" t="s">
        <v>780</v>
      </c>
      <c r="J724" s="468" t="s">
        <v>1051</v>
      </c>
      <c r="K724" s="415" t="s">
        <v>830</v>
      </c>
      <c r="L724" s="415" t="s">
        <v>32</v>
      </c>
      <c r="M724" s="528" t="s">
        <v>3601</v>
      </c>
      <c r="N724" s="469">
        <v>44678</v>
      </c>
      <c r="O724" s="414" t="s">
        <v>407</v>
      </c>
      <c r="P724" s="603">
        <f t="shared" si="79"/>
        <v>4</v>
      </c>
      <c r="Q724" s="603">
        <f t="shared" si="80"/>
        <v>3</v>
      </c>
      <c r="R724" s="604" t="str">
        <f t="shared" si="81"/>
        <v>Gastos_custeados_por_captação</v>
      </c>
      <c r="S724" s="605" t="s">
        <v>1000</v>
      </c>
      <c r="T724" s="605">
        <v>2912</v>
      </c>
    </row>
    <row r="725" spans="1:20" ht="72" x14ac:dyDescent="0.2">
      <c r="A725" s="510">
        <f>IF(B725="","",COUNT('Diário 1º PA'!$A$4:$A$2635)+ROW()-3)</f>
        <v>2458</v>
      </c>
      <c r="B725" s="414">
        <v>44679</v>
      </c>
      <c r="C725" s="431">
        <v>44652</v>
      </c>
      <c r="D725" s="415" t="s">
        <v>468</v>
      </c>
      <c r="E725" s="415" t="s">
        <v>468</v>
      </c>
      <c r="F725" s="425">
        <v>800</v>
      </c>
      <c r="G725" s="427" t="s">
        <v>3301</v>
      </c>
      <c r="H725" s="419" t="s">
        <v>468</v>
      </c>
      <c r="I725" s="639" t="s">
        <v>4823</v>
      </c>
      <c r="J725" s="418" t="s">
        <v>3302</v>
      </c>
      <c r="K725" s="415" t="s">
        <v>830</v>
      </c>
      <c r="L725" s="415" t="s">
        <v>32</v>
      </c>
      <c r="M725" s="415" t="s">
        <v>848</v>
      </c>
      <c r="N725" s="469">
        <v>44678</v>
      </c>
      <c r="O725" s="414" t="s">
        <v>407</v>
      </c>
      <c r="P725" s="603">
        <f t="shared" si="79"/>
        <v>4</v>
      </c>
      <c r="Q725" s="603">
        <f t="shared" si="80"/>
        <v>4</v>
      </c>
      <c r="R725" s="604" t="str">
        <f t="shared" si="81"/>
        <v>Gastos_custeados_por_captação</v>
      </c>
      <c r="S725" s="605" t="s">
        <v>1000</v>
      </c>
      <c r="T725" s="605">
        <v>3393</v>
      </c>
    </row>
    <row r="726" spans="1:20" ht="72" x14ac:dyDescent="0.2">
      <c r="A726" s="510">
        <f>IF(B726="","",COUNT('Diário 1º PA'!$A$4:$A$2635)+ROW()-3)</f>
        <v>2459</v>
      </c>
      <c r="B726" s="414">
        <v>44679</v>
      </c>
      <c r="C726" s="466">
        <v>44621</v>
      </c>
      <c r="D726" s="415" t="s">
        <v>468</v>
      </c>
      <c r="E726" s="415" t="s">
        <v>468</v>
      </c>
      <c r="F726" s="425">
        <v>5945.1</v>
      </c>
      <c r="G726" s="427" t="s">
        <v>4803</v>
      </c>
      <c r="H726" s="434" t="s">
        <v>468</v>
      </c>
      <c r="I726" s="639" t="s">
        <v>4691</v>
      </c>
      <c r="J726" s="418" t="s">
        <v>4804</v>
      </c>
      <c r="K726" s="418" t="s">
        <v>830</v>
      </c>
      <c r="L726" s="399" t="s">
        <v>807</v>
      </c>
      <c r="M726" s="415" t="s">
        <v>4824</v>
      </c>
      <c r="N726" s="414" t="s">
        <v>4825</v>
      </c>
      <c r="O726" s="414" t="s">
        <v>407</v>
      </c>
      <c r="P726" s="603">
        <f t="shared" si="79"/>
        <v>4</v>
      </c>
      <c r="Q726" s="603">
        <f t="shared" si="80"/>
        <v>3</v>
      </c>
      <c r="R726" s="604" t="str">
        <f t="shared" si="81"/>
        <v>Gastos_custeados_por_captação</v>
      </c>
      <c r="S726" s="605" t="s">
        <v>1000</v>
      </c>
      <c r="T726" s="605">
        <v>3233</v>
      </c>
    </row>
    <row r="727" spans="1:20" ht="72" x14ac:dyDescent="0.2">
      <c r="A727" s="510">
        <f>IF(B727="","",COUNT('Diário 1º PA'!$A$4:$A$2635)+ROW()-3)</f>
        <v>2460</v>
      </c>
      <c r="B727" s="414">
        <v>44679</v>
      </c>
      <c r="C727" s="466">
        <v>44621</v>
      </c>
      <c r="D727" s="415" t="s">
        <v>468</v>
      </c>
      <c r="E727" s="415" t="s">
        <v>468</v>
      </c>
      <c r="F727" s="425">
        <v>1004.15</v>
      </c>
      <c r="G727" s="427" t="s">
        <v>4803</v>
      </c>
      <c r="H727" s="419" t="s">
        <v>468</v>
      </c>
      <c r="I727" s="639" t="s">
        <v>4691</v>
      </c>
      <c r="J727" s="418" t="s">
        <v>4804</v>
      </c>
      <c r="K727" s="418" t="s">
        <v>830</v>
      </c>
      <c r="L727" s="399" t="s">
        <v>807</v>
      </c>
      <c r="M727" s="415" t="s">
        <v>4824</v>
      </c>
      <c r="N727" s="414" t="s">
        <v>4825</v>
      </c>
      <c r="O727" s="414" t="s">
        <v>407</v>
      </c>
      <c r="P727" s="603">
        <f t="shared" si="79"/>
        <v>4</v>
      </c>
      <c r="Q727" s="603">
        <f t="shared" si="80"/>
        <v>3</v>
      </c>
      <c r="R727" s="604" t="str">
        <f t="shared" si="81"/>
        <v>Gastos_custeados_por_captação</v>
      </c>
      <c r="S727" s="605" t="s">
        <v>1000</v>
      </c>
      <c r="T727" s="605">
        <v>3233</v>
      </c>
    </row>
    <row r="728" spans="1:20" ht="72" x14ac:dyDescent="0.2">
      <c r="A728" s="510">
        <f>IF(B728="","",COUNT('Diário 1º PA'!$A$4:$A$2635)+ROW()-3)</f>
        <v>2461</v>
      </c>
      <c r="B728" s="414">
        <v>44679</v>
      </c>
      <c r="C728" s="431">
        <v>44652</v>
      </c>
      <c r="D728" s="415" t="s">
        <v>468</v>
      </c>
      <c r="E728" s="415" t="s">
        <v>468</v>
      </c>
      <c r="F728" s="425">
        <v>373.45</v>
      </c>
      <c r="G728" s="427" t="s">
        <v>3434</v>
      </c>
      <c r="H728" s="419" t="s">
        <v>468</v>
      </c>
      <c r="I728" s="639" t="s">
        <v>4827</v>
      </c>
      <c r="J728" s="418" t="s">
        <v>3497</v>
      </c>
      <c r="K728" s="418" t="s">
        <v>830</v>
      </c>
      <c r="L728" s="399" t="s">
        <v>807</v>
      </c>
      <c r="M728" s="415" t="s">
        <v>4826</v>
      </c>
      <c r="N728" s="414">
        <v>44676</v>
      </c>
      <c r="O728" s="414" t="s">
        <v>407</v>
      </c>
      <c r="P728" s="603">
        <f t="shared" si="79"/>
        <v>4</v>
      </c>
      <c r="Q728" s="603">
        <f t="shared" si="80"/>
        <v>4</v>
      </c>
      <c r="R728" s="604" t="str">
        <f t="shared" si="81"/>
        <v>Gastos_custeados_por_captação</v>
      </c>
      <c r="S728" s="605" t="s">
        <v>998</v>
      </c>
      <c r="T728" s="605">
        <v>3469</v>
      </c>
    </row>
    <row r="729" spans="1:20" s="88" customFormat="1" ht="72" x14ac:dyDescent="0.2">
      <c r="A729" s="510">
        <f>IF(B729="","",COUNT('Diário 1º PA'!$A$4:$A$2635)+ROW()-3)</f>
        <v>2462</v>
      </c>
      <c r="B729" s="414">
        <v>44679</v>
      </c>
      <c r="C729" s="431">
        <v>44652</v>
      </c>
      <c r="D729" s="415" t="s">
        <v>468</v>
      </c>
      <c r="E729" s="415" t="s">
        <v>468</v>
      </c>
      <c r="F729" s="425">
        <v>154.5</v>
      </c>
      <c r="G729" s="427" t="s">
        <v>4129</v>
      </c>
      <c r="H729" s="419" t="s">
        <v>468</v>
      </c>
      <c r="I729" s="639" t="s">
        <v>4828</v>
      </c>
      <c r="J729" s="418" t="s">
        <v>4130</v>
      </c>
      <c r="K729" s="418" t="s">
        <v>830</v>
      </c>
      <c r="L729" s="399" t="s">
        <v>4797</v>
      </c>
      <c r="M729" s="415">
        <v>104233</v>
      </c>
      <c r="N729" s="414">
        <v>44679</v>
      </c>
      <c r="O729" s="414" t="s">
        <v>407</v>
      </c>
      <c r="P729" s="603">
        <f t="shared" ref="P729:P739" si="82">IF(B729=0,0,IF(YEAR(B729)=$Q$1,MONTH(B729)-$P$1+1,(YEAR(B729)-$Q$1)*12-$P$1+1+MONTH(B729)))</f>
        <v>4</v>
      </c>
      <c r="Q729" s="603">
        <f t="shared" ref="Q729:Q739" si="83">IF(C729=0,0,IF(YEAR(C729)=$Q$1,MONTH(C729)-$P$1+1,(YEAR(C729)-$Q$1)*12-$P$1+1+MONTH(C729)))</f>
        <v>4</v>
      </c>
      <c r="R729" s="604" t="str">
        <f t="shared" ref="R729:R739" si="84">SUBSTITUTE(D729," ","_")</f>
        <v>Gastos_custeados_por_captação</v>
      </c>
      <c r="S729" s="605" t="s">
        <v>999</v>
      </c>
      <c r="T729" s="605">
        <v>3723</v>
      </c>
    </row>
    <row r="730" spans="1:20" s="88" customFormat="1" ht="24" x14ac:dyDescent="0.2">
      <c r="A730" s="510">
        <f>IF(B730="","",COUNT('Diário 1º PA'!$A$4:$A$2635)+ROW()-3)</f>
        <v>2463</v>
      </c>
      <c r="B730" s="414">
        <v>44680</v>
      </c>
      <c r="C730" s="592">
        <v>44652</v>
      </c>
      <c r="D730" s="415" t="s">
        <v>271</v>
      </c>
      <c r="E730" s="415" t="s">
        <v>297</v>
      </c>
      <c r="F730" s="425">
        <v>-7.98</v>
      </c>
      <c r="G730" s="427" t="s">
        <v>3731</v>
      </c>
      <c r="H730" s="415" t="s">
        <v>309</v>
      </c>
      <c r="I730" s="427" t="s">
        <v>795</v>
      </c>
      <c r="J730" s="415" t="s">
        <v>796</v>
      </c>
      <c r="K730" s="415" t="s">
        <v>797</v>
      </c>
      <c r="L730" s="415" t="s">
        <v>798</v>
      </c>
      <c r="M730" s="415" t="s">
        <v>310</v>
      </c>
      <c r="N730" s="414">
        <v>44679</v>
      </c>
      <c r="O730" s="414" t="s">
        <v>400</v>
      </c>
      <c r="P730" s="603">
        <f t="shared" si="82"/>
        <v>4</v>
      </c>
      <c r="Q730" s="603">
        <f t="shared" si="83"/>
        <v>4</v>
      </c>
      <c r="R730" s="604" t="str">
        <f t="shared" si="84"/>
        <v>Gastos_Gerais</v>
      </c>
      <c r="S730" s="605" t="s">
        <v>310</v>
      </c>
      <c r="T730" s="605" t="s">
        <v>310</v>
      </c>
    </row>
    <row r="731" spans="1:20" s="88" customFormat="1" ht="48" x14ac:dyDescent="0.2">
      <c r="A731" s="510">
        <f>IF(B731="","",COUNT('Diário 1º PA'!$A$4:$A$2635)+ROW()-3)</f>
        <v>2464</v>
      </c>
      <c r="B731" s="414">
        <v>44680</v>
      </c>
      <c r="C731" s="592">
        <v>44593</v>
      </c>
      <c r="D731" s="415" t="s">
        <v>271</v>
      </c>
      <c r="E731" s="415" t="s">
        <v>456</v>
      </c>
      <c r="F731" s="425">
        <v>420</v>
      </c>
      <c r="G731" s="427" t="s">
        <v>1909</v>
      </c>
      <c r="H731" s="415" t="s">
        <v>761</v>
      </c>
      <c r="I731" s="427" t="s">
        <v>3739</v>
      </c>
      <c r="J731" s="415" t="s">
        <v>1908</v>
      </c>
      <c r="K731" s="415" t="s">
        <v>806</v>
      </c>
      <c r="L731" s="415" t="s">
        <v>839</v>
      </c>
      <c r="M731" s="415">
        <v>1685</v>
      </c>
      <c r="N731" s="414">
        <v>44657</v>
      </c>
      <c r="O731" s="414" t="s">
        <v>400</v>
      </c>
      <c r="P731" s="603">
        <f t="shared" si="82"/>
        <v>4</v>
      </c>
      <c r="Q731" s="603">
        <f t="shared" si="83"/>
        <v>2</v>
      </c>
      <c r="R731" s="604" t="str">
        <f t="shared" si="84"/>
        <v>Gastos_Gerais</v>
      </c>
      <c r="S731" s="605" t="s">
        <v>998</v>
      </c>
      <c r="T731" s="605">
        <v>2964</v>
      </c>
    </row>
    <row r="732" spans="1:20" s="88" customFormat="1" ht="60" x14ac:dyDescent="0.2">
      <c r="A732" s="510">
        <f>IF(B732="","",COUNT('Diário 1º PA'!$A$4:$A$2635)+ROW()-3)</f>
        <v>2465</v>
      </c>
      <c r="B732" s="414">
        <v>44680</v>
      </c>
      <c r="C732" s="592">
        <v>44621</v>
      </c>
      <c r="D732" s="415" t="s">
        <v>271</v>
      </c>
      <c r="E732" s="415" t="s">
        <v>186</v>
      </c>
      <c r="F732" s="425">
        <v>2952.47</v>
      </c>
      <c r="G732" s="427" t="s">
        <v>3151</v>
      </c>
      <c r="H732" s="415" t="s">
        <v>751</v>
      </c>
      <c r="I732" s="427" t="s">
        <v>3740</v>
      </c>
      <c r="J732" s="415" t="s">
        <v>1029</v>
      </c>
      <c r="K732" s="415" t="s">
        <v>812</v>
      </c>
      <c r="L732" s="415" t="s">
        <v>807</v>
      </c>
      <c r="M732" s="415" t="s">
        <v>3741</v>
      </c>
      <c r="N732" s="414">
        <v>44669</v>
      </c>
      <c r="O732" s="414" t="s">
        <v>400</v>
      </c>
      <c r="P732" s="603">
        <f t="shared" si="82"/>
        <v>4</v>
      </c>
      <c r="Q732" s="603">
        <f t="shared" si="83"/>
        <v>3</v>
      </c>
      <c r="R732" s="604" t="str">
        <f t="shared" si="84"/>
        <v>Gastos_Gerais</v>
      </c>
      <c r="S732" s="605" t="s">
        <v>1000</v>
      </c>
      <c r="T732" s="605">
        <v>1501</v>
      </c>
    </row>
    <row r="733" spans="1:20" s="88" customFormat="1" ht="48" x14ac:dyDescent="0.2">
      <c r="A733" s="510">
        <f>IF(B733="","",COUNT('Diário 1º PA'!$A$4:$A$2635)+ROW()-3)</f>
        <v>2466</v>
      </c>
      <c r="B733" s="414">
        <v>44680</v>
      </c>
      <c r="C733" s="592">
        <v>44652</v>
      </c>
      <c r="D733" s="415" t="s">
        <v>271</v>
      </c>
      <c r="E733" s="415" t="s">
        <v>297</v>
      </c>
      <c r="F733" s="425">
        <v>318.19</v>
      </c>
      <c r="G733" s="427" t="s">
        <v>3649</v>
      </c>
      <c r="H733" s="415" t="s">
        <v>752</v>
      </c>
      <c r="I733" s="427" t="s">
        <v>2337</v>
      </c>
      <c r="J733" s="415" t="s">
        <v>1602</v>
      </c>
      <c r="K733" s="415" t="s">
        <v>812</v>
      </c>
      <c r="L733" s="415" t="s">
        <v>807</v>
      </c>
      <c r="M733" s="415" t="s">
        <v>4096</v>
      </c>
      <c r="N733" s="414" t="s">
        <v>4097</v>
      </c>
      <c r="O733" s="414" t="s">
        <v>400</v>
      </c>
      <c r="P733" s="603">
        <f t="shared" si="82"/>
        <v>4</v>
      </c>
      <c r="Q733" s="603">
        <f t="shared" si="83"/>
        <v>4</v>
      </c>
      <c r="R733" s="604" t="str">
        <f t="shared" si="84"/>
        <v>Gastos_Gerais</v>
      </c>
      <c r="S733" s="605" t="s">
        <v>1303</v>
      </c>
      <c r="T733" s="605">
        <v>3505</v>
      </c>
    </row>
    <row r="734" spans="1:20" s="88" customFormat="1" ht="48" x14ac:dyDescent="0.2">
      <c r="A734" s="510">
        <f>IF(B734="","",COUNT('Diário 1º PA'!$A$4:$A$2635)+ROW()-3)</f>
        <v>2467</v>
      </c>
      <c r="B734" s="414">
        <v>44680</v>
      </c>
      <c r="C734" s="592">
        <v>44652</v>
      </c>
      <c r="D734" s="415" t="s">
        <v>271</v>
      </c>
      <c r="E734" s="415" t="s">
        <v>205</v>
      </c>
      <c r="F734" s="425">
        <v>10443.6</v>
      </c>
      <c r="G734" s="427" t="s">
        <v>3441</v>
      </c>
      <c r="H734" s="415" t="s">
        <v>792</v>
      </c>
      <c r="I734" s="427" t="s">
        <v>3742</v>
      </c>
      <c r="J734" s="415" t="s">
        <v>3442</v>
      </c>
      <c r="K734" s="415" t="s">
        <v>830</v>
      </c>
      <c r="L734" s="415" t="s">
        <v>3743</v>
      </c>
      <c r="M734" s="415" t="s">
        <v>3744</v>
      </c>
      <c r="N734" s="414">
        <v>44679</v>
      </c>
      <c r="O734" s="414" t="s">
        <v>400</v>
      </c>
      <c r="P734" s="603">
        <f t="shared" si="82"/>
        <v>4</v>
      </c>
      <c r="Q734" s="603">
        <f t="shared" si="83"/>
        <v>4</v>
      </c>
      <c r="R734" s="604" t="str">
        <f t="shared" si="84"/>
        <v>Gastos_Gerais</v>
      </c>
      <c r="S734" s="605" t="s">
        <v>1000</v>
      </c>
      <c r="T734" s="605">
        <v>3471</v>
      </c>
    </row>
    <row r="735" spans="1:20" s="88" customFormat="1" ht="36" x14ac:dyDescent="0.2">
      <c r="A735" s="510">
        <f>IF(B735="","",COUNT('Diário 1º PA'!$A$4:$A$2635)+ROW()-3)</f>
        <v>2468</v>
      </c>
      <c r="B735" s="414">
        <v>44680</v>
      </c>
      <c r="C735" s="592">
        <v>44652</v>
      </c>
      <c r="D735" s="415" t="s">
        <v>271</v>
      </c>
      <c r="E735" s="415" t="s">
        <v>71</v>
      </c>
      <c r="F735" s="425">
        <v>11</v>
      </c>
      <c r="G735" s="427" t="s">
        <v>3732</v>
      </c>
      <c r="H735" s="415" t="s">
        <v>792</v>
      </c>
      <c r="I735" s="482" t="s">
        <v>881</v>
      </c>
      <c r="J735" s="521" t="s">
        <v>882</v>
      </c>
      <c r="K735" s="415" t="s">
        <v>883</v>
      </c>
      <c r="L735" s="415" t="s">
        <v>798</v>
      </c>
      <c r="M735" s="521" t="s">
        <v>310</v>
      </c>
      <c r="N735" s="414">
        <v>44680</v>
      </c>
      <c r="O735" s="414" t="s">
        <v>400</v>
      </c>
      <c r="P735" s="603">
        <f t="shared" si="82"/>
        <v>4</v>
      </c>
      <c r="Q735" s="603">
        <f t="shared" si="83"/>
        <v>4</v>
      </c>
      <c r="R735" s="604" t="str">
        <f t="shared" si="84"/>
        <v>Gastos_Gerais</v>
      </c>
      <c r="S735" s="605" t="s">
        <v>310</v>
      </c>
      <c r="T735" s="605" t="s">
        <v>310</v>
      </c>
    </row>
    <row r="736" spans="1:20" s="88" customFormat="1" ht="36" x14ac:dyDescent="0.2">
      <c r="A736" s="510">
        <f>IF(B736="","",COUNT('Diário 1º PA'!$A$4:$A$2635)+ROW()-3)</f>
        <v>2469</v>
      </c>
      <c r="B736" s="414">
        <v>44680</v>
      </c>
      <c r="C736" s="592">
        <v>44652</v>
      </c>
      <c r="D736" s="415" t="s">
        <v>468</v>
      </c>
      <c r="E736" s="415" t="s">
        <v>468</v>
      </c>
      <c r="F736" s="425">
        <v>-10000</v>
      </c>
      <c r="G736" s="427" t="s">
        <v>3097</v>
      </c>
      <c r="H736" s="415" t="s">
        <v>468</v>
      </c>
      <c r="I736" s="482" t="s">
        <v>2437</v>
      </c>
      <c r="J736" s="521" t="s">
        <v>796</v>
      </c>
      <c r="K736" s="415" t="s">
        <v>797</v>
      </c>
      <c r="L736" s="415" t="s">
        <v>798</v>
      </c>
      <c r="M736" s="521" t="s">
        <v>310</v>
      </c>
      <c r="N736" s="414">
        <v>44680</v>
      </c>
      <c r="O736" s="414" t="s">
        <v>408</v>
      </c>
      <c r="P736" s="603">
        <f t="shared" si="82"/>
        <v>4</v>
      </c>
      <c r="Q736" s="603">
        <f t="shared" si="83"/>
        <v>4</v>
      </c>
      <c r="R736" s="604" t="str">
        <f t="shared" si="84"/>
        <v>Gastos_custeados_por_captação</v>
      </c>
      <c r="S736" s="605" t="s">
        <v>310</v>
      </c>
      <c r="T736" s="605" t="s">
        <v>310</v>
      </c>
    </row>
    <row r="737" spans="1:20" s="88" customFormat="1" ht="36" x14ac:dyDescent="0.2">
      <c r="A737" s="510">
        <f>IF(B737="","",COUNT('Diário 1º PA'!$A$4:$A$2635)+ROW()-3)</f>
        <v>2470</v>
      </c>
      <c r="B737" s="414">
        <v>44680</v>
      </c>
      <c r="C737" s="592">
        <v>44652</v>
      </c>
      <c r="D737" s="415" t="s">
        <v>468</v>
      </c>
      <c r="E737" s="415" t="s">
        <v>468</v>
      </c>
      <c r="F737" s="425">
        <v>-15000</v>
      </c>
      <c r="G737" s="427" t="s">
        <v>3099</v>
      </c>
      <c r="H737" s="415" t="s">
        <v>468</v>
      </c>
      <c r="I737" s="482" t="s">
        <v>2437</v>
      </c>
      <c r="J737" s="521" t="s">
        <v>796</v>
      </c>
      <c r="K737" s="415" t="s">
        <v>797</v>
      </c>
      <c r="L737" s="415" t="s">
        <v>798</v>
      </c>
      <c r="M737" s="521" t="s">
        <v>310</v>
      </c>
      <c r="N737" s="414">
        <v>44680</v>
      </c>
      <c r="O737" s="414" t="s">
        <v>408</v>
      </c>
      <c r="P737" s="603">
        <f t="shared" si="82"/>
        <v>4</v>
      </c>
      <c r="Q737" s="603">
        <f t="shared" si="83"/>
        <v>4</v>
      </c>
      <c r="R737" s="604" t="str">
        <f t="shared" si="84"/>
        <v>Gastos_custeados_por_captação</v>
      </c>
      <c r="S737" s="605" t="s">
        <v>310</v>
      </c>
      <c r="T737" s="605" t="s">
        <v>310</v>
      </c>
    </row>
    <row r="738" spans="1:20" s="88" customFormat="1" ht="36" x14ac:dyDescent="0.2">
      <c r="A738" s="510">
        <f>IF(B738="","",COUNT('Diário 1º PA'!$A$4:$A$2635)+ROW()-3)</f>
        <v>2471</v>
      </c>
      <c r="B738" s="414">
        <v>44680</v>
      </c>
      <c r="C738" s="592">
        <v>44652</v>
      </c>
      <c r="D738" s="415" t="s">
        <v>468</v>
      </c>
      <c r="E738" s="415" t="s">
        <v>468</v>
      </c>
      <c r="F738" s="425">
        <v>-6500</v>
      </c>
      <c r="G738" s="427" t="s">
        <v>3098</v>
      </c>
      <c r="H738" s="415" t="s">
        <v>468</v>
      </c>
      <c r="I738" s="427" t="s">
        <v>2437</v>
      </c>
      <c r="J738" s="415" t="s">
        <v>796</v>
      </c>
      <c r="K738" s="415" t="s">
        <v>797</v>
      </c>
      <c r="L738" s="415" t="s">
        <v>798</v>
      </c>
      <c r="M738" s="415" t="s">
        <v>310</v>
      </c>
      <c r="N738" s="414">
        <v>44680</v>
      </c>
      <c r="O738" s="414" t="s">
        <v>408</v>
      </c>
      <c r="P738" s="603">
        <f t="shared" si="82"/>
        <v>4</v>
      </c>
      <c r="Q738" s="603">
        <f t="shared" si="83"/>
        <v>4</v>
      </c>
      <c r="R738" s="604" t="str">
        <f t="shared" si="84"/>
        <v>Gastos_custeados_por_captação</v>
      </c>
      <c r="S738" s="605" t="s">
        <v>310</v>
      </c>
      <c r="T738" s="605" t="s">
        <v>310</v>
      </c>
    </row>
    <row r="739" spans="1:20" s="88" customFormat="1" ht="60" x14ac:dyDescent="0.2">
      <c r="A739" s="510">
        <f>IF(B739="","",COUNT('Diário 1º PA'!$A$4:$A$2635)+ROW()-3)</f>
        <v>2472</v>
      </c>
      <c r="B739" s="414">
        <v>44680</v>
      </c>
      <c r="C739" s="592">
        <v>44621</v>
      </c>
      <c r="D739" s="415" t="s">
        <v>468</v>
      </c>
      <c r="E739" s="415" t="s">
        <v>468</v>
      </c>
      <c r="F739" s="425">
        <v>213.4</v>
      </c>
      <c r="G739" s="427" t="s">
        <v>3098</v>
      </c>
      <c r="H739" s="415" t="s">
        <v>468</v>
      </c>
      <c r="I739" s="427" t="s">
        <v>4809</v>
      </c>
      <c r="J739" s="415" t="s">
        <v>3497</v>
      </c>
      <c r="K739" s="415" t="s">
        <v>830</v>
      </c>
      <c r="L739" s="415" t="s">
        <v>807</v>
      </c>
      <c r="M739" s="415" t="s">
        <v>4810</v>
      </c>
      <c r="N739" s="414">
        <v>44679</v>
      </c>
      <c r="O739" s="414" t="s">
        <v>404</v>
      </c>
      <c r="P739" s="603">
        <f t="shared" si="82"/>
        <v>4</v>
      </c>
      <c r="Q739" s="603">
        <f t="shared" si="83"/>
        <v>3</v>
      </c>
      <c r="R739" s="604" t="str">
        <f t="shared" si="84"/>
        <v>Gastos_custeados_por_captação</v>
      </c>
      <c r="S739" s="605" t="s">
        <v>998</v>
      </c>
      <c r="T739" s="605">
        <v>3314</v>
      </c>
    </row>
    <row r="740" spans="1:20" ht="60" x14ac:dyDescent="0.2">
      <c r="A740" s="510">
        <f>IF(B740="","",COUNT('Diário 1º PA'!$A$4:$A$2635)+ROW()-3)</f>
        <v>2473</v>
      </c>
      <c r="B740" s="414">
        <v>44680</v>
      </c>
      <c r="C740" s="592">
        <v>44652</v>
      </c>
      <c r="D740" s="415" t="s">
        <v>468</v>
      </c>
      <c r="E740" s="415" t="s">
        <v>468</v>
      </c>
      <c r="F740" s="425">
        <v>87.3</v>
      </c>
      <c r="G740" s="427" t="s">
        <v>3294</v>
      </c>
      <c r="H740" s="415" t="s">
        <v>468</v>
      </c>
      <c r="I740" s="427" t="s">
        <v>4809</v>
      </c>
      <c r="J740" s="415" t="s">
        <v>3497</v>
      </c>
      <c r="K740" s="415" t="s">
        <v>830</v>
      </c>
      <c r="L740" s="415" t="s">
        <v>807</v>
      </c>
      <c r="M740" s="415" t="s">
        <v>2178</v>
      </c>
      <c r="N740" s="414">
        <v>44679</v>
      </c>
      <c r="O740" s="414" t="s">
        <v>404</v>
      </c>
      <c r="P740" s="603">
        <f t="shared" ref="P740:P747" si="85">IF(B740=0,0,IF(YEAR(B740)=$Q$1,MONTH(B740)-$P$1+1,(YEAR(B740)-$Q$1)*12-$P$1+1+MONTH(B740)))</f>
        <v>4</v>
      </c>
      <c r="Q740" s="603">
        <f t="shared" ref="Q740:Q747" si="86">IF(C740=0,0,IF(YEAR(C740)=$Q$1,MONTH(C740)-$P$1+1,(YEAR(C740)-$Q$1)*12-$P$1+1+MONTH(C740)))</f>
        <v>4</v>
      </c>
      <c r="R740" s="604" t="str">
        <f t="shared" ref="R740:R747" si="87">SUBSTITUTE(D740," ","_")</f>
        <v>Gastos_custeados_por_captação</v>
      </c>
      <c r="S740" s="605" t="s">
        <v>998</v>
      </c>
      <c r="T740" s="605">
        <v>3377</v>
      </c>
    </row>
    <row r="741" spans="1:20" ht="72" x14ac:dyDescent="0.2">
      <c r="A741" s="510">
        <f>IF(B741="","",COUNT('Diário 1º PA'!$A$4:$A$2635)+ROW()-3)</f>
        <v>2474</v>
      </c>
      <c r="B741" s="414">
        <v>44680</v>
      </c>
      <c r="C741" s="592">
        <v>44652</v>
      </c>
      <c r="D741" s="415" t="s">
        <v>468</v>
      </c>
      <c r="E741" s="415" t="s">
        <v>468</v>
      </c>
      <c r="F741" s="425">
        <v>675</v>
      </c>
      <c r="G741" s="427" t="s">
        <v>3526</v>
      </c>
      <c r="H741" s="415" t="s">
        <v>468</v>
      </c>
      <c r="I741" s="427" t="s">
        <v>4684</v>
      </c>
      <c r="J741" s="415" t="s">
        <v>3319</v>
      </c>
      <c r="K741" s="415" t="s">
        <v>830</v>
      </c>
      <c r="L741" s="415" t="s">
        <v>32</v>
      </c>
      <c r="M741" s="415">
        <v>3475</v>
      </c>
      <c r="N741" s="414">
        <v>44674</v>
      </c>
      <c r="O741" s="414" t="s">
        <v>407</v>
      </c>
      <c r="P741" s="603">
        <f t="shared" si="85"/>
        <v>4</v>
      </c>
      <c r="Q741" s="603">
        <f t="shared" si="86"/>
        <v>4</v>
      </c>
      <c r="R741" s="604" t="str">
        <f t="shared" si="87"/>
        <v>Gastos_custeados_por_captação</v>
      </c>
      <c r="S741" s="605" t="s">
        <v>998</v>
      </c>
      <c r="T741" s="605">
        <v>3493</v>
      </c>
    </row>
    <row r="742" spans="1:20" ht="72" x14ac:dyDescent="0.2">
      <c r="A742" s="510">
        <f>IF(B742="","",COUNT('Diário 1º PA'!$A$4:$A$2635)+ROW()-3)</f>
        <v>2475</v>
      </c>
      <c r="B742" s="414">
        <v>44680</v>
      </c>
      <c r="C742" s="592">
        <v>44652</v>
      </c>
      <c r="D742" s="415" t="s">
        <v>468</v>
      </c>
      <c r="E742" s="415" t="s">
        <v>468</v>
      </c>
      <c r="F742" s="425">
        <v>10000</v>
      </c>
      <c r="G742" s="427" t="s">
        <v>3097</v>
      </c>
      <c r="H742" s="415" t="s">
        <v>468</v>
      </c>
      <c r="I742" s="437" t="s">
        <v>795</v>
      </c>
      <c r="J742" s="434" t="s">
        <v>796</v>
      </c>
      <c r="K742" s="415" t="s">
        <v>806</v>
      </c>
      <c r="L742" s="434" t="s">
        <v>798</v>
      </c>
      <c r="M742" s="436" t="s">
        <v>310</v>
      </c>
      <c r="N742" s="414">
        <v>44679</v>
      </c>
      <c r="O742" s="414" t="s">
        <v>407</v>
      </c>
      <c r="P742" s="603">
        <f t="shared" si="85"/>
        <v>4</v>
      </c>
      <c r="Q742" s="603">
        <f t="shared" si="86"/>
        <v>4</v>
      </c>
      <c r="R742" s="604" t="str">
        <f t="shared" si="87"/>
        <v>Gastos_custeados_por_captação</v>
      </c>
      <c r="S742" s="605" t="s">
        <v>310</v>
      </c>
      <c r="T742" s="605" t="s">
        <v>310</v>
      </c>
    </row>
    <row r="743" spans="1:20" ht="72" x14ac:dyDescent="0.2">
      <c r="A743" s="510">
        <f>IF(B743="","",COUNT('Diário 1º PA'!$A$4:$A$2635)+ROW()-3)</f>
        <v>2476</v>
      </c>
      <c r="B743" s="414">
        <v>44680</v>
      </c>
      <c r="C743" s="592">
        <v>44652</v>
      </c>
      <c r="D743" s="415" t="s">
        <v>468</v>
      </c>
      <c r="E743" s="415" t="s">
        <v>468</v>
      </c>
      <c r="F743" s="425">
        <v>15000</v>
      </c>
      <c r="G743" s="427" t="s">
        <v>3099</v>
      </c>
      <c r="H743" s="415" t="s">
        <v>468</v>
      </c>
      <c r="I743" s="437" t="s">
        <v>795</v>
      </c>
      <c r="J743" s="434" t="s">
        <v>796</v>
      </c>
      <c r="K743" s="415" t="s">
        <v>806</v>
      </c>
      <c r="L743" s="434" t="s">
        <v>798</v>
      </c>
      <c r="M743" s="436" t="s">
        <v>310</v>
      </c>
      <c r="N743" s="414">
        <v>44679</v>
      </c>
      <c r="O743" s="414" t="s">
        <v>407</v>
      </c>
      <c r="P743" s="603">
        <f t="shared" si="85"/>
        <v>4</v>
      </c>
      <c r="Q743" s="603">
        <f t="shared" si="86"/>
        <v>4</v>
      </c>
      <c r="R743" s="604" t="str">
        <f t="shared" si="87"/>
        <v>Gastos_custeados_por_captação</v>
      </c>
      <c r="S743" s="605" t="s">
        <v>310</v>
      </c>
      <c r="T743" s="605" t="s">
        <v>310</v>
      </c>
    </row>
    <row r="744" spans="1:20" ht="99.95" customHeight="1" x14ac:dyDescent="0.2">
      <c r="A744" s="510">
        <f>IF(B744="","",COUNT('Diário 1º PA'!$A$4:$A$2635)+ROW()-3)</f>
        <v>2477</v>
      </c>
      <c r="B744" s="414">
        <v>44680</v>
      </c>
      <c r="C744" s="592">
        <v>44652</v>
      </c>
      <c r="D744" s="415" t="s">
        <v>468</v>
      </c>
      <c r="E744" s="415" t="s">
        <v>468</v>
      </c>
      <c r="F744" s="425">
        <v>6500</v>
      </c>
      <c r="G744" s="427" t="s">
        <v>3098</v>
      </c>
      <c r="H744" s="415" t="s">
        <v>468</v>
      </c>
      <c r="I744" s="437" t="s">
        <v>795</v>
      </c>
      <c r="J744" s="434" t="s">
        <v>796</v>
      </c>
      <c r="K744" s="415" t="s">
        <v>806</v>
      </c>
      <c r="L744" s="434" t="s">
        <v>798</v>
      </c>
      <c r="M744" s="436" t="s">
        <v>310</v>
      </c>
      <c r="N744" s="414">
        <v>44679</v>
      </c>
      <c r="O744" s="414" t="s">
        <v>407</v>
      </c>
      <c r="P744" s="603">
        <f t="shared" si="85"/>
        <v>4</v>
      </c>
      <c r="Q744" s="603">
        <f t="shared" si="86"/>
        <v>4</v>
      </c>
      <c r="R744" s="604" t="str">
        <f t="shared" si="87"/>
        <v>Gastos_custeados_por_captação</v>
      </c>
      <c r="S744" s="605" t="s">
        <v>310</v>
      </c>
      <c r="T744" s="605" t="s">
        <v>310</v>
      </c>
    </row>
    <row r="745" spans="1:20" ht="99.95" customHeight="1" x14ac:dyDescent="0.2">
      <c r="A745" s="510">
        <f>IF(B745="","",COUNT('Diário 1º PA'!$A$4:$A$2635)+ROW()-3)</f>
        <v>2478</v>
      </c>
      <c r="B745" s="414">
        <v>44680</v>
      </c>
      <c r="C745" s="592">
        <v>44652</v>
      </c>
      <c r="D745" s="415" t="s">
        <v>468</v>
      </c>
      <c r="E745" s="415" t="s">
        <v>468</v>
      </c>
      <c r="F745" s="425">
        <v>5</v>
      </c>
      <c r="G745" s="427" t="s">
        <v>5665</v>
      </c>
      <c r="H745" s="415" t="s">
        <v>468</v>
      </c>
      <c r="I745" s="427" t="s">
        <v>4598</v>
      </c>
      <c r="J745" s="415" t="s">
        <v>2310</v>
      </c>
      <c r="K745" s="415" t="s">
        <v>830</v>
      </c>
      <c r="L745" s="415" t="s">
        <v>807</v>
      </c>
      <c r="M745" s="415" t="s">
        <v>1428</v>
      </c>
      <c r="N745" s="414">
        <v>44663</v>
      </c>
      <c r="O745" s="414" t="s">
        <v>407</v>
      </c>
      <c r="P745" s="603">
        <f t="shared" si="85"/>
        <v>4</v>
      </c>
      <c r="Q745" s="603">
        <f t="shared" si="86"/>
        <v>4</v>
      </c>
      <c r="R745" s="604" t="str">
        <f t="shared" si="87"/>
        <v>Gastos_custeados_por_captação</v>
      </c>
      <c r="S745" s="605" t="s">
        <v>998</v>
      </c>
      <c r="T745" s="605">
        <v>3300</v>
      </c>
    </row>
    <row r="746" spans="1:20" ht="99.95" customHeight="1" x14ac:dyDescent="0.2">
      <c r="A746" s="510">
        <f>IF(B746="","",COUNT('Diário 1º PA'!$A$4:$A$2635)+ROW()-3)</f>
        <v>2479</v>
      </c>
      <c r="B746" s="414">
        <v>44680</v>
      </c>
      <c r="C746" s="592">
        <v>44652</v>
      </c>
      <c r="D746" s="415" t="s">
        <v>468</v>
      </c>
      <c r="E746" s="415" t="s">
        <v>468</v>
      </c>
      <c r="F746" s="425">
        <v>6890</v>
      </c>
      <c r="G746" s="427" t="s">
        <v>3435</v>
      </c>
      <c r="H746" s="415" t="s">
        <v>468</v>
      </c>
      <c r="I746" s="427" t="s">
        <v>4794</v>
      </c>
      <c r="J746" s="415" t="s">
        <v>3436</v>
      </c>
      <c r="K746" s="415" t="s">
        <v>830</v>
      </c>
      <c r="L746" s="415" t="s">
        <v>807</v>
      </c>
      <c r="M746" s="415">
        <v>3184</v>
      </c>
      <c r="N746" s="414">
        <v>44676</v>
      </c>
      <c r="O746" s="414" t="s">
        <v>407</v>
      </c>
      <c r="P746" s="603">
        <f t="shared" si="85"/>
        <v>4</v>
      </c>
      <c r="Q746" s="603">
        <f t="shared" si="86"/>
        <v>4</v>
      </c>
      <c r="R746" s="604" t="str">
        <f t="shared" si="87"/>
        <v>Gastos_custeados_por_captação</v>
      </c>
      <c r="S746" s="605" t="s">
        <v>998</v>
      </c>
      <c r="T746" s="605">
        <v>3472</v>
      </c>
    </row>
    <row r="747" spans="1:20" ht="72" x14ac:dyDescent="0.2">
      <c r="A747" s="510">
        <f>IF(B747="","",COUNT('Diário 1º PA'!$A$4:$A$2635)+ROW()-3)</f>
        <v>2480</v>
      </c>
      <c r="B747" s="414">
        <v>44680</v>
      </c>
      <c r="C747" s="592">
        <v>44652</v>
      </c>
      <c r="D747" s="415" t="s">
        <v>468</v>
      </c>
      <c r="E747" s="415" t="s">
        <v>468</v>
      </c>
      <c r="F747" s="425">
        <v>766.3</v>
      </c>
      <c r="G747" s="427" t="s">
        <v>3533</v>
      </c>
      <c r="H747" s="415" t="s">
        <v>468</v>
      </c>
      <c r="I747" s="427" t="s">
        <v>4829</v>
      </c>
      <c r="J747" s="415" t="s">
        <v>3497</v>
      </c>
      <c r="K747" s="415" t="s">
        <v>830</v>
      </c>
      <c r="L747" s="415" t="s">
        <v>807</v>
      </c>
      <c r="M747" s="415" t="s">
        <v>4830</v>
      </c>
      <c r="N747" s="414">
        <v>44679</v>
      </c>
      <c r="O747" s="414" t="s">
        <v>407</v>
      </c>
      <c r="P747" s="603">
        <f t="shared" si="85"/>
        <v>4</v>
      </c>
      <c r="Q747" s="603">
        <f t="shared" si="86"/>
        <v>4</v>
      </c>
      <c r="R747" s="604" t="str">
        <f t="shared" si="87"/>
        <v>Gastos_custeados_por_captação</v>
      </c>
      <c r="S747" s="605" t="s">
        <v>998</v>
      </c>
      <c r="T747" s="605">
        <v>3450</v>
      </c>
    </row>
    <row r="748" spans="1:20" s="88" customFormat="1" ht="72" x14ac:dyDescent="0.2">
      <c r="A748" s="510">
        <f>IF(B748="","",COUNT('Diário 1º PA'!$A$4:$A$2635)+ROW()-3)</f>
        <v>2481</v>
      </c>
      <c r="B748" s="414">
        <v>44680</v>
      </c>
      <c r="C748" s="592">
        <v>44652</v>
      </c>
      <c r="D748" s="415" t="s">
        <v>468</v>
      </c>
      <c r="E748" s="415" t="s">
        <v>468</v>
      </c>
      <c r="F748" s="425">
        <v>460</v>
      </c>
      <c r="G748" s="427" t="s">
        <v>4069</v>
      </c>
      <c r="H748" s="415" t="s">
        <v>468</v>
      </c>
      <c r="I748" s="427" t="s">
        <v>4831</v>
      </c>
      <c r="J748" s="415" t="s">
        <v>4070</v>
      </c>
      <c r="K748" s="415" t="s">
        <v>830</v>
      </c>
      <c r="L748" s="415" t="s">
        <v>807</v>
      </c>
      <c r="M748" s="415">
        <v>2944</v>
      </c>
      <c r="N748" s="414">
        <v>44680</v>
      </c>
      <c r="O748" s="414" t="s">
        <v>407</v>
      </c>
      <c r="P748" s="603">
        <f t="shared" ref="P748:P761" si="88">IF(B748=0,0,IF(YEAR(B748)=$Q$1,MONTH(B748)-$P$1+1,(YEAR(B748)-$Q$1)*12-$P$1+1+MONTH(B748)))</f>
        <v>4</v>
      </c>
      <c r="Q748" s="603">
        <f t="shared" ref="Q748:Q761" si="89">IF(C748=0,0,IF(YEAR(C748)=$Q$1,MONTH(C748)-$P$1+1,(YEAR(C748)-$Q$1)*12-$P$1+1+MONTH(C748)))</f>
        <v>4</v>
      </c>
      <c r="R748" s="604" t="str">
        <f t="shared" ref="R748:R761" si="90">SUBSTITUTE(D748," ","_")</f>
        <v>Gastos_custeados_por_captação</v>
      </c>
      <c r="S748" s="605" t="s">
        <v>998</v>
      </c>
      <c r="T748" s="605">
        <v>3694</v>
      </c>
    </row>
    <row r="749" spans="1:20" s="88" customFormat="1" ht="36" x14ac:dyDescent="0.2">
      <c r="A749" s="510">
        <f>IF(B749="","",COUNT('Diário 1º PA'!$A$4:$A$2635)+ROW()-3)</f>
        <v>2482</v>
      </c>
      <c r="B749" s="414">
        <v>44681</v>
      </c>
      <c r="C749" s="592">
        <v>44621</v>
      </c>
      <c r="D749" s="415" t="s">
        <v>295</v>
      </c>
      <c r="E749" s="415" t="s">
        <v>295</v>
      </c>
      <c r="F749" s="425">
        <v>14405.66</v>
      </c>
      <c r="G749" s="427" t="s">
        <v>3727</v>
      </c>
      <c r="H749" s="415" t="s">
        <v>310</v>
      </c>
      <c r="I749" s="427" t="s">
        <v>1520</v>
      </c>
      <c r="J749" s="415" t="s">
        <v>796</v>
      </c>
      <c r="K749" s="415" t="s">
        <v>806</v>
      </c>
      <c r="L749" s="415" t="s">
        <v>798</v>
      </c>
      <c r="M749" s="415" t="s">
        <v>310</v>
      </c>
      <c r="N749" s="414">
        <v>44681</v>
      </c>
      <c r="O749" s="414" t="s">
        <v>400</v>
      </c>
      <c r="P749" s="603">
        <f t="shared" si="88"/>
        <v>4</v>
      </c>
      <c r="Q749" s="603">
        <f t="shared" si="89"/>
        <v>3</v>
      </c>
      <c r="R749" s="604" t="str">
        <f t="shared" si="90"/>
        <v>Rendimentos_de_Aplicações_Fin.</v>
      </c>
      <c r="S749" s="605" t="s">
        <v>310</v>
      </c>
      <c r="T749" s="605" t="s">
        <v>310</v>
      </c>
    </row>
    <row r="750" spans="1:20" s="88" customFormat="1" ht="24" x14ac:dyDescent="0.2">
      <c r="A750" s="510">
        <f>IF(B750="","",COUNT('Diário 1º PA'!$A$4:$A$2635)+ROW()-3)</f>
        <v>2483</v>
      </c>
      <c r="B750" s="414">
        <v>44681</v>
      </c>
      <c r="C750" s="592">
        <v>44621</v>
      </c>
      <c r="D750" s="415" t="s">
        <v>271</v>
      </c>
      <c r="E750" s="415" t="s">
        <v>78</v>
      </c>
      <c r="F750" s="425">
        <v>1185.49</v>
      </c>
      <c r="G750" s="427" t="s">
        <v>3733</v>
      </c>
      <c r="H750" s="415" t="s">
        <v>310</v>
      </c>
      <c r="I750" s="427" t="s">
        <v>1461</v>
      </c>
      <c r="J750" s="415" t="s">
        <v>310</v>
      </c>
      <c r="K750" s="415" t="s">
        <v>1220</v>
      </c>
      <c r="L750" s="415" t="s">
        <v>1368</v>
      </c>
      <c r="M750" s="415" t="s">
        <v>310</v>
      </c>
      <c r="N750" s="414">
        <v>44681</v>
      </c>
      <c r="O750" s="414" t="s">
        <v>400</v>
      </c>
      <c r="P750" s="603">
        <f t="shared" si="88"/>
        <v>4</v>
      </c>
      <c r="Q750" s="603">
        <f t="shared" si="89"/>
        <v>3</v>
      </c>
      <c r="R750" s="604" t="str">
        <f t="shared" si="90"/>
        <v>Gastos_Gerais</v>
      </c>
      <c r="S750" s="605" t="s">
        <v>310</v>
      </c>
      <c r="T750" s="605" t="s">
        <v>310</v>
      </c>
    </row>
    <row r="751" spans="1:20" s="88" customFormat="1" ht="24" x14ac:dyDescent="0.2">
      <c r="A751" s="510">
        <f>IF(B751="","",COUNT('Diário 1º PA'!$A$4:$A$2635)+ROW()-3)</f>
        <v>2484</v>
      </c>
      <c r="B751" s="414">
        <v>44681</v>
      </c>
      <c r="C751" s="592">
        <v>44621</v>
      </c>
      <c r="D751" s="415" t="s">
        <v>271</v>
      </c>
      <c r="E751" s="415" t="s">
        <v>68</v>
      </c>
      <c r="F751" s="425">
        <v>173.77</v>
      </c>
      <c r="G751" s="427" t="s">
        <v>3734</v>
      </c>
      <c r="H751" s="415" t="s">
        <v>310</v>
      </c>
      <c r="I751" s="427" t="s">
        <v>1461</v>
      </c>
      <c r="J751" s="415" t="s">
        <v>310</v>
      </c>
      <c r="K751" s="415" t="s">
        <v>1220</v>
      </c>
      <c r="L751" s="415" t="s">
        <v>1368</v>
      </c>
      <c r="M751" s="415" t="s">
        <v>310</v>
      </c>
      <c r="N751" s="414">
        <v>44681</v>
      </c>
      <c r="O751" s="414" t="s">
        <v>400</v>
      </c>
      <c r="P751" s="603">
        <f t="shared" si="88"/>
        <v>4</v>
      </c>
      <c r="Q751" s="603">
        <f t="shared" si="89"/>
        <v>3</v>
      </c>
      <c r="R751" s="604" t="str">
        <f t="shared" si="90"/>
        <v>Gastos_Gerais</v>
      </c>
      <c r="S751" s="605" t="s">
        <v>310</v>
      </c>
      <c r="T751" s="605" t="s">
        <v>310</v>
      </c>
    </row>
    <row r="752" spans="1:20" s="88" customFormat="1" ht="36" x14ac:dyDescent="0.2">
      <c r="A752" s="510">
        <f>IF(B752="","",COUNT('Diário 1º PA'!$A$4:$A$2635)+ROW()-3)</f>
        <v>2485</v>
      </c>
      <c r="B752" s="414">
        <v>44683</v>
      </c>
      <c r="C752" s="592">
        <v>44652</v>
      </c>
      <c r="D752" s="415" t="s">
        <v>182</v>
      </c>
      <c r="E752" s="415" t="s">
        <v>179</v>
      </c>
      <c r="F752" s="425">
        <v>-15.12</v>
      </c>
      <c r="G752" s="427" t="s">
        <v>3735</v>
      </c>
      <c r="H752" s="415" t="s">
        <v>310</v>
      </c>
      <c r="I752" s="427" t="s">
        <v>795</v>
      </c>
      <c r="J752" s="415" t="s">
        <v>796</v>
      </c>
      <c r="K752" s="415" t="s">
        <v>797</v>
      </c>
      <c r="L752" s="415" t="s">
        <v>798</v>
      </c>
      <c r="M752" s="415" t="s">
        <v>310</v>
      </c>
      <c r="N752" s="414">
        <v>44683</v>
      </c>
      <c r="O752" s="414" t="s">
        <v>400</v>
      </c>
      <c r="P752" s="603">
        <f t="shared" si="88"/>
        <v>5</v>
      </c>
      <c r="Q752" s="603">
        <f t="shared" si="89"/>
        <v>4</v>
      </c>
      <c r="R752" s="604" t="str">
        <f t="shared" si="90"/>
        <v>Gastos_com_Pessoal</v>
      </c>
      <c r="S752" s="605" t="s">
        <v>310</v>
      </c>
      <c r="T752" s="605" t="s">
        <v>310</v>
      </c>
    </row>
    <row r="753" spans="1:20" s="88" customFormat="1" ht="36" x14ac:dyDescent="0.2">
      <c r="A753" s="510">
        <f>IF(B753="","",COUNT('Diário 1º PA'!$A$4:$A$2635)+ROW()-3)</f>
        <v>2486</v>
      </c>
      <c r="B753" s="414">
        <v>44683</v>
      </c>
      <c r="C753" s="592">
        <v>44652</v>
      </c>
      <c r="D753" s="415" t="s">
        <v>182</v>
      </c>
      <c r="E753" s="415" t="s">
        <v>8</v>
      </c>
      <c r="F753" s="425">
        <v>-23.2</v>
      </c>
      <c r="G753" s="427" t="s">
        <v>3736</v>
      </c>
      <c r="H753" s="415" t="s">
        <v>310</v>
      </c>
      <c r="I753" s="427" t="s">
        <v>795</v>
      </c>
      <c r="J753" s="415" t="s">
        <v>796</v>
      </c>
      <c r="K753" s="415" t="s">
        <v>797</v>
      </c>
      <c r="L753" s="415" t="s">
        <v>798</v>
      </c>
      <c r="M753" s="415" t="s">
        <v>310</v>
      </c>
      <c r="N753" s="414">
        <v>44683</v>
      </c>
      <c r="O753" s="414" t="s">
        <v>400</v>
      </c>
      <c r="P753" s="603">
        <f t="shared" si="88"/>
        <v>5</v>
      </c>
      <c r="Q753" s="603">
        <f t="shared" si="89"/>
        <v>4</v>
      </c>
      <c r="R753" s="604" t="str">
        <f t="shared" si="90"/>
        <v>Gastos_com_Pessoal</v>
      </c>
      <c r="S753" s="605" t="s">
        <v>310</v>
      </c>
      <c r="T753" s="605" t="s">
        <v>310</v>
      </c>
    </row>
    <row r="754" spans="1:20" s="88" customFormat="1" ht="24" x14ac:dyDescent="0.2">
      <c r="A754" s="510">
        <f>IF(B754="","",COUNT('Diário 1º PA'!$A$4:$A$2635)+ROW()-3)</f>
        <v>2487</v>
      </c>
      <c r="B754" s="414">
        <v>44683</v>
      </c>
      <c r="C754" s="592">
        <v>44652</v>
      </c>
      <c r="D754" s="415" t="s">
        <v>182</v>
      </c>
      <c r="E754" s="415" t="s">
        <v>8</v>
      </c>
      <c r="F754" s="425">
        <v>-23.2</v>
      </c>
      <c r="G754" s="427" t="s">
        <v>3737</v>
      </c>
      <c r="H754" s="415" t="s">
        <v>310</v>
      </c>
      <c r="I754" s="427" t="s">
        <v>795</v>
      </c>
      <c r="J754" s="415" t="s">
        <v>796</v>
      </c>
      <c r="K754" s="415" t="s">
        <v>797</v>
      </c>
      <c r="L754" s="415" t="s">
        <v>798</v>
      </c>
      <c r="M754" s="415" t="s">
        <v>310</v>
      </c>
      <c r="N754" s="414">
        <v>44683</v>
      </c>
      <c r="O754" s="414" t="s">
        <v>400</v>
      </c>
      <c r="P754" s="603">
        <f t="shared" si="88"/>
        <v>5</v>
      </c>
      <c r="Q754" s="603">
        <f t="shared" si="89"/>
        <v>4</v>
      </c>
      <c r="R754" s="604" t="str">
        <f t="shared" si="90"/>
        <v>Gastos_com_Pessoal</v>
      </c>
      <c r="S754" s="605" t="s">
        <v>310</v>
      </c>
      <c r="T754" s="605" t="s">
        <v>310</v>
      </c>
    </row>
    <row r="755" spans="1:20" s="88" customFormat="1" ht="24" x14ac:dyDescent="0.2">
      <c r="A755" s="510">
        <f>IF(B755="","",COUNT('Diário 1º PA'!$A$4:$A$2635)+ROW()-3)</f>
        <v>2488</v>
      </c>
      <c r="B755" s="414">
        <v>44683</v>
      </c>
      <c r="C755" s="592">
        <v>44652</v>
      </c>
      <c r="D755" s="415" t="s">
        <v>182</v>
      </c>
      <c r="E755" s="415" t="s">
        <v>8</v>
      </c>
      <c r="F755" s="425">
        <v>-162.4</v>
      </c>
      <c r="G755" s="427" t="s">
        <v>3737</v>
      </c>
      <c r="H755" s="415" t="s">
        <v>310</v>
      </c>
      <c r="I755" s="427" t="s">
        <v>795</v>
      </c>
      <c r="J755" s="415" t="s">
        <v>796</v>
      </c>
      <c r="K755" s="415" t="s">
        <v>797</v>
      </c>
      <c r="L755" s="415" t="s">
        <v>798</v>
      </c>
      <c r="M755" s="415" t="s">
        <v>310</v>
      </c>
      <c r="N755" s="414">
        <v>44683</v>
      </c>
      <c r="O755" s="414" t="s">
        <v>400</v>
      </c>
      <c r="P755" s="603">
        <f t="shared" si="88"/>
        <v>5</v>
      </c>
      <c r="Q755" s="603">
        <f t="shared" si="89"/>
        <v>4</v>
      </c>
      <c r="R755" s="604" t="str">
        <f t="shared" si="90"/>
        <v>Gastos_com_Pessoal</v>
      </c>
      <c r="S755" s="605" t="s">
        <v>310</v>
      </c>
      <c r="T755" s="605" t="s">
        <v>310</v>
      </c>
    </row>
    <row r="756" spans="1:20" s="88" customFormat="1" ht="36" x14ac:dyDescent="0.2">
      <c r="A756" s="510">
        <f>IF(B756="","",COUNT('Diário 1º PA'!$A$4:$A$2635)+ROW()-3)</f>
        <v>2489</v>
      </c>
      <c r="B756" s="414">
        <v>44683</v>
      </c>
      <c r="C756" s="592">
        <v>44652</v>
      </c>
      <c r="D756" s="415" t="s">
        <v>182</v>
      </c>
      <c r="E756" s="415" t="s">
        <v>179</v>
      </c>
      <c r="F756" s="425">
        <v>-105.84</v>
      </c>
      <c r="G756" s="427" t="s">
        <v>3738</v>
      </c>
      <c r="H756" s="415" t="s">
        <v>310</v>
      </c>
      <c r="I756" s="427" t="s">
        <v>795</v>
      </c>
      <c r="J756" s="415" t="s">
        <v>796</v>
      </c>
      <c r="K756" s="415" t="s">
        <v>797</v>
      </c>
      <c r="L756" s="415" t="s">
        <v>798</v>
      </c>
      <c r="M756" s="415" t="s">
        <v>310</v>
      </c>
      <c r="N756" s="414">
        <v>44683</v>
      </c>
      <c r="O756" s="414" t="s">
        <v>400</v>
      </c>
      <c r="P756" s="603">
        <f t="shared" si="88"/>
        <v>5</v>
      </c>
      <c r="Q756" s="603">
        <f t="shared" si="89"/>
        <v>4</v>
      </c>
      <c r="R756" s="604" t="str">
        <f t="shared" si="90"/>
        <v>Gastos_com_Pessoal</v>
      </c>
      <c r="S756" s="605" t="s">
        <v>310</v>
      </c>
      <c r="T756" s="605" t="s">
        <v>310</v>
      </c>
    </row>
    <row r="757" spans="1:20" s="88" customFormat="1" ht="60" x14ac:dyDescent="0.2">
      <c r="A757" s="510">
        <f>IF(B757="","",COUNT('Diário 1º PA'!$A$4:$A$2635)+ROW()-3)</f>
        <v>2490</v>
      </c>
      <c r="B757" s="414">
        <v>44683</v>
      </c>
      <c r="C757" s="592">
        <v>44652</v>
      </c>
      <c r="D757" s="415" t="s">
        <v>271</v>
      </c>
      <c r="E757" s="415" t="s">
        <v>462</v>
      </c>
      <c r="F757" s="425">
        <v>504</v>
      </c>
      <c r="G757" s="427" t="s">
        <v>3338</v>
      </c>
      <c r="H757" s="415" t="s">
        <v>752</v>
      </c>
      <c r="I757" s="427" t="s">
        <v>3745</v>
      </c>
      <c r="J757" s="415" t="s">
        <v>3333</v>
      </c>
      <c r="K757" s="415" t="s">
        <v>806</v>
      </c>
      <c r="L757" s="415" t="s">
        <v>839</v>
      </c>
      <c r="M757" s="415">
        <v>1720</v>
      </c>
      <c r="N757" s="414">
        <v>44678</v>
      </c>
      <c r="O757" s="414" t="s">
        <v>400</v>
      </c>
      <c r="P757" s="603">
        <f t="shared" si="88"/>
        <v>5</v>
      </c>
      <c r="Q757" s="603">
        <f t="shared" si="89"/>
        <v>4</v>
      </c>
      <c r="R757" s="604" t="str">
        <f t="shared" si="90"/>
        <v>Gastos_Gerais</v>
      </c>
      <c r="S757" s="605" t="s">
        <v>998</v>
      </c>
      <c r="T757" s="605">
        <v>3452</v>
      </c>
    </row>
    <row r="758" spans="1:20" s="88" customFormat="1" ht="24" x14ac:dyDescent="0.2">
      <c r="A758" s="510">
        <f>IF(B758="","",COUNT('Diário 1º PA'!$A$4:$A$2635)+ROW()-3)</f>
        <v>2491</v>
      </c>
      <c r="B758" s="414">
        <v>44683</v>
      </c>
      <c r="C758" s="592">
        <v>44652</v>
      </c>
      <c r="D758" s="415" t="s">
        <v>182</v>
      </c>
      <c r="E758" s="415" t="s">
        <v>8</v>
      </c>
      <c r="F758" s="425">
        <v>1647.19</v>
      </c>
      <c r="G758" s="427" t="s">
        <v>506</v>
      </c>
      <c r="H758" s="415" t="s">
        <v>310</v>
      </c>
      <c r="I758" s="427" t="s">
        <v>770</v>
      </c>
      <c r="J758" s="415" t="s">
        <v>796</v>
      </c>
      <c r="K758" s="415" t="s">
        <v>812</v>
      </c>
      <c r="L758" s="415" t="s">
        <v>826</v>
      </c>
      <c r="M758" s="415">
        <v>8134322</v>
      </c>
      <c r="N758" s="414">
        <v>44676</v>
      </c>
      <c r="O758" s="414" t="s">
        <v>400</v>
      </c>
      <c r="P758" s="603">
        <f t="shared" si="88"/>
        <v>5</v>
      </c>
      <c r="Q758" s="603">
        <f t="shared" si="89"/>
        <v>4</v>
      </c>
      <c r="R758" s="604" t="str">
        <f t="shared" si="90"/>
        <v>Gastos_com_Pessoal</v>
      </c>
      <c r="S758" s="605" t="s">
        <v>310</v>
      </c>
      <c r="T758" s="605" t="s">
        <v>310</v>
      </c>
    </row>
    <row r="759" spans="1:20" s="88" customFormat="1" ht="36" x14ac:dyDescent="0.2">
      <c r="A759" s="510">
        <f>IF(B759="","",COUNT('Diário 1º PA'!$A$4:$A$2635)+ROW()-3)</f>
        <v>2492</v>
      </c>
      <c r="B759" s="414">
        <v>44683</v>
      </c>
      <c r="C759" s="592">
        <v>44621</v>
      </c>
      <c r="D759" s="415" t="s">
        <v>271</v>
      </c>
      <c r="E759" s="415" t="s">
        <v>452</v>
      </c>
      <c r="F759" s="425">
        <v>749.1</v>
      </c>
      <c r="G759" s="427" t="s">
        <v>2667</v>
      </c>
      <c r="H759" s="415" t="s">
        <v>752</v>
      </c>
      <c r="I759" s="427" t="s">
        <v>3746</v>
      </c>
      <c r="J759" s="415" t="s">
        <v>2668</v>
      </c>
      <c r="K759" s="415" t="s">
        <v>812</v>
      </c>
      <c r="L759" s="415" t="s">
        <v>807</v>
      </c>
      <c r="M759" s="415" t="s">
        <v>3747</v>
      </c>
      <c r="N759" s="414">
        <v>44655</v>
      </c>
      <c r="O759" s="414" t="s">
        <v>400</v>
      </c>
      <c r="P759" s="603">
        <f t="shared" si="88"/>
        <v>5</v>
      </c>
      <c r="Q759" s="603">
        <f t="shared" si="89"/>
        <v>3</v>
      </c>
      <c r="R759" s="604" t="str">
        <f t="shared" si="90"/>
        <v>Gastos_Gerais</v>
      </c>
      <c r="S759" s="605" t="s">
        <v>999</v>
      </c>
      <c r="T759" s="605">
        <v>3298</v>
      </c>
    </row>
    <row r="760" spans="1:20" s="88" customFormat="1" ht="24" x14ac:dyDescent="0.2">
      <c r="A760" s="510">
        <f>IF(B760="","",COUNT('Diário 1º PA'!$A$4:$A$2635)+ROW()-3)</f>
        <v>2493</v>
      </c>
      <c r="B760" s="414">
        <v>44683</v>
      </c>
      <c r="C760" s="592">
        <v>44652</v>
      </c>
      <c r="D760" s="415" t="s">
        <v>182</v>
      </c>
      <c r="E760" s="415" t="s">
        <v>179</v>
      </c>
      <c r="F760" s="425">
        <v>579.21</v>
      </c>
      <c r="G760" s="427" t="s">
        <v>4438</v>
      </c>
      <c r="H760" s="415" t="s">
        <v>310</v>
      </c>
      <c r="I760" s="427" t="s">
        <v>771</v>
      </c>
      <c r="J760" s="415" t="s">
        <v>819</v>
      </c>
      <c r="K760" s="415" t="s">
        <v>812</v>
      </c>
      <c r="L760" s="415" t="s">
        <v>807</v>
      </c>
      <c r="M760" s="415" t="s">
        <v>3748</v>
      </c>
      <c r="N760" s="414">
        <v>44678</v>
      </c>
      <c r="O760" s="414" t="s">
        <v>400</v>
      </c>
      <c r="P760" s="603">
        <f t="shared" si="88"/>
        <v>5</v>
      </c>
      <c r="Q760" s="603">
        <f t="shared" si="89"/>
        <v>4</v>
      </c>
      <c r="R760" s="604" t="str">
        <f t="shared" si="90"/>
        <v>Gastos_com_Pessoal</v>
      </c>
      <c r="S760" s="605" t="s">
        <v>310</v>
      </c>
      <c r="T760" s="605" t="s">
        <v>310</v>
      </c>
    </row>
    <row r="761" spans="1:20" s="88" customFormat="1" ht="60" x14ac:dyDescent="0.2">
      <c r="A761" s="510">
        <f>IF(B761="","",COUNT('Diário 1º PA'!$A$4:$A$2635)+ROW()-3)</f>
        <v>2494</v>
      </c>
      <c r="B761" s="414">
        <v>44683</v>
      </c>
      <c r="C761" s="592">
        <v>44652</v>
      </c>
      <c r="D761" s="415" t="s">
        <v>271</v>
      </c>
      <c r="E761" s="415" t="s">
        <v>297</v>
      </c>
      <c r="F761" s="425">
        <v>241.92</v>
      </c>
      <c r="G761" s="427" t="s">
        <v>475</v>
      </c>
      <c r="H761" s="415" t="s">
        <v>309</v>
      </c>
      <c r="I761" s="427" t="s">
        <v>1517</v>
      </c>
      <c r="J761" s="415" t="s">
        <v>3749</v>
      </c>
      <c r="K761" s="415" t="s">
        <v>812</v>
      </c>
      <c r="L761" s="415" t="s">
        <v>807</v>
      </c>
      <c r="M761" s="415">
        <v>34946</v>
      </c>
      <c r="N761" s="414">
        <v>44652</v>
      </c>
      <c r="O761" s="414" t="s">
        <v>400</v>
      </c>
      <c r="P761" s="603">
        <f t="shared" si="88"/>
        <v>5</v>
      </c>
      <c r="Q761" s="603">
        <f t="shared" si="89"/>
        <v>4</v>
      </c>
      <c r="R761" s="604" t="str">
        <f t="shared" si="90"/>
        <v>Gastos_Gerais</v>
      </c>
      <c r="S761" s="605" t="s">
        <v>1000</v>
      </c>
      <c r="T761" s="605">
        <v>1672</v>
      </c>
    </row>
    <row r="762" spans="1:20" ht="24" x14ac:dyDescent="0.2">
      <c r="A762" s="510">
        <f>IF(B762="","",COUNT('Diário 1º PA'!$A$4:$A$2635)+ROW()-3)</f>
        <v>2495</v>
      </c>
      <c r="B762" s="414">
        <v>44683</v>
      </c>
      <c r="C762" s="592">
        <v>44652</v>
      </c>
      <c r="D762" s="415" t="s">
        <v>182</v>
      </c>
      <c r="E762" s="415" t="s">
        <v>179</v>
      </c>
      <c r="F762" s="425">
        <v>400.37</v>
      </c>
      <c r="G762" s="427" t="s">
        <v>4439</v>
      </c>
      <c r="H762" s="415" t="s">
        <v>310</v>
      </c>
      <c r="I762" s="427" t="s">
        <v>771</v>
      </c>
      <c r="J762" s="415" t="s">
        <v>819</v>
      </c>
      <c r="K762" s="415" t="s">
        <v>812</v>
      </c>
      <c r="L762" s="415" t="s">
        <v>807</v>
      </c>
      <c r="M762" s="415" t="s">
        <v>3750</v>
      </c>
      <c r="N762" s="414">
        <v>44678</v>
      </c>
      <c r="O762" s="414" t="s">
        <v>400</v>
      </c>
      <c r="P762" s="603">
        <f t="shared" ref="P762:P770" si="91">IF(B762=0,0,IF(YEAR(B762)=$Q$1,MONTH(B762)-$P$1+1,(YEAR(B762)-$Q$1)*12-$P$1+1+MONTH(B762)))</f>
        <v>5</v>
      </c>
      <c r="Q762" s="603">
        <f t="shared" ref="Q762:Q770" si="92">IF(C762=0,0,IF(YEAR(C762)=$Q$1,MONTH(C762)-$P$1+1,(YEAR(C762)-$Q$1)*12-$P$1+1+MONTH(C762)))</f>
        <v>4</v>
      </c>
      <c r="R762" s="604" t="str">
        <f t="shared" ref="R762:R772" si="93">SUBSTITUTE(D762," ","_")</f>
        <v>Gastos_com_Pessoal</v>
      </c>
      <c r="S762" s="605" t="s">
        <v>310</v>
      </c>
      <c r="T762" s="605" t="s">
        <v>310</v>
      </c>
    </row>
    <row r="763" spans="1:20" ht="40.5" customHeight="1" x14ac:dyDescent="0.2">
      <c r="A763" s="510">
        <f>IF(B763="","",COUNT('Diário 1º PA'!$A$4:$A$2635)+ROW()-3)</f>
        <v>2496</v>
      </c>
      <c r="B763" s="414">
        <v>44683</v>
      </c>
      <c r="C763" s="592">
        <v>44683</v>
      </c>
      <c r="D763" s="415" t="s">
        <v>468</v>
      </c>
      <c r="E763" s="415" t="s">
        <v>468</v>
      </c>
      <c r="F763" s="425">
        <v>3.23</v>
      </c>
      <c r="G763" s="427" t="s">
        <v>4716</v>
      </c>
      <c r="H763" s="415" t="s">
        <v>468</v>
      </c>
      <c r="I763" s="427" t="s">
        <v>881</v>
      </c>
      <c r="J763" s="415" t="s">
        <v>882</v>
      </c>
      <c r="K763" s="415" t="s">
        <v>883</v>
      </c>
      <c r="L763" s="415" t="s">
        <v>798</v>
      </c>
      <c r="M763" s="415" t="s">
        <v>310</v>
      </c>
      <c r="N763" s="414">
        <v>44670</v>
      </c>
      <c r="O763" s="414" t="s">
        <v>407</v>
      </c>
      <c r="P763" s="603">
        <f t="shared" si="91"/>
        <v>5</v>
      </c>
      <c r="Q763" s="603">
        <f t="shared" si="92"/>
        <v>5</v>
      </c>
      <c r="R763" s="604" t="str">
        <f t="shared" si="93"/>
        <v>Gastos_custeados_por_captação</v>
      </c>
      <c r="S763" s="605" t="s">
        <v>310</v>
      </c>
      <c r="T763" s="605" t="s">
        <v>310</v>
      </c>
    </row>
    <row r="764" spans="1:20" ht="72" x14ac:dyDescent="0.2">
      <c r="A764" s="510">
        <f>IF(B764="","",COUNT('Diário 1º PA'!$A$4:$A$2635)+ROW()-3)</f>
        <v>2497</v>
      </c>
      <c r="B764" s="414">
        <v>44683</v>
      </c>
      <c r="C764" s="592">
        <v>44683</v>
      </c>
      <c r="D764" s="415" t="s">
        <v>468</v>
      </c>
      <c r="E764" s="415" t="s">
        <v>468</v>
      </c>
      <c r="F764" s="425">
        <v>850</v>
      </c>
      <c r="G764" s="427" t="s">
        <v>4979</v>
      </c>
      <c r="H764" s="415" t="s">
        <v>468</v>
      </c>
      <c r="I764" s="427" t="s">
        <v>4987</v>
      </c>
      <c r="J764" s="415">
        <v>537895071</v>
      </c>
      <c r="K764" s="415" t="s">
        <v>2389</v>
      </c>
      <c r="L764" s="415" t="s">
        <v>1305</v>
      </c>
      <c r="M764" s="415" t="s">
        <v>310</v>
      </c>
      <c r="N764" s="414">
        <v>44683</v>
      </c>
      <c r="O764" s="414" t="s">
        <v>407</v>
      </c>
      <c r="P764" s="603">
        <f t="shared" si="91"/>
        <v>5</v>
      </c>
      <c r="Q764" s="603">
        <f t="shared" si="92"/>
        <v>5</v>
      </c>
      <c r="R764" s="604" t="str">
        <f t="shared" si="93"/>
        <v>Gastos_custeados_por_captação</v>
      </c>
      <c r="S764" s="605" t="s">
        <v>998</v>
      </c>
      <c r="T764" s="605">
        <v>2247</v>
      </c>
    </row>
    <row r="765" spans="1:20" ht="72" x14ac:dyDescent="0.2">
      <c r="A765" s="510">
        <f>IF(B765="","",COUNT('Diário 1º PA'!$A$4:$A$2635)+ROW()-3)</f>
        <v>2498</v>
      </c>
      <c r="B765" s="414">
        <v>44683</v>
      </c>
      <c r="C765" s="592">
        <v>44683</v>
      </c>
      <c r="D765" s="415" t="s">
        <v>468</v>
      </c>
      <c r="E765" s="415" t="s">
        <v>468</v>
      </c>
      <c r="F765" s="425">
        <v>440</v>
      </c>
      <c r="G765" s="427" t="s">
        <v>4719</v>
      </c>
      <c r="H765" s="415" t="s">
        <v>468</v>
      </c>
      <c r="I765" s="427" t="s">
        <v>881</v>
      </c>
      <c r="J765" s="415" t="s">
        <v>882</v>
      </c>
      <c r="K765" s="415" t="s">
        <v>883</v>
      </c>
      <c r="L765" s="415" t="s">
        <v>798</v>
      </c>
      <c r="M765" s="415" t="s">
        <v>310</v>
      </c>
      <c r="N765" s="414">
        <v>44670</v>
      </c>
      <c r="O765" s="414" t="s">
        <v>407</v>
      </c>
      <c r="P765" s="603">
        <f t="shared" si="91"/>
        <v>5</v>
      </c>
      <c r="Q765" s="603">
        <f t="shared" si="92"/>
        <v>5</v>
      </c>
      <c r="R765" s="604" t="str">
        <f t="shared" si="93"/>
        <v>Gastos_custeados_por_captação</v>
      </c>
      <c r="S765" s="605" t="s">
        <v>310</v>
      </c>
      <c r="T765" s="605" t="s">
        <v>310</v>
      </c>
    </row>
    <row r="766" spans="1:20" ht="72" x14ac:dyDescent="0.2">
      <c r="A766" s="510">
        <f>IF(B766="","",COUNT('Diário 1º PA'!$A$4:$A$2635)+ROW()-3)</f>
        <v>2499</v>
      </c>
      <c r="B766" s="414">
        <v>44683</v>
      </c>
      <c r="C766" s="592">
        <v>44683</v>
      </c>
      <c r="D766" s="415" t="s">
        <v>468</v>
      </c>
      <c r="E766" s="415" t="s">
        <v>468</v>
      </c>
      <c r="F766" s="425">
        <v>150</v>
      </c>
      <c r="G766" s="427" t="s">
        <v>4980</v>
      </c>
      <c r="H766" s="415" t="s">
        <v>468</v>
      </c>
      <c r="I766" s="427" t="s">
        <v>1461</v>
      </c>
      <c r="J766" s="415" t="s">
        <v>310</v>
      </c>
      <c r="K766" s="415" t="s">
        <v>1220</v>
      </c>
      <c r="L766" s="415" t="s">
        <v>1368</v>
      </c>
      <c r="M766" s="415" t="s">
        <v>310</v>
      </c>
      <c r="N766" s="414">
        <v>44683</v>
      </c>
      <c r="O766" s="414" t="s">
        <v>407</v>
      </c>
      <c r="P766" s="603">
        <f t="shared" si="91"/>
        <v>5</v>
      </c>
      <c r="Q766" s="603">
        <f t="shared" si="92"/>
        <v>5</v>
      </c>
      <c r="R766" s="604" t="str">
        <f t="shared" si="93"/>
        <v>Gastos_custeados_por_captação</v>
      </c>
      <c r="S766" s="605" t="s">
        <v>310</v>
      </c>
      <c r="T766" s="605" t="s">
        <v>310</v>
      </c>
    </row>
    <row r="767" spans="1:20" ht="49.5" customHeight="1" x14ac:dyDescent="0.2">
      <c r="A767" s="510">
        <f>IF(B767="","",COUNT('Diário 1º PA'!$A$4:$A$2635)+ROW()-3)</f>
        <v>2500</v>
      </c>
      <c r="B767" s="414">
        <v>44683</v>
      </c>
      <c r="C767" s="592">
        <v>44683</v>
      </c>
      <c r="D767" s="415" t="s">
        <v>468</v>
      </c>
      <c r="E767" s="415" t="s">
        <v>468</v>
      </c>
      <c r="F767" s="425">
        <v>1200</v>
      </c>
      <c r="G767" s="427" t="s">
        <v>3290</v>
      </c>
      <c r="H767" s="415" t="s">
        <v>468</v>
      </c>
      <c r="I767" s="427" t="s">
        <v>4988</v>
      </c>
      <c r="J767" s="415" t="s">
        <v>3291</v>
      </c>
      <c r="K767" s="415" t="s">
        <v>830</v>
      </c>
      <c r="L767" s="415" t="s">
        <v>32</v>
      </c>
      <c r="M767" s="415">
        <v>13</v>
      </c>
      <c r="N767" s="414">
        <v>44678</v>
      </c>
      <c r="O767" s="414" t="s">
        <v>407</v>
      </c>
      <c r="P767" s="603">
        <f t="shared" si="91"/>
        <v>5</v>
      </c>
      <c r="Q767" s="603">
        <f t="shared" si="92"/>
        <v>5</v>
      </c>
      <c r="R767" s="604" t="str">
        <f t="shared" si="93"/>
        <v>Gastos_custeados_por_captação</v>
      </c>
      <c r="S767" s="605" t="s">
        <v>1000</v>
      </c>
      <c r="T767" s="605">
        <v>3357</v>
      </c>
    </row>
    <row r="768" spans="1:20" ht="72" x14ac:dyDescent="0.2">
      <c r="A768" s="510">
        <f>IF(B768="","",COUNT('Diário 1º PA'!$A$4:$A$2635)+ROW()-3)</f>
        <v>2501</v>
      </c>
      <c r="B768" s="414">
        <v>44683</v>
      </c>
      <c r="C768" s="592">
        <v>44683</v>
      </c>
      <c r="D768" s="415" t="s">
        <v>468</v>
      </c>
      <c r="E768" s="415" t="s">
        <v>468</v>
      </c>
      <c r="F768" s="425">
        <v>124.74</v>
      </c>
      <c r="G768" s="427" t="s">
        <v>4981</v>
      </c>
      <c r="H768" s="415" t="s">
        <v>468</v>
      </c>
      <c r="I768" s="427" t="s">
        <v>4989</v>
      </c>
      <c r="J768" s="415" t="s">
        <v>4990</v>
      </c>
      <c r="K768" s="415" t="s">
        <v>830</v>
      </c>
      <c r="L768" s="415" t="s">
        <v>32</v>
      </c>
      <c r="M768" s="415">
        <v>16620</v>
      </c>
      <c r="N768" s="414">
        <v>44683</v>
      </c>
      <c r="O768" s="414" t="s">
        <v>407</v>
      </c>
      <c r="P768" s="603">
        <f t="shared" si="91"/>
        <v>5</v>
      </c>
      <c r="Q768" s="603">
        <f t="shared" si="92"/>
        <v>5</v>
      </c>
      <c r="R768" s="604" t="str">
        <f t="shared" si="93"/>
        <v>Gastos_custeados_por_captação</v>
      </c>
      <c r="S768" s="605" t="s">
        <v>999</v>
      </c>
      <c r="T768" s="605">
        <v>3543</v>
      </c>
    </row>
    <row r="769" spans="1:20" ht="72" x14ac:dyDescent="0.2">
      <c r="A769" s="510">
        <f>IF(B769="","",COUNT('Diário 1º PA'!$A$4:$A$2635)+ROW()-3)</f>
        <v>2502</v>
      </c>
      <c r="B769" s="414">
        <v>44683</v>
      </c>
      <c r="C769" s="592">
        <v>44683</v>
      </c>
      <c r="D769" s="415" t="s">
        <v>468</v>
      </c>
      <c r="E769" s="415" t="s">
        <v>468</v>
      </c>
      <c r="F769" s="425">
        <v>87.93</v>
      </c>
      <c r="G769" s="427" t="s">
        <v>4982</v>
      </c>
      <c r="H769" s="415" t="s">
        <v>468</v>
      </c>
      <c r="I769" s="427" t="s">
        <v>1461</v>
      </c>
      <c r="J769" s="415" t="s">
        <v>310</v>
      </c>
      <c r="K769" s="415" t="s">
        <v>1220</v>
      </c>
      <c r="L769" s="415" t="s">
        <v>1368</v>
      </c>
      <c r="M769" s="415" t="s">
        <v>310</v>
      </c>
      <c r="N769" s="414">
        <v>44683</v>
      </c>
      <c r="O769" s="414" t="s">
        <v>407</v>
      </c>
      <c r="P769" s="603">
        <f t="shared" si="91"/>
        <v>5</v>
      </c>
      <c r="Q769" s="603">
        <f t="shared" si="92"/>
        <v>5</v>
      </c>
      <c r="R769" s="604" t="str">
        <f t="shared" si="93"/>
        <v>Gastos_custeados_por_captação</v>
      </c>
      <c r="S769" s="605" t="s">
        <v>310</v>
      </c>
      <c r="T769" s="605" t="s">
        <v>310</v>
      </c>
    </row>
    <row r="770" spans="1:20" ht="99.95" customHeight="1" x14ac:dyDescent="0.2">
      <c r="A770" s="510">
        <f>IF(B770="","",COUNT('Diário 1º PA'!$A$4:$A$2635)+ROW()-3)</f>
        <v>2503</v>
      </c>
      <c r="B770" s="414">
        <v>44683</v>
      </c>
      <c r="C770" s="592">
        <v>44683</v>
      </c>
      <c r="D770" s="415" t="s">
        <v>468</v>
      </c>
      <c r="E770" s="415" t="s">
        <v>468</v>
      </c>
      <c r="F770" s="425">
        <v>209</v>
      </c>
      <c r="G770" s="427" t="s">
        <v>4983</v>
      </c>
      <c r="H770" s="415" t="s">
        <v>468</v>
      </c>
      <c r="I770" s="427" t="s">
        <v>4991</v>
      </c>
      <c r="J770" s="415" t="s">
        <v>4992</v>
      </c>
      <c r="K770" s="415" t="s">
        <v>830</v>
      </c>
      <c r="L770" s="415" t="s">
        <v>32</v>
      </c>
      <c r="M770" s="415">
        <v>9962</v>
      </c>
      <c r="N770" s="414">
        <v>44683</v>
      </c>
      <c r="O770" s="414" t="s">
        <v>407</v>
      </c>
      <c r="P770" s="603">
        <f t="shared" si="91"/>
        <v>5</v>
      </c>
      <c r="Q770" s="603">
        <f t="shared" si="92"/>
        <v>5</v>
      </c>
      <c r="R770" s="604" t="str">
        <f t="shared" si="93"/>
        <v>Gastos_custeados_por_captação</v>
      </c>
      <c r="S770" s="605" t="s">
        <v>999</v>
      </c>
      <c r="T770" s="605">
        <v>3547</v>
      </c>
    </row>
    <row r="771" spans="1:20" ht="99.95" customHeight="1" x14ac:dyDescent="0.2">
      <c r="A771" s="510">
        <f>IF(B771="","",COUNT('Diário 1º PA'!$A$4:$A$2635)+ROW()-3)</f>
        <v>2504</v>
      </c>
      <c r="B771" s="414">
        <v>44683</v>
      </c>
      <c r="C771" s="592">
        <v>44683</v>
      </c>
      <c r="D771" s="415" t="s">
        <v>468</v>
      </c>
      <c r="E771" s="415" t="s">
        <v>468</v>
      </c>
      <c r="F771" s="425">
        <v>605.91999999999996</v>
      </c>
      <c r="G771" s="427" t="s">
        <v>4984</v>
      </c>
      <c r="H771" s="415" t="s">
        <v>468</v>
      </c>
      <c r="I771" s="427" t="s">
        <v>4993</v>
      </c>
      <c r="J771" s="415" t="s">
        <v>4607</v>
      </c>
      <c r="K771" s="415" t="s">
        <v>830</v>
      </c>
      <c r="L771" s="415" t="s">
        <v>32</v>
      </c>
      <c r="M771" s="415" t="s">
        <v>4994</v>
      </c>
      <c r="N771" s="414">
        <v>44679</v>
      </c>
      <c r="O771" s="414" t="s">
        <v>407</v>
      </c>
      <c r="P771" s="603">
        <f t="shared" ref="P771:Q776" si="94">IF(B771=0,0,IF(YEAR(B771)=$Q$1,MONTH(B771)-$P$1+1,(YEAR(B771)-$Q$1)*12-$P$1+1+MONTH(B771)))</f>
        <v>5</v>
      </c>
      <c r="Q771" s="603">
        <f t="shared" si="94"/>
        <v>5</v>
      </c>
      <c r="R771" s="604" t="str">
        <f>SUBSTITUTE(D771," ","_")</f>
        <v>Gastos_custeados_por_captação</v>
      </c>
      <c r="S771" s="605" t="s">
        <v>998</v>
      </c>
      <c r="T771" s="605">
        <v>3196</v>
      </c>
    </row>
    <row r="772" spans="1:20" ht="99.95" customHeight="1" x14ac:dyDescent="0.2">
      <c r="A772" s="510">
        <f>IF(B772="","",COUNT('Diário 1º PA'!$A$4:$A$2635)+ROW()-3)</f>
        <v>2505</v>
      </c>
      <c r="B772" s="414">
        <v>44683</v>
      </c>
      <c r="C772" s="592">
        <v>44683</v>
      </c>
      <c r="D772" s="415" t="s">
        <v>468</v>
      </c>
      <c r="E772" s="415" t="s">
        <v>468</v>
      </c>
      <c r="F772" s="425">
        <v>800</v>
      </c>
      <c r="G772" s="427" t="s">
        <v>4985</v>
      </c>
      <c r="H772" s="415" t="s">
        <v>468</v>
      </c>
      <c r="I772" s="427" t="s">
        <v>4995</v>
      </c>
      <c r="J772" s="415" t="s">
        <v>4996</v>
      </c>
      <c r="K772" s="415" t="s">
        <v>830</v>
      </c>
      <c r="L772" s="415" t="s">
        <v>1305</v>
      </c>
      <c r="M772" s="415">
        <v>14</v>
      </c>
      <c r="N772" s="414">
        <v>44680</v>
      </c>
      <c r="O772" s="414" t="s">
        <v>407</v>
      </c>
      <c r="P772" s="603">
        <f t="shared" si="94"/>
        <v>5</v>
      </c>
      <c r="Q772" s="603">
        <f t="shared" si="94"/>
        <v>5</v>
      </c>
      <c r="R772" s="604" t="str">
        <f t="shared" si="93"/>
        <v>Gastos_custeados_por_captação</v>
      </c>
      <c r="S772" s="605" t="s">
        <v>998</v>
      </c>
      <c r="T772" s="605">
        <v>3525</v>
      </c>
    </row>
    <row r="773" spans="1:20" s="88" customFormat="1" ht="99.95" customHeight="1" x14ac:dyDescent="0.2">
      <c r="A773" s="510">
        <f>IF(B773="","",COUNT('Diário 1º PA'!$A$4:$A$2635)+ROW()-3)</f>
        <v>2506</v>
      </c>
      <c r="B773" s="414">
        <v>44683</v>
      </c>
      <c r="C773" s="592">
        <v>44683</v>
      </c>
      <c r="D773" s="415" t="s">
        <v>468</v>
      </c>
      <c r="E773" s="415" t="s">
        <v>468</v>
      </c>
      <c r="F773" s="425">
        <v>19.09</v>
      </c>
      <c r="G773" s="427" t="s">
        <v>4986</v>
      </c>
      <c r="H773" s="415" t="s">
        <v>468</v>
      </c>
      <c r="I773" s="427" t="s">
        <v>1461</v>
      </c>
      <c r="J773" s="415" t="s">
        <v>310</v>
      </c>
      <c r="K773" s="415" t="s">
        <v>1220</v>
      </c>
      <c r="L773" s="415" t="s">
        <v>1368</v>
      </c>
      <c r="M773" s="415" t="s">
        <v>310</v>
      </c>
      <c r="N773" s="414">
        <v>44683</v>
      </c>
      <c r="O773" s="414" t="s">
        <v>407</v>
      </c>
      <c r="P773" s="603">
        <f t="shared" si="94"/>
        <v>5</v>
      </c>
      <c r="Q773" s="603">
        <f t="shared" si="94"/>
        <v>5</v>
      </c>
      <c r="R773" s="604" t="str">
        <f>SUBSTITUTE(D773," ","_")</f>
        <v>Gastos_custeados_por_captação</v>
      </c>
      <c r="S773" s="605" t="s">
        <v>310</v>
      </c>
      <c r="T773" s="605" t="s">
        <v>310</v>
      </c>
    </row>
    <row r="774" spans="1:20" s="88" customFormat="1" ht="99.95" customHeight="1" x14ac:dyDescent="0.2">
      <c r="A774" s="510">
        <f>IF(B774="","",COUNT('Diário 1º PA'!$A$4:$A$2635)+ROW()-3)</f>
        <v>2507</v>
      </c>
      <c r="B774" s="414">
        <v>44684</v>
      </c>
      <c r="C774" s="592">
        <v>44652</v>
      </c>
      <c r="D774" s="415" t="s">
        <v>271</v>
      </c>
      <c r="E774" s="415" t="s">
        <v>90</v>
      </c>
      <c r="F774" s="425">
        <v>-1980.75</v>
      </c>
      <c r="G774" s="427" t="s">
        <v>3755</v>
      </c>
      <c r="H774" s="415" t="s">
        <v>309</v>
      </c>
      <c r="I774" s="427" t="s">
        <v>795</v>
      </c>
      <c r="J774" s="415" t="s">
        <v>796</v>
      </c>
      <c r="K774" s="415" t="s">
        <v>797</v>
      </c>
      <c r="L774" s="415" t="s">
        <v>798</v>
      </c>
      <c r="M774" s="415" t="s">
        <v>310</v>
      </c>
      <c r="N774" s="414">
        <v>44684</v>
      </c>
      <c r="O774" s="414" t="s">
        <v>400</v>
      </c>
      <c r="P774" s="603">
        <f t="shared" si="94"/>
        <v>5</v>
      </c>
      <c r="Q774" s="603">
        <f t="shared" si="94"/>
        <v>4</v>
      </c>
      <c r="R774" s="604" t="str">
        <f>SUBSTITUTE(D774," ","_")</f>
        <v>Gastos_Gerais</v>
      </c>
      <c r="S774" s="605" t="s">
        <v>310</v>
      </c>
      <c r="T774" s="605" t="s">
        <v>310</v>
      </c>
    </row>
    <row r="775" spans="1:20" s="88" customFormat="1" ht="96" x14ac:dyDescent="0.2">
      <c r="A775" s="510">
        <f>IF(B775="","",COUNT('Diário 1º PA'!$A$4:$A$2635)+ROW()-3)</f>
        <v>2508</v>
      </c>
      <c r="B775" s="414">
        <v>44684</v>
      </c>
      <c r="C775" s="592">
        <v>44652</v>
      </c>
      <c r="D775" s="415" t="s">
        <v>271</v>
      </c>
      <c r="E775" s="415" t="s">
        <v>90</v>
      </c>
      <c r="F775" s="425">
        <v>7335.75</v>
      </c>
      <c r="G775" s="427" t="s">
        <v>862</v>
      </c>
      <c r="H775" s="415" t="s">
        <v>309</v>
      </c>
      <c r="I775" s="427" t="s">
        <v>850</v>
      </c>
      <c r="J775" s="415" t="s">
        <v>863</v>
      </c>
      <c r="K775" s="415" t="s">
        <v>830</v>
      </c>
      <c r="L775" s="415" t="s">
        <v>807</v>
      </c>
      <c r="M775" s="415" t="s">
        <v>1703</v>
      </c>
      <c r="N775" s="414">
        <v>44683</v>
      </c>
      <c r="O775" s="414" t="s">
        <v>400</v>
      </c>
      <c r="P775" s="603">
        <f t="shared" si="94"/>
        <v>5</v>
      </c>
      <c r="Q775" s="603">
        <f t="shared" si="94"/>
        <v>4</v>
      </c>
      <c r="R775" s="604" t="str">
        <f>SUBSTITUTE(D775," ","_")</f>
        <v>Gastos_Gerais</v>
      </c>
      <c r="S775" s="605" t="s">
        <v>1000</v>
      </c>
      <c r="T775" s="605">
        <v>1134</v>
      </c>
    </row>
    <row r="776" spans="1:20" s="88" customFormat="1" ht="48" x14ac:dyDescent="0.2">
      <c r="A776" s="510">
        <f>IF(B776="","",COUNT('Diário 1º PA'!$A$4:$A$2635)+ROW()-3)</f>
        <v>2509</v>
      </c>
      <c r="B776" s="414">
        <v>44684</v>
      </c>
      <c r="C776" s="431">
        <v>44652</v>
      </c>
      <c r="D776" s="415" t="s">
        <v>271</v>
      </c>
      <c r="E776" s="415" t="s">
        <v>456</v>
      </c>
      <c r="F776" s="425">
        <v>1684</v>
      </c>
      <c r="G776" s="427" t="s">
        <v>2841</v>
      </c>
      <c r="H776" s="415" t="s">
        <v>752</v>
      </c>
      <c r="I776" s="427" t="s">
        <v>2682</v>
      </c>
      <c r="J776" s="415" t="s">
        <v>816</v>
      </c>
      <c r="K776" s="415" t="s">
        <v>812</v>
      </c>
      <c r="L776" s="415" t="s">
        <v>807</v>
      </c>
      <c r="M776" s="548">
        <v>309458</v>
      </c>
      <c r="N776" s="414">
        <v>44656</v>
      </c>
      <c r="O776" s="414" t="s">
        <v>400</v>
      </c>
      <c r="P776" s="603">
        <f t="shared" si="94"/>
        <v>5</v>
      </c>
      <c r="Q776" s="603">
        <f t="shared" si="94"/>
        <v>4</v>
      </c>
      <c r="R776" s="604" t="str">
        <f>SUBSTITUTE(D776," ","_")</f>
        <v>Gastos_Gerais</v>
      </c>
      <c r="S776" s="605" t="s">
        <v>999</v>
      </c>
      <c r="T776" s="605">
        <v>3328</v>
      </c>
    </row>
    <row r="777" spans="1:20" s="88" customFormat="1" ht="60" x14ac:dyDescent="0.2">
      <c r="A777" s="510">
        <f>IF(B777="","",COUNT('Diário 1º PA'!$A$4:$A$2635)+ROW()-3)</f>
        <v>2510</v>
      </c>
      <c r="B777" s="414">
        <v>44684</v>
      </c>
      <c r="C777" s="431">
        <v>44562</v>
      </c>
      <c r="D777" s="415" t="s">
        <v>271</v>
      </c>
      <c r="E777" s="415" t="s">
        <v>456</v>
      </c>
      <c r="F777" s="425">
        <v>1260</v>
      </c>
      <c r="G777" s="427" t="s">
        <v>724</v>
      </c>
      <c r="H777" s="419" t="s">
        <v>759</v>
      </c>
      <c r="I777" s="427" t="s">
        <v>3757</v>
      </c>
      <c r="J777" s="415" t="s">
        <v>1146</v>
      </c>
      <c r="K777" s="415" t="s">
        <v>830</v>
      </c>
      <c r="L777" s="415" t="s">
        <v>839</v>
      </c>
      <c r="M777" s="415">
        <v>1712</v>
      </c>
      <c r="N777" s="414">
        <v>44673</v>
      </c>
      <c r="O777" s="414" t="s">
        <v>400</v>
      </c>
      <c r="P777" s="603">
        <f t="shared" ref="P777:P785" si="95">IF(B777=0,0,IF(YEAR(B777)=$Q$1,MONTH(B777)-$P$1+1,(YEAR(B777)-$Q$1)*12-$P$1+1+MONTH(B777)))</f>
        <v>5</v>
      </c>
      <c r="Q777" s="603">
        <f t="shared" ref="Q777:Q785" si="96">IF(C777=0,0,IF(YEAR(C777)=$Q$1,MONTH(C777)-$P$1+1,(YEAR(C777)-$Q$1)*12-$P$1+1+MONTH(C777)))</f>
        <v>1</v>
      </c>
      <c r="R777" s="604" t="str">
        <f t="shared" ref="R777:R785" si="97">SUBSTITUTE(D777," ","_")</f>
        <v>Gastos_Gerais</v>
      </c>
      <c r="S777" s="605" t="s">
        <v>998</v>
      </c>
      <c r="T777" s="605">
        <v>2621</v>
      </c>
    </row>
    <row r="778" spans="1:20" s="88" customFormat="1" ht="36" x14ac:dyDescent="0.2">
      <c r="A778" s="510">
        <f>IF(B778="","",COUNT('Diário 1º PA'!$A$4:$A$2635)+ROW()-3)</f>
        <v>2511</v>
      </c>
      <c r="B778" s="414">
        <v>44684</v>
      </c>
      <c r="C778" s="431">
        <v>44652</v>
      </c>
      <c r="D778" s="415" t="s">
        <v>468</v>
      </c>
      <c r="E778" s="415" t="s">
        <v>468</v>
      </c>
      <c r="F778" s="425">
        <v>4000</v>
      </c>
      <c r="G778" s="427" t="s">
        <v>710</v>
      </c>
      <c r="H778" s="419" t="s">
        <v>468</v>
      </c>
      <c r="I778" s="427" t="s">
        <v>2454</v>
      </c>
      <c r="J778" s="415" t="s">
        <v>1135</v>
      </c>
      <c r="K778" s="415" t="s">
        <v>830</v>
      </c>
      <c r="L778" s="415" t="s">
        <v>32</v>
      </c>
      <c r="M778" s="415" t="s">
        <v>1308</v>
      </c>
      <c r="N778" s="414">
        <v>44683</v>
      </c>
      <c r="O778" s="414" t="s">
        <v>408</v>
      </c>
      <c r="P778" s="603">
        <f t="shared" si="95"/>
        <v>5</v>
      </c>
      <c r="Q778" s="603">
        <f t="shared" si="96"/>
        <v>4</v>
      </c>
      <c r="R778" s="604" t="str">
        <f t="shared" si="97"/>
        <v>Gastos_custeados_por_captação</v>
      </c>
      <c r="S778" s="605" t="s">
        <v>1000</v>
      </c>
      <c r="T778" s="605">
        <v>2557</v>
      </c>
    </row>
    <row r="779" spans="1:20" s="88" customFormat="1" ht="36" x14ac:dyDescent="0.2">
      <c r="A779" s="510">
        <f>IF(B779="","",COUNT('Diário 1º PA'!$A$4:$A$2635)+ROW()-3)</f>
        <v>2512</v>
      </c>
      <c r="B779" s="414">
        <v>44684</v>
      </c>
      <c r="C779" s="431">
        <v>44652</v>
      </c>
      <c r="D779" s="415" t="s">
        <v>468</v>
      </c>
      <c r="E779" s="415" t="s">
        <v>468</v>
      </c>
      <c r="F779" s="425">
        <v>2650</v>
      </c>
      <c r="G779" s="427" t="s">
        <v>697</v>
      </c>
      <c r="H779" s="419" t="s">
        <v>468</v>
      </c>
      <c r="I779" s="427" t="s">
        <v>2466</v>
      </c>
      <c r="J779" s="415" t="s">
        <v>1128</v>
      </c>
      <c r="K779" s="415" t="s">
        <v>830</v>
      </c>
      <c r="L779" s="415" t="s">
        <v>32</v>
      </c>
      <c r="M779" s="415" t="s">
        <v>1793</v>
      </c>
      <c r="N779" s="414">
        <v>44683</v>
      </c>
      <c r="O779" s="414" t="s">
        <v>408</v>
      </c>
      <c r="P779" s="603">
        <f t="shared" si="95"/>
        <v>5</v>
      </c>
      <c r="Q779" s="603">
        <f t="shared" si="96"/>
        <v>4</v>
      </c>
      <c r="R779" s="604" t="str">
        <f t="shared" si="97"/>
        <v>Gastos_custeados_por_captação</v>
      </c>
      <c r="S779" s="605" t="s">
        <v>1000</v>
      </c>
      <c r="T779" s="605">
        <v>2687</v>
      </c>
    </row>
    <row r="780" spans="1:20" s="88" customFormat="1" ht="36" x14ac:dyDescent="0.2">
      <c r="A780" s="510">
        <f>IF(B780="","",COUNT('Diário 1º PA'!$A$4:$A$2635)+ROW()-3)</f>
        <v>2513</v>
      </c>
      <c r="B780" s="414">
        <v>44684</v>
      </c>
      <c r="C780" s="431">
        <v>44652</v>
      </c>
      <c r="D780" s="415" t="s">
        <v>468</v>
      </c>
      <c r="E780" s="415" t="s">
        <v>468</v>
      </c>
      <c r="F780" s="425">
        <v>4311.5600000000004</v>
      </c>
      <c r="G780" s="427" t="s">
        <v>693</v>
      </c>
      <c r="H780" s="419" t="s">
        <v>468</v>
      </c>
      <c r="I780" s="427" t="s">
        <v>2464</v>
      </c>
      <c r="J780" s="415" t="s">
        <v>1124</v>
      </c>
      <c r="K780" s="415" t="s">
        <v>830</v>
      </c>
      <c r="L780" s="415" t="s">
        <v>32</v>
      </c>
      <c r="M780" s="415" t="s">
        <v>1308</v>
      </c>
      <c r="N780" s="414">
        <v>44683</v>
      </c>
      <c r="O780" s="414" t="s">
        <v>408</v>
      </c>
      <c r="P780" s="603">
        <f t="shared" si="95"/>
        <v>5</v>
      </c>
      <c r="Q780" s="603">
        <f t="shared" si="96"/>
        <v>4</v>
      </c>
      <c r="R780" s="604" t="str">
        <f t="shared" si="97"/>
        <v>Gastos_custeados_por_captação</v>
      </c>
      <c r="S780" s="605" t="s">
        <v>1000</v>
      </c>
      <c r="T780" s="605">
        <v>2642</v>
      </c>
    </row>
    <row r="781" spans="1:20" s="88" customFormat="1" ht="36" x14ac:dyDescent="0.2">
      <c r="A781" s="510">
        <f>IF(B781="","",COUNT('Diário 1º PA'!$A$4:$A$2635)+ROW()-3)</f>
        <v>2514</v>
      </c>
      <c r="B781" s="414">
        <v>44684</v>
      </c>
      <c r="C781" s="431">
        <v>44652</v>
      </c>
      <c r="D781" s="415" t="s">
        <v>468</v>
      </c>
      <c r="E781" s="415" t="s">
        <v>468</v>
      </c>
      <c r="F781" s="425">
        <v>2694.72</v>
      </c>
      <c r="G781" s="427" t="s">
        <v>694</v>
      </c>
      <c r="H781" s="419" t="s">
        <v>468</v>
      </c>
      <c r="I781" s="427" t="s">
        <v>2457</v>
      </c>
      <c r="J781" s="415" t="s">
        <v>1120</v>
      </c>
      <c r="K781" s="415" t="s">
        <v>830</v>
      </c>
      <c r="L781" s="415" t="s">
        <v>32</v>
      </c>
      <c r="M781" s="415" t="s">
        <v>1540</v>
      </c>
      <c r="N781" s="414">
        <v>44683</v>
      </c>
      <c r="O781" s="414" t="s">
        <v>408</v>
      </c>
      <c r="P781" s="603">
        <f t="shared" si="95"/>
        <v>5</v>
      </c>
      <c r="Q781" s="603">
        <f t="shared" si="96"/>
        <v>4</v>
      </c>
      <c r="R781" s="604" t="str">
        <f t="shared" si="97"/>
        <v>Gastos_custeados_por_captação</v>
      </c>
      <c r="S781" s="605" t="s">
        <v>1000</v>
      </c>
      <c r="T781" s="605">
        <v>2663</v>
      </c>
    </row>
    <row r="782" spans="1:20" s="88" customFormat="1" ht="48" x14ac:dyDescent="0.2">
      <c r="A782" s="510">
        <f>IF(B782="","",COUNT('Diário 1º PA'!$A$4:$A$2635)+ROW()-3)</f>
        <v>2515</v>
      </c>
      <c r="B782" s="414">
        <v>44684</v>
      </c>
      <c r="C782" s="431">
        <v>44652</v>
      </c>
      <c r="D782" s="415" t="s">
        <v>468</v>
      </c>
      <c r="E782" s="415" t="s">
        <v>468</v>
      </c>
      <c r="F782" s="425">
        <v>4400</v>
      </c>
      <c r="G782" s="427" t="s">
        <v>701</v>
      </c>
      <c r="H782" s="419" t="s">
        <v>468</v>
      </c>
      <c r="I782" s="427" t="s">
        <v>2465</v>
      </c>
      <c r="J782" s="415" t="s">
        <v>1131</v>
      </c>
      <c r="K782" s="415" t="s">
        <v>830</v>
      </c>
      <c r="L782" s="415" t="s">
        <v>32</v>
      </c>
      <c r="M782" s="415" t="s">
        <v>1503</v>
      </c>
      <c r="N782" s="414">
        <v>44683</v>
      </c>
      <c r="O782" s="414" t="s">
        <v>408</v>
      </c>
      <c r="P782" s="603">
        <f t="shared" si="95"/>
        <v>5</v>
      </c>
      <c r="Q782" s="603">
        <f t="shared" si="96"/>
        <v>4</v>
      </c>
      <c r="R782" s="604" t="str">
        <f t="shared" si="97"/>
        <v>Gastos_custeados_por_captação</v>
      </c>
      <c r="S782" s="605" t="s">
        <v>1000</v>
      </c>
      <c r="T782" s="605">
        <v>2641</v>
      </c>
    </row>
    <row r="783" spans="1:20" s="88" customFormat="1" ht="36" x14ac:dyDescent="0.2">
      <c r="A783" s="510">
        <f>IF(B783="","",COUNT('Diário 1º PA'!$A$4:$A$2635)+ROW()-3)</f>
        <v>2516</v>
      </c>
      <c r="B783" s="414">
        <v>44684</v>
      </c>
      <c r="C783" s="431">
        <v>44652</v>
      </c>
      <c r="D783" s="415" t="s">
        <v>468</v>
      </c>
      <c r="E783" s="415" t="s">
        <v>468</v>
      </c>
      <c r="F783" s="425">
        <v>4400</v>
      </c>
      <c r="G783" s="427" t="s">
        <v>691</v>
      </c>
      <c r="H783" s="419" t="s">
        <v>468</v>
      </c>
      <c r="I783" s="427" t="s">
        <v>846</v>
      </c>
      <c r="J783" s="415" t="s">
        <v>1122</v>
      </c>
      <c r="K783" s="415" t="s">
        <v>830</v>
      </c>
      <c r="L783" s="415" t="s">
        <v>32</v>
      </c>
      <c r="M783" s="415" t="s">
        <v>1503</v>
      </c>
      <c r="N783" s="414">
        <v>44683</v>
      </c>
      <c r="O783" s="414" t="s">
        <v>408</v>
      </c>
      <c r="P783" s="603">
        <f t="shared" si="95"/>
        <v>5</v>
      </c>
      <c r="Q783" s="603">
        <f t="shared" si="96"/>
        <v>4</v>
      </c>
      <c r="R783" s="604" t="str">
        <f t="shared" si="97"/>
        <v>Gastos_custeados_por_captação</v>
      </c>
      <c r="S783" s="605" t="s">
        <v>1000</v>
      </c>
      <c r="T783" s="605">
        <v>2640</v>
      </c>
    </row>
    <row r="784" spans="1:20" s="88" customFormat="1" ht="48" x14ac:dyDescent="0.2">
      <c r="A784" s="510">
        <f>IF(B784="","",COUNT('Diário 1º PA'!$A$4:$A$2635)+ROW()-3)</f>
        <v>2517</v>
      </c>
      <c r="B784" s="414">
        <v>44684</v>
      </c>
      <c r="C784" s="431">
        <v>44652</v>
      </c>
      <c r="D784" s="415" t="s">
        <v>468</v>
      </c>
      <c r="E784" s="415" t="s">
        <v>468</v>
      </c>
      <c r="F784" s="425">
        <v>2522.5500000000002</v>
      </c>
      <c r="G784" s="427" t="s">
        <v>702</v>
      </c>
      <c r="H784" s="419" t="s">
        <v>468</v>
      </c>
      <c r="I784" s="427" t="s">
        <v>2404</v>
      </c>
      <c r="J784" s="415" t="s">
        <v>1014</v>
      </c>
      <c r="K784" s="415" t="s">
        <v>830</v>
      </c>
      <c r="L784" s="415" t="s">
        <v>839</v>
      </c>
      <c r="M784" s="415">
        <v>1723</v>
      </c>
      <c r="N784" s="414">
        <v>44683</v>
      </c>
      <c r="O784" s="414" t="s">
        <v>408</v>
      </c>
      <c r="P784" s="603">
        <f t="shared" si="95"/>
        <v>5</v>
      </c>
      <c r="Q784" s="603">
        <f t="shared" si="96"/>
        <v>4</v>
      </c>
      <c r="R784" s="604" t="str">
        <f t="shared" si="97"/>
        <v>Gastos_custeados_por_captação</v>
      </c>
      <c r="S784" s="605" t="s">
        <v>1000</v>
      </c>
      <c r="T784" s="605">
        <v>2672</v>
      </c>
    </row>
    <row r="785" spans="1:20" s="88" customFormat="1" ht="36" x14ac:dyDescent="0.2">
      <c r="A785" s="510">
        <f>IF(B785="","",COUNT('Diário 1º PA'!$A$4:$A$2635)+ROW()-3)</f>
        <v>2518</v>
      </c>
      <c r="B785" s="414">
        <v>44684</v>
      </c>
      <c r="C785" s="431">
        <v>44652</v>
      </c>
      <c r="D785" s="415" t="s">
        <v>468</v>
      </c>
      <c r="E785" s="415" t="s">
        <v>468</v>
      </c>
      <c r="F785" s="425">
        <v>2750</v>
      </c>
      <c r="G785" s="427" t="s">
        <v>694</v>
      </c>
      <c r="H785" s="419" t="s">
        <v>468</v>
      </c>
      <c r="I785" s="427" t="s">
        <v>2468</v>
      </c>
      <c r="J785" s="415" t="s">
        <v>1127</v>
      </c>
      <c r="K785" s="415" t="s">
        <v>830</v>
      </c>
      <c r="L785" s="415" t="s">
        <v>32</v>
      </c>
      <c r="M785" s="415" t="s">
        <v>1540</v>
      </c>
      <c r="N785" s="414">
        <v>44683</v>
      </c>
      <c r="O785" s="414" t="s">
        <v>408</v>
      </c>
      <c r="P785" s="603">
        <f t="shared" si="95"/>
        <v>5</v>
      </c>
      <c r="Q785" s="603">
        <f t="shared" si="96"/>
        <v>4</v>
      </c>
      <c r="R785" s="604" t="str">
        <f t="shared" si="97"/>
        <v>Gastos_custeados_por_captação</v>
      </c>
      <c r="S785" s="605" t="s">
        <v>1000</v>
      </c>
      <c r="T785" s="605">
        <v>2661</v>
      </c>
    </row>
    <row r="786" spans="1:20" ht="36" x14ac:dyDescent="0.2">
      <c r="A786" s="510">
        <f>IF(B786="","",COUNT('Diário 1º PA'!$A$4:$A$2635)+ROW()-3)</f>
        <v>2519</v>
      </c>
      <c r="B786" s="414">
        <v>44684</v>
      </c>
      <c r="C786" s="431">
        <v>44652</v>
      </c>
      <c r="D786" s="415" t="s">
        <v>468</v>
      </c>
      <c r="E786" s="415" t="s">
        <v>468</v>
      </c>
      <c r="F786" s="425">
        <v>2750</v>
      </c>
      <c r="G786" s="427" t="s">
        <v>694</v>
      </c>
      <c r="H786" s="419" t="s">
        <v>468</v>
      </c>
      <c r="I786" s="427" t="s">
        <v>5366</v>
      </c>
      <c r="J786" s="415" t="s">
        <v>1148</v>
      </c>
      <c r="K786" s="415" t="s">
        <v>830</v>
      </c>
      <c r="L786" s="415" t="s">
        <v>32</v>
      </c>
      <c r="M786" s="415" t="s">
        <v>1428</v>
      </c>
      <c r="N786" s="414">
        <v>44683</v>
      </c>
      <c r="O786" s="414" t="s">
        <v>408</v>
      </c>
      <c r="P786" s="603">
        <f t="shared" ref="P786:P804" si="98">IF(B786=0,0,IF(YEAR(B786)=$Q$1,MONTH(B786)-$P$1+1,(YEAR(B786)-$Q$1)*12-$P$1+1+MONTH(B786)))</f>
        <v>5</v>
      </c>
      <c r="Q786" s="603">
        <f t="shared" ref="Q786:Q804" si="99">IF(C786=0,0,IF(YEAR(C786)=$Q$1,MONTH(C786)-$P$1+1,(YEAR(C786)-$Q$1)*12-$P$1+1+MONTH(C786)))</f>
        <v>4</v>
      </c>
      <c r="R786" s="604" t="str">
        <f t="shared" ref="R786:R804" si="100">SUBSTITUTE(D786," ","_")</f>
        <v>Gastos_custeados_por_captação</v>
      </c>
      <c r="S786" s="605" t="s">
        <v>1000</v>
      </c>
      <c r="T786" s="605">
        <v>2662</v>
      </c>
    </row>
    <row r="787" spans="1:20" ht="72" x14ac:dyDescent="0.2">
      <c r="A787" s="510">
        <f>IF(B787="","",COUNT('Diário 1º PA'!$A$4:$A$2635)+ROW()-3)</f>
        <v>2520</v>
      </c>
      <c r="B787" s="414">
        <v>44684</v>
      </c>
      <c r="C787" s="431">
        <v>44652</v>
      </c>
      <c r="D787" s="415" t="s">
        <v>468</v>
      </c>
      <c r="E787" s="415" t="s">
        <v>468</v>
      </c>
      <c r="F787" s="425">
        <v>21560</v>
      </c>
      <c r="G787" s="427" t="s">
        <v>3306</v>
      </c>
      <c r="H787" s="419" t="s">
        <v>468</v>
      </c>
      <c r="I787" s="427" t="s">
        <v>4792</v>
      </c>
      <c r="J787" s="415" t="s">
        <v>3307</v>
      </c>
      <c r="K787" s="415" t="s">
        <v>830</v>
      </c>
      <c r="L787" s="415" t="s">
        <v>807</v>
      </c>
      <c r="M787" s="415" t="s">
        <v>1793</v>
      </c>
      <c r="N787" s="414">
        <v>44683</v>
      </c>
      <c r="O787" s="414" t="s">
        <v>407</v>
      </c>
      <c r="P787" s="603">
        <f t="shared" si="98"/>
        <v>5</v>
      </c>
      <c r="Q787" s="603">
        <f t="shared" si="99"/>
        <v>4</v>
      </c>
      <c r="R787" s="604" t="str">
        <f t="shared" si="100"/>
        <v>Gastos_custeados_por_captação</v>
      </c>
      <c r="S787" s="605" t="s">
        <v>998</v>
      </c>
      <c r="T787" s="605">
        <v>3390</v>
      </c>
    </row>
    <row r="788" spans="1:20" ht="72" x14ac:dyDescent="0.2">
      <c r="A788" s="510">
        <f>IF(B788="","",COUNT('Diário 1º PA'!$A$4:$A$2635)+ROW()-3)</f>
        <v>2521</v>
      </c>
      <c r="B788" s="414">
        <v>44684</v>
      </c>
      <c r="C788" s="431">
        <v>44652</v>
      </c>
      <c r="D788" s="415" t="s">
        <v>468</v>
      </c>
      <c r="E788" s="415" t="s">
        <v>468</v>
      </c>
      <c r="F788" s="425">
        <v>500</v>
      </c>
      <c r="G788" s="427" t="s">
        <v>4997</v>
      </c>
      <c r="H788" s="419" t="s">
        <v>468</v>
      </c>
      <c r="I788" s="427" t="s">
        <v>4998</v>
      </c>
      <c r="J788" s="415" t="s">
        <v>3331</v>
      </c>
      <c r="K788" s="415" t="s">
        <v>830</v>
      </c>
      <c r="L788" s="415" t="s">
        <v>807</v>
      </c>
      <c r="M788" s="415">
        <v>32959940</v>
      </c>
      <c r="N788" s="414">
        <v>44683</v>
      </c>
      <c r="O788" s="414" t="s">
        <v>407</v>
      </c>
      <c r="P788" s="603">
        <f t="shared" si="98"/>
        <v>5</v>
      </c>
      <c r="Q788" s="603">
        <f t="shared" si="99"/>
        <v>4</v>
      </c>
      <c r="R788" s="604" t="str">
        <f t="shared" si="100"/>
        <v>Gastos_custeados_por_captação</v>
      </c>
      <c r="S788" s="605" t="s">
        <v>998</v>
      </c>
      <c r="T788" s="605">
        <v>3433</v>
      </c>
    </row>
    <row r="789" spans="1:20" ht="72" x14ac:dyDescent="0.2">
      <c r="A789" s="510">
        <f>IF(B789="","",COUNT('Diário 1º PA'!$A$4:$A$2635)+ROW()-3)</f>
        <v>2522</v>
      </c>
      <c r="B789" s="414">
        <v>44684</v>
      </c>
      <c r="C789" s="431">
        <v>44621</v>
      </c>
      <c r="D789" s="415" t="s">
        <v>468</v>
      </c>
      <c r="E789" s="415" t="s">
        <v>468</v>
      </c>
      <c r="F789" s="425">
        <v>4954.25</v>
      </c>
      <c r="G789" s="427" t="s">
        <v>4803</v>
      </c>
      <c r="H789" s="419" t="s">
        <v>468</v>
      </c>
      <c r="I789" s="427" t="s">
        <v>4691</v>
      </c>
      <c r="J789" s="415" t="s">
        <v>4804</v>
      </c>
      <c r="K789" s="415" t="s">
        <v>830</v>
      </c>
      <c r="L789" s="415" t="s">
        <v>807</v>
      </c>
      <c r="M789" s="415" t="s">
        <v>4999</v>
      </c>
      <c r="N789" s="414">
        <v>44668</v>
      </c>
      <c r="O789" s="414" t="s">
        <v>407</v>
      </c>
      <c r="P789" s="603">
        <f t="shared" si="98"/>
        <v>5</v>
      </c>
      <c r="Q789" s="603">
        <f t="shared" si="99"/>
        <v>3</v>
      </c>
      <c r="R789" s="604" t="str">
        <f t="shared" si="100"/>
        <v>Gastos_custeados_por_captação</v>
      </c>
      <c r="S789" s="605" t="s">
        <v>1000</v>
      </c>
      <c r="T789" s="605">
        <v>3233</v>
      </c>
    </row>
    <row r="790" spans="1:20" ht="99.95" customHeight="1" x14ac:dyDescent="0.2">
      <c r="A790" s="510">
        <f>IF(B790="","",COUNT('Diário 1º PA'!$A$4:$A$2635)+ROW()-3)</f>
        <v>2523</v>
      </c>
      <c r="B790" s="414">
        <v>44684</v>
      </c>
      <c r="C790" s="431">
        <v>44621</v>
      </c>
      <c r="D790" s="415" t="s">
        <v>468</v>
      </c>
      <c r="E790" s="415" t="s">
        <v>468</v>
      </c>
      <c r="F790" s="425">
        <v>1004.15</v>
      </c>
      <c r="G790" s="427" t="s">
        <v>4803</v>
      </c>
      <c r="H790" s="419" t="s">
        <v>468</v>
      </c>
      <c r="I790" s="427" t="s">
        <v>4691</v>
      </c>
      <c r="J790" s="415" t="s">
        <v>4804</v>
      </c>
      <c r="K790" s="415" t="s">
        <v>830</v>
      </c>
      <c r="L790" s="415" t="s">
        <v>807</v>
      </c>
      <c r="M790" s="415" t="s">
        <v>5000</v>
      </c>
      <c r="N790" s="414">
        <v>44668</v>
      </c>
      <c r="O790" s="414" t="s">
        <v>407</v>
      </c>
      <c r="P790" s="603">
        <f t="shared" si="98"/>
        <v>5</v>
      </c>
      <c r="Q790" s="603">
        <f t="shared" si="99"/>
        <v>3</v>
      </c>
      <c r="R790" s="604" t="str">
        <f t="shared" si="100"/>
        <v>Gastos_custeados_por_captação</v>
      </c>
      <c r="S790" s="605" t="s">
        <v>1000</v>
      </c>
      <c r="T790" s="605">
        <v>3233</v>
      </c>
    </row>
    <row r="791" spans="1:20" s="88" customFormat="1" ht="99.95" customHeight="1" x14ac:dyDescent="0.2">
      <c r="A791" s="510">
        <f>IF(B791="","",COUNT('Diário 1º PA'!$A$4:$A$2635)+ROW()-3)</f>
        <v>2524</v>
      </c>
      <c r="B791" s="414">
        <v>44684</v>
      </c>
      <c r="C791" s="431">
        <v>44652</v>
      </c>
      <c r="D791" s="415" t="s">
        <v>468</v>
      </c>
      <c r="E791" s="415" t="s">
        <v>468</v>
      </c>
      <c r="F791" s="425">
        <v>19404</v>
      </c>
      <c r="G791" s="427" t="s">
        <v>736</v>
      </c>
      <c r="H791" s="419" t="s">
        <v>468</v>
      </c>
      <c r="I791" s="427" t="s">
        <v>2141</v>
      </c>
      <c r="J791" s="415" t="s">
        <v>1072</v>
      </c>
      <c r="K791" s="415" t="s">
        <v>830</v>
      </c>
      <c r="L791" s="415" t="s">
        <v>807</v>
      </c>
      <c r="M791" s="415">
        <v>205</v>
      </c>
      <c r="N791" s="414">
        <v>44683</v>
      </c>
      <c r="O791" s="414" t="s">
        <v>407</v>
      </c>
      <c r="P791" s="603">
        <f t="shared" si="98"/>
        <v>5</v>
      </c>
      <c r="Q791" s="603">
        <f t="shared" si="99"/>
        <v>4</v>
      </c>
      <c r="R791" s="604" t="str">
        <f t="shared" si="100"/>
        <v>Gastos_custeados_por_captação</v>
      </c>
      <c r="S791" s="605" t="s">
        <v>1000</v>
      </c>
      <c r="T791" s="605">
        <v>2815</v>
      </c>
    </row>
    <row r="792" spans="1:20" s="88" customFormat="1" ht="99.95" customHeight="1" x14ac:dyDescent="0.2">
      <c r="A792" s="510">
        <f>IF(B792="","",COUNT('Diário 1º PA'!$A$4:$A$2635)+ROW()-3)</f>
        <v>2525</v>
      </c>
      <c r="B792" s="414">
        <v>44684</v>
      </c>
      <c r="C792" s="431">
        <v>44652</v>
      </c>
      <c r="D792" s="415" t="s">
        <v>468</v>
      </c>
      <c r="E792" s="415" t="s">
        <v>468</v>
      </c>
      <c r="F792" s="425">
        <v>115.5</v>
      </c>
      <c r="G792" s="427" t="s">
        <v>3270</v>
      </c>
      <c r="H792" s="419" t="s">
        <v>468</v>
      </c>
      <c r="I792" s="427" t="s">
        <v>5448</v>
      </c>
      <c r="J792" s="415" t="s">
        <v>3271</v>
      </c>
      <c r="K792" s="415" t="s">
        <v>812</v>
      </c>
      <c r="L792" s="415" t="s">
        <v>807</v>
      </c>
      <c r="M792" s="415">
        <v>79899</v>
      </c>
      <c r="N792" s="414">
        <v>44663</v>
      </c>
      <c r="O792" s="414" t="s">
        <v>404</v>
      </c>
      <c r="P792" s="603">
        <f t="shared" si="98"/>
        <v>5</v>
      </c>
      <c r="Q792" s="603">
        <f t="shared" si="99"/>
        <v>4</v>
      </c>
      <c r="R792" s="604" t="str">
        <f t="shared" si="100"/>
        <v>Gastos_custeados_por_captação</v>
      </c>
      <c r="S792" s="605" t="s">
        <v>998</v>
      </c>
      <c r="T792" s="605">
        <v>3386</v>
      </c>
    </row>
    <row r="793" spans="1:20" s="88" customFormat="1" ht="99.95" customHeight="1" x14ac:dyDescent="0.2">
      <c r="A793" s="510">
        <f>IF(B793="","",COUNT('Diário 1º PA'!$A$4:$A$2635)+ROW()-3)</f>
        <v>2526</v>
      </c>
      <c r="B793" s="414">
        <v>44685</v>
      </c>
      <c r="C793" s="431">
        <v>44652</v>
      </c>
      <c r="D793" s="415" t="s">
        <v>271</v>
      </c>
      <c r="E793" s="415" t="s">
        <v>90</v>
      </c>
      <c r="F793" s="425">
        <v>6000</v>
      </c>
      <c r="G793" s="427" t="s">
        <v>696</v>
      </c>
      <c r="H793" s="415" t="s">
        <v>750</v>
      </c>
      <c r="I793" s="427" t="s">
        <v>2406</v>
      </c>
      <c r="J793" s="415" t="s">
        <v>1126</v>
      </c>
      <c r="K793" s="415" t="s">
        <v>806</v>
      </c>
      <c r="L793" s="434" t="s">
        <v>807</v>
      </c>
      <c r="M793" s="415" t="s">
        <v>1786</v>
      </c>
      <c r="N793" s="414">
        <v>44684</v>
      </c>
      <c r="O793" s="414" t="s">
        <v>400</v>
      </c>
      <c r="P793" s="603">
        <f t="shared" si="98"/>
        <v>5</v>
      </c>
      <c r="Q793" s="603">
        <f t="shared" si="99"/>
        <v>4</v>
      </c>
      <c r="R793" s="604" t="str">
        <f t="shared" si="100"/>
        <v>Gastos_Gerais</v>
      </c>
      <c r="S793" s="605" t="s">
        <v>998</v>
      </c>
      <c r="T793" s="605">
        <v>2690</v>
      </c>
    </row>
    <row r="794" spans="1:20" s="88" customFormat="1" ht="48" x14ac:dyDescent="0.2">
      <c r="A794" s="510">
        <f>IF(B794="","",COUNT('Diário 1º PA'!$A$4:$A$2635)+ROW()-3)</f>
        <v>2527</v>
      </c>
      <c r="B794" s="414">
        <v>44685</v>
      </c>
      <c r="C794" s="431">
        <v>44652</v>
      </c>
      <c r="D794" s="415" t="s">
        <v>271</v>
      </c>
      <c r="E794" s="415" t="s">
        <v>460</v>
      </c>
      <c r="F794" s="435">
        <v>5000</v>
      </c>
      <c r="G794" s="427" t="s">
        <v>3769</v>
      </c>
      <c r="H794" s="434" t="s">
        <v>750</v>
      </c>
      <c r="I794" s="427" t="s">
        <v>856</v>
      </c>
      <c r="J794" s="415" t="s">
        <v>1077</v>
      </c>
      <c r="K794" s="434" t="s">
        <v>830</v>
      </c>
      <c r="L794" s="434" t="s">
        <v>807</v>
      </c>
      <c r="M794" s="434">
        <v>142</v>
      </c>
      <c r="N794" s="414">
        <v>44683</v>
      </c>
      <c r="O794" s="414" t="s">
        <v>400</v>
      </c>
      <c r="P794" s="603">
        <f t="shared" si="98"/>
        <v>5</v>
      </c>
      <c r="Q794" s="603">
        <f t="shared" si="99"/>
        <v>4</v>
      </c>
      <c r="R794" s="604" t="str">
        <f t="shared" si="100"/>
        <v>Gastos_Gerais</v>
      </c>
      <c r="S794" s="605" t="s">
        <v>998</v>
      </c>
      <c r="T794" s="605">
        <v>2689</v>
      </c>
    </row>
    <row r="795" spans="1:20" s="88" customFormat="1" ht="24" x14ac:dyDescent="0.2">
      <c r="A795" s="510">
        <f>IF(B795="","",COUNT('Diário 1º PA'!$A$4:$A$2635)+ROW()-3)</f>
        <v>2528</v>
      </c>
      <c r="B795" s="414">
        <v>44685</v>
      </c>
      <c r="C795" s="431">
        <v>44652</v>
      </c>
      <c r="D795" s="415" t="s">
        <v>271</v>
      </c>
      <c r="E795" s="415" t="s">
        <v>456</v>
      </c>
      <c r="F795" s="425">
        <v>4410</v>
      </c>
      <c r="G795" s="427" t="s">
        <v>3409</v>
      </c>
      <c r="H795" s="419" t="s">
        <v>750</v>
      </c>
      <c r="I795" s="427" t="s">
        <v>3770</v>
      </c>
      <c r="J795" s="415" t="s">
        <v>3771</v>
      </c>
      <c r="K795" s="415" t="s">
        <v>830</v>
      </c>
      <c r="L795" s="434" t="s">
        <v>807</v>
      </c>
      <c r="M795" s="434" t="s">
        <v>3772</v>
      </c>
      <c r="N795" s="414">
        <v>44659</v>
      </c>
      <c r="O795" s="414" t="s">
        <v>400</v>
      </c>
      <c r="P795" s="603">
        <f t="shared" si="98"/>
        <v>5</v>
      </c>
      <c r="Q795" s="603">
        <f t="shared" si="99"/>
        <v>4</v>
      </c>
      <c r="R795" s="604" t="str">
        <f t="shared" si="100"/>
        <v>Gastos_Gerais</v>
      </c>
      <c r="S795" s="605" t="s">
        <v>999</v>
      </c>
      <c r="T795" s="605">
        <v>3297</v>
      </c>
    </row>
    <row r="796" spans="1:20" s="88" customFormat="1" ht="72" x14ac:dyDescent="0.2">
      <c r="A796" s="510">
        <f>IF(B796="","",COUNT('Diário 1º PA'!$A$4:$A$2635)+ROW()-3)</f>
        <v>2529</v>
      </c>
      <c r="B796" s="414">
        <v>44685</v>
      </c>
      <c r="C796" s="431">
        <v>44652</v>
      </c>
      <c r="D796" s="415" t="s">
        <v>271</v>
      </c>
      <c r="E796" s="415" t="s">
        <v>456</v>
      </c>
      <c r="F796" s="425">
        <v>1070.4000000000001</v>
      </c>
      <c r="G796" s="427" t="s">
        <v>3751</v>
      </c>
      <c r="H796" s="419" t="s">
        <v>792</v>
      </c>
      <c r="I796" s="427" t="s">
        <v>3784</v>
      </c>
      <c r="J796" s="415" t="s">
        <v>3752</v>
      </c>
      <c r="K796" s="415" t="s">
        <v>812</v>
      </c>
      <c r="L796" s="434" t="s">
        <v>310</v>
      </c>
      <c r="M796" s="434" t="s">
        <v>310</v>
      </c>
      <c r="N796" s="414">
        <v>44685</v>
      </c>
      <c r="O796" s="414" t="s">
        <v>400</v>
      </c>
      <c r="P796" s="603">
        <f t="shared" si="98"/>
        <v>5</v>
      </c>
      <c r="Q796" s="603">
        <f t="shared" si="99"/>
        <v>4</v>
      </c>
      <c r="R796" s="604" t="str">
        <f t="shared" si="100"/>
        <v>Gastos_Gerais</v>
      </c>
      <c r="S796" s="605" t="s">
        <v>998</v>
      </c>
      <c r="T796" s="605">
        <v>3437</v>
      </c>
    </row>
    <row r="797" spans="1:20" s="88" customFormat="1" ht="118.5" customHeight="1" x14ac:dyDescent="0.2">
      <c r="A797" s="510">
        <f>IF(B797="","",COUNT('Diário 1º PA'!$A$4:$A$2635)+ROW()-3)</f>
        <v>2530</v>
      </c>
      <c r="B797" s="414">
        <v>44685</v>
      </c>
      <c r="C797" s="431">
        <v>44621</v>
      </c>
      <c r="D797" s="415" t="s">
        <v>271</v>
      </c>
      <c r="E797" s="415" t="s">
        <v>458</v>
      </c>
      <c r="F797" s="425">
        <v>3000</v>
      </c>
      <c r="G797" s="427" t="s">
        <v>2542</v>
      </c>
      <c r="H797" s="419" t="s">
        <v>752</v>
      </c>
      <c r="I797" s="427" t="s">
        <v>3773</v>
      </c>
      <c r="J797" s="415" t="s">
        <v>2543</v>
      </c>
      <c r="K797" s="415" t="s">
        <v>812</v>
      </c>
      <c r="L797" s="415" t="s">
        <v>826</v>
      </c>
      <c r="M797" s="434" t="s">
        <v>3774</v>
      </c>
      <c r="N797" s="414">
        <v>44655</v>
      </c>
      <c r="O797" s="414" t="s">
        <v>400</v>
      </c>
      <c r="P797" s="603">
        <f t="shared" si="98"/>
        <v>5</v>
      </c>
      <c r="Q797" s="603">
        <f t="shared" si="99"/>
        <v>3</v>
      </c>
      <c r="R797" s="604" t="str">
        <f t="shared" si="100"/>
        <v>Gastos_Gerais</v>
      </c>
      <c r="S797" s="605" t="s">
        <v>998</v>
      </c>
      <c r="T797" s="605">
        <v>3175</v>
      </c>
    </row>
    <row r="798" spans="1:20" s="88" customFormat="1" ht="96" x14ac:dyDescent="0.2">
      <c r="A798" s="510">
        <f>IF(B798="","",COUNT('Diário 1º PA'!$A$4:$A$2635)+ROW()-3)</f>
        <v>2531</v>
      </c>
      <c r="B798" s="414">
        <v>44685</v>
      </c>
      <c r="C798" s="431">
        <v>44652</v>
      </c>
      <c r="D798" s="415" t="s">
        <v>271</v>
      </c>
      <c r="E798" s="415" t="s">
        <v>456</v>
      </c>
      <c r="F798" s="425">
        <v>10288.950000000001</v>
      </c>
      <c r="G798" s="427" t="s">
        <v>3311</v>
      </c>
      <c r="H798" s="419" t="s">
        <v>792</v>
      </c>
      <c r="I798" s="427" t="s">
        <v>4688</v>
      </c>
      <c r="J798" s="415" t="s">
        <v>3268</v>
      </c>
      <c r="K798" s="415" t="s">
        <v>830</v>
      </c>
      <c r="L798" s="415" t="s">
        <v>807</v>
      </c>
      <c r="M798" s="415" t="s">
        <v>2168</v>
      </c>
      <c r="N798" s="414">
        <v>44684</v>
      </c>
      <c r="O798" s="414" t="s">
        <v>400</v>
      </c>
      <c r="P798" s="603">
        <f t="shared" si="98"/>
        <v>5</v>
      </c>
      <c r="Q798" s="603">
        <f t="shared" si="99"/>
        <v>4</v>
      </c>
      <c r="R798" s="604" t="str">
        <f t="shared" si="100"/>
        <v>Gastos_Gerais</v>
      </c>
      <c r="S798" s="605" t="s">
        <v>998</v>
      </c>
      <c r="T798" s="605">
        <v>3392</v>
      </c>
    </row>
    <row r="799" spans="1:20" s="88" customFormat="1" ht="48" x14ac:dyDescent="0.2">
      <c r="A799" s="510">
        <f>IF(B799="","",COUNT('Diário 1º PA'!$A$4:$A$2635)+ROW()-3)</f>
        <v>2532</v>
      </c>
      <c r="B799" s="414">
        <v>44685</v>
      </c>
      <c r="C799" s="431">
        <v>44621</v>
      </c>
      <c r="D799" s="415" t="s">
        <v>271</v>
      </c>
      <c r="E799" s="415" t="s">
        <v>453</v>
      </c>
      <c r="F799" s="425">
        <v>800</v>
      </c>
      <c r="G799" s="427" t="s">
        <v>1907</v>
      </c>
      <c r="H799" s="419" t="s">
        <v>760</v>
      </c>
      <c r="I799" s="427" t="s">
        <v>3775</v>
      </c>
      <c r="J799" s="415" t="s">
        <v>2602</v>
      </c>
      <c r="K799" s="415" t="s">
        <v>830</v>
      </c>
      <c r="L799" s="415" t="s">
        <v>807</v>
      </c>
      <c r="M799" s="415" t="s">
        <v>1308</v>
      </c>
      <c r="N799" s="414">
        <v>44684</v>
      </c>
      <c r="O799" s="414" t="s">
        <v>400</v>
      </c>
      <c r="P799" s="603">
        <f t="shared" si="98"/>
        <v>5</v>
      </c>
      <c r="Q799" s="603">
        <f t="shared" si="99"/>
        <v>3</v>
      </c>
      <c r="R799" s="607" t="str">
        <f t="shared" si="100"/>
        <v>Gastos_Gerais</v>
      </c>
      <c r="S799" s="605" t="s">
        <v>998</v>
      </c>
      <c r="T799" s="605">
        <v>2975</v>
      </c>
    </row>
    <row r="800" spans="1:20" s="88" customFormat="1" ht="24" x14ac:dyDescent="0.2">
      <c r="A800" s="510">
        <f>IF(B800="","",COUNT('Diário 1º PA'!$A$4:$A$2635)+ROW()-3)</f>
        <v>2533</v>
      </c>
      <c r="B800" s="414">
        <v>44685</v>
      </c>
      <c r="C800" s="431">
        <v>44682</v>
      </c>
      <c r="D800" s="415" t="s">
        <v>182</v>
      </c>
      <c r="E800" s="415" t="s">
        <v>6</v>
      </c>
      <c r="F800" s="425">
        <v>472.62</v>
      </c>
      <c r="G800" s="440" t="s">
        <v>1494</v>
      </c>
      <c r="H800" s="415" t="s">
        <v>310</v>
      </c>
      <c r="I800" s="437" t="s">
        <v>1486</v>
      </c>
      <c r="J800" s="418" t="s">
        <v>1487</v>
      </c>
      <c r="K800" s="418" t="s">
        <v>812</v>
      </c>
      <c r="L800" s="399" t="s">
        <v>807</v>
      </c>
      <c r="M800" s="544">
        <v>676500</v>
      </c>
      <c r="N800" s="414">
        <v>44687</v>
      </c>
      <c r="O800" s="414" t="s">
        <v>400</v>
      </c>
      <c r="P800" s="603">
        <f t="shared" si="98"/>
        <v>5</v>
      </c>
      <c r="Q800" s="603">
        <f t="shared" si="99"/>
        <v>5</v>
      </c>
      <c r="R800" s="604" t="str">
        <f t="shared" si="100"/>
        <v>Gastos_com_Pessoal</v>
      </c>
      <c r="S800" s="605" t="s">
        <v>310</v>
      </c>
      <c r="T800" s="605" t="s">
        <v>310</v>
      </c>
    </row>
    <row r="801" spans="1:20" s="88" customFormat="1" ht="60" x14ac:dyDescent="0.2">
      <c r="A801" s="510">
        <f>IF(B801="","",COUNT('Diário 1º PA'!$A$4:$A$2635)+ROW()-3)</f>
        <v>2534</v>
      </c>
      <c r="B801" s="414">
        <v>44685</v>
      </c>
      <c r="C801" s="431">
        <v>44621</v>
      </c>
      <c r="D801" s="415" t="s">
        <v>271</v>
      </c>
      <c r="E801" s="415" t="s">
        <v>450</v>
      </c>
      <c r="F801" s="425">
        <v>5036.1099999999997</v>
      </c>
      <c r="G801" s="427" t="s">
        <v>2544</v>
      </c>
      <c r="H801" s="419" t="s">
        <v>792</v>
      </c>
      <c r="I801" s="427" t="s">
        <v>3776</v>
      </c>
      <c r="J801" s="415" t="s">
        <v>2545</v>
      </c>
      <c r="K801" s="415" t="s">
        <v>830</v>
      </c>
      <c r="L801" s="415" t="s">
        <v>839</v>
      </c>
      <c r="M801" s="415">
        <v>1727</v>
      </c>
      <c r="N801" s="414">
        <v>44684</v>
      </c>
      <c r="O801" s="414" t="s">
        <v>400</v>
      </c>
      <c r="P801" s="603">
        <f t="shared" si="98"/>
        <v>5</v>
      </c>
      <c r="Q801" s="603">
        <f t="shared" si="99"/>
        <v>3</v>
      </c>
      <c r="R801" s="604" t="str">
        <f t="shared" si="100"/>
        <v>Gastos_Gerais</v>
      </c>
      <c r="S801" s="605" t="s">
        <v>998</v>
      </c>
      <c r="T801" s="605">
        <v>3082</v>
      </c>
    </row>
    <row r="802" spans="1:20" s="88" customFormat="1" ht="60" x14ac:dyDescent="0.2">
      <c r="A802" s="510">
        <f>IF(B802="","",COUNT('Diário 1º PA'!$A$4:$A$2635)+ROW()-3)</f>
        <v>2535</v>
      </c>
      <c r="B802" s="414">
        <v>44685</v>
      </c>
      <c r="C802" s="431">
        <v>44652</v>
      </c>
      <c r="D802" s="415" t="s">
        <v>271</v>
      </c>
      <c r="E802" s="415" t="s">
        <v>456</v>
      </c>
      <c r="F802" s="425">
        <v>8428</v>
      </c>
      <c r="G802" s="427" t="s">
        <v>3407</v>
      </c>
      <c r="H802" s="419" t="s">
        <v>792</v>
      </c>
      <c r="I802" s="427" t="s">
        <v>3780</v>
      </c>
      <c r="J802" s="415" t="s">
        <v>3406</v>
      </c>
      <c r="K802" s="415" t="s">
        <v>830</v>
      </c>
      <c r="L802" s="415" t="s">
        <v>807</v>
      </c>
      <c r="M802" s="415">
        <v>121</v>
      </c>
      <c r="N802" s="414">
        <v>44683</v>
      </c>
      <c r="O802" s="414" t="s">
        <v>400</v>
      </c>
      <c r="P802" s="603">
        <f t="shared" si="98"/>
        <v>5</v>
      </c>
      <c r="Q802" s="603">
        <f t="shared" si="99"/>
        <v>4</v>
      </c>
      <c r="R802" s="604" t="str">
        <f t="shared" si="100"/>
        <v>Gastos_Gerais</v>
      </c>
      <c r="S802" s="605" t="s">
        <v>998</v>
      </c>
      <c r="T802" s="605">
        <v>3334</v>
      </c>
    </row>
    <row r="803" spans="1:20" ht="36" x14ac:dyDescent="0.2">
      <c r="A803" s="510">
        <f>IF(B803="","",COUNT('Diário 1º PA'!$A$4:$A$2635)+ROW()-3)</f>
        <v>2536</v>
      </c>
      <c r="B803" s="414">
        <v>44685</v>
      </c>
      <c r="C803" s="431">
        <v>44621</v>
      </c>
      <c r="D803" s="415" t="s">
        <v>271</v>
      </c>
      <c r="E803" s="415" t="s">
        <v>456</v>
      </c>
      <c r="F803" s="425">
        <v>800</v>
      </c>
      <c r="G803" s="427" t="s">
        <v>1959</v>
      </c>
      <c r="H803" s="419" t="s">
        <v>758</v>
      </c>
      <c r="I803" s="427" t="s">
        <v>3782</v>
      </c>
      <c r="J803" s="415" t="s">
        <v>3783</v>
      </c>
      <c r="K803" s="415" t="s">
        <v>830</v>
      </c>
      <c r="L803" s="415" t="s">
        <v>807</v>
      </c>
      <c r="M803" s="415" t="s">
        <v>1308</v>
      </c>
      <c r="N803" s="414">
        <v>44684</v>
      </c>
      <c r="O803" s="414" t="s">
        <v>400</v>
      </c>
      <c r="P803" s="603">
        <f t="shared" si="98"/>
        <v>5</v>
      </c>
      <c r="Q803" s="603">
        <f t="shared" si="99"/>
        <v>3</v>
      </c>
      <c r="R803" s="604" t="str">
        <f t="shared" si="100"/>
        <v>Gastos_Gerais</v>
      </c>
      <c r="S803" s="605" t="s">
        <v>998</v>
      </c>
      <c r="T803" s="605">
        <v>2985</v>
      </c>
    </row>
    <row r="804" spans="1:20" ht="72" x14ac:dyDescent="0.2">
      <c r="A804" s="510">
        <f>IF(B804="","",COUNT('Diário 1º PA'!$A$4:$A$2635)+ROW()-3)</f>
        <v>2537</v>
      </c>
      <c r="B804" s="414">
        <v>44685</v>
      </c>
      <c r="C804" s="431">
        <v>44652</v>
      </c>
      <c r="D804" s="415" t="s">
        <v>468</v>
      </c>
      <c r="E804" s="415" t="s">
        <v>468</v>
      </c>
      <c r="F804" s="425">
        <v>3000</v>
      </c>
      <c r="G804" s="427" t="s">
        <v>669</v>
      </c>
      <c r="H804" s="419" t="s">
        <v>468</v>
      </c>
      <c r="I804" s="427" t="s">
        <v>5001</v>
      </c>
      <c r="J804" s="415" t="s">
        <v>1085</v>
      </c>
      <c r="K804" s="415" t="s">
        <v>830</v>
      </c>
      <c r="L804" s="415" t="s">
        <v>807</v>
      </c>
      <c r="M804" s="415" t="s">
        <v>1540</v>
      </c>
      <c r="N804" s="414">
        <v>44684</v>
      </c>
      <c r="O804" s="414" t="s">
        <v>407</v>
      </c>
      <c r="P804" s="603">
        <f t="shared" si="98"/>
        <v>5</v>
      </c>
      <c r="Q804" s="603">
        <f t="shared" si="99"/>
        <v>4</v>
      </c>
      <c r="R804" s="604" t="str">
        <f t="shared" si="100"/>
        <v>Gastos_custeados_por_captação</v>
      </c>
      <c r="S804" s="605" t="s">
        <v>998</v>
      </c>
      <c r="T804" s="605">
        <v>2725</v>
      </c>
    </row>
    <row r="805" spans="1:20" s="88" customFormat="1" ht="99.95" customHeight="1" x14ac:dyDescent="0.2">
      <c r="A805" s="510">
        <f>IF(B805="","",COUNT('Diário 1º PA'!$A$4:$A$2635)+ROW()-3)</f>
        <v>2538</v>
      </c>
      <c r="B805" s="414">
        <v>44685</v>
      </c>
      <c r="C805" s="431">
        <v>44652</v>
      </c>
      <c r="D805" s="415" t="s">
        <v>468</v>
      </c>
      <c r="E805" s="415" t="s">
        <v>468</v>
      </c>
      <c r="F805" s="425">
        <v>20835</v>
      </c>
      <c r="G805" s="427" t="s">
        <v>2654</v>
      </c>
      <c r="H805" s="419" t="s">
        <v>468</v>
      </c>
      <c r="I805" s="427" t="s">
        <v>4693</v>
      </c>
      <c r="J805" s="415" t="s">
        <v>4413</v>
      </c>
      <c r="K805" s="415" t="s">
        <v>830</v>
      </c>
      <c r="L805" s="415" t="s">
        <v>807</v>
      </c>
      <c r="M805" s="415">
        <v>267</v>
      </c>
      <c r="N805" s="414">
        <v>44684</v>
      </c>
      <c r="O805" s="414" t="s">
        <v>407</v>
      </c>
      <c r="P805" s="603">
        <f t="shared" ref="P805:P811" si="101">IF(B805=0,0,IF(YEAR(B805)=$Q$1,MONTH(B805)-$P$1+1,(YEAR(B805)-$Q$1)*12-$P$1+1+MONTH(B805)))</f>
        <v>5</v>
      </c>
      <c r="Q805" s="603">
        <f t="shared" ref="Q805:Q811" si="102">IF(C805=0,0,IF(YEAR(C805)=$Q$1,MONTH(C805)-$P$1+1,(YEAR(C805)-$Q$1)*12-$P$1+1+MONTH(C805)))</f>
        <v>4</v>
      </c>
      <c r="R805" s="604" t="str">
        <f t="shared" ref="R805:R811" si="103">SUBSTITUTE(D805," ","_")</f>
        <v>Gastos_custeados_por_captação</v>
      </c>
      <c r="S805" s="605" t="s">
        <v>998</v>
      </c>
      <c r="T805" s="605">
        <v>3287</v>
      </c>
    </row>
    <row r="806" spans="1:20" s="88" customFormat="1" ht="99.95" customHeight="1" x14ac:dyDescent="0.2">
      <c r="A806" s="510">
        <f>IF(B806="","",COUNT('Diário 1º PA'!$A$4:$A$2635)+ROW()-3)</f>
        <v>2539</v>
      </c>
      <c r="B806" s="414">
        <v>44685</v>
      </c>
      <c r="C806" s="431">
        <v>44652</v>
      </c>
      <c r="D806" s="415" t="s">
        <v>468</v>
      </c>
      <c r="E806" s="415" t="s">
        <v>468</v>
      </c>
      <c r="F806" s="425">
        <v>2537.5500000000002</v>
      </c>
      <c r="G806" s="427" t="s">
        <v>660</v>
      </c>
      <c r="H806" s="419" t="s">
        <v>468</v>
      </c>
      <c r="I806" s="427" t="s">
        <v>1748</v>
      </c>
      <c r="J806" s="415" t="s">
        <v>1027</v>
      </c>
      <c r="K806" s="415" t="s">
        <v>830</v>
      </c>
      <c r="L806" s="415" t="s">
        <v>839</v>
      </c>
      <c r="M806" s="623">
        <v>1728</v>
      </c>
      <c r="N806" s="649">
        <v>44684</v>
      </c>
      <c r="O806" s="414" t="s">
        <v>402</v>
      </c>
      <c r="P806" s="603">
        <f t="shared" si="101"/>
        <v>5</v>
      </c>
      <c r="Q806" s="603">
        <f t="shared" si="102"/>
        <v>4</v>
      </c>
      <c r="R806" s="604" t="str">
        <f t="shared" si="103"/>
        <v>Gastos_custeados_por_captação</v>
      </c>
      <c r="S806" s="605" t="s">
        <v>998</v>
      </c>
      <c r="T806" s="605">
        <v>2716</v>
      </c>
    </row>
    <row r="807" spans="1:20" s="88" customFormat="1" ht="99.95" customHeight="1" x14ac:dyDescent="0.2">
      <c r="A807" s="510">
        <f>IF(B807="","",COUNT('Diário 1º PA'!$A$4:$A$2635)+ROW()-3)</f>
        <v>2540</v>
      </c>
      <c r="B807" s="414">
        <v>44685</v>
      </c>
      <c r="C807" s="431">
        <v>44652</v>
      </c>
      <c r="D807" s="415" t="s">
        <v>468</v>
      </c>
      <c r="E807" s="415" t="s">
        <v>468</v>
      </c>
      <c r="F807" s="425">
        <v>2000</v>
      </c>
      <c r="G807" s="427" t="s">
        <v>656</v>
      </c>
      <c r="H807" s="419" t="s">
        <v>468</v>
      </c>
      <c r="I807" s="427" t="s">
        <v>1656</v>
      </c>
      <c r="J807" s="415" t="s">
        <v>1655</v>
      </c>
      <c r="K807" s="415" t="s">
        <v>830</v>
      </c>
      <c r="L807" s="415" t="s">
        <v>32</v>
      </c>
      <c r="M807" s="623">
        <v>20225</v>
      </c>
      <c r="N807" s="649">
        <v>44684</v>
      </c>
      <c r="O807" s="414" t="s">
        <v>402</v>
      </c>
      <c r="P807" s="603">
        <f t="shared" si="101"/>
        <v>5</v>
      </c>
      <c r="Q807" s="603">
        <f t="shared" si="102"/>
        <v>4</v>
      </c>
      <c r="R807" s="604" t="str">
        <f t="shared" si="103"/>
        <v>Gastos_custeados_por_captação</v>
      </c>
      <c r="S807" s="605" t="s">
        <v>998</v>
      </c>
      <c r="T807" s="605">
        <v>2711</v>
      </c>
    </row>
    <row r="808" spans="1:20" s="88" customFormat="1" ht="99.95" customHeight="1" x14ac:dyDescent="0.2">
      <c r="A808" s="510">
        <f>IF(B808="","",COUNT('Diário 1º PA'!$A$4:$A$2635)+ROW()-3)</f>
        <v>2541</v>
      </c>
      <c r="B808" s="414">
        <v>44685</v>
      </c>
      <c r="C808" s="431">
        <v>44652</v>
      </c>
      <c r="D808" s="415" t="s">
        <v>468</v>
      </c>
      <c r="E808" s="415" t="s">
        <v>468</v>
      </c>
      <c r="F808" s="425">
        <v>3920</v>
      </c>
      <c r="G808" s="427" t="s">
        <v>699</v>
      </c>
      <c r="H808" s="419" t="s">
        <v>468</v>
      </c>
      <c r="I808" s="427" t="s">
        <v>2079</v>
      </c>
      <c r="J808" s="415" t="s">
        <v>866</v>
      </c>
      <c r="K808" s="415" t="s">
        <v>830</v>
      </c>
      <c r="L808" s="415" t="s">
        <v>32</v>
      </c>
      <c r="M808" s="623">
        <v>202230</v>
      </c>
      <c r="N808" s="649">
        <v>44684</v>
      </c>
      <c r="O808" s="414" t="s">
        <v>402</v>
      </c>
      <c r="P808" s="603">
        <f t="shared" si="101"/>
        <v>5</v>
      </c>
      <c r="Q808" s="603">
        <f t="shared" si="102"/>
        <v>4</v>
      </c>
      <c r="R808" s="604" t="str">
        <f t="shared" si="103"/>
        <v>Gastos_custeados_por_captação</v>
      </c>
      <c r="S808" s="605" t="s">
        <v>998</v>
      </c>
      <c r="T808" s="605">
        <v>2710</v>
      </c>
    </row>
    <row r="809" spans="1:20" s="88" customFormat="1" ht="99.95" customHeight="1" x14ac:dyDescent="0.2">
      <c r="A809" s="510">
        <f>IF(B809="","",COUNT('Diário 1º PA'!$A$4:$A$2635)+ROW()-3)</f>
        <v>2542</v>
      </c>
      <c r="B809" s="414">
        <v>44685</v>
      </c>
      <c r="C809" s="431">
        <v>44652</v>
      </c>
      <c r="D809" s="415" t="s">
        <v>468</v>
      </c>
      <c r="E809" s="415" t="s">
        <v>468</v>
      </c>
      <c r="F809" s="425">
        <v>1500</v>
      </c>
      <c r="G809" s="427" t="s">
        <v>675</v>
      </c>
      <c r="H809" s="419" t="s">
        <v>468</v>
      </c>
      <c r="I809" s="427" t="s">
        <v>1697</v>
      </c>
      <c r="J809" s="415" t="s">
        <v>1015</v>
      </c>
      <c r="K809" s="415" t="s">
        <v>830</v>
      </c>
      <c r="L809" s="415" t="s">
        <v>32</v>
      </c>
      <c r="M809" s="623">
        <v>20227</v>
      </c>
      <c r="N809" s="649">
        <v>44684</v>
      </c>
      <c r="O809" s="414" t="s">
        <v>402</v>
      </c>
      <c r="P809" s="603">
        <f t="shared" si="101"/>
        <v>5</v>
      </c>
      <c r="Q809" s="603">
        <f t="shared" si="102"/>
        <v>4</v>
      </c>
      <c r="R809" s="604" t="str">
        <f t="shared" si="103"/>
        <v>Gastos_custeados_por_captação</v>
      </c>
      <c r="S809" s="605" t="s">
        <v>998</v>
      </c>
      <c r="T809" s="605">
        <v>2713</v>
      </c>
    </row>
    <row r="810" spans="1:20" s="88" customFormat="1" ht="99.95" customHeight="1" x14ac:dyDescent="0.2">
      <c r="A810" s="510">
        <f>IF(B810="","",COUNT('Diário 1º PA'!$A$4:$A$2635)+ROW()-3)</f>
        <v>2543</v>
      </c>
      <c r="B810" s="414">
        <v>44685</v>
      </c>
      <c r="C810" s="431">
        <v>44652</v>
      </c>
      <c r="D810" s="415" t="s">
        <v>468</v>
      </c>
      <c r="E810" s="415" t="s">
        <v>468</v>
      </c>
      <c r="F810" s="425">
        <v>2939.7</v>
      </c>
      <c r="G810" s="427" t="s">
        <v>1666</v>
      </c>
      <c r="H810" s="419" t="s">
        <v>468</v>
      </c>
      <c r="I810" s="427" t="s">
        <v>2512</v>
      </c>
      <c r="J810" s="415" t="s">
        <v>1026</v>
      </c>
      <c r="K810" s="415" t="s">
        <v>830</v>
      </c>
      <c r="L810" s="415" t="s">
        <v>32</v>
      </c>
      <c r="M810" s="623">
        <v>20224</v>
      </c>
      <c r="N810" s="649">
        <v>44683</v>
      </c>
      <c r="O810" s="414" t="s">
        <v>402</v>
      </c>
      <c r="P810" s="603">
        <f t="shared" si="101"/>
        <v>5</v>
      </c>
      <c r="Q810" s="603">
        <f t="shared" si="102"/>
        <v>4</v>
      </c>
      <c r="R810" s="604" t="str">
        <f t="shared" si="103"/>
        <v>Gastos_custeados_por_captação</v>
      </c>
      <c r="S810" s="605" t="s">
        <v>1000</v>
      </c>
      <c r="T810" s="605">
        <v>2881</v>
      </c>
    </row>
    <row r="811" spans="1:20" s="88" customFormat="1" ht="99.95" customHeight="1" x14ac:dyDescent="0.2">
      <c r="A811" s="510">
        <f>IF(B811="","",COUNT('Diário 1º PA'!$A$4:$A$2635)+ROW()-3)</f>
        <v>2544</v>
      </c>
      <c r="B811" s="414">
        <v>44685</v>
      </c>
      <c r="C811" s="431">
        <v>44652</v>
      </c>
      <c r="D811" s="415" t="s">
        <v>468</v>
      </c>
      <c r="E811" s="415" t="s">
        <v>468</v>
      </c>
      <c r="F811" s="425">
        <v>5389.45</v>
      </c>
      <c r="G811" s="427" t="s">
        <v>5502</v>
      </c>
      <c r="H811" s="419" t="s">
        <v>468</v>
      </c>
      <c r="I811" s="427" t="s">
        <v>2628</v>
      </c>
      <c r="J811" s="415" t="s">
        <v>2518</v>
      </c>
      <c r="K811" s="415" t="s">
        <v>830</v>
      </c>
      <c r="L811" s="415" t="s">
        <v>32</v>
      </c>
      <c r="M811" s="623">
        <v>202210</v>
      </c>
      <c r="N811" s="649">
        <v>44683</v>
      </c>
      <c r="O811" s="414" t="s">
        <v>402</v>
      </c>
      <c r="P811" s="603">
        <f t="shared" si="101"/>
        <v>5</v>
      </c>
      <c r="Q811" s="603">
        <f t="shared" si="102"/>
        <v>4</v>
      </c>
      <c r="R811" s="604" t="str">
        <f t="shared" si="103"/>
        <v>Gastos_custeados_por_captação</v>
      </c>
      <c r="S811" s="605" t="s">
        <v>1000</v>
      </c>
      <c r="T811" s="605">
        <v>1511</v>
      </c>
    </row>
    <row r="812" spans="1:20" s="88" customFormat="1" ht="99.95" customHeight="1" x14ac:dyDescent="0.2">
      <c r="A812" s="510">
        <f>IF(B812="","",COUNT('Diário 1º PA'!$A$4:$A$2635)+ROW()-3)</f>
        <v>2545</v>
      </c>
      <c r="B812" s="414">
        <v>44685</v>
      </c>
      <c r="C812" s="431">
        <v>44652</v>
      </c>
      <c r="D812" s="415" t="s">
        <v>468</v>
      </c>
      <c r="E812" s="415" t="s">
        <v>468</v>
      </c>
      <c r="F812" s="425">
        <v>2522.5500000000002</v>
      </c>
      <c r="G812" s="427" t="s">
        <v>670</v>
      </c>
      <c r="H812" s="419" t="s">
        <v>468</v>
      </c>
      <c r="I812" s="427" t="s">
        <v>2358</v>
      </c>
      <c r="J812" s="415" t="s">
        <v>1132</v>
      </c>
      <c r="K812" s="415" t="s">
        <v>830</v>
      </c>
      <c r="L812" s="415" t="s">
        <v>839</v>
      </c>
      <c r="M812" s="623">
        <v>1730</v>
      </c>
      <c r="N812" s="649">
        <v>44684</v>
      </c>
      <c r="O812" s="414" t="s">
        <v>402</v>
      </c>
      <c r="P812" s="603">
        <f t="shared" ref="P812:P820" si="104">IF(B812=0,0,IF(YEAR(B812)=$Q$1,MONTH(B812)-$P$1+1,(YEAR(B812)-$Q$1)*12-$P$1+1+MONTH(B812)))</f>
        <v>5</v>
      </c>
      <c r="Q812" s="603">
        <f t="shared" ref="Q812:Q820" si="105">IF(C812=0,0,IF(YEAR(C812)=$Q$1,MONTH(C812)-$P$1+1,(YEAR(C812)-$Q$1)*12-$P$1+1+MONTH(C812)))</f>
        <v>4</v>
      </c>
      <c r="R812" s="604" t="str">
        <f t="shared" ref="R812:R820" si="106">SUBSTITUTE(D812," ","_")</f>
        <v>Gastos_custeados_por_captação</v>
      </c>
      <c r="S812" s="605" t="s">
        <v>998</v>
      </c>
      <c r="T812" s="605">
        <v>2723</v>
      </c>
    </row>
    <row r="813" spans="1:20" s="88" customFormat="1" ht="99.95" customHeight="1" x14ac:dyDescent="0.2">
      <c r="A813" s="510">
        <f>IF(B813="","",COUNT('Diário 1º PA'!$A$4:$A$2635)+ROW()-3)</f>
        <v>2546</v>
      </c>
      <c r="B813" s="414">
        <v>44686</v>
      </c>
      <c r="C813" s="431">
        <v>44652</v>
      </c>
      <c r="D813" s="415" t="s">
        <v>271</v>
      </c>
      <c r="E813" s="415" t="s">
        <v>186</v>
      </c>
      <c r="F813" s="435">
        <v>-1901.52</v>
      </c>
      <c r="G813" s="437" t="s">
        <v>3362</v>
      </c>
      <c r="H813" s="434" t="s">
        <v>309</v>
      </c>
      <c r="I813" s="437" t="s">
        <v>795</v>
      </c>
      <c r="J813" s="434" t="s">
        <v>796</v>
      </c>
      <c r="K813" s="434" t="s">
        <v>797</v>
      </c>
      <c r="L813" s="434" t="s">
        <v>798</v>
      </c>
      <c r="M813" s="436" t="s">
        <v>310</v>
      </c>
      <c r="N813" s="414">
        <v>44686</v>
      </c>
      <c r="O813" s="414" t="s">
        <v>400</v>
      </c>
      <c r="P813" s="603">
        <f t="shared" si="104"/>
        <v>5</v>
      </c>
      <c r="Q813" s="603">
        <f t="shared" si="105"/>
        <v>4</v>
      </c>
      <c r="R813" s="604" t="str">
        <f t="shared" si="106"/>
        <v>Gastos_Gerais</v>
      </c>
      <c r="S813" s="605" t="s">
        <v>310</v>
      </c>
      <c r="T813" s="605" t="s">
        <v>310</v>
      </c>
    </row>
    <row r="814" spans="1:20" s="88" customFormat="1" ht="99.95" customHeight="1" x14ac:dyDescent="0.2">
      <c r="A814" s="510">
        <f>IF(B814="","",COUNT('Diário 1º PA'!$A$4:$A$2635)+ROW()-3)</f>
        <v>2547</v>
      </c>
      <c r="B814" s="414">
        <v>44686</v>
      </c>
      <c r="C814" s="431">
        <v>44652</v>
      </c>
      <c r="D814" s="415" t="s">
        <v>271</v>
      </c>
      <c r="E814" s="415" t="s">
        <v>59</v>
      </c>
      <c r="F814" s="425">
        <v>-2244.85</v>
      </c>
      <c r="G814" s="427" t="s">
        <v>3812</v>
      </c>
      <c r="H814" s="415" t="s">
        <v>309</v>
      </c>
      <c r="I814" s="427" t="s">
        <v>795</v>
      </c>
      <c r="J814" s="415" t="s">
        <v>796</v>
      </c>
      <c r="K814" s="415" t="s">
        <v>797</v>
      </c>
      <c r="L814" s="415" t="s">
        <v>798</v>
      </c>
      <c r="M814" s="415" t="s">
        <v>310</v>
      </c>
      <c r="N814" s="414">
        <v>44686</v>
      </c>
      <c r="O814" s="414" t="s">
        <v>400</v>
      </c>
      <c r="P814" s="603">
        <f t="shared" si="104"/>
        <v>5</v>
      </c>
      <c r="Q814" s="603">
        <f t="shared" si="105"/>
        <v>4</v>
      </c>
      <c r="R814" s="604" t="str">
        <f t="shared" si="106"/>
        <v>Gastos_Gerais</v>
      </c>
      <c r="S814" s="605" t="s">
        <v>310</v>
      </c>
      <c r="T814" s="605" t="s">
        <v>310</v>
      </c>
    </row>
    <row r="815" spans="1:20" s="88" customFormat="1" ht="99.95" customHeight="1" x14ac:dyDescent="0.2">
      <c r="A815" s="510">
        <f>IF(B815="","",COUNT('Diário 1º PA'!$A$4:$A$2635)+ROW()-3)</f>
        <v>2548</v>
      </c>
      <c r="B815" s="414">
        <v>44686</v>
      </c>
      <c r="C815" s="431">
        <v>44652</v>
      </c>
      <c r="D815" s="415" t="s">
        <v>271</v>
      </c>
      <c r="E815" s="415" t="s">
        <v>59</v>
      </c>
      <c r="F815" s="425">
        <v>7977.25</v>
      </c>
      <c r="G815" s="427" t="s">
        <v>1615</v>
      </c>
      <c r="H815" s="415" t="s">
        <v>309</v>
      </c>
      <c r="I815" s="427" t="s">
        <v>859</v>
      </c>
      <c r="J815" s="415" t="s">
        <v>860</v>
      </c>
      <c r="K815" s="434" t="s">
        <v>830</v>
      </c>
      <c r="L815" s="415" t="s">
        <v>807</v>
      </c>
      <c r="M815" s="415" t="s">
        <v>3797</v>
      </c>
      <c r="N815" s="414">
        <v>44673</v>
      </c>
      <c r="O815" s="414" t="s">
        <v>400</v>
      </c>
      <c r="P815" s="603">
        <f t="shared" si="104"/>
        <v>5</v>
      </c>
      <c r="Q815" s="603">
        <f t="shared" si="105"/>
        <v>4</v>
      </c>
      <c r="R815" s="604" t="str">
        <f t="shared" si="106"/>
        <v>Gastos_Gerais</v>
      </c>
      <c r="S815" s="605" t="s">
        <v>1000</v>
      </c>
      <c r="T815" s="606">
        <v>1114</v>
      </c>
    </row>
    <row r="816" spans="1:20" s="88" customFormat="1" ht="99.95" customHeight="1" x14ac:dyDescent="0.2">
      <c r="A816" s="510">
        <f>IF(B816="","",COUNT('Diário 1º PA'!$A$4:$A$2635)+ROW()-3)</f>
        <v>2549</v>
      </c>
      <c r="B816" s="414">
        <v>44686</v>
      </c>
      <c r="C816" s="431">
        <v>44621</v>
      </c>
      <c r="D816" s="415" t="s">
        <v>271</v>
      </c>
      <c r="E816" s="415" t="s">
        <v>453</v>
      </c>
      <c r="F816" s="425">
        <v>800</v>
      </c>
      <c r="G816" s="427" t="s">
        <v>1907</v>
      </c>
      <c r="H816" s="419" t="s">
        <v>760</v>
      </c>
      <c r="I816" s="427" t="s">
        <v>2304</v>
      </c>
      <c r="J816" s="415" t="s">
        <v>1807</v>
      </c>
      <c r="K816" s="434" t="s">
        <v>830</v>
      </c>
      <c r="L816" s="415" t="s">
        <v>807</v>
      </c>
      <c r="M816" s="415" t="s">
        <v>1608</v>
      </c>
      <c r="N816" s="414">
        <v>44685</v>
      </c>
      <c r="O816" s="414" t="s">
        <v>400</v>
      </c>
      <c r="P816" s="603">
        <f t="shared" si="104"/>
        <v>5</v>
      </c>
      <c r="Q816" s="603">
        <f t="shared" si="105"/>
        <v>3</v>
      </c>
      <c r="R816" s="604" t="str">
        <f t="shared" si="106"/>
        <v>Gastos_Gerais</v>
      </c>
      <c r="S816" s="605" t="s">
        <v>998</v>
      </c>
      <c r="T816" s="605">
        <v>2976</v>
      </c>
    </row>
    <row r="817" spans="1:20" s="88" customFormat="1" ht="99.95" customHeight="1" x14ac:dyDescent="0.2">
      <c r="A817" s="510">
        <f>IF(B817="","",COUNT('Diário 1º PA'!$A$4:$A$2635)+ROW()-3)</f>
        <v>2550</v>
      </c>
      <c r="B817" s="414">
        <v>44686</v>
      </c>
      <c r="C817" s="431">
        <v>44621</v>
      </c>
      <c r="D817" s="415" t="s">
        <v>271</v>
      </c>
      <c r="E817" s="415" t="s">
        <v>453</v>
      </c>
      <c r="F817" s="425">
        <v>800</v>
      </c>
      <c r="G817" s="427" t="s">
        <v>1907</v>
      </c>
      <c r="H817" s="419" t="s">
        <v>760</v>
      </c>
      <c r="I817" s="427" t="s">
        <v>3800</v>
      </c>
      <c r="J817" s="415" t="s">
        <v>1933</v>
      </c>
      <c r="K817" s="434" t="s">
        <v>830</v>
      </c>
      <c r="L817" s="415" t="s">
        <v>807</v>
      </c>
      <c r="M817" s="415" t="s">
        <v>848</v>
      </c>
      <c r="N817" s="414">
        <v>44684</v>
      </c>
      <c r="O817" s="414" t="s">
        <v>400</v>
      </c>
      <c r="P817" s="603">
        <f t="shared" si="104"/>
        <v>5</v>
      </c>
      <c r="Q817" s="603">
        <f t="shared" si="105"/>
        <v>3</v>
      </c>
      <c r="R817" s="604" t="str">
        <f t="shared" si="106"/>
        <v>Gastos_Gerais</v>
      </c>
      <c r="S817" s="605" t="s">
        <v>998</v>
      </c>
      <c r="T817" s="605">
        <v>2971</v>
      </c>
    </row>
    <row r="818" spans="1:20" s="88" customFormat="1" ht="99.95" customHeight="1" x14ac:dyDescent="0.2">
      <c r="A818" s="510">
        <f>IF(B818="","",COUNT('Diário 1º PA'!$A$4:$A$2635)+ROW()-3)</f>
        <v>2551</v>
      </c>
      <c r="B818" s="414">
        <v>44686</v>
      </c>
      <c r="C818" s="431">
        <v>44652</v>
      </c>
      <c r="D818" s="415" t="s">
        <v>271</v>
      </c>
      <c r="E818" s="415" t="s">
        <v>456</v>
      </c>
      <c r="F818" s="425">
        <v>420</v>
      </c>
      <c r="G818" s="427" t="s">
        <v>3801</v>
      </c>
      <c r="H818" s="419" t="s">
        <v>761</v>
      </c>
      <c r="I818" s="427" t="s">
        <v>3802</v>
      </c>
      <c r="J818" s="415" t="s">
        <v>3323</v>
      </c>
      <c r="K818" s="434" t="s">
        <v>830</v>
      </c>
      <c r="L818" s="415" t="s">
        <v>839</v>
      </c>
      <c r="M818" s="415">
        <v>1731</v>
      </c>
      <c r="N818" s="414">
        <v>44684</v>
      </c>
      <c r="O818" s="414" t="s">
        <v>400</v>
      </c>
      <c r="P818" s="603">
        <f t="shared" si="104"/>
        <v>5</v>
      </c>
      <c r="Q818" s="603">
        <f t="shared" si="105"/>
        <v>4</v>
      </c>
      <c r="R818" s="604" t="str">
        <f t="shared" si="106"/>
        <v>Gastos_Gerais</v>
      </c>
      <c r="S818" s="605" t="s">
        <v>998</v>
      </c>
      <c r="T818" s="605">
        <v>3385</v>
      </c>
    </row>
    <row r="819" spans="1:20" s="88" customFormat="1" ht="99.95" customHeight="1" x14ac:dyDescent="0.2">
      <c r="A819" s="510">
        <f>IF(B819="","",COUNT('Diário 1º PA'!$A$4:$A$2635)+ROW()-3)</f>
        <v>2552</v>
      </c>
      <c r="B819" s="414">
        <v>44686</v>
      </c>
      <c r="C819" s="424">
        <v>44652</v>
      </c>
      <c r="D819" s="415" t="s">
        <v>271</v>
      </c>
      <c r="E819" s="415" t="s">
        <v>297</v>
      </c>
      <c r="F819" s="425">
        <v>21908.73</v>
      </c>
      <c r="G819" s="427" t="s">
        <v>1686</v>
      </c>
      <c r="H819" s="415" t="s">
        <v>750</v>
      </c>
      <c r="I819" s="427" t="s">
        <v>774</v>
      </c>
      <c r="J819" s="415" t="s">
        <v>844</v>
      </c>
      <c r="K819" s="415" t="s">
        <v>812</v>
      </c>
      <c r="L819" s="415" t="s">
        <v>310</v>
      </c>
      <c r="M819" s="415" t="s">
        <v>310</v>
      </c>
      <c r="N819" s="414">
        <v>44686</v>
      </c>
      <c r="O819" s="414" t="s">
        <v>400</v>
      </c>
      <c r="P819" s="603">
        <f t="shared" si="104"/>
        <v>5</v>
      </c>
      <c r="Q819" s="603">
        <f t="shared" si="105"/>
        <v>4</v>
      </c>
      <c r="R819" s="604" t="str">
        <f t="shared" si="106"/>
        <v>Gastos_Gerais</v>
      </c>
      <c r="S819" s="605" t="s">
        <v>310</v>
      </c>
      <c r="T819" s="605" t="s">
        <v>310</v>
      </c>
    </row>
    <row r="820" spans="1:20" s="88" customFormat="1" ht="99.95" customHeight="1" x14ac:dyDescent="0.2">
      <c r="A820" s="510">
        <f>IF(B820="","",COUNT('Diário 1º PA'!$A$4:$A$2635)+ROW()-3)</f>
        <v>2553</v>
      </c>
      <c r="B820" s="414">
        <v>44686</v>
      </c>
      <c r="C820" s="431">
        <v>44652</v>
      </c>
      <c r="D820" s="415" t="s">
        <v>271</v>
      </c>
      <c r="E820" s="415" t="s">
        <v>186</v>
      </c>
      <c r="F820" s="425">
        <v>7200</v>
      </c>
      <c r="G820" s="427" t="s">
        <v>2347</v>
      </c>
      <c r="H820" s="415" t="s">
        <v>309</v>
      </c>
      <c r="I820" s="427" t="s">
        <v>3366</v>
      </c>
      <c r="J820" s="415" t="s">
        <v>2348</v>
      </c>
      <c r="K820" s="415" t="s">
        <v>807</v>
      </c>
      <c r="L820" s="415" t="s">
        <v>807</v>
      </c>
      <c r="M820" s="415">
        <v>253</v>
      </c>
      <c r="N820" s="414">
        <v>44684</v>
      </c>
      <c r="O820" s="414" t="s">
        <v>400</v>
      </c>
      <c r="P820" s="603">
        <f t="shared" si="104"/>
        <v>5</v>
      </c>
      <c r="Q820" s="603">
        <f t="shared" si="105"/>
        <v>4</v>
      </c>
      <c r="R820" s="604" t="str">
        <f t="shared" si="106"/>
        <v>Gastos_Gerais</v>
      </c>
      <c r="S820" s="605" t="s">
        <v>1000</v>
      </c>
      <c r="T820" s="605">
        <v>3106</v>
      </c>
    </row>
    <row r="821" spans="1:20" s="88" customFormat="1" ht="99.95" customHeight="1" x14ac:dyDescent="0.2">
      <c r="A821" s="510">
        <f>IF(B821="","",COUNT('Diário 1º PA'!$A$4:$A$2635)+ROW()-3)</f>
        <v>2554</v>
      </c>
      <c r="B821" s="414">
        <v>44686</v>
      </c>
      <c r="C821" s="431">
        <v>44593</v>
      </c>
      <c r="D821" s="415" t="s">
        <v>271</v>
      </c>
      <c r="E821" s="415" t="s">
        <v>456</v>
      </c>
      <c r="F821" s="425">
        <v>9673</v>
      </c>
      <c r="G821" s="427" t="s">
        <v>3336</v>
      </c>
      <c r="H821" s="415" t="s">
        <v>762</v>
      </c>
      <c r="I821" s="427" t="s">
        <v>4740</v>
      </c>
      <c r="J821" s="415" t="s">
        <v>2538</v>
      </c>
      <c r="K821" s="434" t="s">
        <v>830</v>
      </c>
      <c r="L821" s="415" t="s">
        <v>807</v>
      </c>
      <c r="M821" s="415" t="s">
        <v>3805</v>
      </c>
      <c r="N821" s="414">
        <v>44685</v>
      </c>
      <c r="O821" s="414" t="s">
        <v>400</v>
      </c>
      <c r="P821" s="603">
        <f t="shared" ref="P821:P897" si="107">IF(B821=0,0,IF(YEAR(B821)=$Q$1,MONTH(B821)-$P$1+1,(YEAR(B821)-$Q$1)*12-$P$1+1+MONTH(B821)))</f>
        <v>5</v>
      </c>
      <c r="Q821" s="603">
        <f t="shared" ref="Q821:Q897" si="108">IF(C821=0,0,IF(YEAR(C821)=$Q$1,MONTH(C821)-$P$1+1,(YEAR(C821)-$Q$1)*12-$P$1+1+MONTH(C821)))</f>
        <v>2</v>
      </c>
      <c r="R821" s="604" t="str">
        <f t="shared" ref="R821:R897" si="109">SUBSTITUTE(D821," ","_")</f>
        <v>Gastos_Gerais</v>
      </c>
      <c r="S821" s="605" t="s">
        <v>1000</v>
      </c>
      <c r="T821" s="605">
        <v>2292</v>
      </c>
    </row>
    <row r="822" spans="1:20" s="88" customFormat="1" ht="99.95" customHeight="1" x14ac:dyDescent="0.2">
      <c r="A822" s="510">
        <f>IF(B822="","",COUNT('Diário 1º PA'!$A$4:$A$2635)+ROW()-3)</f>
        <v>2555</v>
      </c>
      <c r="B822" s="414">
        <v>44686</v>
      </c>
      <c r="C822" s="466">
        <v>44682</v>
      </c>
      <c r="D822" s="415" t="s">
        <v>271</v>
      </c>
      <c r="E822" s="415" t="s">
        <v>71</v>
      </c>
      <c r="F822" s="425">
        <v>11</v>
      </c>
      <c r="G822" s="427" t="s">
        <v>3807</v>
      </c>
      <c r="H822" s="415" t="s">
        <v>309</v>
      </c>
      <c r="I822" s="639" t="s">
        <v>881</v>
      </c>
      <c r="J822" s="418" t="s">
        <v>882</v>
      </c>
      <c r="K822" s="418" t="s">
        <v>883</v>
      </c>
      <c r="L822" s="399" t="s">
        <v>798</v>
      </c>
      <c r="M822" s="544" t="s">
        <v>310</v>
      </c>
      <c r="N822" s="414">
        <v>44686</v>
      </c>
      <c r="O822" s="414" t="s">
        <v>400</v>
      </c>
      <c r="P822" s="603">
        <f t="shared" si="107"/>
        <v>5</v>
      </c>
      <c r="Q822" s="603">
        <f t="shared" si="108"/>
        <v>5</v>
      </c>
      <c r="R822" s="604" t="str">
        <f t="shared" si="109"/>
        <v>Gastos_Gerais</v>
      </c>
      <c r="S822" s="605" t="s">
        <v>310</v>
      </c>
      <c r="T822" s="605" t="s">
        <v>310</v>
      </c>
    </row>
    <row r="823" spans="1:20" s="88" customFormat="1" ht="99.95" customHeight="1" x14ac:dyDescent="0.2">
      <c r="A823" s="510">
        <f>IF(B823="","",COUNT('Diário 1º PA'!$A$4:$A$2635)+ROW()-3)</f>
        <v>2556</v>
      </c>
      <c r="B823" s="414">
        <v>44686</v>
      </c>
      <c r="C823" s="466">
        <v>44682</v>
      </c>
      <c r="D823" s="415" t="s">
        <v>271</v>
      </c>
      <c r="E823" s="415" t="s">
        <v>71</v>
      </c>
      <c r="F823" s="425">
        <v>11</v>
      </c>
      <c r="G823" s="427" t="s">
        <v>3808</v>
      </c>
      <c r="H823" s="419" t="s">
        <v>760</v>
      </c>
      <c r="I823" s="639" t="s">
        <v>881</v>
      </c>
      <c r="J823" s="418" t="s">
        <v>882</v>
      </c>
      <c r="K823" s="418" t="s">
        <v>883</v>
      </c>
      <c r="L823" s="399" t="s">
        <v>798</v>
      </c>
      <c r="M823" s="544" t="s">
        <v>310</v>
      </c>
      <c r="N823" s="414">
        <v>44686</v>
      </c>
      <c r="O823" s="414" t="s">
        <v>400</v>
      </c>
      <c r="P823" s="603">
        <f t="shared" si="107"/>
        <v>5</v>
      </c>
      <c r="Q823" s="603">
        <f t="shared" si="108"/>
        <v>5</v>
      </c>
      <c r="R823" s="604" t="str">
        <f t="shared" si="109"/>
        <v>Gastos_Gerais</v>
      </c>
      <c r="S823" s="605" t="s">
        <v>310</v>
      </c>
      <c r="T823" s="605" t="s">
        <v>310</v>
      </c>
    </row>
    <row r="824" spans="1:20" s="88" customFormat="1" ht="48" x14ac:dyDescent="0.2">
      <c r="A824" s="510">
        <f>IF(B824="","",COUNT('Diário 1º PA'!$A$4:$A$2635)+ROW()-3)</f>
        <v>2557</v>
      </c>
      <c r="B824" s="414">
        <v>44686</v>
      </c>
      <c r="C824" s="466">
        <v>44682</v>
      </c>
      <c r="D824" s="415" t="s">
        <v>271</v>
      </c>
      <c r="E824" s="415" t="s">
        <v>71</v>
      </c>
      <c r="F824" s="425">
        <v>11</v>
      </c>
      <c r="G824" s="427" t="s">
        <v>3809</v>
      </c>
      <c r="H824" s="419" t="s">
        <v>760</v>
      </c>
      <c r="I824" s="639" t="s">
        <v>881</v>
      </c>
      <c r="J824" s="418" t="s">
        <v>882</v>
      </c>
      <c r="K824" s="418" t="s">
        <v>883</v>
      </c>
      <c r="L824" s="399" t="s">
        <v>798</v>
      </c>
      <c r="M824" s="544" t="s">
        <v>310</v>
      </c>
      <c r="N824" s="414">
        <v>44686</v>
      </c>
      <c r="O824" s="414" t="s">
        <v>400</v>
      </c>
      <c r="P824" s="603">
        <f t="shared" si="107"/>
        <v>5</v>
      </c>
      <c r="Q824" s="603">
        <f t="shared" si="108"/>
        <v>5</v>
      </c>
      <c r="R824" s="604" t="str">
        <f t="shared" si="109"/>
        <v>Gastos_Gerais</v>
      </c>
      <c r="S824" s="605" t="s">
        <v>310</v>
      </c>
      <c r="T824" s="605" t="s">
        <v>310</v>
      </c>
    </row>
    <row r="825" spans="1:20" s="88" customFormat="1" ht="36" x14ac:dyDescent="0.2">
      <c r="A825" s="510">
        <f>IF(B825="","",COUNT('Diário 1º PA'!$A$4:$A$2635)+ROW()-3)</f>
        <v>2558</v>
      </c>
      <c r="B825" s="414">
        <v>44686</v>
      </c>
      <c r="C825" s="466">
        <v>44682</v>
      </c>
      <c r="D825" s="415" t="s">
        <v>271</v>
      </c>
      <c r="E825" s="415" t="s">
        <v>71</v>
      </c>
      <c r="F825" s="425">
        <v>11</v>
      </c>
      <c r="G825" s="427" t="s">
        <v>3810</v>
      </c>
      <c r="H825" s="419" t="s">
        <v>761</v>
      </c>
      <c r="I825" s="639" t="s">
        <v>881</v>
      </c>
      <c r="J825" s="418" t="s">
        <v>882</v>
      </c>
      <c r="K825" s="418" t="s">
        <v>883</v>
      </c>
      <c r="L825" s="399" t="s">
        <v>798</v>
      </c>
      <c r="M825" s="544" t="s">
        <v>310</v>
      </c>
      <c r="N825" s="414">
        <v>44686</v>
      </c>
      <c r="O825" s="414" t="s">
        <v>400</v>
      </c>
      <c r="P825" s="603">
        <f t="shared" si="107"/>
        <v>5</v>
      </c>
      <c r="Q825" s="603">
        <f t="shared" si="108"/>
        <v>5</v>
      </c>
      <c r="R825" s="604" t="str">
        <f t="shared" si="109"/>
        <v>Gastos_Gerais</v>
      </c>
      <c r="S825" s="605" t="s">
        <v>310</v>
      </c>
      <c r="T825" s="605" t="s">
        <v>310</v>
      </c>
    </row>
    <row r="826" spans="1:20" s="88" customFormat="1" ht="60" x14ac:dyDescent="0.2">
      <c r="A826" s="510">
        <f>IF(B826="","",COUNT('Diário 1º PA'!$A$4:$A$2635)+ROW()-3)</f>
        <v>2559</v>
      </c>
      <c r="B826" s="414">
        <v>44686</v>
      </c>
      <c r="C826" s="466">
        <v>44682</v>
      </c>
      <c r="D826" s="415" t="s">
        <v>271</v>
      </c>
      <c r="E826" s="415" t="s">
        <v>71</v>
      </c>
      <c r="F826" s="425">
        <v>11</v>
      </c>
      <c r="G826" s="427" t="s">
        <v>3811</v>
      </c>
      <c r="H826" s="415" t="s">
        <v>762</v>
      </c>
      <c r="I826" s="639" t="s">
        <v>881</v>
      </c>
      <c r="J826" s="418" t="s">
        <v>882</v>
      </c>
      <c r="K826" s="418" t="s">
        <v>883</v>
      </c>
      <c r="L826" s="399" t="s">
        <v>798</v>
      </c>
      <c r="M826" s="544" t="s">
        <v>310</v>
      </c>
      <c r="N826" s="414">
        <v>44686</v>
      </c>
      <c r="O826" s="414" t="s">
        <v>400</v>
      </c>
      <c r="P826" s="603">
        <f t="shared" si="107"/>
        <v>5</v>
      </c>
      <c r="Q826" s="603">
        <f t="shared" si="108"/>
        <v>5</v>
      </c>
      <c r="R826" s="604" t="str">
        <f t="shared" si="109"/>
        <v>Gastos_Gerais</v>
      </c>
      <c r="S826" s="605" t="s">
        <v>310</v>
      </c>
      <c r="T826" s="605" t="s">
        <v>310</v>
      </c>
    </row>
    <row r="827" spans="1:20" ht="97.5" customHeight="1" x14ac:dyDescent="0.2">
      <c r="A827" s="510">
        <f>IF(B827="","",COUNT('Diário 1º PA'!$A$4:$A$2635)+ROW()-3)</f>
        <v>2560</v>
      </c>
      <c r="B827" s="414">
        <v>44686</v>
      </c>
      <c r="C827" s="424">
        <v>44652</v>
      </c>
      <c r="D827" s="415" t="s">
        <v>271</v>
      </c>
      <c r="E827" s="415" t="s">
        <v>71</v>
      </c>
      <c r="F827" s="425">
        <v>153</v>
      </c>
      <c r="G827" s="427" t="s">
        <v>880</v>
      </c>
      <c r="H827" s="415" t="s">
        <v>309</v>
      </c>
      <c r="I827" s="427" t="s">
        <v>881</v>
      </c>
      <c r="J827" s="415" t="s">
        <v>882</v>
      </c>
      <c r="K827" s="415" t="s">
        <v>883</v>
      </c>
      <c r="L827" s="415" t="s">
        <v>798</v>
      </c>
      <c r="M827" s="415" t="s">
        <v>310</v>
      </c>
      <c r="N827" s="414">
        <v>44686</v>
      </c>
      <c r="O827" s="414" t="s">
        <v>400</v>
      </c>
      <c r="P827" s="603">
        <f t="shared" ref="P827:P833" si="110">IF(B827=0,0,IF(YEAR(B827)=$Q$1,MONTH(B827)-$P$1+1,(YEAR(B827)-$Q$1)*12-$P$1+1+MONTH(B827)))</f>
        <v>5</v>
      </c>
      <c r="Q827" s="603">
        <f t="shared" ref="Q827:Q833" si="111">IF(C827=0,0,IF(YEAR(C827)=$Q$1,MONTH(C827)-$P$1+1,(YEAR(C827)-$Q$1)*12-$P$1+1+MONTH(C827)))</f>
        <v>4</v>
      </c>
      <c r="R827" s="604" t="str">
        <f t="shared" ref="R827:R833" si="112">SUBSTITUTE(D827," ","_")</f>
        <v>Gastos_Gerais</v>
      </c>
      <c r="S827" s="605" t="s">
        <v>310</v>
      </c>
      <c r="T827" s="605" t="s">
        <v>310</v>
      </c>
    </row>
    <row r="828" spans="1:20" ht="96" x14ac:dyDescent="0.2">
      <c r="A828" s="510">
        <f>IF(B828="","",COUNT('Diário 1º PA'!$A$4:$A$2635)+ROW()-3)</f>
        <v>2561</v>
      </c>
      <c r="B828" s="414">
        <v>44686</v>
      </c>
      <c r="C828" s="424">
        <v>44652</v>
      </c>
      <c r="D828" s="415" t="s">
        <v>468</v>
      </c>
      <c r="E828" s="415" t="s">
        <v>468</v>
      </c>
      <c r="F828" s="425">
        <v>750</v>
      </c>
      <c r="G828" s="427" t="s">
        <v>5002</v>
      </c>
      <c r="H828" s="415" t="s">
        <v>468</v>
      </c>
      <c r="I828" s="427" t="s">
        <v>5009</v>
      </c>
      <c r="J828" s="415" t="s">
        <v>5010</v>
      </c>
      <c r="K828" s="415" t="s">
        <v>830</v>
      </c>
      <c r="L828" s="415" t="s">
        <v>1372</v>
      </c>
      <c r="M828" s="415">
        <v>4908</v>
      </c>
      <c r="N828" s="414">
        <v>44685</v>
      </c>
      <c r="O828" s="414" t="s">
        <v>407</v>
      </c>
      <c r="P828" s="603">
        <f t="shared" si="110"/>
        <v>5</v>
      </c>
      <c r="Q828" s="603">
        <f t="shared" si="111"/>
        <v>4</v>
      </c>
      <c r="R828" s="604" t="str">
        <f t="shared" si="112"/>
        <v>Gastos_custeados_por_captação</v>
      </c>
      <c r="S828" s="605" t="s">
        <v>998</v>
      </c>
      <c r="T828" s="605">
        <v>3432</v>
      </c>
    </row>
    <row r="829" spans="1:20" ht="144.75" customHeight="1" x14ac:dyDescent="0.2">
      <c r="A829" s="510">
        <f>IF(B829="","",COUNT('Diário 1º PA'!$A$4:$A$2635)+ROW()-3)</f>
        <v>2562</v>
      </c>
      <c r="B829" s="414">
        <v>44686</v>
      </c>
      <c r="C829" s="424">
        <v>44652</v>
      </c>
      <c r="D829" s="415" t="s">
        <v>468</v>
      </c>
      <c r="E829" s="415" t="s">
        <v>468</v>
      </c>
      <c r="F829" s="425">
        <v>67.5</v>
      </c>
      <c r="G829" s="427" t="s">
        <v>5003</v>
      </c>
      <c r="H829" s="415" t="s">
        <v>468</v>
      </c>
      <c r="I829" s="427" t="s">
        <v>5009</v>
      </c>
      <c r="J829" s="415" t="s">
        <v>5011</v>
      </c>
      <c r="K829" s="415" t="s">
        <v>830</v>
      </c>
      <c r="L829" s="415" t="s">
        <v>32</v>
      </c>
      <c r="M829" s="415">
        <v>476</v>
      </c>
      <c r="N829" s="414">
        <v>44684</v>
      </c>
      <c r="O829" s="414" t="s">
        <v>407</v>
      </c>
      <c r="P829" s="603">
        <f t="shared" si="110"/>
        <v>5</v>
      </c>
      <c r="Q829" s="603">
        <f t="shared" si="111"/>
        <v>4</v>
      </c>
      <c r="R829" s="604" t="str">
        <f t="shared" si="112"/>
        <v>Gastos_custeados_por_captação</v>
      </c>
      <c r="S829" s="605" t="s">
        <v>999</v>
      </c>
      <c r="T829" s="605">
        <v>3560</v>
      </c>
    </row>
    <row r="830" spans="1:20" ht="144.75" customHeight="1" x14ac:dyDescent="0.2">
      <c r="A830" s="510">
        <f>IF(B830="","",COUNT('Diário 1º PA'!$A$4:$A$2635)+ROW()-3)</f>
        <v>2563</v>
      </c>
      <c r="B830" s="414">
        <v>44686</v>
      </c>
      <c r="C830" s="424">
        <v>44682</v>
      </c>
      <c r="D830" s="415" t="s">
        <v>468</v>
      </c>
      <c r="E830" s="415" t="s">
        <v>468</v>
      </c>
      <c r="F830" s="425">
        <v>812.8</v>
      </c>
      <c r="G830" s="427" t="s">
        <v>5004</v>
      </c>
      <c r="H830" s="415" t="s">
        <v>468</v>
      </c>
      <c r="I830" s="427" t="s">
        <v>5012</v>
      </c>
      <c r="J830" s="415" t="s">
        <v>5013</v>
      </c>
      <c r="K830" s="415" t="s">
        <v>830</v>
      </c>
      <c r="L830" s="415" t="s">
        <v>32</v>
      </c>
      <c r="M830" s="415">
        <v>667364</v>
      </c>
      <c r="N830" s="414">
        <v>44686</v>
      </c>
      <c r="O830" s="414" t="s">
        <v>407</v>
      </c>
      <c r="P830" s="603">
        <f t="shared" si="110"/>
        <v>5</v>
      </c>
      <c r="Q830" s="603">
        <f t="shared" si="111"/>
        <v>5</v>
      </c>
      <c r="R830" s="604" t="str">
        <f t="shared" si="112"/>
        <v>Gastos_custeados_por_captação</v>
      </c>
      <c r="S830" s="605" t="s">
        <v>999</v>
      </c>
      <c r="T830" s="605">
        <v>3576</v>
      </c>
    </row>
    <row r="831" spans="1:20" ht="144.75" customHeight="1" x14ac:dyDescent="0.2">
      <c r="A831" s="510">
        <f>IF(B831="","",COUNT('Diário 1º PA'!$A$4:$A$2635)+ROW()-3)</f>
        <v>2564</v>
      </c>
      <c r="B831" s="414">
        <v>44686</v>
      </c>
      <c r="C831" s="424">
        <v>44652</v>
      </c>
      <c r="D831" s="415" t="s">
        <v>468</v>
      </c>
      <c r="E831" s="415" t="s">
        <v>468</v>
      </c>
      <c r="F831" s="425">
        <v>6500</v>
      </c>
      <c r="G831" s="427" t="s">
        <v>5005</v>
      </c>
      <c r="H831" s="415" t="s">
        <v>468</v>
      </c>
      <c r="I831" s="427" t="s">
        <v>5014</v>
      </c>
      <c r="J831" s="415" t="s">
        <v>1100</v>
      </c>
      <c r="K831" s="415" t="s">
        <v>830</v>
      </c>
      <c r="L831" s="415" t="s">
        <v>32</v>
      </c>
      <c r="M831" s="415">
        <v>811</v>
      </c>
      <c r="N831" s="414">
        <v>44683</v>
      </c>
      <c r="O831" s="414" t="s">
        <v>407</v>
      </c>
      <c r="P831" s="603">
        <f t="shared" si="110"/>
        <v>5</v>
      </c>
      <c r="Q831" s="603">
        <f t="shared" si="111"/>
        <v>4</v>
      </c>
      <c r="R831" s="604" t="str">
        <f t="shared" si="112"/>
        <v>Gastos_custeados_por_captação</v>
      </c>
      <c r="S831" s="605" t="s">
        <v>998</v>
      </c>
      <c r="T831" s="605">
        <v>3448</v>
      </c>
    </row>
    <row r="832" spans="1:20" ht="72" x14ac:dyDescent="0.2">
      <c r="A832" s="510">
        <f>IF(B832="","",COUNT('Diário 1º PA'!$A$4:$A$2635)+ROW()-3)</f>
        <v>2565</v>
      </c>
      <c r="B832" s="414">
        <v>44686</v>
      </c>
      <c r="C832" s="424">
        <v>44621</v>
      </c>
      <c r="D832" s="415" t="s">
        <v>468</v>
      </c>
      <c r="E832" s="415" t="s">
        <v>468</v>
      </c>
      <c r="F832" s="425">
        <v>345</v>
      </c>
      <c r="G832" s="427" t="s">
        <v>5006</v>
      </c>
      <c r="H832" s="415" t="s">
        <v>468</v>
      </c>
      <c r="I832" s="427" t="s">
        <v>5015</v>
      </c>
      <c r="J832" s="415" t="s">
        <v>5016</v>
      </c>
      <c r="K832" s="415" t="s">
        <v>830</v>
      </c>
      <c r="L832" s="415" t="s">
        <v>32</v>
      </c>
      <c r="M832" s="415">
        <v>716810</v>
      </c>
      <c r="N832" s="414">
        <v>44655</v>
      </c>
      <c r="O832" s="414" t="s">
        <v>407</v>
      </c>
      <c r="P832" s="603">
        <f t="shared" si="110"/>
        <v>5</v>
      </c>
      <c r="Q832" s="603">
        <f t="shared" si="111"/>
        <v>3</v>
      </c>
      <c r="R832" s="604" t="str">
        <f t="shared" si="112"/>
        <v>Gastos_custeados_por_captação</v>
      </c>
      <c r="S832" s="605" t="s">
        <v>999</v>
      </c>
      <c r="T832" s="605">
        <v>3195</v>
      </c>
    </row>
    <row r="833" spans="1:20" ht="96" x14ac:dyDescent="0.2">
      <c r="A833" s="510">
        <f>IF(B833="","",COUNT('Diário 1º PA'!$A$4:$A$2635)+ROW()-3)</f>
        <v>2566</v>
      </c>
      <c r="B833" s="414">
        <v>44686</v>
      </c>
      <c r="C833" s="424">
        <v>44621</v>
      </c>
      <c r="D833" s="415" t="s">
        <v>468</v>
      </c>
      <c r="E833" s="415" t="s">
        <v>468</v>
      </c>
      <c r="F833" s="425">
        <v>1400</v>
      </c>
      <c r="G833" s="427" t="s">
        <v>5007</v>
      </c>
      <c r="H833" s="415" t="s">
        <v>468</v>
      </c>
      <c r="I833" s="427" t="s">
        <v>2806</v>
      </c>
      <c r="J833" s="415" t="s">
        <v>1094</v>
      </c>
      <c r="K833" s="415" t="s">
        <v>830</v>
      </c>
      <c r="L833" s="415" t="s">
        <v>2140</v>
      </c>
      <c r="M833" s="415">
        <v>317</v>
      </c>
      <c r="N833" s="414">
        <v>44685</v>
      </c>
      <c r="O833" s="414" t="s">
        <v>407</v>
      </c>
      <c r="P833" s="603">
        <f t="shared" si="110"/>
        <v>5</v>
      </c>
      <c r="Q833" s="603">
        <f t="shared" si="111"/>
        <v>3</v>
      </c>
      <c r="R833" s="604" t="str">
        <f t="shared" si="112"/>
        <v>Gastos_custeados_por_captação</v>
      </c>
      <c r="S833" s="605" t="s">
        <v>998</v>
      </c>
      <c r="T833" s="605">
        <v>3238</v>
      </c>
    </row>
    <row r="834" spans="1:20" s="88" customFormat="1" ht="72" x14ac:dyDescent="0.2">
      <c r="A834" s="510">
        <f>IF(B834="","",COUNT('Diário 1º PA'!$A$4:$A$2635)+ROW()-3)</f>
        <v>2567</v>
      </c>
      <c r="B834" s="414">
        <v>44686</v>
      </c>
      <c r="C834" s="424">
        <v>44652</v>
      </c>
      <c r="D834" s="415" t="s">
        <v>468</v>
      </c>
      <c r="E834" s="415" t="s">
        <v>468</v>
      </c>
      <c r="F834" s="425">
        <v>103</v>
      </c>
      <c r="G834" s="427" t="s">
        <v>5008</v>
      </c>
      <c r="H834" s="415" t="s">
        <v>468</v>
      </c>
      <c r="I834" s="427" t="s">
        <v>2682</v>
      </c>
      <c r="J834" s="415" t="s">
        <v>816</v>
      </c>
      <c r="K834" s="415" t="s">
        <v>830</v>
      </c>
      <c r="L834" s="415" t="s">
        <v>807</v>
      </c>
      <c r="M834" s="415">
        <v>309770</v>
      </c>
      <c r="N834" s="414">
        <v>44658</v>
      </c>
      <c r="O834" s="414" t="s">
        <v>407</v>
      </c>
      <c r="P834" s="603">
        <f t="shared" ref="P834:Q838" si="113">IF(B834=0,0,IF(YEAR(B834)=$Q$1,MONTH(B834)-$P$1+1,(YEAR(B834)-$Q$1)*12-$P$1+1+MONTH(B834)))</f>
        <v>5</v>
      </c>
      <c r="Q834" s="603">
        <f t="shared" si="113"/>
        <v>4</v>
      </c>
      <c r="R834" s="604" t="str">
        <f>SUBSTITUTE(D834," ","_")</f>
        <v>Gastos_custeados_por_captação</v>
      </c>
      <c r="S834" s="605" t="s">
        <v>999</v>
      </c>
      <c r="T834" s="605">
        <v>3370</v>
      </c>
    </row>
    <row r="835" spans="1:20" s="88" customFormat="1" ht="99.75" customHeight="1" x14ac:dyDescent="0.2">
      <c r="A835" s="510">
        <f>IF(B835="","",COUNT('Diário 1º PA'!$A$4:$A$2635)+ROW()-3)</f>
        <v>2568</v>
      </c>
      <c r="B835" s="414">
        <v>44686</v>
      </c>
      <c r="C835" s="424">
        <v>44682</v>
      </c>
      <c r="D835" s="415" t="s">
        <v>468</v>
      </c>
      <c r="E835" s="415" t="s">
        <v>468</v>
      </c>
      <c r="F835" s="425">
        <v>153</v>
      </c>
      <c r="G835" s="427" t="s">
        <v>880</v>
      </c>
      <c r="H835" s="415" t="s">
        <v>468</v>
      </c>
      <c r="I835" s="639" t="s">
        <v>881</v>
      </c>
      <c r="J835" s="418" t="s">
        <v>882</v>
      </c>
      <c r="K835" s="418" t="s">
        <v>883</v>
      </c>
      <c r="L835" s="399" t="s">
        <v>798</v>
      </c>
      <c r="M835" s="544" t="s">
        <v>310</v>
      </c>
      <c r="N835" s="414">
        <v>44686</v>
      </c>
      <c r="O835" s="414" t="s">
        <v>3762</v>
      </c>
      <c r="P835" s="603">
        <f t="shared" si="113"/>
        <v>5</v>
      </c>
      <c r="Q835" s="603">
        <f t="shared" si="113"/>
        <v>5</v>
      </c>
      <c r="R835" s="604" t="str">
        <f>SUBSTITUTE(D835," ","_")</f>
        <v>Gastos_custeados_por_captação</v>
      </c>
      <c r="S835" s="605" t="s">
        <v>310</v>
      </c>
      <c r="T835" s="605" t="s">
        <v>310</v>
      </c>
    </row>
    <row r="836" spans="1:20" s="88" customFormat="1" ht="60" x14ac:dyDescent="0.2">
      <c r="A836" s="510">
        <f>IF(B836="","",COUNT('Diário 1º PA'!$A$4:$A$2635)+ROW()-3)</f>
        <v>2569</v>
      </c>
      <c r="B836" s="414">
        <v>44686</v>
      </c>
      <c r="C836" s="424">
        <v>44652</v>
      </c>
      <c r="D836" s="415" t="s">
        <v>468</v>
      </c>
      <c r="E836" s="415" t="s">
        <v>468</v>
      </c>
      <c r="F836" s="425">
        <v>840</v>
      </c>
      <c r="G836" s="427" t="s">
        <v>3247</v>
      </c>
      <c r="H836" s="415" t="s">
        <v>468</v>
      </c>
      <c r="I836" s="639" t="s">
        <v>5449</v>
      </c>
      <c r="J836" s="418" t="s">
        <v>3440</v>
      </c>
      <c r="K836" s="418" t="s">
        <v>812</v>
      </c>
      <c r="L836" s="399" t="s">
        <v>807</v>
      </c>
      <c r="M836" s="544">
        <v>9066</v>
      </c>
      <c r="N836" s="414">
        <v>44625</v>
      </c>
      <c r="O836" s="414" t="s">
        <v>404</v>
      </c>
      <c r="P836" s="603">
        <f t="shared" si="113"/>
        <v>5</v>
      </c>
      <c r="Q836" s="603">
        <f t="shared" si="113"/>
        <v>4</v>
      </c>
      <c r="R836" s="604" t="str">
        <f>SUBSTITUTE(D836," ","_")</f>
        <v>Gastos_custeados_por_captação</v>
      </c>
      <c r="S836" s="605" t="s">
        <v>998</v>
      </c>
      <c r="T836" s="605">
        <v>3315</v>
      </c>
    </row>
    <row r="837" spans="1:20" s="88" customFormat="1" ht="72" x14ac:dyDescent="0.2">
      <c r="A837" s="510">
        <f>IF(B837="","",COUNT('Diário 1º PA'!$A$4:$A$2635)+ROW()-3)</f>
        <v>2570</v>
      </c>
      <c r="B837" s="414">
        <v>44686</v>
      </c>
      <c r="C837" s="424">
        <v>44652</v>
      </c>
      <c r="D837" s="415" t="s">
        <v>468</v>
      </c>
      <c r="E837" s="415" t="s">
        <v>468</v>
      </c>
      <c r="F837" s="425">
        <v>2939.7</v>
      </c>
      <c r="G837" s="427" t="s">
        <v>713</v>
      </c>
      <c r="H837" s="415" t="s">
        <v>468</v>
      </c>
      <c r="I837" s="639" t="s">
        <v>4414</v>
      </c>
      <c r="J837" s="418" t="s">
        <v>1137</v>
      </c>
      <c r="K837" s="418" t="s">
        <v>830</v>
      </c>
      <c r="L837" s="399" t="s">
        <v>807</v>
      </c>
      <c r="M837" s="624">
        <v>202211</v>
      </c>
      <c r="N837" s="414">
        <v>44685</v>
      </c>
      <c r="O837" s="414" t="s">
        <v>402</v>
      </c>
      <c r="P837" s="603">
        <f t="shared" si="113"/>
        <v>5</v>
      </c>
      <c r="Q837" s="603">
        <f t="shared" si="113"/>
        <v>4</v>
      </c>
      <c r="R837" s="604" t="str">
        <f>SUBSTITUTE(D837," ","_")</f>
        <v>Gastos_custeados_por_captação</v>
      </c>
      <c r="S837" s="605" t="s">
        <v>1000</v>
      </c>
      <c r="T837" s="605">
        <v>2727</v>
      </c>
    </row>
    <row r="838" spans="1:20" s="88" customFormat="1" ht="150.75" customHeight="1" x14ac:dyDescent="0.2">
      <c r="A838" s="510">
        <f>IF(B838="","",COUNT('Diário 1º PA'!$A$4:$A$2635)+ROW()-3)</f>
        <v>2571</v>
      </c>
      <c r="B838" s="414">
        <v>44686</v>
      </c>
      <c r="C838" s="424">
        <v>44652</v>
      </c>
      <c r="D838" s="415" t="s">
        <v>468</v>
      </c>
      <c r="E838" s="415" t="s">
        <v>468</v>
      </c>
      <c r="F838" s="425">
        <v>3820</v>
      </c>
      <c r="G838" s="427" t="s">
        <v>695</v>
      </c>
      <c r="H838" s="415" t="s">
        <v>468</v>
      </c>
      <c r="I838" s="639" t="s">
        <v>2405</v>
      </c>
      <c r="J838" s="418" t="s">
        <v>1030</v>
      </c>
      <c r="K838" s="418" t="s">
        <v>830</v>
      </c>
      <c r="L838" s="399" t="s">
        <v>807</v>
      </c>
      <c r="M838" s="624">
        <v>20226</v>
      </c>
      <c r="N838" s="414">
        <v>44685</v>
      </c>
      <c r="O838" s="414" t="s">
        <v>402</v>
      </c>
      <c r="P838" s="603">
        <f t="shared" si="113"/>
        <v>5</v>
      </c>
      <c r="Q838" s="603">
        <f t="shared" si="113"/>
        <v>4</v>
      </c>
      <c r="R838" s="604" t="str">
        <f>SUBSTITUTE(D838," ","_")</f>
        <v>Gastos_custeados_por_captação</v>
      </c>
      <c r="S838" s="605" t="s">
        <v>1000</v>
      </c>
      <c r="T838" s="605">
        <v>2631</v>
      </c>
    </row>
    <row r="839" spans="1:20" s="88" customFormat="1" ht="99.75" customHeight="1" x14ac:dyDescent="0.2">
      <c r="A839" s="510">
        <f>IF(B839="","",COUNT('Diário 1º PA'!$A$4:$A$2635)+ROW()-3)</f>
        <v>2572</v>
      </c>
      <c r="B839" s="414">
        <v>44686</v>
      </c>
      <c r="C839" s="424">
        <v>44652</v>
      </c>
      <c r="D839" s="415" t="s">
        <v>468</v>
      </c>
      <c r="E839" s="415" t="s">
        <v>468</v>
      </c>
      <c r="F839" s="425">
        <v>2000</v>
      </c>
      <c r="G839" s="427" t="s">
        <v>656</v>
      </c>
      <c r="H839" s="415" t="s">
        <v>468</v>
      </c>
      <c r="I839" s="639" t="s">
        <v>1609</v>
      </c>
      <c r="J839" s="418" t="s">
        <v>1016</v>
      </c>
      <c r="K839" s="418" t="s">
        <v>830</v>
      </c>
      <c r="L839" s="399" t="s">
        <v>807</v>
      </c>
      <c r="M839" s="624">
        <v>20226</v>
      </c>
      <c r="N839" s="414">
        <v>44685</v>
      </c>
      <c r="O839" s="414" t="s">
        <v>402</v>
      </c>
      <c r="P839" s="603">
        <f t="shared" si="107"/>
        <v>5</v>
      </c>
      <c r="Q839" s="603">
        <f t="shared" si="108"/>
        <v>4</v>
      </c>
      <c r="R839" s="604" t="str">
        <f t="shared" si="109"/>
        <v>Gastos_custeados_por_captação</v>
      </c>
      <c r="S839" s="605" t="s">
        <v>1000</v>
      </c>
      <c r="T839" s="605">
        <v>2712</v>
      </c>
    </row>
    <row r="840" spans="1:20" s="88" customFormat="1" ht="48" x14ac:dyDescent="0.2">
      <c r="A840" s="510">
        <f>IF(B840="","",COUNT('Diário 1º PA'!$A$4:$A$2635)+ROW()-3)</f>
        <v>2573</v>
      </c>
      <c r="B840" s="414">
        <v>44687</v>
      </c>
      <c r="C840" s="424">
        <v>44652</v>
      </c>
      <c r="D840" s="415" t="s">
        <v>182</v>
      </c>
      <c r="E840" s="415" t="s">
        <v>4</v>
      </c>
      <c r="F840" s="425">
        <v>-2527.0300000000002</v>
      </c>
      <c r="G840" s="427" t="s">
        <v>3837</v>
      </c>
      <c r="H840" s="415" t="s">
        <v>310</v>
      </c>
      <c r="I840" s="427" t="s">
        <v>795</v>
      </c>
      <c r="J840" s="415" t="s">
        <v>796</v>
      </c>
      <c r="K840" s="415" t="s">
        <v>797</v>
      </c>
      <c r="L840" s="415" t="s">
        <v>798</v>
      </c>
      <c r="M840" s="415" t="s">
        <v>310</v>
      </c>
      <c r="N840" s="414">
        <v>44687</v>
      </c>
      <c r="O840" s="414" t="s">
        <v>400</v>
      </c>
      <c r="P840" s="603">
        <f t="shared" si="107"/>
        <v>5</v>
      </c>
      <c r="Q840" s="603">
        <f t="shared" si="108"/>
        <v>4</v>
      </c>
      <c r="R840" s="604" t="str">
        <f t="shared" si="109"/>
        <v>Gastos_com_Pessoal</v>
      </c>
      <c r="S840" s="605" t="s">
        <v>310</v>
      </c>
      <c r="T840" s="605" t="s">
        <v>310</v>
      </c>
    </row>
    <row r="841" spans="1:20" s="88" customFormat="1" ht="36" x14ac:dyDescent="0.2">
      <c r="A841" s="510">
        <f>IF(B841="","",COUNT('Diário 1º PA'!$A$4:$A$2635)+ROW()-3)</f>
        <v>2574</v>
      </c>
      <c r="B841" s="414">
        <v>44687</v>
      </c>
      <c r="C841" s="424">
        <v>44652</v>
      </c>
      <c r="D841" s="415" t="s">
        <v>182</v>
      </c>
      <c r="E841" s="415" t="s">
        <v>4</v>
      </c>
      <c r="F841" s="425">
        <v>-120</v>
      </c>
      <c r="G841" s="427" t="s">
        <v>3838</v>
      </c>
      <c r="H841" s="415" t="s">
        <v>310</v>
      </c>
      <c r="I841" s="427" t="s">
        <v>795</v>
      </c>
      <c r="J841" s="415" t="s">
        <v>796</v>
      </c>
      <c r="K841" s="415" t="s">
        <v>797</v>
      </c>
      <c r="L841" s="415" t="s">
        <v>798</v>
      </c>
      <c r="M841" s="415" t="s">
        <v>310</v>
      </c>
      <c r="N841" s="414">
        <v>44687</v>
      </c>
      <c r="O841" s="414" t="s">
        <v>400</v>
      </c>
      <c r="P841" s="603">
        <f t="shared" si="107"/>
        <v>5</v>
      </c>
      <c r="Q841" s="603">
        <f t="shared" si="108"/>
        <v>4</v>
      </c>
      <c r="R841" s="604" t="str">
        <f t="shared" si="109"/>
        <v>Gastos_com_Pessoal</v>
      </c>
      <c r="S841" s="605" t="s">
        <v>310</v>
      </c>
      <c r="T841" s="605" t="s">
        <v>310</v>
      </c>
    </row>
    <row r="842" spans="1:20" s="88" customFormat="1" ht="36" x14ac:dyDescent="0.2">
      <c r="A842" s="510">
        <f>IF(B842="","",COUNT('Diário 1º PA'!$A$4:$A$2635)+ROW()-3)</f>
        <v>2575</v>
      </c>
      <c r="B842" s="414">
        <v>44687</v>
      </c>
      <c r="C842" s="424">
        <v>44652</v>
      </c>
      <c r="D842" s="415" t="s">
        <v>182</v>
      </c>
      <c r="E842" s="415" t="s">
        <v>1</v>
      </c>
      <c r="F842" s="425">
        <v>4562.1499999999996</v>
      </c>
      <c r="G842" s="427" t="s">
        <v>3840</v>
      </c>
      <c r="H842" s="415" t="s">
        <v>310</v>
      </c>
      <c r="I842" s="427" t="s">
        <v>907</v>
      </c>
      <c r="J842" s="415" t="s">
        <v>908</v>
      </c>
      <c r="K842" s="415" t="s">
        <v>806</v>
      </c>
      <c r="L842" s="415" t="s">
        <v>909</v>
      </c>
      <c r="M842" s="415" t="s">
        <v>310</v>
      </c>
      <c r="N842" s="414">
        <v>44687</v>
      </c>
      <c r="O842" s="414" t="s">
        <v>400</v>
      </c>
      <c r="P842" s="603">
        <f t="shared" si="107"/>
        <v>5</v>
      </c>
      <c r="Q842" s="603">
        <f t="shared" si="108"/>
        <v>4</v>
      </c>
      <c r="R842" s="604" t="str">
        <f t="shared" si="109"/>
        <v>Gastos_com_Pessoal</v>
      </c>
      <c r="S842" s="605" t="s">
        <v>310</v>
      </c>
      <c r="T842" s="605" t="s">
        <v>310</v>
      </c>
    </row>
    <row r="843" spans="1:20" s="88" customFormat="1" ht="36" x14ac:dyDescent="0.2">
      <c r="A843" s="510">
        <f>IF(B843="","",COUNT('Diário 1º PA'!$A$4:$A$2635)+ROW()-3)</f>
        <v>2576</v>
      </c>
      <c r="B843" s="414">
        <v>44687</v>
      </c>
      <c r="C843" s="424">
        <v>44652</v>
      </c>
      <c r="D843" s="415" t="s">
        <v>182</v>
      </c>
      <c r="E843" s="415" t="s">
        <v>1</v>
      </c>
      <c r="F843" s="425">
        <v>1939.66</v>
      </c>
      <c r="G843" s="427" t="s">
        <v>3841</v>
      </c>
      <c r="H843" s="415" t="s">
        <v>310</v>
      </c>
      <c r="I843" s="427" t="s">
        <v>911</v>
      </c>
      <c r="J843" s="415" t="s">
        <v>912</v>
      </c>
      <c r="K843" s="415" t="s">
        <v>806</v>
      </c>
      <c r="L843" s="415" t="s">
        <v>909</v>
      </c>
      <c r="M843" s="415" t="s">
        <v>310</v>
      </c>
      <c r="N843" s="414">
        <v>44687</v>
      </c>
      <c r="O843" s="414" t="s">
        <v>400</v>
      </c>
      <c r="P843" s="603">
        <f t="shared" si="107"/>
        <v>5</v>
      </c>
      <c r="Q843" s="603">
        <f t="shared" si="108"/>
        <v>4</v>
      </c>
      <c r="R843" s="604" t="str">
        <f t="shared" si="109"/>
        <v>Gastos_com_Pessoal</v>
      </c>
      <c r="S843" s="605" t="s">
        <v>310</v>
      </c>
      <c r="T843" s="605" t="s">
        <v>310</v>
      </c>
    </row>
    <row r="844" spans="1:20" s="88" customFormat="1" ht="36" x14ac:dyDescent="0.2">
      <c r="A844" s="510">
        <f>IF(B844="","",COUNT('Diário 1º PA'!$A$4:$A$2635)+ROW()-3)</f>
        <v>2577</v>
      </c>
      <c r="B844" s="414">
        <v>44687</v>
      </c>
      <c r="C844" s="424">
        <v>44652</v>
      </c>
      <c r="D844" s="415" t="s">
        <v>182</v>
      </c>
      <c r="E844" s="415" t="s">
        <v>1</v>
      </c>
      <c r="F844" s="425">
        <v>2261.98</v>
      </c>
      <c r="G844" s="427" t="s">
        <v>3842</v>
      </c>
      <c r="H844" s="415" t="s">
        <v>310</v>
      </c>
      <c r="I844" s="427" t="s">
        <v>914</v>
      </c>
      <c r="J844" s="415" t="s">
        <v>915</v>
      </c>
      <c r="K844" s="415" t="s">
        <v>806</v>
      </c>
      <c r="L844" s="415" t="s">
        <v>909</v>
      </c>
      <c r="M844" s="415" t="s">
        <v>310</v>
      </c>
      <c r="N844" s="414">
        <v>44687</v>
      </c>
      <c r="O844" s="414" t="s">
        <v>400</v>
      </c>
      <c r="P844" s="603">
        <f t="shared" si="107"/>
        <v>5</v>
      </c>
      <c r="Q844" s="603">
        <f t="shared" si="108"/>
        <v>4</v>
      </c>
      <c r="R844" s="604" t="str">
        <f t="shared" si="109"/>
        <v>Gastos_com_Pessoal</v>
      </c>
      <c r="S844" s="605" t="s">
        <v>310</v>
      </c>
      <c r="T844" s="605" t="s">
        <v>310</v>
      </c>
    </row>
    <row r="845" spans="1:20" s="88" customFormat="1" ht="36" x14ac:dyDescent="0.2">
      <c r="A845" s="510">
        <f>IF(B845="","",COUNT('Diário 1º PA'!$A$4:$A$2635)+ROW()-3)</f>
        <v>2578</v>
      </c>
      <c r="B845" s="414">
        <v>44687</v>
      </c>
      <c r="C845" s="424">
        <v>44652</v>
      </c>
      <c r="D845" s="415" t="s">
        <v>182</v>
      </c>
      <c r="E845" s="415" t="s">
        <v>1</v>
      </c>
      <c r="F845" s="425">
        <v>2064.5700000000002</v>
      </c>
      <c r="G845" s="427" t="s">
        <v>3841</v>
      </c>
      <c r="H845" s="415" t="s">
        <v>310</v>
      </c>
      <c r="I845" s="427" t="s">
        <v>916</v>
      </c>
      <c r="J845" s="415" t="s">
        <v>917</v>
      </c>
      <c r="K845" s="415" t="s">
        <v>806</v>
      </c>
      <c r="L845" s="415" t="s">
        <v>909</v>
      </c>
      <c r="M845" s="415" t="s">
        <v>310</v>
      </c>
      <c r="N845" s="414">
        <v>44687</v>
      </c>
      <c r="O845" s="414" t="s">
        <v>400</v>
      </c>
      <c r="P845" s="603">
        <f t="shared" si="107"/>
        <v>5</v>
      </c>
      <c r="Q845" s="603">
        <f t="shared" si="108"/>
        <v>4</v>
      </c>
      <c r="R845" s="604" t="str">
        <f t="shared" si="109"/>
        <v>Gastos_com_Pessoal</v>
      </c>
      <c r="S845" s="605" t="s">
        <v>310</v>
      </c>
      <c r="T845" s="605" t="s">
        <v>310</v>
      </c>
    </row>
    <row r="846" spans="1:20" s="88" customFormat="1" ht="36" x14ac:dyDescent="0.2">
      <c r="A846" s="510">
        <f>IF(B846="","",COUNT('Diário 1º PA'!$A$4:$A$2635)+ROW()-3)</f>
        <v>2579</v>
      </c>
      <c r="B846" s="414">
        <v>44687</v>
      </c>
      <c r="C846" s="424">
        <v>44652</v>
      </c>
      <c r="D846" s="415" t="s">
        <v>182</v>
      </c>
      <c r="E846" s="415" t="s">
        <v>1</v>
      </c>
      <c r="F846" s="425">
        <v>2095.64</v>
      </c>
      <c r="G846" s="427" t="s">
        <v>3841</v>
      </c>
      <c r="H846" s="415" t="s">
        <v>310</v>
      </c>
      <c r="I846" s="427" t="s">
        <v>920</v>
      </c>
      <c r="J846" s="415" t="s">
        <v>921</v>
      </c>
      <c r="K846" s="415" t="s">
        <v>806</v>
      </c>
      <c r="L846" s="415" t="s">
        <v>909</v>
      </c>
      <c r="M846" s="415" t="s">
        <v>310</v>
      </c>
      <c r="N846" s="414">
        <v>44687</v>
      </c>
      <c r="O846" s="414" t="s">
        <v>400</v>
      </c>
      <c r="P846" s="603">
        <f t="shared" si="107"/>
        <v>5</v>
      </c>
      <c r="Q846" s="603">
        <f t="shared" si="108"/>
        <v>4</v>
      </c>
      <c r="R846" s="604" t="str">
        <f t="shared" si="109"/>
        <v>Gastos_com_Pessoal</v>
      </c>
      <c r="S846" s="605" t="s">
        <v>310</v>
      </c>
      <c r="T846" s="605" t="s">
        <v>310</v>
      </c>
    </row>
    <row r="847" spans="1:20" s="88" customFormat="1" ht="36" x14ac:dyDescent="0.2">
      <c r="A847" s="510">
        <f>IF(B847="","",COUNT('Diário 1º PA'!$A$4:$A$2635)+ROW()-3)</f>
        <v>2580</v>
      </c>
      <c r="B847" s="414">
        <v>44687</v>
      </c>
      <c r="C847" s="424">
        <v>44652</v>
      </c>
      <c r="D847" s="415" t="s">
        <v>182</v>
      </c>
      <c r="E847" s="415" t="s">
        <v>1</v>
      </c>
      <c r="F847" s="425">
        <v>2232.73</v>
      </c>
      <c r="G847" s="427" t="s">
        <v>3843</v>
      </c>
      <c r="H847" s="415" t="s">
        <v>310</v>
      </c>
      <c r="I847" s="427" t="s">
        <v>923</v>
      </c>
      <c r="J847" s="415" t="s">
        <v>924</v>
      </c>
      <c r="K847" s="415" t="s">
        <v>806</v>
      </c>
      <c r="L847" s="415" t="s">
        <v>909</v>
      </c>
      <c r="M847" s="415" t="s">
        <v>310</v>
      </c>
      <c r="N847" s="414">
        <v>44687</v>
      </c>
      <c r="O847" s="414" t="s">
        <v>400</v>
      </c>
      <c r="P847" s="603">
        <f t="shared" si="107"/>
        <v>5</v>
      </c>
      <c r="Q847" s="603">
        <f t="shared" si="108"/>
        <v>4</v>
      </c>
      <c r="R847" s="604" t="str">
        <f t="shared" si="109"/>
        <v>Gastos_com_Pessoal</v>
      </c>
      <c r="S847" s="605" t="s">
        <v>310</v>
      </c>
      <c r="T847" s="605" t="s">
        <v>310</v>
      </c>
    </row>
    <row r="848" spans="1:20" s="88" customFormat="1" ht="36" x14ac:dyDescent="0.2">
      <c r="A848" s="510">
        <f>IF(B848="","",COUNT('Diário 1º PA'!$A$4:$A$2635)+ROW()-3)</f>
        <v>2581</v>
      </c>
      <c r="B848" s="414">
        <v>44687</v>
      </c>
      <c r="C848" s="424">
        <v>44652</v>
      </c>
      <c r="D848" s="415" t="s">
        <v>182</v>
      </c>
      <c r="E848" s="415" t="s">
        <v>1</v>
      </c>
      <c r="F848" s="425">
        <v>2077.66</v>
      </c>
      <c r="G848" s="427" t="s">
        <v>3841</v>
      </c>
      <c r="H848" s="415" t="s">
        <v>310</v>
      </c>
      <c r="I848" s="427" t="s">
        <v>926</v>
      </c>
      <c r="J848" s="415" t="s">
        <v>927</v>
      </c>
      <c r="K848" s="415" t="s">
        <v>806</v>
      </c>
      <c r="L848" s="415" t="s">
        <v>909</v>
      </c>
      <c r="M848" s="415" t="s">
        <v>310</v>
      </c>
      <c r="N848" s="414">
        <v>44687</v>
      </c>
      <c r="O848" s="414" t="s">
        <v>400</v>
      </c>
      <c r="P848" s="603">
        <f t="shared" si="107"/>
        <v>5</v>
      </c>
      <c r="Q848" s="603">
        <f t="shared" si="108"/>
        <v>4</v>
      </c>
      <c r="R848" s="604" t="str">
        <f t="shared" si="109"/>
        <v>Gastos_com_Pessoal</v>
      </c>
      <c r="S848" s="605" t="s">
        <v>310</v>
      </c>
      <c r="T848" s="605" t="s">
        <v>310</v>
      </c>
    </row>
    <row r="849" spans="1:20" s="88" customFormat="1" ht="36" x14ac:dyDescent="0.2">
      <c r="A849" s="510">
        <f>IF(B849="","",COUNT('Diário 1º PA'!$A$4:$A$2635)+ROW()-3)</f>
        <v>2582</v>
      </c>
      <c r="B849" s="414">
        <v>44687</v>
      </c>
      <c r="C849" s="424">
        <v>44652</v>
      </c>
      <c r="D849" s="415" t="s">
        <v>182</v>
      </c>
      <c r="E849" s="415" t="s">
        <v>1</v>
      </c>
      <c r="F849" s="425">
        <v>1474.11</v>
      </c>
      <c r="G849" s="427" t="s">
        <v>3844</v>
      </c>
      <c r="H849" s="415" t="s">
        <v>310</v>
      </c>
      <c r="I849" s="427" t="s">
        <v>929</v>
      </c>
      <c r="J849" s="415" t="s">
        <v>930</v>
      </c>
      <c r="K849" s="415" t="s">
        <v>806</v>
      </c>
      <c r="L849" s="415" t="s">
        <v>909</v>
      </c>
      <c r="M849" s="415" t="s">
        <v>310</v>
      </c>
      <c r="N849" s="414">
        <v>44687</v>
      </c>
      <c r="O849" s="414" t="s">
        <v>400</v>
      </c>
      <c r="P849" s="603">
        <f t="shared" si="107"/>
        <v>5</v>
      </c>
      <c r="Q849" s="603">
        <f t="shared" si="108"/>
        <v>4</v>
      </c>
      <c r="R849" s="604" t="str">
        <f t="shared" si="109"/>
        <v>Gastos_com_Pessoal</v>
      </c>
      <c r="S849" s="605" t="s">
        <v>310</v>
      </c>
      <c r="T849" s="605" t="s">
        <v>310</v>
      </c>
    </row>
    <row r="850" spans="1:20" s="88" customFormat="1" ht="36" x14ac:dyDescent="0.2">
      <c r="A850" s="510">
        <f>IF(B850="","",COUNT('Diário 1º PA'!$A$4:$A$2635)+ROW()-3)</f>
        <v>2583</v>
      </c>
      <c r="B850" s="414">
        <v>44687</v>
      </c>
      <c r="C850" s="424">
        <v>44652</v>
      </c>
      <c r="D850" s="415" t="s">
        <v>182</v>
      </c>
      <c r="E850" s="415" t="s">
        <v>1</v>
      </c>
      <c r="F850" s="425">
        <v>2095.64</v>
      </c>
      <c r="G850" s="427" t="s">
        <v>3845</v>
      </c>
      <c r="H850" s="415" t="s">
        <v>310</v>
      </c>
      <c r="I850" s="427" t="s">
        <v>932</v>
      </c>
      <c r="J850" s="415" t="s">
        <v>933</v>
      </c>
      <c r="K850" s="415" t="s">
        <v>806</v>
      </c>
      <c r="L850" s="415" t="s">
        <v>909</v>
      </c>
      <c r="M850" s="415" t="s">
        <v>310</v>
      </c>
      <c r="N850" s="414">
        <v>44687</v>
      </c>
      <c r="O850" s="414" t="s">
        <v>400</v>
      </c>
      <c r="P850" s="603">
        <f t="shared" si="107"/>
        <v>5</v>
      </c>
      <c r="Q850" s="603">
        <f t="shared" si="108"/>
        <v>4</v>
      </c>
      <c r="R850" s="604" t="str">
        <f t="shared" si="109"/>
        <v>Gastos_com_Pessoal</v>
      </c>
      <c r="S850" s="605" t="s">
        <v>310</v>
      </c>
      <c r="T850" s="605" t="s">
        <v>310</v>
      </c>
    </row>
    <row r="851" spans="1:20" s="88" customFormat="1" ht="36" x14ac:dyDescent="0.2">
      <c r="A851" s="510">
        <f>IF(B851="","",COUNT('Diário 1º PA'!$A$4:$A$2635)+ROW()-3)</f>
        <v>2584</v>
      </c>
      <c r="B851" s="414">
        <v>44687</v>
      </c>
      <c r="C851" s="424">
        <v>44652</v>
      </c>
      <c r="D851" s="415" t="s">
        <v>182</v>
      </c>
      <c r="E851" s="415" t="s">
        <v>1</v>
      </c>
      <c r="F851" s="425">
        <v>2095.64</v>
      </c>
      <c r="G851" s="427" t="s">
        <v>3846</v>
      </c>
      <c r="H851" s="415" t="s">
        <v>310</v>
      </c>
      <c r="I851" s="427" t="s">
        <v>935</v>
      </c>
      <c r="J851" s="415" t="s">
        <v>936</v>
      </c>
      <c r="K851" s="415" t="s">
        <v>806</v>
      </c>
      <c r="L851" s="415" t="s">
        <v>909</v>
      </c>
      <c r="M851" s="415" t="s">
        <v>310</v>
      </c>
      <c r="N851" s="414">
        <v>44687</v>
      </c>
      <c r="O851" s="414" t="s">
        <v>400</v>
      </c>
      <c r="P851" s="603">
        <f t="shared" si="107"/>
        <v>5</v>
      </c>
      <c r="Q851" s="603">
        <f t="shared" si="108"/>
        <v>4</v>
      </c>
      <c r="R851" s="604" t="str">
        <f t="shared" si="109"/>
        <v>Gastos_com_Pessoal</v>
      </c>
      <c r="S851" s="605" t="s">
        <v>310</v>
      </c>
      <c r="T851" s="605" t="s">
        <v>310</v>
      </c>
    </row>
    <row r="852" spans="1:20" s="88" customFormat="1" ht="36" x14ac:dyDescent="0.2">
      <c r="A852" s="510">
        <f>IF(B852="","",COUNT('Diário 1º PA'!$A$4:$A$2635)+ROW()-3)</f>
        <v>2585</v>
      </c>
      <c r="B852" s="414">
        <v>44687</v>
      </c>
      <c r="C852" s="424">
        <v>44652</v>
      </c>
      <c r="D852" s="415" t="s">
        <v>182</v>
      </c>
      <c r="E852" s="415" t="s">
        <v>1</v>
      </c>
      <c r="F852" s="425">
        <v>2856.08</v>
      </c>
      <c r="G852" s="427" t="s">
        <v>3847</v>
      </c>
      <c r="H852" s="415" t="s">
        <v>310</v>
      </c>
      <c r="I852" s="427" t="s">
        <v>938</v>
      </c>
      <c r="J852" s="415" t="s">
        <v>939</v>
      </c>
      <c r="K852" s="415" t="s">
        <v>806</v>
      </c>
      <c r="L852" s="415" t="s">
        <v>909</v>
      </c>
      <c r="M852" s="415" t="s">
        <v>310</v>
      </c>
      <c r="N852" s="414">
        <v>44687</v>
      </c>
      <c r="O852" s="414" t="s">
        <v>400</v>
      </c>
      <c r="P852" s="603">
        <f t="shared" si="107"/>
        <v>5</v>
      </c>
      <c r="Q852" s="603">
        <f t="shared" si="108"/>
        <v>4</v>
      </c>
      <c r="R852" s="604" t="str">
        <f t="shared" si="109"/>
        <v>Gastos_com_Pessoal</v>
      </c>
      <c r="S852" s="605" t="s">
        <v>310</v>
      </c>
      <c r="T852" s="605" t="s">
        <v>310</v>
      </c>
    </row>
    <row r="853" spans="1:20" s="88" customFormat="1" ht="36" x14ac:dyDescent="0.2">
      <c r="A853" s="510">
        <f>IF(B853="","",COUNT('Diário 1º PA'!$A$4:$A$2635)+ROW()-3)</f>
        <v>2586</v>
      </c>
      <c r="B853" s="414">
        <v>44687</v>
      </c>
      <c r="C853" s="424">
        <v>44652</v>
      </c>
      <c r="D853" s="415" t="s">
        <v>182</v>
      </c>
      <c r="E853" s="415" t="s">
        <v>1</v>
      </c>
      <c r="F853" s="425">
        <v>2218.38</v>
      </c>
      <c r="G853" s="427" t="s">
        <v>3848</v>
      </c>
      <c r="H853" s="415" t="s">
        <v>310</v>
      </c>
      <c r="I853" s="427" t="s">
        <v>941</v>
      </c>
      <c r="J853" s="415" t="s">
        <v>942</v>
      </c>
      <c r="K853" s="415" t="s">
        <v>806</v>
      </c>
      <c r="L853" s="415" t="s">
        <v>909</v>
      </c>
      <c r="M853" s="415" t="s">
        <v>310</v>
      </c>
      <c r="N853" s="414">
        <v>44687</v>
      </c>
      <c r="O853" s="414" t="s">
        <v>400</v>
      </c>
      <c r="P853" s="603">
        <f t="shared" si="107"/>
        <v>5</v>
      </c>
      <c r="Q853" s="603">
        <f t="shared" si="108"/>
        <v>4</v>
      </c>
      <c r="R853" s="604" t="str">
        <f t="shared" si="109"/>
        <v>Gastos_com_Pessoal</v>
      </c>
      <c r="S853" s="605" t="s">
        <v>310</v>
      </c>
      <c r="T853" s="605" t="s">
        <v>310</v>
      </c>
    </row>
    <row r="854" spans="1:20" s="88" customFormat="1" ht="36" x14ac:dyDescent="0.2">
      <c r="A854" s="510">
        <f>IF(B854="","",COUNT('Diário 1º PA'!$A$4:$A$2635)+ROW()-3)</f>
        <v>2587</v>
      </c>
      <c r="B854" s="414">
        <v>44687</v>
      </c>
      <c r="C854" s="424">
        <v>44652</v>
      </c>
      <c r="D854" s="415" t="s">
        <v>182</v>
      </c>
      <c r="E854" s="415" t="s">
        <v>1</v>
      </c>
      <c r="F854" s="425">
        <v>2095.64</v>
      </c>
      <c r="G854" s="427" t="s">
        <v>3841</v>
      </c>
      <c r="H854" s="415" t="s">
        <v>310</v>
      </c>
      <c r="I854" s="427" t="s">
        <v>943</v>
      </c>
      <c r="J854" s="415" t="s">
        <v>1553</v>
      </c>
      <c r="K854" s="415" t="s">
        <v>806</v>
      </c>
      <c r="L854" s="415" t="s">
        <v>909</v>
      </c>
      <c r="M854" s="415" t="s">
        <v>310</v>
      </c>
      <c r="N854" s="414">
        <v>44687</v>
      </c>
      <c r="O854" s="414" t="s">
        <v>400</v>
      </c>
      <c r="P854" s="603">
        <f t="shared" si="107"/>
        <v>5</v>
      </c>
      <c r="Q854" s="603">
        <f t="shared" si="108"/>
        <v>4</v>
      </c>
      <c r="R854" s="604" t="str">
        <f t="shared" si="109"/>
        <v>Gastos_com_Pessoal</v>
      </c>
      <c r="S854" s="605" t="s">
        <v>310</v>
      </c>
      <c r="T854" s="605" t="s">
        <v>310</v>
      </c>
    </row>
    <row r="855" spans="1:20" s="88" customFormat="1" ht="36" x14ac:dyDescent="0.2">
      <c r="A855" s="510">
        <f>IF(B855="","",COUNT('Diário 1º PA'!$A$4:$A$2635)+ROW()-3)</f>
        <v>2588</v>
      </c>
      <c r="B855" s="414">
        <v>44687</v>
      </c>
      <c r="C855" s="424">
        <v>44652</v>
      </c>
      <c r="D855" s="415" t="s">
        <v>182</v>
      </c>
      <c r="E855" s="415" t="s">
        <v>1</v>
      </c>
      <c r="F855" s="425">
        <v>2901.97</v>
      </c>
      <c r="G855" s="427" t="s">
        <v>3849</v>
      </c>
      <c r="H855" s="415" t="s">
        <v>310</v>
      </c>
      <c r="I855" s="427" t="s">
        <v>946</v>
      </c>
      <c r="J855" s="415" t="s">
        <v>947</v>
      </c>
      <c r="K855" s="415" t="s">
        <v>806</v>
      </c>
      <c r="L855" s="415" t="s">
        <v>909</v>
      </c>
      <c r="M855" s="415" t="s">
        <v>310</v>
      </c>
      <c r="N855" s="414">
        <v>44687</v>
      </c>
      <c r="O855" s="414" t="s">
        <v>400</v>
      </c>
      <c r="P855" s="603">
        <f t="shared" si="107"/>
        <v>5</v>
      </c>
      <c r="Q855" s="603">
        <f t="shared" si="108"/>
        <v>4</v>
      </c>
      <c r="R855" s="604" t="str">
        <f t="shared" si="109"/>
        <v>Gastos_com_Pessoal</v>
      </c>
      <c r="S855" s="605" t="s">
        <v>310</v>
      </c>
      <c r="T855" s="605" t="s">
        <v>310</v>
      </c>
    </row>
    <row r="856" spans="1:20" s="88" customFormat="1" ht="36" x14ac:dyDescent="0.2">
      <c r="A856" s="510">
        <f>IF(B856="","",COUNT('Diário 1º PA'!$A$4:$A$2635)+ROW()-3)</f>
        <v>2589</v>
      </c>
      <c r="B856" s="414">
        <v>44687</v>
      </c>
      <c r="C856" s="424">
        <v>44652</v>
      </c>
      <c r="D856" s="415" t="s">
        <v>182</v>
      </c>
      <c r="E856" s="415" t="s">
        <v>1</v>
      </c>
      <c r="F856" s="425">
        <v>4517.67</v>
      </c>
      <c r="G856" s="427" t="s">
        <v>3850</v>
      </c>
      <c r="H856" s="415" t="s">
        <v>310</v>
      </c>
      <c r="I856" s="427" t="s">
        <v>949</v>
      </c>
      <c r="J856" s="415" t="s">
        <v>950</v>
      </c>
      <c r="K856" s="415" t="s">
        <v>806</v>
      </c>
      <c r="L856" s="415" t="s">
        <v>909</v>
      </c>
      <c r="M856" s="415" t="s">
        <v>310</v>
      </c>
      <c r="N856" s="414">
        <v>44687</v>
      </c>
      <c r="O856" s="414" t="s">
        <v>400</v>
      </c>
      <c r="P856" s="603">
        <f t="shared" si="107"/>
        <v>5</v>
      </c>
      <c r="Q856" s="603">
        <f t="shared" si="108"/>
        <v>4</v>
      </c>
      <c r="R856" s="604" t="str">
        <f t="shared" si="109"/>
        <v>Gastos_com_Pessoal</v>
      </c>
      <c r="S856" s="605" t="s">
        <v>310</v>
      </c>
      <c r="T856" s="605" t="s">
        <v>310</v>
      </c>
    </row>
    <row r="857" spans="1:20" s="88" customFormat="1" ht="84" customHeight="1" x14ac:dyDescent="0.2">
      <c r="A857" s="510">
        <f>IF(B857="","",COUNT('Diário 1º PA'!$A$4:$A$2635)+ROW()-3)</f>
        <v>2590</v>
      </c>
      <c r="B857" s="414">
        <v>44687</v>
      </c>
      <c r="C857" s="424">
        <v>44652</v>
      </c>
      <c r="D857" s="415" t="s">
        <v>182</v>
      </c>
      <c r="E857" s="415" t="s">
        <v>4</v>
      </c>
      <c r="F857" s="425">
        <v>19803.16</v>
      </c>
      <c r="G857" s="440" t="s">
        <v>3839</v>
      </c>
      <c r="H857" s="415" t="s">
        <v>310</v>
      </c>
      <c r="I857" s="639" t="s">
        <v>1219</v>
      </c>
      <c r="J857" s="418" t="s">
        <v>310</v>
      </c>
      <c r="K857" s="418" t="s">
        <v>1220</v>
      </c>
      <c r="L857" s="399" t="s">
        <v>4</v>
      </c>
      <c r="M857" s="543" t="s">
        <v>310</v>
      </c>
      <c r="N857" s="414">
        <v>44687</v>
      </c>
      <c r="O857" s="414" t="s">
        <v>400</v>
      </c>
      <c r="P857" s="603">
        <f t="shared" si="107"/>
        <v>5</v>
      </c>
      <c r="Q857" s="603">
        <f t="shared" si="108"/>
        <v>4</v>
      </c>
      <c r="R857" s="604" t="str">
        <f t="shared" si="109"/>
        <v>Gastos_com_Pessoal</v>
      </c>
      <c r="S857" s="605" t="s">
        <v>310</v>
      </c>
      <c r="T857" s="605" t="s">
        <v>310</v>
      </c>
    </row>
    <row r="858" spans="1:20" s="88" customFormat="1" ht="60" x14ac:dyDescent="0.2">
      <c r="A858" s="510">
        <f>IF(B858="","",COUNT('Diário 1º PA'!$A$4:$A$2635)+ROW()-3)</f>
        <v>2591</v>
      </c>
      <c r="B858" s="414">
        <v>44687</v>
      </c>
      <c r="C858" s="424">
        <v>44652</v>
      </c>
      <c r="D858" s="415" t="s">
        <v>271</v>
      </c>
      <c r="E858" s="415" t="s">
        <v>456</v>
      </c>
      <c r="F858" s="425">
        <v>1697.5</v>
      </c>
      <c r="G858" s="427" t="s">
        <v>2842</v>
      </c>
      <c r="H858" s="419" t="s">
        <v>792</v>
      </c>
      <c r="I858" s="427" t="s">
        <v>3675</v>
      </c>
      <c r="J858" s="415" t="s">
        <v>2843</v>
      </c>
      <c r="K858" s="415" t="s">
        <v>830</v>
      </c>
      <c r="L858" s="415" t="s">
        <v>32</v>
      </c>
      <c r="M858" s="415" t="s">
        <v>3676</v>
      </c>
      <c r="N858" s="414">
        <v>44670</v>
      </c>
      <c r="O858" s="414" t="s">
        <v>400</v>
      </c>
      <c r="P858" s="603">
        <f t="shared" si="107"/>
        <v>5</v>
      </c>
      <c r="Q858" s="603">
        <f t="shared" si="108"/>
        <v>4</v>
      </c>
      <c r="R858" s="604" t="str">
        <f t="shared" si="109"/>
        <v>Gastos_Gerais</v>
      </c>
      <c r="S858" s="605" t="s">
        <v>1000</v>
      </c>
      <c r="T858" s="605">
        <v>3333</v>
      </c>
    </row>
    <row r="859" spans="1:20" s="88" customFormat="1" ht="36" x14ac:dyDescent="0.2">
      <c r="A859" s="510">
        <f>IF(B859="","",COUNT('Diário 1º PA'!$A$4:$A$2635)+ROW()-3)</f>
        <v>2592</v>
      </c>
      <c r="B859" s="414">
        <v>44687</v>
      </c>
      <c r="C859" s="424">
        <v>44652</v>
      </c>
      <c r="D859" s="415" t="s">
        <v>182</v>
      </c>
      <c r="E859" s="415" t="s">
        <v>1</v>
      </c>
      <c r="F859" s="425">
        <v>10713.52</v>
      </c>
      <c r="G859" s="427" t="s">
        <v>3851</v>
      </c>
      <c r="H859" s="415" t="s">
        <v>310</v>
      </c>
      <c r="I859" s="427" t="s">
        <v>952</v>
      </c>
      <c r="J859" s="415" t="s">
        <v>953</v>
      </c>
      <c r="K859" s="415" t="s">
        <v>830</v>
      </c>
      <c r="L859" s="415" t="s">
        <v>909</v>
      </c>
      <c r="M859" s="415" t="s">
        <v>310</v>
      </c>
      <c r="N859" s="414">
        <v>44687</v>
      </c>
      <c r="O859" s="414" t="s">
        <v>400</v>
      </c>
      <c r="P859" s="603">
        <f t="shared" si="107"/>
        <v>5</v>
      </c>
      <c r="Q859" s="603">
        <f t="shared" si="108"/>
        <v>4</v>
      </c>
      <c r="R859" s="604" t="str">
        <f t="shared" si="109"/>
        <v>Gastos_com_Pessoal</v>
      </c>
      <c r="S859" s="605" t="s">
        <v>310</v>
      </c>
      <c r="T859" s="605" t="s">
        <v>310</v>
      </c>
    </row>
    <row r="860" spans="1:20" s="88" customFormat="1" ht="36" x14ac:dyDescent="0.2">
      <c r="A860" s="510">
        <f>IF(B860="","",COUNT('Diário 1º PA'!$A$4:$A$2635)+ROW()-3)</f>
        <v>2593</v>
      </c>
      <c r="B860" s="414">
        <v>44687</v>
      </c>
      <c r="C860" s="424">
        <v>44652</v>
      </c>
      <c r="D860" s="415" t="s">
        <v>182</v>
      </c>
      <c r="E860" s="415" t="s">
        <v>1</v>
      </c>
      <c r="F860" s="425">
        <v>1939.66</v>
      </c>
      <c r="G860" s="427" t="s">
        <v>3841</v>
      </c>
      <c r="H860" s="415" t="s">
        <v>310</v>
      </c>
      <c r="I860" s="427" t="s">
        <v>954</v>
      </c>
      <c r="J860" s="415" t="s">
        <v>955</v>
      </c>
      <c r="K860" s="415" t="s">
        <v>830</v>
      </c>
      <c r="L860" s="415" t="s">
        <v>909</v>
      </c>
      <c r="M860" s="415" t="s">
        <v>310</v>
      </c>
      <c r="N860" s="414">
        <v>44687</v>
      </c>
      <c r="O860" s="414" t="s">
        <v>400</v>
      </c>
      <c r="P860" s="603">
        <f t="shared" si="107"/>
        <v>5</v>
      </c>
      <c r="Q860" s="603">
        <f t="shared" si="108"/>
        <v>4</v>
      </c>
      <c r="R860" s="604" t="str">
        <f t="shared" si="109"/>
        <v>Gastos_com_Pessoal</v>
      </c>
      <c r="S860" s="605" t="s">
        <v>310</v>
      </c>
      <c r="T860" s="605" t="s">
        <v>310</v>
      </c>
    </row>
    <row r="861" spans="1:20" s="88" customFormat="1" ht="36" x14ac:dyDescent="0.2">
      <c r="A861" s="510">
        <f>IF(B861="","",COUNT('Diário 1º PA'!$A$4:$A$2635)+ROW()-3)</f>
        <v>2594</v>
      </c>
      <c r="B861" s="414">
        <v>44687</v>
      </c>
      <c r="C861" s="424">
        <v>44652</v>
      </c>
      <c r="D861" s="415" t="s">
        <v>182</v>
      </c>
      <c r="E861" s="415" t="s">
        <v>1</v>
      </c>
      <c r="F861" s="435">
        <v>2793.94</v>
      </c>
      <c r="G861" s="427" t="s">
        <v>3852</v>
      </c>
      <c r="H861" s="434" t="s">
        <v>310</v>
      </c>
      <c r="I861" s="427" t="s">
        <v>957</v>
      </c>
      <c r="J861" s="415" t="s">
        <v>958</v>
      </c>
      <c r="K861" s="415" t="s">
        <v>830</v>
      </c>
      <c r="L861" s="415" t="s">
        <v>909</v>
      </c>
      <c r="M861" s="415" t="s">
        <v>310</v>
      </c>
      <c r="N861" s="414">
        <v>44687</v>
      </c>
      <c r="O861" s="414" t="s">
        <v>400</v>
      </c>
      <c r="P861" s="603">
        <f t="shared" si="107"/>
        <v>5</v>
      </c>
      <c r="Q861" s="603">
        <f t="shared" si="108"/>
        <v>4</v>
      </c>
      <c r="R861" s="604" t="str">
        <f t="shared" si="109"/>
        <v>Gastos_com_Pessoal</v>
      </c>
      <c r="S861" s="605" t="s">
        <v>310</v>
      </c>
      <c r="T861" s="605" t="s">
        <v>310</v>
      </c>
    </row>
    <row r="862" spans="1:20" s="88" customFormat="1" ht="36" x14ac:dyDescent="0.2">
      <c r="A862" s="510">
        <f>IF(B862="","",COUNT('Diário 1º PA'!$A$4:$A$2635)+ROW()-3)</f>
        <v>2595</v>
      </c>
      <c r="B862" s="414">
        <v>44687</v>
      </c>
      <c r="C862" s="424">
        <v>44652</v>
      </c>
      <c r="D862" s="415" t="s">
        <v>182</v>
      </c>
      <c r="E862" s="415" t="s">
        <v>1</v>
      </c>
      <c r="F862" s="425">
        <v>2797.87</v>
      </c>
      <c r="G862" s="427" t="s">
        <v>3852</v>
      </c>
      <c r="H862" s="415" t="s">
        <v>310</v>
      </c>
      <c r="I862" s="427" t="s">
        <v>959</v>
      </c>
      <c r="J862" s="415" t="s">
        <v>960</v>
      </c>
      <c r="K862" s="415" t="s">
        <v>830</v>
      </c>
      <c r="L862" s="415" t="s">
        <v>909</v>
      </c>
      <c r="M862" s="415" t="s">
        <v>310</v>
      </c>
      <c r="N862" s="414">
        <v>44687</v>
      </c>
      <c r="O862" s="414" t="s">
        <v>400</v>
      </c>
      <c r="P862" s="603">
        <f t="shared" si="107"/>
        <v>5</v>
      </c>
      <c r="Q862" s="603">
        <f t="shared" si="108"/>
        <v>4</v>
      </c>
      <c r="R862" s="604" t="str">
        <f t="shared" si="109"/>
        <v>Gastos_com_Pessoal</v>
      </c>
      <c r="S862" s="605" t="s">
        <v>310</v>
      </c>
      <c r="T862" s="605" t="s">
        <v>310</v>
      </c>
    </row>
    <row r="863" spans="1:20" s="88" customFormat="1" ht="36" x14ac:dyDescent="0.2">
      <c r="A863" s="510">
        <f>IF(B863="","",COUNT('Diário 1º PA'!$A$4:$A$2635)+ROW()-3)</f>
        <v>2596</v>
      </c>
      <c r="B863" s="414">
        <v>44687</v>
      </c>
      <c r="C863" s="424">
        <v>44652</v>
      </c>
      <c r="D863" s="415" t="s">
        <v>182</v>
      </c>
      <c r="E863" s="415" t="s">
        <v>1</v>
      </c>
      <c r="F863" s="425">
        <v>2077.66</v>
      </c>
      <c r="G863" s="427" t="s">
        <v>3853</v>
      </c>
      <c r="H863" s="415" t="s">
        <v>310</v>
      </c>
      <c r="I863" s="427" t="s">
        <v>961</v>
      </c>
      <c r="J863" s="415" t="s">
        <v>962</v>
      </c>
      <c r="K863" s="415" t="s">
        <v>830</v>
      </c>
      <c r="L863" s="415" t="s">
        <v>909</v>
      </c>
      <c r="M863" s="415" t="s">
        <v>310</v>
      </c>
      <c r="N863" s="414">
        <v>44687</v>
      </c>
      <c r="O863" s="414" t="s">
        <v>400</v>
      </c>
      <c r="P863" s="603">
        <f t="shared" si="107"/>
        <v>5</v>
      </c>
      <c r="Q863" s="603">
        <f t="shared" si="108"/>
        <v>4</v>
      </c>
      <c r="R863" s="604" t="str">
        <f t="shared" si="109"/>
        <v>Gastos_com_Pessoal</v>
      </c>
      <c r="S863" s="605" t="s">
        <v>310</v>
      </c>
      <c r="T863" s="605" t="s">
        <v>310</v>
      </c>
    </row>
    <row r="864" spans="1:20" s="88" customFormat="1" ht="36" x14ac:dyDescent="0.2">
      <c r="A864" s="510">
        <f>IF(B864="","",COUNT('Diário 1º PA'!$A$4:$A$2635)+ROW()-3)</f>
        <v>2597</v>
      </c>
      <c r="B864" s="414">
        <v>44687</v>
      </c>
      <c r="C864" s="424">
        <v>44652</v>
      </c>
      <c r="D864" s="415" t="s">
        <v>182</v>
      </c>
      <c r="E864" s="415" t="s">
        <v>1</v>
      </c>
      <c r="F864" s="425">
        <v>3226.72</v>
      </c>
      <c r="G864" s="427" t="s">
        <v>3383</v>
      </c>
      <c r="H864" s="415" t="s">
        <v>310</v>
      </c>
      <c r="I864" s="427" t="s">
        <v>963</v>
      </c>
      <c r="J864" s="415" t="s">
        <v>964</v>
      </c>
      <c r="K864" s="415" t="s">
        <v>830</v>
      </c>
      <c r="L864" s="415" t="s">
        <v>909</v>
      </c>
      <c r="M864" s="415" t="s">
        <v>310</v>
      </c>
      <c r="N864" s="414">
        <v>44687</v>
      </c>
      <c r="O864" s="414" t="s">
        <v>400</v>
      </c>
      <c r="P864" s="603">
        <f t="shared" si="107"/>
        <v>5</v>
      </c>
      <c r="Q864" s="603">
        <f t="shared" si="108"/>
        <v>4</v>
      </c>
      <c r="R864" s="604" t="str">
        <f t="shared" si="109"/>
        <v>Gastos_com_Pessoal</v>
      </c>
      <c r="S864" s="605" t="s">
        <v>310</v>
      </c>
      <c r="T864" s="605" t="s">
        <v>310</v>
      </c>
    </row>
    <row r="865" spans="1:20" s="88" customFormat="1" ht="36" x14ac:dyDescent="0.2">
      <c r="A865" s="510">
        <f>IF(B865="","",COUNT('Diário 1º PA'!$A$4:$A$2635)+ROW()-3)</f>
        <v>2598</v>
      </c>
      <c r="B865" s="414">
        <v>44687</v>
      </c>
      <c r="C865" s="424">
        <v>44652</v>
      </c>
      <c r="D865" s="415" t="s">
        <v>182</v>
      </c>
      <c r="E865" s="415" t="s">
        <v>1</v>
      </c>
      <c r="F865" s="425">
        <v>2985.82</v>
      </c>
      <c r="G865" s="427" t="s">
        <v>3854</v>
      </c>
      <c r="H865" s="415" t="s">
        <v>310</v>
      </c>
      <c r="I865" s="427" t="s">
        <v>966</v>
      </c>
      <c r="J865" s="415" t="s">
        <v>967</v>
      </c>
      <c r="K865" s="415" t="s">
        <v>830</v>
      </c>
      <c r="L865" s="415" t="s">
        <v>909</v>
      </c>
      <c r="M865" s="415" t="s">
        <v>310</v>
      </c>
      <c r="N865" s="414">
        <v>44687</v>
      </c>
      <c r="O865" s="414" t="s">
        <v>400</v>
      </c>
      <c r="P865" s="603">
        <f t="shared" si="107"/>
        <v>5</v>
      </c>
      <c r="Q865" s="603">
        <f t="shared" si="108"/>
        <v>4</v>
      </c>
      <c r="R865" s="604" t="str">
        <f t="shared" si="109"/>
        <v>Gastos_com_Pessoal</v>
      </c>
      <c r="S865" s="605" t="s">
        <v>310</v>
      </c>
      <c r="T865" s="605" t="s">
        <v>310</v>
      </c>
    </row>
    <row r="866" spans="1:20" s="88" customFormat="1" ht="36" x14ac:dyDescent="0.2">
      <c r="A866" s="510">
        <f>IF(B866="","",COUNT('Diário 1º PA'!$A$4:$A$2635)+ROW()-3)</f>
        <v>2599</v>
      </c>
      <c r="B866" s="414">
        <v>44687</v>
      </c>
      <c r="C866" s="424">
        <v>44652</v>
      </c>
      <c r="D866" s="415" t="s">
        <v>182</v>
      </c>
      <c r="E866" s="415" t="s">
        <v>1</v>
      </c>
      <c r="F866" s="425">
        <v>1948.79</v>
      </c>
      <c r="G866" s="427" t="s">
        <v>3855</v>
      </c>
      <c r="H866" s="415" t="s">
        <v>310</v>
      </c>
      <c r="I866" s="427" t="s">
        <v>969</v>
      </c>
      <c r="J866" s="415" t="s">
        <v>970</v>
      </c>
      <c r="K866" s="415" t="s">
        <v>830</v>
      </c>
      <c r="L866" s="415" t="s">
        <v>909</v>
      </c>
      <c r="M866" s="415" t="s">
        <v>310</v>
      </c>
      <c r="N866" s="414">
        <v>44687</v>
      </c>
      <c r="O866" s="414" t="s">
        <v>400</v>
      </c>
      <c r="P866" s="603">
        <f t="shared" si="107"/>
        <v>5</v>
      </c>
      <c r="Q866" s="603">
        <f t="shared" si="108"/>
        <v>4</v>
      </c>
      <c r="R866" s="604" t="str">
        <f t="shared" si="109"/>
        <v>Gastos_com_Pessoal</v>
      </c>
      <c r="S866" s="605" t="s">
        <v>310</v>
      </c>
      <c r="T866" s="605" t="s">
        <v>310</v>
      </c>
    </row>
    <row r="867" spans="1:20" s="88" customFormat="1" ht="36" x14ac:dyDescent="0.2">
      <c r="A867" s="510">
        <f>IF(B867="","",COUNT('Diário 1º PA'!$A$4:$A$2635)+ROW()-3)</f>
        <v>2600</v>
      </c>
      <c r="B867" s="414">
        <v>44687</v>
      </c>
      <c r="C867" s="424">
        <v>44652</v>
      </c>
      <c r="D867" s="415" t="s">
        <v>182</v>
      </c>
      <c r="E867" s="415" t="s">
        <v>1</v>
      </c>
      <c r="F867" s="425">
        <v>2261.98</v>
      </c>
      <c r="G867" s="427" t="s">
        <v>3856</v>
      </c>
      <c r="H867" s="415" t="s">
        <v>310</v>
      </c>
      <c r="I867" s="427" t="s">
        <v>972</v>
      </c>
      <c r="J867" s="415" t="s">
        <v>973</v>
      </c>
      <c r="K867" s="415" t="s">
        <v>830</v>
      </c>
      <c r="L867" s="415" t="s">
        <v>909</v>
      </c>
      <c r="M867" s="415" t="s">
        <v>310</v>
      </c>
      <c r="N867" s="414">
        <v>44687</v>
      </c>
      <c r="O867" s="414" t="s">
        <v>400</v>
      </c>
      <c r="P867" s="603">
        <f t="shared" si="107"/>
        <v>5</v>
      </c>
      <c r="Q867" s="603">
        <f t="shared" si="108"/>
        <v>4</v>
      </c>
      <c r="R867" s="604" t="str">
        <f t="shared" si="109"/>
        <v>Gastos_com_Pessoal</v>
      </c>
      <c r="S867" s="605" t="s">
        <v>310</v>
      </c>
      <c r="T867" s="605" t="s">
        <v>310</v>
      </c>
    </row>
    <row r="868" spans="1:20" s="88" customFormat="1" ht="36" x14ac:dyDescent="0.2">
      <c r="A868" s="510">
        <f>IF(B868="","",COUNT('Diário 1º PA'!$A$4:$A$2635)+ROW()-3)</f>
        <v>2601</v>
      </c>
      <c r="B868" s="414">
        <v>44687</v>
      </c>
      <c r="C868" s="424">
        <v>44652</v>
      </c>
      <c r="D868" s="415" t="s">
        <v>182</v>
      </c>
      <c r="E868" s="415" t="s">
        <v>1</v>
      </c>
      <c r="F868" s="425">
        <v>1957.64</v>
      </c>
      <c r="G868" s="427" t="s">
        <v>3845</v>
      </c>
      <c r="H868" s="415" t="s">
        <v>310</v>
      </c>
      <c r="I868" s="427" t="s">
        <v>975</v>
      </c>
      <c r="J868" s="415" t="s">
        <v>1565</v>
      </c>
      <c r="K868" s="415" t="s">
        <v>830</v>
      </c>
      <c r="L868" s="415" t="s">
        <v>909</v>
      </c>
      <c r="M868" s="415" t="s">
        <v>310</v>
      </c>
      <c r="N868" s="414">
        <v>44687</v>
      </c>
      <c r="O868" s="414" t="s">
        <v>400</v>
      </c>
      <c r="P868" s="603">
        <f t="shared" si="107"/>
        <v>5</v>
      </c>
      <c r="Q868" s="603">
        <f t="shared" si="108"/>
        <v>4</v>
      </c>
      <c r="R868" s="604" t="str">
        <f t="shared" si="109"/>
        <v>Gastos_com_Pessoal</v>
      </c>
      <c r="S868" s="605" t="s">
        <v>310</v>
      </c>
      <c r="T868" s="605" t="s">
        <v>310</v>
      </c>
    </row>
    <row r="869" spans="1:20" s="88" customFormat="1" ht="36" x14ac:dyDescent="0.2">
      <c r="A869" s="510">
        <f>IF(B869="","",COUNT('Diário 1º PA'!$A$4:$A$2635)+ROW()-3)</f>
        <v>2602</v>
      </c>
      <c r="B869" s="414">
        <v>44687</v>
      </c>
      <c r="C869" s="424">
        <v>44652</v>
      </c>
      <c r="D869" s="415" t="s">
        <v>182</v>
      </c>
      <c r="E869" s="415" t="s">
        <v>1</v>
      </c>
      <c r="F869" s="425">
        <v>2900.56</v>
      </c>
      <c r="G869" s="427" t="s">
        <v>3857</v>
      </c>
      <c r="H869" s="415" t="s">
        <v>310</v>
      </c>
      <c r="I869" s="427" t="s">
        <v>3665</v>
      </c>
      <c r="J869" s="415" t="s">
        <v>3193</v>
      </c>
      <c r="K869" s="415" t="s">
        <v>830</v>
      </c>
      <c r="L869" s="415" t="s">
        <v>909</v>
      </c>
      <c r="M869" s="415" t="s">
        <v>310</v>
      </c>
      <c r="N869" s="414">
        <v>44687</v>
      </c>
      <c r="O869" s="414" t="s">
        <v>400</v>
      </c>
      <c r="P869" s="603">
        <f t="shared" si="107"/>
        <v>5</v>
      </c>
      <c r="Q869" s="603">
        <f t="shared" si="108"/>
        <v>4</v>
      </c>
      <c r="R869" s="604" t="str">
        <f t="shared" si="109"/>
        <v>Gastos_com_Pessoal</v>
      </c>
      <c r="S869" s="605" t="s">
        <v>310</v>
      </c>
      <c r="T869" s="605" t="s">
        <v>310</v>
      </c>
    </row>
    <row r="870" spans="1:20" s="88" customFormat="1" ht="36" x14ac:dyDescent="0.2">
      <c r="A870" s="510">
        <f>IF(B870="","",COUNT('Diário 1º PA'!$A$4:$A$2635)+ROW()-3)</f>
        <v>2603</v>
      </c>
      <c r="B870" s="414">
        <v>44687</v>
      </c>
      <c r="C870" s="424">
        <v>44652</v>
      </c>
      <c r="D870" s="415" t="s">
        <v>182</v>
      </c>
      <c r="E870" s="415" t="s">
        <v>1</v>
      </c>
      <c r="F870" s="425">
        <v>1474.11</v>
      </c>
      <c r="G870" s="427" t="s">
        <v>3844</v>
      </c>
      <c r="H870" s="415" t="s">
        <v>310</v>
      </c>
      <c r="I870" s="427" t="s">
        <v>828</v>
      </c>
      <c r="J870" s="415" t="s">
        <v>829</v>
      </c>
      <c r="K870" s="415" t="s">
        <v>830</v>
      </c>
      <c r="L870" s="415" t="s">
        <v>909</v>
      </c>
      <c r="M870" s="415" t="s">
        <v>310</v>
      </c>
      <c r="N870" s="414">
        <v>44687</v>
      </c>
      <c r="O870" s="414" t="s">
        <v>400</v>
      </c>
      <c r="P870" s="603">
        <f t="shared" si="107"/>
        <v>5</v>
      </c>
      <c r="Q870" s="603">
        <f t="shared" si="108"/>
        <v>4</v>
      </c>
      <c r="R870" s="604" t="str">
        <f t="shared" si="109"/>
        <v>Gastos_com_Pessoal</v>
      </c>
      <c r="S870" s="605" t="s">
        <v>310</v>
      </c>
      <c r="T870" s="605" t="s">
        <v>310</v>
      </c>
    </row>
    <row r="871" spans="1:20" s="88" customFormat="1" ht="36" x14ac:dyDescent="0.2">
      <c r="A871" s="510">
        <f>IF(B871="","",COUNT('Diário 1º PA'!$A$4:$A$2635)+ROW()-3)</f>
        <v>2604</v>
      </c>
      <c r="B871" s="414">
        <v>44687</v>
      </c>
      <c r="C871" s="424">
        <v>44652</v>
      </c>
      <c r="D871" s="415" t="s">
        <v>182</v>
      </c>
      <c r="E871" s="415" t="s">
        <v>1</v>
      </c>
      <c r="F871" s="425">
        <v>2789.37</v>
      </c>
      <c r="G871" s="427" t="s">
        <v>3858</v>
      </c>
      <c r="H871" s="415" t="s">
        <v>310</v>
      </c>
      <c r="I871" s="427" t="s">
        <v>977</v>
      </c>
      <c r="J871" s="415" t="s">
        <v>978</v>
      </c>
      <c r="K871" s="415" t="s">
        <v>830</v>
      </c>
      <c r="L871" s="415" t="s">
        <v>909</v>
      </c>
      <c r="M871" s="415" t="s">
        <v>310</v>
      </c>
      <c r="N871" s="414">
        <v>44687</v>
      </c>
      <c r="O871" s="414" t="s">
        <v>400</v>
      </c>
      <c r="P871" s="603">
        <f t="shared" si="107"/>
        <v>5</v>
      </c>
      <c r="Q871" s="603">
        <f t="shared" si="108"/>
        <v>4</v>
      </c>
      <c r="R871" s="604" t="str">
        <f t="shared" si="109"/>
        <v>Gastos_com_Pessoal</v>
      </c>
      <c r="S871" s="605" t="s">
        <v>310</v>
      </c>
      <c r="T871" s="605" t="s">
        <v>310</v>
      </c>
    </row>
    <row r="872" spans="1:20" s="88" customFormat="1" ht="36" x14ac:dyDescent="0.2">
      <c r="A872" s="510">
        <f>IF(B872="","",COUNT('Diário 1º PA'!$A$4:$A$2635)+ROW()-3)</f>
        <v>2605</v>
      </c>
      <c r="B872" s="414">
        <v>44687</v>
      </c>
      <c r="C872" s="424">
        <v>44652</v>
      </c>
      <c r="D872" s="415" t="s">
        <v>182</v>
      </c>
      <c r="E872" s="415" t="s">
        <v>1</v>
      </c>
      <c r="F872" s="425">
        <v>2077.66</v>
      </c>
      <c r="G872" s="427" t="s">
        <v>3859</v>
      </c>
      <c r="H872" s="415" t="s">
        <v>310</v>
      </c>
      <c r="I872" s="427" t="s">
        <v>980</v>
      </c>
      <c r="J872" s="415" t="s">
        <v>981</v>
      </c>
      <c r="K872" s="415" t="s">
        <v>830</v>
      </c>
      <c r="L872" s="415" t="s">
        <v>909</v>
      </c>
      <c r="M872" s="415" t="s">
        <v>310</v>
      </c>
      <c r="N872" s="414">
        <v>44687</v>
      </c>
      <c r="O872" s="414" t="s">
        <v>400</v>
      </c>
      <c r="P872" s="603">
        <f t="shared" si="107"/>
        <v>5</v>
      </c>
      <c r="Q872" s="603">
        <f t="shared" si="108"/>
        <v>4</v>
      </c>
      <c r="R872" s="604" t="str">
        <f t="shared" si="109"/>
        <v>Gastos_com_Pessoal</v>
      </c>
      <c r="S872" s="605" t="s">
        <v>310</v>
      </c>
      <c r="T872" s="605" t="s">
        <v>310</v>
      </c>
    </row>
    <row r="873" spans="1:20" s="88" customFormat="1" ht="36" x14ac:dyDescent="0.2">
      <c r="A873" s="510">
        <f>IF(B873="","",COUNT('Diário 1º PA'!$A$4:$A$2635)+ROW()-3)</f>
        <v>2606</v>
      </c>
      <c r="B873" s="414">
        <v>44687</v>
      </c>
      <c r="C873" s="424">
        <v>44652</v>
      </c>
      <c r="D873" s="415" t="s">
        <v>182</v>
      </c>
      <c r="E873" s="415" t="s">
        <v>1</v>
      </c>
      <c r="F873" s="425">
        <v>1939.66</v>
      </c>
      <c r="G873" s="427" t="s">
        <v>3859</v>
      </c>
      <c r="H873" s="415" t="s">
        <v>310</v>
      </c>
      <c r="I873" s="427" t="s">
        <v>982</v>
      </c>
      <c r="J873" s="415" t="s">
        <v>983</v>
      </c>
      <c r="K873" s="415" t="s">
        <v>830</v>
      </c>
      <c r="L873" s="415" t="s">
        <v>909</v>
      </c>
      <c r="M873" s="415" t="s">
        <v>310</v>
      </c>
      <c r="N873" s="414">
        <v>44687</v>
      </c>
      <c r="O873" s="414" t="s">
        <v>400</v>
      </c>
      <c r="P873" s="603">
        <f t="shared" si="107"/>
        <v>5</v>
      </c>
      <c r="Q873" s="603">
        <f t="shared" si="108"/>
        <v>4</v>
      </c>
      <c r="R873" s="604" t="str">
        <f t="shared" si="109"/>
        <v>Gastos_com_Pessoal</v>
      </c>
      <c r="S873" s="605" t="s">
        <v>310</v>
      </c>
      <c r="T873" s="605" t="s">
        <v>310</v>
      </c>
    </row>
    <row r="874" spans="1:20" s="88" customFormat="1" ht="36" x14ac:dyDescent="0.2">
      <c r="A874" s="510">
        <f>IF(B874="","",COUNT('Diário 1º PA'!$A$4:$A$2635)+ROW()-3)</f>
        <v>2607</v>
      </c>
      <c r="B874" s="414">
        <v>44687</v>
      </c>
      <c r="C874" s="424">
        <v>44652</v>
      </c>
      <c r="D874" s="415" t="s">
        <v>182</v>
      </c>
      <c r="E874" s="415" t="s">
        <v>1</v>
      </c>
      <c r="F874" s="425">
        <v>2871.58</v>
      </c>
      <c r="G874" s="427" t="s">
        <v>3860</v>
      </c>
      <c r="H874" s="415" t="s">
        <v>310</v>
      </c>
      <c r="I874" s="427" t="s">
        <v>985</v>
      </c>
      <c r="J874" s="415" t="s">
        <v>986</v>
      </c>
      <c r="K874" s="415" t="s">
        <v>830</v>
      </c>
      <c r="L874" s="415" t="s">
        <v>909</v>
      </c>
      <c r="M874" s="415" t="s">
        <v>310</v>
      </c>
      <c r="N874" s="414">
        <v>44687</v>
      </c>
      <c r="O874" s="414" t="s">
        <v>400</v>
      </c>
      <c r="P874" s="603">
        <f t="shared" si="107"/>
        <v>5</v>
      </c>
      <c r="Q874" s="603">
        <f t="shared" si="108"/>
        <v>4</v>
      </c>
      <c r="R874" s="604" t="str">
        <f t="shared" si="109"/>
        <v>Gastos_com_Pessoal</v>
      </c>
      <c r="S874" s="605" t="s">
        <v>310</v>
      </c>
      <c r="T874" s="605" t="s">
        <v>310</v>
      </c>
    </row>
    <row r="875" spans="1:20" s="88" customFormat="1" ht="36" x14ac:dyDescent="0.2">
      <c r="A875" s="510">
        <f>IF(B875="","",COUNT('Diário 1º PA'!$A$4:$A$2635)+ROW()-3)</f>
        <v>2608</v>
      </c>
      <c r="B875" s="414">
        <v>44687</v>
      </c>
      <c r="C875" s="424">
        <v>44652</v>
      </c>
      <c r="D875" s="415" t="s">
        <v>182</v>
      </c>
      <c r="E875" s="415" t="s">
        <v>1</v>
      </c>
      <c r="F875" s="425">
        <v>2077.66</v>
      </c>
      <c r="G875" s="440" t="s">
        <v>3869</v>
      </c>
      <c r="H875" s="415" t="s">
        <v>310</v>
      </c>
      <c r="I875" s="427" t="s">
        <v>3519</v>
      </c>
      <c r="J875" s="415" t="s">
        <v>988</v>
      </c>
      <c r="K875" s="415" t="s">
        <v>830</v>
      </c>
      <c r="L875" s="415" t="s">
        <v>909</v>
      </c>
      <c r="M875" s="415" t="s">
        <v>310</v>
      </c>
      <c r="N875" s="414">
        <v>44657</v>
      </c>
      <c r="O875" s="414" t="s">
        <v>400</v>
      </c>
      <c r="P875" s="603">
        <f t="shared" si="107"/>
        <v>5</v>
      </c>
      <c r="Q875" s="603">
        <f t="shared" si="108"/>
        <v>4</v>
      </c>
      <c r="R875" s="604" t="str">
        <f t="shared" si="109"/>
        <v>Gastos_com_Pessoal</v>
      </c>
      <c r="S875" s="605" t="s">
        <v>310</v>
      </c>
      <c r="T875" s="605" t="s">
        <v>310</v>
      </c>
    </row>
    <row r="876" spans="1:20" s="88" customFormat="1" ht="36" x14ac:dyDescent="0.2">
      <c r="A876" s="510">
        <f>IF(B876="","",COUNT('Diário 1º PA'!$A$4:$A$2635)+ROW()-3)</f>
        <v>2609</v>
      </c>
      <c r="B876" s="414">
        <v>44687</v>
      </c>
      <c r="C876" s="424">
        <v>44652</v>
      </c>
      <c r="D876" s="415" t="s">
        <v>182</v>
      </c>
      <c r="E876" s="415" t="s">
        <v>1</v>
      </c>
      <c r="F876" s="425">
        <v>6147.87</v>
      </c>
      <c r="G876" s="427" t="s">
        <v>3861</v>
      </c>
      <c r="H876" s="415" t="s">
        <v>310</v>
      </c>
      <c r="I876" s="427" t="s">
        <v>990</v>
      </c>
      <c r="J876" s="415" t="s">
        <v>991</v>
      </c>
      <c r="K876" s="415" t="s">
        <v>830</v>
      </c>
      <c r="L876" s="415" t="s">
        <v>909</v>
      </c>
      <c r="M876" s="415" t="s">
        <v>310</v>
      </c>
      <c r="N876" s="414">
        <v>44687</v>
      </c>
      <c r="O876" s="414" t="s">
        <v>400</v>
      </c>
      <c r="P876" s="603">
        <f t="shared" si="107"/>
        <v>5</v>
      </c>
      <c r="Q876" s="603">
        <f t="shared" si="108"/>
        <v>4</v>
      </c>
      <c r="R876" s="604" t="str">
        <f t="shared" si="109"/>
        <v>Gastos_com_Pessoal</v>
      </c>
      <c r="S876" s="605" t="s">
        <v>310</v>
      </c>
      <c r="T876" s="605" t="s">
        <v>310</v>
      </c>
    </row>
    <row r="877" spans="1:20" s="88" customFormat="1" ht="36" x14ac:dyDescent="0.2">
      <c r="A877" s="510">
        <f>IF(B877="","",COUNT('Diário 1º PA'!$A$4:$A$2635)+ROW()-3)</f>
        <v>2610</v>
      </c>
      <c r="B877" s="414">
        <v>44687</v>
      </c>
      <c r="C877" s="424">
        <v>44652</v>
      </c>
      <c r="D877" s="415" t="s">
        <v>182</v>
      </c>
      <c r="E877" s="415" t="s">
        <v>1</v>
      </c>
      <c r="F877" s="425">
        <v>2033.5</v>
      </c>
      <c r="G877" s="427" t="s">
        <v>3841</v>
      </c>
      <c r="H877" s="415" t="s">
        <v>310</v>
      </c>
      <c r="I877" s="427" t="s">
        <v>992</v>
      </c>
      <c r="J877" s="415" t="s">
        <v>993</v>
      </c>
      <c r="K877" s="415" t="s">
        <v>830</v>
      </c>
      <c r="L877" s="415" t="s">
        <v>909</v>
      </c>
      <c r="M877" s="415" t="s">
        <v>310</v>
      </c>
      <c r="N877" s="414">
        <v>44687</v>
      </c>
      <c r="O877" s="414" t="s">
        <v>400</v>
      </c>
      <c r="P877" s="603">
        <f t="shared" si="107"/>
        <v>5</v>
      </c>
      <c r="Q877" s="603">
        <f t="shared" si="108"/>
        <v>4</v>
      </c>
      <c r="R877" s="604" t="str">
        <f t="shared" si="109"/>
        <v>Gastos_com_Pessoal</v>
      </c>
      <c r="S877" s="605" t="s">
        <v>310</v>
      </c>
      <c r="T877" s="605" t="s">
        <v>310</v>
      </c>
    </row>
    <row r="878" spans="1:20" s="88" customFormat="1" ht="36" x14ac:dyDescent="0.2">
      <c r="A878" s="510">
        <f>IF(B878="","",COUNT('Diário 1º PA'!$A$4:$A$2635)+ROW()-3)</f>
        <v>2611</v>
      </c>
      <c r="B878" s="414">
        <v>44687</v>
      </c>
      <c r="C878" s="424">
        <v>44652</v>
      </c>
      <c r="D878" s="415" t="s">
        <v>182</v>
      </c>
      <c r="E878" s="415" t="s">
        <v>1</v>
      </c>
      <c r="F878" s="425">
        <v>2111.1799999999998</v>
      </c>
      <c r="G878" s="427" t="s">
        <v>3845</v>
      </c>
      <c r="H878" s="415" t="s">
        <v>310</v>
      </c>
      <c r="I878" s="427" t="s">
        <v>994</v>
      </c>
      <c r="J878" s="415" t="s">
        <v>995</v>
      </c>
      <c r="K878" s="415" t="s">
        <v>830</v>
      </c>
      <c r="L878" s="415" t="s">
        <v>909</v>
      </c>
      <c r="M878" s="415" t="s">
        <v>310</v>
      </c>
      <c r="N878" s="414">
        <v>44687</v>
      </c>
      <c r="O878" s="414" t="s">
        <v>400</v>
      </c>
      <c r="P878" s="603">
        <f t="shared" si="107"/>
        <v>5</v>
      </c>
      <c r="Q878" s="603">
        <f t="shared" si="108"/>
        <v>4</v>
      </c>
      <c r="R878" s="604" t="str">
        <f t="shared" si="109"/>
        <v>Gastos_com_Pessoal</v>
      </c>
      <c r="S878" s="605" t="s">
        <v>310</v>
      </c>
      <c r="T878" s="605" t="s">
        <v>310</v>
      </c>
    </row>
    <row r="879" spans="1:20" s="88" customFormat="1" ht="36" x14ac:dyDescent="0.2">
      <c r="A879" s="510">
        <f>IF(B879="","",COUNT('Diário 1º PA'!$A$4:$A$2635)+ROW()-3)</f>
        <v>2612</v>
      </c>
      <c r="B879" s="414">
        <v>44687</v>
      </c>
      <c r="C879" s="424">
        <v>44652</v>
      </c>
      <c r="D879" s="415" t="s">
        <v>182</v>
      </c>
      <c r="E879" s="415" t="s">
        <v>1</v>
      </c>
      <c r="F879" s="425">
        <v>1798.72</v>
      </c>
      <c r="G879" s="440" t="s">
        <v>3841</v>
      </c>
      <c r="H879" s="415" t="s">
        <v>310</v>
      </c>
      <c r="I879" s="427" t="s">
        <v>1177</v>
      </c>
      <c r="J879" s="415" t="s">
        <v>1178</v>
      </c>
      <c r="K879" s="415" t="s">
        <v>830</v>
      </c>
      <c r="L879" s="415" t="s">
        <v>909</v>
      </c>
      <c r="M879" s="415" t="s">
        <v>310</v>
      </c>
      <c r="N879" s="414">
        <v>44687</v>
      </c>
      <c r="O879" s="414" t="s">
        <v>400</v>
      </c>
      <c r="P879" s="603">
        <f t="shared" si="107"/>
        <v>5</v>
      </c>
      <c r="Q879" s="603">
        <f t="shared" si="108"/>
        <v>4</v>
      </c>
      <c r="R879" s="604" t="str">
        <f t="shared" si="109"/>
        <v>Gastos_com_Pessoal</v>
      </c>
      <c r="S879" s="605" t="s">
        <v>310</v>
      </c>
      <c r="T879" s="605" t="s">
        <v>310</v>
      </c>
    </row>
    <row r="880" spans="1:20" s="88" customFormat="1" ht="36" x14ac:dyDescent="0.2">
      <c r="A880" s="510">
        <f>IF(B880="","",COUNT('Diário 1º PA'!$A$4:$A$2635)+ROW()-3)</f>
        <v>2613</v>
      </c>
      <c r="B880" s="414">
        <v>44687</v>
      </c>
      <c r="C880" s="424">
        <v>44652</v>
      </c>
      <c r="D880" s="415" t="s">
        <v>182</v>
      </c>
      <c r="E880" s="415" t="s">
        <v>1</v>
      </c>
      <c r="F880" s="435">
        <v>2019.77</v>
      </c>
      <c r="G880" s="440" t="s">
        <v>3845</v>
      </c>
      <c r="H880" s="415" t="s">
        <v>310</v>
      </c>
      <c r="I880" s="437" t="s">
        <v>1167</v>
      </c>
      <c r="J880" s="434" t="s">
        <v>1168</v>
      </c>
      <c r="K880" s="415" t="s">
        <v>830</v>
      </c>
      <c r="L880" s="434" t="s">
        <v>909</v>
      </c>
      <c r="M880" s="415" t="s">
        <v>310</v>
      </c>
      <c r="N880" s="414">
        <v>44687</v>
      </c>
      <c r="O880" s="414" t="s">
        <v>400</v>
      </c>
      <c r="P880" s="603">
        <f t="shared" si="107"/>
        <v>5</v>
      </c>
      <c r="Q880" s="603">
        <f t="shared" si="108"/>
        <v>4</v>
      </c>
      <c r="R880" s="604" t="str">
        <f t="shared" si="109"/>
        <v>Gastos_com_Pessoal</v>
      </c>
      <c r="S880" s="605" t="s">
        <v>310</v>
      </c>
      <c r="T880" s="605" t="s">
        <v>310</v>
      </c>
    </row>
    <row r="881" spans="1:20" s="88" customFormat="1" ht="36" x14ac:dyDescent="0.2">
      <c r="A881" s="510">
        <f>IF(B881="","",COUNT('Diário 1º PA'!$A$4:$A$2635)+ROW()-3)</f>
        <v>2614</v>
      </c>
      <c r="B881" s="414">
        <v>44687</v>
      </c>
      <c r="C881" s="424">
        <v>44652</v>
      </c>
      <c r="D881" s="415" t="s">
        <v>182</v>
      </c>
      <c r="E881" s="415" t="s">
        <v>1</v>
      </c>
      <c r="F881" s="425">
        <v>2785.82</v>
      </c>
      <c r="G881" s="440" t="s">
        <v>3862</v>
      </c>
      <c r="H881" s="415" t="s">
        <v>310</v>
      </c>
      <c r="I881" s="427" t="s">
        <v>1169</v>
      </c>
      <c r="J881" s="415" t="s">
        <v>1170</v>
      </c>
      <c r="K881" s="415" t="s">
        <v>830</v>
      </c>
      <c r="L881" s="415" t="s">
        <v>909</v>
      </c>
      <c r="M881" s="415" t="s">
        <v>310</v>
      </c>
      <c r="N881" s="414">
        <v>44687</v>
      </c>
      <c r="O881" s="414" t="s">
        <v>400</v>
      </c>
      <c r="P881" s="603">
        <f t="shared" si="107"/>
        <v>5</v>
      </c>
      <c r="Q881" s="603">
        <f t="shared" si="108"/>
        <v>4</v>
      </c>
      <c r="R881" s="604" t="str">
        <f t="shared" si="109"/>
        <v>Gastos_com_Pessoal</v>
      </c>
      <c r="S881" s="605" t="s">
        <v>310</v>
      </c>
      <c r="T881" s="605" t="s">
        <v>310</v>
      </c>
    </row>
    <row r="882" spans="1:20" s="88" customFormat="1" ht="36" x14ac:dyDescent="0.2">
      <c r="A882" s="510">
        <f>IF(B882="","",COUNT('Diário 1º PA'!$A$4:$A$2635)+ROW()-3)</f>
        <v>2615</v>
      </c>
      <c r="B882" s="414">
        <v>44687</v>
      </c>
      <c r="C882" s="424">
        <v>44652</v>
      </c>
      <c r="D882" s="415" t="s">
        <v>182</v>
      </c>
      <c r="E882" s="415" t="s">
        <v>1</v>
      </c>
      <c r="F882" s="425">
        <v>1904.49</v>
      </c>
      <c r="G882" s="440" t="s">
        <v>3841</v>
      </c>
      <c r="H882" s="415" t="s">
        <v>310</v>
      </c>
      <c r="I882" s="427" t="s">
        <v>1173</v>
      </c>
      <c r="J882" s="415" t="s">
        <v>1174</v>
      </c>
      <c r="K882" s="415" t="s">
        <v>830</v>
      </c>
      <c r="L882" s="415" t="s">
        <v>909</v>
      </c>
      <c r="M882" s="415" t="s">
        <v>310</v>
      </c>
      <c r="N882" s="414">
        <v>44687</v>
      </c>
      <c r="O882" s="414" t="s">
        <v>400</v>
      </c>
      <c r="P882" s="603">
        <f t="shared" si="107"/>
        <v>5</v>
      </c>
      <c r="Q882" s="603">
        <f t="shared" si="108"/>
        <v>4</v>
      </c>
      <c r="R882" s="604" t="str">
        <f t="shared" si="109"/>
        <v>Gastos_com_Pessoal</v>
      </c>
      <c r="S882" s="605" t="s">
        <v>310</v>
      </c>
      <c r="T882" s="605" t="s">
        <v>310</v>
      </c>
    </row>
    <row r="883" spans="1:20" s="88" customFormat="1" ht="36" x14ac:dyDescent="0.2">
      <c r="A883" s="510">
        <f>IF(B883="","",COUNT('Diário 1º PA'!$A$4:$A$2635)+ROW()-3)</f>
        <v>2616</v>
      </c>
      <c r="B883" s="414">
        <v>44687</v>
      </c>
      <c r="C883" s="424">
        <v>44652</v>
      </c>
      <c r="D883" s="415" t="s">
        <v>182</v>
      </c>
      <c r="E883" s="415" t="s">
        <v>1</v>
      </c>
      <c r="F883" s="425">
        <v>1829.28</v>
      </c>
      <c r="G883" s="440" t="s">
        <v>3841</v>
      </c>
      <c r="H883" s="415" t="s">
        <v>310</v>
      </c>
      <c r="I883" s="427" t="s">
        <v>1175</v>
      </c>
      <c r="J883" s="415" t="s">
        <v>1176</v>
      </c>
      <c r="K883" s="415" t="s">
        <v>830</v>
      </c>
      <c r="L883" s="415" t="s">
        <v>909</v>
      </c>
      <c r="M883" s="415" t="s">
        <v>310</v>
      </c>
      <c r="N883" s="414">
        <v>44687</v>
      </c>
      <c r="O883" s="414" t="s">
        <v>400</v>
      </c>
      <c r="P883" s="603">
        <f t="shared" si="107"/>
        <v>5</v>
      </c>
      <c r="Q883" s="603">
        <f t="shared" si="108"/>
        <v>4</v>
      </c>
      <c r="R883" s="604" t="str">
        <f t="shared" si="109"/>
        <v>Gastos_com_Pessoal</v>
      </c>
      <c r="S883" s="605" t="s">
        <v>310</v>
      </c>
      <c r="T883" s="605" t="s">
        <v>310</v>
      </c>
    </row>
    <row r="884" spans="1:20" s="88" customFormat="1" ht="36" x14ac:dyDescent="0.2">
      <c r="A884" s="510">
        <f>IF(B884="","",COUNT('Diário 1º PA'!$A$4:$A$2635)+ROW()-3)</f>
        <v>2617</v>
      </c>
      <c r="B884" s="414">
        <v>44687</v>
      </c>
      <c r="C884" s="424">
        <v>44652</v>
      </c>
      <c r="D884" s="415" t="s">
        <v>182</v>
      </c>
      <c r="E884" s="415" t="s">
        <v>1</v>
      </c>
      <c r="F884" s="425">
        <v>2843.71</v>
      </c>
      <c r="G884" s="440" t="s">
        <v>3863</v>
      </c>
      <c r="H884" s="415" t="s">
        <v>310</v>
      </c>
      <c r="I884" s="427" t="s">
        <v>1179</v>
      </c>
      <c r="J884" s="415" t="s">
        <v>1180</v>
      </c>
      <c r="K884" s="415" t="s">
        <v>830</v>
      </c>
      <c r="L884" s="415" t="s">
        <v>909</v>
      </c>
      <c r="M884" s="415" t="s">
        <v>310</v>
      </c>
      <c r="N884" s="414">
        <v>44687</v>
      </c>
      <c r="O884" s="414" t="s">
        <v>400</v>
      </c>
      <c r="P884" s="603">
        <f t="shared" si="107"/>
        <v>5</v>
      </c>
      <c r="Q884" s="603">
        <f t="shared" si="108"/>
        <v>4</v>
      </c>
      <c r="R884" s="604" t="str">
        <f t="shared" si="109"/>
        <v>Gastos_com_Pessoal</v>
      </c>
      <c r="S884" s="605" t="s">
        <v>310</v>
      </c>
      <c r="T884" s="605" t="s">
        <v>310</v>
      </c>
    </row>
    <row r="885" spans="1:20" s="88" customFormat="1" ht="36" x14ac:dyDescent="0.2">
      <c r="A885" s="510">
        <f>IF(B885="","",COUNT('Diário 1º PA'!$A$4:$A$2635)+ROW()-3)</f>
        <v>2618</v>
      </c>
      <c r="B885" s="414">
        <v>44687</v>
      </c>
      <c r="C885" s="424">
        <v>44652</v>
      </c>
      <c r="D885" s="415" t="s">
        <v>182</v>
      </c>
      <c r="E885" s="415" t="s">
        <v>1</v>
      </c>
      <c r="F885" s="435">
        <v>2838.1</v>
      </c>
      <c r="G885" s="440" t="s">
        <v>3857</v>
      </c>
      <c r="H885" s="415" t="s">
        <v>310</v>
      </c>
      <c r="I885" s="437" t="s">
        <v>1181</v>
      </c>
      <c r="J885" s="434" t="s">
        <v>933</v>
      </c>
      <c r="K885" s="415" t="s">
        <v>830</v>
      </c>
      <c r="L885" s="434" t="s">
        <v>909</v>
      </c>
      <c r="M885" s="415" t="s">
        <v>310</v>
      </c>
      <c r="N885" s="414">
        <v>44687</v>
      </c>
      <c r="O885" s="414" t="s">
        <v>400</v>
      </c>
      <c r="P885" s="603">
        <f t="shared" si="107"/>
        <v>5</v>
      </c>
      <c r="Q885" s="603">
        <f t="shared" si="108"/>
        <v>4</v>
      </c>
      <c r="R885" s="604" t="str">
        <f t="shared" si="109"/>
        <v>Gastos_com_Pessoal</v>
      </c>
      <c r="S885" s="605" t="s">
        <v>310</v>
      </c>
      <c r="T885" s="605" t="s">
        <v>310</v>
      </c>
    </row>
    <row r="886" spans="1:20" s="88" customFormat="1" ht="36" x14ac:dyDescent="0.2">
      <c r="A886" s="510">
        <f>IF(B886="","",COUNT('Diário 1º PA'!$A$4:$A$2635)+ROW()-3)</f>
        <v>2619</v>
      </c>
      <c r="B886" s="414">
        <v>44687</v>
      </c>
      <c r="C886" s="424">
        <v>44652</v>
      </c>
      <c r="D886" s="415" t="s">
        <v>182</v>
      </c>
      <c r="E886" s="415" t="s">
        <v>1</v>
      </c>
      <c r="F886" s="425">
        <v>2095.64</v>
      </c>
      <c r="G886" s="440" t="s">
        <v>3864</v>
      </c>
      <c r="H886" s="415" t="s">
        <v>310</v>
      </c>
      <c r="I886" s="427" t="s">
        <v>1182</v>
      </c>
      <c r="J886" s="415" t="s">
        <v>1183</v>
      </c>
      <c r="K886" s="415" t="s">
        <v>830</v>
      </c>
      <c r="L886" s="415" t="s">
        <v>909</v>
      </c>
      <c r="M886" s="415" t="s">
        <v>310</v>
      </c>
      <c r="N886" s="414">
        <v>44687</v>
      </c>
      <c r="O886" s="414" t="s">
        <v>400</v>
      </c>
      <c r="P886" s="603">
        <f t="shared" si="107"/>
        <v>5</v>
      </c>
      <c r="Q886" s="603">
        <f t="shared" si="108"/>
        <v>4</v>
      </c>
      <c r="R886" s="604" t="str">
        <f t="shared" si="109"/>
        <v>Gastos_com_Pessoal</v>
      </c>
      <c r="S886" s="605" t="s">
        <v>310</v>
      </c>
      <c r="T886" s="605" t="s">
        <v>310</v>
      </c>
    </row>
    <row r="887" spans="1:20" s="88" customFormat="1" ht="36" x14ac:dyDescent="0.2">
      <c r="A887" s="510">
        <f>IF(B887="","",COUNT('Diário 1º PA'!$A$4:$A$2635)+ROW()-3)</f>
        <v>2620</v>
      </c>
      <c r="B887" s="414">
        <v>44687</v>
      </c>
      <c r="C887" s="424">
        <v>44652</v>
      </c>
      <c r="D887" s="415" t="s">
        <v>182</v>
      </c>
      <c r="E887" s="415" t="s">
        <v>1</v>
      </c>
      <c r="F887" s="425">
        <v>1967.17</v>
      </c>
      <c r="G887" s="440" t="s">
        <v>3841</v>
      </c>
      <c r="H887" s="415" t="s">
        <v>310</v>
      </c>
      <c r="I887" s="639" t="s">
        <v>1190</v>
      </c>
      <c r="J887" s="399" t="s">
        <v>1191</v>
      </c>
      <c r="K887" s="415" t="s">
        <v>830</v>
      </c>
      <c r="L887" s="415" t="s">
        <v>909</v>
      </c>
      <c r="M887" s="415" t="s">
        <v>310</v>
      </c>
      <c r="N887" s="414">
        <v>44687</v>
      </c>
      <c r="O887" s="414" t="s">
        <v>400</v>
      </c>
      <c r="P887" s="603">
        <f t="shared" si="107"/>
        <v>5</v>
      </c>
      <c r="Q887" s="603">
        <f t="shared" si="108"/>
        <v>4</v>
      </c>
      <c r="R887" s="604" t="str">
        <f t="shared" si="109"/>
        <v>Gastos_com_Pessoal</v>
      </c>
      <c r="S887" s="605" t="s">
        <v>310</v>
      </c>
      <c r="T887" s="605" t="s">
        <v>310</v>
      </c>
    </row>
    <row r="888" spans="1:20" s="88" customFormat="1" ht="36" x14ac:dyDescent="0.2">
      <c r="A888" s="510">
        <f>IF(B888="","",COUNT('Diário 1º PA'!$A$4:$A$2635)+ROW()-3)</f>
        <v>2621</v>
      </c>
      <c r="B888" s="414">
        <v>44687</v>
      </c>
      <c r="C888" s="424">
        <v>44652</v>
      </c>
      <c r="D888" s="415" t="s">
        <v>182</v>
      </c>
      <c r="E888" s="415" t="s">
        <v>1</v>
      </c>
      <c r="F888" s="435">
        <v>3561.07</v>
      </c>
      <c r="G888" s="440" t="s">
        <v>3865</v>
      </c>
      <c r="H888" s="415" t="s">
        <v>310</v>
      </c>
      <c r="I888" s="437" t="s">
        <v>2061</v>
      </c>
      <c r="J888" s="434" t="s">
        <v>2062</v>
      </c>
      <c r="K888" s="415" t="s">
        <v>830</v>
      </c>
      <c r="L888" s="434" t="s">
        <v>909</v>
      </c>
      <c r="M888" s="415" t="s">
        <v>310</v>
      </c>
      <c r="N888" s="414">
        <v>44687</v>
      </c>
      <c r="O888" s="414" t="s">
        <v>400</v>
      </c>
      <c r="P888" s="603">
        <f t="shared" si="107"/>
        <v>5</v>
      </c>
      <c r="Q888" s="603">
        <f t="shared" si="108"/>
        <v>4</v>
      </c>
      <c r="R888" s="604" t="str">
        <f t="shared" si="109"/>
        <v>Gastos_com_Pessoal</v>
      </c>
      <c r="S888" s="605" t="s">
        <v>310</v>
      </c>
      <c r="T888" s="605" t="s">
        <v>310</v>
      </c>
    </row>
    <row r="889" spans="1:20" s="88" customFormat="1" ht="36" x14ac:dyDescent="0.2">
      <c r="A889" s="510">
        <f>IF(B889="","",COUNT('Diário 1º PA'!$A$4:$A$2635)+ROW()-3)</f>
        <v>2622</v>
      </c>
      <c r="B889" s="414">
        <v>44687</v>
      </c>
      <c r="C889" s="424">
        <v>44652</v>
      </c>
      <c r="D889" s="415" t="s">
        <v>182</v>
      </c>
      <c r="E889" s="415" t="s">
        <v>1</v>
      </c>
      <c r="F889" s="425">
        <v>2684.58</v>
      </c>
      <c r="G889" s="440" t="s">
        <v>3858</v>
      </c>
      <c r="H889" s="415" t="s">
        <v>310</v>
      </c>
      <c r="I889" s="427" t="s">
        <v>1192</v>
      </c>
      <c r="J889" s="434" t="s">
        <v>1191</v>
      </c>
      <c r="K889" s="415" t="s">
        <v>830</v>
      </c>
      <c r="L889" s="415" t="s">
        <v>909</v>
      </c>
      <c r="M889" s="415" t="s">
        <v>310</v>
      </c>
      <c r="N889" s="414">
        <v>44687</v>
      </c>
      <c r="O889" s="414" t="s">
        <v>400</v>
      </c>
      <c r="P889" s="603">
        <f t="shared" si="107"/>
        <v>5</v>
      </c>
      <c r="Q889" s="603">
        <f t="shared" si="108"/>
        <v>4</v>
      </c>
      <c r="R889" s="604" t="str">
        <f t="shared" si="109"/>
        <v>Gastos_com_Pessoal</v>
      </c>
      <c r="S889" s="605" t="s">
        <v>310</v>
      </c>
      <c r="T889" s="605" t="s">
        <v>310</v>
      </c>
    </row>
    <row r="890" spans="1:20" s="88" customFormat="1" ht="36" x14ac:dyDescent="0.2">
      <c r="A890" s="510">
        <f>IF(B890="","",COUNT('Diário 1º PA'!$A$4:$A$2635)+ROW()-3)</f>
        <v>2623</v>
      </c>
      <c r="B890" s="414">
        <v>44687</v>
      </c>
      <c r="C890" s="424">
        <v>44652</v>
      </c>
      <c r="D890" s="415" t="s">
        <v>182</v>
      </c>
      <c r="E890" s="415" t="s">
        <v>1</v>
      </c>
      <c r="F890" s="425">
        <v>1056.5999999999999</v>
      </c>
      <c r="G890" s="440" t="s">
        <v>3866</v>
      </c>
      <c r="H890" s="415" t="s">
        <v>310</v>
      </c>
      <c r="I890" s="427" t="s">
        <v>1194</v>
      </c>
      <c r="J890" s="415" t="s">
        <v>1193</v>
      </c>
      <c r="K890" s="415" t="s">
        <v>830</v>
      </c>
      <c r="L890" s="415" t="s">
        <v>909</v>
      </c>
      <c r="M890" s="415" t="s">
        <v>310</v>
      </c>
      <c r="N890" s="414">
        <v>44687</v>
      </c>
      <c r="O890" s="414" t="s">
        <v>400</v>
      </c>
      <c r="P890" s="603">
        <f t="shared" si="107"/>
        <v>5</v>
      </c>
      <c r="Q890" s="603">
        <f t="shared" si="108"/>
        <v>4</v>
      </c>
      <c r="R890" s="604" t="str">
        <f t="shared" si="109"/>
        <v>Gastos_com_Pessoal</v>
      </c>
      <c r="S890" s="605" t="s">
        <v>310</v>
      </c>
      <c r="T890" s="605" t="s">
        <v>310</v>
      </c>
    </row>
    <row r="891" spans="1:20" s="88" customFormat="1" ht="36" x14ac:dyDescent="0.2">
      <c r="A891" s="510">
        <f>IF(B891="","",COUNT('Diário 1º PA'!$A$4:$A$2635)+ROW()-3)</f>
        <v>2624</v>
      </c>
      <c r="B891" s="414">
        <v>44687</v>
      </c>
      <c r="C891" s="424">
        <v>44652</v>
      </c>
      <c r="D891" s="415" t="s">
        <v>182</v>
      </c>
      <c r="E891" s="415" t="s">
        <v>1</v>
      </c>
      <c r="F891" s="425">
        <v>2111.1799999999998</v>
      </c>
      <c r="G891" s="440" t="s">
        <v>3841</v>
      </c>
      <c r="H891" s="415" t="s">
        <v>310</v>
      </c>
      <c r="I891" s="427" t="s">
        <v>3197</v>
      </c>
      <c r="J891" s="415" t="s">
        <v>3198</v>
      </c>
      <c r="K891" s="415" t="s">
        <v>830</v>
      </c>
      <c r="L891" s="415" t="s">
        <v>909</v>
      </c>
      <c r="M891" s="415" t="s">
        <v>310</v>
      </c>
      <c r="N891" s="414">
        <v>44687</v>
      </c>
      <c r="O891" s="414" t="s">
        <v>400</v>
      </c>
      <c r="P891" s="603">
        <f t="shared" si="107"/>
        <v>5</v>
      </c>
      <c r="Q891" s="603">
        <f t="shared" si="108"/>
        <v>4</v>
      </c>
      <c r="R891" s="604" t="str">
        <f t="shared" si="109"/>
        <v>Gastos_com_Pessoal</v>
      </c>
      <c r="S891" s="605" t="s">
        <v>310</v>
      </c>
      <c r="T891" s="605" t="s">
        <v>310</v>
      </c>
    </row>
    <row r="892" spans="1:20" s="88" customFormat="1" ht="36" x14ac:dyDescent="0.2">
      <c r="A892" s="510">
        <f>IF(B892="","",COUNT('Diário 1º PA'!$A$4:$A$2635)+ROW()-3)</f>
        <v>2625</v>
      </c>
      <c r="B892" s="414">
        <v>44687</v>
      </c>
      <c r="C892" s="424">
        <v>44652</v>
      </c>
      <c r="D892" s="415" t="s">
        <v>182</v>
      </c>
      <c r="E892" s="415" t="s">
        <v>1</v>
      </c>
      <c r="F892" s="425">
        <v>1581.18</v>
      </c>
      <c r="G892" s="440" t="s">
        <v>3867</v>
      </c>
      <c r="H892" s="415" t="s">
        <v>310</v>
      </c>
      <c r="I892" s="427" t="s">
        <v>1196</v>
      </c>
      <c r="J892" s="415" t="s">
        <v>1195</v>
      </c>
      <c r="K892" s="415" t="s">
        <v>830</v>
      </c>
      <c r="L892" s="415" t="s">
        <v>909</v>
      </c>
      <c r="M892" s="415" t="s">
        <v>310</v>
      </c>
      <c r="N892" s="414">
        <v>44687</v>
      </c>
      <c r="O892" s="414" t="s">
        <v>400</v>
      </c>
      <c r="P892" s="603">
        <f t="shared" si="107"/>
        <v>5</v>
      </c>
      <c r="Q892" s="603">
        <f t="shared" si="108"/>
        <v>4</v>
      </c>
      <c r="R892" s="604" t="str">
        <f t="shared" si="109"/>
        <v>Gastos_com_Pessoal</v>
      </c>
      <c r="S892" s="605" t="s">
        <v>310</v>
      </c>
      <c r="T892" s="605" t="s">
        <v>310</v>
      </c>
    </row>
    <row r="893" spans="1:20" s="88" customFormat="1" ht="36" x14ac:dyDescent="0.2">
      <c r="A893" s="510">
        <f>IF(B893="","",COUNT('Diário 1º PA'!$A$4:$A$2635)+ROW()-3)</f>
        <v>2626</v>
      </c>
      <c r="B893" s="414">
        <v>44687</v>
      </c>
      <c r="C893" s="424">
        <v>44652</v>
      </c>
      <c r="D893" s="415" t="s">
        <v>182</v>
      </c>
      <c r="E893" s="415" t="s">
        <v>1</v>
      </c>
      <c r="F893" s="425">
        <v>1802.92</v>
      </c>
      <c r="G893" s="440" t="s">
        <v>3868</v>
      </c>
      <c r="H893" s="415" t="s">
        <v>310</v>
      </c>
      <c r="I893" s="427" t="s">
        <v>1198</v>
      </c>
      <c r="J893" s="415" t="s">
        <v>1197</v>
      </c>
      <c r="K893" s="415" t="s">
        <v>830</v>
      </c>
      <c r="L893" s="415" t="s">
        <v>909</v>
      </c>
      <c r="M893" s="415" t="s">
        <v>310</v>
      </c>
      <c r="N893" s="414">
        <v>44687</v>
      </c>
      <c r="O893" s="414" t="s">
        <v>400</v>
      </c>
      <c r="P893" s="603">
        <f t="shared" si="107"/>
        <v>5</v>
      </c>
      <c r="Q893" s="603">
        <f t="shared" si="108"/>
        <v>4</v>
      </c>
      <c r="R893" s="604" t="str">
        <f t="shared" si="109"/>
        <v>Gastos_com_Pessoal</v>
      </c>
      <c r="S893" s="605" t="s">
        <v>310</v>
      </c>
      <c r="T893" s="605" t="s">
        <v>310</v>
      </c>
    </row>
    <row r="894" spans="1:20" s="88" customFormat="1" ht="36" x14ac:dyDescent="0.2">
      <c r="A894" s="510">
        <f>IF(B894="","",COUNT('Diário 1º PA'!$A$4:$A$2635)+ROW()-3)</f>
        <v>2627</v>
      </c>
      <c r="B894" s="414">
        <v>44687</v>
      </c>
      <c r="C894" s="424">
        <v>44652</v>
      </c>
      <c r="D894" s="415" t="s">
        <v>182</v>
      </c>
      <c r="E894" s="415" t="s">
        <v>1</v>
      </c>
      <c r="F894" s="425">
        <v>2077.66</v>
      </c>
      <c r="G894" s="440" t="s">
        <v>3869</v>
      </c>
      <c r="H894" s="415" t="s">
        <v>310</v>
      </c>
      <c r="I894" s="427" t="s">
        <v>1202</v>
      </c>
      <c r="J894" s="415" t="s">
        <v>1201</v>
      </c>
      <c r="K894" s="415" t="s">
        <v>830</v>
      </c>
      <c r="L894" s="415" t="s">
        <v>909</v>
      </c>
      <c r="M894" s="415" t="s">
        <v>310</v>
      </c>
      <c r="N894" s="414">
        <v>44687</v>
      </c>
      <c r="O894" s="414" t="s">
        <v>400</v>
      </c>
      <c r="P894" s="603">
        <f t="shared" si="107"/>
        <v>5</v>
      </c>
      <c r="Q894" s="603">
        <f t="shared" si="108"/>
        <v>4</v>
      </c>
      <c r="R894" s="604" t="str">
        <f t="shared" si="109"/>
        <v>Gastos_com_Pessoal</v>
      </c>
      <c r="S894" s="605" t="s">
        <v>310</v>
      </c>
      <c r="T894" s="605" t="s">
        <v>310</v>
      </c>
    </row>
    <row r="895" spans="1:20" s="88" customFormat="1" ht="36" x14ac:dyDescent="0.2">
      <c r="A895" s="510">
        <f>IF(B895="","",COUNT('Diário 1º PA'!$A$4:$A$2635)+ROW()-3)</f>
        <v>2628</v>
      </c>
      <c r="B895" s="414">
        <v>44687</v>
      </c>
      <c r="C895" s="424">
        <v>44652</v>
      </c>
      <c r="D895" s="415" t="s">
        <v>182</v>
      </c>
      <c r="E895" s="415" t="s">
        <v>1</v>
      </c>
      <c r="F895" s="425">
        <v>1957.64</v>
      </c>
      <c r="G895" s="440" t="s">
        <v>3870</v>
      </c>
      <c r="H895" s="415" t="s">
        <v>310</v>
      </c>
      <c r="I895" s="427" t="s">
        <v>1203</v>
      </c>
      <c r="J895" s="415" t="s">
        <v>1201</v>
      </c>
      <c r="K895" s="415" t="s">
        <v>830</v>
      </c>
      <c r="L895" s="415" t="s">
        <v>909</v>
      </c>
      <c r="M895" s="415" t="s">
        <v>310</v>
      </c>
      <c r="N895" s="414">
        <v>44687</v>
      </c>
      <c r="O895" s="414" t="s">
        <v>400</v>
      </c>
      <c r="P895" s="603">
        <f t="shared" si="107"/>
        <v>5</v>
      </c>
      <c r="Q895" s="603">
        <f t="shared" si="108"/>
        <v>4</v>
      </c>
      <c r="R895" s="604" t="str">
        <f t="shared" si="109"/>
        <v>Gastos_com_Pessoal</v>
      </c>
      <c r="S895" s="605" t="s">
        <v>310</v>
      </c>
      <c r="T895" s="605" t="s">
        <v>310</v>
      </c>
    </row>
    <row r="896" spans="1:20" s="88" customFormat="1" ht="36" x14ac:dyDescent="0.2">
      <c r="A896" s="510">
        <f>IF(B896="","",COUNT('Diário 1º PA'!$A$4:$A$2635)+ROW()-3)</f>
        <v>2629</v>
      </c>
      <c r="B896" s="414">
        <v>44687</v>
      </c>
      <c r="C896" s="424">
        <v>44652</v>
      </c>
      <c r="D896" s="415" t="s">
        <v>182</v>
      </c>
      <c r="E896" s="415" t="s">
        <v>1</v>
      </c>
      <c r="F896" s="425">
        <v>2095.64</v>
      </c>
      <c r="G896" s="440" t="s">
        <v>3871</v>
      </c>
      <c r="H896" s="415" t="s">
        <v>310</v>
      </c>
      <c r="I896" s="427" t="s">
        <v>1205</v>
      </c>
      <c r="J896" s="415" t="s">
        <v>1204</v>
      </c>
      <c r="K896" s="415" t="s">
        <v>830</v>
      </c>
      <c r="L896" s="415" t="s">
        <v>909</v>
      </c>
      <c r="M896" s="415" t="s">
        <v>310</v>
      </c>
      <c r="N896" s="414">
        <v>44687</v>
      </c>
      <c r="O896" s="414" t="s">
        <v>400</v>
      </c>
      <c r="P896" s="603">
        <f t="shared" si="107"/>
        <v>5</v>
      </c>
      <c r="Q896" s="603">
        <f t="shared" si="108"/>
        <v>4</v>
      </c>
      <c r="R896" s="604" t="str">
        <f t="shared" si="109"/>
        <v>Gastos_com_Pessoal</v>
      </c>
      <c r="S896" s="605" t="s">
        <v>310</v>
      </c>
      <c r="T896" s="605" t="s">
        <v>310</v>
      </c>
    </row>
    <row r="897" spans="1:20" s="88" customFormat="1" ht="36" x14ac:dyDescent="0.2">
      <c r="A897" s="510">
        <f>IF(B897="","",COUNT('Diário 1º PA'!$A$4:$A$2635)+ROW()-3)</f>
        <v>2630</v>
      </c>
      <c r="B897" s="414">
        <v>44687</v>
      </c>
      <c r="C897" s="424">
        <v>44652</v>
      </c>
      <c r="D897" s="415" t="s">
        <v>182</v>
      </c>
      <c r="E897" s="415" t="s">
        <v>1</v>
      </c>
      <c r="F897" s="425">
        <v>1456.13</v>
      </c>
      <c r="G897" s="440" t="s">
        <v>3872</v>
      </c>
      <c r="H897" s="415" t="s">
        <v>310</v>
      </c>
      <c r="I897" s="427" t="s">
        <v>1207</v>
      </c>
      <c r="J897" s="415" t="s">
        <v>1206</v>
      </c>
      <c r="K897" s="415" t="s">
        <v>830</v>
      </c>
      <c r="L897" s="415" t="s">
        <v>909</v>
      </c>
      <c r="M897" s="415" t="s">
        <v>310</v>
      </c>
      <c r="N897" s="414">
        <v>44687</v>
      </c>
      <c r="O897" s="414" t="s">
        <v>400</v>
      </c>
      <c r="P897" s="603">
        <f t="shared" si="107"/>
        <v>5</v>
      </c>
      <c r="Q897" s="603">
        <f t="shared" si="108"/>
        <v>4</v>
      </c>
      <c r="R897" s="604" t="str">
        <f t="shared" si="109"/>
        <v>Gastos_com_Pessoal</v>
      </c>
      <c r="S897" s="605" t="s">
        <v>310</v>
      </c>
      <c r="T897" s="605" t="s">
        <v>310</v>
      </c>
    </row>
    <row r="898" spans="1:20" s="88" customFormat="1" ht="36" x14ac:dyDescent="0.2">
      <c r="A898" s="510">
        <f>IF(B898="","",COUNT('Diário 1º PA'!$A$4:$A$2635)+ROW()-3)</f>
        <v>2631</v>
      </c>
      <c r="B898" s="414">
        <v>44687</v>
      </c>
      <c r="C898" s="424">
        <v>44652</v>
      </c>
      <c r="D898" s="415" t="s">
        <v>182</v>
      </c>
      <c r="E898" s="415" t="s">
        <v>1</v>
      </c>
      <c r="F898" s="425">
        <v>2548.39</v>
      </c>
      <c r="G898" s="440" t="s">
        <v>3858</v>
      </c>
      <c r="H898" s="415" t="s">
        <v>310</v>
      </c>
      <c r="I898" s="427" t="s">
        <v>1188</v>
      </c>
      <c r="J898" s="415" t="s">
        <v>1189</v>
      </c>
      <c r="K898" s="415" t="s">
        <v>830</v>
      </c>
      <c r="L898" s="415" t="s">
        <v>909</v>
      </c>
      <c r="M898" s="415" t="s">
        <v>310</v>
      </c>
      <c r="N898" s="414">
        <v>44687</v>
      </c>
      <c r="O898" s="414" t="s">
        <v>400</v>
      </c>
      <c r="P898" s="603">
        <f t="shared" ref="P898:P945" si="114">IF(B898=0,0,IF(YEAR(B898)=$Q$1,MONTH(B898)-$P$1+1,(YEAR(B898)-$Q$1)*12-$P$1+1+MONTH(B898)))</f>
        <v>5</v>
      </c>
      <c r="Q898" s="603">
        <f t="shared" ref="Q898:Q945" si="115">IF(C898=0,0,IF(YEAR(C898)=$Q$1,MONTH(C898)-$P$1+1,(YEAR(C898)-$Q$1)*12-$P$1+1+MONTH(C898)))</f>
        <v>4</v>
      </c>
      <c r="R898" s="604" t="str">
        <f t="shared" ref="R898:R945" si="116">SUBSTITUTE(D898," ","_")</f>
        <v>Gastos_com_Pessoal</v>
      </c>
      <c r="S898" s="605" t="s">
        <v>310</v>
      </c>
      <c r="T898" s="605" t="s">
        <v>310</v>
      </c>
    </row>
    <row r="899" spans="1:20" s="88" customFormat="1" ht="36" x14ac:dyDescent="0.2">
      <c r="A899" s="510">
        <f>IF(B899="","",COUNT('Diário 1º PA'!$A$4:$A$2635)+ROW()-3)</f>
        <v>2632</v>
      </c>
      <c r="B899" s="414">
        <v>44687</v>
      </c>
      <c r="C899" s="424">
        <v>44652</v>
      </c>
      <c r="D899" s="415" t="s">
        <v>182</v>
      </c>
      <c r="E899" s="415" t="s">
        <v>1</v>
      </c>
      <c r="F899" s="425">
        <v>1900.54</v>
      </c>
      <c r="G899" s="440" t="s">
        <v>3841</v>
      </c>
      <c r="H899" s="415" t="s">
        <v>310</v>
      </c>
      <c r="I899" s="427" t="s">
        <v>1171</v>
      </c>
      <c r="J899" s="415" t="s">
        <v>1172</v>
      </c>
      <c r="K899" s="415" t="s">
        <v>830</v>
      </c>
      <c r="L899" s="415" t="s">
        <v>909</v>
      </c>
      <c r="M899" s="415" t="s">
        <v>310</v>
      </c>
      <c r="N899" s="414">
        <v>44687</v>
      </c>
      <c r="O899" s="414" t="s">
        <v>400</v>
      </c>
      <c r="P899" s="603">
        <f t="shared" si="114"/>
        <v>5</v>
      </c>
      <c r="Q899" s="603">
        <f t="shared" si="115"/>
        <v>4</v>
      </c>
      <c r="R899" s="604" t="str">
        <f t="shared" si="116"/>
        <v>Gastos_com_Pessoal</v>
      </c>
      <c r="S899" s="605" t="s">
        <v>310</v>
      </c>
      <c r="T899" s="605" t="s">
        <v>310</v>
      </c>
    </row>
    <row r="900" spans="1:20" s="88" customFormat="1" ht="36" x14ac:dyDescent="0.2">
      <c r="A900" s="510">
        <f>IF(B900="","",COUNT('Diário 1º PA'!$A$4:$A$2635)+ROW()-3)</f>
        <v>2633</v>
      </c>
      <c r="B900" s="414">
        <v>44687</v>
      </c>
      <c r="C900" s="424">
        <v>44652</v>
      </c>
      <c r="D900" s="415" t="s">
        <v>182</v>
      </c>
      <c r="E900" s="415" t="s">
        <v>1</v>
      </c>
      <c r="F900" s="425">
        <v>830</v>
      </c>
      <c r="G900" s="440" t="s">
        <v>3841</v>
      </c>
      <c r="H900" s="415" t="s">
        <v>310</v>
      </c>
      <c r="I900" s="427" t="s">
        <v>1200</v>
      </c>
      <c r="J900" s="415" t="s">
        <v>1201</v>
      </c>
      <c r="K900" s="415" t="s">
        <v>830</v>
      </c>
      <c r="L900" s="415" t="s">
        <v>909</v>
      </c>
      <c r="M900" s="415" t="s">
        <v>310</v>
      </c>
      <c r="N900" s="414">
        <v>44687</v>
      </c>
      <c r="O900" s="414" t="s">
        <v>400</v>
      </c>
      <c r="P900" s="603">
        <f t="shared" si="114"/>
        <v>5</v>
      </c>
      <c r="Q900" s="603">
        <f t="shared" si="115"/>
        <v>4</v>
      </c>
      <c r="R900" s="604" t="str">
        <f t="shared" si="116"/>
        <v>Gastos_com_Pessoal</v>
      </c>
      <c r="S900" s="605" t="s">
        <v>310</v>
      </c>
      <c r="T900" s="605" t="s">
        <v>310</v>
      </c>
    </row>
    <row r="901" spans="1:20" s="88" customFormat="1" ht="36" x14ac:dyDescent="0.2">
      <c r="A901" s="510">
        <f>IF(B901="","",COUNT('Diário 1º PA'!$A$4:$A$2635)+ROW()-3)</f>
        <v>2634</v>
      </c>
      <c r="B901" s="414">
        <v>44687</v>
      </c>
      <c r="C901" s="424">
        <v>44652</v>
      </c>
      <c r="D901" s="415" t="s">
        <v>182</v>
      </c>
      <c r="E901" s="415" t="s">
        <v>1</v>
      </c>
      <c r="F901" s="425">
        <v>2797.87</v>
      </c>
      <c r="G901" s="440" t="s">
        <v>3858</v>
      </c>
      <c r="H901" s="415" t="s">
        <v>310</v>
      </c>
      <c r="I901" s="427" t="s">
        <v>1186</v>
      </c>
      <c r="J901" s="415" t="s">
        <v>1187</v>
      </c>
      <c r="K901" s="415" t="s">
        <v>830</v>
      </c>
      <c r="L901" s="415" t="s">
        <v>909</v>
      </c>
      <c r="M901" s="415" t="s">
        <v>310</v>
      </c>
      <c r="N901" s="414">
        <v>44687</v>
      </c>
      <c r="O901" s="414" t="s">
        <v>400</v>
      </c>
      <c r="P901" s="603">
        <f t="shared" si="114"/>
        <v>5</v>
      </c>
      <c r="Q901" s="603">
        <f t="shared" si="115"/>
        <v>4</v>
      </c>
      <c r="R901" s="604" t="str">
        <f t="shared" si="116"/>
        <v>Gastos_com_Pessoal</v>
      </c>
      <c r="S901" s="605" t="s">
        <v>310</v>
      </c>
      <c r="T901" s="605" t="s">
        <v>310</v>
      </c>
    </row>
    <row r="902" spans="1:20" s="88" customFormat="1" ht="36" x14ac:dyDescent="0.2">
      <c r="A902" s="510">
        <f>IF(B902="","",COUNT('Diário 1º PA'!$A$4:$A$2635)+ROW()-3)</f>
        <v>2635</v>
      </c>
      <c r="B902" s="414">
        <v>44687</v>
      </c>
      <c r="C902" s="424">
        <v>44652</v>
      </c>
      <c r="D902" s="415" t="s">
        <v>182</v>
      </c>
      <c r="E902" s="415" t="s">
        <v>1</v>
      </c>
      <c r="F902" s="435">
        <v>2776.28</v>
      </c>
      <c r="G902" s="440" t="s">
        <v>3858</v>
      </c>
      <c r="H902" s="415" t="s">
        <v>310</v>
      </c>
      <c r="I902" s="437" t="s">
        <v>1184</v>
      </c>
      <c r="J902" s="434" t="s">
        <v>1185</v>
      </c>
      <c r="K902" s="415" t="s">
        <v>830</v>
      </c>
      <c r="L902" s="434" t="s">
        <v>909</v>
      </c>
      <c r="M902" s="415" t="s">
        <v>310</v>
      </c>
      <c r="N902" s="414">
        <v>44687</v>
      </c>
      <c r="O902" s="414" t="s">
        <v>400</v>
      </c>
      <c r="P902" s="603">
        <f t="shared" si="114"/>
        <v>5</v>
      </c>
      <c r="Q902" s="603">
        <f t="shared" si="115"/>
        <v>4</v>
      </c>
      <c r="R902" s="604" t="str">
        <f t="shared" si="116"/>
        <v>Gastos_com_Pessoal</v>
      </c>
      <c r="S902" s="605" t="s">
        <v>310</v>
      </c>
      <c r="T902" s="605" t="s">
        <v>310</v>
      </c>
    </row>
    <row r="903" spans="1:20" s="88" customFormat="1" ht="36" x14ac:dyDescent="0.2">
      <c r="A903" s="510">
        <f>IF(B903="","",COUNT('Diário 1º PA'!$A$4:$A$2635)+ROW()-3)</f>
        <v>2636</v>
      </c>
      <c r="B903" s="414">
        <v>44687</v>
      </c>
      <c r="C903" s="424">
        <v>44652</v>
      </c>
      <c r="D903" s="415" t="s">
        <v>182</v>
      </c>
      <c r="E903" s="415" t="s">
        <v>1</v>
      </c>
      <c r="F903" s="425">
        <v>2882.58</v>
      </c>
      <c r="G903" s="427" t="s">
        <v>3857</v>
      </c>
      <c r="H903" s="415" t="s">
        <v>310</v>
      </c>
      <c r="I903" s="427" t="s">
        <v>996</v>
      </c>
      <c r="J903" s="415" t="s">
        <v>997</v>
      </c>
      <c r="K903" s="415" t="s">
        <v>830</v>
      </c>
      <c r="L903" s="415" t="s">
        <v>909</v>
      </c>
      <c r="M903" s="415" t="s">
        <v>310</v>
      </c>
      <c r="N903" s="414">
        <v>44687</v>
      </c>
      <c r="O903" s="414" t="s">
        <v>400</v>
      </c>
      <c r="P903" s="603">
        <f t="shared" si="114"/>
        <v>5</v>
      </c>
      <c r="Q903" s="603">
        <f t="shared" si="115"/>
        <v>4</v>
      </c>
      <c r="R903" s="604" t="str">
        <f t="shared" si="116"/>
        <v>Gastos_com_Pessoal</v>
      </c>
      <c r="S903" s="605" t="s">
        <v>310</v>
      </c>
      <c r="T903" s="605" t="s">
        <v>310</v>
      </c>
    </row>
    <row r="904" spans="1:20" s="88" customFormat="1" ht="36" x14ac:dyDescent="0.2">
      <c r="A904" s="510">
        <f>IF(B904="","",COUNT('Diário 1º PA'!$A$4:$A$2635)+ROW()-3)</f>
        <v>2637</v>
      </c>
      <c r="B904" s="414">
        <v>44687</v>
      </c>
      <c r="C904" s="424">
        <v>44652</v>
      </c>
      <c r="D904" s="415" t="s">
        <v>182</v>
      </c>
      <c r="E904" s="415" t="s">
        <v>1</v>
      </c>
      <c r="F904" s="425">
        <v>2900.56</v>
      </c>
      <c r="G904" s="440" t="s">
        <v>3857</v>
      </c>
      <c r="H904" s="415" t="s">
        <v>310</v>
      </c>
      <c r="I904" s="427" t="s">
        <v>3195</v>
      </c>
      <c r="J904" s="415" t="s">
        <v>3518</v>
      </c>
      <c r="K904" s="415" t="s">
        <v>830</v>
      </c>
      <c r="L904" s="415" t="s">
        <v>909</v>
      </c>
      <c r="M904" s="415" t="s">
        <v>310</v>
      </c>
      <c r="N904" s="414">
        <v>44687</v>
      </c>
      <c r="O904" s="414" t="s">
        <v>400</v>
      </c>
      <c r="P904" s="603">
        <f t="shared" si="114"/>
        <v>5</v>
      </c>
      <c r="Q904" s="603">
        <f t="shared" si="115"/>
        <v>4</v>
      </c>
      <c r="R904" s="604" t="str">
        <f t="shared" si="116"/>
        <v>Gastos_com_Pessoal</v>
      </c>
      <c r="S904" s="605" t="s">
        <v>310</v>
      </c>
      <c r="T904" s="605" t="s">
        <v>310</v>
      </c>
    </row>
    <row r="905" spans="1:20" s="88" customFormat="1" ht="24" x14ac:dyDescent="0.2">
      <c r="A905" s="510">
        <f>IF(B905="","",COUNT('Diário 1º PA'!$A$4:$A$2635)+ROW()-3)</f>
        <v>2638</v>
      </c>
      <c r="B905" s="414">
        <v>44687</v>
      </c>
      <c r="C905" s="424">
        <v>44652</v>
      </c>
      <c r="D905" s="415" t="s">
        <v>182</v>
      </c>
      <c r="E905" s="415" t="s">
        <v>10</v>
      </c>
      <c r="F905" s="425">
        <v>1061.74</v>
      </c>
      <c r="G905" s="440" t="s">
        <v>3873</v>
      </c>
      <c r="H905" s="415" t="s">
        <v>310</v>
      </c>
      <c r="I905" s="639" t="s">
        <v>1219</v>
      </c>
      <c r="J905" s="418" t="s">
        <v>310</v>
      </c>
      <c r="K905" s="418" t="s">
        <v>1220</v>
      </c>
      <c r="L905" s="399" t="s">
        <v>4</v>
      </c>
      <c r="M905" s="543" t="s">
        <v>310</v>
      </c>
      <c r="N905" s="414">
        <v>44687</v>
      </c>
      <c r="O905" s="414" t="s">
        <v>400</v>
      </c>
      <c r="P905" s="603">
        <f t="shared" si="114"/>
        <v>5</v>
      </c>
      <c r="Q905" s="603">
        <f t="shared" si="115"/>
        <v>4</v>
      </c>
      <c r="R905" s="604" t="str">
        <f t="shared" si="116"/>
        <v>Gastos_com_Pessoal</v>
      </c>
      <c r="S905" s="605" t="s">
        <v>310</v>
      </c>
      <c r="T905" s="605" t="s">
        <v>310</v>
      </c>
    </row>
    <row r="906" spans="1:20" s="88" customFormat="1" ht="24" x14ac:dyDescent="0.2">
      <c r="A906" s="510">
        <f>IF(B906="","",COUNT('Diário 1º PA'!$A$4:$A$2635)+ROW()-3)</f>
        <v>2639</v>
      </c>
      <c r="B906" s="414">
        <v>44687</v>
      </c>
      <c r="C906" s="424">
        <v>44682</v>
      </c>
      <c r="D906" s="415" t="s">
        <v>271</v>
      </c>
      <c r="E906" s="415" t="s">
        <v>71</v>
      </c>
      <c r="F906" s="425">
        <v>11</v>
      </c>
      <c r="G906" s="427" t="s">
        <v>1232</v>
      </c>
      <c r="H906" s="415" t="s">
        <v>310</v>
      </c>
      <c r="I906" s="639" t="s">
        <v>881</v>
      </c>
      <c r="J906" s="418" t="s">
        <v>882</v>
      </c>
      <c r="K906" s="418" t="s">
        <v>883</v>
      </c>
      <c r="L906" s="399" t="s">
        <v>798</v>
      </c>
      <c r="M906" s="544" t="s">
        <v>310</v>
      </c>
      <c r="N906" s="414">
        <v>44687</v>
      </c>
      <c r="O906" s="414" t="s">
        <v>400</v>
      </c>
      <c r="P906" s="603">
        <f t="shared" si="114"/>
        <v>5</v>
      </c>
      <c r="Q906" s="603">
        <f t="shared" si="115"/>
        <v>5</v>
      </c>
      <c r="R906" s="604" t="str">
        <f t="shared" si="116"/>
        <v>Gastos_Gerais</v>
      </c>
      <c r="S906" s="605" t="s">
        <v>310</v>
      </c>
      <c r="T906" s="605" t="s">
        <v>310</v>
      </c>
    </row>
    <row r="907" spans="1:20" s="88" customFormat="1" ht="24" x14ac:dyDescent="0.2">
      <c r="A907" s="510">
        <f>IF(B907="","",COUNT('Diário 1º PA'!$A$4:$A$2635)+ROW()-3)</f>
        <v>2640</v>
      </c>
      <c r="B907" s="414">
        <v>44687</v>
      </c>
      <c r="C907" s="424">
        <v>44682</v>
      </c>
      <c r="D907" s="415" t="s">
        <v>271</v>
      </c>
      <c r="E907" s="415" t="s">
        <v>71</v>
      </c>
      <c r="F907" s="425">
        <v>11</v>
      </c>
      <c r="G907" s="427" t="s">
        <v>1233</v>
      </c>
      <c r="H907" s="415" t="s">
        <v>310</v>
      </c>
      <c r="I907" s="639" t="s">
        <v>881</v>
      </c>
      <c r="J907" s="418" t="s">
        <v>882</v>
      </c>
      <c r="K907" s="418" t="s">
        <v>883</v>
      </c>
      <c r="L907" s="399" t="s">
        <v>798</v>
      </c>
      <c r="M907" s="544" t="s">
        <v>310</v>
      </c>
      <c r="N907" s="414">
        <v>44687</v>
      </c>
      <c r="O907" s="414" t="s">
        <v>400</v>
      </c>
      <c r="P907" s="603">
        <f t="shared" si="114"/>
        <v>5</v>
      </c>
      <c r="Q907" s="603">
        <f t="shared" si="115"/>
        <v>5</v>
      </c>
      <c r="R907" s="604" t="str">
        <f t="shared" si="116"/>
        <v>Gastos_Gerais</v>
      </c>
      <c r="S907" s="605" t="s">
        <v>310</v>
      </c>
      <c r="T907" s="605" t="s">
        <v>310</v>
      </c>
    </row>
    <row r="908" spans="1:20" s="88" customFormat="1" ht="24" x14ac:dyDescent="0.2">
      <c r="A908" s="510">
        <f>IF(B908="","",COUNT('Diário 1º PA'!$A$4:$A$2635)+ROW()-3)</f>
        <v>2641</v>
      </c>
      <c r="B908" s="414">
        <v>44687</v>
      </c>
      <c r="C908" s="424">
        <v>44682</v>
      </c>
      <c r="D908" s="415" t="s">
        <v>271</v>
      </c>
      <c r="E908" s="415" t="s">
        <v>71</v>
      </c>
      <c r="F908" s="425">
        <v>11</v>
      </c>
      <c r="G908" s="427" t="s">
        <v>1246</v>
      </c>
      <c r="H908" s="415" t="s">
        <v>310</v>
      </c>
      <c r="I908" s="639" t="s">
        <v>881</v>
      </c>
      <c r="J908" s="418" t="s">
        <v>882</v>
      </c>
      <c r="K908" s="418" t="s">
        <v>883</v>
      </c>
      <c r="L908" s="399" t="s">
        <v>798</v>
      </c>
      <c r="M908" s="544" t="s">
        <v>310</v>
      </c>
      <c r="N908" s="414">
        <v>44687</v>
      </c>
      <c r="O908" s="414" t="s">
        <v>400</v>
      </c>
      <c r="P908" s="603">
        <f t="shared" si="114"/>
        <v>5</v>
      </c>
      <c r="Q908" s="603">
        <f t="shared" si="115"/>
        <v>5</v>
      </c>
      <c r="R908" s="604" t="str">
        <f t="shared" si="116"/>
        <v>Gastos_Gerais</v>
      </c>
      <c r="S908" s="605" t="s">
        <v>310</v>
      </c>
      <c r="T908" s="605" t="s">
        <v>310</v>
      </c>
    </row>
    <row r="909" spans="1:20" s="88" customFormat="1" ht="24" x14ac:dyDescent="0.2">
      <c r="A909" s="510">
        <f>IF(B909="","",COUNT('Diário 1º PA'!$A$4:$A$2635)+ROW()-3)</f>
        <v>2642</v>
      </c>
      <c r="B909" s="414">
        <v>44687</v>
      </c>
      <c r="C909" s="424">
        <v>44682</v>
      </c>
      <c r="D909" s="415" t="s">
        <v>271</v>
      </c>
      <c r="E909" s="415" t="s">
        <v>71</v>
      </c>
      <c r="F909" s="425">
        <v>11</v>
      </c>
      <c r="G909" s="427" t="s">
        <v>1246</v>
      </c>
      <c r="H909" s="415" t="s">
        <v>310</v>
      </c>
      <c r="I909" s="639" t="s">
        <v>881</v>
      </c>
      <c r="J909" s="418" t="s">
        <v>882</v>
      </c>
      <c r="K909" s="418" t="s">
        <v>883</v>
      </c>
      <c r="L909" s="399" t="s">
        <v>798</v>
      </c>
      <c r="M909" s="544" t="s">
        <v>310</v>
      </c>
      <c r="N909" s="414">
        <v>44687</v>
      </c>
      <c r="O909" s="414" t="s">
        <v>400</v>
      </c>
      <c r="P909" s="603">
        <f t="shared" si="114"/>
        <v>5</v>
      </c>
      <c r="Q909" s="603">
        <f t="shared" si="115"/>
        <v>5</v>
      </c>
      <c r="R909" s="604" t="str">
        <f t="shared" si="116"/>
        <v>Gastos_Gerais</v>
      </c>
      <c r="S909" s="605" t="s">
        <v>310</v>
      </c>
      <c r="T909" s="605" t="s">
        <v>310</v>
      </c>
    </row>
    <row r="910" spans="1:20" s="88" customFormat="1" ht="24" x14ac:dyDescent="0.2">
      <c r="A910" s="510">
        <f>IF(B910="","",COUNT('Diário 1º PA'!$A$4:$A$2635)+ROW()-3)</f>
        <v>2643</v>
      </c>
      <c r="B910" s="414">
        <v>44687</v>
      </c>
      <c r="C910" s="424">
        <v>44682</v>
      </c>
      <c r="D910" s="415" t="s">
        <v>271</v>
      </c>
      <c r="E910" s="415" t="s">
        <v>71</v>
      </c>
      <c r="F910" s="425">
        <v>11</v>
      </c>
      <c r="G910" s="427" t="s">
        <v>1233</v>
      </c>
      <c r="H910" s="415" t="s">
        <v>310</v>
      </c>
      <c r="I910" s="639" t="s">
        <v>881</v>
      </c>
      <c r="J910" s="418" t="s">
        <v>882</v>
      </c>
      <c r="K910" s="418" t="s">
        <v>883</v>
      </c>
      <c r="L910" s="399" t="s">
        <v>798</v>
      </c>
      <c r="M910" s="544" t="s">
        <v>310</v>
      </c>
      <c r="N910" s="414">
        <v>44687</v>
      </c>
      <c r="O910" s="414" t="s">
        <v>400</v>
      </c>
      <c r="P910" s="603">
        <f t="shared" si="114"/>
        <v>5</v>
      </c>
      <c r="Q910" s="603">
        <f t="shared" si="115"/>
        <v>5</v>
      </c>
      <c r="R910" s="604" t="str">
        <f t="shared" si="116"/>
        <v>Gastos_Gerais</v>
      </c>
      <c r="S910" s="605" t="s">
        <v>310</v>
      </c>
      <c r="T910" s="605" t="s">
        <v>310</v>
      </c>
    </row>
    <row r="911" spans="1:20" s="88" customFormat="1" ht="24" x14ac:dyDescent="0.2">
      <c r="A911" s="510">
        <f>IF(B911="","",COUNT('Diário 1º PA'!$A$4:$A$2635)+ROW()-3)</f>
        <v>2644</v>
      </c>
      <c r="B911" s="414">
        <v>44687</v>
      </c>
      <c r="C911" s="424">
        <v>44682</v>
      </c>
      <c r="D911" s="415" t="s">
        <v>271</v>
      </c>
      <c r="E911" s="415" t="s">
        <v>71</v>
      </c>
      <c r="F911" s="425">
        <v>11</v>
      </c>
      <c r="G911" s="427" t="s">
        <v>1585</v>
      </c>
      <c r="H911" s="415" t="s">
        <v>310</v>
      </c>
      <c r="I911" s="639" t="s">
        <v>881</v>
      </c>
      <c r="J911" s="418" t="s">
        <v>882</v>
      </c>
      <c r="K911" s="418" t="s">
        <v>883</v>
      </c>
      <c r="L911" s="399" t="s">
        <v>798</v>
      </c>
      <c r="M911" s="544" t="s">
        <v>310</v>
      </c>
      <c r="N911" s="414">
        <v>44687</v>
      </c>
      <c r="O911" s="414" t="s">
        <v>400</v>
      </c>
      <c r="P911" s="603">
        <f t="shared" si="114"/>
        <v>5</v>
      </c>
      <c r="Q911" s="603">
        <f t="shared" si="115"/>
        <v>5</v>
      </c>
      <c r="R911" s="604" t="str">
        <f t="shared" si="116"/>
        <v>Gastos_Gerais</v>
      </c>
      <c r="S911" s="605" t="s">
        <v>310</v>
      </c>
      <c r="T911" s="605" t="s">
        <v>310</v>
      </c>
    </row>
    <row r="912" spans="1:20" s="88" customFormat="1" ht="24" x14ac:dyDescent="0.2">
      <c r="A912" s="510">
        <f>IF(B912="","",COUNT('Diário 1º PA'!$A$4:$A$2635)+ROW()-3)</f>
        <v>2645</v>
      </c>
      <c r="B912" s="414">
        <v>44687</v>
      </c>
      <c r="C912" s="424">
        <v>44682</v>
      </c>
      <c r="D912" s="415" t="s">
        <v>271</v>
      </c>
      <c r="E912" s="415" t="s">
        <v>71</v>
      </c>
      <c r="F912" s="425">
        <v>11</v>
      </c>
      <c r="G912" s="427" t="s">
        <v>1235</v>
      </c>
      <c r="H912" s="415" t="s">
        <v>310</v>
      </c>
      <c r="I912" s="639" t="s">
        <v>881</v>
      </c>
      <c r="J912" s="418" t="s">
        <v>882</v>
      </c>
      <c r="K912" s="418" t="s">
        <v>883</v>
      </c>
      <c r="L912" s="399" t="s">
        <v>798</v>
      </c>
      <c r="M912" s="544" t="s">
        <v>310</v>
      </c>
      <c r="N912" s="414">
        <v>44687</v>
      </c>
      <c r="O912" s="414" t="s">
        <v>400</v>
      </c>
      <c r="P912" s="603">
        <f t="shared" si="114"/>
        <v>5</v>
      </c>
      <c r="Q912" s="603">
        <f t="shared" si="115"/>
        <v>5</v>
      </c>
      <c r="R912" s="604" t="str">
        <f t="shared" si="116"/>
        <v>Gastos_Gerais</v>
      </c>
      <c r="S912" s="605" t="s">
        <v>310</v>
      </c>
      <c r="T912" s="605" t="s">
        <v>310</v>
      </c>
    </row>
    <row r="913" spans="1:20" s="88" customFormat="1" ht="24" x14ac:dyDescent="0.2">
      <c r="A913" s="510">
        <f>IF(B913="","",COUNT('Diário 1º PA'!$A$4:$A$2635)+ROW()-3)</f>
        <v>2646</v>
      </c>
      <c r="B913" s="414">
        <v>44687</v>
      </c>
      <c r="C913" s="424">
        <v>44682</v>
      </c>
      <c r="D913" s="415" t="s">
        <v>271</v>
      </c>
      <c r="E913" s="415" t="s">
        <v>71</v>
      </c>
      <c r="F913" s="425">
        <v>11</v>
      </c>
      <c r="G913" s="427" t="s">
        <v>1233</v>
      </c>
      <c r="H913" s="415" t="s">
        <v>310</v>
      </c>
      <c r="I913" s="639" t="s">
        <v>881</v>
      </c>
      <c r="J913" s="418" t="s">
        <v>882</v>
      </c>
      <c r="K913" s="418" t="s">
        <v>883</v>
      </c>
      <c r="L913" s="399" t="s">
        <v>798</v>
      </c>
      <c r="M913" s="544" t="s">
        <v>310</v>
      </c>
      <c r="N913" s="414">
        <v>44687</v>
      </c>
      <c r="O913" s="414" t="s">
        <v>400</v>
      </c>
      <c r="P913" s="603">
        <f t="shared" si="114"/>
        <v>5</v>
      </c>
      <c r="Q913" s="603">
        <f t="shared" si="115"/>
        <v>5</v>
      </c>
      <c r="R913" s="604" t="str">
        <f t="shared" si="116"/>
        <v>Gastos_Gerais</v>
      </c>
      <c r="S913" s="605" t="s">
        <v>310</v>
      </c>
      <c r="T913" s="605" t="s">
        <v>310</v>
      </c>
    </row>
    <row r="914" spans="1:20" s="88" customFormat="1" ht="24" x14ac:dyDescent="0.2">
      <c r="A914" s="510">
        <f>IF(B914="","",COUNT('Diário 1º PA'!$A$4:$A$2635)+ROW()-3)</f>
        <v>2647</v>
      </c>
      <c r="B914" s="414">
        <v>44687</v>
      </c>
      <c r="C914" s="424">
        <v>44682</v>
      </c>
      <c r="D914" s="415" t="s">
        <v>271</v>
      </c>
      <c r="E914" s="415" t="s">
        <v>71</v>
      </c>
      <c r="F914" s="425">
        <v>11</v>
      </c>
      <c r="G914" s="427" t="s">
        <v>1587</v>
      </c>
      <c r="H914" s="415" t="s">
        <v>310</v>
      </c>
      <c r="I914" s="639" t="s">
        <v>881</v>
      </c>
      <c r="J914" s="418" t="s">
        <v>882</v>
      </c>
      <c r="K914" s="418" t="s">
        <v>883</v>
      </c>
      <c r="L914" s="399" t="s">
        <v>798</v>
      </c>
      <c r="M914" s="544" t="s">
        <v>310</v>
      </c>
      <c r="N914" s="414">
        <v>44687</v>
      </c>
      <c r="O914" s="414" t="s">
        <v>400</v>
      </c>
      <c r="P914" s="603">
        <f t="shared" si="114"/>
        <v>5</v>
      </c>
      <c r="Q914" s="603">
        <f t="shared" si="115"/>
        <v>5</v>
      </c>
      <c r="R914" s="604" t="str">
        <f t="shared" si="116"/>
        <v>Gastos_Gerais</v>
      </c>
      <c r="S914" s="605" t="s">
        <v>310</v>
      </c>
      <c r="T914" s="605" t="s">
        <v>310</v>
      </c>
    </row>
    <row r="915" spans="1:20" s="88" customFormat="1" ht="24" x14ac:dyDescent="0.2">
      <c r="A915" s="510">
        <f>IF(B915="","",COUNT('Diário 1º PA'!$A$4:$A$2635)+ROW()-3)</f>
        <v>2648</v>
      </c>
      <c r="B915" s="414">
        <v>44687</v>
      </c>
      <c r="C915" s="424">
        <v>44682</v>
      </c>
      <c r="D915" s="415" t="s">
        <v>271</v>
      </c>
      <c r="E915" s="415" t="s">
        <v>71</v>
      </c>
      <c r="F915" s="425">
        <v>11</v>
      </c>
      <c r="G915" s="427" t="s">
        <v>1233</v>
      </c>
      <c r="H915" s="415" t="s">
        <v>310</v>
      </c>
      <c r="I915" s="639" t="s">
        <v>881</v>
      </c>
      <c r="J915" s="418" t="s">
        <v>882</v>
      </c>
      <c r="K915" s="418" t="s">
        <v>883</v>
      </c>
      <c r="L915" s="399" t="s">
        <v>798</v>
      </c>
      <c r="M915" s="544" t="s">
        <v>310</v>
      </c>
      <c r="N915" s="414">
        <v>44687</v>
      </c>
      <c r="O915" s="414" t="s">
        <v>400</v>
      </c>
      <c r="P915" s="603">
        <f t="shared" si="114"/>
        <v>5</v>
      </c>
      <c r="Q915" s="603">
        <f t="shared" si="115"/>
        <v>5</v>
      </c>
      <c r="R915" s="604" t="str">
        <f t="shared" si="116"/>
        <v>Gastos_Gerais</v>
      </c>
      <c r="S915" s="605" t="s">
        <v>310</v>
      </c>
      <c r="T915" s="605" t="s">
        <v>310</v>
      </c>
    </row>
    <row r="916" spans="1:20" s="88" customFormat="1" ht="24" x14ac:dyDescent="0.2">
      <c r="A916" s="510">
        <f>IF(B916="","",COUNT('Diário 1º PA'!$A$4:$A$2635)+ROW()-3)</f>
        <v>2649</v>
      </c>
      <c r="B916" s="414">
        <v>44687</v>
      </c>
      <c r="C916" s="424">
        <v>44682</v>
      </c>
      <c r="D916" s="415" t="s">
        <v>271</v>
      </c>
      <c r="E916" s="415" t="s">
        <v>71</v>
      </c>
      <c r="F916" s="425">
        <v>11</v>
      </c>
      <c r="G916" s="427" t="s">
        <v>1586</v>
      </c>
      <c r="H916" s="415" t="s">
        <v>310</v>
      </c>
      <c r="I916" s="639" t="s">
        <v>881</v>
      </c>
      <c r="J916" s="418" t="s">
        <v>882</v>
      </c>
      <c r="K916" s="418" t="s">
        <v>883</v>
      </c>
      <c r="L916" s="399" t="s">
        <v>798</v>
      </c>
      <c r="M916" s="544" t="s">
        <v>310</v>
      </c>
      <c r="N916" s="414">
        <v>44687</v>
      </c>
      <c r="O916" s="414" t="s">
        <v>400</v>
      </c>
      <c r="P916" s="603">
        <f t="shared" si="114"/>
        <v>5</v>
      </c>
      <c r="Q916" s="603">
        <f t="shared" si="115"/>
        <v>5</v>
      </c>
      <c r="R916" s="604" t="str">
        <f t="shared" si="116"/>
        <v>Gastos_Gerais</v>
      </c>
      <c r="S916" s="605" t="s">
        <v>310</v>
      </c>
      <c r="T916" s="605" t="s">
        <v>310</v>
      </c>
    </row>
    <row r="917" spans="1:20" s="88" customFormat="1" ht="24" x14ac:dyDescent="0.2">
      <c r="A917" s="510">
        <f>IF(B917="","",COUNT('Diário 1º PA'!$A$4:$A$2635)+ROW()-3)</f>
        <v>2650</v>
      </c>
      <c r="B917" s="414">
        <v>44687</v>
      </c>
      <c r="C917" s="424">
        <v>44682</v>
      </c>
      <c r="D917" s="415" t="s">
        <v>271</v>
      </c>
      <c r="E917" s="415" t="s">
        <v>71</v>
      </c>
      <c r="F917" s="425">
        <v>11</v>
      </c>
      <c r="G917" s="427" t="s">
        <v>1588</v>
      </c>
      <c r="H917" s="415" t="s">
        <v>310</v>
      </c>
      <c r="I917" s="639" t="s">
        <v>881</v>
      </c>
      <c r="J917" s="418" t="s">
        <v>882</v>
      </c>
      <c r="K917" s="418" t="s">
        <v>883</v>
      </c>
      <c r="L917" s="399" t="s">
        <v>798</v>
      </c>
      <c r="M917" s="544" t="s">
        <v>310</v>
      </c>
      <c r="N917" s="414">
        <v>44687</v>
      </c>
      <c r="O917" s="414" t="s">
        <v>400</v>
      </c>
      <c r="P917" s="603">
        <f t="shared" si="114"/>
        <v>5</v>
      </c>
      <c r="Q917" s="603">
        <f t="shared" si="115"/>
        <v>5</v>
      </c>
      <c r="R917" s="604" t="str">
        <f t="shared" si="116"/>
        <v>Gastos_Gerais</v>
      </c>
      <c r="S917" s="605" t="s">
        <v>310</v>
      </c>
      <c r="T917" s="605" t="s">
        <v>310</v>
      </c>
    </row>
    <row r="918" spans="1:20" s="88" customFormat="1" ht="24" x14ac:dyDescent="0.2">
      <c r="A918" s="510">
        <f>IF(B918="","",COUNT('Diário 1º PA'!$A$4:$A$2635)+ROW()-3)</f>
        <v>2651</v>
      </c>
      <c r="B918" s="414">
        <v>44687</v>
      </c>
      <c r="C918" s="424">
        <v>44682</v>
      </c>
      <c r="D918" s="415" t="s">
        <v>271</v>
      </c>
      <c r="E918" s="415" t="s">
        <v>71</v>
      </c>
      <c r="F918" s="425">
        <v>11</v>
      </c>
      <c r="G918" s="427" t="s">
        <v>1233</v>
      </c>
      <c r="H918" s="415" t="s">
        <v>310</v>
      </c>
      <c r="I918" s="639" t="s">
        <v>881</v>
      </c>
      <c r="J918" s="418" t="s">
        <v>882</v>
      </c>
      <c r="K918" s="418" t="s">
        <v>883</v>
      </c>
      <c r="L918" s="399" t="s">
        <v>798</v>
      </c>
      <c r="M918" s="544" t="s">
        <v>310</v>
      </c>
      <c r="N918" s="414">
        <v>44687</v>
      </c>
      <c r="O918" s="414" t="s">
        <v>400</v>
      </c>
      <c r="P918" s="603">
        <f t="shared" si="114"/>
        <v>5</v>
      </c>
      <c r="Q918" s="603">
        <f t="shared" si="115"/>
        <v>5</v>
      </c>
      <c r="R918" s="604" t="str">
        <f t="shared" si="116"/>
        <v>Gastos_Gerais</v>
      </c>
      <c r="S918" s="605" t="s">
        <v>310</v>
      </c>
      <c r="T918" s="605" t="s">
        <v>310</v>
      </c>
    </row>
    <row r="919" spans="1:20" s="88" customFormat="1" ht="24" x14ac:dyDescent="0.2">
      <c r="A919" s="510">
        <f>IF(B919="","",COUNT('Diário 1º PA'!$A$4:$A$2635)+ROW()-3)</f>
        <v>2652</v>
      </c>
      <c r="B919" s="414">
        <v>44687</v>
      </c>
      <c r="C919" s="424">
        <v>44682</v>
      </c>
      <c r="D919" s="415" t="s">
        <v>271</v>
      </c>
      <c r="E919" s="415" t="s">
        <v>71</v>
      </c>
      <c r="F919" s="425">
        <v>11</v>
      </c>
      <c r="G919" s="427" t="s">
        <v>1233</v>
      </c>
      <c r="H919" s="415" t="s">
        <v>310</v>
      </c>
      <c r="I919" s="639" t="s">
        <v>881</v>
      </c>
      <c r="J919" s="418" t="s">
        <v>882</v>
      </c>
      <c r="K919" s="418" t="s">
        <v>883</v>
      </c>
      <c r="L919" s="399" t="s">
        <v>798</v>
      </c>
      <c r="M919" s="544" t="s">
        <v>310</v>
      </c>
      <c r="N919" s="414">
        <v>44687</v>
      </c>
      <c r="O919" s="414" t="s">
        <v>400</v>
      </c>
      <c r="P919" s="603">
        <f t="shared" si="114"/>
        <v>5</v>
      </c>
      <c r="Q919" s="603">
        <f t="shared" si="115"/>
        <v>5</v>
      </c>
      <c r="R919" s="604" t="str">
        <f t="shared" si="116"/>
        <v>Gastos_Gerais</v>
      </c>
      <c r="S919" s="605" t="s">
        <v>310</v>
      </c>
      <c r="T919" s="605" t="s">
        <v>310</v>
      </c>
    </row>
    <row r="920" spans="1:20" s="88" customFormat="1" ht="24" x14ac:dyDescent="0.2">
      <c r="A920" s="510">
        <f>IF(B920="","",COUNT('Diário 1º PA'!$A$4:$A$2635)+ROW()-3)</f>
        <v>2653</v>
      </c>
      <c r="B920" s="414">
        <v>44687</v>
      </c>
      <c r="C920" s="424">
        <v>44682</v>
      </c>
      <c r="D920" s="415" t="s">
        <v>271</v>
      </c>
      <c r="E920" s="415" t="s">
        <v>71</v>
      </c>
      <c r="F920" s="425">
        <v>11</v>
      </c>
      <c r="G920" s="427" t="s">
        <v>1245</v>
      </c>
      <c r="H920" s="415" t="s">
        <v>310</v>
      </c>
      <c r="I920" s="639" t="s">
        <v>881</v>
      </c>
      <c r="J920" s="418" t="s">
        <v>882</v>
      </c>
      <c r="K920" s="418" t="s">
        <v>883</v>
      </c>
      <c r="L920" s="399" t="s">
        <v>798</v>
      </c>
      <c r="M920" s="544" t="s">
        <v>310</v>
      </c>
      <c r="N920" s="414">
        <v>44687</v>
      </c>
      <c r="O920" s="414" t="s">
        <v>400</v>
      </c>
      <c r="P920" s="603">
        <f t="shared" si="114"/>
        <v>5</v>
      </c>
      <c r="Q920" s="603">
        <f t="shared" si="115"/>
        <v>5</v>
      </c>
      <c r="R920" s="604" t="str">
        <f t="shared" si="116"/>
        <v>Gastos_Gerais</v>
      </c>
      <c r="S920" s="605" t="s">
        <v>310</v>
      </c>
      <c r="T920" s="605" t="s">
        <v>310</v>
      </c>
    </row>
    <row r="921" spans="1:20" s="88" customFormat="1" ht="24" x14ac:dyDescent="0.2">
      <c r="A921" s="510">
        <f>IF(B921="","",COUNT('Diário 1º PA'!$A$4:$A$2635)+ROW()-3)</f>
        <v>2654</v>
      </c>
      <c r="B921" s="414">
        <v>44687</v>
      </c>
      <c r="C921" s="424">
        <v>44682</v>
      </c>
      <c r="D921" s="415" t="s">
        <v>271</v>
      </c>
      <c r="E921" s="415" t="s">
        <v>71</v>
      </c>
      <c r="F921" s="425">
        <v>11</v>
      </c>
      <c r="G921" s="427" t="s">
        <v>1233</v>
      </c>
      <c r="H921" s="415" t="s">
        <v>310</v>
      </c>
      <c r="I921" s="639" t="s">
        <v>881</v>
      </c>
      <c r="J921" s="418" t="s">
        <v>882</v>
      </c>
      <c r="K921" s="418" t="s">
        <v>883</v>
      </c>
      <c r="L921" s="399" t="s">
        <v>798</v>
      </c>
      <c r="M921" s="544" t="s">
        <v>310</v>
      </c>
      <c r="N921" s="414">
        <v>44687</v>
      </c>
      <c r="O921" s="414" t="s">
        <v>400</v>
      </c>
      <c r="P921" s="603">
        <f t="shared" si="114"/>
        <v>5</v>
      </c>
      <c r="Q921" s="603">
        <f t="shared" si="115"/>
        <v>5</v>
      </c>
      <c r="R921" s="604" t="str">
        <f t="shared" si="116"/>
        <v>Gastos_Gerais</v>
      </c>
      <c r="S921" s="605" t="s">
        <v>310</v>
      </c>
      <c r="T921" s="605" t="s">
        <v>310</v>
      </c>
    </row>
    <row r="922" spans="1:20" s="88" customFormat="1" ht="24" x14ac:dyDescent="0.2">
      <c r="A922" s="510">
        <f>IF(B922="","",COUNT('Diário 1º PA'!$A$4:$A$2635)+ROW()-3)</f>
        <v>2655</v>
      </c>
      <c r="B922" s="414">
        <v>44687</v>
      </c>
      <c r="C922" s="424">
        <v>44682</v>
      </c>
      <c r="D922" s="415" t="s">
        <v>271</v>
      </c>
      <c r="E922" s="415" t="s">
        <v>71</v>
      </c>
      <c r="F922" s="425">
        <v>11</v>
      </c>
      <c r="G922" s="427" t="s">
        <v>1240</v>
      </c>
      <c r="H922" s="415" t="s">
        <v>310</v>
      </c>
      <c r="I922" s="639" t="s">
        <v>881</v>
      </c>
      <c r="J922" s="418" t="s">
        <v>882</v>
      </c>
      <c r="K922" s="418" t="s">
        <v>883</v>
      </c>
      <c r="L922" s="399" t="s">
        <v>798</v>
      </c>
      <c r="M922" s="544" t="s">
        <v>310</v>
      </c>
      <c r="N922" s="414">
        <v>44687</v>
      </c>
      <c r="O922" s="414" t="s">
        <v>400</v>
      </c>
      <c r="P922" s="603">
        <f t="shared" si="114"/>
        <v>5</v>
      </c>
      <c r="Q922" s="603">
        <f t="shared" si="115"/>
        <v>5</v>
      </c>
      <c r="R922" s="604" t="str">
        <f t="shared" si="116"/>
        <v>Gastos_Gerais</v>
      </c>
      <c r="S922" s="605" t="s">
        <v>310</v>
      </c>
      <c r="T922" s="605" t="s">
        <v>310</v>
      </c>
    </row>
    <row r="923" spans="1:20" s="88" customFormat="1" ht="24" x14ac:dyDescent="0.2">
      <c r="A923" s="510">
        <f>IF(B923="","",COUNT('Diário 1º PA'!$A$4:$A$2635)+ROW()-3)</f>
        <v>2656</v>
      </c>
      <c r="B923" s="414">
        <v>44687</v>
      </c>
      <c r="C923" s="424">
        <v>44682</v>
      </c>
      <c r="D923" s="415" t="s">
        <v>271</v>
      </c>
      <c r="E923" s="415" t="s">
        <v>71</v>
      </c>
      <c r="F923" s="425">
        <v>11</v>
      </c>
      <c r="G923" s="427" t="s">
        <v>1233</v>
      </c>
      <c r="H923" s="415" t="s">
        <v>310</v>
      </c>
      <c r="I923" s="639" t="s">
        <v>881</v>
      </c>
      <c r="J923" s="418" t="s">
        <v>882</v>
      </c>
      <c r="K923" s="418" t="s">
        <v>883</v>
      </c>
      <c r="L923" s="399" t="s">
        <v>798</v>
      </c>
      <c r="M923" s="544" t="s">
        <v>310</v>
      </c>
      <c r="N923" s="414">
        <v>44687</v>
      </c>
      <c r="O923" s="414" t="s">
        <v>400</v>
      </c>
      <c r="P923" s="603">
        <f t="shared" si="114"/>
        <v>5</v>
      </c>
      <c r="Q923" s="603">
        <f t="shared" si="115"/>
        <v>5</v>
      </c>
      <c r="R923" s="604" t="str">
        <f t="shared" si="116"/>
        <v>Gastos_Gerais</v>
      </c>
      <c r="S923" s="605" t="s">
        <v>310</v>
      </c>
      <c r="T923" s="605" t="s">
        <v>310</v>
      </c>
    </row>
    <row r="924" spans="1:20" s="88" customFormat="1" ht="24" x14ac:dyDescent="0.2">
      <c r="A924" s="510">
        <f>IF(B924="","",COUNT('Diário 1º PA'!$A$4:$A$2635)+ROW()-3)</f>
        <v>2657</v>
      </c>
      <c r="B924" s="414">
        <v>44687</v>
      </c>
      <c r="C924" s="424">
        <v>44682</v>
      </c>
      <c r="D924" s="415" t="s">
        <v>271</v>
      </c>
      <c r="E924" s="415" t="s">
        <v>71</v>
      </c>
      <c r="F924" s="425">
        <v>11</v>
      </c>
      <c r="G924" s="427" t="s">
        <v>1233</v>
      </c>
      <c r="H924" s="415" t="s">
        <v>310</v>
      </c>
      <c r="I924" s="639" t="s">
        <v>881</v>
      </c>
      <c r="J924" s="418" t="s">
        <v>882</v>
      </c>
      <c r="K924" s="418" t="s">
        <v>883</v>
      </c>
      <c r="L924" s="399" t="s">
        <v>798</v>
      </c>
      <c r="M924" s="544" t="s">
        <v>310</v>
      </c>
      <c r="N924" s="414">
        <v>44687</v>
      </c>
      <c r="O924" s="414" t="s">
        <v>400</v>
      </c>
      <c r="P924" s="603">
        <f t="shared" si="114"/>
        <v>5</v>
      </c>
      <c r="Q924" s="603">
        <f t="shared" si="115"/>
        <v>5</v>
      </c>
      <c r="R924" s="604" t="str">
        <f t="shared" si="116"/>
        <v>Gastos_Gerais</v>
      </c>
      <c r="S924" s="605" t="s">
        <v>310</v>
      </c>
      <c r="T924" s="605" t="s">
        <v>310</v>
      </c>
    </row>
    <row r="925" spans="1:20" s="88" customFormat="1" ht="24" x14ac:dyDescent="0.2">
      <c r="A925" s="510">
        <f>IF(B925="","",COUNT('Diário 1º PA'!$A$4:$A$2635)+ROW()-3)</f>
        <v>2658</v>
      </c>
      <c r="B925" s="414">
        <v>44687</v>
      </c>
      <c r="C925" s="424">
        <v>44682</v>
      </c>
      <c r="D925" s="415" t="s">
        <v>271</v>
      </c>
      <c r="E925" s="415" t="s">
        <v>71</v>
      </c>
      <c r="F925" s="425">
        <v>11</v>
      </c>
      <c r="G925" s="427" t="s">
        <v>1246</v>
      </c>
      <c r="H925" s="415" t="s">
        <v>310</v>
      </c>
      <c r="I925" s="639" t="s">
        <v>881</v>
      </c>
      <c r="J925" s="418" t="s">
        <v>882</v>
      </c>
      <c r="K925" s="418" t="s">
        <v>883</v>
      </c>
      <c r="L925" s="399" t="s">
        <v>798</v>
      </c>
      <c r="M925" s="544" t="s">
        <v>310</v>
      </c>
      <c r="N925" s="414">
        <v>44687</v>
      </c>
      <c r="O925" s="414" t="s">
        <v>400</v>
      </c>
      <c r="P925" s="603">
        <f t="shared" si="114"/>
        <v>5</v>
      </c>
      <c r="Q925" s="603">
        <f t="shared" si="115"/>
        <v>5</v>
      </c>
      <c r="R925" s="604" t="str">
        <f t="shared" si="116"/>
        <v>Gastos_Gerais</v>
      </c>
      <c r="S925" s="605" t="s">
        <v>310</v>
      </c>
      <c r="T925" s="605" t="s">
        <v>310</v>
      </c>
    </row>
    <row r="926" spans="1:20" s="88" customFormat="1" ht="24" x14ac:dyDescent="0.2">
      <c r="A926" s="510">
        <f>IF(B926="","",COUNT('Diário 1º PA'!$A$4:$A$2635)+ROW()-3)</f>
        <v>2659</v>
      </c>
      <c r="B926" s="414">
        <v>44687</v>
      </c>
      <c r="C926" s="424">
        <v>44682</v>
      </c>
      <c r="D926" s="415" t="s">
        <v>271</v>
      </c>
      <c r="E926" s="415" t="s">
        <v>71</v>
      </c>
      <c r="F926" s="425">
        <v>11</v>
      </c>
      <c r="G926" s="427" t="s">
        <v>1589</v>
      </c>
      <c r="H926" s="415" t="s">
        <v>310</v>
      </c>
      <c r="I926" s="639" t="s">
        <v>881</v>
      </c>
      <c r="J926" s="418" t="s">
        <v>882</v>
      </c>
      <c r="K926" s="418" t="s">
        <v>883</v>
      </c>
      <c r="L926" s="399" t="s">
        <v>798</v>
      </c>
      <c r="M926" s="544" t="s">
        <v>310</v>
      </c>
      <c r="N926" s="414">
        <v>44687</v>
      </c>
      <c r="O926" s="414" t="s">
        <v>400</v>
      </c>
      <c r="P926" s="603">
        <f t="shared" si="114"/>
        <v>5</v>
      </c>
      <c r="Q926" s="603">
        <f t="shared" si="115"/>
        <v>5</v>
      </c>
      <c r="R926" s="604" t="str">
        <f t="shared" si="116"/>
        <v>Gastos_Gerais</v>
      </c>
      <c r="S926" s="605" t="s">
        <v>310</v>
      </c>
      <c r="T926" s="605" t="s">
        <v>310</v>
      </c>
    </row>
    <row r="927" spans="1:20" s="88" customFormat="1" ht="24" x14ac:dyDescent="0.2">
      <c r="A927" s="510">
        <f>IF(B927="","",COUNT('Diário 1º PA'!$A$4:$A$2635)+ROW()-3)</f>
        <v>2660</v>
      </c>
      <c r="B927" s="414">
        <v>44687</v>
      </c>
      <c r="C927" s="424">
        <v>44682</v>
      </c>
      <c r="D927" s="415" t="s">
        <v>271</v>
      </c>
      <c r="E927" s="415" t="s">
        <v>71</v>
      </c>
      <c r="F927" s="425">
        <v>11</v>
      </c>
      <c r="G927" s="427" t="s">
        <v>1233</v>
      </c>
      <c r="H927" s="415" t="s">
        <v>310</v>
      </c>
      <c r="I927" s="639" t="s">
        <v>881</v>
      </c>
      <c r="J927" s="418" t="s">
        <v>882</v>
      </c>
      <c r="K927" s="418" t="s">
        <v>883</v>
      </c>
      <c r="L927" s="399" t="s">
        <v>798</v>
      </c>
      <c r="M927" s="544" t="s">
        <v>310</v>
      </c>
      <c r="N927" s="414">
        <v>44687</v>
      </c>
      <c r="O927" s="414" t="s">
        <v>400</v>
      </c>
      <c r="P927" s="603">
        <f t="shared" si="114"/>
        <v>5</v>
      </c>
      <c r="Q927" s="603">
        <f t="shared" si="115"/>
        <v>5</v>
      </c>
      <c r="R927" s="604" t="str">
        <f t="shared" si="116"/>
        <v>Gastos_Gerais</v>
      </c>
      <c r="S927" s="605" t="s">
        <v>310</v>
      </c>
      <c r="T927" s="605" t="s">
        <v>310</v>
      </c>
    </row>
    <row r="928" spans="1:20" s="88" customFormat="1" ht="24" x14ac:dyDescent="0.2">
      <c r="A928" s="510">
        <f>IF(B928="","",COUNT('Diário 1º PA'!$A$4:$A$2635)+ROW()-3)</f>
        <v>2661</v>
      </c>
      <c r="B928" s="414">
        <v>44687</v>
      </c>
      <c r="C928" s="424">
        <v>44682</v>
      </c>
      <c r="D928" s="415" t="s">
        <v>271</v>
      </c>
      <c r="E928" s="415" t="s">
        <v>71</v>
      </c>
      <c r="F928" s="425">
        <v>11</v>
      </c>
      <c r="G928" s="427" t="s">
        <v>1233</v>
      </c>
      <c r="H928" s="415" t="s">
        <v>310</v>
      </c>
      <c r="I928" s="639" t="s">
        <v>881</v>
      </c>
      <c r="J928" s="418" t="s">
        <v>882</v>
      </c>
      <c r="K928" s="418" t="s">
        <v>883</v>
      </c>
      <c r="L928" s="399" t="s">
        <v>798</v>
      </c>
      <c r="M928" s="544" t="s">
        <v>310</v>
      </c>
      <c r="N928" s="414">
        <v>44687</v>
      </c>
      <c r="O928" s="414" t="s">
        <v>400</v>
      </c>
      <c r="P928" s="603">
        <f t="shared" si="114"/>
        <v>5</v>
      </c>
      <c r="Q928" s="603">
        <f t="shared" si="115"/>
        <v>5</v>
      </c>
      <c r="R928" s="604" t="str">
        <f t="shared" si="116"/>
        <v>Gastos_Gerais</v>
      </c>
      <c r="S928" s="605" t="s">
        <v>310</v>
      </c>
      <c r="T928" s="605" t="s">
        <v>310</v>
      </c>
    </row>
    <row r="929" spans="1:20" s="88" customFormat="1" ht="24" x14ac:dyDescent="0.2">
      <c r="A929" s="510">
        <f>IF(B929="","",COUNT('Diário 1º PA'!$A$4:$A$2635)+ROW()-3)</f>
        <v>2662</v>
      </c>
      <c r="B929" s="414">
        <v>44687</v>
      </c>
      <c r="C929" s="424">
        <v>44682</v>
      </c>
      <c r="D929" s="415" t="s">
        <v>271</v>
      </c>
      <c r="E929" s="415" t="s">
        <v>71</v>
      </c>
      <c r="F929" s="425">
        <v>11</v>
      </c>
      <c r="G929" s="427" t="s">
        <v>1233</v>
      </c>
      <c r="H929" s="415" t="s">
        <v>310</v>
      </c>
      <c r="I929" s="639" t="s">
        <v>881</v>
      </c>
      <c r="J929" s="418" t="s">
        <v>882</v>
      </c>
      <c r="K929" s="418" t="s">
        <v>883</v>
      </c>
      <c r="L929" s="399" t="s">
        <v>798</v>
      </c>
      <c r="M929" s="544" t="s">
        <v>310</v>
      </c>
      <c r="N929" s="414">
        <v>44687</v>
      </c>
      <c r="O929" s="414" t="s">
        <v>400</v>
      </c>
      <c r="P929" s="603">
        <f t="shared" si="114"/>
        <v>5</v>
      </c>
      <c r="Q929" s="603">
        <f t="shared" si="115"/>
        <v>5</v>
      </c>
      <c r="R929" s="604" t="str">
        <f t="shared" si="116"/>
        <v>Gastos_Gerais</v>
      </c>
      <c r="S929" s="605" t="s">
        <v>310</v>
      </c>
      <c r="T929" s="605" t="s">
        <v>310</v>
      </c>
    </row>
    <row r="930" spans="1:20" s="88" customFormat="1" ht="24" x14ac:dyDescent="0.2">
      <c r="A930" s="510">
        <f>IF(B930="","",COUNT('Diário 1º PA'!$A$4:$A$2635)+ROW()-3)</f>
        <v>2663</v>
      </c>
      <c r="B930" s="414">
        <v>44687</v>
      </c>
      <c r="C930" s="424">
        <v>44682</v>
      </c>
      <c r="D930" s="415" t="s">
        <v>271</v>
      </c>
      <c r="E930" s="415" t="s">
        <v>71</v>
      </c>
      <c r="F930" s="425">
        <v>11</v>
      </c>
      <c r="G930" s="427" t="s">
        <v>1233</v>
      </c>
      <c r="H930" s="415" t="s">
        <v>310</v>
      </c>
      <c r="I930" s="639" t="s">
        <v>881</v>
      </c>
      <c r="J930" s="418" t="s">
        <v>882</v>
      </c>
      <c r="K930" s="418" t="s">
        <v>883</v>
      </c>
      <c r="L930" s="399" t="s">
        <v>798</v>
      </c>
      <c r="M930" s="544" t="s">
        <v>310</v>
      </c>
      <c r="N930" s="414">
        <v>44687</v>
      </c>
      <c r="O930" s="414" t="s">
        <v>400</v>
      </c>
      <c r="P930" s="603">
        <f t="shared" si="114"/>
        <v>5</v>
      </c>
      <c r="Q930" s="603">
        <f t="shared" si="115"/>
        <v>5</v>
      </c>
      <c r="R930" s="604" t="str">
        <f t="shared" si="116"/>
        <v>Gastos_Gerais</v>
      </c>
      <c r="S930" s="605" t="s">
        <v>310</v>
      </c>
      <c r="T930" s="605" t="s">
        <v>310</v>
      </c>
    </row>
    <row r="931" spans="1:20" s="88" customFormat="1" ht="24" x14ac:dyDescent="0.2">
      <c r="A931" s="510">
        <f>IF(B931="","",COUNT('Diário 1º PA'!$A$4:$A$2635)+ROW()-3)</f>
        <v>2664</v>
      </c>
      <c r="B931" s="414">
        <v>44687</v>
      </c>
      <c r="C931" s="424">
        <v>44682</v>
      </c>
      <c r="D931" s="415" t="s">
        <v>271</v>
      </c>
      <c r="E931" s="415" t="s">
        <v>71</v>
      </c>
      <c r="F931" s="425">
        <v>11</v>
      </c>
      <c r="G931" s="427" t="s">
        <v>1233</v>
      </c>
      <c r="H931" s="415" t="s">
        <v>310</v>
      </c>
      <c r="I931" s="639" t="s">
        <v>881</v>
      </c>
      <c r="J931" s="418" t="s">
        <v>882</v>
      </c>
      <c r="K931" s="418" t="s">
        <v>883</v>
      </c>
      <c r="L931" s="399" t="s">
        <v>798</v>
      </c>
      <c r="M931" s="544" t="s">
        <v>310</v>
      </c>
      <c r="N931" s="414">
        <v>44687</v>
      </c>
      <c r="O931" s="414" t="s">
        <v>400</v>
      </c>
      <c r="P931" s="603">
        <f t="shared" si="114"/>
        <v>5</v>
      </c>
      <c r="Q931" s="603">
        <f t="shared" si="115"/>
        <v>5</v>
      </c>
      <c r="R931" s="604" t="str">
        <f t="shared" si="116"/>
        <v>Gastos_Gerais</v>
      </c>
      <c r="S931" s="605" t="s">
        <v>310</v>
      </c>
      <c r="T931" s="605" t="s">
        <v>310</v>
      </c>
    </row>
    <row r="932" spans="1:20" s="88" customFormat="1" ht="24" x14ac:dyDescent="0.2">
      <c r="A932" s="510">
        <f>IF(B932="","",COUNT('Diário 1º PA'!$A$4:$A$2635)+ROW()-3)</f>
        <v>2665</v>
      </c>
      <c r="B932" s="414">
        <v>44687</v>
      </c>
      <c r="C932" s="424">
        <v>44682</v>
      </c>
      <c r="D932" s="415" t="s">
        <v>271</v>
      </c>
      <c r="E932" s="415" t="s">
        <v>71</v>
      </c>
      <c r="F932" s="425">
        <v>11</v>
      </c>
      <c r="G932" s="427" t="s">
        <v>1239</v>
      </c>
      <c r="H932" s="415" t="s">
        <v>310</v>
      </c>
      <c r="I932" s="639" t="s">
        <v>881</v>
      </c>
      <c r="J932" s="418" t="s">
        <v>882</v>
      </c>
      <c r="K932" s="418" t="s">
        <v>883</v>
      </c>
      <c r="L932" s="399" t="s">
        <v>798</v>
      </c>
      <c r="M932" s="544" t="s">
        <v>310</v>
      </c>
      <c r="N932" s="414">
        <v>44687</v>
      </c>
      <c r="O932" s="414" t="s">
        <v>400</v>
      </c>
      <c r="P932" s="603">
        <f t="shared" si="114"/>
        <v>5</v>
      </c>
      <c r="Q932" s="603">
        <f t="shared" si="115"/>
        <v>5</v>
      </c>
      <c r="R932" s="604" t="str">
        <f t="shared" si="116"/>
        <v>Gastos_Gerais</v>
      </c>
      <c r="S932" s="605" t="s">
        <v>310</v>
      </c>
      <c r="T932" s="605" t="s">
        <v>310</v>
      </c>
    </row>
    <row r="933" spans="1:20" s="88" customFormat="1" ht="24" x14ac:dyDescent="0.2">
      <c r="A933" s="510">
        <f>IF(B933="","",COUNT('Diário 1º PA'!$A$4:$A$2635)+ROW()-3)</f>
        <v>2666</v>
      </c>
      <c r="B933" s="414">
        <v>44687</v>
      </c>
      <c r="C933" s="424">
        <v>44682</v>
      </c>
      <c r="D933" s="415" t="s">
        <v>271</v>
      </c>
      <c r="E933" s="415" t="s">
        <v>71</v>
      </c>
      <c r="F933" s="425">
        <v>11</v>
      </c>
      <c r="G933" s="427" t="s">
        <v>1246</v>
      </c>
      <c r="H933" s="415" t="s">
        <v>310</v>
      </c>
      <c r="I933" s="639" t="s">
        <v>881</v>
      </c>
      <c r="J933" s="418" t="s">
        <v>882</v>
      </c>
      <c r="K933" s="418" t="s">
        <v>883</v>
      </c>
      <c r="L933" s="399" t="s">
        <v>798</v>
      </c>
      <c r="M933" s="544" t="s">
        <v>310</v>
      </c>
      <c r="N933" s="414">
        <v>44687</v>
      </c>
      <c r="O933" s="414" t="s">
        <v>400</v>
      </c>
      <c r="P933" s="603">
        <f t="shared" si="114"/>
        <v>5</v>
      </c>
      <c r="Q933" s="603">
        <f t="shared" si="115"/>
        <v>5</v>
      </c>
      <c r="R933" s="604" t="str">
        <f t="shared" si="116"/>
        <v>Gastos_Gerais</v>
      </c>
      <c r="S933" s="605" t="s">
        <v>310</v>
      </c>
      <c r="T933" s="605" t="s">
        <v>310</v>
      </c>
    </row>
    <row r="934" spans="1:20" s="88" customFormat="1" ht="24" x14ac:dyDescent="0.2">
      <c r="A934" s="510">
        <f>IF(B934="","",COUNT('Diário 1º PA'!$A$4:$A$2635)+ROW()-3)</f>
        <v>2667</v>
      </c>
      <c r="B934" s="414">
        <v>44687</v>
      </c>
      <c r="C934" s="424">
        <v>44682</v>
      </c>
      <c r="D934" s="415" t="s">
        <v>271</v>
      </c>
      <c r="E934" s="415" t="s">
        <v>71</v>
      </c>
      <c r="F934" s="425">
        <v>11</v>
      </c>
      <c r="G934" s="427" t="s">
        <v>1233</v>
      </c>
      <c r="H934" s="415" t="s">
        <v>310</v>
      </c>
      <c r="I934" s="639" t="s">
        <v>881</v>
      </c>
      <c r="J934" s="418" t="s">
        <v>882</v>
      </c>
      <c r="K934" s="418" t="s">
        <v>883</v>
      </c>
      <c r="L934" s="399" t="s">
        <v>798</v>
      </c>
      <c r="M934" s="544" t="s">
        <v>310</v>
      </c>
      <c r="N934" s="414">
        <v>44687</v>
      </c>
      <c r="O934" s="414" t="s">
        <v>400</v>
      </c>
      <c r="P934" s="603">
        <f t="shared" si="114"/>
        <v>5</v>
      </c>
      <c r="Q934" s="603">
        <f t="shared" si="115"/>
        <v>5</v>
      </c>
      <c r="R934" s="604" t="str">
        <f t="shared" si="116"/>
        <v>Gastos_Gerais</v>
      </c>
      <c r="S934" s="605" t="s">
        <v>310</v>
      </c>
      <c r="T934" s="605" t="s">
        <v>310</v>
      </c>
    </row>
    <row r="935" spans="1:20" s="88" customFormat="1" ht="24" x14ac:dyDescent="0.2">
      <c r="A935" s="510">
        <f>IF(B935="","",COUNT('Diário 1º PA'!$A$4:$A$2635)+ROW()-3)</f>
        <v>2668</v>
      </c>
      <c r="B935" s="414">
        <v>44687</v>
      </c>
      <c r="C935" s="424">
        <v>44682</v>
      </c>
      <c r="D935" s="415" t="s">
        <v>271</v>
      </c>
      <c r="E935" s="415" t="s">
        <v>71</v>
      </c>
      <c r="F935" s="425">
        <v>11</v>
      </c>
      <c r="G935" s="427" t="s">
        <v>1247</v>
      </c>
      <c r="H935" s="415" t="s">
        <v>310</v>
      </c>
      <c r="I935" s="639" t="s">
        <v>881</v>
      </c>
      <c r="J935" s="418" t="s">
        <v>882</v>
      </c>
      <c r="K935" s="418" t="s">
        <v>883</v>
      </c>
      <c r="L935" s="399" t="s">
        <v>798</v>
      </c>
      <c r="M935" s="544" t="s">
        <v>310</v>
      </c>
      <c r="N935" s="414">
        <v>44687</v>
      </c>
      <c r="O935" s="414" t="s">
        <v>400</v>
      </c>
      <c r="P935" s="603">
        <f t="shared" si="114"/>
        <v>5</v>
      </c>
      <c r="Q935" s="603">
        <f t="shared" si="115"/>
        <v>5</v>
      </c>
      <c r="R935" s="604" t="str">
        <f t="shared" si="116"/>
        <v>Gastos_Gerais</v>
      </c>
      <c r="S935" s="605" t="s">
        <v>310</v>
      </c>
      <c r="T935" s="605" t="s">
        <v>310</v>
      </c>
    </row>
    <row r="936" spans="1:20" s="88" customFormat="1" ht="24" x14ac:dyDescent="0.2">
      <c r="A936" s="510">
        <f>IF(B936="","",COUNT('Diário 1º PA'!$A$4:$A$2635)+ROW()-3)</f>
        <v>2669</v>
      </c>
      <c r="B936" s="414">
        <v>44687</v>
      </c>
      <c r="C936" s="424">
        <v>44682</v>
      </c>
      <c r="D936" s="415" t="s">
        <v>271</v>
      </c>
      <c r="E936" s="415" t="s">
        <v>71</v>
      </c>
      <c r="F936" s="425">
        <v>11</v>
      </c>
      <c r="G936" s="427" t="s">
        <v>1247</v>
      </c>
      <c r="H936" s="415" t="s">
        <v>310</v>
      </c>
      <c r="I936" s="639" t="s">
        <v>881</v>
      </c>
      <c r="J936" s="418" t="s">
        <v>882</v>
      </c>
      <c r="K936" s="418" t="s">
        <v>883</v>
      </c>
      <c r="L936" s="399" t="s">
        <v>798</v>
      </c>
      <c r="M936" s="544" t="s">
        <v>310</v>
      </c>
      <c r="N936" s="414">
        <v>44687</v>
      </c>
      <c r="O936" s="414" t="s">
        <v>400</v>
      </c>
      <c r="P936" s="603">
        <f t="shared" si="114"/>
        <v>5</v>
      </c>
      <c r="Q936" s="603">
        <f t="shared" si="115"/>
        <v>5</v>
      </c>
      <c r="R936" s="604" t="str">
        <f t="shared" si="116"/>
        <v>Gastos_Gerais</v>
      </c>
      <c r="S936" s="605" t="s">
        <v>310</v>
      </c>
      <c r="T936" s="605" t="s">
        <v>310</v>
      </c>
    </row>
    <row r="937" spans="1:20" s="88" customFormat="1" ht="24" x14ac:dyDescent="0.2">
      <c r="A937" s="510">
        <f>IF(B937="","",COUNT('Diário 1º PA'!$A$4:$A$2635)+ROW()-3)</f>
        <v>2670</v>
      </c>
      <c r="B937" s="414">
        <v>44687</v>
      </c>
      <c r="C937" s="424">
        <v>44682</v>
      </c>
      <c r="D937" s="415" t="s">
        <v>271</v>
      </c>
      <c r="E937" s="415" t="s">
        <v>71</v>
      </c>
      <c r="F937" s="425">
        <v>11</v>
      </c>
      <c r="G937" s="427" t="s">
        <v>1247</v>
      </c>
      <c r="H937" s="415" t="s">
        <v>310</v>
      </c>
      <c r="I937" s="639" t="s">
        <v>881</v>
      </c>
      <c r="J937" s="418" t="s">
        <v>882</v>
      </c>
      <c r="K937" s="418" t="s">
        <v>883</v>
      </c>
      <c r="L937" s="399" t="s">
        <v>798</v>
      </c>
      <c r="M937" s="544" t="s">
        <v>310</v>
      </c>
      <c r="N937" s="414">
        <v>44687</v>
      </c>
      <c r="O937" s="414" t="s">
        <v>400</v>
      </c>
      <c r="P937" s="603">
        <f t="shared" si="114"/>
        <v>5</v>
      </c>
      <c r="Q937" s="603">
        <f t="shared" si="115"/>
        <v>5</v>
      </c>
      <c r="R937" s="604" t="str">
        <f t="shared" si="116"/>
        <v>Gastos_Gerais</v>
      </c>
      <c r="S937" s="605" t="s">
        <v>310</v>
      </c>
      <c r="T937" s="605" t="s">
        <v>310</v>
      </c>
    </row>
    <row r="938" spans="1:20" s="88" customFormat="1" ht="24" x14ac:dyDescent="0.2">
      <c r="A938" s="510">
        <f>IF(B938="","",COUNT('Diário 1º PA'!$A$4:$A$2635)+ROW()-3)</f>
        <v>2671</v>
      </c>
      <c r="B938" s="414">
        <v>44687</v>
      </c>
      <c r="C938" s="424">
        <v>44682</v>
      </c>
      <c r="D938" s="415" t="s">
        <v>271</v>
      </c>
      <c r="E938" s="415" t="s">
        <v>71</v>
      </c>
      <c r="F938" s="425">
        <v>11</v>
      </c>
      <c r="G938" s="427" t="s">
        <v>1233</v>
      </c>
      <c r="H938" s="415" t="s">
        <v>310</v>
      </c>
      <c r="I938" s="639" t="s">
        <v>881</v>
      </c>
      <c r="J938" s="418" t="s">
        <v>882</v>
      </c>
      <c r="K938" s="418" t="s">
        <v>883</v>
      </c>
      <c r="L938" s="399" t="s">
        <v>798</v>
      </c>
      <c r="M938" s="544" t="s">
        <v>310</v>
      </c>
      <c r="N938" s="414">
        <v>44687</v>
      </c>
      <c r="O938" s="414" t="s">
        <v>400</v>
      </c>
      <c r="P938" s="603">
        <f t="shared" si="114"/>
        <v>5</v>
      </c>
      <c r="Q938" s="603">
        <f t="shared" si="115"/>
        <v>5</v>
      </c>
      <c r="R938" s="604" t="str">
        <f t="shared" si="116"/>
        <v>Gastos_Gerais</v>
      </c>
      <c r="S938" s="605" t="s">
        <v>310</v>
      </c>
      <c r="T938" s="605" t="s">
        <v>310</v>
      </c>
    </row>
    <row r="939" spans="1:20" s="88" customFormat="1" ht="24" x14ac:dyDescent="0.2">
      <c r="A939" s="510">
        <f>IF(B939="","",COUNT('Diário 1º PA'!$A$4:$A$2635)+ROW()-3)</f>
        <v>2672</v>
      </c>
      <c r="B939" s="414">
        <v>44687</v>
      </c>
      <c r="C939" s="424">
        <v>44682</v>
      </c>
      <c r="D939" s="415" t="s">
        <v>271</v>
      </c>
      <c r="E939" s="415" t="s">
        <v>71</v>
      </c>
      <c r="F939" s="425">
        <v>11</v>
      </c>
      <c r="G939" s="427" t="s">
        <v>1233</v>
      </c>
      <c r="H939" s="415" t="s">
        <v>310</v>
      </c>
      <c r="I939" s="639" t="s">
        <v>881</v>
      </c>
      <c r="J939" s="418" t="s">
        <v>882</v>
      </c>
      <c r="K939" s="418" t="s">
        <v>883</v>
      </c>
      <c r="L939" s="399" t="s">
        <v>798</v>
      </c>
      <c r="M939" s="544" t="s">
        <v>310</v>
      </c>
      <c r="N939" s="414">
        <v>44687</v>
      </c>
      <c r="O939" s="414" t="s">
        <v>400</v>
      </c>
      <c r="P939" s="603">
        <f t="shared" si="114"/>
        <v>5</v>
      </c>
      <c r="Q939" s="603">
        <f t="shared" si="115"/>
        <v>5</v>
      </c>
      <c r="R939" s="604" t="str">
        <f t="shared" si="116"/>
        <v>Gastos_Gerais</v>
      </c>
      <c r="S939" s="605" t="s">
        <v>310</v>
      </c>
      <c r="T939" s="605" t="s">
        <v>310</v>
      </c>
    </row>
    <row r="940" spans="1:20" s="88" customFormat="1" ht="24" x14ac:dyDescent="0.2">
      <c r="A940" s="510">
        <f>IF(B940="","",COUNT('Diário 1º PA'!$A$4:$A$2635)+ROW()-3)</f>
        <v>2673</v>
      </c>
      <c r="B940" s="414">
        <v>44687</v>
      </c>
      <c r="C940" s="424">
        <v>44682</v>
      </c>
      <c r="D940" s="415" t="s">
        <v>271</v>
      </c>
      <c r="E940" s="415" t="s">
        <v>71</v>
      </c>
      <c r="F940" s="425">
        <v>11</v>
      </c>
      <c r="G940" s="427" t="s">
        <v>1233</v>
      </c>
      <c r="H940" s="415" t="s">
        <v>310</v>
      </c>
      <c r="I940" s="639" t="s">
        <v>881</v>
      </c>
      <c r="J940" s="418" t="s">
        <v>882</v>
      </c>
      <c r="K940" s="418" t="s">
        <v>883</v>
      </c>
      <c r="L940" s="399" t="s">
        <v>798</v>
      </c>
      <c r="M940" s="544" t="s">
        <v>310</v>
      </c>
      <c r="N940" s="414">
        <v>44687</v>
      </c>
      <c r="O940" s="414" t="s">
        <v>400</v>
      </c>
      <c r="P940" s="603">
        <f t="shared" si="114"/>
        <v>5</v>
      </c>
      <c r="Q940" s="603">
        <f t="shared" si="115"/>
        <v>5</v>
      </c>
      <c r="R940" s="604" t="str">
        <f t="shared" si="116"/>
        <v>Gastos_Gerais</v>
      </c>
      <c r="S940" s="605" t="s">
        <v>310</v>
      </c>
      <c r="T940" s="605" t="s">
        <v>310</v>
      </c>
    </row>
    <row r="941" spans="1:20" s="88" customFormat="1" ht="24" x14ac:dyDescent="0.2">
      <c r="A941" s="510">
        <f>IF(B941="","",COUNT('Diário 1º PA'!$A$4:$A$2635)+ROW()-3)</f>
        <v>2674</v>
      </c>
      <c r="B941" s="414">
        <v>44687</v>
      </c>
      <c r="C941" s="424">
        <v>44682</v>
      </c>
      <c r="D941" s="415" t="s">
        <v>271</v>
      </c>
      <c r="E941" s="415" t="s">
        <v>71</v>
      </c>
      <c r="F941" s="425">
        <v>11</v>
      </c>
      <c r="G941" s="427" t="s">
        <v>1233</v>
      </c>
      <c r="H941" s="415" t="s">
        <v>310</v>
      </c>
      <c r="I941" s="639" t="s">
        <v>881</v>
      </c>
      <c r="J941" s="418" t="s">
        <v>882</v>
      </c>
      <c r="K941" s="418" t="s">
        <v>883</v>
      </c>
      <c r="L941" s="399" t="s">
        <v>798</v>
      </c>
      <c r="M941" s="544" t="s">
        <v>310</v>
      </c>
      <c r="N941" s="414">
        <v>44687</v>
      </c>
      <c r="O941" s="414" t="s">
        <v>400</v>
      </c>
      <c r="P941" s="603">
        <f t="shared" si="114"/>
        <v>5</v>
      </c>
      <c r="Q941" s="603">
        <f t="shared" si="115"/>
        <v>5</v>
      </c>
      <c r="R941" s="604" t="str">
        <f t="shared" si="116"/>
        <v>Gastos_Gerais</v>
      </c>
      <c r="S941" s="605" t="s">
        <v>310</v>
      </c>
      <c r="T941" s="605" t="s">
        <v>310</v>
      </c>
    </row>
    <row r="942" spans="1:20" s="88" customFormat="1" ht="24" x14ac:dyDescent="0.2">
      <c r="A942" s="510">
        <f>IF(B942="","",COUNT('Diário 1º PA'!$A$4:$A$2635)+ROW()-3)</f>
        <v>2675</v>
      </c>
      <c r="B942" s="414">
        <v>44687</v>
      </c>
      <c r="C942" s="424">
        <v>44682</v>
      </c>
      <c r="D942" s="415" t="s">
        <v>271</v>
      </c>
      <c r="E942" s="415" t="s">
        <v>71</v>
      </c>
      <c r="F942" s="425">
        <v>11</v>
      </c>
      <c r="G942" s="427" t="s">
        <v>1233</v>
      </c>
      <c r="H942" s="415" t="s">
        <v>310</v>
      </c>
      <c r="I942" s="639" t="s">
        <v>881</v>
      </c>
      <c r="J942" s="418" t="s">
        <v>882</v>
      </c>
      <c r="K942" s="418" t="s">
        <v>883</v>
      </c>
      <c r="L942" s="399" t="s">
        <v>798</v>
      </c>
      <c r="M942" s="544" t="s">
        <v>310</v>
      </c>
      <c r="N942" s="414">
        <v>44687</v>
      </c>
      <c r="O942" s="414" t="s">
        <v>400</v>
      </c>
      <c r="P942" s="603">
        <f t="shared" si="114"/>
        <v>5</v>
      </c>
      <c r="Q942" s="603">
        <f t="shared" si="115"/>
        <v>5</v>
      </c>
      <c r="R942" s="604" t="str">
        <f t="shared" si="116"/>
        <v>Gastos_Gerais</v>
      </c>
      <c r="S942" s="605" t="s">
        <v>310</v>
      </c>
      <c r="T942" s="605" t="s">
        <v>310</v>
      </c>
    </row>
    <row r="943" spans="1:20" s="88" customFormat="1" ht="24" x14ac:dyDescent="0.2">
      <c r="A943" s="510">
        <f>IF(B943="","",COUNT('Diário 1º PA'!$A$4:$A$2635)+ROW()-3)</f>
        <v>2676</v>
      </c>
      <c r="B943" s="414">
        <v>44687</v>
      </c>
      <c r="C943" s="424">
        <v>44682</v>
      </c>
      <c r="D943" s="415" t="s">
        <v>271</v>
      </c>
      <c r="E943" s="415" t="s">
        <v>71</v>
      </c>
      <c r="F943" s="425">
        <v>11</v>
      </c>
      <c r="G943" s="427" t="s">
        <v>1233</v>
      </c>
      <c r="H943" s="415" t="s">
        <v>310</v>
      </c>
      <c r="I943" s="639" t="s">
        <v>881</v>
      </c>
      <c r="J943" s="418" t="s">
        <v>882</v>
      </c>
      <c r="K943" s="418" t="s">
        <v>883</v>
      </c>
      <c r="L943" s="399" t="s">
        <v>798</v>
      </c>
      <c r="M943" s="544" t="s">
        <v>310</v>
      </c>
      <c r="N943" s="414">
        <v>44687</v>
      </c>
      <c r="O943" s="414" t="s">
        <v>400</v>
      </c>
      <c r="P943" s="603">
        <f t="shared" si="114"/>
        <v>5</v>
      </c>
      <c r="Q943" s="603">
        <f t="shared" si="115"/>
        <v>5</v>
      </c>
      <c r="R943" s="604" t="str">
        <f t="shared" si="116"/>
        <v>Gastos_Gerais</v>
      </c>
      <c r="S943" s="605" t="s">
        <v>310</v>
      </c>
      <c r="T943" s="605" t="s">
        <v>310</v>
      </c>
    </row>
    <row r="944" spans="1:20" s="88" customFormat="1" ht="24" x14ac:dyDescent="0.2">
      <c r="A944" s="510">
        <f>IF(B944="","",COUNT('Diário 1º PA'!$A$4:$A$2635)+ROW()-3)</f>
        <v>2677</v>
      </c>
      <c r="B944" s="414">
        <v>44687</v>
      </c>
      <c r="C944" s="424">
        <v>44682</v>
      </c>
      <c r="D944" s="415" t="s">
        <v>271</v>
      </c>
      <c r="E944" s="415" t="s">
        <v>71</v>
      </c>
      <c r="F944" s="425">
        <v>11</v>
      </c>
      <c r="G944" s="427" t="s">
        <v>1233</v>
      </c>
      <c r="H944" s="415" t="s">
        <v>310</v>
      </c>
      <c r="I944" s="639" t="s">
        <v>881</v>
      </c>
      <c r="J944" s="418" t="s">
        <v>882</v>
      </c>
      <c r="K944" s="418" t="s">
        <v>883</v>
      </c>
      <c r="L944" s="399" t="s">
        <v>798</v>
      </c>
      <c r="M944" s="544" t="s">
        <v>310</v>
      </c>
      <c r="N944" s="414">
        <v>44687</v>
      </c>
      <c r="O944" s="414" t="s">
        <v>400</v>
      </c>
      <c r="P944" s="603">
        <f t="shared" si="114"/>
        <v>5</v>
      </c>
      <c r="Q944" s="603">
        <f t="shared" si="115"/>
        <v>5</v>
      </c>
      <c r="R944" s="604" t="str">
        <f t="shared" si="116"/>
        <v>Gastos_Gerais</v>
      </c>
      <c r="S944" s="605" t="s">
        <v>310</v>
      </c>
      <c r="T944" s="605" t="s">
        <v>310</v>
      </c>
    </row>
    <row r="945" spans="1:20" s="88" customFormat="1" ht="24" x14ac:dyDescent="0.2">
      <c r="A945" s="510">
        <f>IF(B945="","",COUNT('Diário 1º PA'!$A$4:$A$2635)+ROW()-3)</f>
        <v>2678</v>
      </c>
      <c r="B945" s="414">
        <v>44687</v>
      </c>
      <c r="C945" s="424">
        <v>44682</v>
      </c>
      <c r="D945" s="415" t="s">
        <v>271</v>
      </c>
      <c r="E945" s="415" t="s">
        <v>71</v>
      </c>
      <c r="F945" s="425">
        <v>11</v>
      </c>
      <c r="G945" s="427" t="s">
        <v>1233</v>
      </c>
      <c r="H945" s="415" t="s">
        <v>310</v>
      </c>
      <c r="I945" s="639" t="s">
        <v>881</v>
      </c>
      <c r="J945" s="418" t="s">
        <v>882</v>
      </c>
      <c r="K945" s="418" t="s">
        <v>883</v>
      </c>
      <c r="L945" s="399" t="s">
        <v>798</v>
      </c>
      <c r="M945" s="544" t="s">
        <v>310</v>
      </c>
      <c r="N945" s="414">
        <v>44687</v>
      </c>
      <c r="O945" s="414" t="s">
        <v>400</v>
      </c>
      <c r="P945" s="603">
        <f t="shared" si="114"/>
        <v>5</v>
      </c>
      <c r="Q945" s="603">
        <f t="shared" si="115"/>
        <v>5</v>
      </c>
      <c r="R945" s="604" t="str">
        <f t="shared" si="116"/>
        <v>Gastos_Gerais</v>
      </c>
      <c r="S945" s="605" t="s">
        <v>310</v>
      </c>
      <c r="T945" s="605" t="s">
        <v>310</v>
      </c>
    </row>
    <row r="946" spans="1:20" s="88" customFormat="1" ht="24" x14ac:dyDescent="0.2">
      <c r="A946" s="510">
        <f>IF(B946="","",COUNT('Diário 1º PA'!$A$4:$A$2635)+ROW()-3)</f>
        <v>2679</v>
      </c>
      <c r="B946" s="414">
        <v>44687</v>
      </c>
      <c r="C946" s="424">
        <v>44682</v>
      </c>
      <c r="D946" s="415" t="s">
        <v>271</v>
      </c>
      <c r="E946" s="415" t="s">
        <v>71</v>
      </c>
      <c r="F946" s="425">
        <v>11</v>
      </c>
      <c r="G946" s="427" t="s">
        <v>1233</v>
      </c>
      <c r="H946" s="415" t="s">
        <v>310</v>
      </c>
      <c r="I946" s="639" t="s">
        <v>881</v>
      </c>
      <c r="J946" s="418" t="s">
        <v>882</v>
      </c>
      <c r="K946" s="418" t="s">
        <v>883</v>
      </c>
      <c r="L946" s="399" t="s">
        <v>798</v>
      </c>
      <c r="M946" s="544" t="s">
        <v>310</v>
      </c>
      <c r="N946" s="414">
        <v>44687</v>
      </c>
      <c r="O946" s="414" t="s">
        <v>400</v>
      </c>
      <c r="P946" s="603">
        <f t="shared" ref="P946:Q951" si="117">IF(B946=0,0,IF(YEAR(B946)=$Q$1,MONTH(B946)-$P$1+1,(YEAR(B946)-$Q$1)*12-$P$1+1+MONTH(B946)))</f>
        <v>5</v>
      </c>
      <c r="Q946" s="603">
        <f t="shared" si="117"/>
        <v>5</v>
      </c>
      <c r="R946" s="604" t="str">
        <f t="shared" ref="R946:R951" si="118">SUBSTITUTE(D946," ","_")</f>
        <v>Gastos_Gerais</v>
      </c>
      <c r="S946" s="605" t="s">
        <v>310</v>
      </c>
      <c r="T946" s="605" t="s">
        <v>310</v>
      </c>
    </row>
    <row r="947" spans="1:20" s="88" customFormat="1" ht="24" x14ac:dyDescent="0.2">
      <c r="A947" s="510">
        <f>IF(B947="","",COUNT('Diário 1º PA'!$A$4:$A$2635)+ROW()-3)</f>
        <v>2680</v>
      </c>
      <c r="B947" s="414">
        <v>44687</v>
      </c>
      <c r="C947" s="424">
        <v>44682</v>
      </c>
      <c r="D947" s="415" t="s">
        <v>271</v>
      </c>
      <c r="E947" s="415" t="s">
        <v>71</v>
      </c>
      <c r="F947" s="425">
        <v>11</v>
      </c>
      <c r="G947" s="427" t="s">
        <v>1233</v>
      </c>
      <c r="H947" s="415" t="s">
        <v>310</v>
      </c>
      <c r="I947" s="639" t="s">
        <v>881</v>
      </c>
      <c r="J947" s="418" t="s">
        <v>882</v>
      </c>
      <c r="K947" s="418" t="s">
        <v>883</v>
      </c>
      <c r="L947" s="399" t="s">
        <v>798</v>
      </c>
      <c r="M947" s="544" t="s">
        <v>310</v>
      </c>
      <c r="N947" s="414">
        <v>44687</v>
      </c>
      <c r="O947" s="414" t="s">
        <v>400</v>
      </c>
      <c r="P947" s="603">
        <f t="shared" si="117"/>
        <v>5</v>
      </c>
      <c r="Q947" s="603">
        <f t="shared" si="117"/>
        <v>5</v>
      </c>
      <c r="R947" s="604" t="str">
        <f t="shared" si="118"/>
        <v>Gastos_Gerais</v>
      </c>
      <c r="S947" s="605" t="s">
        <v>310</v>
      </c>
      <c r="T947" s="605" t="s">
        <v>310</v>
      </c>
    </row>
    <row r="948" spans="1:20" s="88" customFormat="1" ht="24" x14ac:dyDescent="0.2">
      <c r="A948" s="510">
        <f>IF(B948="","",COUNT('Diário 1º PA'!$A$4:$A$2635)+ROW()-3)</f>
        <v>2681</v>
      </c>
      <c r="B948" s="414">
        <v>44687</v>
      </c>
      <c r="C948" s="424">
        <v>44682</v>
      </c>
      <c r="D948" s="415" t="s">
        <v>271</v>
      </c>
      <c r="E948" s="415" t="s">
        <v>71</v>
      </c>
      <c r="F948" s="425">
        <v>11</v>
      </c>
      <c r="G948" s="427" t="s">
        <v>1233</v>
      </c>
      <c r="H948" s="415" t="s">
        <v>310</v>
      </c>
      <c r="I948" s="639" t="s">
        <v>881</v>
      </c>
      <c r="J948" s="418" t="s">
        <v>882</v>
      </c>
      <c r="K948" s="418" t="s">
        <v>883</v>
      </c>
      <c r="L948" s="399" t="s">
        <v>798</v>
      </c>
      <c r="M948" s="544" t="s">
        <v>310</v>
      </c>
      <c r="N948" s="414">
        <v>44687</v>
      </c>
      <c r="O948" s="414" t="s">
        <v>400</v>
      </c>
      <c r="P948" s="603">
        <f t="shared" si="117"/>
        <v>5</v>
      </c>
      <c r="Q948" s="603">
        <f t="shared" si="117"/>
        <v>5</v>
      </c>
      <c r="R948" s="604" t="str">
        <f t="shared" si="118"/>
        <v>Gastos_Gerais</v>
      </c>
      <c r="S948" s="605" t="s">
        <v>310</v>
      </c>
      <c r="T948" s="605" t="s">
        <v>310</v>
      </c>
    </row>
    <row r="949" spans="1:20" s="88" customFormat="1" ht="24" x14ac:dyDescent="0.2">
      <c r="A949" s="510">
        <f>IF(B949="","",COUNT('Diário 1º PA'!$A$4:$A$2635)+ROW()-3)</f>
        <v>2682</v>
      </c>
      <c r="B949" s="414">
        <v>44687</v>
      </c>
      <c r="C949" s="424">
        <v>44682</v>
      </c>
      <c r="D949" s="415" t="s">
        <v>271</v>
      </c>
      <c r="E949" s="415" t="s">
        <v>71</v>
      </c>
      <c r="F949" s="425">
        <v>11</v>
      </c>
      <c r="G949" s="427" t="s">
        <v>1233</v>
      </c>
      <c r="H949" s="415" t="s">
        <v>310</v>
      </c>
      <c r="I949" s="639" t="s">
        <v>881</v>
      </c>
      <c r="J949" s="418" t="s">
        <v>882</v>
      </c>
      <c r="K949" s="418" t="s">
        <v>883</v>
      </c>
      <c r="L949" s="399" t="s">
        <v>798</v>
      </c>
      <c r="M949" s="544" t="s">
        <v>310</v>
      </c>
      <c r="N949" s="414">
        <v>44687</v>
      </c>
      <c r="O949" s="414" t="s">
        <v>400</v>
      </c>
      <c r="P949" s="603">
        <f t="shared" si="117"/>
        <v>5</v>
      </c>
      <c r="Q949" s="603">
        <f t="shared" si="117"/>
        <v>5</v>
      </c>
      <c r="R949" s="604" t="str">
        <f t="shared" si="118"/>
        <v>Gastos_Gerais</v>
      </c>
      <c r="S949" s="605" t="s">
        <v>310</v>
      </c>
      <c r="T949" s="605" t="s">
        <v>310</v>
      </c>
    </row>
    <row r="950" spans="1:20" s="88" customFormat="1" ht="24" x14ac:dyDescent="0.2">
      <c r="A950" s="510">
        <f>IF(B950="","",COUNT('Diário 1º PA'!$A$4:$A$2635)+ROW()-3)</f>
        <v>2683</v>
      </c>
      <c r="B950" s="414">
        <v>44687</v>
      </c>
      <c r="C950" s="424">
        <v>44682</v>
      </c>
      <c r="D950" s="415" t="s">
        <v>271</v>
      </c>
      <c r="E950" s="415" t="s">
        <v>71</v>
      </c>
      <c r="F950" s="425">
        <v>11</v>
      </c>
      <c r="G950" s="427" t="s">
        <v>1233</v>
      </c>
      <c r="H950" s="415" t="s">
        <v>310</v>
      </c>
      <c r="I950" s="639" t="s">
        <v>881</v>
      </c>
      <c r="J950" s="418" t="s">
        <v>882</v>
      </c>
      <c r="K950" s="418" t="s">
        <v>883</v>
      </c>
      <c r="L950" s="399" t="s">
        <v>798</v>
      </c>
      <c r="M950" s="544" t="s">
        <v>310</v>
      </c>
      <c r="N950" s="414">
        <v>44687</v>
      </c>
      <c r="O950" s="414" t="s">
        <v>400</v>
      </c>
      <c r="P950" s="603">
        <f t="shared" si="117"/>
        <v>5</v>
      </c>
      <c r="Q950" s="603">
        <f t="shared" si="117"/>
        <v>5</v>
      </c>
      <c r="R950" s="604" t="str">
        <f t="shared" si="118"/>
        <v>Gastos_Gerais</v>
      </c>
      <c r="S950" s="605" t="s">
        <v>310</v>
      </c>
      <c r="T950" s="605" t="s">
        <v>310</v>
      </c>
    </row>
    <row r="951" spans="1:20" s="88" customFormat="1" ht="24" x14ac:dyDescent="0.2">
      <c r="A951" s="510">
        <f>IF(B951="","",COUNT('Diário 1º PA'!$A$4:$A$2635)+ROW()-3)</f>
        <v>2684</v>
      </c>
      <c r="B951" s="414">
        <v>44687</v>
      </c>
      <c r="C951" s="424">
        <v>44682</v>
      </c>
      <c r="D951" s="415" t="s">
        <v>271</v>
      </c>
      <c r="E951" s="415" t="s">
        <v>71</v>
      </c>
      <c r="F951" s="425">
        <v>11</v>
      </c>
      <c r="G951" s="427" t="s">
        <v>1246</v>
      </c>
      <c r="H951" s="415" t="s">
        <v>310</v>
      </c>
      <c r="I951" s="639" t="s">
        <v>881</v>
      </c>
      <c r="J951" s="418" t="s">
        <v>882</v>
      </c>
      <c r="K951" s="418" t="s">
        <v>883</v>
      </c>
      <c r="L951" s="399" t="s">
        <v>798</v>
      </c>
      <c r="M951" s="544" t="s">
        <v>310</v>
      </c>
      <c r="N951" s="414">
        <v>44687</v>
      </c>
      <c r="O951" s="414" t="s">
        <v>400</v>
      </c>
      <c r="P951" s="603">
        <f t="shared" si="117"/>
        <v>5</v>
      </c>
      <c r="Q951" s="603">
        <f t="shared" si="117"/>
        <v>5</v>
      </c>
      <c r="R951" s="604" t="str">
        <f t="shared" si="118"/>
        <v>Gastos_Gerais</v>
      </c>
      <c r="S951" s="605" t="s">
        <v>310</v>
      </c>
      <c r="T951" s="605" t="s">
        <v>310</v>
      </c>
    </row>
    <row r="952" spans="1:20" ht="24" x14ac:dyDescent="0.2">
      <c r="A952" s="510">
        <f>IF(B952="","",COUNT('Diário 1º PA'!$A$4:$A$2635)+ROW()-3)</f>
        <v>2685</v>
      </c>
      <c r="B952" s="414">
        <v>44687</v>
      </c>
      <c r="C952" s="424">
        <v>44682</v>
      </c>
      <c r="D952" s="415" t="s">
        <v>271</v>
      </c>
      <c r="E952" s="415" t="s">
        <v>71</v>
      </c>
      <c r="F952" s="425">
        <v>11</v>
      </c>
      <c r="G952" s="427" t="s">
        <v>1246</v>
      </c>
      <c r="H952" s="415" t="s">
        <v>310</v>
      </c>
      <c r="I952" s="639" t="s">
        <v>881</v>
      </c>
      <c r="J952" s="418" t="s">
        <v>882</v>
      </c>
      <c r="K952" s="418" t="s">
        <v>883</v>
      </c>
      <c r="L952" s="399" t="s">
        <v>798</v>
      </c>
      <c r="M952" s="544" t="s">
        <v>310</v>
      </c>
      <c r="N952" s="414">
        <v>44687</v>
      </c>
      <c r="O952" s="414" t="s">
        <v>400</v>
      </c>
      <c r="P952" s="603">
        <f t="shared" ref="P952:P959" si="119">IF(B952=0,0,IF(YEAR(B952)=$Q$1,MONTH(B952)-$P$1+1,(YEAR(B952)-$Q$1)*12-$P$1+1+MONTH(B952)))</f>
        <v>5</v>
      </c>
      <c r="Q952" s="603">
        <f t="shared" ref="Q952:Q959" si="120">IF(C952=0,0,IF(YEAR(C952)=$Q$1,MONTH(C952)-$P$1+1,(YEAR(C952)-$Q$1)*12-$P$1+1+MONTH(C952)))</f>
        <v>5</v>
      </c>
      <c r="R952" s="604" t="str">
        <f t="shared" ref="R952:R959" si="121">SUBSTITUTE(D952," ","_")</f>
        <v>Gastos_Gerais</v>
      </c>
      <c r="S952" s="605" t="s">
        <v>310</v>
      </c>
      <c r="T952" s="605" t="s">
        <v>310</v>
      </c>
    </row>
    <row r="953" spans="1:20" ht="99.95" customHeight="1" x14ac:dyDescent="0.2">
      <c r="A953" s="510">
        <f>IF(B953="","",COUNT('Diário 1º PA'!$A$4:$A$2635)+ROW()-3)</f>
        <v>2686</v>
      </c>
      <c r="B953" s="414">
        <v>44687</v>
      </c>
      <c r="C953" s="424">
        <v>44652</v>
      </c>
      <c r="D953" s="415" t="s">
        <v>468</v>
      </c>
      <c r="E953" s="415" t="s">
        <v>468</v>
      </c>
      <c r="F953" s="425">
        <v>20000</v>
      </c>
      <c r="G953" s="427" t="s">
        <v>5023</v>
      </c>
      <c r="H953" s="415" t="s">
        <v>468</v>
      </c>
      <c r="I953" s="639" t="s">
        <v>2437</v>
      </c>
      <c r="J953" s="418" t="s">
        <v>796</v>
      </c>
      <c r="K953" s="415" t="s">
        <v>806</v>
      </c>
      <c r="L953" s="399" t="s">
        <v>798</v>
      </c>
      <c r="M953" s="544" t="s">
        <v>310</v>
      </c>
      <c r="N953" s="414">
        <v>44687</v>
      </c>
      <c r="O953" s="414" t="s">
        <v>407</v>
      </c>
      <c r="P953" s="603">
        <f t="shared" si="119"/>
        <v>5</v>
      </c>
      <c r="Q953" s="603">
        <f t="shared" si="120"/>
        <v>4</v>
      </c>
      <c r="R953" s="604" t="str">
        <f t="shared" si="121"/>
        <v>Gastos_custeados_por_captação</v>
      </c>
      <c r="S953" s="605" t="s">
        <v>310</v>
      </c>
      <c r="T953" s="605" t="s">
        <v>310</v>
      </c>
    </row>
    <row r="954" spans="1:20" ht="99.95" customHeight="1" x14ac:dyDescent="0.2">
      <c r="A954" s="510">
        <f>IF(B954="","",COUNT('Diário 1º PA'!$A$4:$A$2635)+ROW()-3)</f>
        <v>2687</v>
      </c>
      <c r="B954" s="414">
        <v>44687</v>
      </c>
      <c r="C954" s="424">
        <v>44652</v>
      </c>
      <c r="D954" s="415" t="s">
        <v>468</v>
      </c>
      <c r="E954" s="415" t="s">
        <v>468</v>
      </c>
      <c r="F954" s="425">
        <v>582</v>
      </c>
      <c r="G954" s="427" t="s">
        <v>2842</v>
      </c>
      <c r="H954" s="415" t="s">
        <v>468</v>
      </c>
      <c r="I954" s="639" t="s">
        <v>3675</v>
      </c>
      <c r="J954" s="418" t="s">
        <v>2843</v>
      </c>
      <c r="K954" s="418" t="s">
        <v>830</v>
      </c>
      <c r="L954" s="399" t="s">
        <v>32</v>
      </c>
      <c r="M954" s="415" t="s">
        <v>4821</v>
      </c>
      <c r="N954" s="414">
        <v>44670</v>
      </c>
      <c r="O954" s="414" t="s">
        <v>407</v>
      </c>
      <c r="P954" s="603">
        <f t="shared" si="119"/>
        <v>5</v>
      </c>
      <c r="Q954" s="603">
        <f t="shared" si="120"/>
        <v>4</v>
      </c>
      <c r="R954" s="604" t="str">
        <f t="shared" si="121"/>
        <v>Gastos_custeados_por_captação</v>
      </c>
      <c r="S954" s="605" t="s">
        <v>998</v>
      </c>
      <c r="T954" s="605">
        <v>3333</v>
      </c>
    </row>
    <row r="955" spans="1:20" ht="99.95" customHeight="1" x14ac:dyDescent="0.2">
      <c r="A955" s="510">
        <f>IF(B955="","",COUNT('Diário 1º PA'!$A$4:$A$2635)+ROW()-3)</f>
        <v>2688</v>
      </c>
      <c r="B955" s="414">
        <v>44687</v>
      </c>
      <c r="C955" s="424">
        <v>44682</v>
      </c>
      <c r="D955" s="415" t="s">
        <v>468</v>
      </c>
      <c r="E955" s="415" t="s">
        <v>468</v>
      </c>
      <c r="F955" s="425">
        <v>202.8</v>
      </c>
      <c r="G955" s="427" t="s">
        <v>3795</v>
      </c>
      <c r="H955" s="415" t="s">
        <v>468</v>
      </c>
      <c r="I955" s="639" t="s">
        <v>5024</v>
      </c>
      <c r="J955" s="418" t="s">
        <v>3796</v>
      </c>
      <c r="K955" s="418" t="s">
        <v>830</v>
      </c>
      <c r="L955" s="399" t="s">
        <v>32</v>
      </c>
      <c r="M955" s="544">
        <v>29935</v>
      </c>
      <c r="N955" s="414">
        <v>44687</v>
      </c>
      <c r="O955" s="414" t="s">
        <v>407</v>
      </c>
      <c r="P955" s="603">
        <f t="shared" si="119"/>
        <v>5</v>
      </c>
      <c r="Q955" s="603">
        <f t="shared" si="120"/>
        <v>5</v>
      </c>
      <c r="R955" s="604" t="str">
        <f t="shared" si="121"/>
        <v>Gastos_custeados_por_captação</v>
      </c>
      <c r="S955" s="605" t="s">
        <v>999</v>
      </c>
      <c r="T955" s="605">
        <v>3603</v>
      </c>
    </row>
    <row r="956" spans="1:20" s="88" customFormat="1" ht="99.95" customHeight="1" x14ac:dyDescent="0.2">
      <c r="A956" s="510">
        <f>IF(B956="","",COUNT('Diário 1º PA'!$A$4:$A$2635)+ROW()-3)</f>
        <v>2689</v>
      </c>
      <c r="B956" s="414">
        <v>44687</v>
      </c>
      <c r="C956" s="424">
        <v>44652</v>
      </c>
      <c r="D956" s="415" t="s">
        <v>468</v>
      </c>
      <c r="E956" s="415" t="s">
        <v>468</v>
      </c>
      <c r="F956" s="614">
        <v>5883.92</v>
      </c>
      <c r="G956" s="427" t="s">
        <v>3438</v>
      </c>
      <c r="H956" s="415" t="s">
        <v>468</v>
      </c>
      <c r="I956" s="639" t="s">
        <v>3506</v>
      </c>
      <c r="J956" s="418" t="s">
        <v>1093</v>
      </c>
      <c r="K956" s="418" t="s">
        <v>830</v>
      </c>
      <c r="L956" s="399" t="s">
        <v>32</v>
      </c>
      <c r="M956" s="415" t="s">
        <v>3672</v>
      </c>
      <c r="N956" s="414">
        <v>44687</v>
      </c>
      <c r="O956" s="414" t="s">
        <v>407</v>
      </c>
      <c r="P956" s="603">
        <f t="shared" si="119"/>
        <v>5</v>
      </c>
      <c r="Q956" s="603">
        <f t="shared" si="120"/>
        <v>4</v>
      </c>
      <c r="R956" s="604" t="str">
        <f t="shared" si="121"/>
        <v>Gastos_custeados_por_captação</v>
      </c>
      <c r="S956" s="605" t="s">
        <v>1000</v>
      </c>
      <c r="T956" s="605">
        <v>3407</v>
      </c>
    </row>
    <row r="957" spans="1:20" s="88" customFormat="1" ht="99.95" customHeight="1" x14ac:dyDescent="0.2">
      <c r="A957" s="510">
        <f>IF(B957="","",COUNT('Diário 1º PA'!$A$4:$A$2635)+ROW()-3)</f>
        <v>2690</v>
      </c>
      <c r="B957" s="414">
        <v>44687</v>
      </c>
      <c r="C957" s="424">
        <v>44682</v>
      </c>
      <c r="D957" s="415" t="s">
        <v>468</v>
      </c>
      <c r="E957" s="415" t="s">
        <v>468</v>
      </c>
      <c r="F957" s="425">
        <v>-4350</v>
      </c>
      <c r="G957" s="639" t="s">
        <v>2438</v>
      </c>
      <c r="H957" s="415" t="s">
        <v>468</v>
      </c>
      <c r="I957" s="456" t="s">
        <v>2437</v>
      </c>
      <c r="J957" s="461" t="s">
        <v>796</v>
      </c>
      <c r="K957" s="461" t="s">
        <v>797</v>
      </c>
      <c r="L957" s="461" t="s">
        <v>798</v>
      </c>
      <c r="M957" s="461" t="s">
        <v>310</v>
      </c>
      <c r="N957" s="414">
        <v>44687</v>
      </c>
      <c r="O957" s="414" t="s">
        <v>408</v>
      </c>
      <c r="P957" s="603">
        <f t="shared" si="119"/>
        <v>5</v>
      </c>
      <c r="Q957" s="603">
        <f t="shared" si="120"/>
        <v>5</v>
      </c>
      <c r="R957" s="604" t="str">
        <f t="shared" si="121"/>
        <v>Gastos_custeados_por_captação</v>
      </c>
      <c r="S957" s="605" t="s">
        <v>310</v>
      </c>
      <c r="T957" s="605" t="s">
        <v>310</v>
      </c>
    </row>
    <row r="958" spans="1:20" s="88" customFormat="1" ht="99.95" customHeight="1" x14ac:dyDescent="0.2">
      <c r="A958" s="510">
        <f>IF(B958="","",COUNT('Diário 1º PA'!$A$4:$A$2635)+ROW()-3)</f>
        <v>2691</v>
      </c>
      <c r="B958" s="414">
        <v>44687</v>
      </c>
      <c r="C958" s="424">
        <v>44682</v>
      </c>
      <c r="D958" s="415" t="s">
        <v>468</v>
      </c>
      <c r="E958" s="415" t="s">
        <v>468</v>
      </c>
      <c r="F958" s="425">
        <v>-5000</v>
      </c>
      <c r="G958" s="639" t="s">
        <v>2439</v>
      </c>
      <c r="H958" s="415" t="s">
        <v>468</v>
      </c>
      <c r="I958" s="456" t="s">
        <v>2437</v>
      </c>
      <c r="J958" s="461" t="s">
        <v>796</v>
      </c>
      <c r="K958" s="461" t="s">
        <v>797</v>
      </c>
      <c r="L958" s="461" t="s">
        <v>798</v>
      </c>
      <c r="M958" s="461" t="s">
        <v>310</v>
      </c>
      <c r="N958" s="414">
        <v>44687</v>
      </c>
      <c r="O958" s="414" t="s">
        <v>408</v>
      </c>
      <c r="P958" s="603">
        <f t="shared" si="119"/>
        <v>5</v>
      </c>
      <c r="Q958" s="603">
        <f t="shared" si="120"/>
        <v>5</v>
      </c>
      <c r="R958" s="604" t="str">
        <f t="shared" si="121"/>
        <v>Gastos_custeados_por_captação</v>
      </c>
      <c r="S958" s="605" t="s">
        <v>310</v>
      </c>
      <c r="T958" s="605" t="s">
        <v>310</v>
      </c>
    </row>
    <row r="959" spans="1:20" s="88" customFormat="1" ht="99.95" customHeight="1" x14ac:dyDescent="0.2">
      <c r="A959" s="510">
        <f>IF(B959="","",COUNT('Diário 1º PA'!$A$4:$A$2635)+ROW()-3)</f>
        <v>2692</v>
      </c>
      <c r="B959" s="414">
        <v>44687</v>
      </c>
      <c r="C959" s="424">
        <v>44682</v>
      </c>
      <c r="D959" s="415" t="s">
        <v>468</v>
      </c>
      <c r="E959" s="415" t="s">
        <v>468</v>
      </c>
      <c r="F959" s="425">
        <v>-4500</v>
      </c>
      <c r="G959" s="639" t="s">
        <v>2440</v>
      </c>
      <c r="H959" s="415" t="s">
        <v>468</v>
      </c>
      <c r="I959" s="456" t="s">
        <v>2437</v>
      </c>
      <c r="J959" s="461" t="s">
        <v>796</v>
      </c>
      <c r="K959" s="461" t="s">
        <v>797</v>
      </c>
      <c r="L959" s="461" t="s">
        <v>798</v>
      </c>
      <c r="M959" s="461" t="s">
        <v>310</v>
      </c>
      <c r="N959" s="414">
        <v>44687</v>
      </c>
      <c r="O959" s="414" t="s">
        <v>408</v>
      </c>
      <c r="P959" s="603">
        <f t="shared" si="119"/>
        <v>5</v>
      </c>
      <c r="Q959" s="603">
        <f t="shared" si="120"/>
        <v>5</v>
      </c>
      <c r="R959" s="604" t="str">
        <f t="shared" si="121"/>
        <v>Gastos_custeados_por_captação</v>
      </c>
      <c r="S959" s="605" t="s">
        <v>310</v>
      </c>
      <c r="T959" s="605" t="s">
        <v>310</v>
      </c>
    </row>
    <row r="960" spans="1:20" s="88" customFormat="1" ht="99.95" customHeight="1" x14ac:dyDescent="0.2">
      <c r="A960" s="510">
        <f>IF(B960="","",COUNT('Diário 1º PA'!$A$4:$A$2635)+ROW()-3)</f>
        <v>2693</v>
      </c>
      <c r="B960" s="414">
        <v>44687</v>
      </c>
      <c r="C960" s="424">
        <v>44682</v>
      </c>
      <c r="D960" s="415" t="s">
        <v>468</v>
      </c>
      <c r="E960" s="415" t="s">
        <v>468</v>
      </c>
      <c r="F960" s="425">
        <v>-20000</v>
      </c>
      <c r="G960" s="427" t="s">
        <v>2436</v>
      </c>
      <c r="H960" s="415" t="s">
        <v>468</v>
      </c>
      <c r="I960" s="456" t="s">
        <v>2437</v>
      </c>
      <c r="J960" s="461" t="s">
        <v>796</v>
      </c>
      <c r="K960" s="461" t="s">
        <v>797</v>
      </c>
      <c r="L960" s="461" t="s">
        <v>798</v>
      </c>
      <c r="M960" s="461" t="s">
        <v>310</v>
      </c>
      <c r="N960" s="414">
        <v>44687</v>
      </c>
      <c r="O960" s="414" t="s">
        <v>408</v>
      </c>
      <c r="P960" s="603">
        <f t="shared" ref="P960:P970" si="122">IF(B960=0,0,IF(YEAR(B960)=$Q$1,MONTH(B960)-$P$1+1,(YEAR(B960)-$Q$1)*12-$P$1+1+MONTH(B960)))</f>
        <v>5</v>
      </c>
      <c r="Q960" s="603">
        <f t="shared" ref="Q960:Q970" si="123">IF(C960=0,0,IF(YEAR(C960)=$Q$1,MONTH(C960)-$P$1+1,(YEAR(C960)-$Q$1)*12-$P$1+1+MONTH(C960)))</f>
        <v>5</v>
      </c>
      <c r="R960" s="604" t="str">
        <f t="shared" ref="R960:R970" si="124">SUBSTITUTE(D960," ","_")</f>
        <v>Gastos_custeados_por_captação</v>
      </c>
      <c r="S960" s="605" t="s">
        <v>310</v>
      </c>
      <c r="T960" s="605" t="s">
        <v>310</v>
      </c>
    </row>
    <row r="961" spans="1:20" s="88" customFormat="1" ht="99.95" customHeight="1" x14ac:dyDescent="0.2">
      <c r="A961" s="510">
        <f>IF(B961="","",COUNT('Diário 1º PA'!$A$4:$A$2635)+ROW()-3)</f>
        <v>2694</v>
      </c>
      <c r="B961" s="414">
        <v>44687</v>
      </c>
      <c r="C961" s="431">
        <v>44652</v>
      </c>
      <c r="D961" s="415" t="s">
        <v>468</v>
      </c>
      <c r="E961" s="415" t="s">
        <v>468</v>
      </c>
      <c r="F961" s="425">
        <v>2200</v>
      </c>
      <c r="G961" s="427" t="s">
        <v>700</v>
      </c>
      <c r="H961" s="415" t="s">
        <v>468</v>
      </c>
      <c r="I961" s="639" t="s">
        <v>2455</v>
      </c>
      <c r="J961" s="418" t="s">
        <v>1130</v>
      </c>
      <c r="K961" s="418" t="s">
        <v>830</v>
      </c>
      <c r="L961" s="399" t="s">
        <v>807</v>
      </c>
      <c r="M961" s="415" t="s">
        <v>1890</v>
      </c>
      <c r="N961" s="414">
        <v>44683</v>
      </c>
      <c r="O961" s="414" t="s">
        <v>408</v>
      </c>
      <c r="P961" s="603">
        <f t="shared" si="122"/>
        <v>5</v>
      </c>
      <c r="Q961" s="603">
        <f t="shared" si="123"/>
        <v>4</v>
      </c>
      <c r="R961" s="604" t="str">
        <f t="shared" si="124"/>
        <v>Gastos_custeados_por_captação</v>
      </c>
      <c r="S961" s="605" t="s">
        <v>1000</v>
      </c>
      <c r="T961" s="605">
        <v>2693</v>
      </c>
    </row>
    <row r="962" spans="1:20" s="88" customFormat="1" ht="99.95" customHeight="1" x14ac:dyDescent="0.2">
      <c r="A962" s="510">
        <f>IF(B962="","",COUNT('Diário 1º PA'!$A$4:$A$2635)+ROW()-3)</f>
        <v>2695</v>
      </c>
      <c r="B962" s="414">
        <v>44687</v>
      </c>
      <c r="C962" s="431">
        <v>44652</v>
      </c>
      <c r="D962" s="415" t="s">
        <v>468</v>
      </c>
      <c r="E962" s="415" t="s">
        <v>468</v>
      </c>
      <c r="F962" s="425">
        <v>4303.6400000000003</v>
      </c>
      <c r="G962" s="427" t="s">
        <v>719</v>
      </c>
      <c r="H962" s="415" t="s">
        <v>468</v>
      </c>
      <c r="I962" s="639" t="s">
        <v>5369</v>
      </c>
      <c r="J962" s="418" t="s">
        <v>863</v>
      </c>
      <c r="K962" s="418" t="s">
        <v>830</v>
      </c>
      <c r="L962" s="399" t="s">
        <v>807</v>
      </c>
      <c r="M962" s="415" t="s">
        <v>3508</v>
      </c>
      <c r="N962" s="414">
        <v>44656</v>
      </c>
      <c r="O962" s="414" t="s">
        <v>408</v>
      </c>
      <c r="P962" s="603">
        <f t="shared" si="122"/>
        <v>5</v>
      </c>
      <c r="Q962" s="603">
        <f t="shared" si="123"/>
        <v>4</v>
      </c>
      <c r="R962" s="604" t="str">
        <f t="shared" si="124"/>
        <v>Gastos_custeados_por_captação</v>
      </c>
      <c r="S962" s="605" t="s">
        <v>1000</v>
      </c>
      <c r="T962" s="605">
        <v>2776</v>
      </c>
    </row>
    <row r="963" spans="1:20" s="88" customFormat="1" ht="99.95" customHeight="1" x14ac:dyDescent="0.2">
      <c r="A963" s="510">
        <f>IF(B963="","",COUNT('Diário 1º PA'!$A$4:$A$2635)+ROW()-3)</f>
        <v>2696</v>
      </c>
      <c r="B963" s="414">
        <v>44687</v>
      </c>
      <c r="C963" s="431">
        <v>44652</v>
      </c>
      <c r="D963" s="415" t="s">
        <v>468</v>
      </c>
      <c r="E963" s="415" t="s">
        <v>468</v>
      </c>
      <c r="F963" s="425">
        <v>11</v>
      </c>
      <c r="G963" s="427" t="s">
        <v>5370</v>
      </c>
      <c r="H963" s="415" t="s">
        <v>468</v>
      </c>
      <c r="I963" s="639" t="s">
        <v>881</v>
      </c>
      <c r="J963" s="418" t="s">
        <v>882</v>
      </c>
      <c r="K963" s="418" t="s">
        <v>883</v>
      </c>
      <c r="L963" s="399" t="s">
        <v>798</v>
      </c>
      <c r="M963" s="544" t="s">
        <v>310</v>
      </c>
      <c r="N963" s="414">
        <v>44687</v>
      </c>
      <c r="O963" s="414" t="s">
        <v>408</v>
      </c>
      <c r="P963" s="603">
        <f t="shared" si="122"/>
        <v>5</v>
      </c>
      <c r="Q963" s="603">
        <f t="shared" si="123"/>
        <v>4</v>
      </c>
      <c r="R963" s="604" t="str">
        <f t="shared" si="124"/>
        <v>Gastos_custeados_por_captação</v>
      </c>
      <c r="S963" s="605" t="s">
        <v>310</v>
      </c>
      <c r="T963" s="605" t="s">
        <v>310</v>
      </c>
    </row>
    <row r="964" spans="1:20" s="88" customFormat="1" ht="72" x14ac:dyDescent="0.2">
      <c r="A964" s="510">
        <f>IF(B964="","",COUNT('Diário 1º PA'!$A$4:$A$2635)+ROW()-3)</f>
        <v>2697</v>
      </c>
      <c r="B964" s="414">
        <v>44687</v>
      </c>
      <c r="C964" s="431">
        <v>44652</v>
      </c>
      <c r="D964" s="415" t="s">
        <v>468</v>
      </c>
      <c r="E964" s="415" t="s">
        <v>468</v>
      </c>
      <c r="F964" s="425">
        <v>4350</v>
      </c>
      <c r="G964" s="641" t="s">
        <v>2439</v>
      </c>
      <c r="H964" s="415" t="s">
        <v>468</v>
      </c>
      <c r="I964" s="427" t="s">
        <v>2437</v>
      </c>
      <c r="J964" s="415" t="s">
        <v>796</v>
      </c>
      <c r="K964" s="415" t="s">
        <v>806</v>
      </c>
      <c r="L964" s="415" t="s">
        <v>798</v>
      </c>
      <c r="M964" s="415" t="s">
        <v>310</v>
      </c>
      <c r="N964" s="414">
        <v>44687</v>
      </c>
      <c r="O964" s="414" t="s">
        <v>402</v>
      </c>
      <c r="P964" s="603">
        <f t="shared" si="122"/>
        <v>5</v>
      </c>
      <c r="Q964" s="603">
        <f t="shared" si="123"/>
        <v>4</v>
      </c>
      <c r="R964" s="604" t="str">
        <f t="shared" si="124"/>
        <v>Gastos_custeados_por_captação</v>
      </c>
      <c r="S964" s="605" t="s">
        <v>310</v>
      </c>
      <c r="T964" s="605" t="s">
        <v>310</v>
      </c>
    </row>
    <row r="965" spans="1:20" s="88" customFormat="1" ht="72" x14ac:dyDescent="0.2">
      <c r="A965" s="510">
        <f>IF(B965="","",COUNT('Diário 1º PA'!$A$4:$A$2635)+ROW()-3)</f>
        <v>2698</v>
      </c>
      <c r="B965" s="414">
        <v>44687</v>
      </c>
      <c r="C965" s="431">
        <v>44652</v>
      </c>
      <c r="D965" s="415" t="s">
        <v>468</v>
      </c>
      <c r="E965" s="415" t="s">
        <v>468</v>
      </c>
      <c r="F965" s="425">
        <v>5000</v>
      </c>
      <c r="G965" s="641" t="s">
        <v>2438</v>
      </c>
      <c r="H965" s="415" t="s">
        <v>468</v>
      </c>
      <c r="I965" s="427" t="s">
        <v>2437</v>
      </c>
      <c r="J965" s="415" t="s">
        <v>796</v>
      </c>
      <c r="K965" s="415" t="s">
        <v>806</v>
      </c>
      <c r="L965" s="415" t="s">
        <v>798</v>
      </c>
      <c r="M965" s="415" t="s">
        <v>310</v>
      </c>
      <c r="N965" s="414">
        <v>44687</v>
      </c>
      <c r="O965" s="414" t="s">
        <v>402</v>
      </c>
      <c r="P965" s="603">
        <f t="shared" si="122"/>
        <v>5</v>
      </c>
      <c r="Q965" s="603">
        <f t="shared" si="123"/>
        <v>4</v>
      </c>
      <c r="R965" s="604" t="str">
        <f t="shared" si="124"/>
        <v>Gastos_custeados_por_captação</v>
      </c>
      <c r="S965" s="605" t="s">
        <v>310</v>
      </c>
      <c r="T965" s="605" t="s">
        <v>310</v>
      </c>
    </row>
    <row r="966" spans="1:20" s="88" customFormat="1" ht="72" x14ac:dyDescent="0.2">
      <c r="A966" s="510">
        <f>IF(B966="","",COUNT('Diário 1º PA'!$A$4:$A$2635)+ROW()-3)</f>
        <v>2699</v>
      </c>
      <c r="B966" s="414">
        <v>44687</v>
      </c>
      <c r="C966" s="431">
        <v>44652</v>
      </c>
      <c r="D966" s="415" t="s">
        <v>468</v>
      </c>
      <c r="E966" s="415" t="s">
        <v>468</v>
      </c>
      <c r="F966" s="425">
        <v>4500</v>
      </c>
      <c r="G966" s="641" t="s">
        <v>2440</v>
      </c>
      <c r="H966" s="415" t="s">
        <v>468</v>
      </c>
      <c r="I966" s="427" t="s">
        <v>2437</v>
      </c>
      <c r="J966" s="415" t="s">
        <v>796</v>
      </c>
      <c r="K966" s="415" t="s">
        <v>806</v>
      </c>
      <c r="L966" s="415" t="s">
        <v>798</v>
      </c>
      <c r="M966" s="415" t="s">
        <v>310</v>
      </c>
      <c r="N966" s="414">
        <v>44687</v>
      </c>
      <c r="O966" s="414" t="s">
        <v>402</v>
      </c>
      <c r="P966" s="603">
        <f t="shared" si="122"/>
        <v>5</v>
      </c>
      <c r="Q966" s="603">
        <f t="shared" si="123"/>
        <v>4</v>
      </c>
      <c r="R966" s="604" t="str">
        <f t="shared" si="124"/>
        <v>Gastos_custeados_por_captação</v>
      </c>
      <c r="S966" s="605" t="s">
        <v>310</v>
      </c>
      <c r="T966" s="605" t="s">
        <v>310</v>
      </c>
    </row>
    <row r="967" spans="1:20" s="88" customFormat="1" ht="24" x14ac:dyDescent="0.2">
      <c r="A967" s="510">
        <f>IF(B967="","",COUNT('Diário 1º PA'!$A$4:$A$2635)+ROW()-3)</f>
        <v>2700</v>
      </c>
      <c r="B967" s="414">
        <v>44690</v>
      </c>
      <c r="C967" s="431">
        <v>44652</v>
      </c>
      <c r="D967" s="415" t="s">
        <v>271</v>
      </c>
      <c r="E967" s="415" t="s">
        <v>297</v>
      </c>
      <c r="F967" s="425">
        <v>-28.94</v>
      </c>
      <c r="G967" s="427" t="s">
        <v>3907</v>
      </c>
      <c r="H967" s="415" t="s">
        <v>309</v>
      </c>
      <c r="I967" s="427" t="s">
        <v>795</v>
      </c>
      <c r="J967" s="415" t="s">
        <v>796</v>
      </c>
      <c r="K967" s="415" t="s">
        <v>797</v>
      </c>
      <c r="L967" s="415" t="s">
        <v>798</v>
      </c>
      <c r="M967" s="415" t="s">
        <v>310</v>
      </c>
      <c r="N967" s="414">
        <v>44690</v>
      </c>
      <c r="O967" s="414" t="s">
        <v>400</v>
      </c>
      <c r="P967" s="603">
        <f t="shared" si="122"/>
        <v>5</v>
      </c>
      <c r="Q967" s="603">
        <f t="shared" si="123"/>
        <v>4</v>
      </c>
      <c r="R967" s="604" t="str">
        <f t="shared" si="124"/>
        <v>Gastos_Gerais</v>
      </c>
      <c r="S967" s="605" t="s">
        <v>310</v>
      </c>
      <c r="T967" s="605" t="s">
        <v>310</v>
      </c>
    </row>
    <row r="968" spans="1:20" s="88" customFormat="1" ht="36" x14ac:dyDescent="0.2">
      <c r="A968" s="510">
        <f>IF(B968="","",COUNT('Diário 1º PA'!$A$4:$A$2635)+ROW()-3)</f>
        <v>2701</v>
      </c>
      <c r="B968" s="414">
        <v>44690</v>
      </c>
      <c r="C968" s="431">
        <v>44652</v>
      </c>
      <c r="D968" s="415" t="s">
        <v>271</v>
      </c>
      <c r="E968" s="415" t="s">
        <v>297</v>
      </c>
      <c r="F968" s="425">
        <v>-14.47</v>
      </c>
      <c r="G968" s="427" t="s">
        <v>3909</v>
      </c>
      <c r="H968" s="415" t="s">
        <v>309</v>
      </c>
      <c r="I968" s="427" t="s">
        <v>795</v>
      </c>
      <c r="J968" s="415" t="s">
        <v>796</v>
      </c>
      <c r="K968" s="415" t="s">
        <v>797</v>
      </c>
      <c r="L968" s="415" t="s">
        <v>798</v>
      </c>
      <c r="M968" s="415" t="s">
        <v>310</v>
      </c>
      <c r="N968" s="414">
        <v>44690</v>
      </c>
      <c r="O968" s="414" t="s">
        <v>400</v>
      </c>
      <c r="P968" s="603">
        <f t="shared" si="122"/>
        <v>5</v>
      </c>
      <c r="Q968" s="603">
        <f t="shared" si="123"/>
        <v>4</v>
      </c>
      <c r="R968" s="604" t="str">
        <f t="shared" si="124"/>
        <v>Gastos_Gerais</v>
      </c>
      <c r="S968" s="605" t="s">
        <v>310</v>
      </c>
      <c r="T968" s="605" t="s">
        <v>310</v>
      </c>
    </row>
    <row r="969" spans="1:20" s="88" customFormat="1" ht="48" x14ac:dyDescent="0.2">
      <c r="A969" s="510">
        <f>IF(B969="","",COUNT('Diário 1º PA'!$A$4:$A$2635)+ROW()-3)</f>
        <v>2702</v>
      </c>
      <c r="B969" s="414">
        <v>44690</v>
      </c>
      <c r="C969" s="431">
        <v>44652</v>
      </c>
      <c r="D969" s="415" t="s">
        <v>271</v>
      </c>
      <c r="E969" s="415" t="s">
        <v>297</v>
      </c>
      <c r="F969" s="425">
        <v>-347.28</v>
      </c>
      <c r="G969" s="427" t="s">
        <v>3426</v>
      </c>
      <c r="H969" s="415" t="s">
        <v>309</v>
      </c>
      <c r="I969" s="427" t="s">
        <v>795</v>
      </c>
      <c r="J969" s="415" t="s">
        <v>796</v>
      </c>
      <c r="K969" s="415" t="s">
        <v>797</v>
      </c>
      <c r="L969" s="415" t="s">
        <v>798</v>
      </c>
      <c r="M969" s="415" t="s">
        <v>310</v>
      </c>
      <c r="N969" s="414">
        <v>44690</v>
      </c>
      <c r="O969" s="414" t="s">
        <v>400</v>
      </c>
      <c r="P969" s="603">
        <f t="shared" si="122"/>
        <v>5</v>
      </c>
      <c r="Q969" s="603">
        <f t="shared" si="123"/>
        <v>4</v>
      </c>
      <c r="R969" s="604" t="str">
        <f t="shared" si="124"/>
        <v>Gastos_Gerais</v>
      </c>
      <c r="S969" s="605" t="s">
        <v>310</v>
      </c>
      <c r="T969" s="605" t="s">
        <v>310</v>
      </c>
    </row>
    <row r="970" spans="1:20" s="88" customFormat="1" ht="36" x14ac:dyDescent="0.2">
      <c r="A970" s="510">
        <f>IF(B970="","",COUNT('Diário 1º PA'!$A$4:$A$2635)+ROW()-3)</f>
        <v>2703</v>
      </c>
      <c r="B970" s="414">
        <v>44690</v>
      </c>
      <c r="C970" s="431">
        <v>44652</v>
      </c>
      <c r="D970" s="415" t="s">
        <v>271</v>
      </c>
      <c r="E970" s="415" t="s">
        <v>2</v>
      </c>
      <c r="F970" s="425">
        <v>-2643.58</v>
      </c>
      <c r="G970" s="427" t="s">
        <v>3910</v>
      </c>
      <c r="H970" s="415" t="s">
        <v>309</v>
      </c>
      <c r="I970" s="427" t="s">
        <v>795</v>
      </c>
      <c r="J970" s="415" t="s">
        <v>796</v>
      </c>
      <c r="K970" s="415" t="s">
        <v>797</v>
      </c>
      <c r="L970" s="415" t="s">
        <v>798</v>
      </c>
      <c r="M970" s="415" t="s">
        <v>310</v>
      </c>
      <c r="N970" s="414">
        <v>44690</v>
      </c>
      <c r="O970" s="414" t="s">
        <v>400</v>
      </c>
      <c r="P970" s="603">
        <f t="shared" si="122"/>
        <v>5</v>
      </c>
      <c r="Q970" s="603">
        <f t="shared" si="123"/>
        <v>4</v>
      </c>
      <c r="R970" s="604" t="str">
        <f t="shared" si="124"/>
        <v>Gastos_Gerais</v>
      </c>
      <c r="S970" s="605" t="s">
        <v>310</v>
      </c>
      <c r="T970" s="605" t="s">
        <v>310</v>
      </c>
    </row>
    <row r="971" spans="1:20" s="88" customFormat="1" ht="69.75" customHeight="1" x14ac:dyDescent="0.2">
      <c r="A971" s="510">
        <f>IF(B971="","",COUNT('Diário 1º PA'!$A$4:$A$2635)+ROW()-3)</f>
        <v>2704</v>
      </c>
      <c r="B971" s="414">
        <v>44690</v>
      </c>
      <c r="C971" s="431">
        <v>44652</v>
      </c>
      <c r="D971" s="415" t="s">
        <v>271</v>
      </c>
      <c r="E971" s="415" t="s">
        <v>3</v>
      </c>
      <c r="F971" s="425">
        <v>-451.27</v>
      </c>
      <c r="G971" s="427" t="s">
        <v>3911</v>
      </c>
      <c r="H971" s="415" t="s">
        <v>309</v>
      </c>
      <c r="I971" s="427" t="s">
        <v>795</v>
      </c>
      <c r="J971" s="415" t="s">
        <v>796</v>
      </c>
      <c r="K971" s="415" t="s">
        <v>797</v>
      </c>
      <c r="L971" s="415" t="s">
        <v>798</v>
      </c>
      <c r="M971" s="415" t="s">
        <v>310</v>
      </c>
      <c r="N971" s="414">
        <v>44690</v>
      </c>
      <c r="O971" s="414" t="s">
        <v>400</v>
      </c>
      <c r="P971" s="603">
        <f t="shared" ref="P971:P985" si="125">IF(B971=0,0,IF(YEAR(B971)=$Q$1,MONTH(B971)-$P$1+1,(YEAR(B971)-$Q$1)*12-$P$1+1+MONTH(B971)))</f>
        <v>5</v>
      </c>
      <c r="Q971" s="603">
        <f t="shared" ref="Q971:Q985" si="126">IF(C971=0,0,IF(YEAR(C971)=$Q$1,MONTH(C971)-$P$1+1,(YEAR(C971)-$Q$1)*12-$P$1+1+MONTH(C971)))</f>
        <v>4</v>
      </c>
      <c r="R971" s="604" t="str">
        <f t="shared" ref="R971:R985" si="127">SUBSTITUTE(D971," ","_")</f>
        <v>Gastos_Gerais</v>
      </c>
      <c r="S971" s="605" t="s">
        <v>310</v>
      </c>
      <c r="T971" s="605" t="s">
        <v>310</v>
      </c>
    </row>
    <row r="972" spans="1:20" s="88" customFormat="1" ht="60" x14ac:dyDescent="0.2">
      <c r="A972" s="510">
        <f>IF(B972="","",COUNT('Diário 1º PA'!$A$4:$A$2635)+ROW()-3)</f>
        <v>2705</v>
      </c>
      <c r="B972" s="414">
        <v>44690</v>
      </c>
      <c r="C972" s="431">
        <v>44652</v>
      </c>
      <c r="D972" s="415" t="s">
        <v>271</v>
      </c>
      <c r="E972" s="415" t="s">
        <v>462</v>
      </c>
      <c r="F972" s="425">
        <v>756</v>
      </c>
      <c r="G972" s="427" t="s">
        <v>3337</v>
      </c>
      <c r="H972" s="415" t="s">
        <v>752</v>
      </c>
      <c r="I972" s="427" t="s">
        <v>3631</v>
      </c>
      <c r="J972" s="415" t="s">
        <v>2838</v>
      </c>
      <c r="K972" s="415" t="s">
        <v>806</v>
      </c>
      <c r="L972" s="415" t="s">
        <v>839</v>
      </c>
      <c r="M972" s="415">
        <v>1739</v>
      </c>
      <c r="N972" s="414">
        <v>44686</v>
      </c>
      <c r="O972" s="414" t="s">
        <v>400</v>
      </c>
      <c r="P972" s="603">
        <f t="shared" si="125"/>
        <v>5</v>
      </c>
      <c r="Q972" s="603">
        <f t="shared" si="126"/>
        <v>4</v>
      </c>
      <c r="R972" s="604" t="str">
        <f t="shared" si="127"/>
        <v>Gastos_Gerais</v>
      </c>
      <c r="S972" s="605" t="s">
        <v>1000</v>
      </c>
      <c r="T972" s="605">
        <v>3455</v>
      </c>
    </row>
    <row r="973" spans="1:20" s="88" customFormat="1" ht="36" x14ac:dyDescent="0.2">
      <c r="A973" s="510">
        <f>IF(B973="","",COUNT('Diário 1º PA'!$A$4:$A$2635)+ROW()-3)</f>
        <v>2706</v>
      </c>
      <c r="B973" s="414">
        <v>44690</v>
      </c>
      <c r="C973" s="431">
        <v>44682</v>
      </c>
      <c r="D973" s="415" t="s">
        <v>182</v>
      </c>
      <c r="E973" s="415" t="s">
        <v>175</v>
      </c>
      <c r="F973" s="425">
        <v>4793.28</v>
      </c>
      <c r="G973" s="427" t="s">
        <v>3914</v>
      </c>
      <c r="H973" s="415" t="s">
        <v>310</v>
      </c>
      <c r="I973" s="427" t="s">
        <v>966</v>
      </c>
      <c r="J973" s="415" t="s">
        <v>967</v>
      </c>
      <c r="K973" s="415" t="s">
        <v>830</v>
      </c>
      <c r="L973" s="415" t="s">
        <v>3915</v>
      </c>
      <c r="M973" s="415" t="s">
        <v>310</v>
      </c>
      <c r="N973" s="414">
        <v>44690</v>
      </c>
      <c r="O973" s="414" t="s">
        <v>400</v>
      </c>
      <c r="P973" s="603">
        <f t="shared" si="125"/>
        <v>5</v>
      </c>
      <c r="Q973" s="603">
        <f t="shared" si="126"/>
        <v>5</v>
      </c>
      <c r="R973" s="604" t="str">
        <f t="shared" si="127"/>
        <v>Gastos_com_Pessoal</v>
      </c>
      <c r="S973" s="605" t="s">
        <v>310</v>
      </c>
      <c r="T973" s="605" t="s">
        <v>310</v>
      </c>
    </row>
    <row r="974" spans="1:20" s="88" customFormat="1" ht="84.75" customHeight="1" x14ac:dyDescent="0.2">
      <c r="A974" s="510">
        <f>IF(B974="","",COUNT('Diário 1º PA'!$A$4:$A$2635)+ROW()-3)</f>
        <v>2707</v>
      </c>
      <c r="B974" s="414">
        <v>44690</v>
      </c>
      <c r="C974" s="431">
        <v>44593</v>
      </c>
      <c r="D974" s="415" t="s">
        <v>271</v>
      </c>
      <c r="E974" s="415" t="s">
        <v>453</v>
      </c>
      <c r="F974" s="425">
        <v>672</v>
      </c>
      <c r="G974" s="427" t="s">
        <v>1907</v>
      </c>
      <c r="H974" s="415" t="s">
        <v>752</v>
      </c>
      <c r="I974" s="427" t="s">
        <v>2691</v>
      </c>
      <c r="J974" s="415" t="s">
        <v>1163</v>
      </c>
      <c r="K974" s="415" t="s">
        <v>830</v>
      </c>
      <c r="L974" s="415" t="s">
        <v>839</v>
      </c>
      <c r="M974" s="415">
        <v>1737</v>
      </c>
      <c r="N974" s="414">
        <v>44685</v>
      </c>
      <c r="O974" s="414" t="s">
        <v>400</v>
      </c>
      <c r="P974" s="603">
        <f t="shared" si="125"/>
        <v>5</v>
      </c>
      <c r="Q974" s="603">
        <f t="shared" si="126"/>
        <v>2</v>
      </c>
      <c r="R974" s="604" t="str">
        <f t="shared" si="127"/>
        <v>Gastos_Gerais</v>
      </c>
      <c r="S974" s="605" t="s">
        <v>998</v>
      </c>
      <c r="T974" s="605">
        <v>2968</v>
      </c>
    </row>
    <row r="975" spans="1:20" s="88" customFormat="1" ht="72" x14ac:dyDescent="0.2">
      <c r="A975" s="510">
        <f>IF(B975="","",COUNT('Diário 1º PA'!$A$4:$A$2635)+ROW()-3)</f>
        <v>2708</v>
      </c>
      <c r="B975" s="414">
        <v>44690</v>
      </c>
      <c r="C975" s="431">
        <v>44652</v>
      </c>
      <c r="D975" s="415" t="s">
        <v>271</v>
      </c>
      <c r="E975" s="415" t="s">
        <v>456</v>
      </c>
      <c r="F975" s="425">
        <v>1260</v>
      </c>
      <c r="G975" s="427" t="s">
        <v>3431</v>
      </c>
      <c r="H975" s="419" t="s">
        <v>760</v>
      </c>
      <c r="I975" s="427" t="s">
        <v>3918</v>
      </c>
      <c r="J975" s="415" t="s">
        <v>1109</v>
      </c>
      <c r="K975" s="415" t="s">
        <v>830</v>
      </c>
      <c r="L975" s="415" t="s">
        <v>839</v>
      </c>
      <c r="M975" s="415">
        <v>1733</v>
      </c>
      <c r="N975" s="414">
        <v>44685</v>
      </c>
      <c r="O975" s="414" t="s">
        <v>400</v>
      </c>
      <c r="P975" s="603">
        <f t="shared" si="125"/>
        <v>5</v>
      </c>
      <c r="Q975" s="603">
        <f t="shared" si="126"/>
        <v>4</v>
      </c>
      <c r="R975" s="604" t="str">
        <f t="shared" si="127"/>
        <v>Gastos_Gerais</v>
      </c>
      <c r="S975" s="605" t="s">
        <v>998</v>
      </c>
      <c r="T975" s="605">
        <v>3378</v>
      </c>
    </row>
    <row r="976" spans="1:20" s="88" customFormat="1" ht="36" x14ac:dyDescent="0.2">
      <c r="A976" s="510">
        <f>IF(B976="","",COUNT('Diário 1º PA'!$A$4:$A$2635)+ROW()-3)</f>
        <v>2709</v>
      </c>
      <c r="B976" s="414">
        <v>44690</v>
      </c>
      <c r="C976" s="431">
        <v>44621</v>
      </c>
      <c r="D976" s="415" t="s">
        <v>271</v>
      </c>
      <c r="E976" s="415" t="s">
        <v>456</v>
      </c>
      <c r="F976" s="425">
        <v>672</v>
      </c>
      <c r="G976" s="427" t="s">
        <v>1992</v>
      </c>
      <c r="H976" s="419" t="s">
        <v>748</v>
      </c>
      <c r="I976" s="427" t="s">
        <v>3921</v>
      </c>
      <c r="J976" s="415" t="s">
        <v>2004</v>
      </c>
      <c r="K976" s="415" t="s">
        <v>830</v>
      </c>
      <c r="L976" s="415" t="s">
        <v>839</v>
      </c>
      <c r="M976" s="415">
        <v>1742</v>
      </c>
      <c r="N976" s="414">
        <v>44686</v>
      </c>
      <c r="O976" s="414" t="s">
        <v>400</v>
      </c>
      <c r="P976" s="603">
        <f t="shared" si="125"/>
        <v>5</v>
      </c>
      <c r="Q976" s="603">
        <f t="shared" si="126"/>
        <v>3</v>
      </c>
      <c r="R976" s="604" t="str">
        <f t="shared" si="127"/>
        <v>Gastos_Gerais</v>
      </c>
      <c r="S976" s="605" t="s">
        <v>998</v>
      </c>
      <c r="T976" s="605">
        <v>3099</v>
      </c>
    </row>
    <row r="977" spans="1:20" s="88" customFormat="1" ht="36" x14ac:dyDescent="0.2">
      <c r="A977" s="510">
        <f>IF(B977="","",COUNT('Diário 1º PA'!$A$4:$A$2635)+ROW()-3)</f>
        <v>2710</v>
      </c>
      <c r="B977" s="414">
        <v>44690</v>
      </c>
      <c r="C977" s="431">
        <v>44593</v>
      </c>
      <c r="D977" s="415" t="s">
        <v>271</v>
      </c>
      <c r="E977" s="415" t="s">
        <v>453</v>
      </c>
      <c r="F977" s="425">
        <v>672</v>
      </c>
      <c r="G977" s="427" t="s">
        <v>1831</v>
      </c>
      <c r="H977" s="419" t="s">
        <v>748</v>
      </c>
      <c r="I977" s="427" t="s">
        <v>3510</v>
      </c>
      <c r="J977" s="415" t="s">
        <v>1830</v>
      </c>
      <c r="K977" s="415" t="s">
        <v>830</v>
      </c>
      <c r="L977" s="415" t="s">
        <v>839</v>
      </c>
      <c r="M977" s="415">
        <v>1738</v>
      </c>
      <c r="N977" s="414">
        <v>44685</v>
      </c>
      <c r="O977" s="414" t="s">
        <v>400</v>
      </c>
      <c r="P977" s="603">
        <f t="shared" si="125"/>
        <v>5</v>
      </c>
      <c r="Q977" s="603">
        <f t="shared" si="126"/>
        <v>2</v>
      </c>
      <c r="R977" s="604" t="str">
        <f t="shared" si="127"/>
        <v>Gastos_Gerais</v>
      </c>
      <c r="S977" s="605" t="s">
        <v>998</v>
      </c>
      <c r="T977" s="605">
        <v>2939</v>
      </c>
    </row>
    <row r="978" spans="1:20" s="88" customFormat="1" ht="24" x14ac:dyDescent="0.2">
      <c r="A978" s="510">
        <f>IF(B978="","",COUNT('Diário 1º PA'!$A$4:$A$2635)+ROW()-3)</f>
        <v>2711</v>
      </c>
      <c r="B978" s="414">
        <v>44690</v>
      </c>
      <c r="C978" s="431">
        <v>44652</v>
      </c>
      <c r="D978" s="415" t="s">
        <v>271</v>
      </c>
      <c r="E978" s="415" t="s">
        <v>2</v>
      </c>
      <c r="F978" s="425">
        <v>8128.76</v>
      </c>
      <c r="G978" s="437" t="s">
        <v>3475</v>
      </c>
      <c r="H978" s="415" t="s">
        <v>309</v>
      </c>
      <c r="I978" s="437" t="s">
        <v>767</v>
      </c>
      <c r="J978" s="434" t="s">
        <v>1020</v>
      </c>
      <c r="K978" s="415" t="s">
        <v>812</v>
      </c>
      <c r="L978" s="415" t="s">
        <v>1305</v>
      </c>
      <c r="M978" s="415">
        <v>5</v>
      </c>
      <c r="N978" s="414">
        <v>44677</v>
      </c>
      <c r="O978" s="414" t="s">
        <v>400</v>
      </c>
      <c r="P978" s="603">
        <f t="shared" si="125"/>
        <v>5</v>
      </c>
      <c r="Q978" s="603">
        <f t="shared" si="126"/>
        <v>4</v>
      </c>
      <c r="R978" s="604" t="str">
        <f t="shared" si="127"/>
        <v>Gastos_Gerais</v>
      </c>
      <c r="S978" s="605" t="s">
        <v>310</v>
      </c>
      <c r="T978" s="605" t="s">
        <v>310</v>
      </c>
    </row>
    <row r="979" spans="1:20" s="88" customFormat="1" ht="99.95" customHeight="1" x14ac:dyDescent="0.2">
      <c r="A979" s="510">
        <f>IF(B979="","",COUNT('Diário 1º PA'!$A$4:$A$2635)+ROW()-3)</f>
        <v>2712</v>
      </c>
      <c r="B979" s="414">
        <v>44690</v>
      </c>
      <c r="C979" s="431">
        <v>44652</v>
      </c>
      <c r="D979" s="415" t="s">
        <v>271</v>
      </c>
      <c r="E979" s="415" t="s">
        <v>3</v>
      </c>
      <c r="F979" s="425">
        <v>1708.71</v>
      </c>
      <c r="G979" s="437" t="s">
        <v>3476</v>
      </c>
      <c r="H979" s="415" t="s">
        <v>309</v>
      </c>
      <c r="I979" s="437" t="s">
        <v>767</v>
      </c>
      <c r="J979" s="434" t="s">
        <v>1020</v>
      </c>
      <c r="K979" s="415" t="s">
        <v>812</v>
      </c>
      <c r="L979" s="415" t="s">
        <v>1305</v>
      </c>
      <c r="M979" s="415">
        <v>5</v>
      </c>
      <c r="N979" s="414">
        <v>44677</v>
      </c>
      <c r="O979" s="414" t="s">
        <v>400</v>
      </c>
      <c r="P979" s="603">
        <f t="shared" si="125"/>
        <v>5</v>
      </c>
      <c r="Q979" s="603">
        <f t="shared" si="126"/>
        <v>4</v>
      </c>
      <c r="R979" s="604" t="str">
        <f t="shared" si="127"/>
        <v>Gastos_Gerais</v>
      </c>
      <c r="S979" s="605" t="s">
        <v>310</v>
      </c>
      <c r="T979" s="605" t="s">
        <v>310</v>
      </c>
    </row>
    <row r="980" spans="1:20" s="88" customFormat="1" ht="99.95" customHeight="1" x14ac:dyDescent="0.2">
      <c r="A980" s="510">
        <f>IF(B980="","",COUNT('Diário 1º PA'!$A$4:$A$2635)+ROW()-3)</f>
        <v>2713</v>
      </c>
      <c r="B980" s="414">
        <v>44690</v>
      </c>
      <c r="C980" s="431">
        <v>44652</v>
      </c>
      <c r="D980" s="415" t="s">
        <v>271</v>
      </c>
      <c r="E980" s="415" t="s">
        <v>297</v>
      </c>
      <c r="F980" s="425">
        <v>1244.42</v>
      </c>
      <c r="G980" s="427" t="s">
        <v>3925</v>
      </c>
      <c r="H980" s="415" t="s">
        <v>309</v>
      </c>
      <c r="I980" s="427" t="s">
        <v>776</v>
      </c>
      <c r="J980" s="415" t="s">
        <v>1036</v>
      </c>
      <c r="K980" s="415" t="s">
        <v>812</v>
      </c>
      <c r="L980" s="415" t="s">
        <v>807</v>
      </c>
      <c r="M980" s="415">
        <v>44549</v>
      </c>
      <c r="N980" s="414">
        <v>44683</v>
      </c>
      <c r="O980" s="414" t="s">
        <v>400</v>
      </c>
      <c r="P980" s="603">
        <f t="shared" si="125"/>
        <v>5</v>
      </c>
      <c r="Q980" s="603">
        <f t="shared" si="126"/>
        <v>4</v>
      </c>
      <c r="R980" s="604" t="str">
        <f t="shared" si="127"/>
        <v>Gastos_Gerais</v>
      </c>
      <c r="S980" s="605" t="s">
        <v>1000</v>
      </c>
      <c r="T980" s="605">
        <v>1141</v>
      </c>
    </row>
    <row r="981" spans="1:20" s="88" customFormat="1" ht="99.95" customHeight="1" x14ac:dyDescent="0.2">
      <c r="A981" s="510">
        <f>IF(B981="","",COUNT('Diário 1º PA'!$A$4:$A$2635)+ROW()-3)</f>
        <v>2714</v>
      </c>
      <c r="B981" s="414">
        <v>44690</v>
      </c>
      <c r="C981" s="431">
        <v>44652</v>
      </c>
      <c r="D981" s="415" t="s">
        <v>271</v>
      </c>
      <c r="E981" s="415" t="s">
        <v>453</v>
      </c>
      <c r="F981" s="425">
        <v>1998.6</v>
      </c>
      <c r="G981" s="427" t="s">
        <v>2732</v>
      </c>
      <c r="H981" s="415" t="s">
        <v>752</v>
      </c>
      <c r="I981" s="427" t="s">
        <v>3926</v>
      </c>
      <c r="J981" s="415" t="s">
        <v>1637</v>
      </c>
      <c r="K981" s="415" t="s">
        <v>830</v>
      </c>
      <c r="L981" s="415" t="s">
        <v>839</v>
      </c>
      <c r="M981" s="415">
        <v>1745</v>
      </c>
      <c r="N981" s="414">
        <v>44687</v>
      </c>
      <c r="O981" s="414" t="s">
        <v>400</v>
      </c>
      <c r="P981" s="603">
        <f t="shared" si="125"/>
        <v>5</v>
      </c>
      <c r="Q981" s="603">
        <f t="shared" si="126"/>
        <v>4</v>
      </c>
      <c r="R981" s="604" t="str">
        <f t="shared" si="127"/>
        <v>Gastos_Gerais</v>
      </c>
      <c r="S981" s="605" t="s">
        <v>1000</v>
      </c>
      <c r="T981" s="605">
        <v>3319</v>
      </c>
    </row>
    <row r="982" spans="1:20" s="88" customFormat="1" ht="99.95" customHeight="1" x14ac:dyDescent="0.2">
      <c r="A982" s="510">
        <f>IF(B982="","",COUNT('Diário 1º PA'!$A$4:$A$2635)+ROW()-3)</f>
        <v>2715</v>
      </c>
      <c r="B982" s="414">
        <v>44690</v>
      </c>
      <c r="C982" s="431">
        <v>44621</v>
      </c>
      <c r="D982" s="415" t="s">
        <v>271</v>
      </c>
      <c r="E982" s="415" t="s">
        <v>456</v>
      </c>
      <c r="F982" s="425">
        <v>672</v>
      </c>
      <c r="G982" s="427" t="s">
        <v>1992</v>
      </c>
      <c r="H982" s="419" t="s">
        <v>748</v>
      </c>
      <c r="I982" s="427" t="s">
        <v>3929</v>
      </c>
      <c r="J982" s="415" t="s">
        <v>1993</v>
      </c>
      <c r="K982" s="415" t="s">
        <v>830</v>
      </c>
      <c r="L982" s="415" t="s">
        <v>839</v>
      </c>
      <c r="M982" s="415">
        <v>1741</v>
      </c>
      <c r="N982" s="414">
        <v>44686</v>
      </c>
      <c r="O982" s="414" t="s">
        <v>400</v>
      </c>
      <c r="P982" s="603">
        <f t="shared" si="125"/>
        <v>5</v>
      </c>
      <c r="Q982" s="603">
        <f t="shared" si="126"/>
        <v>3</v>
      </c>
      <c r="R982" s="604" t="str">
        <f t="shared" si="127"/>
        <v>Gastos_Gerais</v>
      </c>
      <c r="S982" s="605" t="s">
        <v>998</v>
      </c>
      <c r="T982" s="605">
        <v>3105</v>
      </c>
    </row>
    <row r="983" spans="1:20" s="88" customFormat="1" ht="99.95" customHeight="1" x14ac:dyDescent="0.2">
      <c r="A983" s="510">
        <f>IF(B983="","",COUNT('Diário 1º PA'!$A$4:$A$2635)+ROW()-3)</f>
        <v>2716</v>
      </c>
      <c r="B983" s="414">
        <v>44690</v>
      </c>
      <c r="C983" s="431">
        <v>44652</v>
      </c>
      <c r="D983" s="415" t="s">
        <v>271</v>
      </c>
      <c r="E983" s="415" t="s">
        <v>453</v>
      </c>
      <c r="F983" s="425">
        <v>1998.6</v>
      </c>
      <c r="G983" s="427" t="s">
        <v>3308</v>
      </c>
      <c r="H983" s="415" t="s">
        <v>752</v>
      </c>
      <c r="I983" s="427" t="s">
        <v>3932</v>
      </c>
      <c r="J983" s="415" t="s">
        <v>3309</v>
      </c>
      <c r="K983" s="415" t="s">
        <v>830</v>
      </c>
      <c r="L983" s="415" t="s">
        <v>839</v>
      </c>
      <c r="M983" s="415">
        <v>1744</v>
      </c>
      <c r="N983" s="414">
        <v>44687</v>
      </c>
      <c r="O983" s="414" t="s">
        <v>400</v>
      </c>
      <c r="P983" s="603">
        <f t="shared" si="125"/>
        <v>5</v>
      </c>
      <c r="Q983" s="603">
        <f t="shared" si="126"/>
        <v>4</v>
      </c>
      <c r="R983" s="604" t="str">
        <f t="shared" si="127"/>
        <v>Gastos_Gerais</v>
      </c>
      <c r="S983" s="605" t="s">
        <v>1000</v>
      </c>
      <c r="T983" s="605">
        <v>3321</v>
      </c>
    </row>
    <row r="984" spans="1:20" s="88" customFormat="1" ht="99.95" customHeight="1" x14ac:dyDescent="0.2">
      <c r="A984" s="510">
        <f>IF(B984="","",COUNT('Diário 1º PA'!$A$4:$A$2635)+ROW()-3)</f>
        <v>2717</v>
      </c>
      <c r="B984" s="414">
        <v>44690</v>
      </c>
      <c r="C984" s="431">
        <v>44166</v>
      </c>
      <c r="D984" s="415" t="s">
        <v>271</v>
      </c>
      <c r="E984" s="415" t="s">
        <v>186</v>
      </c>
      <c r="F984" s="425">
        <v>37.5</v>
      </c>
      <c r="G984" s="427" t="s">
        <v>3658</v>
      </c>
      <c r="H984" s="415" t="s">
        <v>309</v>
      </c>
      <c r="I984" s="427" t="s">
        <v>764</v>
      </c>
      <c r="J984" s="415" t="s">
        <v>310</v>
      </c>
      <c r="K984" s="415" t="s">
        <v>1220</v>
      </c>
      <c r="L984" s="415" t="s">
        <v>3443</v>
      </c>
      <c r="M984" s="546">
        <v>222106658089</v>
      </c>
      <c r="N984" s="414">
        <v>44690</v>
      </c>
      <c r="O984" s="414" t="s">
        <v>400</v>
      </c>
      <c r="P984" s="603">
        <f t="shared" si="125"/>
        <v>5</v>
      </c>
      <c r="Q984" s="603">
        <f t="shared" si="126"/>
        <v>-12</v>
      </c>
      <c r="R984" s="604" t="str">
        <f t="shared" si="127"/>
        <v>Gastos_Gerais</v>
      </c>
      <c r="S984" s="605" t="s">
        <v>310</v>
      </c>
      <c r="T984" s="605" t="s">
        <v>310</v>
      </c>
    </row>
    <row r="985" spans="1:20" s="88" customFormat="1" ht="99.95" customHeight="1" x14ac:dyDescent="0.2">
      <c r="A985" s="510">
        <f>IF(B985="","",COUNT('Diário 1º PA'!$A$4:$A$2635)+ROW()-3)</f>
        <v>2718</v>
      </c>
      <c r="B985" s="414">
        <v>44690</v>
      </c>
      <c r="C985" s="592">
        <v>44652</v>
      </c>
      <c r="D985" s="415" t="s">
        <v>182</v>
      </c>
      <c r="E985" s="415" t="s">
        <v>161</v>
      </c>
      <c r="F985" s="425">
        <v>0.28000000000000003</v>
      </c>
      <c r="G985" s="427" t="s">
        <v>3697</v>
      </c>
      <c r="H985" s="415" t="s">
        <v>310</v>
      </c>
      <c r="I985" s="427" t="s">
        <v>764</v>
      </c>
      <c r="J985" s="415" t="s">
        <v>310</v>
      </c>
      <c r="K985" s="415" t="s">
        <v>1220</v>
      </c>
      <c r="L985" s="415" t="s">
        <v>3443</v>
      </c>
      <c r="M985" s="546">
        <v>222106690993</v>
      </c>
      <c r="N985" s="414">
        <v>44690</v>
      </c>
      <c r="O985" s="414" t="s">
        <v>400</v>
      </c>
      <c r="P985" s="603">
        <f t="shared" si="125"/>
        <v>5</v>
      </c>
      <c r="Q985" s="603">
        <f t="shared" si="126"/>
        <v>4</v>
      </c>
      <c r="R985" s="604" t="str">
        <f t="shared" si="127"/>
        <v>Gastos_com_Pessoal</v>
      </c>
      <c r="S985" s="605" t="s">
        <v>310</v>
      </c>
      <c r="T985" s="605" t="s">
        <v>310</v>
      </c>
    </row>
    <row r="986" spans="1:20" s="88" customFormat="1" ht="99.95" customHeight="1" x14ac:dyDescent="0.2">
      <c r="A986" s="510">
        <f>IF(B986="","",COUNT('Diário 1º PA'!$A$4:$A$2635)+ROW()-3)</f>
        <v>2719</v>
      </c>
      <c r="B986" s="414">
        <v>44690</v>
      </c>
      <c r="C986" s="431">
        <v>44593</v>
      </c>
      <c r="D986" s="415" t="s">
        <v>271</v>
      </c>
      <c r="E986" s="415" t="s">
        <v>456</v>
      </c>
      <c r="F986" s="425">
        <v>376.2</v>
      </c>
      <c r="G986" s="427" t="s">
        <v>3559</v>
      </c>
      <c r="H986" s="419" t="s">
        <v>790</v>
      </c>
      <c r="I986" s="427" t="s">
        <v>764</v>
      </c>
      <c r="J986" s="415" t="s">
        <v>310</v>
      </c>
      <c r="K986" s="415" t="s">
        <v>1220</v>
      </c>
      <c r="L986" s="415" t="s">
        <v>3443</v>
      </c>
      <c r="M986" s="546" t="s">
        <v>3936</v>
      </c>
      <c r="N986" s="414">
        <v>44690</v>
      </c>
      <c r="O986" s="414" t="s">
        <v>400</v>
      </c>
      <c r="P986" s="603">
        <f t="shared" ref="P986:P1030" si="128">IF(B986=0,0,IF(YEAR(B986)=$Q$1,MONTH(B986)-$P$1+1,(YEAR(B986)-$Q$1)*12-$P$1+1+MONTH(B986)))</f>
        <v>5</v>
      </c>
      <c r="Q986" s="603">
        <f t="shared" ref="Q986:Q1030" si="129">IF(C986=0,0,IF(YEAR(C986)=$Q$1,MONTH(C986)-$P$1+1,(YEAR(C986)-$Q$1)*12-$P$1+1+MONTH(C986)))</f>
        <v>2</v>
      </c>
      <c r="R986" s="604" t="str">
        <f t="shared" ref="R986:R1030" si="130">SUBSTITUTE(D986," ","_")</f>
        <v>Gastos_Gerais</v>
      </c>
      <c r="S986" s="605" t="s">
        <v>310</v>
      </c>
      <c r="T986" s="605" t="s">
        <v>310</v>
      </c>
    </row>
    <row r="987" spans="1:20" s="88" customFormat="1" ht="99.95" customHeight="1" x14ac:dyDescent="0.2">
      <c r="A987" s="510">
        <f>IF(B987="","",COUNT('Diário 1º PA'!$A$4:$A$2635)+ROW()-3)</f>
        <v>2720</v>
      </c>
      <c r="B987" s="414">
        <v>44690</v>
      </c>
      <c r="C987" s="592">
        <v>44652</v>
      </c>
      <c r="D987" s="415" t="s">
        <v>182</v>
      </c>
      <c r="E987" s="415" t="s">
        <v>161</v>
      </c>
      <c r="F987" s="425">
        <v>0.86</v>
      </c>
      <c r="G987" s="427" t="s">
        <v>3937</v>
      </c>
      <c r="H987" s="415" t="s">
        <v>310</v>
      </c>
      <c r="I987" s="427" t="s">
        <v>764</v>
      </c>
      <c r="J987" s="415" t="s">
        <v>310</v>
      </c>
      <c r="K987" s="415" t="s">
        <v>1220</v>
      </c>
      <c r="L987" s="415" t="s">
        <v>3443</v>
      </c>
      <c r="M987" s="546">
        <v>222106693828</v>
      </c>
      <c r="N987" s="414">
        <v>44690</v>
      </c>
      <c r="O987" s="414" t="s">
        <v>400</v>
      </c>
      <c r="P987" s="603">
        <f t="shared" si="128"/>
        <v>5</v>
      </c>
      <c r="Q987" s="603">
        <f t="shared" si="129"/>
        <v>4</v>
      </c>
      <c r="R987" s="604" t="str">
        <f t="shared" si="130"/>
        <v>Gastos_com_Pessoal</v>
      </c>
      <c r="S987" s="605" t="s">
        <v>310</v>
      </c>
      <c r="T987" s="605" t="s">
        <v>310</v>
      </c>
    </row>
    <row r="988" spans="1:20" s="88" customFormat="1" ht="36" x14ac:dyDescent="0.2">
      <c r="A988" s="510">
        <f>IF(B988="","",COUNT('Diário 1º PA'!$A$4:$A$2635)+ROW()-3)</f>
        <v>2721</v>
      </c>
      <c r="B988" s="414">
        <v>44690</v>
      </c>
      <c r="C988" s="431">
        <v>44652</v>
      </c>
      <c r="D988" s="415" t="s">
        <v>271</v>
      </c>
      <c r="E988" s="415" t="s">
        <v>462</v>
      </c>
      <c r="F988" s="425">
        <v>30</v>
      </c>
      <c r="G988" s="427" t="s">
        <v>3686</v>
      </c>
      <c r="H988" s="415" t="s">
        <v>752</v>
      </c>
      <c r="I988" s="427" t="s">
        <v>764</v>
      </c>
      <c r="J988" s="415" t="s">
        <v>310</v>
      </c>
      <c r="K988" s="415" t="s">
        <v>1220</v>
      </c>
      <c r="L988" s="415" t="s">
        <v>3443</v>
      </c>
      <c r="M988" s="546">
        <v>222106652986</v>
      </c>
      <c r="N988" s="414">
        <v>44690</v>
      </c>
      <c r="O988" s="414" t="s">
        <v>400</v>
      </c>
      <c r="P988" s="603">
        <f t="shared" si="128"/>
        <v>5</v>
      </c>
      <c r="Q988" s="603">
        <f t="shared" si="129"/>
        <v>4</v>
      </c>
      <c r="R988" s="604" t="str">
        <f t="shared" si="130"/>
        <v>Gastos_Gerais</v>
      </c>
      <c r="S988" s="605" t="s">
        <v>310</v>
      </c>
      <c r="T988" s="605" t="s">
        <v>310</v>
      </c>
    </row>
    <row r="989" spans="1:20" s="88" customFormat="1" ht="24" x14ac:dyDescent="0.2">
      <c r="A989" s="510">
        <f>IF(B989="","",COUNT('Diário 1º PA'!$A$4:$A$2635)+ROW()-3)</f>
        <v>2722</v>
      </c>
      <c r="B989" s="414">
        <v>44690</v>
      </c>
      <c r="C989" s="431">
        <v>44621</v>
      </c>
      <c r="D989" s="415" t="s">
        <v>271</v>
      </c>
      <c r="E989" s="415" t="s">
        <v>90</v>
      </c>
      <c r="F989" s="425">
        <v>159.75</v>
      </c>
      <c r="G989" s="427" t="s">
        <v>3358</v>
      </c>
      <c r="H989" s="415" t="s">
        <v>309</v>
      </c>
      <c r="I989" s="427" t="s">
        <v>764</v>
      </c>
      <c r="J989" s="415" t="s">
        <v>310</v>
      </c>
      <c r="K989" s="415" t="s">
        <v>1220</v>
      </c>
      <c r="L989" s="415" t="s">
        <v>3443</v>
      </c>
      <c r="M989" s="546">
        <v>222106674106</v>
      </c>
      <c r="N989" s="414">
        <v>44690</v>
      </c>
      <c r="O989" s="414" t="s">
        <v>400</v>
      </c>
      <c r="P989" s="603">
        <f t="shared" si="128"/>
        <v>5</v>
      </c>
      <c r="Q989" s="603">
        <f t="shared" si="129"/>
        <v>3</v>
      </c>
      <c r="R989" s="604" t="str">
        <f t="shared" si="130"/>
        <v>Gastos_Gerais</v>
      </c>
      <c r="S989" s="605" t="s">
        <v>310</v>
      </c>
      <c r="T989" s="605" t="s">
        <v>310</v>
      </c>
    </row>
    <row r="990" spans="1:20" s="88" customFormat="1" ht="24" x14ac:dyDescent="0.2">
      <c r="A990" s="510">
        <f>IF(B990="","",COUNT('Diário 1º PA'!$A$4:$A$2635)+ROW()-3)</f>
        <v>2723</v>
      </c>
      <c r="B990" s="414">
        <v>44690</v>
      </c>
      <c r="C990" s="431">
        <v>44652</v>
      </c>
      <c r="D990" s="415" t="s">
        <v>182</v>
      </c>
      <c r="E990" s="415" t="s">
        <v>161</v>
      </c>
      <c r="F990" s="425">
        <v>0.12</v>
      </c>
      <c r="G990" s="427" t="s">
        <v>3354</v>
      </c>
      <c r="H990" s="415" t="s">
        <v>310</v>
      </c>
      <c r="I990" s="427" t="s">
        <v>764</v>
      </c>
      <c r="J990" s="415" t="s">
        <v>310</v>
      </c>
      <c r="K990" s="415" t="s">
        <v>1220</v>
      </c>
      <c r="L990" s="415" t="s">
        <v>3443</v>
      </c>
      <c r="M990" s="546">
        <v>222106691884</v>
      </c>
      <c r="N990" s="414">
        <v>44690</v>
      </c>
      <c r="O990" s="414" t="s">
        <v>400</v>
      </c>
      <c r="P990" s="603">
        <f t="shared" si="128"/>
        <v>5</v>
      </c>
      <c r="Q990" s="603">
        <f t="shared" si="129"/>
        <v>4</v>
      </c>
      <c r="R990" s="604" t="str">
        <f t="shared" si="130"/>
        <v>Gastos_com_Pessoal</v>
      </c>
      <c r="S990" s="605" t="s">
        <v>310</v>
      </c>
      <c r="T990" s="605" t="s">
        <v>310</v>
      </c>
    </row>
    <row r="991" spans="1:20" s="88" customFormat="1" ht="36" x14ac:dyDescent="0.2">
      <c r="A991" s="510">
        <f>IF(B991="","",COUNT('Diário 1º PA'!$A$4:$A$2635)+ROW()-3)</f>
        <v>2724</v>
      </c>
      <c r="B991" s="414">
        <v>44690</v>
      </c>
      <c r="C991" s="431">
        <v>44652</v>
      </c>
      <c r="D991" s="594" t="s">
        <v>271</v>
      </c>
      <c r="E991" s="430" t="s">
        <v>465</v>
      </c>
      <c r="F991" s="425">
        <v>153.87</v>
      </c>
      <c r="G991" s="427" t="s">
        <v>3599</v>
      </c>
      <c r="H991" s="415" t="s">
        <v>752</v>
      </c>
      <c r="I991" s="427" t="s">
        <v>764</v>
      </c>
      <c r="J991" s="415" t="s">
        <v>310</v>
      </c>
      <c r="K991" s="415" t="s">
        <v>1220</v>
      </c>
      <c r="L991" s="415" t="s">
        <v>3443</v>
      </c>
      <c r="M991" s="546" t="s">
        <v>3938</v>
      </c>
      <c r="N991" s="414">
        <v>44690</v>
      </c>
      <c r="O991" s="414" t="s">
        <v>400</v>
      </c>
      <c r="P991" s="603">
        <f t="shared" si="128"/>
        <v>5</v>
      </c>
      <c r="Q991" s="603">
        <f t="shared" si="129"/>
        <v>4</v>
      </c>
      <c r="R991" s="604" t="str">
        <f t="shared" si="130"/>
        <v>Gastos_Gerais</v>
      </c>
      <c r="S991" s="605" t="s">
        <v>310</v>
      </c>
      <c r="T991" s="605" t="s">
        <v>310</v>
      </c>
    </row>
    <row r="992" spans="1:20" s="88" customFormat="1" ht="48" x14ac:dyDescent="0.2">
      <c r="A992" s="510">
        <f>IF(B992="","",COUNT('Diário 1º PA'!$A$4:$A$2635)+ROW()-3)</f>
        <v>2725</v>
      </c>
      <c r="B992" s="414">
        <v>44690</v>
      </c>
      <c r="C992" s="431">
        <v>44621</v>
      </c>
      <c r="D992" s="415" t="s">
        <v>271</v>
      </c>
      <c r="E992" s="415" t="s">
        <v>456</v>
      </c>
      <c r="F992" s="425">
        <v>150</v>
      </c>
      <c r="G992" s="427" t="s">
        <v>3691</v>
      </c>
      <c r="H992" s="419" t="s">
        <v>755</v>
      </c>
      <c r="I992" s="427" t="s">
        <v>764</v>
      </c>
      <c r="J992" s="415" t="s">
        <v>310</v>
      </c>
      <c r="K992" s="415" t="s">
        <v>1220</v>
      </c>
      <c r="L992" s="415" t="s">
        <v>3443</v>
      </c>
      <c r="M992" s="546">
        <v>222106649764</v>
      </c>
      <c r="N992" s="414">
        <v>44690</v>
      </c>
      <c r="O992" s="414" t="s">
        <v>400</v>
      </c>
      <c r="P992" s="603">
        <f t="shared" si="128"/>
        <v>5</v>
      </c>
      <c r="Q992" s="603">
        <f t="shared" si="129"/>
        <v>3</v>
      </c>
      <c r="R992" s="604" t="str">
        <f t="shared" si="130"/>
        <v>Gastos_Gerais</v>
      </c>
      <c r="S992" s="605" t="s">
        <v>310</v>
      </c>
      <c r="T992" s="605" t="s">
        <v>310</v>
      </c>
    </row>
    <row r="993" spans="1:20" s="88" customFormat="1" ht="36" x14ac:dyDescent="0.2">
      <c r="A993" s="510">
        <f>IF(B993="","",COUNT('Diário 1º PA'!$A$4:$A$2635)+ROW()-3)</f>
        <v>2726</v>
      </c>
      <c r="B993" s="414">
        <v>44690</v>
      </c>
      <c r="C993" s="431">
        <v>44593</v>
      </c>
      <c r="D993" s="415" t="s">
        <v>271</v>
      </c>
      <c r="E993" s="415" t="s">
        <v>456</v>
      </c>
      <c r="F993" s="425">
        <v>25</v>
      </c>
      <c r="G993" s="427" t="s">
        <v>3704</v>
      </c>
      <c r="H993" s="415" t="s">
        <v>761</v>
      </c>
      <c r="I993" s="427" t="s">
        <v>764</v>
      </c>
      <c r="J993" s="415" t="s">
        <v>310</v>
      </c>
      <c r="K993" s="415" t="s">
        <v>1220</v>
      </c>
      <c r="L993" s="415" t="s">
        <v>3443</v>
      </c>
      <c r="M993" s="546">
        <v>222106647397</v>
      </c>
      <c r="N993" s="414">
        <v>44690</v>
      </c>
      <c r="O993" s="414" t="s">
        <v>400</v>
      </c>
      <c r="P993" s="603">
        <f t="shared" si="128"/>
        <v>5</v>
      </c>
      <c r="Q993" s="603">
        <f t="shared" si="129"/>
        <v>2</v>
      </c>
      <c r="R993" s="604" t="str">
        <f t="shared" si="130"/>
        <v>Gastos_Gerais</v>
      </c>
      <c r="S993" s="605" t="s">
        <v>310</v>
      </c>
      <c r="T993" s="605" t="s">
        <v>310</v>
      </c>
    </row>
    <row r="994" spans="1:20" s="88" customFormat="1" ht="24" x14ac:dyDescent="0.2">
      <c r="A994" s="510">
        <f>IF(B994="","",COUNT('Diário 1º PA'!$A$4:$A$2635)+ROW()-3)</f>
        <v>2727</v>
      </c>
      <c r="B994" s="414">
        <v>44690</v>
      </c>
      <c r="C994" s="433">
        <v>44652</v>
      </c>
      <c r="D994" s="434" t="s">
        <v>182</v>
      </c>
      <c r="E994" s="434" t="s">
        <v>179</v>
      </c>
      <c r="F994" s="425">
        <v>10.78</v>
      </c>
      <c r="G994" s="427" t="s">
        <v>3939</v>
      </c>
      <c r="H994" s="415" t="s">
        <v>310</v>
      </c>
      <c r="I994" s="427" t="s">
        <v>764</v>
      </c>
      <c r="J994" s="415" t="s">
        <v>310</v>
      </c>
      <c r="K994" s="415" t="s">
        <v>1220</v>
      </c>
      <c r="L994" s="415" t="s">
        <v>3443</v>
      </c>
      <c r="M994" s="546">
        <v>222106690560</v>
      </c>
      <c r="N994" s="414">
        <v>44690</v>
      </c>
      <c r="O994" s="414" t="s">
        <v>400</v>
      </c>
      <c r="P994" s="603">
        <f t="shared" si="128"/>
        <v>5</v>
      </c>
      <c r="Q994" s="603">
        <f t="shared" si="129"/>
        <v>4</v>
      </c>
      <c r="R994" s="604" t="str">
        <f t="shared" si="130"/>
        <v>Gastos_com_Pessoal</v>
      </c>
      <c r="S994" s="605" t="s">
        <v>310</v>
      </c>
      <c r="T994" s="605" t="s">
        <v>310</v>
      </c>
    </row>
    <row r="995" spans="1:20" s="88" customFormat="1" ht="36" x14ac:dyDescent="0.2">
      <c r="A995" s="510">
        <f>IF(B995="","",COUNT('Diário 1º PA'!$A$4:$A$2635)+ROW()-3)</f>
        <v>2728</v>
      </c>
      <c r="B995" s="414">
        <v>44690</v>
      </c>
      <c r="C995" s="433">
        <v>44682</v>
      </c>
      <c r="D995" s="434" t="s">
        <v>182</v>
      </c>
      <c r="E995" s="434" t="s">
        <v>325</v>
      </c>
      <c r="F995" s="425">
        <v>220.01</v>
      </c>
      <c r="G995" s="427" t="s">
        <v>3940</v>
      </c>
      <c r="H995" s="415" t="s">
        <v>310</v>
      </c>
      <c r="I995" s="427" t="s">
        <v>764</v>
      </c>
      <c r="J995" s="415" t="s">
        <v>310</v>
      </c>
      <c r="K995" s="415" t="s">
        <v>1220</v>
      </c>
      <c r="L995" s="415" t="s">
        <v>3443</v>
      </c>
      <c r="M995" s="546" t="s">
        <v>3941</v>
      </c>
      <c r="N995" s="414">
        <v>44690</v>
      </c>
      <c r="O995" s="414" t="s">
        <v>400</v>
      </c>
      <c r="P995" s="603">
        <f t="shared" si="128"/>
        <v>5</v>
      </c>
      <c r="Q995" s="603">
        <f t="shared" si="129"/>
        <v>5</v>
      </c>
      <c r="R995" s="604" t="str">
        <f t="shared" si="130"/>
        <v>Gastos_com_Pessoal</v>
      </c>
      <c r="S995" s="605" t="s">
        <v>310</v>
      </c>
      <c r="T995" s="605" t="s">
        <v>310</v>
      </c>
    </row>
    <row r="996" spans="1:20" s="88" customFormat="1" ht="36" x14ac:dyDescent="0.2">
      <c r="A996" s="510">
        <f>IF(B996="","",COUNT('Diário 1º PA'!$A$4:$A$2635)+ROW()-3)</f>
        <v>2729</v>
      </c>
      <c r="B996" s="414">
        <v>44690</v>
      </c>
      <c r="C996" s="431">
        <v>44652</v>
      </c>
      <c r="D996" s="415" t="s">
        <v>271</v>
      </c>
      <c r="E996" s="415" t="s">
        <v>456</v>
      </c>
      <c r="F996" s="425">
        <v>182.5</v>
      </c>
      <c r="G996" s="427" t="s">
        <v>3670</v>
      </c>
      <c r="H996" s="415" t="s">
        <v>752</v>
      </c>
      <c r="I996" s="427" t="s">
        <v>764</v>
      </c>
      <c r="J996" s="415" t="s">
        <v>310</v>
      </c>
      <c r="K996" s="415" t="s">
        <v>1220</v>
      </c>
      <c r="L996" s="415" t="s">
        <v>3443</v>
      </c>
      <c r="M996" s="546">
        <v>222106671000</v>
      </c>
      <c r="N996" s="414">
        <v>44690</v>
      </c>
      <c r="O996" s="414" t="s">
        <v>400</v>
      </c>
      <c r="P996" s="603">
        <f t="shared" si="128"/>
        <v>5</v>
      </c>
      <c r="Q996" s="603">
        <f t="shared" si="129"/>
        <v>4</v>
      </c>
      <c r="R996" s="604" t="str">
        <f t="shared" si="130"/>
        <v>Gastos_Gerais</v>
      </c>
      <c r="S996" s="605" t="s">
        <v>310</v>
      </c>
      <c r="T996" s="605" t="s">
        <v>310</v>
      </c>
    </row>
    <row r="997" spans="1:20" s="88" customFormat="1" ht="38.25" customHeight="1" x14ac:dyDescent="0.2">
      <c r="A997" s="510">
        <f>IF(B997="","",COUNT('Diário 1º PA'!$A$4:$A$2635)+ROW()-3)</f>
        <v>2730</v>
      </c>
      <c r="B997" s="414">
        <v>44690</v>
      </c>
      <c r="C997" s="431">
        <v>44652</v>
      </c>
      <c r="D997" s="415" t="s">
        <v>271</v>
      </c>
      <c r="E997" s="415" t="s">
        <v>444</v>
      </c>
      <c r="F997" s="425">
        <v>472.8</v>
      </c>
      <c r="G997" s="427" t="s">
        <v>3359</v>
      </c>
      <c r="H997" s="415" t="s">
        <v>752</v>
      </c>
      <c r="I997" s="427" t="s">
        <v>764</v>
      </c>
      <c r="J997" s="415" t="s">
        <v>310</v>
      </c>
      <c r="K997" s="415" t="s">
        <v>1220</v>
      </c>
      <c r="L997" s="415" t="s">
        <v>3443</v>
      </c>
      <c r="M997" s="546" t="s">
        <v>3942</v>
      </c>
      <c r="N997" s="414">
        <v>44690</v>
      </c>
      <c r="O997" s="414" t="s">
        <v>400</v>
      </c>
      <c r="P997" s="603">
        <f t="shared" si="128"/>
        <v>5</v>
      </c>
      <c r="Q997" s="603">
        <f t="shared" si="129"/>
        <v>4</v>
      </c>
      <c r="R997" s="604" t="str">
        <f t="shared" si="130"/>
        <v>Gastos_Gerais</v>
      </c>
      <c r="S997" s="605" t="s">
        <v>310</v>
      </c>
      <c r="T997" s="605" t="s">
        <v>310</v>
      </c>
    </row>
    <row r="998" spans="1:20" s="88" customFormat="1" ht="36" x14ac:dyDescent="0.2">
      <c r="A998" s="510">
        <f>IF(B998="","",COUNT('Diário 1º PA'!$A$4:$A$2635)+ROW()-3)</f>
        <v>2731</v>
      </c>
      <c r="B998" s="414">
        <v>44690</v>
      </c>
      <c r="C998" s="433">
        <v>44621</v>
      </c>
      <c r="D998" s="434" t="s">
        <v>182</v>
      </c>
      <c r="E998" s="415" t="s">
        <v>1</v>
      </c>
      <c r="F998" s="425">
        <v>12.45</v>
      </c>
      <c r="G998" s="427" t="s">
        <v>3943</v>
      </c>
      <c r="H998" s="415" t="s">
        <v>310</v>
      </c>
      <c r="I998" s="427" t="s">
        <v>764</v>
      </c>
      <c r="J998" s="415" t="s">
        <v>310</v>
      </c>
      <c r="K998" s="415" t="s">
        <v>1220</v>
      </c>
      <c r="L998" s="415" t="s">
        <v>3443</v>
      </c>
      <c r="M998" s="546">
        <v>222106694980</v>
      </c>
      <c r="N998" s="414">
        <v>44690</v>
      </c>
      <c r="O998" s="414" t="s">
        <v>400</v>
      </c>
      <c r="P998" s="603">
        <f t="shared" si="128"/>
        <v>5</v>
      </c>
      <c r="Q998" s="603">
        <f t="shared" si="129"/>
        <v>3</v>
      </c>
      <c r="R998" s="604" t="str">
        <f t="shared" si="130"/>
        <v>Gastos_com_Pessoal</v>
      </c>
      <c r="S998" s="605" t="s">
        <v>310</v>
      </c>
      <c r="T998" s="605" t="s">
        <v>310</v>
      </c>
    </row>
    <row r="999" spans="1:20" s="88" customFormat="1" ht="48" x14ac:dyDescent="0.2">
      <c r="A999" s="510">
        <f>IF(B999="","",COUNT('Diário 1º PA'!$A$4:$A$2635)+ROW()-3)</f>
        <v>2732</v>
      </c>
      <c r="B999" s="414">
        <v>44690</v>
      </c>
      <c r="C999" s="431">
        <v>44652</v>
      </c>
      <c r="D999" s="415" t="s">
        <v>271</v>
      </c>
      <c r="E999" s="415" t="s">
        <v>442</v>
      </c>
      <c r="F999" s="425">
        <v>38.4</v>
      </c>
      <c r="G999" s="427" t="s">
        <v>3595</v>
      </c>
      <c r="H999" s="419" t="s">
        <v>757</v>
      </c>
      <c r="I999" s="427" t="s">
        <v>764</v>
      </c>
      <c r="J999" s="415" t="s">
        <v>310</v>
      </c>
      <c r="K999" s="415" t="s">
        <v>1220</v>
      </c>
      <c r="L999" s="415" t="s">
        <v>3443</v>
      </c>
      <c r="M999" s="546">
        <v>222106651580</v>
      </c>
      <c r="N999" s="414">
        <v>44690</v>
      </c>
      <c r="O999" s="414" t="s">
        <v>400</v>
      </c>
      <c r="P999" s="603">
        <f t="shared" si="128"/>
        <v>5</v>
      </c>
      <c r="Q999" s="603">
        <f t="shared" si="129"/>
        <v>4</v>
      </c>
      <c r="R999" s="604" t="str">
        <f t="shared" si="130"/>
        <v>Gastos_Gerais</v>
      </c>
      <c r="S999" s="605" t="s">
        <v>310</v>
      </c>
      <c r="T999" s="605" t="s">
        <v>310</v>
      </c>
    </row>
    <row r="1000" spans="1:20" s="88" customFormat="1" ht="36" x14ac:dyDescent="0.2">
      <c r="A1000" s="510">
        <f>IF(B1000="","",COUNT('Diário 1º PA'!$A$4:$A$2635)+ROW()-3)</f>
        <v>2733</v>
      </c>
      <c r="B1000" s="414">
        <v>44690</v>
      </c>
      <c r="C1000" s="431">
        <v>44652</v>
      </c>
      <c r="D1000" s="415" t="s">
        <v>271</v>
      </c>
      <c r="E1000" s="415" t="s">
        <v>456</v>
      </c>
      <c r="F1000" s="425">
        <v>10.050000000000001</v>
      </c>
      <c r="G1000" s="427" t="s">
        <v>3669</v>
      </c>
      <c r="H1000" s="415" t="s">
        <v>761</v>
      </c>
      <c r="I1000" s="427" t="s">
        <v>764</v>
      </c>
      <c r="J1000" s="415" t="s">
        <v>310</v>
      </c>
      <c r="K1000" s="415" t="s">
        <v>1220</v>
      </c>
      <c r="L1000" s="415" t="s">
        <v>3443</v>
      </c>
      <c r="M1000" s="546" t="s">
        <v>3944</v>
      </c>
      <c r="N1000" s="414">
        <v>44690</v>
      </c>
      <c r="O1000" s="414" t="s">
        <v>400</v>
      </c>
      <c r="P1000" s="603">
        <f t="shared" si="128"/>
        <v>5</v>
      </c>
      <c r="Q1000" s="603">
        <f t="shared" si="129"/>
        <v>4</v>
      </c>
      <c r="R1000" s="604" t="str">
        <f t="shared" si="130"/>
        <v>Gastos_Gerais</v>
      </c>
      <c r="S1000" s="605" t="s">
        <v>310</v>
      </c>
      <c r="T1000" s="605" t="s">
        <v>310</v>
      </c>
    </row>
    <row r="1001" spans="1:20" s="88" customFormat="1" ht="36" x14ac:dyDescent="0.2">
      <c r="A1001" s="510">
        <f>IF(B1001="","",COUNT('Diário 1º PA'!$A$4:$A$2635)+ROW()-3)</f>
        <v>2734</v>
      </c>
      <c r="B1001" s="414">
        <v>44690</v>
      </c>
      <c r="C1001" s="431">
        <v>44652</v>
      </c>
      <c r="D1001" s="415" t="s">
        <v>271</v>
      </c>
      <c r="E1001" s="415" t="s">
        <v>462</v>
      </c>
      <c r="F1001" s="425">
        <v>90</v>
      </c>
      <c r="G1001" s="427" t="s">
        <v>3632</v>
      </c>
      <c r="H1001" s="419" t="s">
        <v>752</v>
      </c>
      <c r="I1001" s="427" t="s">
        <v>764</v>
      </c>
      <c r="J1001" s="415" t="s">
        <v>310</v>
      </c>
      <c r="K1001" s="415" t="s">
        <v>1220</v>
      </c>
      <c r="L1001" s="415" t="s">
        <v>3443</v>
      </c>
      <c r="M1001" s="546" t="s">
        <v>3945</v>
      </c>
      <c r="N1001" s="414">
        <v>44690</v>
      </c>
      <c r="O1001" s="414" t="s">
        <v>400</v>
      </c>
      <c r="P1001" s="603">
        <f t="shared" si="128"/>
        <v>5</v>
      </c>
      <c r="Q1001" s="603">
        <f t="shared" si="129"/>
        <v>4</v>
      </c>
      <c r="R1001" s="604" t="str">
        <f t="shared" si="130"/>
        <v>Gastos_Gerais</v>
      </c>
      <c r="S1001" s="605" t="s">
        <v>310</v>
      </c>
      <c r="T1001" s="605" t="s">
        <v>310</v>
      </c>
    </row>
    <row r="1002" spans="1:20" s="88" customFormat="1" ht="60" x14ac:dyDescent="0.2">
      <c r="A1002" s="510">
        <f>IF(B1002="","",COUNT('Diário 1º PA'!$A$4:$A$2635)+ROW()-3)</f>
        <v>2735</v>
      </c>
      <c r="B1002" s="414">
        <v>44690</v>
      </c>
      <c r="C1002" s="431">
        <v>44562</v>
      </c>
      <c r="D1002" s="415" t="s">
        <v>271</v>
      </c>
      <c r="E1002" s="415" t="s">
        <v>456</v>
      </c>
      <c r="F1002" s="425">
        <v>75</v>
      </c>
      <c r="G1002" s="427" t="s">
        <v>3758</v>
      </c>
      <c r="H1002" s="419" t="s">
        <v>759</v>
      </c>
      <c r="I1002" s="427" t="s">
        <v>764</v>
      </c>
      <c r="J1002" s="415" t="s">
        <v>310</v>
      </c>
      <c r="K1002" s="415" t="s">
        <v>1220</v>
      </c>
      <c r="L1002" s="415" t="s">
        <v>3443</v>
      </c>
      <c r="M1002" s="546" t="s">
        <v>3946</v>
      </c>
      <c r="N1002" s="414">
        <v>44690</v>
      </c>
      <c r="O1002" s="414" t="s">
        <v>400</v>
      </c>
      <c r="P1002" s="603">
        <f t="shared" si="128"/>
        <v>5</v>
      </c>
      <c r="Q1002" s="603">
        <f t="shared" si="129"/>
        <v>1</v>
      </c>
      <c r="R1002" s="604" t="str">
        <f t="shared" si="130"/>
        <v>Gastos_Gerais</v>
      </c>
      <c r="S1002" s="605" t="s">
        <v>310</v>
      </c>
      <c r="T1002" s="605" t="s">
        <v>310</v>
      </c>
    </row>
    <row r="1003" spans="1:20" s="88" customFormat="1" ht="36" x14ac:dyDescent="0.2">
      <c r="A1003" s="510">
        <f>IF(B1003="","",COUNT('Diário 1º PA'!$A$4:$A$2635)+ROW()-3)</f>
        <v>2736</v>
      </c>
      <c r="B1003" s="414">
        <v>44690</v>
      </c>
      <c r="C1003" s="431">
        <v>44593</v>
      </c>
      <c r="D1003" s="415" t="s">
        <v>271</v>
      </c>
      <c r="E1003" s="415" t="s">
        <v>178</v>
      </c>
      <c r="F1003" s="425">
        <v>109.72</v>
      </c>
      <c r="G1003" s="427" t="s">
        <v>3602</v>
      </c>
      <c r="H1003" s="419" t="s">
        <v>752</v>
      </c>
      <c r="I1003" s="427" t="s">
        <v>764</v>
      </c>
      <c r="J1003" s="415" t="s">
        <v>310</v>
      </c>
      <c r="K1003" s="415" t="s">
        <v>1220</v>
      </c>
      <c r="L1003" s="415" t="s">
        <v>3443</v>
      </c>
      <c r="M1003" s="546">
        <v>222106678942</v>
      </c>
      <c r="N1003" s="414">
        <v>44690</v>
      </c>
      <c r="O1003" s="414" t="s">
        <v>400</v>
      </c>
      <c r="P1003" s="603">
        <f t="shared" si="128"/>
        <v>5</v>
      </c>
      <c r="Q1003" s="603">
        <f t="shared" si="129"/>
        <v>2</v>
      </c>
      <c r="R1003" s="604" t="str">
        <f t="shared" si="130"/>
        <v>Gastos_Gerais</v>
      </c>
      <c r="S1003" s="605" t="s">
        <v>310</v>
      </c>
      <c r="T1003" s="605" t="s">
        <v>310</v>
      </c>
    </row>
    <row r="1004" spans="1:20" s="88" customFormat="1" ht="24" x14ac:dyDescent="0.2">
      <c r="A1004" s="510">
        <f>IF(B1004="","",COUNT('Diário 1º PA'!$A$4:$A$2635)+ROW()-3)</f>
        <v>2737</v>
      </c>
      <c r="B1004" s="414">
        <v>44690</v>
      </c>
      <c r="C1004" s="431">
        <v>44621</v>
      </c>
      <c r="D1004" s="415" t="s">
        <v>271</v>
      </c>
      <c r="E1004" s="415" t="s">
        <v>9</v>
      </c>
      <c r="F1004" s="425">
        <v>286.88</v>
      </c>
      <c r="G1004" s="427" t="s">
        <v>3375</v>
      </c>
      <c r="H1004" s="419" t="s">
        <v>309</v>
      </c>
      <c r="I1004" s="427" t="s">
        <v>764</v>
      </c>
      <c r="J1004" s="415" t="s">
        <v>310</v>
      </c>
      <c r="K1004" s="415" t="s">
        <v>1220</v>
      </c>
      <c r="L1004" s="415" t="s">
        <v>3443</v>
      </c>
      <c r="M1004" s="546" t="s">
        <v>3947</v>
      </c>
      <c r="N1004" s="414">
        <v>44690</v>
      </c>
      <c r="O1004" s="414" t="s">
        <v>400</v>
      </c>
      <c r="P1004" s="603">
        <f t="shared" si="128"/>
        <v>5</v>
      </c>
      <c r="Q1004" s="603">
        <f t="shared" si="129"/>
        <v>3</v>
      </c>
      <c r="R1004" s="604" t="str">
        <f t="shared" si="130"/>
        <v>Gastos_Gerais</v>
      </c>
      <c r="S1004" s="605" t="s">
        <v>310</v>
      </c>
      <c r="T1004" s="605" t="s">
        <v>310</v>
      </c>
    </row>
    <row r="1005" spans="1:20" s="88" customFormat="1" ht="24" x14ac:dyDescent="0.2">
      <c r="A1005" s="510">
        <f>IF(B1005="","",COUNT('Diário 1º PA'!$A$4:$A$2635)+ROW()-3)</f>
        <v>2738</v>
      </c>
      <c r="B1005" s="414">
        <v>44690</v>
      </c>
      <c r="C1005" s="431">
        <v>44531</v>
      </c>
      <c r="D1005" s="415" t="s">
        <v>271</v>
      </c>
      <c r="E1005" s="415" t="s">
        <v>326</v>
      </c>
      <c r="F1005" s="425">
        <v>613.20000000000005</v>
      </c>
      <c r="G1005" s="427" t="s">
        <v>3606</v>
      </c>
      <c r="H1005" s="415" t="s">
        <v>309</v>
      </c>
      <c r="I1005" s="427" t="s">
        <v>764</v>
      </c>
      <c r="J1005" s="415" t="s">
        <v>310</v>
      </c>
      <c r="K1005" s="415" t="s">
        <v>1220</v>
      </c>
      <c r="L1005" s="415" t="s">
        <v>3443</v>
      </c>
      <c r="M1005" s="546" t="s">
        <v>3948</v>
      </c>
      <c r="N1005" s="414">
        <v>44690</v>
      </c>
      <c r="O1005" s="414" t="s">
        <v>400</v>
      </c>
      <c r="P1005" s="603">
        <f t="shared" si="128"/>
        <v>5</v>
      </c>
      <c r="Q1005" s="603">
        <f t="shared" si="129"/>
        <v>0</v>
      </c>
      <c r="R1005" s="604" t="str">
        <f t="shared" si="130"/>
        <v>Gastos_Gerais</v>
      </c>
      <c r="S1005" s="605" t="s">
        <v>310</v>
      </c>
      <c r="T1005" s="605" t="s">
        <v>310</v>
      </c>
    </row>
    <row r="1006" spans="1:20" s="88" customFormat="1" ht="48" x14ac:dyDescent="0.2">
      <c r="A1006" s="510">
        <f>IF(B1006="","",COUNT('Diário 1º PA'!$A$4:$A$2635)+ROW()-3)</f>
        <v>2739</v>
      </c>
      <c r="B1006" s="414">
        <v>44690</v>
      </c>
      <c r="C1006" s="421">
        <v>44621</v>
      </c>
      <c r="D1006" s="415" t="s">
        <v>271</v>
      </c>
      <c r="E1006" s="415" t="s">
        <v>456</v>
      </c>
      <c r="F1006" s="425">
        <v>38.020000000000003</v>
      </c>
      <c r="G1006" s="427" t="s">
        <v>3578</v>
      </c>
      <c r="H1006" s="430" t="s">
        <v>755</v>
      </c>
      <c r="I1006" s="427" t="s">
        <v>764</v>
      </c>
      <c r="J1006" s="415" t="s">
        <v>310</v>
      </c>
      <c r="K1006" s="415" t="s">
        <v>1220</v>
      </c>
      <c r="L1006" s="415" t="s">
        <v>3443</v>
      </c>
      <c r="M1006" s="546" t="s">
        <v>3949</v>
      </c>
      <c r="N1006" s="414">
        <v>44690</v>
      </c>
      <c r="O1006" s="414" t="s">
        <v>400</v>
      </c>
      <c r="P1006" s="603">
        <f t="shared" si="128"/>
        <v>5</v>
      </c>
      <c r="Q1006" s="603">
        <f t="shared" si="129"/>
        <v>3</v>
      </c>
      <c r="R1006" s="604" t="str">
        <f t="shared" si="130"/>
        <v>Gastos_Gerais</v>
      </c>
      <c r="S1006" s="605" t="s">
        <v>310</v>
      </c>
      <c r="T1006" s="605" t="s">
        <v>310</v>
      </c>
    </row>
    <row r="1007" spans="1:20" s="88" customFormat="1" ht="36" x14ac:dyDescent="0.2">
      <c r="A1007" s="510">
        <f>IF(B1007="","",COUNT('Diário 1º PA'!$A$4:$A$2635)+ROW()-3)</f>
        <v>2740</v>
      </c>
      <c r="B1007" s="414">
        <v>44690</v>
      </c>
      <c r="C1007" s="431">
        <v>44621</v>
      </c>
      <c r="D1007" s="415" t="s">
        <v>271</v>
      </c>
      <c r="E1007" s="415" t="s">
        <v>444</v>
      </c>
      <c r="F1007" s="425">
        <v>425</v>
      </c>
      <c r="G1007" s="427" t="s">
        <v>3425</v>
      </c>
      <c r="H1007" s="419" t="s">
        <v>758</v>
      </c>
      <c r="I1007" s="427" t="s">
        <v>764</v>
      </c>
      <c r="J1007" s="415" t="s">
        <v>310</v>
      </c>
      <c r="K1007" s="415" t="s">
        <v>1220</v>
      </c>
      <c r="L1007" s="415" t="s">
        <v>3443</v>
      </c>
      <c r="M1007" s="546">
        <v>222106655225</v>
      </c>
      <c r="N1007" s="414">
        <v>44690</v>
      </c>
      <c r="O1007" s="414" t="s">
        <v>400</v>
      </c>
      <c r="P1007" s="603">
        <f t="shared" si="128"/>
        <v>5</v>
      </c>
      <c r="Q1007" s="603">
        <f t="shared" si="129"/>
        <v>3</v>
      </c>
      <c r="R1007" s="604" t="str">
        <f t="shared" si="130"/>
        <v>Gastos_Gerais</v>
      </c>
      <c r="S1007" s="605" t="s">
        <v>310</v>
      </c>
      <c r="T1007" s="605" t="s">
        <v>310</v>
      </c>
    </row>
    <row r="1008" spans="1:20" s="88" customFormat="1" ht="24" x14ac:dyDescent="0.2">
      <c r="A1008" s="510">
        <f>IF(B1008="","",COUNT('Diário 1º PA'!$A$4:$A$2635)+ROW()-3)</f>
        <v>2741</v>
      </c>
      <c r="B1008" s="414">
        <v>44690</v>
      </c>
      <c r="C1008" s="431">
        <v>44652</v>
      </c>
      <c r="D1008" s="415" t="s">
        <v>182</v>
      </c>
      <c r="E1008" s="415" t="s">
        <v>161</v>
      </c>
      <c r="F1008" s="425">
        <v>0.04</v>
      </c>
      <c r="G1008" s="427" t="s">
        <v>3699</v>
      </c>
      <c r="H1008" s="415" t="s">
        <v>310</v>
      </c>
      <c r="I1008" s="427" t="s">
        <v>764</v>
      </c>
      <c r="J1008" s="415" t="s">
        <v>310</v>
      </c>
      <c r="K1008" s="415" t="s">
        <v>1220</v>
      </c>
      <c r="L1008" s="415" t="s">
        <v>3443</v>
      </c>
      <c r="M1008" s="546">
        <v>222106692503</v>
      </c>
      <c r="N1008" s="414">
        <v>44690</v>
      </c>
      <c r="O1008" s="414" t="s">
        <v>400</v>
      </c>
      <c r="P1008" s="603">
        <f t="shared" si="128"/>
        <v>5</v>
      </c>
      <c r="Q1008" s="603">
        <f t="shared" si="129"/>
        <v>4</v>
      </c>
      <c r="R1008" s="604" t="str">
        <f t="shared" si="130"/>
        <v>Gastos_com_Pessoal</v>
      </c>
      <c r="S1008" s="605" t="s">
        <v>310</v>
      </c>
      <c r="T1008" s="605" t="s">
        <v>310</v>
      </c>
    </row>
    <row r="1009" spans="1:20" s="88" customFormat="1" ht="36" x14ac:dyDescent="0.2">
      <c r="A1009" s="510">
        <f>IF(B1009="","",COUNT('Diário 1º PA'!$A$4:$A$2635)+ROW()-3)</f>
        <v>2742</v>
      </c>
      <c r="B1009" s="414">
        <v>44690</v>
      </c>
      <c r="C1009" s="431">
        <v>44621</v>
      </c>
      <c r="D1009" s="415" t="s">
        <v>271</v>
      </c>
      <c r="E1009" s="415" t="s">
        <v>90</v>
      </c>
      <c r="F1009" s="425">
        <v>80</v>
      </c>
      <c r="G1009" s="427" t="s">
        <v>3509</v>
      </c>
      <c r="H1009" s="419" t="s">
        <v>748</v>
      </c>
      <c r="I1009" s="427" t="s">
        <v>764</v>
      </c>
      <c r="J1009" s="415" t="s">
        <v>310</v>
      </c>
      <c r="K1009" s="415" t="s">
        <v>1220</v>
      </c>
      <c r="L1009" s="415" t="s">
        <v>3443</v>
      </c>
      <c r="M1009" s="546" t="s">
        <v>3950</v>
      </c>
      <c r="N1009" s="414">
        <v>44690</v>
      </c>
      <c r="O1009" s="414" t="s">
        <v>400</v>
      </c>
      <c r="P1009" s="603">
        <f t="shared" si="128"/>
        <v>5</v>
      </c>
      <c r="Q1009" s="603">
        <f t="shared" si="129"/>
        <v>3</v>
      </c>
      <c r="R1009" s="604" t="str">
        <f t="shared" si="130"/>
        <v>Gastos_Gerais</v>
      </c>
      <c r="S1009" s="605" t="s">
        <v>310</v>
      </c>
      <c r="T1009" s="605" t="s">
        <v>310</v>
      </c>
    </row>
    <row r="1010" spans="1:20" s="88" customFormat="1" ht="48" x14ac:dyDescent="0.2">
      <c r="A1010" s="510">
        <f>IF(B1010="","",COUNT('Diário 1º PA'!$A$4:$A$2635)+ROW()-3)</f>
        <v>2743</v>
      </c>
      <c r="B1010" s="414">
        <v>44690</v>
      </c>
      <c r="C1010" s="421">
        <v>44621</v>
      </c>
      <c r="D1010" s="415" t="s">
        <v>271</v>
      </c>
      <c r="E1010" s="415" t="s">
        <v>186</v>
      </c>
      <c r="F1010" s="425">
        <v>75.7</v>
      </c>
      <c r="G1010" s="427" t="s">
        <v>3706</v>
      </c>
      <c r="H1010" s="419" t="s">
        <v>751</v>
      </c>
      <c r="I1010" s="427" t="s">
        <v>764</v>
      </c>
      <c r="J1010" s="415" t="s">
        <v>310</v>
      </c>
      <c r="K1010" s="415" t="s">
        <v>1220</v>
      </c>
      <c r="L1010" s="415" t="s">
        <v>3443</v>
      </c>
      <c r="M1010" s="546">
        <v>222106682117</v>
      </c>
      <c r="N1010" s="414">
        <v>44690</v>
      </c>
      <c r="O1010" s="414" t="s">
        <v>400</v>
      </c>
      <c r="P1010" s="603">
        <f t="shared" si="128"/>
        <v>5</v>
      </c>
      <c r="Q1010" s="603">
        <f t="shared" si="129"/>
        <v>3</v>
      </c>
      <c r="R1010" s="604" t="str">
        <f t="shared" si="130"/>
        <v>Gastos_Gerais</v>
      </c>
      <c r="S1010" s="605" t="s">
        <v>310</v>
      </c>
      <c r="T1010" s="605" t="s">
        <v>310</v>
      </c>
    </row>
    <row r="1011" spans="1:20" s="88" customFormat="1" ht="24" x14ac:dyDescent="0.2">
      <c r="A1011" s="510">
        <f>IF(B1011="","",COUNT('Diário 1º PA'!$A$4:$A$2635)+ROW()-3)</f>
        <v>2744</v>
      </c>
      <c r="B1011" s="414">
        <v>44690</v>
      </c>
      <c r="C1011" s="431">
        <v>44652</v>
      </c>
      <c r="D1011" s="415" t="s">
        <v>271</v>
      </c>
      <c r="E1011" s="415" t="s">
        <v>456</v>
      </c>
      <c r="F1011" s="425">
        <v>105</v>
      </c>
      <c r="G1011" s="427" t="s">
        <v>3677</v>
      </c>
      <c r="H1011" s="419" t="s">
        <v>792</v>
      </c>
      <c r="I1011" s="427" t="s">
        <v>764</v>
      </c>
      <c r="J1011" s="415" t="s">
        <v>310</v>
      </c>
      <c r="K1011" s="415" t="s">
        <v>1220</v>
      </c>
      <c r="L1011" s="415" t="s">
        <v>3443</v>
      </c>
      <c r="M1011" s="546">
        <v>222106683431</v>
      </c>
      <c r="N1011" s="414">
        <v>44690</v>
      </c>
      <c r="O1011" s="414" t="s">
        <v>400</v>
      </c>
      <c r="P1011" s="603">
        <f t="shared" si="128"/>
        <v>5</v>
      </c>
      <c r="Q1011" s="603">
        <f t="shared" si="129"/>
        <v>4</v>
      </c>
      <c r="R1011" s="604" t="str">
        <f t="shared" si="130"/>
        <v>Gastos_Gerais</v>
      </c>
      <c r="S1011" s="605" t="s">
        <v>310</v>
      </c>
      <c r="T1011" s="605" t="s">
        <v>310</v>
      </c>
    </row>
    <row r="1012" spans="1:20" s="88" customFormat="1" ht="24" x14ac:dyDescent="0.2">
      <c r="A1012" s="510">
        <f>IF(B1012="","",COUNT('Diário 1º PA'!$A$4:$A$2635)+ROW()-3)</f>
        <v>2745</v>
      </c>
      <c r="B1012" s="414">
        <v>44690</v>
      </c>
      <c r="C1012" s="592">
        <v>44652</v>
      </c>
      <c r="D1012" s="415" t="s">
        <v>271</v>
      </c>
      <c r="E1012" s="415" t="s">
        <v>178</v>
      </c>
      <c r="F1012" s="425">
        <v>9.8000000000000007</v>
      </c>
      <c r="G1012" s="427" t="s">
        <v>3951</v>
      </c>
      <c r="H1012" s="415" t="s">
        <v>309</v>
      </c>
      <c r="I1012" s="427" t="s">
        <v>764</v>
      </c>
      <c r="J1012" s="415" t="s">
        <v>310</v>
      </c>
      <c r="K1012" s="415" t="s">
        <v>1220</v>
      </c>
      <c r="L1012" s="415" t="s">
        <v>3443</v>
      </c>
      <c r="M1012" s="546" t="s">
        <v>3952</v>
      </c>
      <c r="N1012" s="414">
        <v>44690</v>
      </c>
      <c r="O1012" s="414" t="s">
        <v>400</v>
      </c>
      <c r="P1012" s="603">
        <f t="shared" si="128"/>
        <v>5</v>
      </c>
      <c r="Q1012" s="603">
        <f t="shared" si="129"/>
        <v>4</v>
      </c>
      <c r="R1012" s="604" t="str">
        <f t="shared" si="130"/>
        <v>Gastos_Gerais</v>
      </c>
      <c r="S1012" s="605" t="s">
        <v>310</v>
      </c>
      <c r="T1012" s="605" t="s">
        <v>310</v>
      </c>
    </row>
    <row r="1013" spans="1:20" s="88" customFormat="1" ht="24" x14ac:dyDescent="0.2">
      <c r="A1013" s="510">
        <f>IF(B1013="","",COUNT('Diário 1º PA'!$A$4:$A$2635)+ROW()-3)</f>
        <v>2746</v>
      </c>
      <c r="B1013" s="414">
        <v>44690</v>
      </c>
      <c r="C1013" s="433">
        <v>44652</v>
      </c>
      <c r="D1013" s="434" t="s">
        <v>182</v>
      </c>
      <c r="E1013" s="434" t="s">
        <v>179</v>
      </c>
      <c r="F1013" s="425">
        <v>18.82</v>
      </c>
      <c r="G1013" s="427" t="s">
        <v>3702</v>
      </c>
      <c r="H1013" s="415" t="s">
        <v>310</v>
      </c>
      <c r="I1013" s="427" t="s">
        <v>764</v>
      </c>
      <c r="J1013" s="415" t="s">
        <v>310</v>
      </c>
      <c r="K1013" s="415" t="s">
        <v>1220</v>
      </c>
      <c r="L1013" s="415" t="s">
        <v>3443</v>
      </c>
      <c r="M1013" s="546">
        <v>222106690217</v>
      </c>
      <c r="N1013" s="414">
        <v>44690</v>
      </c>
      <c r="O1013" s="414" t="s">
        <v>400</v>
      </c>
      <c r="P1013" s="603">
        <f t="shared" si="128"/>
        <v>5</v>
      </c>
      <c r="Q1013" s="603">
        <f t="shared" si="129"/>
        <v>4</v>
      </c>
      <c r="R1013" s="604" t="str">
        <f t="shared" si="130"/>
        <v>Gastos_com_Pessoal</v>
      </c>
      <c r="S1013" s="605" t="s">
        <v>310</v>
      </c>
      <c r="T1013" s="605" t="s">
        <v>310</v>
      </c>
    </row>
    <row r="1014" spans="1:20" s="88" customFormat="1" ht="48" x14ac:dyDescent="0.2">
      <c r="A1014" s="510">
        <f>IF(B1014="","",COUNT('Diário 1º PA'!$A$4:$A$2635)+ROW()-3)</f>
        <v>2747</v>
      </c>
      <c r="B1014" s="414">
        <v>44690</v>
      </c>
      <c r="C1014" s="431">
        <v>44621</v>
      </c>
      <c r="D1014" s="415" t="s">
        <v>271</v>
      </c>
      <c r="E1014" s="415" t="s">
        <v>456</v>
      </c>
      <c r="F1014" s="425">
        <v>150</v>
      </c>
      <c r="G1014" s="427" t="s">
        <v>3584</v>
      </c>
      <c r="H1014" s="419" t="s">
        <v>755</v>
      </c>
      <c r="I1014" s="427" t="s">
        <v>764</v>
      </c>
      <c r="J1014" s="415" t="s">
        <v>310</v>
      </c>
      <c r="K1014" s="415" t="s">
        <v>1220</v>
      </c>
      <c r="L1014" s="415" t="s">
        <v>3443</v>
      </c>
      <c r="M1014" s="546" t="s">
        <v>3953</v>
      </c>
      <c r="N1014" s="414">
        <v>44690</v>
      </c>
      <c r="O1014" s="414" t="s">
        <v>400</v>
      </c>
      <c r="P1014" s="603">
        <f t="shared" si="128"/>
        <v>5</v>
      </c>
      <c r="Q1014" s="603">
        <f t="shared" si="129"/>
        <v>3</v>
      </c>
      <c r="R1014" s="604" t="str">
        <f t="shared" si="130"/>
        <v>Gastos_Gerais</v>
      </c>
      <c r="S1014" s="605" t="s">
        <v>310</v>
      </c>
      <c r="T1014" s="605" t="s">
        <v>310</v>
      </c>
    </row>
    <row r="1015" spans="1:20" s="88" customFormat="1" ht="48" x14ac:dyDescent="0.2">
      <c r="A1015" s="510">
        <f>IF(B1015="","",COUNT('Diário 1º PA'!$A$4:$A$2635)+ROW()-3)</f>
        <v>2748</v>
      </c>
      <c r="B1015" s="414">
        <v>44690</v>
      </c>
      <c r="C1015" s="431">
        <v>44621</v>
      </c>
      <c r="D1015" s="415" t="s">
        <v>271</v>
      </c>
      <c r="E1015" s="415" t="s">
        <v>456</v>
      </c>
      <c r="F1015" s="425">
        <v>150</v>
      </c>
      <c r="G1015" s="427" t="s">
        <v>3588</v>
      </c>
      <c r="H1015" s="419" t="s">
        <v>755</v>
      </c>
      <c r="I1015" s="427" t="s">
        <v>764</v>
      </c>
      <c r="J1015" s="415" t="s">
        <v>310</v>
      </c>
      <c r="K1015" s="415" t="s">
        <v>1220</v>
      </c>
      <c r="L1015" s="415" t="s">
        <v>3443</v>
      </c>
      <c r="M1015" s="546">
        <v>222106650428</v>
      </c>
      <c r="N1015" s="414">
        <v>44690</v>
      </c>
      <c r="O1015" s="414" t="s">
        <v>400</v>
      </c>
      <c r="P1015" s="603">
        <f t="shared" si="128"/>
        <v>5</v>
      </c>
      <c r="Q1015" s="603">
        <f t="shared" si="129"/>
        <v>3</v>
      </c>
      <c r="R1015" s="604" t="str">
        <f t="shared" si="130"/>
        <v>Gastos_Gerais</v>
      </c>
      <c r="S1015" s="605" t="s">
        <v>310</v>
      </c>
      <c r="T1015" s="605" t="s">
        <v>310</v>
      </c>
    </row>
    <row r="1016" spans="1:20" s="88" customFormat="1" ht="36" x14ac:dyDescent="0.2">
      <c r="A1016" s="510">
        <f>IF(B1016="","",COUNT('Diário 1º PA'!$A$4:$A$2635)+ROW()-3)</f>
        <v>2749</v>
      </c>
      <c r="B1016" s="414">
        <v>44690</v>
      </c>
      <c r="C1016" s="433">
        <v>44652</v>
      </c>
      <c r="D1016" s="434" t="s">
        <v>271</v>
      </c>
      <c r="E1016" s="434" t="s">
        <v>442</v>
      </c>
      <c r="F1016" s="425">
        <v>135</v>
      </c>
      <c r="G1016" s="427" t="s">
        <v>3266</v>
      </c>
      <c r="H1016" s="419" t="s">
        <v>792</v>
      </c>
      <c r="I1016" s="427" t="s">
        <v>764</v>
      </c>
      <c r="J1016" s="415" t="s">
        <v>310</v>
      </c>
      <c r="K1016" s="415" t="s">
        <v>1220</v>
      </c>
      <c r="L1016" s="415" t="s">
        <v>3443</v>
      </c>
      <c r="M1016" s="546">
        <v>222106652552</v>
      </c>
      <c r="N1016" s="414">
        <v>44690</v>
      </c>
      <c r="O1016" s="414" t="s">
        <v>400</v>
      </c>
      <c r="P1016" s="603">
        <f t="shared" si="128"/>
        <v>5</v>
      </c>
      <c r="Q1016" s="603">
        <f t="shared" si="129"/>
        <v>4</v>
      </c>
      <c r="R1016" s="604" t="str">
        <f t="shared" si="130"/>
        <v>Gastos_Gerais</v>
      </c>
      <c r="S1016" s="605" t="s">
        <v>310</v>
      </c>
      <c r="T1016" s="605" t="s">
        <v>310</v>
      </c>
    </row>
    <row r="1017" spans="1:20" s="88" customFormat="1" ht="24" x14ac:dyDescent="0.2">
      <c r="A1017" s="510">
        <f>IF(B1017="","",COUNT('Diário 1º PA'!$A$4:$A$2635)+ROW()-3)</f>
        <v>2750</v>
      </c>
      <c r="B1017" s="414">
        <v>44690</v>
      </c>
      <c r="C1017" s="431">
        <v>44652</v>
      </c>
      <c r="D1017" s="415" t="s">
        <v>182</v>
      </c>
      <c r="E1017" s="415" t="s">
        <v>161</v>
      </c>
      <c r="F1017" s="425">
        <v>0.12</v>
      </c>
      <c r="G1017" s="427" t="s">
        <v>3356</v>
      </c>
      <c r="H1017" s="415" t="s">
        <v>310</v>
      </c>
      <c r="I1017" s="427" t="s">
        <v>764</v>
      </c>
      <c r="J1017" s="415" t="s">
        <v>310</v>
      </c>
      <c r="K1017" s="415" t="s">
        <v>1220</v>
      </c>
      <c r="L1017" s="415" t="s">
        <v>3443</v>
      </c>
      <c r="M1017" s="546">
        <v>222106692260</v>
      </c>
      <c r="N1017" s="414">
        <v>44690</v>
      </c>
      <c r="O1017" s="414" t="s">
        <v>400</v>
      </c>
      <c r="P1017" s="603">
        <f t="shared" si="128"/>
        <v>5</v>
      </c>
      <c r="Q1017" s="603">
        <f t="shared" si="129"/>
        <v>4</v>
      </c>
      <c r="R1017" s="604" t="str">
        <f t="shared" si="130"/>
        <v>Gastos_com_Pessoal</v>
      </c>
      <c r="S1017" s="605" t="s">
        <v>310</v>
      </c>
      <c r="T1017" s="605" t="s">
        <v>310</v>
      </c>
    </row>
    <row r="1018" spans="1:20" s="88" customFormat="1" ht="36" x14ac:dyDescent="0.2">
      <c r="A1018" s="510">
        <f>IF(B1018="","",COUNT('Diário 1º PA'!$A$4:$A$2635)+ROW()-3)</f>
        <v>2751</v>
      </c>
      <c r="B1018" s="414">
        <v>44690</v>
      </c>
      <c r="C1018" s="431">
        <v>44621</v>
      </c>
      <c r="D1018" s="415" t="s">
        <v>271</v>
      </c>
      <c r="E1018" s="415" t="s">
        <v>453</v>
      </c>
      <c r="F1018" s="425">
        <v>25</v>
      </c>
      <c r="G1018" s="427" t="s">
        <v>3445</v>
      </c>
      <c r="H1018" s="419" t="s">
        <v>761</v>
      </c>
      <c r="I1018" s="427" t="s">
        <v>764</v>
      </c>
      <c r="J1018" s="415" t="s">
        <v>310</v>
      </c>
      <c r="K1018" s="415" t="s">
        <v>1220</v>
      </c>
      <c r="L1018" s="415" t="s">
        <v>3443</v>
      </c>
      <c r="M1018" s="546" t="s">
        <v>3954</v>
      </c>
      <c r="N1018" s="414">
        <v>44690</v>
      </c>
      <c r="O1018" s="414" t="s">
        <v>400</v>
      </c>
      <c r="P1018" s="603">
        <f t="shared" si="128"/>
        <v>5</v>
      </c>
      <c r="Q1018" s="603">
        <f t="shared" si="129"/>
        <v>3</v>
      </c>
      <c r="R1018" s="604" t="str">
        <f t="shared" si="130"/>
        <v>Gastos_Gerais</v>
      </c>
      <c r="S1018" s="605" t="s">
        <v>310</v>
      </c>
      <c r="T1018" s="605" t="s">
        <v>310</v>
      </c>
    </row>
    <row r="1019" spans="1:20" s="88" customFormat="1" ht="48" x14ac:dyDescent="0.2">
      <c r="A1019" s="510">
        <f>IF(B1019="","",COUNT('Diário 1º PA'!$A$4:$A$2635)+ROW()-3)</f>
        <v>2752</v>
      </c>
      <c r="B1019" s="414">
        <v>44690</v>
      </c>
      <c r="C1019" s="431">
        <v>44652</v>
      </c>
      <c r="D1019" s="415" t="s">
        <v>271</v>
      </c>
      <c r="E1019" s="415" t="s">
        <v>462</v>
      </c>
      <c r="F1019" s="425">
        <v>6.32</v>
      </c>
      <c r="G1019" s="427" t="s">
        <v>3507</v>
      </c>
      <c r="H1019" s="419" t="s">
        <v>790</v>
      </c>
      <c r="I1019" s="427" t="s">
        <v>764</v>
      </c>
      <c r="J1019" s="415" t="s">
        <v>310</v>
      </c>
      <c r="K1019" s="415" t="s">
        <v>1220</v>
      </c>
      <c r="L1019" s="415" t="s">
        <v>3443</v>
      </c>
      <c r="M1019" s="546" t="s">
        <v>4095</v>
      </c>
      <c r="N1019" s="414">
        <v>44690</v>
      </c>
      <c r="O1019" s="414" t="s">
        <v>400</v>
      </c>
      <c r="P1019" s="603">
        <f t="shared" si="128"/>
        <v>5</v>
      </c>
      <c r="Q1019" s="603">
        <f t="shared" si="129"/>
        <v>4</v>
      </c>
      <c r="R1019" s="604" t="str">
        <f t="shared" si="130"/>
        <v>Gastos_Gerais</v>
      </c>
      <c r="S1019" s="605" t="s">
        <v>310</v>
      </c>
      <c r="T1019" s="605" t="s">
        <v>310</v>
      </c>
    </row>
    <row r="1020" spans="1:20" s="88" customFormat="1" ht="36" x14ac:dyDescent="0.2">
      <c r="A1020" s="510">
        <f>IF(B1020="","",COUNT('Diário 1º PA'!$A$4:$A$2635)+ROW()-3)</f>
        <v>2753</v>
      </c>
      <c r="B1020" s="414">
        <v>44690</v>
      </c>
      <c r="C1020" s="431">
        <v>44652</v>
      </c>
      <c r="D1020" s="415" t="s">
        <v>271</v>
      </c>
      <c r="E1020" s="415" t="s">
        <v>462</v>
      </c>
      <c r="F1020" s="425">
        <v>30</v>
      </c>
      <c r="G1020" s="427" t="s">
        <v>3707</v>
      </c>
      <c r="H1020" s="419" t="s">
        <v>752</v>
      </c>
      <c r="I1020" s="427" t="s">
        <v>764</v>
      </c>
      <c r="J1020" s="415" t="s">
        <v>310</v>
      </c>
      <c r="K1020" s="415" t="s">
        <v>1220</v>
      </c>
      <c r="L1020" s="415" t="s">
        <v>3443</v>
      </c>
      <c r="M1020" s="546">
        <v>222106653362</v>
      </c>
      <c r="N1020" s="414">
        <v>44690</v>
      </c>
      <c r="O1020" s="414" t="s">
        <v>400</v>
      </c>
      <c r="P1020" s="603">
        <f t="shared" si="128"/>
        <v>5</v>
      </c>
      <c r="Q1020" s="603">
        <f t="shared" si="129"/>
        <v>4</v>
      </c>
      <c r="R1020" s="604" t="str">
        <f t="shared" si="130"/>
        <v>Gastos_Gerais</v>
      </c>
      <c r="S1020" s="605" t="s">
        <v>310</v>
      </c>
      <c r="T1020" s="605" t="s">
        <v>310</v>
      </c>
    </row>
    <row r="1021" spans="1:20" s="88" customFormat="1" ht="48" x14ac:dyDescent="0.2">
      <c r="A1021" s="510">
        <f>IF(B1021="","",COUNT('Diário 1º PA'!$A$4:$A$2635)+ROW()-3)</f>
        <v>2754</v>
      </c>
      <c r="B1021" s="414">
        <v>44690</v>
      </c>
      <c r="C1021" s="431">
        <v>44621</v>
      </c>
      <c r="D1021" s="415" t="s">
        <v>271</v>
      </c>
      <c r="E1021" s="415" t="s">
        <v>90</v>
      </c>
      <c r="F1021" s="425">
        <v>18.96</v>
      </c>
      <c r="G1021" s="427" t="s">
        <v>3422</v>
      </c>
      <c r="H1021" s="419" t="s">
        <v>790</v>
      </c>
      <c r="I1021" s="427" t="s">
        <v>764</v>
      </c>
      <c r="J1021" s="415" t="s">
        <v>310</v>
      </c>
      <c r="K1021" s="415" t="s">
        <v>1220</v>
      </c>
      <c r="L1021" s="415" t="s">
        <v>3443</v>
      </c>
      <c r="M1021" s="546">
        <v>222106656701</v>
      </c>
      <c r="N1021" s="414">
        <v>44690</v>
      </c>
      <c r="O1021" s="414" t="s">
        <v>400</v>
      </c>
      <c r="P1021" s="603">
        <f t="shared" si="128"/>
        <v>5</v>
      </c>
      <c r="Q1021" s="603">
        <f t="shared" si="129"/>
        <v>3</v>
      </c>
      <c r="R1021" s="604" t="str">
        <f t="shared" si="130"/>
        <v>Gastos_Gerais</v>
      </c>
      <c r="S1021" s="605" t="s">
        <v>310</v>
      </c>
      <c r="T1021" s="605" t="s">
        <v>310</v>
      </c>
    </row>
    <row r="1022" spans="1:20" s="88" customFormat="1" ht="24" x14ac:dyDescent="0.2">
      <c r="A1022" s="510">
        <f>IF(B1022="","",COUNT('Diário 1º PA'!$A$4:$A$2635)+ROW()-3)</f>
        <v>2755</v>
      </c>
      <c r="B1022" s="414">
        <v>44690</v>
      </c>
      <c r="C1022" s="592">
        <v>44652</v>
      </c>
      <c r="D1022" s="415" t="s">
        <v>182</v>
      </c>
      <c r="E1022" s="415" t="s">
        <v>161</v>
      </c>
      <c r="F1022" s="425">
        <v>0.52</v>
      </c>
      <c r="G1022" s="427" t="s">
        <v>3965</v>
      </c>
      <c r="H1022" s="415" t="s">
        <v>310</v>
      </c>
      <c r="I1022" s="427" t="s">
        <v>764</v>
      </c>
      <c r="J1022" s="415" t="s">
        <v>310</v>
      </c>
      <c r="K1022" s="415" t="s">
        <v>1220</v>
      </c>
      <c r="L1022" s="415" t="s">
        <v>3443</v>
      </c>
      <c r="M1022" s="546">
        <v>222106693402</v>
      </c>
      <c r="N1022" s="414">
        <v>44690</v>
      </c>
      <c r="O1022" s="414" t="s">
        <v>400</v>
      </c>
      <c r="P1022" s="603">
        <f t="shared" si="128"/>
        <v>5</v>
      </c>
      <c r="Q1022" s="603">
        <f t="shared" si="129"/>
        <v>4</v>
      </c>
      <c r="R1022" s="604" t="str">
        <f t="shared" si="130"/>
        <v>Gastos_com_Pessoal</v>
      </c>
      <c r="S1022" s="605" t="s">
        <v>310</v>
      </c>
      <c r="T1022" s="605" t="s">
        <v>310</v>
      </c>
    </row>
    <row r="1023" spans="1:20" s="88" customFormat="1" ht="99.95" customHeight="1" x14ac:dyDescent="0.2">
      <c r="A1023" s="510">
        <f>IF(B1023="","",COUNT('Diário 1º PA'!$A$4:$A$2635)+ROW()-3)</f>
        <v>2756</v>
      </c>
      <c r="B1023" s="414">
        <v>44690</v>
      </c>
      <c r="C1023" s="431">
        <v>44621</v>
      </c>
      <c r="D1023" s="415" t="s">
        <v>271</v>
      </c>
      <c r="E1023" s="415" t="s">
        <v>442</v>
      </c>
      <c r="F1023" s="425">
        <v>60</v>
      </c>
      <c r="G1023" s="427" t="s">
        <v>3412</v>
      </c>
      <c r="H1023" s="419" t="s">
        <v>755</v>
      </c>
      <c r="I1023" s="427" t="s">
        <v>764</v>
      </c>
      <c r="J1023" s="415" t="s">
        <v>310</v>
      </c>
      <c r="K1023" s="415" t="s">
        <v>1220</v>
      </c>
      <c r="L1023" s="415" t="s">
        <v>3443</v>
      </c>
      <c r="M1023" s="546">
        <v>222106648369</v>
      </c>
      <c r="N1023" s="414">
        <v>44690</v>
      </c>
      <c r="O1023" s="414" t="s">
        <v>400</v>
      </c>
      <c r="P1023" s="603">
        <f t="shared" si="128"/>
        <v>5</v>
      </c>
      <c r="Q1023" s="603">
        <f t="shared" si="129"/>
        <v>3</v>
      </c>
      <c r="R1023" s="604" t="str">
        <f t="shared" si="130"/>
        <v>Gastos_Gerais</v>
      </c>
      <c r="S1023" s="605" t="s">
        <v>310</v>
      </c>
      <c r="T1023" s="605" t="s">
        <v>310</v>
      </c>
    </row>
    <row r="1024" spans="1:20" s="88" customFormat="1" ht="99.95" customHeight="1" x14ac:dyDescent="0.2">
      <c r="A1024" s="510">
        <f>IF(B1024="","",COUNT('Diário 1º PA'!$A$4:$A$2635)+ROW()-3)</f>
        <v>2757</v>
      </c>
      <c r="B1024" s="414">
        <v>44690</v>
      </c>
      <c r="C1024" s="592">
        <v>44682</v>
      </c>
      <c r="D1024" s="415" t="s">
        <v>271</v>
      </c>
      <c r="E1024" s="415" t="s">
        <v>71</v>
      </c>
      <c r="F1024" s="425">
        <v>11</v>
      </c>
      <c r="G1024" s="427" t="s">
        <v>3955</v>
      </c>
      <c r="H1024" s="415" t="s">
        <v>310</v>
      </c>
      <c r="I1024" s="427" t="s">
        <v>881</v>
      </c>
      <c r="J1024" s="415" t="s">
        <v>882</v>
      </c>
      <c r="K1024" s="415" t="s">
        <v>883</v>
      </c>
      <c r="L1024" s="415" t="s">
        <v>798</v>
      </c>
      <c r="M1024" s="415" t="s">
        <v>310</v>
      </c>
      <c r="N1024" s="414">
        <v>44690</v>
      </c>
      <c r="O1024" s="414" t="s">
        <v>400</v>
      </c>
      <c r="P1024" s="603">
        <f t="shared" si="128"/>
        <v>5</v>
      </c>
      <c r="Q1024" s="603">
        <f t="shared" si="129"/>
        <v>5</v>
      </c>
      <c r="R1024" s="604" t="str">
        <f t="shared" si="130"/>
        <v>Gastos_Gerais</v>
      </c>
      <c r="S1024" s="605" t="s">
        <v>310</v>
      </c>
      <c r="T1024" s="605" t="s">
        <v>310</v>
      </c>
    </row>
    <row r="1025" spans="1:20" s="88" customFormat="1" ht="99.95" customHeight="1" x14ac:dyDescent="0.2">
      <c r="A1025" s="510">
        <f>IF(B1025="","",COUNT('Diário 1º PA'!$A$4:$A$2635)+ROW()-3)</f>
        <v>2758</v>
      </c>
      <c r="B1025" s="414">
        <v>44690</v>
      </c>
      <c r="C1025" s="592">
        <v>44682</v>
      </c>
      <c r="D1025" s="415" t="s">
        <v>271</v>
      </c>
      <c r="E1025" s="415" t="s">
        <v>71</v>
      </c>
      <c r="F1025" s="425">
        <v>11</v>
      </c>
      <c r="G1025" s="427" t="s">
        <v>3956</v>
      </c>
      <c r="H1025" s="415" t="s">
        <v>752</v>
      </c>
      <c r="I1025" s="427" t="s">
        <v>881</v>
      </c>
      <c r="J1025" s="415" t="s">
        <v>882</v>
      </c>
      <c r="K1025" s="415" t="s">
        <v>883</v>
      </c>
      <c r="L1025" s="415" t="s">
        <v>798</v>
      </c>
      <c r="M1025" s="415" t="s">
        <v>310</v>
      </c>
      <c r="N1025" s="414">
        <v>44690</v>
      </c>
      <c r="O1025" s="414" t="s">
        <v>400</v>
      </c>
      <c r="P1025" s="603">
        <f t="shared" si="128"/>
        <v>5</v>
      </c>
      <c r="Q1025" s="603">
        <f t="shared" si="129"/>
        <v>5</v>
      </c>
      <c r="R1025" s="604" t="str">
        <f t="shared" si="130"/>
        <v>Gastos_Gerais</v>
      </c>
      <c r="S1025" s="605" t="s">
        <v>310</v>
      </c>
      <c r="T1025" s="605" t="s">
        <v>310</v>
      </c>
    </row>
    <row r="1026" spans="1:20" s="88" customFormat="1" ht="36" x14ac:dyDescent="0.2">
      <c r="A1026" s="510">
        <f>IF(B1026="","",COUNT('Diário 1º PA'!$A$4:$A$2635)+ROW()-3)</f>
        <v>2759</v>
      </c>
      <c r="B1026" s="414">
        <v>44690</v>
      </c>
      <c r="C1026" s="592">
        <v>44682</v>
      </c>
      <c r="D1026" s="415" t="s">
        <v>271</v>
      </c>
      <c r="E1026" s="415" t="s">
        <v>71</v>
      </c>
      <c r="F1026" s="425">
        <v>11</v>
      </c>
      <c r="G1026" s="427" t="s">
        <v>3962</v>
      </c>
      <c r="H1026" s="415" t="s">
        <v>752</v>
      </c>
      <c r="I1026" s="427" t="s">
        <v>881</v>
      </c>
      <c r="J1026" s="415" t="s">
        <v>882</v>
      </c>
      <c r="K1026" s="415" t="s">
        <v>883</v>
      </c>
      <c r="L1026" s="415" t="s">
        <v>798</v>
      </c>
      <c r="M1026" s="415" t="s">
        <v>310</v>
      </c>
      <c r="N1026" s="414">
        <v>44690</v>
      </c>
      <c r="O1026" s="414" t="s">
        <v>400</v>
      </c>
      <c r="P1026" s="603">
        <f t="shared" si="128"/>
        <v>5</v>
      </c>
      <c r="Q1026" s="603">
        <f t="shared" si="129"/>
        <v>5</v>
      </c>
      <c r="R1026" s="604" t="str">
        <f t="shared" si="130"/>
        <v>Gastos_Gerais</v>
      </c>
      <c r="S1026" s="605" t="s">
        <v>310</v>
      </c>
      <c r="T1026" s="605" t="s">
        <v>310</v>
      </c>
    </row>
    <row r="1027" spans="1:20" s="88" customFormat="1" ht="48" x14ac:dyDescent="0.2">
      <c r="A1027" s="510">
        <f>IF(B1027="","",COUNT('Diário 1º PA'!$A$4:$A$2635)+ROW()-3)</f>
        <v>2760</v>
      </c>
      <c r="B1027" s="414">
        <v>44690</v>
      </c>
      <c r="C1027" s="592">
        <v>44682</v>
      </c>
      <c r="D1027" s="415" t="s">
        <v>271</v>
      </c>
      <c r="E1027" s="415" t="s">
        <v>71</v>
      </c>
      <c r="F1027" s="425">
        <v>11</v>
      </c>
      <c r="G1027" s="427" t="s">
        <v>3957</v>
      </c>
      <c r="H1027" s="419" t="s">
        <v>760</v>
      </c>
      <c r="I1027" s="427" t="s">
        <v>881</v>
      </c>
      <c r="J1027" s="415" t="s">
        <v>882</v>
      </c>
      <c r="K1027" s="415" t="s">
        <v>883</v>
      </c>
      <c r="L1027" s="415" t="s">
        <v>798</v>
      </c>
      <c r="M1027" s="415" t="s">
        <v>310</v>
      </c>
      <c r="N1027" s="414">
        <v>44690</v>
      </c>
      <c r="O1027" s="414" t="s">
        <v>400</v>
      </c>
      <c r="P1027" s="603">
        <f t="shared" si="128"/>
        <v>5</v>
      </c>
      <c r="Q1027" s="603">
        <f t="shared" si="129"/>
        <v>5</v>
      </c>
      <c r="R1027" s="604" t="str">
        <f t="shared" si="130"/>
        <v>Gastos_Gerais</v>
      </c>
      <c r="S1027" s="605" t="s">
        <v>310</v>
      </c>
      <c r="T1027" s="605" t="s">
        <v>310</v>
      </c>
    </row>
    <row r="1028" spans="1:20" s="88" customFormat="1" ht="99.95" customHeight="1" x14ac:dyDescent="0.2">
      <c r="A1028" s="510">
        <f>IF(B1028="","",COUNT('Diário 1º PA'!$A$4:$A$2635)+ROW()-3)</f>
        <v>2761</v>
      </c>
      <c r="B1028" s="414">
        <v>44690</v>
      </c>
      <c r="C1028" s="592">
        <v>44682</v>
      </c>
      <c r="D1028" s="415" t="s">
        <v>271</v>
      </c>
      <c r="E1028" s="415" t="s">
        <v>71</v>
      </c>
      <c r="F1028" s="425">
        <v>11</v>
      </c>
      <c r="G1028" s="427" t="s">
        <v>3958</v>
      </c>
      <c r="H1028" s="419" t="s">
        <v>748</v>
      </c>
      <c r="I1028" s="427" t="s">
        <v>881</v>
      </c>
      <c r="J1028" s="415" t="s">
        <v>882</v>
      </c>
      <c r="K1028" s="415" t="s">
        <v>883</v>
      </c>
      <c r="L1028" s="415" t="s">
        <v>798</v>
      </c>
      <c r="M1028" s="415" t="s">
        <v>310</v>
      </c>
      <c r="N1028" s="414">
        <v>44690</v>
      </c>
      <c r="O1028" s="414" t="s">
        <v>400</v>
      </c>
      <c r="P1028" s="603">
        <f t="shared" si="128"/>
        <v>5</v>
      </c>
      <c r="Q1028" s="603">
        <f t="shared" si="129"/>
        <v>5</v>
      </c>
      <c r="R1028" s="604" t="str">
        <f t="shared" si="130"/>
        <v>Gastos_Gerais</v>
      </c>
      <c r="S1028" s="605" t="s">
        <v>310</v>
      </c>
      <c r="T1028" s="605" t="s">
        <v>310</v>
      </c>
    </row>
    <row r="1029" spans="1:20" s="88" customFormat="1" ht="99.95" customHeight="1" x14ac:dyDescent="0.2">
      <c r="A1029" s="510">
        <f>IF(B1029="","",COUNT('Diário 1º PA'!$A$4:$A$2635)+ROW()-3)</f>
        <v>2762</v>
      </c>
      <c r="B1029" s="414">
        <v>44690</v>
      </c>
      <c r="C1029" s="592">
        <v>44682</v>
      </c>
      <c r="D1029" s="415" t="s">
        <v>271</v>
      </c>
      <c r="E1029" s="415" t="s">
        <v>71</v>
      </c>
      <c r="F1029" s="425">
        <v>11</v>
      </c>
      <c r="G1029" s="427" t="s">
        <v>3959</v>
      </c>
      <c r="H1029" s="419" t="s">
        <v>748</v>
      </c>
      <c r="I1029" s="427" t="s">
        <v>881</v>
      </c>
      <c r="J1029" s="415" t="s">
        <v>882</v>
      </c>
      <c r="K1029" s="415" t="s">
        <v>883</v>
      </c>
      <c r="L1029" s="415" t="s">
        <v>798</v>
      </c>
      <c r="M1029" s="415" t="s">
        <v>310</v>
      </c>
      <c r="N1029" s="414">
        <v>44690</v>
      </c>
      <c r="O1029" s="414" t="s">
        <v>400</v>
      </c>
      <c r="P1029" s="603">
        <f t="shared" si="128"/>
        <v>5</v>
      </c>
      <c r="Q1029" s="603">
        <f t="shared" si="129"/>
        <v>5</v>
      </c>
      <c r="R1029" s="604" t="str">
        <f t="shared" si="130"/>
        <v>Gastos_Gerais</v>
      </c>
      <c r="S1029" s="605" t="s">
        <v>310</v>
      </c>
      <c r="T1029" s="605" t="s">
        <v>310</v>
      </c>
    </row>
    <row r="1030" spans="1:20" s="88" customFormat="1" ht="99.95" customHeight="1" x14ac:dyDescent="0.2">
      <c r="A1030" s="510">
        <f>IF(B1030="","",COUNT('Diário 1º PA'!$A$4:$A$2635)+ROW()-3)</f>
        <v>2763</v>
      </c>
      <c r="B1030" s="414">
        <v>44690</v>
      </c>
      <c r="C1030" s="592">
        <v>44682</v>
      </c>
      <c r="D1030" s="415" t="s">
        <v>271</v>
      </c>
      <c r="E1030" s="415" t="s">
        <v>71</v>
      </c>
      <c r="F1030" s="425">
        <v>11</v>
      </c>
      <c r="G1030" s="427" t="s">
        <v>3960</v>
      </c>
      <c r="H1030" s="415" t="s">
        <v>752</v>
      </c>
      <c r="I1030" s="427" t="s">
        <v>881</v>
      </c>
      <c r="J1030" s="415" t="s">
        <v>882</v>
      </c>
      <c r="K1030" s="415" t="s">
        <v>883</v>
      </c>
      <c r="L1030" s="415" t="s">
        <v>798</v>
      </c>
      <c r="M1030" s="415" t="s">
        <v>310</v>
      </c>
      <c r="N1030" s="414">
        <v>44690</v>
      </c>
      <c r="O1030" s="414" t="s">
        <v>400</v>
      </c>
      <c r="P1030" s="603">
        <f t="shared" si="128"/>
        <v>5</v>
      </c>
      <c r="Q1030" s="603">
        <f t="shared" si="129"/>
        <v>5</v>
      </c>
      <c r="R1030" s="604" t="str">
        <f t="shared" si="130"/>
        <v>Gastos_Gerais</v>
      </c>
      <c r="S1030" s="605" t="s">
        <v>310</v>
      </c>
      <c r="T1030" s="605" t="s">
        <v>310</v>
      </c>
    </row>
    <row r="1031" spans="1:20" ht="36" x14ac:dyDescent="0.2">
      <c r="A1031" s="510">
        <f>IF(B1031="","",COUNT('Diário 1º PA'!$A$4:$A$2635)+ROW()-3)</f>
        <v>2764</v>
      </c>
      <c r="B1031" s="414">
        <v>44690</v>
      </c>
      <c r="C1031" s="592">
        <v>44682</v>
      </c>
      <c r="D1031" s="415" t="s">
        <v>271</v>
      </c>
      <c r="E1031" s="415" t="s">
        <v>71</v>
      </c>
      <c r="F1031" s="425">
        <v>11</v>
      </c>
      <c r="G1031" s="427" t="s">
        <v>3961</v>
      </c>
      <c r="H1031" s="419" t="s">
        <v>748</v>
      </c>
      <c r="I1031" s="427" t="s">
        <v>881</v>
      </c>
      <c r="J1031" s="415" t="s">
        <v>882</v>
      </c>
      <c r="K1031" s="415" t="s">
        <v>883</v>
      </c>
      <c r="L1031" s="415" t="s">
        <v>798</v>
      </c>
      <c r="M1031" s="415" t="s">
        <v>310</v>
      </c>
      <c r="N1031" s="414">
        <v>44690</v>
      </c>
      <c r="O1031" s="414" t="s">
        <v>400</v>
      </c>
      <c r="P1031" s="603">
        <f t="shared" ref="P1031:P1089" si="131">IF(B1031=0,0,IF(YEAR(B1031)=$Q$1,MONTH(B1031)-$P$1+1,(YEAR(B1031)-$Q$1)*12-$P$1+1+MONTH(B1031)))</f>
        <v>5</v>
      </c>
      <c r="Q1031" s="603">
        <f t="shared" ref="Q1031:Q1089" si="132">IF(C1031=0,0,IF(YEAR(C1031)=$Q$1,MONTH(C1031)-$P$1+1,(YEAR(C1031)-$Q$1)*12-$P$1+1+MONTH(C1031)))</f>
        <v>5</v>
      </c>
      <c r="R1031" s="604" t="str">
        <f t="shared" ref="R1031:R1089" si="133">SUBSTITUTE(D1031," ","_")</f>
        <v>Gastos_Gerais</v>
      </c>
      <c r="S1031" s="605" t="s">
        <v>310</v>
      </c>
      <c r="T1031" s="605" t="s">
        <v>310</v>
      </c>
    </row>
    <row r="1032" spans="1:20" ht="72" x14ac:dyDescent="0.2">
      <c r="A1032" s="510">
        <f>IF(B1032="","",COUNT('Diário 1º PA'!$A$4:$A$2635)+ROW()-3)</f>
        <v>2765</v>
      </c>
      <c r="B1032" s="414">
        <v>44690</v>
      </c>
      <c r="C1032" s="592">
        <v>44682</v>
      </c>
      <c r="D1032" s="415" t="s">
        <v>468</v>
      </c>
      <c r="E1032" s="415" t="s">
        <v>468</v>
      </c>
      <c r="F1032" s="425">
        <v>125</v>
      </c>
      <c r="G1032" s="427" t="s">
        <v>3874</v>
      </c>
      <c r="H1032" s="419" t="s">
        <v>468</v>
      </c>
      <c r="I1032" s="427" t="s">
        <v>5027</v>
      </c>
      <c r="J1032" s="415" t="s">
        <v>3875</v>
      </c>
      <c r="K1032" s="415" t="s">
        <v>830</v>
      </c>
      <c r="L1032" s="415" t="s">
        <v>807</v>
      </c>
      <c r="M1032" s="415">
        <v>46</v>
      </c>
      <c r="N1032" s="414">
        <v>44690</v>
      </c>
      <c r="O1032" s="414" t="s">
        <v>407</v>
      </c>
      <c r="P1032" s="603">
        <f t="shared" si="131"/>
        <v>5</v>
      </c>
      <c r="Q1032" s="603">
        <f t="shared" si="132"/>
        <v>5</v>
      </c>
      <c r="R1032" s="604" t="str">
        <f t="shared" si="133"/>
        <v>Gastos_custeados_por_captação</v>
      </c>
      <c r="S1032" s="605" t="s">
        <v>999</v>
      </c>
      <c r="T1032" s="605">
        <v>3622</v>
      </c>
    </row>
    <row r="1033" spans="1:20" ht="72" x14ac:dyDescent="0.2">
      <c r="A1033" s="510">
        <f>IF(B1033="","",COUNT('Diário 1º PA'!$A$4:$A$2635)+ROW()-3)</f>
        <v>2766</v>
      </c>
      <c r="B1033" s="414">
        <v>44690</v>
      </c>
      <c r="C1033" s="592">
        <v>44470</v>
      </c>
      <c r="D1033" s="415" t="s">
        <v>468</v>
      </c>
      <c r="E1033" s="415" t="s">
        <v>468</v>
      </c>
      <c r="F1033" s="425">
        <v>100</v>
      </c>
      <c r="G1033" s="640" t="s">
        <v>5025</v>
      </c>
      <c r="H1033" s="419" t="s">
        <v>468</v>
      </c>
      <c r="I1033" s="427" t="s">
        <v>764</v>
      </c>
      <c r="J1033" s="415" t="s">
        <v>310</v>
      </c>
      <c r="K1033" s="415" t="s">
        <v>1220</v>
      </c>
      <c r="L1033" s="415" t="s">
        <v>3443</v>
      </c>
      <c r="M1033" s="613">
        <v>222084965309</v>
      </c>
      <c r="N1033" s="414">
        <v>44690</v>
      </c>
      <c r="O1033" s="414" t="s">
        <v>407</v>
      </c>
      <c r="P1033" s="603">
        <f t="shared" si="131"/>
        <v>5</v>
      </c>
      <c r="Q1033" s="603">
        <f t="shared" si="132"/>
        <v>-2</v>
      </c>
      <c r="R1033" s="604" t="str">
        <f t="shared" si="133"/>
        <v>Gastos_custeados_por_captação</v>
      </c>
      <c r="S1033" s="605" t="s">
        <v>310</v>
      </c>
      <c r="T1033" s="605" t="s">
        <v>310</v>
      </c>
    </row>
    <row r="1034" spans="1:20" ht="45" customHeight="1" x14ac:dyDescent="0.2">
      <c r="A1034" s="510">
        <f>IF(B1034="","",COUNT('Diário 1º PA'!$A$4:$A$2635)+ROW()-3)</f>
        <v>2767</v>
      </c>
      <c r="B1034" s="414">
        <v>44690</v>
      </c>
      <c r="C1034" s="592">
        <v>44378</v>
      </c>
      <c r="D1034" s="415" t="s">
        <v>468</v>
      </c>
      <c r="E1034" s="415" t="s">
        <v>468</v>
      </c>
      <c r="F1034" s="425">
        <v>50</v>
      </c>
      <c r="G1034" s="640" t="s">
        <v>5026</v>
      </c>
      <c r="H1034" s="419" t="s">
        <v>468</v>
      </c>
      <c r="I1034" s="427" t="s">
        <v>764</v>
      </c>
      <c r="J1034" s="415" t="s">
        <v>310</v>
      </c>
      <c r="K1034" s="415" t="s">
        <v>1220</v>
      </c>
      <c r="L1034" s="415" t="s">
        <v>3443</v>
      </c>
      <c r="M1034" s="613">
        <v>222084964093</v>
      </c>
      <c r="N1034" s="414">
        <v>44690</v>
      </c>
      <c r="O1034" s="414" t="s">
        <v>407</v>
      </c>
      <c r="P1034" s="603">
        <f t="shared" si="131"/>
        <v>5</v>
      </c>
      <c r="Q1034" s="603">
        <f t="shared" si="132"/>
        <v>-5</v>
      </c>
      <c r="R1034" s="604" t="str">
        <f t="shared" si="133"/>
        <v>Gastos_custeados_por_captação</v>
      </c>
      <c r="S1034" s="605" t="s">
        <v>310</v>
      </c>
      <c r="T1034" s="605" t="s">
        <v>310</v>
      </c>
    </row>
    <row r="1035" spans="1:20" ht="45" customHeight="1" x14ac:dyDescent="0.2">
      <c r="A1035" s="510">
        <f>IF(B1035="","",COUNT('Diário 1º PA'!$A$4:$A$2635)+ROW()-3)</f>
        <v>2768</v>
      </c>
      <c r="B1035" s="414">
        <v>44690</v>
      </c>
      <c r="C1035" s="592">
        <v>44652</v>
      </c>
      <c r="D1035" s="415" t="s">
        <v>468</v>
      </c>
      <c r="E1035" s="415" t="s">
        <v>468</v>
      </c>
      <c r="F1035" s="425">
        <v>2522.5500000000002</v>
      </c>
      <c r="G1035" s="427" t="s">
        <v>670</v>
      </c>
      <c r="H1035" s="419" t="s">
        <v>468</v>
      </c>
      <c r="I1035" s="427" t="s">
        <v>2850</v>
      </c>
      <c r="J1035" s="415" t="s">
        <v>1086</v>
      </c>
      <c r="K1035" s="415" t="s">
        <v>830</v>
      </c>
      <c r="L1035" s="415" t="s">
        <v>839</v>
      </c>
      <c r="M1035" s="415">
        <v>1734</v>
      </c>
      <c r="N1035" s="414">
        <v>44685</v>
      </c>
      <c r="O1035" s="414" t="s">
        <v>407</v>
      </c>
      <c r="P1035" s="603">
        <f t="shared" si="131"/>
        <v>5</v>
      </c>
      <c r="Q1035" s="603">
        <f t="shared" si="132"/>
        <v>4</v>
      </c>
      <c r="R1035" s="604" t="str">
        <f t="shared" si="133"/>
        <v>Gastos_custeados_por_captação</v>
      </c>
      <c r="S1035" s="605" t="s">
        <v>998</v>
      </c>
      <c r="T1035" s="605">
        <v>2724</v>
      </c>
    </row>
    <row r="1036" spans="1:20" ht="72" x14ac:dyDescent="0.2">
      <c r="A1036" s="510">
        <f>IF(B1036="","",COUNT('Diário 1º PA'!$A$4:$A$2635)+ROW()-3)</f>
        <v>2769</v>
      </c>
      <c r="B1036" s="414">
        <v>44690</v>
      </c>
      <c r="C1036" s="592">
        <v>44621</v>
      </c>
      <c r="D1036" s="415" t="s">
        <v>468</v>
      </c>
      <c r="E1036" s="415" t="s">
        <v>468</v>
      </c>
      <c r="F1036" s="673">
        <v>52.15</v>
      </c>
      <c r="G1036" s="640" t="s">
        <v>5082</v>
      </c>
      <c r="H1036" s="419" t="s">
        <v>468</v>
      </c>
      <c r="I1036" s="427" t="s">
        <v>764</v>
      </c>
      <c r="J1036" s="415" t="s">
        <v>310</v>
      </c>
      <c r="K1036" s="415" t="s">
        <v>1220</v>
      </c>
      <c r="L1036" s="415" t="s">
        <v>3443</v>
      </c>
      <c r="M1036" s="613">
        <v>222106853701</v>
      </c>
      <c r="N1036" s="414">
        <v>44690</v>
      </c>
      <c r="O1036" s="414" t="s">
        <v>407</v>
      </c>
      <c r="P1036" s="603">
        <f t="shared" si="131"/>
        <v>5</v>
      </c>
      <c r="Q1036" s="603">
        <f t="shared" si="132"/>
        <v>3</v>
      </c>
      <c r="R1036" s="604" t="str">
        <f t="shared" si="133"/>
        <v>Gastos_custeados_por_captação</v>
      </c>
      <c r="S1036" s="605" t="s">
        <v>310</v>
      </c>
      <c r="T1036" s="605" t="s">
        <v>310</v>
      </c>
    </row>
    <row r="1037" spans="1:20" ht="72" x14ac:dyDescent="0.2">
      <c r="A1037" s="510">
        <f>IF(B1037="","",COUNT('Diário 1º PA'!$A$4:$A$2635)+ROW()-3)</f>
        <v>2770</v>
      </c>
      <c r="B1037" s="414">
        <v>44690</v>
      </c>
      <c r="C1037" s="592">
        <v>44621</v>
      </c>
      <c r="D1037" s="415" t="s">
        <v>468</v>
      </c>
      <c r="E1037" s="415" t="s">
        <v>468</v>
      </c>
      <c r="F1037" s="673">
        <v>14.9</v>
      </c>
      <c r="G1037" s="640" t="s">
        <v>5028</v>
      </c>
      <c r="H1037" s="419" t="s">
        <v>468</v>
      </c>
      <c r="I1037" s="427" t="s">
        <v>764</v>
      </c>
      <c r="J1037" s="415" t="s">
        <v>310</v>
      </c>
      <c r="K1037" s="415" t="s">
        <v>1220</v>
      </c>
      <c r="L1037" s="415" t="s">
        <v>3443</v>
      </c>
      <c r="M1037" s="613">
        <v>222106863332</v>
      </c>
      <c r="N1037" s="414">
        <v>44690</v>
      </c>
      <c r="O1037" s="414" t="s">
        <v>407</v>
      </c>
      <c r="P1037" s="603">
        <f t="shared" si="131"/>
        <v>5</v>
      </c>
      <c r="Q1037" s="603">
        <f t="shared" si="132"/>
        <v>3</v>
      </c>
      <c r="R1037" s="604" t="str">
        <f t="shared" si="133"/>
        <v>Gastos_custeados_por_captação</v>
      </c>
      <c r="S1037" s="605" t="s">
        <v>310</v>
      </c>
      <c r="T1037" s="605" t="s">
        <v>310</v>
      </c>
    </row>
    <row r="1038" spans="1:20" ht="72" x14ac:dyDescent="0.2">
      <c r="A1038" s="510">
        <f>IF(B1038="","",COUNT('Diário 1º PA'!$A$4:$A$2635)+ROW()-3)</f>
        <v>2771</v>
      </c>
      <c r="B1038" s="414">
        <v>44690</v>
      </c>
      <c r="C1038" s="592">
        <v>44621</v>
      </c>
      <c r="D1038" s="415" t="s">
        <v>468</v>
      </c>
      <c r="E1038" s="415" t="s">
        <v>468</v>
      </c>
      <c r="F1038" s="673">
        <v>52.85</v>
      </c>
      <c r="G1038" s="640" t="s">
        <v>5029</v>
      </c>
      <c r="H1038" s="419" t="s">
        <v>468</v>
      </c>
      <c r="I1038" s="427" t="s">
        <v>764</v>
      </c>
      <c r="J1038" s="415" t="s">
        <v>310</v>
      </c>
      <c r="K1038" s="415" t="s">
        <v>1220</v>
      </c>
      <c r="L1038" s="415" t="s">
        <v>3443</v>
      </c>
      <c r="M1038" s="613">
        <v>222106853370</v>
      </c>
      <c r="N1038" s="414">
        <v>44690</v>
      </c>
      <c r="O1038" s="414" t="s">
        <v>407</v>
      </c>
      <c r="P1038" s="603">
        <f t="shared" si="131"/>
        <v>5</v>
      </c>
      <c r="Q1038" s="603">
        <f t="shared" si="132"/>
        <v>3</v>
      </c>
      <c r="R1038" s="604" t="str">
        <f t="shared" si="133"/>
        <v>Gastos_custeados_por_captação</v>
      </c>
      <c r="S1038" s="605" t="s">
        <v>310</v>
      </c>
      <c r="T1038" s="605" t="s">
        <v>310</v>
      </c>
    </row>
    <row r="1039" spans="1:20" ht="72" x14ac:dyDescent="0.2">
      <c r="A1039" s="510">
        <f>IF(B1039="","",COUNT('Diário 1º PA'!$A$4:$A$2635)+ROW()-3)</f>
        <v>2772</v>
      </c>
      <c r="B1039" s="414">
        <v>44690</v>
      </c>
      <c r="C1039" s="592">
        <v>44621</v>
      </c>
      <c r="D1039" s="415" t="s">
        <v>468</v>
      </c>
      <c r="E1039" s="415" t="s">
        <v>468</v>
      </c>
      <c r="F1039" s="673">
        <v>60.3</v>
      </c>
      <c r="G1039" s="640" t="s">
        <v>5030</v>
      </c>
      <c r="H1039" s="419" t="s">
        <v>468</v>
      </c>
      <c r="I1039" s="427" t="s">
        <v>764</v>
      </c>
      <c r="J1039" s="415" t="s">
        <v>310</v>
      </c>
      <c r="K1039" s="415" t="s">
        <v>1220</v>
      </c>
      <c r="L1039" s="415" t="s">
        <v>3443</v>
      </c>
      <c r="M1039" s="613">
        <v>222106933425</v>
      </c>
      <c r="N1039" s="414">
        <v>44690</v>
      </c>
      <c r="O1039" s="414" t="s">
        <v>407</v>
      </c>
      <c r="P1039" s="603">
        <f t="shared" si="131"/>
        <v>5</v>
      </c>
      <c r="Q1039" s="603">
        <f t="shared" si="132"/>
        <v>3</v>
      </c>
      <c r="R1039" s="604" t="str">
        <f t="shared" si="133"/>
        <v>Gastos_custeados_por_captação</v>
      </c>
      <c r="S1039" s="605" t="s">
        <v>310</v>
      </c>
      <c r="T1039" s="605" t="s">
        <v>310</v>
      </c>
    </row>
    <row r="1040" spans="1:20" ht="72" x14ac:dyDescent="0.2">
      <c r="A1040" s="510">
        <f>IF(B1040="","",COUNT('Diário 1º PA'!$A$4:$A$2635)+ROW()-3)</f>
        <v>2773</v>
      </c>
      <c r="B1040" s="414">
        <v>44690</v>
      </c>
      <c r="C1040" s="592">
        <v>44621</v>
      </c>
      <c r="D1040" s="415" t="s">
        <v>468</v>
      </c>
      <c r="E1040" s="415" t="s">
        <v>468</v>
      </c>
      <c r="F1040" s="673">
        <v>14.9</v>
      </c>
      <c r="G1040" s="640" t="s">
        <v>5031</v>
      </c>
      <c r="H1040" s="419" t="s">
        <v>468</v>
      </c>
      <c r="I1040" s="427" t="s">
        <v>764</v>
      </c>
      <c r="J1040" s="415" t="s">
        <v>310</v>
      </c>
      <c r="K1040" s="415" t="s">
        <v>1220</v>
      </c>
      <c r="L1040" s="415" t="s">
        <v>3443</v>
      </c>
      <c r="M1040" s="613">
        <v>222106863502</v>
      </c>
      <c r="N1040" s="414">
        <v>44690</v>
      </c>
      <c r="O1040" s="414" t="s">
        <v>407</v>
      </c>
      <c r="P1040" s="603">
        <f t="shared" si="131"/>
        <v>5</v>
      </c>
      <c r="Q1040" s="603">
        <f t="shared" si="132"/>
        <v>3</v>
      </c>
      <c r="R1040" s="604" t="str">
        <f t="shared" si="133"/>
        <v>Gastos_custeados_por_captação</v>
      </c>
      <c r="S1040" s="605" t="s">
        <v>310</v>
      </c>
      <c r="T1040" s="605" t="s">
        <v>310</v>
      </c>
    </row>
    <row r="1041" spans="1:20" ht="72" x14ac:dyDescent="0.2">
      <c r="A1041" s="510">
        <f>IF(B1041="","",COUNT('Diário 1º PA'!$A$4:$A$2635)+ROW()-3)</f>
        <v>2774</v>
      </c>
      <c r="B1041" s="414">
        <v>44690</v>
      </c>
      <c r="C1041" s="592">
        <v>44621</v>
      </c>
      <c r="D1041" s="415" t="s">
        <v>468</v>
      </c>
      <c r="E1041" s="415" t="s">
        <v>468</v>
      </c>
      <c r="F1041" s="673">
        <v>52.15</v>
      </c>
      <c r="G1041" s="640" t="s">
        <v>5032</v>
      </c>
      <c r="H1041" s="419" t="s">
        <v>468</v>
      </c>
      <c r="I1041" s="427" t="s">
        <v>764</v>
      </c>
      <c r="J1041" s="415" t="s">
        <v>310</v>
      </c>
      <c r="K1041" s="415" t="s">
        <v>1220</v>
      </c>
      <c r="L1041" s="415" t="s">
        <v>3443</v>
      </c>
      <c r="M1041" s="613">
        <v>222106854503</v>
      </c>
      <c r="N1041" s="414">
        <v>44690</v>
      </c>
      <c r="O1041" s="414" t="s">
        <v>407</v>
      </c>
      <c r="P1041" s="603">
        <f t="shared" si="131"/>
        <v>5</v>
      </c>
      <c r="Q1041" s="603">
        <f t="shared" si="132"/>
        <v>3</v>
      </c>
      <c r="R1041" s="604" t="str">
        <f t="shared" si="133"/>
        <v>Gastos_custeados_por_captação</v>
      </c>
      <c r="S1041" s="605" t="s">
        <v>310</v>
      </c>
      <c r="T1041" s="605" t="s">
        <v>310</v>
      </c>
    </row>
    <row r="1042" spans="1:20" ht="72" x14ac:dyDescent="0.2">
      <c r="A1042" s="510">
        <f>IF(B1042="","",COUNT('Diário 1º PA'!$A$4:$A$2635)+ROW()-3)</f>
        <v>2775</v>
      </c>
      <c r="B1042" s="414">
        <v>44690</v>
      </c>
      <c r="C1042" s="592">
        <v>44621</v>
      </c>
      <c r="D1042" s="415" t="s">
        <v>468</v>
      </c>
      <c r="E1042" s="415" t="s">
        <v>468</v>
      </c>
      <c r="F1042" s="673">
        <v>90</v>
      </c>
      <c r="G1042" s="640" t="s">
        <v>5033</v>
      </c>
      <c r="H1042" s="419" t="s">
        <v>468</v>
      </c>
      <c r="I1042" s="427" t="s">
        <v>764</v>
      </c>
      <c r="J1042" s="415" t="s">
        <v>310</v>
      </c>
      <c r="K1042" s="415" t="s">
        <v>1220</v>
      </c>
      <c r="L1042" s="415" t="s">
        <v>3443</v>
      </c>
      <c r="M1042" s="613">
        <v>222106824000</v>
      </c>
      <c r="N1042" s="414">
        <v>44690</v>
      </c>
      <c r="O1042" s="414" t="s">
        <v>407</v>
      </c>
      <c r="P1042" s="603">
        <f t="shared" si="131"/>
        <v>5</v>
      </c>
      <c r="Q1042" s="603">
        <f t="shared" si="132"/>
        <v>3</v>
      </c>
      <c r="R1042" s="604" t="str">
        <f t="shared" si="133"/>
        <v>Gastos_custeados_por_captação</v>
      </c>
      <c r="S1042" s="605" t="s">
        <v>310</v>
      </c>
      <c r="T1042" s="605" t="s">
        <v>310</v>
      </c>
    </row>
    <row r="1043" spans="1:20" ht="72" x14ac:dyDescent="0.2">
      <c r="A1043" s="510">
        <f>IF(B1043="","",COUNT('Diário 1º PA'!$A$4:$A$2635)+ROW()-3)</f>
        <v>2776</v>
      </c>
      <c r="B1043" s="414">
        <v>44690</v>
      </c>
      <c r="C1043" s="592">
        <v>44621</v>
      </c>
      <c r="D1043" s="415" t="s">
        <v>468</v>
      </c>
      <c r="E1043" s="415" t="s">
        <v>468</v>
      </c>
      <c r="F1043" s="673">
        <v>52.15</v>
      </c>
      <c r="G1043" s="640" t="s">
        <v>5034</v>
      </c>
      <c r="H1043" s="419" t="s">
        <v>468</v>
      </c>
      <c r="I1043" s="427" t="s">
        <v>764</v>
      </c>
      <c r="J1043" s="415" t="s">
        <v>310</v>
      </c>
      <c r="K1043" s="415" t="s">
        <v>1220</v>
      </c>
      <c r="L1043" s="415" t="s">
        <v>3443</v>
      </c>
      <c r="M1043" s="613">
        <v>222106855151</v>
      </c>
      <c r="N1043" s="414">
        <v>44690</v>
      </c>
      <c r="O1043" s="414" t="s">
        <v>407</v>
      </c>
      <c r="P1043" s="603">
        <f t="shared" si="131"/>
        <v>5</v>
      </c>
      <c r="Q1043" s="603">
        <f t="shared" si="132"/>
        <v>3</v>
      </c>
      <c r="R1043" s="604" t="str">
        <f t="shared" si="133"/>
        <v>Gastos_custeados_por_captação</v>
      </c>
      <c r="S1043" s="605" t="s">
        <v>310</v>
      </c>
      <c r="T1043" s="605" t="s">
        <v>310</v>
      </c>
    </row>
    <row r="1044" spans="1:20" ht="72" x14ac:dyDescent="0.2">
      <c r="A1044" s="510">
        <f>IF(B1044="","",COUNT('Diário 1º PA'!$A$4:$A$2635)+ROW()-3)</f>
        <v>2777</v>
      </c>
      <c r="B1044" s="414">
        <v>44690</v>
      </c>
      <c r="C1044" s="592">
        <v>44621</v>
      </c>
      <c r="D1044" s="415" t="s">
        <v>468</v>
      </c>
      <c r="E1044" s="415" t="s">
        <v>468</v>
      </c>
      <c r="F1044" s="673">
        <v>25</v>
      </c>
      <c r="G1044" s="640" t="s">
        <v>5035</v>
      </c>
      <c r="H1044" s="419" t="s">
        <v>468</v>
      </c>
      <c r="I1044" s="427" t="s">
        <v>764</v>
      </c>
      <c r="J1044" s="415" t="s">
        <v>310</v>
      </c>
      <c r="K1044" s="415" t="s">
        <v>1220</v>
      </c>
      <c r="L1044" s="415" t="s">
        <v>3443</v>
      </c>
      <c r="M1044" s="613">
        <v>222106834740</v>
      </c>
      <c r="N1044" s="414">
        <v>44690</v>
      </c>
      <c r="O1044" s="414" t="s">
        <v>407</v>
      </c>
      <c r="P1044" s="603">
        <f t="shared" si="131"/>
        <v>5</v>
      </c>
      <c r="Q1044" s="603">
        <f t="shared" si="132"/>
        <v>3</v>
      </c>
      <c r="R1044" s="604" t="str">
        <f t="shared" si="133"/>
        <v>Gastos_custeados_por_captação</v>
      </c>
      <c r="S1044" s="605" t="s">
        <v>310</v>
      </c>
      <c r="T1044" s="605" t="s">
        <v>310</v>
      </c>
    </row>
    <row r="1045" spans="1:20" ht="72" x14ac:dyDescent="0.2">
      <c r="A1045" s="510">
        <f>IF(B1045="","",COUNT('Diário 1º PA'!$A$4:$A$2635)+ROW()-3)</f>
        <v>2778</v>
      </c>
      <c r="B1045" s="414">
        <v>44690</v>
      </c>
      <c r="C1045" s="592">
        <v>44621</v>
      </c>
      <c r="D1045" s="415" t="s">
        <v>468</v>
      </c>
      <c r="E1045" s="415" t="s">
        <v>468</v>
      </c>
      <c r="F1045" s="673">
        <v>52.15</v>
      </c>
      <c r="G1045" s="640" t="s">
        <v>5036</v>
      </c>
      <c r="H1045" s="419" t="s">
        <v>468</v>
      </c>
      <c r="I1045" s="427" t="s">
        <v>764</v>
      </c>
      <c r="J1045" s="415" t="s">
        <v>310</v>
      </c>
      <c r="K1045" s="415" t="s">
        <v>1220</v>
      </c>
      <c r="L1045" s="415" t="s">
        <v>3443</v>
      </c>
      <c r="M1045" s="613">
        <v>222106855313</v>
      </c>
      <c r="N1045" s="414">
        <v>44690</v>
      </c>
      <c r="O1045" s="414" t="s">
        <v>407</v>
      </c>
      <c r="P1045" s="603">
        <f t="shared" si="131"/>
        <v>5</v>
      </c>
      <c r="Q1045" s="603">
        <f t="shared" si="132"/>
        <v>3</v>
      </c>
      <c r="R1045" s="604" t="str">
        <f t="shared" si="133"/>
        <v>Gastos_custeados_por_captação</v>
      </c>
      <c r="S1045" s="605" t="s">
        <v>310</v>
      </c>
      <c r="T1045" s="605" t="s">
        <v>310</v>
      </c>
    </row>
    <row r="1046" spans="1:20" ht="72" x14ac:dyDescent="0.2">
      <c r="A1046" s="510">
        <f>IF(B1046="","",COUNT('Diário 1º PA'!$A$4:$A$2635)+ROW()-3)</f>
        <v>2779</v>
      </c>
      <c r="B1046" s="414">
        <v>44690</v>
      </c>
      <c r="C1046" s="592">
        <v>44621</v>
      </c>
      <c r="D1046" s="415" t="s">
        <v>468</v>
      </c>
      <c r="E1046" s="415" t="s">
        <v>468</v>
      </c>
      <c r="F1046" s="673">
        <v>36</v>
      </c>
      <c r="G1046" s="640" t="s">
        <v>5037</v>
      </c>
      <c r="H1046" s="419" t="s">
        <v>468</v>
      </c>
      <c r="I1046" s="427" t="s">
        <v>764</v>
      </c>
      <c r="J1046" s="415" t="s">
        <v>310</v>
      </c>
      <c r="K1046" s="415" t="s">
        <v>1220</v>
      </c>
      <c r="L1046" s="415" t="s">
        <v>3443</v>
      </c>
      <c r="M1046" s="613">
        <v>222106825759</v>
      </c>
      <c r="N1046" s="414">
        <v>44690</v>
      </c>
      <c r="O1046" s="414" t="s">
        <v>407</v>
      </c>
      <c r="P1046" s="603">
        <f t="shared" si="131"/>
        <v>5</v>
      </c>
      <c r="Q1046" s="603">
        <f t="shared" si="132"/>
        <v>3</v>
      </c>
      <c r="R1046" s="604" t="str">
        <f t="shared" si="133"/>
        <v>Gastos_custeados_por_captação</v>
      </c>
      <c r="S1046" s="605" t="s">
        <v>310</v>
      </c>
      <c r="T1046" s="605" t="s">
        <v>310</v>
      </c>
    </row>
    <row r="1047" spans="1:20" ht="72" x14ac:dyDescent="0.2">
      <c r="A1047" s="510">
        <f>IF(B1047="","",COUNT('Diário 1º PA'!$A$4:$A$2635)+ROW()-3)</f>
        <v>2780</v>
      </c>
      <c r="B1047" s="414">
        <v>44690</v>
      </c>
      <c r="C1047" s="592">
        <v>44621</v>
      </c>
      <c r="D1047" s="415" t="s">
        <v>468</v>
      </c>
      <c r="E1047" s="415" t="s">
        <v>468</v>
      </c>
      <c r="F1047" s="673">
        <v>52.15</v>
      </c>
      <c r="G1047" s="640" t="s">
        <v>5038</v>
      </c>
      <c r="H1047" s="419" t="s">
        <v>468</v>
      </c>
      <c r="I1047" s="427" t="s">
        <v>764</v>
      </c>
      <c r="J1047" s="415" t="s">
        <v>310</v>
      </c>
      <c r="K1047" s="415" t="s">
        <v>1220</v>
      </c>
      <c r="L1047" s="415" t="s">
        <v>3443</v>
      </c>
      <c r="M1047" s="613">
        <v>222106855828</v>
      </c>
      <c r="N1047" s="414">
        <v>44690</v>
      </c>
      <c r="O1047" s="414" t="s">
        <v>407</v>
      </c>
      <c r="P1047" s="603">
        <f t="shared" si="131"/>
        <v>5</v>
      </c>
      <c r="Q1047" s="603">
        <f t="shared" si="132"/>
        <v>3</v>
      </c>
      <c r="R1047" s="604" t="str">
        <f t="shared" si="133"/>
        <v>Gastos_custeados_por_captação</v>
      </c>
      <c r="S1047" s="605" t="s">
        <v>310</v>
      </c>
      <c r="T1047" s="605" t="s">
        <v>310</v>
      </c>
    </row>
    <row r="1048" spans="1:20" ht="72" x14ac:dyDescent="0.2">
      <c r="A1048" s="510">
        <f>IF(B1048="","",COUNT('Diário 1º PA'!$A$4:$A$2635)+ROW()-3)</f>
        <v>2781</v>
      </c>
      <c r="B1048" s="414">
        <v>44690</v>
      </c>
      <c r="C1048" s="592">
        <v>44621</v>
      </c>
      <c r="D1048" s="415" t="s">
        <v>468</v>
      </c>
      <c r="E1048" s="415" t="s">
        <v>468</v>
      </c>
      <c r="F1048" s="673">
        <v>37.75</v>
      </c>
      <c r="G1048" s="640" t="s">
        <v>5039</v>
      </c>
      <c r="H1048" s="419" t="s">
        <v>468</v>
      </c>
      <c r="I1048" s="427" t="s">
        <v>764</v>
      </c>
      <c r="J1048" s="415" t="s">
        <v>310</v>
      </c>
      <c r="K1048" s="415" t="s">
        <v>1220</v>
      </c>
      <c r="L1048" s="415" t="s">
        <v>3443</v>
      </c>
      <c r="M1048" s="613">
        <v>222106874362</v>
      </c>
      <c r="N1048" s="414">
        <v>44690</v>
      </c>
      <c r="O1048" s="414" t="s">
        <v>407</v>
      </c>
      <c r="P1048" s="603">
        <f t="shared" si="131"/>
        <v>5</v>
      </c>
      <c r="Q1048" s="603">
        <f t="shared" si="132"/>
        <v>3</v>
      </c>
      <c r="R1048" s="604" t="str">
        <f t="shared" si="133"/>
        <v>Gastos_custeados_por_captação</v>
      </c>
      <c r="S1048" s="605" t="s">
        <v>310</v>
      </c>
      <c r="T1048" s="605" t="s">
        <v>310</v>
      </c>
    </row>
    <row r="1049" spans="1:20" ht="72" x14ac:dyDescent="0.2">
      <c r="A1049" s="510">
        <f>IF(B1049="","",COUNT('Diário 1º PA'!$A$4:$A$2635)+ROW()-3)</f>
        <v>2782</v>
      </c>
      <c r="B1049" s="414">
        <v>44690</v>
      </c>
      <c r="C1049" s="592">
        <v>44621</v>
      </c>
      <c r="D1049" s="415" t="s">
        <v>468</v>
      </c>
      <c r="E1049" s="415" t="s">
        <v>468</v>
      </c>
      <c r="F1049" s="673">
        <v>225</v>
      </c>
      <c r="G1049" s="640" t="s">
        <v>5040</v>
      </c>
      <c r="H1049" s="419" t="s">
        <v>468</v>
      </c>
      <c r="I1049" s="427" t="s">
        <v>764</v>
      </c>
      <c r="J1049" s="415" t="s">
        <v>310</v>
      </c>
      <c r="K1049" s="415" t="s">
        <v>1220</v>
      </c>
      <c r="L1049" s="415" t="s">
        <v>3443</v>
      </c>
      <c r="M1049" s="613">
        <v>222106826992</v>
      </c>
      <c r="N1049" s="414">
        <v>44690</v>
      </c>
      <c r="O1049" s="414" t="s">
        <v>407</v>
      </c>
      <c r="P1049" s="603">
        <f t="shared" si="131"/>
        <v>5</v>
      </c>
      <c r="Q1049" s="603">
        <f t="shared" si="132"/>
        <v>3</v>
      </c>
      <c r="R1049" s="604" t="str">
        <f t="shared" si="133"/>
        <v>Gastos_custeados_por_captação</v>
      </c>
      <c r="S1049" s="605" t="s">
        <v>310</v>
      </c>
      <c r="T1049" s="605" t="s">
        <v>310</v>
      </c>
    </row>
    <row r="1050" spans="1:20" ht="72" x14ac:dyDescent="0.2">
      <c r="A1050" s="510">
        <f>IF(B1050="","",COUNT('Diário 1º PA'!$A$4:$A$2635)+ROW()-3)</f>
        <v>2783</v>
      </c>
      <c r="B1050" s="414">
        <v>44690</v>
      </c>
      <c r="C1050" s="592">
        <v>44621</v>
      </c>
      <c r="D1050" s="415" t="s">
        <v>468</v>
      </c>
      <c r="E1050" s="415" t="s">
        <v>468</v>
      </c>
      <c r="F1050" s="673">
        <v>52.85</v>
      </c>
      <c r="G1050" s="640" t="s">
        <v>5041</v>
      </c>
      <c r="H1050" s="419" t="s">
        <v>468</v>
      </c>
      <c r="I1050" s="427" t="s">
        <v>764</v>
      </c>
      <c r="J1050" s="415" t="s">
        <v>310</v>
      </c>
      <c r="K1050" s="415" t="s">
        <v>1220</v>
      </c>
      <c r="L1050" s="415" t="s">
        <v>3443</v>
      </c>
      <c r="M1050" s="613">
        <v>222106854341</v>
      </c>
      <c r="N1050" s="414">
        <v>44690</v>
      </c>
      <c r="O1050" s="414" t="s">
        <v>407</v>
      </c>
      <c r="P1050" s="603">
        <f t="shared" si="131"/>
        <v>5</v>
      </c>
      <c r="Q1050" s="603">
        <f t="shared" si="132"/>
        <v>3</v>
      </c>
      <c r="R1050" s="604" t="str">
        <f t="shared" si="133"/>
        <v>Gastos_custeados_por_captação</v>
      </c>
      <c r="S1050" s="605" t="s">
        <v>310</v>
      </c>
      <c r="T1050" s="605" t="s">
        <v>310</v>
      </c>
    </row>
    <row r="1051" spans="1:20" ht="72" x14ac:dyDescent="0.2">
      <c r="A1051" s="510">
        <f>IF(B1051="","",COUNT('Diário 1º PA'!$A$4:$A$2635)+ROW()-3)</f>
        <v>2784</v>
      </c>
      <c r="B1051" s="414">
        <v>44690</v>
      </c>
      <c r="C1051" s="592">
        <v>44621</v>
      </c>
      <c r="D1051" s="415" t="s">
        <v>468</v>
      </c>
      <c r="E1051" s="415" t="s">
        <v>468</v>
      </c>
      <c r="F1051" s="673">
        <v>303</v>
      </c>
      <c r="G1051" s="640" t="s">
        <v>5042</v>
      </c>
      <c r="H1051" s="419" t="s">
        <v>468</v>
      </c>
      <c r="I1051" s="427" t="s">
        <v>764</v>
      </c>
      <c r="J1051" s="415" t="s">
        <v>310</v>
      </c>
      <c r="K1051" s="415" t="s">
        <v>1220</v>
      </c>
      <c r="L1051" s="415" t="s">
        <v>3443</v>
      </c>
      <c r="M1051" s="613">
        <v>222106836955</v>
      </c>
      <c r="N1051" s="414">
        <v>44690</v>
      </c>
      <c r="O1051" s="414" t="s">
        <v>407</v>
      </c>
      <c r="P1051" s="603">
        <f t="shared" si="131"/>
        <v>5</v>
      </c>
      <c r="Q1051" s="603">
        <f t="shared" si="132"/>
        <v>3</v>
      </c>
      <c r="R1051" s="604" t="str">
        <f t="shared" si="133"/>
        <v>Gastos_custeados_por_captação</v>
      </c>
      <c r="S1051" s="605" t="s">
        <v>310</v>
      </c>
      <c r="T1051" s="605" t="s">
        <v>310</v>
      </c>
    </row>
    <row r="1052" spans="1:20" ht="72" x14ac:dyDescent="0.2">
      <c r="A1052" s="510">
        <f>IF(B1052="","",COUNT('Diário 1º PA'!$A$4:$A$2635)+ROW()-3)</f>
        <v>2785</v>
      </c>
      <c r="B1052" s="414">
        <v>44690</v>
      </c>
      <c r="C1052" s="592">
        <v>44621</v>
      </c>
      <c r="D1052" s="415" t="s">
        <v>468</v>
      </c>
      <c r="E1052" s="415" t="s">
        <v>468</v>
      </c>
      <c r="F1052" s="673">
        <v>29.8</v>
      </c>
      <c r="G1052" s="640" t="s">
        <v>5043</v>
      </c>
      <c r="H1052" s="419" t="s">
        <v>468</v>
      </c>
      <c r="I1052" s="427" t="s">
        <v>764</v>
      </c>
      <c r="J1052" s="415" t="s">
        <v>310</v>
      </c>
      <c r="K1052" s="415" t="s">
        <v>1220</v>
      </c>
      <c r="L1052" s="415" t="s">
        <v>3443</v>
      </c>
      <c r="M1052" s="613">
        <v>222106860317</v>
      </c>
      <c r="N1052" s="414">
        <v>44690</v>
      </c>
      <c r="O1052" s="414" t="s">
        <v>407</v>
      </c>
      <c r="P1052" s="603">
        <f t="shared" si="131"/>
        <v>5</v>
      </c>
      <c r="Q1052" s="603">
        <f t="shared" si="132"/>
        <v>3</v>
      </c>
      <c r="R1052" s="604" t="str">
        <f t="shared" si="133"/>
        <v>Gastos_custeados_por_captação</v>
      </c>
      <c r="S1052" s="605" t="s">
        <v>310</v>
      </c>
      <c r="T1052" s="605" t="s">
        <v>310</v>
      </c>
    </row>
    <row r="1053" spans="1:20" ht="72" x14ac:dyDescent="0.2">
      <c r="A1053" s="510">
        <f>IF(B1053="","",COUNT('Diário 1º PA'!$A$4:$A$2635)+ROW()-3)</f>
        <v>2786</v>
      </c>
      <c r="B1053" s="414">
        <v>44690</v>
      </c>
      <c r="C1053" s="592">
        <v>44621</v>
      </c>
      <c r="D1053" s="415" t="s">
        <v>468</v>
      </c>
      <c r="E1053" s="415" t="s">
        <v>468</v>
      </c>
      <c r="F1053" s="673">
        <v>165</v>
      </c>
      <c r="G1053" s="640" t="s">
        <v>5044</v>
      </c>
      <c r="H1053" s="419" t="s">
        <v>468</v>
      </c>
      <c r="I1053" s="427" t="s">
        <v>764</v>
      </c>
      <c r="J1053" s="415" t="s">
        <v>310</v>
      </c>
      <c r="K1053" s="415" t="s">
        <v>1220</v>
      </c>
      <c r="L1053" s="415" t="s">
        <v>3443</v>
      </c>
      <c r="M1053" s="613">
        <v>222107107574</v>
      </c>
      <c r="N1053" s="414">
        <v>44690</v>
      </c>
      <c r="O1053" s="414" t="s">
        <v>407</v>
      </c>
      <c r="P1053" s="603">
        <f t="shared" si="131"/>
        <v>5</v>
      </c>
      <c r="Q1053" s="603">
        <f t="shared" si="132"/>
        <v>3</v>
      </c>
      <c r="R1053" s="604" t="str">
        <f t="shared" si="133"/>
        <v>Gastos_custeados_por_captação</v>
      </c>
      <c r="S1053" s="605" t="s">
        <v>310</v>
      </c>
      <c r="T1053" s="605" t="s">
        <v>310</v>
      </c>
    </row>
    <row r="1054" spans="1:20" ht="72" x14ac:dyDescent="0.2">
      <c r="A1054" s="510">
        <f>IF(B1054="","",COUNT('Diário 1º PA'!$A$4:$A$2635)+ROW()-3)</f>
        <v>2787</v>
      </c>
      <c r="B1054" s="414">
        <v>44690</v>
      </c>
      <c r="C1054" s="592">
        <v>44621</v>
      </c>
      <c r="D1054" s="415" t="s">
        <v>468</v>
      </c>
      <c r="E1054" s="415" t="s">
        <v>468</v>
      </c>
      <c r="F1054" s="673">
        <v>52.15</v>
      </c>
      <c r="G1054" s="640" t="s">
        <v>5045</v>
      </c>
      <c r="H1054" s="419" t="s">
        <v>468</v>
      </c>
      <c r="I1054" s="427" t="s">
        <v>764</v>
      </c>
      <c r="J1054" s="415" t="s">
        <v>310</v>
      </c>
      <c r="K1054" s="415" t="s">
        <v>1220</v>
      </c>
      <c r="L1054" s="415" t="s">
        <v>3443</v>
      </c>
      <c r="M1054" s="613">
        <v>222106859395</v>
      </c>
      <c r="N1054" s="414">
        <v>44690</v>
      </c>
      <c r="O1054" s="414" t="s">
        <v>407</v>
      </c>
      <c r="P1054" s="603">
        <f t="shared" si="131"/>
        <v>5</v>
      </c>
      <c r="Q1054" s="603">
        <f t="shared" si="132"/>
        <v>3</v>
      </c>
      <c r="R1054" s="604" t="str">
        <f t="shared" si="133"/>
        <v>Gastos_custeados_por_captação</v>
      </c>
      <c r="S1054" s="605" t="s">
        <v>310</v>
      </c>
      <c r="T1054" s="605" t="s">
        <v>310</v>
      </c>
    </row>
    <row r="1055" spans="1:20" ht="72" x14ac:dyDescent="0.2">
      <c r="A1055" s="510">
        <f>IF(B1055="","",COUNT('Diário 1º PA'!$A$4:$A$2635)+ROW()-3)</f>
        <v>2788</v>
      </c>
      <c r="B1055" s="414">
        <v>44690</v>
      </c>
      <c r="C1055" s="592">
        <v>44621</v>
      </c>
      <c r="D1055" s="415" t="s">
        <v>468</v>
      </c>
      <c r="E1055" s="415" t="s">
        <v>468</v>
      </c>
      <c r="F1055" s="673">
        <v>52.15</v>
      </c>
      <c r="G1055" s="640" t="s">
        <v>5046</v>
      </c>
      <c r="H1055" s="419" t="s">
        <v>468</v>
      </c>
      <c r="I1055" s="427" t="s">
        <v>764</v>
      </c>
      <c r="J1055" s="415" t="s">
        <v>310</v>
      </c>
      <c r="K1055" s="415" t="s">
        <v>1220</v>
      </c>
      <c r="L1055" s="415" t="s">
        <v>3443</v>
      </c>
      <c r="M1055" s="613">
        <v>222106857014</v>
      </c>
      <c r="N1055" s="414">
        <v>44690</v>
      </c>
      <c r="O1055" s="414" t="s">
        <v>407</v>
      </c>
      <c r="P1055" s="603">
        <f t="shared" si="131"/>
        <v>5</v>
      </c>
      <c r="Q1055" s="603">
        <f t="shared" si="132"/>
        <v>3</v>
      </c>
      <c r="R1055" s="604" t="str">
        <f t="shared" si="133"/>
        <v>Gastos_custeados_por_captação</v>
      </c>
      <c r="S1055" s="605" t="s">
        <v>310</v>
      </c>
      <c r="T1055" s="605" t="s">
        <v>310</v>
      </c>
    </row>
    <row r="1056" spans="1:20" ht="72" x14ac:dyDescent="0.2">
      <c r="A1056" s="510">
        <f>IF(B1056="","",COUNT('Diário 1º PA'!$A$4:$A$2635)+ROW()-3)</f>
        <v>2789</v>
      </c>
      <c r="B1056" s="414">
        <v>44690</v>
      </c>
      <c r="C1056" s="592">
        <v>44621</v>
      </c>
      <c r="D1056" s="415" t="s">
        <v>468</v>
      </c>
      <c r="E1056" s="415" t="s">
        <v>468</v>
      </c>
      <c r="F1056" s="673">
        <v>52.15</v>
      </c>
      <c r="G1056" s="640" t="s">
        <v>5047</v>
      </c>
      <c r="H1056" s="419" t="s">
        <v>468</v>
      </c>
      <c r="I1056" s="427" t="s">
        <v>764</v>
      </c>
      <c r="J1056" s="415" t="s">
        <v>310</v>
      </c>
      <c r="K1056" s="415" t="s">
        <v>1220</v>
      </c>
      <c r="L1056" s="415" t="s">
        <v>3443</v>
      </c>
      <c r="M1056" s="613">
        <v>222106857600</v>
      </c>
      <c r="N1056" s="414">
        <v>44690</v>
      </c>
      <c r="O1056" s="414" t="s">
        <v>407</v>
      </c>
      <c r="P1056" s="603">
        <f t="shared" si="131"/>
        <v>5</v>
      </c>
      <c r="Q1056" s="603">
        <f t="shared" si="132"/>
        <v>3</v>
      </c>
      <c r="R1056" s="604" t="str">
        <f t="shared" si="133"/>
        <v>Gastos_custeados_por_captação</v>
      </c>
      <c r="S1056" s="605" t="s">
        <v>310</v>
      </c>
      <c r="T1056" s="605" t="s">
        <v>310</v>
      </c>
    </row>
    <row r="1057" spans="1:20" ht="72" x14ac:dyDescent="0.2">
      <c r="A1057" s="510">
        <f>IF(B1057="","",COUNT('Diário 1º PA'!$A$4:$A$2635)+ROW()-3)</f>
        <v>2790</v>
      </c>
      <c r="B1057" s="414">
        <v>44690</v>
      </c>
      <c r="C1057" s="592">
        <v>44621</v>
      </c>
      <c r="D1057" s="415" t="s">
        <v>468</v>
      </c>
      <c r="E1057" s="415" t="s">
        <v>468</v>
      </c>
      <c r="F1057" s="673">
        <v>596</v>
      </c>
      <c r="G1057" s="640" t="s">
        <v>5048</v>
      </c>
      <c r="H1057" s="419" t="s">
        <v>468</v>
      </c>
      <c r="I1057" s="427" t="s">
        <v>764</v>
      </c>
      <c r="J1057" s="415" t="s">
        <v>310</v>
      </c>
      <c r="K1057" s="415" t="s">
        <v>1220</v>
      </c>
      <c r="L1057" s="415" t="s">
        <v>3443</v>
      </c>
      <c r="M1057" s="613">
        <v>222106822067</v>
      </c>
      <c r="N1057" s="414">
        <v>44690</v>
      </c>
      <c r="O1057" s="414" t="s">
        <v>407</v>
      </c>
      <c r="P1057" s="603">
        <f t="shared" si="131"/>
        <v>5</v>
      </c>
      <c r="Q1057" s="603">
        <f t="shared" si="132"/>
        <v>3</v>
      </c>
      <c r="R1057" s="604" t="str">
        <f t="shared" si="133"/>
        <v>Gastos_custeados_por_captação</v>
      </c>
      <c r="S1057" s="605" t="s">
        <v>310</v>
      </c>
      <c r="T1057" s="605" t="s">
        <v>310</v>
      </c>
    </row>
    <row r="1058" spans="1:20" ht="72" x14ac:dyDescent="0.2">
      <c r="A1058" s="510">
        <f>IF(B1058="","",COUNT('Diário 1º PA'!$A$4:$A$2635)+ROW()-3)</f>
        <v>2791</v>
      </c>
      <c r="B1058" s="414">
        <v>44690</v>
      </c>
      <c r="C1058" s="592">
        <v>44621</v>
      </c>
      <c r="D1058" s="415" t="s">
        <v>468</v>
      </c>
      <c r="E1058" s="415" t="s">
        <v>468</v>
      </c>
      <c r="F1058" s="673">
        <v>52.15</v>
      </c>
      <c r="G1058" s="640" t="s">
        <v>5049</v>
      </c>
      <c r="H1058" s="419" t="s">
        <v>468</v>
      </c>
      <c r="I1058" s="427" t="s">
        <v>764</v>
      </c>
      <c r="J1058" s="415" t="s">
        <v>310</v>
      </c>
      <c r="K1058" s="415" t="s">
        <v>1220</v>
      </c>
      <c r="L1058" s="415" t="s">
        <v>3443</v>
      </c>
      <c r="M1058" s="613">
        <v>222106857871</v>
      </c>
      <c r="N1058" s="414">
        <v>44690</v>
      </c>
      <c r="O1058" s="414" t="s">
        <v>407</v>
      </c>
      <c r="P1058" s="603">
        <f t="shared" si="131"/>
        <v>5</v>
      </c>
      <c r="Q1058" s="603">
        <f t="shared" si="132"/>
        <v>3</v>
      </c>
      <c r="R1058" s="604" t="str">
        <f t="shared" si="133"/>
        <v>Gastos_custeados_por_captação</v>
      </c>
      <c r="S1058" s="605" t="s">
        <v>310</v>
      </c>
      <c r="T1058" s="605" t="s">
        <v>310</v>
      </c>
    </row>
    <row r="1059" spans="1:20" ht="72" x14ac:dyDescent="0.2">
      <c r="A1059" s="510">
        <f>IF(B1059="","",COUNT('Diário 1º PA'!$A$4:$A$2635)+ROW()-3)</f>
        <v>2792</v>
      </c>
      <c r="B1059" s="414">
        <v>44690</v>
      </c>
      <c r="C1059" s="592">
        <v>44621</v>
      </c>
      <c r="D1059" s="415" t="s">
        <v>468</v>
      </c>
      <c r="E1059" s="415" t="s">
        <v>468</v>
      </c>
      <c r="F1059" s="673">
        <v>52.15</v>
      </c>
      <c r="G1059" s="640" t="s">
        <v>5050</v>
      </c>
      <c r="H1059" s="419" t="s">
        <v>468</v>
      </c>
      <c r="I1059" s="427" t="s">
        <v>764</v>
      </c>
      <c r="J1059" s="415" t="s">
        <v>310</v>
      </c>
      <c r="K1059" s="415" t="s">
        <v>1220</v>
      </c>
      <c r="L1059" s="415" t="s">
        <v>3443</v>
      </c>
      <c r="M1059" s="613">
        <v>222106842505</v>
      </c>
      <c r="N1059" s="414">
        <v>44690</v>
      </c>
      <c r="O1059" s="414" t="s">
        <v>407</v>
      </c>
      <c r="P1059" s="603">
        <f t="shared" si="131"/>
        <v>5</v>
      </c>
      <c r="Q1059" s="603">
        <f t="shared" si="132"/>
        <v>3</v>
      </c>
      <c r="R1059" s="604" t="str">
        <f t="shared" si="133"/>
        <v>Gastos_custeados_por_captação</v>
      </c>
      <c r="S1059" s="605" t="s">
        <v>310</v>
      </c>
      <c r="T1059" s="605" t="s">
        <v>310</v>
      </c>
    </row>
    <row r="1060" spans="1:20" ht="72" x14ac:dyDescent="0.2">
      <c r="A1060" s="510">
        <f>IF(B1060="","",COUNT('Diário 1º PA'!$A$4:$A$2635)+ROW()-3)</f>
        <v>2793</v>
      </c>
      <c r="B1060" s="414">
        <v>44690</v>
      </c>
      <c r="C1060" s="592">
        <v>44621</v>
      </c>
      <c r="D1060" s="415" t="s">
        <v>468</v>
      </c>
      <c r="E1060" s="415" t="s">
        <v>468</v>
      </c>
      <c r="F1060" s="673">
        <v>11.55</v>
      </c>
      <c r="G1060" s="640" t="s">
        <v>5051</v>
      </c>
      <c r="H1060" s="419" t="s">
        <v>468</v>
      </c>
      <c r="I1060" s="427" t="s">
        <v>764</v>
      </c>
      <c r="J1060" s="415" t="s">
        <v>310</v>
      </c>
      <c r="K1060" s="415" t="s">
        <v>1220</v>
      </c>
      <c r="L1060" s="415" t="s">
        <v>3443</v>
      </c>
      <c r="M1060" s="613">
        <v>222106859904</v>
      </c>
      <c r="N1060" s="414">
        <v>44690</v>
      </c>
      <c r="O1060" s="414" t="s">
        <v>407</v>
      </c>
      <c r="P1060" s="603">
        <f t="shared" si="131"/>
        <v>5</v>
      </c>
      <c r="Q1060" s="603">
        <f t="shared" si="132"/>
        <v>3</v>
      </c>
      <c r="R1060" s="604" t="str">
        <f t="shared" si="133"/>
        <v>Gastos_custeados_por_captação</v>
      </c>
      <c r="S1060" s="605" t="s">
        <v>310</v>
      </c>
      <c r="T1060" s="605" t="s">
        <v>310</v>
      </c>
    </row>
    <row r="1061" spans="1:20" ht="72" x14ac:dyDescent="0.2">
      <c r="A1061" s="510">
        <f>IF(B1061="","",COUNT('Diário 1º PA'!$A$4:$A$2635)+ROW()-3)</f>
        <v>2794</v>
      </c>
      <c r="B1061" s="414">
        <v>44690</v>
      </c>
      <c r="C1061" s="592">
        <v>44621</v>
      </c>
      <c r="D1061" s="415" t="s">
        <v>468</v>
      </c>
      <c r="E1061" s="415" t="s">
        <v>468</v>
      </c>
      <c r="F1061" s="673">
        <v>50</v>
      </c>
      <c r="G1061" s="640" t="s">
        <v>5052</v>
      </c>
      <c r="H1061" s="419" t="s">
        <v>468</v>
      </c>
      <c r="I1061" s="427" t="s">
        <v>764</v>
      </c>
      <c r="J1061" s="415" t="s">
        <v>310</v>
      </c>
      <c r="K1061" s="415" t="s">
        <v>1220</v>
      </c>
      <c r="L1061" s="415" t="s">
        <v>3443</v>
      </c>
      <c r="M1061" s="613">
        <v>222106861046</v>
      </c>
      <c r="N1061" s="414">
        <v>44690</v>
      </c>
      <c r="O1061" s="414" t="s">
        <v>407</v>
      </c>
      <c r="P1061" s="603">
        <f t="shared" si="131"/>
        <v>5</v>
      </c>
      <c r="Q1061" s="603">
        <f t="shared" si="132"/>
        <v>3</v>
      </c>
      <c r="R1061" s="604" t="str">
        <f t="shared" si="133"/>
        <v>Gastos_custeados_por_captação</v>
      </c>
      <c r="S1061" s="605" t="s">
        <v>310</v>
      </c>
      <c r="T1061" s="605" t="s">
        <v>310</v>
      </c>
    </row>
    <row r="1062" spans="1:20" ht="72" x14ac:dyDescent="0.2">
      <c r="A1062" s="510">
        <f>IF(B1062="","",COUNT('Diário 1º PA'!$A$4:$A$2635)+ROW()-3)</f>
        <v>2795</v>
      </c>
      <c r="B1062" s="414">
        <v>44690</v>
      </c>
      <c r="C1062" s="592">
        <v>44621</v>
      </c>
      <c r="D1062" s="415" t="s">
        <v>468</v>
      </c>
      <c r="E1062" s="415" t="s">
        <v>468</v>
      </c>
      <c r="F1062" s="673">
        <v>52.15</v>
      </c>
      <c r="G1062" s="640" t="s">
        <v>5053</v>
      </c>
      <c r="H1062" s="419" t="s">
        <v>468</v>
      </c>
      <c r="I1062" s="427" t="s">
        <v>764</v>
      </c>
      <c r="J1062" s="415" t="s">
        <v>310</v>
      </c>
      <c r="K1062" s="415" t="s">
        <v>1220</v>
      </c>
      <c r="L1062" s="415" t="s">
        <v>3443</v>
      </c>
      <c r="M1062" s="613">
        <v>222106851164</v>
      </c>
      <c r="N1062" s="414">
        <v>44690</v>
      </c>
      <c r="O1062" s="414" t="s">
        <v>407</v>
      </c>
      <c r="P1062" s="603">
        <f t="shared" si="131"/>
        <v>5</v>
      </c>
      <c r="Q1062" s="603">
        <f t="shared" si="132"/>
        <v>3</v>
      </c>
      <c r="R1062" s="604" t="str">
        <f t="shared" si="133"/>
        <v>Gastos_custeados_por_captação</v>
      </c>
      <c r="S1062" s="605" t="s">
        <v>310</v>
      </c>
      <c r="T1062" s="605" t="s">
        <v>310</v>
      </c>
    </row>
    <row r="1063" spans="1:20" ht="72" x14ac:dyDescent="0.2">
      <c r="A1063" s="510">
        <f>IF(B1063="","",COUNT('Diário 1º PA'!$A$4:$A$2635)+ROW()-3)</f>
        <v>2796</v>
      </c>
      <c r="B1063" s="414">
        <v>44690</v>
      </c>
      <c r="C1063" s="592">
        <v>44621</v>
      </c>
      <c r="D1063" s="415" t="s">
        <v>468</v>
      </c>
      <c r="E1063" s="415" t="s">
        <v>468</v>
      </c>
      <c r="F1063" s="673">
        <v>44.8</v>
      </c>
      <c r="G1063" s="640" t="s">
        <v>5054</v>
      </c>
      <c r="H1063" s="419" t="s">
        <v>468</v>
      </c>
      <c r="I1063" s="427" t="s">
        <v>764</v>
      </c>
      <c r="J1063" s="415" t="s">
        <v>310</v>
      </c>
      <c r="K1063" s="415" t="s">
        <v>1220</v>
      </c>
      <c r="L1063" s="415" t="s">
        <v>3443</v>
      </c>
      <c r="M1063" s="613">
        <v>222107112144</v>
      </c>
      <c r="N1063" s="414">
        <v>44690</v>
      </c>
      <c r="O1063" s="414" t="s">
        <v>407</v>
      </c>
      <c r="P1063" s="603">
        <f t="shared" si="131"/>
        <v>5</v>
      </c>
      <c r="Q1063" s="603">
        <f t="shared" si="132"/>
        <v>3</v>
      </c>
      <c r="R1063" s="604" t="str">
        <f t="shared" si="133"/>
        <v>Gastos_custeados_por_captação</v>
      </c>
      <c r="S1063" s="605" t="s">
        <v>310</v>
      </c>
      <c r="T1063" s="605" t="s">
        <v>310</v>
      </c>
    </row>
    <row r="1064" spans="1:20" ht="72" x14ac:dyDescent="0.2">
      <c r="A1064" s="510">
        <f>IF(B1064="","",COUNT('Diário 1º PA'!$A$4:$A$2635)+ROW()-3)</f>
        <v>2797</v>
      </c>
      <c r="B1064" s="414">
        <v>44690</v>
      </c>
      <c r="C1064" s="592">
        <v>44621</v>
      </c>
      <c r="D1064" s="415" t="s">
        <v>468</v>
      </c>
      <c r="E1064" s="415" t="s">
        <v>468</v>
      </c>
      <c r="F1064" s="673">
        <v>23.08</v>
      </c>
      <c r="G1064" s="640" t="s">
        <v>5055</v>
      </c>
      <c r="H1064" s="419" t="s">
        <v>468</v>
      </c>
      <c r="I1064" s="427" t="s">
        <v>764</v>
      </c>
      <c r="J1064" s="415" t="s">
        <v>310</v>
      </c>
      <c r="K1064" s="415" t="s">
        <v>1220</v>
      </c>
      <c r="L1064" s="415" t="s">
        <v>3443</v>
      </c>
      <c r="M1064" s="613" t="s">
        <v>5081</v>
      </c>
      <c r="N1064" s="414">
        <v>44690</v>
      </c>
      <c r="O1064" s="414" t="s">
        <v>407</v>
      </c>
      <c r="P1064" s="603">
        <f t="shared" si="131"/>
        <v>5</v>
      </c>
      <c r="Q1064" s="603">
        <f t="shared" si="132"/>
        <v>3</v>
      </c>
      <c r="R1064" s="604" t="str">
        <f t="shared" si="133"/>
        <v>Gastos_custeados_por_captação</v>
      </c>
      <c r="S1064" s="605" t="s">
        <v>310</v>
      </c>
      <c r="T1064" s="605" t="s">
        <v>310</v>
      </c>
    </row>
    <row r="1065" spans="1:20" ht="72" x14ac:dyDescent="0.2">
      <c r="A1065" s="510">
        <f>IF(B1065="","",COUNT('Diário 1º PA'!$A$4:$A$2635)+ROW()-3)</f>
        <v>2798</v>
      </c>
      <c r="B1065" s="414">
        <v>44690</v>
      </c>
      <c r="C1065" s="592">
        <v>44621</v>
      </c>
      <c r="D1065" s="415" t="s">
        <v>468</v>
      </c>
      <c r="E1065" s="415" t="s">
        <v>468</v>
      </c>
      <c r="F1065" s="673">
        <v>1.01</v>
      </c>
      <c r="G1065" s="640" t="s">
        <v>5056</v>
      </c>
      <c r="H1065" s="419" t="s">
        <v>468</v>
      </c>
      <c r="I1065" s="427" t="s">
        <v>764</v>
      </c>
      <c r="J1065" s="415" t="s">
        <v>310</v>
      </c>
      <c r="K1065" s="415" t="s">
        <v>1220</v>
      </c>
      <c r="L1065" s="415" t="s">
        <v>3443</v>
      </c>
      <c r="M1065" s="613">
        <v>222106840553</v>
      </c>
      <c r="N1065" s="414">
        <v>44690</v>
      </c>
      <c r="O1065" s="414" t="s">
        <v>407</v>
      </c>
      <c r="P1065" s="603">
        <f t="shared" si="131"/>
        <v>5</v>
      </c>
      <c r="Q1065" s="603">
        <f t="shared" si="132"/>
        <v>3</v>
      </c>
      <c r="R1065" s="604" t="str">
        <f t="shared" si="133"/>
        <v>Gastos_custeados_por_captação</v>
      </c>
      <c r="S1065" s="605" t="s">
        <v>310</v>
      </c>
      <c r="T1065" s="605" t="s">
        <v>310</v>
      </c>
    </row>
    <row r="1066" spans="1:20" ht="72" x14ac:dyDescent="0.2">
      <c r="A1066" s="510">
        <f>IF(B1066="","",COUNT('Diário 1º PA'!$A$4:$A$2635)+ROW()-3)</f>
        <v>2799</v>
      </c>
      <c r="B1066" s="414">
        <v>44690</v>
      </c>
      <c r="C1066" s="592">
        <v>44621</v>
      </c>
      <c r="D1066" s="415" t="s">
        <v>468</v>
      </c>
      <c r="E1066" s="415" t="s">
        <v>468</v>
      </c>
      <c r="F1066" s="673">
        <v>22.35</v>
      </c>
      <c r="G1066" s="640" t="s">
        <v>5057</v>
      </c>
      <c r="H1066" s="419" t="s">
        <v>468</v>
      </c>
      <c r="I1066" s="427" t="s">
        <v>764</v>
      </c>
      <c r="J1066" s="415" t="s">
        <v>310</v>
      </c>
      <c r="K1066" s="415" t="s">
        <v>1220</v>
      </c>
      <c r="L1066" s="415" t="s">
        <v>3443</v>
      </c>
      <c r="M1066" s="613">
        <v>222106864223</v>
      </c>
      <c r="N1066" s="414">
        <v>44690</v>
      </c>
      <c r="O1066" s="414" t="s">
        <v>407</v>
      </c>
      <c r="P1066" s="603">
        <f t="shared" si="131"/>
        <v>5</v>
      </c>
      <c r="Q1066" s="603">
        <f t="shared" si="132"/>
        <v>3</v>
      </c>
      <c r="R1066" s="604" t="str">
        <f t="shared" si="133"/>
        <v>Gastos_custeados_por_captação</v>
      </c>
      <c r="S1066" s="605" t="s">
        <v>310</v>
      </c>
      <c r="T1066" s="605" t="s">
        <v>310</v>
      </c>
    </row>
    <row r="1067" spans="1:20" ht="72" x14ac:dyDescent="0.2">
      <c r="A1067" s="510">
        <f>IF(B1067="","",COUNT('Diário 1º PA'!$A$4:$A$2635)+ROW()-3)</f>
        <v>2800</v>
      </c>
      <c r="B1067" s="414">
        <v>44690</v>
      </c>
      <c r="C1067" s="592">
        <v>44621</v>
      </c>
      <c r="D1067" s="415" t="s">
        <v>468</v>
      </c>
      <c r="E1067" s="415" t="s">
        <v>468</v>
      </c>
      <c r="F1067" s="673">
        <v>60.3</v>
      </c>
      <c r="G1067" s="640" t="s">
        <v>5058</v>
      </c>
      <c r="H1067" s="419" t="s">
        <v>468</v>
      </c>
      <c r="I1067" s="427" t="s">
        <v>764</v>
      </c>
      <c r="J1067" s="415" t="s">
        <v>310</v>
      </c>
      <c r="K1067" s="415" t="s">
        <v>1220</v>
      </c>
      <c r="L1067" s="415" t="s">
        <v>3443</v>
      </c>
      <c r="M1067" s="613">
        <v>222106888165</v>
      </c>
      <c r="N1067" s="414">
        <v>44690</v>
      </c>
      <c r="O1067" s="414" t="s">
        <v>407</v>
      </c>
      <c r="P1067" s="603">
        <f t="shared" si="131"/>
        <v>5</v>
      </c>
      <c r="Q1067" s="603">
        <f t="shared" si="132"/>
        <v>3</v>
      </c>
      <c r="R1067" s="604" t="str">
        <f t="shared" si="133"/>
        <v>Gastos_custeados_por_captação</v>
      </c>
      <c r="S1067" s="605" t="s">
        <v>310</v>
      </c>
      <c r="T1067" s="605" t="s">
        <v>310</v>
      </c>
    </row>
    <row r="1068" spans="1:20" ht="72" x14ac:dyDescent="0.2">
      <c r="A1068" s="510">
        <f>IF(B1068="","",COUNT('Diário 1º PA'!$A$4:$A$2635)+ROW()-3)</f>
        <v>2801</v>
      </c>
      <c r="B1068" s="414">
        <v>44690</v>
      </c>
      <c r="C1068" s="592">
        <v>44621</v>
      </c>
      <c r="D1068" s="415" t="s">
        <v>468</v>
      </c>
      <c r="E1068" s="415" t="s">
        <v>468</v>
      </c>
      <c r="F1068" s="673">
        <v>52.15</v>
      </c>
      <c r="G1068" s="640" t="s">
        <v>5059</v>
      </c>
      <c r="H1068" s="419" t="s">
        <v>468</v>
      </c>
      <c r="I1068" s="427" t="s">
        <v>764</v>
      </c>
      <c r="J1068" s="415" t="s">
        <v>310</v>
      </c>
      <c r="K1068" s="415" t="s">
        <v>1220</v>
      </c>
      <c r="L1068" s="415" t="s">
        <v>3443</v>
      </c>
      <c r="M1068" s="613">
        <v>222106858924</v>
      </c>
      <c r="N1068" s="414">
        <v>44690</v>
      </c>
      <c r="O1068" s="414" t="s">
        <v>407</v>
      </c>
      <c r="P1068" s="603">
        <f t="shared" si="131"/>
        <v>5</v>
      </c>
      <c r="Q1068" s="603">
        <f t="shared" si="132"/>
        <v>3</v>
      </c>
      <c r="R1068" s="604" t="str">
        <f t="shared" si="133"/>
        <v>Gastos_custeados_por_captação</v>
      </c>
      <c r="S1068" s="605" t="s">
        <v>310</v>
      </c>
      <c r="T1068" s="605" t="s">
        <v>310</v>
      </c>
    </row>
    <row r="1069" spans="1:20" ht="72" x14ac:dyDescent="0.2">
      <c r="A1069" s="510">
        <f>IF(B1069="","",COUNT('Diário 1º PA'!$A$4:$A$2635)+ROW()-3)</f>
        <v>2802</v>
      </c>
      <c r="B1069" s="414">
        <v>44690</v>
      </c>
      <c r="C1069" s="592">
        <v>44621</v>
      </c>
      <c r="D1069" s="415" t="s">
        <v>468</v>
      </c>
      <c r="E1069" s="415" t="s">
        <v>468</v>
      </c>
      <c r="F1069" s="673">
        <v>36</v>
      </c>
      <c r="G1069" s="640" t="s">
        <v>5060</v>
      </c>
      <c r="H1069" s="419" t="s">
        <v>468</v>
      </c>
      <c r="I1069" s="427" t="s">
        <v>764</v>
      </c>
      <c r="J1069" s="415" t="s">
        <v>310</v>
      </c>
      <c r="K1069" s="415" t="s">
        <v>1220</v>
      </c>
      <c r="L1069" s="415" t="s">
        <v>3443</v>
      </c>
      <c r="M1069" s="613">
        <v>222106826054</v>
      </c>
      <c r="N1069" s="414">
        <v>44690</v>
      </c>
      <c r="O1069" s="414" t="s">
        <v>407</v>
      </c>
      <c r="P1069" s="603">
        <f t="shared" si="131"/>
        <v>5</v>
      </c>
      <c r="Q1069" s="603">
        <f t="shared" si="132"/>
        <v>3</v>
      </c>
      <c r="R1069" s="604" t="str">
        <f t="shared" si="133"/>
        <v>Gastos_custeados_por_captação</v>
      </c>
      <c r="S1069" s="605" t="s">
        <v>310</v>
      </c>
      <c r="T1069" s="605" t="s">
        <v>310</v>
      </c>
    </row>
    <row r="1070" spans="1:20" ht="72" x14ac:dyDescent="0.2">
      <c r="A1070" s="510">
        <f>IF(B1070="","",COUNT('Diário 1º PA'!$A$4:$A$2635)+ROW()-3)</f>
        <v>2803</v>
      </c>
      <c r="B1070" s="414">
        <v>44690</v>
      </c>
      <c r="C1070" s="592">
        <v>44621</v>
      </c>
      <c r="D1070" s="415" t="s">
        <v>468</v>
      </c>
      <c r="E1070" s="415" t="s">
        <v>468</v>
      </c>
      <c r="F1070" s="673">
        <v>200</v>
      </c>
      <c r="G1070" s="640" t="s">
        <v>5061</v>
      </c>
      <c r="H1070" s="419" t="s">
        <v>468</v>
      </c>
      <c r="I1070" s="427" t="s">
        <v>764</v>
      </c>
      <c r="J1070" s="415" t="s">
        <v>310</v>
      </c>
      <c r="K1070" s="415" t="s">
        <v>1220</v>
      </c>
      <c r="L1070" s="415" t="s">
        <v>3443</v>
      </c>
      <c r="M1070" s="613">
        <v>222106822903</v>
      </c>
      <c r="N1070" s="414">
        <v>44690</v>
      </c>
      <c r="O1070" s="414" t="s">
        <v>407</v>
      </c>
      <c r="P1070" s="603">
        <f t="shared" si="131"/>
        <v>5</v>
      </c>
      <c r="Q1070" s="603">
        <f t="shared" si="132"/>
        <v>3</v>
      </c>
      <c r="R1070" s="604" t="str">
        <f t="shared" si="133"/>
        <v>Gastos_custeados_por_captação</v>
      </c>
      <c r="S1070" s="605" t="s">
        <v>310</v>
      </c>
      <c r="T1070" s="605" t="s">
        <v>310</v>
      </c>
    </row>
    <row r="1071" spans="1:20" ht="72" x14ac:dyDescent="0.2">
      <c r="A1071" s="510">
        <f>IF(B1071="","",COUNT('Diário 1º PA'!$A$4:$A$2635)+ROW()-3)</f>
        <v>2804</v>
      </c>
      <c r="B1071" s="414">
        <v>44690</v>
      </c>
      <c r="C1071" s="592">
        <v>44621</v>
      </c>
      <c r="D1071" s="415" t="s">
        <v>468</v>
      </c>
      <c r="E1071" s="415" t="s">
        <v>468</v>
      </c>
      <c r="F1071" s="673">
        <v>52.15</v>
      </c>
      <c r="G1071" s="640" t="s">
        <v>5062</v>
      </c>
      <c r="H1071" s="419" t="s">
        <v>468</v>
      </c>
      <c r="I1071" s="427" t="s">
        <v>764</v>
      </c>
      <c r="J1071" s="415" t="s">
        <v>310</v>
      </c>
      <c r="K1071" s="415" t="s">
        <v>1220</v>
      </c>
      <c r="L1071" s="415" t="s">
        <v>3443</v>
      </c>
      <c r="M1071" s="613">
        <v>222106859068</v>
      </c>
      <c r="N1071" s="414">
        <v>44690</v>
      </c>
      <c r="O1071" s="414" t="s">
        <v>407</v>
      </c>
      <c r="P1071" s="603">
        <f t="shared" si="131"/>
        <v>5</v>
      </c>
      <c r="Q1071" s="603">
        <f t="shared" si="132"/>
        <v>3</v>
      </c>
      <c r="R1071" s="604" t="str">
        <f t="shared" si="133"/>
        <v>Gastos_custeados_por_captação</v>
      </c>
      <c r="S1071" s="605" t="s">
        <v>310</v>
      </c>
      <c r="T1071" s="605" t="s">
        <v>310</v>
      </c>
    </row>
    <row r="1072" spans="1:20" ht="72" x14ac:dyDescent="0.2">
      <c r="A1072" s="510">
        <f>IF(B1072="","",COUNT('Diário 1º PA'!$A$4:$A$2635)+ROW()-3)</f>
        <v>2805</v>
      </c>
      <c r="B1072" s="414">
        <v>44690</v>
      </c>
      <c r="C1072" s="592">
        <v>44621</v>
      </c>
      <c r="D1072" s="415" t="s">
        <v>468</v>
      </c>
      <c r="E1072" s="415" t="s">
        <v>468</v>
      </c>
      <c r="F1072" s="673">
        <v>52.15</v>
      </c>
      <c r="G1072" s="640" t="s">
        <v>5063</v>
      </c>
      <c r="H1072" s="419" t="s">
        <v>468</v>
      </c>
      <c r="I1072" s="427" t="s">
        <v>764</v>
      </c>
      <c r="J1072" s="415" t="s">
        <v>310</v>
      </c>
      <c r="K1072" s="415" t="s">
        <v>1220</v>
      </c>
      <c r="L1072" s="415" t="s">
        <v>3443</v>
      </c>
      <c r="M1072" s="613">
        <v>222106859300</v>
      </c>
      <c r="N1072" s="414">
        <v>44690</v>
      </c>
      <c r="O1072" s="414" t="s">
        <v>407</v>
      </c>
      <c r="P1072" s="603">
        <f t="shared" si="131"/>
        <v>5</v>
      </c>
      <c r="Q1072" s="603">
        <f t="shared" si="132"/>
        <v>3</v>
      </c>
      <c r="R1072" s="604" t="str">
        <f t="shared" si="133"/>
        <v>Gastos_custeados_por_captação</v>
      </c>
      <c r="S1072" s="605" t="s">
        <v>310</v>
      </c>
      <c r="T1072" s="605" t="s">
        <v>310</v>
      </c>
    </row>
    <row r="1073" spans="1:20" ht="72" x14ac:dyDescent="0.2">
      <c r="A1073" s="510">
        <f>IF(B1073="","",COUNT('Diário 1º PA'!$A$4:$A$2635)+ROW()-3)</f>
        <v>2806</v>
      </c>
      <c r="B1073" s="414">
        <v>44690</v>
      </c>
      <c r="C1073" s="592">
        <v>44621</v>
      </c>
      <c r="D1073" s="415" t="s">
        <v>468</v>
      </c>
      <c r="E1073" s="415" t="s">
        <v>468</v>
      </c>
      <c r="F1073" s="673">
        <v>23.7</v>
      </c>
      <c r="G1073" s="640" t="s">
        <v>5064</v>
      </c>
      <c r="H1073" s="419" t="s">
        <v>468</v>
      </c>
      <c r="I1073" s="427" t="s">
        <v>764</v>
      </c>
      <c r="J1073" s="415" t="s">
        <v>310</v>
      </c>
      <c r="K1073" s="415" t="s">
        <v>1220</v>
      </c>
      <c r="L1073" s="415" t="s">
        <v>3443</v>
      </c>
      <c r="M1073" s="613">
        <v>22106843498</v>
      </c>
      <c r="N1073" s="414">
        <v>44690</v>
      </c>
      <c r="O1073" s="414" t="s">
        <v>407</v>
      </c>
      <c r="P1073" s="603">
        <f t="shared" si="131"/>
        <v>5</v>
      </c>
      <c r="Q1073" s="603">
        <f t="shared" si="132"/>
        <v>3</v>
      </c>
      <c r="R1073" s="604" t="str">
        <f t="shared" si="133"/>
        <v>Gastos_custeados_por_captação</v>
      </c>
      <c r="S1073" s="605" t="s">
        <v>310</v>
      </c>
      <c r="T1073" s="605" t="s">
        <v>310</v>
      </c>
    </row>
    <row r="1074" spans="1:20" ht="72" x14ac:dyDescent="0.2">
      <c r="A1074" s="510">
        <f>IF(B1074="","",COUNT('Diário 1º PA'!$A$4:$A$2635)+ROW()-3)</f>
        <v>2807</v>
      </c>
      <c r="B1074" s="414">
        <v>44690</v>
      </c>
      <c r="C1074" s="592">
        <v>44621</v>
      </c>
      <c r="D1074" s="415" t="s">
        <v>468</v>
      </c>
      <c r="E1074" s="415" t="s">
        <v>468</v>
      </c>
      <c r="F1074" s="673">
        <v>52.15</v>
      </c>
      <c r="G1074" s="640" t="s">
        <v>5065</v>
      </c>
      <c r="H1074" s="419" t="s">
        <v>468</v>
      </c>
      <c r="I1074" s="427" t="s">
        <v>764</v>
      </c>
      <c r="J1074" s="415" t="s">
        <v>310</v>
      </c>
      <c r="K1074" s="415" t="s">
        <v>1220</v>
      </c>
      <c r="L1074" s="415" t="s">
        <v>3443</v>
      </c>
      <c r="M1074" s="613">
        <v>222106861399</v>
      </c>
      <c r="N1074" s="414">
        <v>44690</v>
      </c>
      <c r="O1074" s="414" t="s">
        <v>407</v>
      </c>
      <c r="P1074" s="603">
        <f t="shared" si="131"/>
        <v>5</v>
      </c>
      <c r="Q1074" s="603">
        <f t="shared" si="132"/>
        <v>3</v>
      </c>
      <c r="R1074" s="604" t="str">
        <f t="shared" si="133"/>
        <v>Gastos_custeados_por_captação</v>
      </c>
      <c r="S1074" s="605" t="s">
        <v>310</v>
      </c>
      <c r="T1074" s="605" t="s">
        <v>310</v>
      </c>
    </row>
    <row r="1075" spans="1:20" ht="72" x14ac:dyDescent="0.2">
      <c r="A1075" s="510">
        <f>IF(B1075="","",COUNT('Diário 1º PA'!$A$4:$A$2635)+ROW()-3)</f>
        <v>2808</v>
      </c>
      <c r="B1075" s="414">
        <v>44690</v>
      </c>
      <c r="C1075" s="592">
        <v>44621</v>
      </c>
      <c r="D1075" s="415" t="s">
        <v>468</v>
      </c>
      <c r="E1075" s="415" t="s">
        <v>468</v>
      </c>
      <c r="F1075" s="673">
        <v>34.5</v>
      </c>
      <c r="G1075" s="640" t="s">
        <v>5066</v>
      </c>
      <c r="H1075" s="419" t="s">
        <v>468</v>
      </c>
      <c r="I1075" s="427" t="s">
        <v>764</v>
      </c>
      <c r="J1075" s="415" t="s">
        <v>310</v>
      </c>
      <c r="K1075" s="415" t="s">
        <v>1220</v>
      </c>
      <c r="L1075" s="415" t="s">
        <v>3443</v>
      </c>
      <c r="M1075" s="613">
        <v>222106825406</v>
      </c>
      <c r="N1075" s="414">
        <v>44690</v>
      </c>
      <c r="O1075" s="414" t="s">
        <v>407</v>
      </c>
      <c r="P1075" s="603">
        <f t="shared" si="131"/>
        <v>5</v>
      </c>
      <c r="Q1075" s="603">
        <f t="shared" si="132"/>
        <v>3</v>
      </c>
      <c r="R1075" s="604" t="str">
        <f t="shared" si="133"/>
        <v>Gastos_custeados_por_captação</v>
      </c>
      <c r="S1075" s="605" t="s">
        <v>310</v>
      </c>
      <c r="T1075" s="605" t="s">
        <v>310</v>
      </c>
    </row>
    <row r="1076" spans="1:20" ht="72" x14ac:dyDescent="0.2">
      <c r="A1076" s="510">
        <f>IF(B1076="","",COUNT('Diário 1º PA'!$A$4:$A$2635)+ROW()-3)</f>
        <v>2809</v>
      </c>
      <c r="B1076" s="414">
        <v>44690</v>
      </c>
      <c r="C1076" s="592">
        <v>44621</v>
      </c>
      <c r="D1076" s="415" t="s">
        <v>468</v>
      </c>
      <c r="E1076" s="415" t="s">
        <v>468</v>
      </c>
      <c r="F1076" s="673">
        <v>14.9</v>
      </c>
      <c r="G1076" s="640" t="s">
        <v>5067</v>
      </c>
      <c r="H1076" s="419" t="s">
        <v>468</v>
      </c>
      <c r="I1076" s="427" t="s">
        <v>764</v>
      </c>
      <c r="J1076" s="415" t="s">
        <v>310</v>
      </c>
      <c r="K1076" s="415" t="s">
        <v>1220</v>
      </c>
      <c r="L1076" s="415" t="s">
        <v>3443</v>
      </c>
      <c r="M1076" s="613">
        <v>222106863928</v>
      </c>
      <c r="N1076" s="414">
        <v>44690</v>
      </c>
      <c r="O1076" s="414" t="s">
        <v>407</v>
      </c>
      <c r="P1076" s="603">
        <f t="shared" si="131"/>
        <v>5</v>
      </c>
      <c r="Q1076" s="603">
        <f t="shared" si="132"/>
        <v>3</v>
      </c>
      <c r="R1076" s="604" t="str">
        <f t="shared" si="133"/>
        <v>Gastos_custeados_por_captação</v>
      </c>
      <c r="S1076" s="605" t="s">
        <v>310</v>
      </c>
      <c r="T1076" s="605" t="s">
        <v>310</v>
      </c>
    </row>
    <row r="1077" spans="1:20" ht="72" x14ac:dyDescent="0.2">
      <c r="A1077" s="510">
        <f>IF(B1077="","",COUNT('Diário 1º PA'!$A$4:$A$2635)+ROW()-3)</f>
        <v>2810</v>
      </c>
      <c r="B1077" s="414">
        <v>44690</v>
      </c>
      <c r="C1077" s="592">
        <v>44621</v>
      </c>
      <c r="D1077" s="415" t="s">
        <v>468</v>
      </c>
      <c r="E1077" s="415" t="s">
        <v>468</v>
      </c>
      <c r="F1077" s="673">
        <v>52.85</v>
      </c>
      <c r="G1077" s="640" t="s">
        <v>5068</v>
      </c>
      <c r="H1077" s="419" t="s">
        <v>468</v>
      </c>
      <c r="I1077" s="427" t="s">
        <v>764</v>
      </c>
      <c r="J1077" s="415" t="s">
        <v>310</v>
      </c>
      <c r="K1077" s="415" t="s">
        <v>1220</v>
      </c>
      <c r="L1077" s="415" t="s">
        <v>3443</v>
      </c>
      <c r="M1077" s="613">
        <v>222106857367</v>
      </c>
      <c r="N1077" s="414">
        <v>44690</v>
      </c>
      <c r="O1077" s="414" t="s">
        <v>407</v>
      </c>
      <c r="P1077" s="603">
        <f t="shared" si="131"/>
        <v>5</v>
      </c>
      <c r="Q1077" s="603">
        <f t="shared" si="132"/>
        <v>3</v>
      </c>
      <c r="R1077" s="604" t="str">
        <f t="shared" si="133"/>
        <v>Gastos_custeados_por_captação</v>
      </c>
      <c r="S1077" s="605" t="s">
        <v>310</v>
      </c>
      <c r="T1077" s="605" t="s">
        <v>310</v>
      </c>
    </row>
    <row r="1078" spans="1:20" ht="72" x14ac:dyDescent="0.2">
      <c r="A1078" s="510">
        <f>IF(B1078="","",COUNT('Diário 1º PA'!$A$4:$A$2635)+ROW()-3)</f>
        <v>2811</v>
      </c>
      <c r="B1078" s="414">
        <v>44690</v>
      </c>
      <c r="C1078" s="592">
        <v>44621</v>
      </c>
      <c r="D1078" s="415" t="s">
        <v>468</v>
      </c>
      <c r="E1078" s="415" t="s">
        <v>468</v>
      </c>
      <c r="F1078" s="673">
        <v>52.15</v>
      </c>
      <c r="G1078" s="640" t="s">
        <v>5069</v>
      </c>
      <c r="H1078" s="419" t="s">
        <v>468</v>
      </c>
      <c r="I1078" s="427" t="s">
        <v>764</v>
      </c>
      <c r="J1078" s="415" t="s">
        <v>310</v>
      </c>
      <c r="K1078" s="415" t="s">
        <v>1220</v>
      </c>
      <c r="L1078" s="415" t="s">
        <v>3443</v>
      </c>
      <c r="M1078" s="613">
        <v>222106861631</v>
      </c>
      <c r="N1078" s="414">
        <v>44690</v>
      </c>
      <c r="O1078" s="414" t="s">
        <v>407</v>
      </c>
      <c r="P1078" s="603">
        <f t="shared" si="131"/>
        <v>5</v>
      </c>
      <c r="Q1078" s="603">
        <f t="shared" si="132"/>
        <v>3</v>
      </c>
      <c r="R1078" s="604" t="str">
        <f t="shared" si="133"/>
        <v>Gastos_custeados_por_captação</v>
      </c>
      <c r="S1078" s="605" t="s">
        <v>310</v>
      </c>
      <c r="T1078" s="605" t="s">
        <v>310</v>
      </c>
    </row>
    <row r="1079" spans="1:20" ht="72" x14ac:dyDescent="0.2">
      <c r="A1079" s="510">
        <f>IF(B1079="","",COUNT('Diário 1º PA'!$A$4:$A$2635)+ROW()-3)</f>
        <v>2812</v>
      </c>
      <c r="B1079" s="414">
        <v>44690</v>
      </c>
      <c r="C1079" s="592">
        <v>44621</v>
      </c>
      <c r="D1079" s="415" t="s">
        <v>468</v>
      </c>
      <c r="E1079" s="415" t="s">
        <v>468</v>
      </c>
      <c r="F1079" s="673">
        <v>52.15</v>
      </c>
      <c r="G1079" s="640" t="s">
        <v>5070</v>
      </c>
      <c r="H1079" s="419" t="s">
        <v>468</v>
      </c>
      <c r="I1079" s="427" t="s">
        <v>764</v>
      </c>
      <c r="J1079" s="415" t="s">
        <v>310</v>
      </c>
      <c r="K1079" s="415" t="s">
        <v>1220</v>
      </c>
      <c r="L1079" s="415" t="s">
        <v>3443</v>
      </c>
      <c r="M1079" s="613">
        <v>222106862522</v>
      </c>
      <c r="N1079" s="414">
        <v>44690</v>
      </c>
      <c r="O1079" s="414" t="s">
        <v>407</v>
      </c>
      <c r="P1079" s="603">
        <f t="shared" si="131"/>
        <v>5</v>
      </c>
      <c r="Q1079" s="603">
        <f t="shared" si="132"/>
        <v>3</v>
      </c>
      <c r="R1079" s="604" t="str">
        <f t="shared" si="133"/>
        <v>Gastos_custeados_por_captação</v>
      </c>
      <c r="S1079" s="605" t="s">
        <v>310</v>
      </c>
      <c r="T1079" s="605" t="s">
        <v>310</v>
      </c>
    </row>
    <row r="1080" spans="1:20" ht="72" x14ac:dyDescent="0.2">
      <c r="A1080" s="510">
        <f>IF(B1080="","",COUNT('Diário 1º PA'!$A$4:$A$2635)+ROW()-3)</f>
        <v>2813</v>
      </c>
      <c r="B1080" s="414">
        <v>44690</v>
      </c>
      <c r="C1080" s="592">
        <v>44621</v>
      </c>
      <c r="D1080" s="415" t="s">
        <v>468</v>
      </c>
      <c r="E1080" s="415" t="s">
        <v>468</v>
      </c>
      <c r="F1080" s="673">
        <v>18</v>
      </c>
      <c r="G1080" s="640" t="s">
        <v>5071</v>
      </c>
      <c r="H1080" s="419" t="s">
        <v>468</v>
      </c>
      <c r="I1080" s="427" t="s">
        <v>764</v>
      </c>
      <c r="J1080" s="415" t="s">
        <v>310</v>
      </c>
      <c r="K1080" s="415" t="s">
        <v>1220</v>
      </c>
      <c r="L1080" s="415" t="s">
        <v>3443</v>
      </c>
      <c r="M1080" s="613">
        <v>222106838575</v>
      </c>
      <c r="N1080" s="414">
        <v>44690</v>
      </c>
      <c r="O1080" s="414" t="s">
        <v>407</v>
      </c>
      <c r="P1080" s="603">
        <f t="shared" si="131"/>
        <v>5</v>
      </c>
      <c r="Q1080" s="603">
        <f t="shared" si="132"/>
        <v>3</v>
      </c>
      <c r="R1080" s="604" t="str">
        <f t="shared" si="133"/>
        <v>Gastos_custeados_por_captação</v>
      </c>
      <c r="S1080" s="605" t="s">
        <v>310</v>
      </c>
      <c r="T1080" s="605" t="s">
        <v>310</v>
      </c>
    </row>
    <row r="1081" spans="1:20" ht="72" x14ac:dyDescent="0.2">
      <c r="A1081" s="510">
        <f>IF(B1081="","",COUNT('Diário 1º PA'!$A$4:$A$2635)+ROW()-3)</f>
        <v>2814</v>
      </c>
      <c r="B1081" s="414">
        <v>44690</v>
      </c>
      <c r="C1081" s="592">
        <v>44621</v>
      </c>
      <c r="D1081" s="415" t="s">
        <v>468</v>
      </c>
      <c r="E1081" s="415" t="s">
        <v>468</v>
      </c>
      <c r="F1081" s="673">
        <v>5.8</v>
      </c>
      <c r="G1081" s="640" t="s">
        <v>5072</v>
      </c>
      <c r="H1081" s="419" t="s">
        <v>468</v>
      </c>
      <c r="I1081" s="427" t="s">
        <v>764</v>
      </c>
      <c r="J1081" s="415" t="s">
        <v>310</v>
      </c>
      <c r="K1081" s="415" t="s">
        <v>1220</v>
      </c>
      <c r="L1081" s="415" t="s">
        <v>3443</v>
      </c>
      <c r="M1081" s="613">
        <v>222106844389</v>
      </c>
      <c r="N1081" s="414">
        <v>44690</v>
      </c>
      <c r="O1081" s="414" t="s">
        <v>407</v>
      </c>
      <c r="P1081" s="603">
        <f t="shared" si="131"/>
        <v>5</v>
      </c>
      <c r="Q1081" s="603">
        <f t="shared" si="132"/>
        <v>3</v>
      </c>
      <c r="R1081" s="604" t="str">
        <f t="shared" si="133"/>
        <v>Gastos_custeados_por_captação</v>
      </c>
      <c r="S1081" s="605" t="s">
        <v>310</v>
      </c>
      <c r="T1081" s="605" t="s">
        <v>310</v>
      </c>
    </row>
    <row r="1082" spans="1:20" ht="72" x14ac:dyDescent="0.2">
      <c r="A1082" s="510">
        <f>IF(B1082="","",COUNT('Diário 1º PA'!$A$4:$A$2635)+ROW()-3)</f>
        <v>2815</v>
      </c>
      <c r="B1082" s="414">
        <v>44690</v>
      </c>
      <c r="C1082" s="592">
        <v>44621</v>
      </c>
      <c r="D1082" s="415" t="s">
        <v>468</v>
      </c>
      <c r="E1082" s="415" t="s">
        <v>468</v>
      </c>
      <c r="F1082" s="673">
        <v>34.5</v>
      </c>
      <c r="G1082" s="640" t="s">
        <v>5073</v>
      </c>
      <c r="H1082" s="419" t="s">
        <v>468</v>
      </c>
      <c r="I1082" s="427" t="s">
        <v>764</v>
      </c>
      <c r="J1082" s="415" t="s">
        <v>310</v>
      </c>
      <c r="K1082" s="415" t="s">
        <v>1220</v>
      </c>
      <c r="L1082" s="415" t="s">
        <v>3443</v>
      </c>
      <c r="M1082" s="613">
        <v>222106885573</v>
      </c>
      <c r="N1082" s="414">
        <v>44690</v>
      </c>
      <c r="O1082" s="414" t="s">
        <v>407</v>
      </c>
      <c r="P1082" s="603">
        <f t="shared" si="131"/>
        <v>5</v>
      </c>
      <c r="Q1082" s="603">
        <f t="shared" si="132"/>
        <v>3</v>
      </c>
      <c r="R1082" s="604" t="str">
        <f t="shared" si="133"/>
        <v>Gastos_custeados_por_captação</v>
      </c>
      <c r="S1082" s="605" t="s">
        <v>310</v>
      </c>
      <c r="T1082" s="605" t="s">
        <v>310</v>
      </c>
    </row>
    <row r="1083" spans="1:20" ht="72" x14ac:dyDescent="0.2">
      <c r="A1083" s="510">
        <f>IF(B1083="","",COUNT('Diário 1º PA'!$A$4:$A$2635)+ROW()-3)</f>
        <v>2816</v>
      </c>
      <c r="B1083" s="414">
        <v>44690</v>
      </c>
      <c r="C1083" s="592">
        <v>44621</v>
      </c>
      <c r="D1083" s="415" t="s">
        <v>468</v>
      </c>
      <c r="E1083" s="415" t="s">
        <v>468</v>
      </c>
      <c r="F1083" s="673">
        <v>14.9</v>
      </c>
      <c r="G1083" s="640" t="s">
        <v>5074</v>
      </c>
      <c r="H1083" s="419" t="s">
        <v>468</v>
      </c>
      <c r="I1083" s="427" t="s">
        <v>764</v>
      </c>
      <c r="J1083" s="415" t="s">
        <v>310</v>
      </c>
      <c r="K1083" s="415" t="s">
        <v>1220</v>
      </c>
      <c r="L1083" s="415" t="s">
        <v>3443</v>
      </c>
      <c r="M1083" s="613">
        <v>222106864061</v>
      </c>
      <c r="N1083" s="414">
        <v>44690</v>
      </c>
      <c r="O1083" s="414" t="s">
        <v>407</v>
      </c>
      <c r="P1083" s="603">
        <f t="shared" si="131"/>
        <v>5</v>
      </c>
      <c r="Q1083" s="603">
        <f t="shared" si="132"/>
        <v>3</v>
      </c>
      <c r="R1083" s="604" t="str">
        <f t="shared" si="133"/>
        <v>Gastos_custeados_por_captação</v>
      </c>
      <c r="S1083" s="605" t="s">
        <v>310</v>
      </c>
      <c r="T1083" s="605" t="s">
        <v>310</v>
      </c>
    </row>
    <row r="1084" spans="1:20" ht="72" x14ac:dyDescent="0.2">
      <c r="A1084" s="510">
        <f>IF(B1084="","",COUNT('Diário 1º PA'!$A$4:$A$2635)+ROW()-3)</f>
        <v>2817</v>
      </c>
      <c r="B1084" s="414">
        <v>44690</v>
      </c>
      <c r="C1084" s="592">
        <v>44621</v>
      </c>
      <c r="D1084" s="415" t="s">
        <v>468</v>
      </c>
      <c r="E1084" s="415" t="s">
        <v>468</v>
      </c>
      <c r="F1084" s="673">
        <v>21.29</v>
      </c>
      <c r="G1084" s="640" t="s">
        <v>5075</v>
      </c>
      <c r="H1084" s="419" t="s">
        <v>468</v>
      </c>
      <c r="I1084" s="427" t="s">
        <v>764</v>
      </c>
      <c r="J1084" s="415" t="s">
        <v>310</v>
      </c>
      <c r="K1084" s="415" t="s">
        <v>1220</v>
      </c>
      <c r="L1084" s="415" t="s">
        <v>3443</v>
      </c>
      <c r="M1084" s="613">
        <v>222106846756</v>
      </c>
      <c r="N1084" s="414">
        <v>44690</v>
      </c>
      <c r="O1084" s="414" t="s">
        <v>407</v>
      </c>
      <c r="P1084" s="603">
        <f t="shared" si="131"/>
        <v>5</v>
      </c>
      <c r="Q1084" s="603">
        <f t="shared" si="132"/>
        <v>3</v>
      </c>
      <c r="R1084" s="604" t="str">
        <f t="shared" si="133"/>
        <v>Gastos_custeados_por_captação</v>
      </c>
      <c r="S1084" s="605" t="s">
        <v>310</v>
      </c>
      <c r="T1084" s="605" t="s">
        <v>310</v>
      </c>
    </row>
    <row r="1085" spans="1:20" ht="72" x14ac:dyDescent="0.2">
      <c r="A1085" s="510">
        <f>IF(B1085="","",COUNT('Diário 1º PA'!$A$4:$A$2635)+ROW()-3)</f>
        <v>2818</v>
      </c>
      <c r="B1085" s="414">
        <v>44690</v>
      </c>
      <c r="C1085" s="592">
        <v>44621</v>
      </c>
      <c r="D1085" s="415" t="s">
        <v>468</v>
      </c>
      <c r="E1085" s="415" t="s">
        <v>468</v>
      </c>
      <c r="F1085" s="673">
        <v>106.05</v>
      </c>
      <c r="G1085" s="640" t="s">
        <v>5076</v>
      </c>
      <c r="H1085" s="419" t="s">
        <v>468</v>
      </c>
      <c r="I1085" s="427" t="s">
        <v>764</v>
      </c>
      <c r="J1085" s="415" t="s">
        <v>310</v>
      </c>
      <c r="K1085" s="415" t="s">
        <v>1220</v>
      </c>
      <c r="L1085" s="415" t="s">
        <v>3443</v>
      </c>
      <c r="M1085" s="613">
        <v>222106837501</v>
      </c>
      <c r="N1085" s="414">
        <v>44690</v>
      </c>
      <c r="O1085" s="414" t="s">
        <v>407</v>
      </c>
      <c r="P1085" s="603">
        <f t="shared" si="131"/>
        <v>5</v>
      </c>
      <c r="Q1085" s="603">
        <f t="shared" si="132"/>
        <v>3</v>
      </c>
      <c r="R1085" s="604" t="str">
        <f t="shared" si="133"/>
        <v>Gastos_custeados_por_captação</v>
      </c>
      <c r="S1085" s="605" t="s">
        <v>310</v>
      </c>
      <c r="T1085" s="605" t="s">
        <v>310</v>
      </c>
    </row>
    <row r="1086" spans="1:20" ht="72" x14ac:dyDescent="0.2">
      <c r="A1086" s="510">
        <f>IF(B1086="","",COUNT('Diário 1º PA'!$A$4:$A$2635)+ROW()-3)</f>
        <v>2819</v>
      </c>
      <c r="B1086" s="414">
        <v>44690</v>
      </c>
      <c r="C1086" s="592">
        <v>44621</v>
      </c>
      <c r="D1086" s="415" t="s">
        <v>468</v>
      </c>
      <c r="E1086" s="415" t="s">
        <v>468</v>
      </c>
      <c r="F1086" s="673">
        <v>52.85</v>
      </c>
      <c r="G1086" s="640" t="s">
        <v>5077</v>
      </c>
      <c r="H1086" s="419" t="s">
        <v>468</v>
      </c>
      <c r="I1086" s="427" t="s">
        <v>764</v>
      </c>
      <c r="J1086" s="415" t="s">
        <v>310</v>
      </c>
      <c r="K1086" s="415" t="s">
        <v>1220</v>
      </c>
      <c r="L1086" s="415" t="s">
        <v>3443</v>
      </c>
      <c r="M1086" s="613">
        <v>222106860589</v>
      </c>
      <c r="N1086" s="414">
        <v>44690</v>
      </c>
      <c r="O1086" s="414" t="s">
        <v>407</v>
      </c>
      <c r="P1086" s="603">
        <f t="shared" si="131"/>
        <v>5</v>
      </c>
      <c r="Q1086" s="603">
        <f t="shared" si="132"/>
        <v>3</v>
      </c>
      <c r="R1086" s="604" t="str">
        <f t="shared" si="133"/>
        <v>Gastos_custeados_por_captação</v>
      </c>
      <c r="S1086" s="605" t="s">
        <v>310</v>
      </c>
      <c r="T1086" s="605" t="s">
        <v>310</v>
      </c>
    </row>
    <row r="1087" spans="1:20" ht="72" x14ac:dyDescent="0.2">
      <c r="A1087" s="510">
        <f>IF(B1087="","",COUNT('Diário 1º PA'!$A$4:$A$2635)+ROW()-3)</f>
        <v>2820</v>
      </c>
      <c r="B1087" s="414">
        <v>44690</v>
      </c>
      <c r="C1087" s="592">
        <v>44621</v>
      </c>
      <c r="D1087" s="415" t="s">
        <v>468</v>
      </c>
      <c r="E1087" s="415" t="s">
        <v>468</v>
      </c>
      <c r="F1087" s="673">
        <v>37.25</v>
      </c>
      <c r="G1087" s="640" t="s">
        <v>5078</v>
      </c>
      <c r="H1087" s="419" t="s">
        <v>468</v>
      </c>
      <c r="I1087" s="427" t="s">
        <v>764</v>
      </c>
      <c r="J1087" s="415" t="s">
        <v>310</v>
      </c>
      <c r="K1087" s="415" t="s">
        <v>1220</v>
      </c>
      <c r="L1087" s="415" t="s">
        <v>3443</v>
      </c>
      <c r="M1087" s="613">
        <v>222106859653</v>
      </c>
      <c r="N1087" s="414">
        <v>44690</v>
      </c>
      <c r="O1087" s="414" t="s">
        <v>407</v>
      </c>
      <c r="P1087" s="603">
        <f t="shared" si="131"/>
        <v>5</v>
      </c>
      <c r="Q1087" s="603">
        <f t="shared" si="132"/>
        <v>3</v>
      </c>
      <c r="R1087" s="604" t="str">
        <f t="shared" si="133"/>
        <v>Gastos_custeados_por_captação</v>
      </c>
      <c r="S1087" s="605" t="s">
        <v>310</v>
      </c>
      <c r="T1087" s="605" t="s">
        <v>310</v>
      </c>
    </row>
    <row r="1088" spans="1:20" ht="72" x14ac:dyDescent="0.2">
      <c r="A1088" s="510">
        <f>IF(B1088="","",COUNT('Diário 1º PA'!$A$4:$A$2635)+ROW()-3)</f>
        <v>2821</v>
      </c>
      <c r="B1088" s="414">
        <v>44690</v>
      </c>
      <c r="C1088" s="592">
        <v>44621</v>
      </c>
      <c r="D1088" s="415" t="s">
        <v>468</v>
      </c>
      <c r="E1088" s="415" t="s">
        <v>468</v>
      </c>
      <c r="F1088" s="673">
        <v>34.5</v>
      </c>
      <c r="G1088" s="640" t="s">
        <v>5079</v>
      </c>
      <c r="H1088" s="419" t="s">
        <v>468</v>
      </c>
      <c r="I1088" s="427" t="s">
        <v>764</v>
      </c>
      <c r="J1088" s="415" t="s">
        <v>310</v>
      </c>
      <c r="K1088" s="415" t="s">
        <v>1220</v>
      </c>
      <c r="L1088" s="415" t="s">
        <v>3443</v>
      </c>
      <c r="M1088" s="613">
        <v>222106889218</v>
      </c>
      <c r="N1088" s="414">
        <v>44690</v>
      </c>
      <c r="O1088" s="414" t="s">
        <v>407</v>
      </c>
      <c r="P1088" s="603">
        <f t="shared" si="131"/>
        <v>5</v>
      </c>
      <c r="Q1088" s="603">
        <f t="shared" si="132"/>
        <v>3</v>
      </c>
      <c r="R1088" s="604" t="str">
        <f t="shared" si="133"/>
        <v>Gastos_custeados_por_captação</v>
      </c>
      <c r="S1088" s="605" t="s">
        <v>310</v>
      </c>
      <c r="T1088" s="605" t="s">
        <v>310</v>
      </c>
    </row>
    <row r="1089" spans="1:20" ht="72" x14ac:dyDescent="0.2">
      <c r="A1089" s="510">
        <f>IF(B1089="","",COUNT('Diário 1º PA'!$A$4:$A$2635)+ROW()-3)</f>
        <v>2822</v>
      </c>
      <c r="B1089" s="414">
        <v>44690</v>
      </c>
      <c r="C1089" s="592">
        <v>44621</v>
      </c>
      <c r="D1089" s="415" t="s">
        <v>468</v>
      </c>
      <c r="E1089" s="415" t="s">
        <v>468</v>
      </c>
      <c r="F1089" s="673">
        <v>52.15</v>
      </c>
      <c r="G1089" s="640" t="s">
        <v>5080</v>
      </c>
      <c r="H1089" s="419" t="s">
        <v>468</v>
      </c>
      <c r="I1089" s="427" t="s">
        <v>764</v>
      </c>
      <c r="J1089" s="415" t="s">
        <v>310</v>
      </c>
      <c r="K1089" s="415" t="s">
        <v>1220</v>
      </c>
      <c r="L1089" s="415" t="s">
        <v>3443</v>
      </c>
      <c r="M1089" s="613">
        <v>222106862956</v>
      </c>
      <c r="N1089" s="414">
        <v>44690</v>
      </c>
      <c r="O1089" s="414" t="s">
        <v>407</v>
      </c>
      <c r="P1089" s="603">
        <f t="shared" si="131"/>
        <v>5</v>
      </c>
      <c r="Q1089" s="603">
        <f t="shared" si="132"/>
        <v>3</v>
      </c>
      <c r="R1089" s="604" t="str">
        <f t="shared" si="133"/>
        <v>Gastos_custeados_por_captação</v>
      </c>
      <c r="S1089" s="605" t="s">
        <v>310</v>
      </c>
      <c r="T1089" s="605" t="s">
        <v>310</v>
      </c>
    </row>
    <row r="1090" spans="1:20" s="88" customFormat="1" ht="72" x14ac:dyDescent="0.2">
      <c r="A1090" s="510">
        <f>IF(B1090="","",COUNT('Diário 1º PA'!$A$4:$A$2635)+ROW()-3)</f>
        <v>2823</v>
      </c>
      <c r="B1090" s="414">
        <v>44690</v>
      </c>
      <c r="C1090" s="592">
        <v>44621</v>
      </c>
      <c r="D1090" s="415" t="s">
        <v>468</v>
      </c>
      <c r="E1090" s="415" t="s">
        <v>468</v>
      </c>
      <c r="F1090" s="673">
        <v>36</v>
      </c>
      <c r="G1090" s="640" t="s">
        <v>5083</v>
      </c>
      <c r="H1090" s="419" t="s">
        <v>468</v>
      </c>
      <c r="I1090" s="427" t="s">
        <v>764</v>
      </c>
      <c r="J1090" s="415" t="s">
        <v>310</v>
      </c>
      <c r="K1090" s="415" t="s">
        <v>1220</v>
      </c>
      <c r="L1090" s="415" t="s">
        <v>3443</v>
      </c>
      <c r="M1090" s="613">
        <v>222106850605</v>
      </c>
      <c r="N1090" s="414">
        <v>44690</v>
      </c>
      <c r="O1090" s="414" t="s">
        <v>407</v>
      </c>
      <c r="P1090" s="603">
        <f t="shared" ref="P1090:P1098" si="134">IF(B1090=0,0,IF(YEAR(B1090)=$Q$1,MONTH(B1090)-$P$1+1,(YEAR(B1090)-$Q$1)*12-$P$1+1+MONTH(B1090)))</f>
        <v>5</v>
      </c>
      <c r="Q1090" s="603">
        <f t="shared" ref="Q1090:Q1098" si="135">IF(C1090=0,0,IF(YEAR(C1090)=$Q$1,MONTH(C1090)-$P$1+1,(YEAR(C1090)-$Q$1)*12-$P$1+1+MONTH(C1090)))</f>
        <v>3</v>
      </c>
      <c r="R1090" s="604" t="str">
        <f t="shared" ref="R1090:R1098" si="136">SUBSTITUTE(D1090," ","_")</f>
        <v>Gastos_custeados_por_captação</v>
      </c>
      <c r="S1090" s="605" t="s">
        <v>310</v>
      </c>
      <c r="T1090" s="605" t="s">
        <v>310</v>
      </c>
    </row>
    <row r="1091" spans="1:20" s="88" customFormat="1" ht="36" x14ac:dyDescent="0.2">
      <c r="A1091" s="510">
        <f>IF(B1091="","",COUNT('Diário 1º PA'!$A$4:$A$2635)+ROW()-3)</f>
        <v>2824</v>
      </c>
      <c r="B1091" s="414">
        <v>44690</v>
      </c>
      <c r="C1091" s="592">
        <v>44621</v>
      </c>
      <c r="D1091" s="415" t="s">
        <v>468</v>
      </c>
      <c r="E1091" s="415" t="s">
        <v>468</v>
      </c>
      <c r="F1091" s="615">
        <v>90</v>
      </c>
      <c r="G1091" s="640" t="s">
        <v>5371</v>
      </c>
      <c r="H1091" s="419" t="s">
        <v>468</v>
      </c>
      <c r="I1091" s="427" t="s">
        <v>764</v>
      </c>
      <c r="J1091" s="415" t="s">
        <v>310</v>
      </c>
      <c r="K1091" s="415" t="s">
        <v>1220</v>
      </c>
      <c r="L1091" s="415" t="s">
        <v>3443</v>
      </c>
      <c r="M1091" s="613">
        <v>222106744759</v>
      </c>
      <c r="N1091" s="414">
        <v>44690</v>
      </c>
      <c r="O1091" s="414" t="s">
        <v>408</v>
      </c>
      <c r="P1091" s="603">
        <f t="shared" si="134"/>
        <v>5</v>
      </c>
      <c r="Q1091" s="603">
        <f t="shared" si="135"/>
        <v>3</v>
      </c>
      <c r="R1091" s="604" t="str">
        <f t="shared" si="136"/>
        <v>Gastos_custeados_por_captação</v>
      </c>
      <c r="S1091" s="605" t="s">
        <v>310</v>
      </c>
      <c r="T1091" s="605" t="s">
        <v>310</v>
      </c>
    </row>
    <row r="1092" spans="1:20" s="88" customFormat="1" ht="36" x14ac:dyDescent="0.2">
      <c r="A1092" s="510">
        <f>IF(B1092="","",COUNT('Diário 1º PA'!$A$4:$A$2635)+ROW()-3)</f>
        <v>2825</v>
      </c>
      <c r="B1092" s="414">
        <v>44690</v>
      </c>
      <c r="C1092" s="592">
        <v>44621</v>
      </c>
      <c r="D1092" s="415" t="s">
        <v>468</v>
      </c>
      <c r="E1092" s="415" t="s">
        <v>468</v>
      </c>
      <c r="F1092" s="615">
        <v>180</v>
      </c>
      <c r="G1092" s="640" t="s">
        <v>5372</v>
      </c>
      <c r="H1092" s="419" t="s">
        <v>468</v>
      </c>
      <c r="I1092" s="427" t="s">
        <v>764</v>
      </c>
      <c r="J1092" s="415" t="s">
        <v>310</v>
      </c>
      <c r="K1092" s="415" t="s">
        <v>1220</v>
      </c>
      <c r="L1092" s="415" t="s">
        <v>3443</v>
      </c>
      <c r="M1092" s="613">
        <v>2221067527778</v>
      </c>
      <c r="N1092" s="414">
        <v>44690</v>
      </c>
      <c r="O1092" s="414" t="s">
        <v>408</v>
      </c>
      <c r="P1092" s="603">
        <f t="shared" si="134"/>
        <v>5</v>
      </c>
      <c r="Q1092" s="603">
        <f t="shared" si="135"/>
        <v>3</v>
      </c>
      <c r="R1092" s="604" t="str">
        <f t="shared" si="136"/>
        <v>Gastos_custeados_por_captação</v>
      </c>
      <c r="S1092" s="605" t="s">
        <v>310</v>
      </c>
      <c r="T1092" s="605" t="s">
        <v>310</v>
      </c>
    </row>
    <row r="1093" spans="1:20" s="88" customFormat="1" ht="36" x14ac:dyDescent="0.2">
      <c r="A1093" s="510">
        <f>IF(B1093="","",COUNT('Diário 1º PA'!$A$4:$A$2635)+ROW()-3)</f>
        <v>2826</v>
      </c>
      <c r="B1093" s="414">
        <v>44690</v>
      </c>
      <c r="C1093" s="592">
        <v>44621</v>
      </c>
      <c r="D1093" s="415" t="s">
        <v>468</v>
      </c>
      <c r="E1093" s="415" t="s">
        <v>468</v>
      </c>
      <c r="F1093" s="615">
        <v>300</v>
      </c>
      <c r="G1093" s="640" t="s">
        <v>5373</v>
      </c>
      <c r="H1093" s="419" t="s">
        <v>468</v>
      </c>
      <c r="I1093" s="427" t="s">
        <v>764</v>
      </c>
      <c r="J1093" s="415" t="s">
        <v>310</v>
      </c>
      <c r="K1093" s="415" t="s">
        <v>1220</v>
      </c>
      <c r="L1093" s="415" t="s">
        <v>3443</v>
      </c>
      <c r="M1093" s="613">
        <v>222106756170</v>
      </c>
      <c r="N1093" s="414">
        <v>44690</v>
      </c>
      <c r="O1093" s="414" t="s">
        <v>408</v>
      </c>
      <c r="P1093" s="603">
        <f t="shared" si="134"/>
        <v>5</v>
      </c>
      <c r="Q1093" s="603">
        <f t="shared" si="135"/>
        <v>3</v>
      </c>
      <c r="R1093" s="604" t="str">
        <f t="shared" si="136"/>
        <v>Gastos_custeados_por_captação</v>
      </c>
      <c r="S1093" s="605" t="s">
        <v>310</v>
      </c>
      <c r="T1093" s="605" t="s">
        <v>310</v>
      </c>
    </row>
    <row r="1094" spans="1:20" s="88" customFormat="1" ht="36" x14ac:dyDescent="0.2">
      <c r="A1094" s="510">
        <f>IF(B1094="","",COUNT('Diário 1º PA'!$A$4:$A$2635)+ROW()-3)</f>
        <v>2827</v>
      </c>
      <c r="B1094" s="414">
        <v>44690</v>
      </c>
      <c r="C1094" s="592">
        <v>44621</v>
      </c>
      <c r="D1094" s="415" t="s">
        <v>468</v>
      </c>
      <c r="E1094" s="415" t="s">
        <v>468</v>
      </c>
      <c r="F1094" s="615">
        <v>200</v>
      </c>
      <c r="G1094" s="640" t="s">
        <v>5374</v>
      </c>
      <c r="H1094" s="419" t="s">
        <v>468</v>
      </c>
      <c r="I1094" s="427" t="s">
        <v>764</v>
      </c>
      <c r="J1094" s="415" t="s">
        <v>310</v>
      </c>
      <c r="K1094" s="415" t="s">
        <v>1220</v>
      </c>
      <c r="L1094" s="415" t="s">
        <v>3443</v>
      </c>
      <c r="M1094" s="613">
        <v>222106746026</v>
      </c>
      <c r="N1094" s="414">
        <v>44690</v>
      </c>
      <c r="O1094" s="414" t="s">
        <v>408</v>
      </c>
      <c r="P1094" s="603">
        <f t="shared" si="134"/>
        <v>5</v>
      </c>
      <c r="Q1094" s="603">
        <f t="shared" si="135"/>
        <v>3</v>
      </c>
      <c r="R1094" s="604" t="str">
        <f t="shared" si="136"/>
        <v>Gastos_custeados_por_captação</v>
      </c>
      <c r="S1094" s="605" t="s">
        <v>310</v>
      </c>
      <c r="T1094" s="605" t="s">
        <v>310</v>
      </c>
    </row>
    <row r="1095" spans="1:20" s="88" customFormat="1" ht="36" x14ac:dyDescent="0.2">
      <c r="A1095" s="510">
        <f>IF(B1095="","",COUNT('Diário 1º PA'!$A$4:$A$2635)+ROW()-3)</f>
        <v>2828</v>
      </c>
      <c r="B1095" s="414">
        <v>44690</v>
      </c>
      <c r="C1095" s="592">
        <v>44621</v>
      </c>
      <c r="D1095" s="415" t="s">
        <v>468</v>
      </c>
      <c r="E1095" s="415" t="s">
        <v>468</v>
      </c>
      <c r="F1095" s="615">
        <v>89.32</v>
      </c>
      <c r="G1095" s="640" t="s">
        <v>5375</v>
      </c>
      <c r="H1095" s="419" t="s">
        <v>468</v>
      </c>
      <c r="I1095" s="427" t="s">
        <v>764</v>
      </c>
      <c r="J1095" s="415" t="s">
        <v>310</v>
      </c>
      <c r="K1095" s="415" t="s">
        <v>1220</v>
      </c>
      <c r="L1095" s="415" t="s">
        <v>3443</v>
      </c>
      <c r="M1095" s="613">
        <v>222106760444</v>
      </c>
      <c r="N1095" s="414">
        <v>44690</v>
      </c>
      <c r="O1095" s="414" t="s">
        <v>408</v>
      </c>
      <c r="P1095" s="603">
        <f t="shared" si="134"/>
        <v>5</v>
      </c>
      <c r="Q1095" s="603">
        <f t="shared" si="135"/>
        <v>3</v>
      </c>
      <c r="R1095" s="604" t="str">
        <f t="shared" si="136"/>
        <v>Gastos_custeados_por_captação</v>
      </c>
      <c r="S1095" s="605" t="s">
        <v>310</v>
      </c>
      <c r="T1095" s="605" t="s">
        <v>310</v>
      </c>
    </row>
    <row r="1096" spans="1:20" s="88" customFormat="1" ht="36" x14ac:dyDescent="0.2">
      <c r="A1096" s="510">
        <f>IF(B1096="","",COUNT('Diário 1º PA'!$A$4:$A$2635)+ROW()-3)</f>
        <v>2829</v>
      </c>
      <c r="B1096" s="414">
        <v>44690</v>
      </c>
      <c r="C1096" s="592">
        <v>44621</v>
      </c>
      <c r="D1096" s="415" t="s">
        <v>468</v>
      </c>
      <c r="E1096" s="415" t="s">
        <v>468</v>
      </c>
      <c r="F1096" s="615">
        <v>55.27</v>
      </c>
      <c r="G1096" s="640" t="s">
        <v>5376</v>
      </c>
      <c r="H1096" s="419" t="s">
        <v>468</v>
      </c>
      <c r="I1096" s="427" t="s">
        <v>764</v>
      </c>
      <c r="J1096" s="415" t="s">
        <v>310</v>
      </c>
      <c r="K1096" s="415" t="s">
        <v>1220</v>
      </c>
      <c r="L1096" s="415" t="s">
        <v>3443</v>
      </c>
      <c r="M1096" s="613">
        <v>222106757818</v>
      </c>
      <c r="N1096" s="414">
        <v>44690</v>
      </c>
      <c r="O1096" s="414" t="s">
        <v>408</v>
      </c>
      <c r="P1096" s="603">
        <f t="shared" si="134"/>
        <v>5</v>
      </c>
      <c r="Q1096" s="603">
        <f t="shared" si="135"/>
        <v>3</v>
      </c>
      <c r="R1096" s="604" t="str">
        <f t="shared" si="136"/>
        <v>Gastos_custeados_por_captação</v>
      </c>
      <c r="S1096" s="605" t="s">
        <v>310</v>
      </c>
      <c r="T1096" s="605" t="s">
        <v>310</v>
      </c>
    </row>
    <row r="1097" spans="1:20" s="88" customFormat="1" ht="36" x14ac:dyDescent="0.2">
      <c r="A1097" s="510">
        <f>IF(B1097="","",COUNT('Diário 1º PA'!$A$4:$A$2635)+ROW()-3)</f>
        <v>2830</v>
      </c>
      <c r="B1097" s="414">
        <v>44690</v>
      </c>
      <c r="C1097" s="592">
        <v>44621</v>
      </c>
      <c r="D1097" s="415" t="s">
        <v>468</v>
      </c>
      <c r="E1097" s="415" t="s">
        <v>468</v>
      </c>
      <c r="F1097" s="615">
        <v>213.85</v>
      </c>
      <c r="G1097" s="640" t="s">
        <v>5377</v>
      </c>
      <c r="H1097" s="419" t="s">
        <v>468</v>
      </c>
      <c r="I1097" s="427" t="s">
        <v>764</v>
      </c>
      <c r="J1097" s="415" t="s">
        <v>310</v>
      </c>
      <c r="K1097" s="415" t="s">
        <v>1220</v>
      </c>
      <c r="L1097" s="415" t="s">
        <v>3443</v>
      </c>
      <c r="M1097" s="613">
        <v>222106759438</v>
      </c>
      <c r="N1097" s="414">
        <v>44690</v>
      </c>
      <c r="O1097" s="414" t="s">
        <v>408</v>
      </c>
      <c r="P1097" s="603">
        <f t="shared" si="134"/>
        <v>5</v>
      </c>
      <c r="Q1097" s="603">
        <f t="shared" si="135"/>
        <v>3</v>
      </c>
      <c r="R1097" s="604" t="str">
        <f t="shared" si="136"/>
        <v>Gastos_custeados_por_captação</v>
      </c>
      <c r="S1097" s="605" t="s">
        <v>310</v>
      </c>
      <c r="T1097" s="605" t="s">
        <v>310</v>
      </c>
    </row>
    <row r="1098" spans="1:20" s="88" customFormat="1" ht="36" x14ac:dyDescent="0.2">
      <c r="A1098" s="510">
        <f>IF(B1098="","",COUNT('Diário 1º PA'!$A$4:$A$2635)+ROW()-3)</f>
        <v>2831</v>
      </c>
      <c r="B1098" s="414">
        <v>44690</v>
      </c>
      <c r="C1098" s="592">
        <v>44621</v>
      </c>
      <c r="D1098" s="415" t="s">
        <v>468</v>
      </c>
      <c r="E1098" s="415" t="s">
        <v>468</v>
      </c>
      <c r="F1098" s="615">
        <v>88.44</v>
      </c>
      <c r="G1098" s="640" t="s">
        <v>5378</v>
      </c>
      <c r="H1098" s="419" t="s">
        <v>468</v>
      </c>
      <c r="I1098" s="427" t="s">
        <v>764</v>
      </c>
      <c r="J1098" s="415" t="s">
        <v>310</v>
      </c>
      <c r="K1098" s="415" t="s">
        <v>1220</v>
      </c>
      <c r="L1098" s="415" t="s">
        <v>3443</v>
      </c>
      <c r="M1098" s="613">
        <v>222106748827</v>
      </c>
      <c r="N1098" s="414">
        <v>44690</v>
      </c>
      <c r="O1098" s="414" t="s">
        <v>408</v>
      </c>
      <c r="P1098" s="603">
        <f t="shared" si="134"/>
        <v>5</v>
      </c>
      <c r="Q1098" s="603">
        <f t="shared" si="135"/>
        <v>3</v>
      </c>
      <c r="R1098" s="604" t="str">
        <f t="shared" si="136"/>
        <v>Gastos_custeados_por_captação</v>
      </c>
      <c r="S1098" s="605" t="s">
        <v>310</v>
      </c>
      <c r="T1098" s="605" t="s">
        <v>310</v>
      </c>
    </row>
    <row r="1099" spans="1:20" s="88" customFormat="1" ht="36" x14ac:dyDescent="0.2">
      <c r="A1099" s="510">
        <f>IF(B1099="","",COUNT('Diário 1º PA'!$A$4:$A$2635)+ROW()-3)</f>
        <v>2832</v>
      </c>
      <c r="B1099" s="414">
        <v>44690</v>
      </c>
      <c r="C1099" s="592">
        <v>44621</v>
      </c>
      <c r="D1099" s="415" t="s">
        <v>468</v>
      </c>
      <c r="E1099" s="415" t="s">
        <v>468</v>
      </c>
      <c r="F1099" s="615">
        <v>12.06</v>
      </c>
      <c r="G1099" s="640" t="s">
        <v>5379</v>
      </c>
      <c r="H1099" s="419" t="s">
        <v>468</v>
      </c>
      <c r="I1099" s="427" t="s">
        <v>764</v>
      </c>
      <c r="J1099" s="415" t="s">
        <v>310</v>
      </c>
      <c r="K1099" s="415" t="s">
        <v>1220</v>
      </c>
      <c r="L1099" s="415" t="s">
        <v>3443</v>
      </c>
      <c r="M1099" s="613">
        <v>222106761840</v>
      </c>
      <c r="N1099" s="414">
        <v>44690</v>
      </c>
      <c r="O1099" s="414" t="s">
        <v>408</v>
      </c>
      <c r="P1099" s="603">
        <f t="shared" ref="P1099:P1104" si="137">IF(B1099=0,0,IF(YEAR(B1099)=$Q$1,MONTH(B1099)-$P$1+1,(YEAR(B1099)-$Q$1)*12-$P$1+1+MONTH(B1099)))</f>
        <v>5</v>
      </c>
      <c r="Q1099" s="603">
        <f t="shared" ref="Q1099:Q1104" si="138">IF(C1099=0,0,IF(YEAR(C1099)=$Q$1,MONTH(C1099)-$P$1+1,(YEAR(C1099)-$Q$1)*12-$P$1+1+MONTH(C1099)))</f>
        <v>3</v>
      </c>
      <c r="R1099" s="604" t="str">
        <f t="shared" ref="R1099:R1104" si="139">SUBSTITUTE(D1099," ","_")</f>
        <v>Gastos_custeados_por_captação</v>
      </c>
      <c r="S1099" s="605" t="s">
        <v>310</v>
      </c>
      <c r="T1099" s="605" t="s">
        <v>310</v>
      </c>
    </row>
    <row r="1100" spans="1:20" s="88" customFormat="1" ht="60" x14ac:dyDescent="0.2">
      <c r="A1100" s="510">
        <f>IF(B1100="","",COUNT('Diário 1º PA'!$A$4:$A$2635)+ROW()-3)</f>
        <v>2833</v>
      </c>
      <c r="B1100" s="414">
        <v>44690</v>
      </c>
      <c r="C1100" s="592">
        <v>44621</v>
      </c>
      <c r="D1100" s="415" t="s">
        <v>468</v>
      </c>
      <c r="E1100" s="415" t="s">
        <v>468</v>
      </c>
      <c r="F1100" s="615">
        <v>6.6</v>
      </c>
      <c r="G1100" s="640" t="s">
        <v>5450</v>
      </c>
      <c r="H1100" s="419" t="s">
        <v>468</v>
      </c>
      <c r="I1100" s="427" t="s">
        <v>764</v>
      </c>
      <c r="J1100" s="415" t="s">
        <v>310</v>
      </c>
      <c r="K1100" s="415" t="s">
        <v>1220</v>
      </c>
      <c r="L1100" s="415" t="s">
        <v>3443</v>
      </c>
      <c r="M1100" s="613">
        <v>222107033198</v>
      </c>
      <c r="N1100" s="414">
        <v>44690</v>
      </c>
      <c r="O1100" s="414" t="s">
        <v>404</v>
      </c>
      <c r="P1100" s="603">
        <f t="shared" si="137"/>
        <v>5</v>
      </c>
      <c r="Q1100" s="603">
        <f t="shared" si="138"/>
        <v>3</v>
      </c>
      <c r="R1100" s="604" t="str">
        <f t="shared" si="139"/>
        <v>Gastos_custeados_por_captação</v>
      </c>
      <c r="S1100" s="605" t="s">
        <v>310</v>
      </c>
      <c r="T1100" s="605" t="s">
        <v>310</v>
      </c>
    </row>
    <row r="1101" spans="1:20" s="88" customFormat="1" ht="60" x14ac:dyDescent="0.2">
      <c r="A1101" s="510">
        <f>IF(B1101="","",COUNT('Diário 1º PA'!$A$4:$A$2635)+ROW()-3)</f>
        <v>2834</v>
      </c>
      <c r="B1101" s="414">
        <v>44690</v>
      </c>
      <c r="C1101" s="592">
        <v>44621</v>
      </c>
      <c r="D1101" s="415" t="s">
        <v>468</v>
      </c>
      <c r="E1101" s="415" t="s">
        <v>468</v>
      </c>
      <c r="F1101" s="615">
        <v>150</v>
      </c>
      <c r="G1101" s="640" t="s">
        <v>5451</v>
      </c>
      <c r="H1101" s="419" t="s">
        <v>468</v>
      </c>
      <c r="I1101" s="427" t="s">
        <v>764</v>
      </c>
      <c r="J1101" s="415" t="s">
        <v>310</v>
      </c>
      <c r="K1101" s="415" t="s">
        <v>1220</v>
      </c>
      <c r="L1101" s="415" t="s">
        <v>3443</v>
      </c>
      <c r="M1101" s="613">
        <v>222107031730</v>
      </c>
      <c r="N1101" s="414">
        <v>44690</v>
      </c>
      <c r="O1101" s="414" t="s">
        <v>404</v>
      </c>
      <c r="P1101" s="603">
        <f t="shared" si="137"/>
        <v>5</v>
      </c>
      <c r="Q1101" s="603">
        <f t="shared" si="138"/>
        <v>3</v>
      </c>
      <c r="R1101" s="604" t="str">
        <f t="shared" si="139"/>
        <v>Gastos_custeados_por_captação</v>
      </c>
      <c r="S1101" s="605" t="s">
        <v>310</v>
      </c>
      <c r="T1101" s="605" t="s">
        <v>310</v>
      </c>
    </row>
    <row r="1102" spans="1:20" s="88" customFormat="1" ht="60" x14ac:dyDescent="0.2">
      <c r="A1102" s="510">
        <f>IF(B1102="","",COUNT('Diário 1º PA'!$A$4:$A$2635)+ROW()-3)</f>
        <v>2835</v>
      </c>
      <c r="B1102" s="414">
        <v>44690</v>
      </c>
      <c r="C1102" s="592">
        <v>44621</v>
      </c>
      <c r="D1102" s="415" t="s">
        <v>468</v>
      </c>
      <c r="E1102" s="415" t="s">
        <v>468</v>
      </c>
      <c r="F1102" s="615">
        <v>29.02</v>
      </c>
      <c r="G1102" s="640" t="s">
        <v>5452</v>
      </c>
      <c r="H1102" s="419" t="s">
        <v>468</v>
      </c>
      <c r="I1102" s="427" t="s">
        <v>764</v>
      </c>
      <c r="J1102" s="415" t="s">
        <v>310</v>
      </c>
      <c r="K1102" s="415" t="s">
        <v>1220</v>
      </c>
      <c r="L1102" s="415" t="s">
        <v>3443</v>
      </c>
      <c r="M1102" s="613">
        <v>222107032620</v>
      </c>
      <c r="N1102" s="414">
        <v>44690</v>
      </c>
      <c r="O1102" s="414" t="s">
        <v>404</v>
      </c>
      <c r="P1102" s="603">
        <f t="shared" si="137"/>
        <v>5</v>
      </c>
      <c r="Q1102" s="603">
        <f t="shared" si="138"/>
        <v>3</v>
      </c>
      <c r="R1102" s="604" t="str">
        <f t="shared" si="139"/>
        <v>Gastos_custeados_por_captação</v>
      </c>
      <c r="S1102" s="605" t="s">
        <v>310</v>
      </c>
      <c r="T1102" s="605" t="s">
        <v>310</v>
      </c>
    </row>
    <row r="1103" spans="1:20" s="88" customFormat="1" ht="60" x14ac:dyDescent="0.2">
      <c r="A1103" s="510">
        <f>IF(B1103="","",COUNT('Diário 1º PA'!$A$4:$A$2635)+ROW()-3)</f>
        <v>2836</v>
      </c>
      <c r="B1103" s="414">
        <v>44690</v>
      </c>
      <c r="C1103" s="592">
        <v>44621</v>
      </c>
      <c r="D1103" s="415" t="s">
        <v>468</v>
      </c>
      <c r="E1103" s="415" t="s">
        <v>468</v>
      </c>
      <c r="F1103" s="615">
        <v>2.7</v>
      </c>
      <c r="G1103" s="640" t="s">
        <v>5453</v>
      </c>
      <c r="H1103" s="419" t="s">
        <v>468</v>
      </c>
      <c r="I1103" s="427" t="s">
        <v>764</v>
      </c>
      <c r="J1103" s="415" t="s">
        <v>310</v>
      </c>
      <c r="K1103" s="415" t="s">
        <v>1220</v>
      </c>
      <c r="L1103" s="415" t="s">
        <v>3443</v>
      </c>
      <c r="M1103" s="613">
        <v>222107033430</v>
      </c>
      <c r="N1103" s="414">
        <v>44690</v>
      </c>
      <c r="O1103" s="414" t="s">
        <v>404</v>
      </c>
      <c r="P1103" s="603">
        <f t="shared" si="137"/>
        <v>5</v>
      </c>
      <c r="Q1103" s="603">
        <f t="shared" si="138"/>
        <v>3</v>
      </c>
      <c r="R1103" s="604" t="str">
        <f t="shared" si="139"/>
        <v>Gastos_custeados_por_captação</v>
      </c>
      <c r="S1103" s="605" t="s">
        <v>310</v>
      </c>
      <c r="T1103" s="605" t="s">
        <v>310</v>
      </c>
    </row>
    <row r="1104" spans="1:20" s="88" customFormat="1" ht="60" x14ac:dyDescent="0.2">
      <c r="A1104" s="510">
        <f>IF(B1104="","",COUNT('Diário 1º PA'!$A$4:$A$2635)+ROW()-3)</f>
        <v>2837</v>
      </c>
      <c r="B1104" s="414">
        <v>44690</v>
      </c>
      <c r="C1104" s="592">
        <v>44621</v>
      </c>
      <c r="D1104" s="415" t="s">
        <v>468</v>
      </c>
      <c r="E1104" s="415" t="s">
        <v>468</v>
      </c>
      <c r="F1104" s="615">
        <v>468.82</v>
      </c>
      <c r="G1104" s="640" t="s">
        <v>5454</v>
      </c>
      <c r="H1104" s="419" t="s">
        <v>468</v>
      </c>
      <c r="I1104" s="427" t="s">
        <v>764</v>
      </c>
      <c r="J1104" s="415" t="s">
        <v>310</v>
      </c>
      <c r="K1104" s="415" t="s">
        <v>1220</v>
      </c>
      <c r="L1104" s="415" t="s">
        <v>3443</v>
      </c>
      <c r="M1104" s="613">
        <v>222107032469</v>
      </c>
      <c r="N1104" s="414">
        <v>44690</v>
      </c>
      <c r="O1104" s="414" t="s">
        <v>404</v>
      </c>
      <c r="P1104" s="603">
        <f t="shared" si="137"/>
        <v>5</v>
      </c>
      <c r="Q1104" s="603">
        <f t="shared" si="138"/>
        <v>3</v>
      </c>
      <c r="R1104" s="604" t="str">
        <f t="shared" si="139"/>
        <v>Gastos_custeados_por_captação</v>
      </c>
      <c r="S1104" s="605" t="s">
        <v>310</v>
      </c>
      <c r="T1104" s="605" t="s">
        <v>310</v>
      </c>
    </row>
    <row r="1105" spans="1:20" s="88" customFormat="1" ht="60" x14ac:dyDescent="0.2">
      <c r="A1105" s="510">
        <f>IF(B1105="","",COUNT('Diário 1º PA'!$A$4:$A$2635)+ROW()-3)</f>
        <v>2838</v>
      </c>
      <c r="B1105" s="414">
        <v>44690</v>
      </c>
      <c r="C1105" s="592">
        <v>44621</v>
      </c>
      <c r="D1105" s="415" t="s">
        <v>468</v>
      </c>
      <c r="E1105" s="415" t="s">
        <v>468</v>
      </c>
      <c r="F1105" s="615">
        <v>20.100000000000001</v>
      </c>
      <c r="G1105" s="640" t="s">
        <v>5455</v>
      </c>
      <c r="H1105" s="419" t="s">
        <v>468</v>
      </c>
      <c r="I1105" s="427" t="s">
        <v>764</v>
      </c>
      <c r="J1105" s="415" t="s">
        <v>310</v>
      </c>
      <c r="K1105" s="415" t="s">
        <v>1220</v>
      </c>
      <c r="L1105" s="415" t="s">
        <v>3443</v>
      </c>
      <c r="M1105" s="613">
        <v>222107032205</v>
      </c>
      <c r="N1105" s="414">
        <v>44690</v>
      </c>
      <c r="O1105" s="414" t="s">
        <v>404</v>
      </c>
      <c r="P1105" s="603">
        <f>IF(B1105=0,0,IF(YEAR(B1105)=$Q$1,MONTH(B1105)-$P$1+1,(YEAR(B1105)-$Q$1)*12-$P$1+1+MONTH(B1105)))</f>
        <v>5</v>
      </c>
      <c r="Q1105" s="603">
        <f>IF(C1105=0,0,IF(YEAR(C1105)=$Q$1,MONTH(C1105)-$P$1+1,(YEAR(C1105)-$Q$1)*12-$P$1+1+MONTH(C1105)))</f>
        <v>3</v>
      </c>
      <c r="R1105" s="604" t="str">
        <f>SUBSTITUTE(D1105," ","_")</f>
        <v>Gastos_custeados_por_captação</v>
      </c>
      <c r="S1105" s="605" t="s">
        <v>310</v>
      </c>
      <c r="T1105" s="605" t="s">
        <v>310</v>
      </c>
    </row>
    <row r="1106" spans="1:20" s="88" customFormat="1" ht="60" x14ac:dyDescent="0.2">
      <c r="A1106" s="510">
        <f>IF(B1106="","",COUNT('Diário 1º PA'!$A$4:$A$2635)+ROW()-3)</f>
        <v>2839</v>
      </c>
      <c r="B1106" s="414">
        <v>44690</v>
      </c>
      <c r="C1106" s="592">
        <v>44621</v>
      </c>
      <c r="D1106" s="415" t="s">
        <v>468</v>
      </c>
      <c r="E1106" s="415" t="s">
        <v>468</v>
      </c>
      <c r="F1106" s="615">
        <v>20.100000000000001</v>
      </c>
      <c r="G1106" s="640" t="s">
        <v>4807</v>
      </c>
      <c r="H1106" s="419" t="s">
        <v>468</v>
      </c>
      <c r="I1106" s="427" t="s">
        <v>764</v>
      </c>
      <c r="J1106" s="415" t="s">
        <v>310</v>
      </c>
      <c r="K1106" s="415" t="s">
        <v>1220</v>
      </c>
      <c r="L1106" s="415" t="s">
        <v>3443</v>
      </c>
      <c r="M1106" s="613">
        <v>222106779030</v>
      </c>
      <c r="N1106" s="414">
        <v>44690</v>
      </c>
      <c r="O1106" s="414" t="s">
        <v>405</v>
      </c>
      <c r="P1106" s="603">
        <f>IF(B1106=0,0,IF(YEAR(B1106)=$Q$1,MONTH(B1106)-$P$1+1,(YEAR(B1106)-$Q$1)*12-$P$1+1+MONTH(B1106)))</f>
        <v>5</v>
      </c>
      <c r="Q1106" s="603">
        <f>IF(C1106=0,0,IF(YEAR(C1106)=$Q$1,MONTH(C1106)-$P$1+1,(YEAR(C1106)-$Q$1)*12-$P$1+1+MONTH(C1106)))</f>
        <v>3</v>
      </c>
      <c r="R1106" s="604" t="str">
        <f>SUBSTITUTE(D1106," ","_")</f>
        <v>Gastos_custeados_por_captação</v>
      </c>
      <c r="S1106" s="605" t="s">
        <v>310</v>
      </c>
      <c r="T1106" s="605" t="s">
        <v>310</v>
      </c>
    </row>
    <row r="1107" spans="1:20" s="88" customFormat="1" ht="60" x14ac:dyDescent="0.2">
      <c r="A1107" s="510">
        <f>IF(B1107="","",COUNT('Diário 1º PA'!$A$4:$A$2635)+ROW()-3)</f>
        <v>2840</v>
      </c>
      <c r="B1107" s="414">
        <v>44690</v>
      </c>
      <c r="C1107" s="592">
        <v>44621</v>
      </c>
      <c r="D1107" s="415" t="s">
        <v>468</v>
      </c>
      <c r="E1107" s="415" t="s">
        <v>468</v>
      </c>
      <c r="F1107" s="615">
        <v>125</v>
      </c>
      <c r="G1107" s="640" t="s">
        <v>4344</v>
      </c>
      <c r="H1107" s="419" t="s">
        <v>468</v>
      </c>
      <c r="I1107" s="427" t="s">
        <v>764</v>
      </c>
      <c r="J1107" s="415" t="s">
        <v>310</v>
      </c>
      <c r="K1107" s="415" t="s">
        <v>1220</v>
      </c>
      <c r="L1107" s="415" t="s">
        <v>3443</v>
      </c>
      <c r="M1107" s="613">
        <v>222106777843</v>
      </c>
      <c r="N1107" s="414">
        <v>44690</v>
      </c>
      <c r="O1107" s="414" t="s">
        <v>405</v>
      </c>
      <c r="P1107" s="603">
        <f t="shared" ref="P1107:P1114" si="140">IF(B1107=0,0,IF(YEAR(B1107)=$Q$1,MONTH(B1107)-$P$1+1,(YEAR(B1107)-$Q$1)*12-$P$1+1+MONTH(B1107)))</f>
        <v>5</v>
      </c>
      <c r="Q1107" s="603">
        <f t="shared" ref="Q1107:Q1114" si="141">IF(C1107=0,0,IF(YEAR(C1107)=$Q$1,MONTH(C1107)-$P$1+1,(YEAR(C1107)-$Q$1)*12-$P$1+1+MONTH(C1107)))</f>
        <v>3</v>
      </c>
      <c r="R1107" s="604" t="str">
        <f t="shared" ref="R1107:R1114" si="142">SUBSTITUTE(D1107," ","_")</f>
        <v>Gastos_custeados_por_captação</v>
      </c>
      <c r="S1107" s="605" t="s">
        <v>310</v>
      </c>
      <c r="T1107" s="605" t="s">
        <v>310</v>
      </c>
    </row>
    <row r="1108" spans="1:20" s="88" customFormat="1" ht="72" x14ac:dyDescent="0.2">
      <c r="A1108" s="510">
        <f>IF(B1108="","",COUNT('Diário 1º PA'!$A$4:$A$2635)+ROW()-3)</f>
        <v>2841</v>
      </c>
      <c r="B1108" s="414">
        <v>44690</v>
      </c>
      <c r="C1108" s="592">
        <v>44621</v>
      </c>
      <c r="D1108" s="415" t="s">
        <v>468</v>
      </c>
      <c r="E1108" s="415" t="s">
        <v>468</v>
      </c>
      <c r="F1108" s="615">
        <v>75</v>
      </c>
      <c r="G1108" s="641" t="s">
        <v>5503</v>
      </c>
      <c r="H1108" s="419" t="s">
        <v>468</v>
      </c>
      <c r="I1108" s="427" t="s">
        <v>764</v>
      </c>
      <c r="J1108" s="415" t="s">
        <v>310</v>
      </c>
      <c r="K1108" s="415" t="s">
        <v>1220</v>
      </c>
      <c r="L1108" s="415" t="s">
        <v>3443</v>
      </c>
      <c r="M1108" s="623">
        <v>222106918765</v>
      </c>
      <c r="N1108" s="414">
        <v>44690</v>
      </c>
      <c r="O1108" s="414" t="s">
        <v>402</v>
      </c>
      <c r="P1108" s="603">
        <f t="shared" si="140"/>
        <v>5</v>
      </c>
      <c r="Q1108" s="603">
        <f t="shared" si="141"/>
        <v>3</v>
      </c>
      <c r="R1108" s="604" t="str">
        <f t="shared" si="142"/>
        <v>Gastos_custeados_por_captação</v>
      </c>
      <c r="S1108" s="605" t="s">
        <v>310</v>
      </c>
      <c r="T1108" s="605" t="s">
        <v>310</v>
      </c>
    </row>
    <row r="1109" spans="1:20" s="88" customFormat="1" ht="72" x14ac:dyDescent="0.2">
      <c r="A1109" s="510">
        <f>IF(B1109="","",COUNT('Diário 1º PA'!$A$4:$A$2635)+ROW()-3)</f>
        <v>2842</v>
      </c>
      <c r="B1109" s="414">
        <v>44690</v>
      </c>
      <c r="C1109" s="592">
        <v>44621</v>
      </c>
      <c r="D1109" s="415" t="s">
        <v>468</v>
      </c>
      <c r="E1109" s="415" t="s">
        <v>468</v>
      </c>
      <c r="F1109" s="615">
        <v>188.94</v>
      </c>
      <c r="G1109" s="641" t="s">
        <v>5504</v>
      </c>
      <c r="H1109" s="419" t="s">
        <v>468</v>
      </c>
      <c r="I1109" s="427" t="s">
        <v>764</v>
      </c>
      <c r="J1109" s="415" t="s">
        <v>310</v>
      </c>
      <c r="K1109" s="415" t="s">
        <v>1220</v>
      </c>
      <c r="L1109" s="415" t="s">
        <v>3443</v>
      </c>
      <c r="M1109" s="623">
        <v>222106920077</v>
      </c>
      <c r="N1109" s="414">
        <v>44690</v>
      </c>
      <c r="O1109" s="414" t="s">
        <v>402</v>
      </c>
      <c r="P1109" s="603">
        <f t="shared" si="140"/>
        <v>5</v>
      </c>
      <c r="Q1109" s="603">
        <f t="shared" si="141"/>
        <v>3</v>
      </c>
      <c r="R1109" s="604" t="str">
        <f t="shared" si="142"/>
        <v>Gastos_custeados_por_captação</v>
      </c>
      <c r="S1109" s="605" t="s">
        <v>310</v>
      </c>
      <c r="T1109" s="605" t="s">
        <v>310</v>
      </c>
    </row>
    <row r="1110" spans="1:20" s="88" customFormat="1" ht="72" x14ac:dyDescent="0.2">
      <c r="A1110" s="510">
        <f>IF(B1110="","",COUNT('Diário 1º PA'!$A$4:$A$2635)+ROW()-3)</f>
        <v>2843</v>
      </c>
      <c r="B1110" s="414">
        <v>44690</v>
      </c>
      <c r="C1110" s="592">
        <v>44621</v>
      </c>
      <c r="D1110" s="415" t="s">
        <v>468</v>
      </c>
      <c r="E1110" s="415" t="s">
        <v>468</v>
      </c>
      <c r="F1110" s="615">
        <v>12.09</v>
      </c>
      <c r="G1110" s="641" t="s">
        <v>5505</v>
      </c>
      <c r="H1110" s="419" t="s">
        <v>468</v>
      </c>
      <c r="I1110" s="427" t="s">
        <v>764</v>
      </c>
      <c r="J1110" s="415" t="s">
        <v>310</v>
      </c>
      <c r="K1110" s="415" t="s">
        <v>1220</v>
      </c>
      <c r="L1110" s="415" t="s">
        <v>3443</v>
      </c>
      <c r="M1110" s="623">
        <v>222106923688</v>
      </c>
      <c r="N1110" s="414">
        <v>44690</v>
      </c>
      <c r="O1110" s="414" t="s">
        <v>402</v>
      </c>
      <c r="P1110" s="603">
        <f t="shared" si="140"/>
        <v>5</v>
      </c>
      <c r="Q1110" s="603">
        <f t="shared" si="141"/>
        <v>3</v>
      </c>
      <c r="R1110" s="604" t="str">
        <f t="shared" si="142"/>
        <v>Gastos_custeados_por_captação</v>
      </c>
      <c r="S1110" s="605" t="s">
        <v>310</v>
      </c>
      <c r="T1110" s="605" t="s">
        <v>310</v>
      </c>
    </row>
    <row r="1111" spans="1:20" s="88" customFormat="1" ht="72" x14ac:dyDescent="0.2">
      <c r="A1111" s="510">
        <f>IF(B1111="","",COUNT('Diário 1º PA'!$A$4:$A$2635)+ROW()-3)</f>
        <v>2844</v>
      </c>
      <c r="B1111" s="414">
        <v>44690</v>
      </c>
      <c r="C1111" s="592">
        <v>44621</v>
      </c>
      <c r="D1111" s="415" t="s">
        <v>468</v>
      </c>
      <c r="E1111" s="415" t="s">
        <v>468</v>
      </c>
      <c r="F1111" s="615">
        <v>120</v>
      </c>
      <c r="G1111" s="641" t="s">
        <v>5506</v>
      </c>
      <c r="H1111" s="419" t="s">
        <v>468</v>
      </c>
      <c r="I1111" s="427" t="s">
        <v>764</v>
      </c>
      <c r="J1111" s="415" t="s">
        <v>310</v>
      </c>
      <c r="K1111" s="415" t="s">
        <v>1220</v>
      </c>
      <c r="L1111" s="415" t="s">
        <v>3443</v>
      </c>
      <c r="M1111" s="623">
        <v>222106914000</v>
      </c>
      <c r="N1111" s="414">
        <v>44690</v>
      </c>
      <c r="O1111" s="414" t="s">
        <v>402</v>
      </c>
      <c r="P1111" s="603">
        <f t="shared" si="140"/>
        <v>5</v>
      </c>
      <c r="Q1111" s="603">
        <f t="shared" si="141"/>
        <v>3</v>
      </c>
      <c r="R1111" s="604" t="str">
        <f t="shared" si="142"/>
        <v>Gastos_custeados_por_captação</v>
      </c>
      <c r="S1111" s="605" t="s">
        <v>310</v>
      </c>
      <c r="T1111" s="605" t="s">
        <v>310</v>
      </c>
    </row>
    <row r="1112" spans="1:20" s="88" customFormat="1" ht="72" x14ac:dyDescent="0.2">
      <c r="A1112" s="510">
        <f>IF(B1112="","",COUNT('Diário 1º PA'!$A$4:$A$2635)+ROW()-3)</f>
        <v>2845</v>
      </c>
      <c r="B1112" s="414">
        <v>44690</v>
      </c>
      <c r="C1112" s="592">
        <v>44621</v>
      </c>
      <c r="D1112" s="415" t="s">
        <v>468</v>
      </c>
      <c r="E1112" s="415" t="s">
        <v>468</v>
      </c>
      <c r="F1112" s="615">
        <v>55.27</v>
      </c>
      <c r="G1112" s="641" t="s">
        <v>5507</v>
      </c>
      <c r="H1112" s="419" t="s">
        <v>468</v>
      </c>
      <c r="I1112" s="427" t="s">
        <v>764</v>
      </c>
      <c r="J1112" s="415" t="s">
        <v>310</v>
      </c>
      <c r="K1112" s="415" t="s">
        <v>1220</v>
      </c>
      <c r="L1112" s="415" t="s">
        <v>3443</v>
      </c>
      <c r="M1112" s="623">
        <v>222106920824</v>
      </c>
      <c r="N1112" s="414">
        <v>44690</v>
      </c>
      <c r="O1112" s="414" t="s">
        <v>402</v>
      </c>
      <c r="P1112" s="603">
        <f t="shared" si="140"/>
        <v>5</v>
      </c>
      <c r="Q1112" s="603">
        <f t="shared" si="141"/>
        <v>3</v>
      </c>
      <c r="R1112" s="604" t="str">
        <f t="shared" si="142"/>
        <v>Gastos_custeados_por_captação</v>
      </c>
      <c r="S1112" s="605" t="s">
        <v>310</v>
      </c>
      <c r="T1112" s="605" t="s">
        <v>310</v>
      </c>
    </row>
    <row r="1113" spans="1:20" s="88" customFormat="1" ht="72" x14ac:dyDescent="0.2">
      <c r="A1113" s="510">
        <f>IF(B1113="","",COUNT('Diário 1º PA'!$A$4:$A$2635)+ROW()-3)</f>
        <v>2846</v>
      </c>
      <c r="B1113" s="414">
        <v>44690</v>
      </c>
      <c r="C1113" s="592">
        <v>44621</v>
      </c>
      <c r="D1113" s="415" t="s">
        <v>468</v>
      </c>
      <c r="E1113" s="415" t="s">
        <v>468</v>
      </c>
      <c r="F1113" s="615">
        <v>84</v>
      </c>
      <c r="G1113" s="641" t="s">
        <v>5508</v>
      </c>
      <c r="H1113" s="419" t="s">
        <v>468</v>
      </c>
      <c r="I1113" s="427" t="s">
        <v>764</v>
      </c>
      <c r="J1113" s="415" t="s">
        <v>310</v>
      </c>
      <c r="K1113" s="415" t="s">
        <v>1220</v>
      </c>
      <c r="L1113" s="415" t="s">
        <v>3443</v>
      </c>
      <c r="M1113" s="623">
        <v>222106922444</v>
      </c>
      <c r="N1113" s="414">
        <v>44690</v>
      </c>
      <c r="O1113" s="414" t="s">
        <v>402</v>
      </c>
      <c r="P1113" s="603">
        <f t="shared" si="140"/>
        <v>5</v>
      </c>
      <c r="Q1113" s="603">
        <f t="shared" si="141"/>
        <v>3</v>
      </c>
      <c r="R1113" s="604" t="str">
        <f t="shared" si="142"/>
        <v>Gastos_custeados_por_captação</v>
      </c>
      <c r="S1113" s="605" t="s">
        <v>310</v>
      </c>
      <c r="T1113" s="605" t="s">
        <v>310</v>
      </c>
    </row>
    <row r="1114" spans="1:20" s="88" customFormat="1" ht="72" x14ac:dyDescent="0.2">
      <c r="A1114" s="510">
        <f>IF(B1114="","",COUNT('Diário 1º PA'!$A$4:$A$2635)+ROW()-3)</f>
        <v>2847</v>
      </c>
      <c r="B1114" s="414">
        <v>44690</v>
      </c>
      <c r="C1114" s="592">
        <v>44621</v>
      </c>
      <c r="D1114" s="415" t="s">
        <v>468</v>
      </c>
      <c r="E1114" s="415" t="s">
        <v>468</v>
      </c>
      <c r="F1114" s="615">
        <v>55.27</v>
      </c>
      <c r="G1114" s="641" t="s">
        <v>5509</v>
      </c>
      <c r="H1114" s="419" t="s">
        <v>468</v>
      </c>
      <c r="I1114" s="427" t="s">
        <v>764</v>
      </c>
      <c r="J1114" s="415" t="s">
        <v>310</v>
      </c>
      <c r="K1114" s="415" t="s">
        <v>1220</v>
      </c>
      <c r="L1114" s="415" t="s">
        <v>3443</v>
      </c>
      <c r="M1114" s="623">
        <v>222106933217</v>
      </c>
      <c r="N1114" s="414">
        <v>44690</v>
      </c>
      <c r="O1114" s="414" t="s">
        <v>402</v>
      </c>
      <c r="P1114" s="603">
        <f t="shared" si="140"/>
        <v>5</v>
      </c>
      <c r="Q1114" s="603">
        <f t="shared" si="141"/>
        <v>3</v>
      </c>
      <c r="R1114" s="604" t="str">
        <f t="shared" si="142"/>
        <v>Gastos_custeados_por_captação</v>
      </c>
      <c r="S1114" s="605" t="s">
        <v>310</v>
      </c>
      <c r="T1114" s="605" t="s">
        <v>310</v>
      </c>
    </row>
    <row r="1115" spans="1:20" s="88" customFormat="1" ht="72" x14ac:dyDescent="0.2">
      <c r="A1115" s="510">
        <f>IF(B1115="","",COUNT('Diário 1º PA'!$A$4:$A$2635)+ROW()-3)</f>
        <v>2848</v>
      </c>
      <c r="B1115" s="414">
        <v>44690</v>
      </c>
      <c r="C1115" s="592">
        <v>44621</v>
      </c>
      <c r="D1115" s="415" t="s">
        <v>468</v>
      </c>
      <c r="E1115" s="415" t="s">
        <v>468</v>
      </c>
      <c r="F1115" s="615">
        <v>90</v>
      </c>
      <c r="G1115" s="641" t="s">
        <v>5510</v>
      </c>
      <c r="H1115" s="419" t="s">
        <v>468</v>
      </c>
      <c r="I1115" s="427" t="s">
        <v>764</v>
      </c>
      <c r="J1115" s="415" t="s">
        <v>310</v>
      </c>
      <c r="K1115" s="415" t="s">
        <v>1220</v>
      </c>
      <c r="L1115" s="415" t="s">
        <v>3443</v>
      </c>
      <c r="M1115" s="623">
        <v>222106914930</v>
      </c>
      <c r="N1115" s="414">
        <v>44690</v>
      </c>
      <c r="O1115" s="414" t="s">
        <v>402</v>
      </c>
      <c r="P1115" s="603">
        <f t="shared" ref="P1115:P1129" si="143">IF(B1115=0,0,IF(YEAR(B1115)=$Q$1,MONTH(B1115)-$P$1+1,(YEAR(B1115)-$Q$1)*12-$P$1+1+MONTH(B1115)))</f>
        <v>5</v>
      </c>
      <c r="Q1115" s="603">
        <f t="shared" ref="Q1115:Q1129" si="144">IF(C1115=0,0,IF(YEAR(C1115)=$Q$1,MONTH(C1115)-$P$1+1,(YEAR(C1115)-$Q$1)*12-$P$1+1+MONTH(C1115)))</f>
        <v>3</v>
      </c>
      <c r="R1115" s="604" t="str">
        <f t="shared" ref="R1115:R1129" si="145">SUBSTITUTE(D1115," ","_")</f>
        <v>Gastos_custeados_por_captação</v>
      </c>
      <c r="S1115" s="605" t="s">
        <v>310</v>
      </c>
      <c r="T1115" s="605" t="s">
        <v>310</v>
      </c>
    </row>
    <row r="1116" spans="1:20" s="88" customFormat="1" ht="36" x14ac:dyDescent="0.2">
      <c r="A1116" s="510">
        <f>IF(B1116="","",COUNT('Diário 1º PA'!$A$4:$A$2635)+ROW()-3)</f>
        <v>2849</v>
      </c>
      <c r="B1116" s="414">
        <v>44691</v>
      </c>
      <c r="C1116" s="431">
        <v>44652</v>
      </c>
      <c r="D1116" s="415" t="s">
        <v>271</v>
      </c>
      <c r="E1116" s="415" t="s">
        <v>178</v>
      </c>
      <c r="F1116" s="425">
        <v>-69.989999999999995</v>
      </c>
      <c r="G1116" s="427" t="s">
        <v>3966</v>
      </c>
      <c r="H1116" s="415" t="s">
        <v>309</v>
      </c>
      <c r="I1116" s="427" t="s">
        <v>795</v>
      </c>
      <c r="J1116" s="415" t="s">
        <v>796</v>
      </c>
      <c r="K1116" s="415" t="s">
        <v>797</v>
      </c>
      <c r="L1116" s="415" t="s">
        <v>798</v>
      </c>
      <c r="M1116" s="415" t="s">
        <v>310</v>
      </c>
      <c r="N1116" s="414">
        <v>44691</v>
      </c>
      <c r="O1116" s="414" t="s">
        <v>400</v>
      </c>
      <c r="P1116" s="603">
        <f t="shared" si="143"/>
        <v>5</v>
      </c>
      <c r="Q1116" s="603">
        <f t="shared" si="144"/>
        <v>4</v>
      </c>
      <c r="R1116" s="604" t="str">
        <f t="shared" si="145"/>
        <v>Gastos_Gerais</v>
      </c>
      <c r="S1116" s="605" t="s">
        <v>310</v>
      </c>
      <c r="T1116" s="605" t="s">
        <v>310</v>
      </c>
    </row>
    <row r="1117" spans="1:20" s="88" customFormat="1" ht="48" x14ac:dyDescent="0.2">
      <c r="A1117" s="510">
        <f>IF(B1117="","",COUNT('Diário 1º PA'!$A$4:$A$2635)+ROW()-3)</f>
        <v>2850</v>
      </c>
      <c r="B1117" s="414">
        <v>44691</v>
      </c>
      <c r="C1117" s="431">
        <v>44652</v>
      </c>
      <c r="D1117" s="415" t="s">
        <v>271</v>
      </c>
      <c r="E1117" s="415" t="s">
        <v>187</v>
      </c>
      <c r="F1117" s="435">
        <v>-184.87</v>
      </c>
      <c r="G1117" s="427" t="s">
        <v>3967</v>
      </c>
      <c r="H1117" s="415" t="s">
        <v>309</v>
      </c>
      <c r="I1117" s="427" t="s">
        <v>795</v>
      </c>
      <c r="J1117" s="415" t="s">
        <v>796</v>
      </c>
      <c r="K1117" s="415" t="s">
        <v>797</v>
      </c>
      <c r="L1117" s="415" t="s">
        <v>798</v>
      </c>
      <c r="M1117" s="415" t="s">
        <v>310</v>
      </c>
      <c r="N1117" s="414">
        <v>44691</v>
      </c>
      <c r="O1117" s="414" t="s">
        <v>400</v>
      </c>
      <c r="P1117" s="603">
        <f t="shared" si="143"/>
        <v>5</v>
      </c>
      <c r="Q1117" s="603">
        <f t="shared" si="144"/>
        <v>4</v>
      </c>
      <c r="R1117" s="604" t="str">
        <f t="shared" si="145"/>
        <v>Gastos_Gerais</v>
      </c>
      <c r="S1117" s="605" t="s">
        <v>310</v>
      </c>
      <c r="T1117" s="605" t="s">
        <v>310</v>
      </c>
    </row>
    <row r="1118" spans="1:20" s="88" customFormat="1" ht="60" x14ac:dyDescent="0.2">
      <c r="A1118" s="510">
        <f>IF(B1118="","",COUNT('Diário 1º PA'!$A$4:$A$2635)+ROW()-3)</f>
        <v>2851</v>
      </c>
      <c r="B1118" s="414">
        <v>44691</v>
      </c>
      <c r="C1118" s="431">
        <v>44682</v>
      </c>
      <c r="D1118" s="415" t="s">
        <v>271</v>
      </c>
      <c r="E1118" s="415" t="s">
        <v>67</v>
      </c>
      <c r="F1118" s="435">
        <v>-99.91</v>
      </c>
      <c r="G1118" s="427" t="s">
        <v>3968</v>
      </c>
      <c r="H1118" s="415" t="s">
        <v>309</v>
      </c>
      <c r="I1118" s="427" t="s">
        <v>795</v>
      </c>
      <c r="J1118" s="415" t="s">
        <v>796</v>
      </c>
      <c r="K1118" s="415" t="s">
        <v>797</v>
      </c>
      <c r="L1118" s="415" t="s">
        <v>798</v>
      </c>
      <c r="M1118" s="415" t="s">
        <v>310</v>
      </c>
      <c r="N1118" s="414">
        <v>44691</v>
      </c>
      <c r="O1118" s="414" t="s">
        <v>400</v>
      </c>
      <c r="P1118" s="603">
        <f t="shared" si="143"/>
        <v>5</v>
      </c>
      <c r="Q1118" s="603">
        <f t="shared" si="144"/>
        <v>5</v>
      </c>
      <c r="R1118" s="604" t="str">
        <f t="shared" si="145"/>
        <v>Gastos_Gerais</v>
      </c>
      <c r="S1118" s="605" t="s">
        <v>310</v>
      </c>
      <c r="T1118" s="605" t="s">
        <v>310</v>
      </c>
    </row>
    <row r="1119" spans="1:20" s="88" customFormat="1" ht="93.75" customHeight="1" x14ac:dyDescent="0.2">
      <c r="A1119" s="510">
        <f>IF(B1119="","",COUNT('Diário 1º PA'!$A$4:$A$2635)+ROW()-3)</f>
        <v>2852</v>
      </c>
      <c r="B1119" s="414">
        <v>44691</v>
      </c>
      <c r="C1119" s="431">
        <v>44652</v>
      </c>
      <c r="D1119" s="415" t="s">
        <v>271</v>
      </c>
      <c r="E1119" s="415" t="s">
        <v>297</v>
      </c>
      <c r="F1119" s="435">
        <v>-567.82000000000005</v>
      </c>
      <c r="G1119" s="427" t="s">
        <v>3969</v>
      </c>
      <c r="H1119" s="415" t="s">
        <v>309</v>
      </c>
      <c r="I1119" s="427" t="s">
        <v>795</v>
      </c>
      <c r="J1119" s="415" t="s">
        <v>796</v>
      </c>
      <c r="K1119" s="415" t="s">
        <v>797</v>
      </c>
      <c r="L1119" s="415" t="s">
        <v>798</v>
      </c>
      <c r="M1119" s="415" t="s">
        <v>310</v>
      </c>
      <c r="N1119" s="414">
        <v>44691</v>
      </c>
      <c r="O1119" s="414" t="s">
        <v>400</v>
      </c>
      <c r="P1119" s="603">
        <f t="shared" si="143"/>
        <v>5</v>
      </c>
      <c r="Q1119" s="603">
        <f t="shared" si="144"/>
        <v>4</v>
      </c>
      <c r="R1119" s="604" t="str">
        <f t="shared" si="145"/>
        <v>Gastos_Gerais</v>
      </c>
      <c r="S1119" s="605" t="s">
        <v>310</v>
      </c>
      <c r="T1119" s="605" t="s">
        <v>310</v>
      </c>
    </row>
    <row r="1120" spans="1:20" s="88" customFormat="1" ht="112.5" customHeight="1" x14ac:dyDescent="0.2">
      <c r="A1120" s="510">
        <f>IF(B1120="","",COUNT('Diário 1º PA'!$A$4:$A$2635)+ROW()-3)</f>
        <v>2853</v>
      </c>
      <c r="B1120" s="414">
        <v>44691</v>
      </c>
      <c r="C1120" s="431">
        <v>44652</v>
      </c>
      <c r="D1120" s="415" t="s">
        <v>271</v>
      </c>
      <c r="E1120" s="415" t="s">
        <v>178</v>
      </c>
      <c r="F1120" s="425">
        <v>255.19</v>
      </c>
      <c r="G1120" s="427" t="s">
        <v>482</v>
      </c>
      <c r="H1120" s="415" t="s">
        <v>309</v>
      </c>
      <c r="I1120" s="427" t="s">
        <v>1276</v>
      </c>
      <c r="J1120" s="415" t="s">
        <v>1017</v>
      </c>
      <c r="K1120" s="415" t="s">
        <v>812</v>
      </c>
      <c r="L1120" s="415" t="s">
        <v>32</v>
      </c>
      <c r="M1120" s="415" t="s">
        <v>3970</v>
      </c>
      <c r="N1120" s="414">
        <v>44656</v>
      </c>
      <c r="O1120" s="414" t="s">
        <v>400</v>
      </c>
      <c r="P1120" s="603">
        <f t="shared" si="143"/>
        <v>5</v>
      </c>
      <c r="Q1120" s="603">
        <f t="shared" si="144"/>
        <v>4</v>
      </c>
      <c r="R1120" s="604" t="str">
        <f t="shared" si="145"/>
        <v>Gastos_Gerais</v>
      </c>
      <c r="S1120" s="605" t="s">
        <v>1000</v>
      </c>
      <c r="T1120" s="606">
        <v>1133</v>
      </c>
    </row>
    <row r="1121" spans="1:20" s="88" customFormat="1" ht="84" x14ac:dyDescent="0.2">
      <c r="A1121" s="510">
        <f>IF(B1121="","",COUNT('Diário 1º PA'!$A$4:$A$2635)+ROW()-3)</f>
        <v>2854</v>
      </c>
      <c r="B1121" s="414">
        <v>44691</v>
      </c>
      <c r="C1121" s="431">
        <v>44652</v>
      </c>
      <c r="D1121" s="415" t="s">
        <v>271</v>
      </c>
      <c r="E1121" s="415" t="s">
        <v>187</v>
      </c>
      <c r="F1121" s="425">
        <v>700</v>
      </c>
      <c r="G1121" s="427" t="s">
        <v>643</v>
      </c>
      <c r="H1121" s="415" t="s">
        <v>309</v>
      </c>
      <c r="I1121" s="427" t="s">
        <v>1701</v>
      </c>
      <c r="J1121" s="415" t="s">
        <v>1071</v>
      </c>
      <c r="K1121" s="415" t="s">
        <v>812</v>
      </c>
      <c r="L1121" s="415" t="s">
        <v>32</v>
      </c>
      <c r="M1121" s="415" t="s">
        <v>3971</v>
      </c>
      <c r="N1121" s="414">
        <v>44684</v>
      </c>
      <c r="O1121" s="414" t="s">
        <v>400</v>
      </c>
      <c r="P1121" s="603">
        <f t="shared" si="143"/>
        <v>5</v>
      </c>
      <c r="Q1121" s="603">
        <f t="shared" si="144"/>
        <v>4</v>
      </c>
      <c r="R1121" s="604" t="str">
        <f t="shared" si="145"/>
        <v>Gastos_Gerais</v>
      </c>
      <c r="S1121" s="605" t="s">
        <v>1000</v>
      </c>
      <c r="T1121" s="605">
        <v>2666</v>
      </c>
    </row>
    <row r="1122" spans="1:20" s="88" customFormat="1" ht="36" x14ac:dyDescent="0.2">
      <c r="A1122" s="510">
        <f>IF(B1122="","",COUNT('Diário 1º PA'!$A$4:$A$2635)+ROW()-3)</f>
        <v>2855</v>
      </c>
      <c r="B1122" s="414">
        <v>44691</v>
      </c>
      <c r="C1122" s="431">
        <v>44682</v>
      </c>
      <c r="D1122" s="415" t="s">
        <v>271</v>
      </c>
      <c r="E1122" s="415" t="s">
        <v>67</v>
      </c>
      <c r="F1122" s="425">
        <v>378.31</v>
      </c>
      <c r="G1122" s="427" t="s">
        <v>3520</v>
      </c>
      <c r="H1122" s="415" t="s">
        <v>309</v>
      </c>
      <c r="I1122" s="427" t="s">
        <v>764</v>
      </c>
      <c r="J1122" s="415" t="s">
        <v>310</v>
      </c>
      <c r="K1122" s="415" t="s">
        <v>1220</v>
      </c>
      <c r="L1122" s="415" t="s">
        <v>3973</v>
      </c>
      <c r="M1122" s="546" t="s">
        <v>3972</v>
      </c>
      <c r="N1122" s="414">
        <v>44691</v>
      </c>
      <c r="O1122" s="414" t="s">
        <v>400</v>
      </c>
      <c r="P1122" s="603">
        <f t="shared" si="143"/>
        <v>5</v>
      </c>
      <c r="Q1122" s="603">
        <f t="shared" si="144"/>
        <v>5</v>
      </c>
      <c r="R1122" s="604" t="str">
        <f t="shared" si="145"/>
        <v>Gastos_Gerais</v>
      </c>
      <c r="S1122" s="605" t="s">
        <v>310</v>
      </c>
      <c r="T1122" s="605" t="s">
        <v>310</v>
      </c>
    </row>
    <row r="1123" spans="1:20" s="88" customFormat="1" ht="24" x14ac:dyDescent="0.2">
      <c r="A1123" s="510">
        <f>IF(B1123="","",COUNT('Diário 1º PA'!$A$4:$A$2635)+ROW()-3)</f>
        <v>2856</v>
      </c>
      <c r="B1123" s="414">
        <v>44691</v>
      </c>
      <c r="C1123" s="424">
        <v>44652</v>
      </c>
      <c r="D1123" s="415" t="s">
        <v>271</v>
      </c>
      <c r="E1123" s="415" t="s">
        <v>85</v>
      </c>
      <c r="F1123" s="425">
        <v>145.19999999999999</v>
      </c>
      <c r="G1123" s="437" t="s">
        <v>3636</v>
      </c>
      <c r="H1123" s="415" t="s">
        <v>750</v>
      </c>
      <c r="I1123" s="437" t="s">
        <v>765</v>
      </c>
      <c r="J1123" s="434" t="s">
        <v>892</v>
      </c>
      <c r="K1123" s="415" t="s">
        <v>893</v>
      </c>
      <c r="L1123" s="415" t="s">
        <v>807</v>
      </c>
      <c r="M1123" s="415">
        <v>77132702</v>
      </c>
      <c r="N1123" s="414">
        <v>44669</v>
      </c>
      <c r="O1123" s="414" t="s">
        <v>400</v>
      </c>
      <c r="P1123" s="603">
        <f t="shared" si="143"/>
        <v>5</v>
      </c>
      <c r="Q1123" s="603">
        <f t="shared" si="144"/>
        <v>4</v>
      </c>
      <c r="R1123" s="604" t="str">
        <f t="shared" si="145"/>
        <v>Gastos_Gerais</v>
      </c>
      <c r="S1123" s="605" t="s">
        <v>310</v>
      </c>
      <c r="T1123" s="605" t="s">
        <v>310</v>
      </c>
    </row>
    <row r="1124" spans="1:20" s="88" customFormat="1" ht="94.5" customHeight="1" x14ac:dyDescent="0.2">
      <c r="A1124" s="510">
        <f>IF(B1124="","",COUNT('Diário 1º PA'!$A$4:$A$2635)+ROW()-3)</f>
        <v>2857</v>
      </c>
      <c r="B1124" s="414">
        <v>44691</v>
      </c>
      <c r="C1124" s="424">
        <v>44652</v>
      </c>
      <c r="D1124" s="415" t="s">
        <v>271</v>
      </c>
      <c r="E1124" s="415" t="s">
        <v>183</v>
      </c>
      <c r="F1124" s="425">
        <v>138.06</v>
      </c>
      <c r="G1124" s="427" t="s">
        <v>551</v>
      </c>
      <c r="H1124" s="415" t="s">
        <v>753</v>
      </c>
      <c r="I1124" s="427" t="s">
        <v>1705</v>
      </c>
      <c r="J1124" s="415" t="s">
        <v>1704</v>
      </c>
      <c r="K1124" s="415" t="s">
        <v>1404</v>
      </c>
      <c r="L1124" s="415" t="s">
        <v>32</v>
      </c>
      <c r="M1124" s="546">
        <v>220495372740</v>
      </c>
      <c r="N1124" s="414">
        <v>44670</v>
      </c>
      <c r="O1124" s="414" t="s">
        <v>400</v>
      </c>
      <c r="P1124" s="603">
        <f t="shared" si="143"/>
        <v>5</v>
      </c>
      <c r="Q1124" s="603">
        <f t="shared" si="144"/>
        <v>4</v>
      </c>
      <c r="R1124" s="604" t="str">
        <f t="shared" si="145"/>
        <v>Gastos_Gerais</v>
      </c>
      <c r="S1124" s="605" t="s">
        <v>1000</v>
      </c>
      <c r="T1124" s="605">
        <v>1997</v>
      </c>
    </row>
    <row r="1125" spans="1:20" s="88" customFormat="1" ht="96" x14ac:dyDescent="0.2">
      <c r="A1125" s="510">
        <f>IF(B1125="","",COUNT('Diário 1º PA'!$A$4:$A$2635)+ROW()-3)</f>
        <v>2858</v>
      </c>
      <c r="B1125" s="414">
        <v>44691</v>
      </c>
      <c r="C1125" s="431">
        <v>44621</v>
      </c>
      <c r="D1125" s="415" t="s">
        <v>271</v>
      </c>
      <c r="E1125" s="415" t="s">
        <v>297</v>
      </c>
      <c r="F1125" s="425">
        <v>19598</v>
      </c>
      <c r="G1125" s="427" t="s">
        <v>1973</v>
      </c>
      <c r="H1125" s="419" t="s">
        <v>748</v>
      </c>
      <c r="I1125" s="427" t="s">
        <v>4696</v>
      </c>
      <c r="J1125" s="415" t="s">
        <v>1788</v>
      </c>
      <c r="K1125" s="415" t="s">
        <v>830</v>
      </c>
      <c r="L1125" s="415" t="s">
        <v>807</v>
      </c>
      <c r="M1125" s="415" t="s">
        <v>1786</v>
      </c>
      <c r="N1125" s="414">
        <v>44687</v>
      </c>
      <c r="O1125" s="414" t="s">
        <v>400</v>
      </c>
      <c r="P1125" s="603">
        <f t="shared" si="143"/>
        <v>5</v>
      </c>
      <c r="Q1125" s="603">
        <f t="shared" si="144"/>
        <v>3</v>
      </c>
      <c r="R1125" s="604" t="str">
        <f t="shared" si="145"/>
        <v>Gastos_Gerais</v>
      </c>
      <c r="S1125" s="605" t="s">
        <v>998</v>
      </c>
      <c r="T1125" s="605">
        <v>2998</v>
      </c>
    </row>
    <row r="1126" spans="1:20" s="88" customFormat="1" ht="48" x14ac:dyDescent="0.2">
      <c r="A1126" s="510">
        <f>IF(B1126="","",COUNT('Diário 1º PA'!$A$4:$A$2635)+ROW()-3)</f>
        <v>2859</v>
      </c>
      <c r="B1126" s="414">
        <v>44691</v>
      </c>
      <c r="C1126" s="431">
        <v>44621</v>
      </c>
      <c r="D1126" s="415" t="s">
        <v>271</v>
      </c>
      <c r="E1126" s="415" t="s">
        <v>456</v>
      </c>
      <c r="F1126" s="425">
        <v>783.92</v>
      </c>
      <c r="G1126" s="427" t="s">
        <v>1922</v>
      </c>
      <c r="H1126" s="419" t="s">
        <v>760</v>
      </c>
      <c r="I1126" s="427" t="s">
        <v>3975</v>
      </c>
      <c r="J1126" s="415" t="s">
        <v>1921</v>
      </c>
      <c r="K1126" s="415" t="s">
        <v>830</v>
      </c>
      <c r="L1126" s="415" t="s">
        <v>807</v>
      </c>
      <c r="M1126" s="415" t="s">
        <v>848</v>
      </c>
      <c r="N1126" s="414">
        <v>44686</v>
      </c>
      <c r="O1126" s="414" t="s">
        <v>400</v>
      </c>
      <c r="P1126" s="603">
        <f t="shared" si="143"/>
        <v>5</v>
      </c>
      <c r="Q1126" s="603">
        <f t="shared" si="144"/>
        <v>3</v>
      </c>
      <c r="R1126" s="604" t="str">
        <f t="shared" si="145"/>
        <v>Gastos_Gerais</v>
      </c>
      <c r="S1126" s="605" t="s">
        <v>998</v>
      </c>
      <c r="T1126" s="605">
        <v>2978</v>
      </c>
    </row>
    <row r="1127" spans="1:20" s="88" customFormat="1" ht="36" x14ac:dyDescent="0.2">
      <c r="A1127" s="510">
        <f>IF(B1127="","",COUNT('Diário 1º PA'!$A$4:$A$2635)+ROW()-3)</f>
        <v>2860</v>
      </c>
      <c r="B1127" s="414">
        <v>44691</v>
      </c>
      <c r="C1127" s="431">
        <v>44593</v>
      </c>
      <c r="D1127" s="415" t="s">
        <v>271</v>
      </c>
      <c r="E1127" s="415" t="s">
        <v>453</v>
      </c>
      <c r="F1127" s="425">
        <v>800</v>
      </c>
      <c r="G1127" s="427" t="s">
        <v>1870</v>
      </c>
      <c r="H1127" s="419" t="s">
        <v>749</v>
      </c>
      <c r="I1127" s="427" t="s">
        <v>2333</v>
      </c>
      <c r="J1127" s="415" t="s">
        <v>1693</v>
      </c>
      <c r="K1127" s="415" t="s">
        <v>830</v>
      </c>
      <c r="L1127" s="415" t="s">
        <v>807</v>
      </c>
      <c r="M1127" s="546">
        <v>45</v>
      </c>
      <c r="N1127" s="414">
        <v>44687</v>
      </c>
      <c r="O1127" s="414" t="s">
        <v>400</v>
      </c>
      <c r="P1127" s="603">
        <f t="shared" si="143"/>
        <v>5</v>
      </c>
      <c r="Q1127" s="603">
        <f t="shared" si="144"/>
        <v>2</v>
      </c>
      <c r="R1127" s="604" t="str">
        <f t="shared" si="145"/>
        <v>Gastos_Gerais</v>
      </c>
      <c r="S1127" s="605" t="s">
        <v>998</v>
      </c>
      <c r="T1127" s="605">
        <v>2936</v>
      </c>
    </row>
    <row r="1128" spans="1:20" s="88" customFormat="1" ht="48" x14ac:dyDescent="0.2">
      <c r="A1128" s="510">
        <f>IF(B1128="","",COUNT('Diário 1º PA'!$A$4:$A$2635)+ROW()-3)</f>
        <v>2861</v>
      </c>
      <c r="B1128" s="414">
        <v>44691</v>
      </c>
      <c r="C1128" s="431">
        <v>44593</v>
      </c>
      <c r="D1128" s="415" t="s">
        <v>271</v>
      </c>
      <c r="E1128" s="415" t="s">
        <v>456</v>
      </c>
      <c r="F1128" s="425">
        <v>783.92</v>
      </c>
      <c r="G1128" s="427" t="s">
        <v>1922</v>
      </c>
      <c r="H1128" s="419" t="s">
        <v>760</v>
      </c>
      <c r="I1128" s="427" t="s">
        <v>3975</v>
      </c>
      <c r="J1128" s="415" t="s">
        <v>1921</v>
      </c>
      <c r="K1128" s="415" t="s">
        <v>830</v>
      </c>
      <c r="L1128" s="415" t="s">
        <v>807</v>
      </c>
      <c r="M1128" s="415" t="s">
        <v>842</v>
      </c>
      <c r="N1128" s="414">
        <v>44686</v>
      </c>
      <c r="O1128" s="414" t="s">
        <v>400</v>
      </c>
      <c r="P1128" s="603">
        <f t="shared" si="143"/>
        <v>5</v>
      </c>
      <c r="Q1128" s="603">
        <f t="shared" si="144"/>
        <v>2</v>
      </c>
      <c r="R1128" s="604" t="str">
        <f t="shared" si="145"/>
        <v>Gastos_Gerais</v>
      </c>
      <c r="S1128" s="605" t="s">
        <v>998</v>
      </c>
      <c r="T1128" s="605">
        <v>2977</v>
      </c>
    </row>
    <row r="1129" spans="1:20" s="88" customFormat="1" ht="36" x14ac:dyDescent="0.2">
      <c r="A1129" s="510">
        <f>IF(B1129="","",COUNT('Diário 1º PA'!$A$4:$A$2635)+ROW()-3)</f>
        <v>2862</v>
      </c>
      <c r="B1129" s="414">
        <v>44691</v>
      </c>
      <c r="C1129" s="431">
        <v>44593</v>
      </c>
      <c r="D1129" s="415" t="s">
        <v>271</v>
      </c>
      <c r="E1129" s="415" t="s">
        <v>453</v>
      </c>
      <c r="F1129" s="425">
        <v>800</v>
      </c>
      <c r="G1129" s="427" t="s">
        <v>1872</v>
      </c>
      <c r="H1129" s="419" t="s">
        <v>749</v>
      </c>
      <c r="I1129" s="427" t="s">
        <v>3978</v>
      </c>
      <c r="J1129" s="415" t="s">
        <v>1871</v>
      </c>
      <c r="K1129" s="415" t="s">
        <v>830</v>
      </c>
      <c r="L1129" s="415" t="s">
        <v>807</v>
      </c>
      <c r="M1129" s="546">
        <v>7</v>
      </c>
      <c r="N1129" s="414">
        <v>44686</v>
      </c>
      <c r="O1129" s="414" t="s">
        <v>400</v>
      </c>
      <c r="P1129" s="603">
        <f t="shared" si="143"/>
        <v>5</v>
      </c>
      <c r="Q1129" s="603">
        <f t="shared" si="144"/>
        <v>2</v>
      </c>
      <c r="R1129" s="604" t="str">
        <f t="shared" si="145"/>
        <v>Gastos_Gerais</v>
      </c>
      <c r="S1129" s="605" t="s">
        <v>998</v>
      </c>
      <c r="T1129" s="605">
        <v>2933</v>
      </c>
    </row>
    <row r="1130" spans="1:20" s="88" customFormat="1" ht="24" x14ac:dyDescent="0.2">
      <c r="A1130" s="510">
        <f>IF(B1130="","",COUNT('Diário 1º PA'!$A$4:$A$2635)+ROW()-3)</f>
        <v>2863</v>
      </c>
      <c r="B1130" s="414">
        <v>44691</v>
      </c>
      <c r="C1130" s="431">
        <v>44652</v>
      </c>
      <c r="D1130" s="415" t="s">
        <v>271</v>
      </c>
      <c r="E1130" s="415" t="s">
        <v>297</v>
      </c>
      <c r="F1130" s="425">
        <v>2096.25</v>
      </c>
      <c r="G1130" s="427" t="s">
        <v>3718</v>
      </c>
      <c r="H1130" s="415" t="s">
        <v>309</v>
      </c>
      <c r="I1130" s="427" t="s">
        <v>3980</v>
      </c>
      <c r="J1130" s="415" t="s">
        <v>3981</v>
      </c>
      <c r="K1130" s="415" t="s">
        <v>812</v>
      </c>
      <c r="L1130" s="415" t="s">
        <v>807</v>
      </c>
      <c r="M1130" s="415" t="s">
        <v>3982</v>
      </c>
      <c r="N1130" s="414">
        <v>44690</v>
      </c>
      <c r="O1130" s="414" t="s">
        <v>400</v>
      </c>
      <c r="P1130" s="603">
        <f t="shared" ref="P1130:P1136" si="146">IF(B1130=0,0,IF(YEAR(B1130)=$Q$1,MONTH(B1130)-$P$1+1,(YEAR(B1130)-$Q$1)*12-$P$1+1+MONTH(B1130)))</f>
        <v>5</v>
      </c>
      <c r="Q1130" s="603">
        <f t="shared" ref="Q1130:Q1136" si="147">IF(C1130=0,0,IF(YEAR(C1130)=$Q$1,MONTH(C1130)-$P$1+1,(YEAR(C1130)-$Q$1)*12-$P$1+1+MONTH(C1130)))</f>
        <v>4</v>
      </c>
      <c r="R1130" s="604" t="str">
        <f t="shared" ref="R1130:R1136" si="148">SUBSTITUTE(D1130," ","_")</f>
        <v>Gastos_Gerais</v>
      </c>
      <c r="S1130" s="605" t="s">
        <v>998</v>
      </c>
      <c r="T1130" s="605">
        <v>3515</v>
      </c>
    </row>
    <row r="1131" spans="1:20" s="88" customFormat="1" ht="36" x14ac:dyDescent="0.2">
      <c r="A1131" s="510">
        <f>IF(B1131="","",COUNT('Diário 1º PA'!$A$4:$A$2635)+ROW()-3)</f>
        <v>2864</v>
      </c>
      <c r="B1131" s="414">
        <v>44691</v>
      </c>
      <c r="C1131" s="592">
        <v>44682</v>
      </c>
      <c r="D1131" s="415" t="s">
        <v>271</v>
      </c>
      <c r="E1131" s="415" t="s">
        <v>71</v>
      </c>
      <c r="F1131" s="425">
        <v>11</v>
      </c>
      <c r="G1131" s="427" t="s">
        <v>3985</v>
      </c>
      <c r="H1131" s="419" t="s">
        <v>748</v>
      </c>
      <c r="I1131" s="427" t="s">
        <v>881</v>
      </c>
      <c r="J1131" s="415" t="s">
        <v>882</v>
      </c>
      <c r="K1131" s="415" t="s">
        <v>883</v>
      </c>
      <c r="L1131" s="415" t="s">
        <v>798</v>
      </c>
      <c r="M1131" s="415" t="s">
        <v>310</v>
      </c>
      <c r="N1131" s="414">
        <v>44691</v>
      </c>
      <c r="O1131" s="414" t="s">
        <v>400</v>
      </c>
      <c r="P1131" s="603">
        <f t="shared" si="146"/>
        <v>5</v>
      </c>
      <c r="Q1131" s="603">
        <f t="shared" si="147"/>
        <v>5</v>
      </c>
      <c r="R1131" s="604" t="str">
        <f t="shared" si="148"/>
        <v>Gastos_Gerais</v>
      </c>
      <c r="S1131" s="605" t="s">
        <v>310</v>
      </c>
      <c r="T1131" s="605" t="s">
        <v>310</v>
      </c>
    </row>
    <row r="1132" spans="1:20" s="88" customFormat="1" ht="48" x14ac:dyDescent="0.2">
      <c r="A1132" s="510">
        <f>IF(B1132="","",COUNT('Diário 1º PA'!$A$4:$A$2635)+ROW()-3)</f>
        <v>2865</v>
      </c>
      <c r="B1132" s="414">
        <v>44691</v>
      </c>
      <c r="C1132" s="592">
        <v>44682</v>
      </c>
      <c r="D1132" s="415" t="s">
        <v>271</v>
      </c>
      <c r="E1132" s="415" t="s">
        <v>71</v>
      </c>
      <c r="F1132" s="425">
        <v>11</v>
      </c>
      <c r="G1132" s="427" t="s">
        <v>3986</v>
      </c>
      <c r="H1132" s="419" t="s">
        <v>760</v>
      </c>
      <c r="I1132" s="427" t="s">
        <v>881</v>
      </c>
      <c r="J1132" s="415" t="s">
        <v>882</v>
      </c>
      <c r="K1132" s="415" t="s">
        <v>883</v>
      </c>
      <c r="L1132" s="415" t="s">
        <v>798</v>
      </c>
      <c r="M1132" s="415" t="s">
        <v>310</v>
      </c>
      <c r="N1132" s="414">
        <v>44691</v>
      </c>
      <c r="O1132" s="414" t="s">
        <v>400</v>
      </c>
      <c r="P1132" s="603">
        <f t="shared" si="146"/>
        <v>5</v>
      </c>
      <c r="Q1132" s="603">
        <f t="shared" si="147"/>
        <v>5</v>
      </c>
      <c r="R1132" s="604" t="str">
        <f t="shared" si="148"/>
        <v>Gastos_Gerais</v>
      </c>
      <c r="S1132" s="605" t="s">
        <v>310</v>
      </c>
      <c r="T1132" s="605" t="s">
        <v>310</v>
      </c>
    </row>
    <row r="1133" spans="1:20" s="88" customFormat="1" ht="36" x14ac:dyDescent="0.2">
      <c r="A1133" s="510">
        <f>IF(B1133="","",COUNT('Diário 1º PA'!$A$4:$A$2635)+ROW()-3)</f>
        <v>2866</v>
      </c>
      <c r="B1133" s="414">
        <v>44691</v>
      </c>
      <c r="C1133" s="592">
        <v>44682</v>
      </c>
      <c r="D1133" s="415" t="s">
        <v>271</v>
      </c>
      <c r="E1133" s="415" t="s">
        <v>71</v>
      </c>
      <c r="F1133" s="425">
        <v>11</v>
      </c>
      <c r="G1133" s="427" t="s">
        <v>3987</v>
      </c>
      <c r="H1133" s="419" t="s">
        <v>749</v>
      </c>
      <c r="I1133" s="427" t="s">
        <v>881</v>
      </c>
      <c r="J1133" s="415" t="s">
        <v>882</v>
      </c>
      <c r="K1133" s="415" t="s">
        <v>883</v>
      </c>
      <c r="L1133" s="415" t="s">
        <v>798</v>
      </c>
      <c r="M1133" s="415" t="s">
        <v>310</v>
      </c>
      <c r="N1133" s="414">
        <v>44691</v>
      </c>
      <c r="O1133" s="414" t="s">
        <v>400</v>
      </c>
      <c r="P1133" s="603">
        <f t="shared" si="146"/>
        <v>5</v>
      </c>
      <c r="Q1133" s="603">
        <f t="shared" si="147"/>
        <v>5</v>
      </c>
      <c r="R1133" s="604" t="str">
        <f t="shared" si="148"/>
        <v>Gastos_Gerais</v>
      </c>
      <c r="S1133" s="605" t="s">
        <v>310</v>
      </c>
      <c r="T1133" s="605" t="s">
        <v>310</v>
      </c>
    </row>
    <row r="1134" spans="1:20" s="88" customFormat="1" ht="48" x14ac:dyDescent="0.2">
      <c r="A1134" s="510">
        <f>IF(B1134="","",COUNT('Diário 1º PA'!$A$4:$A$2635)+ROW()-3)</f>
        <v>2867</v>
      </c>
      <c r="B1134" s="414">
        <v>44691</v>
      </c>
      <c r="C1134" s="592">
        <v>44682</v>
      </c>
      <c r="D1134" s="415" t="s">
        <v>271</v>
      </c>
      <c r="E1134" s="415" t="s">
        <v>71</v>
      </c>
      <c r="F1134" s="425">
        <v>11</v>
      </c>
      <c r="G1134" s="427" t="s">
        <v>3988</v>
      </c>
      <c r="H1134" s="419" t="s">
        <v>760</v>
      </c>
      <c r="I1134" s="427" t="s">
        <v>881</v>
      </c>
      <c r="J1134" s="415" t="s">
        <v>882</v>
      </c>
      <c r="K1134" s="415" t="s">
        <v>883</v>
      </c>
      <c r="L1134" s="415" t="s">
        <v>798</v>
      </c>
      <c r="M1134" s="415" t="s">
        <v>310</v>
      </c>
      <c r="N1134" s="414">
        <v>44691</v>
      </c>
      <c r="O1134" s="414" t="s">
        <v>400</v>
      </c>
      <c r="P1134" s="603">
        <f t="shared" si="146"/>
        <v>5</v>
      </c>
      <c r="Q1134" s="603">
        <f t="shared" si="147"/>
        <v>5</v>
      </c>
      <c r="R1134" s="604" t="str">
        <f t="shared" si="148"/>
        <v>Gastos_Gerais</v>
      </c>
      <c r="S1134" s="605" t="s">
        <v>310</v>
      </c>
      <c r="T1134" s="605" t="s">
        <v>310</v>
      </c>
    </row>
    <row r="1135" spans="1:20" s="88" customFormat="1" ht="57" customHeight="1" x14ac:dyDescent="0.2">
      <c r="A1135" s="510">
        <f>IF(B1135="","",COUNT('Diário 1º PA'!$A$4:$A$2635)+ROW()-3)</f>
        <v>2868</v>
      </c>
      <c r="B1135" s="414">
        <v>44691</v>
      </c>
      <c r="C1135" s="592">
        <v>44682</v>
      </c>
      <c r="D1135" s="415" t="s">
        <v>271</v>
      </c>
      <c r="E1135" s="415" t="s">
        <v>71</v>
      </c>
      <c r="F1135" s="425">
        <v>11</v>
      </c>
      <c r="G1135" s="427" t="s">
        <v>3989</v>
      </c>
      <c r="H1135" s="419" t="s">
        <v>749</v>
      </c>
      <c r="I1135" s="427" t="s">
        <v>881</v>
      </c>
      <c r="J1135" s="415" t="s">
        <v>882</v>
      </c>
      <c r="K1135" s="415" t="s">
        <v>883</v>
      </c>
      <c r="L1135" s="415" t="s">
        <v>798</v>
      </c>
      <c r="M1135" s="415" t="s">
        <v>310</v>
      </c>
      <c r="N1135" s="414">
        <v>44691</v>
      </c>
      <c r="O1135" s="414" t="s">
        <v>400</v>
      </c>
      <c r="P1135" s="603">
        <f t="shared" si="146"/>
        <v>5</v>
      </c>
      <c r="Q1135" s="603">
        <f t="shared" si="147"/>
        <v>5</v>
      </c>
      <c r="R1135" s="604" t="str">
        <f t="shared" si="148"/>
        <v>Gastos_Gerais</v>
      </c>
      <c r="S1135" s="605" t="s">
        <v>310</v>
      </c>
      <c r="T1135" s="605" t="s">
        <v>310</v>
      </c>
    </row>
    <row r="1136" spans="1:20" s="88" customFormat="1" ht="36" x14ac:dyDescent="0.2">
      <c r="A1136" s="510">
        <f>IF(B1136="","",COUNT('Diário 1º PA'!$A$4:$A$2635)+ROW()-3)</f>
        <v>2869</v>
      </c>
      <c r="B1136" s="414">
        <v>44691</v>
      </c>
      <c r="C1136" s="592">
        <v>44682</v>
      </c>
      <c r="D1136" s="415" t="s">
        <v>271</v>
      </c>
      <c r="E1136" s="415" t="s">
        <v>71</v>
      </c>
      <c r="F1136" s="425">
        <v>11</v>
      </c>
      <c r="G1136" s="427" t="s">
        <v>3990</v>
      </c>
      <c r="H1136" s="419" t="s">
        <v>758</v>
      </c>
      <c r="I1136" s="427" t="s">
        <v>881</v>
      </c>
      <c r="J1136" s="415" t="s">
        <v>882</v>
      </c>
      <c r="K1136" s="415" t="s">
        <v>883</v>
      </c>
      <c r="L1136" s="415" t="s">
        <v>798</v>
      </c>
      <c r="M1136" s="415" t="s">
        <v>310</v>
      </c>
      <c r="N1136" s="414">
        <v>44691</v>
      </c>
      <c r="O1136" s="414" t="s">
        <v>400</v>
      </c>
      <c r="P1136" s="603">
        <f t="shared" si="146"/>
        <v>5</v>
      </c>
      <c r="Q1136" s="603">
        <f t="shared" si="147"/>
        <v>5</v>
      </c>
      <c r="R1136" s="604" t="str">
        <f t="shared" si="148"/>
        <v>Gastos_Gerais</v>
      </c>
      <c r="S1136" s="605" t="s">
        <v>310</v>
      </c>
      <c r="T1136" s="605" t="s">
        <v>310</v>
      </c>
    </row>
    <row r="1137" spans="1:20" ht="36" x14ac:dyDescent="0.2">
      <c r="A1137" s="510">
        <f>IF(B1137="","",COUNT('Diário 1º PA'!$A$4:$A$2635)+ROW()-3)</f>
        <v>2870</v>
      </c>
      <c r="B1137" s="414">
        <v>44691</v>
      </c>
      <c r="C1137" s="592">
        <v>44682</v>
      </c>
      <c r="D1137" s="415" t="s">
        <v>271</v>
      </c>
      <c r="E1137" s="415" t="s">
        <v>71</v>
      </c>
      <c r="F1137" s="425">
        <v>11</v>
      </c>
      <c r="G1137" s="427" t="s">
        <v>3984</v>
      </c>
      <c r="H1137" s="419" t="s">
        <v>792</v>
      </c>
      <c r="I1137" s="427" t="s">
        <v>881</v>
      </c>
      <c r="J1137" s="415" t="s">
        <v>882</v>
      </c>
      <c r="K1137" s="415" t="s">
        <v>883</v>
      </c>
      <c r="L1137" s="415" t="s">
        <v>798</v>
      </c>
      <c r="M1137" s="415" t="s">
        <v>310</v>
      </c>
      <c r="N1137" s="414">
        <v>44691</v>
      </c>
      <c r="O1137" s="414" t="s">
        <v>400</v>
      </c>
      <c r="P1137" s="603">
        <f t="shared" ref="P1137:P1143" si="149">IF(B1137=0,0,IF(YEAR(B1137)=$Q$1,MONTH(B1137)-$P$1+1,(YEAR(B1137)-$Q$1)*12-$P$1+1+MONTH(B1137)))</f>
        <v>5</v>
      </c>
      <c r="Q1137" s="603">
        <f t="shared" ref="Q1137:Q1143" si="150">IF(C1137=0,0,IF(YEAR(C1137)=$Q$1,MONTH(C1137)-$P$1+1,(YEAR(C1137)-$Q$1)*12-$P$1+1+MONTH(C1137)))</f>
        <v>5</v>
      </c>
      <c r="R1137" s="604" t="str">
        <f t="shared" ref="R1137:R1143" si="151">SUBSTITUTE(D1137," ","_")</f>
        <v>Gastos_Gerais</v>
      </c>
      <c r="S1137" s="605" t="s">
        <v>310</v>
      </c>
      <c r="T1137" s="605" t="s">
        <v>310</v>
      </c>
    </row>
    <row r="1138" spans="1:20" ht="72" x14ac:dyDescent="0.2">
      <c r="A1138" s="510">
        <f>IF(B1138="","",COUNT('Diário 1º PA'!$A$4:$A$2635)+ROW()-3)</f>
        <v>2871</v>
      </c>
      <c r="B1138" s="414">
        <v>44691</v>
      </c>
      <c r="C1138" s="592">
        <v>44652</v>
      </c>
      <c r="D1138" s="415" t="s">
        <v>468</v>
      </c>
      <c r="E1138" s="415" t="s">
        <v>468</v>
      </c>
      <c r="F1138" s="425">
        <v>160</v>
      </c>
      <c r="G1138" s="427" t="s">
        <v>3287</v>
      </c>
      <c r="H1138" s="419" t="s">
        <v>468</v>
      </c>
      <c r="I1138" s="427" t="s">
        <v>2803</v>
      </c>
      <c r="J1138" s="415" t="s">
        <v>2426</v>
      </c>
      <c r="K1138" s="415" t="s">
        <v>830</v>
      </c>
      <c r="L1138" s="415" t="s">
        <v>807</v>
      </c>
      <c r="M1138" s="415">
        <v>33014397</v>
      </c>
      <c r="N1138" s="414">
        <v>44686</v>
      </c>
      <c r="O1138" s="414" t="s">
        <v>407</v>
      </c>
      <c r="P1138" s="603">
        <f t="shared" si="149"/>
        <v>5</v>
      </c>
      <c r="Q1138" s="603">
        <f t="shared" si="150"/>
        <v>4</v>
      </c>
      <c r="R1138" s="604" t="str">
        <f t="shared" si="151"/>
        <v>Gastos_custeados_por_captação</v>
      </c>
      <c r="S1138" s="605" t="s">
        <v>998</v>
      </c>
      <c r="T1138" s="605">
        <v>3379</v>
      </c>
    </row>
    <row r="1139" spans="1:20" ht="72" x14ac:dyDescent="0.2">
      <c r="A1139" s="510">
        <f>IF(B1139="","",COUNT('Diário 1º PA'!$A$4:$A$2635)+ROW()-3)</f>
        <v>2872</v>
      </c>
      <c r="B1139" s="414">
        <v>44691</v>
      </c>
      <c r="C1139" s="592">
        <v>44652</v>
      </c>
      <c r="D1139" s="415" t="s">
        <v>468</v>
      </c>
      <c r="E1139" s="415" t="s">
        <v>468</v>
      </c>
      <c r="F1139" s="425">
        <v>6307.34</v>
      </c>
      <c r="G1139" s="427" t="s">
        <v>729</v>
      </c>
      <c r="H1139" s="419" t="s">
        <v>468</v>
      </c>
      <c r="I1139" s="427" t="s">
        <v>1620</v>
      </c>
      <c r="J1139" s="415" t="s">
        <v>841</v>
      </c>
      <c r="K1139" s="415" t="s">
        <v>830</v>
      </c>
      <c r="L1139" s="415" t="s">
        <v>807</v>
      </c>
      <c r="M1139" s="415" t="s">
        <v>5094</v>
      </c>
      <c r="N1139" s="414">
        <v>44687</v>
      </c>
      <c r="O1139" s="414" t="s">
        <v>407</v>
      </c>
      <c r="P1139" s="603">
        <f t="shared" si="149"/>
        <v>5</v>
      </c>
      <c r="Q1139" s="603">
        <f t="shared" si="150"/>
        <v>4</v>
      </c>
      <c r="R1139" s="604" t="str">
        <f t="shared" si="151"/>
        <v>Gastos_custeados_por_captação</v>
      </c>
      <c r="S1139" s="605" t="s">
        <v>1000</v>
      </c>
      <c r="T1139" s="605">
        <v>2780</v>
      </c>
    </row>
    <row r="1140" spans="1:20" ht="72" x14ac:dyDescent="0.2">
      <c r="A1140" s="510">
        <f>IF(B1140="","",COUNT('Diário 1º PA'!$A$4:$A$2635)+ROW()-3)</f>
        <v>2873</v>
      </c>
      <c r="B1140" s="414">
        <v>44691</v>
      </c>
      <c r="C1140" s="592">
        <v>44682</v>
      </c>
      <c r="D1140" s="415" t="s">
        <v>468</v>
      </c>
      <c r="E1140" s="415" t="s">
        <v>468</v>
      </c>
      <c r="F1140" s="425">
        <v>75</v>
      </c>
      <c r="G1140" s="427" t="s">
        <v>3876</v>
      </c>
      <c r="H1140" s="419" t="s">
        <v>468</v>
      </c>
      <c r="I1140" s="427" t="s">
        <v>5091</v>
      </c>
      <c r="J1140" s="415" t="s">
        <v>3877</v>
      </c>
      <c r="K1140" s="415" t="s">
        <v>830</v>
      </c>
      <c r="L1140" s="415" t="s">
        <v>807</v>
      </c>
      <c r="M1140" s="415">
        <v>2953</v>
      </c>
      <c r="N1140" s="414">
        <v>44692</v>
      </c>
      <c r="O1140" s="414" t="s">
        <v>407</v>
      </c>
      <c r="P1140" s="603">
        <f t="shared" si="149"/>
        <v>5</v>
      </c>
      <c r="Q1140" s="603">
        <f t="shared" si="150"/>
        <v>5</v>
      </c>
      <c r="R1140" s="604" t="str">
        <f t="shared" si="151"/>
        <v>Gastos_custeados_por_captação</v>
      </c>
      <c r="S1140" s="605" t="s">
        <v>999</v>
      </c>
      <c r="T1140" s="605">
        <v>3626</v>
      </c>
    </row>
    <row r="1141" spans="1:20" ht="79.5" customHeight="1" x14ac:dyDescent="0.2">
      <c r="A1141" s="510">
        <f>IF(B1141="","",COUNT('Diário 1º PA'!$A$4:$A$2635)+ROW()-3)</f>
        <v>2874</v>
      </c>
      <c r="B1141" s="414">
        <v>44691</v>
      </c>
      <c r="C1141" s="592">
        <v>44652</v>
      </c>
      <c r="D1141" s="415" t="s">
        <v>468</v>
      </c>
      <c r="E1141" s="415" t="s">
        <v>468</v>
      </c>
      <c r="F1141" s="425">
        <v>420</v>
      </c>
      <c r="G1141" s="427" t="s">
        <v>3437</v>
      </c>
      <c r="H1141" s="419" t="s">
        <v>468</v>
      </c>
      <c r="I1141" s="427" t="s">
        <v>5092</v>
      </c>
      <c r="J1141" s="415" t="s">
        <v>5093</v>
      </c>
      <c r="K1141" s="415" t="s">
        <v>830</v>
      </c>
      <c r="L1141" s="415" t="s">
        <v>1305</v>
      </c>
      <c r="M1141" s="415">
        <v>1</v>
      </c>
      <c r="N1141" s="414">
        <v>44683</v>
      </c>
      <c r="O1141" s="414" t="s">
        <v>407</v>
      </c>
      <c r="P1141" s="603">
        <f t="shared" si="149"/>
        <v>5</v>
      </c>
      <c r="Q1141" s="603">
        <f t="shared" si="150"/>
        <v>4</v>
      </c>
      <c r="R1141" s="604" t="str">
        <f t="shared" si="151"/>
        <v>Gastos_custeados_por_captação</v>
      </c>
      <c r="S1141" s="605" t="s">
        <v>998</v>
      </c>
      <c r="T1141" s="605">
        <v>3351</v>
      </c>
    </row>
    <row r="1142" spans="1:20" ht="72" x14ac:dyDescent="0.2">
      <c r="A1142" s="510">
        <f>IF(B1142="","",COUNT('Diário 1º PA'!$A$4:$A$2635)+ROW()-3)</f>
        <v>2875</v>
      </c>
      <c r="B1142" s="414">
        <v>44691</v>
      </c>
      <c r="C1142" s="424">
        <v>44652</v>
      </c>
      <c r="D1142" s="415" t="s">
        <v>468</v>
      </c>
      <c r="E1142" s="415" t="s">
        <v>468</v>
      </c>
      <c r="F1142" s="614">
        <v>5883.92</v>
      </c>
      <c r="G1142" s="427" t="s">
        <v>3438</v>
      </c>
      <c r="H1142" s="415" t="s">
        <v>468</v>
      </c>
      <c r="I1142" s="639" t="s">
        <v>3506</v>
      </c>
      <c r="J1142" s="418" t="s">
        <v>1093</v>
      </c>
      <c r="K1142" s="418" t="s">
        <v>830</v>
      </c>
      <c r="L1142" s="399" t="s">
        <v>32</v>
      </c>
      <c r="M1142" s="415" t="s">
        <v>3672</v>
      </c>
      <c r="N1142" s="414">
        <v>44687</v>
      </c>
      <c r="O1142" s="414" t="s">
        <v>407</v>
      </c>
      <c r="P1142" s="603">
        <f t="shared" si="149"/>
        <v>5</v>
      </c>
      <c r="Q1142" s="603">
        <f t="shared" si="150"/>
        <v>4</v>
      </c>
      <c r="R1142" s="604" t="str">
        <f t="shared" si="151"/>
        <v>Gastos_custeados_por_captação</v>
      </c>
      <c r="S1142" s="605" t="s">
        <v>1000</v>
      </c>
      <c r="T1142" s="605">
        <v>3407</v>
      </c>
    </row>
    <row r="1143" spans="1:20" ht="72" x14ac:dyDescent="0.2">
      <c r="A1143" s="510">
        <f>IF(B1143="","",COUNT('Diário 1º PA'!$A$4:$A$2635)+ROW()-3)</f>
        <v>2876</v>
      </c>
      <c r="B1143" s="414">
        <v>44691</v>
      </c>
      <c r="C1143" s="592">
        <v>44652</v>
      </c>
      <c r="D1143" s="415" t="s">
        <v>468</v>
      </c>
      <c r="E1143" s="415" t="s">
        <v>468</v>
      </c>
      <c r="F1143" s="425">
        <v>29450</v>
      </c>
      <c r="G1143" s="427" t="s">
        <v>3269</v>
      </c>
      <c r="H1143" s="419" t="s">
        <v>468</v>
      </c>
      <c r="I1143" s="427" t="s">
        <v>4688</v>
      </c>
      <c r="J1143" s="415" t="s">
        <v>3268</v>
      </c>
      <c r="K1143" s="418" t="s">
        <v>830</v>
      </c>
      <c r="L1143" s="399" t="s">
        <v>32</v>
      </c>
      <c r="M1143" s="415" t="s">
        <v>3601</v>
      </c>
      <c r="N1143" s="414">
        <v>44687</v>
      </c>
      <c r="O1143" s="414" t="s">
        <v>407</v>
      </c>
      <c r="P1143" s="603">
        <f t="shared" si="149"/>
        <v>5</v>
      </c>
      <c r="Q1143" s="603">
        <f t="shared" si="150"/>
        <v>4</v>
      </c>
      <c r="R1143" s="604" t="str">
        <f t="shared" si="151"/>
        <v>Gastos_custeados_por_captação</v>
      </c>
      <c r="S1143" s="605" t="s">
        <v>1000</v>
      </c>
      <c r="T1143" s="605">
        <v>3320</v>
      </c>
    </row>
    <row r="1144" spans="1:20" s="88" customFormat="1" ht="89.25" customHeight="1" x14ac:dyDescent="0.2">
      <c r="A1144" s="510">
        <f>IF(B1144="","",COUNT('Diário 1º PA'!$A$4:$A$2635)+ROW()-3)</f>
        <v>2877</v>
      </c>
      <c r="B1144" s="414">
        <v>44691</v>
      </c>
      <c r="C1144" s="431">
        <v>44621</v>
      </c>
      <c r="D1144" s="415" t="s">
        <v>468</v>
      </c>
      <c r="E1144" s="415" t="s">
        <v>468</v>
      </c>
      <c r="F1144" s="425">
        <v>990.85</v>
      </c>
      <c r="G1144" s="427" t="s">
        <v>4803</v>
      </c>
      <c r="H1144" s="419" t="s">
        <v>468</v>
      </c>
      <c r="I1144" s="427" t="s">
        <v>4691</v>
      </c>
      <c r="J1144" s="415" t="s">
        <v>4804</v>
      </c>
      <c r="K1144" s="415" t="s">
        <v>830</v>
      </c>
      <c r="L1144" s="415" t="s">
        <v>807</v>
      </c>
      <c r="M1144" s="415">
        <v>20222085</v>
      </c>
      <c r="N1144" s="414">
        <v>44677</v>
      </c>
      <c r="O1144" s="414" t="s">
        <v>407</v>
      </c>
      <c r="P1144" s="603">
        <f t="shared" ref="P1144:P1175" si="152">IF(B1144=0,0,IF(YEAR(B1144)=$Q$1,MONTH(B1144)-$P$1+1,(YEAR(B1144)-$Q$1)*12-$P$1+1+MONTH(B1144)))</f>
        <v>5</v>
      </c>
      <c r="Q1144" s="603">
        <f t="shared" ref="Q1144:Q1175" si="153">IF(C1144=0,0,IF(YEAR(C1144)=$Q$1,MONTH(C1144)-$P$1+1,(YEAR(C1144)-$Q$1)*12-$P$1+1+MONTH(C1144)))</f>
        <v>3</v>
      </c>
      <c r="R1144" s="604" t="str">
        <f t="shared" ref="R1144:R1150" si="154">SUBSTITUTE(D1144," ","_")</f>
        <v>Gastos_custeados_por_captação</v>
      </c>
      <c r="S1144" s="605" t="s">
        <v>1000</v>
      </c>
      <c r="T1144" s="605">
        <v>3233</v>
      </c>
    </row>
    <row r="1145" spans="1:20" s="88" customFormat="1" ht="84" customHeight="1" x14ac:dyDescent="0.2">
      <c r="A1145" s="510">
        <f>IF(B1145="","",COUNT('Diário 1º PA'!$A$4:$A$2635)+ROW()-3)</f>
        <v>2878</v>
      </c>
      <c r="B1145" s="414">
        <v>44691</v>
      </c>
      <c r="C1145" s="431">
        <v>44652</v>
      </c>
      <c r="D1145" s="415" t="s">
        <v>468</v>
      </c>
      <c r="E1145" s="415" t="s">
        <v>468</v>
      </c>
      <c r="F1145" s="425">
        <v>2939.7</v>
      </c>
      <c r="G1145" s="427" t="s">
        <v>2344</v>
      </c>
      <c r="H1145" s="419" t="s">
        <v>468</v>
      </c>
      <c r="I1145" s="427" t="s">
        <v>5470</v>
      </c>
      <c r="J1145" s="415" t="s">
        <v>2345</v>
      </c>
      <c r="K1145" s="415" t="s">
        <v>830</v>
      </c>
      <c r="L1145" s="415" t="s">
        <v>807</v>
      </c>
      <c r="M1145" s="415" t="s">
        <v>2981</v>
      </c>
      <c r="N1145" s="414">
        <v>44686</v>
      </c>
      <c r="O1145" s="414" t="s">
        <v>405</v>
      </c>
      <c r="P1145" s="603">
        <f t="shared" si="152"/>
        <v>5</v>
      </c>
      <c r="Q1145" s="603">
        <f t="shared" si="153"/>
        <v>4</v>
      </c>
      <c r="R1145" s="604" t="str">
        <f t="shared" si="154"/>
        <v>Gastos_custeados_por_captação</v>
      </c>
      <c r="S1145" s="605" t="s">
        <v>1000</v>
      </c>
      <c r="T1145" s="605">
        <v>3185</v>
      </c>
    </row>
    <row r="1146" spans="1:20" s="88" customFormat="1" ht="60" x14ac:dyDescent="0.2">
      <c r="A1146" s="510">
        <f>IF(B1146="","",COUNT('Diário 1º PA'!$A$4:$A$2635)+ROW()-3)</f>
        <v>2879</v>
      </c>
      <c r="B1146" s="414">
        <v>44691</v>
      </c>
      <c r="C1146" s="431">
        <v>44652</v>
      </c>
      <c r="D1146" s="415" t="s">
        <v>468</v>
      </c>
      <c r="E1146" s="415" t="s">
        <v>468</v>
      </c>
      <c r="F1146" s="425">
        <v>2694.72</v>
      </c>
      <c r="G1146" s="427" t="s">
        <v>704</v>
      </c>
      <c r="H1146" s="419" t="s">
        <v>468</v>
      </c>
      <c r="I1146" s="427" t="s">
        <v>1811</v>
      </c>
      <c r="J1146" s="415" t="s">
        <v>1023</v>
      </c>
      <c r="K1146" s="415" t="s">
        <v>830</v>
      </c>
      <c r="L1146" s="415" t="s">
        <v>807</v>
      </c>
      <c r="M1146" s="415" t="s">
        <v>1724</v>
      </c>
      <c r="N1146" s="414">
        <v>44687</v>
      </c>
      <c r="O1146" s="414" t="s">
        <v>405</v>
      </c>
      <c r="P1146" s="603">
        <f t="shared" si="152"/>
        <v>5</v>
      </c>
      <c r="Q1146" s="603">
        <f t="shared" si="153"/>
        <v>4</v>
      </c>
      <c r="R1146" s="604" t="str">
        <f t="shared" si="154"/>
        <v>Gastos_custeados_por_captação</v>
      </c>
      <c r="S1146" s="605" t="s">
        <v>998</v>
      </c>
      <c r="T1146" s="605">
        <v>2732</v>
      </c>
    </row>
    <row r="1147" spans="1:20" s="88" customFormat="1" ht="57.75" customHeight="1" x14ac:dyDescent="0.2">
      <c r="A1147" s="510">
        <f>IF(B1147="","",COUNT('Diário 1º PA'!$A$4:$A$2635)+ROW()-3)</f>
        <v>2880</v>
      </c>
      <c r="B1147" s="414">
        <v>44691</v>
      </c>
      <c r="C1147" s="431">
        <v>44652</v>
      </c>
      <c r="D1147" s="415" t="s">
        <v>468</v>
      </c>
      <c r="E1147" s="415" t="s">
        <v>468</v>
      </c>
      <c r="F1147" s="425">
        <v>3429.65</v>
      </c>
      <c r="G1147" s="427" t="s">
        <v>3260</v>
      </c>
      <c r="H1147" s="419" t="s">
        <v>468</v>
      </c>
      <c r="I1147" s="427" t="s">
        <v>3091</v>
      </c>
      <c r="J1147" s="415" t="s">
        <v>1141</v>
      </c>
      <c r="K1147" s="415" t="s">
        <v>830</v>
      </c>
      <c r="L1147" s="415" t="s">
        <v>807</v>
      </c>
      <c r="M1147" s="415" t="s">
        <v>1700</v>
      </c>
      <c r="N1147" s="414">
        <v>44687</v>
      </c>
      <c r="O1147" s="414" t="s">
        <v>405</v>
      </c>
      <c r="P1147" s="603">
        <f t="shared" si="152"/>
        <v>5</v>
      </c>
      <c r="Q1147" s="603">
        <f t="shared" si="153"/>
        <v>4</v>
      </c>
      <c r="R1147" s="604" t="str">
        <f t="shared" si="154"/>
        <v>Gastos_custeados_por_captação</v>
      </c>
      <c r="S1147" s="605" t="s">
        <v>1000</v>
      </c>
      <c r="T1147" s="605">
        <v>3295</v>
      </c>
    </row>
    <row r="1148" spans="1:20" s="88" customFormat="1" ht="72" x14ac:dyDescent="0.2">
      <c r="A1148" s="510">
        <f>IF(B1148="","",COUNT('Diário 1º PA'!$A$4:$A$2635)+ROW()-3)</f>
        <v>2881</v>
      </c>
      <c r="B1148" s="414">
        <v>44691</v>
      </c>
      <c r="C1148" s="431">
        <v>44652</v>
      </c>
      <c r="D1148" s="415" t="s">
        <v>468</v>
      </c>
      <c r="E1148" s="415" t="s">
        <v>468</v>
      </c>
      <c r="F1148" s="425">
        <v>2694.72</v>
      </c>
      <c r="G1148" s="427" t="s">
        <v>706</v>
      </c>
      <c r="H1148" s="419" t="s">
        <v>468</v>
      </c>
      <c r="I1148" s="427" t="s">
        <v>1811</v>
      </c>
      <c r="J1148" s="415" t="s">
        <v>1023</v>
      </c>
      <c r="K1148" s="415" t="s">
        <v>830</v>
      </c>
      <c r="L1148" s="415" t="s">
        <v>807</v>
      </c>
      <c r="M1148" s="415" t="s">
        <v>1711</v>
      </c>
      <c r="N1148" s="414">
        <v>44687</v>
      </c>
      <c r="O1148" s="414" t="s">
        <v>402</v>
      </c>
      <c r="P1148" s="603">
        <f t="shared" si="152"/>
        <v>5</v>
      </c>
      <c r="Q1148" s="603">
        <f t="shared" si="153"/>
        <v>4</v>
      </c>
      <c r="R1148" s="604" t="str">
        <f t="shared" si="154"/>
        <v>Gastos_custeados_por_captação</v>
      </c>
      <c r="S1148" s="605" t="s">
        <v>998</v>
      </c>
      <c r="T1148" s="605">
        <v>2730</v>
      </c>
    </row>
    <row r="1149" spans="1:20" s="88" customFormat="1" ht="72" x14ac:dyDescent="0.2">
      <c r="A1149" s="510">
        <f>IF(B1149="","",COUNT('Diário 1º PA'!$A$4:$A$2635)+ROW()-3)</f>
        <v>2882</v>
      </c>
      <c r="B1149" s="414">
        <v>44691</v>
      </c>
      <c r="C1149" s="431">
        <v>44621</v>
      </c>
      <c r="D1149" s="415" t="s">
        <v>468</v>
      </c>
      <c r="E1149" s="415" t="s">
        <v>468</v>
      </c>
      <c r="F1149" s="425">
        <v>6142.01</v>
      </c>
      <c r="G1149" s="427" t="s">
        <v>2606</v>
      </c>
      <c r="H1149" s="419" t="s">
        <v>468</v>
      </c>
      <c r="I1149" s="427" t="s">
        <v>5511</v>
      </c>
      <c r="J1149" s="415" t="s">
        <v>1038</v>
      </c>
      <c r="K1149" s="415" t="s">
        <v>830</v>
      </c>
      <c r="L1149" s="415" t="s">
        <v>807</v>
      </c>
      <c r="M1149" s="415" t="s">
        <v>3672</v>
      </c>
      <c r="N1149" s="414">
        <v>44686</v>
      </c>
      <c r="O1149" s="414" t="s">
        <v>402</v>
      </c>
      <c r="P1149" s="603">
        <f t="shared" si="152"/>
        <v>5</v>
      </c>
      <c r="Q1149" s="603">
        <f t="shared" si="153"/>
        <v>3</v>
      </c>
      <c r="R1149" s="604" t="str">
        <f t="shared" si="154"/>
        <v>Gastos_custeados_por_captação</v>
      </c>
      <c r="S1149" s="605" t="s">
        <v>1000</v>
      </c>
      <c r="T1149" s="605">
        <v>3020</v>
      </c>
    </row>
    <row r="1150" spans="1:20" s="88" customFormat="1" ht="72" x14ac:dyDescent="0.2">
      <c r="A1150" s="510">
        <f>IF(B1150="","",COUNT('Diário 1º PA'!$A$4:$A$2635)+ROW()-3)</f>
        <v>2883</v>
      </c>
      <c r="B1150" s="414">
        <v>44691</v>
      </c>
      <c r="C1150" s="431">
        <v>44682</v>
      </c>
      <c r="D1150" s="415" t="s">
        <v>468</v>
      </c>
      <c r="E1150" s="415" t="s">
        <v>468</v>
      </c>
      <c r="F1150" s="425">
        <v>11</v>
      </c>
      <c r="G1150" s="427" t="s">
        <v>4799</v>
      </c>
      <c r="H1150" s="419" t="s">
        <v>468</v>
      </c>
      <c r="I1150" s="427" t="s">
        <v>881</v>
      </c>
      <c r="J1150" s="415" t="s">
        <v>882</v>
      </c>
      <c r="K1150" s="415" t="s">
        <v>883</v>
      </c>
      <c r="L1150" s="415" t="s">
        <v>798</v>
      </c>
      <c r="M1150" s="415" t="s">
        <v>310</v>
      </c>
      <c r="N1150" s="414">
        <v>44691</v>
      </c>
      <c r="O1150" s="414" t="s">
        <v>402</v>
      </c>
      <c r="P1150" s="603">
        <f t="shared" si="152"/>
        <v>5</v>
      </c>
      <c r="Q1150" s="603">
        <f t="shared" si="153"/>
        <v>5</v>
      </c>
      <c r="R1150" s="604" t="str">
        <f t="shared" si="154"/>
        <v>Gastos_custeados_por_captação</v>
      </c>
      <c r="S1150" s="605"/>
      <c r="T1150" s="605"/>
    </row>
    <row r="1151" spans="1:20" s="88" customFormat="1" ht="72" x14ac:dyDescent="0.2">
      <c r="A1151" s="510">
        <f>IF(B1151="","",COUNT('Diário 1º PA'!$A$4:$A$2635)+ROW()-3)</f>
        <v>2884</v>
      </c>
      <c r="B1151" s="414">
        <v>44691</v>
      </c>
      <c r="C1151" s="431">
        <v>44682</v>
      </c>
      <c r="D1151" s="415" t="s">
        <v>468</v>
      </c>
      <c r="E1151" s="415" t="s">
        <v>468</v>
      </c>
      <c r="F1151" s="425">
        <v>153</v>
      </c>
      <c r="G1151" s="427" t="s">
        <v>5512</v>
      </c>
      <c r="H1151" s="419" t="s">
        <v>468</v>
      </c>
      <c r="I1151" s="427" t="s">
        <v>881</v>
      </c>
      <c r="J1151" s="415" t="s">
        <v>882</v>
      </c>
      <c r="K1151" s="415" t="s">
        <v>883</v>
      </c>
      <c r="L1151" s="415" t="s">
        <v>798</v>
      </c>
      <c r="M1151" s="415" t="s">
        <v>310</v>
      </c>
      <c r="N1151" s="414">
        <v>44691</v>
      </c>
      <c r="O1151" s="414" t="s">
        <v>402</v>
      </c>
      <c r="P1151" s="603">
        <f t="shared" si="152"/>
        <v>5</v>
      </c>
      <c r="Q1151" s="603">
        <f t="shared" si="153"/>
        <v>5</v>
      </c>
      <c r="R1151" s="604" t="str">
        <f t="shared" ref="R1151:R1241" si="155">SUBSTITUTE(D1151," ","_")</f>
        <v>Gastos_custeados_por_captação</v>
      </c>
      <c r="S1151" s="605" t="s">
        <v>310</v>
      </c>
      <c r="T1151" s="605" t="s">
        <v>310</v>
      </c>
    </row>
    <row r="1152" spans="1:20" s="88" customFormat="1" ht="36" x14ac:dyDescent="0.2">
      <c r="A1152" s="510">
        <f>IF(B1152="","",COUNT('Diário 1º PA'!$A$4:$A$2635)+ROW()-3)</f>
        <v>2885</v>
      </c>
      <c r="B1152" s="414">
        <v>44692</v>
      </c>
      <c r="C1152" s="431">
        <v>44682</v>
      </c>
      <c r="D1152" s="415" t="s">
        <v>271</v>
      </c>
      <c r="E1152" s="415" t="s">
        <v>456</v>
      </c>
      <c r="F1152" s="425">
        <v>420</v>
      </c>
      <c r="G1152" s="427" t="s">
        <v>5095</v>
      </c>
      <c r="H1152" s="415" t="s">
        <v>761</v>
      </c>
      <c r="I1152" s="427" t="s">
        <v>3991</v>
      </c>
      <c r="J1152" s="415" t="s">
        <v>3992</v>
      </c>
      <c r="K1152" s="415" t="s">
        <v>806</v>
      </c>
      <c r="L1152" s="415" t="s">
        <v>839</v>
      </c>
      <c r="M1152" s="546">
        <v>1750</v>
      </c>
      <c r="N1152" s="414">
        <v>44691</v>
      </c>
      <c r="O1152" s="414" t="s">
        <v>400</v>
      </c>
      <c r="P1152" s="603">
        <f t="shared" si="152"/>
        <v>5</v>
      </c>
      <c r="Q1152" s="603">
        <f t="shared" si="153"/>
        <v>5</v>
      </c>
      <c r="R1152" s="604" t="str">
        <f t="shared" si="155"/>
        <v>Gastos_Gerais</v>
      </c>
      <c r="S1152" s="605" t="s">
        <v>998</v>
      </c>
      <c r="T1152" s="605">
        <v>3529</v>
      </c>
    </row>
    <row r="1153" spans="1:20" s="88" customFormat="1" ht="72" x14ac:dyDescent="0.2">
      <c r="A1153" s="510">
        <f>IF(B1153="","",COUNT('Diário 1º PA'!$A$4:$A$2635)+ROW()-3)</f>
        <v>2886</v>
      </c>
      <c r="B1153" s="414">
        <v>44692</v>
      </c>
      <c r="C1153" s="431">
        <v>44652</v>
      </c>
      <c r="D1153" s="415" t="s">
        <v>271</v>
      </c>
      <c r="E1153" s="415" t="s">
        <v>456</v>
      </c>
      <c r="F1153" s="425">
        <v>842</v>
      </c>
      <c r="G1153" s="427" t="s">
        <v>3280</v>
      </c>
      <c r="H1153" s="419" t="s">
        <v>752</v>
      </c>
      <c r="I1153" s="427" t="s">
        <v>2682</v>
      </c>
      <c r="J1153" s="415" t="s">
        <v>816</v>
      </c>
      <c r="K1153" s="415" t="s">
        <v>830</v>
      </c>
      <c r="L1153" s="415" t="s">
        <v>32</v>
      </c>
      <c r="M1153" s="546">
        <v>310342</v>
      </c>
      <c r="N1153" s="414">
        <v>44664</v>
      </c>
      <c r="O1153" s="414" t="s">
        <v>400</v>
      </c>
      <c r="P1153" s="603">
        <f t="shared" si="152"/>
        <v>5</v>
      </c>
      <c r="Q1153" s="603">
        <f t="shared" si="153"/>
        <v>4</v>
      </c>
      <c r="R1153" s="604" t="str">
        <f t="shared" si="155"/>
        <v>Gastos_Gerais</v>
      </c>
      <c r="S1153" s="605" t="s">
        <v>999</v>
      </c>
      <c r="T1153" s="605">
        <v>3409</v>
      </c>
    </row>
    <row r="1154" spans="1:20" s="88" customFormat="1" ht="48" x14ac:dyDescent="0.2">
      <c r="A1154" s="510">
        <f>IF(B1154="","",COUNT('Diário 1º PA'!$A$4:$A$2635)+ROW()-3)</f>
        <v>2887</v>
      </c>
      <c r="B1154" s="414">
        <v>44692</v>
      </c>
      <c r="C1154" s="431">
        <v>44682</v>
      </c>
      <c r="D1154" s="415" t="s">
        <v>271</v>
      </c>
      <c r="E1154" s="415" t="s">
        <v>444</v>
      </c>
      <c r="F1154" s="425">
        <v>171.04</v>
      </c>
      <c r="G1154" s="427" t="s">
        <v>3814</v>
      </c>
      <c r="H1154" s="419" t="s">
        <v>792</v>
      </c>
      <c r="I1154" s="427" t="s">
        <v>3995</v>
      </c>
      <c r="J1154" s="415" t="s">
        <v>3813</v>
      </c>
      <c r="K1154" s="415" t="s">
        <v>830</v>
      </c>
      <c r="L1154" s="415" t="s">
        <v>807</v>
      </c>
      <c r="M1154" s="546" t="s">
        <v>3996</v>
      </c>
      <c r="N1154" s="414">
        <v>44687</v>
      </c>
      <c r="O1154" s="414" t="s">
        <v>400</v>
      </c>
      <c r="P1154" s="603">
        <f t="shared" si="152"/>
        <v>5</v>
      </c>
      <c r="Q1154" s="603">
        <f t="shared" si="153"/>
        <v>5</v>
      </c>
      <c r="R1154" s="604" t="str">
        <f t="shared" si="155"/>
        <v>Gastos_Gerais</v>
      </c>
      <c r="S1154" s="605" t="s">
        <v>999</v>
      </c>
      <c r="T1154" s="605">
        <v>3602</v>
      </c>
    </row>
    <row r="1155" spans="1:20" s="88" customFormat="1" ht="36" x14ac:dyDescent="0.2">
      <c r="A1155" s="510">
        <f>IF(B1155="","",COUNT('Diário 1º PA'!$A$4:$A$2635)+ROW()-3)</f>
        <v>2888</v>
      </c>
      <c r="B1155" s="414">
        <v>44692</v>
      </c>
      <c r="C1155" s="431">
        <v>44593</v>
      </c>
      <c r="D1155" s="415" t="s">
        <v>271</v>
      </c>
      <c r="E1155" s="415" t="s">
        <v>453</v>
      </c>
      <c r="F1155" s="425">
        <v>672</v>
      </c>
      <c r="G1155" s="427" t="s">
        <v>1832</v>
      </c>
      <c r="H1155" s="419" t="s">
        <v>749</v>
      </c>
      <c r="I1155" s="427" t="s">
        <v>3998</v>
      </c>
      <c r="J1155" s="415" t="s">
        <v>1833</v>
      </c>
      <c r="K1155" s="415" t="s">
        <v>830</v>
      </c>
      <c r="L1155" s="415" t="s">
        <v>839</v>
      </c>
      <c r="M1155" s="546">
        <v>1743</v>
      </c>
      <c r="N1155" s="414">
        <v>44686</v>
      </c>
      <c r="O1155" s="414" t="s">
        <v>400</v>
      </c>
      <c r="P1155" s="603">
        <f t="shared" si="152"/>
        <v>5</v>
      </c>
      <c r="Q1155" s="603">
        <f t="shared" si="153"/>
        <v>2</v>
      </c>
      <c r="R1155" s="604" t="str">
        <f t="shared" si="155"/>
        <v>Gastos_Gerais</v>
      </c>
      <c r="S1155" s="605" t="s">
        <v>998</v>
      </c>
      <c r="T1155" s="605">
        <v>2934</v>
      </c>
    </row>
    <row r="1156" spans="1:20" s="88" customFormat="1" ht="48" x14ac:dyDescent="0.2">
      <c r="A1156" s="510">
        <f>IF(B1156="","",COUNT('Diário 1º PA'!$A$4:$A$2635)+ROW()-3)</f>
        <v>2889</v>
      </c>
      <c r="B1156" s="414">
        <v>44692</v>
      </c>
      <c r="C1156" s="431">
        <v>44621</v>
      </c>
      <c r="D1156" s="415" t="s">
        <v>271</v>
      </c>
      <c r="E1156" s="415" t="s">
        <v>453</v>
      </c>
      <c r="F1156" s="425">
        <v>1200</v>
      </c>
      <c r="G1156" s="427" t="s">
        <v>2461</v>
      </c>
      <c r="H1156" s="419" t="s">
        <v>760</v>
      </c>
      <c r="I1156" s="427" t="s">
        <v>2304</v>
      </c>
      <c r="J1156" s="415" t="s">
        <v>1807</v>
      </c>
      <c r="K1156" s="415" t="s">
        <v>830</v>
      </c>
      <c r="L1156" s="415" t="s">
        <v>807</v>
      </c>
      <c r="M1156" s="415" t="s">
        <v>1786</v>
      </c>
      <c r="N1156" s="414">
        <v>44690</v>
      </c>
      <c r="O1156" s="414" t="s">
        <v>400</v>
      </c>
      <c r="P1156" s="603">
        <f t="shared" si="152"/>
        <v>5</v>
      </c>
      <c r="Q1156" s="603">
        <f t="shared" si="153"/>
        <v>3</v>
      </c>
      <c r="R1156" s="604" t="str">
        <f t="shared" si="155"/>
        <v>Gastos_Gerais</v>
      </c>
      <c r="S1156" s="605" t="s">
        <v>998</v>
      </c>
      <c r="T1156" s="605">
        <v>3247</v>
      </c>
    </row>
    <row r="1157" spans="1:20" s="88" customFormat="1" ht="72" x14ac:dyDescent="0.2">
      <c r="A1157" s="510">
        <f>IF(B1157="","",COUNT('Diário 1º PA'!$A$4:$A$2635)+ROW()-3)</f>
        <v>2890</v>
      </c>
      <c r="B1157" s="414">
        <v>44692</v>
      </c>
      <c r="C1157" s="431">
        <v>44562</v>
      </c>
      <c r="D1157" s="415" t="s">
        <v>271</v>
      </c>
      <c r="E1157" s="415" t="s">
        <v>465</v>
      </c>
      <c r="F1157" s="425">
        <v>2624.35</v>
      </c>
      <c r="G1157" s="427" t="s">
        <v>674</v>
      </c>
      <c r="H1157" s="419" t="s">
        <v>752</v>
      </c>
      <c r="I1157" s="427" t="s">
        <v>1464</v>
      </c>
      <c r="J1157" s="415" t="s">
        <v>1010</v>
      </c>
      <c r="K1157" s="415" t="s">
        <v>830</v>
      </c>
      <c r="L1157" s="415" t="s">
        <v>807</v>
      </c>
      <c r="M1157" s="415" t="s">
        <v>4002</v>
      </c>
      <c r="N1157" s="414">
        <v>44691</v>
      </c>
      <c r="O1157" s="414" t="s">
        <v>400</v>
      </c>
      <c r="P1157" s="603">
        <f t="shared" si="152"/>
        <v>5</v>
      </c>
      <c r="Q1157" s="603">
        <f t="shared" si="153"/>
        <v>1</v>
      </c>
      <c r="R1157" s="604" t="str">
        <f t="shared" si="155"/>
        <v>Gastos_Gerais</v>
      </c>
      <c r="S1157" s="605" t="s">
        <v>1000</v>
      </c>
      <c r="T1157" s="605">
        <v>2748</v>
      </c>
    </row>
    <row r="1158" spans="1:20" s="88" customFormat="1" ht="60" x14ac:dyDescent="0.2">
      <c r="A1158" s="510">
        <f>IF(B1158="","",COUNT('Diário 1º PA'!$A$4:$A$2635)+ROW()-3)</f>
        <v>2891</v>
      </c>
      <c r="B1158" s="414">
        <v>44692</v>
      </c>
      <c r="C1158" s="431">
        <v>44593</v>
      </c>
      <c r="D1158" s="415" t="s">
        <v>271</v>
      </c>
      <c r="E1158" s="415" t="s">
        <v>456</v>
      </c>
      <c r="F1158" s="425">
        <v>451.5</v>
      </c>
      <c r="G1158" s="427" t="s">
        <v>737</v>
      </c>
      <c r="H1158" s="415" t="s">
        <v>759</v>
      </c>
      <c r="I1158" s="427" t="s">
        <v>1388</v>
      </c>
      <c r="J1158" s="415" t="s">
        <v>1022</v>
      </c>
      <c r="K1158" s="418" t="s">
        <v>806</v>
      </c>
      <c r="L1158" s="399" t="s">
        <v>1305</v>
      </c>
      <c r="M1158" s="544" t="s">
        <v>310</v>
      </c>
      <c r="N1158" s="414">
        <v>44692</v>
      </c>
      <c r="O1158" s="414" t="s">
        <v>400</v>
      </c>
      <c r="P1158" s="603">
        <f t="shared" si="152"/>
        <v>5</v>
      </c>
      <c r="Q1158" s="603">
        <f t="shared" si="153"/>
        <v>2</v>
      </c>
      <c r="R1158" s="604" t="str">
        <f t="shared" si="155"/>
        <v>Gastos_Gerais</v>
      </c>
      <c r="S1158" s="605" t="s">
        <v>1000</v>
      </c>
      <c r="T1158" s="605">
        <v>1586</v>
      </c>
    </row>
    <row r="1159" spans="1:20" s="88" customFormat="1" ht="72" x14ac:dyDescent="0.2">
      <c r="A1159" s="510">
        <f>IF(B1159="","",COUNT('Diário 1º PA'!$A$4:$A$2635)+ROW()-3)</f>
        <v>2892</v>
      </c>
      <c r="B1159" s="414">
        <v>44692</v>
      </c>
      <c r="C1159" s="431">
        <v>44652</v>
      </c>
      <c r="D1159" s="415" t="s">
        <v>271</v>
      </c>
      <c r="E1159" s="415" t="s">
        <v>456</v>
      </c>
      <c r="F1159" s="425">
        <v>2827.55</v>
      </c>
      <c r="G1159" s="427" t="s">
        <v>2733</v>
      </c>
      <c r="H1159" s="419" t="s">
        <v>758</v>
      </c>
      <c r="I1159" s="427" t="s">
        <v>4003</v>
      </c>
      <c r="J1159" s="415" t="s">
        <v>2734</v>
      </c>
      <c r="K1159" s="415" t="s">
        <v>830</v>
      </c>
      <c r="L1159" s="415" t="s">
        <v>839</v>
      </c>
      <c r="M1159" s="546">
        <v>1755</v>
      </c>
      <c r="N1159" s="414">
        <v>44691</v>
      </c>
      <c r="O1159" s="414" t="s">
        <v>400</v>
      </c>
      <c r="P1159" s="603">
        <f t="shared" si="152"/>
        <v>5</v>
      </c>
      <c r="Q1159" s="603">
        <f t="shared" si="153"/>
        <v>4</v>
      </c>
      <c r="R1159" s="604" t="str">
        <f t="shared" si="155"/>
        <v>Gastos_Gerais</v>
      </c>
      <c r="S1159" s="605" t="s">
        <v>998</v>
      </c>
      <c r="T1159" s="605">
        <v>3139</v>
      </c>
    </row>
    <row r="1160" spans="1:20" s="88" customFormat="1" ht="48" x14ac:dyDescent="0.2">
      <c r="A1160" s="510">
        <f>IF(B1160="","",COUNT('Diário 1º PA'!$A$4:$A$2635)+ROW()-3)</f>
        <v>2893</v>
      </c>
      <c r="B1160" s="414">
        <v>44692</v>
      </c>
      <c r="C1160" s="431">
        <v>44652</v>
      </c>
      <c r="D1160" s="594" t="s">
        <v>271</v>
      </c>
      <c r="E1160" s="594" t="s">
        <v>453</v>
      </c>
      <c r="F1160" s="425">
        <v>2245.16</v>
      </c>
      <c r="G1160" s="427" t="s">
        <v>1972</v>
      </c>
      <c r="H1160" s="594" t="s">
        <v>757</v>
      </c>
      <c r="I1160" s="427" t="s">
        <v>3510</v>
      </c>
      <c r="J1160" s="415" t="s">
        <v>1830</v>
      </c>
      <c r="K1160" s="415" t="s">
        <v>830</v>
      </c>
      <c r="L1160" s="415" t="s">
        <v>839</v>
      </c>
      <c r="M1160" s="546">
        <v>1753</v>
      </c>
      <c r="N1160" s="414">
        <v>44691</v>
      </c>
      <c r="O1160" s="414" t="s">
        <v>400</v>
      </c>
      <c r="P1160" s="603">
        <f t="shared" si="152"/>
        <v>5</v>
      </c>
      <c r="Q1160" s="603">
        <f t="shared" si="153"/>
        <v>4</v>
      </c>
      <c r="R1160" s="604" t="str">
        <f t="shared" si="155"/>
        <v>Gastos_Gerais</v>
      </c>
      <c r="S1160" s="605" t="s">
        <v>998</v>
      </c>
      <c r="T1160" s="605">
        <v>3355</v>
      </c>
    </row>
    <row r="1161" spans="1:20" s="88" customFormat="1" ht="36" x14ac:dyDescent="0.2">
      <c r="A1161" s="510">
        <f>IF(B1161="","",COUNT('Diário 1º PA'!$A$4:$A$2635)+ROW()-3)</f>
        <v>2894</v>
      </c>
      <c r="B1161" s="414">
        <v>44692</v>
      </c>
      <c r="C1161" s="592">
        <v>44682</v>
      </c>
      <c r="D1161" s="415" t="s">
        <v>271</v>
      </c>
      <c r="E1161" s="415" t="s">
        <v>71</v>
      </c>
      <c r="F1161" s="425">
        <v>11</v>
      </c>
      <c r="G1161" s="427" t="s">
        <v>4022</v>
      </c>
      <c r="H1161" s="419" t="s">
        <v>752</v>
      </c>
      <c r="I1161" s="427" t="s">
        <v>881</v>
      </c>
      <c r="J1161" s="415" t="s">
        <v>882</v>
      </c>
      <c r="K1161" s="415" t="s">
        <v>883</v>
      </c>
      <c r="L1161" s="415" t="s">
        <v>798</v>
      </c>
      <c r="M1161" s="415" t="s">
        <v>310</v>
      </c>
      <c r="N1161" s="414">
        <v>44692</v>
      </c>
      <c r="O1161" s="414" t="s">
        <v>400</v>
      </c>
      <c r="P1161" s="603">
        <f t="shared" si="152"/>
        <v>5</v>
      </c>
      <c r="Q1161" s="603">
        <f t="shared" si="153"/>
        <v>5</v>
      </c>
      <c r="R1161" s="604" t="str">
        <f t="shared" si="155"/>
        <v>Gastos_Gerais</v>
      </c>
      <c r="S1161" s="605" t="s">
        <v>310</v>
      </c>
      <c r="T1161" s="605" t="s">
        <v>310</v>
      </c>
    </row>
    <row r="1162" spans="1:20" s="88" customFormat="1" ht="36" x14ac:dyDescent="0.2">
      <c r="A1162" s="510">
        <f>IF(B1162="","",COUNT('Diário 1º PA'!$A$4:$A$2635)+ROW()-3)</f>
        <v>2895</v>
      </c>
      <c r="B1162" s="414">
        <v>44692</v>
      </c>
      <c r="C1162" s="592">
        <v>44682</v>
      </c>
      <c r="D1162" s="415" t="s">
        <v>271</v>
      </c>
      <c r="E1162" s="415" t="s">
        <v>71</v>
      </c>
      <c r="F1162" s="425">
        <v>11</v>
      </c>
      <c r="G1162" s="427" t="s">
        <v>4023</v>
      </c>
      <c r="H1162" s="419" t="s">
        <v>792</v>
      </c>
      <c r="I1162" s="427" t="s">
        <v>881</v>
      </c>
      <c r="J1162" s="415" t="s">
        <v>882</v>
      </c>
      <c r="K1162" s="415" t="s">
        <v>883</v>
      </c>
      <c r="L1162" s="415" t="s">
        <v>798</v>
      </c>
      <c r="M1162" s="415" t="s">
        <v>310</v>
      </c>
      <c r="N1162" s="414">
        <v>44692</v>
      </c>
      <c r="O1162" s="414" t="s">
        <v>400</v>
      </c>
      <c r="P1162" s="603">
        <f t="shared" si="152"/>
        <v>5</v>
      </c>
      <c r="Q1162" s="603">
        <f t="shared" si="153"/>
        <v>5</v>
      </c>
      <c r="R1162" s="604" t="str">
        <f t="shared" si="155"/>
        <v>Gastos_Gerais</v>
      </c>
      <c r="S1162" s="605" t="s">
        <v>310</v>
      </c>
      <c r="T1162" s="605" t="s">
        <v>310</v>
      </c>
    </row>
    <row r="1163" spans="1:20" s="88" customFormat="1" ht="36" x14ac:dyDescent="0.2">
      <c r="A1163" s="510">
        <f>IF(B1163="","",COUNT('Diário 1º PA'!$A$4:$A$2635)+ROW()-3)</f>
        <v>2896</v>
      </c>
      <c r="B1163" s="414">
        <v>44692</v>
      </c>
      <c r="C1163" s="592">
        <v>44682</v>
      </c>
      <c r="D1163" s="415" t="s">
        <v>271</v>
      </c>
      <c r="E1163" s="415" t="s">
        <v>71</v>
      </c>
      <c r="F1163" s="425">
        <v>11</v>
      </c>
      <c r="G1163" s="427" t="s">
        <v>4024</v>
      </c>
      <c r="H1163" s="419" t="s">
        <v>749</v>
      </c>
      <c r="I1163" s="427" t="s">
        <v>881</v>
      </c>
      <c r="J1163" s="415" t="s">
        <v>882</v>
      </c>
      <c r="K1163" s="415" t="s">
        <v>883</v>
      </c>
      <c r="L1163" s="415" t="s">
        <v>798</v>
      </c>
      <c r="M1163" s="415" t="s">
        <v>310</v>
      </c>
      <c r="N1163" s="414">
        <v>44692</v>
      </c>
      <c r="O1163" s="414" t="s">
        <v>400</v>
      </c>
      <c r="P1163" s="603">
        <f t="shared" si="152"/>
        <v>5</v>
      </c>
      <c r="Q1163" s="603">
        <f t="shared" si="153"/>
        <v>5</v>
      </c>
      <c r="R1163" s="604" t="str">
        <f t="shared" si="155"/>
        <v>Gastos_Gerais</v>
      </c>
      <c r="S1163" s="605" t="s">
        <v>310</v>
      </c>
      <c r="T1163" s="605" t="s">
        <v>310</v>
      </c>
    </row>
    <row r="1164" spans="1:20" s="88" customFormat="1" ht="48" x14ac:dyDescent="0.2">
      <c r="A1164" s="510">
        <f>IF(B1164="","",COUNT('Diário 1º PA'!$A$4:$A$2635)+ROW()-3)</f>
        <v>2897</v>
      </c>
      <c r="B1164" s="414">
        <v>44692</v>
      </c>
      <c r="C1164" s="592">
        <v>44682</v>
      </c>
      <c r="D1164" s="415" t="s">
        <v>271</v>
      </c>
      <c r="E1164" s="415" t="s">
        <v>71</v>
      </c>
      <c r="F1164" s="425">
        <v>11</v>
      </c>
      <c r="G1164" s="427" t="s">
        <v>4025</v>
      </c>
      <c r="H1164" s="419" t="s">
        <v>760</v>
      </c>
      <c r="I1164" s="427" t="s">
        <v>881</v>
      </c>
      <c r="J1164" s="415" t="s">
        <v>882</v>
      </c>
      <c r="K1164" s="415" t="s">
        <v>883</v>
      </c>
      <c r="L1164" s="415" t="s">
        <v>798</v>
      </c>
      <c r="M1164" s="415" t="s">
        <v>310</v>
      </c>
      <c r="N1164" s="414">
        <v>44692</v>
      </c>
      <c r="O1164" s="414" t="s">
        <v>400</v>
      </c>
      <c r="P1164" s="603">
        <f t="shared" si="152"/>
        <v>5</v>
      </c>
      <c r="Q1164" s="603">
        <f t="shared" si="153"/>
        <v>5</v>
      </c>
      <c r="R1164" s="604" t="str">
        <f t="shared" si="155"/>
        <v>Gastos_Gerais</v>
      </c>
      <c r="S1164" s="605" t="s">
        <v>310</v>
      </c>
      <c r="T1164" s="605" t="s">
        <v>310</v>
      </c>
    </row>
    <row r="1165" spans="1:20" s="88" customFormat="1" ht="36" x14ac:dyDescent="0.2">
      <c r="A1165" s="510">
        <f>IF(B1165="","",COUNT('Diário 1º PA'!$A$4:$A$2635)+ROW()-3)</f>
        <v>2898</v>
      </c>
      <c r="B1165" s="414">
        <v>44692</v>
      </c>
      <c r="C1165" s="592">
        <v>44682</v>
      </c>
      <c r="D1165" s="415" t="s">
        <v>271</v>
      </c>
      <c r="E1165" s="415" t="s">
        <v>71</v>
      </c>
      <c r="F1165" s="425">
        <v>11</v>
      </c>
      <c r="G1165" s="427" t="s">
        <v>2193</v>
      </c>
      <c r="H1165" s="419" t="s">
        <v>752</v>
      </c>
      <c r="I1165" s="427" t="s">
        <v>881</v>
      </c>
      <c r="J1165" s="415" t="s">
        <v>882</v>
      </c>
      <c r="K1165" s="415" t="s">
        <v>883</v>
      </c>
      <c r="L1165" s="415" t="s">
        <v>798</v>
      </c>
      <c r="M1165" s="415" t="s">
        <v>310</v>
      </c>
      <c r="N1165" s="414">
        <v>44692</v>
      </c>
      <c r="O1165" s="414" t="s">
        <v>400</v>
      </c>
      <c r="P1165" s="603">
        <f t="shared" si="152"/>
        <v>5</v>
      </c>
      <c r="Q1165" s="603">
        <f t="shared" si="153"/>
        <v>5</v>
      </c>
      <c r="R1165" s="604" t="str">
        <f t="shared" si="155"/>
        <v>Gastos_Gerais</v>
      </c>
      <c r="S1165" s="605" t="s">
        <v>310</v>
      </c>
      <c r="T1165" s="605" t="s">
        <v>310</v>
      </c>
    </row>
    <row r="1166" spans="1:20" s="88" customFormat="1" ht="60" x14ac:dyDescent="0.2">
      <c r="A1166" s="510">
        <f>IF(B1166="","",COUNT('Diário 1º PA'!$A$4:$A$2635)+ROW()-3)</f>
        <v>2899</v>
      </c>
      <c r="B1166" s="414">
        <v>44692</v>
      </c>
      <c r="C1166" s="592">
        <v>44682</v>
      </c>
      <c r="D1166" s="415" t="s">
        <v>271</v>
      </c>
      <c r="E1166" s="415" t="s">
        <v>71</v>
      </c>
      <c r="F1166" s="425">
        <v>11</v>
      </c>
      <c r="G1166" s="427" t="s">
        <v>4026</v>
      </c>
      <c r="H1166" s="415" t="s">
        <v>759</v>
      </c>
      <c r="I1166" s="427" t="s">
        <v>881</v>
      </c>
      <c r="J1166" s="415" t="s">
        <v>882</v>
      </c>
      <c r="K1166" s="415" t="s">
        <v>883</v>
      </c>
      <c r="L1166" s="415" t="s">
        <v>798</v>
      </c>
      <c r="M1166" s="415" t="s">
        <v>310</v>
      </c>
      <c r="N1166" s="414">
        <v>44692</v>
      </c>
      <c r="O1166" s="414" t="s">
        <v>400</v>
      </c>
      <c r="P1166" s="603">
        <f t="shared" si="152"/>
        <v>5</v>
      </c>
      <c r="Q1166" s="603">
        <f t="shared" si="153"/>
        <v>5</v>
      </c>
      <c r="R1166" s="604" t="str">
        <f t="shared" si="155"/>
        <v>Gastos_Gerais</v>
      </c>
      <c r="S1166" s="605" t="s">
        <v>310</v>
      </c>
      <c r="T1166" s="605" t="s">
        <v>310</v>
      </c>
    </row>
    <row r="1167" spans="1:20" s="88" customFormat="1" ht="36" x14ac:dyDescent="0.2">
      <c r="A1167" s="510">
        <f>IF(B1167="","",COUNT('Diário 1º PA'!$A$4:$A$2635)+ROW()-3)</f>
        <v>2900</v>
      </c>
      <c r="B1167" s="414">
        <v>44692</v>
      </c>
      <c r="C1167" s="592">
        <v>44682</v>
      </c>
      <c r="D1167" s="415" t="s">
        <v>271</v>
      </c>
      <c r="E1167" s="415" t="s">
        <v>71</v>
      </c>
      <c r="F1167" s="425">
        <v>11</v>
      </c>
      <c r="G1167" s="427" t="s">
        <v>4027</v>
      </c>
      <c r="H1167" s="419" t="s">
        <v>758</v>
      </c>
      <c r="I1167" s="427" t="s">
        <v>881</v>
      </c>
      <c r="J1167" s="415" t="s">
        <v>882</v>
      </c>
      <c r="K1167" s="415" t="s">
        <v>883</v>
      </c>
      <c r="L1167" s="415" t="s">
        <v>798</v>
      </c>
      <c r="M1167" s="415" t="s">
        <v>310</v>
      </c>
      <c r="N1167" s="414">
        <v>44692</v>
      </c>
      <c r="O1167" s="414" t="s">
        <v>400</v>
      </c>
      <c r="P1167" s="603">
        <f t="shared" si="152"/>
        <v>5</v>
      </c>
      <c r="Q1167" s="603">
        <f t="shared" si="153"/>
        <v>5</v>
      </c>
      <c r="R1167" s="604" t="str">
        <f t="shared" si="155"/>
        <v>Gastos_Gerais</v>
      </c>
      <c r="S1167" s="605" t="s">
        <v>310</v>
      </c>
      <c r="T1167" s="605" t="s">
        <v>310</v>
      </c>
    </row>
    <row r="1168" spans="1:20" s="88" customFormat="1" ht="48" x14ac:dyDescent="0.2">
      <c r="A1168" s="510">
        <f>IF(B1168="","",COUNT('Diário 1º PA'!$A$4:$A$2635)+ROW()-3)</f>
        <v>2901</v>
      </c>
      <c r="B1168" s="414">
        <v>44692</v>
      </c>
      <c r="C1168" s="592">
        <v>44682</v>
      </c>
      <c r="D1168" s="415" t="s">
        <v>271</v>
      </c>
      <c r="E1168" s="415" t="s">
        <v>71</v>
      </c>
      <c r="F1168" s="425">
        <v>11</v>
      </c>
      <c r="G1168" s="427" t="s">
        <v>4028</v>
      </c>
      <c r="H1168" s="594" t="s">
        <v>757</v>
      </c>
      <c r="I1168" s="427" t="s">
        <v>881</v>
      </c>
      <c r="J1168" s="415" t="s">
        <v>882</v>
      </c>
      <c r="K1168" s="415" t="s">
        <v>883</v>
      </c>
      <c r="L1168" s="415" t="s">
        <v>798</v>
      </c>
      <c r="M1168" s="415" t="s">
        <v>310</v>
      </c>
      <c r="N1168" s="414">
        <v>44692</v>
      </c>
      <c r="O1168" s="414" t="s">
        <v>400</v>
      </c>
      <c r="P1168" s="603">
        <f t="shared" si="152"/>
        <v>5</v>
      </c>
      <c r="Q1168" s="603">
        <f t="shared" si="153"/>
        <v>5</v>
      </c>
      <c r="R1168" s="604" t="str">
        <f t="shared" si="155"/>
        <v>Gastos_Gerais</v>
      </c>
      <c r="S1168" s="605" t="s">
        <v>310</v>
      </c>
      <c r="T1168" s="605" t="s">
        <v>310</v>
      </c>
    </row>
    <row r="1169" spans="1:20" ht="36" x14ac:dyDescent="0.2">
      <c r="A1169" s="510">
        <f>IF(B1169="","",COUNT('Diário 1º PA'!$A$4:$A$2635)+ROW()-3)</f>
        <v>2902</v>
      </c>
      <c r="B1169" s="414">
        <v>44692</v>
      </c>
      <c r="C1169" s="592">
        <v>44682</v>
      </c>
      <c r="D1169" s="415" t="s">
        <v>271</v>
      </c>
      <c r="E1169" s="415" t="s">
        <v>71</v>
      </c>
      <c r="F1169" s="425">
        <v>11</v>
      </c>
      <c r="G1169" s="427" t="s">
        <v>4029</v>
      </c>
      <c r="H1169" s="419" t="s">
        <v>758</v>
      </c>
      <c r="I1169" s="427" t="s">
        <v>881</v>
      </c>
      <c r="J1169" s="415" t="s">
        <v>882</v>
      </c>
      <c r="K1169" s="415" t="s">
        <v>883</v>
      </c>
      <c r="L1169" s="415" t="s">
        <v>798</v>
      </c>
      <c r="M1169" s="415" t="s">
        <v>310</v>
      </c>
      <c r="N1169" s="414">
        <v>44692</v>
      </c>
      <c r="O1169" s="414" t="s">
        <v>400</v>
      </c>
      <c r="P1169" s="603">
        <f t="shared" si="152"/>
        <v>5</v>
      </c>
      <c r="Q1169" s="603">
        <f t="shared" si="153"/>
        <v>5</v>
      </c>
      <c r="R1169" s="604" t="str">
        <f t="shared" ref="R1169:R1176" si="156">SUBSTITUTE(D1169," ","_")</f>
        <v>Gastos_Gerais</v>
      </c>
      <c r="S1169" s="605" t="s">
        <v>310</v>
      </c>
      <c r="T1169" s="605" t="s">
        <v>310</v>
      </c>
    </row>
    <row r="1170" spans="1:20" ht="72" x14ac:dyDescent="0.2">
      <c r="A1170" s="510">
        <f>IF(B1170="","",COUNT('Diário 1º PA'!$A$4:$A$2635)+ROW()-3)</f>
        <v>2903</v>
      </c>
      <c r="B1170" s="414">
        <v>44692</v>
      </c>
      <c r="C1170" s="431">
        <v>44621</v>
      </c>
      <c r="D1170" s="415" t="s">
        <v>468</v>
      </c>
      <c r="E1170" s="415" t="s">
        <v>468</v>
      </c>
      <c r="F1170" s="425">
        <v>1954.15</v>
      </c>
      <c r="G1170" s="427" t="s">
        <v>4803</v>
      </c>
      <c r="H1170" s="419" t="s">
        <v>468</v>
      </c>
      <c r="I1170" s="427" t="s">
        <v>4691</v>
      </c>
      <c r="J1170" s="415" t="s">
        <v>4804</v>
      </c>
      <c r="K1170" s="415" t="s">
        <v>830</v>
      </c>
      <c r="L1170" s="415" t="s">
        <v>807</v>
      </c>
      <c r="M1170" s="415" t="s">
        <v>5569</v>
      </c>
      <c r="N1170" s="414">
        <v>44677</v>
      </c>
      <c r="O1170" s="414" t="s">
        <v>407</v>
      </c>
      <c r="P1170" s="603">
        <f t="shared" si="152"/>
        <v>5</v>
      </c>
      <c r="Q1170" s="603">
        <f t="shared" si="153"/>
        <v>3</v>
      </c>
      <c r="R1170" s="604" t="str">
        <f t="shared" si="156"/>
        <v>Gastos_custeados_por_captação</v>
      </c>
      <c r="S1170" s="605" t="s">
        <v>1000</v>
      </c>
      <c r="T1170" s="605">
        <v>3233</v>
      </c>
    </row>
    <row r="1171" spans="1:20" ht="72" x14ac:dyDescent="0.2">
      <c r="A1171" s="510">
        <f>IF(B1171="","",COUNT('Diário 1º PA'!$A$4:$A$2635)+ROW()-3)</f>
        <v>2904</v>
      </c>
      <c r="B1171" s="414">
        <v>44692</v>
      </c>
      <c r="C1171" s="421">
        <v>44652</v>
      </c>
      <c r="D1171" s="415" t="s">
        <v>468</v>
      </c>
      <c r="E1171" s="415" t="s">
        <v>468</v>
      </c>
      <c r="F1171" s="425">
        <v>990.92</v>
      </c>
      <c r="G1171" s="427" t="s">
        <v>3273</v>
      </c>
      <c r="H1171" s="419" t="s">
        <v>468</v>
      </c>
      <c r="I1171" s="427" t="s">
        <v>3746</v>
      </c>
      <c r="J1171" s="415" t="s">
        <v>2668</v>
      </c>
      <c r="K1171" s="415" t="s">
        <v>830</v>
      </c>
      <c r="L1171" s="415" t="s">
        <v>807</v>
      </c>
      <c r="M1171" s="415">
        <v>381184</v>
      </c>
      <c r="N1171" s="414">
        <v>44664</v>
      </c>
      <c r="O1171" s="414" t="s">
        <v>407</v>
      </c>
      <c r="P1171" s="603">
        <f t="shared" si="152"/>
        <v>5</v>
      </c>
      <c r="Q1171" s="603">
        <f t="shared" si="153"/>
        <v>4</v>
      </c>
      <c r="R1171" s="604" t="str">
        <f t="shared" si="156"/>
        <v>Gastos_custeados_por_captação</v>
      </c>
      <c r="S1171" s="605" t="s">
        <v>999</v>
      </c>
      <c r="T1171" s="605">
        <v>3389</v>
      </c>
    </row>
    <row r="1172" spans="1:20" ht="72" x14ac:dyDescent="0.2">
      <c r="A1172" s="510">
        <f>IF(B1172="","",COUNT('Diário 1º PA'!$A$4:$A$2635)+ROW()-3)</f>
        <v>2905</v>
      </c>
      <c r="B1172" s="414">
        <v>44692</v>
      </c>
      <c r="C1172" s="592">
        <v>44652</v>
      </c>
      <c r="D1172" s="415" t="s">
        <v>468</v>
      </c>
      <c r="E1172" s="415" t="s">
        <v>468</v>
      </c>
      <c r="F1172" s="425">
        <v>4300</v>
      </c>
      <c r="G1172" s="427" t="s">
        <v>3326</v>
      </c>
      <c r="H1172" s="419" t="s">
        <v>468</v>
      </c>
      <c r="I1172" s="427" t="s">
        <v>3558</v>
      </c>
      <c r="J1172" s="415" t="s">
        <v>1052</v>
      </c>
      <c r="K1172" s="415" t="s">
        <v>830</v>
      </c>
      <c r="L1172" s="415" t="s">
        <v>807</v>
      </c>
      <c r="M1172" s="415">
        <v>153</v>
      </c>
      <c r="N1172" s="414">
        <v>44690</v>
      </c>
      <c r="O1172" s="414" t="s">
        <v>407</v>
      </c>
      <c r="P1172" s="603">
        <f t="shared" si="152"/>
        <v>5</v>
      </c>
      <c r="Q1172" s="603">
        <f t="shared" si="153"/>
        <v>4</v>
      </c>
      <c r="R1172" s="604" t="str">
        <f t="shared" si="156"/>
        <v>Gastos_custeados_por_captação</v>
      </c>
      <c r="S1172" s="605" t="s">
        <v>998</v>
      </c>
      <c r="T1172" s="605">
        <v>3441</v>
      </c>
    </row>
    <row r="1173" spans="1:20" s="88" customFormat="1" ht="72" x14ac:dyDescent="0.2">
      <c r="A1173" s="510">
        <f>IF(B1173="","",COUNT('Diário 1º PA'!$A$4:$A$2635)+ROW()-3)</f>
        <v>2906</v>
      </c>
      <c r="B1173" s="414">
        <v>44692</v>
      </c>
      <c r="C1173" s="431">
        <v>44621</v>
      </c>
      <c r="D1173" s="415" t="s">
        <v>468</v>
      </c>
      <c r="E1173" s="415" t="s">
        <v>468</v>
      </c>
      <c r="F1173" s="425">
        <v>5237.3500000000004</v>
      </c>
      <c r="G1173" s="427" t="s">
        <v>4803</v>
      </c>
      <c r="H1173" s="419" t="s">
        <v>468</v>
      </c>
      <c r="I1173" s="427" t="s">
        <v>4691</v>
      </c>
      <c r="J1173" s="415" t="s">
        <v>4804</v>
      </c>
      <c r="K1173" s="415" t="s">
        <v>830</v>
      </c>
      <c r="L1173" s="415" t="s">
        <v>807</v>
      </c>
      <c r="M1173" s="415" t="s">
        <v>5568</v>
      </c>
      <c r="N1173" s="414">
        <v>44677</v>
      </c>
      <c r="O1173" s="414" t="s">
        <v>407</v>
      </c>
      <c r="P1173" s="603">
        <f t="shared" si="152"/>
        <v>5</v>
      </c>
      <c r="Q1173" s="603">
        <f t="shared" si="153"/>
        <v>3</v>
      </c>
      <c r="R1173" s="604" t="str">
        <f t="shared" si="156"/>
        <v>Gastos_custeados_por_captação</v>
      </c>
      <c r="S1173" s="605" t="s">
        <v>1000</v>
      </c>
      <c r="T1173" s="605">
        <v>3233</v>
      </c>
    </row>
    <row r="1174" spans="1:20" s="88" customFormat="1" ht="36" x14ac:dyDescent="0.2">
      <c r="A1174" s="510">
        <f>IF(B1174="","",COUNT('Diário 1º PA'!$A$4:$A$2635)+ROW()-3)</f>
        <v>2907</v>
      </c>
      <c r="B1174" s="414">
        <v>44692</v>
      </c>
      <c r="C1174" s="592">
        <v>44652</v>
      </c>
      <c r="D1174" s="415" t="s">
        <v>468</v>
      </c>
      <c r="E1174" s="415" t="s">
        <v>468</v>
      </c>
      <c r="F1174" s="425">
        <v>1500</v>
      </c>
      <c r="G1174" s="427" t="s">
        <v>2947</v>
      </c>
      <c r="H1174" s="415" t="s">
        <v>468</v>
      </c>
      <c r="I1174" s="427" t="s">
        <v>2948</v>
      </c>
      <c r="J1174" s="415" t="s">
        <v>2414</v>
      </c>
      <c r="K1174" s="415" t="s">
        <v>830</v>
      </c>
      <c r="L1174" s="415" t="s">
        <v>807</v>
      </c>
      <c r="M1174" s="415">
        <v>59300</v>
      </c>
      <c r="N1174" s="414">
        <v>44658</v>
      </c>
      <c r="O1174" s="414" t="s">
        <v>408</v>
      </c>
      <c r="P1174" s="603">
        <f t="shared" si="152"/>
        <v>5</v>
      </c>
      <c r="Q1174" s="603">
        <f t="shared" si="153"/>
        <v>4</v>
      </c>
      <c r="R1174" s="604" t="str">
        <f t="shared" si="156"/>
        <v>Gastos_custeados_por_captação</v>
      </c>
      <c r="S1174" s="605" t="s">
        <v>1000</v>
      </c>
      <c r="T1174" s="605">
        <v>2456</v>
      </c>
    </row>
    <row r="1175" spans="1:20" s="88" customFormat="1" ht="36" x14ac:dyDescent="0.2">
      <c r="A1175" s="510">
        <f>IF(B1175="","",COUNT('Diário 1º PA'!$A$4:$A$2635)+ROW()-3)</f>
        <v>2908</v>
      </c>
      <c r="B1175" s="414">
        <v>44692</v>
      </c>
      <c r="C1175" s="431">
        <v>44682</v>
      </c>
      <c r="D1175" s="415" t="s">
        <v>468</v>
      </c>
      <c r="E1175" s="415" t="s">
        <v>468</v>
      </c>
      <c r="F1175" s="425">
        <v>11</v>
      </c>
      <c r="G1175" s="427" t="s">
        <v>4799</v>
      </c>
      <c r="H1175" s="419" t="s">
        <v>468</v>
      </c>
      <c r="I1175" s="427" t="s">
        <v>881</v>
      </c>
      <c r="J1175" s="415" t="s">
        <v>882</v>
      </c>
      <c r="K1175" s="415" t="s">
        <v>883</v>
      </c>
      <c r="L1175" s="415" t="s">
        <v>798</v>
      </c>
      <c r="M1175" s="415" t="s">
        <v>310</v>
      </c>
      <c r="N1175" s="414">
        <v>44692</v>
      </c>
      <c r="O1175" s="414" t="s">
        <v>408</v>
      </c>
      <c r="P1175" s="603">
        <f t="shared" si="152"/>
        <v>5</v>
      </c>
      <c r="Q1175" s="603">
        <f t="shared" si="153"/>
        <v>5</v>
      </c>
      <c r="R1175" s="604" t="str">
        <f t="shared" si="156"/>
        <v>Gastos_custeados_por_captação</v>
      </c>
      <c r="S1175" s="605" t="s">
        <v>310</v>
      </c>
      <c r="T1175" s="605" t="s">
        <v>310</v>
      </c>
    </row>
    <row r="1176" spans="1:20" s="88" customFormat="1" ht="72" x14ac:dyDescent="0.2">
      <c r="A1176" s="510">
        <f>IF(B1176="","",COUNT('Diário 1º PA'!$A$4:$A$2635)+ROW()-3)</f>
        <v>2909</v>
      </c>
      <c r="B1176" s="414">
        <v>44692</v>
      </c>
      <c r="C1176" s="431">
        <v>44562</v>
      </c>
      <c r="D1176" s="415" t="s">
        <v>468</v>
      </c>
      <c r="E1176" s="415" t="s">
        <v>468</v>
      </c>
      <c r="F1176" s="425">
        <v>961.3</v>
      </c>
      <c r="G1176" s="427" t="s">
        <v>1263</v>
      </c>
      <c r="H1176" s="419" t="s">
        <v>468</v>
      </c>
      <c r="I1176" s="427" t="s">
        <v>1464</v>
      </c>
      <c r="J1176" s="415" t="s">
        <v>1010</v>
      </c>
      <c r="K1176" s="415" t="s">
        <v>830</v>
      </c>
      <c r="L1176" s="415" t="s">
        <v>807</v>
      </c>
      <c r="M1176" s="415" t="s">
        <v>5513</v>
      </c>
      <c r="N1176" s="414">
        <v>44690</v>
      </c>
      <c r="O1176" s="414" t="s">
        <v>402</v>
      </c>
      <c r="P1176" s="603">
        <f t="shared" ref="P1176:P1194" si="157">IF(B1176=0,0,IF(YEAR(B1176)=$Q$1,MONTH(B1176)-$P$1+1,(YEAR(B1176)-$Q$1)*12-$P$1+1+MONTH(B1176)))</f>
        <v>5</v>
      </c>
      <c r="Q1176" s="603">
        <f t="shared" ref="Q1176:Q1194" si="158">IF(C1176=0,0,IF(YEAR(C1176)=$Q$1,MONTH(C1176)-$P$1+1,(YEAR(C1176)-$Q$1)*12-$P$1+1+MONTH(C1176)))</f>
        <v>1</v>
      </c>
      <c r="R1176" s="604" t="str">
        <f t="shared" si="156"/>
        <v>Gastos_custeados_por_captação</v>
      </c>
      <c r="S1176" s="605" t="s">
        <v>998</v>
      </c>
      <c r="T1176" s="605">
        <v>2832</v>
      </c>
    </row>
    <row r="1177" spans="1:20" s="88" customFormat="1" ht="72" x14ac:dyDescent="0.2">
      <c r="A1177" s="510">
        <f>IF(B1177="","",COUNT('Diário 1º PA'!$A$4:$A$2635)+ROW()-3)</f>
        <v>2910</v>
      </c>
      <c r="B1177" s="414">
        <v>44692</v>
      </c>
      <c r="C1177" s="431">
        <v>44682</v>
      </c>
      <c r="D1177" s="415" t="s">
        <v>468</v>
      </c>
      <c r="E1177" s="415" t="s">
        <v>468</v>
      </c>
      <c r="F1177" s="425">
        <v>11</v>
      </c>
      <c r="G1177" s="427" t="s">
        <v>4799</v>
      </c>
      <c r="H1177" s="419" t="s">
        <v>468</v>
      </c>
      <c r="I1177" s="427" t="s">
        <v>881</v>
      </c>
      <c r="J1177" s="415" t="s">
        <v>882</v>
      </c>
      <c r="K1177" s="415" t="s">
        <v>883</v>
      </c>
      <c r="L1177" s="415" t="s">
        <v>798</v>
      </c>
      <c r="M1177" s="415" t="s">
        <v>310</v>
      </c>
      <c r="N1177" s="414">
        <v>44692</v>
      </c>
      <c r="O1177" s="414" t="s">
        <v>402</v>
      </c>
      <c r="P1177" s="603">
        <f t="shared" si="157"/>
        <v>5</v>
      </c>
      <c r="Q1177" s="603">
        <f t="shared" si="158"/>
        <v>5</v>
      </c>
      <c r="R1177" s="604" t="str">
        <f t="shared" si="155"/>
        <v>Gastos_custeados_por_captação</v>
      </c>
      <c r="S1177" s="605" t="s">
        <v>310</v>
      </c>
      <c r="T1177" s="605" t="s">
        <v>310</v>
      </c>
    </row>
    <row r="1178" spans="1:20" s="88" customFormat="1" ht="36" x14ac:dyDescent="0.2">
      <c r="A1178" s="510">
        <f>IF(B1178="","",COUNT('Diário 1º PA'!$A$4:$A$2635)+ROW()-3)</f>
        <v>2911</v>
      </c>
      <c r="B1178" s="414">
        <v>44693</v>
      </c>
      <c r="C1178" s="424">
        <v>44652</v>
      </c>
      <c r="D1178" s="415" t="s">
        <v>271</v>
      </c>
      <c r="E1178" s="415" t="s">
        <v>163</v>
      </c>
      <c r="F1178" s="425">
        <v>-75.52</v>
      </c>
      <c r="G1178" s="427" t="s">
        <v>4033</v>
      </c>
      <c r="H1178" s="415" t="s">
        <v>309</v>
      </c>
      <c r="I1178" s="427" t="s">
        <v>795</v>
      </c>
      <c r="J1178" s="415" t="s">
        <v>796</v>
      </c>
      <c r="K1178" s="415" t="s">
        <v>797</v>
      </c>
      <c r="L1178" s="415" t="s">
        <v>798</v>
      </c>
      <c r="M1178" s="415" t="s">
        <v>310</v>
      </c>
      <c r="N1178" s="414">
        <v>44693</v>
      </c>
      <c r="O1178" s="414" t="s">
        <v>400</v>
      </c>
      <c r="P1178" s="603">
        <f t="shared" si="157"/>
        <v>5</v>
      </c>
      <c r="Q1178" s="603">
        <f t="shared" si="158"/>
        <v>4</v>
      </c>
      <c r="R1178" s="604" t="str">
        <f t="shared" si="155"/>
        <v>Gastos_Gerais</v>
      </c>
      <c r="S1178" s="605" t="s">
        <v>310</v>
      </c>
      <c r="T1178" s="605" t="s">
        <v>310</v>
      </c>
    </row>
    <row r="1179" spans="1:20" s="88" customFormat="1" ht="36" x14ac:dyDescent="0.2">
      <c r="A1179" s="510">
        <f>IF(B1179="","",COUNT('Diário 1º PA'!$A$4:$A$2635)+ROW()-3)</f>
        <v>2912</v>
      </c>
      <c r="B1179" s="414">
        <v>44693</v>
      </c>
      <c r="C1179" s="431">
        <v>44621</v>
      </c>
      <c r="D1179" s="415" t="s">
        <v>271</v>
      </c>
      <c r="E1179" s="415" t="s">
        <v>452</v>
      </c>
      <c r="F1179" s="425">
        <v>1680</v>
      </c>
      <c r="G1179" s="427" t="s">
        <v>2307</v>
      </c>
      <c r="H1179" s="419" t="s">
        <v>758</v>
      </c>
      <c r="I1179" s="427" t="s">
        <v>4034</v>
      </c>
      <c r="J1179" s="415" t="s">
        <v>2306</v>
      </c>
      <c r="K1179" s="415" t="s">
        <v>806</v>
      </c>
      <c r="L1179" s="415" t="s">
        <v>839</v>
      </c>
      <c r="M1179" s="546">
        <v>1754</v>
      </c>
      <c r="N1179" s="414">
        <v>44691</v>
      </c>
      <c r="O1179" s="414" t="s">
        <v>400</v>
      </c>
      <c r="P1179" s="603">
        <f t="shared" si="157"/>
        <v>5</v>
      </c>
      <c r="Q1179" s="603">
        <f t="shared" si="158"/>
        <v>3</v>
      </c>
      <c r="R1179" s="604" t="str">
        <f t="shared" si="155"/>
        <v>Gastos_Gerais</v>
      </c>
      <c r="S1179" s="605" t="s">
        <v>998</v>
      </c>
      <c r="T1179" s="605">
        <v>3147</v>
      </c>
    </row>
    <row r="1180" spans="1:20" s="88" customFormat="1" ht="48" x14ac:dyDescent="0.2">
      <c r="A1180" s="510">
        <f>IF(B1180="","",COUNT('Diário 1º PA'!$A$4:$A$2635)+ROW()-3)</f>
        <v>2913</v>
      </c>
      <c r="B1180" s="414">
        <v>44693</v>
      </c>
      <c r="C1180" s="431">
        <v>44621</v>
      </c>
      <c r="D1180" s="415" t="s">
        <v>271</v>
      </c>
      <c r="E1180" s="415" t="s">
        <v>453</v>
      </c>
      <c r="F1180" s="425">
        <v>1512</v>
      </c>
      <c r="G1180" s="427" t="s">
        <v>2613</v>
      </c>
      <c r="H1180" s="419" t="s">
        <v>752</v>
      </c>
      <c r="I1180" s="427" t="s">
        <v>4037</v>
      </c>
      <c r="J1180" s="415" t="s">
        <v>2614</v>
      </c>
      <c r="K1180" s="415" t="s">
        <v>806</v>
      </c>
      <c r="L1180" s="415" t="s">
        <v>839</v>
      </c>
      <c r="M1180" s="546">
        <v>1756</v>
      </c>
      <c r="N1180" s="414">
        <v>44692</v>
      </c>
      <c r="O1180" s="414" t="s">
        <v>400</v>
      </c>
      <c r="P1180" s="603">
        <f t="shared" si="157"/>
        <v>5</v>
      </c>
      <c r="Q1180" s="603">
        <f t="shared" si="158"/>
        <v>3</v>
      </c>
      <c r="R1180" s="604" t="str">
        <f t="shared" si="155"/>
        <v>Gastos_Gerais</v>
      </c>
      <c r="S1180" s="605" t="s">
        <v>1000</v>
      </c>
      <c r="T1180" s="605">
        <v>3312</v>
      </c>
    </row>
    <row r="1181" spans="1:20" s="88" customFormat="1" ht="36" x14ac:dyDescent="0.2">
      <c r="A1181" s="510">
        <f>IF(B1181="","",COUNT('Diário 1º PA'!$A$4:$A$2635)+ROW()-3)</f>
        <v>2914</v>
      </c>
      <c r="B1181" s="414">
        <v>44693</v>
      </c>
      <c r="C1181" s="592">
        <v>44621</v>
      </c>
      <c r="D1181" s="415" t="s">
        <v>271</v>
      </c>
      <c r="E1181" s="415" t="s">
        <v>447</v>
      </c>
      <c r="F1181" s="425">
        <v>2000</v>
      </c>
      <c r="G1181" s="427" t="s">
        <v>2280</v>
      </c>
      <c r="H1181" s="419" t="s">
        <v>758</v>
      </c>
      <c r="I1181" s="639" t="s">
        <v>3557</v>
      </c>
      <c r="J1181" s="418" t="s">
        <v>2281</v>
      </c>
      <c r="K1181" s="415" t="s">
        <v>806</v>
      </c>
      <c r="L1181" s="399" t="s">
        <v>807</v>
      </c>
      <c r="M1181" s="415" t="s">
        <v>3672</v>
      </c>
      <c r="N1181" s="414">
        <v>44691</v>
      </c>
      <c r="O1181" s="414" t="s">
        <v>400</v>
      </c>
      <c r="P1181" s="603">
        <f t="shared" si="157"/>
        <v>5</v>
      </c>
      <c r="Q1181" s="603">
        <f t="shared" si="158"/>
        <v>3</v>
      </c>
      <c r="R1181" s="604" t="str">
        <f t="shared" si="155"/>
        <v>Gastos_Gerais</v>
      </c>
      <c r="S1181" s="605" t="s">
        <v>998</v>
      </c>
      <c r="T1181" s="605">
        <v>3143</v>
      </c>
    </row>
    <row r="1182" spans="1:20" s="88" customFormat="1" ht="24" x14ac:dyDescent="0.2">
      <c r="A1182" s="510">
        <f>IF(B1182="","",COUNT('Diário 1º PA'!$A$4:$A$2635)+ROW()-3)</f>
        <v>2915</v>
      </c>
      <c r="B1182" s="414">
        <v>44693</v>
      </c>
      <c r="C1182" s="424">
        <v>44652</v>
      </c>
      <c r="D1182" s="415" t="s">
        <v>271</v>
      </c>
      <c r="E1182" s="415" t="s">
        <v>163</v>
      </c>
      <c r="F1182" s="435">
        <v>285.95</v>
      </c>
      <c r="G1182" s="437" t="s">
        <v>4040</v>
      </c>
      <c r="H1182" s="434" t="s">
        <v>309</v>
      </c>
      <c r="I1182" s="437" t="s">
        <v>768</v>
      </c>
      <c r="J1182" s="434" t="s">
        <v>1021</v>
      </c>
      <c r="K1182" s="434" t="s">
        <v>1404</v>
      </c>
      <c r="L1182" s="415" t="s">
        <v>807</v>
      </c>
      <c r="M1182" s="434" t="s">
        <v>4041</v>
      </c>
      <c r="N1182" s="455">
        <v>44670</v>
      </c>
      <c r="O1182" s="414" t="s">
        <v>400</v>
      </c>
      <c r="P1182" s="603">
        <f t="shared" si="157"/>
        <v>5</v>
      </c>
      <c r="Q1182" s="603">
        <f t="shared" si="158"/>
        <v>4</v>
      </c>
      <c r="R1182" s="604" t="str">
        <f t="shared" si="155"/>
        <v>Gastos_Gerais</v>
      </c>
      <c r="S1182" s="605" t="s">
        <v>310</v>
      </c>
      <c r="T1182" s="605" t="s">
        <v>310</v>
      </c>
    </row>
    <row r="1183" spans="1:20" s="88" customFormat="1" ht="48" x14ac:dyDescent="0.2">
      <c r="A1183" s="510">
        <f>IF(B1183="","",COUNT('Diário 1º PA'!$A$4:$A$2635)+ROW()-3)</f>
        <v>2916</v>
      </c>
      <c r="B1183" s="414">
        <v>44693</v>
      </c>
      <c r="C1183" s="431">
        <v>44652</v>
      </c>
      <c r="D1183" s="415" t="s">
        <v>271</v>
      </c>
      <c r="E1183" s="415" t="s">
        <v>442</v>
      </c>
      <c r="F1183" s="425">
        <v>1100.8</v>
      </c>
      <c r="G1183" s="427" t="s">
        <v>1985</v>
      </c>
      <c r="H1183" s="419" t="s">
        <v>757</v>
      </c>
      <c r="I1183" s="427" t="s">
        <v>3593</v>
      </c>
      <c r="J1183" s="415" t="s">
        <v>3594</v>
      </c>
      <c r="K1183" s="415" t="s">
        <v>830</v>
      </c>
      <c r="L1183" s="415" t="s">
        <v>839</v>
      </c>
      <c r="M1183" s="415">
        <v>1752</v>
      </c>
      <c r="N1183" s="414">
        <v>44691</v>
      </c>
      <c r="O1183" s="414" t="s">
        <v>400</v>
      </c>
      <c r="P1183" s="603">
        <f t="shared" si="157"/>
        <v>5</v>
      </c>
      <c r="Q1183" s="603">
        <f t="shared" si="158"/>
        <v>4</v>
      </c>
      <c r="R1183" s="604" t="str">
        <f t="shared" si="155"/>
        <v>Gastos_Gerais</v>
      </c>
      <c r="S1183" s="605" t="s">
        <v>998</v>
      </c>
      <c r="T1183" s="605">
        <v>3076</v>
      </c>
    </row>
    <row r="1184" spans="1:20" s="88" customFormat="1" ht="48" x14ac:dyDescent="0.2">
      <c r="A1184" s="510">
        <f>IF(B1184="","",COUNT('Diário 1º PA'!$A$4:$A$2635)+ROW()-3)</f>
        <v>2917</v>
      </c>
      <c r="B1184" s="414">
        <v>44693</v>
      </c>
      <c r="C1184" s="431">
        <v>44621</v>
      </c>
      <c r="D1184" s="415" t="s">
        <v>271</v>
      </c>
      <c r="E1184" s="415" t="s">
        <v>453</v>
      </c>
      <c r="F1184" s="425">
        <v>1512</v>
      </c>
      <c r="G1184" s="427" t="s">
        <v>2612</v>
      </c>
      <c r="H1184" s="419" t="s">
        <v>752</v>
      </c>
      <c r="I1184" s="427" t="s">
        <v>2693</v>
      </c>
      <c r="J1184" s="415" t="s">
        <v>1259</v>
      </c>
      <c r="K1184" s="415" t="s">
        <v>830</v>
      </c>
      <c r="L1184" s="415" t="s">
        <v>839</v>
      </c>
      <c r="M1184" s="546">
        <v>1757</v>
      </c>
      <c r="N1184" s="414">
        <v>44692</v>
      </c>
      <c r="O1184" s="414" t="s">
        <v>400</v>
      </c>
      <c r="P1184" s="603">
        <f t="shared" si="157"/>
        <v>5</v>
      </c>
      <c r="Q1184" s="603">
        <f t="shared" si="158"/>
        <v>3</v>
      </c>
      <c r="R1184" s="604" t="str">
        <f t="shared" si="155"/>
        <v>Gastos_Gerais</v>
      </c>
      <c r="S1184" s="605" t="s">
        <v>1000</v>
      </c>
      <c r="T1184" s="605">
        <v>3311</v>
      </c>
    </row>
    <row r="1185" spans="1:20" s="88" customFormat="1" ht="48" x14ac:dyDescent="0.2">
      <c r="A1185" s="510">
        <f>IF(B1185="","",COUNT('Diário 1º PA'!$A$4:$A$2635)+ROW()-3)</f>
        <v>2918</v>
      </c>
      <c r="B1185" s="414">
        <v>44693</v>
      </c>
      <c r="C1185" s="431">
        <v>44621</v>
      </c>
      <c r="D1185" s="415" t="s">
        <v>271</v>
      </c>
      <c r="E1185" s="415" t="s">
        <v>453</v>
      </c>
      <c r="F1185" s="425">
        <v>1512</v>
      </c>
      <c r="G1185" s="427" t="s">
        <v>2664</v>
      </c>
      <c r="H1185" s="415" t="s">
        <v>752</v>
      </c>
      <c r="I1185" s="427" t="s">
        <v>2829</v>
      </c>
      <c r="J1185" s="415" t="s">
        <v>1834</v>
      </c>
      <c r="K1185" s="415" t="s">
        <v>830</v>
      </c>
      <c r="L1185" s="415" t="s">
        <v>839</v>
      </c>
      <c r="M1185" s="546">
        <v>1758</v>
      </c>
      <c r="N1185" s="414">
        <v>44692</v>
      </c>
      <c r="O1185" s="414" t="s">
        <v>400</v>
      </c>
      <c r="P1185" s="603">
        <f t="shared" si="157"/>
        <v>5</v>
      </c>
      <c r="Q1185" s="603">
        <f t="shared" si="158"/>
        <v>3</v>
      </c>
      <c r="R1185" s="604" t="str">
        <f t="shared" si="155"/>
        <v>Gastos_Gerais</v>
      </c>
      <c r="S1185" s="605" t="s">
        <v>1000</v>
      </c>
      <c r="T1185" s="605">
        <v>3309</v>
      </c>
    </row>
    <row r="1186" spans="1:20" s="88" customFormat="1" ht="99.75" customHeight="1" x14ac:dyDescent="0.2">
      <c r="A1186" s="510">
        <f>IF(B1186="","",COUNT('Diário 1º PA'!$A$4:$A$2635)+ROW()-3)</f>
        <v>2919</v>
      </c>
      <c r="B1186" s="414">
        <v>44693</v>
      </c>
      <c r="C1186" s="431">
        <v>44621</v>
      </c>
      <c r="D1186" s="415" t="s">
        <v>271</v>
      </c>
      <c r="E1186" s="415" t="s">
        <v>444</v>
      </c>
      <c r="F1186" s="425">
        <v>8075</v>
      </c>
      <c r="G1186" s="427" t="s">
        <v>2272</v>
      </c>
      <c r="H1186" s="419" t="s">
        <v>758</v>
      </c>
      <c r="I1186" s="427" t="s">
        <v>3424</v>
      </c>
      <c r="J1186" s="415" t="s">
        <v>2273</v>
      </c>
      <c r="K1186" s="415" t="s">
        <v>830</v>
      </c>
      <c r="L1186" s="415" t="s">
        <v>807</v>
      </c>
      <c r="M1186" s="415" t="s">
        <v>1890</v>
      </c>
      <c r="N1186" s="414">
        <v>44692</v>
      </c>
      <c r="O1186" s="414" t="s">
        <v>400</v>
      </c>
      <c r="P1186" s="603">
        <f t="shared" si="157"/>
        <v>5</v>
      </c>
      <c r="Q1186" s="603">
        <f t="shared" si="158"/>
        <v>3</v>
      </c>
      <c r="R1186" s="604" t="str">
        <f t="shared" si="155"/>
        <v>Gastos_Gerais</v>
      </c>
      <c r="S1186" s="605" t="s">
        <v>998</v>
      </c>
      <c r="T1186" s="605">
        <v>3142</v>
      </c>
    </row>
    <row r="1187" spans="1:20" s="88" customFormat="1" ht="99.75" customHeight="1" x14ac:dyDescent="0.2">
      <c r="A1187" s="510">
        <f>IF(B1187="","",COUNT('Diário 1º PA'!$A$4:$A$2635)+ROW()-3)</f>
        <v>2920</v>
      </c>
      <c r="B1187" s="414">
        <v>44693</v>
      </c>
      <c r="C1187" s="431">
        <v>44621</v>
      </c>
      <c r="D1187" s="415" t="s">
        <v>271</v>
      </c>
      <c r="E1187" s="415" t="s">
        <v>452</v>
      </c>
      <c r="F1187" s="435">
        <v>2142</v>
      </c>
      <c r="G1187" s="437" t="s">
        <v>2223</v>
      </c>
      <c r="H1187" s="419" t="s">
        <v>758</v>
      </c>
      <c r="I1187" s="427" t="s">
        <v>4049</v>
      </c>
      <c r="J1187" s="415" t="s">
        <v>2224</v>
      </c>
      <c r="K1187" s="415" t="s">
        <v>830</v>
      </c>
      <c r="L1187" s="415" t="s">
        <v>807</v>
      </c>
      <c r="M1187" s="415" t="s">
        <v>1890</v>
      </c>
      <c r="N1187" s="414">
        <v>44691</v>
      </c>
      <c r="O1187" s="414" t="s">
        <v>400</v>
      </c>
      <c r="P1187" s="603">
        <f t="shared" si="157"/>
        <v>5</v>
      </c>
      <c r="Q1187" s="603">
        <f t="shared" si="158"/>
        <v>3</v>
      </c>
      <c r="R1187" s="604" t="str">
        <f>SUBSTITUTE(D1187," ","_")</f>
        <v>Gastos_Gerais</v>
      </c>
      <c r="S1187" s="605" t="s">
        <v>998</v>
      </c>
      <c r="T1187" s="605">
        <v>3151</v>
      </c>
    </row>
    <row r="1188" spans="1:20" s="88" customFormat="1" ht="36" x14ac:dyDescent="0.2">
      <c r="A1188" s="510">
        <f>IF(B1188="","",COUNT('Diário 1º PA'!$A$4:$A$2635)+ROW()-3)</f>
        <v>2921</v>
      </c>
      <c r="B1188" s="414">
        <v>44693</v>
      </c>
      <c r="C1188" s="431">
        <v>44621</v>
      </c>
      <c r="D1188" s="415" t="s">
        <v>271</v>
      </c>
      <c r="E1188" s="415" t="s">
        <v>297</v>
      </c>
      <c r="F1188" s="425">
        <v>800</v>
      </c>
      <c r="G1188" s="437" t="s">
        <v>2003</v>
      </c>
      <c r="H1188" s="419" t="s">
        <v>758</v>
      </c>
      <c r="I1188" s="427" t="s">
        <v>4153</v>
      </c>
      <c r="J1188" s="415" t="s">
        <v>1147</v>
      </c>
      <c r="K1188" s="415" t="s">
        <v>830</v>
      </c>
      <c r="L1188" s="415" t="s">
        <v>807</v>
      </c>
      <c r="M1188" s="415" t="s">
        <v>1700</v>
      </c>
      <c r="N1188" s="414">
        <v>44685</v>
      </c>
      <c r="O1188" s="414" t="s">
        <v>400</v>
      </c>
      <c r="P1188" s="603">
        <f t="shared" si="157"/>
        <v>5</v>
      </c>
      <c r="Q1188" s="603">
        <f t="shared" si="158"/>
        <v>3</v>
      </c>
      <c r="R1188" s="604" t="str">
        <f t="shared" si="155"/>
        <v>Gastos_Gerais</v>
      </c>
      <c r="S1188" s="605" t="s">
        <v>998</v>
      </c>
      <c r="T1188" s="605">
        <v>2986</v>
      </c>
    </row>
    <row r="1189" spans="1:20" s="88" customFormat="1" ht="48" x14ac:dyDescent="0.2">
      <c r="A1189" s="510">
        <f>IF(B1189="","",COUNT('Diário 1º PA'!$A$4:$A$2635)+ROW()-3)</f>
        <v>2922</v>
      </c>
      <c r="B1189" s="414">
        <v>44693</v>
      </c>
      <c r="C1189" s="592">
        <v>44682</v>
      </c>
      <c r="D1189" s="415" t="s">
        <v>271</v>
      </c>
      <c r="E1189" s="415" t="s">
        <v>71</v>
      </c>
      <c r="F1189" s="425">
        <v>11</v>
      </c>
      <c r="G1189" s="427" t="s">
        <v>4050</v>
      </c>
      <c r="H1189" s="419" t="s">
        <v>757</v>
      </c>
      <c r="I1189" s="427" t="s">
        <v>881</v>
      </c>
      <c r="J1189" s="415" t="s">
        <v>882</v>
      </c>
      <c r="K1189" s="415" t="s">
        <v>883</v>
      </c>
      <c r="L1189" s="415" t="s">
        <v>798</v>
      </c>
      <c r="M1189" s="415" t="s">
        <v>310</v>
      </c>
      <c r="N1189" s="414">
        <v>44693</v>
      </c>
      <c r="O1189" s="414" t="s">
        <v>400</v>
      </c>
      <c r="P1189" s="603">
        <f t="shared" si="157"/>
        <v>5</v>
      </c>
      <c r="Q1189" s="603">
        <f t="shared" si="158"/>
        <v>5</v>
      </c>
      <c r="R1189" s="604" t="str">
        <f t="shared" si="155"/>
        <v>Gastos_Gerais</v>
      </c>
      <c r="S1189" s="605" t="s">
        <v>310</v>
      </c>
      <c r="T1189" s="605" t="s">
        <v>310</v>
      </c>
    </row>
    <row r="1190" spans="1:20" s="88" customFormat="1" ht="36" x14ac:dyDescent="0.2">
      <c r="A1190" s="510">
        <f>IF(B1190="","",COUNT('Diário 1º PA'!$A$4:$A$2635)+ROW()-3)</f>
        <v>2923</v>
      </c>
      <c r="B1190" s="414">
        <v>44693</v>
      </c>
      <c r="C1190" s="592">
        <v>44682</v>
      </c>
      <c r="D1190" s="415" t="s">
        <v>271</v>
      </c>
      <c r="E1190" s="415" t="s">
        <v>71</v>
      </c>
      <c r="F1190" s="425">
        <v>11</v>
      </c>
      <c r="G1190" s="427" t="s">
        <v>4051</v>
      </c>
      <c r="H1190" s="419" t="s">
        <v>752</v>
      </c>
      <c r="I1190" s="427" t="s">
        <v>881</v>
      </c>
      <c r="J1190" s="415" t="s">
        <v>882</v>
      </c>
      <c r="K1190" s="415" t="s">
        <v>883</v>
      </c>
      <c r="L1190" s="415" t="s">
        <v>798</v>
      </c>
      <c r="M1190" s="415" t="s">
        <v>310</v>
      </c>
      <c r="N1190" s="414">
        <v>44693</v>
      </c>
      <c r="O1190" s="414" t="s">
        <v>400</v>
      </c>
      <c r="P1190" s="603">
        <f t="shared" si="157"/>
        <v>5</v>
      </c>
      <c r="Q1190" s="603">
        <f t="shared" si="158"/>
        <v>5</v>
      </c>
      <c r="R1190" s="604" t="str">
        <f t="shared" si="155"/>
        <v>Gastos_Gerais</v>
      </c>
      <c r="S1190" s="605" t="s">
        <v>310</v>
      </c>
      <c r="T1190" s="605" t="s">
        <v>310</v>
      </c>
    </row>
    <row r="1191" spans="1:20" s="88" customFormat="1" ht="36" x14ac:dyDescent="0.2">
      <c r="A1191" s="510">
        <f>IF(B1191="","",COUNT('Diário 1º PA'!$A$4:$A$2635)+ROW()-3)</f>
        <v>2924</v>
      </c>
      <c r="B1191" s="414">
        <v>44693</v>
      </c>
      <c r="C1191" s="592">
        <v>44682</v>
      </c>
      <c r="D1191" s="415" t="s">
        <v>271</v>
      </c>
      <c r="E1191" s="415" t="s">
        <v>71</v>
      </c>
      <c r="F1191" s="425">
        <v>11</v>
      </c>
      <c r="G1191" s="427" t="s">
        <v>4052</v>
      </c>
      <c r="H1191" s="415" t="s">
        <v>752</v>
      </c>
      <c r="I1191" s="427" t="s">
        <v>881</v>
      </c>
      <c r="J1191" s="415" t="s">
        <v>882</v>
      </c>
      <c r="K1191" s="415" t="s">
        <v>883</v>
      </c>
      <c r="L1191" s="415" t="s">
        <v>798</v>
      </c>
      <c r="M1191" s="415" t="s">
        <v>310</v>
      </c>
      <c r="N1191" s="414">
        <v>44693</v>
      </c>
      <c r="O1191" s="414" t="s">
        <v>400</v>
      </c>
      <c r="P1191" s="603">
        <f t="shared" si="157"/>
        <v>5</v>
      </c>
      <c r="Q1191" s="603">
        <f t="shared" si="158"/>
        <v>5</v>
      </c>
      <c r="R1191" s="604" t="str">
        <f t="shared" si="155"/>
        <v>Gastos_Gerais</v>
      </c>
      <c r="S1191" s="605" t="s">
        <v>310</v>
      </c>
      <c r="T1191" s="605" t="s">
        <v>310</v>
      </c>
    </row>
    <row r="1192" spans="1:20" s="88" customFormat="1" ht="36" x14ac:dyDescent="0.2">
      <c r="A1192" s="510">
        <f>IF(B1192="","",COUNT('Diário 1º PA'!$A$4:$A$2635)+ROW()-3)</f>
        <v>2925</v>
      </c>
      <c r="B1192" s="414">
        <v>44693</v>
      </c>
      <c r="C1192" s="592">
        <v>44682</v>
      </c>
      <c r="D1192" s="415" t="s">
        <v>271</v>
      </c>
      <c r="E1192" s="415" t="s">
        <v>71</v>
      </c>
      <c r="F1192" s="425">
        <v>11</v>
      </c>
      <c r="G1192" s="427" t="s">
        <v>4053</v>
      </c>
      <c r="H1192" s="419" t="s">
        <v>758</v>
      </c>
      <c r="I1192" s="427" t="s">
        <v>881</v>
      </c>
      <c r="J1192" s="415" t="s">
        <v>882</v>
      </c>
      <c r="K1192" s="415" t="s">
        <v>883</v>
      </c>
      <c r="L1192" s="415" t="s">
        <v>798</v>
      </c>
      <c r="M1192" s="415" t="s">
        <v>310</v>
      </c>
      <c r="N1192" s="414">
        <v>44693</v>
      </c>
      <c r="O1192" s="414" t="s">
        <v>400</v>
      </c>
      <c r="P1192" s="603">
        <f t="shared" si="157"/>
        <v>5</v>
      </c>
      <c r="Q1192" s="603">
        <f t="shared" si="158"/>
        <v>5</v>
      </c>
      <c r="R1192" s="604" t="str">
        <f t="shared" si="155"/>
        <v>Gastos_Gerais</v>
      </c>
      <c r="S1192" s="605" t="s">
        <v>310</v>
      </c>
      <c r="T1192" s="605" t="s">
        <v>310</v>
      </c>
    </row>
    <row r="1193" spans="1:20" s="88" customFormat="1" ht="36" x14ac:dyDescent="0.2">
      <c r="A1193" s="510">
        <f>IF(B1193="","",COUNT('Diário 1º PA'!$A$4:$A$2635)+ROW()-3)</f>
        <v>2926</v>
      </c>
      <c r="B1193" s="414">
        <v>44693</v>
      </c>
      <c r="C1193" s="592">
        <v>44682</v>
      </c>
      <c r="D1193" s="415" t="s">
        <v>271</v>
      </c>
      <c r="E1193" s="415" t="s">
        <v>71</v>
      </c>
      <c r="F1193" s="425">
        <v>11</v>
      </c>
      <c r="G1193" s="427" t="s">
        <v>4054</v>
      </c>
      <c r="H1193" s="419" t="s">
        <v>758</v>
      </c>
      <c r="I1193" s="427" t="s">
        <v>881</v>
      </c>
      <c r="J1193" s="415" t="s">
        <v>882</v>
      </c>
      <c r="K1193" s="415" t="s">
        <v>883</v>
      </c>
      <c r="L1193" s="415" t="s">
        <v>798</v>
      </c>
      <c r="M1193" s="415" t="s">
        <v>310</v>
      </c>
      <c r="N1193" s="414">
        <v>44693</v>
      </c>
      <c r="O1193" s="414" t="s">
        <v>400</v>
      </c>
      <c r="P1193" s="603">
        <f t="shared" si="157"/>
        <v>5</v>
      </c>
      <c r="Q1193" s="603">
        <f t="shared" si="158"/>
        <v>5</v>
      </c>
      <c r="R1193" s="604" t="str">
        <f>SUBSTITUTE(D1193," ","_")</f>
        <v>Gastos_Gerais</v>
      </c>
      <c r="S1193" s="605" t="s">
        <v>310</v>
      </c>
      <c r="T1193" s="605" t="s">
        <v>310</v>
      </c>
    </row>
    <row r="1194" spans="1:20" s="88" customFormat="1" ht="141" customHeight="1" x14ac:dyDescent="0.2">
      <c r="A1194" s="510">
        <f>IF(B1194="","",COUNT('Diário 1º PA'!$A$4:$A$2635)+ROW()-3)</f>
        <v>2927</v>
      </c>
      <c r="B1194" s="414">
        <v>44693</v>
      </c>
      <c r="C1194" s="592">
        <v>44682</v>
      </c>
      <c r="D1194" s="415" t="s">
        <v>271</v>
      </c>
      <c r="E1194" s="415" t="s">
        <v>71</v>
      </c>
      <c r="F1194" s="425">
        <v>11</v>
      </c>
      <c r="G1194" s="427" t="s">
        <v>4055</v>
      </c>
      <c r="H1194" s="419" t="s">
        <v>758</v>
      </c>
      <c r="I1194" s="427" t="s">
        <v>881</v>
      </c>
      <c r="J1194" s="415" t="s">
        <v>882</v>
      </c>
      <c r="K1194" s="415" t="s">
        <v>883</v>
      </c>
      <c r="L1194" s="415" t="s">
        <v>798</v>
      </c>
      <c r="M1194" s="415" t="s">
        <v>310</v>
      </c>
      <c r="N1194" s="414">
        <v>44693</v>
      </c>
      <c r="O1194" s="414" t="s">
        <v>400</v>
      </c>
      <c r="P1194" s="603">
        <f t="shared" si="157"/>
        <v>5</v>
      </c>
      <c r="Q1194" s="603">
        <f t="shared" si="158"/>
        <v>5</v>
      </c>
      <c r="R1194" s="604" t="str">
        <f>SUBSTITUTE(D1194," ","_")</f>
        <v>Gastos_Gerais</v>
      </c>
      <c r="S1194" s="605" t="s">
        <v>310</v>
      </c>
      <c r="T1194" s="605" t="s">
        <v>310</v>
      </c>
    </row>
    <row r="1195" spans="1:20" ht="141" customHeight="1" x14ac:dyDescent="0.2">
      <c r="A1195" s="510">
        <f>IF(B1195="","",COUNT('Diário 1º PA'!$A$4:$A$2635)+ROW()-3)</f>
        <v>2928</v>
      </c>
      <c r="B1195" s="414">
        <v>44693</v>
      </c>
      <c r="C1195" s="592">
        <v>44682</v>
      </c>
      <c r="D1195" s="415" t="s">
        <v>271</v>
      </c>
      <c r="E1195" s="415" t="s">
        <v>71</v>
      </c>
      <c r="F1195" s="425">
        <v>11</v>
      </c>
      <c r="G1195" s="427" t="s">
        <v>4056</v>
      </c>
      <c r="H1195" s="419" t="s">
        <v>758</v>
      </c>
      <c r="I1195" s="427" t="s">
        <v>881</v>
      </c>
      <c r="J1195" s="415" t="s">
        <v>882</v>
      </c>
      <c r="K1195" s="415" t="s">
        <v>883</v>
      </c>
      <c r="L1195" s="415" t="s">
        <v>798</v>
      </c>
      <c r="M1195" s="415" t="s">
        <v>310</v>
      </c>
      <c r="N1195" s="414">
        <v>44693</v>
      </c>
      <c r="O1195" s="414" t="s">
        <v>400</v>
      </c>
      <c r="P1195" s="603">
        <f t="shared" ref="P1195:P1200" si="159">IF(B1195=0,0,IF(YEAR(B1195)=$Q$1,MONTH(B1195)-$P$1+1,(YEAR(B1195)-$Q$1)*12-$P$1+1+MONTH(B1195)))</f>
        <v>5</v>
      </c>
      <c r="Q1195" s="603">
        <f t="shared" ref="Q1195:Q1200" si="160">IF(C1195=0,0,IF(YEAR(C1195)=$Q$1,MONTH(C1195)-$P$1+1,(YEAR(C1195)-$Q$1)*12-$P$1+1+MONTH(C1195)))</f>
        <v>5</v>
      </c>
      <c r="R1195" s="604" t="str">
        <f t="shared" ref="R1195:R1200" si="161">SUBSTITUTE(D1195," ","_")</f>
        <v>Gastos_Gerais</v>
      </c>
      <c r="S1195" s="605" t="s">
        <v>310</v>
      </c>
      <c r="T1195" s="605" t="s">
        <v>310</v>
      </c>
    </row>
    <row r="1196" spans="1:20" ht="141" customHeight="1" x14ac:dyDescent="0.2">
      <c r="A1196" s="510">
        <f>IF(B1196="","",COUNT('Diário 1º PA'!$A$4:$A$2635)+ROW()-3)</f>
        <v>2929</v>
      </c>
      <c r="B1196" s="414">
        <v>44693</v>
      </c>
      <c r="C1196" s="592">
        <v>44652</v>
      </c>
      <c r="D1196" s="415" t="s">
        <v>468</v>
      </c>
      <c r="E1196" s="415" t="s">
        <v>468</v>
      </c>
      <c r="F1196" s="425">
        <v>4752.51</v>
      </c>
      <c r="G1196" s="427" t="s">
        <v>3328</v>
      </c>
      <c r="H1196" s="419" t="s">
        <v>468</v>
      </c>
      <c r="I1196" s="427" t="s">
        <v>5096</v>
      </c>
      <c r="J1196" s="415" t="s">
        <v>3329</v>
      </c>
      <c r="K1196" s="415" t="s">
        <v>830</v>
      </c>
      <c r="L1196" s="415" t="s">
        <v>807</v>
      </c>
      <c r="M1196" s="415" t="s">
        <v>3672</v>
      </c>
      <c r="N1196" s="414">
        <v>44692</v>
      </c>
      <c r="O1196" s="414" t="s">
        <v>407</v>
      </c>
      <c r="P1196" s="603">
        <f t="shared" si="159"/>
        <v>5</v>
      </c>
      <c r="Q1196" s="603">
        <f t="shared" si="160"/>
        <v>4</v>
      </c>
      <c r="R1196" s="604" t="str">
        <f t="shared" si="161"/>
        <v>Gastos_custeados_por_captação</v>
      </c>
      <c r="S1196" s="605" t="s">
        <v>998</v>
      </c>
      <c r="T1196" s="605">
        <v>3414</v>
      </c>
    </row>
    <row r="1197" spans="1:20" ht="141" customHeight="1" x14ac:dyDescent="0.2">
      <c r="A1197" s="510">
        <f>IF(B1197="","",COUNT('Diário 1º PA'!$A$4:$A$2635)+ROW()-3)</f>
        <v>2930</v>
      </c>
      <c r="B1197" s="414">
        <v>44693</v>
      </c>
      <c r="C1197" s="592">
        <v>44652</v>
      </c>
      <c r="D1197" s="415" t="s">
        <v>468</v>
      </c>
      <c r="E1197" s="415" t="s">
        <v>468</v>
      </c>
      <c r="F1197" s="425">
        <v>47309.57</v>
      </c>
      <c r="G1197" s="427" t="s">
        <v>3534</v>
      </c>
      <c r="H1197" s="419" t="s">
        <v>468</v>
      </c>
      <c r="I1197" s="427" t="s">
        <v>5097</v>
      </c>
      <c r="J1197" s="415" t="s">
        <v>3535</v>
      </c>
      <c r="K1197" s="415" t="s">
        <v>830</v>
      </c>
      <c r="L1197" s="415" t="s">
        <v>807</v>
      </c>
      <c r="M1197" s="415" t="s">
        <v>1700</v>
      </c>
      <c r="N1197" s="414">
        <v>44691</v>
      </c>
      <c r="O1197" s="414" t="s">
        <v>407</v>
      </c>
      <c r="P1197" s="603">
        <f t="shared" si="159"/>
        <v>5</v>
      </c>
      <c r="Q1197" s="603">
        <f t="shared" si="160"/>
        <v>4</v>
      </c>
      <c r="R1197" s="604" t="str">
        <f t="shared" si="161"/>
        <v>Gastos_custeados_por_captação</v>
      </c>
      <c r="S1197" s="605" t="s">
        <v>998</v>
      </c>
      <c r="T1197" s="605">
        <v>3363</v>
      </c>
    </row>
    <row r="1198" spans="1:20" ht="141" customHeight="1" x14ac:dyDescent="0.2">
      <c r="A1198" s="510">
        <f>IF(B1198="","",COUNT('Diário 1º PA'!$A$4:$A$2635)+ROW()-3)</f>
        <v>2931</v>
      </c>
      <c r="B1198" s="414">
        <v>44693</v>
      </c>
      <c r="C1198" s="592">
        <v>44652</v>
      </c>
      <c r="D1198" s="415" t="s">
        <v>468</v>
      </c>
      <c r="E1198" s="415" t="s">
        <v>468</v>
      </c>
      <c r="F1198" s="425">
        <v>19291.060000000001</v>
      </c>
      <c r="G1198" s="427" t="s">
        <v>5098</v>
      </c>
      <c r="H1198" s="419" t="s">
        <v>468</v>
      </c>
      <c r="I1198" s="427" t="s">
        <v>1229</v>
      </c>
      <c r="J1198" s="415" t="s">
        <v>1051</v>
      </c>
      <c r="K1198" s="415" t="s">
        <v>830</v>
      </c>
      <c r="L1198" s="415" t="s">
        <v>807</v>
      </c>
      <c r="M1198" s="415" t="s">
        <v>1935</v>
      </c>
      <c r="N1198" s="414">
        <v>44691</v>
      </c>
      <c r="O1198" s="414" t="s">
        <v>407</v>
      </c>
      <c r="P1198" s="603">
        <f t="shared" si="159"/>
        <v>5</v>
      </c>
      <c r="Q1198" s="603">
        <f t="shared" si="160"/>
        <v>4</v>
      </c>
      <c r="R1198" s="604" t="str">
        <f t="shared" si="161"/>
        <v>Gastos_custeados_por_captação</v>
      </c>
      <c r="S1198" s="605" t="s">
        <v>1000</v>
      </c>
      <c r="T1198" s="605">
        <v>3430</v>
      </c>
    </row>
    <row r="1199" spans="1:20" ht="141" customHeight="1" x14ac:dyDescent="0.2">
      <c r="A1199" s="510">
        <f>IF(B1199="","",COUNT('Diário 1º PA'!$A$4:$A$2635)+ROW()-3)</f>
        <v>2932</v>
      </c>
      <c r="B1199" s="414">
        <v>44693</v>
      </c>
      <c r="C1199" s="592">
        <v>44652</v>
      </c>
      <c r="D1199" s="415" t="s">
        <v>468</v>
      </c>
      <c r="E1199" s="415" t="s">
        <v>468</v>
      </c>
      <c r="F1199" s="425">
        <v>5816.4</v>
      </c>
      <c r="G1199" s="427" t="s">
        <v>2730</v>
      </c>
      <c r="H1199" s="419" t="s">
        <v>468</v>
      </c>
      <c r="I1199" s="427" t="s">
        <v>4817</v>
      </c>
      <c r="J1199" s="415" t="s">
        <v>1051</v>
      </c>
      <c r="K1199" s="415" t="s">
        <v>830</v>
      </c>
      <c r="L1199" s="415" t="s">
        <v>807</v>
      </c>
      <c r="M1199" s="415" t="s">
        <v>2085</v>
      </c>
      <c r="N1199" s="414">
        <v>44691</v>
      </c>
      <c r="O1199" s="414" t="s">
        <v>407</v>
      </c>
      <c r="P1199" s="603">
        <f t="shared" si="159"/>
        <v>5</v>
      </c>
      <c r="Q1199" s="603">
        <f t="shared" si="160"/>
        <v>4</v>
      </c>
      <c r="R1199" s="604" t="str">
        <f t="shared" si="161"/>
        <v>Gastos_custeados_por_captação</v>
      </c>
      <c r="S1199" s="605" t="s">
        <v>1000</v>
      </c>
      <c r="T1199" s="605">
        <v>3313</v>
      </c>
    </row>
    <row r="1200" spans="1:20" ht="132" x14ac:dyDescent="0.2">
      <c r="A1200" s="510">
        <f>IF(B1200="","",COUNT('Diário 1º PA'!$A$4:$A$2635)+ROW()-3)</f>
        <v>2933</v>
      </c>
      <c r="B1200" s="414">
        <v>44693</v>
      </c>
      <c r="C1200" s="592">
        <v>44652</v>
      </c>
      <c r="D1200" s="415" t="s">
        <v>468</v>
      </c>
      <c r="E1200" s="415" t="s">
        <v>468</v>
      </c>
      <c r="F1200" s="425">
        <v>1575</v>
      </c>
      <c r="G1200" s="427" t="s">
        <v>3439</v>
      </c>
      <c r="H1200" s="419" t="s">
        <v>468</v>
      </c>
      <c r="I1200" s="427" t="s">
        <v>5099</v>
      </c>
      <c r="J1200" s="415" t="s">
        <v>3440</v>
      </c>
      <c r="K1200" s="415" t="s">
        <v>830</v>
      </c>
      <c r="L1200" s="415" t="s">
        <v>807</v>
      </c>
      <c r="M1200" s="415">
        <v>9067</v>
      </c>
      <c r="N1200" s="414">
        <v>44684</v>
      </c>
      <c r="O1200" s="414" t="s">
        <v>407</v>
      </c>
      <c r="P1200" s="603">
        <f t="shared" si="159"/>
        <v>5</v>
      </c>
      <c r="Q1200" s="603">
        <f t="shared" si="160"/>
        <v>4</v>
      </c>
      <c r="R1200" s="604" t="str">
        <f t="shared" si="161"/>
        <v>Gastos_custeados_por_captação</v>
      </c>
      <c r="S1200" s="605" t="s">
        <v>999</v>
      </c>
      <c r="T1200" s="605">
        <v>3445</v>
      </c>
    </row>
    <row r="1201" spans="1:20" s="88" customFormat="1" ht="72" x14ac:dyDescent="0.2">
      <c r="A1201" s="510">
        <f>IF(B1201="","",COUNT('Diário 1º PA'!$A$4:$A$2635)+ROW()-3)</f>
        <v>2934</v>
      </c>
      <c r="B1201" s="414">
        <v>44693</v>
      </c>
      <c r="C1201" s="592">
        <v>44652</v>
      </c>
      <c r="D1201" s="415" t="s">
        <v>468</v>
      </c>
      <c r="E1201" s="415" t="s">
        <v>468</v>
      </c>
      <c r="F1201" s="425">
        <v>14698.5</v>
      </c>
      <c r="G1201" s="427" t="s">
        <v>3650</v>
      </c>
      <c r="H1201" s="419" t="s">
        <v>468</v>
      </c>
      <c r="I1201" s="427" t="s">
        <v>5100</v>
      </c>
      <c r="J1201" s="415" t="s">
        <v>3651</v>
      </c>
      <c r="K1201" s="415" t="s">
        <v>830</v>
      </c>
      <c r="L1201" s="415" t="s">
        <v>807</v>
      </c>
      <c r="M1201" s="415" t="s">
        <v>1608</v>
      </c>
      <c r="N1201" s="414">
        <v>44691</v>
      </c>
      <c r="O1201" s="414" t="s">
        <v>407</v>
      </c>
      <c r="P1201" s="603">
        <f t="shared" ref="P1201:P1224" si="162">IF(B1201=0,0,IF(YEAR(B1201)=$Q$1,MONTH(B1201)-$P$1+1,(YEAR(B1201)-$Q$1)*12-$P$1+1+MONTH(B1201)))</f>
        <v>5</v>
      </c>
      <c r="Q1201" s="603">
        <f t="shared" ref="Q1201:Q1206" si="163">IF(C1201=0,0,IF(YEAR(C1201)=$Q$1,MONTH(C1201)-$P$1+1,(YEAR(C1201)-$Q$1)*12-$P$1+1+MONTH(C1201)))</f>
        <v>4</v>
      </c>
      <c r="R1201" s="604" t="str">
        <f t="shared" ref="R1201:R1206" si="164">SUBSTITUTE(D1201," ","_")</f>
        <v>Gastos_custeados_por_captação</v>
      </c>
      <c r="S1201" s="605" t="s">
        <v>998</v>
      </c>
      <c r="T1201" s="605">
        <v>3490</v>
      </c>
    </row>
    <row r="1202" spans="1:20" s="88" customFormat="1" ht="36" x14ac:dyDescent="0.2">
      <c r="A1202" s="510">
        <f>IF(B1202="","",COUNT('Diário 1º PA'!$A$4:$A$2635)+ROW()-3)</f>
        <v>2935</v>
      </c>
      <c r="B1202" s="414">
        <v>44693</v>
      </c>
      <c r="C1202" s="592">
        <v>44652</v>
      </c>
      <c r="D1202" s="415" t="s">
        <v>468</v>
      </c>
      <c r="E1202" s="415" t="s">
        <v>468</v>
      </c>
      <c r="F1202" s="425">
        <v>2750</v>
      </c>
      <c r="G1202" s="427" t="s">
        <v>2476</v>
      </c>
      <c r="H1202" s="419" t="s">
        <v>468</v>
      </c>
      <c r="I1202" s="427" t="s">
        <v>2989</v>
      </c>
      <c r="J1202" s="415" t="s">
        <v>2477</v>
      </c>
      <c r="K1202" s="415" t="s">
        <v>830</v>
      </c>
      <c r="L1202" s="415" t="s">
        <v>807</v>
      </c>
      <c r="M1202" s="415" t="s">
        <v>1308</v>
      </c>
      <c r="N1202" s="414">
        <v>44692</v>
      </c>
      <c r="O1202" s="414" t="s">
        <v>408</v>
      </c>
      <c r="P1202" s="603">
        <f t="shared" si="162"/>
        <v>5</v>
      </c>
      <c r="Q1202" s="603">
        <f t="shared" si="163"/>
        <v>4</v>
      </c>
      <c r="R1202" s="604" t="str">
        <f t="shared" si="164"/>
        <v>Gastos_custeados_por_captação</v>
      </c>
      <c r="S1202" s="605" t="s">
        <v>1000</v>
      </c>
      <c r="T1202" s="605">
        <v>2740</v>
      </c>
    </row>
    <row r="1203" spans="1:20" s="88" customFormat="1" ht="36" x14ac:dyDescent="0.2">
      <c r="A1203" s="510">
        <f>IF(B1203="","",COUNT('Diário 1º PA'!$A$4:$A$2635)+ROW()-3)</f>
        <v>2936</v>
      </c>
      <c r="B1203" s="414">
        <v>44693</v>
      </c>
      <c r="C1203" s="592">
        <v>44682</v>
      </c>
      <c r="D1203" s="415" t="s">
        <v>468</v>
      </c>
      <c r="E1203" s="415" t="s">
        <v>468</v>
      </c>
      <c r="F1203" s="425">
        <v>11</v>
      </c>
      <c r="G1203" s="427" t="s">
        <v>4799</v>
      </c>
      <c r="H1203" s="419" t="s">
        <v>468</v>
      </c>
      <c r="I1203" s="427" t="s">
        <v>881</v>
      </c>
      <c r="J1203" s="415" t="s">
        <v>882</v>
      </c>
      <c r="K1203" s="415" t="s">
        <v>883</v>
      </c>
      <c r="L1203" s="415" t="s">
        <v>798</v>
      </c>
      <c r="M1203" s="415" t="s">
        <v>310</v>
      </c>
      <c r="N1203" s="414">
        <v>44693</v>
      </c>
      <c r="O1203" s="414" t="s">
        <v>408</v>
      </c>
      <c r="P1203" s="603">
        <f t="shared" si="162"/>
        <v>5</v>
      </c>
      <c r="Q1203" s="603">
        <f t="shared" si="163"/>
        <v>5</v>
      </c>
      <c r="R1203" s="604" t="str">
        <f t="shared" si="164"/>
        <v>Gastos_custeados_por_captação</v>
      </c>
      <c r="S1203" s="605" t="s">
        <v>310</v>
      </c>
      <c r="T1203" s="605" t="s">
        <v>310</v>
      </c>
    </row>
    <row r="1204" spans="1:20" s="88" customFormat="1" ht="48" x14ac:dyDescent="0.2">
      <c r="A1204" s="510">
        <f>IF(B1204="","",COUNT('Diário 1º PA'!$A$4:$A$2635)+ROW()-3)</f>
        <v>2937</v>
      </c>
      <c r="B1204" s="414">
        <v>44693</v>
      </c>
      <c r="C1204" s="592">
        <v>44682</v>
      </c>
      <c r="D1204" s="415" t="s">
        <v>468</v>
      </c>
      <c r="E1204" s="415" t="s">
        <v>468</v>
      </c>
      <c r="F1204" s="425">
        <v>1705.2</v>
      </c>
      <c r="G1204" s="427" t="s">
        <v>3767</v>
      </c>
      <c r="H1204" s="419" t="s">
        <v>468</v>
      </c>
      <c r="I1204" s="427" t="s">
        <v>5393</v>
      </c>
      <c r="J1204" s="415" t="s">
        <v>3768</v>
      </c>
      <c r="K1204" s="415" t="s">
        <v>830</v>
      </c>
      <c r="L1204" s="415" t="s">
        <v>807</v>
      </c>
      <c r="M1204" s="415" t="s">
        <v>1890</v>
      </c>
      <c r="N1204" s="414">
        <v>44839</v>
      </c>
      <c r="O1204" s="414" t="s">
        <v>3762</v>
      </c>
      <c r="P1204" s="603">
        <f t="shared" si="162"/>
        <v>5</v>
      </c>
      <c r="Q1204" s="603">
        <f t="shared" si="163"/>
        <v>5</v>
      </c>
      <c r="R1204" s="604" t="str">
        <f t="shared" si="164"/>
        <v>Gastos_custeados_por_captação</v>
      </c>
      <c r="S1204" s="605" t="s">
        <v>998</v>
      </c>
      <c r="T1204" s="605">
        <v>3555</v>
      </c>
    </row>
    <row r="1205" spans="1:20" s="88" customFormat="1" ht="72" x14ac:dyDescent="0.2">
      <c r="A1205" s="510">
        <f>IF(B1205="","",COUNT('Diário 1º PA'!$A$4:$A$2635)+ROW()-3)</f>
        <v>2938</v>
      </c>
      <c r="B1205" s="414">
        <v>44693</v>
      </c>
      <c r="C1205" s="592">
        <v>44682</v>
      </c>
      <c r="D1205" s="415" t="s">
        <v>468</v>
      </c>
      <c r="E1205" s="415" t="s">
        <v>468</v>
      </c>
      <c r="F1205" s="425">
        <v>53894.5</v>
      </c>
      <c r="G1205" s="427" t="s">
        <v>3766</v>
      </c>
      <c r="H1205" s="419" t="s">
        <v>468</v>
      </c>
      <c r="I1205" s="427" t="s">
        <v>4688</v>
      </c>
      <c r="J1205" s="415" t="s">
        <v>3268</v>
      </c>
      <c r="K1205" s="415" t="s">
        <v>830</v>
      </c>
      <c r="L1205" s="415" t="s">
        <v>807</v>
      </c>
      <c r="M1205" s="415" t="s">
        <v>5399</v>
      </c>
      <c r="N1205" s="414">
        <v>44870</v>
      </c>
      <c r="O1205" s="414" t="s">
        <v>3762</v>
      </c>
      <c r="P1205" s="603">
        <f t="shared" si="162"/>
        <v>5</v>
      </c>
      <c r="Q1205" s="603">
        <f t="shared" si="163"/>
        <v>5</v>
      </c>
      <c r="R1205" s="604" t="str">
        <f t="shared" si="164"/>
        <v>Gastos_custeados_por_captação</v>
      </c>
      <c r="S1205" s="605" t="s">
        <v>998</v>
      </c>
      <c r="T1205" s="605">
        <v>3556</v>
      </c>
    </row>
    <row r="1206" spans="1:20" s="88" customFormat="1" ht="72" x14ac:dyDescent="0.2">
      <c r="A1206" s="510">
        <f>IF(B1206="","",COUNT('Diário 1º PA'!$A$4:$A$2635)+ROW()-3)</f>
        <v>2939</v>
      </c>
      <c r="B1206" s="414">
        <v>44693</v>
      </c>
      <c r="C1206" s="592">
        <v>44652</v>
      </c>
      <c r="D1206" s="415" t="s">
        <v>468</v>
      </c>
      <c r="E1206" s="415" t="s">
        <v>468</v>
      </c>
      <c r="F1206" s="425">
        <v>2939.7</v>
      </c>
      <c r="G1206" s="427" t="s">
        <v>713</v>
      </c>
      <c r="H1206" s="419" t="s">
        <v>468</v>
      </c>
      <c r="I1206" s="427" t="s">
        <v>2627</v>
      </c>
      <c r="J1206" s="415" t="s">
        <v>1137</v>
      </c>
      <c r="K1206" s="415" t="s">
        <v>830</v>
      </c>
      <c r="L1206" s="415" t="s">
        <v>807</v>
      </c>
      <c r="M1206" s="415" t="s">
        <v>1700</v>
      </c>
      <c r="N1206" s="414">
        <v>44692</v>
      </c>
      <c r="O1206" s="414" t="s">
        <v>402</v>
      </c>
      <c r="P1206" s="603">
        <f t="shared" si="162"/>
        <v>5</v>
      </c>
      <c r="Q1206" s="603">
        <f t="shared" si="163"/>
        <v>4</v>
      </c>
      <c r="R1206" s="604" t="str">
        <f t="shared" si="164"/>
        <v>Gastos_custeados_por_captação</v>
      </c>
      <c r="S1206" s="605" t="s">
        <v>998</v>
      </c>
      <c r="T1206" s="605">
        <v>2728</v>
      </c>
    </row>
    <row r="1207" spans="1:20" s="88" customFormat="1" ht="90.75" customHeight="1" x14ac:dyDescent="0.2">
      <c r="A1207" s="510">
        <f>IF(B1207="","",COUNT('Diário 1º PA'!$A$4:$A$2635)+ROW()-3)</f>
        <v>2940</v>
      </c>
      <c r="B1207" s="414">
        <v>44693</v>
      </c>
      <c r="C1207" s="592">
        <v>44682</v>
      </c>
      <c r="D1207" s="415" t="s">
        <v>468</v>
      </c>
      <c r="E1207" s="415" t="s">
        <v>468</v>
      </c>
      <c r="F1207" s="425">
        <v>11</v>
      </c>
      <c r="G1207" s="427" t="s">
        <v>4799</v>
      </c>
      <c r="H1207" s="419" t="s">
        <v>468</v>
      </c>
      <c r="I1207" s="427" t="s">
        <v>881</v>
      </c>
      <c r="J1207" s="415" t="s">
        <v>882</v>
      </c>
      <c r="K1207" s="415" t="s">
        <v>883</v>
      </c>
      <c r="L1207" s="415" t="s">
        <v>798</v>
      </c>
      <c r="M1207" s="415" t="s">
        <v>310</v>
      </c>
      <c r="N1207" s="414">
        <v>44693</v>
      </c>
      <c r="O1207" s="414" t="s">
        <v>402</v>
      </c>
      <c r="P1207" s="603">
        <f t="shared" si="162"/>
        <v>5</v>
      </c>
      <c r="Q1207" s="603">
        <f t="shared" ref="Q1207:Q1224" si="165">IF(C1207=0,0,IF(YEAR(C1207)=$Q$1,MONTH(C1207)-$P$1+1,(YEAR(C1207)-$Q$1)*12-$P$1+1+MONTH(C1207)))</f>
        <v>5</v>
      </c>
      <c r="R1207" s="604" t="str">
        <f t="shared" si="155"/>
        <v>Gastos_custeados_por_captação</v>
      </c>
      <c r="S1207" s="605" t="s">
        <v>310</v>
      </c>
      <c r="T1207" s="605" t="s">
        <v>310</v>
      </c>
    </row>
    <row r="1208" spans="1:20" s="88" customFormat="1" ht="84" x14ac:dyDescent="0.2">
      <c r="A1208" s="510">
        <f>IF(B1208="","",COUNT('Diário 1º PA'!$A$4:$A$2635)+ROW()-3)</f>
        <v>2941</v>
      </c>
      <c r="B1208" s="414">
        <v>44694</v>
      </c>
      <c r="C1208" s="431">
        <v>44652</v>
      </c>
      <c r="D1208" s="415" t="s">
        <v>271</v>
      </c>
      <c r="E1208" s="415" t="s">
        <v>456</v>
      </c>
      <c r="F1208" s="425">
        <v>2462.5500000000002</v>
      </c>
      <c r="G1208" s="437" t="s">
        <v>3615</v>
      </c>
      <c r="H1208" s="419" t="s">
        <v>760</v>
      </c>
      <c r="I1208" s="427" t="s">
        <v>4071</v>
      </c>
      <c r="J1208" s="415" t="s">
        <v>3616</v>
      </c>
      <c r="K1208" s="415" t="s">
        <v>806</v>
      </c>
      <c r="L1208" s="415" t="s">
        <v>839</v>
      </c>
      <c r="M1208" s="439">
        <v>1759</v>
      </c>
      <c r="N1208" s="414">
        <v>44692</v>
      </c>
      <c r="O1208" s="414" t="s">
        <v>400</v>
      </c>
      <c r="P1208" s="603">
        <f t="shared" si="162"/>
        <v>5</v>
      </c>
      <c r="Q1208" s="603">
        <f t="shared" si="165"/>
        <v>4</v>
      </c>
      <c r="R1208" s="604" t="str">
        <f t="shared" si="155"/>
        <v>Gastos_Gerais</v>
      </c>
      <c r="S1208" s="605" t="s">
        <v>998</v>
      </c>
      <c r="T1208" s="605">
        <v>3498</v>
      </c>
    </row>
    <row r="1209" spans="1:20" s="88" customFormat="1" ht="36" x14ac:dyDescent="0.2">
      <c r="A1209" s="510">
        <f>IF(B1209="","",COUNT('Diário 1º PA'!$A$4:$A$2635)+ROW()-3)</f>
        <v>2942</v>
      </c>
      <c r="B1209" s="414">
        <v>44694</v>
      </c>
      <c r="C1209" s="431">
        <v>44440</v>
      </c>
      <c r="D1209" s="415" t="s">
        <v>271</v>
      </c>
      <c r="E1209" s="415" t="s">
        <v>297</v>
      </c>
      <c r="F1209" s="425">
        <v>430.02</v>
      </c>
      <c r="G1209" s="437" t="s">
        <v>557</v>
      </c>
      <c r="H1209" s="419" t="s">
        <v>758</v>
      </c>
      <c r="I1209" s="427" t="s">
        <v>4075</v>
      </c>
      <c r="J1209" s="415" t="s">
        <v>1045</v>
      </c>
      <c r="K1209" s="415" t="s">
        <v>830</v>
      </c>
      <c r="L1209" s="415" t="s">
        <v>32</v>
      </c>
      <c r="M1209" s="439" t="s">
        <v>4076</v>
      </c>
      <c r="N1209" s="414">
        <v>44659</v>
      </c>
      <c r="O1209" s="414" t="s">
        <v>400</v>
      </c>
      <c r="P1209" s="603">
        <f t="shared" si="162"/>
        <v>5</v>
      </c>
      <c r="Q1209" s="603">
        <f t="shared" si="165"/>
        <v>-3</v>
      </c>
      <c r="R1209" s="604" t="str">
        <f t="shared" si="155"/>
        <v>Gastos_Gerais</v>
      </c>
      <c r="S1209" s="605" t="s">
        <v>999</v>
      </c>
      <c r="T1209" s="605">
        <v>2122</v>
      </c>
    </row>
    <row r="1210" spans="1:20" s="88" customFormat="1" ht="48" x14ac:dyDescent="0.2">
      <c r="A1210" s="510">
        <f>IF(B1210="","",COUNT('Diário 1º PA'!$A$4:$A$2635)+ROW()-3)</f>
        <v>2943</v>
      </c>
      <c r="B1210" s="414">
        <v>44694</v>
      </c>
      <c r="C1210" s="431">
        <v>44652</v>
      </c>
      <c r="D1210" s="415" t="s">
        <v>271</v>
      </c>
      <c r="E1210" s="415" t="s">
        <v>205</v>
      </c>
      <c r="F1210" s="425">
        <v>22990.42</v>
      </c>
      <c r="G1210" s="437" t="s">
        <v>3441</v>
      </c>
      <c r="H1210" s="419" t="s">
        <v>792</v>
      </c>
      <c r="I1210" s="427" t="s">
        <v>3742</v>
      </c>
      <c r="J1210" s="415" t="s">
        <v>3442</v>
      </c>
      <c r="K1210" s="415" t="s">
        <v>830</v>
      </c>
      <c r="L1210" s="415" t="s">
        <v>2140</v>
      </c>
      <c r="M1210" s="439" t="s">
        <v>4077</v>
      </c>
      <c r="N1210" s="414">
        <v>44686</v>
      </c>
      <c r="O1210" s="414" t="s">
        <v>400</v>
      </c>
      <c r="P1210" s="603">
        <f t="shared" si="162"/>
        <v>5</v>
      </c>
      <c r="Q1210" s="603">
        <f t="shared" si="165"/>
        <v>4</v>
      </c>
      <c r="R1210" s="604" t="str">
        <f t="shared" si="155"/>
        <v>Gastos_Gerais</v>
      </c>
      <c r="S1210" s="605" t="s">
        <v>998</v>
      </c>
      <c r="T1210" s="605">
        <v>3471</v>
      </c>
    </row>
    <row r="1211" spans="1:20" s="88" customFormat="1" ht="60" x14ac:dyDescent="0.2">
      <c r="A1211" s="510">
        <f>IF(B1211="","",COUNT('Diário 1º PA'!$A$4:$A$2635)+ROW()-3)</f>
        <v>2944</v>
      </c>
      <c r="B1211" s="414">
        <v>44694</v>
      </c>
      <c r="C1211" s="431">
        <v>44621</v>
      </c>
      <c r="D1211" s="415" t="s">
        <v>271</v>
      </c>
      <c r="E1211" s="415" t="s">
        <v>457</v>
      </c>
      <c r="F1211" s="425">
        <v>1000</v>
      </c>
      <c r="G1211" s="437" t="s">
        <v>2064</v>
      </c>
      <c r="H1211" s="419" t="s">
        <v>758</v>
      </c>
      <c r="I1211" s="427" t="s">
        <v>4079</v>
      </c>
      <c r="J1211" s="415" t="s">
        <v>2065</v>
      </c>
      <c r="K1211" s="415" t="s">
        <v>830</v>
      </c>
      <c r="L1211" s="415" t="s">
        <v>32</v>
      </c>
      <c r="M1211" s="439">
        <v>75</v>
      </c>
      <c r="N1211" s="414">
        <v>44706</v>
      </c>
      <c r="O1211" s="414" t="s">
        <v>400</v>
      </c>
      <c r="P1211" s="603">
        <f t="shared" si="162"/>
        <v>5</v>
      </c>
      <c r="Q1211" s="603">
        <f t="shared" si="165"/>
        <v>3</v>
      </c>
      <c r="R1211" s="604" t="str">
        <f t="shared" si="155"/>
        <v>Gastos_Gerais</v>
      </c>
      <c r="S1211" s="605" t="s">
        <v>998</v>
      </c>
      <c r="T1211" s="605">
        <v>3149</v>
      </c>
    </row>
    <row r="1212" spans="1:20" s="88" customFormat="1" ht="84" x14ac:dyDescent="0.2">
      <c r="A1212" s="510">
        <f>IF(B1212="","",COUNT('Diário 1º PA'!$A$4:$A$2635)+ROW()-3)</f>
        <v>2945</v>
      </c>
      <c r="B1212" s="414">
        <v>44694</v>
      </c>
      <c r="C1212" s="431">
        <v>44621</v>
      </c>
      <c r="D1212" s="415" t="s">
        <v>271</v>
      </c>
      <c r="E1212" s="415" t="s">
        <v>456</v>
      </c>
      <c r="F1212" s="425">
        <v>2000</v>
      </c>
      <c r="G1212" s="437" t="s">
        <v>2131</v>
      </c>
      <c r="H1212" s="419" t="s">
        <v>758</v>
      </c>
      <c r="I1212" s="427" t="s">
        <v>4080</v>
      </c>
      <c r="J1212" s="415" t="s">
        <v>2132</v>
      </c>
      <c r="K1212" s="415" t="s">
        <v>830</v>
      </c>
      <c r="L1212" s="415" t="s">
        <v>32</v>
      </c>
      <c r="M1212" s="439">
        <v>674</v>
      </c>
      <c r="N1212" s="414">
        <v>44692</v>
      </c>
      <c r="O1212" s="414" t="s">
        <v>400</v>
      </c>
      <c r="P1212" s="603">
        <f t="shared" si="162"/>
        <v>5</v>
      </c>
      <c r="Q1212" s="603">
        <f t="shared" si="165"/>
        <v>3</v>
      </c>
      <c r="R1212" s="604" t="str">
        <f t="shared" si="155"/>
        <v>Gastos_Gerais</v>
      </c>
      <c r="S1212" s="605" t="s">
        <v>998</v>
      </c>
      <c r="T1212" s="605">
        <v>3145</v>
      </c>
    </row>
    <row r="1213" spans="1:20" s="88" customFormat="1" ht="36" x14ac:dyDescent="0.2">
      <c r="A1213" s="510">
        <f>IF(B1213="","",COUNT('Diário 1º PA'!$A$4:$A$2635)+ROW()-3)</f>
        <v>2946</v>
      </c>
      <c r="B1213" s="414">
        <v>44694</v>
      </c>
      <c r="C1213" s="431">
        <v>44652</v>
      </c>
      <c r="D1213" s="415" t="s">
        <v>271</v>
      </c>
      <c r="E1213" s="415" t="s">
        <v>456</v>
      </c>
      <c r="F1213" s="425">
        <v>256.87</v>
      </c>
      <c r="G1213" s="437" t="s">
        <v>4021</v>
      </c>
      <c r="H1213" s="419" t="s">
        <v>752</v>
      </c>
      <c r="I1213" s="427" t="s">
        <v>4081</v>
      </c>
      <c r="J1213" s="415" t="s">
        <v>3275</v>
      </c>
      <c r="K1213" s="415" t="s">
        <v>812</v>
      </c>
      <c r="L1213" s="415" t="s">
        <v>807</v>
      </c>
      <c r="M1213" s="439">
        <v>488403</v>
      </c>
      <c r="N1213" s="414">
        <v>44695</v>
      </c>
      <c r="O1213" s="414" t="s">
        <v>400</v>
      </c>
      <c r="P1213" s="603">
        <f t="shared" si="162"/>
        <v>5</v>
      </c>
      <c r="Q1213" s="603">
        <f t="shared" si="165"/>
        <v>4</v>
      </c>
      <c r="R1213" s="604" t="str">
        <f t="shared" si="155"/>
        <v>Gastos_Gerais</v>
      </c>
      <c r="S1213" s="605" t="s">
        <v>999</v>
      </c>
      <c r="T1213" s="605">
        <v>3662</v>
      </c>
    </row>
    <row r="1214" spans="1:20" s="88" customFormat="1" ht="60" x14ac:dyDescent="0.2">
      <c r="A1214" s="510">
        <f>IF(B1214="","",COUNT('Diário 1º PA'!$A$4:$A$2635)+ROW()-3)</f>
        <v>2947</v>
      </c>
      <c r="B1214" s="414">
        <v>44694</v>
      </c>
      <c r="C1214" s="431">
        <v>44652</v>
      </c>
      <c r="D1214" s="415" t="s">
        <v>271</v>
      </c>
      <c r="E1214" s="415" t="s">
        <v>453</v>
      </c>
      <c r="F1214" s="435">
        <v>2316.1799999999998</v>
      </c>
      <c r="G1214" s="437" t="s">
        <v>1538</v>
      </c>
      <c r="H1214" s="419" t="s">
        <v>757</v>
      </c>
      <c r="I1214" s="427" t="s">
        <v>5439</v>
      </c>
      <c r="J1214" s="415" t="s">
        <v>1539</v>
      </c>
      <c r="K1214" s="415" t="s">
        <v>830</v>
      </c>
      <c r="L1214" s="415" t="s">
        <v>839</v>
      </c>
      <c r="M1214" s="439">
        <v>1751</v>
      </c>
      <c r="N1214" s="414">
        <v>44691</v>
      </c>
      <c r="O1214" s="414" t="s">
        <v>400</v>
      </c>
      <c r="P1214" s="603">
        <f t="shared" si="162"/>
        <v>5</v>
      </c>
      <c r="Q1214" s="603">
        <f t="shared" si="165"/>
        <v>4</v>
      </c>
      <c r="R1214" s="604" t="str">
        <f t="shared" si="155"/>
        <v>Gastos_Gerais</v>
      </c>
      <c r="S1214" s="605" t="s">
        <v>1000</v>
      </c>
      <c r="T1214" s="605">
        <v>2836</v>
      </c>
    </row>
    <row r="1215" spans="1:20" s="88" customFormat="1" ht="55.5" customHeight="1" x14ac:dyDescent="0.2">
      <c r="A1215" s="510">
        <f>IF(B1215="","",COUNT('Diário 1º PA'!$A$4:$A$2635)+ROW()-3)</f>
        <v>2948</v>
      </c>
      <c r="B1215" s="414">
        <v>44694</v>
      </c>
      <c r="C1215" s="431">
        <v>44562</v>
      </c>
      <c r="D1215" s="415" t="s">
        <v>271</v>
      </c>
      <c r="E1215" s="415" t="s">
        <v>456</v>
      </c>
      <c r="F1215" s="435">
        <v>5880</v>
      </c>
      <c r="G1215" s="437" t="s">
        <v>1291</v>
      </c>
      <c r="H1215" s="419" t="s">
        <v>758</v>
      </c>
      <c r="I1215" s="427" t="s">
        <v>4082</v>
      </c>
      <c r="J1215" s="415" t="s">
        <v>1292</v>
      </c>
      <c r="K1215" s="415" t="s">
        <v>830</v>
      </c>
      <c r="L1215" s="415" t="s">
        <v>807</v>
      </c>
      <c r="M1215" s="415" t="s">
        <v>1795</v>
      </c>
      <c r="N1215" s="414">
        <v>44694</v>
      </c>
      <c r="O1215" s="414" t="s">
        <v>400</v>
      </c>
      <c r="P1215" s="603">
        <f t="shared" si="162"/>
        <v>5</v>
      </c>
      <c r="Q1215" s="603">
        <f t="shared" si="165"/>
        <v>1</v>
      </c>
      <c r="R1215" s="604" t="str">
        <f>SUBSTITUTE(D1215," ","_")</f>
        <v>Gastos_Gerais</v>
      </c>
      <c r="S1215" s="605" t="s">
        <v>1000</v>
      </c>
      <c r="T1215" s="605">
        <v>2794</v>
      </c>
    </row>
    <row r="1216" spans="1:20" s="88" customFormat="1" ht="83.25" customHeight="1" x14ac:dyDescent="0.2">
      <c r="A1216" s="510">
        <f>IF(B1216="","",COUNT('Diário 1º PA'!$A$4:$A$2635)+ROW()-3)</f>
        <v>2949</v>
      </c>
      <c r="B1216" s="414">
        <v>44694</v>
      </c>
      <c r="C1216" s="431">
        <v>44562</v>
      </c>
      <c r="D1216" s="415" t="s">
        <v>271</v>
      </c>
      <c r="E1216" s="415" t="s">
        <v>456</v>
      </c>
      <c r="F1216" s="435">
        <v>2940</v>
      </c>
      <c r="G1216" s="437" t="s">
        <v>1291</v>
      </c>
      <c r="H1216" s="419" t="s">
        <v>758</v>
      </c>
      <c r="I1216" s="427" t="s">
        <v>4082</v>
      </c>
      <c r="J1216" s="415" t="s">
        <v>1292</v>
      </c>
      <c r="K1216" s="415" t="s">
        <v>830</v>
      </c>
      <c r="L1216" s="415" t="s">
        <v>807</v>
      </c>
      <c r="M1216" s="415" t="s">
        <v>1540</v>
      </c>
      <c r="N1216" s="414">
        <v>44692</v>
      </c>
      <c r="O1216" s="414" t="s">
        <v>400</v>
      </c>
      <c r="P1216" s="603">
        <f t="shared" si="162"/>
        <v>5</v>
      </c>
      <c r="Q1216" s="603">
        <f t="shared" si="165"/>
        <v>1</v>
      </c>
      <c r="R1216" s="604" t="str">
        <f t="shared" si="155"/>
        <v>Gastos_Gerais</v>
      </c>
      <c r="S1216" s="605" t="s">
        <v>998</v>
      </c>
      <c r="T1216" s="605">
        <v>2794</v>
      </c>
    </row>
    <row r="1217" spans="1:20" s="88" customFormat="1" ht="60" x14ac:dyDescent="0.2">
      <c r="A1217" s="510">
        <f>IF(B1217="","",COUNT('Diário 1º PA'!$A$4:$A$2635)+ROW()-3)</f>
        <v>2950</v>
      </c>
      <c r="B1217" s="414">
        <v>44694</v>
      </c>
      <c r="C1217" s="431">
        <v>44652</v>
      </c>
      <c r="D1217" s="415" t="s">
        <v>271</v>
      </c>
      <c r="E1217" s="415" t="s">
        <v>456</v>
      </c>
      <c r="F1217" s="425">
        <v>6675</v>
      </c>
      <c r="G1217" s="427" t="s">
        <v>3325</v>
      </c>
      <c r="H1217" s="419" t="s">
        <v>792</v>
      </c>
      <c r="I1217" s="427" t="s">
        <v>4085</v>
      </c>
      <c r="J1217" s="415" t="s">
        <v>3278</v>
      </c>
      <c r="K1217" s="415" t="s">
        <v>830</v>
      </c>
      <c r="L1217" s="415" t="s">
        <v>807</v>
      </c>
      <c r="M1217" s="439">
        <v>129</v>
      </c>
      <c r="N1217" s="414">
        <v>44690</v>
      </c>
      <c r="O1217" s="414" t="s">
        <v>400</v>
      </c>
      <c r="P1217" s="603">
        <f t="shared" si="162"/>
        <v>5</v>
      </c>
      <c r="Q1217" s="603">
        <f t="shared" si="165"/>
        <v>4</v>
      </c>
      <c r="R1217" s="604" t="str">
        <f t="shared" si="155"/>
        <v>Gastos_Gerais</v>
      </c>
      <c r="S1217" s="605" t="s">
        <v>998</v>
      </c>
      <c r="T1217" s="605">
        <v>3413</v>
      </c>
    </row>
    <row r="1218" spans="1:20" s="88" customFormat="1" ht="36" x14ac:dyDescent="0.2">
      <c r="A1218" s="510">
        <f>IF(B1218="","",COUNT('Diário 1º PA'!$A$4:$A$2635)+ROW()-3)</f>
        <v>2951</v>
      </c>
      <c r="B1218" s="414">
        <v>44694</v>
      </c>
      <c r="C1218" s="592">
        <v>44682</v>
      </c>
      <c r="D1218" s="415" t="s">
        <v>271</v>
      </c>
      <c r="E1218" s="415" t="s">
        <v>71</v>
      </c>
      <c r="F1218" s="425">
        <v>11</v>
      </c>
      <c r="G1218" s="427" t="s">
        <v>4087</v>
      </c>
      <c r="H1218" s="419" t="s">
        <v>758</v>
      </c>
      <c r="I1218" s="427" t="s">
        <v>881</v>
      </c>
      <c r="J1218" s="415" t="s">
        <v>882</v>
      </c>
      <c r="K1218" s="415" t="s">
        <v>883</v>
      </c>
      <c r="L1218" s="415" t="s">
        <v>798</v>
      </c>
      <c r="M1218" s="415" t="s">
        <v>310</v>
      </c>
      <c r="N1218" s="414">
        <v>44694</v>
      </c>
      <c r="O1218" s="414" t="s">
        <v>400</v>
      </c>
      <c r="P1218" s="603">
        <f t="shared" si="162"/>
        <v>5</v>
      </c>
      <c r="Q1218" s="603">
        <f t="shared" si="165"/>
        <v>5</v>
      </c>
      <c r="R1218" s="604" t="str">
        <f t="shared" si="155"/>
        <v>Gastos_Gerais</v>
      </c>
      <c r="S1218" s="605" t="s">
        <v>310</v>
      </c>
      <c r="T1218" s="605" t="s">
        <v>310</v>
      </c>
    </row>
    <row r="1219" spans="1:20" s="88" customFormat="1" ht="36" x14ac:dyDescent="0.2">
      <c r="A1219" s="510">
        <f>IF(B1219="","",COUNT('Diário 1º PA'!$A$4:$A$2635)+ROW()-3)</f>
        <v>2952</v>
      </c>
      <c r="B1219" s="414">
        <v>44694</v>
      </c>
      <c r="C1219" s="592">
        <v>44682</v>
      </c>
      <c r="D1219" s="415" t="s">
        <v>271</v>
      </c>
      <c r="E1219" s="415" t="s">
        <v>71</v>
      </c>
      <c r="F1219" s="425">
        <v>11</v>
      </c>
      <c r="G1219" s="427" t="s">
        <v>4088</v>
      </c>
      <c r="H1219" s="419" t="s">
        <v>792</v>
      </c>
      <c r="I1219" s="427" t="s">
        <v>881</v>
      </c>
      <c r="J1219" s="415" t="s">
        <v>882</v>
      </c>
      <c r="K1219" s="415" t="s">
        <v>883</v>
      </c>
      <c r="L1219" s="415" t="s">
        <v>798</v>
      </c>
      <c r="M1219" s="415" t="s">
        <v>310</v>
      </c>
      <c r="N1219" s="414">
        <v>44694</v>
      </c>
      <c r="O1219" s="414" t="s">
        <v>400</v>
      </c>
      <c r="P1219" s="603">
        <f t="shared" si="162"/>
        <v>5</v>
      </c>
      <c r="Q1219" s="603">
        <f t="shared" si="165"/>
        <v>5</v>
      </c>
      <c r="R1219" s="604" t="str">
        <f t="shared" si="155"/>
        <v>Gastos_Gerais</v>
      </c>
      <c r="S1219" s="605" t="s">
        <v>310</v>
      </c>
      <c r="T1219" s="605" t="s">
        <v>310</v>
      </c>
    </row>
    <row r="1220" spans="1:20" s="88" customFormat="1" ht="36" x14ac:dyDescent="0.2">
      <c r="A1220" s="510">
        <f>IF(B1220="","",COUNT('Diário 1º PA'!$A$4:$A$2635)+ROW()-3)</f>
        <v>2953</v>
      </c>
      <c r="B1220" s="414">
        <v>44694</v>
      </c>
      <c r="C1220" s="592">
        <v>44682</v>
      </c>
      <c r="D1220" s="415" t="s">
        <v>271</v>
      </c>
      <c r="E1220" s="415" t="s">
        <v>71</v>
      </c>
      <c r="F1220" s="425">
        <v>11</v>
      </c>
      <c r="G1220" s="427" t="s">
        <v>4089</v>
      </c>
      <c r="H1220" s="419" t="s">
        <v>758</v>
      </c>
      <c r="I1220" s="427" t="s">
        <v>881</v>
      </c>
      <c r="J1220" s="415" t="s">
        <v>882</v>
      </c>
      <c r="K1220" s="415" t="s">
        <v>883</v>
      </c>
      <c r="L1220" s="415" t="s">
        <v>798</v>
      </c>
      <c r="M1220" s="415" t="s">
        <v>310</v>
      </c>
      <c r="N1220" s="414">
        <v>44694</v>
      </c>
      <c r="O1220" s="414" t="s">
        <v>400</v>
      </c>
      <c r="P1220" s="603">
        <f t="shared" si="162"/>
        <v>5</v>
      </c>
      <c r="Q1220" s="603">
        <f t="shared" si="165"/>
        <v>5</v>
      </c>
      <c r="R1220" s="604" t="str">
        <f t="shared" si="155"/>
        <v>Gastos_Gerais</v>
      </c>
      <c r="S1220" s="605" t="s">
        <v>310</v>
      </c>
      <c r="T1220" s="605" t="s">
        <v>310</v>
      </c>
    </row>
    <row r="1221" spans="1:20" s="88" customFormat="1" ht="36" x14ac:dyDescent="0.2">
      <c r="A1221" s="510">
        <f>IF(B1221="","",COUNT('Diário 1º PA'!$A$4:$A$2635)+ROW()-3)</f>
        <v>2954</v>
      </c>
      <c r="B1221" s="414">
        <v>44694</v>
      </c>
      <c r="C1221" s="592">
        <v>44682</v>
      </c>
      <c r="D1221" s="415" t="s">
        <v>271</v>
      </c>
      <c r="E1221" s="415" t="s">
        <v>71</v>
      </c>
      <c r="F1221" s="425">
        <v>11</v>
      </c>
      <c r="G1221" s="427" t="s">
        <v>4090</v>
      </c>
      <c r="H1221" s="419" t="s">
        <v>758</v>
      </c>
      <c r="I1221" s="427" t="s">
        <v>881</v>
      </c>
      <c r="J1221" s="415" t="s">
        <v>882</v>
      </c>
      <c r="K1221" s="415" t="s">
        <v>883</v>
      </c>
      <c r="L1221" s="415" t="s">
        <v>798</v>
      </c>
      <c r="M1221" s="415" t="s">
        <v>310</v>
      </c>
      <c r="N1221" s="414">
        <v>44694</v>
      </c>
      <c r="O1221" s="414" t="s">
        <v>400</v>
      </c>
      <c r="P1221" s="603">
        <f t="shared" si="162"/>
        <v>5</v>
      </c>
      <c r="Q1221" s="603">
        <f t="shared" si="165"/>
        <v>5</v>
      </c>
      <c r="R1221" s="604" t="str">
        <f t="shared" si="155"/>
        <v>Gastos_Gerais</v>
      </c>
      <c r="S1221" s="605" t="s">
        <v>310</v>
      </c>
      <c r="T1221" s="605" t="s">
        <v>310</v>
      </c>
    </row>
    <row r="1222" spans="1:20" s="88" customFormat="1" ht="48" x14ac:dyDescent="0.2">
      <c r="A1222" s="510">
        <f>IF(B1222="","",COUNT('Diário 1º PA'!$A$4:$A$2635)+ROW()-3)</f>
        <v>2955</v>
      </c>
      <c r="B1222" s="414">
        <v>44694</v>
      </c>
      <c r="C1222" s="592">
        <v>44682</v>
      </c>
      <c r="D1222" s="415" t="s">
        <v>271</v>
      </c>
      <c r="E1222" s="415" t="s">
        <v>71</v>
      </c>
      <c r="F1222" s="425">
        <v>11</v>
      </c>
      <c r="G1222" s="427" t="s">
        <v>5440</v>
      </c>
      <c r="H1222" s="419" t="s">
        <v>757</v>
      </c>
      <c r="I1222" s="427" t="s">
        <v>881</v>
      </c>
      <c r="J1222" s="415" t="s">
        <v>882</v>
      </c>
      <c r="K1222" s="415" t="s">
        <v>883</v>
      </c>
      <c r="L1222" s="415" t="s">
        <v>798</v>
      </c>
      <c r="M1222" s="415" t="s">
        <v>310</v>
      </c>
      <c r="N1222" s="414">
        <v>44694</v>
      </c>
      <c r="O1222" s="414" t="s">
        <v>400</v>
      </c>
      <c r="P1222" s="603">
        <f t="shared" si="162"/>
        <v>5</v>
      </c>
      <c r="Q1222" s="603">
        <f t="shared" si="165"/>
        <v>5</v>
      </c>
      <c r="R1222" s="604" t="str">
        <f t="shared" si="155"/>
        <v>Gastos_Gerais</v>
      </c>
      <c r="S1222" s="605" t="s">
        <v>310</v>
      </c>
      <c r="T1222" s="605" t="s">
        <v>310</v>
      </c>
    </row>
    <row r="1223" spans="1:20" s="88" customFormat="1" ht="36" x14ac:dyDescent="0.2">
      <c r="A1223" s="510">
        <f>IF(B1223="","",COUNT('Diário 1º PA'!$A$4:$A$2635)+ROW()-3)</f>
        <v>2956</v>
      </c>
      <c r="B1223" s="414">
        <v>44694</v>
      </c>
      <c r="C1223" s="592">
        <v>44682</v>
      </c>
      <c r="D1223" s="415" t="s">
        <v>271</v>
      </c>
      <c r="E1223" s="415" t="s">
        <v>71</v>
      </c>
      <c r="F1223" s="425">
        <v>11</v>
      </c>
      <c r="G1223" s="427" t="s">
        <v>4091</v>
      </c>
      <c r="H1223" s="419" t="s">
        <v>758</v>
      </c>
      <c r="I1223" s="427" t="s">
        <v>881</v>
      </c>
      <c r="J1223" s="415" t="s">
        <v>882</v>
      </c>
      <c r="K1223" s="415" t="s">
        <v>883</v>
      </c>
      <c r="L1223" s="415" t="s">
        <v>798</v>
      </c>
      <c r="M1223" s="415" t="s">
        <v>310</v>
      </c>
      <c r="N1223" s="414">
        <v>44694</v>
      </c>
      <c r="O1223" s="414" t="s">
        <v>400</v>
      </c>
      <c r="P1223" s="603">
        <f t="shared" si="162"/>
        <v>5</v>
      </c>
      <c r="Q1223" s="603">
        <f t="shared" si="165"/>
        <v>5</v>
      </c>
      <c r="R1223" s="604" t="str">
        <f t="shared" si="155"/>
        <v>Gastos_Gerais</v>
      </c>
      <c r="S1223" s="605" t="s">
        <v>310</v>
      </c>
      <c r="T1223" s="605" t="s">
        <v>310</v>
      </c>
    </row>
    <row r="1224" spans="1:20" s="88" customFormat="1" ht="36" x14ac:dyDescent="0.2">
      <c r="A1224" s="510">
        <f>IF(B1224="","",COUNT('Diário 1º PA'!$A$4:$A$2635)+ROW()-3)</f>
        <v>2957</v>
      </c>
      <c r="B1224" s="414">
        <v>44694</v>
      </c>
      <c r="C1224" s="592">
        <v>44682</v>
      </c>
      <c r="D1224" s="415" t="s">
        <v>271</v>
      </c>
      <c r="E1224" s="415" t="s">
        <v>71</v>
      </c>
      <c r="F1224" s="425">
        <v>11</v>
      </c>
      <c r="G1224" s="427" t="s">
        <v>4091</v>
      </c>
      <c r="H1224" s="419" t="s">
        <v>758</v>
      </c>
      <c r="I1224" s="427" t="s">
        <v>881</v>
      </c>
      <c r="J1224" s="415" t="s">
        <v>882</v>
      </c>
      <c r="K1224" s="415" t="s">
        <v>883</v>
      </c>
      <c r="L1224" s="415" t="s">
        <v>798</v>
      </c>
      <c r="M1224" s="415" t="s">
        <v>310</v>
      </c>
      <c r="N1224" s="414">
        <v>44694</v>
      </c>
      <c r="O1224" s="414" t="s">
        <v>400</v>
      </c>
      <c r="P1224" s="603">
        <f t="shared" si="162"/>
        <v>5</v>
      </c>
      <c r="Q1224" s="603">
        <f t="shared" si="165"/>
        <v>5</v>
      </c>
      <c r="R1224" s="604" t="str">
        <f t="shared" si="155"/>
        <v>Gastos_Gerais</v>
      </c>
      <c r="S1224" s="605" t="s">
        <v>310</v>
      </c>
      <c r="T1224" s="605" t="s">
        <v>310</v>
      </c>
    </row>
    <row r="1225" spans="1:20" ht="112.5" customHeight="1" x14ac:dyDescent="0.2">
      <c r="A1225" s="510">
        <f>IF(B1225="","",COUNT('Diário 1º PA'!$A$4:$A$2635)+ROW()-3)</f>
        <v>2958</v>
      </c>
      <c r="B1225" s="414">
        <v>44694</v>
      </c>
      <c r="C1225" s="592">
        <v>44682</v>
      </c>
      <c r="D1225" s="415" t="s">
        <v>271</v>
      </c>
      <c r="E1225" s="415" t="s">
        <v>71</v>
      </c>
      <c r="F1225" s="425">
        <v>11</v>
      </c>
      <c r="G1225" s="427" t="s">
        <v>4092</v>
      </c>
      <c r="H1225" s="419" t="s">
        <v>792</v>
      </c>
      <c r="I1225" s="427" t="s">
        <v>881</v>
      </c>
      <c r="J1225" s="415" t="s">
        <v>882</v>
      </c>
      <c r="K1225" s="415" t="s">
        <v>883</v>
      </c>
      <c r="L1225" s="415" t="s">
        <v>798</v>
      </c>
      <c r="M1225" s="415" t="s">
        <v>310</v>
      </c>
      <c r="N1225" s="414">
        <v>44694</v>
      </c>
      <c r="O1225" s="414" t="s">
        <v>400</v>
      </c>
      <c r="P1225" s="603">
        <f t="shared" ref="P1225:P1233" si="166">IF(B1225=0,0,IF(YEAR(B1225)=$Q$1,MONTH(B1225)-$P$1+1,(YEAR(B1225)-$Q$1)*12-$P$1+1+MONTH(B1225)))</f>
        <v>5</v>
      </c>
      <c r="Q1225" s="603">
        <f t="shared" ref="Q1225:Q1233" si="167">IF(C1225=0,0,IF(YEAR(C1225)=$Q$1,MONTH(C1225)-$P$1+1,(YEAR(C1225)-$Q$1)*12-$P$1+1+MONTH(C1225)))</f>
        <v>5</v>
      </c>
      <c r="R1225" s="604" t="str">
        <f t="shared" ref="R1225:R1233" si="168">SUBSTITUTE(D1225," ","_")</f>
        <v>Gastos_Gerais</v>
      </c>
      <c r="S1225" s="605" t="s">
        <v>310</v>
      </c>
      <c r="T1225" s="605" t="s">
        <v>310</v>
      </c>
    </row>
    <row r="1226" spans="1:20" ht="84" x14ac:dyDescent="0.2">
      <c r="A1226" s="510">
        <f>IF(B1226="","",COUNT('Diário 1º PA'!$A$4:$A$2635)+ROW()-3)</f>
        <v>2959</v>
      </c>
      <c r="B1226" s="414">
        <v>44694</v>
      </c>
      <c r="C1226" s="592">
        <v>44621</v>
      </c>
      <c r="D1226" s="415" t="s">
        <v>468</v>
      </c>
      <c r="E1226" s="415" t="s">
        <v>468</v>
      </c>
      <c r="F1226" s="425">
        <v>640</v>
      </c>
      <c r="G1226" s="427" t="s">
        <v>2425</v>
      </c>
      <c r="H1226" s="419" t="s">
        <v>468</v>
      </c>
      <c r="I1226" s="427" t="s">
        <v>2803</v>
      </c>
      <c r="J1226" s="415" t="s">
        <v>2426</v>
      </c>
      <c r="K1226" s="415" t="s">
        <v>830</v>
      </c>
      <c r="L1226" s="415" t="s">
        <v>807</v>
      </c>
      <c r="M1226" s="415">
        <v>33110651</v>
      </c>
      <c r="N1226" s="414">
        <v>44693</v>
      </c>
      <c r="O1226" s="414" t="s">
        <v>407</v>
      </c>
      <c r="P1226" s="603">
        <f t="shared" si="166"/>
        <v>5</v>
      </c>
      <c r="Q1226" s="603">
        <f t="shared" si="167"/>
        <v>3</v>
      </c>
      <c r="R1226" s="604" t="str">
        <f t="shared" si="168"/>
        <v>Gastos_custeados_por_captação</v>
      </c>
      <c r="S1226" s="605" t="s">
        <v>998</v>
      </c>
      <c r="T1226" s="605">
        <v>3266</v>
      </c>
    </row>
    <row r="1227" spans="1:20" ht="93" customHeight="1" x14ac:dyDescent="0.2">
      <c r="A1227" s="510">
        <f>IF(B1227="","",COUNT('Diário 1º PA'!$A$4:$A$2635)+ROW()-3)</f>
        <v>2960</v>
      </c>
      <c r="B1227" s="414">
        <v>44694</v>
      </c>
      <c r="C1227" s="592">
        <v>44621</v>
      </c>
      <c r="D1227" s="415" t="s">
        <v>468</v>
      </c>
      <c r="E1227" s="415" t="s">
        <v>468</v>
      </c>
      <c r="F1227" s="425">
        <v>1350</v>
      </c>
      <c r="G1227" s="427" t="s">
        <v>2655</v>
      </c>
      <c r="H1227" s="419" t="s">
        <v>468</v>
      </c>
      <c r="I1227" s="427" t="s">
        <v>2803</v>
      </c>
      <c r="J1227" s="415" t="s">
        <v>2426</v>
      </c>
      <c r="K1227" s="415" t="s">
        <v>830</v>
      </c>
      <c r="L1227" s="415" t="s">
        <v>807</v>
      </c>
      <c r="M1227" s="415">
        <v>33110503</v>
      </c>
      <c r="N1227" s="414">
        <v>44693</v>
      </c>
      <c r="O1227" s="414" t="s">
        <v>407</v>
      </c>
      <c r="P1227" s="603">
        <f t="shared" si="166"/>
        <v>5</v>
      </c>
      <c r="Q1227" s="603">
        <f t="shared" si="167"/>
        <v>3</v>
      </c>
      <c r="R1227" s="604" t="str">
        <f t="shared" si="168"/>
        <v>Gastos_custeados_por_captação</v>
      </c>
      <c r="S1227" s="605" t="s">
        <v>998</v>
      </c>
      <c r="T1227" s="605">
        <v>3316</v>
      </c>
    </row>
    <row r="1228" spans="1:20" ht="84" x14ac:dyDescent="0.2">
      <c r="A1228" s="510">
        <f>IF(B1228="","",COUNT('Diário 1º PA'!$A$4:$A$2635)+ROW()-3)</f>
        <v>2961</v>
      </c>
      <c r="B1228" s="414">
        <v>44694</v>
      </c>
      <c r="C1228" s="592">
        <v>44682</v>
      </c>
      <c r="D1228" s="415" t="s">
        <v>468</v>
      </c>
      <c r="E1228" s="415" t="s">
        <v>468</v>
      </c>
      <c r="F1228" s="425">
        <v>1608.6</v>
      </c>
      <c r="G1228" s="427" t="s">
        <v>3833</v>
      </c>
      <c r="H1228" s="419" t="s">
        <v>468</v>
      </c>
      <c r="I1228" s="427" t="s">
        <v>5101</v>
      </c>
      <c r="J1228" s="415" t="s">
        <v>3730</v>
      </c>
      <c r="K1228" s="415" t="s">
        <v>830</v>
      </c>
      <c r="L1228" s="415" t="s">
        <v>807</v>
      </c>
      <c r="M1228" s="415">
        <v>146</v>
      </c>
      <c r="N1228" s="414">
        <v>44691</v>
      </c>
      <c r="O1228" s="414" t="s">
        <v>407</v>
      </c>
      <c r="P1228" s="603">
        <f t="shared" si="166"/>
        <v>5</v>
      </c>
      <c r="Q1228" s="603">
        <f t="shared" si="167"/>
        <v>5</v>
      </c>
      <c r="R1228" s="604" t="str">
        <f t="shared" si="168"/>
        <v>Gastos_custeados_por_captação</v>
      </c>
      <c r="S1228" s="605" t="s">
        <v>998</v>
      </c>
      <c r="T1228" s="605">
        <v>3548</v>
      </c>
    </row>
    <row r="1229" spans="1:20" ht="72" x14ac:dyDescent="0.2">
      <c r="A1229" s="510">
        <f>IF(B1229="","",COUNT('Diário 1º PA'!$A$4:$A$2635)+ROW()-3)</f>
        <v>2962</v>
      </c>
      <c r="B1229" s="414">
        <v>44694</v>
      </c>
      <c r="C1229" s="431">
        <v>44621</v>
      </c>
      <c r="D1229" s="415" t="s">
        <v>468</v>
      </c>
      <c r="E1229" s="415" t="s">
        <v>468</v>
      </c>
      <c r="F1229" s="425">
        <v>2123.25</v>
      </c>
      <c r="G1229" s="427" t="s">
        <v>4803</v>
      </c>
      <c r="H1229" s="419" t="s">
        <v>468</v>
      </c>
      <c r="I1229" s="427" t="s">
        <v>4691</v>
      </c>
      <c r="J1229" s="415" t="s">
        <v>4804</v>
      </c>
      <c r="K1229" s="415" t="s">
        <v>830</v>
      </c>
      <c r="L1229" s="415" t="s">
        <v>807</v>
      </c>
      <c r="M1229" s="415" t="s">
        <v>5102</v>
      </c>
      <c r="N1229" s="414">
        <v>44679</v>
      </c>
      <c r="O1229" s="414" t="s">
        <v>407</v>
      </c>
      <c r="P1229" s="603">
        <f t="shared" si="166"/>
        <v>5</v>
      </c>
      <c r="Q1229" s="603">
        <f t="shared" si="167"/>
        <v>3</v>
      </c>
      <c r="R1229" s="604" t="str">
        <f t="shared" si="168"/>
        <v>Gastos_custeados_por_captação</v>
      </c>
      <c r="S1229" s="605" t="s">
        <v>1000</v>
      </c>
      <c r="T1229" s="605">
        <v>3233</v>
      </c>
    </row>
    <row r="1230" spans="1:20" ht="72" x14ac:dyDescent="0.2">
      <c r="A1230" s="510">
        <f>IF(B1230="","",COUNT('Diário 1º PA'!$A$4:$A$2635)+ROW()-3)</f>
        <v>2963</v>
      </c>
      <c r="B1230" s="414">
        <v>44694</v>
      </c>
      <c r="C1230" s="592">
        <v>44470</v>
      </c>
      <c r="D1230" s="415" t="s">
        <v>468</v>
      </c>
      <c r="E1230" s="415" t="s">
        <v>468</v>
      </c>
      <c r="F1230" s="425">
        <v>200</v>
      </c>
      <c r="G1230" s="427" t="s">
        <v>5103</v>
      </c>
      <c r="H1230" s="419" t="s">
        <v>468</v>
      </c>
      <c r="I1230" s="427" t="s">
        <v>1461</v>
      </c>
      <c r="J1230" s="415" t="s">
        <v>310</v>
      </c>
      <c r="K1230" s="415" t="s">
        <v>1220</v>
      </c>
      <c r="L1230" s="415" t="s">
        <v>1368</v>
      </c>
      <c r="M1230" s="415" t="s">
        <v>310</v>
      </c>
      <c r="N1230" s="414">
        <v>44694</v>
      </c>
      <c r="O1230" s="414" t="s">
        <v>407</v>
      </c>
      <c r="P1230" s="603">
        <f t="shared" si="166"/>
        <v>5</v>
      </c>
      <c r="Q1230" s="603">
        <f t="shared" si="167"/>
        <v>-2</v>
      </c>
      <c r="R1230" s="604" t="str">
        <f t="shared" si="168"/>
        <v>Gastos_custeados_por_captação</v>
      </c>
      <c r="S1230" s="605" t="s">
        <v>310</v>
      </c>
      <c r="T1230" s="605" t="s">
        <v>310</v>
      </c>
    </row>
    <row r="1231" spans="1:20" ht="99.95" customHeight="1" x14ac:dyDescent="0.2">
      <c r="A1231" s="510">
        <f>IF(B1231="","",COUNT('Diário 1º PA'!$A$4:$A$2635)+ROW()-3)</f>
        <v>2964</v>
      </c>
      <c r="B1231" s="414">
        <v>44694</v>
      </c>
      <c r="C1231" s="592">
        <v>44378</v>
      </c>
      <c r="D1231" s="415" t="s">
        <v>468</v>
      </c>
      <c r="E1231" s="415" t="s">
        <v>468</v>
      </c>
      <c r="F1231" s="425">
        <v>100</v>
      </c>
      <c r="G1231" s="427" t="s">
        <v>5104</v>
      </c>
      <c r="H1231" s="419" t="s">
        <v>468</v>
      </c>
      <c r="I1231" s="427" t="s">
        <v>1461</v>
      </c>
      <c r="J1231" s="415" t="s">
        <v>310</v>
      </c>
      <c r="K1231" s="415" t="s">
        <v>1220</v>
      </c>
      <c r="L1231" s="415" t="s">
        <v>1368</v>
      </c>
      <c r="M1231" s="415" t="s">
        <v>310</v>
      </c>
      <c r="N1231" s="414">
        <v>44694</v>
      </c>
      <c r="O1231" s="414" t="s">
        <v>407</v>
      </c>
      <c r="P1231" s="603">
        <f t="shared" si="166"/>
        <v>5</v>
      </c>
      <c r="Q1231" s="603">
        <f t="shared" si="167"/>
        <v>-5</v>
      </c>
      <c r="R1231" s="604" t="str">
        <f t="shared" si="168"/>
        <v>Gastos_custeados_por_captação</v>
      </c>
      <c r="S1231" s="605" t="s">
        <v>310</v>
      </c>
      <c r="T1231" s="605" t="s">
        <v>310</v>
      </c>
    </row>
    <row r="1232" spans="1:20" ht="99.95" customHeight="1" x14ac:dyDescent="0.2">
      <c r="A1232" s="510">
        <f>IF(B1232="","",COUNT('Diário 1º PA'!$A$4:$A$2635)+ROW()-3)</f>
        <v>2965</v>
      </c>
      <c r="B1232" s="414">
        <v>44694</v>
      </c>
      <c r="C1232" s="592">
        <v>44652</v>
      </c>
      <c r="D1232" s="415" t="s">
        <v>468</v>
      </c>
      <c r="E1232" s="415" t="s">
        <v>468</v>
      </c>
      <c r="F1232" s="425">
        <v>7048.8</v>
      </c>
      <c r="G1232" s="427" t="s">
        <v>3286</v>
      </c>
      <c r="H1232" s="419" t="s">
        <v>468</v>
      </c>
      <c r="I1232" s="427" t="s">
        <v>4085</v>
      </c>
      <c r="J1232" s="415" t="s">
        <v>3278</v>
      </c>
      <c r="K1232" s="415" t="s">
        <v>830</v>
      </c>
      <c r="L1232" s="415" t="s">
        <v>807</v>
      </c>
      <c r="M1232" s="415">
        <v>130</v>
      </c>
      <c r="N1232" s="414">
        <v>44691</v>
      </c>
      <c r="O1232" s="414" t="s">
        <v>407</v>
      </c>
      <c r="P1232" s="603">
        <f t="shared" si="166"/>
        <v>5</v>
      </c>
      <c r="Q1232" s="603">
        <f t="shared" si="167"/>
        <v>4</v>
      </c>
      <c r="R1232" s="604" t="str">
        <f t="shared" si="168"/>
        <v>Gastos_custeados_por_captação</v>
      </c>
      <c r="S1232" s="605" t="s">
        <v>998</v>
      </c>
      <c r="T1232" s="605">
        <v>3339</v>
      </c>
    </row>
    <row r="1233" spans="1:20" ht="99.95" customHeight="1" x14ac:dyDescent="0.2">
      <c r="A1233" s="510">
        <f>IF(B1233="","",COUNT('Diário 1º PA'!$A$4:$A$2635)+ROW()-3)</f>
        <v>2966</v>
      </c>
      <c r="B1233" s="414">
        <v>44694</v>
      </c>
      <c r="C1233" s="592">
        <v>44652</v>
      </c>
      <c r="D1233" s="415" t="s">
        <v>468</v>
      </c>
      <c r="E1233" s="415" t="s">
        <v>468</v>
      </c>
      <c r="F1233" s="425">
        <v>5607</v>
      </c>
      <c r="G1233" s="427" t="s">
        <v>3277</v>
      </c>
      <c r="H1233" s="419" t="s">
        <v>468</v>
      </c>
      <c r="I1233" s="427" t="s">
        <v>4085</v>
      </c>
      <c r="J1233" s="415" t="s">
        <v>3278</v>
      </c>
      <c r="K1233" s="415" t="s">
        <v>830</v>
      </c>
      <c r="L1233" s="415" t="s">
        <v>807</v>
      </c>
      <c r="M1233" s="415">
        <v>131</v>
      </c>
      <c r="N1233" s="414">
        <v>44692</v>
      </c>
      <c r="O1233" s="414" t="s">
        <v>407</v>
      </c>
      <c r="P1233" s="603">
        <f t="shared" si="166"/>
        <v>5</v>
      </c>
      <c r="Q1233" s="603">
        <f t="shared" si="167"/>
        <v>4</v>
      </c>
      <c r="R1233" s="604" t="str">
        <f t="shared" si="168"/>
        <v>Gastos_custeados_por_captação</v>
      </c>
      <c r="S1233" s="605" t="s">
        <v>998</v>
      </c>
      <c r="T1233" s="605">
        <v>3361</v>
      </c>
    </row>
    <row r="1234" spans="1:20" s="88" customFormat="1" ht="99.95" customHeight="1" x14ac:dyDescent="0.2">
      <c r="A1234" s="510">
        <f>IF(B1234="","",COUNT('Diário 1º PA'!$A$4:$A$2635)+ROW()-3)</f>
        <v>2967</v>
      </c>
      <c r="B1234" s="414">
        <v>44694</v>
      </c>
      <c r="C1234" s="592">
        <v>44621</v>
      </c>
      <c r="D1234" s="415" t="s">
        <v>468</v>
      </c>
      <c r="E1234" s="415" t="s">
        <v>468</v>
      </c>
      <c r="F1234" s="425">
        <v>3900</v>
      </c>
      <c r="G1234" s="427" t="s">
        <v>2552</v>
      </c>
      <c r="H1234" s="419" t="s">
        <v>468</v>
      </c>
      <c r="I1234" s="427" t="s">
        <v>5105</v>
      </c>
      <c r="J1234" s="415" t="s">
        <v>2553</v>
      </c>
      <c r="K1234" s="415" t="s">
        <v>830</v>
      </c>
      <c r="L1234" s="415" t="s">
        <v>807</v>
      </c>
      <c r="M1234" s="415" t="s">
        <v>5106</v>
      </c>
      <c r="N1234" s="414">
        <v>44693</v>
      </c>
      <c r="O1234" s="414" t="s">
        <v>407</v>
      </c>
      <c r="P1234" s="603">
        <f t="shared" ref="P1234:Q1241" si="169">IF(B1234=0,0,IF(YEAR(B1234)=$Q$1,MONTH(B1234)-$P$1+1,(YEAR(B1234)-$Q$1)*12-$P$1+1+MONTH(B1234)))</f>
        <v>5</v>
      </c>
      <c r="Q1234" s="603">
        <f t="shared" si="169"/>
        <v>3</v>
      </c>
      <c r="R1234" s="604" t="str">
        <f t="shared" ref="R1234:R1240" si="170">SUBSTITUTE(D1234," ","_")</f>
        <v>Gastos_custeados_por_captação</v>
      </c>
      <c r="S1234" s="605" t="s">
        <v>998</v>
      </c>
      <c r="T1234" s="605">
        <v>3252</v>
      </c>
    </row>
    <row r="1235" spans="1:20" s="88" customFormat="1" ht="99.95" customHeight="1" x14ac:dyDescent="0.2">
      <c r="A1235" s="510">
        <f>IF(B1235="","",COUNT('Diário 1º PA'!$A$4:$A$2635)+ROW()-3)</f>
        <v>2968</v>
      </c>
      <c r="B1235" s="414">
        <v>44694</v>
      </c>
      <c r="C1235" s="592">
        <v>44652</v>
      </c>
      <c r="D1235" s="415" t="s">
        <v>468</v>
      </c>
      <c r="E1235" s="415" t="s">
        <v>468</v>
      </c>
      <c r="F1235" s="425">
        <v>3500</v>
      </c>
      <c r="G1235" s="427" t="s">
        <v>1974</v>
      </c>
      <c r="H1235" s="419" t="s">
        <v>468</v>
      </c>
      <c r="I1235" s="427" t="s">
        <v>4122</v>
      </c>
      <c r="J1235" s="415" t="s">
        <v>1975</v>
      </c>
      <c r="K1235" s="415" t="s">
        <v>830</v>
      </c>
      <c r="L1235" s="415" t="s">
        <v>807</v>
      </c>
      <c r="M1235" s="415" t="s">
        <v>842</v>
      </c>
      <c r="N1235" s="414">
        <v>44694</v>
      </c>
      <c r="O1235" s="414" t="s">
        <v>408</v>
      </c>
      <c r="P1235" s="603">
        <f t="shared" si="169"/>
        <v>5</v>
      </c>
      <c r="Q1235" s="603">
        <f t="shared" si="169"/>
        <v>4</v>
      </c>
      <c r="R1235" s="604" t="str">
        <f t="shared" si="170"/>
        <v>Gastos_custeados_por_captação</v>
      </c>
      <c r="S1235" s="605" t="s">
        <v>1000</v>
      </c>
      <c r="T1235" s="605">
        <v>3047</v>
      </c>
    </row>
    <row r="1236" spans="1:20" s="88" customFormat="1" ht="99.95" customHeight="1" x14ac:dyDescent="0.2">
      <c r="A1236" s="510">
        <f>IF(B1236="","",COUNT('Diário 1º PA'!$A$4:$A$2635)+ROW()-3)</f>
        <v>2969</v>
      </c>
      <c r="B1236" s="414">
        <v>44694</v>
      </c>
      <c r="C1236" s="592">
        <v>44652</v>
      </c>
      <c r="D1236" s="415" t="s">
        <v>468</v>
      </c>
      <c r="E1236" s="415" t="s">
        <v>468</v>
      </c>
      <c r="F1236" s="425">
        <v>7349.25</v>
      </c>
      <c r="G1236" s="427" t="s">
        <v>5382</v>
      </c>
      <c r="H1236" s="419" t="s">
        <v>468</v>
      </c>
      <c r="I1236" s="427" t="s">
        <v>5381</v>
      </c>
      <c r="J1236" s="415" t="s">
        <v>1350</v>
      </c>
      <c r="K1236" s="415" t="s">
        <v>830</v>
      </c>
      <c r="L1236" s="415" t="s">
        <v>807</v>
      </c>
      <c r="M1236" s="415" t="s">
        <v>1696</v>
      </c>
      <c r="N1236" s="414">
        <v>44693</v>
      </c>
      <c r="O1236" s="414" t="s">
        <v>408</v>
      </c>
      <c r="P1236" s="603">
        <f t="shared" si="169"/>
        <v>5</v>
      </c>
      <c r="Q1236" s="603">
        <f t="shared" si="169"/>
        <v>4</v>
      </c>
      <c r="R1236" s="604" t="str">
        <f t="shared" si="170"/>
        <v>Gastos_custeados_por_captação</v>
      </c>
      <c r="S1236" s="605" t="s">
        <v>1000</v>
      </c>
      <c r="T1236" s="605">
        <v>2158</v>
      </c>
    </row>
    <row r="1237" spans="1:20" s="88" customFormat="1" ht="99.95" customHeight="1" x14ac:dyDescent="0.2">
      <c r="A1237" s="510">
        <f>IF(B1237="","",COUNT('Diário 1º PA'!$A$4:$A$2635)+ROW()-3)</f>
        <v>2970</v>
      </c>
      <c r="B1237" s="414">
        <v>44694</v>
      </c>
      <c r="C1237" s="592">
        <v>44682</v>
      </c>
      <c r="D1237" s="415" t="s">
        <v>468</v>
      </c>
      <c r="E1237" s="415" t="s">
        <v>468</v>
      </c>
      <c r="F1237" s="425">
        <v>11</v>
      </c>
      <c r="G1237" s="427" t="s">
        <v>4799</v>
      </c>
      <c r="H1237" s="419" t="s">
        <v>468</v>
      </c>
      <c r="I1237" s="639" t="s">
        <v>881</v>
      </c>
      <c r="J1237" s="418" t="s">
        <v>882</v>
      </c>
      <c r="K1237" s="418" t="s">
        <v>883</v>
      </c>
      <c r="L1237" s="399" t="s">
        <v>798</v>
      </c>
      <c r="M1237" s="544" t="s">
        <v>310</v>
      </c>
      <c r="N1237" s="414">
        <v>44694</v>
      </c>
      <c r="O1237" s="414" t="s">
        <v>408</v>
      </c>
      <c r="P1237" s="603">
        <f t="shared" si="169"/>
        <v>5</v>
      </c>
      <c r="Q1237" s="603">
        <f t="shared" si="169"/>
        <v>5</v>
      </c>
      <c r="R1237" s="604" t="str">
        <f t="shared" si="170"/>
        <v>Gastos_custeados_por_captação</v>
      </c>
      <c r="S1237" s="605" t="s">
        <v>310</v>
      </c>
      <c r="T1237" s="605" t="s">
        <v>310</v>
      </c>
    </row>
    <row r="1238" spans="1:20" s="88" customFormat="1" ht="99.95" customHeight="1" x14ac:dyDescent="0.2">
      <c r="A1238" s="510">
        <f>IF(B1238="","",COUNT('Diário 1º PA'!$A$4:$A$2635)+ROW()-3)</f>
        <v>2971</v>
      </c>
      <c r="B1238" s="414">
        <v>44694</v>
      </c>
      <c r="C1238" s="592">
        <v>44682</v>
      </c>
      <c r="D1238" s="415" t="s">
        <v>468</v>
      </c>
      <c r="E1238" s="415" t="s">
        <v>468</v>
      </c>
      <c r="F1238" s="425">
        <v>11</v>
      </c>
      <c r="G1238" s="427" t="s">
        <v>4799</v>
      </c>
      <c r="H1238" s="419" t="s">
        <v>468</v>
      </c>
      <c r="I1238" s="639" t="s">
        <v>881</v>
      </c>
      <c r="J1238" s="418" t="s">
        <v>882</v>
      </c>
      <c r="K1238" s="418" t="s">
        <v>883</v>
      </c>
      <c r="L1238" s="399" t="s">
        <v>798</v>
      </c>
      <c r="M1238" s="544" t="s">
        <v>310</v>
      </c>
      <c r="N1238" s="414">
        <v>44694</v>
      </c>
      <c r="O1238" s="414" t="s">
        <v>408</v>
      </c>
      <c r="P1238" s="603">
        <f t="shared" si="169"/>
        <v>5</v>
      </c>
      <c r="Q1238" s="603">
        <f t="shared" si="169"/>
        <v>5</v>
      </c>
      <c r="R1238" s="604" t="str">
        <f t="shared" si="170"/>
        <v>Gastos_custeados_por_captação</v>
      </c>
      <c r="S1238" s="605" t="s">
        <v>310</v>
      </c>
      <c r="T1238" s="605" t="s">
        <v>310</v>
      </c>
    </row>
    <row r="1239" spans="1:20" s="88" customFormat="1" ht="99.95" customHeight="1" x14ac:dyDescent="0.2">
      <c r="A1239" s="510">
        <f>IF(B1239="","",COUNT('Diário 1º PA'!$A$4:$A$2635)+ROW()-3)</f>
        <v>2972</v>
      </c>
      <c r="B1239" s="414">
        <v>44694</v>
      </c>
      <c r="C1239" s="592">
        <v>44682</v>
      </c>
      <c r="D1239" s="415" t="s">
        <v>468</v>
      </c>
      <c r="E1239" s="415" t="s">
        <v>468</v>
      </c>
      <c r="F1239" s="425">
        <v>153</v>
      </c>
      <c r="G1239" s="427" t="s">
        <v>5380</v>
      </c>
      <c r="H1239" s="419" t="s">
        <v>468</v>
      </c>
      <c r="I1239" s="639" t="s">
        <v>881</v>
      </c>
      <c r="J1239" s="418" t="s">
        <v>882</v>
      </c>
      <c r="K1239" s="418" t="s">
        <v>883</v>
      </c>
      <c r="L1239" s="399" t="s">
        <v>798</v>
      </c>
      <c r="M1239" s="544" t="s">
        <v>310</v>
      </c>
      <c r="N1239" s="414">
        <v>44694</v>
      </c>
      <c r="O1239" s="414" t="s">
        <v>408</v>
      </c>
      <c r="P1239" s="603">
        <f t="shared" si="169"/>
        <v>5</v>
      </c>
      <c r="Q1239" s="603">
        <f t="shared" si="169"/>
        <v>5</v>
      </c>
      <c r="R1239" s="604" t="str">
        <f t="shared" si="170"/>
        <v>Gastos_custeados_por_captação</v>
      </c>
      <c r="S1239" s="605" t="s">
        <v>310</v>
      </c>
      <c r="T1239" s="605" t="s">
        <v>310</v>
      </c>
    </row>
    <row r="1240" spans="1:20" s="88" customFormat="1" ht="99.95" customHeight="1" x14ac:dyDescent="0.2">
      <c r="A1240" s="510">
        <f>IF(B1240="","",COUNT('Diário 1º PA'!$A$4:$A$2635)+ROW()-3)</f>
        <v>2973</v>
      </c>
      <c r="B1240" s="414">
        <v>44694</v>
      </c>
      <c r="C1240" s="592">
        <v>44682</v>
      </c>
      <c r="D1240" s="415" t="s">
        <v>468</v>
      </c>
      <c r="E1240" s="415" t="s">
        <v>468</v>
      </c>
      <c r="F1240" s="425">
        <v>1627.75</v>
      </c>
      <c r="G1240" s="427" t="s">
        <v>3729</v>
      </c>
      <c r="H1240" s="419" t="s">
        <v>468</v>
      </c>
      <c r="I1240" s="427" t="s">
        <v>5101</v>
      </c>
      <c r="J1240" s="418" t="s">
        <v>3730</v>
      </c>
      <c r="K1240" s="418" t="s">
        <v>830</v>
      </c>
      <c r="L1240" s="399" t="s">
        <v>807</v>
      </c>
      <c r="M1240" s="544">
        <v>145</v>
      </c>
      <c r="N1240" s="414">
        <v>44691</v>
      </c>
      <c r="O1240" s="414" t="s">
        <v>3762</v>
      </c>
      <c r="P1240" s="603">
        <f t="shared" si="169"/>
        <v>5</v>
      </c>
      <c r="Q1240" s="603">
        <f t="shared" si="169"/>
        <v>5</v>
      </c>
      <c r="R1240" s="604" t="str">
        <f t="shared" si="170"/>
        <v>Gastos_custeados_por_captação</v>
      </c>
      <c r="S1240" s="605" t="s">
        <v>998</v>
      </c>
      <c r="T1240" s="605">
        <v>3545</v>
      </c>
    </row>
    <row r="1241" spans="1:20" s="88" customFormat="1" ht="48" x14ac:dyDescent="0.2">
      <c r="A1241" s="510">
        <f>IF(B1241="","",COUNT('Diário 1º PA'!$A$4:$A$2635)+ROW()-3)</f>
        <v>2974</v>
      </c>
      <c r="B1241" s="414">
        <v>44694</v>
      </c>
      <c r="C1241" s="592">
        <v>44682</v>
      </c>
      <c r="D1241" s="415" t="s">
        <v>468</v>
      </c>
      <c r="E1241" s="415" t="s">
        <v>468</v>
      </c>
      <c r="F1241" s="425">
        <v>921.5</v>
      </c>
      <c r="G1241" s="427" t="s">
        <v>3723</v>
      </c>
      <c r="H1241" s="419" t="s">
        <v>468</v>
      </c>
      <c r="I1241" s="639" t="s">
        <v>3675</v>
      </c>
      <c r="J1241" s="418" t="s">
        <v>2843</v>
      </c>
      <c r="K1241" s="418" t="s">
        <v>830</v>
      </c>
      <c r="L1241" s="399" t="s">
        <v>807</v>
      </c>
      <c r="M1241" s="415" t="s">
        <v>5400</v>
      </c>
      <c r="N1241" s="414">
        <v>44692</v>
      </c>
      <c r="O1241" s="414" t="s">
        <v>3762</v>
      </c>
      <c r="P1241" s="603">
        <f t="shared" si="169"/>
        <v>5</v>
      </c>
      <c r="Q1241" s="603">
        <f t="shared" si="169"/>
        <v>5</v>
      </c>
      <c r="R1241" s="604" t="str">
        <f t="shared" si="155"/>
        <v>Gastos_custeados_por_captação</v>
      </c>
      <c r="S1241" s="605" t="s">
        <v>998</v>
      </c>
      <c r="T1241" s="605">
        <v>3549</v>
      </c>
    </row>
    <row r="1242" spans="1:20" s="88" customFormat="1" ht="36" x14ac:dyDescent="0.2">
      <c r="A1242" s="510">
        <f>IF(B1242="","",COUNT('Diário 1º PA'!$A$4:$A$2635)+ROW()-3)</f>
        <v>2975</v>
      </c>
      <c r="B1242" s="414">
        <v>44697</v>
      </c>
      <c r="C1242" s="433">
        <v>44682</v>
      </c>
      <c r="D1242" s="415" t="s">
        <v>182</v>
      </c>
      <c r="E1242" s="415" t="s">
        <v>325</v>
      </c>
      <c r="F1242" s="435">
        <v>-218.41</v>
      </c>
      <c r="G1242" s="427" t="s">
        <v>4112</v>
      </c>
      <c r="H1242" s="415" t="s">
        <v>310</v>
      </c>
      <c r="I1242" s="427" t="s">
        <v>795</v>
      </c>
      <c r="J1242" s="415" t="s">
        <v>796</v>
      </c>
      <c r="K1242" s="415" t="s">
        <v>797</v>
      </c>
      <c r="L1242" s="415" t="s">
        <v>798</v>
      </c>
      <c r="M1242" s="415" t="s">
        <v>310</v>
      </c>
      <c r="N1242" s="414">
        <v>44697</v>
      </c>
      <c r="O1242" s="414" t="s">
        <v>400</v>
      </c>
      <c r="P1242" s="603">
        <f t="shared" ref="P1242:P1247" si="171">IF(B1242=0,0,IF(YEAR(B1242)=$Q$1,MONTH(B1242)-$P$1+1,(YEAR(B1242)-$Q$1)*12-$P$1+1+MONTH(B1242)))</f>
        <v>5</v>
      </c>
      <c r="Q1242" s="603">
        <f t="shared" ref="Q1242:Q1247" si="172">IF(C1242=0,0,IF(YEAR(C1242)=$Q$1,MONTH(C1242)-$P$1+1,(YEAR(C1242)-$Q$1)*12-$P$1+1+MONTH(C1242)))</f>
        <v>5</v>
      </c>
      <c r="R1242" s="604" t="str">
        <f t="shared" ref="R1242:R1247" si="173">SUBSTITUTE(D1242," ","_")</f>
        <v>Gastos_com_Pessoal</v>
      </c>
      <c r="S1242" s="605" t="s">
        <v>310</v>
      </c>
      <c r="T1242" s="605" t="s">
        <v>310</v>
      </c>
    </row>
    <row r="1243" spans="1:20" s="88" customFormat="1" ht="36" x14ac:dyDescent="0.2">
      <c r="A1243" s="510">
        <f>IF(B1243="","",COUNT('Diário 1º PA'!$A$4:$A$2635)+ROW()-3)</f>
        <v>2976</v>
      </c>
      <c r="B1243" s="414">
        <v>44697</v>
      </c>
      <c r="C1243" s="433">
        <v>44621</v>
      </c>
      <c r="D1243" s="415" t="s">
        <v>182</v>
      </c>
      <c r="E1243" s="415" t="s">
        <v>1</v>
      </c>
      <c r="F1243" s="435">
        <v>-312.77999999999997</v>
      </c>
      <c r="G1243" s="427" t="s">
        <v>1384</v>
      </c>
      <c r="H1243" s="415" t="s">
        <v>310</v>
      </c>
      <c r="I1243" s="427" t="s">
        <v>795</v>
      </c>
      <c r="J1243" s="415" t="s">
        <v>796</v>
      </c>
      <c r="K1243" s="415" t="s">
        <v>797</v>
      </c>
      <c r="L1243" s="415" t="s">
        <v>798</v>
      </c>
      <c r="M1243" s="415" t="s">
        <v>310</v>
      </c>
      <c r="N1243" s="414">
        <v>44697</v>
      </c>
      <c r="O1243" s="414" t="s">
        <v>400</v>
      </c>
      <c r="P1243" s="603">
        <f t="shared" si="171"/>
        <v>5</v>
      </c>
      <c r="Q1243" s="603">
        <f t="shared" si="172"/>
        <v>3</v>
      </c>
      <c r="R1243" s="604" t="str">
        <f t="shared" si="173"/>
        <v>Gastos_com_Pessoal</v>
      </c>
      <c r="S1243" s="605" t="s">
        <v>310</v>
      </c>
      <c r="T1243" s="605" t="s">
        <v>310</v>
      </c>
    </row>
    <row r="1244" spans="1:20" s="88" customFormat="1" ht="36" x14ac:dyDescent="0.2">
      <c r="A1244" s="510">
        <f>IF(B1244="","",COUNT('Diário 1º PA'!$A$4:$A$2635)+ROW()-3)</f>
        <v>2977</v>
      </c>
      <c r="B1244" s="414">
        <v>44697</v>
      </c>
      <c r="C1244" s="433">
        <v>44652</v>
      </c>
      <c r="D1244" s="415" t="s">
        <v>271</v>
      </c>
      <c r="E1244" s="415" t="s">
        <v>84</v>
      </c>
      <c r="F1244" s="425">
        <v>-18.62</v>
      </c>
      <c r="G1244" s="427" t="s">
        <v>4110</v>
      </c>
      <c r="H1244" s="415" t="s">
        <v>309</v>
      </c>
      <c r="I1244" s="427" t="s">
        <v>795</v>
      </c>
      <c r="J1244" s="415" t="s">
        <v>796</v>
      </c>
      <c r="K1244" s="415" t="s">
        <v>797</v>
      </c>
      <c r="L1244" s="415" t="s">
        <v>798</v>
      </c>
      <c r="M1244" s="415" t="s">
        <v>310</v>
      </c>
      <c r="N1244" s="414">
        <v>44697</v>
      </c>
      <c r="O1244" s="414" t="s">
        <v>400</v>
      </c>
      <c r="P1244" s="603">
        <f t="shared" si="171"/>
        <v>5</v>
      </c>
      <c r="Q1244" s="603">
        <f t="shared" si="172"/>
        <v>4</v>
      </c>
      <c r="R1244" s="604" t="str">
        <f t="shared" si="173"/>
        <v>Gastos_Gerais</v>
      </c>
      <c r="S1244" s="605" t="s">
        <v>310</v>
      </c>
      <c r="T1244" s="605" t="s">
        <v>310</v>
      </c>
    </row>
    <row r="1245" spans="1:20" s="88" customFormat="1" ht="48" x14ac:dyDescent="0.2">
      <c r="A1245" s="510">
        <f>IF(B1245="","",COUNT('Diário 1º PA'!$A$4:$A$2635)+ROW()-3)</f>
        <v>2978</v>
      </c>
      <c r="B1245" s="414">
        <v>44697</v>
      </c>
      <c r="C1245" s="433">
        <v>44652</v>
      </c>
      <c r="D1245" s="415" t="s">
        <v>271</v>
      </c>
      <c r="E1245" s="415" t="s">
        <v>92</v>
      </c>
      <c r="F1245" s="425">
        <v>-132.05000000000001</v>
      </c>
      <c r="G1245" s="427" t="s">
        <v>4111</v>
      </c>
      <c r="H1245" s="415" t="s">
        <v>309</v>
      </c>
      <c r="I1245" s="427" t="s">
        <v>795</v>
      </c>
      <c r="J1245" s="415" t="s">
        <v>796</v>
      </c>
      <c r="K1245" s="415" t="s">
        <v>797</v>
      </c>
      <c r="L1245" s="399" t="s">
        <v>798</v>
      </c>
      <c r="M1245" s="544" t="s">
        <v>310</v>
      </c>
      <c r="N1245" s="414">
        <v>44697</v>
      </c>
      <c r="O1245" s="414" t="s">
        <v>400</v>
      </c>
      <c r="P1245" s="603">
        <f t="shared" si="171"/>
        <v>5</v>
      </c>
      <c r="Q1245" s="603">
        <f t="shared" si="172"/>
        <v>4</v>
      </c>
      <c r="R1245" s="604" t="str">
        <f t="shared" si="173"/>
        <v>Gastos_Gerais</v>
      </c>
      <c r="S1245" s="605" t="s">
        <v>310</v>
      </c>
      <c r="T1245" s="605" t="s">
        <v>310</v>
      </c>
    </row>
    <row r="1246" spans="1:20" s="88" customFormat="1" ht="36" x14ac:dyDescent="0.2">
      <c r="A1246" s="510">
        <f>IF(B1246="","",COUNT('Diário 1º PA'!$A$4:$A$2635)+ROW()-3)</f>
        <v>2979</v>
      </c>
      <c r="B1246" s="414">
        <v>44697</v>
      </c>
      <c r="C1246" s="466">
        <v>44682</v>
      </c>
      <c r="D1246" s="415" t="s">
        <v>182</v>
      </c>
      <c r="E1246" s="415" t="s">
        <v>325</v>
      </c>
      <c r="F1246" s="425">
        <v>-2905.43</v>
      </c>
      <c r="G1246" s="427" t="s">
        <v>1382</v>
      </c>
      <c r="H1246" s="415" t="s">
        <v>310</v>
      </c>
      <c r="I1246" s="427" t="s">
        <v>795</v>
      </c>
      <c r="J1246" s="415" t="s">
        <v>796</v>
      </c>
      <c r="K1246" s="415" t="s">
        <v>797</v>
      </c>
      <c r="L1246" s="415" t="s">
        <v>798</v>
      </c>
      <c r="M1246" s="415" t="s">
        <v>310</v>
      </c>
      <c r="N1246" s="414">
        <v>44697</v>
      </c>
      <c r="O1246" s="414" t="s">
        <v>400</v>
      </c>
      <c r="P1246" s="603">
        <f t="shared" si="171"/>
        <v>5</v>
      </c>
      <c r="Q1246" s="603">
        <f t="shared" si="172"/>
        <v>5</v>
      </c>
      <c r="R1246" s="604" t="str">
        <f t="shared" si="173"/>
        <v>Gastos_com_Pessoal</v>
      </c>
      <c r="S1246" s="605" t="s">
        <v>310</v>
      </c>
      <c r="T1246" s="605" t="s">
        <v>310</v>
      </c>
    </row>
    <row r="1247" spans="1:20" s="88" customFormat="1" ht="36" x14ac:dyDescent="0.2">
      <c r="A1247" s="510">
        <f>IF(B1247="","",COUNT('Diário 1º PA'!$A$4:$A$2635)+ROW()-3)</f>
        <v>2980</v>
      </c>
      <c r="B1247" s="414">
        <v>44697</v>
      </c>
      <c r="C1247" s="433">
        <v>44652</v>
      </c>
      <c r="D1247" s="415" t="s">
        <v>271</v>
      </c>
      <c r="E1247" s="415" t="s">
        <v>92</v>
      </c>
      <c r="F1247" s="425">
        <v>500</v>
      </c>
      <c r="G1247" s="427" t="s">
        <v>692</v>
      </c>
      <c r="H1247" s="415" t="s">
        <v>309</v>
      </c>
      <c r="I1247" s="456" t="s">
        <v>1371</v>
      </c>
      <c r="J1247" s="415" t="s">
        <v>1123</v>
      </c>
      <c r="K1247" s="415" t="s">
        <v>812</v>
      </c>
      <c r="L1247" s="415" t="s">
        <v>1372</v>
      </c>
      <c r="M1247" s="415" t="s">
        <v>4113</v>
      </c>
      <c r="N1247" s="414">
        <v>44685</v>
      </c>
      <c r="O1247" s="414" t="s">
        <v>400</v>
      </c>
      <c r="P1247" s="603">
        <f t="shared" si="171"/>
        <v>5</v>
      </c>
      <c r="Q1247" s="603">
        <f t="shared" si="172"/>
        <v>4</v>
      </c>
      <c r="R1247" s="604" t="str">
        <f t="shared" si="173"/>
        <v>Gastos_Gerais</v>
      </c>
      <c r="S1247" s="605" t="s">
        <v>1000</v>
      </c>
      <c r="T1247" s="605">
        <v>2665</v>
      </c>
    </row>
    <row r="1248" spans="1:20" s="88" customFormat="1" ht="48" x14ac:dyDescent="0.2">
      <c r="A1248" s="510">
        <f>IF(B1248="","",COUNT('Diário 1º PA'!$A$4:$A$2635)+ROW()-3)</f>
        <v>2981</v>
      </c>
      <c r="B1248" s="414">
        <v>44697</v>
      </c>
      <c r="C1248" s="421">
        <v>44652</v>
      </c>
      <c r="D1248" s="415" t="s">
        <v>271</v>
      </c>
      <c r="E1248" s="415" t="s">
        <v>91</v>
      </c>
      <c r="F1248" s="425">
        <v>436.12</v>
      </c>
      <c r="G1248" s="437" t="s">
        <v>471</v>
      </c>
      <c r="H1248" s="415" t="s">
        <v>309</v>
      </c>
      <c r="I1248" s="437" t="s">
        <v>1505</v>
      </c>
      <c r="J1248" s="434" t="s">
        <v>1009</v>
      </c>
      <c r="K1248" s="415" t="s">
        <v>812</v>
      </c>
      <c r="L1248" s="415" t="s">
        <v>32</v>
      </c>
      <c r="M1248" s="415">
        <v>4134560</v>
      </c>
      <c r="N1248" s="414">
        <v>44683</v>
      </c>
      <c r="O1248" s="414" t="s">
        <v>400</v>
      </c>
      <c r="P1248" s="603">
        <f t="shared" ref="P1248:P1256" si="174">IF(B1248=0,0,IF(YEAR(B1248)=$Q$1,MONTH(B1248)-$P$1+1,(YEAR(B1248)-$Q$1)*12-$P$1+1+MONTH(B1248)))</f>
        <v>5</v>
      </c>
      <c r="Q1248" s="603">
        <f t="shared" ref="Q1248:Q1256" si="175">IF(C1248=0,0,IF(YEAR(C1248)=$Q$1,MONTH(C1248)-$P$1+1,(YEAR(C1248)-$Q$1)*12-$P$1+1+MONTH(C1248)))</f>
        <v>4</v>
      </c>
      <c r="R1248" s="604" t="str">
        <f t="shared" ref="R1248:R1256" si="176">SUBSTITUTE(D1248," ","_")</f>
        <v>Gastos_Gerais</v>
      </c>
      <c r="S1248" s="605" t="s">
        <v>1000</v>
      </c>
      <c r="T1248" s="605">
        <v>1142</v>
      </c>
    </row>
    <row r="1249" spans="1:20" s="88" customFormat="1" ht="96" x14ac:dyDescent="0.2">
      <c r="A1249" s="510">
        <f>IF(B1249="","",COUNT('Diário 1º PA'!$A$4:$A$2635)+ROW()-3)</f>
        <v>2982</v>
      </c>
      <c r="B1249" s="414">
        <v>44697</v>
      </c>
      <c r="C1249" s="433">
        <v>44682</v>
      </c>
      <c r="D1249" s="415" t="s">
        <v>182</v>
      </c>
      <c r="E1249" s="415" t="s">
        <v>325</v>
      </c>
      <c r="F1249" s="425">
        <v>24225.95</v>
      </c>
      <c r="G1249" s="427" t="s">
        <v>1399</v>
      </c>
      <c r="H1249" s="415" t="s">
        <v>310</v>
      </c>
      <c r="I1249" s="437" t="s">
        <v>773</v>
      </c>
      <c r="J1249" s="415" t="s">
        <v>1397</v>
      </c>
      <c r="K1249" s="415" t="s">
        <v>812</v>
      </c>
      <c r="L1249" s="415" t="s">
        <v>32</v>
      </c>
      <c r="M1249" s="415" t="s">
        <v>4114</v>
      </c>
      <c r="N1249" s="414">
        <v>44659</v>
      </c>
      <c r="O1249" s="414" t="s">
        <v>400</v>
      </c>
      <c r="P1249" s="603">
        <f t="shared" si="174"/>
        <v>5</v>
      </c>
      <c r="Q1249" s="603">
        <f t="shared" si="175"/>
        <v>5</v>
      </c>
      <c r="R1249" s="604" t="str">
        <f t="shared" si="176"/>
        <v>Gastos_com_Pessoal</v>
      </c>
      <c r="S1249" s="605" t="s">
        <v>310</v>
      </c>
      <c r="T1249" s="605" t="s">
        <v>310</v>
      </c>
    </row>
    <row r="1250" spans="1:20" s="88" customFormat="1" ht="96" x14ac:dyDescent="0.2">
      <c r="A1250" s="510">
        <f>IF(B1250="","",COUNT('Diário 1º PA'!$A$4:$A$2635)+ROW()-3)</f>
        <v>2983</v>
      </c>
      <c r="B1250" s="414">
        <v>44697</v>
      </c>
      <c r="C1250" s="433">
        <v>44621</v>
      </c>
      <c r="D1250" s="415" t="s">
        <v>182</v>
      </c>
      <c r="E1250" s="415" t="s">
        <v>1</v>
      </c>
      <c r="F1250" s="425">
        <v>1301.29</v>
      </c>
      <c r="G1250" s="427" t="s">
        <v>1396</v>
      </c>
      <c r="H1250" s="415" t="s">
        <v>310</v>
      </c>
      <c r="I1250" s="437" t="s">
        <v>773</v>
      </c>
      <c r="J1250" s="415" t="s">
        <v>1397</v>
      </c>
      <c r="K1250" s="415" t="s">
        <v>812</v>
      </c>
      <c r="L1250" s="415" t="s">
        <v>32</v>
      </c>
      <c r="M1250" s="415" t="s">
        <v>4115</v>
      </c>
      <c r="N1250" s="414">
        <v>44656</v>
      </c>
      <c r="O1250" s="414" t="s">
        <v>400</v>
      </c>
      <c r="P1250" s="603">
        <f t="shared" si="174"/>
        <v>5</v>
      </c>
      <c r="Q1250" s="603">
        <f t="shared" si="175"/>
        <v>3</v>
      </c>
      <c r="R1250" s="604" t="str">
        <f t="shared" si="176"/>
        <v>Gastos_com_Pessoal</v>
      </c>
      <c r="S1250" s="605" t="s">
        <v>310</v>
      </c>
      <c r="T1250" s="605" t="s">
        <v>310</v>
      </c>
    </row>
    <row r="1251" spans="1:20" s="88" customFormat="1" ht="24" x14ac:dyDescent="0.2">
      <c r="A1251" s="510">
        <f>IF(B1251="","",COUNT('Diário 1º PA'!$A$4:$A$2635)+ROW()-3)</f>
        <v>2984</v>
      </c>
      <c r="B1251" s="414">
        <v>44697</v>
      </c>
      <c r="C1251" s="421">
        <v>44652</v>
      </c>
      <c r="D1251" s="415" t="s">
        <v>271</v>
      </c>
      <c r="E1251" s="415" t="s">
        <v>84</v>
      </c>
      <c r="F1251" s="425">
        <v>70.489999999999995</v>
      </c>
      <c r="G1251" s="437" t="s">
        <v>3248</v>
      </c>
      <c r="H1251" s="415" t="s">
        <v>309</v>
      </c>
      <c r="I1251" s="437" t="s">
        <v>766</v>
      </c>
      <c r="J1251" s="415" t="s">
        <v>1019</v>
      </c>
      <c r="K1251" s="415" t="s">
        <v>1392</v>
      </c>
      <c r="L1251" s="399" t="s">
        <v>1372</v>
      </c>
      <c r="M1251" s="415" t="s">
        <v>4118</v>
      </c>
      <c r="N1251" s="414">
        <v>44685</v>
      </c>
      <c r="O1251" s="414" t="s">
        <v>400</v>
      </c>
      <c r="P1251" s="603">
        <f t="shared" si="174"/>
        <v>5</v>
      </c>
      <c r="Q1251" s="603">
        <f t="shared" si="175"/>
        <v>4</v>
      </c>
      <c r="R1251" s="604" t="str">
        <f t="shared" si="176"/>
        <v>Gastos_Gerais</v>
      </c>
      <c r="S1251" s="605" t="s">
        <v>310</v>
      </c>
      <c r="T1251" s="605" t="s">
        <v>310</v>
      </c>
    </row>
    <row r="1252" spans="1:20" s="88" customFormat="1" ht="36" x14ac:dyDescent="0.2">
      <c r="A1252" s="510">
        <f>IF(B1252="","",COUNT('Diário 1º PA'!$A$4:$A$2635)+ROW()-3)</f>
        <v>2985</v>
      </c>
      <c r="B1252" s="414">
        <v>44697</v>
      </c>
      <c r="C1252" s="421">
        <v>44652</v>
      </c>
      <c r="D1252" s="415" t="s">
        <v>271</v>
      </c>
      <c r="E1252" s="415" t="s">
        <v>92</v>
      </c>
      <c r="F1252" s="425">
        <v>500</v>
      </c>
      <c r="G1252" s="437" t="s">
        <v>1590</v>
      </c>
      <c r="H1252" s="415" t="s">
        <v>309</v>
      </c>
      <c r="I1252" s="437" t="s">
        <v>1304</v>
      </c>
      <c r="J1252" s="415" t="s">
        <v>1033</v>
      </c>
      <c r="K1252" s="415" t="s">
        <v>830</v>
      </c>
      <c r="L1252" s="399" t="s">
        <v>1305</v>
      </c>
      <c r="M1252" s="415" t="s">
        <v>310</v>
      </c>
      <c r="N1252" s="414">
        <v>44713</v>
      </c>
      <c r="O1252" s="414" t="s">
        <v>400</v>
      </c>
      <c r="P1252" s="603">
        <f t="shared" si="174"/>
        <v>5</v>
      </c>
      <c r="Q1252" s="603">
        <f t="shared" si="175"/>
        <v>4</v>
      </c>
      <c r="R1252" s="604" t="str">
        <f t="shared" si="176"/>
        <v>Gastos_Gerais</v>
      </c>
      <c r="S1252" s="605" t="s">
        <v>1000</v>
      </c>
      <c r="T1252" s="605">
        <v>2842</v>
      </c>
    </row>
    <row r="1253" spans="1:20" s="88" customFormat="1" ht="103.5" customHeight="1" x14ac:dyDescent="0.2">
      <c r="A1253" s="510">
        <f>IF(B1253="","",COUNT('Diário 1º PA'!$A$4:$A$2635)+ROW()-3)</f>
        <v>2986</v>
      </c>
      <c r="B1253" s="414">
        <v>44697</v>
      </c>
      <c r="C1253" s="431">
        <v>44652</v>
      </c>
      <c r="D1253" s="415" t="s">
        <v>271</v>
      </c>
      <c r="E1253" s="415" t="s">
        <v>456</v>
      </c>
      <c r="F1253" s="425">
        <v>14017.5</v>
      </c>
      <c r="G1253" s="423" t="s">
        <v>3285</v>
      </c>
      <c r="H1253" s="419" t="s">
        <v>792</v>
      </c>
      <c r="I1253" s="427" t="s">
        <v>4085</v>
      </c>
      <c r="J1253" s="415" t="s">
        <v>3278</v>
      </c>
      <c r="K1253" s="415" t="s">
        <v>830</v>
      </c>
      <c r="L1253" s="415" t="s">
        <v>807</v>
      </c>
      <c r="M1253" s="597">
        <v>132</v>
      </c>
      <c r="N1253" s="414">
        <v>44786</v>
      </c>
      <c r="O1253" s="414" t="s">
        <v>400</v>
      </c>
      <c r="P1253" s="603">
        <f t="shared" si="174"/>
        <v>5</v>
      </c>
      <c r="Q1253" s="603">
        <f t="shared" si="175"/>
        <v>4</v>
      </c>
      <c r="R1253" s="604" t="str">
        <f t="shared" si="176"/>
        <v>Gastos_Gerais</v>
      </c>
      <c r="S1253" s="605" t="s">
        <v>998</v>
      </c>
      <c r="T1253" s="605">
        <v>3362</v>
      </c>
    </row>
    <row r="1254" spans="1:20" s="88" customFormat="1" ht="96" x14ac:dyDescent="0.2">
      <c r="A1254" s="510">
        <f>IF(B1254="","",COUNT('Diário 1º PA'!$A$4:$A$2635)+ROW()-3)</f>
        <v>2987</v>
      </c>
      <c r="B1254" s="414">
        <v>44697</v>
      </c>
      <c r="C1254" s="431">
        <v>44593</v>
      </c>
      <c r="D1254" s="415" t="s">
        <v>271</v>
      </c>
      <c r="E1254" s="415" t="s">
        <v>456</v>
      </c>
      <c r="F1254" s="425">
        <v>800</v>
      </c>
      <c r="G1254" s="423" t="s">
        <v>1915</v>
      </c>
      <c r="H1254" s="419" t="s">
        <v>760</v>
      </c>
      <c r="I1254" s="427" t="s">
        <v>4119</v>
      </c>
      <c r="J1254" s="415" t="s">
        <v>1914</v>
      </c>
      <c r="K1254" s="415" t="s">
        <v>830</v>
      </c>
      <c r="L1254" s="415" t="s">
        <v>807</v>
      </c>
      <c r="M1254" s="415" t="s">
        <v>842</v>
      </c>
      <c r="N1254" s="414">
        <v>44694</v>
      </c>
      <c r="O1254" s="414" t="s">
        <v>400</v>
      </c>
      <c r="P1254" s="603">
        <f t="shared" si="174"/>
        <v>5</v>
      </c>
      <c r="Q1254" s="603">
        <f t="shared" si="175"/>
        <v>2</v>
      </c>
      <c r="R1254" s="604" t="str">
        <f t="shared" si="176"/>
        <v>Gastos_Gerais</v>
      </c>
      <c r="S1254" s="605" t="s">
        <v>998</v>
      </c>
      <c r="T1254" s="605">
        <v>2972</v>
      </c>
    </row>
    <row r="1255" spans="1:20" s="88" customFormat="1" ht="36" x14ac:dyDescent="0.2">
      <c r="A1255" s="510">
        <f>IF(B1255="","",COUNT('Diário 1º PA'!$A$4:$A$2635)+ROW()-3)</f>
        <v>2988</v>
      </c>
      <c r="B1255" s="414">
        <v>44697</v>
      </c>
      <c r="C1255" s="592">
        <v>44682</v>
      </c>
      <c r="D1255" s="415" t="s">
        <v>271</v>
      </c>
      <c r="E1255" s="415" t="s">
        <v>71</v>
      </c>
      <c r="F1255" s="425">
        <v>11</v>
      </c>
      <c r="G1255" s="427" t="s">
        <v>2452</v>
      </c>
      <c r="H1255" s="415" t="s">
        <v>309</v>
      </c>
      <c r="I1255" s="639" t="s">
        <v>881</v>
      </c>
      <c r="J1255" s="418" t="s">
        <v>882</v>
      </c>
      <c r="K1255" s="418" t="s">
        <v>883</v>
      </c>
      <c r="L1255" s="399" t="s">
        <v>798</v>
      </c>
      <c r="M1255" s="544" t="s">
        <v>310</v>
      </c>
      <c r="N1255" s="414">
        <v>44697</v>
      </c>
      <c r="O1255" s="414" t="s">
        <v>400</v>
      </c>
      <c r="P1255" s="603">
        <f t="shared" si="174"/>
        <v>5</v>
      </c>
      <c r="Q1255" s="603">
        <f t="shared" si="175"/>
        <v>5</v>
      </c>
      <c r="R1255" s="604" t="str">
        <f t="shared" si="176"/>
        <v>Gastos_Gerais</v>
      </c>
      <c r="S1255" s="605" t="s">
        <v>310</v>
      </c>
      <c r="T1255" s="605" t="s">
        <v>310</v>
      </c>
    </row>
    <row r="1256" spans="1:20" s="88" customFormat="1" ht="36" x14ac:dyDescent="0.2">
      <c r="A1256" s="510">
        <f>IF(B1256="","",COUNT('Diário 1º PA'!$A$4:$A$2635)+ROW()-3)</f>
        <v>2989</v>
      </c>
      <c r="B1256" s="414">
        <v>44697</v>
      </c>
      <c r="C1256" s="592">
        <v>44682</v>
      </c>
      <c r="D1256" s="415" t="s">
        <v>271</v>
      </c>
      <c r="E1256" s="415" t="s">
        <v>71</v>
      </c>
      <c r="F1256" s="425">
        <v>11</v>
      </c>
      <c r="G1256" s="427" t="s">
        <v>4120</v>
      </c>
      <c r="H1256" s="419" t="s">
        <v>792</v>
      </c>
      <c r="I1256" s="427" t="s">
        <v>881</v>
      </c>
      <c r="J1256" s="415" t="s">
        <v>882</v>
      </c>
      <c r="K1256" s="415" t="s">
        <v>883</v>
      </c>
      <c r="L1256" s="415" t="s">
        <v>798</v>
      </c>
      <c r="M1256" s="415" t="s">
        <v>310</v>
      </c>
      <c r="N1256" s="414">
        <v>44697</v>
      </c>
      <c r="O1256" s="414" t="s">
        <v>400</v>
      </c>
      <c r="P1256" s="603">
        <f t="shared" si="174"/>
        <v>5</v>
      </c>
      <c r="Q1256" s="603">
        <f t="shared" si="175"/>
        <v>5</v>
      </c>
      <c r="R1256" s="604" t="str">
        <f t="shared" si="176"/>
        <v>Gastos_Gerais</v>
      </c>
      <c r="S1256" s="605" t="s">
        <v>310</v>
      </c>
      <c r="T1256" s="605" t="s">
        <v>310</v>
      </c>
    </row>
    <row r="1257" spans="1:20" ht="123.75" customHeight="1" x14ac:dyDescent="0.2">
      <c r="A1257" s="510">
        <f>IF(B1257="","",COUNT('Diário 1º PA'!$A$4:$A$2635)+ROW()-3)</f>
        <v>2990</v>
      </c>
      <c r="B1257" s="414">
        <v>44697</v>
      </c>
      <c r="C1257" s="592">
        <v>44682</v>
      </c>
      <c r="D1257" s="415" t="s">
        <v>271</v>
      </c>
      <c r="E1257" s="415" t="s">
        <v>71</v>
      </c>
      <c r="F1257" s="425">
        <v>11</v>
      </c>
      <c r="G1257" s="427" t="s">
        <v>4121</v>
      </c>
      <c r="H1257" s="419" t="s">
        <v>760</v>
      </c>
      <c r="I1257" s="427" t="s">
        <v>881</v>
      </c>
      <c r="J1257" s="415" t="s">
        <v>882</v>
      </c>
      <c r="K1257" s="415" t="s">
        <v>883</v>
      </c>
      <c r="L1257" s="415" t="s">
        <v>798</v>
      </c>
      <c r="M1257" s="415" t="s">
        <v>310</v>
      </c>
      <c r="N1257" s="414">
        <v>44697</v>
      </c>
      <c r="O1257" s="414" t="s">
        <v>400</v>
      </c>
      <c r="P1257" s="603">
        <f t="shared" ref="P1257:P1264" si="177">IF(B1257=0,0,IF(YEAR(B1257)=$Q$1,MONTH(B1257)-$P$1+1,(YEAR(B1257)-$Q$1)*12-$P$1+1+MONTH(B1257)))</f>
        <v>5</v>
      </c>
      <c r="Q1257" s="603">
        <f t="shared" ref="Q1257:Q1264" si="178">IF(C1257=0,0,IF(YEAR(C1257)=$Q$1,MONTH(C1257)-$P$1+1,(YEAR(C1257)-$Q$1)*12-$P$1+1+MONTH(C1257)))</f>
        <v>5</v>
      </c>
      <c r="R1257" s="604" t="str">
        <f t="shared" ref="R1257:R1264" si="179">SUBSTITUTE(D1257," ","_")</f>
        <v>Gastos_Gerais</v>
      </c>
      <c r="S1257" s="605" t="s">
        <v>310</v>
      </c>
      <c r="T1257" s="605" t="s">
        <v>310</v>
      </c>
    </row>
    <row r="1258" spans="1:20" ht="108" x14ac:dyDescent="0.2">
      <c r="A1258" s="510">
        <f>IF(B1258="","",COUNT('Diário 1º PA'!$A$4:$A$2635)+ROW()-3)</f>
        <v>2991</v>
      </c>
      <c r="B1258" s="414">
        <v>44697</v>
      </c>
      <c r="C1258" s="592">
        <v>44652</v>
      </c>
      <c r="D1258" s="415" t="s">
        <v>468</v>
      </c>
      <c r="E1258" s="415" t="s">
        <v>468</v>
      </c>
      <c r="F1258" s="425">
        <v>5000</v>
      </c>
      <c r="G1258" s="427" t="s">
        <v>3239</v>
      </c>
      <c r="H1258" s="419" t="s">
        <v>468</v>
      </c>
      <c r="I1258" s="427" t="s">
        <v>5107</v>
      </c>
      <c r="J1258" s="415" t="s">
        <v>3240</v>
      </c>
      <c r="K1258" s="415" t="s">
        <v>830</v>
      </c>
      <c r="L1258" s="415" t="s">
        <v>807</v>
      </c>
      <c r="M1258" s="415">
        <v>185</v>
      </c>
      <c r="N1258" s="414">
        <v>44693</v>
      </c>
      <c r="O1258" s="414" t="s">
        <v>407</v>
      </c>
      <c r="P1258" s="603">
        <f t="shared" si="177"/>
        <v>5</v>
      </c>
      <c r="Q1258" s="603">
        <f t="shared" si="178"/>
        <v>4</v>
      </c>
      <c r="R1258" s="604" t="str">
        <f t="shared" si="179"/>
        <v>Gastos_custeados_por_captação</v>
      </c>
      <c r="S1258" s="605" t="s">
        <v>998</v>
      </c>
      <c r="T1258" s="605">
        <v>3264</v>
      </c>
    </row>
    <row r="1259" spans="1:20" ht="72" x14ac:dyDescent="0.2">
      <c r="A1259" s="510">
        <f>IF(B1259="","",COUNT('Diário 1º PA'!$A$4:$A$2635)+ROW()-3)</f>
        <v>2992</v>
      </c>
      <c r="B1259" s="414">
        <v>44697</v>
      </c>
      <c r="C1259" s="592">
        <v>44621</v>
      </c>
      <c r="D1259" s="415" t="s">
        <v>468</v>
      </c>
      <c r="E1259" s="415" t="s">
        <v>468</v>
      </c>
      <c r="F1259" s="425">
        <v>3510</v>
      </c>
      <c r="G1259" s="427" t="s">
        <v>2656</v>
      </c>
      <c r="H1259" s="419" t="s">
        <v>468</v>
      </c>
      <c r="I1259" s="427" t="s">
        <v>4303</v>
      </c>
      <c r="J1259" s="415" t="s">
        <v>2657</v>
      </c>
      <c r="K1259" s="415" t="s">
        <v>830</v>
      </c>
      <c r="L1259" s="415" t="s">
        <v>1305</v>
      </c>
      <c r="M1259" s="415">
        <v>20981</v>
      </c>
      <c r="N1259" s="414">
        <v>44694</v>
      </c>
      <c r="O1259" s="414" t="s">
        <v>407</v>
      </c>
      <c r="P1259" s="603">
        <f t="shared" si="177"/>
        <v>5</v>
      </c>
      <c r="Q1259" s="603">
        <f t="shared" si="178"/>
        <v>3</v>
      </c>
      <c r="R1259" s="604" t="str">
        <f t="shared" si="179"/>
        <v>Gastos_custeados_por_captação</v>
      </c>
      <c r="S1259" s="605" t="s">
        <v>998</v>
      </c>
      <c r="T1259" s="605">
        <v>3090</v>
      </c>
    </row>
    <row r="1260" spans="1:20" ht="72" x14ac:dyDescent="0.2">
      <c r="A1260" s="510">
        <f>IF(B1260="","",COUNT('Diário 1º PA'!$A$4:$A$2635)+ROW()-3)</f>
        <v>2993</v>
      </c>
      <c r="B1260" s="414">
        <v>44697</v>
      </c>
      <c r="C1260" s="592">
        <v>44652</v>
      </c>
      <c r="D1260" s="415" t="s">
        <v>468</v>
      </c>
      <c r="E1260" s="415" t="s">
        <v>468</v>
      </c>
      <c r="F1260" s="425">
        <v>8020.89</v>
      </c>
      <c r="G1260" s="427" t="s">
        <v>4020</v>
      </c>
      <c r="H1260" s="419" t="s">
        <v>468</v>
      </c>
      <c r="I1260" s="427" t="s">
        <v>4511</v>
      </c>
      <c r="J1260" s="415" t="s">
        <v>1594</v>
      </c>
      <c r="K1260" s="415" t="s">
        <v>2973</v>
      </c>
      <c r="L1260" s="415" t="s">
        <v>807</v>
      </c>
      <c r="M1260" s="415" t="s">
        <v>5108</v>
      </c>
      <c r="N1260" s="414">
        <v>44696</v>
      </c>
      <c r="O1260" s="414" t="s">
        <v>407</v>
      </c>
      <c r="P1260" s="603">
        <f t="shared" si="177"/>
        <v>5</v>
      </c>
      <c r="Q1260" s="603">
        <f t="shared" si="178"/>
        <v>4</v>
      </c>
      <c r="R1260" s="604" t="str">
        <f t="shared" si="179"/>
        <v>Gastos_custeados_por_captação</v>
      </c>
      <c r="S1260" s="605" t="s">
        <v>998</v>
      </c>
      <c r="T1260" s="605">
        <v>3660</v>
      </c>
    </row>
    <row r="1261" spans="1:20" ht="72" x14ac:dyDescent="0.2">
      <c r="A1261" s="510">
        <f>IF(B1261="","",COUNT('Diário 1º PA'!$A$4:$A$2635)+ROW()-3)</f>
        <v>2994</v>
      </c>
      <c r="B1261" s="414">
        <v>44697</v>
      </c>
      <c r="C1261" s="592">
        <v>44652</v>
      </c>
      <c r="D1261" s="415" t="s">
        <v>468</v>
      </c>
      <c r="E1261" s="415" t="s">
        <v>468</v>
      </c>
      <c r="F1261" s="425">
        <v>15335.43</v>
      </c>
      <c r="G1261" s="427" t="s">
        <v>5109</v>
      </c>
      <c r="H1261" s="419" t="s">
        <v>468</v>
      </c>
      <c r="I1261" s="427" t="s">
        <v>4709</v>
      </c>
      <c r="J1261" s="415" t="s">
        <v>1161</v>
      </c>
      <c r="K1261" s="415" t="s">
        <v>830</v>
      </c>
      <c r="L1261" s="415" t="s">
        <v>807</v>
      </c>
      <c r="M1261" s="415" t="s">
        <v>1793</v>
      </c>
      <c r="N1261" s="414">
        <v>44694</v>
      </c>
      <c r="O1261" s="414" t="s">
        <v>407</v>
      </c>
      <c r="P1261" s="603">
        <f t="shared" si="177"/>
        <v>5</v>
      </c>
      <c r="Q1261" s="603">
        <f t="shared" si="178"/>
        <v>4</v>
      </c>
      <c r="R1261" s="604" t="str">
        <f t="shared" si="179"/>
        <v>Gastos_custeados_por_captação</v>
      </c>
      <c r="S1261" s="605" t="s">
        <v>1000</v>
      </c>
      <c r="T1261" s="605">
        <v>3330</v>
      </c>
    </row>
    <row r="1262" spans="1:20" ht="72" x14ac:dyDescent="0.2">
      <c r="A1262" s="510">
        <f>IF(B1262="","",COUNT('Diário 1º PA'!$A$4:$A$2635)+ROW()-3)</f>
        <v>2995</v>
      </c>
      <c r="B1262" s="414">
        <v>44697</v>
      </c>
      <c r="C1262" s="466">
        <v>44621</v>
      </c>
      <c r="D1262" s="415" t="s">
        <v>468</v>
      </c>
      <c r="E1262" s="415" t="s">
        <v>468</v>
      </c>
      <c r="F1262" s="425">
        <v>424.65</v>
      </c>
      <c r="G1262" s="427" t="s">
        <v>4803</v>
      </c>
      <c r="H1262" s="434" t="s">
        <v>468</v>
      </c>
      <c r="I1262" s="639" t="s">
        <v>4691</v>
      </c>
      <c r="J1262" s="418" t="s">
        <v>4804</v>
      </c>
      <c r="K1262" s="418" t="s">
        <v>830</v>
      </c>
      <c r="L1262" s="399" t="s">
        <v>807</v>
      </c>
      <c r="M1262" s="415">
        <v>20222192</v>
      </c>
      <c r="N1262" s="414">
        <v>44680</v>
      </c>
      <c r="O1262" s="414" t="s">
        <v>407</v>
      </c>
      <c r="P1262" s="603">
        <f>IF(B1262=0,0,IF(YEAR(B1262)=$Q$1,MONTH(B1262)-$P$1+1,(YEAR(B1262)-$Q$1)*12-$P$1+1+MONTH(B1262)))</f>
        <v>5</v>
      </c>
      <c r="Q1262" s="603">
        <f>IF(C1262=0,0,IF(YEAR(C1262)=$Q$1,MONTH(C1262)-$P$1+1,(YEAR(C1262)-$Q$1)*12-$P$1+1+MONTH(C1262)))</f>
        <v>3</v>
      </c>
      <c r="R1262" s="604" t="str">
        <f>SUBSTITUTE(D1262," ","_")</f>
        <v>Gastos_custeados_por_captação</v>
      </c>
      <c r="S1262" s="605" t="s">
        <v>1000</v>
      </c>
      <c r="T1262" s="605">
        <v>3233</v>
      </c>
    </row>
    <row r="1263" spans="1:20" ht="132.75" customHeight="1" x14ac:dyDescent="0.2">
      <c r="A1263" s="510">
        <f>IF(B1263="","",COUNT('Diário 1º PA'!$A$4:$A$2635)+ROW()-3)</f>
        <v>2996</v>
      </c>
      <c r="B1263" s="414">
        <v>44697</v>
      </c>
      <c r="C1263" s="592">
        <v>44652</v>
      </c>
      <c r="D1263" s="415" t="s">
        <v>468</v>
      </c>
      <c r="E1263" s="415" t="s">
        <v>468</v>
      </c>
      <c r="F1263" s="425">
        <v>35276.400000000001</v>
      </c>
      <c r="G1263" s="427" t="s">
        <v>5109</v>
      </c>
      <c r="H1263" s="419" t="s">
        <v>468</v>
      </c>
      <c r="I1263" s="427" t="s">
        <v>4709</v>
      </c>
      <c r="J1263" s="415" t="s">
        <v>1161</v>
      </c>
      <c r="K1263" s="415" t="s">
        <v>830</v>
      </c>
      <c r="L1263" s="415" t="s">
        <v>807</v>
      </c>
      <c r="M1263" s="415" t="s">
        <v>3672</v>
      </c>
      <c r="N1263" s="414">
        <v>44694</v>
      </c>
      <c r="O1263" s="414" t="s">
        <v>407</v>
      </c>
      <c r="P1263" s="603">
        <f t="shared" si="177"/>
        <v>5</v>
      </c>
      <c r="Q1263" s="603">
        <f t="shared" si="178"/>
        <v>4</v>
      </c>
      <c r="R1263" s="604" t="str">
        <f t="shared" si="179"/>
        <v>Gastos_custeados_por_captação</v>
      </c>
      <c r="S1263" s="605" t="s">
        <v>998</v>
      </c>
      <c r="T1263" s="605">
        <v>3330</v>
      </c>
    </row>
    <row r="1264" spans="1:20" ht="120" x14ac:dyDescent="0.2">
      <c r="A1264" s="510">
        <f>IF(B1264="","",COUNT('Diário 1º PA'!$A$4:$A$2635)+ROW()-3)</f>
        <v>2997</v>
      </c>
      <c r="B1264" s="414">
        <v>44697</v>
      </c>
      <c r="C1264" s="592">
        <v>44621</v>
      </c>
      <c r="D1264" s="415" t="s">
        <v>468</v>
      </c>
      <c r="E1264" s="415" t="s">
        <v>468</v>
      </c>
      <c r="F1264" s="425">
        <v>6559.16</v>
      </c>
      <c r="G1264" s="427" t="s">
        <v>5110</v>
      </c>
      <c r="H1264" s="419" t="s">
        <v>468</v>
      </c>
      <c r="I1264" s="427" t="s">
        <v>5111</v>
      </c>
      <c r="J1264" s="415" t="s">
        <v>5112</v>
      </c>
      <c r="K1264" s="415" t="s">
        <v>830</v>
      </c>
      <c r="L1264" s="415" t="s">
        <v>839</v>
      </c>
      <c r="M1264" s="415">
        <v>1761</v>
      </c>
      <c r="N1264" s="414">
        <v>44693</v>
      </c>
      <c r="O1264" s="414" t="s">
        <v>407</v>
      </c>
      <c r="P1264" s="603">
        <f t="shared" si="177"/>
        <v>5</v>
      </c>
      <c r="Q1264" s="603">
        <f t="shared" si="178"/>
        <v>3</v>
      </c>
      <c r="R1264" s="604" t="str">
        <f t="shared" si="179"/>
        <v>Gastos_custeados_por_captação</v>
      </c>
      <c r="S1264" s="605" t="s">
        <v>1000</v>
      </c>
      <c r="T1264" s="605">
        <v>3158</v>
      </c>
    </row>
    <row r="1265" spans="1:20" s="88" customFormat="1" ht="97.5" customHeight="1" x14ac:dyDescent="0.2">
      <c r="A1265" s="510">
        <f>IF(B1265="","",COUNT('Diário 1º PA'!$A$4:$A$2635)+ROW()-3)</f>
        <v>2998</v>
      </c>
      <c r="B1265" s="414">
        <v>44697</v>
      </c>
      <c r="C1265" s="592">
        <v>44652</v>
      </c>
      <c r="D1265" s="415" t="s">
        <v>468</v>
      </c>
      <c r="E1265" s="415" t="s">
        <v>468</v>
      </c>
      <c r="F1265" s="425">
        <v>172.78</v>
      </c>
      <c r="G1265" s="427" t="s">
        <v>5113</v>
      </c>
      <c r="H1265" s="419" t="s">
        <v>468</v>
      </c>
      <c r="I1265" s="427" t="s">
        <v>1304</v>
      </c>
      <c r="J1265" s="415" t="s">
        <v>1033</v>
      </c>
      <c r="K1265" s="415" t="s">
        <v>830</v>
      </c>
      <c r="L1265" s="415" t="s">
        <v>1305</v>
      </c>
      <c r="M1265" s="415" t="s">
        <v>310</v>
      </c>
      <c r="N1265" s="414">
        <v>44697</v>
      </c>
      <c r="O1265" s="414" t="s">
        <v>407</v>
      </c>
      <c r="P1265" s="603">
        <f t="shared" ref="P1265:Q1272" si="180">IF(B1265=0,0,IF(YEAR(B1265)=$Q$1,MONTH(B1265)-$P$1+1,(YEAR(B1265)-$Q$1)*12-$P$1+1+MONTH(B1265)))</f>
        <v>5</v>
      </c>
      <c r="Q1265" s="603">
        <f t="shared" si="180"/>
        <v>4</v>
      </c>
      <c r="R1265" s="604" t="str">
        <f t="shared" ref="R1265:R1297" si="181">SUBSTITUTE(D1265," ","_")</f>
        <v>Gastos_custeados_por_captação</v>
      </c>
      <c r="S1265" s="605" t="s">
        <v>310</v>
      </c>
      <c r="T1265" s="605" t="s">
        <v>310</v>
      </c>
    </row>
    <row r="1266" spans="1:20" s="88" customFormat="1" ht="72" x14ac:dyDescent="0.2">
      <c r="A1266" s="510">
        <f>IF(B1266="","",COUNT('Diário 1º PA'!$A$4:$A$2635)+ROW()-3)</f>
        <v>2999</v>
      </c>
      <c r="B1266" s="414">
        <v>44697</v>
      </c>
      <c r="C1266" s="592">
        <v>44652</v>
      </c>
      <c r="D1266" s="415" t="s">
        <v>468</v>
      </c>
      <c r="E1266" s="415" t="s">
        <v>468</v>
      </c>
      <c r="F1266" s="425">
        <v>1482.97</v>
      </c>
      <c r="G1266" s="427" t="s">
        <v>552</v>
      </c>
      <c r="H1266" s="419" t="s">
        <v>468</v>
      </c>
      <c r="I1266" s="427" t="s">
        <v>1785</v>
      </c>
      <c r="J1266" s="415" t="s">
        <v>1044</v>
      </c>
      <c r="K1266" s="415" t="s">
        <v>830</v>
      </c>
      <c r="L1266" s="415" t="s">
        <v>807</v>
      </c>
      <c r="M1266" s="415" t="s">
        <v>5514</v>
      </c>
      <c r="N1266" s="414">
        <v>44690</v>
      </c>
      <c r="O1266" s="414" t="s">
        <v>402</v>
      </c>
      <c r="P1266" s="603">
        <f t="shared" si="180"/>
        <v>5</v>
      </c>
      <c r="Q1266" s="603">
        <f t="shared" si="180"/>
        <v>4</v>
      </c>
      <c r="R1266" s="604" t="str">
        <f t="shared" si="181"/>
        <v>Gastos_custeados_por_captação</v>
      </c>
      <c r="S1266" s="605" t="s">
        <v>1000</v>
      </c>
      <c r="T1266" s="605">
        <v>1371</v>
      </c>
    </row>
    <row r="1267" spans="1:20" s="88" customFormat="1" ht="72" x14ac:dyDescent="0.2">
      <c r="A1267" s="510">
        <f>IF(B1267="","",COUNT('Diário 1º PA'!$A$4:$A$2635)+ROW()-3)</f>
        <v>3000</v>
      </c>
      <c r="B1267" s="414">
        <v>44697</v>
      </c>
      <c r="C1267" s="592">
        <v>44652</v>
      </c>
      <c r="D1267" s="415" t="s">
        <v>468</v>
      </c>
      <c r="E1267" s="415" t="s">
        <v>468</v>
      </c>
      <c r="F1267" s="425">
        <v>3260.8</v>
      </c>
      <c r="G1267" s="427" t="s">
        <v>5515</v>
      </c>
      <c r="H1267" s="419" t="s">
        <v>468</v>
      </c>
      <c r="I1267" s="427" t="s">
        <v>5516</v>
      </c>
      <c r="J1267" s="415" t="s">
        <v>2579</v>
      </c>
      <c r="K1267" s="415" t="s">
        <v>830</v>
      </c>
      <c r="L1267" s="415" t="s">
        <v>839</v>
      </c>
      <c r="M1267" s="415">
        <v>1732</v>
      </c>
      <c r="N1267" s="414">
        <v>44684</v>
      </c>
      <c r="O1267" s="414" t="s">
        <v>402</v>
      </c>
      <c r="P1267" s="603">
        <f t="shared" si="180"/>
        <v>5</v>
      </c>
      <c r="Q1267" s="603">
        <f t="shared" si="180"/>
        <v>4</v>
      </c>
      <c r="R1267" s="604" t="str">
        <f t="shared" si="181"/>
        <v>Gastos_custeados_por_captação</v>
      </c>
      <c r="S1267" s="605" t="s">
        <v>998</v>
      </c>
      <c r="T1267" s="605">
        <v>2720</v>
      </c>
    </row>
    <row r="1268" spans="1:20" s="88" customFormat="1" ht="72" x14ac:dyDescent="0.2">
      <c r="A1268" s="510">
        <f>IF(B1268="","",COUNT('Diário 1º PA'!$A$4:$A$2635)+ROW()-3)</f>
        <v>3001</v>
      </c>
      <c r="B1268" s="414">
        <v>44697</v>
      </c>
      <c r="C1268" s="592">
        <v>44682</v>
      </c>
      <c r="D1268" s="415" t="s">
        <v>468</v>
      </c>
      <c r="E1268" s="415" t="s">
        <v>468</v>
      </c>
      <c r="F1268" s="425">
        <v>11</v>
      </c>
      <c r="G1268" s="427" t="s">
        <v>5380</v>
      </c>
      <c r="H1268" s="419" t="s">
        <v>468</v>
      </c>
      <c r="I1268" s="639" t="s">
        <v>881</v>
      </c>
      <c r="J1268" s="418" t="s">
        <v>882</v>
      </c>
      <c r="K1268" s="418" t="s">
        <v>883</v>
      </c>
      <c r="L1268" s="399" t="s">
        <v>798</v>
      </c>
      <c r="M1268" s="544" t="s">
        <v>310</v>
      </c>
      <c r="N1268" s="414">
        <v>44697</v>
      </c>
      <c r="O1268" s="414" t="s">
        <v>402</v>
      </c>
      <c r="P1268" s="603">
        <f t="shared" si="180"/>
        <v>5</v>
      </c>
      <c r="Q1268" s="603">
        <f t="shared" si="180"/>
        <v>5</v>
      </c>
      <c r="R1268" s="604" t="str">
        <f t="shared" si="181"/>
        <v>Gastos_custeados_por_captação</v>
      </c>
      <c r="S1268" s="605" t="s">
        <v>310</v>
      </c>
      <c r="T1268" s="605" t="s">
        <v>310</v>
      </c>
    </row>
    <row r="1269" spans="1:20" s="88" customFormat="1" ht="72" x14ac:dyDescent="0.2">
      <c r="A1269" s="510">
        <f>IF(B1269="","",COUNT('Diário 1º PA'!$A$4:$A$2635)+ROW()-3)</f>
        <v>3002</v>
      </c>
      <c r="B1269" s="414">
        <v>44697</v>
      </c>
      <c r="C1269" s="592">
        <v>44682</v>
      </c>
      <c r="D1269" s="415" t="s">
        <v>468</v>
      </c>
      <c r="E1269" s="415" t="s">
        <v>468</v>
      </c>
      <c r="F1269" s="425">
        <v>11</v>
      </c>
      <c r="G1269" s="427" t="s">
        <v>5380</v>
      </c>
      <c r="H1269" s="419" t="s">
        <v>468</v>
      </c>
      <c r="I1269" s="639" t="s">
        <v>881</v>
      </c>
      <c r="J1269" s="418" t="s">
        <v>882</v>
      </c>
      <c r="K1269" s="418" t="s">
        <v>883</v>
      </c>
      <c r="L1269" s="399" t="s">
        <v>798</v>
      </c>
      <c r="M1269" s="544" t="s">
        <v>310</v>
      </c>
      <c r="N1269" s="414">
        <v>44697</v>
      </c>
      <c r="O1269" s="414" t="s">
        <v>402</v>
      </c>
      <c r="P1269" s="603">
        <f t="shared" si="180"/>
        <v>5</v>
      </c>
      <c r="Q1269" s="603">
        <f t="shared" si="180"/>
        <v>5</v>
      </c>
      <c r="R1269" s="604" t="str">
        <f t="shared" si="181"/>
        <v>Gastos_custeados_por_captação</v>
      </c>
      <c r="S1269" s="605" t="s">
        <v>310</v>
      </c>
      <c r="T1269" s="605" t="s">
        <v>310</v>
      </c>
    </row>
    <row r="1270" spans="1:20" s="88" customFormat="1" ht="36" x14ac:dyDescent="0.2">
      <c r="A1270" s="510">
        <f>IF(B1270="","",COUNT('Diário 1º PA'!$A$4:$A$2635)+ROW()-3)</f>
        <v>3003</v>
      </c>
      <c r="B1270" s="414">
        <v>44697</v>
      </c>
      <c r="C1270" s="433">
        <v>44652</v>
      </c>
      <c r="D1270" s="415" t="s">
        <v>271</v>
      </c>
      <c r="E1270" s="415" t="s">
        <v>164</v>
      </c>
      <c r="F1270" s="425">
        <v>-142.6</v>
      </c>
      <c r="G1270" s="427" t="s">
        <v>4133</v>
      </c>
      <c r="H1270" s="415" t="s">
        <v>309</v>
      </c>
      <c r="I1270" s="427" t="s">
        <v>795</v>
      </c>
      <c r="J1270" s="415" t="s">
        <v>796</v>
      </c>
      <c r="K1270" s="415" t="s">
        <v>797</v>
      </c>
      <c r="L1270" s="415" t="s">
        <v>798</v>
      </c>
      <c r="M1270" s="415" t="s">
        <v>310</v>
      </c>
      <c r="N1270" s="414">
        <v>44697</v>
      </c>
      <c r="O1270" s="414" t="s">
        <v>400</v>
      </c>
      <c r="P1270" s="603">
        <f t="shared" si="180"/>
        <v>5</v>
      </c>
      <c r="Q1270" s="603">
        <f t="shared" si="180"/>
        <v>4</v>
      </c>
      <c r="R1270" s="604" t="str">
        <f t="shared" si="181"/>
        <v>Gastos_Gerais</v>
      </c>
      <c r="S1270" s="605" t="s">
        <v>310</v>
      </c>
      <c r="T1270" s="605" t="s">
        <v>310</v>
      </c>
    </row>
    <row r="1271" spans="1:20" s="88" customFormat="1" ht="48" x14ac:dyDescent="0.2">
      <c r="A1271" s="510">
        <f>IF(B1271="","",COUNT('Diário 1º PA'!$A$4:$A$2635)+ROW()-3)</f>
        <v>3004</v>
      </c>
      <c r="B1271" s="414">
        <v>44698</v>
      </c>
      <c r="C1271" s="433">
        <v>44652</v>
      </c>
      <c r="D1271" s="415" t="s">
        <v>271</v>
      </c>
      <c r="E1271" s="415" t="s">
        <v>85</v>
      </c>
      <c r="F1271" s="425">
        <v>-111.56</v>
      </c>
      <c r="G1271" s="427" t="s">
        <v>4134</v>
      </c>
      <c r="H1271" s="415" t="s">
        <v>309</v>
      </c>
      <c r="I1271" s="427" t="s">
        <v>795</v>
      </c>
      <c r="J1271" s="415" t="s">
        <v>796</v>
      </c>
      <c r="K1271" s="415" t="s">
        <v>797</v>
      </c>
      <c r="L1271" s="415" t="s">
        <v>798</v>
      </c>
      <c r="M1271" s="415" t="s">
        <v>310</v>
      </c>
      <c r="N1271" s="414">
        <v>44697</v>
      </c>
      <c r="O1271" s="414" t="s">
        <v>400</v>
      </c>
      <c r="P1271" s="603">
        <f t="shared" si="180"/>
        <v>5</v>
      </c>
      <c r="Q1271" s="603">
        <f t="shared" si="180"/>
        <v>4</v>
      </c>
      <c r="R1271" s="604" t="str">
        <f t="shared" si="181"/>
        <v>Gastos_Gerais</v>
      </c>
      <c r="S1271" s="605" t="s">
        <v>310</v>
      </c>
      <c r="T1271" s="605" t="s">
        <v>310</v>
      </c>
    </row>
    <row r="1272" spans="1:20" s="88" customFormat="1" ht="36" x14ac:dyDescent="0.2">
      <c r="A1272" s="510">
        <f>IF(B1272="","",COUNT('Diário 1º PA'!$A$4:$A$2635)+ROW()-3)</f>
        <v>3005</v>
      </c>
      <c r="B1272" s="414">
        <v>44698</v>
      </c>
      <c r="C1272" s="424">
        <v>44652</v>
      </c>
      <c r="D1272" s="415" t="s">
        <v>182</v>
      </c>
      <c r="E1272" s="415" t="s">
        <v>1</v>
      </c>
      <c r="F1272" s="425">
        <v>31.07</v>
      </c>
      <c r="G1272" s="427" t="s">
        <v>4139</v>
      </c>
      <c r="H1272" s="415" t="s">
        <v>310</v>
      </c>
      <c r="I1272" s="427" t="s">
        <v>916</v>
      </c>
      <c r="J1272" s="415" t="s">
        <v>917</v>
      </c>
      <c r="K1272" s="415" t="s">
        <v>806</v>
      </c>
      <c r="L1272" s="415" t="s">
        <v>909</v>
      </c>
      <c r="M1272" s="415" t="s">
        <v>310</v>
      </c>
      <c r="N1272" s="414">
        <v>44698</v>
      </c>
      <c r="O1272" s="414" t="s">
        <v>400</v>
      </c>
      <c r="P1272" s="603">
        <f t="shared" si="180"/>
        <v>5</v>
      </c>
      <c r="Q1272" s="603">
        <f t="shared" si="180"/>
        <v>4</v>
      </c>
      <c r="R1272" s="604" t="str">
        <f t="shared" si="181"/>
        <v>Gastos_com_Pessoal</v>
      </c>
      <c r="S1272" s="605" t="s">
        <v>310</v>
      </c>
      <c r="T1272" s="605" t="s">
        <v>310</v>
      </c>
    </row>
    <row r="1273" spans="1:20" s="88" customFormat="1" ht="36" x14ac:dyDescent="0.2">
      <c r="A1273" s="510">
        <f>IF(B1273="","",COUNT('Diário 1º PA'!$A$4:$A$2635)+ROW()-3)</f>
        <v>3006</v>
      </c>
      <c r="B1273" s="414">
        <v>44698</v>
      </c>
      <c r="C1273" s="424">
        <v>44652</v>
      </c>
      <c r="D1273" s="415" t="s">
        <v>182</v>
      </c>
      <c r="E1273" s="415" t="s">
        <v>1</v>
      </c>
      <c r="F1273" s="425">
        <v>158.66999999999999</v>
      </c>
      <c r="G1273" s="427" t="s">
        <v>4138</v>
      </c>
      <c r="H1273" s="415" t="s">
        <v>310</v>
      </c>
      <c r="I1273" s="427" t="s">
        <v>923</v>
      </c>
      <c r="J1273" s="415" t="s">
        <v>924</v>
      </c>
      <c r="K1273" s="415" t="s">
        <v>806</v>
      </c>
      <c r="L1273" s="415" t="s">
        <v>909</v>
      </c>
      <c r="M1273" s="415" t="s">
        <v>310</v>
      </c>
      <c r="N1273" s="414">
        <v>44698</v>
      </c>
      <c r="O1273" s="414" t="s">
        <v>400</v>
      </c>
      <c r="P1273" s="603">
        <f t="shared" ref="P1273:P1345" si="182">IF(B1273=0,0,IF(YEAR(B1273)=$Q$1,MONTH(B1273)-$P$1+1,(YEAR(B1273)-$Q$1)*12-$P$1+1+MONTH(B1273)))</f>
        <v>5</v>
      </c>
      <c r="Q1273" s="603">
        <f t="shared" ref="Q1273:Q1345" si="183">IF(C1273=0,0,IF(YEAR(C1273)=$Q$1,MONTH(C1273)-$P$1+1,(YEAR(C1273)-$Q$1)*12-$P$1+1+MONTH(C1273)))</f>
        <v>4</v>
      </c>
      <c r="R1273" s="604" t="str">
        <f t="shared" si="181"/>
        <v>Gastos_com_Pessoal</v>
      </c>
      <c r="S1273" s="605" t="s">
        <v>310</v>
      </c>
      <c r="T1273" s="605" t="s">
        <v>310</v>
      </c>
    </row>
    <row r="1274" spans="1:20" s="88" customFormat="1" ht="36" x14ac:dyDescent="0.2">
      <c r="A1274" s="510">
        <f>IF(B1274="","",COUNT('Diário 1º PA'!$A$4:$A$2635)+ROW()-3)</f>
        <v>3007</v>
      </c>
      <c r="B1274" s="414">
        <v>44698</v>
      </c>
      <c r="C1274" s="433">
        <v>44652</v>
      </c>
      <c r="D1274" s="434" t="s">
        <v>271</v>
      </c>
      <c r="E1274" s="434" t="s">
        <v>442</v>
      </c>
      <c r="F1274" s="425">
        <v>3605</v>
      </c>
      <c r="G1274" s="427" t="s">
        <v>3266</v>
      </c>
      <c r="H1274" s="415" t="s">
        <v>792</v>
      </c>
      <c r="I1274" s="427" t="s">
        <v>4135</v>
      </c>
      <c r="J1274" s="415" t="s">
        <v>3267</v>
      </c>
      <c r="K1274" s="415" t="s">
        <v>806</v>
      </c>
      <c r="L1274" s="415" t="s">
        <v>839</v>
      </c>
      <c r="M1274" s="546">
        <v>1717</v>
      </c>
      <c r="N1274" s="414">
        <v>44677</v>
      </c>
      <c r="O1274" s="414" t="s">
        <v>400</v>
      </c>
      <c r="P1274" s="603">
        <f t="shared" si="182"/>
        <v>5</v>
      </c>
      <c r="Q1274" s="603">
        <f t="shared" si="183"/>
        <v>4</v>
      </c>
      <c r="R1274" s="604" t="str">
        <f t="shared" si="181"/>
        <v>Gastos_Gerais</v>
      </c>
      <c r="S1274" s="605" t="s">
        <v>1000</v>
      </c>
      <c r="T1274" s="605">
        <v>3221</v>
      </c>
    </row>
    <row r="1275" spans="1:20" s="88" customFormat="1" ht="36" x14ac:dyDescent="0.2">
      <c r="A1275" s="510">
        <f>IF(B1275="","",COUNT('Diário 1º PA'!$A$4:$A$2635)+ROW()-3)</f>
        <v>3008</v>
      </c>
      <c r="B1275" s="414">
        <v>44698</v>
      </c>
      <c r="C1275" s="424">
        <v>44652</v>
      </c>
      <c r="D1275" s="415" t="s">
        <v>182</v>
      </c>
      <c r="E1275" s="415" t="s">
        <v>1</v>
      </c>
      <c r="F1275" s="425">
        <v>13.41</v>
      </c>
      <c r="G1275" s="427" t="s">
        <v>4140</v>
      </c>
      <c r="H1275" s="415" t="s">
        <v>310</v>
      </c>
      <c r="I1275" s="427" t="s">
        <v>938</v>
      </c>
      <c r="J1275" s="415" t="s">
        <v>939</v>
      </c>
      <c r="K1275" s="415" t="s">
        <v>806</v>
      </c>
      <c r="L1275" s="415" t="s">
        <v>909</v>
      </c>
      <c r="M1275" s="415" t="s">
        <v>310</v>
      </c>
      <c r="N1275" s="414">
        <v>44698</v>
      </c>
      <c r="O1275" s="414" t="s">
        <v>400</v>
      </c>
      <c r="P1275" s="603">
        <f t="shared" si="182"/>
        <v>5</v>
      </c>
      <c r="Q1275" s="603">
        <f t="shared" si="183"/>
        <v>4</v>
      </c>
      <c r="R1275" s="604" t="str">
        <f t="shared" si="181"/>
        <v>Gastos_com_Pessoal</v>
      </c>
      <c r="S1275" s="605" t="s">
        <v>310</v>
      </c>
      <c r="T1275" s="605" t="s">
        <v>310</v>
      </c>
    </row>
    <row r="1276" spans="1:20" s="88" customFormat="1" ht="36" x14ac:dyDescent="0.2">
      <c r="A1276" s="510">
        <f>IF(B1276="","",COUNT('Diário 1º PA'!$A$4:$A$2635)+ROW()-3)</f>
        <v>3009</v>
      </c>
      <c r="B1276" s="414">
        <v>44698</v>
      </c>
      <c r="C1276" s="424">
        <v>44652</v>
      </c>
      <c r="D1276" s="415" t="s">
        <v>182</v>
      </c>
      <c r="E1276" s="415" t="s">
        <v>1</v>
      </c>
      <c r="F1276" s="425">
        <v>337.39</v>
      </c>
      <c r="G1276" s="427" t="s">
        <v>4141</v>
      </c>
      <c r="H1276" s="415" t="s">
        <v>310</v>
      </c>
      <c r="I1276" s="427" t="s">
        <v>941</v>
      </c>
      <c r="J1276" s="415" t="s">
        <v>942</v>
      </c>
      <c r="K1276" s="415" t="s">
        <v>806</v>
      </c>
      <c r="L1276" s="415" t="s">
        <v>909</v>
      </c>
      <c r="M1276" s="415" t="s">
        <v>310</v>
      </c>
      <c r="N1276" s="414">
        <v>44698</v>
      </c>
      <c r="O1276" s="414" t="s">
        <v>400</v>
      </c>
      <c r="P1276" s="603">
        <f t="shared" si="182"/>
        <v>5</v>
      </c>
      <c r="Q1276" s="603">
        <f t="shared" si="183"/>
        <v>4</v>
      </c>
      <c r="R1276" s="604" t="str">
        <f t="shared" si="181"/>
        <v>Gastos_com_Pessoal</v>
      </c>
      <c r="S1276" s="605" t="s">
        <v>310</v>
      </c>
      <c r="T1276" s="605" t="s">
        <v>310</v>
      </c>
    </row>
    <row r="1277" spans="1:20" s="88" customFormat="1" ht="36" x14ac:dyDescent="0.2">
      <c r="A1277" s="510">
        <f>IF(B1277="","",COUNT('Diário 1º PA'!$A$4:$A$2635)+ROW()-3)</f>
        <v>3010</v>
      </c>
      <c r="B1277" s="414">
        <v>44698</v>
      </c>
      <c r="C1277" s="424">
        <v>44652</v>
      </c>
      <c r="D1277" s="415" t="s">
        <v>182</v>
      </c>
      <c r="E1277" s="415" t="s">
        <v>1</v>
      </c>
      <c r="F1277" s="425">
        <v>44.48</v>
      </c>
      <c r="G1277" s="427" t="s">
        <v>4142</v>
      </c>
      <c r="H1277" s="415" t="s">
        <v>310</v>
      </c>
      <c r="I1277" s="427" t="s">
        <v>949</v>
      </c>
      <c r="J1277" s="415" t="s">
        <v>950</v>
      </c>
      <c r="K1277" s="415" t="s">
        <v>806</v>
      </c>
      <c r="L1277" s="415" t="s">
        <v>909</v>
      </c>
      <c r="M1277" s="415" t="s">
        <v>310</v>
      </c>
      <c r="N1277" s="414">
        <v>44698</v>
      </c>
      <c r="O1277" s="414" t="s">
        <v>400</v>
      </c>
      <c r="P1277" s="603">
        <f t="shared" si="182"/>
        <v>5</v>
      </c>
      <c r="Q1277" s="603">
        <f t="shared" si="183"/>
        <v>4</v>
      </c>
      <c r="R1277" s="604" t="str">
        <f t="shared" si="181"/>
        <v>Gastos_com_Pessoal</v>
      </c>
      <c r="S1277" s="605" t="s">
        <v>310</v>
      </c>
      <c r="T1277" s="605" t="s">
        <v>310</v>
      </c>
    </row>
    <row r="1278" spans="1:20" s="88" customFormat="1" ht="36" x14ac:dyDescent="0.2">
      <c r="A1278" s="510">
        <f>IF(B1278="","",COUNT('Diário 1º PA'!$A$4:$A$2635)+ROW()-3)</f>
        <v>3011</v>
      </c>
      <c r="B1278" s="414">
        <v>44698</v>
      </c>
      <c r="C1278" s="424">
        <v>44652</v>
      </c>
      <c r="D1278" s="415" t="s">
        <v>182</v>
      </c>
      <c r="E1278" s="415" t="s">
        <v>1</v>
      </c>
      <c r="F1278" s="435">
        <v>17.66</v>
      </c>
      <c r="G1278" s="427" t="s">
        <v>4143</v>
      </c>
      <c r="H1278" s="434" t="s">
        <v>310</v>
      </c>
      <c r="I1278" s="427" t="s">
        <v>957</v>
      </c>
      <c r="J1278" s="415" t="s">
        <v>958</v>
      </c>
      <c r="K1278" s="415" t="s">
        <v>830</v>
      </c>
      <c r="L1278" s="415" t="s">
        <v>909</v>
      </c>
      <c r="M1278" s="415" t="s">
        <v>310</v>
      </c>
      <c r="N1278" s="414">
        <v>44698</v>
      </c>
      <c r="O1278" s="414" t="s">
        <v>400</v>
      </c>
      <c r="P1278" s="603">
        <f t="shared" si="182"/>
        <v>5</v>
      </c>
      <c r="Q1278" s="603">
        <f t="shared" si="183"/>
        <v>4</v>
      </c>
      <c r="R1278" s="604" t="str">
        <f t="shared" si="181"/>
        <v>Gastos_com_Pessoal</v>
      </c>
      <c r="S1278" s="605" t="s">
        <v>310</v>
      </c>
      <c r="T1278" s="605" t="s">
        <v>310</v>
      </c>
    </row>
    <row r="1279" spans="1:20" s="88" customFormat="1" ht="36" x14ac:dyDescent="0.2">
      <c r="A1279" s="510">
        <f>IF(B1279="","",COUNT('Diário 1º PA'!$A$4:$A$2635)+ROW()-3)</f>
        <v>3012</v>
      </c>
      <c r="B1279" s="414">
        <v>44698</v>
      </c>
      <c r="C1279" s="424">
        <v>44652</v>
      </c>
      <c r="D1279" s="415" t="s">
        <v>182</v>
      </c>
      <c r="E1279" s="415" t="s">
        <v>1</v>
      </c>
      <c r="F1279" s="425">
        <v>53.64</v>
      </c>
      <c r="G1279" s="427" t="s">
        <v>4143</v>
      </c>
      <c r="H1279" s="415" t="s">
        <v>310</v>
      </c>
      <c r="I1279" s="427" t="s">
        <v>959</v>
      </c>
      <c r="J1279" s="415" t="s">
        <v>960</v>
      </c>
      <c r="K1279" s="415" t="s">
        <v>830</v>
      </c>
      <c r="L1279" s="415" t="s">
        <v>909</v>
      </c>
      <c r="M1279" s="415" t="s">
        <v>310</v>
      </c>
      <c r="N1279" s="414">
        <v>44698</v>
      </c>
      <c r="O1279" s="414" t="s">
        <v>400</v>
      </c>
      <c r="P1279" s="603">
        <f t="shared" si="182"/>
        <v>5</v>
      </c>
      <c r="Q1279" s="603">
        <f t="shared" si="183"/>
        <v>4</v>
      </c>
      <c r="R1279" s="604" t="str">
        <f t="shared" si="181"/>
        <v>Gastos_com_Pessoal</v>
      </c>
      <c r="S1279" s="605" t="s">
        <v>310</v>
      </c>
      <c r="T1279" s="605" t="s">
        <v>310</v>
      </c>
    </row>
    <row r="1280" spans="1:20" s="88" customFormat="1" ht="36" x14ac:dyDescent="0.2">
      <c r="A1280" s="510">
        <f>IF(B1280="","",COUNT('Diário 1º PA'!$A$4:$A$2635)+ROW()-3)</f>
        <v>3013</v>
      </c>
      <c r="B1280" s="414">
        <v>44698</v>
      </c>
      <c r="C1280" s="424">
        <v>44652</v>
      </c>
      <c r="D1280" s="415" t="s">
        <v>182</v>
      </c>
      <c r="E1280" s="415" t="s">
        <v>1</v>
      </c>
      <c r="F1280" s="425">
        <v>84.71</v>
      </c>
      <c r="G1280" s="427" t="s">
        <v>4144</v>
      </c>
      <c r="H1280" s="415" t="s">
        <v>310</v>
      </c>
      <c r="I1280" s="427" t="s">
        <v>969</v>
      </c>
      <c r="J1280" s="415" t="s">
        <v>970</v>
      </c>
      <c r="K1280" s="415" t="s">
        <v>830</v>
      </c>
      <c r="L1280" s="415" t="s">
        <v>909</v>
      </c>
      <c r="M1280" s="415" t="s">
        <v>310</v>
      </c>
      <c r="N1280" s="414">
        <v>44698</v>
      </c>
      <c r="O1280" s="414" t="s">
        <v>400</v>
      </c>
      <c r="P1280" s="603">
        <f t="shared" si="182"/>
        <v>5</v>
      </c>
      <c r="Q1280" s="603">
        <f t="shared" si="183"/>
        <v>4</v>
      </c>
      <c r="R1280" s="604" t="str">
        <f t="shared" si="181"/>
        <v>Gastos_com_Pessoal</v>
      </c>
      <c r="S1280" s="605" t="s">
        <v>310</v>
      </c>
      <c r="T1280" s="605" t="s">
        <v>310</v>
      </c>
    </row>
    <row r="1281" spans="1:20" s="88" customFormat="1" ht="36" x14ac:dyDescent="0.2">
      <c r="A1281" s="510">
        <f>IF(B1281="","",COUNT('Diário 1º PA'!$A$4:$A$2635)+ROW()-3)</f>
        <v>3014</v>
      </c>
      <c r="B1281" s="414">
        <v>44698</v>
      </c>
      <c r="C1281" s="424">
        <v>44652</v>
      </c>
      <c r="D1281" s="415" t="s">
        <v>182</v>
      </c>
      <c r="E1281" s="415" t="s">
        <v>1</v>
      </c>
      <c r="F1281" s="425">
        <v>93.21</v>
      </c>
      <c r="G1281" s="427" t="s">
        <v>4145</v>
      </c>
      <c r="H1281" s="415" t="s">
        <v>310</v>
      </c>
      <c r="I1281" s="427" t="s">
        <v>977</v>
      </c>
      <c r="J1281" s="415" t="s">
        <v>978</v>
      </c>
      <c r="K1281" s="415" t="s">
        <v>830</v>
      </c>
      <c r="L1281" s="415" t="s">
        <v>909</v>
      </c>
      <c r="M1281" s="415" t="s">
        <v>310</v>
      </c>
      <c r="N1281" s="414">
        <v>44698</v>
      </c>
      <c r="O1281" s="414" t="s">
        <v>400</v>
      </c>
      <c r="P1281" s="603">
        <f t="shared" si="182"/>
        <v>5</v>
      </c>
      <c r="Q1281" s="603">
        <f t="shared" si="183"/>
        <v>4</v>
      </c>
      <c r="R1281" s="604" t="str">
        <f t="shared" si="181"/>
        <v>Gastos_com_Pessoal</v>
      </c>
      <c r="S1281" s="605" t="s">
        <v>310</v>
      </c>
      <c r="T1281" s="605" t="s">
        <v>310</v>
      </c>
    </row>
    <row r="1282" spans="1:20" s="88" customFormat="1" ht="36" x14ac:dyDescent="0.2">
      <c r="A1282" s="510">
        <f>IF(B1282="","",COUNT('Diário 1º PA'!$A$4:$A$2635)+ROW()-3)</f>
        <v>3015</v>
      </c>
      <c r="B1282" s="414">
        <v>44698</v>
      </c>
      <c r="C1282" s="424">
        <v>44652</v>
      </c>
      <c r="D1282" s="415" t="s">
        <v>182</v>
      </c>
      <c r="E1282" s="415" t="s">
        <v>1</v>
      </c>
      <c r="F1282" s="425">
        <v>62.14</v>
      </c>
      <c r="G1282" s="427" t="s">
        <v>4139</v>
      </c>
      <c r="H1282" s="415" t="s">
        <v>310</v>
      </c>
      <c r="I1282" s="427" t="s">
        <v>992</v>
      </c>
      <c r="J1282" s="415" t="s">
        <v>993</v>
      </c>
      <c r="K1282" s="415" t="s">
        <v>830</v>
      </c>
      <c r="L1282" s="415" t="s">
        <v>909</v>
      </c>
      <c r="M1282" s="415" t="s">
        <v>310</v>
      </c>
      <c r="N1282" s="414">
        <v>44698</v>
      </c>
      <c r="O1282" s="414" t="s">
        <v>400</v>
      </c>
      <c r="P1282" s="603">
        <f t="shared" si="182"/>
        <v>5</v>
      </c>
      <c r="Q1282" s="603">
        <f t="shared" si="183"/>
        <v>4</v>
      </c>
      <c r="R1282" s="604" t="str">
        <f t="shared" si="181"/>
        <v>Gastos_com_Pessoal</v>
      </c>
      <c r="S1282" s="605" t="s">
        <v>310</v>
      </c>
      <c r="T1282" s="605" t="s">
        <v>310</v>
      </c>
    </row>
    <row r="1283" spans="1:20" s="88" customFormat="1" ht="36" x14ac:dyDescent="0.2">
      <c r="A1283" s="510">
        <f>IF(B1283="","",COUNT('Diário 1º PA'!$A$4:$A$2635)+ROW()-3)</f>
        <v>3016</v>
      </c>
      <c r="B1283" s="414">
        <v>44698</v>
      </c>
      <c r="C1283" s="424">
        <v>44652</v>
      </c>
      <c r="D1283" s="415" t="s">
        <v>182</v>
      </c>
      <c r="E1283" s="415" t="s">
        <v>1</v>
      </c>
      <c r="F1283" s="425">
        <v>158.91999999999999</v>
      </c>
      <c r="G1283" s="427" t="s">
        <v>4146</v>
      </c>
      <c r="H1283" s="415" t="s">
        <v>310</v>
      </c>
      <c r="I1283" s="427" t="s">
        <v>996</v>
      </c>
      <c r="J1283" s="415" t="s">
        <v>997</v>
      </c>
      <c r="K1283" s="415" t="s">
        <v>830</v>
      </c>
      <c r="L1283" s="415" t="s">
        <v>909</v>
      </c>
      <c r="M1283" s="415" t="s">
        <v>310</v>
      </c>
      <c r="N1283" s="414">
        <v>44698</v>
      </c>
      <c r="O1283" s="414" t="s">
        <v>400</v>
      </c>
      <c r="P1283" s="603">
        <f t="shared" si="182"/>
        <v>5</v>
      </c>
      <c r="Q1283" s="603">
        <f t="shared" si="183"/>
        <v>4</v>
      </c>
      <c r="R1283" s="604" t="str">
        <f t="shared" si="181"/>
        <v>Gastos_com_Pessoal</v>
      </c>
      <c r="S1283" s="605" t="s">
        <v>310</v>
      </c>
      <c r="T1283" s="605" t="s">
        <v>310</v>
      </c>
    </row>
    <row r="1284" spans="1:20" s="88" customFormat="1" ht="36" x14ac:dyDescent="0.2">
      <c r="A1284" s="510">
        <f>IF(B1284="","",COUNT('Diário 1º PA'!$A$4:$A$2635)+ROW()-3)</f>
        <v>3017</v>
      </c>
      <c r="B1284" s="414">
        <v>44698</v>
      </c>
      <c r="C1284" s="424">
        <v>44652</v>
      </c>
      <c r="D1284" s="415" t="s">
        <v>182</v>
      </c>
      <c r="E1284" s="415" t="s">
        <v>1</v>
      </c>
      <c r="F1284" s="435">
        <v>13.41</v>
      </c>
      <c r="G1284" s="440" t="s">
        <v>4147</v>
      </c>
      <c r="H1284" s="415" t="s">
        <v>310</v>
      </c>
      <c r="I1284" s="437" t="s">
        <v>1167</v>
      </c>
      <c r="J1284" s="434" t="s">
        <v>1168</v>
      </c>
      <c r="K1284" s="415" t="s">
        <v>830</v>
      </c>
      <c r="L1284" s="434" t="s">
        <v>909</v>
      </c>
      <c r="M1284" s="415" t="s">
        <v>310</v>
      </c>
      <c r="N1284" s="414">
        <v>44698</v>
      </c>
      <c r="O1284" s="414" t="s">
        <v>400</v>
      </c>
      <c r="P1284" s="603">
        <f t="shared" si="182"/>
        <v>5</v>
      </c>
      <c r="Q1284" s="603">
        <f t="shared" si="183"/>
        <v>4</v>
      </c>
      <c r="R1284" s="604" t="str">
        <f t="shared" si="181"/>
        <v>Gastos_com_Pessoal</v>
      </c>
      <c r="S1284" s="605" t="s">
        <v>310</v>
      </c>
      <c r="T1284" s="605" t="s">
        <v>310</v>
      </c>
    </row>
    <row r="1285" spans="1:20" s="88" customFormat="1" ht="36" x14ac:dyDescent="0.2">
      <c r="A1285" s="510">
        <f>IF(B1285="","",COUNT('Diário 1º PA'!$A$4:$A$2635)+ROW()-3)</f>
        <v>3018</v>
      </c>
      <c r="B1285" s="414">
        <v>44698</v>
      </c>
      <c r="C1285" s="424">
        <v>44652</v>
      </c>
      <c r="D1285" s="415" t="s">
        <v>182</v>
      </c>
      <c r="E1285" s="415" t="s">
        <v>1</v>
      </c>
      <c r="F1285" s="425">
        <v>57.89</v>
      </c>
      <c r="G1285" s="440" t="s">
        <v>4148</v>
      </c>
      <c r="H1285" s="415" t="s">
        <v>310</v>
      </c>
      <c r="I1285" s="427" t="s">
        <v>1169</v>
      </c>
      <c r="J1285" s="415" t="s">
        <v>1170</v>
      </c>
      <c r="K1285" s="415" t="s">
        <v>830</v>
      </c>
      <c r="L1285" s="415" t="s">
        <v>909</v>
      </c>
      <c r="M1285" s="415" t="s">
        <v>310</v>
      </c>
      <c r="N1285" s="414">
        <v>44698</v>
      </c>
      <c r="O1285" s="414" t="s">
        <v>400</v>
      </c>
      <c r="P1285" s="603">
        <f t="shared" si="182"/>
        <v>5</v>
      </c>
      <c r="Q1285" s="603">
        <f t="shared" si="183"/>
        <v>4</v>
      </c>
      <c r="R1285" s="604" t="str">
        <f t="shared" si="181"/>
        <v>Gastos_com_Pessoal</v>
      </c>
      <c r="S1285" s="605" t="s">
        <v>310</v>
      </c>
      <c r="T1285" s="605" t="s">
        <v>310</v>
      </c>
    </row>
    <row r="1286" spans="1:20" s="88" customFormat="1" ht="36" x14ac:dyDescent="0.2">
      <c r="A1286" s="510">
        <f>IF(B1286="","",COUNT('Diário 1º PA'!$A$4:$A$2635)+ROW()-3)</f>
        <v>3019</v>
      </c>
      <c r="B1286" s="414">
        <v>44698</v>
      </c>
      <c r="C1286" s="424">
        <v>44652</v>
      </c>
      <c r="D1286" s="415" t="s">
        <v>182</v>
      </c>
      <c r="E1286" s="415" t="s">
        <v>1</v>
      </c>
      <c r="F1286" s="425">
        <v>39.119999999999997</v>
      </c>
      <c r="G1286" s="440" t="s">
        <v>4139</v>
      </c>
      <c r="H1286" s="415" t="s">
        <v>310</v>
      </c>
      <c r="I1286" s="427" t="s">
        <v>1171</v>
      </c>
      <c r="J1286" s="415" t="s">
        <v>1172</v>
      </c>
      <c r="K1286" s="415" t="s">
        <v>830</v>
      </c>
      <c r="L1286" s="415" t="s">
        <v>909</v>
      </c>
      <c r="M1286" s="415" t="s">
        <v>310</v>
      </c>
      <c r="N1286" s="414">
        <v>44698</v>
      </c>
      <c r="O1286" s="414" t="s">
        <v>400</v>
      </c>
      <c r="P1286" s="603">
        <f t="shared" si="182"/>
        <v>5</v>
      </c>
      <c r="Q1286" s="603">
        <f t="shared" si="183"/>
        <v>4</v>
      </c>
      <c r="R1286" s="604" t="str">
        <f t="shared" si="181"/>
        <v>Gastos_com_Pessoal</v>
      </c>
      <c r="S1286" s="605" t="s">
        <v>310</v>
      </c>
      <c r="T1286" s="605" t="s">
        <v>310</v>
      </c>
    </row>
    <row r="1287" spans="1:20" s="88" customFormat="1" ht="36" x14ac:dyDescent="0.2">
      <c r="A1287" s="510">
        <f>IF(B1287="","",COUNT('Diário 1º PA'!$A$4:$A$2635)+ROW()-3)</f>
        <v>3020</v>
      </c>
      <c r="B1287" s="414">
        <v>44698</v>
      </c>
      <c r="C1287" s="424">
        <v>44652</v>
      </c>
      <c r="D1287" s="415" t="s">
        <v>182</v>
      </c>
      <c r="E1287" s="415" t="s">
        <v>1</v>
      </c>
      <c r="F1287" s="425">
        <v>203.9</v>
      </c>
      <c r="G1287" s="440" t="s">
        <v>4139</v>
      </c>
      <c r="H1287" s="415" t="s">
        <v>310</v>
      </c>
      <c r="I1287" s="427" t="s">
        <v>1175</v>
      </c>
      <c r="J1287" s="415" t="s">
        <v>1176</v>
      </c>
      <c r="K1287" s="415" t="s">
        <v>830</v>
      </c>
      <c r="L1287" s="415" t="s">
        <v>909</v>
      </c>
      <c r="M1287" s="415" t="s">
        <v>310</v>
      </c>
      <c r="N1287" s="414">
        <v>44698</v>
      </c>
      <c r="O1287" s="414" t="s">
        <v>400</v>
      </c>
      <c r="P1287" s="603">
        <f t="shared" si="182"/>
        <v>5</v>
      </c>
      <c r="Q1287" s="603">
        <f t="shared" si="183"/>
        <v>4</v>
      </c>
      <c r="R1287" s="604" t="str">
        <f t="shared" si="181"/>
        <v>Gastos_com_Pessoal</v>
      </c>
      <c r="S1287" s="605" t="s">
        <v>310</v>
      </c>
      <c r="T1287" s="605" t="s">
        <v>310</v>
      </c>
    </row>
    <row r="1288" spans="1:20" s="88" customFormat="1" ht="36" x14ac:dyDescent="0.2">
      <c r="A1288" s="510">
        <f>IF(B1288="","",COUNT('Diário 1º PA'!$A$4:$A$2635)+ROW()-3)</f>
        <v>3021</v>
      </c>
      <c r="B1288" s="414">
        <v>44698</v>
      </c>
      <c r="C1288" s="424">
        <v>44652</v>
      </c>
      <c r="D1288" s="415" t="s">
        <v>182</v>
      </c>
      <c r="E1288" s="415" t="s">
        <v>1</v>
      </c>
      <c r="F1288" s="435">
        <v>124.28</v>
      </c>
      <c r="G1288" s="440" t="s">
        <v>4145</v>
      </c>
      <c r="H1288" s="415" t="s">
        <v>310</v>
      </c>
      <c r="I1288" s="437" t="s">
        <v>1184</v>
      </c>
      <c r="J1288" s="434" t="s">
        <v>1185</v>
      </c>
      <c r="K1288" s="415" t="s">
        <v>830</v>
      </c>
      <c r="L1288" s="434" t="s">
        <v>909</v>
      </c>
      <c r="M1288" s="415" t="s">
        <v>310</v>
      </c>
      <c r="N1288" s="414">
        <v>44698</v>
      </c>
      <c r="O1288" s="414" t="s">
        <v>400</v>
      </c>
      <c r="P1288" s="603">
        <f t="shared" si="182"/>
        <v>5</v>
      </c>
      <c r="Q1288" s="603">
        <f t="shared" si="183"/>
        <v>4</v>
      </c>
      <c r="R1288" s="604" t="str">
        <f t="shared" si="181"/>
        <v>Gastos_com_Pessoal</v>
      </c>
      <c r="S1288" s="605" t="s">
        <v>310</v>
      </c>
      <c r="T1288" s="605" t="s">
        <v>310</v>
      </c>
    </row>
    <row r="1289" spans="1:20" s="88" customFormat="1" ht="36" x14ac:dyDescent="0.2">
      <c r="A1289" s="510">
        <f>IF(B1289="","",COUNT('Diário 1º PA'!$A$4:$A$2635)+ROW()-3)</f>
        <v>3022</v>
      </c>
      <c r="B1289" s="414">
        <v>44698</v>
      </c>
      <c r="C1289" s="424">
        <v>44652</v>
      </c>
      <c r="D1289" s="415" t="s">
        <v>182</v>
      </c>
      <c r="E1289" s="415" t="s">
        <v>1</v>
      </c>
      <c r="F1289" s="425">
        <v>84.71</v>
      </c>
      <c r="G1289" s="440" t="s">
        <v>4145</v>
      </c>
      <c r="H1289" s="415" t="s">
        <v>310</v>
      </c>
      <c r="I1289" s="427" t="s">
        <v>1186</v>
      </c>
      <c r="J1289" s="415" t="s">
        <v>1187</v>
      </c>
      <c r="K1289" s="415" t="s">
        <v>830</v>
      </c>
      <c r="L1289" s="415" t="s">
        <v>909</v>
      </c>
      <c r="M1289" s="415" t="s">
        <v>310</v>
      </c>
      <c r="N1289" s="414">
        <v>44698</v>
      </c>
      <c r="O1289" s="414" t="s">
        <v>400</v>
      </c>
      <c r="P1289" s="603">
        <f t="shared" si="182"/>
        <v>5</v>
      </c>
      <c r="Q1289" s="603">
        <f t="shared" si="183"/>
        <v>4</v>
      </c>
      <c r="R1289" s="604" t="str">
        <f t="shared" si="181"/>
        <v>Gastos_com_Pessoal</v>
      </c>
      <c r="S1289" s="605" t="s">
        <v>310</v>
      </c>
      <c r="T1289" s="605" t="s">
        <v>310</v>
      </c>
    </row>
    <row r="1290" spans="1:20" s="88" customFormat="1" ht="36" x14ac:dyDescent="0.2">
      <c r="A1290" s="510">
        <f>IF(B1290="","",COUNT('Diário 1º PA'!$A$4:$A$2635)+ROW()-3)</f>
        <v>3023</v>
      </c>
      <c r="B1290" s="414">
        <v>44698</v>
      </c>
      <c r="C1290" s="424">
        <v>44652</v>
      </c>
      <c r="D1290" s="415" t="s">
        <v>182</v>
      </c>
      <c r="E1290" s="415" t="s">
        <v>1</v>
      </c>
      <c r="F1290" s="425">
        <v>110.49</v>
      </c>
      <c r="G1290" s="440" t="s">
        <v>4139</v>
      </c>
      <c r="H1290" s="415" t="s">
        <v>310</v>
      </c>
      <c r="I1290" s="639" t="s">
        <v>1190</v>
      </c>
      <c r="J1290" s="399" t="s">
        <v>1191</v>
      </c>
      <c r="K1290" s="415" t="s">
        <v>830</v>
      </c>
      <c r="L1290" s="415" t="s">
        <v>909</v>
      </c>
      <c r="M1290" s="415" t="s">
        <v>310</v>
      </c>
      <c r="N1290" s="414">
        <v>44698</v>
      </c>
      <c r="O1290" s="414" t="s">
        <v>400</v>
      </c>
      <c r="P1290" s="603">
        <f t="shared" si="182"/>
        <v>5</v>
      </c>
      <c r="Q1290" s="603">
        <f t="shared" si="183"/>
        <v>4</v>
      </c>
      <c r="R1290" s="604" t="str">
        <f t="shared" si="181"/>
        <v>Gastos_com_Pessoal</v>
      </c>
      <c r="S1290" s="605" t="s">
        <v>310</v>
      </c>
      <c r="T1290" s="605" t="s">
        <v>310</v>
      </c>
    </row>
    <row r="1291" spans="1:20" s="88" customFormat="1" ht="36" x14ac:dyDescent="0.2">
      <c r="A1291" s="510">
        <f>IF(B1291="","",COUNT('Diário 1º PA'!$A$4:$A$2635)+ROW()-3)</f>
        <v>3024</v>
      </c>
      <c r="B1291" s="414">
        <v>44698</v>
      </c>
      <c r="C1291" s="424">
        <v>44652</v>
      </c>
      <c r="D1291" s="415" t="s">
        <v>182</v>
      </c>
      <c r="E1291" s="415" t="s">
        <v>1</v>
      </c>
      <c r="F1291" s="425">
        <v>136.74</v>
      </c>
      <c r="G1291" s="440" t="s">
        <v>4149</v>
      </c>
      <c r="H1291" s="415" t="s">
        <v>310</v>
      </c>
      <c r="I1291" s="427" t="s">
        <v>1198</v>
      </c>
      <c r="J1291" s="415" t="s">
        <v>1197</v>
      </c>
      <c r="K1291" s="415" t="s">
        <v>830</v>
      </c>
      <c r="L1291" s="415" t="s">
        <v>909</v>
      </c>
      <c r="M1291" s="415" t="s">
        <v>310</v>
      </c>
      <c r="N1291" s="414">
        <v>44698</v>
      </c>
      <c r="O1291" s="414" t="s">
        <v>400</v>
      </c>
      <c r="P1291" s="603">
        <f t="shared" si="182"/>
        <v>5</v>
      </c>
      <c r="Q1291" s="603">
        <f t="shared" si="183"/>
        <v>4</v>
      </c>
      <c r="R1291" s="604" t="str">
        <f t="shared" si="181"/>
        <v>Gastos_com_Pessoal</v>
      </c>
      <c r="S1291" s="605" t="s">
        <v>310</v>
      </c>
      <c r="T1291" s="605" t="s">
        <v>310</v>
      </c>
    </row>
    <row r="1292" spans="1:20" s="88" customFormat="1" ht="36" x14ac:dyDescent="0.2">
      <c r="A1292" s="510">
        <f>IF(B1292="","",COUNT('Diário 1º PA'!$A$4:$A$2635)+ROW()-3)</f>
        <v>3025</v>
      </c>
      <c r="B1292" s="414">
        <v>44698</v>
      </c>
      <c r="C1292" s="424">
        <v>44652</v>
      </c>
      <c r="D1292" s="415" t="s">
        <v>182</v>
      </c>
      <c r="E1292" s="415" t="s">
        <v>1</v>
      </c>
      <c r="F1292" s="425">
        <v>44.48</v>
      </c>
      <c r="G1292" s="440" t="s">
        <v>4139</v>
      </c>
      <c r="H1292" s="415" t="s">
        <v>310</v>
      </c>
      <c r="I1292" s="427" t="s">
        <v>1200</v>
      </c>
      <c r="J1292" s="415" t="s">
        <v>1201</v>
      </c>
      <c r="K1292" s="415" t="s">
        <v>830</v>
      </c>
      <c r="L1292" s="415" t="s">
        <v>909</v>
      </c>
      <c r="M1292" s="415" t="s">
        <v>310</v>
      </c>
      <c r="N1292" s="414">
        <v>44698</v>
      </c>
      <c r="O1292" s="414" t="s">
        <v>400</v>
      </c>
      <c r="P1292" s="603">
        <f t="shared" si="182"/>
        <v>5</v>
      </c>
      <c r="Q1292" s="603">
        <f t="shared" si="183"/>
        <v>4</v>
      </c>
      <c r="R1292" s="604" t="str">
        <f t="shared" si="181"/>
        <v>Gastos_com_Pessoal</v>
      </c>
      <c r="S1292" s="605" t="s">
        <v>310</v>
      </c>
      <c r="T1292" s="605" t="s">
        <v>310</v>
      </c>
    </row>
    <row r="1293" spans="1:20" s="88" customFormat="1" ht="24" x14ac:dyDescent="0.2">
      <c r="A1293" s="510">
        <f>IF(B1293="","",COUNT('Diário 1º PA'!$A$4:$A$2635)+ROW()-3)</f>
        <v>3026</v>
      </c>
      <c r="B1293" s="414">
        <v>44698</v>
      </c>
      <c r="C1293" s="421">
        <v>44652</v>
      </c>
      <c r="D1293" s="415" t="s">
        <v>271</v>
      </c>
      <c r="E1293" s="415" t="s">
        <v>85</v>
      </c>
      <c r="F1293" s="425">
        <v>422.42</v>
      </c>
      <c r="G1293" s="427" t="s">
        <v>3636</v>
      </c>
      <c r="H1293" s="415" t="s">
        <v>309</v>
      </c>
      <c r="I1293" s="437" t="s">
        <v>765</v>
      </c>
      <c r="J1293" s="434" t="s">
        <v>892</v>
      </c>
      <c r="K1293" s="415" t="s">
        <v>893</v>
      </c>
      <c r="L1293" s="399" t="s">
        <v>807</v>
      </c>
      <c r="M1293" s="415">
        <v>77759727</v>
      </c>
      <c r="N1293" s="414">
        <v>44678</v>
      </c>
      <c r="O1293" s="414" t="s">
        <v>400</v>
      </c>
      <c r="P1293" s="603">
        <f t="shared" si="182"/>
        <v>5</v>
      </c>
      <c r="Q1293" s="603">
        <f t="shared" si="183"/>
        <v>4</v>
      </c>
      <c r="R1293" s="604" t="str">
        <f t="shared" si="181"/>
        <v>Gastos_Gerais</v>
      </c>
      <c r="S1293" s="605" t="s">
        <v>310</v>
      </c>
      <c r="T1293" s="605" t="s">
        <v>310</v>
      </c>
    </row>
    <row r="1294" spans="1:20" s="88" customFormat="1" ht="36" x14ac:dyDescent="0.2">
      <c r="A1294" s="510">
        <f>IF(B1294="","",COUNT('Diário 1º PA'!$A$4:$A$2635)+ROW()-3)</f>
        <v>3027</v>
      </c>
      <c r="B1294" s="414">
        <v>44698</v>
      </c>
      <c r="C1294" s="431">
        <v>44652</v>
      </c>
      <c r="D1294" s="415" t="s">
        <v>271</v>
      </c>
      <c r="E1294" s="415" t="s">
        <v>91</v>
      </c>
      <c r="F1294" s="425">
        <v>1116.82</v>
      </c>
      <c r="G1294" s="427" t="s">
        <v>3315</v>
      </c>
      <c r="H1294" s="419" t="s">
        <v>792</v>
      </c>
      <c r="I1294" s="427" t="s">
        <v>4150</v>
      </c>
      <c r="J1294" s="415" t="s">
        <v>3316</v>
      </c>
      <c r="K1294" s="415" t="s">
        <v>812</v>
      </c>
      <c r="L1294" s="434" t="s">
        <v>2140</v>
      </c>
      <c r="M1294" s="439">
        <v>4470</v>
      </c>
      <c r="N1294" s="414">
        <v>44669</v>
      </c>
      <c r="O1294" s="414" t="s">
        <v>400</v>
      </c>
      <c r="P1294" s="603">
        <f t="shared" si="182"/>
        <v>5</v>
      </c>
      <c r="Q1294" s="603">
        <f t="shared" si="183"/>
        <v>4</v>
      </c>
      <c r="R1294" s="604" t="str">
        <f t="shared" si="181"/>
        <v>Gastos_Gerais</v>
      </c>
      <c r="S1294" s="605" t="s">
        <v>998</v>
      </c>
      <c r="T1294" s="605">
        <v>3415</v>
      </c>
    </row>
    <row r="1295" spans="1:20" s="88" customFormat="1" ht="24" x14ac:dyDescent="0.2">
      <c r="A1295" s="510">
        <f>IF(B1295="","",COUNT('Diário 1º PA'!$A$4:$A$2635)+ROW()-3)</f>
        <v>3028</v>
      </c>
      <c r="B1295" s="414">
        <v>44698</v>
      </c>
      <c r="C1295" s="421">
        <v>44652</v>
      </c>
      <c r="D1295" s="415" t="s">
        <v>271</v>
      </c>
      <c r="E1295" s="415" t="s">
        <v>164</v>
      </c>
      <c r="F1295" s="425">
        <v>539.94000000000005</v>
      </c>
      <c r="G1295" s="427" t="s">
        <v>1403</v>
      </c>
      <c r="H1295" s="415" t="s">
        <v>309</v>
      </c>
      <c r="I1295" s="437" t="s">
        <v>768</v>
      </c>
      <c r="J1295" s="434" t="s">
        <v>1021</v>
      </c>
      <c r="K1295" s="415" t="s">
        <v>812</v>
      </c>
      <c r="L1295" s="415" t="s">
        <v>1372</v>
      </c>
      <c r="M1295" s="415" t="s">
        <v>310</v>
      </c>
      <c r="N1295" s="414">
        <v>44682</v>
      </c>
      <c r="O1295" s="414" t="s">
        <v>400</v>
      </c>
      <c r="P1295" s="603">
        <f t="shared" si="182"/>
        <v>5</v>
      </c>
      <c r="Q1295" s="603">
        <f t="shared" si="183"/>
        <v>4</v>
      </c>
      <c r="R1295" s="604" t="str">
        <f t="shared" si="181"/>
        <v>Gastos_Gerais</v>
      </c>
      <c r="S1295" s="605" t="s">
        <v>310</v>
      </c>
      <c r="T1295" s="605" t="s">
        <v>310</v>
      </c>
    </row>
    <row r="1296" spans="1:20" s="88" customFormat="1" ht="36" x14ac:dyDescent="0.2">
      <c r="A1296" s="510">
        <f>IF(B1296="","",COUNT('Diário 1º PA'!$A$4:$A$2635)+ROW()-3)</f>
        <v>3029</v>
      </c>
      <c r="B1296" s="414">
        <v>44698</v>
      </c>
      <c r="C1296" s="431">
        <v>44621</v>
      </c>
      <c r="D1296" s="415" t="s">
        <v>271</v>
      </c>
      <c r="E1296" s="415" t="s">
        <v>456</v>
      </c>
      <c r="F1296" s="425">
        <v>1940</v>
      </c>
      <c r="G1296" s="427" t="s">
        <v>2274</v>
      </c>
      <c r="H1296" s="419" t="s">
        <v>758</v>
      </c>
      <c r="I1296" s="427" t="s">
        <v>4151</v>
      </c>
      <c r="J1296" s="415" t="s">
        <v>2275</v>
      </c>
      <c r="K1296" s="415" t="s">
        <v>830</v>
      </c>
      <c r="L1296" s="434" t="s">
        <v>807</v>
      </c>
      <c r="M1296" s="415" t="s">
        <v>1540</v>
      </c>
      <c r="N1296" s="414">
        <v>44697</v>
      </c>
      <c r="O1296" s="414" t="s">
        <v>400</v>
      </c>
      <c r="P1296" s="603">
        <f t="shared" si="182"/>
        <v>5</v>
      </c>
      <c r="Q1296" s="603">
        <f t="shared" si="183"/>
        <v>3</v>
      </c>
      <c r="R1296" s="604" t="str">
        <f t="shared" si="181"/>
        <v>Gastos_Gerais</v>
      </c>
      <c r="S1296" s="605" t="s">
        <v>998</v>
      </c>
      <c r="T1296" s="605">
        <v>3140</v>
      </c>
    </row>
    <row r="1297" spans="1:20" s="88" customFormat="1" ht="24" x14ac:dyDescent="0.2">
      <c r="A1297" s="510">
        <f>IF(B1297="","",COUNT('Diário 1º PA'!$A$4:$A$2635)+ROW()-3)</f>
        <v>3030</v>
      </c>
      <c r="B1297" s="414">
        <v>44698</v>
      </c>
      <c r="C1297" s="431">
        <v>44652</v>
      </c>
      <c r="D1297" s="415" t="s">
        <v>271</v>
      </c>
      <c r="E1297" s="415" t="s">
        <v>454</v>
      </c>
      <c r="F1297" s="425">
        <v>73492.5</v>
      </c>
      <c r="G1297" s="427" t="s">
        <v>3815</v>
      </c>
      <c r="H1297" s="419" t="s">
        <v>792</v>
      </c>
      <c r="I1297" s="427" t="s">
        <v>4154</v>
      </c>
      <c r="J1297" s="415" t="s">
        <v>3816</v>
      </c>
      <c r="K1297" s="415" t="s">
        <v>830</v>
      </c>
      <c r="L1297" s="415" t="s">
        <v>807</v>
      </c>
      <c r="M1297" s="415" t="s">
        <v>1308</v>
      </c>
      <c r="N1297" s="414">
        <v>44697</v>
      </c>
      <c r="O1297" s="414" t="s">
        <v>400</v>
      </c>
      <c r="P1297" s="603">
        <f t="shared" si="182"/>
        <v>5</v>
      </c>
      <c r="Q1297" s="603">
        <f t="shared" si="183"/>
        <v>4</v>
      </c>
      <c r="R1297" s="604" t="str">
        <f t="shared" si="181"/>
        <v>Gastos_Gerais</v>
      </c>
      <c r="S1297" s="605" t="s">
        <v>998</v>
      </c>
      <c r="T1297" s="605">
        <v>3391</v>
      </c>
    </row>
    <row r="1298" spans="1:20" s="88" customFormat="1" ht="24" x14ac:dyDescent="0.2">
      <c r="A1298" s="510">
        <f>IF(B1298="","",COUNT('Diário 1º PA'!$A$4:$A$2635)+ROW()-3)</f>
        <v>3031</v>
      </c>
      <c r="B1298" s="414">
        <v>44698</v>
      </c>
      <c r="C1298" s="592">
        <v>44682</v>
      </c>
      <c r="D1298" s="415" t="s">
        <v>271</v>
      </c>
      <c r="E1298" s="415" t="s">
        <v>71</v>
      </c>
      <c r="F1298" s="425">
        <v>11</v>
      </c>
      <c r="G1298" s="427" t="s">
        <v>4156</v>
      </c>
      <c r="H1298" s="419" t="s">
        <v>310</v>
      </c>
      <c r="I1298" s="427" t="s">
        <v>881</v>
      </c>
      <c r="J1298" s="415" t="s">
        <v>882</v>
      </c>
      <c r="K1298" s="415" t="s">
        <v>883</v>
      </c>
      <c r="L1298" s="415" t="s">
        <v>798</v>
      </c>
      <c r="M1298" s="415" t="s">
        <v>310</v>
      </c>
      <c r="N1298" s="414">
        <v>44698</v>
      </c>
      <c r="O1298" s="414" t="s">
        <v>400</v>
      </c>
      <c r="P1298" s="603">
        <f t="shared" ref="P1298:P1315" si="184">IF(B1298=0,0,IF(YEAR(B1298)=$Q$1,MONTH(B1298)-$P$1+1,(YEAR(B1298)-$Q$1)*12-$P$1+1+MONTH(B1298)))</f>
        <v>5</v>
      </c>
      <c r="Q1298" s="603">
        <f t="shared" ref="Q1298:Q1332" si="185">IF(C1298=0,0,IF(YEAR(C1298)=$Q$1,MONTH(C1298)-$P$1+1,(YEAR(C1298)-$Q$1)*12-$P$1+1+MONTH(C1298)))</f>
        <v>5</v>
      </c>
      <c r="R1298" s="604" t="str">
        <f t="shared" ref="R1298:R1332" si="186">SUBSTITUTE(D1298," ","_")</f>
        <v>Gastos_Gerais</v>
      </c>
      <c r="S1298" s="605" t="s">
        <v>310</v>
      </c>
      <c r="T1298" s="605" t="s">
        <v>310</v>
      </c>
    </row>
    <row r="1299" spans="1:20" s="88" customFormat="1" ht="24" x14ac:dyDescent="0.2">
      <c r="A1299" s="510">
        <f>IF(B1299="","",COUNT('Diário 1º PA'!$A$4:$A$2635)+ROW()-3)</f>
        <v>3032</v>
      </c>
      <c r="B1299" s="414">
        <v>44698</v>
      </c>
      <c r="C1299" s="592">
        <v>44682</v>
      </c>
      <c r="D1299" s="415" t="s">
        <v>271</v>
      </c>
      <c r="E1299" s="415" t="s">
        <v>71</v>
      </c>
      <c r="F1299" s="425">
        <v>11</v>
      </c>
      <c r="G1299" s="427" t="s">
        <v>4156</v>
      </c>
      <c r="H1299" s="419" t="s">
        <v>310</v>
      </c>
      <c r="I1299" s="427" t="s">
        <v>881</v>
      </c>
      <c r="J1299" s="415" t="s">
        <v>882</v>
      </c>
      <c r="K1299" s="415" t="s">
        <v>883</v>
      </c>
      <c r="L1299" s="415" t="s">
        <v>798</v>
      </c>
      <c r="M1299" s="415" t="s">
        <v>310</v>
      </c>
      <c r="N1299" s="414">
        <v>44698</v>
      </c>
      <c r="O1299" s="414" t="s">
        <v>400</v>
      </c>
      <c r="P1299" s="603">
        <f t="shared" si="184"/>
        <v>5</v>
      </c>
      <c r="Q1299" s="603">
        <f t="shared" si="185"/>
        <v>5</v>
      </c>
      <c r="R1299" s="604" t="str">
        <f t="shared" si="186"/>
        <v>Gastos_Gerais</v>
      </c>
      <c r="S1299" s="605" t="s">
        <v>310</v>
      </c>
      <c r="T1299" s="605" t="s">
        <v>310</v>
      </c>
    </row>
    <row r="1300" spans="1:20" s="88" customFormat="1" ht="24" x14ac:dyDescent="0.2">
      <c r="A1300" s="510">
        <f>IF(B1300="","",COUNT('Diário 1º PA'!$A$4:$A$2635)+ROW()-3)</f>
        <v>3033</v>
      </c>
      <c r="B1300" s="414">
        <v>44698</v>
      </c>
      <c r="C1300" s="592">
        <v>44682</v>
      </c>
      <c r="D1300" s="415" t="s">
        <v>271</v>
      </c>
      <c r="E1300" s="415" t="s">
        <v>71</v>
      </c>
      <c r="F1300" s="425">
        <v>11</v>
      </c>
      <c r="G1300" s="427" t="s">
        <v>4156</v>
      </c>
      <c r="H1300" s="419" t="s">
        <v>310</v>
      </c>
      <c r="I1300" s="427" t="s">
        <v>881</v>
      </c>
      <c r="J1300" s="415" t="s">
        <v>882</v>
      </c>
      <c r="K1300" s="415" t="s">
        <v>883</v>
      </c>
      <c r="L1300" s="415" t="s">
        <v>798</v>
      </c>
      <c r="M1300" s="415" t="s">
        <v>310</v>
      </c>
      <c r="N1300" s="414">
        <v>44698</v>
      </c>
      <c r="O1300" s="414" t="s">
        <v>400</v>
      </c>
      <c r="P1300" s="603">
        <f t="shared" si="184"/>
        <v>5</v>
      </c>
      <c r="Q1300" s="603">
        <f t="shared" si="185"/>
        <v>5</v>
      </c>
      <c r="R1300" s="604" t="str">
        <f t="shared" si="186"/>
        <v>Gastos_Gerais</v>
      </c>
      <c r="S1300" s="605" t="s">
        <v>310</v>
      </c>
      <c r="T1300" s="605" t="s">
        <v>310</v>
      </c>
    </row>
    <row r="1301" spans="1:20" s="88" customFormat="1" ht="24" x14ac:dyDescent="0.2">
      <c r="A1301" s="510">
        <f>IF(B1301="","",COUNT('Diário 1º PA'!$A$4:$A$2635)+ROW()-3)</f>
        <v>3034</v>
      </c>
      <c r="B1301" s="414">
        <v>44698</v>
      </c>
      <c r="C1301" s="592">
        <v>44682</v>
      </c>
      <c r="D1301" s="415" t="s">
        <v>271</v>
      </c>
      <c r="E1301" s="415" t="s">
        <v>71</v>
      </c>
      <c r="F1301" s="425">
        <v>11</v>
      </c>
      <c r="G1301" s="427" t="s">
        <v>4156</v>
      </c>
      <c r="H1301" s="419" t="s">
        <v>310</v>
      </c>
      <c r="I1301" s="427" t="s">
        <v>881</v>
      </c>
      <c r="J1301" s="415" t="s">
        <v>882</v>
      </c>
      <c r="K1301" s="415" t="s">
        <v>883</v>
      </c>
      <c r="L1301" s="415" t="s">
        <v>798</v>
      </c>
      <c r="M1301" s="415" t="s">
        <v>310</v>
      </c>
      <c r="N1301" s="414">
        <v>44698</v>
      </c>
      <c r="O1301" s="414" t="s">
        <v>400</v>
      </c>
      <c r="P1301" s="603">
        <f t="shared" si="184"/>
        <v>5</v>
      </c>
      <c r="Q1301" s="603">
        <f t="shared" si="185"/>
        <v>5</v>
      </c>
      <c r="R1301" s="604" t="str">
        <f t="shared" si="186"/>
        <v>Gastos_Gerais</v>
      </c>
      <c r="S1301" s="605" t="s">
        <v>310</v>
      </c>
      <c r="T1301" s="605" t="s">
        <v>310</v>
      </c>
    </row>
    <row r="1302" spans="1:20" s="88" customFormat="1" ht="24" x14ac:dyDescent="0.2">
      <c r="A1302" s="510">
        <f>IF(B1302="","",COUNT('Diário 1º PA'!$A$4:$A$2635)+ROW()-3)</f>
        <v>3035</v>
      </c>
      <c r="B1302" s="414">
        <v>44698</v>
      </c>
      <c r="C1302" s="592">
        <v>44682</v>
      </c>
      <c r="D1302" s="415" t="s">
        <v>271</v>
      </c>
      <c r="E1302" s="415" t="s">
        <v>71</v>
      </c>
      <c r="F1302" s="425">
        <v>11</v>
      </c>
      <c r="G1302" s="427" t="s">
        <v>4156</v>
      </c>
      <c r="H1302" s="419" t="s">
        <v>310</v>
      </c>
      <c r="I1302" s="427" t="s">
        <v>881</v>
      </c>
      <c r="J1302" s="415" t="s">
        <v>882</v>
      </c>
      <c r="K1302" s="415" t="s">
        <v>883</v>
      </c>
      <c r="L1302" s="415" t="s">
        <v>798</v>
      </c>
      <c r="M1302" s="415" t="s">
        <v>310</v>
      </c>
      <c r="N1302" s="414">
        <v>44698</v>
      </c>
      <c r="O1302" s="414" t="s">
        <v>400</v>
      </c>
      <c r="P1302" s="603">
        <f t="shared" si="184"/>
        <v>5</v>
      </c>
      <c r="Q1302" s="603">
        <f t="shared" si="185"/>
        <v>5</v>
      </c>
      <c r="R1302" s="604" t="str">
        <f t="shared" si="186"/>
        <v>Gastos_Gerais</v>
      </c>
      <c r="S1302" s="605" t="s">
        <v>310</v>
      </c>
      <c r="T1302" s="605" t="s">
        <v>310</v>
      </c>
    </row>
    <row r="1303" spans="1:20" s="88" customFormat="1" ht="24" x14ac:dyDescent="0.2">
      <c r="A1303" s="510">
        <f>IF(B1303="","",COUNT('Diário 1º PA'!$A$4:$A$2635)+ROW()-3)</f>
        <v>3036</v>
      </c>
      <c r="B1303" s="414">
        <v>44698</v>
      </c>
      <c r="C1303" s="592">
        <v>44682</v>
      </c>
      <c r="D1303" s="415" t="s">
        <v>271</v>
      </c>
      <c r="E1303" s="415" t="s">
        <v>71</v>
      </c>
      <c r="F1303" s="425">
        <v>11</v>
      </c>
      <c r="G1303" s="427" t="s">
        <v>4156</v>
      </c>
      <c r="H1303" s="419" t="s">
        <v>310</v>
      </c>
      <c r="I1303" s="427" t="s">
        <v>881</v>
      </c>
      <c r="J1303" s="415" t="s">
        <v>882</v>
      </c>
      <c r="K1303" s="415" t="s">
        <v>883</v>
      </c>
      <c r="L1303" s="415" t="s">
        <v>798</v>
      </c>
      <c r="M1303" s="415" t="s">
        <v>310</v>
      </c>
      <c r="N1303" s="414">
        <v>44698</v>
      </c>
      <c r="O1303" s="414" t="s">
        <v>400</v>
      </c>
      <c r="P1303" s="603">
        <f t="shared" si="184"/>
        <v>5</v>
      </c>
      <c r="Q1303" s="603">
        <f t="shared" si="185"/>
        <v>5</v>
      </c>
      <c r="R1303" s="604" t="str">
        <f t="shared" si="186"/>
        <v>Gastos_Gerais</v>
      </c>
      <c r="S1303" s="605" t="s">
        <v>310</v>
      </c>
      <c r="T1303" s="605" t="s">
        <v>310</v>
      </c>
    </row>
    <row r="1304" spans="1:20" s="88" customFormat="1" ht="24" x14ac:dyDescent="0.2">
      <c r="A1304" s="510">
        <f>IF(B1304="","",COUNT('Diário 1º PA'!$A$4:$A$2635)+ROW()-3)</f>
        <v>3037</v>
      </c>
      <c r="B1304" s="414">
        <v>44698</v>
      </c>
      <c r="C1304" s="592">
        <v>44682</v>
      </c>
      <c r="D1304" s="415" t="s">
        <v>271</v>
      </c>
      <c r="E1304" s="415" t="s">
        <v>71</v>
      </c>
      <c r="F1304" s="425">
        <v>11</v>
      </c>
      <c r="G1304" s="427" t="s">
        <v>4156</v>
      </c>
      <c r="H1304" s="419" t="s">
        <v>310</v>
      </c>
      <c r="I1304" s="427" t="s">
        <v>881</v>
      </c>
      <c r="J1304" s="415" t="s">
        <v>882</v>
      </c>
      <c r="K1304" s="415" t="s">
        <v>883</v>
      </c>
      <c r="L1304" s="415" t="s">
        <v>798</v>
      </c>
      <c r="M1304" s="415" t="s">
        <v>310</v>
      </c>
      <c r="N1304" s="414">
        <v>44698</v>
      </c>
      <c r="O1304" s="414" t="s">
        <v>400</v>
      </c>
      <c r="P1304" s="603">
        <f t="shared" si="184"/>
        <v>5</v>
      </c>
      <c r="Q1304" s="603">
        <f t="shared" si="185"/>
        <v>5</v>
      </c>
      <c r="R1304" s="604" t="str">
        <f t="shared" si="186"/>
        <v>Gastos_Gerais</v>
      </c>
      <c r="S1304" s="605" t="s">
        <v>310</v>
      </c>
      <c r="T1304" s="605" t="s">
        <v>310</v>
      </c>
    </row>
    <row r="1305" spans="1:20" s="88" customFormat="1" ht="24" x14ac:dyDescent="0.2">
      <c r="A1305" s="510">
        <f>IF(B1305="","",COUNT('Diário 1º PA'!$A$4:$A$2635)+ROW()-3)</f>
        <v>3038</v>
      </c>
      <c r="B1305" s="414">
        <v>44698</v>
      </c>
      <c r="C1305" s="592">
        <v>44682</v>
      </c>
      <c r="D1305" s="415" t="s">
        <v>271</v>
      </c>
      <c r="E1305" s="415" t="s">
        <v>71</v>
      </c>
      <c r="F1305" s="425">
        <v>11</v>
      </c>
      <c r="G1305" s="427" t="s">
        <v>4156</v>
      </c>
      <c r="H1305" s="419" t="s">
        <v>310</v>
      </c>
      <c r="I1305" s="427" t="s">
        <v>881</v>
      </c>
      <c r="J1305" s="415" t="s">
        <v>882</v>
      </c>
      <c r="K1305" s="415" t="s">
        <v>883</v>
      </c>
      <c r="L1305" s="415" t="s">
        <v>798</v>
      </c>
      <c r="M1305" s="415" t="s">
        <v>310</v>
      </c>
      <c r="N1305" s="414">
        <v>44698</v>
      </c>
      <c r="O1305" s="414" t="s">
        <v>400</v>
      </c>
      <c r="P1305" s="603">
        <f t="shared" si="184"/>
        <v>5</v>
      </c>
      <c r="Q1305" s="603">
        <f t="shared" si="185"/>
        <v>5</v>
      </c>
      <c r="R1305" s="604" t="str">
        <f t="shared" si="186"/>
        <v>Gastos_Gerais</v>
      </c>
      <c r="S1305" s="605" t="s">
        <v>310</v>
      </c>
      <c r="T1305" s="605" t="s">
        <v>310</v>
      </c>
    </row>
    <row r="1306" spans="1:20" s="88" customFormat="1" ht="24" x14ac:dyDescent="0.2">
      <c r="A1306" s="510">
        <f>IF(B1306="","",COUNT('Diário 1º PA'!$A$4:$A$2635)+ROW()-3)</f>
        <v>3039</v>
      </c>
      <c r="B1306" s="414">
        <v>44698</v>
      </c>
      <c r="C1306" s="592">
        <v>44682</v>
      </c>
      <c r="D1306" s="415" t="s">
        <v>271</v>
      </c>
      <c r="E1306" s="415" t="s">
        <v>71</v>
      </c>
      <c r="F1306" s="425">
        <v>11</v>
      </c>
      <c r="G1306" s="427" t="s">
        <v>4156</v>
      </c>
      <c r="H1306" s="419" t="s">
        <v>310</v>
      </c>
      <c r="I1306" s="427" t="s">
        <v>881</v>
      </c>
      <c r="J1306" s="415" t="s">
        <v>882</v>
      </c>
      <c r="K1306" s="415" t="s">
        <v>883</v>
      </c>
      <c r="L1306" s="415" t="s">
        <v>798</v>
      </c>
      <c r="M1306" s="415" t="s">
        <v>310</v>
      </c>
      <c r="N1306" s="414">
        <v>44698</v>
      </c>
      <c r="O1306" s="414" t="s">
        <v>400</v>
      </c>
      <c r="P1306" s="603">
        <f t="shared" si="184"/>
        <v>5</v>
      </c>
      <c r="Q1306" s="603">
        <f t="shared" si="185"/>
        <v>5</v>
      </c>
      <c r="R1306" s="604" t="str">
        <f t="shared" si="186"/>
        <v>Gastos_Gerais</v>
      </c>
      <c r="S1306" s="605" t="s">
        <v>310</v>
      </c>
      <c r="T1306" s="605" t="s">
        <v>310</v>
      </c>
    </row>
    <row r="1307" spans="1:20" s="88" customFormat="1" ht="24" x14ac:dyDescent="0.2">
      <c r="A1307" s="510">
        <f>IF(B1307="","",COUNT('Diário 1º PA'!$A$4:$A$2635)+ROW()-3)</f>
        <v>3040</v>
      </c>
      <c r="B1307" s="414">
        <v>44698</v>
      </c>
      <c r="C1307" s="592">
        <v>44682</v>
      </c>
      <c r="D1307" s="415" t="s">
        <v>271</v>
      </c>
      <c r="E1307" s="415" t="s">
        <v>71</v>
      </c>
      <c r="F1307" s="425">
        <v>11</v>
      </c>
      <c r="G1307" s="427" t="s">
        <v>4156</v>
      </c>
      <c r="H1307" s="419" t="s">
        <v>310</v>
      </c>
      <c r="I1307" s="427" t="s">
        <v>881</v>
      </c>
      <c r="J1307" s="415" t="s">
        <v>882</v>
      </c>
      <c r="K1307" s="415" t="s">
        <v>883</v>
      </c>
      <c r="L1307" s="415" t="s">
        <v>798</v>
      </c>
      <c r="M1307" s="415" t="s">
        <v>310</v>
      </c>
      <c r="N1307" s="414">
        <v>44698</v>
      </c>
      <c r="O1307" s="414" t="s">
        <v>400</v>
      </c>
      <c r="P1307" s="603">
        <f t="shared" si="184"/>
        <v>5</v>
      </c>
      <c r="Q1307" s="603">
        <f t="shared" si="185"/>
        <v>5</v>
      </c>
      <c r="R1307" s="604" t="str">
        <f t="shared" si="186"/>
        <v>Gastos_Gerais</v>
      </c>
      <c r="S1307" s="605" t="s">
        <v>310</v>
      </c>
      <c r="T1307" s="605" t="s">
        <v>310</v>
      </c>
    </row>
    <row r="1308" spans="1:20" s="88" customFormat="1" ht="24" x14ac:dyDescent="0.2">
      <c r="A1308" s="510">
        <f>IF(B1308="","",COUNT('Diário 1º PA'!$A$4:$A$2635)+ROW()-3)</f>
        <v>3041</v>
      </c>
      <c r="B1308" s="414">
        <v>44698</v>
      </c>
      <c r="C1308" s="592">
        <v>44682</v>
      </c>
      <c r="D1308" s="415" t="s">
        <v>271</v>
      </c>
      <c r="E1308" s="415" t="s">
        <v>71</v>
      </c>
      <c r="F1308" s="425">
        <v>11</v>
      </c>
      <c r="G1308" s="427" t="s">
        <v>4156</v>
      </c>
      <c r="H1308" s="419" t="s">
        <v>310</v>
      </c>
      <c r="I1308" s="427" t="s">
        <v>881</v>
      </c>
      <c r="J1308" s="415" t="s">
        <v>882</v>
      </c>
      <c r="K1308" s="415" t="s">
        <v>883</v>
      </c>
      <c r="L1308" s="415" t="s">
        <v>798</v>
      </c>
      <c r="M1308" s="415" t="s">
        <v>310</v>
      </c>
      <c r="N1308" s="414">
        <v>44698</v>
      </c>
      <c r="O1308" s="414" t="s">
        <v>400</v>
      </c>
      <c r="P1308" s="603">
        <f t="shared" si="184"/>
        <v>5</v>
      </c>
      <c r="Q1308" s="603">
        <f t="shared" si="185"/>
        <v>5</v>
      </c>
      <c r="R1308" s="604" t="str">
        <f t="shared" si="186"/>
        <v>Gastos_Gerais</v>
      </c>
      <c r="S1308" s="605" t="s">
        <v>310</v>
      </c>
      <c r="T1308" s="605" t="s">
        <v>310</v>
      </c>
    </row>
    <row r="1309" spans="1:20" s="88" customFormat="1" ht="24" x14ac:dyDescent="0.2">
      <c r="A1309" s="510">
        <f>IF(B1309="","",COUNT('Diário 1º PA'!$A$4:$A$2635)+ROW()-3)</f>
        <v>3042</v>
      </c>
      <c r="B1309" s="414">
        <v>44698</v>
      </c>
      <c r="C1309" s="592">
        <v>44682</v>
      </c>
      <c r="D1309" s="415" t="s">
        <v>271</v>
      </c>
      <c r="E1309" s="415" t="s">
        <v>71</v>
      </c>
      <c r="F1309" s="425">
        <v>11</v>
      </c>
      <c r="G1309" s="427" t="s">
        <v>4156</v>
      </c>
      <c r="H1309" s="419" t="s">
        <v>310</v>
      </c>
      <c r="I1309" s="427" t="s">
        <v>881</v>
      </c>
      <c r="J1309" s="415" t="s">
        <v>882</v>
      </c>
      <c r="K1309" s="415" t="s">
        <v>883</v>
      </c>
      <c r="L1309" s="415" t="s">
        <v>798</v>
      </c>
      <c r="M1309" s="415" t="s">
        <v>310</v>
      </c>
      <c r="N1309" s="414">
        <v>44698</v>
      </c>
      <c r="O1309" s="414" t="s">
        <v>400</v>
      </c>
      <c r="P1309" s="603">
        <f t="shared" si="184"/>
        <v>5</v>
      </c>
      <c r="Q1309" s="603">
        <f t="shared" si="185"/>
        <v>5</v>
      </c>
      <c r="R1309" s="604" t="str">
        <f t="shared" si="186"/>
        <v>Gastos_Gerais</v>
      </c>
      <c r="S1309" s="605" t="s">
        <v>310</v>
      </c>
      <c r="T1309" s="605" t="s">
        <v>310</v>
      </c>
    </row>
    <row r="1310" spans="1:20" s="88" customFormat="1" ht="24" x14ac:dyDescent="0.2">
      <c r="A1310" s="510">
        <f>IF(B1310="","",COUNT('Diário 1º PA'!$A$4:$A$2635)+ROW()-3)</f>
        <v>3043</v>
      </c>
      <c r="B1310" s="414">
        <v>44698</v>
      </c>
      <c r="C1310" s="592">
        <v>44682</v>
      </c>
      <c r="D1310" s="415" t="s">
        <v>271</v>
      </c>
      <c r="E1310" s="415" t="s">
        <v>71</v>
      </c>
      <c r="F1310" s="425">
        <v>11</v>
      </c>
      <c r="G1310" s="427" t="s">
        <v>4156</v>
      </c>
      <c r="H1310" s="419" t="s">
        <v>310</v>
      </c>
      <c r="I1310" s="427" t="s">
        <v>881</v>
      </c>
      <c r="J1310" s="415" t="s">
        <v>882</v>
      </c>
      <c r="K1310" s="415" t="s">
        <v>883</v>
      </c>
      <c r="L1310" s="415" t="s">
        <v>798</v>
      </c>
      <c r="M1310" s="415" t="s">
        <v>310</v>
      </c>
      <c r="N1310" s="414">
        <v>44698</v>
      </c>
      <c r="O1310" s="414" t="s">
        <v>400</v>
      </c>
      <c r="P1310" s="603">
        <f t="shared" si="184"/>
        <v>5</v>
      </c>
      <c r="Q1310" s="603">
        <f t="shared" si="185"/>
        <v>5</v>
      </c>
      <c r="R1310" s="604" t="str">
        <f t="shared" si="186"/>
        <v>Gastos_Gerais</v>
      </c>
      <c r="S1310" s="605" t="s">
        <v>310</v>
      </c>
      <c r="T1310" s="605" t="s">
        <v>310</v>
      </c>
    </row>
    <row r="1311" spans="1:20" s="88" customFormat="1" ht="24" x14ac:dyDescent="0.2">
      <c r="A1311" s="510">
        <f>IF(B1311="","",COUNT('Diário 1º PA'!$A$4:$A$2635)+ROW()-3)</f>
        <v>3044</v>
      </c>
      <c r="B1311" s="414">
        <v>44698</v>
      </c>
      <c r="C1311" s="592">
        <v>44682</v>
      </c>
      <c r="D1311" s="415" t="s">
        <v>271</v>
      </c>
      <c r="E1311" s="415" t="s">
        <v>71</v>
      </c>
      <c r="F1311" s="425">
        <v>11</v>
      </c>
      <c r="G1311" s="427" t="s">
        <v>4156</v>
      </c>
      <c r="H1311" s="419" t="s">
        <v>310</v>
      </c>
      <c r="I1311" s="427" t="s">
        <v>881</v>
      </c>
      <c r="J1311" s="415" t="s">
        <v>882</v>
      </c>
      <c r="K1311" s="415" t="s">
        <v>883</v>
      </c>
      <c r="L1311" s="415" t="s">
        <v>798</v>
      </c>
      <c r="M1311" s="415" t="s">
        <v>310</v>
      </c>
      <c r="N1311" s="414">
        <v>44698</v>
      </c>
      <c r="O1311" s="414" t="s">
        <v>400</v>
      </c>
      <c r="P1311" s="603">
        <f t="shared" si="184"/>
        <v>5</v>
      </c>
      <c r="Q1311" s="603">
        <f t="shared" si="185"/>
        <v>5</v>
      </c>
      <c r="R1311" s="604" t="str">
        <f t="shared" si="186"/>
        <v>Gastos_Gerais</v>
      </c>
      <c r="S1311" s="605" t="s">
        <v>310</v>
      </c>
      <c r="T1311" s="605" t="s">
        <v>310</v>
      </c>
    </row>
    <row r="1312" spans="1:20" s="88" customFormat="1" ht="24" x14ac:dyDescent="0.2">
      <c r="A1312" s="510">
        <f>IF(B1312="","",COUNT('Diário 1º PA'!$A$4:$A$2635)+ROW()-3)</f>
        <v>3045</v>
      </c>
      <c r="B1312" s="414">
        <v>44698</v>
      </c>
      <c r="C1312" s="592">
        <v>44682</v>
      </c>
      <c r="D1312" s="415" t="s">
        <v>271</v>
      </c>
      <c r="E1312" s="415" t="s">
        <v>71</v>
      </c>
      <c r="F1312" s="425">
        <v>11</v>
      </c>
      <c r="G1312" s="427" t="s">
        <v>4156</v>
      </c>
      <c r="H1312" s="419" t="s">
        <v>310</v>
      </c>
      <c r="I1312" s="427" t="s">
        <v>881</v>
      </c>
      <c r="J1312" s="415" t="s">
        <v>882</v>
      </c>
      <c r="K1312" s="415" t="s">
        <v>883</v>
      </c>
      <c r="L1312" s="415" t="s">
        <v>798</v>
      </c>
      <c r="M1312" s="415" t="s">
        <v>310</v>
      </c>
      <c r="N1312" s="414">
        <v>44698</v>
      </c>
      <c r="O1312" s="414" t="s">
        <v>400</v>
      </c>
      <c r="P1312" s="603">
        <f>IF(B1312=0,0,IF(YEAR(B1312)=$Q$1,MONTH(B1312)-$P$1+1,(YEAR(B1312)-$Q$1)*12-$P$1+1+MONTH(B1312)))</f>
        <v>5</v>
      </c>
      <c r="Q1312" s="603">
        <f>IF(C1312=0,0,IF(YEAR(C1312)=$Q$1,MONTH(C1312)-$P$1+1,(YEAR(C1312)-$Q$1)*12-$P$1+1+MONTH(C1312)))</f>
        <v>5</v>
      </c>
      <c r="R1312" s="604" t="str">
        <f>SUBSTITUTE(D1312," ","_")</f>
        <v>Gastos_Gerais</v>
      </c>
      <c r="S1312" s="605" t="s">
        <v>310</v>
      </c>
      <c r="T1312" s="605" t="s">
        <v>310</v>
      </c>
    </row>
    <row r="1313" spans="1:21" s="88" customFormat="1" ht="99.95" customHeight="1" x14ac:dyDescent="0.2">
      <c r="A1313" s="510">
        <f>IF(B1313="","",COUNT('Diário 1º PA'!$A$4:$A$2635)+ROW()-3)</f>
        <v>3046</v>
      </c>
      <c r="B1313" s="414">
        <v>44698</v>
      </c>
      <c r="C1313" s="592">
        <v>44682</v>
      </c>
      <c r="D1313" s="415" t="s">
        <v>271</v>
      </c>
      <c r="E1313" s="415" t="s">
        <v>71</v>
      </c>
      <c r="F1313" s="425">
        <v>11</v>
      </c>
      <c r="G1313" s="427" t="s">
        <v>4156</v>
      </c>
      <c r="H1313" s="419" t="s">
        <v>310</v>
      </c>
      <c r="I1313" s="427" t="s">
        <v>881</v>
      </c>
      <c r="J1313" s="415" t="s">
        <v>882</v>
      </c>
      <c r="K1313" s="415" t="s">
        <v>883</v>
      </c>
      <c r="L1313" s="415" t="s">
        <v>798</v>
      </c>
      <c r="M1313" s="415" t="s">
        <v>310</v>
      </c>
      <c r="N1313" s="414">
        <v>44698</v>
      </c>
      <c r="O1313" s="414" t="s">
        <v>400</v>
      </c>
      <c r="P1313" s="603">
        <f t="shared" si="184"/>
        <v>5</v>
      </c>
      <c r="Q1313" s="603">
        <f t="shared" si="185"/>
        <v>5</v>
      </c>
      <c r="R1313" s="604" t="str">
        <f t="shared" si="186"/>
        <v>Gastos_Gerais</v>
      </c>
      <c r="S1313" s="605" t="s">
        <v>310</v>
      </c>
      <c r="T1313" s="605" t="s">
        <v>310</v>
      </c>
    </row>
    <row r="1314" spans="1:21" s="88" customFormat="1" ht="99.95" customHeight="1" x14ac:dyDescent="0.2">
      <c r="A1314" s="510">
        <f>IF(B1314="","",COUNT('Diário 1º PA'!$A$4:$A$2635)+ROW()-3)</f>
        <v>3047</v>
      </c>
      <c r="B1314" s="414">
        <v>44698</v>
      </c>
      <c r="C1314" s="592">
        <v>44682</v>
      </c>
      <c r="D1314" s="415" t="s">
        <v>271</v>
      </c>
      <c r="E1314" s="415" t="s">
        <v>71</v>
      </c>
      <c r="F1314" s="425">
        <v>11</v>
      </c>
      <c r="G1314" s="427" t="s">
        <v>4157</v>
      </c>
      <c r="H1314" s="419" t="s">
        <v>758</v>
      </c>
      <c r="I1314" s="427" t="s">
        <v>881</v>
      </c>
      <c r="J1314" s="415" t="s">
        <v>882</v>
      </c>
      <c r="K1314" s="415" t="s">
        <v>883</v>
      </c>
      <c r="L1314" s="415" t="s">
        <v>798</v>
      </c>
      <c r="M1314" s="415" t="s">
        <v>310</v>
      </c>
      <c r="N1314" s="414">
        <v>44698</v>
      </c>
      <c r="O1314" s="414" t="s">
        <v>400</v>
      </c>
      <c r="P1314" s="603">
        <f t="shared" si="184"/>
        <v>5</v>
      </c>
      <c r="Q1314" s="603">
        <f t="shared" si="185"/>
        <v>5</v>
      </c>
      <c r="R1314" s="604" t="str">
        <f t="shared" si="186"/>
        <v>Gastos_Gerais</v>
      </c>
      <c r="S1314" s="605" t="s">
        <v>310</v>
      </c>
      <c r="T1314" s="605" t="s">
        <v>310</v>
      </c>
    </row>
    <row r="1315" spans="1:21" s="88" customFormat="1" ht="99.95" customHeight="1" x14ac:dyDescent="0.2">
      <c r="A1315" s="510">
        <f>IF(B1315="","",COUNT('Diário 1º PA'!$A$4:$A$2635)+ROW()-3)</f>
        <v>3048</v>
      </c>
      <c r="B1315" s="414">
        <v>44698</v>
      </c>
      <c r="C1315" s="592">
        <v>44682</v>
      </c>
      <c r="D1315" s="415" t="s">
        <v>271</v>
      </c>
      <c r="E1315" s="415" t="s">
        <v>71</v>
      </c>
      <c r="F1315" s="425">
        <v>11</v>
      </c>
      <c r="G1315" s="427" t="s">
        <v>4158</v>
      </c>
      <c r="H1315" s="419" t="s">
        <v>758</v>
      </c>
      <c r="I1315" s="427" t="s">
        <v>881</v>
      </c>
      <c r="J1315" s="415" t="s">
        <v>882</v>
      </c>
      <c r="K1315" s="415" t="s">
        <v>883</v>
      </c>
      <c r="L1315" s="415" t="s">
        <v>798</v>
      </c>
      <c r="M1315" s="415" t="s">
        <v>310</v>
      </c>
      <c r="N1315" s="414">
        <v>44698</v>
      </c>
      <c r="O1315" s="414" t="s">
        <v>400</v>
      </c>
      <c r="P1315" s="603">
        <f t="shared" si="184"/>
        <v>5</v>
      </c>
      <c r="Q1315" s="603">
        <f t="shared" si="185"/>
        <v>5</v>
      </c>
      <c r="R1315" s="604" t="str">
        <f t="shared" si="186"/>
        <v>Gastos_Gerais</v>
      </c>
      <c r="S1315" s="605" t="s">
        <v>310</v>
      </c>
      <c r="T1315" s="605" t="s">
        <v>310</v>
      </c>
    </row>
    <row r="1316" spans="1:21" ht="99.95" customHeight="1" x14ac:dyDescent="0.2">
      <c r="A1316" s="510">
        <f>IF(B1316="","",COUNT('Diário 1º PA'!$A$4:$A$2635)+ROW()-3)</f>
        <v>3049</v>
      </c>
      <c r="B1316" s="414">
        <v>44698</v>
      </c>
      <c r="C1316" s="592">
        <v>44682</v>
      </c>
      <c r="D1316" s="415" t="s">
        <v>271</v>
      </c>
      <c r="E1316" s="415" t="s">
        <v>71</v>
      </c>
      <c r="F1316" s="425">
        <v>11</v>
      </c>
      <c r="G1316" s="427" t="s">
        <v>4159</v>
      </c>
      <c r="H1316" s="419" t="s">
        <v>792</v>
      </c>
      <c r="I1316" s="427" t="s">
        <v>881</v>
      </c>
      <c r="J1316" s="415" t="s">
        <v>882</v>
      </c>
      <c r="K1316" s="415" t="s">
        <v>883</v>
      </c>
      <c r="L1316" s="415" t="s">
        <v>798</v>
      </c>
      <c r="M1316" s="415" t="s">
        <v>310</v>
      </c>
      <c r="N1316" s="414">
        <v>44698</v>
      </c>
      <c r="O1316" s="414" t="s">
        <v>400</v>
      </c>
      <c r="P1316" s="603">
        <f t="shared" ref="P1316:P1325" si="187">IF(B1316=0,0,IF(YEAR(B1316)=$Q$1,MONTH(B1316)-$P$1+1,(YEAR(B1316)-$Q$1)*12-$P$1+1+MONTH(B1316)))</f>
        <v>5</v>
      </c>
      <c r="Q1316" s="603">
        <f t="shared" ref="Q1316:Q1325" si="188">IF(C1316=0,0,IF(YEAR(C1316)=$Q$1,MONTH(C1316)-$P$1+1,(YEAR(C1316)-$Q$1)*12-$P$1+1+MONTH(C1316)))</f>
        <v>5</v>
      </c>
      <c r="R1316" s="604" t="str">
        <f t="shared" ref="R1316:R1325" si="189">SUBSTITUTE(D1316," ","_")</f>
        <v>Gastos_Gerais</v>
      </c>
      <c r="S1316" s="605" t="s">
        <v>310</v>
      </c>
      <c r="T1316" s="605" t="s">
        <v>310</v>
      </c>
    </row>
    <row r="1317" spans="1:21" ht="99.95" customHeight="1" x14ac:dyDescent="0.2">
      <c r="A1317" s="510">
        <f>IF(B1317="","",COUNT('Diário 1º PA'!$A$4:$A$2635)+ROW()-3)</f>
        <v>3050</v>
      </c>
      <c r="B1317" s="414">
        <v>44698</v>
      </c>
      <c r="C1317" s="592">
        <v>44682</v>
      </c>
      <c r="D1317" s="415" t="s">
        <v>468</v>
      </c>
      <c r="E1317" s="415" t="s">
        <v>468</v>
      </c>
      <c r="F1317" s="425">
        <v>1226.3599999999999</v>
      </c>
      <c r="G1317" s="427" t="s">
        <v>3887</v>
      </c>
      <c r="H1317" s="419" t="s">
        <v>468</v>
      </c>
      <c r="I1317" s="427" t="s">
        <v>5114</v>
      </c>
      <c r="J1317" s="415" t="s">
        <v>3888</v>
      </c>
      <c r="K1317" s="415" t="s">
        <v>830</v>
      </c>
      <c r="L1317" s="415" t="s">
        <v>807</v>
      </c>
      <c r="M1317" s="415" t="s">
        <v>5115</v>
      </c>
      <c r="N1317" s="414">
        <v>44697</v>
      </c>
      <c r="O1317" s="414" t="s">
        <v>407</v>
      </c>
      <c r="P1317" s="603">
        <f t="shared" si="187"/>
        <v>5</v>
      </c>
      <c r="Q1317" s="603">
        <f t="shared" si="188"/>
        <v>5</v>
      </c>
      <c r="R1317" s="604" t="str">
        <f t="shared" si="189"/>
        <v>Gastos_custeados_por_captação</v>
      </c>
      <c r="S1317" s="605" t="s">
        <v>998</v>
      </c>
      <c r="T1317" s="605">
        <v>3550</v>
      </c>
    </row>
    <row r="1318" spans="1:21" ht="99.95" customHeight="1" x14ac:dyDescent="0.2">
      <c r="A1318" s="510">
        <f>IF(B1318="","",COUNT('Diário 1º PA'!$A$4:$A$2635)+ROW()-3)</f>
        <v>3051</v>
      </c>
      <c r="B1318" s="414">
        <v>44698</v>
      </c>
      <c r="C1318" s="592">
        <v>44652</v>
      </c>
      <c r="D1318" s="415" t="s">
        <v>468</v>
      </c>
      <c r="E1318" s="415" t="s">
        <v>468</v>
      </c>
      <c r="F1318" s="425">
        <v>4000</v>
      </c>
      <c r="G1318" s="427" t="s">
        <v>3310</v>
      </c>
      <c r="H1318" s="419" t="s">
        <v>468</v>
      </c>
      <c r="I1318" s="427" t="s">
        <v>5018</v>
      </c>
      <c r="J1318" s="415" t="s">
        <v>1052</v>
      </c>
      <c r="K1318" s="415" t="s">
        <v>830</v>
      </c>
      <c r="L1318" s="415" t="s">
        <v>807</v>
      </c>
      <c r="M1318" s="415">
        <v>156</v>
      </c>
      <c r="N1318" s="414">
        <v>44697</v>
      </c>
      <c r="O1318" s="414" t="s">
        <v>407</v>
      </c>
      <c r="P1318" s="603">
        <f t="shared" si="187"/>
        <v>5</v>
      </c>
      <c r="Q1318" s="603">
        <f t="shared" si="188"/>
        <v>4</v>
      </c>
      <c r="R1318" s="604" t="str">
        <f t="shared" si="189"/>
        <v>Gastos_custeados_por_captação</v>
      </c>
      <c r="S1318" s="605" t="s">
        <v>998</v>
      </c>
      <c r="T1318" s="605">
        <v>3381</v>
      </c>
    </row>
    <row r="1319" spans="1:21" ht="99.95" customHeight="1" x14ac:dyDescent="0.2">
      <c r="A1319" s="510">
        <f>IF(B1319="","",COUNT('Diário 1º PA'!$A$4:$A$2635)+ROW()-3)</f>
        <v>3052</v>
      </c>
      <c r="B1319" s="414">
        <v>44698</v>
      </c>
      <c r="C1319" s="592">
        <v>44621</v>
      </c>
      <c r="D1319" s="415" t="s">
        <v>468</v>
      </c>
      <c r="E1319" s="415" t="s">
        <v>468</v>
      </c>
      <c r="F1319" s="425">
        <v>47506.76</v>
      </c>
      <c r="G1319" s="427" t="s">
        <v>1781</v>
      </c>
      <c r="H1319" s="419" t="s">
        <v>468</v>
      </c>
      <c r="I1319" s="427" t="s">
        <v>2906</v>
      </c>
      <c r="J1319" s="415" t="s">
        <v>1035</v>
      </c>
      <c r="K1319" s="415" t="s">
        <v>830</v>
      </c>
      <c r="L1319" s="415" t="s">
        <v>807</v>
      </c>
      <c r="M1319" s="415">
        <v>339</v>
      </c>
      <c r="N1319" s="414">
        <v>44697</v>
      </c>
      <c r="O1319" s="414" t="s">
        <v>407</v>
      </c>
      <c r="P1319" s="603">
        <f t="shared" si="187"/>
        <v>5</v>
      </c>
      <c r="Q1319" s="603">
        <f t="shared" si="188"/>
        <v>3</v>
      </c>
      <c r="R1319" s="604" t="str">
        <f t="shared" si="189"/>
        <v>Gastos_custeados_por_captação</v>
      </c>
      <c r="S1319" s="605" t="s">
        <v>998</v>
      </c>
      <c r="T1319" s="605">
        <v>2863</v>
      </c>
    </row>
    <row r="1320" spans="1:21" ht="99.95" customHeight="1" x14ac:dyDescent="0.2">
      <c r="A1320" s="510">
        <f>IF(B1320="","",COUNT('Diário 1º PA'!$A$4:$A$2635)+ROW()-3)</f>
        <v>3053</v>
      </c>
      <c r="B1320" s="414">
        <v>44698</v>
      </c>
      <c r="C1320" s="592">
        <v>44652</v>
      </c>
      <c r="D1320" s="415" t="s">
        <v>468</v>
      </c>
      <c r="E1320" s="415" t="s">
        <v>468</v>
      </c>
      <c r="F1320" s="425">
        <v>347.6</v>
      </c>
      <c r="G1320" s="427" t="s">
        <v>3332</v>
      </c>
      <c r="H1320" s="419" t="s">
        <v>468</v>
      </c>
      <c r="I1320" s="427" t="s">
        <v>3746</v>
      </c>
      <c r="J1320" s="415" t="s">
        <v>2668</v>
      </c>
      <c r="K1320" s="415" t="s">
        <v>830</v>
      </c>
      <c r="L1320" s="415" t="s">
        <v>807</v>
      </c>
      <c r="M1320" s="415">
        <v>381915</v>
      </c>
      <c r="N1320" s="414">
        <v>44670</v>
      </c>
      <c r="O1320" s="414" t="s">
        <v>407</v>
      </c>
      <c r="P1320" s="603">
        <f t="shared" si="187"/>
        <v>5</v>
      </c>
      <c r="Q1320" s="603">
        <f t="shared" si="188"/>
        <v>4</v>
      </c>
      <c r="R1320" s="604" t="str">
        <f t="shared" si="189"/>
        <v>Gastos_custeados_por_captação</v>
      </c>
      <c r="S1320" s="605" t="s">
        <v>999</v>
      </c>
      <c r="T1320" s="605">
        <v>3447</v>
      </c>
    </row>
    <row r="1321" spans="1:21" ht="99.95" customHeight="1" x14ac:dyDescent="0.2">
      <c r="A1321" s="510">
        <f>IF(B1321="","",COUNT('Diário 1º PA'!$A$4:$A$2635)+ROW()-3)</f>
        <v>3054</v>
      </c>
      <c r="B1321" s="414">
        <v>44698</v>
      </c>
      <c r="C1321" s="592">
        <v>44682</v>
      </c>
      <c r="D1321" s="415" t="s">
        <v>468</v>
      </c>
      <c r="E1321" s="415" t="s">
        <v>468</v>
      </c>
      <c r="F1321" s="425">
        <v>4050</v>
      </c>
      <c r="G1321" s="427" t="s">
        <v>3728</v>
      </c>
      <c r="H1321" s="419" t="s">
        <v>468</v>
      </c>
      <c r="I1321" s="427" t="s">
        <v>856</v>
      </c>
      <c r="J1321" s="415" t="s">
        <v>1077</v>
      </c>
      <c r="K1321" s="415" t="s">
        <v>830</v>
      </c>
      <c r="L1321" s="415" t="s">
        <v>807</v>
      </c>
      <c r="M1321" s="415">
        <v>143</v>
      </c>
      <c r="N1321" s="414">
        <v>44697</v>
      </c>
      <c r="O1321" s="414" t="s">
        <v>407</v>
      </c>
      <c r="P1321" s="603">
        <f t="shared" si="187"/>
        <v>5</v>
      </c>
      <c r="Q1321" s="603">
        <f t="shared" si="188"/>
        <v>5</v>
      </c>
      <c r="R1321" s="604" t="str">
        <f t="shared" si="189"/>
        <v>Gastos_custeados_por_captação</v>
      </c>
      <c r="S1321" s="605" t="s">
        <v>998</v>
      </c>
      <c r="T1321" s="605">
        <v>3439</v>
      </c>
    </row>
    <row r="1322" spans="1:21" ht="99.95" customHeight="1" x14ac:dyDescent="0.2">
      <c r="A1322" s="510">
        <f>IF(B1322="","",COUNT('Diário 1º PA'!$A$4:$A$2635)+ROW()-3)</f>
        <v>3055</v>
      </c>
      <c r="B1322" s="414">
        <v>44698</v>
      </c>
      <c r="C1322" s="592">
        <v>44652</v>
      </c>
      <c r="D1322" s="415" t="s">
        <v>468</v>
      </c>
      <c r="E1322" s="415" t="s">
        <v>468</v>
      </c>
      <c r="F1322" s="425">
        <v>9236</v>
      </c>
      <c r="G1322" s="427" t="s">
        <v>3540</v>
      </c>
      <c r="H1322" s="419" t="s">
        <v>468</v>
      </c>
      <c r="I1322" s="427" t="s">
        <v>5116</v>
      </c>
      <c r="J1322" s="415" t="s">
        <v>3541</v>
      </c>
      <c r="K1322" s="415" t="s">
        <v>830</v>
      </c>
      <c r="L1322" s="415" t="s">
        <v>807</v>
      </c>
      <c r="M1322" s="415">
        <v>525</v>
      </c>
      <c r="N1322" s="414">
        <v>44697</v>
      </c>
      <c r="O1322" s="414" t="s">
        <v>407</v>
      </c>
      <c r="P1322" s="603">
        <f t="shared" si="187"/>
        <v>5</v>
      </c>
      <c r="Q1322" s="603">
        <f t="shared" si="188"/>
        <v>4</v>
      </c>
      <c r="R1322" s="604" t="str">
        <f t="shared" si="189"/>
        <v>Gastos_custeados_por_captação</v>
      </c>
      <c r="S1322" s="605" t="s">
        <v>998</v>
      </c>
      <c r="T1322" s="605">
        <v>3480</v>
      </c>
      <c r="U1322" s="674" t="s">
        <v>5588</v>
      </c>
    </row>
    <row r="1323" spans="1:21" ht="99.95" customHeight="1" x14ac:dyDescent="0.2">
      <c r="A1323" s="510">
        <f>IF(B1323="","",COUNT('Diário 1º PA'!$A$4:$A$2635)+ROW()-3)</f>
        <v>3056</v>
      </c>
      <c r="B1323" s="414">
        <v>44698</v>
      </c>
      <c r="C1323" s="592">
        <v>44652</v>
      </c>
      <c r="D1323" s="415" t="s">
        <v>468</v>
      </c>
      <c r="E1323" s="415" t="s">
        <v>468</v>
      </c>
      <c r="F1323" s="425">
        <v>2462.5500000000002</v>
      </c>
      <c r="G1323" s="427" t="s">
        <v>698</v>
      </c>
      <c r="H1323" s="419" t="s">
        <v>468</v>
      </c>
      <c r="I1323" s="427" t="s">
        <v>4808</v>
      </c>
      <c r="J1323" s="415" t="s">
        <v>1129</v>
      </c>
      <c r="K1323" s="415" t="s">
        <v>830</v>
      </c>
      <c r="L1323" s="415" t="s">
        <v>839</v>
      </c>
      <c r="M1323" s="415">
        <v>1764</v>
      </c>
      <c r="N1323" s="414">
        <v>44694</v>
      </c>
      <c r="O1323" s="414" t="s">
        <v>407</v>
      </c>
      <c r="P1323" s="603">
        <f t="shared" si="187"/>
        <v>5</v>
      </c>
      <c r="Q1323" s="603">
        <f t="shared" si="188"/>
        <v>4</v>
      </c>
      <c r="R1323" s="604" t="str">
        <f t="shared" si="189"/>
        <v>Gastos_custeados_por_captação</v>
      </c>
      <c r="S1323" s="605" t="s">
        <v>998</v>
      </c>
      <c r="T1323" s="605">
        <v>2722</v>
      </c>
    </row>
    <row r="1324" spans="1:21" ht="99.95" customHeight="1" x14ac:dyDescent="0.2">
      <c r="A1324" s="510">
        <f>IF(B1324="","",COUNT('Diário 1º PA'!$A$4:$A$2635)+ROW()-3)</f>
        <v>3057</v>
      </c>
      <c r="B1324" s="414">
        <v>44698</v>
      </c>
      <c r="C1324" s="592">
        <v>44652</v>
      </c>
      <c r="D1324" s="415" t="s">
        <v>468</v>
      </c>
      <c r="E1324" s="415" t="s">
        <v>468</v>
      </c>
      <c r="F1324" s="425">
        <v>3180.8</v>
      </c>
      <c r="G1324" s="427" t="s">
        <v>3299</v>
      </c>
      <c r="H1324" s="419" t="s">
        <v>468</v>
      </c>
      <c r="I1324" s="427" t="s">
        <v>4211</v>
      </c>
      <c r="J1324" s="415" t="s">
        <v>1104</v>
      </c>
      <c r="K1324" s="415" t="s">
        <v>830</v>
      </c>
      <c r="L1324" s="415" t="s">
        <v>839</v>
      </c>
      <c r="M1324" s="415">
        <v>1767</v>
      </c>
      <c r="N1324" s="414">
        <v>44697</v>
      </c>
      <c r="O1324" s="414" t="s">
        <v>407</v>
      </c>
      <c r="P1324" s="603">
        <f t="shared" si="187"/>
        <v>5</v>
      </c>
      <c r="Q1324" s="603">
        <f t="shared" si="188"/>
        <v>4</v>
      </c>
      <c r="R1324" s="604" t="str">
        <f t="shared" si="189"/>
        <v>Gastos_custeados_por_captação</v>
      </c>
      <c r="S1324" s="605" t="s">
        <v>998</v>
      </c>
      <c r="T1324" s="605">
        <v>3380</v>
      </c>
    </row>
    <row r="1325" spans="1:21" ht="99.95" customHeight="1" x14ac:dyDescent="0.2">
      <c r="A1325" s="510">
        <f>IF(B1325="","",COUNT('Diário 1º PA'!$A$4:$A$2635)+ROW()-3)</f>
        <v>3058</v>
      </c>
      <c r="B1325" s="414">
        <v>44698</v>
      </c>
      <c r="C1325" s="592">
        <v>44652</v>
      </c>
      <c r="D1325" s="415" t="s">
        <v>468</v>
      </c>
      <c r="E1325" s="415" t="s">
        <v>468</v>
      </c>
      <c r="F1325" s="425">
        <v>3180.8</v>
      </c>
      <c r="G1325" s="427" t="s">
        <v>3317</v>
      </c>
      <c r="H1325" s="419" t="s">
        <v>468</v>
      </c>
      <c r="I1325" s="427" t="s">
        <v>5117</v>
      </c>
      <c r="J1325" s="415" t="s">
        <v>3318</v>
      </c>
      <c r="K1325" s="415" t="s">
        <v>830</v>
      </c>
      <c r="L1325" s="415" t="s">
        <v>839</v>
      </c>
      <c r="M1325" s="415">
        <v>1769</v>
      </c>
      <c r="N1325" s="414">
        <v>44697</v>
      </c>
      <c r="O1325" s="414" t="s">
        <v>407</v>
      </c>
      <c r="P1325" s="603">
        <f t="shared" si="187"/>
        <v>5</v>
      </c>
      <c r="Q1325" s="603">
        <f t="shared" si="188"/>
        <v>4</v>
      </c>
      <c r="R1325" s="604" t="str">
        <f t="shared" si="189"/>
        <v>Gastos_custeados_por_captação</v>
      </c>
      <c r="S1325" s="605" t="s">
        <v>998</v>
      </c>
      <c r="T1325" s="605">
        <v>3400</v>
      </c>
    </row>
    <row r="1326" spans="1:21" s="88" customFormat="1" ht="99.95" customHeight="1" x14ac:dyDescent="0.2">
      <c r="A1326" s="510">
        <f>IF(B1326="","",COUNT('Diário 1º PA'!$A$4:$A$2635)+ROW()-3)</f>
        <v>3059</v>
      </c>
      <c r="B1326" s="414">
        <v>44698</v>
      </c>
      <c r="C1326" s="592">
        <v>44652</v>
      </c>
      <c r="D1326" s="415" t="s">
        <v>468</v>
      </c>
      <c r="E1326" s="415" t="s">
        <v>468</v>
      </c>
      <c r="F1326" s="425">
        <v>6000</v>
      </c>
      <c r="G1326" s="427" t="s">
        <v>720</v>
      </c>
      <c r="H1326" s="419" t="s">
        <v>468</v>
      </c>
      <c r="I1326" s="427" t="s">
        <v>3558</v>
      </c>
      <c r="J1326" s="415" t="s">
        <v>1052</v>
      </c>
      <c r="K1326" s="415" t="s">
        <v>830</v>
      </c>
      <c r="L1326" s="415" t="s">
        <v>807</v>
      </c>
      <c r="M1326" s="415">
        <v>155</v>
      </c>
      <c r="N1326" s="414">
        <v>44697</v>
      </c>
      <c r="O1326" s="414" t="s">
        <v>407</v>
      </c>
      <c r="P1326" s="603">
        <f t="shared" ref="P1326:Q1330" si="190">IF(B1326=0,0,IF(YEAR(B1326)=$Q$1,MONTH(B1326)-$P$1+1,(YEAR(B1326)-$Q$1)*12-$P$1+1+MONTH(B1326)))</f>
        <v>5</v>
      </c>
      <c r="Q1326" s="603">
        <f t="shared" si="190"/>
        <v>4</v>
      </c>
      <c r="R1326" s="604" t="str">
        <f>SUBSTITUTE(D1326," ","_")</f>
        <v>Gastos_custeados_por_captação</v>
      </c>
      <c r="S1326" s="605" t="s">
        <v>998</v>
      </c>
      <c r="T1326" s="605">
        <v>2766</v>
      </c>
    </row>
    <row r="1327" spans="1:21" s="88" customFormat="1" ht="99.95" customHeight="1" x14ac:dyDescent="0.2">
      <c r="A1327" s="510">
        <f>IF(B1327="","",COUNT('Diário 1º PA'!$A$4:$A$2635)+ROW()-3)</f>
        <v>3060</v>
      </c>
      <c r="B1327" s="414">
        <v>44698</v>
      </c>
      <c r="C1327" s="592">
        <v>44652</v>
      </c>
      <c r="D1327" s="415" t="s">
        <v>468</v>
      </c>
      <c r="E1327" s="415" t="s">
        <v>468</v>
      </c>
      <c r="F1327" s="425">
        <v>3180.8</v>
      </c>
      <c r="G1327" s="427" t="s">
        <v>1736</v>
      </c>
      <c r="H1327" s="419" t="s">
        <v>468</v>
      </c>
      <c r="I1327" s="427" t="s">
        <v>2482</v>
      </c>
      <c r="J1327" s="415" t="s">
        <v>1735</v>
      </c>
      <c r="K1327" s="415" t="s">
        <v>830</v>
      </c>
      <c r="L1327" s="415" t="s">
        <v>839</v>
      </c>
      <c r="M1327" s="415">
        <v>1766</v>
      </c>
      <c r="N1327" s="414">
        <v>44697</v>
      </c>
      <c r="O1327" s="414" t="s">
        <v>408</v>
      </c>
      <c r="P1327" s="603">
        <f t="shared" si="190"/>
        <v>5</v>
      </c>
      <c r="Q1327" s="603">
        <f t="shared" si="190"/>
        <v>4</v>
      </c>
      <c r="R1327" s="604" t="str">
        <f>SUBSTITUTE(D1327," ","_")</f>
        <v>Gastos_custeados_por_captação</v>
      </c>
      <c r="S1327" s="605" t="s">
        <v>1000</v>
      </c>
      <c r="T1327" s="605">
        <v>2759</v>
      </c>
    </row>
    <row r="1328" spans="1:21" s="88" customFormat="1" ht="99.95" customHeight="1" x14ac:dyDescent="0.2">
      <c r="A1328" s="510">
        <f>IF(B1328="","",COUNT('Diário 1º PA'!$A$4:$A$2635)+ROW()-3)</f>
        <v>3061</v>
      </c>
      <c r="B1328" s="414">
        <v>44698</v>
      </c>
      <c r="C1328" s="592">
        <v>44682</v>
      </c>
      <c r="D1328" s="415" t="s">
        <v>468</v>
      </c>
      <c r="E1328" s="415" t="s">
        <v>468</v>
      </c>
      <c r="F1328" s="425">
        <v>11</v>
      </c>
      <c r="G1328" s="427" t="s">
        <v>4799</v>
      </c>
      <c r="H1328" s="419" t="s">
        <v>468</v>
      </c>
      <c r="I1328" s="427" t="s">
        <v>881</v>
      </c>
      <c r="J1328" s="415" t="s">
        <v>882</v>
      </c>
      <c r="K1328" s="415" t="s">
        <v>883</v>
      </c>
      <c r="L1328" s="415" t="s">
        <v>798</v>
      </c>
      <c r="M1328" s="415" t="s">
        <v>310</v>
      </c>
      <c r="N1328" s="414">
        <v>44698</v>
      </c>
      <c r="O1328" s="414" t="s">
        <v>408</v>
      </c>
      <c r="P1328" s="603">
        <f t="shared" si="190"/>
        <v>5</v>
      </c>
      <c r="Q1328" s="603">
        <f t="shared" si="190"/>
        <v>5</v>
      </c>
      <c r="R1328" s="604" t="str">
        <f>SUBSTITUTE(D1328," ","_")</f>
        <v>Gastos_custeados_por_captação</v>
      </c>
      <c r="S1328" s="605" t="s">
        <v>310</v>
      </c>
      <c r="T1328" s="605" t="s">
        <v>310</v>
      </c>
    </row>
    <row r="1329" spans="1:20" s="88" customFormat="1" ht="99.95" customHeight="1" x14ac:dyDescent="0.2">
      <c r="A1329" s="510">
        <f>IF(B1329="","",COUNT('Diário 1º PA'!$A$4:$A$2635)+ROW()-3)</f>
        <v>3062</v>
      </c>
      <c r="B1329" s="414">
        <v>44698</v>
      </c>
      <c r="C1329" s="592">
        <v>44682</v>
      </c>
      <c r="D1329" s="415" t="s">
        <v>468</v>
      </c>
      <c r="E1329" s="415" t="s">
        <v>468</v>
      </c>
      <c r="F1329" s="425">
        <v>435</v>
      </c>
      <c r="G1329" s="427" t="s">
        <v>3724</v>
      </c>
      <c r="H1329" s="419" t="s">
        <v>468</v>
      </c>
      <c r="I1329" s="427" t="s">
        <v>5401</v>
      </c>
      <c r="J1329" s="415" t="s">
        <v>5402</v>
      </c>
      <c r="K1329" s="415" t="s">
        <v>830</v>
      </c>
      <c r="L1329" s="415" t="s">
        <v>807</v>
      </c>
      <c r="M1329" s="415" t="s">
        <v>5403</v>
      </c>
      <c r="N1329" s="414">
        <v>44697</v>
      </c>
      <c r="O1329" s="414" t="s">
        <v>3762</v>
      </c>
      <c r="P1329" s="603">
        <f t="shared" si="190"/>
        <v>5</v>
      </c>
      <c r="Q1329" s="603">
        <f t="shared" si="190"/>
        <v>5</v>
      </c>
      <c r="R1329" s="604" t="str">
        <f>SUBSTITUTE(D1329," ","_")</f>
        <v>Gastos_custeados_por_captação</v>
      </c>
      <c r="S1329" s="605" t="s">
        <v>998</v>
      </c>
      <c r="T1329" s="605">
        <v>3554</v>
      </c>
    </row>
    <row r="1330" spans="1:20" s="88" customFormat="1" ht="72" x14ac:dyDescent="0.2">
      <c r="A1330" s="510">
        <f>IF(B1330="","",COUNT('Diário 1º PA'!$A$4:$A$2635)+ROW()-3)</f>
        <v>3063</v>
      </c>
      <c r="B1330" s="414">
        <v>44698</v>
      </c>
      <c r="C1330" s="592">
        <v>44652</v>
      </c>
      <c r="D1330" s="415" t="s">
        <v>468</v>
      </c>
      <c r="E1330" s="415" t="s">
        <v>468</v>
      </c>
      <c r="F1330" s="425">
        <v>2500</v>
      </c>
      <c r="G1330" s="427" t="s">
        <v>1986</v>
      </c>
      <c r="H1330" s="419" t="s">
        <v>468</v>
      </c>
      <c r="I1330" s="427" t="s">
        <v>4694</v>
      </c>
      <c r="J1330" s="415" t="s">
        <v>4695</v>
      </c>
      <c r="K1330" s="415" t="s">
        <v>830</v>
      </c>
      <c r="L1330" s="415" t="s">
        <v>807</v>
      </c>
      <c r="M1330" s="415" t="s">
        <v>842</v>
      </c>
      <c r="N1330" s="414">
        <v>44694</v>
      </c>
      <c r="O1330" s="414" t="s">
        <v>402</v>
      </c>
      <c r="P1330" s="603">
        <f t="shared" si="190"/>
        <v>5</v>
      </c>
      <c r="Q1330" s="603">
        <f t="shared" si="190"/>
        <v>4</v>
      </c>
      <c r="R1330" s="604" t="str">
        <f>SUBSTITUTE(D1330," ","_")</f>
        <v>Gastos_custeados_por_captação</v>
      </c>
      <c r="S1330" s="605" t="s">
        <v>1000</v>
      </c>
      <c r="T1330" s="605">
        <v>3045</v>
      </c>
    </row>
    <row r="1331" spans="1:20" s="88" customFormat="1" ht="72" x14ac:dyDescent="0.2">
      <c r="A1331" s="510">
        <f>IF(B1331="","",COUNT('Diário 1º PA'!$A$4:$A$2635)+ROW()-3)</f>
        <v>3064</v>
      </c>
      <c r="B1331" s="414">
        <v>44698</v>
      </c>
      <c r="C1331" s="592">
        <v>44682</v>
      </c>
      <c r="D1331" s="415" t="s">
        <v>468</v>
      </c>
      <c r="E1331" s="415" t="s">
        <v>468</v>
      </c>
      <c r="F1331" s="425">
        <v>11</v>
      </c>
      <c r="G1331" s="427" t="s">
        <v>4799</v>
      </c>
      <c r="H1331" s="419" t="s">
        <v>468</v>
      </c>
      <c r="I1331" s="427" t="s">
        <v>881</v>
      </c>
      <c r="J1331" s="415" t="s">
        <v>882</v>
      </c>
      <c r="K1331" s="415" t="s">
        <v>883</v>
      </c>
      <c r="L1331" s="415" t="s">
        <v>798</v>
      </c>
      <c r="M1331" s="415" t="s">
        <v>310</v>
      </c>
      <c r="N1331" s="414">
        <v>44698</v>
      </c>
      <c r="O1331" s="414" t="s">
        <v>402</v>
      </c>
      <c r="P1331" s="603">
        <f>IF(B1331=0,0,IF(YEAR(B1331)=$Q$1,MONTH(B1331)-$P$1+1,(YEAR(B1331)-$Q$1)*12-$P$1+1+MONTH(B1331)))</f>
        <v>5</v>
      </c>
      <c r="Q1331" s="603">
        <f t="shared" si="185"/>
        <v>5</v>
      </c>
      <c r="R1331" s="604" t="str">
        <f t="shared" si="186"/>
        <v>Gastos_custeados_por_captação</v>
      </c>
      <c r="S1331" s="605" t="s">
        <v>310</v>
      </c>
      <c r="T1331" s="605" t="s">
        <v>310</v>
      </c>
    </row>
    <row r="1332" spans="1:20" s="88" customFormat="1" ht="36" x14ac:dyDescent="0.2">
      <c r="A1332" s="510">
        <f>IF(B1332="","",COUNT('Diário 1º PA'!$A$4:$A$2635)+ROW()-3)</f>
        <v>3065</v>
      </c>
      <c r="B1332" s="414">
        <v>44699</v>
      </c>
      <c r="C1332" s="592">
        <v>44652</v>
      </c>
      <c r="D1332" s="415" t="s">
        <v>271</v>
      </c>
      <c r="E1332" s="415" t="s">
        <v>297</v>
      </c>
      <c r="F1332" s="425">
        <v>-131.88999999999999</v>
      </c>
      <c r="G1332" s="427" t="s">
        <v>4167</v>
      </c>
      <c r="H1332" s="415" t="s">
        <v>752</v>
      </c>
      <c r="I1332" s="427" t="s">
        <v>795</v>
      </c>
      <c r="J1332" s="415" t="s">
        <v>796</v>
      </c>
      <c r="K1332" s="415" t="s">
        <v>797</v>
      </c>
      <c r="L1332" s="415" t="s">
        <v>798</v>
      </c>
      <c r="M1332" s="415" t="s">
        <v>310</v>
      </c>
      <c r="N1332" s="414">
        <v>44699</v>
      </c>
      <c r="O1332" s="414" t="s">
        <v>400</v>
      </c>
      <c r="P1332" s="603">
        <f>IF(B1332=0,0,IF(YEAR(B1332)=$Q$1,MONTH(B1332)-$P$1+1,(YEAR(B1332)-$Q$1)*12-$P$1+1+MONTH(B1332)))</f>
        <v>5</v>
      </c>
      <c r="Q1332" s="603">
        <f t="shared" si="185"/>
        <v>4</v>
      </c>
      <c r="R1332" s="604" t="str">
        <f t="shared" si="186"/>
        <v>Gastos_Gerais</v>
      </c>
      <c r="S1332" s="605" t="s">
        <v>310</v>
      </c>
      <c r="T1332" s="605" t="s">
        <v>310</v>
      </c>
    </row>
    <row r="1333" spans="1:20" s="88" customFormat="1" ht="24" x14ac:dyDescent="0.2">
      <c r="A1333" s="510">
        <f>IF(B1333="","",COUNT('Diário 1º PA'!$A$4:$A$2635)+ROW()-3)</f>
        <v>3066</v>
      </c>
      <c r="B1333" s="414">
        <v>44699</v>
      </c>
      <c r="C1333" s="431">
        <v>44682</v>
      </c>
      <c r="D1333" s="415" t="s">
        <v>34</v>
      </c>
      <c r="E1333" s="415" t="s">
        <v>330</v>
      </c>
      <c r="F1333" s="425">
        <v>2015796.93</v>
      </c>
      <c r="G1333" s="427" t="s">
        <v>4168</v>
      </c>
      <c r="H1333" s="415" t="s">
        <v>310</v>
      </c>
      <c r="I1333" s="427" t="s">
        <v>795</v>
      </c>
      <c r="J1333" s="415" t="s">
        <v>796</v>
      </c>
      <c r="K1333" s="415" t="s">
        <v>797</v>
      </c>
      <c r="L1333" s="415" t="s">
        <v>1305</v>
      </c>
      <c r="M1333" s="415" t="s">
        <v>310</v>
      </c>
      <c r="N1333" s="414">
        <v>44699</v>
      </c>
      <c r="O1333" s="414" t="s">
        <v>400</v>
      </c>
      <c r="P1333" s="603">
        <f>IF(B1333=0,0,IF(YEAR(B1333)=$Q$1,MONTH(B1333)-$P$1+1,(YEAR(B1333)-$Q$1)*12-$P$1+1+MONTH(B1333)))</f>
        <v>5</v>
      </c>
      <c r="Q1333" s="603">
        <f>IF(C1333=0,0,IF(YEAR(C1333)=$Q$1,MONTH(C1333)-$P$1+1,(YEAR(C1333)-$Q$1)*12-$P$1+1+MONTH(C1333)))</f>
        <v>5</v>
      </c>
      <c r="R1333" s="604" t="str">
        <f t="shared" ref="R1333:R1366" si="191">SUBSTITUTE(D1333," ","_")</f>
        <v>Receitas</v>
      </c>
      <c r="S1333" s="605" t="s">
        <v>310</v>
      </c>
      <c r="T1333" s="605" t="s">
        <v>310</v>
      </c>
    </row>
    <row r="1334" spans="1:20" s="88" customFormat="1" ht="24" x14ac:dyDescent="0.2">
      <c r="A1334" s="510">
        <f>IF(B1334="","",COUNT('Diário 1º PA'!$A$4:$A$2635)+ROW()-3)</f>
        <v>3067</v>
      </c>
      <c r="B1334" s="414">
        <v>44699</v>
      </c>
      <c r="C1334" s="431">
        <v>44682</v>
      </c>
      <c r="D1334" s="415" t="s">
        <v>34</v>
      </c>
      <c r="E1334" s="415" t="s">
        <v>167</v>
      </c>
      <c r="F1334" s="425">
        <v>260</v>
      </c>
      <c r="G1334" s="427" t="s">
        <v>4169</v>
      </c>
      <c r="H1334" s="415" t="s">
        <v>310</v>
      </c>
      <c r="I1334" s="427" t="s">
        <v>795</v>
      </c>
      <c r="J1334" s="415" t="s">
        <v>796</v>
      </c>
      <c r="K1334" s="415" t="s">
        <v>797</v>
      </c>
      <c r="L1334" s="415" t="s">
        <v>798</v>
      </c>
      <c r="M1334" s="415" t="s">
        <v>310</v>
      </c>
      <c r="N1334" s="414">
        <v>44699</v>
      </c>
      <c r="O1334" s="414" t="s">
        <v>400</v>
      </c>
      <c r="P1334" s="603">
        <f t="shared" si="182"/>
        <v>5</v>
      </c>
      <c r="Q1334" s="603">
        <f t="shared" si="183"/>
        <v>5</v>
      </c>
      <c r="R1334" s="604" t="str">
        <f t="shared" si="191"/>
        <v>Receitas</v>
      </c>
      <c r="S1334" s="605" t="s">
        <v>310</v>
      </c>
      <c r="T1334" s="605" t="s">
        <v>310</v>
      </c>
    </row>
    <row r="1335" spans="1:20" s="88" customFormat="1" ht="48" x14ac:dyDescent="0.2">
      <c r="A1335" s="510">
        <f>IF(B1335="","",COUNT('Diário 1º PA'!$A$4:$A$2635)+ROW()-3)</f>
        <v>3068</v>
      </c>
      <c r="B1335" s="414">
        <v>44699</v>
      </c>
      <c r="C1335" s="431">
        <v>44682</v>
      </c>
      <c r="D1335" s="415" t="s">
        <v>271</v>
      </c>
      <c r="E1335" s="415" t="s">
        <v>297</v>
      </c>
      <c r="F1335" s="425">
        <v>809.95</v>
      </c>
      <c r="G1335" s="427" t="s">
        <v>4160</v>
      </c>
      <c r="H1335" s="419" t="s">
        <v>757</v>
      </c>
      <c r="I1335" s="427" t="s">
        <v>4170</v>
      </c>
      <c r="J1335" s="415" t="s">
        <v>4161</v>
      </c>
      <c r="K1335" s="415" t="s">
        <v>830</v>
      </c>
      <c r="L1335" s="415" t="s">
        <v>807</v>
      </c>
      <c r="M1335" s="415" t="s">
        <v>4171</v>
      </c>
      <c r="N1335" s="414">
        <v>44699</v>
      </c>
      <c r="O1335" s="414" t="s">
        <v>400</v>
      </c>
      <c r="P1335" s="603">
        <f t="shared" si="182"/>
        <v>5</v>
      </c>
      <c r="Q1335" s="603">
        <f t="shared" si="183"/>
        <v>5</v>
      </c>
      <c r="R1335" s="604" t="str">
        <f t="shared" si="191"/>
        <v>Gastos_Gerais</v>
      </c>
      <c r="S1335" s="605" t="s">
        <v>999</v>
      </c>
      <c r="T1335" s="605">
        <v>3708</v>
      </c>
    </row>
    <row r="1336" spans="1:20" s="88" customFormat="1" ht="60" x14ac:dyDescent="0.2">
      <c r="A1336" s="510">
        <f>IF(B1336="","",COUNT('Diário 1º PA'!$A$4:$A$2635)+ROW()-3)</f>
        <v>3069</v>
      </c>
      <c r="B1336" s="414">
        <v>44699</v>
      </c>
      <c r="C1336" s="431">
        <v>44652</v>
      </c>
      <c r="D1336" s="415" t="s">
        <v>271</v>
      </c>
      <c r="E1336" s="415" t="s">
        <v>456</v>
      </c>
      <c r="F1336" s="425">
        <v>221.85</v>
      </c>
      <c r="G1336" s="427" t="s">
        <v>737</v>
      </c>
      <c r="H1336" s="415" t="s">
        <v>759</v>
      </c>
      <c r="I1336" s="427" t="s">
        <v>1388</v>
      </c>
      <c r="J1336" s="415" t="s">
        <v>1022</v>
      </c>
      <c r="K1336" s="418" t="s">
        <v>806</v>
      </c>
      <c r="L1336" s="399" t="s">
        <v>1305</v>
      </c>
      <c r="M1336" s="544" t="s">
        <v>310</v>
      </c>
      <c r="N1336" s="414">
        <v>44699</v>
      </c>
      <c r="O1336" s="414" t="s">
        <v>400</v>
      </c>
      <c r="P1336" s="603">
        <f t="shared" si="182"/>
        <v>5</v>
      </c>
      <c r="Q1336" s="603">
        <f t="shared" si="183"/>
        <v>4</v>
      </c>
      <c r="R1336" s="604" t="str">
        <f t="shared" si="191"/>
        <v>Gastos_Gerais</v>
      </c>
      <c r="S1336" s="605" t="s">
        <v>1000</v>
      </c>
      <c r="T1336" s="605">
        <v>1586</v>
      </c>
    </row>
    <row r="1337" spans="1:20" s="88" customFormat="1" ht="36" customHeight="1" x14ac:dyDescent="0.2">
      <c r="A1337" s="510">
        <f>IF(B1337="","",COUNT('Diário 1º PA'!$A$4:$A$2635)+ROW()-3)</f>
        <v>3070</v>
      </c>
      <c r="B1337" s="414">
        <v>44699</v>
      </c>
      <c r="C1337" s="431">
        <v>44652</v>
      </c>
      <c r="D1337" s="415" t="s">
        <v>271</v>
      </c>
      <c r="E1337" s="415" t="s">
        <v>141</v>
      </c>
      <c r="F1337" s="425">
        <v>1100</v>
      </c>
      <c r="G1337" s="427" t="s">
        <v>3408</v>
      </c>
      <c r="H1337" s="419" t="s">
        <v>753</v>
      </c>
      <c r="I1337" s="427" t="s">
        <v>2143</v>
      </c>
      <c r="J1337" s="415" t="s">
        <v>1066</v>
      </c>
      <c r="K1337" s="415" t="s">
        <v>812</v>
      </c>
      <c r="L1337" s="415" t="s">
        <v>807</v>
      </c>
      <c r="M1337" s="415">
        <v>68143</v>
      </c>
      <c r="N1337" s="414">
        <v>44671</v>
      </c>
      <c r="O1337" s="414" t="s">
        <v>400</v>
      </c>
      <c r="P1337" s="603">
        <f t="shared" si="182"/>
        <v>5</v>
      </c>
      <c r="Q1337" s="603">
        <f t="shared" si="183"/>
        <v>4</v>
      </c>
      <c r="R1337" s="604" t="str">
        <f t="shared" si="191"/>
        <v>Gastos_Gerais</v>
      </c>
      <c r="S1337" s="605" t="s">
        <v>999</v>
      </c>
      <c r="T1337" s="605">
        <v>3394</v>
      </c>
    </row>
    <row r="1338" spans="1:20" s="88" customFormat="1" ht="24" x14ac:dyDescent="0.2">
      <c r="A1338" s="510">
        <f>IF(B1338="","",COUNT('Diário 1º PA'!$A$4:$A$2635)+ROW()-3)</f>
        <v>3071</v>
      </c>
      <c r="B1338" s="414">
        <v>44699</v>
      </c>
      <c r="C1338" s="431">
        <v>44682</v>
      </c>
      <c r="D1338" s="415" t="s">
        <v>271</v>
      </c>
      <c r="E1338" s="415" t="s">
        <v>90</v>
      </c>
      <c r="F1338" s="425">
        <v>619.36</v>
      </c>
      <c r="G1338" s="427" t="s">
        <v>4057</v>
      </c>
      <c r="H1338" s="419" t="s">
        <v>753</v>
      </c>
      <c r="I1338" s="427" t="s">
        <v>2231</v>
      </c>
      <c r="J1338" s="415" t="s">
        <v>1093</v>
      </c>
      <c r="K1338" s="415" t="s">
        <v>830</v>
      </c>
      <c r="L1338" s="415" t="s">
        <v>807</v>
      </c>
      <c r="M1338" s="415" t="s">
        <v>1428</v>
      </c>
      <c r="N1338" s="414">
        <v>44697</v>
      </c>
      <c r="O1338" s="414" t="s">
        <v>400</v>
      </c>
      <c r="P1338" s="603">
        <f t="shared" si="182"/>
        <v>5</v>
      </c>
      <c r="Q1338" s="603">
        <f t="shared" si="183"/>
        <v>5</v>
      </c>
      <c r="R1338" s="604" t="str">
        <f t="shared" si="191"/>
        <v>Gastos_Gerais</v>
      </c>
      <c r="S1338" s="605" t="s">
        <v>998</v>
      </c>
      <c r="T1338" s="605">
        <v>3514</v>
      </c>
    </row>
    <row r="1339" spans="1:20" s="88" customFormat="1" ht="60" x14ac:dyDescent="0.2">
      <c r="A1339" s="510">
        <f>IF(B1339="","",COUNT('Diário 1º PA'!$A$4:$A$2635)+ROW()-3)</f>
        <v>3072</v>
      </c>
      <c r="B1339" s="414">
        <v>44699</v>
      </c>
      <c r="C1339" s="431">
        <v>44621</v>
      </c>
      <c r="D1339" s="415" t="s">
        <v>271</v>
      </c>
      <c r="E1339" s="415" t="s">
        <v>450</v>
      </c>
      <c r="F1339" s="425">
        <v>1921.27</v>
      </c>
      <c r="G1339" s="427" t="s">
        <v>4173</v>
      </c>
      <c r="H1339" s="419" t="s">
        <v>758</v>
      </c>
      <c r="I1339" s="427" t="s">
        <v>4174</v>
      </c>
      <c r="J1339" s="415" t="s">
        <v>2128</v>
      </c>
      <c r="K1339" s="415" t="s">
        <v>830</v>
      </c>
      <c r="L1339" s="415" t="s">
        <v>839</v>
      </c>
      <c r="M1339" s="415">
        <v>1762</v>
      </c>
      <c r="N1339" s="414">
        <v>44694</v>
      </c>
      <c r="O1339" s="414" t="s">
        <v>400</v>
      </c>
      <c r="P1339" s="603">
        <f t="shared" si="182"/>
        <v>5</v>
      </c>
      <c r="Q1339" s="603">
        <f t="shared" si="183"/>
        <v>3</v>
      </c>
      <c r="R1339" s="604" t="str">
        <f t="shared" si="191"/>
        <v>Gastos_Gerais</v>
      </c>
      <c r="S1339" s="605" t="s">
        <v>998</v>
      </c>
      <c r="T1339" s="605">
        <v>3144</v>
      </c>
    </row>
    <row r="1340" spans="1:20" s="88" customFormat="1" ht="60" x14ac:dyDescent="0.2">
      <c r="A1340" s="510">
        <f>IF(B1340="","",COUNT('Diário 1º PA'!$A$4:$A$2635)+ROW()-3)</f>
        <v>3073</v>
      </c>
      <c r="B1340" s="414">
        <v>44699</v>
      </c>
      <c r="C1340" s="431">
        <v>44652</v>
      </c>
      <c r="D1340" s="415" t="s">
        <v>271</v>
      </c>
      <c r="E1340" s="415" t="s">
        <v>456</v>
      </c>
      <c r="F1340" s="425">
        <v>17600</v>
      </c>
      <c r="G1340" s="427" t="s">
        <v>4178</v>
      </c>
      <c r="H1340" s="415" t="s">
        <v>792</v>
      </c>
      <c r="I1340" s="427" t="s">
        <v>4179</v>
      </c>
      <c r="J1340" s="415" t="s">
        <v>3433</v>
      </c>
      <c r="K1340" s="415" t="s">
        <v>830</v>
      </c>
      <c r="L1340" s="415" t="s">
        <v>1489</v>
      </c>
      <c r="M1340" s="415">
        <v>126</v>
      </c>
      <c r="N1340" s="414">
        <v>44685</v>
      </c>
      <c r="O1340" s="414" t="s">
        <v>400</v>
      </c>
      <c r="P1340" s="603">
        <f t="shared" si="182"/>
        <v>5</v>
      </c>
      <c r="Q1340" s="603">
        <f t="shared" si="183"/>
        <v>4</v>
      </c>
      <c r="R1340" s="604" t="str">
        <f t="shared" si="191"/>
        <v>Gastos_Gerais</v>
      </c>
      <c r="S1340" s="605" t="s">
        <v>1000</v>
      </c>
      <c r="T1340" s="605">
        <v>3411</v>
      </c>
    </row>
    <row r="1341" spans="1:20" s="88" customFormat="1" ht="48" x14ac:dyDescent="0.2">
      <c r="A1341" s="510">
        <f>IF(B1341="","",COUNT('Diário 1º PA'!$A$4:$A$2635)+ROW()-3)</f>
        <v>3074</v>
      </c>
      <c r="B1341" s="414">
        <v>44699</v>
      </c>
      <c r="C1341" s="592">
        <v>44682</v>
      </c>
      <c r="D1341" s="415" t="s">
        <v>271</v>
      </c>
      <c r="E1341" s="415" t="s">
        <v>71</v>
      </c>
      <c r="F1341" s="425">
        <v>11</v>
      </c>
      <c r="G1341" s="427" t="s">
        <v>4180</v>
      </c>
      <c r="H1341" s="419" t="s">
        <v>757</v>
      </c>
      <c r="I1341" s="427" t="s">
        <v>881</v>
      </c>
      <c r="J1341" s="415" t="s">
        <v>882</v>
      </c>
      <c r="K1341" s="415" t="s">
        <v>883</v>
      </c>
      <c r="L1341" s="415" t="s">
        <v>798</v>
      </c>
      <c r="M1341" s="415" t="s">
        <v>310</v>
      </c>
      <c r="N1341" s="414">
        <v>44699</v>
      </c>
      <c r="O1341" s="414" t="s">
        <v>400</v>
      </c>
      <c r="P1341" s="603">
        <f t="shared" si="182"/>
        <v>5</v>
      </c>
      <c r="Q1341" s="603">
        <f t="shared" si="183"/>
        <v>5</v>
      </c>
      <c r="R1341" s="604" t="str">
        <f t="shared" si="191"/>
        <v>Gastos_Gerais</v>
      </c>
      <c r="S1341" s="605" t="s">
        <v>310</v>
      </c>
      <c r="T1341" s="605" t="s">
        <v>310</v>
      </c>
    </row>
    <row r="1342" spans="1:20" s="88" customFormat="1" ht="60" x14ac:dyDescent="0.2">
      <c r="A1342" s="510">
        <f>IF(B1342="","",COUNT('Diário 1º PA'!$A$4:$A$2635)+ROW()-3)</f>
        <v>3075</v>
      </c>
      <c r="B1342" s="414">
        <v>44699</v>
      </c>
      <c r="C1342" s="592">
        <v>44682</v>
      </c>
      <c r="D1342" s="415" t="s">
        <v>271</v>
      </c>
      <c r="E1342" s="415" t="s">
        <v>71</v>
      </c>
      <c r="F1342" s="425">
        <v>11</v>
      </c>
      <c r="G1342" s="427" t="s">
        <v>4181</v>
      </c>
      <c r="H1342" s="415" t="s">
        <v>759</v>
      </c>
      <c r="I1342" s="427" t="s">
        <v>881</v>
      </c>
      <c r="J1342" s="415" t="s">
        <v>882</v>
      </c>
      <c r="K1342" s="415" t="s">
        <v>883</v>
      </c>
      <c r="L1342" s="415" t="s">
        <v>798</v>
      </c>
      <c r="M1342" s="415" t="s">
        <v>310</v>
      </c>
      <c r="N1342" s="414">
        <v>44699</v>
      </c>
      <c r="O1342" s="414" t="s">
        <v>400</v>
      </c>
      <c r="P1342" s="603">
        <f t="shared" si="182"/>
        <v>5</v>
      </c>
      <c r="Q1342" s="603">
        <f t="shared" si="183"/>
        <v>5</v>
      </c>
      <c r="R1342" s="604" t="str">
        <f t="shared" si="191"/>
        <v>Gastos_Gerais</v>
      </c>
      <c r="S1342" s="605" t="s">
        <v>310</v>
      </c>
      <c r="T1342" s="605" t="s">
        <v>310</v>
      </c>
    </row>
    <row r="1343" spans="1:20" s="88" customFormat="1" ht="36" x14ac:dyDescent="0.2">
      <c r="A1343" s="510">
        <f>IF(B1343="","",COUNT('Diário 1º PA'!$A$4:$A$2635)+ROW()-3)</f>
        <v>3076</v>
      </c>
      <c r="B1343" s="414">
        <v>44699</v>
      </c>
      <c r="C1343" s="592">
        <v>44682</v>
      </c>
      <c r="D1343" s="415" t="s">
        <v>271</v>
      </c>
      <c r="E1343" s="415" t="s">
        <v>71</v>
      </c>
      <c r="F1343" s="425">
        <v>11</v>
      </c>
      <c r="G1343" s="427" t="s">
        <v>4182</v>
      </c>
      <c r="H1343" s="419" t="s">
        <v>753</v>
      </c>
      <c r="I1343" s="427" t="s">
        <v>881</v>
      </c>
      <c r="J1343" s="415" t="s">
        <v>882</v>
      </c>
      <c r="K1343" s="415" t="s">
        <v>883</v>
      </c>
      <c r="L1343" s="415" t="s">
        <v>798</v>
      </c>
      <c r="M1343" s="415" t="s">
        <v>310</v>
      </c>
      <c r="N1343" s="414">
        <v>44699</v>
      </c>
      <c r="O1343" s="414" t="s">
        <v>400</v>
      </c>
      <c r="P1343" s="603">
        <f t="shared" si="182"/>
        <v>5</v>
      </c>
      <c r="Q1343" s="603">
        <f t="shared" si="183"/>
        <v>5</v>
      </c>
      <c r="R1343" s="604" t="str">
        <f t="shared" si="191"/>
        <v>Gastos_Gerais</v>
      </c>
      <c r="S1343" s="605" t="s">
        <v>310</v>
      </c>
      <c r="T1343" s="605" t="s">
        <v>310</v>
      </c>
    </row>
    <row r="1344" spans="1:20" s="88" customFormat="1" ht="99.95" customHeight="1" x14ac:dyDescent="0.2">
      <c r="A1344" s="510">
        <f>IF(B1344="","",COUNT('Diário 1º PA'!$A$4:$A$2635)+ROW()-3)</f>
        <v>3077</v>
      </c>
      <c r="B1344" s="414">
        <v>44699</v>
      </c>
      <c r="C1344" s="592">
        <v>44682</v>
      </c>
      <c r="D1344" s="415" t="s">
        <v>271</v>
      </c>
      <c r="E1344" s="415" t="s">
        <v>71</v>
      </c>
      <c r="F1344" s="425">
        <v>11</v>
      </c>
      <c r="G1344" s="427" t="s">
        <v>4158</v>
      </c>
      <c r="H1344" s="419" t="s">
        <v>758</v>
      </c>
      <c r="I1344" s="427" t="s">
        <v>881</v>
      </c>
      <c r="J1344" s="415" t="s">
        <v>882</v>
      </c>
      <c r="K1344" s="415" t="s">
        <v>883</v>
      </c>
      <c r="L1344" s="415" t="s">
        <v>798</v>
      </c>
      <c r="M1344" s="415" t="s">
        <v>310</v>
      </c>
      <c r="N1344" s="414">
        <v>44699</v>
      </c>
      <c r="O1344" s="414" t="s">
        <v>400</v>
      </c>
      <c r="P1344" s="603">
        <f t="shared" si="182"/>
        <v>5</v>
      </c>
      <c r="Q1344" s="603">
        <f t="shared" si="183"/>
        <v>5</v>
      </c>
      <c r="R1344" s="604" t="str">
        <f t="shared" si="191"/>
        <v>Gastos_Gerais</v>
      </c>
      <c r="S1344" s="605" t="s">
        <v>310</v>
      </c>
      <c r="T1344" s="605" t="s">
        <v>310</v>
      </c>
    </row>
    <row r="1345" spans="1:20" s="88" customFormat="1" ht="99.95" customHeight="1" x14ac:dyDescent="0.2">
      <c r="A1345" s="510">
        <f>IF(B1345="","",COUNT('Diário 1º PA'!$A$4:$A$2635)+ROW()-3)</f>
        <v>3078</v>
      </c>
      <c r="B1345" s="414">
        <v>44699</v>
      </c>
      <c r="C1345" s="592">
        <v>44682</v>
      </c>
      <c r="D1345" s="415" t="s">
        <v>271</v>
      </c>
      <c r="E1345" s="415" t="s">
        <v>71</v>
      </c>
      <c r="F1345" s="425">
        <v>11</v>
      </c>
      <c r="G1345" s="427" t="s">
        <v>3680</v>
      </c>
      <c r="H1345" s="415" t="s">
        <v>792</v>
      </c>
      <c r="I1345" s="427" t="s">
        <v>881</v>
      </c>
      <c r="J1345" s="415" t="s">
        <v>882</v>
      </c>
      <c r="K1345" s="415" t="s">
        <v>883</v>
      </c>
      <c r="L1345" s="415" t="s">
        <v>798</v>
      </c>
      <c r="M1345" s="415" t="s">
        <v>310</v>
      </c>
      <c r="N1345" s="414">
        <v>44699</v>
      </c>
      <c r="O1345" s="414" t="s">
        <v>400</v>
      </c>
      <c r="P1345" s="603">
        <f t="shared" si="182"/>
        <v>5</v>
      </c>
      <c r="Q1345" s="603">
        <f t="shared" si="183"/>
        <v>5</v>
      </c>
      <c r="R1345" s="604" t="str">
        <f t="shared" si="191"/>
        <v>Gastos_Gerais</v>
      </c>
      <c r="S1345" s="605" t="s">
        <v>310</v>
      </c>
      <c r="T1345" s="605" t="s">
        <v>310</v>
      </c>
    </row>
    <row r="1346" spans="1:20" ht="99.95" customHeight="1" x14ac:dyDescent="0.2">
      <c r="A1346" s="510">
        <f>IF(B1346="","",COUNT('Diário 1º PA'!$A$4:$A$2635)+ROW()-3)</f>
        <v>3079</v>
      </c>
      <c r="B1346" s="414">
        <v>44699</v>
      </c>
      <c r="C1346" s="592">
        <v>44682</v>
      </c>
      <c r="D1346" s="415" t="s">
        <v>271</v>
      </c>
      <c r="E1346" s="415" t="s">
        <v>71</v>
      </c>
      <c r="F1346" s="425">
        <v>11</v>
      </c>
      <c r="G1346" s="427" t="s">
        <v>4190</v>
      </c>
      <c r="H1346" s="419" t="s">
        <v>757</v>
      </c>
      <c r="I1346" s="427" t="s">
        <v>881</v>
      </c>
      <c r="J1346" s="415" t="s">
        <v>882</v>
      </c>
      <c r="K1346" s="415" t="s">
        <v>883</v>
      </c>
      <c r="L1346" s="415" t="s">
        <v>798</v>
      </c>
      <c r="M1346" s="415" t="s">
        <v>310</v>
      </c>
      <c r="N1346" s="414">
        <v>44699</v>
      </c>
      <c r="O1346" s="414" t="s">
        <v>400</v>
      </c>
      <c r="P1346" s="603">
        <f t="shared" ref="P1346:P1366" si="192">IF(B1346=0,0,IF(YEAR(B1346)=$Q$1,MONTH(B1346)-$P$1+1,(YEAR(B1346)-$Q$1)*12-$P$1+1+MONTH(B1346)))</f>
        <v>5</v>
      </c>
      <c r="Q1346" s="603">
        <f t="shared" ref="Q1346:Q1366" si="193">IF(C1346=0,0,IF(YEAR(C1346)=$Q$1,MONTH(C1346)-$P$1+1,(YEAR(C1346)-$Q$1)*12-$P$1+1+MONTH(C1346)))</f>
        <v>5</v>
      </c>
      <c r="R1346" s="604" t="str">
        <f t="shared" si="191"/>
        <v>Gastos_Gerais</v>
      </c>
      <c r="S1346" s="605" t="s">
        <v>310</v>
      </c>
      <c r="T1346" s="605" t="s">
        <v>310</v>
      </c>
    </row>
    <row r="1347" spans="1:20" ht="99.95" customHeight="1" x14ac:dyDescent="0.2">
      <c r="A1347" s="510">
        <f>IF(B1347="","",COUNT('Diário 1º PA'!$A$4:$A$2635)+ROW()-3)</f>
        <v>3080</v>
      </c>
      <c r="B1347" s="414">
        <v>44699</v>
      </c>
      <c r="C1347" s="592">
        <v>44593</v>
      </c>
      <c r="D1347" s="415" t="s">
        <v>468</v>
      </c>
      <c r="E1347" s="415" t="s">
        <v>468</v>
      </c>
      <c r="F1347" s="425">
        <v>21520</v>
      </c>
      <c r="G1347" s="427" t="s">
        <v>1636</v>
      </c>
      <c r="H1347" s="419" t="s">
        <v>468</v>
      </c>
      <c r="I1347" s="427" t="s">
        <v>5118</v>
      </c>
      <c r="J1347" s="415" t="s">
        <v>1635</v>
      </c>
      <c r="K1347" s="415" t="s">
        <v>830</v>
      </c>
      <c r="L1347" s="415" t="s">
        <v>807</v>
      </c>
      <c r="M1347" s="415">
        <v>397</v>
      </c>
      <c r="N1347" s="414">
        <v>44698</v>
      </c>
      <c r="O1347" s="414" t="s">
        <v>407</v>
      </c>
      <c r="P1347" s="603">
        <f t="shared" si="192"/>
        <v>5</v>
      </c>
      <c r="Q1347" s="603">
        <f t="shared" si="193"/>
        <v>2</v>
      </c>
      <c r="R1347" s="604" t="str">
        <f t="shared" si="191"/>
        <v>Gastos_custeados_por_captação</v>
      </c>
      <c r="S1347" s="605" t="s">
        <v>1000</v>
      </c>
      <c r="T1347" s="605">
        <v>2868</v>
      </c>
    </row>
    <row r="1348" spans="1:20" ht="84" x14ac:dyDescent="0.2">
      <c r="A1348" s="510">
        <f>IF(B1348="","",COUNT('Diário 1º PA'!$A$4:$A$2635)+ROW()-3)</f>
        <v>3081</v>
      </c>
      <c r="B1348" s="414">
        <v>44699</v>
      </c>
      <c r="C1348" s="592">
        <v>44652</v>
      </c>
      <c r="D1348" s="415" t="s">
        <v>468</v>
      </c>
      <c r="E1348" s="415" t="s">
        <v>468</v>
      </c>
      <c r="F1348" s="425">
        <v>25040.6</v>
      </c>
      <c r="G1348" s="427" t="s">
        <v>3725</v>
      </c>
      <c r="H1348" s="419" t="s">
        <v>468</v>
      </c>
      <c r="I1348" s="427" t="s">
        <v>5119</v>
      </c>
      <c r="J1348" s="415" t="s">
        <v>1102</v>
      </c>
      <c r="K1348" s="415" t="s">
        <v>830</v>
      </c>
      <c r="L1348" s="415" t="s">
        <v>807</v>
      </c>
      <c r="M1348" s="415" t="s">
        <v>3679</v>
      </c>
      <c r="N1348" s="414">
        <v>44698</v>
      </c>
      <c r="O1348" s="414" t="s">
        <v>407</v>
      </c>
      <c r="P1348" s="603">
        <f t="shared" si="192"/>
        <v>5</v>
      </c>
      <c r="Q1348" s="603">
        <f t="shared" si="193"/>
        <v>4</v>
      </c>
      <c r="R1348" s="604" t="str">
        <f t="shared" si="191"/>
        <v>Gastos_custeados_por_captação</v>
      </c>
      <c r="S1348" s="605" t="s">
        <v>998</v>
      </c>
      <c r="T1348" s="605">
        <v>3557</v>
      </c>
    </row>
    <row r="1349" spans="1:20" ht="72" x14ac:dyDescent="0.2">
      <c r="A1349" s="510">
        <f>IF(B1349="","",COUNT('Diário 1º PA'!$A$4:$A$2635)+ROW()-3)</f>
        <v>3082</v>
      </c>
      <c r="B1349" s="414">
        <v>44699</v>
      </c>
      <c r="C1349" s="592">
        <v>44621</v>
      </c>
      <c r="D1349" s="415" t="s">
        <v>468</v>
      </c>
      <c r="E1349" s="415" t="s">
        <v>468</v>
      </c>
      <c r="F1349" s="425">
        <v>7200</v>
      </c>
      <c r="G1349" s="427" t="s">
        <v>2398</v>
      </c>
      <c r="H1349" s="419" t="s">
        <v>468</v>
      </c>
      <c r="I1349" s="427" t="s">
        <v>4682</v>
      </c>
      <c r="J1349" s="415" t="s">
        <v>1118</v>
      </c>
      <c r="K1349" s="415" t="s">
        <v>830</v>
      </c>
      <c r="L1349" s="415" t="s">
        <v>807</v>
      </c>
      <c r="M1349" s="415">
        <v>371</v>
      </c>
      <c r="N1349" s="414">
        <v>44698</v>
      </c>
      <c r="O1349" s="414" t="s">
        <v>407</v>
      </c>
      <c r="P1349" s="603">
        <f t="shared" si="192"/>
        <v>5</v>
      </c>
      <c r="Q1349" s="603">
        <f t="shared" si="193"/>
        <v>3</v>
      </c>
      <c r="R1349" s="604" t="str">
        <f t="shared" si="191"/>
        <v>Gastos_custeados_por_captação</v>
      </c>
      <c r="S1349" s="605" t="s">
        <v>998</v>
      </c>
      <c r="T1349" s="605">
        <v>3086</v>
      </c>
    </row>
    <row r="1350" spans="1:20" ht="40.5" customHeight="1" x14ac:dyDescent="0.2">
      <c r="A1350" s="510">
        <f>IF(B1350="","",COUNT('Diário 1º PA'!$A$4:$A$2635)+ROW()-3)</f>
        <v>3083</v>
      </c>
      <c r="B1350" s="414">
        <v>44699</v>
      </c>
      <c r="C1350" s="431">
        <v>44621</v>
      </c>
      <c r="D1350" s="415" t="s">
        <v>468</v>
      </c>
      <c r="E1350" s="415" t="s">
        <v>468</v>
      </c>
      <c r="F1350" s="425">
        <v>8541.75</v>
      </c>
      <c r="G1350" s="427" t="s">
        <v>2548</v>
      </c>
      <c r="H1350" s="419" t="s">
        <v>468</v>
      </c>
      <c r="I1350" s="639" t="s">
        <v>4818</v>
      </c>
      <c r="J1350" s="418" t="s">
        <v>2549</v>
      </c>
      <c r="K1350" s="418" t="s">
        <v>830</v>
      </c>
      <c r="L1350" s="399" t="s">
        <v>807</v>
      </c>
      <c r="M1350" s="544">
        <v>1732</v>
      </c>
      <c r="N1350" s="414">
        <v>44697</v>
      </c>
      <c r="O1350" s="414" t="s">
        <v>407</v>
      </c>
      <c r="P1350" s="603">
        <f t="shared" si="192"/>
        <v>5</v>
      </c>
      <c r="Q1350" s="603">
        <f t="shared" si="193"/>
        <v>3</v>
      </c>
      <c r="R1350" s="604" t="str">
        <f t="shared" si="191"/>
        <v>Gastos_custeados_por_captação</v>
      </c>
      <c r="S1350" s="605" t="s">
        <v>998</v>
      </c>
      <c r="T1350" s="605">
        <v>3220</v>
      </c>
    </row>
    <row r="1351" spans="1:20" ht="72" x14ac:dyDescent="0.2">
      <c r="A1351" s="510">
        <f>IF(B1351="","",COUNT('Diário 1º PA'!$A$4:$A$2635)+ROW()-3)</f>
        <v>3084</v>
      </c>
      <c r="B1351" s="414">
        <v>44699</v>
      </c>
      <c r="C1351" s="466">
        <v>44621</v>
      </c>
      <c r="D1351" s="415" t="s">
        <v>468</v>
      </c>
      <c r="E1351" s="415" t="s">
        <v>468</v>
      </c>
      <c r="F1351" s="425">
        <v>424.65</v>
      </c>
      <c r="G1351" s="427" t="s">
        <v>4803</v>
      </c>
      <c r="H1351" s="434" t="s">
        <v>468</v>
      </c>
      <c r="I1351" s="639" t="s">
        <v>4691</v>
      </c>
      <c r="J1351" s="418" t="s">
        <v>4804</v>
      </c>
      <c r="K1351" s="418" t="s">
        <v>830</v>
      </c>
      <c r="L1351" s="399" t="s">
        <v>807</v>
      </c>
      <c r="M1351" s="415" t="s">
        <v>5120</v>
      </c>
      <c r="N1351" s="414">
        <v>44698</v>
      </c>
      <c r="O1351" s="414" t="s">
        <v>407</v>
      </c>
      <c r="P1351" s="603">
        <f t="shared" si="192"/>
        <v>5</v>
      </c>
      <c r="Q1351" s="603">
        <f t="shared" si="193"/>
        <v>3</v>
      </c>
      <c r="R1351" s="604" t="str">
        <f t="shared" si="191"/>
        <v>Gastos_custeados_por_captação</v>
      </c>
      <c r="S1351" s="605" t="s">
        <v>1000</v>
      </c>
      <c r="T1351" s="605">
        <v>3233</v>
      </c>
    </row>
    <row r="1352" spans="1:20" s="88" customFormat="1" ht="72" x14ac:dyDescent="0.2">
      <c r="A1352" s="510">
        <f>IF(B1352="","",COUNT('Diário 1º PA'!$A$4:$A$2635)+ROW()-3)</f>
        <v>3085</v>
      </c>
      <c r="B1352" s="414">
        <v>44699</v>
      </c>
      <c r="C1352" s="466">
        <v>44621</v>
      </c>
      <c r="D1352" s="415" t="s">
        <v>468</v>
      </c>
      <c r="E1352" s="415" t="s">
        <v>468</v>
      </c>
      <c r="F1352" s="425">
        <v>143.44999999999999</v>
      </c>
      <c r="G1352" s="427" t="s">
        <v>4803</v>
      </c>
      <c r="H1352" s="434" t="s">
        <v>468</v>
      </c>
      <c r="I1352" s="639" t="s">
        <v>4691</v>
      </c>
      <c r="J1352" s="418" t="s">
        <v>4804</v>
      </c>
      <c r="K1352" s="418" t="s">
        <v>830</v>
      </c>
      <c r="L1352" s="399" t="s">
        <v>807</v>
      </c>
      <c r="M1352" s="415" t="s">
        <v>5121</v>
      </c>
      <c r="N1352" s="414">
        <v>44684</v>
      </c>
      <c r="O1352" s="414" t="s">
        <v>407</v>
      </c>
      <c r="P1352" s="603">
        <f t="shared" si="192"/>
        <v>5</v>
      </c>
      <c r="Q1352" s="603">
        <f t="shared" si="193"/>
        <v>3</v>
      </c>
      <c r="R1352" s="604" t="str">
        <f t="shared" si="191"/>
        <v>Gastos_custeados_por_captação</v>
      </c>
      <c r="S1352" s="605" t="s">
        <v>1000</v>
      </c>
      <c r="T1352" s="605">
        <v>3233</v>
      </c>
    </row>
    <row r="1353" spans="1:20" s="88" customFormat="1" ht="36" x14ac:dyDescent="0.2">
      <c r="A1353" s="510">
        <f>IF(B1353="","",COUNT('Diário 1º PA'!$A$4:$A$2635)+ROW()-3)</f>
        <v>3086</v>
      </c>
      <c r="B1353" s="414">
        <v>44699</v>
      </c>
      <c r="C1353" s="466">
        <v>44682</v>
      </c>
      <c r="D1353" s="415" t="s">
        <v>468</v>
      </c>
      <c r="E1353" s="415" t="s">
        <v>468</v>
      </c>
      <c r="F1353" s="425">
        <v>132</v>
      </c>
      <c r="G1353" s="427" t="s">
        <v>3764</v>
      </c>
      <c r="H1353" s="434" t="s">
        <v>468</v>
      </c>
      <c r="I1353" s="639" t="s">
        <v>3765</v>
      </c>
      <c r="J1353" s="418" t="s">
        <v>310</v>
      </c>
      <c r="K1353" s="418" t="s">
        <v>830</v>
      </c>
      <c r="L1353" s="399" t="s">
        <v>1305</v>
      </c>
      <c r="M1353" s="415" t="s">
        <v>310</v>
      </c>
      <c r="N1353" s="414">
        <v>44699</v>
      </c>
      <c r="O1353" s="414" t="s">
        <v>408</v>
      </c>
      <c r="P1353" s="603">
        <f t="shared" si="192"/>
        <v>5</v>
      </c>
      <c r="Q1353" s="603">
        <f t="shared" si="193"/>
        <v>5</v>
      </c>
      <c r="R1353" s="604" t="str">
        <f t="shared" si="191"/>
        <v>Gastos_custeados_por_captação</v>
      </c>
      <c r="S1353" s="605" t="s">
        <v>1000</v>
      </c>
      <c r="T1353" s="605">
        <v>2859</v>
      </c>
    </row>
    <row r="1354" spans="1:20" s="88" customFormat="1" ht="90.75" customHeight="1" x14ac:dyDescent="0.2">
      <c r="A1354" s="510">
        <f>IF(B1354="","",COUNT('Diário 1º PA'!$A$4:$A$2635)+ROW()-3)</f>
        <v>3087</v>
      </c>
      <c r="B1354" s="414">
        <v>44699</v>
      </c>
      <c r="C1354" s="466">
        <v>44682</v>
      </c>
      <c r="D1354" s="415" t="s">
        <v>468</v>
      </c>
      <c r="E1354" s="415" t="s">
        <v>468</v>
      </c>
      <c r="F1354" s="425">
        <v>11</v>
      </c>
      <c r="G1354" s="427" t="s">
        <v>4799</v>
      </c>
      <c r="H1354" s="434" t="s">
        <v>468</v>
      </c>
      <c r="I1354" s="427" t="s">
        <v>881</v>
      </c>
      <c r="J1354" s="415" t="s">
        <v>882</v>
      </c>
      <c r="K1354" s="415" t="s">
        <v>883</v>
      </c>
      <c r="L1354" s="415" t="s">
        <v>798</v>
      </c>
      <c r="M1354" s="415" t="s">
        <v>310</v>
      </c>
      <c r="N1354" s="414">
        <v>44699</v>
      </c>
      <c r="O1354" s="414" t="s">
        <v>408</v>
      </c>
      <c r="P1354" s="603">
        <f t="shared" si="192"/>
        <v>5</v>
      </c>
      <c r="Q1354" s="603">
        <f t="shared" si="193"/>
        <v>5</v>
      </c>
      <c r="R1354" s="604" t="str">
        <f t="shared" si="191"/>
        <v>Gastos_custeados_por_captação</v>
      </c>
      <c r="S1354" s="605" t="s">
        <v>310</v>
      </c>
      <c r="T1354" s="605" t="s">
        <v>310</v>
      </c>
    </row>
    <row r="1355" spans="1:20" s="88" customFormat="1" ht="84" x14ac:dyDescent="0.2">
      <c r="A1355" s="510">
        <f>IF(B1355="","",COUNT('Diário 1º PA'!$A$4:$A$2635)+ROW()-3)</f>
        <v>3088</v>
      </c>
      <c r="B1355" s="414">
        <v>44699</v>
      </c>
      <c r="C1355" s="466">
        <v>44682</v>
      </c>
      <c r="D1355" s="415" t="s">
        <v>468</v>
      </c>
      <c r="E1355" s="415" t="s">
        <v>468</v>
      </c>
      <c r="F1355" s="425">
        <v>505.68</v>
      </c>
      <c r="G1355" s="427" t="s">
        <v>3892</v>
      </c>
      <c r="H1355" s="434" t="s">
        <v>468</v>
      </c>
      <c r="I1355" s="427" t="s">
        <v>2231</v>
      </c>
      <c r="J1355" s="415" t="s">
        <v>1093</v>
      </c>
      <c r="K1355" s="418" t="s">
        <v>830</v>
      </c>
      <c r="L1355" s="415" t="s">
        <v>807</v>
      </c>
      <c r="M1355" s="415" t="s">
        <v>1892</v>
      </c>
      <c r="N1355" s="414">
        <v>44697</v>
      </c>
      <c r="O1355" s="414" t="s">
        <v>3762</v>
      </c>
      <c r="P1355" s="603">
        <f t="shared" si="192"/>
        <v>5</v>
      </c>
      <c r="Q1355" s="603">
        <f t="shared" si="193"/>
        <v>5</v>
      </c>
      <c r="R1355" s="604" t="str">
        <f t="shared" si="191"/>
        <v>Gastos_custeados_por_captação</v>
      </c>
      <c r="S1355" s="605" t="s">
        <v>998</v>
      </c>
      <c r="T1355" s="605">
        <v>3552</v>
      </c>
    </row>
    <row r="1356" spans="1:20" s="88" customFormat="1" ht="60" x14ac:dyDescent="0.2">
      <c r="A1356" s="510">
        <f>IF(B1356="","",COUNT('Diário 1º PA'!$A$4:$A$2635)+ROW()-3)</f>
        <v>3089</v>
      </c>
      <c r="B1356" s="414">
        <v>44699</v>
      </c>
      <c r="C1356" s="466">
        <v>44682</v>
      </c>
      <c r="D1356" s="415" t="s">
        <v>468</v>
      </c>
      <c r="E1356" s="415" t="s">
        <v>468</v>
      </c>
      <c r="F1356" s="425">
        <v>3429.65</v>
      </c>
      <c r="G1356" s="427" t="s">
        <v>3260</v>
      </c>
      <c r="H1356" s="434" t="s">
        <v>468</v>
      </c>
      <c r="I1356" s="427" t="s">
        <v>3091</v>
      </c>
      <c r="J1356" s="415" t="s">
        <v>1141</v>
      </c>
      <c r="K1356" s="418" t="s">
        <v>830</v>
      </c>
      <c r="L1356" s="415" t="s">
        <v>807</v>
      </c>
      <c r="M1356" s="415" t="s">
        <v>1428</v>
      </c>
      <c r="N1356" s="414">
        <v>44698</v>
      </c>
      <c r="O1356" s="414" t="s">
        <v>405</v>
      </c>
      <c r="P1356" s="603">
        <f t="shared" si="192"/>
        <v>5</v>
      </c>
      <c r="Q1356" s="603">
        <f t="shared" si="193"/>
        <v>5</v>
      </c>
      <c r="R1356" s="604" t="str">
        <f t="shared" si="191"/>
        <v>Gastos_custeados_por_captação</v>
      </c>
      <c r="S1356" s="605" t="s">
        <v>1000</v>
      </c>
      <c r="T1356" s="605">
        <v>3295</v>
      </c>
    </row>
    <row r="1357" spans="1:20" s="88" customFormat="1" ht="78" customHeight="1" x14ac:dyDescent="0.2">
      <c r="A1357" s="510">
        <f>IF(B1357="","",COUNT('Diário 1º PA'!$A$4:$A$2635)+ROW()-3)</f>
        <v>3090</v>
      </c>
      <c r="B1357" s="414">
        <v>44700</v>
      </c>
      <c r="C1357" s="431">
        <v>44621</v>
      </c>
      <c r="D1357" s="415" t="s">
        <v>271</v>
      </c>
      <c r="E1357" s="415" t="s">
        <v>467</v>
      </c>
      <c r="F1357" s="425">
        <v>2000</v>
      </c>
      <c r="G1357" s="427" t="s">
        <v>4193</v>
      </c>
      <c r="H1357" s="419" t="s">
        <v>758</v>
      </c>
      <c r="I1357" s="427" t="s">
        <v>4194</v>
      </c>
      <c r="J1357" s="415" t="s">
        <v>2024</v>
      </c>
      <c r="K1357" s="415" t="s">
        <v>806</v>
      </c>
      <c r="L1357" s="415" t="s">
        <v>807</v>
      </c>
      <c r="M1357" s="415" t="s">
        <v>842</v>
      </c>
      <c r="N1357" s="414">
        <v>44692</v>
      </c>
      <c r="O1357" s="414" t="s">
        <v>400</v>
      </c>
      <c r="P1357" s="603">
        <f t="shared" si="192"/>
        <v>5</v>
      </c>
      <c r="Q1357" s="603">
        <f t="shared" si="193"/>
        <v>3</v>
      </c>
      <c r="R1357" s="604" t="str">
        <f t="shared" si="191"/>
        <v>Gastos_Gerais</v>
      </c>
      <c r="S1357" s="605" t="s">
        <v>998</v>
      </c>
      <c r="T1357" s="605">
        <v>3146</v>
      </c>
    </row>
    <row r="1358" spans="1:20" s="88" customFormat="1" ht="48" x14ac:dyDescent="0.2">
      <c r="A1358" s="510">
        <f>IF(B1358="","",COUNT('Diário 1º PA'!$A$4:$A$2635)+ROW()-3)</f>
        <v>3091</v>
      </c>
      <c r="B1358" s="414">
        <v>44700</v>
      </c>
      <c r="C1358" s="431">
        <v>44621</v>
      </c>
      <c r="D1358" s="415" t="s">
        <v>271</v>
      </c>
      <c r="E1358" s="415" t="s">
        <v>453</v>
      </c>
      <c r="F1358" s="425">
        <v>1512</v>
      </c>
      <c r="G1358" s="427" t="s">
        <v>2610</v>
      </c>
      <c r="H1358" s="419" t="s">
        <v>752</v>
      </c>
      <c r="I1358" s="427" t="s">
        <v>4195</v>
      </c>
      <c r="J1358" s="415" t="s">
        <v>2611</v>
      </c>
      <c r="K1358" s="415" t="s">
        <v>806</v>
      </c>
      <c r="L1358" s="415" t="s">
        <v>839</v>
      </c>
      <c r="M1358" s="415">
        <v>1772</v>
      </c>
      <c r="N1358" s="414">
        <v>44698</v>
      </c>
      <c r="O1358" s="414" t="s">
        <v>400</v>
      </c>
      <c r="P1358" s="603">
        <f t="shared" si="192"/>
        <v>5</v>
      </c>
      <c r="Q1358" s="603">
        <f t="shared" si="193"/>
        <v>3</v>
      </c>
      <c r="R1358" s="604" t="str">
        <f t="shared" si="191"/>
        <v>Gastos_Gerais</v>
      </c>
      <c r="S1358" s="605" t="s">
        <v>1000</v>
      </c>
      <c r="T1358" s="605">
        <v>3310</v>
      </c>
    </row>
    <row r="1359" spans="1:20" s="88" customFormat="1" ht="48" x14ac:dyDescent="0.2">
      <c r="A1359" s="510">
        <f>IF(B1359="","",COUNT('Diário 1º PA'!$A$4:$A$2635)+ROW()-3)</f>
        <v>3092</v>
      </c>
      <c r="B1359" s="414">
        <v>44700</v>
      </c>
      <c r="C1359" s="431">
        <v>44621</v>
      </c>
      <c r="D1359" s="415" t="s">
        <v>271</v>
      </c>
      <c r="E1359" s="415" t="s">
        <v>453</v>
      </c>
      <c r="F1359" s="425">
        <v>1068</v>
      </c>
      <c r="G1359" s="427" t="s">
        <v>2453</v>
      </c>
      <c r="H1359" s="419" t="s">
        <v>760</v>
      </c>
      <c r="I1359" s="427" t="s">
        <v>4197</v>
      </c>
      <c r="J1359" s="415" t="s">
        <v>1149</v>
      </c>
      <c r="K1359" s="415" t="s">
        <v>806</v>
      </c>
      <c r="L1359" s="415" t="s">
        <v>839</v>
      </c>
      <c r="M1359" s="415">
        <v>1773</v>
      </c>
      <c r="N1359" s="414">
        <v>44699</v>
      </c>
      <c r="O1359" s="414" t="s">
        <v>400</v>
      </c>
      <c r="P1359" s="603">
        <f t="shared" si="192"/>
        <v>5</v>
      </c>
      <c r="Q1359" s="603">
        <f t="shared" si="193"/>
        <v>3</v>
      </c>
      <c r="R1359" s="604" t="str">
        <f t="shared" si="191"/>
        <v>Gastos_Gerais</v>
      </c>
      <c r="S1359" s="605" t="s">
        <v>998</v>
      </c>
      <c r="T1359" s="605">
        <v>2928</v>
      </c>
    </row>
    <row r="1360" spans="1:20" s="88" customFormat="1" ht="48" x14ac:dyDescent="0.2">
      <c r="A1360" s="510">
        <f>IF(B1360="","",COUNT('Diário 1º PA'!$A$4:$A$2635)+ROW()-3)</f>
        <v>3093</v>
      </c>
      <c r="B1360" s="414">
        <v>44700</v>
      </c>
      <c r="C1360" s="431">
        <v>44682</v>
      </c>
      <c r="D1360" s="415" t="s">
        <v>271</v>
      </c>
      <c r="E1360" s="415" t="s">
        <v>297</v>
      </c>
      <c r="F1360" s="425">
        <v>369.89</v>
      </c>
      <c r="G1360" s="427" t="s">
        <v>4189</v>
      </c>
      <c r="H1360" s="419" t="s">
        <v>757</v>
      </c>
      <c r="I1360" s="427" t="s">
        <v>4199</v>
      </c>
      <c r="J1360" s="415" t="s">
        <v>4200</v>
      </c>
      <c r="K1360" s="415" t="s">
        <v>830</v>
      </c>
      <c r="L1360" s="415" t="s">
        <v>807</v>
      </c>
      <c r="M1360" s="415" t="s">
        <v>4202</v>
      </c>
      <c r="N1360" s="414">
        <v>44700</v>
      </c>
      <c r="O1360" s="414" t="s">
        <v>400</v>
      </c>
      <c r="P1360" s="603">
        <f t="shared" si="192"/>
        <v>5</v>
      </c>
      <c r="Q1360" s="603">
        <f t="shared" si="193"/>
        <v>5</v>
      </c>
      <c r="R1360" s="604" t="str">
        <f t="shared" si="191"/>
        <v>Gastos_Gerais</v>
      </c>
      <c r="S1360" s="605" t="s">
        <v>999</v>
      </c>
      <c r="T1360" s="605">
        <v>3707</v>
      </c>
    </row>
    <row r="1361" spans="1:20" s="88" customFormat="1" ht="81" customHeight="1" x14ac:dyDescent="0.2">
      <c r="A1361" s="510">
        <f>IF(B1361="","",COUNT('Diário 1º PA'!$A$4:$A$2635)+ROW()-3)</f>
        <v>3094</v>
      </c>
      <c r="B1361" s="414">
        <v>44700</v>
      </c>
      <c r="C1361" s="431">
        <v>44652</v>
      </c>
      <c r="D1361" s="415" t="s">
        <v>271</v>
      </c>
      <c r="E1361" s="415" t="s">
        <v>456</v>
      </c>
      <c r="F1361" s="425">
        <v>685.93</v>
      </c>
      <c r="G1361" s="427" t="s">
        <v>3241</v>
      </c>
      <c r="H1361" s="419" t="s">
        <v>760</v>
      </c>
      <c r="I1361" s="427" t="s">
        <v>3975</v>
      </c>
      <c r="J1361" s="415" t="s">
        <v>1921</v>
      </c>
      <c r="K1361" s="415" t="s">
        <v>830</v>
      </c>
      <c r="L1361" s="415" t="s">
        <v>807</v>
      </c>
      <c r="M1361" s="415" t="s">
        <v>1503</v>
      </c>
      <c r="N1361" s="414">
        <v>44699</v>
      </c>
      <c r="O1361" s="414" t="s">
        <v>400</v>
      </c>
      <c r="P1361" s="603">
        <f t="shared" si="192"/>
        <v>5</v>
      </c>
      <c r="Q1361" s="603">
        <f t="shared" si="193"/>
        <v>4</v>
      </c>
      <c r="R1361" s="604" t="str">
        <f t="shared" si="191"/>
        <v>Gastos_Gerais</v>
      </c>
      <c r="S1361" s="605" t="s">
        <v>998</v>
      </c>
      <c r="T1361" s="605">
        <v>3336</v>
      </c>
    </row>
    <row r="1362" spans="1:20" s="88" customFormat="1" ht="60" x14ac:dyDescent="0.2">
      <c r="A1362" s="510">
        <f>IF(B1362="","",COUNT('Diário 1º PA'!$A$4:$A$2635)+ROW()-3)</f>
        <v>3095</v>
      </c>
      <c r="B1362" s="414">
        <v>44700</v>
      </c>
      <c r="C1362" s="431">
        <v>44652</v>
      </c>
      <c r="D1362" s="415" t="s">
        <v>271</v>
      </c>
      <c r="E1362" s="415" t="s">
        <v>456</v>
      </c>
      <c r="F1362" s="425">
        <v>6460</v>
      </c>
      <c r="G1362" s="427" t="s">
        <v>4203</v>
      </c>
      <c r="H1362" s="419" t="s">
        <v>752</v>
      </c>
      <c r="I1362" s="427" t="s">
        <v>3671</v>
      </c>
      <c r="J1362" s="415" t="s">
        <v>3282</v>
      </c>
      <c r="K1362" s="415" t="s">
        <v>830</v>
      </c>
      <c r="L1362" s="415" t="s">
        <v>807</v>
      </c>
      <c r="M1362" s="415" t="s">
        <v>1795</v>
      </c>
      <c r="N1362" s="414">
        <v>44699</v>
      </c>
      <c r="O1362" s="414" t="s">
        <v>400</v>
      </c>
      <c r="P1362" s="603">
        <f t="shared" si="192"/>
        <v>5</v>
      </c>
      <c r="Q1362" s="603">
        <f t="shared" si="193"/>
        <v>4</v>
      </c>
      <c r="R1362" s="604" t="str">
        <f t="shared" si="191"/>
        <v>Gastos_Gerais</v>
      </c>
      <c r="S1362" s="605" t="s">
        <v>1000</v>
      </c>
      <c r="T1362" s="605">
        <v>3327</v>
      </c>
    </row>
    <row r="1363" spans="1:20" s="88" customFormat="1" ht="72" x14ac:dyDescent="0.2">
      <c r="A1363" s="510">
        <f>IF(B1363="","",COUNT('Diário 1º PA'!$A$4:$A$2635)+ROW()-3)</f>
        <v>3096</v>
      </c>
      <c r="B1363" s="414">
        <v>44700</v>
      </c>
      <c r="C1363" s="431">
        <v>44652</v>
      </c>
      <c r="D1363" s="594" t="s">
        <v>271</v>
      </c>
      <c r="E1363" s="415" t="s">
        <v>456</v>
      </c>
      <c r="F1363" s="425">
        <v>587.94000000000005</v>
      </c>
      <c r="G1363" s="427" t="s">
        <v>3241</v>
      </c>
      <c r="H1363" s="419" t="s">
        <v>760</v>
      </c>
      <c r="I1363" s="427" t="s">
        <v>3975</v>
      </c>
      <c r="J1363" s="415" t="s">
        <v>1921</v>
      </c>
      <c r="K1363" s="415" t="s">
        <v>830</v>
      </c>
      <c r="L1363" s="415" t="s">
        <v>807</v>
      </c>
      <c r="M1363" s="415" t="s">
        <v>1308</v>
      </c>
      <c r="N1363" s="414">
        <v>44699</v>
      </c>
      <c r="O1363" s="414" t="s">
        <v>400</v>
      </c>
      <c r="P1363" s="603">
        <f t="shared" si="192"/>
        <v>5</v>
      </c>
      <c r="Q1363" s="603">
        <f t="shared" si="193"/>
        <v>4</v>
      </c>
      <c r="R1363" s="604" t="str">
        <f t="shared" si="191"/>
        <v>Gastos_Gerais</v>
      </c>
      <c r="S1363" s="605" t="s">
        <v>998</v>
      </c>
      <c r="T1363" s="605">
        <v>3332</v>
      </c>
    </row>
    <row r="1364" spans="1:20" s="88" customFormat="1" ht="48" x14ac:dyDescent="0.2">
      <c r="A1364" s="510">
        <f>IF(B1364="","",COUNT('Diário 1º PA'!$A$4:$A$2635)+ROW()-3)</f>
        <v>3097</v>
      </c>
      <c r="B1364" s="414">
        <v>44700</v>
      </c>
      <c r="C1364" s="592">
        <v>44682</v>
      </c>
      <c r="D1364" s="415" t="s">
        <v>271</v>
      </c>
      <c r="E1364" s="415" t="s">
        <v>71</v>
      </c>
      <c r="F1364" s="425">
        <v>11</v>
      </c>
      <c r="G1364" s="427" t="s">
        <v>4190</v>
      </c>
      <c r="H1364" s="419" t="s">
        <v>757</v>
      </c>
      <c r="I1364" s="427" t="s">
        <v>881</v>
      </c>
      <c r="J1364" s="415" t="s">
        <v>882</v>
      </c>
      <c r="K1364" s="415" t="s">
        <v>883</v>
      </c>
      <c r="L1364" s="415" t="s">
        <v>798</v>
      </c>
      <c r="M1364" s="415" t="s">
        <v>310</v>
      </c>
      <c r="N1364" s="414">
        <v>44700</v>
      </c>
      <c r="O1364" s="414" t="s">
        <v>400</v>
      </c>
      <c r="P1364" s="603">
        <f t="shared" si="192"/>
        <v>5</v>
      </c>
      <c r="Q1364" s="603">
        <f t="shared" si="193"/>
        <v>5</v>
      </c>
      <c r="R1364" s="604" t="str">
        <f t="shared" si="191"/>
        <v>Gastos_Gerais</v>
      </c>
      <c r="S1364" s="605" t="s">
        <v>310</v>
      </c>
      <c r="T1364" s="605" t="s">
        <v>310</v>
      </c>
    </row>
    <row r="1365" spans="1:20" s="88" customFormat="1" ht="48" x14ac:dyDescent="0.2">
      <c r="A1365" s="510">
        <f>IF(B1365="","",COUNT('Diário 1º PA'!$A$4:$A$2635)+ROW()-3)</f>
        <v>3098</v>
      </c>
      <c r="B1365" s="414">
        <v>44700</v>
      </c>
      <c r="C1365" s="592">
        <v>44682</v>
      </c>
      <c r="D1365" s="415" t="s">
        <v>271</v>
      </c>
      <c r="E1365" s="415" t="s">
        <v>71</v>
      </c>
      <c r="F1365" s="425">
        <v>11</v>
      </c>
      <c r="G1365" s="427" t="s">
        <v>4206</v>
      </c>
      <c r="H1365" s="419" t="s">
        <v>760</v>
      </c>
      <c r="I1365" s="427" t="s">
        <v>881</v>
      </c>
      <c r="J1365" s="415" t="s">
        <v>882</v>
      </c>
      <c r="K1365" s="415" t="s">
        <v>883</v>
      </c>
      <c r="L1365" s="415" t="s">
        <v>798</v>
      </c>
      <c r="M1365" s="415" t="s">
        <v>310</v>
      </c>
      <c r="N1365" s="414">
        <v>44700</v>
      </c>
      <c r="O1365" s="414" t="s">
        <v>400</v>
      </c>
      <c r="P1365" s="603">
        <f t="shared" si="192"/>
        <v>5</v>
      </c>
      <c r="Q1365" s="603">
        <f t="shared" si="193"/>
        <v>5</v>
      </c>
      <c r="R1365" s="604" t="str">
        <f t="shared" si="191"/>
        <v>Gastos_Gerais</v>
      </c>
      <c r="S1365" s="605" t="s">
        <v>310</v>
      </c>
      <c r="T1365" s="605" t="s">
        <v>310</v>
      </c>
    </row>
    <row r="1366" spans="1:20" s="88" customFormat="1" ht="36" x14ac:dyDescent="0.2">
      <c r="A1366" s="510">
        <f>IF(B1366="","",COUNT('Diário 1º PA'!$A$4:$A$2635)+ROW()-3)</f>
        <v>3099</v>
      </c>
      <c r="B1366" s="414">
        <v>44700</v>
      </c>
      <c r="C1366" s="592">
        <v>44682</v>
      </c>
      <c r="D1366" s="415" t="s">
        <v>271</v>
      </c>
      <c r="E1366" s="415" t="s">
        <v>71</v>
      </c>
      <c r="F1366" s="425">
        <v>11</v>
      </c>
      <c r="G1366" s="427" t="s">
        <v>3674</v>
      </c>
      <c r="H1366" s="419" t="s">
        <v>752</v>
      </c>
      <c r="I1366" s="427" t="s">
        <v>881</v>
      </c>
      <c r="J1366" s="415" t="s">
        <v>882</v>
      </c>
      <c r="K1366" s="415" t="s">
        <v>883</v>
      </c>
      <c r="L1366" s="415" t="s">
        <v>798</v>
      </c>
      <c r="M1366" s="415" t="s">
        <v>310</v>
      </c>
      <c r="N1366" s="414">
        <v>44700</v>
      </c>
      <c r="O1366" s="414" t="s">
        <v>400</v>
      </c>
      <c r="P1366" s="603">
        <f t="shared" si="192"/>
        <v>5</v>
      </c>
      <c r="Q1366" s="603">
        <f t="shared" si="193"/>
        <v>5</v>
      </c>
      <c r="R1366" s="604" t="str">
        <f t="shared" si="191"/>
        <v>Gastos_Gerais</v>
      </c>
      <c r="S1366" s="605" t="s">
        <v>310</v>
      </c>
      <c r="T1366" s="605" t="s">
        <v>310</v>
      </c>
    </row>
    <row r="1367" spans="1:20" ht="48" x14ac:dyDescent="0.2">
      <c r="A1367" s="510">
        <f>IF(B1367="","",COUNT('Diário 1º PA'!$A$4:$A$2635)+ROW()-3)</f>
        <v>3100</v>
      </c>
      <c r="B1367" s="414">
        <v>44700</v>
      </c>
      <c r="C1367" s="592">
        <v>44682</v>
      </c>
      <c r="D1367" s="415" t="s">
        <v>271</v>
      </c>
      <c r="E1367" s="415" t="s">
        <v>71</v>
      </c>
      <c r="F1367" s="425">
        <v>11</v>
      </c>
      <c r="G1367" s="427" t="s">
        <v>4207</v>
      </c>
      <c r="H1367" s="419" t="s">
        <v>760</v>
      </c>
      <c r="I1367" s="427" t="s">
        <v>881</v>
      </c>
      <c r="J1367" s="415" t="s">
        <v>882</v>
      </c>
      <c r="K1367" s="415" t="s">
        <v>883</v>
      </c>
      <c r="L1367" s="415" t="s">
        <v>798</v>
      </c>
      <c r="M1367" s="415" t="s">
        <v>310</v>
      </c>
      <c r="N1367" s="414">
        <v>44700</v>
      </c>
      <c r="O1367" s="414" t="s">
        <v>400</v>
      </c>
      <c r="P1367" s="603">
        <f t="shared" ref="P1367:P1372" si="194">IF(B1367=0,0,IF(YEAR(B1367)=$Q$1,MONTH(B1367)-$P$1+1,(YEAR(B1367)-$Q$1)*12-$P$1+1+MONTH(B1367)))</f>
        <v>5</v>
      </c>
      <c r="Q1367" s="603">
        <f t="shared" ref="Q1367:Q1372" si="195">IF(C1367=0,0,IF(YEAR(C1367)=$Q$1,MONTH(C1367)-$P$1+1,(YEAR(C1367)-$Q$1)*12-$P$1+1+MONTH(C1367)))</f>
        <v>5</v>
      </c>
      <c r="R1367" s="604" t="str">
        <f t="shared" ref="R1367:R1372" si="196">SUBSTITUTE(D1367," ","_")</f>
        <v>Gastos_Gerais</v>
      </c>
      <c r="S1367" s="605" t="s">
        <v>310</v>
      </c>
      <c r="T1367" s="605" t="s">
        <v>310</v>
      </c>
    </row>
    <row r="1368" spans="1:20" ht="96" customHeight="1" x14ac:dyDescent="0.2">
      <c r="A1368" s="510">
        <f>IF(B1368="","",COUNT('Diário 1º PA'!$A$4:$A$2635)+ROW()-3)</f>
        <v>3101</v>
      </c>
      <c r="B1368" s="414">
        <v>44700</v>
      </c>
      <c r="C1368" s="592">
        <v>44682</v>
      </c>
      <c r="D1368" s="415" t="s">
        <v>468</v>
      </c>
      <c r="E1368" s="415" t="s">
        <v>468</v>
      </c>
      <c r="F1368" s="425">
        <v>970</v>
      </c>
      <c r="G1368" s="427" t="s">
        <v>3894</v>
      </c>
      <c r="H1368" s="419" t="s">
        <v>468</v>
      </c>
      <c r="I1368" s="427" t="s">
        <v>5122</v>
      </c>
      <c r="J1368" s="415" t="s">
        <v>3895</v>
      </c>
      <c r="K1368" s="415" t="s">
        <v>830</v>
      </c>
      <c r="L1368" s="415" t="s">
        <v>32</v>
      </c>
      <c r="M1368" s="415" t="s">
        <v>5123</v>
      </c>
      <c r="N1368" s="414">
        <v>44693</v>
      </c>
      <c r="O1368" s="414" t="s">
        <v>407</v>
      </c>
      <c r="P1368" s="603">
        <f t="shared" si="194"/>
        <v>5</v>
      </c>
      <c r="Q1368" s="603">
        <f t="shared" si="195"/>
        <v>5</v>
      </c>
      <c r="R1368" s="604" t="str">
        <f t="shared" si="196"/>
        <v>Gastos_custeados_por_captação</v>
      </c>
      <c r="S1368" s="605" t="s">
        <v>998</v>
      </c>
      <c r="T1368" s="605">
        <v>3642</v>
      </c>
    </row>
    <row r="1369" spans="1:20" ht="96" x14ac:dyDescent="0.2">
      <c r="A1369" s="510">
        <f>IF(B1369="","",COUNT('Diário 1º PA'!$A$4:$A$2635)+ROW()-3)</f>
        <v>3102</v>
      </c>
      <c r="B1369" s="414">
        <v>44700</v>
      </c>
      <c r="C1369" s="592">
        <v>44652</v>
      </c>
      <c r="D1369" s="415" t="s">
        <v>468</v>
      </c>
      <c r="E1369" s="415" t="s">
        <v>468</v>
      </c>
      <c r="F1369" s="425">
        <v>5125</v>
      </c>
      <c r="G1369" s="427" t="s">
        <v>3712</v>
      </c>
      <c r="H1369" s="419" t="s">
        <v>468</v>
      </c>
      <c r="I1369" s="427" t="s">
        <v>5124</v>
      </c>
      <c r="J1369" s="415" t="s">
        <v>3713</v>
      </c>
      <c r="K1369" s="415" t="s">
        <v>830</v>
      </c>
      <c r="L1369" s="415" t="s">
        <v>32</v>
      </c>
      <c r="M1369" s="415">
        <v>1</v>
      </c>
      <c r="N1369" s="414">
        <v>44698</v>
      </c>
      <c r="O1369" s="414" t="s">
        <v>407</v>
      </c>
      <c r="P1369" s="603">
        <f t="shared" si="194"/>
        <v>5</v>
      </c>
      <c r="Q1369" s="603">
        <f t="shared" si="195"/>
        <v>4</v>
      </c>
      <c r="R1369" s="604" t="str">
        <f t="shared" si="196"/>
        <v>Gastos_custeados_por_captação</v>
      </c>
      <c r="S1369" s="605" t="s">
        <v>998</v>
      </c>
      <c r="T1369" s="605">
        <v>3516</v>
      </c>
    </row>
    <row r="1370" spans="1:20" ht="72" x14ac:dyDescent="0.2">
      <c r="A1370" s="510">
        <f>IF(B1370="","",COUNT('Diário 1º PA'!$A$4:$A$2635)+ROW()-3)</f>
        <v>3103</v>
      </c>
      <c r="B1370" s="414">
        <v>44700</v>
      </c>
      <c r="C1370" s="592">
        <v>44621</v>
      </c>
      <c r="D1370" s="415" t="s">
        <v>468</v>
      </c>
      <c r="E1370" s="415" t="s">
        <v>468</v>
      </c>
      <c r="F1370" s="425">
        <v>6000</v>
      </c>
      <c r="G1370" s="427" t="s">
        <v>2398</v>
      </c>
      <c r="H1370" s="419" t="s">
        <v>468</v>
      </c>
      <c r="I1370" s="427" t="s">
        <v>5125</v>
      </c>
      <c r="J1370" s="415" t="s">
        <v>2399</v>
      </c>
      <c r="K1370" s="415" t="s">
        <v>830</v>
      </c>
      <c r="L1370" s="415" t="s">
        <v>32</v>
      </c>
      <c r="M1370" s="415">
        <v>1</v>
      </c>
      <c r="N1370" s="414">
        <v>44699</v>
      </c>
      <c r="O1370" s="414" t="s">
        <v>407</v>
      </c>
      <c r="P1370" s="603">
        <f t="shared" si="194"/>
        <v>5</v>
      </c>
      <c r="Q1370" s="603">
        <f t="shared" si="195"/>
        <v>3</v>
      </c>
      <c r="R1370" s="604" t="str">
        <f t="shared" si="196"/>
        <v>Gastos_custeados_por_captação</v>
      </c>
      <c r="S1370" s="605" t="s">
        <v>998</v>
      </c>
      <c r="T1370" s="605">
        <v>3089</v>
      </c>
    </row>
    <row r="1371" spans="1:20" ht="72" x14ac:dyDescent="0.2">
      <c r="A1371" s="510">
        <f>IF(B1371="","",COUNT('Diário 1º PA'!$A$4:$A$2635)+ROW()-3)</f>
        <v>3104</v>
      </c>
      <c r="B1371" s="414">
        <v>44700</v>
      </c>
      <c r="C1371" s="592">
        <v>44652</v>
      </c>
      <c r="D1371" s="415" t="s">
        <v>468</v>
      </c>
      <c r="E1371" s="415" t="s">
        <v>468</v>
      </c>
      <c r="F1371" s="425">
        <v>86.5</v>
      </c>
      <c r="G1371" s="427" t="s">
        <v>3714</v>
      </c>
      <c r="H1371" s="419" t="s">
        <v>468</v>
      </c>
      <c r="I1371" s="427" t="s">
        <v>5022</v>
      </c>
      <c r="J1371" s="415" t="s">
        <v>3715</v>
      </c>
      <c r="K1371" s="415" t="s">
        <v>830</v>
      </c>
      <c r="L1371" s="415" t="s">
        <v>32</v>
      </c>
      <c r="M1371" s="415">
        <v>80675</v>
      </c>
      <c r="N1371" s="414">
        <v>44679</v>
      </c>
      <c r="O1371" s="414" t="s">
        <v>407</v>
      </c>
      <c r="P1371" s="603">
        <f t="shared" si="194"/>
        <v>5</v>
      </c>
      <c r="Q1371" s="603">
        <f t="shared" si="195"/>
        <v>4</v>
      </c>
      <c r="R1371" s="604" t="str">
        <f t="shared" si="196"/>
        <v>Gastos_custeados_por_captação</v>
      </c>
      <c r="S1371" s="605" t="s">
        <v>999</v>
      </c>
      <c r="T1371" s="605">
        <v>3532</v>
      </c>
    </row>
    <row r="1372" spans="1:20" ht="130.5" customHeight="1" x14ac:dyDescent="0.2">
      <c r="A1372" s="510">
        <f>IF(B1372="","",COUNT('Diário 1º PA'!$A$4:$A$2635)+ROW()-3)</f>
        <v>3105</v>
      </c>
      <c r="B1372" s="414">
        <v>44700</v>
      </c>
      <c r="C1372" s="592">
        <v>44682</v>
      </c>
      <c r="D1372" s="415" t="s">
        <v>468</v>
      </c>
      <c r="E1372" s="415" t="s">
        <v>468</v>
      </c>
      <c r="F1372" s="425">
        <v>1173.7</v>
      </c>
      <c r="G1372" s="427" t="s">
        <v>3894</v>
      </c>
      <c r="H1372" s="419" t="s">
        <v>468</v>
      </c>
      <c r="I1372" s="427" t="s">
        <v>5122</v>
      </c>
      <c r="J1372" s="415" t="s">
        <v>3895</v>
      </c>
      <c r="K1372" s="415" t="s">
        <v>830</v>
      </c>
      <c r="L1372" s="415" t="s">
        <v>32</v>
      </c>
      <c r="M1372" s="415" t="s">
        <v>5126</v>
      </c>
      <c r="N1372" s="414">
        <v>44693</v>
      </c>
      <c r="O1372" s="414" t="s">
        <v>407</v>
      </c>
      <c r="P1372" s="603">
        <f t="shared" si="194"/>
        <v>5</v>
      </c>
      <c r="Q1372" s="603">
        <f t="shared" si="195"/>
        <v>5</v>
      </c>
      <c r="R1372" s="604" t="str">
        <f t="shared" si="196"/>
        <v>Gastos_custeados_por_captação</v>
      </c>
      <c r="S1372" s="605" t="s">
        <v>998</v>
      </c>
      <c r="T1372" s="605">
        <v>3623</v>
      </c>
    </row>
    <row r="1373" spans="1:20" s="88" customFormat="1" ht="83.25" customHeight="1" x14ac:dyDescent="0.2">
      <c r="A1373" s="510">
        <f>IF(B1373="","",COUNT('Diário 1º PA'!$A$4:$A$2635)+ROW()-3)</f>
        <v>3106</v>
      </c>
      <c r="B1373" s="414">
        <v>44700</v>
      </c>
      <c r="C1373" s="592">
        <v>44652</v>
      </c>
      <c r="D1373" s="415" t="s">
        <v>468</v>
      </c>
      <c r="E1373" s="415" t="s">
        <v>468</v>
      </c>
      <c r="F1373" s="425">
        <v>13580</v>
      </c>
      <c r="G1373" s="427" t="s">
        <v>3544</v>
      </c>
      <c r="H1373" s="419" t="s">
        <v>468</v>
      </c>
      <c r="I1373" s="427" t="s">
        <v>4787</v>
      </c>
      <c r="J1373" s="415" t="s">
        <v>1075</v>
      </c>
      <c r="K1373" s="415" t="s">
        <v>830</v>
      </c>
      <c r="L1373" s="415" t="s">
        <v>32</v>
      </c>
      <c r="M1373" s="415" t="s">
        <v>1793</v>
      </c>
      <c r="N1373" s="414">
        <v>44699</v>
      </c>
      <c r="O1373" s="414" t="s">
        <v>407</v>
      </c>
      <c r="P1373" s="603">
        <f t="shared" ref="P1373:P1415" si="197">IF(B1373=0,0,IF(YEAR(B1373)=$Q$1,MONTH(B1373)-$P$1+1,(YEAR(B1373)-$Q$1)*12-$P$1+1+MONTH(B1373)))</f>
        <v>5</v>
      </c>
      <c r="Q1373" s="603">
        <f t="shared" ref="Q1373:Q1415" si="198">IF(C1373=0,0,IF(YEAR(C1373)=$Q$1,MONTH(C1373)-$P$1+1,(YEAR(C1373)-$Q$1)*12-$P$1+1+MONTH(C1373)))</f>
        <v>4</v>
      </c>
      <c r="R1373" s="604" t="str">
        <f t="shared" ref="R1373:R1415" si="199">SUBSTITUTE(D1373," ","_")</f>
        <v>Gastos_custeados_por_captação</v>
      </c>
      <c r="S1373" s="605" t="s">
        <v>1000</v>
      </c>
      <c r="T1373" s="605">
        <v>3340</v>
      </c>
    </row>
    <row r="1374" spans="1:20" s="88" customFormat="1" ht="83.25" customHeight="1" x14ac:dyDescent="0.2">
      <c r="A1374" s="510">
        <f>IF(B1374="","",COUNT('Diário 1º PA'!$A$4:$A$2635)+ROW()-3)</f>
        <v>3107</v>
      </c>
      <c r="B1374" s="414">
        <v>44700</v>
      </c>
      <c r="C1374" s="592">
        <v>44682</v>
      </c>
      <c r="D1374" s="415" t="s">
        <v>468</v>
      </c>
      <c r="E1374" s="415" t="s">
        <v>468</v>
      </c>
      <c r="F1374" s="425">
        <v>4494.3599999999997</v>
      </c>
      <c r="G1374" s="427" t="s">
        <v>3819</v>
      </c>
      <c r="H1374" s="419" t="s">
        <v>468</v>
      </c>
      <c r="I1374" s="427" t="s">
        <v>5471</v>
      </c>
      <c r="J1374" s="415" t="s">
        <v>3820</v>
      </c>
      <c r="K1374" s="415" t="s">
        <v>830</v>
      </c>
      <c r="L1374" s="415" t="s">
        <v>1305</v>
      </c>
      <c r="M1374" s="415" t="s">
        <v>310</v>
      </c>
      <c r="N1374" s="414">
        <v>44700</v>
      </c>
      <c r="O1374" s="414" t="s">
        <v>405</v>
      </c>
      <c r="P1374" s="603">
        <f t="shared" si="197"/>
        <v>5</v>
      </c>
      <c r="Q1374" s="603">
        <f t="shared" si="198"/>
        <v>5</v>
      </c>
      <c r="R1374" s="604" t="str">
        <f t="shared" si="199"/>
        <v>Gastos_custeados_por_captação</v>
      </c>
      <c r="S1374" s="605" t="s">
        <v>998</v>
      </c>
      <c r="T1374" s="605">
        <v>3572</v>
      </c>
    </row>
    <row r="1375" spans="1:20" s="88" customFormat="1" ht="72" x14ac:dyDescent="0.2">
      <c r="A1375" s="510">
        <f>IF(B1375="","",COUNT('Diário 1º PA'!$A$4:$A$2635)+ROW()-3)</f>
        <v>3108</v>
      </c>
      <c r="B1375" s="414">
        <v>44700</v>
      </c>
      <c r="C1375" s="592">
        <v>44682</v>
      </c>
      <c r="D1375" s="415" t="s">
        <v>468</v>
      </c>
      <c r="E1375" s="415" t="s">
        <v>468</v>
      </c>
      <c r="F1375" s="425">
        <v>4494.3599999999997</v>
      </c>
      <c r="G1375" s="427" t="s">
        <v>3822</v>
      </c>
      <c r="H1375" s="419" t="s">
        <v>468</v>
      </c>
      <c r="I1375" s="427" t="s">
        <v>5471</v>
      </c>
      <c r="J1375" s="415" t="s">
        <v>3820</v>
      </c>
      <c r="K1375" s="415" t="s">
        <v>830</v>
      </c>
      <c r="L1375" s="415" t="s">
        <v>1305</v>
      </c>
      <c r="M1375" s="415" t="s">
        <v>310</v>
      </c>
      <c r="N1375" s="414">
        <v>44700</v>
      </c>
      <c r="O1375" s="414" t="s">
        <v>405</v>
      </c>
      <c r="P1375" s="603">
        <f t="shared" si="197"/>
        <v>5</v>
      </c>
      <c r="Q1375" s="603">
        <f t="shared" si="198"/>
        <v>5</v>
      </c>
      <c r="R1375" s="604" t="str">
        <f t="shared" si="199"/>
        <v>Gastos_custeados_por_captação</v>
      </c>
      <c r="S1375" s="605" t="s">
        <v>998</v>
      </c>
      <c r="T1375" s="605">
        <v>3573</v>
      </c>
    </row>
    <row r="1376" spans="1:20" s="88" customFormat="1" ht="36" customHeight="1" x14ac:dyDescent="0.2">
      <c r="A1376" s="510">
        <f>IF(B1376="","",COUNT('Diário 1º PA'!$A$4:$A$2635)+ROW()-3)</f>
        <v>3109</v>
      </c>
      <c r="B1376" s="414">
        <v>44700</v>
      </c>
      <c r="C1376" s="592">
        <v>44682</v>
      </c>
      <c r="D1376" s="415" t="s">
        <v>468</v>
      </c>
      <c r="E1376" s="415" t="s">
        <v>468</v>
      </c>
      <c r="F1376" s="425">
        <v>6000</v>
      </c>
      <c r="G1376" s="427" t="s">
        <v>3885</v>
      </c>
      <c r="H1376" s="419" t="s">
        <v>468</v>
      </c>
      <c r="I1376" s="427" t="s">
        <v>5472</v>
      </c>
      <c r="J1376" s="415" t="s">
        <v>3886</v>
      </c>
      <c r="K1376" s="415" t="s">
        <v>830</v>
      </c>
      <c r="L1376" s="415" t="s">
        <v>1305</v>
      </c>
      <c r="M1376" s="415" t="s">
        <v>310</v>
      </c>
      <c r="N1376" s="414">
        <v>44700</v>
      </c>
      <c r="O1376" s="414" t="s">
        <v>405</v>
      </c>
      <c r="P1376" s="603">
        <f t="shared" si="197"/>
        <v>5</v>
      </c>
      <c r="Q1376" s="603">
        <f t="shared" si="198"/>
        <v>5</v>
      </c>
      <c r="R1376" s="604" t="str">
        <f t="shared" si="199"/>
        <v>Gastos_custeados_por_captação</v>
      </c>
      <c r="S1376" s="605" t="s">
        <v>998</v>
      </c>
      <c r="T1376" s="605">
        <v>3580</v>
      </c>
    </row>
    <row r="1377" spans="1:20" s="88" customFormat="1" ht="28.5" customHeight="1" x14ac:dyDescent="0.2">
      <c r="A1377" s="510">
        <f>IF(B1377="","",COUNT('Diário 1º PA'!$A$4:$A$2635)+ROW()-3)</f>
        <v>3110</v>
      </c>
      <c r="B1377" s="414">
        <v>44701</v>
      </c>
      <c r="C1377" s="424">
        <v>44652</v>
      </c>
      <c r="D1377" s="415" t="s">
        <v>468</v>
      </c>
      <c r="E1377" s="415" t="s">
        <v>468</v>
      </c>
      <c r="F1377" s="425">
        <v>-2724.31</v>
      </c>
      <c r="G1377" s="440" t="s">
        <v>4227</v>
      </c>
      <c r="H1377" s="415" t="s">
        <v>468</v>
      </c>
      <c r="I1377" s="427" t="s">
        <v>795</v>
      </c>
      <c r="J1377" s="415" t="s">
        <v>796</v>
      </c>
      <c r="K1377" s="415" t="s">
        <v>797</v>
      </c>
      <c r="L1377" s="415" t="s">
        <v>798</v>
      </c>
      <c r="M1377" s="415" t="s">
        <v>310</v>
      </c>
      <c r="N1377" s="414">
        <v>44701</v>
      </c>
      <c r="O1377" s="414" t="s">
        <v>400</v>
      </c>
      <c r="P1377" s="603">
        <f t="shared" si="197"/>
        <v>5</v>
      </c>
      <c r="Q1377" s="603">
        <f t="shared" si="198"/>
        <v>4</v>
      </c>
      <c r="R1377" s="604" t="str">
        <f t="shared" si="199"/>
        <v>Gastos_custeados_por_captação</v>
      </c>
      <c r="S1377" s="605" t="s">
        <v>310</v>
      </c>
      <c r="T1377" s="605" t="s">
        <v>310</v>
      </c>
    </row>
    <row r="1378" spans="1:20" s="88" customFormat="1" ht="28.5" customHeight="1" x14ac:dyDescent="0.2">
      <c r="A1378" s="510">
        <f>IF(B1378="","",COUNT('Diário 1º PA'!$A$4:$A$2635)+ROW()-3)</f>
        <v>3111</v>
      </c>
      <c r="B1378" s="414">
        <v>44701</v>
      </c>
      <c r="C1378" s="424">
        <v>44652</v>
      </c>
      <c r="D1378" s="415" t="s">
        <v>468</v>
      </c>
      <c r="E1378" s="415" t="s">
        <v>468</v>
      </c>
      <c r="F1378" s="425">
        <v>-3100</v>
      </c>
      <c r="G1378" s="440" t="s">
        <v>4228</v>
      </c>
      <c r="H1378" s="415" t="s">
        <v>468</v>
      </c>
      <c r="I1378" s="427" t="s">
        <v>795</v>
      </c>
      <c r="J1378" s="415" t="s">
        <v>796</v>
      </c>
      <c r="K1378" s="415" t="s">
        <v>797</v>
      </c>
      <c r="L1378" s="415" t="s">
        <v>798</v>
      </c>
      <c r="M1378" s="415" t="s">
        <v>310</v>
      </c>
      <c r="N1378" s="414">
        <v>44701</v>
      </c>
      <c r="O1378" s="414" t="s">
        <v>400</v>
      </c>
      <c r="P1378" s="603">
        <f t="shared" si="197"/>
        <v>5</v>
      </c>
      <c r="Q1378" s="603">
        <f t="shared" si="198"/>
        <v>4</v>
      </c>
      <c r="R1378" s="604" t="str">
        <f t="shared" si="199"/>
        <v>Gastos_custeados_por_captação</v>
      </c>
      <c r="S1378" s="605" t="s">
        <v>310</v>
      </c>
      <c r="T1378" s="605" t="s">
        <v>310</v>
      </c>
    </row>
    <row r="1379" spans="1:20" s="88" customFormat="1" ht="24" x14ac:dyDescent="0.2">
      <c r="A1379" s="510">
        <f>IF(B1379="","",COUNT('Diário 1º PA'!$A$4:$A$2635)+ROW()-3)</f>
        <v>3112</v>
      </c>
      <c r="B1379" s="414">
        <v>44701</v>
      </c>
      <c r="C1379" s="424">
        <v>44652</v>
      </c>
      <c r="D1379" s="415" t="s">
        <v>468</v>
      </c>
      <c r="E1379" s="415" t="s">
        <v>468</v>
      </c>
      <c r="F1379" s="425">
        <v>-531.96</v>
      </c>
      <c r="G1379" s="440" t="s">
        <v>4229</v>
      </c>
      <c r="H1379" s="415" t="s">
        <v>468</v>
      </c>
      <c r="I1379" s="427" t="s">
        <v>795</v>
      </c>
      <c r="J1379" s="415" t="s">
        <v>796</v>
      </c>
      <c r="K1379" s="415" t="s">
        <v>797</v>
      </c>
      <c r="L1379" s="415" t="s">
        <v>798</v>
      </c>
      <c r="M1379" s="415" t="s">
        <v>310</v>
      </c>
      <c r="N1379" s="414">
        <v>44701</v>
      </c>
      <c r="O1379" s="414" t="s">
        <v>400</v>
      </c>
      <c r="P1379" s="603">
        <f t="shared" si="197"/>
        <v>5</v>
      </c>
      <c r="Q1379" s="603">
        <f t="shared" si="198"/>
        <v>4</v>
      </c>
      <c r="R1379" s="604" t="str">
        <f t="shared" si="199"/>
        <v>Gastos_custeados_por_captação</v>
      </c>
      <c r="S1379" s="605" t="s">
        <v>310</v>
      </c>
      <c r="T1379" s="605" t="s">
        <v>310</v>
      </c>
    </row>
    <row r="1380" spans="1:20" s="88" customFormat="1" ht="24" x14ac:dyDescent="0.2">
      <c r="A1380" s="510">
        <f>IF(B1380="","",COUNT('Diário 1º PA'!$A$4:$A$2635)+ROW()-3)</f>
        <v>3113</v>
      </c>
      <c r="B1380" s="414">
        <v>44701</v>
      </c>
      <c r="C1380" s="424">
        <v>44652</v>
      </c>
      <c r="D1380" s="415" t="s">
        <v>468</v>
      </c>
      <c r="E1380" s="415" t="s">
        <v>468</v>
      </c>
      <c r="F1380" s="425">
        <v>-775</v>
      </c>
      <c r="G1380" s="440" t="s">
        <v>4230</v>
      </c>
      <c r="H1380" s="415" t="s">
        <v>468</v>
      </c>
      <c r="I1380" s="427" t="s">
        <v>795</v>
      </c>
      <c r="J1380" s="415" t="s">
        <v>796</v>
      </c>
      <c r="K1380" s="415" t="s">
        <v>797</v>
      </c>
      <c r="L1380" s="415" t="s">
        <v>798</v>
      </c>
      <c r="M1380" s="415" t="s">
        <v>310</v>
      </c>
      <c r="N1380" s="414">
        <v>44701</v>
      </c>
      <c r="O1380" s="414" t="s">
        <v>400</v>
      </c>
      <c r="P1380" s="603">
        <f t="shared" si="197"/>
        <v>5</v>
      </c>
      <c r="Q1380" s="603">
        <f t="shared" si="198"/>
        <v>4</v>
      </c>
      <c r="R1380" s="604" t="str">
        <f t="shared" si="199"/>
        <v>Gastos_custeados_por_captação</v>
      </c>
      <c r="S1380" s="605" t="s">
        <v>310</v>
      </c>
      <c r="T1380" s="605" t="s">
        <v>310</v>
      </c>
    </row>
    <row r="1381" spans="1:20" s="88" customFormat="1" ht="36" x14ac:dyDescent="0.2">
      <c r="A1381" s="510">
        <f>IF(B1381="","",COUNT('Diário 1º PA'!$A$4:$A$2635)+ROW()-3)</f>
        <v>3114</v>
      </c>
      <c r="B1381" s="414">
        <v>44701</v>
      </c>
      <c r="C1381" s="424">
        <v>44652</v>
      </c>
      <c r="D1381" s="415" t="s">
        <v>182</v>
      </c>
      <c r="E1381" s="415" t="s">
        <v>1</v>
      </c>
      <c r="F1381" s="425">
        <v>-3203.98</v>
      </c>
      <c r="G1381" s="440" t="s">
        <v>4231</v>
      </c>
      <c r="H1381" s="415" t="s">
        <v>310</v>
      </c>
      <c r="I1381" s="427" t="s">
        <v>795</v>
      </c>
      <c r="J1381" s="415" t="s">
        <v>796</v>
      </c>
      <c r="K1381" s="415" t="s">
        <v>797</v>
      </c>
      <c r="L1381" s="415" t="s">
        <v>798</v>
      </c>
      <c r="M1381" s="415" t="s">
        <v>310</v>
      </c>
      <c r="N1381" s="414">
        <v>44701</v>
      </c>
      <c r="O1381" s="414" t="s">
        <v>400</v>
      </c>
      <c r="P1381" s="603">
        <f t="shared" si="197"/>
        <v>5</v>
      </c>
      <c r="Q1381" s="603">
        <f t="shared" si="198"/>
        <v>4</v>
      </c>
      <c r="R1381" s="604" t="str">
        <f t="shared" si="199"/>
        <v>Gastos_com_Pessoal</v>
      </c>
      <c r="S1381" s="605" t="s">
        <v>310</v>
      </c>
      <c r="T1381" s="605" t="s">
        <v>310</v>
      </c>
    </row>
    <row r="1382" spans="1:20" s="88" customFormat="1" ht="36" x14ac:dyDescent="0.2">
      <c r="A1382" s="510">
        <f>IF(B1382="","",COUNT('Diário 1º PA'!$A$4:$A$2635)+ROW()-3)</f>
        <v>3115</v>
      </c>
      <c r="B1382" s="414">
        <v>44701</v>
      </c>
      <c r="C1382" s="424">
        <v>44652</v>
      </c>
      <c r="D1382" s="415" t="s">
        <v>182</v>
      </c>
      <c r="E1382" s="415" t="s">
        <v>252</v>
      </c>
      <c r="F1382" s="425">
        <v>-8054.88</v>
      </c>
      <c r="G1382" s="440" t="s">
        <v>4232</v>
      </c>
      <c r="H1382" s="415" t="s">
        <v>310</v>
      </c>
      <c r="I1382" s="427" t="s">
        <v>795</v>
      </c>
      <c r="J1382" s="415" t="s">
        <v>796</v>
      </c>
      <c r="K1382" s="415" t="s">
        <v>797</v>
      </c>
      <c r="L1382" s="415" t="s">
        <v>798</v>
      </c>
      <c r="M1382" s="415" t="s">
        <v>310</v>
      </c>
      <c r="N1382" s="414">
        <v>44701</v>
      </c>
      <c r="O1382" s="414" t="s">
        <v>400</v>
      </c>
      <c r="P1382" s="603">
        <f t="shared" si="197"/>
        <v>5</v>
      </c>
      <c r="Q1382" s="603">
        <f t="shared" si="198"/>
        <v>4</v>
      </c>
      <c r="R1382" s="604" t="str">
        <f t="shared" si="199"/>
        <v>Gastos_com_Pessoal</v>
      </c>
      <c r="S1382" s="605" t="s">
        <v>310</v>
      </c>
      <c r="T1382" s="605" t="s">
        <v>310</v>
      </c>
    </row>
    <row r="1383" spans="1:20" s="88" customFormat="1" ht="36" x14ac:dyDescent="0.2">
      <c r="A1383" s="510">
        <f>IF(B1383="","",COUNT('Diário 1º PA'!$A$4:$A$2635)+ROW()-3)</f>
        <v>3116</v>
      </c>
      <c r="B1383" s="414">
        <v>44701</v>
      </c>
      <c r="C1383" s="424">
        <v>44652</v>
      </c>
      <c r="D1383" s="415" t="s">
        <v>271</v>
      </c>
      <c r="E1383" s="415" t="s">
        <v>183</v>
      </c>
      <c r="F1383" s="425">
        <v>-93.66</v>
      </c>
      <c r="G1383" s="440" t="s">
        <v>4233</v>
      </c>
      <c r="H1383" s="415" t="s">
        <v>309</v>
      </c>
      <c r="I1383" s="427" t="s">
        <v>795</v>
      </c>
      <c r="J1383" s="415" t="s">
        <v>796</v>
      </c>
      <c r="K1383" s="415" t="s">
        <v>797</v>
      </c>
      <c r="L1383" s="415" t="s">
        <v>798</v>
      </c>
      <c r="M1383" s="415" t="s">
        <v>310</v>
      </c>
      <c r="N1383" s="414">
        <v>44701</v>
      </c>
      <c r="O1383" s="414" t="s">
        <v>400</v>
      </c>
      <c r="P1383" s="603">
        <f t="shared" si="197"/>
        <v>5</v>
      </c>
      <c r="Q1383" s="603">
        <f t="shared" si="198"/>
        <v>4</v>
      </c>
      <c r="R1383" s="604" t="str">
        <f t="shared" si="199"/>
        <v>Gastos_Gerais</v>
      </c>
      <c r="S1383" s="605" t="s">
        <v>310</v>
      </c>
      <c r="T1383" s="605" t="s">
        <v>310</v>
      </c>
    </row>
    <row r="1384" spans="1:20" s="88" customFormat="1" ht="36" x14ac:dyDescent="0.2">
      <c r="A1384" s="510">
        <f>IF(B1384="","",COUNT('Diário 1º PA'!$A$4:$A$2635)+ROW()-3)</f>
        <v>3117</v>
      </c>
      <c r="B1384" s="414">
        <v>44701</v>
      </c>
      <c r="C1384" s="424">
        <v>44652</v>
      </c>
      <c r="D1384" s="415" t="s">
        <v>271</v>
      </c>
      <c r="E1384" s="415" t="s">
        <v>90</v>
      </c>
      <c r="F1384" s="425">
        <v>-3008.4</v>
      </c>
      <c r="G1384" s="440" t="s">
        <v>4234</v>
      </c>
      <c r="H1384" s="415" t="s">
        <v>310</v>
      </c>
      <c r="I1384" s="427" t="s">
        <v>795</v>
      </c>
      <c r="J1384" s="415" t="s">
        <v>796</v>
      </c>
      <c r="K1384" s="415" t="s">
        <v>797</v>
      </c>
      <c r="L1384" s="415" t="s">
        <v>798</v>
      </c>
      <c r="M1384" s="415" t="s">
        <v>310</v>
      </c>
      <c r="N1384" s="414">
        <v>44701</v>
      </c>
      <c r="O1384" s="414" t="s">
        <v>400</v>
      </c>
      <c r="P1384" s="603">
        <f t="shared" si="197"/>
        <v>5</v>
      </c>
      <c r="Q1384" s="603">
        <f t="shared" si="198"/>
        <v>4</v>
      </c>
      <c r="R1384" s="604" t="str">
        <f t="shared" si="199"/>
        <v>Gastos_Gerais</v>
      </c>
      <c r="S1384" s="605" t="s">
        <v>310</v>
      </c>
      <c r="T1384" s="605" t="s">
        <v>310</v>
      </c>
    </row>
    <row r="1385" spans="1:20" s="88" customFormat="1" ht="24" x14ac:dyDescent="0.2">
      <c r="A1385" s="510">
        <f>IF(B1385="","",COUNT('Diário 1º PA'!$A$4:$A$2635)+ROW()-3)</f>
        <v>3118</v>
      </c>
      <c r="B1385" s="414">
        <v>44701</v>
      </c>
      <c r="C1385" s="424">
        <v>44652</v>
      </c>
      <c r="D1385" s="415" t="s">
        <v>468</v>
      </c>
      <c r="E1385" s="415" t="s">
        <v>468</v>
      </c>
      <c r="F1385" s="425">
        <v>-930</v>
      </c>
      <c r="G1385" s="440" t="s">
        <v>4235</v>
      </c>
      <c r="H1385" s="415" t="s">
        <v>468</v>
      </c>
      <c r="I1385" s="427" t="s">
        <v>795</v>
      </c>
      <c r="J1385" s="415" t="s">
        <v>796</v>
      </c>
      <c r="K1385" s="415" t="s">
        <v>797</v>
      </c>
      <c r="L1385" s="415" t="s">
        <v>798</v>
      </c>
      <c r="M1385" s="415" t="s">
        <v>310</v>
      </c>
      <c r="N1385" s="414">
        <v>44701</v>
      </c>
      <c r="O1385" s="414" t="s">
        <v>400</v>
      </c>
      <c r="P1385" s="603">
        <f t="shared" si="197"/>
        <v>5</v>
      </c>
      <c r="Q1385" s="603">
        <f t="shared" si="198"/>
        <v>4</v>
      </c>
      <c r="R1385" s="604" t="str">
        <f t="shared" si="199"/>
        <v>Gastos_custeados_por_captação</v>
      </c>
      <c r="S1385" s="605" t="s">
        <v>310</v>
      </c>
      <c r="T1385" s="605" t="s">
        <v>310</v>
      </c>
    </row>
    <row r="1386" spans="1:20" s="88" customFormat="1" ht="36" x14ac:dyDescent="0.2">
      <c r="A1386" s="510">
        <f>IF(B1386="","",COUNT('Diário 1º PA'!$A$4:$A$2635)+ROW()-3)</f>
        <v>3119</v>
      </c>
      <c r="B1386" s="414">
        <v>44701</v>
      </c>
      <c r="C1386" s="424">
        <v>44652</v>
      </c>
      <c r="D1386" s="415" t="s">
        <v>468</v>
      </c>
      <c r="E1386" s="415" t="s">
        <v>468</v>
      </c>
      <c r="F1386" s="425">
        <v>-1031.4100000000001</v>
      </c>
      <c r="G1386" s="440" t="s">
        <v>4250</v>
      </c>
      <c r="H1386" s="415" t="s">
        <v>468</v>
      </c>
      <c r="I1386" s="427" t="s">
        <v>795</v>
      </c>
      <c r="J1386" s="415" t="s">
        <v>796</v>
      </c>
      <c r="K1386" s="415" t="s">
        <v>797</v>
      </c>
      <c r="L1386" s="415" t="s">
        <v>798</v>
      </c>
      <c r="M1386" s="415" t="s">
        <v>310</v>
      </c>
      <c r="N1386" s="414">
        <v>44701</v>
      </c>
      <c r="O1386" s="414" t="s">
        <v>400</v>
      </c>
      <c r="P1386" s="603">
        <f t="shared" si="197"/>
        <v>5</v>
      </c>
      <c r="Q1386" s="603">
        <f t="shared" si="198"/>
        <v>4</v>
      </c>
      <c r="R1386" s="604" t="str">
        <f t="shared" si="199"/>
        <v>Gastos_custeados_por_captação</v>
      </c>
      <c r="S1386" s="605" t="s">
        <v>310</v>
      </c>
      <c r="T1386" s="605" t="s">
        <v>310</v>
      </c>
    </row>
    <row r="1387" spans="1:20" s="88" customFormat="1" ht="24" x14ac:dyDescent="0.2">
      <c r="A1387" s="510">
        <f>IF(B1387="","",COUNT('Diário 1º PA'!$A$4:$A$2635)+ROW()-3)</f>
        <v>3120</v>
      </c>
      <c r="B1387" s="414">
        <v>44701</v>
      </c>
      <c r="C1387" s="424">
        <v>44652</v>
      </c>
      <c r="D1387" s="415" t="s">
        <v>468</v>
      </c>
      <c r="E1387" s="415" t="s">
        <v>468</v>
      </c>
      <c r="F1387" s="425">
        <v>-4293.5</v>
      </c>
      <c r="G1387" s="440" t="s">
        <v>4236</v>
      </c>
      <c r="H1387" s="415" t="s">
        <v>468</v>
      </c>
      <c r="I1387" s="427" t="s">
        <v>795</v>
      </c>
      <c r="J1387" s="415" t="s">
        <v>796</v>
      </c>
      <c r="K1387" s="415" t="s">
        <v>797</v>
      </c>
      <c r="L1387" s="415" t="s">
        <v>798</v>
      </c>
      <c r="M1387" s="415" t="s">
        <v>310</v>
      </c>
      <c r="N1387" s="414">
        <v>44701</v>
      </c>
      <c r="O1387" s="414" t="s">
        <v>400</v>
      </c>
      <c r="P1387" s="603">
        <f t="shared" si="197"/>
        <v>5</v>
      </c>
      <c r="Q1387" s="603">
        <f t="shared" si="198"/>
        <v>4</v>
      </c>
      <c r="R1387" s="604" t="str">
        <f t="shared" si="199"/>
        <v>Gastos_custeados_por_captação</v>
      </c>
      <c r="S1387" s="605" t="s">
        <v>310</v>
      </c>
      <c r="T1387" s="605" t="s">
        <v>310</v>
      </c>
    </row>
    <row r="1388" spans="1:20" s="88" customFormat="1" ht="24" x14ac:dyDescent="0.2">
      <c r="A1388" s="510">
        <f>IF(B1388="","",COUNT('Diário 1º PA'!$A$4:$A$2635)+ROW()-3)</f>
        <v>3121</v>
      </c>
      <c r="B1388" s="414">
        <v>44701</v>
      </c>
      <c r="C1388" s="424">
        <v>44652</v>
      </c>
      <c r="D1388" s="415" t="s">
        <v>468</v>
      </c>
      <c r="E1388" s="415" t="s">
        <v>468</v>
      </c>
      <c r="F1388" s="425">
        <v>-499.32</v>
      </c>
      <c r="G1388" s="440" t="s">
        <v>4237</v>
      </c>
      <c r="H1388" s="415" t="s">
        <v>468</v>
      </c>
      <c r="I1388" s="427" t="s">
        <v>795</v>
      </c>
      <c r="J1388" s="415" t="s">
        <v>796</v>
      </c>
      <c r="K1388" s="415" t="s">
        <v>797</v>
      </c>
      <c r="L1388" s="415" t="s">
        <v>798</v>
      </c>
      <c r="M1388" s="415" t="s">
        <v>310</v>
      </c>
      <c r="N1388" s="414">
        <v>44701</v>
      </c>
      <c r="O1388" s="414" t="s">
        <v>400</v>
      </c>
      <c r="P1388" s="603">
        <f t="shared" si="197"/>
        <v>5</v>
      </c>
      <c r="Q1388" s="603">
        <f t="shared" si="198"/>
        <v>4</v>
      </c>
      <c r="R1388" s="604" t="str">
        <f t="shared" si="199"/>
        <v>Gastos_custeados_por_captação</v>
      </c>
      <c r="S1388" s="605" t="s">
        <v>310</v>
      </c>
      <c r="T1388" s="605" t="s">
        <v>310</v>
      </c>
    </row>
    <row r="1389" spans="1:20" s="88" customFormat="1" ht="24" x14ac:dyDescent="0.2">
      <c r="A1389" s="510">
        <f>IF(B1389="","",COUNT('Diário 1º PA'!$A$4:$A$2635)+ROW()-3)</f>
        <v>3122</v>
      </c>
      <c r="B1389" s="414">
        <v>44701</v>
      </c>
      <c r="C1389" s="424">
        <v>44652</v>
      </c>
      <c r="D1389" s="415" t="s">
        <v>468</v>
      </c>
      <c r="E1389" s="415" t="s">
        <v>468</v>
      </c>
      <c r="F1389" s="425">
        <v>-4650</v>
      </c>
      <c r="G1389" s="440" t="s">
        <v>4238</v>
      </c>
      <c r="H1389" s="415" t="s">
        <v>468</v>
      </c>
      <c r="I1389" s="427" t="s">
        <v>795</v>
      </c>
      <c r="J1389" s="415" t="s">
        <v>796</v>
      </c>
      <c r="K1389" s="415" t="s">
        <v>797</v>
      </c>
      <c r="L1389" s="415" t="s">
        <v>798</v>
      </c>
      <c r="M1389" s="415" t="s">
        <v>310</v>
      </c>
      <c r="N1389" s="414">
        <v>44701</v>
      </c>
      <c r="O1389" s="414" t="s">
        <v>400</v>
      </c>
      <c r="P1389" s="603">
        <f t="shared" si="197"/>
        <v>5</v>
      </c>
      <c r="Q1389" s="603">
        <f t="shared" si="198"/>
        <v>4</v>
      </c>
      <c r="R1389" s="604" t="str">
        <f t="shared" si="199"/>
        <v>Gastos_custeados_por_captação</v>
      </c>
      <c r="S1389" s="605" t="s">
        <v>310</v>
      </c>
      <c r="T1389" s="605" t="s">
        <v>310</v>
      </c>
    </row>
    <row r="1390" spans="1:20" s="88" customFormat="1" ht="99.95" customHeight="1" x14ac:dyDescent="0.2">
      <c r="A1390" s="510">
        <f>IF(B1390="","",COUNT('Diário 1º PA'!$A$4:$A$2635)+ROW()-3)</f>
        <v>3123</v>
      </c>
      <c r="B1390" s="414">
        <v>44701</v>
      </c>
      <c r="C1390" s="424">
        <v>44652</v>
      </c>
      <c r="D1390" s="415" t="s">
        <v>468</v>
      </c>
      <c r="E1390" s="415" t="s">
        <v>468</v>
      </c>
      <c r="F1390" s="425">
        <v>-15420.09</v>
      </c>
      <c r="G1390" s="440" t="s">
        <v>4239</v>
      </c>
      <c r="H1390" s="415" t="s">
        <v>468</v>
      </c>
      <c r="I1390" s="427" t="s">
        <v>795</v>
      </c>
      <c r="J1390" s="415" t="s">
        <v>796</v>
      </c>
      <c r="K1390" s="415" t="s">
        <v>797</v>
      </c>
      <c r="L1390" s="415" t="s">
        <v>798</v>
      </c>
      <c r="M1390" s="415" t="s">
        <v>310</v>
      </c>
      <c r="N1390" s="414">
        <v>44701</v>
      </c>
      <c r="O1390" s="414" t="s">
        <v>400</v>
      </c>
      <c r="P1390" s="603">
        <f t="shared" si="197"/>
        <v>5</v>
      </c>
      <c r="Q1390" s="603">
        <f t="shared" si="198"/>
        <v>4</v>
      </c>
      <c r="R1390" s="604" t="str">
        <f t="shared" si="199"/>
        <v>Gastos_custeados_por_captação</v>
      </c>
      <c r="S1390" s="605" t="s">
        <v>310</v>
      </c>
      <c r="T1390" s="605" t="s">
        <v>310</v>
      </c>
    </row>
    <row r="1391" spans="1:20" s="88" customFormat="1" ht="99.95" customHeight="1" x14ac:dyDescent="0.2">
      <c r="A1391" s="510">
        <f>IF(B1391="","",COUNT('Diário 1º PA'!$A$4:$A$2635)+ROW()-3)</f>
        <v>3124</v>
      </c>
      <c r="B1391" s="414">
        <v>44701</v>
      </c>
      <c r="C1391" s="431">
        <v>44621</v>
      </c>
      <c r="D1391" s="415" t="s">
        <v>271</v>
      </c>
      <c r="E1391" s="415" t="s">
        <v>456</v>
      </c>
      <c r="F1391" s="435">
        <v>4750</v>
      </c>
      <c r="G1391" s="437" t="s">
        <v>2270</v>
      </c>
      <c r="H1391" s="419" t="s">
        <v>758</v>
      </c>
      <c r="I1391" s="427" t="s">
        <v>4240</v>
      </c>
      <c r="J1391" s="415" t="s">
        <v>2271</v>
      </c>
      <c r="K1391" s="415" t="s">
        <v>806</v>
      </c>
      <c r="L1391" s="415" t="s">
        <v>807</v>
      </c>
      <c r="M1391" s="415" t="s">
        <v>1890</v>
      </c>
      <c r="N1391" s="414">
        <v>44698</v>
      </c>
      <c r="O1391" s="414" t="s">
        <v>400</v>
      </c>
      <c r="P1391" s="603">
        <f t="shared" si="197"/>
        <v>5</v>
      </c>
      <c r="Q1391" s="603">
        <f t="shared" si="198"/>
        <v>3</v>
      </c>
      <c r="R1391" s="604" t="str">
        <f t="shared" si="199"/>
        <v>Gastos_Gerais</v>
      </c>
      <c r="S1391" s="605" t="s">
        <v>998</v>
      </c>
      <c r="T1391" s="605">
        <v>3141</v>
      </c>
    </row>
    <row r="1392" spans="1:20" s="88" customFormat="1" ht="99.95" customHeight="1" x14ac:dyDescent="0.2">
      <c r="A1392" s="510">
        <f>IF(B1392="","",COUNT('Diário 1º PA'!$A$4:$A$2635)+ROW()-3)</f>
        <v>3125</v>
      </c>
      <c r="B1392" s="414">
        <v>44701</v>
      </c>
      <c r="C1392" s="431">
        <v>44682</v>
      </c>
      <c r="D1392" s="415" t="s">
        <v>271</v>
      </c>
      <c r="E1392" s="415" t="s">
        <v>456</v>
      </c>
      <c r="F1392" s="425">
        <v>1000</v>
      </c>
      <c r="G1392" s="427" t="s">
        <v>3902</v>
      </c>
      <c r="H1392" s="419" t="s">
        <v>752</v>
      </c>
      <c r="I1392" s="427" t="s">
        <v>4242</v>
      </c>
      <c r="J1392" s="415" t="s">
        <v>3903</v>
      </c>
      <c r="K1392" s="415" t="s">
        <v>830</v>
      </c>
      <c r="L1392" s="415" t="s">
        <v>807</v>
      </c>
      <c r="M1392" s="415" t="s">
        <v>842</v>
      </c>
      <c r="N1392" s="414">
        <v>44700</v>
      </c>
      <c r="O1392" s="414" t="s">
        <v>400</v>
      </c>
      <c r="P1392" s="603">
        <f t="shared" si="197"/>
        <v>5</v>
      </c>
      <c r="Q1392" s="603">
        <f t="shared" si="198"/>
        <v>5</v>
      </c>
      <c r="R1392" s="604" t="str">
        <f t="shared" si="199"/>
        <v>Gastos_Gerais</v>
      </c>
      <c r="S1392" s="605" t="s">
        <v>998</v>
      </c>
      <c r="T1392" s="605">
        <v>3586</v>
      </c>
    </row>
    <row r="1393" spans="1:20" s="88" customFormat="1" ht="60" x14ac:dyDescent="0.2">
      <c r="A1393" s="510">
        <f>IF(B1393="","",COUNT('Diário 1º PA'!$A$4:$A$2635)+ROW()-3)</f>
        <v>3126</v>
      </c>
      <c r="B1393" s="414">
        <v>44701</v>
      </c>
      <c r="C1393" s="592">
        <v>44652</v>
      </c>
      <c r="D1393" s="415" t="s">
        <v>271</v>
      </c>
      <c r="E1393" s="415" t="s">
        <v>186</v>
      </c>
      <c r="F1393" s="425">
        <v>2952.47</v>
      </c>
      <c r="G1393" s="427" t="s">
        <v>3151</v>
      </c>
      <c r="H1393" s="415" t="s">
        <v>751</v>
      </c>
      <c r="I1393" s="427" t="s">
        <v>3740</v>
      </c>
      <c r="J1393" s="415" t="s">
        <v>1029</v>
      </c>
      <c r="K1393" s="415" t="s">
        <v>812</v>
      </c>
      <c r="L1393" s="415" t="s">
        <v>807</v>
      </c>
      <c r="M1393" s="415" t="s">
        <v>3020</v>
      </c>
      <c r="N1393" s="414">
        <v>44691</v>
      </c>
      <c r="O1393" s="414" t="s">
        <v>400</v>
      </c>
      <c r="P1393" s="603">
        <f t="shared" si="197"/>
        <v>5</v>
      </c>
      <c r="Q1393" s="603">
        <f t="shared" si="198"/>
        <v>4</v>
      </c>
      <c r="R1393" s="604" t="str">
        <f t="shared" si="199"/>
        <v>Gastos_Gerais</v>
      </c>
      <c r="S1393" s="605" t="s">
        <v>1000</v>
      </c>
      <c r="T1393" s="605">
        <v>1501</v>
      </c>
    </row>
    <row r="1394" spans="1:20" s="88" customFormat="1" ht="24" x14ac:dyDescent="0.2">
      <c r="A1394" s="510">
        <f>IF(B1394="","",COUNT('Diário 1º PA'!$A$4:$A$2635)+ROW()-3)</f>
        <v>3127</v>
      </c>
      <c r="B1394" s="414">
        <v>44701</v>
      </c>
      <c r="C1394" s="592">
        <v>44652</v>
      </c>
      <c r="D1394" s="415" t="s">
        <v>271</v>
      </c>
      <c r="E1394" s="415" t="s">
        <v>183</v>
      </c>
      <c r="F1394" s="425">
        <v>354.63</v>
      </c>
      <c r="G1394" s="437" t="s">
        <v>3642</v>
      </c>
      <c r="H1394" s="434" t="s">
        <v>309</v>
      </c>
      <c r="I1394" s="437" t="s">
        <v>768</v>
      </c>
      <c r="J1394" s="434" t="s">
        <v>1021</v>
      </c>
      <c r="K1394" s="418" t="s">
        <v>812</v>
      </c>
      <c r="L1394" s="399" t="s">
        <v>1372</v>
      </c>
      <c r="M1394" s="544" t="s">
        <v>4244</v>
      </c>
      <c r="N1394" s="414">
        <v>44682</v>
      </c>
      <c r="O1394" s="414" t="s">
        <v>400</v>
      </c>
      <c r="P1394" s="603">
        <f t="shared" si="197"/>
        <v>5</v>
      </c>
      <c r="Q1394" s="603">
        <f t="shared" si="198"/>
        <v>4</v>
      </c>
      <c r="R1394" s="604" t="str">
        <f t="shared" si="199"/>
        <v>Gastos_Gerais</v>
      </c>
      <c r="S1394" s="605" t="s">
        <v>310</v>
      </c>
      <c r="T1394" s="605" t="s">
        <v>310</v>
      </c>
    </row>
    <row r="1395" spans="1:20" s="88" customFormat="1" ht="48" x14ac:dyDescent="0.2">
      <c r="A1395" s="510">
        <f>IF(B1395="","",COUNT('Diário 1º PA'!$A$4:$A$2635)+ROW()-3)</f>
        <v>3128</v>
      </c>
      <c r="B1395" s="414">
        <v>44701</v>
      </c>
      <c r="C1395" s="431">
        <v>44621</v>
      </c>
      <c r="D1395" s="415" t="s">
        <v>271</v>
      </c>
      <c r="E1395" s="415" t="s">
        <v>456</v>
      </c>
      <c r="F1395" s="425">
        <v>57.45</v>
      </c>
      <c r="G1395" s="427" t="s">
        <v>3585</v>
      </c>
      <c r="H1395" s="419" t="s">
        <v>755</v>
      </c>
      <c r="I1395" s="427" t="s">
        <v>1461</v>
      </c>
      <c r="J1395" s="415" t="s">
        <v>310</v>
      </c>
      <c r="K1395" s="415" t="s">
        <v>1220</v>
      </c>
      <c r="L1395" s="415" t="s">
        <v>1368</v>
      </c>
      <c r="M1395" s="415" t="s">
        <v>310</v>
      </c>
      <c r="N1395" s="414">
        <v>44701</v>
      </c>
      <c r="O1395" s="414" t="s">
        <v>400</v>
      </c>
      <c r="P1395" s="603">
        <f t="shared" si="197"/>
        <v>5</v>
      </c>
      <c r="Q1395" s="603">
        <f t="shared" si="198"/>
        <v>3</v>
      </c>
      <c r="R1395" s="604" t="str">
        <f t="shared" si="199"/>
        <v>Gastos_Gerais</v>
      </c>
      <c r="S1395" s="605" t="s">
        <v>310</v>
      </c>
      <c r="T1395" s="605" t="s">
        <v>310</v>
      </c>
    </row>
    <row r="1396" spans="1:20" s="88" customFormat="1" ht="48" x14ac:dyDescent="0.2">
      <c r="A1396" s="510">
        <f>IF(B1396="","",COUNT('Diário 1º PA'!$A$4:$A$2635)+ROW()-3)</f>
        <v>3129</v>
      </c>
      <c r="B1396" s="414">
        <v>44701</v>
      </c>
      <c r="C1396" s="431">
        <v>44621</v>
      </c>
      <c r="D1396" s="415" t="s">
        <v>271</v>
      </c>
      <c r="E1396" s="415" t="s">
        <v>456</v>
      </c>
      <c r="F1396" s="425">
        <v>57.45</v>
      </c>
      <c r="G1396" s="427" t="s">
        <v>3692</v>
      </c>
      <c r="H1396" s="419" t="s">
        <v>755</v>
      </c>
      <c r="I1396" s="427" t="s">
        <v>1461</v>
      </c>
      <c r="J1396" s="415" t="s">
        <v>310</v>
      </c>
      <c r="K1396" s="415" t="s">
        <v>1220</v>
      </c>
      <c r="L1396" s="415" t="s">
        <v>1368</v>
      </c>
      <c r="M1396" s="415" t="s">
        <v>310</v>
      </c>
      <c r="N1396" s="414">
        <v>44701</v>
      </c>
      <c r="O1396" s="414" t="s">
        <v>400</v>
      </c>
      <c r="P1396" s="603">
        <f t="shared" si="197"/>
        <v>5</v>
      </c>
      <c r="Q1396" s="603">
        <f t="shared" si="198"/>
        <v>3</v>
      </c>
      <c r="R1396" s="604" t="str">
        <f t="shared" si="199"/>
        <v>Gastos_Gerais</v>
      </c>
      <c r="S1396" s="605" t="s">
        <v>310</v>
      </c>
      <c r="T1396" s="605" t="s">
        <v>310</v>
      </c>
    </row>
    <row r="1397" spans="1:20" s="88" customFormat="1" ht="48" x14ac:dyDescent="0.2">
      <c r="A1397" s="510">
        <f>IF(B1397="","",COUNT('Diário 1º PA'!$A$4:$A$2635)+ROW()-3)</f>
        <v>3130</v>
      </c>
      <c r="B1397" s="414">
        <v>44701</v>
      </c>
      <c r="C1397" s="431">
        <v>44621</v>
      </c>
      <c r="D1397" s="415" t="s">
        <v>271</v>
      </c>
      <c r="E1397" s="415" t="s">
        <v>453</v>
      </c>
      <c r="F1397" s="425">
        <v>33.42</v>
      </c>
      <c r="G1397" s="427" t="s">
        <v>5441</v>
      </c>
      <c r="H1397" s="419" t="s">
        <v>757</v>
      </c>
      <c r="I1397" s="427" t="s">
        <v>1461</v>
      </c>
      <c r="J1397" s="415" t="s">
        <v>310</v>
      </c>
      <c r="K1397" s="415" t="s">
        <v>1220</v>
      </c>
      <c r="L1397" s="415" t="s">
        <v>1368</v>
      </c>
      <c r="M1397" s="415" t="s">
        <v>310</v>
      </c>
      <c r="N1397" s="414">
        <v>44701</v>
      </c>
      <c r="O1397" s="414" t="s">
        <v>400</v>
      </c>
      <c r="P1397" s="603">
        <f t="shared" si="197"/>
        <v>5</v>
      </c>
      <c r="Q1397" s="603">
        <f t="shared" si="198"/>
        <v>3</v>
      </c>
      <c r="R1397" s="604" t="str">
        <f t="shared" si="199"/>
        <v>Gastos_Gerais</v>
      </c>
      <c r="S1397" s="605" t="s">
        <v>310</v>
      </c>
      <c r="T1397" s="605" t="s">
        <v>310</v>
      </c>
    </row>
    <row r="1398" spans="1:20" s="88" customFormat="1" ht="24" x14ac:dyDescent="0.2">
      <c r="A1398" s="510">
        <f>IF(B1398="","",COUNT('Diário 1º PA'!$A$4:$A$2635)+ROW()-3)</f>
        <v>3131</v>
      </c>
      <c r="B1398" s="414">
        <v>44701</v>
      </c>
      <c r="C1398" s="433">
        <v>44652</v>
      </c>
      <c r="D1398" s="434" t="s">
        <v>271</v>
      </c>
      <c r="E1398" s="434" t="s">
        <v>442</v>
      </c>
      <c r="F1398" s="425">
        <v>265</v>
      </c>
      <c r="G1398" s="427" t="s">
        <v>4136</v>
      </c>
      <c r="H1398" s="419" t="s">
        <v>792</v>
      </c>
      <c r="I1398" s="427" t="s">
        <v>1461</v>
      </c>
      <c r="J1398" s="415" t="s">
        <v>310</v>
      </c>
      <c r="K1398" s="415" t="s">
        <v>1220</v>
      </c>
      <c r="L1398" s="415" t="s">
        <v>1368</v>
      </c>
      <c r="M1398" s="415" t="s">
        <v>310</v>
      </c>
      <c r="N1398" s="414">
        <v>44701</v>
      </c>
      <c r="O1398" s="414" t="s">
        <v>400</v>
      </c>
      <c r="P1398" s="603">
        <f t="shared" si="197"/>
        <v>5</v>
      </c>
      <c r="Q1398" s="603">
        <f t="shared" si="198"/>
        <v>4</v>
      </c>
      <c r="R1398" s="604" t="str">
        <f t="shared" si="199"/>
        <v>Gastos_Gerais</v>
      </c>
      <c r="S1398" s="605" t="s">
        <v>310</v>
      </c>
      <c r="T1398" s="605" t="s">
        <v>310</v>
      </c>
    </row>
    <row r="1399" spans="1:20" s="88" customFormat="1" ht="48" x14ac:dyDescent="0.2">
      <c r="A1399" s="510">
        <f>IF(B1399="","",COUNT('Diário 1º PA'!$A$4:$A$2635)+ROW()-3)</f>
        <v>3132</v>
      </c>
      <c r="B1399" s="414">
        <v>44701</v>
      </c>
      <c r="C1399" s="431">
        <v>44621</v>
      </c>
      <c r="D1399" s="415" t="s">
        <v>271</v>
      </c>
      <c r="E1399" s="415" t="s">
        <v>456</v>
      </c>
      <c r="F1399" s="425">
        <v>57.45</v>
      </c>
      <c r="G1399" s="427" t="s">
        <v>3589</v>
      </c>
      <c r="H1399" s="419" t="s">
        <v>755</v>
      </c>
      <c r="I1399" s="427" t="s">
        <v>1461</v>
      </c>
      <c r="J1399" s="415" t="s">
        <v>310</v>
      </c>
      <c r="K1399" s="415" t="s">
        <v>1220</v>
      </c>
      <c r="L1399" s="415" t="s">
        <v>1368</v>
      </c>
      <c r="M1399" s="415" t="s">
        <v>310</v>
      </c>
      <c r="N1399" s="414">
        <v>44701</v>
      </c>
      <c r="O1399" s="414" t="s">
        <v>400</v>
      </c>
      <c r="P1399" s="603">
        <f t="shared" si="197"/>
        <v>5</v>
      </c>
      <c r="Q1399" s="603">
        <f t="shared" si="198"/>
        <v>3</v>
      </c>
      <c r="R1399" s="604" t="str">
        <f t="shared" si="199"/>
        <v>Gastos_Gerais</v>
      </c>
      <c r="S1399" s="605" t="s">
        <v>310</v>
      </c>
      <c r="T1399" s="605" t="s">
        <v>310</v>
      </c>
    </row>
    <row r="1400" spans="1:20" s="88" customFormat="1" ht="24" x14ac:dyDescent="0.2">
      <c r="A1400" s="510">
        <f>IF(B1400="","",COUNT('Diário 1º PA'!$A$4:$A$2635)+ROW()-3)</f>
        <v>3133</v>
      </c>
      <c r="B1400" s="414">
        <v>44701</v>
      </c>
      <c r="C1400" s="421">
        <v>44652</v>
      </c>
      <c r="D1400" s="415" t="s">
        <v>271</v>
      </c>
      <c r="E1400" s="415" t="s">
        <v>59</v>
      </c>
      <c r="F1400" s="425">
        <v>127.5</v>
      </c>
      <c r="G1400" s="427" t="s">
        <v>3798</v>
      </c>
      <c r="H1400" s="419" t="s">
        <v>309</v>
      </c>
      <c r="I1400" s="427" t="s">
        <v>1461</v>
      </c>
      <c r="J1400" s="415" t="s">
        <v>310</v>
      </c>
      <c r="K1400" s="415" t="s">
        <v>1220</v>
      </c>
      <c r="L1400" s="415" t="s">
        <v>1368</v>
      </c>
      <c r="M1400" s="415" t="s">
        <v>310</v>
      </c>
      <c r="N1400" s="414">
        <v>44701</v>
      </c>
      <c r="O1400" s="414" t="s">
        <v>400</v>
      </c>
      <c r="P1400" s="603">
        <f t="shared" si="197"/>
        <v>5</v>
      </c>
      <c r="Q1400" s="603">
        <f t="shared" si="198"/>
        <v>4</v>
      </c>
      <c r="R1400" s="604" t="str">
        <f t="shared" si="199"/>
        <v>Gastos_Gerais</v>
      </c>
      <c r="S1400" s="605" t="s">
        <v>310</v>
      </c>
      <c r="T1400" s="605" t="s">
        <v>310</v>
      </c>
    </row>
    <row r="1401" spans="1:20" s="88" customFormat="1" ht="24" x14ac:dyDescent="0.2">
      <c r="A1401" s="510">
        <f>IF(B1401="","",COUNT('Diário 1º PA'!$A$4:$A$2635)+ROW()-3)</f>
        <v>3134</v>
      </c>
      <c r="B1401" s="414">
        <v>44701</v>
      </c>
      <c r="C1401" s="431">
        <v>44166</v>
      </c>
      <c r="D1401" s="415" t="s">
        <v>271</v>
      </c>
      <c r="E1401" s="415" t="s">
        <v>186</v>
      </c>
      <c r="F1401" s="425">
        <v>22.5</v>
      </c>
      <c r="G1401" s="427" t="s">
        <v>3659</v>
      </c>
      <c r="H1401" s="419" t="s">
        <v>309</v>
      </c>
      <c r="I1401" s="427" t="s">
        <v>1461</v>
      </c>
      <c r="J1401" s="415" t="s">
        <v>310</v>
      </c>
      <c r="K1401" s="415" t="s">
        <v>1220</v>
      </c>
      <c r="L1401" s="415" t="s">
        <v>1368</v>
      </c>
      <c r="M1401" s="415" t="s">
        <v>310</v>
      </c>
      <c r="N1401" s="414">
        <v>44701</v>
      </c>
      <c r="O1401" s="414" t="s">
        <v>400</v>
      </c>
      <c r="P1401" s="603">
        <f t="shared" si="197"/>
        <v>5</v>
      </c>
      <c r="Q1401" s="603">
        <f t="shared" si="198"/>
        <v>-12</v>
      </c>
      <c r="R1401" s="604" t="str">
        <f t="shared" si="199"/>
        <v>Gastos_Gerais</v>
      </c>
      <c r="S1401" s="605" t="s">
        <v>310</v>
      </c>
      <c r="T1401" s="605" t="s">
        <v>310</v>
      </c>
    </row>
    <row r="1402" spans="1:20" s="88" customFormat="1" ht="24" x14ac:dyDescent="0.2">
      <c r="A1402" s="510">
        <f>IF(B1402="","",COUNT('Diário 1º PA'!$A$4:$A$2635)+ROW()-3)</f>
        <v>3135</v>
      </c>
      <c r="B1402" s="414">
        <v>44701</v>
      </c>
      <c r="C1402" s="431">
        <v>44621</v>
      </c>
      <c r="D1402" s="415" t="s">
        <v>182</v>
      </c>
      <c r="E1402" s="415" t="s">
        <v>1</v>
      </c>
      <c r="F1402" s="425">
        <v>17.010000000000002</v>
      </c>
      <c r="G1402" s="427" t="s">
        <v>4116</v>
      </c>
      <c r="H1402" s="415" t="s">
        <v>310</v>
      </c>
      <c r="I1402" s="427" t="s">
        <v>1461</v>
      </c>
      <c r="J1402" s="415" t="s">
        <v>310</v>
      </c>
      <c r="K1402" s="415" t="s">
        <v>1220</v>
      </c>
      <c r="L1402" s="415" t="s">
        <v>1368</v>
      </c>
      <c r="M1402" s="415" t="s">
        <v>310</v>
      </c>
      <c r="N1402" s="414">
        <v>44701</v>
      </c>
      <c r="O1402" s="414" t="s">
        <v>400</v>
      </c>
      <c r="P1402" s="603">
        <f t="shared" si="197"/>
        <v>5</v>
      </c>
      <c r="Q1402" s="603">
        <f t="shared" si="198"/>
        <v>3</v>
      </c>
      <c r="R1402" s="604" t="str">
        <f t="shared" si="199"/>
        <v>Gastos_com_Pessoal</v>
      </c>
      <c r="S1402" s="605" t="s">
        <v>310</v>
      </c>
      <c r="T1402" s="605" t="s">
        <v>310</v>
      </c>
    </row>
    <row r="1403" spans="1:20" s="88" customFormat="1" ht="24" x14ac:dyDescent="0.2">
      <c r="A1403" s="510">
        <f>IF(B1403="","",COUNT('Diário 1º PA'!$A$4:$A$2635)+ROW()-3)</f>
        <v>3136</v>
      </c>
      <c r="B1403" s="414">
        <v>44701</v>
      </c>
      <c r="C1403" s="433">
        <v>44621</v>
      </c>
      <c r="D1403" s="434" t="s">
        <v>271</v>
      </c>
      <c r="E1403" s="434" t="s">
        <v>2</v>
      </c>
      <c r="F1403" s="425">
        <v>1881</v>
      </c>
      <c r="G1403" s="427" t="s">
        <v>494</v>
      </c>
      <c r="H1403" s="415" t="s">
        <v>309</v>
      </c>
      <c r="I1403" s="427" t="s">
        <v>1461</v>
      </c>
      <c r="J1403" s="415" t="s">
        <v>310</v>
      </c>
      <c r="K1403" s="415" t="s">
        <v>1220</v>
      </c>
      <c r="L1403" s="415" t="s">
        <v>1368</v>
      </c>
      <c r="M1403" s="415" t="s">
        <v>310</v>
      </c>
      <c r="N1403" s="414">
        <v>44701</v>
      </c>
      <c r="O1403" s="414" t="s">
        <v>400</v>
      </c>
      <c r="P1403" s="603">
        <f t="shared" si="197"/>
        <v>5</v>
      </c>
      <c r="Q1403" s="603">
        <f t="shared" si="198"/>
        <v>3</v>
      </c>
      <c r="R1403" s="604" t="str">
        <f t="shared" si="199"/>
        <v>Gastos_Gerais</v>
      </c>
      <c r="S1403" s="605" t="s">
        <v>310</v>
      </c>
      <c r="T1403" s="605" t="s">
        <v>310</v>
      </c>
    </row>
    <row r="1404" spans="1:20" s="88" customFormat="1" ht="24" x14ac:dyDescent="0.2">
      <c r="A1404" s="510">
        <f>IF(B1404="","",COUNT('Diário 1º PA'!$A$4:$A$2635)+ROW()-3)</f>
        <v>3137</v>
      </c>
      <c r="B1404" s="414">
        <v>44701</v>
      </c>
      <c r="C1404" s="433">
        <v>44621</v>
      </c>
      <c r="D1404" s="434" t="s">
        <v>182</v>
      </c>
      <c r="E1404" s="434" t="s">
        <v>1</v>
      </c>
      <c r="F1404" s="425">
        <v>12860</v>
      </c>
      <c r="G1404" s="427" t="s">
        <v>3906</v>
      </c>
      <c r="H1404" s="415" t="s">
        <v>310</v>
      </c>
      <c r="I1404" s="427" t="s">
        <v>1461</v>
      </c>
      <c r="J1404" s="415" t="s">
        <v>310</v>
      </c>
      <c r="K1404" s="415" t="s">
        <v>1220</v>
      </c>
      <c r="L1404" s="415" t="s">
        <v>1368</v>
      </c>
      <c r="M1404" s="415" t="s">
        <v>310</v>
      </c>
      <c r="N1404" s="414">
        <v>44701</v>
      </c>
      <c r="O1404" s="414" t="s">
        <v>400</v>
      </c>
      <c r="P1404" s="603">
        <f t="shared" si="197"/>
        <v>5</v>
      </c>
      <c r="Q1404" s="603">
        <f t="shared" si="198"/>
        <v>3</v>
      </c>
      <c r="R1404" s="604" t="str">
        <f t="shared" si="199"/>
        <v>Gastos_com_Pessoal</v>
      </c>
      <c r="S1404" s="605" t="s">
        <v>310</v>
      </c>
      <c r="T1404" s="605" t="s">
        <v>310</v>
      </c>
    </row>
    <row r="1405" spans="1:20" s="88" customFormat="1" ht="24" x14ac:dyDescent="0.2">
      <c r="A1405" s="510">
        <f>IF(B1405="","",COUNT('Diário 1º PA'!$A$4:$A$2635)+ROW()-3)</f>
        <v>3138</v>
      </c>
      <c r="B1405" s="414">
        <v>44701</v>
      </c>
      <c r="C1405" s="433">
        <v>44621</v>
      </c>
      <c r="D1405" s="434" t="s">
        <v>182</v>
      </c>
      <c r="E1405" s="415" t="s">
        <v>287</v>
      </c>
      <c r="F1405" s="425">
        <v>4067.8</v>
      </c>
      <c r="G1405" s="427" t="s">
        <v>3150</v>
      </c>
      <c r="H1405" s="415" t="s">
        <v>310</v>
      </c>
      <c r="I1405" s="427" t="s">
        <v>1461</v>
      </c>
      <c r="J1405" s="415" t="s">
        <v>310</v>
      </c>
      <c r="K1405" s="415" t="s">
        <v>1220</v>
      </c>
      <c r="L1405" s="415" t="s">
        <v>1368</v>
      </c>
      <c r="M1405" s="415" t="s">
        <v>310</v>
      </c>
      <c r="N1405" s="414">
        <v>44701</v>
      </c>
      <c r="O1405" s="414" t="s">
        <v>400</v>
      </c>
      <c r="P1405" s="603">
        <f t="shared" si="197"/>
        <v>5</v>
      </c>
      <c r="Q1405" s="603">
        <f t="shared" si="198"/>
        <v>3</v>
      </c>
      <c r="R1405" s="604" t="str">
        <f t="shared" si="199"/>
        <v>Gastos_com_Pessoal</v>
      </c>
      <c r="S1405" s="605" t="s">
        <v>310</v>
      </c>
      <c r="T1405" s="605" t="s">
        <v>310</v>
      </c>
    </row>
    <row r="1406" spans="1:20" s="88" customFormat="1" ht="24" x14ac:dyDescent="0.2">
      <c r="A1406" s="510">
        <f>IF(B1406="","",COUNT('Diário 1º PA'!$A$4:$A$2635)+ROW()-3)</f>
        <v>3139</v>
      </c>
      <c r="B1406" s="414">
        <v>44701</v>
      </c>
      <c r="C1406" s="433">
        <v>44621</v>
      </c>
      <c r="D1406" s="434" t="s">
        <v>182</v>
      </c>
      <c r="E1406" s="434" t="s">
        <v>1</v>
      </c>
      <c r="F1406" s="425">
        <v>1415.41</v>
      </c>
      <c r="G1406" s="427" t="s">
        <v>3149</v>
      </c>
      <c r="H1406" s="415" t="s">
        <v>310</v>
      </c>
      <c r="I1406" s="427" t="s">
        <v>1461</v>
      </c>
      <c r="J1406" s="415" t="s">
        <v>310</v>
      </c>
      <c r="K1406" s="415" t="s">
        <v>1220</v>
      </c>
      <c r="L1406" s="415" t="s">
        <v>1368</v>
      </c>
      <c r="M1406" s="415" t="s">
        <v>310</v>
      </c>
      <c r="N1406" s="414">
        <v>44701</v>
      </c>
      <c r="O1406" s="414" t="s">
        <v>400</v>
      </c>
      <c r="P1406" s="603">
        <f t="shared" si="197"/>
        <v>5</v>
      </c>
      <c r="Q1406" s="603">
        <f t="shared" si="198"/>
        <v>3</v>
      </c>
      <c r="R1406" s="604" t="str">
        <f t="shared" si="199"/>
        <v>Gastos_com_Pessoal</v>
      </c>
      <c r="S1406" s="605" t="s">
        <v>310</v>
      </c>
      <c r="T1406" s="605" t="s">
        <v>310</v>
      </c>
    </row>
    <row r="1407" spans="1:20" s="88" customFormat="1" ht="24" x14ac:dyDescent="0.2">
      <c r="A1407" s="510">
        <f>IF(B1407="","",COUNT('Diário 1º PA'!$A$4:$A$2635)+ROW()-3)</f>
        <v>3140</v>
      </c>
      <c r="B1407" s="414">
        <v>44701</v>
      </c>
      <c r="C1407" s="433">
        <v>44621</v>
      </c>
      <c r="D1407" s="434" t="s">
        <v>182</v>
      </c>
      <c r="E1407" s="434" t="s">
        <v>1</v>
      </c>
      <c r="F1407" s="425">
        <v>162.74</v>
      </c>
      <c r="G1407" s="427" t="s">
        <v>3148</v>
      </c>
      <c r="H1407" s="415" t="s">
        <v>310</v>
      </c>
      <c r="I1407" s="427" t="s">
        <v>1461</v>
      </c>
      <c r="J1407" s="415" t="s">
        <v>310</v>
      </c>
      <c r="K1407" s="415" t="s">
        <v>1220</v>
      </c>
      <c r="L1407" s="415" t="s">
        <v>1368</v>
      </c>
      <c r="M1407" s="415" t="s">
        <v>310</v>
      </c>
      <c r="N1407" s="414">
        <v>44701</v>
      </c>
      <c r="O1407" s="414" t="s">
        <v>400</v>
      </c>
      <c r="P1407" s="603">
        <f t="shared" si="197"/>
        <v>5</v>
      </c>
      <c r="Q1407" s="603">
        <f t="shared" si="198"/>
        <v>3</v>
      </c>
      <c r="R1407" s="604" t="str">
        <f t="shared" si="199"/>
        <v>Gastos_com_Pessoal</v>
      </c>
      <c r="S1407" s="605" t="s">
        <v>310</v>
      </c>
      <c r="T1407" s="605" t="s">
        <v>310</v>
      </c>
    </row>
    <row r="1408" spans="1:20" s="88" customFormat="1" ht="24" x14ac:dyDescent="0.2">
      <c r="A1408" s="510">
        <f>IF(B1408="","",COUNT('Diário 1º PA'!$A$4:$A$2635)+ROW()-3)</f>
        <v>3141</v>
      </c>
      <c r="B1408" s="414">
        <v>44701</v>
      </c>
      <c r="C1408" s="431">
        <v>44652</v>
      </c>
      <c r="D1408" s="415" t="s">
        <v>271</v>
      </c>
      <c r="E1408" s="415" t="s">
        <v>456</v>
      </c>
      <c r="F1408" s="425">
        <v>211.05</v>
      </c>
      <c r="G1408" s="427" t="s">
        <v>4246</v>
      </c>
      <c r="H1408" s="419" t="s">
        <v>792</v>
      </c>
      <c r="I1408" s="427" t="s">
        <v>4247</v>
      </c>
      <c r="J1408" s="415" t="s">
        <v>310</v>
      </c>
      <c r="K1408" s="415" t="s">
        <v>1220</v>
      </c>
      <c r="L1408" s="415" t="s">
        <v>3443</v>
      </c>
      <c r="M1408" s="415" t="s">
        <v>4248</v>
      </c>
      <c r="N1408" s="414">
        <v>44701</v>
      </c>
      <c r="O1408" s="414" t="s">
        <v>400</v>
      </c>
      <c r="P1408" s="603">
        <f t="shared" si="197"/>
        <v>5</v>
      </c>
      <c r="Q1408" s="603">
        <f t="shared" si="198"/>
        <v>4</v>
      </c>
      <c r="R1408" s="604" t="str">
        <f t="shared" si="199"/>
        <v>Gastos_Gerais</v>
      </c>
      <c r="S1408" s="605" t="s">
        <v>310</v>
      </c>
      <c r="T1408" s="605" t="s">
        <v>310</v>
      </c>
    </row>
    <row r="1409" spans="1:20" s="88" customFormat="1" ht="24" x14ac:dyDescent="0.2">
      <c r="A1409" s="510">
        <f>IF(B1409="","",COUNT('Diário 1º PA'!$A$4:$A$2635)+ROW()-3)</f>
        <v>3142</v>
      </c>
      <c r="B1409" s="414">
        <v>44701</v>
      </c>
      <c r="C1409" s="433">
        <v>44593</v>
      </c>
      <c r="D1409" s="434" t="s">
        <v>182</v>
      </c>
      <c r="E1409" s="434" t="s">
        <v>1</v>
      </c>
      <c r="F1409" s="425">
        <v>38.75</v>
      </c>
      <c r="G1409" s="427" t="s">
        <v>3575</v>
      </c>
      <c r="H1409" s="415" t="s">
        <v>310</v>
      </c>
      <c r="I1409" s="427" t="s">
        <v>1461</v>
      </c>
      <c r="J1409" s="415" t="s">
        <v>310</v>
      </c>
      <c r="K1409" s="415" t="s">
        <v>1220</v>
      </c>
      <c r="L1409" s="415" t="s">
        <v>1368</v>
      </c>
      <c r="M1409" s="415" t="s">
        <v>310</v>
      </c>
      <c r="N1409" s="414">
        <v>44701</v>
      </c>
      <c r="O1409" s="414" t="s">
        <v>400</v>
      </c>
      <c r="P1409" s="603">
        <f t="shared" si="197"/>
        <v>5</v>
      </c>
      <c r="Q1409" s="603">
        <f t="shared" si="198"/>
        <v>2</v>
      </c>
      <c r="R1409" s="604" t="str">
        <f t="shared" si="199"/>
        <v>Gastos_com_Pessoal</v>
      </c>
      <c r="S1409" s="605" t="s">
        <v>310</v>
      </c>
      <c r="T1409" s="605" t="s">
        <v>310</v>
      </c>
    </row>
    <row r="1410" spans="1:20" s="88" customFormat="1" ht="24" x14ac:dyDescent="0.2">
      <c r="A1410" s="510">
        <f>IF(B1410="","",COUNT('Diário 1º PA'!$A$4:$A$2635)+ROW()-3)</f>
        <v>3143</v>
      </c>
      <c r="B1410" s="414">
        <v>44701</v>
      </c>
      <c r="C1410" s="433">
        <v>44621</v>
      </c>
      <c r="D1410" s="434" t="s">
        <v>182</v>
      </c>
      <c r="E1410" s="434" t="s">
        <v>179</v>
      </c>
      <c r="F1410" s="425">
        <v>20.05</v>
      </c>
      <c r="G1410" s="427" t="s">
        <v>3349</v>
      </c>
      <c r="H1410" s="415" t="s">
        <v>310</v>
      </c>
      <c r="I1410" s="427" t="s">
        <v>1461</v>
      </c>
      <c r="J1410" s="415" t="s">
        <v>310</v>
      </c>
      <c r="K1410" s="415" t="s">
        <v>1220</v>
      </c>
      <c r="L1410" s="415" t="s">
        <v>1368</v>
      </c>
      <c r="M1410" s="415" t="s">
        <v>310</v>
      </c>
      <c r="N1410" s="414">
        <v>44701</v>
      </c>
      <c r="O1410" s="414" t="s">
        <v>400</v>
      </c>
      <c r="P1410" s="603">
        <f t="shared" si="197"/>
        <v>5</v>
      </c>
      <c r="Q1410" s="603">
        <f t="shared" si="198"/>
        <v>3</v>
      </c>
      <c r="R1410" s="604" t="str">
        <f t="shared" si="199"/>
        <v>Gastos_com_Pessoal</v>
      </c>
      <c r="S1410" s="605" t="s">
        <v>310</v>
      </c>
      <c r="T1410" s="605" t="s">
        <v>310</v>
      </c>
    </row>
    <row r="1411" spans="1:20" s="88" customFormat="1" ht="24" x14ac:dyDescent="0.2">
      <c r="A1411" s="510">
        <f>IF(B1411="","",COUNT('Diário 1º PA'!$A$4:$A$2635)+ROW()-3)</f>
        <v>3144</v>
      </c>
      <c r="B1411" s="414">
        <v>44701</v>
      </c>
      <c r="C1411" s="433">
        <v>44621</v>
      </c>
      <c r="D1411" s="434" t="s">
        <v>182</v>
      </c>
      <c r="E1411" s="434" t="s">
        <v>179</v>
      </c>
      <c r="F1411" s="425">
        <v>29.17</v>
      </c>
      <c r="G1411" s="427" t="s">
        <v>3700</v>
      </c>
      <c r="H1411" s="415" t="s">
        <v>310</v>
      </c>
      <c r="I1411" s="427" t="s">
        <v>1461</v>
      </c>
      <c r="J1411" s="415" t="s">
        <v>310</v>
      </c>
      <c r="K1411" s="415" t="s">
        <v>1220</v>
      </c>
      <c r="L1411" s="415" t="s">
        <v>1368</v>
      </c>
      <c r="M1411" s="415" t="s">
        <v>310</v>
      </c>
      <c r="N1411" s="414">
        <v>44701</v>
      </c>
      <c r="O1411" s="414" t="s">
        <v>400</v>
      </c>
      <c r="P1411" s="603">
        <f t="shared" si="197"/>
        <v>5</v>
      </c>
      <c r="Q1411" s="603">
        <f t="shared" si="198"/>
        <v>3</v>
      </c>
      <c r="R1411" s="604" t="str">
        <f t="shared" si="199"/>
        <v>Gastos_com_Pessoal</v>
      </c>
      <c r="S1411" s="605" t="s">
        <v>310</v>
      </c>
      <c r="T1411" s="605" t="s">
        <v>310</v>
      </c>
    </row>
    <row r="1412" spans="1:20" s="88" customFormat="1" ht="24" x14ac:dyDescent="0.2">
      <c r="A1412" s="510">
        <f>IF(B1412="","",COUNT('Diário 1º PA'!$A$4:$A$2635)+ROW()-3)</f>
        <v>3145</v>
      </c>
      <c r="B1412" s="414">
        <v>44701</v>
      </c>
      <c r="C1412" s="593">
        <v>44652</v>
      </c>
      <c r="D1412" s="430" t="s">
        <v>271</v>
      </c>
      <c r="E1412" s="430" t="s">
        <v>186</v>
      </c>
      <c r="F1412" s="425">
        <v>27.12</v>
      </c>
      <c r="G1412" s="427" t="s">
        <v>4249</v>
      </c>
      <c r="H1412" s="433" t="s">
        <v>309</v>
      </c>
      <c r="I1412" s="427" t="s">
        <v>1461</v>
      </c>
      <c r="J1412" s="415" t="s">
        <v>310</v>
      </c>
      <c r="K1412" s="415" t="s">
        <v>1220</v>
      </c>
      <c r="L1412" s="415" t="s">
        <v>1368</v>
      </c>
      <c r="M1412" s="415" t="s">
        <v>310</v>
      </c>
      <c r="N1412" s="414">
        <v>44701</v>
      </c>
      <c r="O1412" s="414" t="s">
        <v>400</v>
      </c>
      <c r="P1412" s="603">
        <f t="shared" si="197"/>
        <v>5</v>
      </c>
      <c r="Q1412" s="603">
        <f t="shared" si="198"/>
        <v>4</v>
      </c>
      <c r="R1412" s="604" t="str">
        <f t="shared" si="199"/>
        <v>Gastos_Gerais</v>
      </c>
      <c r="S1412" s="605" t="s">
        <v>310</v>
      </c>
      <c r="T1412" s="605" t="s">
        <v>310</v>
      </c>
    </row>
    <row r="1413" spans="1:20" s="88" customFormat="1" ht="24" x14ac:dyDescent="0.2">
      <c r="A1413" s="510">
        <f>IF(B1413="","",COUNT('Diário 1º PA'!$A$4:$A$2635)+ROW()-3)</f>
        <v>3146</v>
      </c>
      <c r="B1413" s="414">
        <v>44701</v>
      </c>
      <c r="C1413" s="431">
        <v>44166</v>
      </c>
      <c r="D1413" s="415" t="s">
        <v>271</v>
      </c>
      <c r="E1413" s="415" t="s">
        <v>186</v>
      </c>
      <c r="F1413" s="425">
        <v>69.75</v>
      </c>
      <c r="G1413" s="427" t="s">
        <v>3660</v>
      </c>
      <c r="H1413" s="419" t="s">
        <v>309</v>
      </c>
      <c r="I1413" s="427" t="s">
        <v>1461</v>
      </c>
      <c r="J1413" s="415" t="s">
        <v>310</v>
      </c>
      <c r="K1413" s="415" t="s">
        <v>1220</v>
      </c>
      <c r="L1413" s="415" t="s">
        <v>1368</v>
      </c>
      <c r="M1413" s="415" t="s">
        <v>310</v>
      </c>
      <c r="N1413" s="414">
        <v>44701</v>
      </c>
      <c r="O1413" s="414" t="s">
        <v>400</v>
      </c>
      <c r="P1413" s="603">
        <f t="shared" si="197"/>
        <v>5</v>
      </c>
      <c r="Q1413" s="603">
        <f t="shared" si="198"/>
        <v>-12</v>
      </c>
      <c r="R1413" s="604" t="str">
        <f t="shared" si="199"/>
        <v>Gastos_Gerais</v>
      </c>
      <c r="S1413" s="605" t="s">
        <v>310</v>
      </c>
      <c r="T1413" s="605" t="s">
        <v>310</v>
      </c>
    </row>
    <row r="1414" spans="1:20" s="88" customFormat="1" ht="24" x14ac:dyDescent="0.2">
      <c r="A1414" s="510">
        <f>IF(B1414="","",COUNT('Diário 1º PA'!$A$4:$A$2635)+ROW()-3)</f>
        <v>3147</v>
      </c>
      <c r="B1414" s="414">
        <v>44701</v>
      </c>
      <c r="C1414" s="421">
        <v>44621</v>
      </c>
      <c r="D1414" s="415" t="s">
        <v>271</v>
      </c>
      <c r="E1414" s="415" t="s">
        <v>59</v>
      </c>
      <c r="F1414" s="425">
        <v>395.25</v>
      </c>
      <c r="G1414" s="427" t="s">
        <v>3365</v>
      </c>
      <c r="H1414" s="415" t="s">
        <v>309</v>
      </c>
      <c r="I1414" s="427" t="s">
        <v>1461</v>
      </c>
      <c r="J1414" s="415" t="s">
        <v>310</v>
      </c>
      <c r="K1414" s="415" t="s">
        <v>1220</v>
      </c>
      <c r="L1414" s="415" t="s">
        <v>1368</v>
      </c>
      <c r="M1414" s="415" t="s">
        <v>310</v>
      </c>
      <c r="N1414" s="414">
        <v>44701</v>
      </c>
      <c r="O1414" s="414" t="s">
        <v>400</v>
      </c>
      <c r="P1414" s="603">
        <f t="shared" si="197"/>
        <v>5</v>
      </c>
      <c r="Q1414" s="603">
        <f t="shared" si="198"/>
        <v>3</v>
      </c>
      <c r="R1414" s="604" t="str">
        <f t="shared" si="199"/>
        <v>Gastos_Gerais</v>
      </c>
      <c r="S1414" s="605" t="s">
        <v>310</v>
      </c>
      <c r="T1414" s="605" t="s">
        <v>310</v>
      </c>
    </row>
    <row r="1415" spans="1:20" s="88" customFormat="1" ht="24" x14ac:dyDescent="0.2">
      <c r="A1415" s="510">
        <f>IF(B1415="","",COUNT('Diário 1º PA'!$A$4:$A$2635)+ROW()-3)</f>
        <v>3148</v>
      </c>
      <c r="B1415" s="414">
        <v>44701</v>
      </c>
      <c r="C1415" s="431">
        <v>44652</v>
      </c>
      <c r="D1415" s="415" t="s">
        <v>271</v>
      </c>
      <c r="E1415" s="415" t="s">
        <v>205</v>
      </c>
      <c r="F1415" s="425">
        <v>356.4</v>
      </c>
      <c r="G1415" s="427" t="s">
        <v>3709</v>
      </c>
      <c r="H1415" s="415" t="s">
        <v>792</v>
      </c>
      <c r="I1415" s="427" t="s">
        <v>1461</v>
      </c>
      <c r="J1415" s="415" t="s">
        <v>310</v>
      </c>
      <c r="K1415" s="415" t="s">
        <v>1220</v>
      </c>
      <c r="L1415" s="415" t="s">
        <v>1368</v>
      </c>
      <c r="M1415" s="415" t="s">
        <v>310</v>
      </c>
      <c r="N1415" s="414">
        <v>44701</v>
      </c>
      <c r="O1415" s="414" t="s">
        <v>400</v>
      </c>
      <c r="P1415" s="603">
        <f t="shared" si="197"/>
        <v>5</v>
      </c>
      <c r="Q1415" s="603">
        <f t="shared" si="198"/>
        <v>4</v>
      </c>
      <c r="R1415" s="604" t="str">
        <f t="shared" si="199"/>
        <v>Gastos_Gerais</v>
      </c>
      <c r="S1415" s="605" t="s">
        <v>310</v>
      </c>
      <c r="T1415" s="605" t="s">
        <v>310</v>
      </c>
    </row>
    <row r="1416" spans="1:20" s="88" customFormat="1" ht="24" x14ac:dyDescent="0.2">
      <c r="A1416" s="510">
        <f>IF(B1416="","",COUNT('Diário 1º PA'!$A$4:$A$2635)+ROW()-3)</f>
        <v>3149</v>
      </c>
      <c r="B1416" s="414">
        <v>44701</v>
      </c>
      <c r="C1416" s="424">
        <v>44652</v>
      </c>
      <c r="D1416" s="415" t="s">
        <v>468</v>
      </c>
      <c r="E1416" s="415" t="s">
        <v>468</v>
      </c>
      <c r="F1416" s="425">
        <v>1031.4100000000001</v>
      </c>
      <c r="G1416" s="440" t="s">
        <v>4251</v>
      </c>
      <c r="H1416" s="415" t="s">
        <v>468</v>
      </c>
      <c r="I1416" s="427" t="s">
        <v>1461</v>
      </c>
      <c r="J1416" s="415" t="s">
        <v>310</v>
      </c>
      <c r="K1416" s="415" t="s">
        <v>1220</v>
      </c>
      <c r="L1416" s="415" t="s">
        <v>1368</v>
      </c>
      <c r="M1416" s="415" t="s">
        <v>310</v>
      </c>
      <c r="N1416" s="414">
        <v>44701</v>
      </c>
      <c r="O1416" s="414" t="s">
        <v>400</v>
      </c>
      <c r="P1416" s="603">
        <f t="shared" ref="P1416:P1428" si="200">IF(B1416=0,0,IF(YEAR(B1416)=$Q$1,MONTH(B1416)-$P$1+1,(YEAR(B1416)-$Q$1)*12-$P$1+1+MONTH(B1416)))</f>
        <v>5</v>
      </c>
      <c r="Q1416" s="603">
        <f t="shared" ref="Q1416:Q1428" si="201">IF(C1416=0,0,IF(YEAR(C1416)=$Q$1,MONTH(C1416)-$P$1+1,(YEAR(C1416)-$Q$1)*12-$P$1+1+MONTH(C1416)))</f>
        <v>4</v>
      </c>
      <c r="R1416" s="604" t="str">
        <f t="shared" ref="R1416:R1428" si="202">SUBSTITUTE(D1416," ","_")</f>
        <v>Gastos_custeados_por_captação</v>
      </c>
      <c r="S1416" s="605" t="s">
        <v>310</v>
      </c>
      <c r="T1416" s="605" t="s">
        <v>310</v>
      </c>
    </row>
    <row r="1417" spans="1:20" s="88" customFormat="1" ht="36" x14ac:dyDescent="0.2">
      <c r="A1417" s="510">
        <f>IF(B1417="","",COUNT('Diário 1º PA'!$A$4:$A$2635)+ROW()-3)</f>
        <v>3150</v>
      </c>
      <c r="B1417" s="414">
        <v>44701</v>
      </c>
      <c r="C1417" s="431">
        <v>44593</v>
      </c>
      <c r="D1417" s="415" t="s">
        <v>271</v>
      </c>
      <c r="E1417" s="415" t="s">
        <v>178</v>
      </c>
      <c r="F1417" s="425">
        <v>241.39</v>
      </c>
      <c r="G1417" s="427" t="s">
        <v>4252</v>
      </c>
      <c r="H1417" s="419" t="s">
        <v>752</v>
      </c>
      <c r="I1417" s="427" t="s">
        <v>1461</v>
      </c>
      <c r="J1417" s="415" t="s">
        <v>310</v>
      </c>
      <c r="K1417" s="415" t="s">
        <v>1220</v>
      </c>
      <c r="L1417" s="415" t="s">
        <v>1368</v>
      </c>
      <c r="M1417" s="415" t="s">
        <v>310</v>
      </c>
      <c r="N1417" s="414">
        <v>44701</v>
      </c>
      <c r="O1417" s="414" t="s">
        <v>400</v>
      </c>
      <c r="P1417" s="603">
        <f t="shared" si="200"/>
        <v>5</v>
      </c>
      <c r="Q1417" s="603">
        <f t="shared" si="201"/>
        <v>2</v>
      </c>
      <c r="R1417" s="604" t="str">
        <f t="shared" si="202"/>
        <v>Gastos_Gerais</v>
      </c>
      <c r="S1417" s="605" t="s">
        <v>310</v>
      </c>
      <c r="T1417" s="605" t="s">
        <v>310</v>
      </c>
    </row>
    <row r="1418" spans="1:20" s="88" customFormat="1" ht="24" x14ac:dyDescent="0.2">
      <c r="A1418" s="510">
        <f>IF(B1418="","",COUNT('Diário 1º PA'!$A$4:$A$2635)+ROW()-3)</f>
        <v>3151</v>
      </c>
      <c r="B1418" s="414">
        <v>44701</v>
      </c>
      <c r="C1418" s="424">
        <v>44652</v>
      </c>
      <c r="D1418" s="415" t="s">
        <v>468</v>
      </c>
      <c r="E1418" s="415" t="s">
        <v>468</v>
      </c>
      <c r="F1418" s="425">
        <v>2724.31</v>
      </c>
      <c r="G1418" s="440" t="s">
        <v>4260</v>
      </c>
      <c r="H1418" s="415" t="s">
        <v>468</v>
      </c>
      <c r="I1418" s="427" t="s">
        <v>1461</v>
      </c>
      <c r="J1418" s="415" t="s">
        <v>310</v>
      </c>
      <c r="K1418" s="415" t="s">
        <v>1220</v>
      </c>
      <c r="L1418" s="415" t="s">
        <v>1368</v>
      </c>
      <c r="M1418" s="415" t="s">
        <v>310</v>
      </c>
      <c r="N1418" s="414">
        <v>44701</v>
      </c>
      <c r="O1418" s="414" t="s">
        <v>400</v>
      </c>
      <c r="P1418" s="603">
        <f t="shared" si="200"/>
        <v>5</v>
      </c>
      <c r="Q1418" s="603">
        <f t="shared" si="201"/>
        <v>4</v>
      </c>
      <c r="R1418" s="604" t="str">
        <f t="shared" si="202"/>
        <v>Gastos_custeados_por_captação</v>
      </c>
      <c r="S1418" s="605" t="s">
        <v>310</v>
      </c>
      <c r="T1418" s="605" t="s">
        <v>310</v>
      </c>
    </row>
    <row r="1419" spans="1:20" s="88" customFormat="1" ht="24" x14ac:dyDescent="0.2">
      <c r="A1419" s="510">
        <f>IF(B1419="","",COUNT('Diário 1º PA'!$A$4:$A$2635)+ROW()-3)</f>
        <v>3152</v>
      </c>
      <c r="B1419" s="414">
        <v>44701</v>
      </c>
      <c r="C1419" s="424">
        <v>44652</v>
      </c>
      <c r="D1419" s="415" t="s">
        <v>468</v>
      </c>
      <c r="E1419" s="415" t="s">
        <v>468</v>
      </c>
      <c r="F1419" s="425">
        <v>3100</v>
      </c>
      <c r="G1419" s="440" t="s">
        <v>4261</v>
      </c>
      <c r="H1419" s="415" t="s">
        <v>468</v>
      </c>
      <c r="I1419" s="427" t="s">
        <v>1461</v>
      </c>
      <c r="J1419" s="415" t="s">
        <v>310</v>
      </c>
      <c r="K1419" s="415" t="s">
        <v>1220</v>
      </c>
      <c r="L1419" s="415" t="s">
        <v>1368</v>
      </c>
      <c r="M1419" s="415" t="s">
        <v>310</v>
      </c>
      <c r="N1419" s="414">
        <v>44701</v>
      </c>
      <c r="O1419" s="414" t="s">
        <v>400</v>
      </c>
      <c r="P1419" s="603">
        <f t="shared" si="200"/>
        <v>5</v>
      </c>
      <c r="Q1419" s="603">
        <f t="shared" si="201"/>
        <v>4</v>
      </c>
      <c r="R1419" s="604" t="str">
        <f t="shared" si="202"/>
        <v>Gastos_custeados_por_captação</v>
      </c>
      <c r="S1419" s="605" t="s">
        <v>310</v>
      </c>
      <c r="T1419" s="605" t="s">
        <v>310</v>
      </c>
    </row>
    <row r="1420" spans="1:20" s="88" customFormat="1" ht="24" x14ac:dyDescent="0.2">
      <c r="A1420" s="510">
        <f>IF(B1420="","",COUNT('Diário 1º PA'!$A$4:$A$2635)+ROW()-3)</f>
        <v>3153</v>
      </c>
      <c r="B1420" s="414">
        <v>44701</v>
      </c>
      <c r="C1420" s="424">
        <v>44652</v>
      </c>
      <c r="D1420" s="415" t="s">
        <v>468</v>
      </c>
      <c r="E1420" s="415" t="s">
        <v>468</v>
      </c>
      <c r="F1420" s="425">
        <v>531.96</v>
      </c>
      <c r="G1420" s="440" t="s">
        <v>4262</v>
      </c>
      <c r="H1420" s="415" t="s">
        <v>468</v>
      </c>
      <c r="I1420" s="427" t="s">
        <v>1461</v>
      </c>
      <c r="J1420" s="415" t="s">
        <v>310</v>
      </c>
      <c r="K1420" s="415" t="s">
        <v>1220</v>
      </c>
      <c r="L1420" s="415" t="s">
        <v>1368</v>
      </c>
      <c r="M1420" s="415" t="s">
        <v>310</v>
      </c>
      <c r="N1420" s="414">
        <v>44701</v>
      </c>
      <c r="O1420" s="414" t="s">
        <v>400</v>
      </c>
      <c r="P1420" s="603">
        <f t="shared" si="200"/>
        <v>5</v>
      </c>
      <c r="Q1420" s="603">
        <f t="shared" si="201"/>
        <v>4</v>
      </c>
      <c r="R1420" s="604" t="str">
        <f t="shared" si="202"/>
        <v>Gastos_custeados_por_captação</v>
      </c>
      <c r="S1420" s="605" t="s">
        <v>310</v>
      </c>
      <c r="T1420" s="605" t="s">
        <v>310</v>
      </c>
    </row>
    <row r="1421" spans="1:20" s="88" customFormat="1" ht="24" x14ac:dyDescent="0.2">
      <c r="A1421" s="510">
        <f>IF(B1421="","",COUNT('Diário 1º PA'!$A$4:$A$2635)+ROW()-3)</f>
        <v>3154</v>
      </c>
      <c r="B1421" s="414">
        <v>44701</v>
      </c>
      <c r="C1421" s="424">
        <v>44652</v>
      </c>
      <c r="D1421" s="415" t="s">
        <v>468</v>
      </c>
      <c r="E1421" s="415" t="s">
        <v>468</v>
      </c>
      <c r="F1421" s="425">
        <v>775</v>
      </c>
      <c r="G1421" s="440" t="s">
        <v>4263</v>
      </c>
      <c r="H1421" s="415" t="s">
        <v>468</v>
      </c>
      <c r="I1421" s="427" t="s">
        <v>1461</v>
      </c>
      <c r="J1421" s="415" t="s">
        <v>310</v>
      </c>
      <c r="K1421" s="415" t="s">
        <v>1220</v>
      </c>
      <c r="L1421" s="415" t="s">
        <v>1368</v>
      </c>
      <c r="M1421" s="415" t="s">
        <v>310</v>
      </c>
      <c r="N1421" s="414">
        <v>44701</v>
      </c>
      <c r="O1421" s="414" t="s">
        <v>400</v>
      </c>
      <c r="P1421" s="603">
        <f t="shared" si="200"/>
        <v>5</v>
      </c>
      <c r="Q1421" s="603">
        <f t="shared" si="201"/>
        <v>4</v>
      </c>
      <c r="R1421" s="604" t="str">
        <f t="shared" si="202"/>
        <v>Gastos_custeados_por_captação</v>
      </c>
      <c r="S1421" s="605" t="s">
        <v>310</v>
      </c>
      <c r="T1421" s="605" t="s">
        <v>310</v>
      </c>
    </row>
    <row r="1422" spans="1:20" s="88" customFormat="1" ht="24" x14ac:dyDescent="0.2">
      <c r="A1422" s="510">
        <f>IF(B1422="","",COUNT('Diário 1º PA'!$A$4:$A$2635)+ROW()-3)</f>
        <v>3155</v>
      </c>
      <c r="B1422" s="414">
        <v>44701</v>
      </c>
      <c r="C1422" s="424">
        <v>44652</v>
      </c>
      <c r="D1422" s="415" t="s">
        <v>182</v>
      </c>
      <c r="E1422" s="415" t="s">
        <v>1</v>
      </c>
      <c r="F1422" s="425">
        <v>3203.98</v>
      </c>
      <c r="G1422" s="440" t="s">
        <v>4264</v>
      </c>
      <c r="H1422" s="415" t="s">
        <v>310</v>
      </c>
      <c r="I1422" s="427" t="s">
        <v>1461</v>
      </c>
      <c r="J1422" s="415" t="s">
        <v>310</v>
      </c>
      <c r="K1422" s="415" t="s">
        <v>1220</v>
      </c>
      <c r="L1422" s="415" t="s">
        <v>1368</v>
      </c>
      <c r="M1422" s="415" t="s">
        <v>310</v>
      </c>
      <c r="N1422" s="414">
        <v>44701</v>
      </c>
      <c r="O1422" s="414" t="s">
        <v>400</v>
      </c>
      <c r="P1422" s="603">
        <f t="shared" si="200"/>
        <v>5</v>
      </c>
      <c r="Q1422" s="603">
        <f t="shared" si="201"/>
        <v>4</v>
      </c>
      <c r="R1422" s="604" t="str">
        <f t="shared" si="202"/>
        <v>Gastos_com_Pessoal</v>
      </c>
      <c r="S1422" s="605" t="s">
        <v>310</v>
      </c>
      <c r="T1422" s="605" t="s">
        <v>310</v>
      </c>
    </row>
    <row r="1423" spans="1:20" s="88" customFormat="1" ht="24" x14ac:dyDescent="0.2">
      <c r="A1423" s="510">
        <f>IF(B1423="","",COUNT('Diário 1º PA'!$A$4:$A$2635)+ROW()-3)</f>
        <v>3156</v>
      </c>
      <c r="B1423" s="414">
        <v>44701</v>
      </c>
      <c r="C1423" s="424">
        <v>44652</v>
      </c>
      <c r="D1423" s="415" t="s">
        <v>182</v>
      </c>
      <c r="E1423" s="415" t="s">
        <v>252</v>
      </c>
      <c r="F1423" s="425">
        <v>8054.88</v>
      </c>
      <c r="G1423" s="440" t="s">
        <v>4265</v>
      </c>
      <c r="H1423" s="415" t="s">
        <v>310</v>
      </c>
      <c r="I1423" s="427" t="s">
        <v>1461</v>
      </c>
      <c r="J1423" s="415" t="s">
        <v>310</v>
      </c>
      <c r="K1423" s="415" t="s">
        <v>1220</v>
      </c>
      <c r="L1423" s="415" t="s">
        <v>1368</v>
      </c>
      <c r="M1423" s="415" t="s">
        <v>310</v>
      </c>
      <c r="N1423" s="414">
        <v>44701</v>
      </c>
      <c r="O1423" s="414" t="s">
        <v>400</v>
      </c>
      <c r="P1423" s="603">
        <f t="shared" si="200"/>
        <v>5</v>
      </c>
      <c r="Q1423" s="603">
        <f t="shared" si="201"/>
        <v>4</v>
      </c>
      <c r="R1423" s="604" t="str">
        <f t="shared" si="202"/>
        <v>Gastos_com_Pessoal</v>
      </c>
      <c r="S1423" s="605" t="s">
        <v>310</v>
      </c>
      <c r="T1423" s="605" t="s">
        <v>310</v>
      </c>
    </row>
    <row r="1424" spans="1:20" s="88" customFormat="1" ht="24" x14ac:dyDescent="0.2">
      <c r="A1424" s="510">
        <f>IF(B1424="","",COUNT('Diário 1º PA'!$A$4:$A$2635)+ROW()-3)</f>
        <v>3157</v>
      </c>
      <c r="B1424" s="414">
        <v>44701</v>
      </c>
      <c r="C1424" s="424">
        <v>44652</v>
      </c>
      <c r="D1424" s="415" t="s">
        <v>271</v>
      </c>
      <c r="E1424" s="415" t="s">
        <v>90</v>
      </c>
      <c r="F1424" s="425">
        <v>3008.4</v>
      </c>
      <c r="G1424" s="440" t="s">
        <v>4266</v>
      </c>
      <c r="H1424" s="415" t="s">
        <v>310</v>
      </c>
      <c r="I1424" s="427" t="s">
        <v>1461</v>
      </c>
      <c r="J1424" s="415" t="s">
        <v>310</v>
      </c>
      <c r="K1424" s="415" t="s">
        <v>1220</v>
      </c>
      <c r="L1424" s="415" t="s">
        <v>1368</v>
      </c>
      <c r="M1424" s="415" t="s">
        <v>310</v>
      </c>
      <c r="N1424" s="414">
        <v>44701</v>
      </c>
      <c r="O1424" s="414" t="s">
        <v>400</v>
      </c>
      <c r="P1424" s="603">
        <f t="shared" si="200"/>
        <v>5</v>
      </c>
      <c r="Q1424" s="603">
        <f t="shared" si="201"/>
        <v>4</v>
      </c>
      <c r="R1424" s="604" t="str">
        <f t="shared" si="202"/>
        <v>Gastos_Gerais</v>
      </c>
      <c r="S1424" s="605" t="s">
        <v>310</v>
      </c>
      <c r="T1424" s="605" t="s">
        <v>310</v>
      </c>
    </row>
    <row r="1425" spans="1:20" s="88" customFormat="1" ht="24" x14ac:dyDescent="0.2">
      <c r="A1425" s="510">
        <f>IF(B1425="","",COUNT('Diário 1º PA'!$A$4:$A$2635)+ROW()-3)</f>
        <v>3158</v>
      </c>
      <c r="B1425" s="414">
        <v>44701</v>
      </c>
      <c r="C1425" s="424">
        <v>44652</v>
      </c>
      <c r="D1425" s="415" t="s">
        <v>468</v>
      </c>
      <c r="E1425" s="415" t="s">
        <v>468</v>
      </c>
      <c r="F1425" s="425">
        <v>930</v>
      </c>
      <c r="G1425" s="440" t="s">
        <v>4267</v>
      </c>
      <c r="H1425" s="415" t="s">
        <v>468</v>
      </c>
      <c r="I1425" s="427" t="s">
        <v>1461</v>
      </c>
      <c r="J1425" s="415" t="s">
        <v>310</v>
      </c>
      <c r="K1425" s="415" t="s">
        <v>1220</v>
      </c>
      <c r="L1425" s="415" t="s">
        <v>1368</v>
      </c>
      <c r="M1425" s="415" t="s">
        <v>310</v>
      </c>
      <c r="N1425" s="414">
        <v>44701</v>
      </c>
      <c r="O1425" s="414" t="s">
        <v>400</v>
      </c>
      <c r="P1425" s="603">
        <f t="shared" si="200"/>
        <v>5</v>
      </c>
      <c r="Q1425" s="603">
        <f t="shared" si="201"/>
        <v>4</v>
      </c>
      <c r="R1425" s="604" t="str">
        <f t="shared" si="202"/>
        <v>Gastos_custeados_por_captação</v>
      </c>
      <c r="S1425" s="605" t="s">
        <v>310</v>
      </c>
      <c r="T1425" s="605" t="s">
        <v>310</v>
      </c>
    </row>
    <row r="1426" spans="1:20" s="88" customFormat="1" ht="24" x14ac:dyDescent="0.2">
      <c r="A1426" s="510">
        <f>IF(B1426="","",COUNT('Diário 1º PA'!$A$4:$A$2635)+ROW()-3)</f>
        <v>3159</v>
      </c>
      <c r="B1426" s="414">
        <v>44701</v>
      </c>
      <c r="C1426" s="424">
        <v>44652</v>
      </c>
      <c r="D1426" s="415" t="s">
        <v>468</v>
      </c>
      <c r="E1426" s="415" t="s">
        <v>468</v>
      </c>
      <c r="F1426" s="425">
        <v>4293.5</v>
      </c>
      <c r="G1426" s="440" t="s">
        <v>4268</v>
      </c>
      <c r="H1426" s="415" t="s">
        <v>468</v>
      </c>
      <c r="I1426" s="427" t="s">
        <v>1461</v>
      </c>
      <c r="J1426" s="415" t="s">
        <v>310</v>
      </c>
      <c r="K1426" s="415" t="s">
        <v>1220</v>
      </c>
      <c r="L1426" s="415" t="s">
        <v>1368</v>
      </c>
      <c r="M1426" s="415" t="s">
        <v>310</v>
      </c>
      <c r="N1426" s="414">
        <v>44701</v>
      </c>
      <c r="O1426" s="414" t="s">
        <v>400</v>
      </c>
      <c r="P1426" s="603">
        <f t="shared" si="200"/>
        <v>5</v>
      </c>
      <c r="Q1426" s="603">
        <f t="shared" si="201"/>
        <v>4</v>
      </c>
      <c r="R1426" s="604" t="str">
        <f t="shared" si="202"/>
        <v>Gastos_custeados_por_captação</v>
      </c>
      <c r="S1426" s="605" t="s">
        <v>310</v>
      </c>
      <c r="T1426" s="605" t="s">
        <v>310</v>
      </c>
    </row>
    <row r="1427" spans="1:20" s="88" customFormat="1" ht="24" x14ac:dyDescent="0.2">
      <c r="A1427" s="510">
        <f>IF(B1427="","",COUNT('Diário 1º PA'!$A$4:$A$2635)+ROW()-3)</f>
        <v>3160</v>
      </c>
      <c r="B1427" s="414">
        <v>44701</v>
      </c>
      <c r="C1427" s="424">
        <v>44652</v>
      </c>
      <c r="D1427" s="415" t="s">
        <v>468</v>
      </c>
      <c r="E1427" s="415" t="s">
        <v>468</v>
      </c>
      <c r="F1427" s="425">
        <v>499.32</v>
      </c>
      <c r="G1427" s="440" t="s">
        <v>4269</v>
      </c>
      <c r="H1427" s="415" t="s">
        <v>468</v>
      </c>
      <c r="I1427" s="427" t="s">
        <v>1461</v>
      </c>
      <c r="J1427" s="415" t="s">
        <v>310</v>
      </c>
      <c r="K1427" s="415" t="s">
        <v>1220</v>
      </c>
      <c r="L1427" s="415" t="s">
        <v>1368</v>
      </c>
      <c r="M1427" s="415" t="s">
        <v>310</v>
      </c>
      <c r="N1427" s="414">
        <v>44701</v>
      </c>
      <c r="O1427" s="414" t="s">
        <v>400</v>
      </c>
      <c r="P1427" s="603">
        <f t="shared" si="200"/>
        <v>5</v>
      </c>
      <c r="Q1427" s="603">
        <f t="shared" si="201"/>
        <v>4</v>
      </c>
      <c r="R1427" s="604" t="str">
        <f t="shared" si="202"/>
        <v>Gastos_custeados_por_captação</v>
      </c>
      <c r="S1427" s="605" t="s">
        <v>310</v>
      </c>
      <c r="T1427" s="605" t="s">
        <v>310</v>
      </c>
    </row>
    <row r="1428" spans="1:20" s="88" customFormat="1" ht="24" x14ac:dyDescent="0.2">
      <c r="A1428" s="510">
        <f>IF(B1428="","",COUNT('Diário 1º PA'!$A$4:$A$2635)+ROW()-3)</f>
        <v>3161</v>
      </c>
      <c r="B1428" s="414">
        <v>44701</v>
      </c>
      <c r="C1428" s="424">
        <v>44652</v>
      </c>
      <c r="D1428" s="415" t="s">
        <v>468</v>
      </c>
      <c r="E1428" s="415" t="s">
        <v>468</v>
      </c>
      <c r="F1428" s="425">
        <v>4650</v>
      </c>
      <c r="G1428" s="440" t="s">
        <v>4270</v>
      </c>
      <c r="H1428" s="415" t="s">
        <v>468</v>
      </c>
      <c r="I1428" s="427" t="s">
        <v>1461</v>
      </c>
      <c r="J1428" s="415" t="s">
        <v>310</v>
      </c>
      <c r="K1428" s="415" t="s">
        <v>1220</v>
      </c>
      <c r="L1428" s="415" t="s">
        <v>1368</v>
      </c>
      <c r="M1428" s="415" t="s">
        <v>310</v>
      </c>
      <c r="N1428" s="414">
        <v>44701</v>
      </c>
      <c r="O1428" s="414" t="s">
        <v>400</v>
      </c>
      <c r="P1428" s="603">
        <f t="shared" si="200"/>
        <v>5</v>
      </c>
      <c r="Q1428" s="603">
        <f t="shared" si="201"/>
        <v>4</v>
      </c>
      <c r="R1428" s="604" t="str">
        <f t="shared" si="202"/>
        <v>Gastos_custeados_por_captação</v>
      </c>
      <c r="S1428" s="605" t="s">
        <v>310</v>
      </c>
      <c r="T1428" s="605" t="s">
        <v>310</v>
      </c>
    </row>
    <row r="1429" spans="1:20" s="88" customFormat="1" ht="24" x14ac:dyDescent="0.2">
      <c r="A1429" s="510">
        <f>IF(B1429="","",COUNT('Diário 1º PA'!$A$4:$A$2635)+ROW()-3)</f>
        <v>3162</v>
      </c>
      <c r="B1429" s="414">
        <v>44701</v>
      </c>
      <c r="C1429" s="424">
        <v>44652</v>
      </c>
      <c r="D1429" s="415" t="s">
        <v>468</v>
      </c>
      <c r="E1429" s="415" t="s">
        <v>468</v>
      </c>
      <c r="F1429" s="425">
        <v>15420.09</v>
      </c>
      <c r="G1429" s="440" t="s">
        <v>4271</v>
      </c>
      <c r="H1429" s="415" t="s">
        <v>468</v>
      </c>
      <c r="I1429" s="427" t="s">
        <v>1461</v>
      </c>
      <c r="J1429" s="415" t="s">
        <v>310</v>
      </c>
      <c r="K1429" s="415" t="s">
        <v>1220</v>
      </c>
      <c r="L1429" s="415" t="s">
        <v>1368</v>
      </c>
      <c r="M1429" s="415" t="s">
        <v>310</v>
      </c>
      <c r="N1429" s="414">
        <v>44701</v>
      </c>
      <c r="O1429" s="414" t="s">
        <v>400</v>
      </c>
      <c r="P1429" s="603">
        <f>IF(B1429=0,0,IF(YEAR(B1429)=$Q$1,MONTH(B1429)-$P$1+1,(YEAR(B1429)-$Q$1)*12-$P$1+1+MONTH(B1429)))</f>
        <v>5</v>
      </c>
      <c r="Q1429" s="603">
        <f>IF(C1429=0,0,IF(YEAR(C1429)=$Q$1,MONTH(C1429)-$P$1+1,(YEAR(C1429)-$Q$1)*12-$P$1+1+MONTH(C1429)))</f>
        <v>4</v>
      </c>
      <c r="R1429" s="604" t="str">
        <f>SUBSTITUTE(D1429," ","_")</f>
        <v>Gastos_custeados_por_captação</v>
      </c>
      <c r="S1429" s="605" t="s">
        <v>310</v>
      </c>
      <c r="T1429" s="605" t="s">
        <v>310</v>
      </c>
    </row>
    <row r="1430" spans="1:20" s="88" customFormat="1" ht="48" x14ac:dyDescent="0.2">
      <c r="A1430" s="510">
        <f>IF(B1430="","",COUNT('Diário 1º PA'!$A$4:$A$2635)+ROW()-3)</f>
        <v>3163</v>
      </c>
      <c r="B1430" s="414">
        <v>44701</v>
      </c>
      <c r="C1430" s="431">
        <v>44621</v>
      </c>
      <c r="D1430" s="415" t="s">
        <v>271</v>
      </c>
      <c r="E1430" s="415" t="s">
        <v>456</v>
      </c>
      <c r="F1430" s="425">
        <v>930</v>
      </c>
      <c r="G1430" s="427" t="s">
        <v>3586</v>
      </c>
      <c r="H1430" s="419" t="s">
        <v>755</v>
      </c>
      <c r="I1430" s="427" t="s">
        <v>1461</v>
      </c>
      <c r="J1430" s="415" t="s">
        <v>310</v>
      </c>
      <c r="K1430" s="415" t="s">
        <v>1220</v>
      </c>
      <c r="L1430" s="415" t="s">
        <v>1368</v>
      </c>
      <c r="M1430" s="415" t="s">
        <v>310</v>
      </c>
      <c r="N1430" s="414">
        <v>44701</v>
      </c>
      <c r="O1430" s="414" t="s">
        <v>400</v>
      </c>
      <c r="P1430" s="603">
        <f t="shared" ref="P1430:P1443" si="203">IF(B1430=0,0,IF(YEAR(B1430)=$Q$1,MONTH(B1430)-$P$1+1,(YEAR(B1430)-$Q$1)*12-$P$1+1+MONTH(B1430)))</f>
        <v>5</v>
      </c>
      <c r="Q1430" s="603">
        <f t="shared" ref="Q1430:Q1443" si="204">IF(C1430=0,0,IF(YEAR(C1430)=$Q$1,MONTH(C1430)-$P$1+1,(YEAR(C1430)-$Q$1)*12-$P$1+1+MONTH(C1430)))</f>
        <v>3</v>
      </c>
      <c r="R1430" s="604" t="str">
        <f t="shared" ref="R1430:R1443" si="205">SUBSTITUTE(D1430," ","_")</f>
        <v>Gastos_Gerais</v>
      </c>
      <c r="S1430" s="605" t="s">
        <v>310</v>
      </c>
      <c r="T1430" s="605" t="s">
        <v>310</v>
      </c>
    </row>
    <row r="1431" spans="1:20" s="88" customFormat="1" ht="36" x14ac:dyDescent="0.2">
      <c r="A1431" s="510">
        <f>IF(B1431="","",COUNT('Diário 1º PA'!$A$4:$A$2635)+ROW()-3)</f>
        <v>3164</v>
      </c>
      <c r="B1431" s="414">
        <v>44701</v>
      </c>
      <c r="C1431" s="431">
        <v>44593</v>
      </c>
      <c r="D1431" s="415" t="s">
        <v>271</v>
      </c>
      <c r="E1431" s="415" t="s">
        <v>456</v>
      </c>
      <c r="F1431" s="425">
        <v>155</v>
      </c>
      <c r="G1431" s="427" t="s">
        <v>3705</v>
      </c>
      <c r="H1431" s="419" t="s">
        <v>761</v>
      </c>
      <c r="I1431" s="427" t="s">
        <v>1461</v>
      </c>
      <c r="J1431" s="415" t="s">
        <v>310</v>
      </c>
      <c r="K1431" s="415" t="s">
        <v>1220</v>
      </c>
      <c r="L1431" s="415" t="s">
        <v>1368</v>
      </c>
      <c r="M1431" s="415" t="s">
        <v>310</v>
      </c>
      <c r="N1431" s="414">
        <v>44701</v>
      </c>
      <c r="O1431" s="414" t="s">
        <v>400</v>
      </c>
      <c r="P1431" s="603">
        <f t="shared" si="203"/>
        <v>5</v>
      </c>
      <c r="Q1431" s="603">
        <f t="shared" si="204"/>
        <v>2</v>
      </c>
      <c r="R1431" s="604" t="str">
        <f t="shared" si="205"/>
        <v>Gastos_Gerais</v>
      </c>
      <c r="S1431" s="605" t="s">
        <v>310</v>
      </c>
      <c r="T1431" s="605" t="s">
        <v>310</v>
      </c>
    </row>
    <row r="1432" spans="1:20" s="88" customFormat="1" ht="36" x14ac:dyDescent="0.2">
      <c r="A1432" s="510">
        <f>IF(B1432="","",COUNT('Diário 1º PA'!$A$4:$A$2635)+ROW()-3)</f>
        <v>3165</v>
      </c>
      <c r="B1432" s="414">
        <v>44701</v>
      </c>
      <c r="C1432" s="431">
        <v>44621</v>
      </c>
      <c r="D1432" s="415" t="s">
        <v>271</v>
      </c>
      <c r="E1432" s="415" t="s">
        <v>453</v>
      </c>
      <c r="F1432" s="425">
        <v>372</v>
      </c>
      <c r="G1432" s="427" t="s">
        <v>3415</v>
      </c>
      <c r="H1432" s="419" t="s">
        <v>748</v>
      </c>
      <c r="I1432" s="427" t="s">
        <v>1461</v>
      </c>
      <c r="J1432" s="415" t="s">
        <v>310</v>
      </c>
      <c r="K1432" s="415" t="s">
        <v>1220</v>
      </c>
      <c r="L1432" s="415" t="s">
        <v>1368</v>
      </c>
      <c r="M1432" s="415" t="s">
        <v>310</v>
      </c>
      <c r="N1432" s="414">
        <v>44701</v>
      </c>
      <c r="O1432" s="414" t="s">
        <v>400</v>
      </c>
      <c r="P1432" s="603">
        <f t="shared" si="203"/>
        <v>5</v>
      </c>
      <c r="Q1432" s="603">
        <f t="shared" si="204"/>
        <v>3</v>
      </c>
      <c r="R1432" s="604" t="str">
        <f t="shared" si="205"/>
        <v>Gastos_Gerais</v>
      </c>
      <c r="S1432" s="605" t="s">
        <v>310</v>
      </c>
      <c r="T1432" s="605" t="s">
        <v>310</v>
      </c>
    </row>
    <row r="1433" spans="1:20" s="88" customFormat="1" ht="36" x14ac:dyDescent="0.2">
      <c r="A1433" s="510">
        <f>IF(B1433="","",COUNT('Diário 1º PA'!$A$4:$A$2635)+ROW()-3)</f>
        <v>3166</v>
      </c>
      <c r="B1433" s="414">
        <v>44701</v>
      </c>
      <c r="C1433" s="431">
        <v>44593</v>
      </c>
      <c r="D1433" s="415" t="s">
        <v>271</v>
      </c>
      <c r="E1433" s="415" t="s">
        <v>453</v>
      </c>
      <c r="F1433" s="425">
        <v>372</v>
      </c>
      <c r="G1433" s="427" t="s">
        <v>3592</v>
      </c>
      <c r="H1433" s="419" t="s">
        <v>748</v>
      </c>
      <c r="I1433" s="427" t="s">
        <v>1461</v>
      </c>
      <c r="J1433" s="415" t="s">
        <v>310</v>
      </c>
      <c r="K1433" s="415" t="s">
        <v>1220</v>
      </c>
      <c r="L1433" s="415" t="s">
        <v>1368</v>
      </c>
      <c r="M1433" s="415" t="s">
        <v>310</v>
      </c>
      <c r="N1433" s="414">
        <v>44701</v>
      </c>
      <c r="O1433" s="414" t="s">
        <v>400</v>
      </c>
      <c r="P1433" s="603">
        <f t="shared" si="203"/>
        <v>5</v>
      </c>
      <c r="Q1433" s="603">
        <f t="shared" si="204"/>
        <v>2</v>
      </c>
      <c r="R1433" s="604" t="str">
        <f t="shared" si="205"/>
        <v>Gastos_Gerais</v>
      </c>
      <c r="S1433" s="605" t="s">
        <v>310</v>
      </c>
      <c r="T1433" s="605" t="s">
        <v>310</v>
      </c>
    </row>
    <row r="1434" spans="1:20" s="88" customFormat="1" ht="36" x14ac:dyDescent="0.2">
      <c r="A1434" s="510">
        <f>IF(B1434="","",COUNT('Diário 1º PA'!$A$4:$A$2635)+ROW()-3)</f>
        <v>3167</v>
      </c>
      <c r="B1434" s="414">
        <v>44701</v>
      </c>
      <c r="C1434" s="431">
        <v>44621</v>
      </c>
      <c r="D1434" s="415" t="s">
        <v>271</v>
      </c>
      <c r="E1434" s="415" t="s">
        <v>453</v>
      </c>
      <c r="F1434" s="425">
        <v>155</v>
      </c>
      <c r="G1434" s="427" t="s">
        <v>3446</v>
      </c>
      <c r="H1434" s="419" t="s">
        <v>761</v>
      </c>
      <c r="I1434" s="427" t="s">
        <v>1461</v>
      </c>
      <c r="J1434" s="415" t="s">
        <v>310</v>
      </c>
      <c r="K1434" s="415" t="s">
        <v>1220</v>
      </c>
      <c r="L1434" s="415" t="s">
        <v>1368</v>
      </c>
      <c r="M1434" s="415" t="s">
        <v>310</v>
      </c>
      <c r="N1434" s="414">
        <v>44701</v>
      </c>
      <c r="O1434" s="414" t="s">
        <v>400</v>
      </c>
      <c r="P1434" s="603">
        <f t="shared" si="203"/>
        <v>5</v>
      </c>
      <c r="Q1434" s="603">
        <f t="shared" si="204"/>
        <v>3</v>
      </c>
      <c r="R1434" s="604" t="str">
        <f t="shared" si="205"/>
        <v>Gastos_Gerais</v>
      </c>
      <c r="S1434" s="605" t="s">
        <v>310</v>
      </c>
      <c r="T1434" s="605" t="s">
        <v>310</v>
      </c>
    </row>
    <row r="1435" spans="1:20" s="88" customFormat="1" ht="48" x14ac:dyDescent="0.2">
      <c r="A1435" s="510">
        <f>IF(B1435="","",COUNT('Diário 1º PA'!$A$4:$A$2635)+ROW()-3)</f>
        <v>3168</v>
      </c>
      <c r="B1435" s="414">
        <v>44701</v>
      </c>
      <c r="C1435" s="431">
        <v>44621</v>
      </c>
      <c r="D1435" s="415" t="s">
        <v>271</v>
      </c>
      <c r="E1435" s="415" t="s">
        <v>456</v>
      </c>
      <c r="F1435" s="425">
        <v>930</v>
      </c>
      <c r="G1435" s="427" t="s">
        <v>3693</v>
      </c>
      <c r="H1435" s="419" t="s">
        <v>755</v>
      </c>
      <c r="I1435" s="427" t="s">
        <v>1461</v>
      </c>
      <c r="J1435" s="415" t="s">
        <v>310</v>
      </c>
      <c r="K1435" s="415" t="s">
        <v>1220</v>
      </c>
      <c r="L1435" s="415" t="s">
        <v>1368</v>
      </c>
      <c r="M1435" s="415" t="s">
        <v>310</v>
      </c>
      <c r="N1435" s="414">
        <v>44701</v>
      </c>
      <c r="O1435" s="414" t="s">
        <v>400</v>
      </c>
      <c r="P1435" s="603">
        <f t="shared" si="203"/>
        <v>5</v>
      </c>
      <c r="Q1435" s="603">
        <f t="shared" si="204"/>
        <v>3</v>
      </c>
      <c r="R1435" s="604" t="str">
        <f t="shared" si="205"/>
        <v>Gastos_Gerais</v>
      </c>
      <c r="S1435" s="605" t="s">
        <v>310</v>
      </c>
      <c r="T1435" s="605" t="s">
        <v>310</v>
      </c>
    </row>
    <row r="1436" spans="1:20" s="88" customFormat="1" ht="48" x14ac:dyDescent="0.2">
      <c r="A1436" s="510">
        <f>IF(B1436="","",COUNT('Diário 1º PA'!$A$4:$A$2635)+ROW()-3)</f>
        <v>3169</v>
      </c>
      <c r="B1436" s="414">
        <v>44701</v>
      </c>
      <c r="C1436" s="431">
        <v>44621</v>
      </c>
      <c r="D1436" s="415" t="s">
        <v>271</v>
      </c>
      <c r="E1436" s="415" t="s">
        <v>453</v>
      </c>
      <c r="F1436" s="425">
        <v>818.4</v>
      </c>
      <c r="G1436" s="427" t="s">
        <v>5442</v>
      </c>
      <c r="H1436" s="419" t="s">
        <v>757</v>
      </c>
      <c r="I1436" s="427" t="s">
        <v>1461</v>
      </c>
      <c r="J1436" s="415" t="s">
        <v>310</v>
      </c>
      <c r="K1436" s="415" t="s">
        <v>1220</v>
      </c>
      <c r="L1436" s="415" t="s">
        <v>1368</v>
      </c>
      <c r="M1436" s="415" t="s">
        <v>310</v>
      </c>
      <c r="N1436" s="414">
        <v>44701</v>
      </c>
      <c r="O1436" s="414" t="s">
        <v>400</v>
      </c>
      <c r="P1436" s="603">
        <f t="shared" si="203"/>
        <v>5</v>
      </c>
      <c r="Q1436" s="603">
        <f t="shared" si="204"/>
        <v>3</v>
      </c>
      <c r="R1436" s="604" t="str">
        <f t="shared" si="205"/>
        <v>Gastos_Gerais</v>
      </c>
      <c r="S1436" s="605" t="s">
        <v>310</v>
      </c>
      <c r="T1436" s="605" t="s">
        <v>310</v>
      </c>
    </row>
    <row r="1437" spans="1:20" s="88" customFormat="1" ht="36" x14ac:dyDescent="0.2">
      <c r="A1437" s="510">
        <f>IF(B1437="","",COUNT('Diário 1º PA'!$A$4:$A$2635)+ROW()-3)</f>
        <v>3170</v>
      </c>
      <c r="B1437" s="414">
        <v>44701</v>
      </c>
      <c r="C1437" s="431">
        <v>44652</v>
      </c>
      <c r="D1437" s="415" t="s">
        <v>271</v>
      </c>
      <c r="E1437" s="415" t="s">
        <v>462</v>
      </c>
      <c r="F1437" s="425">
        <v>186</v>
      </c>
      <c r="G1437" s="427" t="s">
        <v>3687</v>
      </c>
      <c r="H1437" s="415" t="s">
        <v>752</v>
      </c>
      <c r="I1437" s="427" t="s">
        <v>1461</v>
      </c>
      <c r="J1437" s="415" t="s">
        <v>310</v>
      </c>
      <c r="K1437" s="415" t="s">
        <v>1220</v>
      </c>
      <c r="L1437" s="415" t="s">
        <v>1368</v>
      </c>
      <c r="M1437" s="415" t="s">
        <v>310</v>
      </c>
      <c r="N1437" s="414">
        <v>44701</v>
      </c>
      <c r="O1437" s="414" t="s">
        <v>400</v>
      </c>
      <c r="P1437" s="603">
        <f t="shared" si="203"/>
        <v>5</v>
      </c>
      <c r="Q1437" s="603">
        <f t="shared" si="204"/>
        <v>4</v>
      </c>
      <c r="R1437" s="604" t="str">
        <f t="shared" si="205"/>
        <v>Gastos_Gerais</v>
      </c>
      <c r="S1437" s="605" t="s">
        <v>310</v>
      </c>
      <c r="T1437" s="605" t="s">
        <v>310</v>
      </c>
    </row>
    <row r="1438" spans="1:20" s="88" customFormat="1" ht="24" x14ac:dyDescent="0.2">
      <c r="A1438" s="510">
        <f>IF(B1438="","",COUNT('Diário 1º PA'!$A$4:$A$2635)+ROW()-3)</f>
        <v>3171</v>
      </c>
      <c r="B1438" s="414">
        <v>44701</v>
      </c>
      <c r="C1438" s="433">
        <v>44652</v>
      </c>
      <c r="D1438" s="434" t="s">
        <v>271</v>
      </c>
      <c r="E1438" s="434" t="s">
        <v>442</v>
      </c>
      <c r="F1438" s="425">
        <v>1395</v>
      </c>
      <c r="G1438" s="427" t="s">
        <v>4137</v>
      </c>
      <c r="H1438" s="419" t="s">
        <v>792</v>
      </c>
      <c r="I1438" s="427" t="s">
        <v>1461</v>
      </c>
      <c r="J1438" s="415" t="s">
        <v>310</v>
      </c>
      <c r="K1438" s="415" t="s">
        <v>1220</v>
      </c>
      <c r="L1438" s="415" t="s">
        <v>1368</v>
      </c>
      <c r="M1438" s="415" t="s">
        <v>310</v>
      </c>
      <c r="N1438" s="414">
        <v>44701</v>
      </c>
      <c r="O1438" s="414" t="s">
        <v>400</v>
      </c>
      <c r="P1438" s="603">
        <f t="shared" si="203"/>
        <v>5</v>
      </c>
      <c r="Q1438" s="603">
        <f t="shared" si="204"/>
        <v>4</v>
      </c>
      <c r="R1438" s="604" t="str">
        <f t="shared" si="205"/>
        <v>Gastos_Gerais</v>
      </c>
      <c r="S1438" s="605" t="s">
        <v>310</v>
      </c>
      <c r="T1438" s="605" t="s">
        <v>310</v>
      </c>
    </row>
    <row r="1439" spans="1:20" s="88" customFormat="1" ht="48" x14ac:dyDescent="0.2">
      <c r="A1439" s="510">
        <f>IF(B1439="","",COUNT('Diário 1º PA'!$A$4:$A$2635)+ROW()-3)</f>
        <v>3172</v>
      </c>
      <c r="B1439" s="414">
        <v>44701</v>
      </c>
      <c r="C1439" s="431">
        <v>44621</v>
      </c>
      <c r="D1439" s="415" t="s">
        <v>271</v>
      </c>
      <c r="E1439" s="415" t="s">
        <v>442</v>
      </c>
      <c r="F1439" s="425">
        <v>620</v>
      </c>
      <c r="G1439" s="427" t="s">
        <v>3413</v>
      </c>
      <c r="H1439" s="419" t="s">
        <v>755</v>
      </c>
      <c r="I1439" s="427" t="s">
        <v>1461</v>
      </c>
      <c r="J1439" s="415" t="s">
        <v>310</v>
      </c>
      <c r="K1439" s="415" t="s">
        <v>1220</v>
      </c>
      <c r="L1439" s="415" t="s">
        <v>1368</v>
      </c>
      <c r="M1439" s="415" t="s">
        <v>310</v>
      </c>
      <c r="N1439" s="414">
        <v>44701</v>
      </c>
      <c r="O1439" s="414" t="s">
        <v>400</v>
      </c>
      <c r="P1439" s="603">
        <f t="shared" si="203"/>
        <v>5</v>
      </c>
      <c r="Q1439" s="603">
        <f t="shared" si="204"/>
        <v>3</v>
      </c>
      <c r="R1439" s="604" t="str">
        <f t="shared" si="205"/>
        <v>Gastos_Gerais</v>
      </c>
      <c r="S1439" s="605" t="s">
        <v>310</v>
      </c>
      <c r="T1439" s="605" t="s">
        <v>310</v>
      </c>
    </row>
    <row r="1440" spans="1:20" s="88" customFormat="1" ht="48" x14ac:dyDescent="0.2">
      <c r="A1440" s="510">
        <f>IF(B1440="","",COUNT('Diário 1º PA'!$A$4:$A$2635)+ROW()-3)</f>
        <v>3173</v>
      </c>
      <c r="B1440" s="414">
        <v>44701</v>
      </c>
      <c r="C1440" s="431">
        <v>44652</v>
      </c>
      <c r="D1440" s="415" t="s">
        <v>271</v>
      </c>
      <c r="E1440" s="415" t="s">
        <v>442</v>
      </c>
      <c r="F1440" s="425">
        <v>396.8</v>
      </c>
      <c r="G1440" s="427" t="s">
        <v>3596</v>
      </c>
      <c r="H1440" s="419" t="s">
        <v>757</v>
      </c>
      <c r="I1440" s="427" t="s">
        <v>1461</v>
      </c>
      <c r="J1440" s="415" t="s">
        <v>310</v>
      </c>
      <c r="K1440" s="415" t="s">
        <v>1220</v>
      </c>
      <c r="L1440" s="415" t="s">
        <v>1368</v>
      </c>
      <c r="M1440" s="415" t="s">
        <v>310</v>
      </c>
      <c r="N1440" s="414">
        <v>44701</v>
      </c>
      <c r="O1440" s="414" t="s">
        <v>400</v>
      </c>
      <c r="P1440" s="603">
        <f t="shared" si="203"/>
        <v>5</v>
      </c>
      <c r="Q1440" s="603">
        <f t="shared" si="204"/>
        <v>4</v>
      </c>
      <c r="R1440" s="604" t="str">
        <f t="shared" si="205"/>
        <v>Gastos_Gerais</v>
      </c>
      <c r="S1440" s="605" t="s">
        <v>310</v>
      </c>
      <c r="T1440" s="605" t="s">
        <v>310</v>
      </c>
    </row>
    <row r="1441" spans="1:20" s="88" customFormat="1" ht="48" x14ac:dyDescent="0.2">
      <c r="A1441" s="510">
        <f>IF(B1441="","",COUNT('Diário 1º PA'!$A$4:$A$2635)+ROW()-3)</f>
        <v>3174</v>
      </c>
      <c r="B1441" s="414">
        <v>44701</v>
      </c>
      <c r="C1441" s="431">
        <v>44621</v>
      </c>
      <c r="D1441" s="415" t="s">
        <v>271</v>
      </c>
      <c r="E1441" s="415" t="s">
        <v>453</v>
      </c>
      <c r="F1441" s="425">
        <v>556.45000000000005</v>
      </c>
      <c r="G1441" s="427" t="s">
        <v>3511</v>
      </c>
      <c r="H1441" s="419" t="s">
        <v>757</v>
      </c>
      <c r="I1441" s="427" t="s">
        <v>1461</v>
      </c>
      <c r="J1441" s="415" t="s">
        <v>310</v>
      </c>
      <c r="K1441" s="415" t="s">
        <v>1220</v>
      </c>
      <c r="L1441" s="415" t="s">
        <v>1368</v>
      </c>
      <c r="M1441" s="415" t="s">
        <v>310</v>
      </c>
      <c r="N1441" s="414">
        <v>44701</v>
      </c>
      <c r="O1441" s="414" t="s">
        <v>400</v>
      </c>
      <c r="P1441" s="603">
        <f t="shared" si="203"/>
        <v>5</v>
      </c>
      <c r="Q1441" s="603">
        <f t="shared" si="204"/>
        <v>3</v>
      </c>
      <c r="R1441" s="604" t="str">
        <f t="shared" si="205"/>
        <v>Gastos_Gerais</v>
      </c>
      <c r="S1441" s="605" t="s">
        <v>310</v>
      </c>
      <c r="T1441" s="605" t="s">
        <v>310</v>
      </c>
    </row>
    <row r="1442" spans="1:20" s="88" customFormat="1" ht="36" x14ac:dyDescent="0.2">
      <c r="A1442" s="510">
        <f>IF(B1442="","",COUNT('Diário 1º PA'!$A$4:$A$2635)+ROW()-3)</f>
        <v>3175</v>
      </c>
      <c r="B1442" s="414">
        <v>44701</v>
      </c>
      <c r="C1442" s="431">
        <v>44652</v>
      </c>
      <c r="D1442" s="415" t="s">
        <v>271</v>
      </c>
      <c r="E1442" s="415" t="s">
        <v>462</v>
      </c>
      <c r="F1442" s="425">
        <v>186</v>
      </c>
      <c r="G1442" s="427" t="s">
        <v>3708</v>
      </c>
      <c r="H1442" s="415" t="s">
        <v>752</v>
      </c>
      <c r="I1442" s="427" t="s">
        <v>1461</v>
      </c>
      <c r="J1442" s="415" t="s">
        <v>310</v>
      </c>
      <c r="K1442" s="415" t="s">
        <v>1220</v>
      </c>
      <c r="L1442" s="415" t="s">
        <v>1368</v>
      </c>
      <c r="M1442" s="415" t="s">
        <v>310</v>
      </c>
      <c r="N1442" s="414">
        <v>44701</v>
      </c>
      <c r="O1442" s="414" t="s">
        <v>400</v>
      </c>
      <c r="P1442" s="603">
        <f t="shared" si="203"/>
        <v>5</v>
      </c>
      <c r="Q1442" s="603">
        <f t="shared" si="204"/>
        <v>4</v>
      </c>
      <c r="R1442" s="604" t="str">
        <f t="shared" si="205"/>
        <v>Gastos_Gerais</v>
      </c>
      <c r="S1442" s="605" t="s">
        <v>310</v>
      </c>
      <c r="T1442" s="605" t="s">
        <v>310</v>
      </c>
    </row>
    <row r="1443" spans="1:20" s="88" customFormat="1" ht="60" x14ac:dyDescent="0.2">
      <c r="A1443" s="510">
        <f>IF(B1443="","",COUNT('Diário 1º PA'!$A$4:$A$2635)+ROW()-3)</f>
        <v>3176</v>
      </c>
      <c r="B1443" s="414">
        <v>44701</v>
      </c>
      <c r="C1443" s="431">
        <v>44562</v>
      </c>
      <c r="D1443" s="415" t="s">
        <v>271</v>
      </c>
      <c r="E1443" s="415" t="s">
        <v>456</v>
      </c>
      <c r="F1443" s="425">
        <v>465</v>
      </c>
      <c r="G1443" s="427" t="s">
        <v>3759</v>
      </c>
      <c r="H1443" s="419" t="s">
        <v>759</v>
      </c>
      <c r="I1443" s="427" t="s">
        <v>1461</v>
      </c>
      <c r="J1443" s="415" t="s">
        <v>310</v>
      </c>
      <c r="K1443" s="415" t="s">
        <v>1220</v>
      </c>
      <c r="L1443" s="415" t="s">
        <v>1368</v>
      </c>
      <c r="M1443" s="415" t="s">
        <v>310</v>
      </c>
      <c r="N1443" s="414">
        <v>44701</v>
      </c>
      <c r="O1443" s="414" t="s">
        <v>400</v>
      </c>
      <c r="P1443" s="603">
        <f t="shared" si="203"/>
        <v>5</v>
      </c>
      <c r="Q1443" s="603">
        <f t="shared" si="204"/>
        <v>1</v>
      </c>
      <c r="R1443" s="604" t="str">
        <f t="shared" si="205"/>
        <v>Gastos_Gerais</v>
      </c>
      <c r="S1443" s="605" t="s">
        <v>310</v>
      </c>
      <c r="T1443" s="605" t="s">
        <v>310</v>
      </c>
    </row>
    <row r="1444" spans="1:20" s="88" customFormat="1" ht="36" x14ac:dyDescent="0.2">
      <c r="A1444" s="510">
        <f>IF(B1444="","",COUNT('Diário 1º PA'!$A$4:$A$2635)+ROW()-3)</f>
        <v>3177</v>
      </c>
      <c r="B1444" s="414">
        <v>44701</v>
      </c>
      <c r="C1444" s="431">
        <v>44652</v>
      </c>
      <c r="D1444" s="415" t="s">
        <v>271</v>
      </c>
      <c r="E1444" s="415" t="s">
        <v>462</v>
      </c>
      <c r="F1444" s="425">
        <v>558</v>
      </c>
      <c r="G1444" s="427" t="s">
        <v>3633</v>
      </c>
      <c r="H1444" s="419" t="s">
        <v>752</v>
      </c>
      <c r="I1444" s="427" t="s">
        <v>1461</v>
      </c>
      <c r="J1444" s="415" t="s">
        <v>310</v>
      </c>
      <c r="K1444" s="415" t="s">
        <v>1220</v>
      </c>
      <c r="L1444" s="415" t="s">
        <v>1368</v>
      </c>
      <c r="M1444" s="415" t="s">
        <v>310</v>
      </c>
      <c r="N1444" s="414">
        <v>44701</v>
      </c>
      <c r="O1444" s="414" t="s">
        <v>400</v>
      </c>
      <c r="P1444" s="603">
        <f t="shared" ref="P1444:Q1450" si="206">IF(B1444=0,0,IF(YEAR(B1444)=$Q$1,MONTH(B1444)-$P$1+1,(YEAR(B1444)-$Q$1)*12-$P$1+1+MONTH(B1444)))</f>
        <v>5</v>
      </c>
      <c r="Q1444" s="603">
        <f t="shared" si="206"/>
        <v>4</v>
      </c>
      <c r="R1444" s="604" t="str">
        <f t="shared" ref="R1444:R1450" si="207">SUBSTITUTE(D1444," ","_")</f>
        <v>Gastos_Gerais</v>
      </c>
      <c r="S1444" s="605" t="s">
        <v>310</v>
      </c>
      <c r="T1444" s="605" t="s">
        <v>310</v>
      </c>
    </row>
    <row r="1445" spans="1:20" s="88" customFormat="1" ht="48" x14ac:dyDescent="0.2">
      <c r="A1445" s="510">
        <f>IF(B1445="","",COUNT('Diário 1º PA'!$A$4:$A$2635)+ROW()-3)</f>
        <v>3178</v>
      </c>
      <c r="B1445" s="414">
        <v>44701</v>
      </c>
      <c r="C1445" s="431">
        <v>44621</v>
      </c>
      <c r="D1445" s="415" t="s">
        <v>271</v>
      </c>
      <c r="E1445" s="415" t="s">
        <v>456</v>
      </c>
      <c r="F1445" s="425">
        <v>930</v>
      </c>
      <c r="G1445" s="427" t="s">
        <v>3590</v>
      </c>
      <c r="H1445" s="419" t="s">
        <v>755</v>
      </c>
      <c r="I1445" s="427" t="s">
        <v>1461</v>
      </c>
      <c r="J1445" s="415" t="s">
        <v>310</v>
      </c>
      <c r="K1445" s="415" t="s">
        <v>1220</v>
      </c>
      <c r="L1445" s="415" t="s">
        <v>1368</v>
      </c>
      <c r="M1445" s="415" t="s">
        <v>310</v>
      </c>
      <c r="N1445" s="414">
        <v>44701</v>
      </c>
      <c r="O1445" s="414" t="s">
        <v>400</v>
      </c>
      <c r="P1445" s="603">
        <f t="shared" si="206"/>
        <v>5</v>
      </c>
      <c r="Q1445" s="603">
        <f t="shared" si="206"/>
        <v>3</v>
      </c>
      <c r="R1445" s="604" t="str">
        <f t="shared" si="207"/>
        <v>Gastos_Gerais</v>
      </c>
      <c r="S1445" s="605" t="s">
        <v>310</v>
      </c>
      <c r="T1445" s="605" t="s">
        <v>310</v>
      </c>
    </row>
    <row r="1446" spans="1:20" s="88" customFormat="1" ht="48" x14ac:dyDescent="0.2">
      <c r="A1446" s="510">
        <f>IF(B1446="","",COUNT('Diário 1º PA'!$A$4:$A$2635)+ROW()-3)</f>
        <v>3179</v>
      </c>
      <c r="B1446" s="414">
        <v>44701</v>
      </c>
      <c r="C1446" s="431">
        <v>44621</v>
      </c>
      <c r="D1446" s="415" t="s">
        <v>271</v>
      </c>
      <c r="E1446" s="415" t="s">
        <v>453</v>
      </c>
      <c r="F1446" s="425">
        <v>545.6</v>
      </c>
      <c r="G1446" s="427" t="s">
        <v>3640</v>
      </c>
      <c r="H1446" s="419" t="s">
        <v>757</v>
      </c>
      <c r="I1446" s="427" t="s">
        <v>1461</v>
      </c>
      <c r="J1446" s="415" t="s">
        <v>310</v>
      </c>
      <c r="K1446" s="415" t="s">
        <v>1220</v>
      </c>
      <c r="L1446" s="415" t="s">
        <v>1368</v>
      </c>
      <c r="M1446" s="415" t="s">
        <v>310</v>
      </c>
      <c r="N1446" s="414">
        <v>44701</v>
      </c>
      <c r="O1446" s="414" t="s">
        <v>400</v>
      </c>
      <c r="P1446" s="603">
        <f t="shared" si="206"/>
        <v>5</v>
      </c>
      <c r="Q1446" s="603">
        <f t="shared" si="206"/>
        <v>3</v>
      </c>
      <c r="R1446" s="604" t="str">
        <f t="shared" si="207"/>
        <v>Gastos_Gerais</v>
      </c>
      <c r="S1446" s="605" t="s">
        <v>310</v>
      </c>
      <c r="T1446" s="605" t="s">
        <v>310</v>
      </c>
    </row>
    <row r="1447" spans="1:20" s="88" customFormat="1" ht="24" x14ac:dyDescent="0.2">
      <c r="A1447" s="510">
        <f>IF(B1447="","",COUNT('Diário 1º PA'!$A$4:$A$2635)+ROW()-3)</f>
        <v>3180</v>
      </c>
      <c r="B1447" s="414">
        <v>44701</v>
      </c>
      <c r="C1447" s="424">
        <v>44652</v>
      </c>
      <c r="D1447" s="415" t="s">
        <v>182</v>
      </c>
      <c r="E1447" s="415" t="s">
        <v>1</v>
      </c>
      <c r="F1447" s="425">
        <v>16983.59</v>
      </c>
      <c r="G1447" s="427" t="s">
        <v>3904</v>
      </c>
      <c r="H1447" s="415" t="s">
        <v>310</v>
      </c>
      <c r="I1447" s="639" t="s">
        <v>1461</v>
      </c>
      <c r="J1447" s="415" t="s">
        <v>310</v>
      </c>
      <c r="K1447" s="415" t="s">
        <v>1220</v>
      </c>
      <c r="L1447" s="415" t="s">
        <v>1368</v>
      </c>
      <c r="M1447" s="415" t="s">
        <v>310</v>
      </c>
      <c r="N1447" s="414">
        <v>44701</v>
      </c>
      <c r="O1447" s="414" t="s">
        <v>400</v>
      </c>
      <c r="P1447" s="603">
        <f t="shared" si="206"/>
        <v>5</v>
      </c>
      <c r="Q1447" s="603">
        <f t="shared" si="206"/>
        <v>4</v>
      </c>
      <c r="R1447" s="604" t="str">
        <f t="shared" si="207"/>
        <v>Gastos_com_Pessoal</v>
      </c>
      <c r="S1447" s="605" t="s">
        <v>310</v>
      </c>
      <c r="T1447" s="605" t="s">
        <v>310</v>
      </c>
    </row>
    <row r="1448" spans="1:20" s="88" customFormat="1" ht="24" x14ac:dyDescent="0.2">
      <c r="A1448" s="510">
        <f>IF(B1448="","",COUNT('Diário 1º PA'!$A$4:$A$2635)+ROW()-3)</f>
        <v>3181</v>
      </c>
      <c r="B1448" s="414">
        <v>44701</v>
      </c>
      <c r="C1448" s="424">
        <v>44652</v>
      </c>
      <c r="D1448" s="415" t="s">
        <v>182</v>
      </c>
      <c r="E1448" s="415" t="s">
        <v>252</v>
      </c>
      <c r="F1448" s="425">
        <v>54628.67</v>
      </c>
      <c r="G1448" s="427" t="s">
        <v>4253</v>
      </c>
      <c r="H1448" s="415" t="s">
        <v>310</v>
      </c>
      <c r="I1448" s="639" t="s">
        <v>1461</v>
      </c>
      <c r="J1448" s="415" t="s">
        <v>310</v>
      </c>
      <c r="K1448" s="415" t="s">
        <v>1220</v>
      </c>
      <c r="L1448" s="415" t="s">
        <v>1368</v>
      </c>
      <c r="M1448" s="415" t="s">
        <v>310</v>
      </c>
      <c r="N1448" s="414">
        <v>44701</v>
      </c>
      <c r="O1448" s="414" t="s">
        <v>400</v>
      </c>
      <c r="P1448" s="603">
        <f t="shared" si="206"/>
        <v>5</v>
      </c>
      <c r="Q1448" s="603">
        <f t="shared" si="206"/>
        <v>4</v>
      </c>
      <c r="R1448" s="604" t="str">
        <f t="shared" si="207"/>
        <v>Gastos_com_Pessoal</v>
      </c>
      <c r="S1448" s="605" t="s">
        <v>310</v>
      </c>
      <c r="T1448" s="605" t="s">
        <v>310</v>
      </c>
    </row>
    <row r="1449" spans="1:20" s="88" customFormat="1" ht="24" x14ac:dyDescent="0.2">
      <c r="A1449" s="510">
        <f>IF(B1449="","",COUNT('Diário 1º PA'!$A$4:$A$2635)+ROW()-3)</f>
        <v>3182</v>
      </c>
      <c r="B1449" s="414">
        <v>44701</v>
      </c>
      <c r="C1449" s="424">
        <v>44652</v>
      </c>
      <c r="D1449" s="415" t="s">
        <v>468</v>
      </c>
      <c r="E1449" s="415" t="s">
        <v>468</v>
      </c>
      <c r="F1449" s="425">
        <v>2170</v>
      </c>
      <c r="G1449" s="440" t="s">
        <v>4272</v>
      </c>
      <c r="H1449" s="415" t="s">
        <v>468</v>
      </c>
      <c r="I1449" s="427" t="s">
        <v>1461</v>
      </c>
      <c r="J1449" s="415" t="s">
        <v>310</v>
      </c>
      <c r="K1449" s="415" t="s">
        <v>1220</v>
      </c>
      <c r="L1449" s="415" t="s">
        <v>1368</v>
      </c>
      <c r="M1449" s="415" t="s">
        <v>310</v>
      </c>
      <c r="N1449" s="414">
        <v>44701</v>
      </c>
      <c r="O1449" s="414" t="s">
        <v>400</v>
      </c>
      <c r="P1449" s="603">
        <f t="shared" si="206"/>
        <v>5</v>
      </c>
      <c r="Q1449" s="603">
        <f t="shared" si="206"/>
        <v>4</v>
      </c>
      <c r="R1449" s="604" t="str">
        <f t="shared" si="207"/>
        <v>Gastos_custeados_por_captação</v>
      </c>
      <c r="S1449" s="605" t="s">
        <v>310</v>
      </c>
      <c r="T1449" s="605" t="s">
        <v>310</v>
      </c>
    </row>
    <row r="1450" spans="1:20" ht="103.5" customHeight="1" x14ac:dyDescent="0.2">
      <c r="A1450" s="510">
        <f>IF(B1450="","",COUNT('Diário 1º PA'!$A$4:$A$2635)+ROW()-3)</f>
        <v>3183</v>
      </c>
      <c r="B1450" s="414">
        <v>44701</v>
      </c>
      <c r="C1450" s="592">
        <v>44682</v>
      </c>
      <c r="D1450" s="415" t="s">
        <v>271</v>
      </c>
      <c r="E1450" s="415" t="s">
        <v>71</v>
      </c>
      <c r="F1450" s="425">
        <v>11</v>
      </c>
      <c r="G1450" s="427" t="s">
        <v>4254</v>
      </c>
      <c r="H1450" s="419" t="s">
        <v>752</v>
      </c>
      <c r="I1450" s="427" t="s">
        <v>881</v>
      </c>
      <c r="J1450" s="415" t="s">
        <v>882</v>
      </c>
      <c r="K1450" s="415" t="s">
        <v>883</v>
      </c>
      <c r="L1450" s="415" t="s">
        <v>798</v>
      </c>
      <c r="M1450" s="415" t="s">
        <v>310</v>
      </c>
      <c r="N1450" s="414">
        <v>44701</v>
      </c>
      <c r="O1450" s="414" t="s">
        <v>400</v>
      </c>
      <c r="P1450" s="603">
        <f t="shared" si="206"/>
        <v>5</v>
      </c>
      <c r="Q1450" s="603">
        <f t="shared" si="206"/>
        <v>5</v>
      </c>
      <c r="R1450" s="604" t="str">
        <f t="shared" si="207"/>
        <v>Gastos_Gerais</v>
      </c>
      <c r="S1450" s="605" t="s">
        <v>310</v>
      </c>
      <c r="T1450" s="605" t="s">
        <v>310</v>
      </c>
    </row>
    <row r="1451" spans="1:20" ht="84" x14ac:dyDescent="0.2">
      <c r="A1451" s="510">
        <f>IF(B1451="","",COUNT('Diário 1º PA'!$A$4:$A$2635)+ROW()-3)</f>
        <v>3184</v>
      </c>
      <c r="B1451" s="414">
        <v>44701</v>
      </c>
      <c r="C1451" s="592">
        <v>44621</v>
      </c>
      <c r="D1451" s="415" t="s">
        <v>468</v>
      </c>
      <c r="E1451" s="415" t="s">
        <v>468</v>
      </c>
      <c r="F1451" s="425">
        <v>21300.11</v>
      </c>
      <c r="G1451" s="427" t="s">
        <v>1927</v>
      </c>
      <c r="H1451" s="419" t="s">
        <v>468</v>
      </c>
      <c r="I1451" s="427" t="s">
        <v>5127</v>
      </c>
      <c r="J1451" s="415" t="s">
        <v>1928</v>
      </c>
      <c r="K1451" s="415" t="s">
        <v>830</v>
      </c>
      <c r="L1451" s="415" t="s">
        <v>839</v>
      </c>
      <c r="M1451" s="415">
        <v>1780</v>
      </c>
      <c r="N1451" s="414">
        <v>44701</v>
      </c>
      <c r="O1451" s="414" t="s">
        <v>407</v>
      </c>
      <c r="P1451" s="603">
        <f t="shared" ref="P1451:P1456" si="208">IF(B1451=0,0,IF(YEAR(B1451)=$Q$1,MONTH(B1451)-$P$1+1,(YEAR(B1451)-$Q$1)*12-$P$1+1+MONTH(B1451)))</f>
        <v>5</v>
      </c>
      <c r="Q1451" s="603">
        <f t="shared" ref="Q1451:Q1456" si="209">IF(C1451=0,0,IF(YEAR(C1451)=$Q$1,MONTH(C1451)-$P$1+1,(YEAR(C1451)-$Q$1)*12-$P$1+1+MONTH(C1451)))</f>
        <v>3</v>
      </c>
      <c r="R1451" s="604" t="str">
        <f t="shared" ref="R1451:R1456" si="210">SUBSTITUTE(D1451," ","_")</f>
        <v>Gastos_custeados_por_captação</v>
      </c>
      <c r="S1451" s="605" t="s">
        <v>998</v>
      </c>
      <c r="T1451" s="605">
        <v>2989</v>
      </c>
    </row>
    <row r="1452" spans="1:20" ht="72" x14ac:dyDescent="0.2">
      <c r="A1452" s="510">
        <f>IF(B1452="","",COUNT('Diário 1º PA'!$A$4:$A$2635)+ROW()-3)</f>
        <v>3185</v>
      </c>
      <c r="B1452" s="414">
        <v>44701</v>
      </c>
      <c r="C1452" s="592">
        <v>44621</v>
      </c>
      <c r="D1452" s="415" t="s">
        <v>468</v>
      </c>
      <c r="E1452" s="415" t="s">
        <v>468</v>
      </c>
      <c r="F1452" s="425">
        <v>930</v>
      </c>
      <c r="G1452" s="427" t="s">
        <v>5128</v>
      </c>
      <c r="H1452" s="419" t="s">
        <v>468</v>
      </c>
      <c r="I1452" s="427" t="s">
        <v>795</v>
      </c>
      <c r="J1452" s="415" t="s">
        <v>796</v>
      </c>
      <c r="K1452" s="415" t="s">
        <v>806</v>
      </c>
      <c r="L1452" s="415" t="s">
        <v>798</v>
      </c>
      <c r="M1452" s="415" t="s">
        <v>310</v>
      </c>
      <c r="N1452" s="414">
        <v>44701</v>
      </c>
      <c r="O1452" s="414" t="s">
        <v>407</v>
      </c>
      <c r="P1452" s="603">
        <f t="shared" si="208"/>
        <v>5</v>
      </c>
      <c r="Q1452" s="603">
        <f t="shared" si="209"/>
        <v>3</v>
      </c>
      <c r="R1452" s="604" t="str">
        <f t="shared" si="210"/>
        <v>Gastos_custeados_por_captação</v>
      </c>
      <c r="S1452" s="605" t="s">
        <v>310</v>
      </c>
      <c r="T1452" s="605" t="s">
        <v>310</v>
      </c>
    </row>
    <row r="1453" spans="1:20" ht="72" x14ac:dyDescent="0.2">
      <c r="A1453" s="510">
        <f>IF(B1453="","",COUNT('Diário 1º PA'!$A$4:$A$2635)+ROW()-3)</f>
        <v>3186</v>
      </c>
      <c r="B1453" s="414">
        <v>44701</v>
      </c>
      <c r="C1453" s="592">
        <v>44621</v>
      </c>
      <c r="D1453" s="415" t="s">
        <v>468</v>
      </c>
      <c r="E1453" s="415" t="s">
        <v>468</v>
      </c>
      <c r="F1453" s="425">
        <v>1023</v>
      </c>
      <c r="G1453" s="427" t="s">
        <v>5129</v>
      </c>
      <c r="H1453" s="419" t="s">
        <v>468</v>
      </c>
      <c r="I1453" s="427" t="s">
        <v>795</v>
      </c>
      <c r="J1453" s="415" t="s">
        <v>796</v>
      </c>
      <c r="K1453" s="415" t="s">
        <v>806</v>
      </c>
      <c r="L1453" s="415" t="s">
        <v>798</v>
      </c>
      <c r="M1453" s="415" t="s">
        <v>310</v>
      </c>
      <c r="N1453" s="414">
        <v>44701</v>
      </c>
      <c r="O1453" s="414" t="s">
        <v>407</v>
      </c>
      <c r="P1453" s="603">
        <f t="shared" si="208"/>
        <v>5</v>
      </c>
      <c r="Q1453" s="603">
        <f t="shared" si="209"/>
        <v>3</v>
      </c>
      <c r="R1453" s="604" t="str">
        <f t="shared" si="210"/>
        <v>Gastos_custeados_por_captação</v>
      </c>
      <c r="S1453" s="605" t="s">
        <v>310</v>
      </c>
      <c r="T1453" s="605" t="s">
        <v>310</v>
      </c>
    </row>
    <row r="1454" spans="1:20" ht="72" x14ac:dyDescent="0.2">
      <c r="A1454" s="510">
        <f>IF(B1454="","",COUNT('Diário 1º PA'!$A$4:$A$2635)+ROW()-3)</f>
        <v>3187</v>
      </c>
      <c r="B1454" s="414">
        <v>44701</v>
      </c>
      <c r="C1454" s="592">
        <v>44621</v>
      </c>
      <c r="D1454" s="415" t="s">
        <v>468</v>
      </c>
      <c r="E1454" s="415" t="s">
        <v>468</v>
      </c>
      <c r="F1454" s="425">
        <v>1240</v>
      </c>
      <c r="G1454" s="427" t="s">
        <v>5130</v>
      </c>
      <c r="H1454" s="419" t="s">
        <v>468</v>
      </c>
      <c r="I1454" s="427" t="s">
        <v>795</v>
      </c>
      <c r="J1454" s="415" t="s">
        <v>796</v>
      </c>
      <c r="K1454" s="415" t="s">
        <v>806</v>
      </c>
      <c r="L1454" s="415" t="s">
        <v>798</v>
      </c>
      <c r="M1454" s="415" t="s">
        <v>310</v>
      </c>
      <c r="N1454" s="414">
        <v>44701</v>
      </c>
      <c r="O1454" s="414" t="s">
        <v>407</v>
      </c>
      <c r="P1454" s="603">
        <f t="shared" si="208"/>
        <v>5</v>
      </c>
      <c r="Q1454" s="603">
        <f t="shared" si="209"/>
        <v>3</v>
      </c>
      <c r="R1454" s="604" t="str">
        <f t="shared" si="210"/>
        <v>Gastos_custeados_por_captação</v>
      </c>
      <c r="S1454" s="605" t="s">
        <v>310</v>
      </c>
      <c r="T1454" s="605" t="s">
        <v>310</v>
      </c>
    </row>
    <row r="1455" spans="1:20" ht="72" x14ac:dyDescent="0.2">
      <c r="A1455" s="510">
        <f>IF(B1455="","",COUNT('Diário 1º PA'!$A$4:$A$2635)+ROW()-3)</f>
        <v>3188</v>
      </c>
      <c r="B1455" s="414">
        <v>44701</v>
      </c>
      <c r="C1455" s="592">
        <v>44652</v>
      </c>
      <c r="D1455" s="415" t="s">
        <v>468</v>
      </c>
      <c r="E1455" s="415" t="s">
        <v>468</v>
      </c>
      <c r="F1455" s="425">
        <v>372</v>
      </c>
      <c r="G1455" s="427" t="s">
        <v>5131</v>
      </c>
      <c r="H1455" s="419" t="s">
        <v>468</v>
      </c>
      <c r="I1455" s="427" t="s">
        <v>795</v>
      </c>
      <c r="J1455" s="415" t="s">
        <v>796</v>
      </c>
      <c r="K1455" s="415" t="s">
        <v>806</v>
      </c>
      <c r="L1455" s="415" t="s">
        <v>798</v>
      </c>
      <c r="M1455" s="415" t="s">
        <v>310</v>
      </c>
      <c r="N1455" s="414">
        <v>44701</v>
      </c>
      <c r="O1455" s="414" t="s">
        <v>407</v>
      </c>
      <c r="P1455" s="603">
        <f t="shared" si="208"/>
        <v>5</v>
      </c>
      <c r="Q1455" s="603">
        <f t="shared" si="209"/>
        <v>4</v>
      </c>
      <c r="R1455" s="604" t="str">
        <f t="shared" si="210"/>
        <v>Gastos_custeados_por_captação</v>
      </c>
      <c r="S1455" s="605" t="s">
        <v>310</v>
      </c>
      <c r="T1455" s="605" t="s">
        <v>310</v>
      </c>
    </row>
    <row r="1456" spans="1:20" ht="72" x14ac:dyDescent="0.2">
      <c r="A1456" s="510">
        <f>IF(B1456="","",COUNT('Diário 1º PA'!$A$4:$A$2635)+ROW()-3)</f>
        <v>3189</v>
      </c>
      <c r="B1456" s="414">
        <v>44701</v>
      </c>
      <c r="C1456" s="592">
        <v>44652</v>
      </c>
      <c r="D1456" s="415" t="s">
        <v>468</v>
      </c>
      <c r="E1456" s="415" t="s">
        <v>468</v>
      </c>
      <c r="F1456" s="425">
        <v>372</v>
      </c>
      <c r="G1456" s="427" t="s">
        <v>5132</v>
      </c>
      <c r="H1456" s="419" t="s">
        <v>468</v>
      </c>
      <c r="I1456" s="427" t="s">
        <v>795</v>
      </c>
      <c r="J1456" s="415" t="s">
        <v>796</v>
      </c>
      <c r="K1456" s="415" t="s">
        <v>806</v>
      </c>
      <c r="L1456" s="415" t="s">
        <v>798</v>
      </c>
      <c r="M1456" s="415" t="s">
        <v>310</v>
      </c>
      <c r="N1456" s="414">
        <v>44701</v>
      </c>
      <c r="O1456" s="414" t="s">
        <v>407</v>
      </c>
      <c r="P1456" s="603">
        <f t="shared" si="208"/>
        <v>5</v>
      </c>
      <c r="Q1456" s="603">
        <f t="shared" si="209"/>
        <v>4</v>
      </c>
      <c r="R1456" s="604" t="str">
        <f t="shared" si="210"/>
        <v>Gastos_custeados_por_captação</v>
      </c>
      <c r="S1456" s="605" t="s">
        <v>310</v>
      </c>
      <c r="T1456" s="605" t="s">
        <v>310</v>
      </c>
    </row>
    <row r="1457" spans="1:20" ht="72" x14ac:dyDescent="0.2">
      <c r="A1457" s="510">
        <f>IF(B1457="","",COUNT('Diário 1º PA'!$A$4:$A$2635)+ROW()-3)</f>
        <v>3190</v>
      </c>
      <c r="B1457" s="414">
        <v>44701</v>
      </c>
      <c r="C1457" s="592">
        <v>44621</v>
      </c>
      <c r="D1457" s="415" t="s">
        <v>468</v>
      </c>
      <c r="E1457" s="415" t="s">
        <v>468</v>
      </c>
      <c r="F1457" s="425">
        <v>356.5</v>
      </c>
      <c r="G1457" s="427" t="s">
        <v>5133</v>
      </c>
      <c r="H1457" s="419" t="s">
        <v>468</v>
      </c>
      <c r="I1457" s="427" t="s">
        <v>795</v>
      </c>
      <c r="J1457" s="415" t="s">
        <v>796</v>
      </c>
      <c r="K1457" s="415" t="s">
        <v>806</v>
      </c>
      <c r="L1457" s="415" t="s">
        <v>798</v>
      </c>
      <c r="M1457" s="415" t="s">
        <v>310</v>
      </c>
      <c r="N1457" s="414">
        <v>44701</v>
      </c>
      <c r="O1457" s="414" t="s">
        <v>407</v>
      </c>
      <c r="P1457" s="603">
        <f>IF(B1457=0,0,IF(YEAR(B1457)=$Q$1,MONTH(B1457)-$P$1+1,(YEAR(B1457)-$Q$1)*12-$P$1+1+MONTH(B1457)))</f>
        <v>5</v>
      </c>
      <c r="Q1457" s="603">
        <f>IF(C1457=0,0,IF(YEAR(C1457)=$Q$1,MONTH(C1457)-$P$1+1,(YEAR(C1457)-$Q$1)*12-$P$1+1+MONTH(C1457)))</f>
        <v>3</v>
      </c>
      <c r="R1457" s="604" t="str">
        <f>SUBSTITUTE(D1457," ","_")</f>
        <v>Gastos_custeados_por_captação</v>
      </c>
      <c r="S1457" s="605" t="s">
        <v>310</v>
      </c>
      <c r="T1457" s="605" t="s">
        <v>310</v>
      </c>
    </row>
    <row r="1458" spans="1:20" ht="72" x14ac:dyDescent="0.2">
      <c r="A1458" s="510">
        <f>IF(B1458="","",COUNT('Diário 1º PA'!$A$4:$A$2635)+ROW()-3)</f>
        <v>3191</v>
      </c>
      <c r="B1458" s="414">
        <v>44701</v>
      </c>
      <c r="C1458" s="592">
        <v>44621</v>
      </c>
      <c r="D1458" s="415" t="s">
        <v>468</v>
      </c>
      <c r="E1458" s="415" t="s">
        <v>468</v>
      </c>
      <c r="F1458" s="425">
        <v>16.5</v>
      </c>
      <c r="G1458" s="427" t="s">
        <v>5166</v>
      </c>
      <c r="H1458" s="419" t="s">
        <v>468</v>
      </c>
      <c r="I1458" s="427" t="s">
        <v>795</v>
      </c>
      <c r="J1458" s="415" t="s">
        <v>796</v>
      </c>
      <c r="K1458" s="415" t="s">
        <v>806</v>
      </c>
      <c r="L1458" s="415" t="s">
        <v>798</v>
      </c>
      <c r="M1458" s="415" t="s">
        <v>310</v>
      </c>
      <c r="N1458" s="414">
        <v>44701</v>
      </c>
      <c r="O1458" s="414" t="s">
        <v>407</v>
      </c>
      <c r="P1458" s="603">
        <f t="shared" ref="P1458:P1466" si="211">IF(B1458=0,0,IF(YEAR(B1458)=$Q$1,MONTH(B1458)-$P$1+1,(YEAR(B1458)-$Q$1)*12-$P$1+1+MONTH(B1458)))</f>
        <v>5</v>
      </c>
      <c r="Q1458" s="603">
        <f t="shared" ref="Q1458:Q1466" si="212">IF(C1458=0,0,IF(YEAR(C1458)=$Q$1,MONTH(C1458)-$P$1+1,(YEAR(C1458)-$Q$1)*12-$P$1+1+MONTH(C1458)))</f>
        <v>3</v>
      </c>
      <c r="R1458" s="604" t="str">
        <f t="shared" ref="R1458:R1466" si="213">SUBSTITUTE(D1458," ","_")</f>
        <v>Gastos_custeados_por_captação</v>
      </c>
      <c r="S1458" s="605" t="s">
        <v>310</v>
      </c>
      <c r="T1458" s="605" t="s">
        <v>310</v>
      </c>
    </row>
    <row r="1459" spans="1:20" ht="72" x14ac:dyDescent="0.2">
      <c r="A1459" s="510">
        <f>IF(B1459="","",COUNT('Diário 1º PA'!$A$4:$A$2635)+ROW()-3)</f>
        <v>3192</v>
      </c>
      <c r="B1459" s="414">
        <v>44701</v>
      </c>
      <c r="C1459" s="592">
        <v>44621</v>
      </c>
      <c r="D1459" s="415" t="s">
        <v>468</v>
      </c>
      <c r="E1459" s="415" t="s">
        <v>468</v>
      </c>
      <c r="F1459" s="425">
        <v>209.05</v>
      </c>
      <c r="G1459" s="640" t="s">
        <v>5134</v>
      </c>
      <c r="H1459" s="419" t="s">
        <v>468</v>
      </c>
      <c r="I1459" s="427" t="s">
        <v>1461</v>
      </c>
      <c r="J1459" s="415" t="s">
        <v>310</v>
      </c>
      <c r="K1459" s="415" t="s">
        <v>1220</v>
      </c>
      <c r="L1459" s="415" t="s">
        <v>1368</v>
      </c>
      <c r="M1459" s="415" t="s">
        <v>310</v>
      </c>
      <c r="N1459" s="414">
        <v>44701</v>
      </c>
      <c r="O1459" s="414" t="s">
        <v>407</v>
      </c>
      <c r="P1459" s="603">
        <f t="shared" si="211"/>
        <v>5</v>
      </c>
      <c r="Q1459" s="603">
        <f t="shared" si="212"/>
        <v>3</v>
      </c>
      <c r="R1459" s="604" t="str">
        <f t="shared" si="213"/>
        <v>Gastos_custeados_por_captação</v>
      </c>
      <c r="S1459" s="605" t="s">
        <v>310</v>
      </c>
      <c r="T1459" s="605" t="s">
        <v>310</v>
      </c>
    </row>
    <row r="1460" spans="1:20" ht="72" x14ac:dyDescent="0.2">
      <c r="A1460" s="510">
        <f>IF(B1460="","",COUNT('Diário 1º PA'!$A$4:$A$2635)+ROW()-3)</f>
        <v>3193</v>
      </c>
      <c r="B1460" s="414">
        <v>44701</v>
      </c>
      <c r="C1460" s="592">
        <v>44621</v>
      </c>
      <c r="D1460" s="415" t="s">
        <v>468</v>
      </c>
      <c r="E1460" s="415" t="s">
        <v>468</v>
      </c>
      <c r="F1460" s="425">
        <v>495</v>
      </c>
      <c r="G1460" s="640" t="s">
        <v>5164</v>
      </c>
      <c r="H1460" s="419" t="s">
        <v>468</v>
      </c>
      <c r="I1460" s="427" t="s">
        <v>1461</v>
      </c>
      <c r="J1460" s="415" t="s">
        <v>310</v>
      </c>
      <c r="K1460" s="415" t="s">
        <v>1220</v>
      </c>
      <c r="L1460" s="415" t="s">
        <v>1368</v>
      </c>
      <c r="M1460" s="415" t="s">
        <v>310</v>
      </c>
      <c r="N1460" s="414">
        <v>44701</v>
      </c>
      <c r="O1460" s="414" t="s">
        <v>407</v>
      </c>
      <c r="P1460" s="603">
        <f t="shared" si="211"/>
        <v>5</v>
      </c>
      <c r="Q1460" s="603">
        <f t="shared" si="212"/>
        <v>3</v>
      </c>
      <c r="R1460" s="604" t="str">
        <f t="shared" si="213"/>
        <v>Gastos_custeados_por_captação</v>
      </c>
      <c r="S1460" s="605" t="s">
        <v>310</v>
      </c>
      <c r="T1460" s="605" t="s">
        <v>310</v>
      </c>
    </row>
    <row r="1461" spans="1:20" ht="72" x14ac:dyDescent="0.2">
      <c r="A1461" s="510">
        <f>IF(B1461="","",COUNT('Diário 1º PA'!$A$4:$A$2635)+ROW()-3)</f>
        <v>3194</v>
      </c>
      <c r="B1461" s="414">
        <v>44701</v>
      </c>
      <c r="C1461" s="592">
        <v>44621</v>
      </c>
      <c r="D1461" s="415" t="s">
        <v>468</v>
      </c>
      <c r="E1461" s="415" t="s">
        <v>468</v>
      </c>
      <c r="F1461" s="425">
        <v>440</v>
      </c>
      <c r="G1461" s="640" t="s">
        <v>5139</v>
      </c>
      <c r="H1461" s="419" t="s">
        <v>468</v>
      </c>
      <c r="I1461" s="427" t="s">
        <v>4247</v>
      </c>
      <c r="J1461" s="415" t="s">
        <v>310</v>
      </c>
      <c r="K1461" s="415" t="s">
        <v>1220</v>
      </c>
      <c r="L1461" s="415" t="s">
        <v>3443</v>
      </c>
      <c r="M1461" s="415" t="s">
        <v>310</v>
      </c>
      <c r="N1461" s="414">
        <v>44701</v>
      </c>
      <c r="O1461" s="414" t="s">
        <v>407</v>
      </c>
      <c r="P1461" s="603">
        <f t="shared" si="211"/>
        <v>5</v>
      </c>
      <c r="Q1461" s="603">
        <f t="shared" si="212"/>
        <v>3</v>
      </c>
      <c r="R1461" s="604" t="str">
        <f t="shared" si="213"/>
        <v>Gastos_custeados_por_captação</v>
      </c>
      <c r="S1461" s="605" t="s">
        <v>310</v>
      </c>
      <c r="T1461" s="605" t="s">
        <v>310</v>
      </c>
    </row>
    <row r="1462" spans="1:20" ht="72" x14ac:dyDescent="0.2">
      <c r="A1462" s="510">
        <f>IF(B1462="","",COUNT('Diário 1º PA'!$A$4:$A$2635)+ROW()-3)</f>
        <v>3195</v>
      </c>
      <c r="B1462" s="414">
        <v>44701</v>
      </c>
      <c r="C1462" s="592">
        <v>44621</v>
      </c>
      <c r="D1462" s="415" t="s">
        <v>468</v>
      </c>
      <c r="E1462" s="415" t="s">
        <v>468</v>
      </c>
      <c r="F1462" s="425">
        <v>676.39</v>
      </c>
      <c r="G1462" s="640" t="s">
        <v>5163</v>
      </c>
      <c r="H1462" s="419" t="s">
        <v>468</v>
      </c>
      <c r="I1462" s="427" t="s">
        <v>1461</v>
      </c>
      <c r="J1462" s="415" t="s">
        <v>310</v>
      </c>
      <c r="K1462" s="415" t="s">
        <v>1220</v>
      </c>
      <c r="L1462" s="415" t="s">
        <v>1368</v>
      </c>
      <c r="M1462" s="415" t="s">
        <v>310</v>
      </c>
      <c r="N1462" s="414">
        <v>44701</v>
      </c>
      <c r="O1462" s="414" t="s">
        <v>407</v>
      </c>
      <c r="P1462" s="603">
        <f t="shared" si="211"/>
        <v>5</v>
      </c>
      <c r="Q1462" s="603">
        <f t="shared" si="212"/>
        <v>3</v>
      </c>
      <c r="R1462" s="604" t="str">
        <f t="shared" si="213"/>
        <v>Gastos_custeados_por_captação</v>
      </c>
      <c r="S1462" s="605" t="s">
        <v>310</v>
      </c>
      <c r="T1462" s="605" t="s">
        <v>310</v>
      </c>
    </row>
    <row r="1463" spans="1:20" ht="72" x14ac:dyDescent="0.2">
      <c r="A1463" s="510">
        <f>IF(B1463="","",COUNT('Diário 1º PA'!$A$4:$A$2635)+ROW()-3)</f>
        <v>3196</v>
      </c>
      <c r="B1463" s="414">
        <v>44701</v>
      </c>
      <c r="C1463" s="592">
        <v>44621</v>
      </c>
      <c r="D1463" s="415" t="s">
        <v>468</v>
      </c>
      <c r="E1463" s="415" t="s">
        <v>468</v>
      </c>
      <c r="F1463" s="425">
        <v>23.25</v>
      </c>
      <c r="G1463" s="640" t="s">
        <v>5135</v>
      </c>
      <c r="H1463" s="419" t="s">
        <v>468</v>
      </c>
      <c r="I1463" s="427" t="s">
        <v>1461</v>
      </c>
      <c r="J1463" s="415" t="s">
        <v>310</v>
      </c>
      <c r="K1463" s="415" t="s">
        <v>1220</v>
      </c>
      <c r="L1463" s="415" t="s">
        <v>1368</v>
      </c>
      <c r="M1463" s="415" t="s">
        <v>310</v>
      </c>
      <c r="N1463" s="414">
        <v>44701</v>
      </c>
      <c r="O1463" s="414" t="s">
        <v>407</v>
      </c>
      <c r="P1463" s="603">
        <f t="shared" si="211"/>
        <v>5</v>
      </c>
      <c r="Q1463" s="603">
        <f t="shared" si="212"/>
        <v>3</v>
      </c>
      <c r="R1463" s="604" t="str">
        <f t="shared" si="213"/>
        <v>Gastos_custeados_por_captação</v>
      </c>
      <c r="S1463" s="605" t="s">
        <v>310</v>
      </c>
      <c r="T1463" s="605" t="s">
        <v>310</v>
      </c>
    </row>
    <row r="1464" spans="1:20" ht="72" x14ac:dyDescent="0.2">
      <c r="A1464" s="510">
        <f>IF(B1464="","",COUNT('Diário 1º PA'!$A$4:$A$2635)+ROW()-3)</f>
        <v>3197</v>
      </c>
      <c r="B1464" s="414">
        <v>44701</v>
      </c>
      <c r="C1464" s="592">
        <v>44621</v>
      </c>
      <c r="D1464" s="415" t="s">
        <v>468</v>
      </c>
      <c r="E1464" s="415" t="s">
        <v>468</v>
      </c>
      <c r="F1464" s="425">
        <v>7200</v>
      </c>
      <c r="G1464" s="640" t="s">
        <v>2398</v>
      </c>
      <c r="H1464" s="419" t="s">
        <v>468</v>
      </c>
      <c r="I1464" s="427" t="s">
        <v>5136</v>
      </c>
      <c r="J1464" s="415" t="s">
        <v>1111</v>
      </c>
      <c r="K1464" s="415" t="s">
        <v>830</v>
      </c>
      <c r="L1464" s="415" t="s">
        <v>807</v>
      </c>
      <c r="M1464" s="415" t="s">
        <v>1503</v>
      </c>
      <c r="N1464" s="414">
        <v>44699</v>
      </c>
      <c r="O1464" s="414" t="s">
        <v>407</v>
      </c>
      <c r="P1464" s="603">
        <f t="shared" si="211"/>
        <v>5</v>
      </c>
      <c r="Q1464" s="603">
        <f t="shared" si="212"/>
        <v>3</v>
      </c>
      <c r="R1464" s="604" t="str">
        <f t="shared" si="213"/>
        <v>Gastos_custeados_por_captação</v>
      </c>
      <c r="S1464" s="605" t="s">
        <v>998</v>
      </c>
      <c r="T1464" s="605">
        <v>3087</v>
      </c>
    </row>
    <row r="1465" spans="1:20" ht="72" x14ac:dyDescent="0.2">
      <c r="A1465" s="510">
        <f>IF(B1465="","",COUNT('Diário 1º PA'!$A$4:$A$2635)+ROW()-3)</f>
        <v>3198</v>
      </c>
      <c r="B1465" s="414">
        <v>44701</v>
      </c>
      <c r="C1465" s="592">
        <v>44713</v>
      </c>
      <c r="D1465" s="415" t="s">
        <v>468</v>
      </c>
      <c r="E1465" s="415" t="s">
        <v>468</v>
      </c>
      <c r="F1465" s="425">
        <v>3690</v>
      </c>
      <c r="G1465" s="640" t="s">
        <v>3893</v>
      </c>
      <c r="H1465" s="419" t="s">
        <v>468</v>
      </c>
      <c r="I1465" s="427" t="s">
        <v>1302</v>
      </c>
      <c r="J1465" s="415" t="s">
        <v>1066</v>
      </c>
      <c r="K1465" s="415" t="s">
        <v>830</v>
      </c>
      <c r="L1465" s="415" t="s">
        <v>807</v>
      </c>
      <c r="M1465" s="415">
        <v>68210</v>
      </c>
      <c r="N1465" s="414">
        <v>44673</v>
      </c>
      <c r="O1465" s="414" t="s">
        <v>407</v>
      </c>
      <c r="P1465" s="603">
        <f t="shared" si="211"/>
        <v>5</v>
      </c>
      <c r="Q1465" s="603">
        <f t="shared" si="212"/>
        <v>6</v>
      </c>
      <c r="R1465" s="604" t="str">
        <f t="shared" si="213"/>
        <v>Gastos_custeados_por_captação</v>
      </c>
      <c r="S1465" s="605" t="s">
        <v>999</v>
      </c>
      <c r="T1465" s="605">
        <v>3488</v>
      </c>
    </row>
    <row r="1466" spans="1:20" ht="72" x14ac:dyDescent="0.2">
      <c r="A1466" s="510">
        <f>IF(B1466="","",COUNT('Diário 1º PA'!$A$4:$A$2635)+ROW()-3)</f>
        <v>3199</v>
      </c>
      <c r="B1466" s="414">
        <v>44701</v>
      </c>
      <c r="C1466" s="592">
        <v>44621</v>
      </c>
      <c r="D1466" s="415" t="s">
        <v>468</v>
      </c>
      <c r="E1466" s="415" t="s">
        <v>468</v>
      </c>
      <c r="F1466" s="425">
        <v>16000</v>
      </c>
      <c r="G1466" s="640" t="s">
        <v>2397</v>
      </c>
      <c r="H1466" s="419" t="s">
        <v>468</v>
      </c>
      <c r="I1466" s="427" t="s">
        <v>5137</v>
      </c>
      <c r="J1466" s="415" t="s">
        <v>1116</v>
      </c>
      <c r="K1466" s="415" t="s">
        <v>830</v>
      </c>
      <c r="L1466" s="415" t="s">
        <v>807</v>
      </c>
      <c r="M1466" s="415">
        <v>220</v>
      </c>
      <c r="N1466" s="414">
        <v>44697</v>
      </c>
      <c r="O1466" s="414" t="s">
        <v>407</v>
      </c>
      <c r="P1466" s="603">
        <f t="shared" si="211"/>
        <v>5</v>
      </c>
      <c r="Q1466" s="603">
        <f t="shared" si="212"/>
        <v>3</v>
      </c>
      <c r="R1466" s="604" t="str">
        <f t="shared" si="213"/>
        <v>Gastos_custeados_por_captação</v>
      </c>
      <c r="S1466" s="605" t="s">
        <v>998</v>
      </c>
      <c r="T1466" s="605">
        <v>3091</v>
      </c>
    </row>
    <row r="1467" spans="1:20" ht="72" x14ac:dyDescent="0.2">
      <c r="A1467" s="510">
        <f>IF(B1467="","",COUNT('Diário 1º PA'!$A$4:$A$2635)+ROW()-3)</f>
        <v>3200</v>
      </c>
      <c r="B1467" s="414">
        <v>44701</v>
      </c>
      <c r="C1467" s="592">
        <v>44652</v>
      </c>
      <c r="D1467" s="415" t="s">
        <v>468</v>
      </c>
      <c r="E1467" s="415" t="s">
        <v>468</v>
      </c>
      <c r="F1467" s="425">
        <v>202.87</v>
      </c>
      <c r="G1467" s="640" t="s">
        <v>3531</v>
      </c>
      <c r="H1467" s="419" t="s">
        <v>468</v>
      </c>
      <c r="I1467" s="427" t="s">
        <v>5138</v>
      </c>
      <c r="J1467" s="415" t="s">
        <v>3532</v>
      </c>
      <c r="K1467" s="415" t="s">
        <v>830</v>
      </c>
      <c r="L1467" s="415" t="s">
        <v>807</v>
      </c>
      <c r="M1467" s="415">
        <v>3902</v>
      </c>
      <c r="N1467" s="414">
        <v>44673</v>
      </c>
      <c r="O1467" s="414" t="s">
        <v>407</v>
      </c>
      <c r="P1467" s="603">
        <f t="shared" ref="P1467:P1503" si="214">IF(B1467=0,0,IF(YEAR(B1467)=$Q$1,MONTH(B1467)-$P$1+1,(YEAR(B1467)-$Q$1)*12-$P$1+1+MONTH(B1467)))</f>
        <v>5</v>
      </c>
      <c r="Q1467" s="603">
        <f t="shared" ref="Q1467:Q1503" si="215">IF(C1467=0,0,IF(YEAR(C1467)=$Q$1,MONTH(C1467)-$P$1+1,(YEAR(C1467)-$Q$1)*12-$P$1+1+MONTH(C1467)))</f>
        <v>4</v>
      </c>
      <c r="R1467" s="604" t="str">
        <f t="shared" ref="R1467:R1503" si="216">SUBSTITUTE(D1467," ","_")</f>
        <v>Gastos_custeados_por_captação</v>
      </c>
      <c r="S1467" s="605" t="s">
        <v>999</v>
      </c>
      <c r="T1467" s="605">
        <v>3485</v>
      </c>
    </row>
    <row r="1468" spans="1:20" ht="72" x14ac:dyDescent="0.2">
      <c r="A1468" s="510">
        <f>IF(B1468="","",COUNT('Diário 1º PA'!$A$4:$A$2635)+ROW()-3)</f>
        <v>3201</v>
      </c>
      <c r="B1468" s="414">
        <v>44701</v>
      </c>
      <c r="C1468" s="592">
        <v>44621</v>
      </c>
      <c r="D1468" s="415" t="s">
        <v>468</v>
      </c>
      <c r="E1468" s="415" t="s">
        <v>468</v>
      </c>
      <c r="F1468" s="425">
        <v>57.45</v>
      </c>
      <c r="G1468" s="427" t="s">
        <v>5140</v>
      </c>
      <c r="H1468" s="419" t="s">
        <v>468</v>
      </c>
      <c r="I1468" s="427" t="s">
        <v>1461</v>
      </c>
      <c r="J1468" s="415" t="s">
        <v>310</v>
      </c>
      <c r="K1468" s="415" t="s">
        <v>1220</v>
      </c>
      <c r="L1468" s="415" t="s">
        <v>1368</v>
      </c>
      <c r="M1468" s="415" t="s">
        <v>310</v>
      </c>
      <c r="N1468" s="414">
        <v>44701</v>
      </c>
      <c r="O1468" s="414" t="s">
        <v>407</v>
      </c>
      <c r="P1468" s="603">
        <f t="shared" si="214"/>
        <v>5</v>
      </c>
      <c r="Q1468" s="603">
        <f t="shared" si="215"/>
        <v>3</v>
      </c>
      <c r="R1468" s="604" t="str">
        <f t="shared" si="216"/>
        <v>Gastos_custeados_por_captação</v>
      </c>
      <c r="S1468" s="605" t="s">
        <v>310</v>
      </c>
      <c r="T1468" s="605" t="s">
        <v>310</v>
      </c>
    </row>
    <row r="1469" spans="1:20" ht="72" x14ac:dyDescent="0.2">
      <c r="A1469" s="510">
        <f>IF(B1469="","",COUNT('Diário 1º PA'!$A$4:$A$2635)+ROW()-3)</f>
        <v>3202</v>
      </c>
      <c r="B1469" s="414">
        <v>44701</v>
      </c>
      <c r="C1469" s="592">
        <v>44621</v>
      </c>
      <c r="D1469" s="415" t="s">
        <v>468</v>
      </c>
      <c r="E1469" s="415" t="s">
        <v>468</v>
      </c>
      <c r="F1469" s="425">
        <v>85.75</v>
      </c>
      <c r="G1469" s="427" t="s">
        <v>5141</v>
      </c>
      <c r="H1469" s="419" t="s">
        <v>468</v>
      </c>
      <c r="I1469" s="427" t="s">
        <v>1461</v>
      </c>
      <c r="J1469" s="415" t="s">
        <v>310</v>
      </c>
      <c r="K1469" s="415" t="s">
        <v>1220</v>
      </c>
      <c r="L1469" s="415" t="s">
        <v>1368</v>
      </c>
      <c r="M1469" s="415" t="s">
        <v>310</v>
      </c>
      <c r="N1469" s="414">
        <v>44701</v>
      </c>
      <c r="O1469" s="414" t="s">
        <v>407</v>
      </c>
      <c r="P1469" s="603">
        <f t="shared" si="214"/>
        <v>5</v>
      </c>
      <c r="Q1469" s="603">
        <f t="shared" si="215"/>
        <v>3</v>
      </c>
      <c r="R1469" s="604" t="str">
        <f t="shared" si="216"/>
        <v>Gastos_custeados_por_captação</v>
      </c>
      <c r="S1469" s="605" t="s">
        <v>310</v>
      </c>
      <c r="T1469" s="605" t="s">
        <v>310</v>
      </c>
    </row>
    <row r="1470" spans="1:20" ht="72" x14ac:dyDescent="0.2">
      <c r="A1470" s="510">
        <f>IF(B1470="","",COUNT('Diário 1º PA'!$A$4:$A$2635)+ROW()-3)</f>
        <v>3203</v>
      </c>
      <c r="B1470" s="414">
        <v>44701</v>
      </c>
      <c r="C1470" s="592">
        <v>44621</v>
      </c>
      <c r="D1470" s="415" t="s">
        <v>468</v>
      </c>
      <c r="E1470" s="415" t="s">
        <v>468</v>
      </c>
      <c r="F1470" s="425">
        <v>179.2</v>
      </c>
      <c r="G1470" s="427" t="s">
        <v>5142</v>
      </c>
      <c r="H1470" s="419" t="s">
        <v>468</v>
      </c>
      <c r="I1470" s="427" t="s">
        <v>1461</v>
      </c>
      <c r="J1470" s="415" t="s">
        <v>310</v>
      </c>
      <c r="K1470" s="415" t="s">
        <v>1220</v>
      </c>
      <c r="L1470" s="415" t="s">
        <v>1368</v>
      </c>
      <c r="M1470" s="415" t="s">
        <v>310</v>
      </c>
      <c r="N1470" s="414">
        <v>44701</v>
      </c>
      <c r="O1470" s="414" t="s">
        <v>407</v>
      </c>
      <c r="P1470" s="603">
        <f t="shared" si="214"/>
        <v>5</v>
      </c>
      <c r="Q1470" s="603">
        <f t="shared" si="215"/>
        <v>3</v>
      </c>
      <c r="R1470" s="604" t="str">
        <f t="shared" si="216"/>
        <v>Gastos_custeados_por_captação</v>
      </c>
      <c r="S1470" s="605" t="s">
        <v>310</v>
      </c>
      <c r="T1470" s="605" t="s">
        <v>310</v>
      </c>
    </row>
    <row r="1471" spans="1:20" ht="119.25" customHeight="1" x14ac:dyDescent="0.2">
      <c r="A1471" s="510">
        <f>IF(B1471="","",COUNT('Diário 1º PA'!$A$4:$A$2635)+ROW()-3)</f>
        <v>3204</v>
      </c>
      <c r="B1471" s="414">
        <v>44701</v>
      </c>
      <c r="C1471" s="592">
        <v>44621</v>
      </c>
      <c r="D1471" s="415" t="s">
        <v>468</v>
      </c>
      <c r="E1471" s="415" t="s">
        <v>468</v>
      </c>
      <c r="F1471" s="425">
        <v>45</v>
      </c>
      <c r="G1471" s="427" t="s">
        <v>5143</v>
      </c>
      <c r="H1471" s="419" t="s">
        <v>468</v>
      </c>
      <c r="I1471" s="427" t="s">
        <v>1461</v>
      </c>
      <c r="J1471" s="415" t="s">
        <v>310</v>
      </c>
      <c r="K1471" s="415" t="s">
        <v>1220</v>
      </c>
      <c r="L1471" s="415" t="s">
        <v>1368</v>
      </c>
      <c r="M1471" s="415" t="s">
        <v>310</v>
      </c>
      <c r="N1471" s="414">
        <v>44701</v>
      </c>
      <c r="O1471" s="414" t="s">
        <v>407</v>
      </c>
      <c r="P1471" s="603">
        <f t="shared" si="214"/>
        <v>5</v>
      </c>
      <c r="Q1471" s="603">
        <f t="shared" si="215"/>
        <v>3</v>
      </c>
      <c r="R1471" s="604" t="str">
        <f t="shared" si="216"/>
        <v>Gastos_custeados_por_captação</v>
      </c>
      <c r="S1471" s="605" t="s">
        <v>310</v>
      </c>
      <c r="T1471" s="605" t="s">
        <v>310</v>
      </c>
    </row>
    <row r="1472" spans="1:20" s="88" customFormat="1" ht="119.25" customHeight="1" x14ac:dyDescent="0.2">
      <c r="A1472" s="510">
        <f>IF(B1472="","",COUNT('Diário 1º PA'!$A$4:$A$2635)+ROW()-3)</f>
        <v>3205</v>
      </c>
      <c r="B1472" s="414">
        <v>44701</v>
      </c>
      <c r="C1472" s="592">
        <v>44621</v>
      </c>
      <c r="D1472" s="415" t="s">
        <v>468</v>
      </c>
      <c r="E1472" s="415" t="s">
        <v>468</v>
      </c>
      <c r="F1472" s="425">
        <v>2231</v>
      </c>
      <c r="G1472" s="427" t="s">
        <v>3330</v>
      </c>
      <c r="H1472" s="419" t="s">
        <v>468</v>
      </c>
      <c r="I1472" s="482" t="s">
        <v>4787</v>
      </c>
      <c r="J1472" s="521" t="s">
        <v>1075</v>
      </c>
      <c r="K1472" s="415" t="s">
        <v>830</v>
      </c>
      <c r="L1472" s="415" t="s">
        <v>807</v>
      </c>
      <c r="M1472" s="521" t="s">
        <v>1700</v>
      </c>
      <c r="N1472" s="414">
        <v>44699</v>
      </c>
      <c r="O1472" s="414" t="s">
        <v>407</v>
      </c>
      <c r="P1472" s="603">
        <f t="shared" si="214"/>
        <v>5</v>
      </c>
      <c r="Q1472" s="603">
        <f t="shared" si="215"/>
        <v>3</v>
      </c>
      <c r="R1472" s="604" t="str">
        <f t="shared" si="216"/>
        <v>Gastos_custeados_por_captação</v>
      </c>
      <c r="S1472" s="605" t="s">
        <v>1000</v>
      </c>
      <c r="T1472" s="605">
        <v>3406</v>
      </c>
    </row>
    <row r="1473" spans="1:20" s="88" customFormat="1" ht="119.25" customHeight="1" x14ac:dyDescent="0.2">
      <c r="A1473" s="510">
        <f>IF(B1473="","",COUNT('Diário 1º PA'!$A$4:$A$2635)+ROW()-3)</f>
        <v>3206</v>
      </c>
      <c r="B1473" s="414">
        <v>44701</v>
      </c>
      <c r="C1473" s="592">
        <v>44682</v>
      </c>
      <c r="D1473" s="415" t="s">
        <v>468</v>
      </c>
      <c r="E1473" s="415" t="s">
        <v>468</v>
      </c>
      <c r="F1473" s="425">
        <v>-5000</v>
      </c>
      <c r="G1473" s="639" t="s">
        <v>2987</v>
      </c>
      <c r="H1473" s="415" t="s">
        <v>468</v>
      </c>
      <c r="I1473" s="482" t="s">
        <v>2437</v>
      </c>
      <c r="J1473" s="521" t="s">
        <v>796</v>
      </c>
      <c r="K1473" s="415" t="s">
        <v>797</v>
      </c>
      <c r="L1473" s="415" t="s">
        <v>798</v>
      </c>
      <c r="M1473" s="521" t="s">
        <v>310</v>
      </c>
      <c r="N1473" s="414">
        <v>44701</v>
      </c>
      <c r="O1473" s="414" t="s">
        <v>408</v>
      </c>
      <c r="P1473" s="603">
        <f t="shared" si="214"/>
        <v>5</v>
      </c>
      <c r="Q1473" s="603">
        <f t="shared" si="215"/>
        <v>5</v>
      </c>
      <c r="R1473" s="604" t="str">
        <f t="shared" si="216"/>
        <v>Gastos_custeados_por_captação</v>
      </c>
      <c r="S1473" s="605" t="s">
        <v>310</v>
      </c>
      <c r="T1473" s="605" t="s">
        <v>310</v>
      </c>
    </row>
    <row r="1474" spans="1:20" s="88" customFormat="1" ht="76.5" customHeight="1" x14ac:dyDescent="0.2">
      <c r="A1474" s="510">
        <f>IF(B1474="","",COUNT('Diário 1º PA'!$A$4:$A$2635)+ROW()-3)</f>
        <v>3207</v>
      </c>
      <c r="B1474" s="414">
        <v>44701</v>
      </c>
      <c r="C1474" s="592">
        <v>44682</v>
      </c>
      <c r="D1474" s="415" t="s">
        <v>468</v>
      </c>
      <c r="E1474" s="415" t="s">
        <v>468</v>
      </c>
      <c r="F1474" s="425">
        <v>-5000</v>
      </c>
      <c r="G1474" s="639" t="s">
        <v>5578</v>
      </c>
      <c r="H1474" s="415" t="s">
        <v>468</v>
      </c>
      <c r="I1474" s="427" t="s">
        <v>2437</v>
      </c>
      <c r="J1474" s="415" t="s">
        <v>796</v>
      </c>
      <c r="K1474" s="415" t="s">
        <v>797</v>
      </c>
      <c r="L1474" s="415" t="s">
        <v>798</v>
      </c>
      <c r="M1474" s="415" t="s">
        <v>310</v>
      </c>
      <c r="N1474" s="414">
        <v>44701</v>
      </c>
      <c r="O1474" s="414" t="s">
        <v>408</v>
      </c>
      <c r="P1474" s="603">
        <f t="shared" si="214"/>
        <v>5</v>
      </c>
      <c r="Q1474" s="603">
        <f t="shared" si="215"/>
        <v>5</v>
      </c>
      <c r="R1474" s="604" t="str">
        <f t="shared" si="216"/>
        <v>Gastos_custeados_por_captação</v>
      </c>
      <c r="S1474" s="605" t="s">
        <v>310</v>
      </c>
      <c r="T1474" s="605" t="s">
        <v>310</v>
      </c>
    </row>
    <row r="1475" spans="1:20" s="88" customFormat="1" ht="66" customHeight="1" x14ac:dyDescent="0.2">
      <c r="A1475" s="510">
        <f>IF(B1475="","",COUNT('Diário 1º PA'!$A$4:$A$2635)+ROW()-3)</f>
        <v>3208</v>
      </c>
      <c r="B1475" s="414">
        <v>44701</v>
      </c>
      <c r="C1475" s="592">
        <v>44652</v>
      </c>
      <c r="D1475" s="415" t="s">
        <v>468</v>
      </c>
      <c r="E1475" s="415" t="s">
        <v>468</v>
      </c>
      <c r="F1475" s="425">
        <v>1000</v>
      </c>
      <c r="G1475" s="427" t="s">
        <v>4124</v>
      </c>
      <c r="H1475" s="415" t="s">
        <v>468</v>
      </c>
      <c r="I1475" s="427" t="s">
        <v>2993</v>
      </c>
      <c r="J1475" s="415" t="s">
        <v>2994</v>
      </c>
      <c r="K1475" s="415" t="s">
        <v>830</v>
      </c>
      <c r="L1475" s="415" t="s">
        <v>807</v>
      </c>
      <c r="M1475" s="415">
        <v>16795</v>
      </c>
      <c r="N1475" s="414">
        <v>44685</v>
      </c>
      <c r="O1475" s="414" t="s">
        <v>408</v>
      </c>
      <c r="P1475" s="603">
        <f t="shared" si="214"/>
        <v>5</v>
      </c>
      <c r="Q1475" s="603">
        <f t="shared" si="215"/>
        <v>4</v>
      </c>
      <c r="R1475" s="604" t="str">
        <f t="shared" si="216"/>
        <v>Gastos_custeados_por_captação</v>
      </c>
      <c r="S1475" s="605" t="s">
        <v>1000</v>
      </c>
      <c r="T1475" s="605">
        <v>2783</v>
      </c>
    </row>
    <row r="1476" spans="1:20" s="88" customFormat="1" ht="82.5" customHeight="1" x14ac:dyDescent="0.2">
      <c r="A1476" s="510">
        <f>IF(B1476="","",COUNT('Diário 1º PA'!$A$4:$A$2635)+ROW()-3)</f>
        <v>3209</v>
      </c>
      <c r="B1476" s="414">
        <v>44701</v>
      </c>
      <c r="C1476" s="592">
        <v>44652</v>
      </c>
      <c r="D1476" s="415" t="s">
        <v>468</v>
      </c>
      <c r="E1476" s="415" t="s">
        <v>468</v>
      </c>
      <c r="F1476" s="425">
        <v>587.94000000000005</v>
      </c>
      <c r="G1476" s="427" t="s">
        <v>2268</v>
      </c>
      <c r="H1476" s="415" t="s">
        <v>468</v>
      </c>
      <c r="I1476" s="427" t="s">
        <v>4123</v>
      </c>
      <c r="J1476" s="415" t="s">
        <v>2269</v>
      </c>
      <c r="K1476" s="415" t="s">
        <v>830</v>
      </c>
      <c r="L1476" s="415" t="s">
        <v>807</v>
      </c>
      <c r="M1476" s="415" t="s">
        <v>1703</v>
      </c>
      <c r="N1476" s="414">
        <v>44700</v>
      </c>
      <c r="O1476" s="414" t="s">
        <v>408</v>
      </c>
      <c r="P1476" s="603">
        <f t="shared" si="214"/>
        <v>5</v>
      </c>
      <c r="Q1476" s="603">
        <f t="shared" si="215"/>
        <v>4</v>
      </c>
      <c r="R1476" s="604" t="str">
        <f t="shared" si="216"/>
        <v>Gastos_custeados_por_captação</v>
      </c>
      <c r="S1476" s="605" t="s">
        <v>1000</v>
      </c>
      <c r="T1476" s="605">
        <v>3093</v>
      </c>
    </row>
    <row r="1477" spans="1:20" s="88" customFormat="1" ht="35.25" customHeight="1" x14ac:dyDescent="0.2">
      <c r="A1477" s="510">
        <f>IF(B1477="","",COUNT('Diário 1º PA'!$A$4:$A$2635)+ROW()-3)</f>
        <v>3210</v>
      </c>
      <c r="B1477" s="414">
        <v>44701</v>
      </c>
      <c r="C1477" s="592">
        <v>44652</v>
      </c>
      <c r="D1477" s="415" t="s">
        <v>468</v>
      </c>
      <c r="E1477" s="415" t="s">
        <v>468</v>
      </c>
      <c r="F1477" s="425">
        <v>6288.75</v>
      </c>
      <c r="G1477" s="427" t="s">
        <v>2330</v>
      </c>
      <c r="H1477" s="415" t="s">
        <v>468</v>
      </c>
      <c r="I1477" s="427" t="s">
        <v>4125</v>
      </c>
      <c r="J1477" s="415" t="s">
        <v>2329</v>
      </c>
      <c r="K1477" s="415" t="s">
        <v>830</v>
      </c>
      <c r="L1477" s="415" t="s">
        <v>807</v>
      </c>
      <c r="M1477" s="415" t="s">
        <v>1428</v>
      </c>
      <c r="N1477" s="414">
        <v>44700</v>
      </c>
      <c r="O1477" s="414" t="s">
        <v>408</v>
      </c>
      <c r="P1477" s="603">
        <f t="shared" si="214"/>
        <v>5</v>
      </c>
      <c r="Q1477" s="603">
        <f t="shared" si="215"/>
        <v>4</v>
      </c>
      <c r="R1477" s="604" t="str">
        <f t="shared" si="216"/>
        <v>Gastos_custeados_por_captação</v>
      </c>
      <c r="S1477" s="605" t="s">
        <v>1000</v>
      </c>
      <c r="T1477" s="605">
        <v>3094</v>
      </c>
    </row>
    <row r="1478" spans="1:20" s="88" customFormat="1" ht="35.25" customHeight="1" x14ac:dyDescent="0.2">
      <c r="A1478" s="510">
        <f>IF(B1478="","",COUNT('Diário 1º PA'!$A$4:$A$2635)+ROW()-3)</f>
        <v>3211</v>
      </c>
      <c r="B1478" s="414">
        <v>44701</v>
      </c>
      <c r="C1478" s="592">
        <v>44652</v>
      </c>
      <c r="D1478" s="415" t="s">
        <v>468</v>
      </c>
      <c r="E1478" s="415" t="s">
        <v>468</v>
      </c>
      <c r="F1478" s="425">
        <v>236.65</v>
      </c>
      <c r="G1478" s="427" t="s">
        <v>5383</v>
      </c>
      <c r="H1478" s="415" t="s">
        <v>468</v>
      </c>
      <c r="I1478" s="427" t="s">
        <v>1461</v>
      </c>
      <c r="J1478" s="415" t="s">
        <v>310</v>
      </c>
      <c r="K1478" s="415" t="s">
        <v>1220</v>
      </c>
      <c r="L1478" s="415" t="s">
        <v>1368</v>
      </c>
      <c r="M1478" s="415" t="s">
        <v>310</v>
      </c>
      <c r="N1478" s="414">
        <v>44701</v>
      </c>
      <c r="O1478" s="414" t="s">
        <v>408</v>
      </c>
      <c r="P1478" s="603">
        <f t="shared" si="214"/>
        <v>5</v>
      </c>
      <c r="Q1478" s="603">
        <f t="shared" si="215"/>
        <v>4</v>
      </c>
      <c r="R1478" s="604" t="str">
        <f t="shared" si="216"/>
        <v>Gastos_custeados_por_captação</v>
      </c>
      <c r="S1478" s="605" t="s">
        <v>310</v>
      </c>
      <c r="T1478" s="605" t="s">
        <v>310</v>
      </c>
    </row>
    <row r="1479" spans="1:20" s="88" customFormat="1" ht="35.25" customHeight="1" x14ac:dyDescent="0.2">
      <c r="A1479" s="510">
        <f>IF(B1479="","",COUNT('Diário 1º PA'!$A$4:$A$2635)+ROW()-3)</f>
        <v>3212</v>
      </c>
      <c r="B1479" s="414">
        <v>44701</v>
      </c>
      <c r="C1479" s="592">
        <v>44682</v>
      </c>
      <c r="D1479" s="415" t="s">
        <v>468</v>
      </c>
      <c r="E1479" s="415" t="s">
        <v>468</v>
      </c>
      <c r="F1479" s="425">
        <v>549.29999999999995</v>
      </c>
      <c r="G1479" s="427" t="s">
        <v>4219</v>
      </c>
      <c r="H1479" s="415" t="s">
        <v>468</v>
      </c>
      <c r="I1479" s="427" t="s">
        <v>5408</v>
      </c>
      <c r="J1479" s="415" t="s">
        <v>4220</v>
      </c>
      <c r="K1479" s="415" t="s">
        <v>830</v>
      </c>
      <c r="L1479" s="415" t="s">
        <v>807</v>
      </c>
      <c r="M1479" s="415">
        <v>7583</v>
      </c>
      <c r="N1479" s="414">
        <v>44705</v>
      </c>
      <c r="O1479" s="414" t="s">
        <v>3762</v>
      </c>
      <c r="P1479" s="603">
        <f t="shared" si="214"/>
        <v>5</v>
      </c>
      <c r="Q1479" s="603">
        <f t="shared" si="215"/>
        <v>5</v>
      </c>
      <c r="R1479" s="604" t="str">
        <f t="shared" si="216"/>
        <v>Gastos_custeados_por_captação</v>
      </c>
      <c r="S1479" s="605" t="s">
        <v>999</v>
      </c>
      <c r="T1479" s="605">
        <v>3751</v>
      </c>
    </row>
    <row r="1480" spans="1:20" s="88" customFormat="1" ht="35.25" customHeight="1" x14ac:dyDescent="0.2">
      <c r="A1480" s="510">
        <f>IF(B1480="","",COUNT('Diário 1º PA'!$A$4:$A$2635)+ROW()-3)</f>
        <v>3213</v>
      </c>
      <c r="B1480" s="414">
        <v>44701</v>
      </c>
      <c r="C1480" s="592">
        <v>44682</v>
      </c>
      <c r="D1480" s="415" t="s">
        <v>468</v>
      </c>
      <c r="E1480" s="415" t="s">
        <v>468</v>
      </c>
      <c r="F1480" s="425">
        <v>149.96</v>
      </c>
      <c r="G1480" s="427" t="s">
        <v>4223</v>
      </c>
      <c r="H1480" s="415" t="s">
        <v>468</v>
      </c>
      <c r="I1480" s="427" t="s">
        <v>5409</v>
      </c>
      <c r="J1480" s="415" t="s">
        <v>4224</v>
      </c>
      <c r="K1480" s="415" t="s">
        <v>830</v>
      </c>
      <c r="L1480" s="415" t="s">
        <v>807</v>
      </c>
      <c r="M1480" s="415">
        <v>311</v>
      </c>
      <c r="N1480" s="414">
        <v>44708</v>
      </c>
      <c r="O1480" s="414" t="s">
        <v>3762</v>
      </c>
      <c r="P1480" s="603">
        <f t="shared" si="214"/>
        <v>5</v>
      </c>
      <c r="Q1480" s="603">
        <f t="shared" si="215"/>
        <v>5</v>
      </c>
      <c r="R1480" s="604" t="str">
        <f t="shared" si="216"/>
        <v>Gastos_custeados_por_captação</v>
      </c>
      <c r="S1480" s="605" t="s">
        <v>999</v>
      </c>
      <c r="T1480" s="605">
        <v>3753</v>
      </c>
    </row>
    <row r="1481" spans="1:20" s="88" customFormat="1" ht="35.25" customHeight="1" x14ac:dyDescent="0.2">
      <c r="A1481" s="510">
        <f>IF(B1481="","",COUNT('Diário 1º PA'!$A$4:$A$2635)+ROW()-3)</f>
        <v>3214</v>
      </c>
      <c r="B1481" s="414">
        <v>44701</v>
      </c>
      <c r="C1481" s="592">
        <v>44682</v>
      </c>
      <c r="D1481" s="415" t="s">
        <v>468</v>
      </c>
      <c r="E1481" s="415" t="s">
        <v>468</v>
      </c>
      <c r="F1481" s="425">
        <v>269.98</v>
      </c>
      <c r="G1481" s="427" t="s">
        <v>4221</v>
      </c>
      <c r="H1481" s="415" t="s">
        <v>468</v>
      </c>
      <c r="I1481" s="427" t="s">
        <v>5410</v>
      </c>
      <c r="J1481" s="415" t="s">
        <v>5411</v>
      </c>
      <c r="K1481" s="415" t="s">
        <v>830</v>
      </c>
      <c r="L1481" s="415" t="s">
        <v>807</v>
      </c>
      <c r="M1481" s="415">
        <v>402</v>
      </c>
      <c r="N1481" s="414">
        <v>44701</v>
      </c>
      <c r="O1481" s="414" t="s">
        <v>3762</v>
      </c>
      <c r="P1481" s="603">
        <f t="shared" si="214"/>
        <v>5</v>
      </c>
      <c r="Q1481" s="603">
        <f t="shared" si="215"/>
        <v>5</v>
      </c>
      <c r="R1481" s="604" t="str">
        <f t="shared" si="216"/>
        <v>Gastos_custeados_por_captação</v>
      </c>
      <c r="S1481" s="605" t="s">
        <v>999</v>
      </c>
      <c r="T1481" s="605">
        <v>3757</v>
      </c>
    </row>
    <row r="1482" spans="1:20" s="88" customFormat="1" ht="35.25" customHeight="1" x14ac:dyDescent="0.2">
      <c r="A1482" s="510">
        <f>IF(B1482="","",COUNT('Diário 1º PA'!$A$4:$A$2635)+ROW()-3)</f>
        <v>3215</v>
      </c>
      <c r="B1482" s="414">
        <v>44701</v>
      </c>
      <c r="C1482" s="592">
        <v>44621</v>
      </c>
      <c r="D1482" s="415" t="s">
        <v>468</v>
      </c>
      <c r="E1482" s="415" t="s">
        <v>468</v>
      </c>
      <c r="F1482" s="425">
        <v>930</v>
      </c>
      <c r="G1482" s="427" t="s">
        <v>5458</v>
      </c>
      <c r="H1482" s="415" t="s">
        <v>468</v>
      </c>
      <c r="I1482" s="427" t="s">
        <v>795</v>
      </c>
      <c r="J1482" s="415" t="s">
        <v>796</v>
      </c>
      <c r="K1482" s="415" t="s">
        <v>806</v>
      </c>
      <c r="L1482" s="415" t="s">
        <v>798</v>
      </c>
      <c r="M1482" s="415" t="s">
        <v>310</v>
      </c>
      <c r="N1482" s="414">
        <v>44701</v>
      </c>
      <c r="O1482" s="414" t="s">
        <v>404</v>
      </c>
      <c r="P1482" s="603">
        <f t="shared" si="214"/>
        <v>5</v>
      </c>
      <c r="Q1482" s="603">
        <f t="shared" si="215"/>
        <v>3</v>
      </c>
      <c r="R1482" s="604" t="str">
        <f t="shared" si="216"/>
        <v>Gastos_custeados_por_captação</v>
      </c>
      <c r="S1482" s="605" t="s">
        <v>310</v>
      </c>
      <c r="T1482" s="605" t="s">
        <v>310</v>
      </c>
    </row>
    <row r="1483" spans="1:20" s="88" customFormat="1" ht="35.25" customHeight="1" x14ac:dyDescent="0.2">
      <c r="A1483" s="510">
        <f>IF(B1483="","",COUNT('Diário 1º PA'!$A$4:$A$2635)+ROW()-3)</f>
        <v>3216</v>
      </c>
      <c r="B1483" s="414">
        <v>44701</v>
      </c>
      <c r="C1483" s="592">
        <v>44621</v>
      </c>
      <c r="D1483" s="415" t="s">
        <v>468</v>
      </c>
      <c r="E1483" s="415" t="s">
        <v>468</v>
      </c>
      <c r="F1483" s="425">
        <v>1031.4100000000001</v>
      </c>
      <c r="G1483" s="427" t="s">
        <v>5456</v>
      </c>
      <c r="H1483" s="415" t="s">
        <v>468</v>
      </c>
      <c r="I1483" s="427" t="s">
        <v>795</v>
      </c>
      <c r="J1483" s="415" t="s">
        <v>796</v>
      </c>
      <c r="K1483" s="415" t="s">
        <v>806</v>
      </c>
      <c r="L1483" s="415" t="s">
        <v>798</v>
      </c>
      <c r="M1483" s="415" t="s">
        <v>310</v>
      </c>
      <c r="N1483" s="414">
        <v>44701</v>
      </c>
      <c r="O1483" s="414" t="s">
        <v>404</v>
      </c>
      <c r="P1483" s="603">
        <f t="shared" si="214"/>
        <v>5</v>
      </c>
      <c r="Q1483" s="603">
        <f t="shared" si="215"/>
        <v>3</v>
      </c>
      <c r="R1483" s="604" t="str">
        <f t="shared" si="216"/>
        <v>Gastos_custeados_por_captação</v>
      </c>
      <c r="S1483" s="605" t="s">
        <v>310</v>
      </c>
      <c r="T1483" s="605" t="s">
        <v>310</v>
      </c>
    </row>
    <row r="1484" spans="1:20" s="88" customFormat="1" ht="35.25" customHeight="1" x14ac:dyDescent="0.2">
      <c r="A1484" s="510">
        <f>IF(B1484="","",COUNT('Diário 1º PA'!$A$4:$A$2635)+ROW()-3)</f>
        <v>3217</v>
      </c>
      <c r="B1484" s="414">
        <v>44701</v>
      </c>
      <c r="C1484" s="592">
        <v>44621</v>
      </c>
      <c r="D1484" s="415" t="s">
        <v>468</v>
      </c>
      <c r="E1484" s="415" t="s">
        <v>468</v>
      </c>
      <c r="F1484" s="425">
        <v>57.45</v>
      </c>
      <c r="G1484" s="427" t="s">
        <v>5457</v>
      </c>
      <c r="H1484" s="415" t="s">
        <v>468</v>
      </c>
      <c r="I1484" s="427" t="s">
        <v>1461</v>
      </c>
      <c r="J1484" s="415" t="s">
        <v>310</v>
      </c>
      <c r="K1484" s="415" t="s">
        <v>1220</v>
      </c>
      <c r="L1484" s="415" t="s">
        <v>1368</v>
      </c>
      <c r="M1484" s="415" t="s">
        <v>310</v>
      </c>
      <c r="N1484" s="414">
        <v>44701</v>
      </c>
      <c r="O1484" s="414" t="s">
        <v>404</v>
      </c>
      <c r="P1484" s="603">
        <f t="shared" si="214"/>
        <v>5</v>
      </c>
      <c r="Q1484" s="603">
        <f t="shared" si="215"/>
        <v>3</v>
      </c>
      <c r="R1484" s="604" t="str">
        <f t="shared" si="216"/>
        <v>Gastos_custeados_por_captação</v>
      </c>
      <c r="S1484" s="605" t="s">
        <v>310</v>
      </c>
      <c r="T1484" s="605" t="s">
        <v>310</v>
      </c>
    </row>
    <row r="1485" spans="1:20" s="88" customFormat="1" ht="35.25" customHeight="1" x14ac:dyDescent="0.2">
      <c r="A1485" s="510">
        <f>IF(B1485="","",COUNT('Diário 1º PA'!$A$4:$A$2635)+ROW()-3)</f>
        <v>3218</v>
      </c>
      <c r="B1485" s="414">
        <v>44701</v>
      </c>
      <c r="C1485" s="592">
        <v>44621</v>
      </c>
      <c r="D1485" s="415" t="s">
        <v>468</v>
      </c>
      <c r="E1485" s="415" t="s">
        <v>468</v>
      </c>
      <c r="F1485" s="425">
        <v>775</v>
      </c>
      <c r="G1485" s="427" t="s">
        <v>5473</v>
      </c>
      <c r="H1485" s="415" t="s">
        <v>468</v>
      </c>
      <c r="I1485" s="427" t="s">
        <v>795</v>
      </c>
      <c r="J1485" s="415" t="s">
        <v>796</v>
      </c>
      <c r="K1485" s="415" t="s">
        <v>806</v>
      </c>
      <c r="L1485" s="415" t="s">
        <v>798</v>
      </c>
      <c r="M1485" s="415" t="s">
        <v>310</v>
      </c>
      <c r="N1485" s="414">
        <v>44701</v>
      </c>
      <c r="O1485" s="414" t="s">
        <v>405</v>
      </c>
      <c r="P1485" s="603">
        <f t="shared" si="214"/>
        <v>5</v>
      </c>
      <c r="Q1485" s="603">
        <f t="shared" si="215"/>
        <v>3</v>
      </c>
      <c r="R1485" s="604" t="str">
        <f t="shared" si="216"/>
        <v>Gastos_custeados_por_captação</v>
      </c>
      <c r="S1485" s="605" t="s">
        <v>310</v>
      </c>
      <c r="T1485" s="605" t="s">
        <v>310</v>
      </c>
    </row>
    <row r="1486" spans="1:20" s="88" customFormat="1" ht="35.25" customHeight="1" x14ac:dyDescent="0.2">
      <c r="A1486" s="510">
        <f>IF(B1486="","",COUNT('Diário 1º PA'!$A$4:$A$2635)+ROW()-3)</f>
        <v>3219</v>
      </c>
      <c r="B1486" s="414">
        <v>44701</v>
      </c>
      <c r="C1486" s="592">
        <v>44652</v>
      </c>
      <c r="D1486" s="415" t="s">
        <v>468</v>
      </c>
      <c r="E1486" s="415" t="s">
        <v>468</v>
      </c>
      <c r="F1486" s="425">
        <v>5000</v>
      </c>
      <c r="G1486" s="427" t="s">
        <v>4713</v>
      </c>
      <c r="H1486" s="415" t="s">
        <v>468</v>
      </c>
      <c r="I1486" s="427" t="s">
        <v>2437</v>
      </c>
      <c r="J1486" s="415" t="s">
        <v>796</v>
      </c>
      <c r="K1486" s="415" t="s">
        <v>806</v>
      </c>
      <c r="L1486" s="415" t="s">
        <v>798</v>
      </c>
      <c r="M1486" s="415" t="s">
        <v>310</v>
      </c>
      <c r="N1486" s="414">
        <v>44701</v>
      </c>
      <c r="O1486" s="414" t="s">
        <v>405</v>
      </c>
      <c r="P1486" s="603">
        <f t="shared" si="214"/>
        <v>5</v>
      </c>
      <c r="Q1486" s="603">
        <f t="shared" si="215"/>
        <v>4</v>
      </c>
      <c r="R1486" s="604" t="str">
        <f t="shared" si="216"/>
        <v>Gastos_custeados_por_captação</v>
      </c>
      <c r="S1486" s="605" t="s">
        <v>310</v>
      </c>
      <c r="T1486" s="605" t="s">
        <v>310</v>
      </c>
    </row>
    <row r="1487" spans="1:20" s="88" customFormat="1" ht="35.25" customHeight="1" x14ac:dyDescent="0.2">
      <c r="A1487" s="510">
        <f>IF(B1487="","",COUNT('Diário 1º PA'!$A$4:$A$2635)+ROW()-3)</f>
        <v>3220</v>
      </c>
      <c r="B1487" s="414">
        <v>44701</v>
      </c>
      <c r="C1487" s="592">
        <v>44652</v>
      </c>
      <c r="D1487" s="415" t="s">
        <v>468</v>
      </c>
      <c r="E1487" s="415" t="s">
        <v>468</v>
      </c>
      <c r="F1487" s="425">
        <v>5000</v>
      </c>
      <c r="G1487" s="427" t="s">
        <v>4714</v>
      </c>
      <c r="H1487" s="415" t="s">
        <v>468</v>
      </c>
      <c r="I1487" s="427" t="s">
        <v>3030</v>
      </c>
      <c r="J1487" s="415" t="s">
        <v>796</v>
      </c>
      <c r="K1487" s="415" t="s">
        <v>806</v>
      </c>
      <c r="L1487" s="415" t="s">
        <v>798</v>
      </c>
      <c r="M1487" s="415" t="s">
        <v>310</v>
      </c>
      <c r="N1487" s="414">
        <v>44701</v>
      </c>
      <c r="O1487" s="414" t="s">
        <v>405</v>
      </c>
      <c r="P1487" s="603">
        <f t="shared" si="214"/>
        <v>5</v>
      </c>
      <c r="Q1487" s="603">
        <f t="shared" si="215"/>
        <v>4</v>
      </c>
      <c r="R1487" s="604" t="str">
        <f t="shared" si="216"/>
        <v>Gastos_custeados_por_captação</v>
      </c>
      <c r="S1487" s="605" t="s">
        <v>310</v>
      </c>
      <c r="T1487" s="605" t="s">
        <v>310</v>
      </c>
    </row>
    <row r="1488" spans="1:20" s="88" customFormat="1" ht="35.25" customHeight="1" x14ac:dyDescent="0.2">
      <c r="A1488" s="510">
        <f>IF(B1488="","",COUNT('Diário 1º PA'!$A$4:$A$2635)+ROW()-3)</f>
        <v>3221</v>
      </c>
      <c r="B1488" s="414">
        <v>44701</v>
      </c>
      <c r="C1488" s="592">
        <v>44652</v>
      </c>
      <c r="D1488" s="415" t="s">
        <v>468</v>
      </c>
      <c r="E1488" s="415" t="s">
        <v>468</v>
      </c>
      <c r="F1488" s="425">
        <v>3233.67</v>
      </c>
      <c r="G1488" s="427" t="s">
        <v>5474</v>
      </c>
      <c r="H1488" s="415" t="s">
        <v>468</v>
      </c>
      <c r="I1488" s="427" t="s">
        <v>2557</v>
      </c>
      <c r="J1488" s="415" t="s">
        <v>2342</v>
      </c>
      <c r="K1488" s="415" t="s">
        <v>830</v>
      </c>
      <c r="L1488" s="415" t="s">
        <v>807</v>
      </c>
      <c r="M1488" s="415" t="s">
        <v>1696</v>
      </c>
      <c r="N1488" s="414">
        <v>44701</v>
      </c>
      <c r="O1488" s="414" t="s">
        <v>405</v>
      </c>
      <c r="P1488" s="603">
        <f t="shared" si="214"/>
        <v>5</v>
      </c>
      <c r="Q1488" s="603">
        <f t="shared" si="215"/>
        <v>4</v>
      </c>
      <c r="R1488" s="604" t="str">
        <f t="shared" si="216"/>
        <v>Gastos_custeados_por_captação</v>
      </c>
      <c r="S1488" s="605" t="s">
        <v>1000</v>
      </c>
      <c r="T1488" s="605">
        <v>3187</v>
      </c>
    </row>
    <row r="1489" spans="1:20" s="88" customFormat="1" ht="35.25" customHeight="1" x14ac:dyDescent="0.2">
      <c r="A1489" s="510">
        <f>IF(B1489="","",COUNT('Diário 1º PA'!$A$4:$A$2635)+ROW()-3)</f>
        <v>3222</v>
      </c>
      <c r="B1489" s="414">
        <v>44701</v>
      </c>
      <c r="C1489" s="592">
        <v>44621</v>
      </c>
      <c r="D1489" s="415" t="s">
        <v>468</v>
      </c>
      <c r="E1489" s="415" t="s">
        <v>468</v>
      </c>
      <c r="F1489" s="425">
        <v>24.08</v>
      </c>
      <c r="G1489" s="427" t="s">
        <v>4345</v>
      </c>
      <c r="H1489" s="415" t="s">
        <v>468</v>
      </c>
      <c r="I1489" s="427" t="s">
        <v>1461</v>
      </c>
      <c r="J1489" s="415" t="s">
        <v>310</v>
      </c>
      <c r="K1489" s="415" t="s">
        <v>1220</v>
      </c>
      <c r="L1489" s="415" t="s">
        <v>1368</v>
      </c>
      <c r="M1489" s="415" t="s">
        <v>310</v>
      </c>
      <c r="N1489" s="414">
        <v>44701</v>
      </c>
      <c r="O1489" s="414" t="s">
        <v>405</v>
      </c>
      <c r="P1489" s="603">
        <f t="shared" si="214"/>
        <v>5</v>
      </c>
      <c r="Q1489" s="603">
        <f t="shared" si="215"/>
        <v>3</v>
      </c>
      <c r="R1489" s="604" t="str">
        <f t="shared" si="216"/>
        <v>Gastos_custeados_por_captação</v>
      </c>
      <c r="S1489" s="605" t="s">
        <v>310</v>
      </c>
      <c r="T1489" s="605" t="s">
        <v>310</v>
      </c>
    </row>
    <row r="1490" spans="1:20" s="88" customFormat="1" ht="35.25" customHeight="1" x14ac:dyDescent="0.2">
      <c r="A1490" s="510">
        <f>IF(B1490="","",COUNT('Diário 1º PA'!$A$4:$A$2635)+ROW()-3)</f>
        <v>3223</v>
      </c>
      <c r="B1490" s="414">
        <v>44701</v>
      </c>
      <c r="C1490" s="592">
        <v>44621</v>
      </c>
      <c r="D1490" s="415" t="s">
        <v>468</v>
      </c>
      <c r="E1490" s="415" t="s">
        <v>468</v>
      </c>
      <c r="F1490" s="425">
        <v>930</v>
      </c>
      <c r="G1490" s="427" t="s">
        <v>5518</v>
      </c>
      <c r="H1490" s="415" t="s">
        <v>468</v>
      </c>
      <c r="I1490" s="427" t="s">
        <v>5517</v>
      </c>
      <c r="J1490" s="415" t="s">
        <v>796</v>
      </c>
      <c r="K1490" s="415" t="s">
        <v>806</v>
      </c>
      <c r="L1490" s="415" t="s">
        <v>798</v>
      </c>
      <c r="M1490" s="415" t="s">
        <v>310</v>
      </c>
      <c r="N1490" s="414">
        <v>44701</v>
      </c>
      <c r="O1490" s="414" t="s">
        <v>402</v>
      </c>
      <c r="P1490" s="603">
        <f t="shared" si="214"/>
        <v>5</v>
      </c>
      <c r="Q1490" s="603">
        <f t="shared" si="215"/>
        <v>3</v>
      </c>
      <c r="R1490" s="604" t="str">
        <f t="shared" si="216"/>
        <v>Gastos_custeados_por_captação</v>
      </c>
      <c r="S1490" s="605" t="s">
        <v>310</v>
      </c>
      <c r="T1490" s="605" t="s">
        <v>310</v>
      </c>
    </row>
    <row r="1491" spans="1:20" s="88" customFormat="1" ht="35.25" customHeight="1" x14ac:dyDescent="0.2">
      <c r="A1491" s="510">
        <f>IF(B1491="","",COUNT('Diário 1º PA'!$A$4:$A$2635)+ROW()-3)</f>
        <v>3224</v>
      </c>
      <c r="B1491" s="414">
        <v>44701</v>
      </c>
      <c r="C1491" s="592">
        <v>44621</v>
      </c>
      <c r="D1491" s="415" t="s">
        <v>468</v>
      </c>
      <c r="E1491" s="415" t="s">
        <v>468</v>
      </c>
      <c r="F1491" s="425">
        <v>1240</v>
      </c>
      <c r="G1491" s="427" t="s">
        <v>5519</v>
      </c>
      <c r="H1491" s="415" t="s">
        <v>468</v>
      </c>
      <c r="I1491" s="427" t="s">
        <v>5517</v>
      </c>
      <c r="J1491" s="415" t="s">
        <v>796</v>
      </c>
      <c r="K1491" s="415" t="s">
        <v>806</v>
      </c>
      <c r="L1491" s="415" t="s">
        <v>798</v>
      </c>
      <c r="M1491" s="415" t="s">
        <v>310</v>
      </c>
      <c r="N1491" s="414">
        <v>44701</v>
      </c>
      <c r="O1491" s="414" t="s">
        <v>402</v>
      </c>
      <c r="P1491" s="603">
        <f t="shared" si="214"/>
        <v>5</v>
      </c>
      <c r="Q1491" s="603">
        <f t="shared" si="215"/>
        <v>3</v>
      </c>
      <c r="R1491" s="604" t="str">
        <f t="shared" si="216"/>
        <v>Gastos_custeados_por_captação</v>
      </c>
      <c r="S1491" s="605" t="s">
        <v>310</v>
      </c>
      <c r="T1491" s="605" t="s">
        <v>310</v>
      </c>
    </row>
    <row r="1492" spans="1:20" s="88" customFormat="1" ht="35.25" customHeight="1" x14ac:dyDescent="0.2">
      <c r="A1492" s="510">
        <f>IF(B1492="","",COUNT('Diário 1º PA'!$A$4:$A$2635)+ROW()-3)</f>
        <v>3225</v>
      </c>
      <c r="B1492" s="414">
        <v>44701</v>
      </c>
      <c r="C1492" s="592">
        <v>44621</v>
      </c>
      <c r="D1492" s="415" t="s">
        <v>468</v>
      </c>
      <c r="E1492" s="415" t="s">
        <v>468</v>
      </c>
      <c r="F1492" s="425">
        <v>930</v>
      </c>
      <c r="G1492" s="427" t="s">
        <v>5520</v>
      </c>
      <c r="H1492" s="415" t="s">
        <v>468</v>
      </c>
      <c r="I1492" s="427" t="s">
        <v>5517</v>
      </c>
      <c r="J1492" s="415" t="s">
        <v>796</v>
      </c>
      <c r="K1492" s="415" t="s">
        <v>806</v>
      </c>
      <c r="L1492" s="415" t="s">
        <v>798</v>
      </c>
      <c r="M1492" s="415" t="s">
        <v>310</v>
      </c>
      <c r="N1492" s="414">
        <v>44701</v>
      </c>
      <c r="O1492" s="414" t="s">
        <v>402</v>
      </c>
      <c r="P1492" s="603">
        <f t="shared" si="214"/>
        <v>5</v>
      </c>
      <c r="Q1492" s="603">
        <f t="shared" si="215"/>
        <v>3</v>
      </c>
      <c r="R1492" s="604" t="str">
        <f t="shared" si="216"/>
        <v>Gastos_custeados_por_captação</v>
      </c>
      <c r="S1492" s="605" t="s">
        <v>310</v>
      </c>
      <c r="T1492" s="605" t="s">
        <v>310</v>
      </c>
    </row>
    <row r="1493" spans="1:20" s="88" customFormat="1" ht="35.25" customHeight="1" x14ac:dyDescent="0.2">
      <c r="A1493" s="510">
        <f>IF(B1493="","",COUNT('Diário 1º PA'!$A$4:$A$2635)+ROW()-3)</f>
        <v>3226</v>
      </c>
      <c r="B1493" s="414">
        <v>44701</v>
      </c>
      <c r="C1493" s="592">
        <v>44621</v>
      </c>
      <c r="D1493" s="415" t="s">
        <v>468</v>
      </c>
      <c r="E1493" s="415" t="s">
        <v>468</v>
      </c>
      <c r="F1493" s="425">
        <v>57.45</v>
      </c>
      <c r="G1493" s="427" t="s">
        <v>5521</v>
      </c>
      <c r="H1493" s="415" t="s">
        <v>468</v>
      </c>
      <c r="I1493" s="427" t="s">
        <v>1461</v>
      </c>
      <c r="J1493" s="415" t="s">
        <v>310</v>
      </c>
      <c r="K1493" s="415" t="s">
        <v>1220</v>
      </c>
      <c r="L1493" s="415" t="s">
        <v>1368</v>
      </c>
      <c r="M1493" s="415" t="s">
        <v>310</v>
      </c>
      <c r="N1493" s="414">
        <v>44701</v>
      </c>
      <c r="O1493" s="414" t="s">
        <v>402</v>
      </c>
      <c r="P1493" s="603">
        <f t="shared" si="214"/>
        <v>5</v>
      </c>
      <c r="Q1493" s="603">
        <f t="shared" si="215"/>
        <v>3</v>
      </c>
      <c r="R1493" s="604" t="str">
        <f t="shared" si="216"/>
        <v>Gastos_custeados_por_captação</v>
      </c>
      <c r="S1493" s="605" t="s">
        <v>310</v>
      </c>
      <c r="T1493" s="605" t="s">
        <v>310</v>
      </c>
    </row>
    <row r="1494" spans="1:20" s="88" customFormat="1" ht="35.25" customHeight="1" x14ac:dyDescent="0.2">
      <c r="A1494" s="510">
        <f>IF(B1494="","",COUNT('Diário 1º PA'!$A$4:$A$2635)+ROW()-3)</f>
        <v>3227</v>
      </c>
      <c r="B1494" s="414">
        <v>44701</v>
      </c>
      <c r="C1494" s="592">
        <v>44621</v>
      </c>
      <c r="D1494" s="415" t="s">
        <v>468</v>
      </c>
      <c r="E1494" s="415" t="s">
        <v>468</v>
      </c>
      <c r="F1494" s="425">
        <v>179.2</v>
      </c>
      <c r="G1494" s="427" t="s">
        <v>5522</v>
      </c>
      <c r="H1494" s="415" t="s">
        <v>468</v>
      </c>
      <c r="I1494" s="427" t="s">
        <v>1461</v>
      </c>
      <c r="J1494" s="415" t="s">
        <v>310</v>
      </c>
      <c r="K1494" s="415" t="s">
        <v>1220</v>
      </c>
      <c r="L1494" s="415" t="s">
        <v>1368</v>
      </c>
      <c r="M1494" s="415" t="s">
        <v>310</v>
      </c>
      <c r="N1494" s="414">
        <v>44701</v>
      </c>
      <c r="O1494" s="414" t="s">
        <v>402</v>
      </c>
      <c r="P1494" s="603">
        <f t="shared" si="214"/>
        <v>5</v>
      </c>
      <c r="Q1494" s="603">
        <f t="shared" si="215"/>
        <v>3</v>
      </c>
      <c r="R1494" s="604" t="str">
        <f t="shared" si="216"/>
        <v>Gastos_custeados_por_captação</v>
      </c>
      <c r="S1494" s="605" t="s">
        <v>310</v>
      </c>
      <c r="T1494" s="605" t="s">
        <v>310</v>
      </c>
    </row>
    <row r="1495" spans="1:20" s="88" customFormat="1" ht="72" x14ac:dyDescent="0.2">
      <c r="A1495" s="510">
        <f>IF(B1495="","",COUNT('Diário 1º PA'!$A$4:$A$2635)+ROW()-3)</f>
        <v>3228</v>
      </c>
      <c r="B1495" s="414">
        <v>44701</v>
      </c>
      <c r="C1495" s="592">
        <v>44621</v>
      </c>
      <c r="D1495" s="415" t="s">
        <v>468</v>
      </c>
      <c r="E1495" s="415" t="s">
        <v>468</v>
      </c>
      <c r="F1495" s="425">
        <v>57.45</v>
      </c>
      <c r="G1495" s="427" t="s">
        <v>5523</v>
      </c>
      <c r="H1495" s="415" t="s">
        <v>468</v>
      </c>
      <c r="I1495" s="427" t="s">
        <v>1461</v>
      </c>
      <c r="J1495" s="415" t="s">
        <v>310</v>
      </c>
      <c r="K1495" s="415" t="s">
        <v>1220</v>
      </c>
      <c r="L1495" s="415" t="s">
        <v>1368</v>
      </c>
      <c r="M1495" s="415" t="s">
        <v>310</v>
      </c>
      <c r="N1495" s="414">
        <v>44701</v>
      </c>
      <c r="O1495" s="414" t="s">
        <v>402</v>
      </c>
      <c r="P1495" s="603">
        <f t="shared" si="214"/>
        <v>5</v>
      </c>
      <c r="Q1495" s="603">
        <f t="shared" si="215"/>
        <v>3</v>
      </c>
      <c r="R1495" s="604" t="str">
        <f t="shared" si="216"/>
        <v>Gastos_custeados_por_captação</v>
      </c>
      <c r="S1495" s="605" t="s">
        <v>310</v>
      </c>
      <c r="T1495" s="605" t="s">
        <v>310</v>
      </c>
    </row>
    <row r="1496" spans="1:20" ht="92.25" customHeight="1" x14ac:dyDescent="0.2">
      <c r="A1496" s="510">
        <f>IF(B1496="","",COUNT('Diário 1º PA'!$A$4:$A$2635)+ROW()-3)</f>
        <v>3229</v>
      </c>
      <c r="B1496" s="414">
        <v>44704</v>
      </c>
      <c r="C1496" s="431">
        <v>44682</v>
      </c>
      <c r="D1496" s="415" t="s">
        <v>34</v>
      </c>
      <c r="E1496" s="415" t="s">
        <v>167</v>
      </c>
      <c r="F1496" s="425">
        <v>5000</v>
      </c>
      <c r="G1496" s="427" t="s">
        <v>4305</v>
      </c>
      <c r="H1496" s="415" t="s">
        <v>310</v>
      </c>
      <c r="I1496" s="427" t="s">
        <v>795</v>
      </c>
      <c r="J1496" s="415" t="s">
        <v>796</v>
      </c>
      <c r="K1496" s="415" t="s">
        <v>806</v>
      </c>
      <c r="L1496" s="415" t="s">
        <v>798</v>
      </c>
      <c r="M1496" s="415" t="s">
        <v>310</v>
      </c>
      <c r="N1496" s="414">
        <v>44704</v>
      </c>
      <c r="O1496" s="414" t="s">
        <v>400</v>
      </c>
      <c r="P1496" s="603">
        <f t="shared" si="214"/>
        <v>5</v>
      </c>
      <c r="Q1496" s="603">
        <f t="shared" si="215"/>
        <v>5</v>
      </c>
      <c r="R1496" s="604" t="str">
        <f t="shared" si="216"/>
        <v>Receitas</v>
      </c>
      <c r="S1496" s="605" t="s">
        <v>310</v>
      </c>
      <c r="T1496" s="605" t="s">
        <v>310</v>
      </c>
    </row>
    <row r="1497" spans="1:20" ht="72" x14ac:dyDescent="0.2">
      <c r="A1497" s="510">
        <f>IF(B1497="","",COUNT('Diário 1º PA'!$A$4:$A$2635)+ROW()-3)</f>
        <v>3230</v>
      </c>
      <c r="B1497" s="414">
        <v>44704</v>
      </c>
      <c r="C1497" s="431">
        <v>44652</v>
      </c>
      <c r="D1497" s="415" t="s">
        <v>468</v>
      </c>
      <c r="E1497" s="415" t="s">
        <v>468</v>
      </c>
      <c r="F1497" s="425">
        <v>950</v>
      </c>
      <c r="G1497" s="427" t="s">
        <v>3554</v>
      </c>
      <c r="H1497" s="415" t="s">
        <v>468</v>
      </c>
      <c r="I1497" s="427" t="s">
        <v>1302</v>
      </c>
      <c r="J1497" s="415" t="s">
        <v>1066</v>
      </c>
      <c r="K1497" s="415" t="s">
        <v>830</v>
      </c>
      <c r="L1497" s="415" t="s">
        <v>807</v>
      </c>
      <c r="M1497" s="415">
        <v>68251</v>
      </c>
      <c r="N1497" s="414">
        <v>44676</v>
      </c>
      <c r="O1497" s="414" t="s">
        <v>407</v>
      </c>
      <c r="P1497" s="603">
        <f t="shared" si="214"/>
        <v>5</v>
      </c>
      <c r="Q1497" s="603">
        <f t="shared" si="215"/>
        <v>4</v>
      </c>
      <c r="R1497" s="604" t="str">
        <f t="shared" si="216"/>
        <v>Gastos_custeados_por_captação</v>
      </c>
      <c r="S1497" s="605" t="s">
        <v>999</v>
      </c>
      <c r="T1497" s="605">
        <v>3486</v>
      </c>
    </row>
    <row r="1498" spans="1:20" ht="72" x14ac:dyDescent="0.2">
      <c r="A1498" s="510">
        <f>IF(B1498="","",COUNT('Diário 1º PA'!$A$4:$A$2635)+ROW()-3)</f>
        <v>3231</v>
      </c>
      <c r="B1498" s="414">
        <v>44704</v>
      </c>
      <c r="C1498" s="466">
        <v>44621</v>
      </c>
      <c r="D1498" s="415" t="s">
        <v>468</v>
      </c>
      <c r="E1498" s="415" t="s">
        <v>468</v>
      </c>
      <c r="F1498" s="425">
        <v>707.75</v>
      </c>
      <c r="G1498" s="427" t="s">
        <v>4803</v>
      </c>
      <c r="H1498" s="434" t="s">
        <v>468</v>
      </c>
      <c r="I1498" s="639" t="s">
        <v>4691</v>
      </c>
      <c r="J1498" s="418" t="s">
        <v>4804</v>
      </c>
      <c r="K1498" s="418" t="s">
        <v>830</v>
      </c>
      <c r="L1498" s="399" t="s">
        <v>807</v>
      </c>
      <c r="M1498" s="415" t="s">
        <v>5167</v>
      </c>
      <c r="N1498" s="414">
        <v>44687</v>
      </c>
      <c r="O1498" s="414" t="s">
        <v>407</v>
      </c>
      <c r="P1498" s="603">
        <f t="shared" si="214"/>
        <v>5</v>
      </c>
      <c r="Q1498" s="603">
        <f t="shared" si="215"/>
        <v>3</v>
      </c>
      <c r="R1498" s="604" t="str">
        <f t="shared" si="216"/>
        <v>Gastos_custeados_por_captação</v>
      </c>
      <c r="S1498" s="605" t="s">
        <v>1000</v>
      </c>
      <c r="T1498" s="605">
        <v>3233</v>
      </c>
    </row>
    <row r="1499" spans="1:20" s="88" customFormat="1" ht="72" x14ac:dyDescent="0.2">
      <c r="A1499" s="510">
        <f>IF(B1499="","",COUNT('Diário 1º PA'!$A$4:$A$2635)+ROW()-3)</f>
        <v>3232</v>
      </c>
      <c r="B1499" s="414">
        <v>44704</v>
      </c>
      <c r="C1499" s="431">
        <v>44652</v>
      </c>
      <c r="D1499" s="415" t="s">
        <v>468</v>
      </c>
      <c r="E1499" s="415" t="s">
        <v>468</v>
      </c>
      <c r="F1499" s="425">
        <v>649.1</v>
      </c>
      <c r="G1499" s="427" t="s">
        <v>3555</v>
      </c>
      <c r="H1499" s="415" t="s">
        <v>468</v>
      </c>
      <c r="I1499" s="427" t="s">
        <v>1302</v>
      </c>
      <c r="J1499" s="415" t="s">
        <v>1066</v>
      </c>
      <c r="K1499" s="418" t="s">
        <v>830</v>
      </c>
      <c r="L1499" s="399" t="s">
        <v>807</v>
      </c>
      <c r="M1499" s="415">
        <v>68219</v>
      </c>
      <c r="N1499" s="414">
        <v>44676</v>
      </c>
      <c r="O1499" s="414" t="s">
        <v>407</v>
      </c>
      <c r="P1499" s="603">
        <f t="shared" si="214"/>
        <v>5</v>
      </c>
      <c r="Q1499" s="603">
        <f t="shared" si="215"/>
        <v>4</v>
      </c>
      <c r="R1499" s="604" t="str">
        <f t="shared" si="216"/>
        <v>Gastos_custeados_por_captação</v>
      </c>
      <c r="S1499" s="605" t="s">
        <v>999</v>
      </c>
      <c r="T1499" s="605">
        <v>3466</v>
      </c>
    </row>
    <row r="1500" spans="1:20" s="88" customFormat="1" ht="24" x14ac:dyDescent="0.2">
      <c r="A1500" s="510">
        <f>IF(B1500="","",COUNT('Diário 1º PA'!$A$4:$A$2635)+ROW()-3)</f>
        <v>3233</v>
      </c>
      <c r="B1500" s="414">
        <v>44705</v>
      </c>
      <c r="C1500" s="424">
        <v>44652</v>
      </c>
      <c r="D1500" s="415" t="s">
        <v>468</v>
      </c>
      <c r="E1500" s="415" t="s">
        <v>468</v>
      </c>
      <c r="F1500" s="425">
        <v>-2170</v>
      </c>
      <c r="G1500" s="440" t="s">
        <v>4287</v>
      </c>
      <c r="H1500" s="415" t="s">
        <v>468</v>
      </c>
      <c r="I1500" s="427" t="s">
        <v>1461</v>
      </c>
      <c r="J1500" s="415" t="s">
        <v>310</v>
      </c>
      <c r="K1500" s="415" t="s">
        <v>1220</v>
      </c>
      <c r="L1500" s="415" t="s">
        <v>1368</v>
      </c>
      <c r="M1500" s="415" t="s">
        <v>310</v>
      </c>
      <c r="N1500" s="414">
        <v>44706</v>
      </c>
      <c r="O1500" s="414" t="s">
        <v>400</v>
      </c>
      <c r="P1500" s="603">
        <f t="shared" si="214"/>
        <v>5</v>
      </c>
      <c r="Q1500" s="603">
        <f t="shared" si="215"/>
        <v>4</v>
      </c>
      <c r="R1500" s="604" t="str">
        <f t="shared" si="216"/>
        <v>Gastos_custeados_por_captação</v>
      </c>
      <c r="S1500" s="605" t="s">
        <v>310</v>
      </c>
      <c r="T1500" s="605" t="s">
        <v>310</v>
      </c>
    </row>
    <row r="1501" spans="1:20" s="88" customFormat="1" ht="36" x14ac:dyDescent="0.2">
      <c r="A1501" s="510">
        <f>IF(B1501="","",COUNT('Diário 1º PA'!$A$4:$A$2635)+ROW()-3)</f>
        <v>3234</v>
      </c>
      <c r="B1501" s="414">
        <v>44705</v>
      </c>
      <c r="C1501" s="431">
        <v>44682</v>
      </c>
      <c r="D1501" s="415" t="s">
        <v>271</v>
      </c>
      <c r="E1501" s="415" t="s">
        <v>453</v>
      </c>
      <c r="F1501" s="425">
        <v>850</v>
      </c>
      <c r="G1501" s="427" t="s">
        <v>4288</v>
      </c>
      <c r="H1501" s="419" t="s">
        <v>758</v>
      </c>
      <c r="I1501" s="427" t="s">
        <v>4289</v>
      </c>
      <c r="J1501" s="415" t="s">
        <v>3963</v>
      </c>
      <c r="K1501" s="415" t="s">
        <v>806</v>
      </c>
      <c r="L1501" s="415" t="s">
        <v>807</v>
      </c>
      <c r="M1501" s="415" t="s">
        <v>1540</v>
      </c>
      <c r="N1501" s="414">
        <v>44701</v>
      </c>
      <c r="O1501" s="414" t="s">
        <v>400</v>
      </c>
      <c r="P1501" s="603">
        <f t="shared" si="214"/>
        <v>5</v>
      </c>
      <c r="Q1501" s="603">
        <f t="shared" si="215"/>
        <v>5</v>
      </c>
      <c r="R1501" s="607" t="str">
        <f t="shared" si="216"/>
        <v>Gastos_Gerais</v>
      </c>
      <c r="S1501" s="605" t="s">
        <v>998</v>
      </c>
      <c r="T1501" s="605">
        <v>3518</v>
      </c>
    </row>
    <row r="1502" spans="1:20" s="88" customFormat="1" ht="24" x14ac:dyDescent="0.2">
      <c r="A1502" s="510">
        <f>IF(B1502="","",COUNT('Diário 1º PA'!$A$4:$A$2635)+ROW()-3)</f>
        <v>3235</v>
      </c>
      <c r="B1502" s="414">
        <v>44705</v>
      </c>
      <c r="C1502" s="466">
        <v>44682</v>
      </c>
      <c r="D1502" s="415" t="s">
        <v>271</v>
      </c>
      <c r="E1502" s="415" t="s">
        <v>84</v>
      </c>
      <c r="F1502" s="425">
        <v>131.78</v>
      </c>
      <c r="G1502" s="437" t="s">
        <v>1479</v>
      </c>
      <c r="H1502" s="434" t="s">
        <v>750</v>
      </c>
      <c r="I1502" s="437" t="s">
        <v>766</v>
      </c>
      <c r="J1502" s="415" t="s">
        <v>1019</v>
      </c>
      <c r="K1502" s="418" t="s">
        <v>1392</v>
      </c>
      <c r="L1502" s="399" t="s">
        <v>1372</v>
      </c>
      <c r="M1502" s="544" t="s">
        <v>4290</v>
      </c>
      <c r="N1502" s="414">
        <v>44695</v>
      </c>
      <c r="O1502" s="414" t="s">
        <v>400</v>
      </c>
      <c r="P1502" s="603">
        <f t="shared" si="214"/>
        <v>5</v>
      </c>
      <c r="Q1502" s="603">
        <f t="shared" si="215"/>
        <v>5</v>
      </c>
      <c r="R1502" s="604" t="str">
        <f t="shared" si="216"/>
        <v>Gastos_Gerais</v>
      </c>
      <c r="S1502" s="605" t="s">
        <v>310</v>
      </c>
      <c r="T1502" s="605" t="s">
        <v>310</v>
      </c>
    </row>
    <row r="1503" spans="1:20" s="88" customFormat="1" ht="48" x14ac:dyDescent="0.2">
      <c r="A1503" s="510">
        <f>IF(B1503="","",COUNT('Diário 1º PA'!$A$4:$A$2635)+ROW()-3)</f>
        <v>3236</v>
      </c>
      <c r="B1503" s="414">
        <v>44705</v>
      </c>
      <c r="C1503" s="431">
        <v>44652</v>
      </c>
      <c r="D1503" s="415" t="s">
        <v>271</v>
      </c>
      <c r="E1503" s="415" t="s">
        <v>91</v>
      </c>
      <c r="F1503" s="425">
        <v>23052.11</v>
      </c>
      <c r="G1503" s="427" t="s">
        <v>2837</v>
      </c>
      <c r="H1503" s="419" t="s">
        <v>752</v>
      </c>
      <c r="I1503" s="427" t="s">
        <v>4291</v>
      </c>
      <c r="J1503" s="415" t="s">
        <v>2840</v>
      </c>
      <c r="K1503" s="415" t="s">
        <v>830</v>
      </c>
      <c r="L1503" s="415" t="s">
        <v>4292</v>
      </c>
      <c r="M1503" s="415" t="s">
        <v>4293</v>
      </c>
      <c r="N1503" s="414" t="s">
        <v>4294</v>
      </c>
      <c r="O1503" s="414" t="s">
        <v>400</v>
      </c>
      <c r="P1503" s="603">
        <f t="shared" si="214"/>
        <v>5</v>
      </c>
      <c r="Q1503" s="603">
        <f t="shared" si="215"/>
        <v>4</v>
      </c>
      <c r="R1503" s="604" t="str">
        <f t="shared" si="216"/>
        <v>Gastos_Gerais</v>
      </c>
      <c r="S1503" s="605" t="s">
        <v>998</v>
      </c>
      <c r="T1503" s="605">
        <v>3265</v>
      </c>
    </row>
    <row r="1504" spans="1:20" ht="36" x14ac:dyDescent="0.2">
      <c r="A1504" s="510">
        <f>IF(B1504="","",COUNT('Diário 1º PA'!$A$4:$A$2635)+ROW()-3)</f>
        <v>3237</v>
      </c>
      <c r="B1504" s="414">
        <v>44705</v>
      </c>
      <c r="C1504" s="592">
        <v>44682</v>
      </c>
      <c r="D1504" s="415" t="s">
        <v>271</v>
      </c>
      <c r="E1504" s="415" t="s">
        <v>71</v>
      </c>
      <c r="F1504" s="425">
        <v>11</v>
      </c>
      <c r="G1504" s="427" t="s">
        <v>4295</v>
      </c>
      <c r="H1504" s="419" t="s">
        <v>752</v>
      </c>
      <c r="I1504" s="427" t="s">
        <v>881</v>
      </c>
      <c r="J1504" s="415" t="s">
        <v>882</v>
      </c>
      <c r="K1504" s="415" t="s">
        <v>883</v>
      </c>
      <c r="L1504" s="415" t="s">
        <v>798</v>
      </c>
      <c r="M1504" s="415" t="s">
        <v>310</v>
      </c>
      <c r="N1504" s="414">
        <v>44706</v>
      </c>
      <c r="O1504" s="414" t="s">
        <v>400</v>
      </c>
      <c r="P1504" s="603">
        <f t="shared" ref="P1504:P1510" si="217">IF(B1504=0,0,IF(YEAR(B1504)=$Q$1,MONTH(B1504)-$P$1+1,(YEAR(B1504)-$Q$1)*12-$P$1+1+MONTH(B1504)))</f>
        <v>5</v>
      </c>
      <c r="Q1504" s="603">
        <f t="shared" ref="Q1504:Q1510" si="218">IF(C1504=0,0,IF(YEAR(C1504)=$Q$1,MONTH(C1504)-$P$1+1,(YEAR(C1504)-$Q$1)*12-$P$1+1+MONTH(C1504)))</f>
        <v>5</v>
      </c>
      <c r="R1504" s="604" t="str">
        <f t="shared" ref="R1504:R1510" si="219">SUBSTITUTE(D1504," ","_")</f>
        <v>Gastos_Gerais</v>
      </c>
      <c r="S1504" s="605" t="s">
        <v>310</v>
      </c>
      <c r="T1504" s="605" t="s">
        <v>310</v>
      </c>
    </row>
    <row r="1505" spans="1:20" ht="72" x14ac:dyDescent="0.2">
      <c r="A1505" s="510">
        <f>IF(B1505="","",COUNT('Diário 1º PA'!$A$4:$A$2635)+ROW()-3)</f>
        <v>3238</v>
      </c>
      <c r="B1505" s="414">
        <v>44705</v>
      </c>
      <c r="C1505" s="592">
        <v>44652</v>
      </c>
      <c r="D1505" s="415" t="s">
        <v>468</v>
      </c>
      <c r="E1505" s="415" t="s">
        <v>468</v>
      </c>
      <c r="F1505" s="425">
        <v>8395</v>
      </c>
      <c r="G1505" s="427" t="s">
        <v>3547</v>
      </c>
      <c r="H1505" s="419" t="s">
        <v>468</v>
      </c>
      <c r="I1505" s="427" t="s">
        <v>2803</v>
      </c>
      <c r="J1505" s="415" t="s">
        <v>2426</v>
      </c>
      <c r="K1505" s="415" t="s">
        <v>830</v>
      </c>
      <c r="L1505" s="415" t="s">
        <v>807</v>
      </c>
      <c r="M1505" s="415">
        <v>33215134</v>
      </c>
      <c r="N1505" s="414">
        <v>44701</v>
      </c>
      <c r="O1505" s="414" t="s">
        <v>407</v>
      </c>
      <c r="P1505" s="603">
        <f t="shared" si="217"/>
        <v>5</v>
      </c>
      <c r="Q1505" s="603">
        <f t="shared" si="218"/>
        <v>4</v>
      </c>
      <c r="R1505" s="604" t="str">
        <f t="shared" si="219"/>
        <v>Gastos_custeados_por_captação</v>
      </c>
      <c r="S1505" s="605" t="s">
        <v>998</v>
      </c>
      <c r="T1505" s="605">
        <v>3470</v>
      </c>
    </row>
    <row r="1506" spans="1:20" ht="72" x14ac:dyDescent="0.2">
      <c r="A1506" s="510">
        <f>IF(B1506="","",COUNT('Diário 1º PA'!$A$4:$A$2635)+ROW()-3)</f>
        <v>3239</v>
      </c>
      <c r="B1506" s="414">
        <v>44705</v>
      </c>
      <c r="C1506" s="592">
        <v>44621</v>
      </c>
      <c r="D1506" s="415" t="s">
        <v>468</v>
      </c>
      <c r="E1506" s="415" t="s">
        <v>468</v>
      </c>
      <c r="F1506" s="425">
        <v>11424.16</v>
      </c>
      <c r="G1506" s="427" t="s">
        <v>1925</v>
      </c>
      <c r="H1506" s="419" t="s">
        <v>468</v>
      </c>
      <c r="I1506" s="427" t="s">
        <v>5168</v>
      </c>
      <c r="J1506" s="415" t="s">
        <v>1924</v>
      </c>
      <c r="K1506" s="415" t="s">
        <v>830</v>
      </c>
      <c r="L1506" s="415" t="s">
        <v>839</v>
      </c>
      <c r="M1506" s="415">
        <v>1775</v>
      </c>
      <c r="N1506" s="414">
        <v>44701</v>
      </c>
      <c r="O1506" s="414" t="s">
        <v>407</v>
      </c>
      <c r="P1506" s="603">
        <f t="shared" si="217"/>
        <v>5</v>
      </c>
      <c r="Q1506" s="603">
        <f t="shared" si="218"/>
        <v>3</v>
      </c>
      <c r="R1506" s="604" t="str">
        <f t="shared" si="219"/>
        <v>Gastos_custeados_por_captação</v>
      </c>
      <c r="S1506" s="605" t="s">
        <v>998</v>
      </c>
      <c r="T1506" s="605">
        <v>2983</v>
      </c>
    </row>
    <row r="1507" spans="1:20" ht="72" x14ac:dyDescent="0.2">
      <c r="A1507" s="510">
        <f>IF(B1507="","",COUNT('Diário 1º PA'!$A$4:$A$2635)+ROW()-3)</f>
        <v>3240</v>
      </c>
      <c r="B1507" s="414">
        <v>44705</v>
      </c>
      <c r="C1507" s="592">
        <v>44621</v>
      </c>
      <c r="D1507" s="415" t="s">
        <v>468</v>
      </c>
      <c r="E1507" s="415" t="s">
        <v>468</v>
      </c>
      <c r="F1507" s="425">
        <v>16000</v>
      </c>
      <c r="G1507" s="427" t="s">
        <v>1912</v>
      </c>
      <c r="H1507" s="419" t="s">
        <v>468</v>
      </c>
      <c r="I1507" s="427" t="s">
        <v>5169</v>
      </c>
      <c r="J1507" s="415" t="s">
        <v>1911</v>
      </c>
      <c r="K1507" s="415" t="s">
        <v>830</v>
      </c>
      <c r="L1507" s="415" t="s">
        <v>32</v>
      </c>
      <c r="M1507" s="415" t="s">
        <v>1308</v>
      </c>
      <c r="N1507" s="414">
        <v>44702</v>
      </c>
      <c r="O1507" s="414" t="s">
        <v>407</v>
      </c>
      <c r="P1507" s="603">
        <f t="shared" si="217"/>
        <v>5</v>
      </c>
      <c r="Q1507" s="603">
        <f t="shared" si="218"/>
        <v>3</v>
      </c>
      <c r="R1507" s="604" t="str">
        <f t="shared" si="219"/>
        <v>Gastos_custeados_por_captação</v>
      </c>
      <c r="S1507" s="605" t="s">
        <v>998</v>
      </c>
      <c r="T1507" s="605">
        <v>2979</v>
      </c>
    </row>
    <row r="1508" spans="1:20" ht="72" x14ac:dyDescent="0.2">
      <c r="A1508" s="510">
        <f>IF(B1508="","",COUNT('Diário 1º PA'!$A$4:$A$2635)+ROW()-3)</f>
        <v>3241</v>
      </c>
      <c r="B1508" s="414">
        <v>44705</v>
      </c>
      <c r="C1508" s="592">
        <v>44621</v>
      </c>
      <c r="D1508" s="415" t="s">
        <v>468</v>
      </c>
      <c r="E1508" s="415" t="s">
        <v>468</v>
      </c>
      <c r="F1508" s="425">
        <v>8000</v>
      </c>
      <c r="G1508" s="427" t="s">
        <v>2398</v>
      </c>
      <c r="H1508" s="419" t="s">
        <v>468</v>
      </c>
      <c r="I1508" s="427" t="s">
        <v>5170</v>
      </c>
      <c r="J1508" s="415" t="s">
        <v>1113</v>
      </c>
      <c r="K1508" s="415" t="s">
        <v>830</v>
      </c>
      <c r="L1508" s="415" t="s">
        <v>32</v>
      </c>
      <c r="M1508" s="415">
        <v>23</v>
      </c>
      <c r="N1508" s="414">
        <v>44701</v>
      </c>
      <c r="O1508" s="414" t="s">
        <v>407</v>
      </c>
      <c r="P1508" s="603">
        <f t="shared" si="217"/>
        <v>5</v>
      </c>
      <c r="Q1508" s="603">
        <f t="shared" si="218"/>
        <v>3</v>
      </c>
      <c r="R1508" s="604" t="str">
        <f t="shared" si="219"/>
        <v>Gastos_custeados_por_captação</v>
      </c>
      <c r="S1508" s="605" t="s">
        <v>998</v>
      </c>
      <c r="T1508" s="605">
        <v>3088</v>
      </c>
    </row>
    <row r="1509" spans="1:20" ht="72" x14ac:dyDescent="0.2">
      <c r="A1509" s="510">
        <f>IF(B1509="","",COUNT('Diário 1º PA'!$A$4:$A$2635)+ROW()-3)</f>
        <v>3242</v>
      </c>
      <c r="B1509" s="414">
        <v>44705</v>
      </c>
      <c r="C1509" s="592">
        <v>44682</v>
      </c>
      <c r="D1509" s="415" t="s">
        <v>468</v>
      </c>
      <c r="E1509" s="415" t="s">
        <v>468</v>
      </c>
      <c r="F1509" s="425">
        <v>4569.08</v>
      </c>
      <c r="G1509" s="427" t="s">
        <v>4131</v>
      </c>
      <c r="H1509" s="415" t="s">
        <v>468</v>
      </c>
      <c r="I1509" s="427" t="s">
        <v>5191</v>
      </c>
      <c r="J1509" s="415" t="s">
        <v>1594</v>
      </c>
      <c r="K1509" s="415" t="s">
        <v>830</v>
      </c>
      <c r="L1509" s="415" t="s">
        <v>32</v>
      </c>
      <c r="M1509" s="415" t="s">
        <v>1714</v>
      </c>
      <c r="N1509" s="414">
        <v>44700</v>
      </c>
      <c r="O1509" s="414" t="s">
        <v>407</v>
      </c>
      <c r="P1509" s="603">
        <f t="shared" si="217"/>
        <v>5</v>
      </c>
      <c r="Q1509" s="603">
        <f t="shared" si="218"/>
        <v>5</v>
      </c>
      <c r="R1509" s="604" t="str">
        <f t="shared" si="219"/>
        <v>Gastos_custeados_por_captação</v>
      </c>
      <c r="S1509" s="605" t="s">
        <v>998</v>
      </c>
      <c r="T1509" s="605">
        <v>3678</v>
      </c>
    </row>
    <row r="1510" spans="1:20" ht="72" x14ac:dyDescent="0.2">
      <c r="A1510" s="510">
        <f>IF(B1510="","",COUNT('Diário 1º PA'!$A$4:$A$2635)+ROW()-3)</f>
        <v>3243</v>
      </c>
      <c r="B1510" s="414">
        <v>44705</v>
      </c>
      <c r="C1510" s="592">
        <v>44621</v>
      </c>
      <c r="D1510" s="415" t="s">
        <v>468</v>
      </c>
      <c r="E1510" s="415" t="s">
        <v>468</v>
      </c>
      <c r="F1510" s="425">
        <v>30000</v>
      </c>
      <c r="G1510" s="427" t="s">
        <v>2099</v>
      </c>
      <c r="H1510" s="419" t="s">
        <v>468</v>
      </c>
      <c r="I1510" s="427" t="s">
        <v>5171</v>
      </c>
      <c r="J1510" s="415" t="s">
        <v>2100</v>
      </c>
      <c r="K1510" s="415" t="s">
        <v>830</v>
      </c>
      <c r="L1510" s="415" t="s">
        <v>32</v>
      </c>
      <c r="M1510" s="415">
        <v>86</v>
      </c>
      <c r="N1510" s="414">
        <v>44701</v>
      </c>
      <c r="O1510" s="414" t="s">
        <v>407</v>
      </c>
      <c r="P1510" s="603">
        <f t="shared" si="217"/>
        <v>5</v>
      </c>
      <c r="Q1510" s="603">
        <f t="shared" si="218"/>
        <v>3</v>
      </c>
      <c r="R1510" s="604" t="str">
        <f t="shared" si="219"/>
        <v>Gastos_custeados_por_captação</v>
      </c>
      <c r="S1510" s="605" t="s">
        <v>998</v>
      </c>
      <c r="T1510" s="605">
        <v>3084</v>
      </c>
    </row>
    <row r="1511" spans="1:20" s="88" customFormat="1" ht="72" x14ac:dyDescent="0.2">
      <c r="A1511" s="510">
        <f>IF(B1511="","",COUNT('Diário 1º PA'!$A$4:$A$2635)+ROW()-3)</f>
        <v>3244</v>
      </c>
      <c r="B1511" s="414">
        <v>44705</v>
      </c>
      <c r="C1511" s="592">
        <v>44652</v>
      </c>
      <c r="D1511" s="415" t="s">
        <v>468</v>
      </c>
      <c r="E1511" s="415" t="s">
        <v>468</v>
      </c>
      <c r="F1511" s="425">
        <v>40286</v>
      </c>
      <c r="G1511" s="427" t="s">
        <v>5172</v>
      </c>
      <c r="H1511" s="419" t="s">
        <v>468</v>
      </c>
      <c r="I1511" s="482" t="s">
        <v>5173</v>
      </c>
      <c r="J1511" s="521" t="s">
        <v>5174</v>
      </c>
      <c r="K1511" s="415" t="s">
        <v>830</v>
      </c>
      <c r="L1511" s="415" t="s">
        <v>32</v>
      </c>
      <c r="M1511" s="682">
        <v>494012</v>
      </c>
      <c r="N1511" s="414">
        <v>44699</v>
      </c>
      <c r="O1511" s="414" t="s">
        <v>407</v>
      </c>
      <c r="P1511" s="603">
        <f t="shared" ref="P1511:P1536" si="220">IF(B1511=0,0,IF(YEAR(B1511)=$Q$1,MONTH(B1511)-$P$1+1,(YEAR(B1511)-$Q$1)*12-$P$1+1+MONTH(B1511)))</f>
        <v>5</v>
      </c>
      <c r="Q1511" s="603">
        <f t="shared" ref="Q1511:Q1536" si="221">IF(C1511=0,0,IF(YEAR(C1511)=$Q$1,MONTH(C1511)-$P$1+1,(YEAR(C1511)-$Q$1)*12-$P$1+1+MONTH(C1511)))</f>
        <v>4</v>
      </c>
      <c r="R1511" s="604" t="str">
        <f t="shared" ref="R1511:R1536" si="222">SUBSTITUTE(D1511," ","_")</f>
        <v>Gastos_custeados_por_captação</v>
      </c>
      <c r="S1511" s="605" t="s">
        <v>998</v>
      </c>
      <c r="T1511" s="605">
        <v>3240</v>
      </c>
    </row>
    <row r="1512" spans="1:20" s="88" customFormat="1" ht="36" x14ac:dyDescent="0.2">
      <c r="A1512" s="510">
        <f>IF(B1512="","",COUNT('Diário 1º PA'!$A$4:$A$2635)+ROW()-3)</f>
        <v>3245</v>
      </c>
      <c r="B1512" s="414">
        <v>44705</v>
      </c>
      <c r="C1512" s="592">
        <v>44652</v>
      </c>
      <c r="D1512" s="415" t="s">
        <v>468</v>
      </c>
      <c r="E1512" s="415" t="s">
        <v>468</v>
      </c>
      <c r="F1512" s="425">
        <v>-6000</v>
      </c>
      <c r="G1512" s="639" t="s">
        <v>2441</v>
      </c>
      <c r="H1512" s="415" t="s">
        <v>468</v>
      </c>
      <c r="I1512" s="482" t="s">
        <v>2437</v>
      </c>
      <c r="J1512" s="521" t="s">
        <v>796</v>
      </c>
      <c r="K1512" s="415" t="s">
        <v>797</v>
      </c>
      <c r="L1512" s="415" t="s">
        <v>798</v>
      </c>
      <c r="M1512" s="521" t="s">
        <v>310</v>
      </c>
      <c r="N1512" s="414">
        <v>44705</v>
      </c>
      <c r="O1512" s="414" t="s">
        <v>408</v>
      </c>
      <c r="P1512" s="603">
        <f t="shared" si="220"/>
        <v>5</v>
      </c>
      <c r="Q1512" s="603">
        <f t="shared" si="221"/>
        <v>4</v>
      </c>
      <c r="R1512" s="604" t="str">
        <f t="shared" si="222"/>
        <v>Gastos_custeados_por_captação</v>
      </c>
      <c r="S1512" s="605" t="s">
        <v>310</v>
      </c>
      <c r="T1512" s="605" t="s">
        <v>310</v>
      </c>
    </row>
    <row r="1513" spans="1:20" s="88" customFormat="1" ht="36" x14ac:dyDescent="0.2">
      <c r="A1513" s="510">
        <f>IF(B1513="","",COUNT('Diário 1º PA'!$A$4:$A$2635)+ROW()-3)</f>
        <v>3246</v>
      </c>
      <c r="B1513" s="414">
        <v>44705</v>
      </c>
      <c r="C1513" s="592">
        <v>44652</v>
      </c>
      <c r="D1513" s="415" t="s">
        <v>468</v>
      </c>
      <c r="E1513" s="415" t="s">
        <v>468</v>
      </c>
      <c r="F1513" s="425">
        <v>-6000</v>
      </c>
      <c r="G1513" s="639" t="s">
        <v>2442</v>
      </c>
      <c r="H1513" s="415" t="s">
        <v>468</v>
      </c>
      <c r="I1513" s="427" t="s">
        <v>2437</v>
      </c>
      <c r="J1513" s="415" t="s">
        <v>796</v>
      </c>
      <c r="K1513" s="415" t="s">
        <v>797</v>
      </c>
      <c r="L1513" s="415" t="s">
        <v>798</v>
      </c>
      <c r="M1513" s="415" t="s">
        <v>310</v>
      </c>
      <c r="N1513" s="414">
        <v>44705</v>
      </c>
      <c r="O1513" s="414" t="s">
        <v>408</v>
      </c>
      <c r="P1513" s="603">
        <f t="shared" si="220"/>
        <v>5</v>
      </c>
      <c r="Q1513" s="603">
        <f t="shared" si="221"/>
        <v>4</v>
      </c>
      <c r="R1513" s="604" t="str">
        <f t="shared" si="222"/>
        <v>Gastos_custeados_por_captação</v>
      </c>
      <c r="S1513" s="605" t="s">
        <v>310</v>
      </c>
      <c r="T1513" s="605" t="s">
        <v>310</v>
      </c>
    </row>
    <row r="1514" spans="1:20" s="88" customFormat="1" ht="60" customHeight="1" x14ac:dyDescent="0.2">
      <c r="A1514" s="510">
        <f>IF(B1514="","",COUNT('Diário 1º PA'!$A$4:$A$2635)+ROW()-3)</f>
        <v>3247</v>
      </c>
      <c r="B1514" s="414">
        <v>44705</v>
      </c>
      <c r="C1514" s="592">
        <v>44652</v>
      </c>
      <c r="D1514" s="415" t="s">
        <v>468</v>
      </c>
      <c r="E1514" s="415" t="s">
        <v>468</v>
      </c>
      <c r="F1514" s="425">
        <v>930</v>
      </c>
      <c r="G1514" s="427" t="s">
        <v>5579</v>
      </c>
      <c r="H1514" s="415" t="s">
        <v>468</v>
      </c>
      <c r="I1514" s="427" t="s">
        <v>795</v>
      </c>
      <c r="J1514" s="415" t="s">
        <v>796</v>
      </c>
      <c r="K1514" s="415" t="s">
        <v>806</v>
      </c>
      <c r="L1514" s="415" t="s">
        <v>798</v>
      </c>
      <c r="M1514" s="415" t="s">
        <v>310</v>
      </c>
      <c r="N1514" s="414">
        <v>44705</v>
      </c>
      <c r="O1514" s="414" t="s">
        <v>408</v>
      </c>
      <c r="P1514" s="603">
        <f t="shared" si="220"/>
        <v>5</v>
      </c>
      <c r="Q1514" s="603">
        <f t="shared" si="221"/>
        <v>4</v>
      </c>
      <c r="R1514" s="604" t="str">
        <f t="shared" si="222"/>
        <v>Gastos_custeados_por_captação</v>
      </c>
      <c r="S1514" s="605" t="s">
        <v>310</v>
      </c>
      <c r="T1514" s="605" t="s">
        <v>310</v>
      </c>
    </row>
    <row r="1515" spans="1:20" s="88" customFormat="1" ht="36" x14ac:dyDescent="0.2">
      <c r="A1515" s="510">
        <f>IF(B1515="","",COUNT('Diário 1º PA'!$A$4:$A$2635)+ROW()-3)</f>
        <v>3248</v>
      </c>
      <c r="B1515" s="414">
        <v>44705</v>
      </c>
      <c r="C1515" s="592">
        <v>44652</v>
      </c>
      <c r="D1515" s="415" t="s">
        <v>468</v>
      </c>
      <c r="E1515" s="415" t="s">
        <v>468</v>
      </c>
      <c r="F1515" s="425">
        <v>1240</v>
      </c>
      <c r="G1515" s="427" t="s">
        <v>5580</v>
      </c>
      <c r="H1515" s="415" t="s">
        <v>468</v>
      </c>
      <c r="I1515" s="427" t="s">
        <v>795</v>
      </c>
      <c r="J1515" s="415" t="s">
        <v>796</v>
      </c>
      <c r="K1515" s="415" t="s">
        <v>806</v>
      </c>
      <c r="L1515" s="415" t="s">
        <v>798</v>
      </c>
      <c r="M1515" s="415" t="s">
        <v>310</v>
      </c>
      <c r="N1515" s="414">
        <v>44705</v>
      </c>
      <c r="O1515" s="414" t="s">
        <v>408</v>
      </c>
      <c r="P1515" s="603">
        <f t="shared" si="220"/>
        <v>5</v>
      </c>
      <c r="Q1515" s="603">
        <f t="shared" si="221"/>
        <v>4</v>
      </c>
      <c r="R1515" s="604" t="str">
        <f t="shared" si="222"/>
        <v>Gastos_custeados_por_captação</v>
      </c>
      <c r="S1515" s="605" t="s">
        <v>310</v>
      </c>
      <c r="T1515" s="605" t="s">
        <v>310</v>
      </c>
    </row>
    <row r="1516" spans="1:20" s="88" customFormat="1" ht="60" x14ac:dyDescent="0.2">
      <c r="A1516" s="510">
        <f>IF(B1516="","",COUNT('Diário 1º PA'!$A$4:$A$2635)+ROW()-3)</f>
        <v>3249</v>
      </c>
      <c r="B1516" s="414">
        <v>44705</v>
      </c>
      <c r="C1516" s="592">
        <v>44652</v>
      </c>
      <c r="D1516" s="415" t="s">
        <v>468</v>
      </c>
      <c r="E1516" s="415" t="s">
        <v>468</v>
      </c>
      <c r="F1516" s="425">
        <v>6000</v>
      </c>
      <c r="G1516" s="427" t="s">
        <v>2679</v>
      </c>
      <c r="H1516" s="415" t="s">
        <v>468</v>
      </c>
      <c r="I1516" s="437" t="s">
        <v>2437</v>
      </c>
      <c r="J1516" s="434" t="s">
        <v>796</v>
      </c>
      <c r="K1516" s="415" t="s">
        <v>806</v>
      </c>
      <c r="L1516" s="434" t="s">
        <v>798</v>
      </c>
      <c r="M1516" s="436" t="s">
        <v>310</v>
      </c>
      <c r="N1516" s="414">
        <v>44705</v>
      </c>
      <c r="O1516" s="414" t="s">
        <v>404</v>
      </c>
      <c r="P1516" s="603">
        <f t="shared" si="220"/>
        <v>5</v>
      </c>
      <c r="Q1516" s="603">
        <f t="shared" si="221"/>
        <v>4</v>
      </c>
      <c r="R1516" s="604" t="str">
        <f t="shared" si="222"/>
        <v>Gastos_custeados_por_captação</v>
      </c>
      <c r="S1516" s="605" t="s">
        <v>310</v>
      </c>
      <c r="T1516" s="605" t="s">
        <v>310</v>
      </c>
    </row>
    <row r="1517" spans="1:20" s="88" customFormat="1" ht="60" x14ac:dyDescent="0.2">
      <c r="A1517" s="510">
        <f>IF(B1517="","",COUNT('Diário 1º PA'!$A$4:$A$2635)+ROW()-3)</f>
        <v>3250</v>
      </c>
      <c r="B1517" s="414">
        <v>44705</v>
      </c>
      <c r="C1517" s="592">
        <v>44652</v>
      </c>
      <c r="D1517" s="415" t="s">
        <v>468</v>
      </c>
      <c r="E1517" s="415" t="s">
        <v>468</v>
      </c>
      <c r="F1517" s="425">
        <v>6000</v>
      </c>
      <c r="G1517" s="427" t="s">
        <v>2678</v>
      </c>
      <c r="H1517" s="415" t="s">
        <v>468</v>
      </c>
      <c r="I1517" s="437" t="s">
        <v>2437</v>
      </c>
      <c r="J1517" s="434" t="s">
        <v>796</v>
      </c>
      <c r="K1517" s="415" t="s">
        <v>806</v>
      </c>
      <c r="L1517" s="434" t="s">
        <v>798</v>
      </c>
      <c r="M1517" s="436" t="s">
        <v>310</v>
      </c>
      <c r="N1517" s="414">
        <v>44705</v>
      </c>
      <c r="O1517" s="414" t="s">
        <v>404</v>
      </c>
      <c r="P1517" s="603">
        <f t="shared" si="220"/>
        <v>5</v>
      </c>
      <c r="Q1517" s="603">
        <f t="shared" si="221"/>
        <v>4</v>
      </c>
      <c r="R1517" s="604" t="str">
        <f t="shared" si="222"/>
        <v>Gastos_custeados_por_captação</v>
      </c>
      <c r="S1517" s="605" t="s">
        <v>310</v>
      </c>
      <c r="T1517" s="605" t="s">
        <v>310</v>
      </c>
    </row>
    <row r="1518" spans="1:20" s="88" customFormat="1" ht="60" x14ac:dyDescent="0.2">
      <c r="A1518" s="510">
        <f>IF(B1518="","",COUNT('Diário 1º PA'!$A$4:$A$2635)+ROW()-3)</f>
        <v>3251</v>
      </c>
      <c r="B1518" s="414">
        <v>44705</v>
      </c>
      <c r="C1518" s="424">
        <v>44562</v>
      </c>
      <c r="D1518" s="415" t="s">
        <v>468</v>
      </c>
      <c r="E1518" s="415" t="s">
        <v>468</v>
      </c>
      <c r="F1518" s="425">
        <v>5879.4</v>
      </c>
      <c r="G1518" s="427" t="s">
        <v>2380</v>
      </c>
      <c r="H1518" s="415" t="s">
        <v>468</v>
      </c>
      <c r="I1518" s="639" t="s">
        <v>2381</v>
      </c>
      <c r="J1518" s="418" t="s">
        <v>2382</v>
      </c>
      <c r="K1518" s="418" t="s">
        <v>830</v>
      </c>
      <c r="L1518" s="399" t="s">
        <v>807</v>
      </c>
      <c r="M1518" s="544">
        <v>20225</v>
      </c>
      <c r="N1518" s="414">
        <v>44700</v>
      </c>
      <c r="O1518" s="414" t="s">
        <v>405</v>
      </c>
      <c r="P1518" s="603">
        <f t="shared" si="220"/>
        <v>5</v>
      </c>
      <c r="Q1518" s="603">
        <f t="shared" si="221"/>
        <v>1</v>
      </c>
      <c r="R1518" s="604" t="str">
        <f t="shared" si="222"/>
        <v>Gastos_custeados_por_captação</v>
      </c>
      <c r="S1518" s="605" t="s">
        <v>1000</v>
      </c>
      <c r="T1518" s="605">
        <v>1633</v>
      </c>
    </row>
    <row r="1519" spans="1:20" s="88" customFormat="1" ht="72" x14ac:dyDescent="0.2">
      <c r="A1519" s="510">
        <f>IF(B1519="","",COUNT('Diário 1º PA'!$A$4:$A$2635)+ROW()-3)</f>
        <v>3252</v>
      </c>
      <c r="B1519" s="414">
        <v>44705</v>
      </c>
      <c r="C1519" s="424">
        <v>44652</v>
      </c>
      <c r="D1519" s="415" t="s">
        <v>468</v>
      </c>
      <c r="E1519" s="415" t="s">
        <v>468</v>
      </c>
      <c r="F1519" s="425">
        <v>2269.2399999999998</v>
      </c>
      <c r="G1519" s="427" t="s">
        <v>5465</v>
      </c>
      <c r="H1519" s="419" t="s">
        <v>468</v>
      </c>
      <c r="I1519" s="427" t="s">
        <v>5464</v>
      </c>
      <c r="J1519" s="415" t="s">
        <v>3084</v>
      </c>
      <c r="K1519" s="415" t="s">
        <v>830</v>
      </c>
      <c r="L1519" s="415" t="s">
        <v>839</v>
      </c>
      <c r="M1519" s="415">
        <v>1777</v>
      </c>
      <c r="N1519" s="414">
        <v>44701</v>
      </c>
      <c r="O1519" s="414" t="s">
        <v>402</v>
      </c>
      <c r="P1519" s="603">
        <f t="shared" si="220"/>
        <v>5</v>
      </c>
      <c r="Q1519" s="603">
        <f t="shared" si="221"/>
        <v>4</v>
      </c>
      <c r="R1519" s="604" t="str">
        <f t="shared" si="222"/>
        <v>Gastos_custeados_por_captação</v>
      </c>
      <c r="S1519" s="605" t="s">
        <v>1000</v>
      </c>
      <c r="T1519" s="605">
        <v>2880</v>
      </c>
    </row>
    <row r="1520" spans="1:20" s="88" customFormat="1" ht="72" x14ac:dyDescent="0.2">
      <c r="A1520" s="510">
        <f>IF(B1520="","",COUNT('Diário 1º PA'!$A$4:$A$2635)+ROW()-3)</f>
        <v>3253</v>
      </c>
      <c r="B1520" s="414">
        <v>44705</v>
      </c>
      <c r="C1520" s="424">
        <v>44562</v>
      </c>
      <c r="D1520" s="415" t="s">
        <v>468</v>
      </c>
      <c r="E1520" s="415" t="s">
        <v>468</v>
      </c>
      <c r="F1520" s="425">
        <v>5879.4</v>
      </c>
      <c r="G1520" s="427" t="s">
        <v>2380</v>
      </c>
      <c r="H1520" s="415" t="s">
        <v>468</v>
      </c>
      <c r="I1520" s="639" t="s">
        <v>2381</v>
      </c>
      <c r="J1520" s="418" t="s">
        <v>2382</v>
      </c>
      <c r="K1520" s="418" t="s">
        <v>830</v>
      </c>
      <c r="L1520" s="399" t="s">
        <v>807</v>
      </c>
      <c r="M1520" s="544">
        <v>20223</v>
      </c>
      <c r="N1520" s="414">
        <v>44700</v>
      </c>
      <c r="O1520" s="414" t="s">
        <v>402</v>
      </c>
      <c r="P1520" s="603">
        <f t="shared" si="220"/>
        <v>5</v>
      </c>
      <c r="Q1520" s="603">
        <f t="shared" si="221"/>
        <v>1</v>
      </c>
      <c r="R1520" s="604" t="str">
        <f t="shared" si="222"/>
        <v>Gastos_custeados_por_captação</v>
      </c>
      <c r="S1520" s="605" t="s">
        <v>1000</v>
      </c>
      <c r="T1520" s="605">
        <v>1633</v>
      </c>
    </row>
    <row r="1521" spans="1:20" s="88" customFormat="1" ht="72" x14ac:dyDescent="0.2">
      <c r="A1521" s="510">
        <f>IF(B1521="","",COUNT('Diário 1º PA'!$A$4:$A$2635)+ROW()-3)</f>
        <v>3254</v>
      </c>
      <c r="B1521" s="414">
        <v>44705</v>
      </c>
      <c r="C1521" s="424">
        <v>44562</v>
      </c>
      <c r="D1521" s="415" t="s">
        <v>468</v>
      </c>
      <c r="E1521" s="415" t="s">
        <v>468</v>
      </c>
      <c r="F1521" s="425">
        <v>5879.4</v>
      </c>
      <c r="G1521" s="427" t="s">
        <v>2380</v>
      </c>
      <c r="H1521" s="415" t="s">
        <v>468</v>
      </c>
      <c r="I1521" s="639" t="s">
        <v>2381</v>
      </c>
      <c r="J1521" s="418" t="s">
        <v>2382</v>
      </c>
      <c r="K1521" s="418" t="s">
        <v>830</v>
      </c>
      <c r="L1521" s="399" t="s">
        <v>807</v>
      </c>
      <c r="M1521" s="544">
        <v>20226</v>
      </c>
      <c r="N1521" s="414">
        <v>44700</v>
      </c>
      <c r="O1521" s="414" t="s">
        <v>402</v>
      </c>
      <c r="P1521" s="603">
        <f t="shared" si="220"/>
        <v>5</v>
      </c>
      <c r="Q1521" s="603">
        <f t="shared" si="221"/>
        <v>1</v>
      </c>
      <c r="R1521" s="604" t="str">
        <f t="shared" si="222"/>
        <v>Gastos_custeados_por_captação</v>
      </c>
      <c r="S1521" s="605" t="s">
        <v>1000</v>
      </c>
      <c r="T1521" s="605">
        <v>1633</v>
      </c>
    </row>
    <row r="1522" spans="1:20" s="88" customFormat="1" ht="72" x14ac:dyDescent="0.2">
      <c r="A1522" s="510">
        <f>IF(B1522="","",COUNT('Diário 1º PA'!$A$4:$A$2635)+ROW()-3)</f>
        <v>3255</v>
      </c>
      <c r="B1522" s="414">
        <v>44705</v>
      </c>
      <c r="C1522" s="424">
        <v>44682</v>
      </c>
      <c r="D1522" s="415" t="s">
        <v>468</v>
      </c>
      <c r="E1522" s="415" t="s">
        <v>468</v>
      </c>
      <c r="F1522" s="425">
        <v>11</v>
      </c>
      <c r="G1522" s="427" t="s">
        <v>4799</v>
      </c>
      <c r="H1522" s="415" t="s">
        <v>468</v>
      </c>
      <c r="I1522" s="427" t="s">
        <v>881</v>
      </c>
      <c r="J1522" s="415" t="s">
        <v>882</v>
      </c>
      <c r="K1522" s="415" t="s">
        <v>883</v>
      </c>
      <c r="L1522" s="415" t="s">
        <v>798</v>
      </c>
      <c r="M1522" s="544" t="s">
        <v>310</v>
      </c>
      <c r="N1522" s="414">
        <v>44705</v>
      </c>
      <c r="O1522" s="414" t="s">
        <v>402</v>
      </c>
      <c r="P1522" s="603">
        <f t="shared" si="220"/>
        <v>5</v>
      </c>
      <c r="Q1522" s="603">
        <f t="shared" si="221"/>
        <v>5</v>
      </c>
      <c r="R1522" s="604" t="str">
        <f t="shared" si="222"/>
        <v>Gastos_custeados_por_captação</v>
      </c>
      <c r="S1522" s="605" t="s">
        <v>310</v>
      </c>
      <c r="T1522" s="605" t="s">
        <v>310</v>
      </c>
    </row>
    <row r="1523" spans="1:20" s="88" customFormat="1" ht="72" x14ac:dyDescent="0.2">
      <c r="A1523" s="510">
        <f>IF(B1523="","",COUNT('Diário 1º PA'!$A$4:$A$2635)+ROW()-3)</f>
        <v>3256</v>
      </c>
      <c r="B1523" s="414">
        <v>44705</v>
      </c>
      <c r="C1523" s="424">
        <v>44682</v>
      </c>
      <c r="D1523" s="415" t="s">
        <v>468</v>
      </c>
      <c r="E1523" s="415" t="s">
        <v>468</v>
      </c>
      <c r="F1523" s="425">
        <v>11</v>
      </c>
      <c r="G1523" s="427" t="s">
        <v>4799</v>
      </c>
      <c r="H1523" s="415" t="s">
        <v>468</v>
      </c>
      <c r="I1523" s="427" t="s">
        <v>881</v>
      </c>
      <c r="J1523" s="415" t="s">
        <v>882</v>
      </c>
      <c r="K1523" s="415" t="s">
        <v>883</v>
      </c>
      <c r="L1523" s="415" t="s">
        <v>798</v>
      </c>
      <c r="M1523" s="544" t="s">
        <v>310</v>
      </c>
      <c r="N1523" s="414">
        <v>44705</v>
      </c>
      <c r="O1523" s="414" t="s">
        <v>402</v>
      </c>
      <c r="P1523" s="603">
        <f t="shared" si="220"/>
        <v>5</v>
      </c>
      <c r="Q1523" s="603">
        <f t="shared" si="221"/>
        <v>5</v>
      </c>
      <c r="R1523" s="604" t="str">
        <f t="shared" si="222"/>
        <v>Gastos_custeados_por_captação</v>
      </c>
      <c r="S1523" s="605" t="s">
        <v>310</v>
      </c>
      <c r="T1523" s="605" t="s">
        <v>310</v>
      </c>
    </row>
    <row r="1524" spans="1:20" s="88" customFormat="1" ht="48" x14ac:dyDescent="0.2">
      <c r="A1524" s="510">
        <f>IF(B1524="","",COUNT('Diário 1º PA'!$A$4:$A$2635)+ROW()-3)</f>
        <v>3257</v>
      </c>
      <c r="B1524" s="414">
        <v>44706</v>
      </c>
      <c r="C1524" s="466">
        <v>44652</v>
      </c>
      <c r="D1524" s="415" t="s">
        <v>271</v>
      </c>
      <c r="E1524" s="415" t="s">
        <v>92</v>
      </c>
      <c r="F1524" s="425">
        <v>-114.88</v>
      </c>
      <c r="G1524" s="427" t="s">
        <v>4296</v>
      </c>
      <c r="H1524" s="415" t="s">
        <v>309</v>
      </c>
      <c r="I1524" s="437" t="s">
        <v>795</v>
      </c>
      <c r="J1524" s="434" t="s">
        <v>796</v>
      </c>
      <c r="K1524" s="434" t="s">
        <v>797</v>
      </c>
      <c r="L1524" s="434" t="s">
        <v>798</v>
      </c>
      <c r="M1524" s="436" t="s">
        <v>310</v>
      </c>
      <c r="N1524" s="414">
        <v>44706</v>
      </c>
      <c r="O1524" s="414" t="s">
        <v>400</v>
      </c>
      <c r="P1524" s="603">
        <f t="shared" si="220"/>
        <v>5</v>
      </c>
      <c r="Q1524" s="603">
        <f t="shared" si="221"/>
        <v>4</v>
      </c>
      <c r="R1524" s="604" t="str">
        <f t="shared" si="222"/>
        <v>Gastos_Gerais</v>
      </c>
      <c r="S1524" s="605" t="s">
        <v>310</v>
      </c>
      <c r="T1524" s="605" t="s">
        <v>310</v>
      </c>
    </row>
    <row r="1525" spans="1:20" s="88" customFormat="1" ht="36" x14ac:dyDescent="0.2">
      <c r="A1525" s="510">
        <f>IF(B1525="","",COUNT('Diário 1º PA'!$A$4:$A$2635)+ROW()-3)</f>
        <v>3258</v>
      </c>
      <c r="B1525" s="414">
        <v>44706</v>
      </c>
      <c r="C1525" s="466">
        <v>44652</v>
      </c>
      <c r="D1525" s="415" t="s">
        <v>271</v>
      </c>
      <c r="E1525" s="415" t="s">
        <v>164</v>
      </c>
      <c r="F1525" s="435">
        <v>-207.25</v>
      </c>
      <c r="G1525" s="427" t="s">
        <v>4133</v>
      </c>
      <c r="H1525" s="415" t="s">
        <v>309</v>
      </c>
      <c r="I1525" s="427" t="s">
        <v>795</v>
      </c>
      <c r="J1525" s="415" t="s">
        <v>796</v>
      </c>
      <c r="K1525" s="415" t="s">
        <v>797</v>
      </c>
      <c r="L1525" s="415" t="s">
        <v>798</v>
      </c>
      <c r="M1525" s="415" t="s">
        <v>310</v>
      </c>
      <c r="N1525" s="414">
        <v>44706</v>
      </c>
      <c r="O1525" s="414" t="s">
        <v>400</v>
      </c>
      <c r="P1525" s="603">
        <f t="shared" si="220"/>
        <v>5</v>
      </c>
      <c r="Q1525" s="603">
        <f t="shared" si="221"/>
        <v>4</v>
      </c>
      <c r="R1525" s="604" t="str">
        <f t="shared" si="222"/>
        <v>Gastos_Gerais</v>
      </c>
      <c r="S1525" s="605" t="s">
        <v>310</v>
      </c>
      <c r="T1525" s="605" t="s">
        <v>310</v>
      </c>
    </row>
    <row r="1526" spans="1:20" s="88" customFormat="1" ht="36" x14ac:dyDescent="0.2">
      <c r="A1526" s="510">
        <f>IF(B1526="","",COUNT('Diário 1º PA'!$A$4:$A$2635)+ROW()-3)</f>
        <v>3259</v>
      </c>
      <c r="B1526" s="414">
        <v>44706</v>
      </c>
      <c r="C1526" s="466">
        <v>44652</v>
      </c>
      <c r="D1526" s="415" t="s">
        <v>315</v>
      </c>
      <c r="E1526" s="415" t="s">
        <v>315</v>
      </c>
      <c r="F1526" s="435">
        <v>12450.42</v>
      </c>
      <c r="G1526" s="437" t="s">
        <v>4297</v>
      </c>
      <c r="H1526" s="434" t="s">
        <v>310</v>
      </c>
      <c r="I1526" s="437" t="s">
        <v>1473</v>
      </c>
      <c r="J1526" s="434" t="s">
        <v>796</v>
      </c>
      <c r="K1526" s="434" t="s">
        <v>797</v>
      </c>
      <c r="L1526" s="434" t="s">
        <v>798</v>
      </c>
      <c r="M1526" s="436" t="s">
        <v>310</v>
      </c>
      <c r="N1526" s="414">
        <v>44706</v>
      </c>
      <c r="O1526" s="414" t="s">
        <v>400</v>
      </c>
      <c r="P1526" s="603">
        <f t="shared" si="220"/>
        <v>5</v>
      </c>
      <c r="Q1526" s="603">
        <f t="shared" si="221"/>
        <v>4</v>
      </c>
      <c r="R1526" s="604" t="str">
        <f t="shared" si="222"/>
        <v>Transferência_para_Reserva_de_Recursos</v>
      </c>
      <c r="S1526" s="605" t="s">
        <v>310</v>
      </c>
      <c r="T1526" s="605" t="s">
        <v>310</v>
      </c>
    </row>
    <row r="1527" spans="1:20" s="88" customFormat="1" ht="48" x14ac:dyDescent="0.2">
      <c r="A1527" s="510">
        <f>IF(B1527="","",COUNT('Diário 1º PA'!$A$4:$A$2635)+ROW()-3)</f>
        <v>3260</v>
      </c>
      <c r="B1527" s="414">
        <v>44706</v>
      </c>
      <c r="C1527" s="431">
        <v>44682</v>
      </c>
      <c r="D1527" s="415" t="s">
        <v>271</v>
      </c>
      <c r="E1527" s="415" t="s">
        <v>463</v>
      </c>
      <c r="F1527" s="425">
        <v>420</v>
      </c>
      <c r="G1527" s="427" t="s">
        <v>3794</v>
      </c>
      <c r="H1527" s="419" t="s">
        <v>760</v>
      </c>
      <c r="I1527" s="427" t="s">
        <v>2376</v>
      </c>
      <c r="J1527" s="415" t="s">
        <v>1143</v>
      </c>
      <c r="K1527" s="415" t="s">
        <v>806</v>
      </c>
      <c r="L1527" s="415" t="s">
        <v>839</v>
      </c>
      <c r="M1527" s="415">
        <v>1789</v>
      </c>
      <c r="N1527" s="414">
        <v>44705</v>
      </c>
      <c r="O1527" s="414" t="s">
        <v>400</v>
      </c>
      <c r="P1527" s="603">
        <f t="shared" si="220"/>
        <v>5</v>
      </c>
      <c r="Q1527" s="603">
        <f t="shared" si="221"/>
        <v>5</v>
      </c>
      <c r="R1527" s="604" t="str">
        <f t="shared" si="222"/>
        <v>Gastos_Gerais</v>
      </c>
      <c r="S1527" s="605" t="s">
        <v>998</v>
      </c>
      <c r="T1527" s="605">
        <v>3539</v>
      </c>
    </row>
    <row r="1528" spans="1:20" s="88" customFormat="1" ht="24" x14ac:dyDescent="0.2">
      <c r="A1528" s="510">
        <f>IF(B1528="","",COUNT('Diário 1º PA'!$A$4:$A$2635)+ROW()-3)</f>
        <v>3261</v>
      </c>
      <c r="B1528" s="414">
        <v>44706</v>
      </c>
      <c r="C1528" s="466">
        <v>44682</v>
      </c>
      <c r="D1528" s="415" t="s">
        <v>271</v>
      </c>
      <c r="E1528" s="415" t="s">
        <v>297</v>
      </c>
      <c r="F1528" s="435">
        <v>342</v>
      </c>
      <c r="G1528" s="437" t="s">
        <v>1484</v>
      </c>
      <c r="H1528" s="434" t="s">
        <v>309</v>
      </c>
      <c r="I1528" s="437" t="s">
        <v>1485</v>
      </c>
      <c r="J1528" s="434" t="s">
        <v>1483</v>
      </c>
      <c r="K1528" s="418" t="s">
        <v>812</v>
      </c>
      <c r="L1528" s="434" t="s">
        <v>807</v>
      </c>
      <c r="M1528" s="415">
        <v>6292710</v>
      </c>
      <c r="N1528" s="414">
        <v>44708</v>
      </c>
      <c r="O1528" s="414" t="s">
        <v>400</v>
      </c>
      <c r="P1528" s="603">
        <f t="shared" si="220"/>
        <v>5</v>
      </c>
      <c r="Q1528" s="603">
        <f t="shared" si="221"/>
        <v>5</v>
      </c>
      <c r="R1528" s="604" t="str">
        <f t="shared" si="222"/>
        <v>Gastos_Gerais</v>
      </c>
      <c r="S1528" s="605" t="s">
        <v>1000</v>
      </c>
      <c r="T1528" s="605">
        <v>1551</v>
      </c>
    </row>
    <row r="1529" spans="1:20" s="88" customFormat="1" ht="24" x14ac:dyDescent="0.2">
      <c r="A1529" s="510">
        <f>IF(B1529="","",COUNT('Diário 1º PA'!$A$4:$A$2635)+ROW()-3)</f>
        <v>3262</v>
      </c>
      <c r="B1529" s="414">
        <v>44706</v>
      </c>
      <c r="C1529" s="466">
        <v>44652</v>
      </c>
      <c r="D1529" s="415" t="s">
        <v>271</v>
      </c>
      <c r="E1529" s="415" t="s">
        <v>164</v>
      </c>
      <c r="F1529" s="435">
        <v>784.74</v>
      </c>
      <c r="G1529" s="437" t="s">
        <v>1403</v>
      </c>
      <c r="H1529" s="434" t="s">
        <v>309</v>
      </c>
      <c r="I1529" s="437" t="s">
        <v>769</v>
      </c>
      <c r="J1529" s="434" t="s">
        <v>1478</v>
      </c>
      <c r="K1529" s="434" t="s">
        <v>1404</v>
      </c>
      <c r="L1529" s="434" t="s">
        <v>1372</v>
      </c>
      <c r="M1529" s="415" t="s">
        <v>4300</v>
      </c>
      <c r="N1529" s="414">
        <v>44688</v>
      </c>
      <c r="O1529" s="414" t="s">
        <v>400</v>
      </c>
      <c r="P1529" s="603">
        <f t="shared" si="220"/>
        <v>5</v>
      </c>
      <c r="Q1529" s="603">
        <f t="shared" si="221"/>
        <v>4</v>
      </c>
      <c r="R1529" s="604" t="str">
        <f t="shared" si="222"/>
        <v>Gastos_Gerais</v>
      </c>
      <c r="S1529" s="605" t="s">
        <v>310</v>
      </c>
      <c r="T1529" s="605" t="s">
        <v>310</v>
      </c>
    </row>
    <row r="1530" spans="1:20" s="88" customFormat="1" ht="134.25" customHeight="1" x14ac:dyDescent="0.2">
      <c r="A1530" s="510">
        <f>IF(B1530="","",COUNT('Diário 1º PA'!$A$4:$A$2635)+ROW()-3)</f>
        <v>3263</v>
      </c>
      <c r="B1530" s="414">
        <v>44706</v>
      </c>
      <c r="C1530" s="466">
        <v>44652</v>
      </c>
      <c r="D1530" s="415" t="s">
        <v>182</v>
      </c>
      <c r="E1530" s="415" t="s">
        <v>267</v>
      </c>
      <c r="F1530" s="435">
        <v>2144.52</v>
      </c>
      <c r="G1530" s="437" t="s">
        <v>4301</v>
      </c>
      <c r="H1530" s="434" t="s">
        <v>310</v>
      </c>
      <c r="I1530" s="639" t="s">
        <v>1461</v>
      </c>
      <c r="J1530" s="434" t="s">
        <v>310</v>
      </c>
      <c r="K1530" s="434" t="s">
        <v>1220</v>
      </c>
      <c r="L1530" s="434" t="s">
        <v>1368</v>
      </c>
      <c r="M1530" s="415" t="s">
        <v>310</v>
      </c>
      <c r="N1530" s="414">
        <v>44706</v>
      </c>
      <c r="O1530" s="414" t="s">
        <v>400</v>
      </c>
      <c r="P1530" s="603">
        <f t="shared" si="220"/>
        <v>5</v>
      </c>
      <c r="Q1530" s="603">
        <f t="shared" si="221"/>
        <v>4</v>
      </c>
      <c r="R1530" s="604" t="str">
        <f t="shared" si="222"/>
        <v>Gastos_com_Pessoal</v>
      </c>
      <c r="S1530" s="605" t="s">
        <v>310</v>
      </c>
      <c r="T1530" s="605" t="s">
        <v>310</v>
      </c>
    </row>
    <row r="1531" spans="1:20" s="88" customFormat="1" ht="120" x14ac:dyDescent="0.2">
      <c r="A1531" s="510">
        <f>IF(B1531="","",COUNT('Diário 1º PA'!$A$4:$A$2635)+ROW()-3)</f>
        <v>3264</v>
      </c>
      <c r="B1531" s="414">
        <v>44706</v>
      </c>
      <c r="C1531" s="466">
        <v>44652</v>
      </c>
      <c r="D1531" s="415" t="s">
        <v>271</v>
      </c>
      <c r="E1531" s="415" t="s">
        <v>92</v>
      </c>
      <c r="F1531" s="435">
        <v>435</v>
      </c>
      <c r="G1531" s="437" t="s">
        <v>473</v>
      </c>
      <c r="H1531" s="434" t="s">
        <v>309</v>
      </c>
      <c r="I1531" s="456" t="s">
        <v>1488</v>
      </c>
      <c r="J1531" s="418" t="s">
        <v>1078</v>
      </c>
      <c r="K1531" s="418" t="s">
        <v>1353</v>
      </c>
      <c r="L1531" s="399" t="s">
        <v>1489</v>
      </c>
      <c r="M1531" s="415">
        <v>22251</v>
      </c>
      <c r="N1531" s="414">
        <v>44692</v>
      </c>
      <c r="O1531" s="414" t="s">
        <v>400</v>
      </c>
      <c r="P1531" s="603">
        <f t="shared" si="220"/>
        <v>5</v>
      </c>
      <c r="Q1531" s="603">
        <f t="shared" si="221"/>
        <v>4</v>
      </c>
      <c r="R1531" s="604" t="str">
        <f t="shared" si="222"/>
        <v>Gastos_Gerais</v>
      </c>
      <c r="S1531" s="605" t="s">
        <v>1000</v>
      </c>
      <c r="T1531" s="605">
        <v>2667</v>
      </c>
    </row>
    <row r="1532" spans="1:20" s="88" customFormat="1" ht="24" x14ac:dyDescent="0.2">
      <c r="A1532" s="510">
        <f>IF(B1532="","",COUNT('Diário 1º PA'!$A$4:$A$2635)+ROW()-3)</f>
        <v>3265</v>
      </c>
      <c r="B1532" s="414">
        <v>44706</v>
      </c>
      <c r="C1532" s="466">
        <v>44652</v>
      </c>
      <c r="D1532" s="415" t="s">
        <v>271</v>
      </c>
      <c r="E1532" s="415" t="s">
        <v>67</v>
      </c>
      <c r="F1532" s="435">
        <v>595.98</v>
      </c>
      <c r="G1532" s="437" t="s">
        <v>4302</v>
      </c>
      <c r="H1532" s="434" t="s">
        <v>310</v>
      </c>
      <c r="I1532" s="639" t="s">
        <v>1461</v>
      </c>
      <c r="J1532" s="434" t="s">
        <v>310</v>
      </c>
      <c r="K1532" s="434" t="s">
        <v>1220</v>
      </c>
      <c r="L1532" s="434" t="s">
        <v>1368</v>
      </c>
      <c r="M1532" s="415" t="s">
        <v>310</v>
      </c>
      <c r="N1532" s="414">
        <v>44706</v>
      </c>
      <c r="O1532" s="414" t="s">
        <v>400</v>
      </c>
      <c r="P1532" s="603">
        <f t="shared" si="220"/>
        <v>5</v>
      </c>
      <c r="Q1532" s="603">
        <f t="shared" si="221"/>
        <v>4</v>
      </c>
      <c r="R1532" s="604" t="str">
        <f t="shared" si="222"/>
        <v>Gastos_Gerais</v>
      </c>
      <c r="S1532" s="605" t="s">
        <v>310</v>
      </c>
      <c r="T1532" s="605" t="s">
        <v>310</v>
      </c>
    </row>
    <row r="1533" spans="1:20" s="88" customFormat="1" ht="36" x14ac:dyDescent="0.2">
      <c r="A1533" s="510">
        <f>IF(B1533="","",COUNT('Diário 1º PA'!$A$4:$A$2635)+ROW()-3)</f>
        <v>3266</v>
      </c>
      <c r="B1533" s="414">
        <v>44706</v>
      </c>
      <c r="C1533" s="431">
        <v>44621</v>
      </c>
      <c r="D1533" s="415" t="s">
        <v>271</v>
      </c>
      <c r="E1533" s="415" t="s">
        <v>456</v>
      </c>
      <c r="F1533" s="425">
        <v>800</v>
      </c>
      <c r="G1533" s="427" t="s">
        <v>1959</v>
      </c>
      <c r="H1533" s="419" t="s">
        <v>758</v>
      </c>
      <c r="I1533" s="427" t="s">
        <v>3979</v>
      </c>
      <c r="J1533" s="415" t="s">
        <v>1958</v>
      </c>
      <c r="K1533" s="415" t="s">
        <v>830</v>
      </c>
      <c r="L1533" s="415" t="s">
        <v>807</v>
      </c>
      <c r="M1533" s="415" t="s">
        <v>1608</v>
      </c>
      <c r="N1533" s="414">
        <v>44686</v>
      </c>
      <c r="O1533" s="414" t="s">
        <v>400</v>
      </c>
      <c r="P1533" s="603">
        <f t="shared" si="220"/>
        <v>5</v>
      </c>
      <c r="Q1533" s="603">
        <f t="shared" si="221"/>
        <v>3</v>
      </c>
      <c r="R1533" s="604" t="str">
        <f t="shared" si="222"/>
        <v>Gastos_Gerais</v>
      </c>
      <c r="S1533" s="605" t="s">
        <v>998</v>
      </c>
      <c r="T1533" s="605">
        <v>2987</v>
      </c>
    </row>
    <row r="1534" spans="1:20" s="88" customFormat="1" ht="24" x14ac:dyDescent="0.2">
      <c r="A1534" s="510">
        <f>IF(B1534="","",COUNT('Diário 1º PA'!$A$4:$A$2635)+ROW()-3)</f>
        <v>3267</v>
      </c>
      <c r="B1534" s="414">
        <v>44706</v>
      </c>
      <c r="C1534" s="431">
        <v>44621</v>
      </c>
      <c r="D1534" s="415" t="s">
        <v>271</v>
      </c>
      <c r="E1534" s="415" t="s">
        <v>454</v>
      </c>
      <c r="F1534" s="425">
        <v>1950</v>
      </c>
      <c r="G1534" s="427" t="s">
        <v>2656</v>
      </c>
      <c r="H1534" s="419" t="s">
        <v>792</v>
      </c>
      <c r="I1534" s="427" t="s">
        <v>4303</v>
      </c>
      <c r="J1534" s="415" t="s">
        <v>2657</v>
      </c>
      <c r="K1534" s="415" t="s">
        <v>830</v>
      </c>
      <c r="L1534" s="415" t="s">
        <v>1305</v>
      </c>
      <c r="M1534" s="415">
        <v>20984</v>
      </c>
      <c r="N1534" s="414">
        <v>44705</v>
      </c>
      <c r="O1534" s="414" t="s">
        <v>400</v>
      </c>
      <c r="P1534" s="603">
        <f t="shared" si="220"/>
        <v>5</v>
      </c>
      <c r="Q1534" s="603">
        <f t="shared" si="221"/>
        <v>3</v>
      </c>
      <c r="R1534" s="604" t="str">
        <f t="shared" si="222"/>
        <v>Gastos_Gerais</v>
      </c>
      <c r="S1534" s="605" t="s">
        <v>1000</v>
      </c>
      <c r="T1534" s="605">
        <v>3090</v>
      </c>
    </row>
    <row r="1535" spans="1:20" s="88" customFormat="1" ht="36" x14ac:dyDescent="0.2">
      <c r="A1535" s="510">
        <f>IF(B1535="","",COUNT('Diário 1º PA'!$A$4:$A$2635)+ROW()-3)</f>
        <v>3268</v>
      </c>
      <c r="B1535" s="414">
        <v>44706</v>
      </c>
      <c r="C1535" s="466">
        <v>44682</v>
      </c>
      <c r="D1535" s="415" t="s">
        <v>271</v>
      </c>
      <c r="E1535" s="415" t="s">
        <v>71</v>
      </c>
      <c r="F1535" s="425">
        <v>11</v>
      </c>
      <c r="G1535" s="427" t="s">
        <v>2221</v>
      </c>
      <c r="H1535" s="434" t="s">
        <v>309</v>
      </c>
      <c r="I1535" s="639" t="s">
        <v>881</v>
      </c>
      <c r="J1535" s="418" t="s">
        <v>882</v>
      </c>
      <c r="K1535" s="418" t="s">
        <v>883</v>
      </c>
      <c r="L1535" s="399" t="s">
        <v>798</v>
      </c>
      <c r="M1535" s="544" t="s">
        <v>310</v>
      </c>
      <c r="N1535" s="414">
        <v>44706</v>
      </c>
      <c r="O1535" s="414" t="s">
        <v>400</v>
      </c>
      <c r="P1535" s="603">
        <f t="shared" si="220"/>
        <v>5</v>
      </c>
      <c r="Q1535" s="603">
        <f t="shared" si="221"/>
        <v>5</v>
      </c>
      <c r="R1535" s="604" t="str">
        <f t="shared" si="222"/>
        <v>Gastos_Gerais</v>
      </c>
      <c r="S1535" s="605" t="s">
        <v>310</v>
      </c>
      <c r="T1535" s="605" t="s">
        <v>310</v>
      </c>
    </row>
    <row r="1536" spans="1:20" s="88" customFormat="1" ht="36" x14ac:dyDescent="0.2">
      <c r="A1536" s="510">
        <f>IF(B1536="","",COUNT('Diário 1º PA'!$A$4:$A$2635)+ROW()-3)</f>
        <v>3269</v>
      </c>
      <c r="B1536" s="414">
        <v>44706</v>
      </c>
      <c r="C1536" s="466">
        <v>44682</v>
      </c>
      <c r="D1536" s="415" t="s">
        <v>271</v>
      </c>
      <c r="E1536" s="415" t="s">
        <v>71</v>
      </c>
      <c r="F1536" s="425">
        <v>11</v>
      </c>
      <c r="G1536" s="427" t="s">
        <v>3990</v>
      </c>
      <c r="H1536" s="419" t="s">
        <v>758</v>
      </c>
      <c r="I1536" s="427" t="s">
        <v>881</v>
      </c>
      <c r="J1536" s="415" t="s">
        <v>882</v>
      </c>
      <c r="K1536" s="415" t="s">
        <v>883</v>
      </c>
      <c r="L1536" s="415" t="s">
        <v>798</v>
      </c>
      <c r="M1536" s="415" t="s">
        <v>310</v>
      </c>
      <c r="N1536" s="414">
        <v>44706</v>
      </c>
      <c r="O1536" s="414" t="s">
        <v>400</v>
      </c>
      <c r="P1536" s="603">
        <f t="shared" si="220"/>
        <v>5</v>
      </c>
      <c r="Q1536" s="603">
        <f t="shared" si="221"/>
        <v>5</v>
      </c>
      <c r="R1536" s="604" t="str">
        <f t="shared" si="222"/>
        <v>Gastos_Gerais</v>
      </c>
      <c r="S1536" s="605" t="s">
        <v>310</v>
      </c>
      <c r="T1536" s="605" t="s">
        <v>310</v>
      </c>
    </row>
    <row r="1537" spans="1:20" ht="99.95" customHeight="1" x14ac:dyDescent="0.2">
      <c r="A1537" s="510">
        <f>IF(B1537="","",COUNT('Diário 1º PA'!$A$4:$A$2635)+ROW()-3)</f>
        <v>3270</v>
      </c>
      <c r="B1537" s="414">
        <v>44706</v>
      </c>
      <c r="C1537" s="466">
        <v>44682</v>
      </c>
      <c r="D1537" s="415" t="s">
        <v>271</v>
      </c>
      <c r="E1537" s="415" t="s">
        <v>71</v>
      </c>
      <c r="F1537" s="425">
        <v>11</v>
      </c>
      <c r="G1537" s="427" t="s">
        <v>4304</v>
      </c>
      <c r="H1537" s="419" t="s">
        <v>792</v>
      </c>
      <c r="I1537" s="427" t="s">
        <v>881</v>
      </c>
      <c r="J1537" s="415" t="s">
        <v>882</v>
      </c>
      <c r="K1537" s="415" t="s">
        <v>883</v>
      </c>
      <c r="L1537" s="415" t="s">
        <v>798</v>
      </c>
      <c r="M1537" s="415" t="s">
        <v>310</v>
      </c>
      <c r="N1537" s="414">
        <v>44706</v>
      </c>
      <c r="O1537" s="414" t="s">
        <v>400</v>
      </c>
      <c r="P1537" s="603">
        <f t="shared" ref="P1537:P1556" si="223">IF(B1537=0,0,IF(YEAR(B1537)=$Q$1,MONTH(B1537)-$P$1+1,(YEAR(B1537)-$Q$1)*12-$P$1+1+MONTH(B1537)))</f>
        <v>5</v>
      </c>
      <c r="Q1537" s="603">
        <f t="shared" ref="Q1537:Q1556" si="224">IF(C1537=0,0,IF(YEAR(C1537)=$Q$1,MONTH(C1537)-$P$1+1,(YEAR(C1537)-$Q$1)*12-$P$1+1+MONTH(C1537)))</f>
        <v>5</v>
      </c>
      <c r="R1537" s="604" t="str">
        <f t="shared" ref="R1537:R1556" si="225">SUBSTITUTE(D1537," ","_")</f>
        <v>Gastos_Gerais</v>
      </c>
      <c r="S1537" s="605" t="s">
        <v>310</v>
      </c>
      <c r="T1537" s="605" t="s">
        <v>310</v>
      </c>
    </row>
    <row r="1538" spans="1:20" ht="99.95" customHeight="1" x14ac:dyDescent="0.2">
      <c r="A1538" s="510">
        <f>IF(B1538="","",COUNT('Diário 1º PA'!$A$4:$A$2635)+ROW()-3)</f>
        <v>3271</v>
      </c>
      <c r="B1538" s="414">
        <v>44706</v>
      </c>
      <c r="C1538" s="466">
        <v>44652</v>
      </c>
      <c r="D1538" s="415" t="s">
        <v>468</v>
      </c>
      <c r="E1538" s="415" t="s">
        <v>468</v>
      </c>
      <c r="F1538" s="425">
        <v>5800</v>
      </c>
      <c r="G1538" s="427" t="s">
        <v>3617</v>
      </c>
      <c r="H1538" s="419" t="s">
        <v>468</v>
      </c>
      <c r="I1538" s="427" t="s">
        <v>5175</v>
      </c>
      <c r="J1538" s="415" t="s">
        <v>5176</v>
      </c>
      <c r="K1538" s="415" t="s">
        <v>830</v>
      </c>
      <c r="L1538" s="415" t="s">
        <v>807</v>
      </c>
      <c r="M1538" s="415">
        <v>1</v>
      </c>
      <c r="N1538" s="414">
        <v>44704</v>
      </c>
      <c r="O1538" s="414" t="s">
        <v>407</v>
      </c>
      <c r="P1538" s="603">
        <f t="shared" si="223"/>
        <v>5</v>
      </c>
      <c r="Q1538" s="603">
        <f t="shared" si="224"/>
        <v>4</v>
      </c>
      <c r="R1538" s="604" t="str">
        <f t="shared" si="225"/>
        <v>Gastos_custeados_por_captação</v>
      </c>
      <c r="S1538" s="605" t="s">
        <v>998</v>
      </c>
      <c r="T1538" s="605">
        <v>3496</v>
      </c>
    </row>
    <row r="1539" spans="1:20" ht="72" x14ac:dyDescent="0.2">
      <c r="A1539" s="510">
        <f>IF(B1539="","",COUNT('Diário 1º PA'!$A$4:$A$2635)+ROW()-3)</f>
        <v>3272</v>
      </c>
      <c r="B1539" s="414">
        <v>44706</v>
      </c>
      <c r="C1539" s="466">
        <v>44621</v>
      </c>
      <c r="D1539" s="415" t="s">
        <v>468</v>
      </c>
      <c r="E1539" s="415" t="s">
        <v>468</v>
      </c>
      <c r="F1539" s="425">
        <v>22619.360000000001</v>
      </c>
      <c r="G1539" s="427" t="s">
        <v>3552</v>
      </c>
      <c r="H1539" s="419" t="s">
        <v>468</v>
      </c>
      <c r="I1539" s="427" t="s">
        <v>5177</v>
      </c>
      <c r="J1539" s="415" t="s">
        <v>3553</v>
      </c>
      <c r="K1539" s="415" t="s">
        <v>830</v>
      </c>
      <c r="L1539" s="415" t="s">
        <v>1305</v>
      </c>
      <c r="M1539" s="415" t="s">
        <v>310</v>
      </c>
      <c r="N1539" s="414">
        <v>44706</v>
      </c>
      <c r="O1539" s="414" t="s">
        <v>407</v>
      </c>
      <c r="P1539" s="603">
        <f t="shared" si="223"/>
        <v>5</v>
      </c>
      <c r="Q1539" s="603">
        <f t="shared" si="224"/>
        <v>3</v>
      </c>
      <c r="R1539" s="604" t="str">
        <f t="shared" si="225"/>
        <v>Gastos_custeados_por_captação</v>
      </c>
      <c r="S1539" s="605" t="s">
        <v>998</v>
      </c>
      <c r="T1539" s="605">
        <v>2902</v>
      </c>
    </row>
    <row r="1540" spans="1:20" ht="72" x14ac:dyDescent="0.2">
      <c r="A1540" s="510">
        <f>IF(B1540="","",COUNT('Diário 1º PA'!$A$4:$A$2635)+ROW()-3)</f>
        <v>3273</v>
      </c>
      <c r="B1540" s="414">
        <v>44706</v>
      </c>
      <c r="C1540" s="466">
        <v>44682</v>
      </c>
      <c r="D1540" s="415" t="s">
        <v>468</v>
      </c>
      <c r="E1540" s="415" t="s">
        <v>468</v>
      </c>
      <c r="F1540" s="425">
        <v>90</v>
      </c>
      <c r="G1540" s="427" t="s">
        <v>4313</v>
      </c>
      <c r="H1540" s="419" t="s">
        <v>468</v>
      </c>
      <c r="I1540" s="427" t="s">
        <v>785</v>
      </c>
      <c r="J1540" s="415" t="s">
        <v>1126</v>
      </c>
      <c r="K1540" s="415" t="s">
        <v>830</v>
      </c>
      <c r="L1540" s="415" t="s">
        <v>807</v>
      </c>
      <c r="M1540" s="415">
        <v>33227239</v>
      </c>
      <c r="N1540" s="414" t="s">
        <v>5178</v>
      </c>
      <c r="O1540" s="414" t="s">
        <v>407</v>
      </c>
      <c r="P1540" s="603">
        <f t="shared" si="223"/>
        <v>5</v>
      </c>
      <c r="Q1540" s="603">
        <f t="shared" si="224"/>
        <v>5</v>
      </c>
      <c r="R1540" s="604" t="str">
        <f t="shared" si="225"/>
        <v>Gastos_custeados_por_captação</v>
      </c>
      <c r="S1540" s="605" t="s">
        <v>998</v>
      </c>
      <c r="T1540" s="605">
        <v>3782</v>
      </c>
    </row>
    <row r="1541" spans="1:20" ht="99.95" customHeight="1" x14ac:dyDescent="0.2">
      <c r="A1541" s="510">
        <f>IF(B1541="","",COUNT('Diário 1º PA'!$A$4:$A$2635)+ROW()-3)</f>
        <v>3274</v>
      </c>
      <c r="B1541" s="414">
        <v>44706</v>
      </c>
      <c r="C1541" s="466">
        <v>44652</v>
      </c>
      <c r="D1541" s="415" t="s">
        <v>468</v>
      </c>
      <c r="E1541" s="415" t="s">
        <v>468</v>
      </c>
      <c r="F1541" s="425">
        <v>82.79</v>
      </c>
      <c r="G1541" s="427" t="s">
        <v>5183</v>
      </c>
      <c r="H1541" s="415" t="s">
        <v>468</v>
      </c>
      <c r="I1541" s="427" t="s">
        <v>1461</v>
      </c>
      <c r="J1541" s="415" t="s">
        <v>310</v>
      </c>
      <c r="K1541" s="415" t="s">
        <v>1220</v>
      </c>
      <c r="L1541" s="415" t="s">
        <v>1368</v>
      </c>
      <c r="M1541" s="415" t="s">
        <v>310</v>
      </c>
      <c r="N1541" s="414">
        <v>44706</v>
      </c>
      <c r="O1541" s="414" t="s">
        <v>407</v>
      </c>
      <c r="P1541" s="603">
        <f t="shared" si="223"/>
        <v>5</v>
      </c>
      <c r="Q1541" s="603">
        <f t="shared" si="224"/>
        <v>4</v>
      </c>
      <c r="R1541" s="604" t="str">
        <f t="shared" si="225"/>
        <v>Gastos_custeados_por_captação</v>
      </c>
      <c r="S1541" s="605" t="s">
        <v>310</v>
      </c>
      <c r="T1541" s="605" t="s">
        <v>310</v>
      </c>
    </row>
    <row r="1542" spans="1:20" ht="144.75" customHeight="1" x14ac:dyDescent="0.2">
      <c r="A1542" s="510">
        <f>IF(B1542="","",COUNT('Diário 1º PA'!$A$4:$A$2635)+ROW()-3)</f>
        <v>3275</v>
      </c>
      <c r="B1542" s="414">
        <v>44706</v>
      </c>
      <c r="C1542" s="466">
        <v>44682</v>
      </c>
      <c r="D1542" s="415" t="s">
        <v>468</v>
      </c>
      <c r="E1542" s="415" t="s">
        <v>468</v>
      </c>
      <c r="F1542" s="425">
        <v>1670</v>
      </c>
      <c r="G1542" s="427" t="s">
        <v>3791</v>
      </c>
      <c r="H1542" s="419" t="s">
        <v>468</v>
      </c>
      <c r="I1542" s="427" t="s">
        <v>5179</v>
      </c>
      <c r="J1542" s="415" t="s">
        <v>3821</v>
      </c>
      <c r="K1542" s="415" t="s">
        <v>830</v>
      </c>
      <c r="L1542" s="415" t="s">
        <v>1489</v>
      </c>
      <c r="M1542" s="415">
        <v>41646</v>
      </c>
      <c r="N1542" s="414">
        <v>44700</v>
      </c>
      <c r="O1542" s="414" t="s">
        <v>407</v>
      </c>
      <c r="P1542" s="603">
        <f t="shared" si="223"/>
        <v>5</v>
      </c>
      <c r="Q1542" s="603">
        <f t="shared" si="224"/>
        <v>5</v>
      </c>
      <c r="R1542" s="604" t="str">
        <f t="shared" si="225"/>
        <v>Gastos_custeados_por_captação</v>
      </c>
      <c r="S1542" s="605" t="s">
        <v>998</v>
      </c>
      <c r="T1542" s="605">
        <v>3546</v>
      </c>
    </row>
    <row r="1543" spans="1:20" ht="120" x14ac:dyDescent="0.2">
      <c r="A1543" s="510">
        <f>IF(B1543="","",COUNT('Diário 1º PA'!$A$4:$A$2635)+ROW()-3)</f>
        <v>3276</v>
      </c>
      <c r="B1543" s="414">
        <v>44706</v>
      </c>
      <c r="C1543" s="466">
        <v>44682</v>
      </c>
      <c r="D1543" s="415" t="s">
        <v>468</v>
      </c>
      <c r="E1543" s="415" t="s">
        <v>468</v>
      </c>
      <c r="F1543" s="425">
        <v>26947.25</v>
      </c>
      <c r="G1543" s="427" t="s">
        <v>5180</v>
      </c>
      <c r="H1543" s="419" t="s">
        <v>468</v>
      </c>
      <c r="I1543" s="427" t="s">
        <v>5181</v>
      </c>
      <c r="J1543" s="415" t="s">
        <v>1161</v>
      </c>
      <c r="K1543" s="415" t="s">
        <v>830</v>
      </c>
      <c r="L1543" s="415" t="s">
        <v>807</v>
      </c>
      <c r="M1543" s="415" t="s">
        <v>1700</v>
      </c>
      <c r="N1543" s="414">
        <v>44705</v>
      </c>
      <c r="O1543" s="414" t="s">
        <v>407</v>
      </c>
      <c r="P1543" s="603">
        <f t="shared" si="223"/>
        <v>5</v>
      </c>
      <c r="Q1543" s="603">
        <f t="shared" si="224"/>
        <v>5</v>
      </c>
      <c r="R1543" s="604" t="str">
        <f t="shared" si="225"/>
        <v>Gastos_custeados_por_captação</v>
      </c>
      <c r="S1543" s="605" t="s">
        <v>998</v>
      </c>
      <c r="T1543" s="605">
        <v>3331</v>
      </c>
    </row>
    <row r="1544" spans="1:20" ht="99.95" customHeight="1" x14ac:dyDescent="0.2">
      <c r="A1544" s="510">
        <f>IF(B1544="","",COUNT('Diário 1º PA'!$A$4:$A$2635)+ROW()-3)</f>
        <v>3277</v>
      </c>
      <c r="B1544" s="414">
        <v>44706</v>
      </c>
      <c r="C1544" s="466">
        <v>44652</v>
      </c>
      <c r="D1544" s="415" t="s">
        <v>468</v>
      </c>
      <c r="E1544" s="415" t="s">
        <v>468</v>
      </c>
      <c r="F1544" s="425">
        <v>1148.1099999999999</v>
      </c>
      <c r="G1544" s="427" t="s">
        <v>5182</v>
      </c>
      <c r="H1544" s="415" t="s">
        <v>468</v>
      </c>
      <c r="I1544" s="427" t="s">
        <v>1461</v>
      </c>
      <c r="J1544" s="415" t="s">
        <v>310</v>
      </c>
      <c r="K1544" s="415" t="s">
        <v>1220</v>
      </c>
      <c r="L1544" s="415" t="s">
        <v>1368</v>
      </c>
      <c r="M1544" s="415" t="s">
        <v>310</v>
      </c>
      <c r="N1544" s="414">
        <v>44706</v>
      </c>
      <c r="O1544" s="414" t="s">
        <v>407</v>
      </c>
      <c r="P1544" s="603">
        <f t="shared" si="223"/>
        <v>5</v>
      </c>
      <c r="Q1544" s="603">
        <f t="shared" si="224"/>
        <v>4</v>
      </c>
      <c r="R1544" s="604" t="str">
        <f t="shared" si="225"/>
        <v>Gastos_custeados_por_captação</v>
      </c>
      <c r="S1544" s="605" t="s">
        <v>310</v>
      </c>
      <c r="T1544" s="605" t="s">
        <v>310</v>
      </c>
    </row>
    <row r="1545" spans="1:20" ht="99.95" customHeight="1" x14ac:dyDescent="0.2">
      <c r="A1545" s="510">
        <f>IF(B1545="","",COUNT('Diário 1º PA'!$A$4:$A$2635)+ROW()-3)</f>
        <v>3278</v>
      </c>
      <c r="B1545" s="414">
        <v>44706</v>
      </c>
      <c r="C1545" s="466">
        <v>44652</v>
      </c>
      <c r="D1545" s="415" t="s">
        <v>468</v>
      </c>
      <c r="E1545" s="415" t="s">
        <v>468</v>
      </c>
      <c r="F1545" s="425">
        <v>7200</v>
      </c>
      <c r="G1545" s="427" t="s">
        <v>3301</v>
      </c>
      <c r="H1545" s="419" t="s">
        <v>468</v>
      </c>
      <c r="I1545" s="427" t="s">
        <v>5184</v>
      </c>
      <c r="J1545" s="415" t="s">
        <v>3302</v>
      </c>
      <c r="K1545" s="415" t="s">
        <v>830</v>
      </c>
      <c r="L1545" s="415" t="s">
        <v>807</v>
      </c>
      <c r="M1545" s="415" t="s">
        <v>842</v>
      </c>
      <c r="N1545" s="414">
        <v>44705</v>
      </c>
      <c r="O1545" s="414" t="s">
        <v>407</v>
      </c>
      <c r="P1545" s="603">
        <f t="shared" si="223"/>
        <v>5</v>
      </c>
      <c r="Q1545" s="603">
        <f t="shared" si="224"/>
        <v>4</v>
      </c>
      <c r="R1545" s="604" t="str">
        <f t="shared" si="225"/>
        <v>Gastos_custeados_por_captação</v>
      </c>
      <c r="S1545" s="605" t="s">
        <v>998</v>
      </c>
      <c r="T1545" s="605">
        <v>3393</v>
      </c>
    </row>
    <row r="1546" spans="1:20" ht="99.95" customHeight="1" x14ac:dyDescent="0.2">
      <c r="A1546" s="510">
        <f>IF(B1546="","",COUNT('Diário 1º PA'!$A$4:$A$2635)+ROW()-3)</f>
        <v>3279</v>
      </c>
      <c r="B1546" s="414">
        <v>44706</v>
      </c>
      <c r="C1546" s="592">
        <v>44652</v>
      </c>
      <c r="D1546" s="415" t="s">
        <v>468</v>
      </c>
      <c r="E1546" s="415" t="s">
        <v>468</v>
      </c>
      <c r="F1546" s="425">
        <v>13571.6</v>
      </c>
      <c r="G1546" s="427" t="s">
        <v>2730</v>
      </c>
      <c r="H1546" s="419" t="s">
        <v>468</v>
      </c>
      <c r="I1546" s="427" t="s">
        <v>4817</v>
      </c>
      <c r="J1546" s="415" t="s">
        <v>1051</v>
      </c>
      <c r="K1546" s="415" t="s">
        <v>830</v>
      </c>
      <c r="L1546" s="415" t="s">
        <v>807</v>
      </c>
      <c r="M1546" s="415" t="s">
        <v>5185</v>
      </c>
      <c r="N1546" s="414">
        <v>44706</v>
      </c>
      <c r="O1546" s="414" t="s">
        <v>407</v>
      </c>
      <c r="P1546" s="603">
        <f t="shared" si="223"/>
        <v>5</v>
      </c>
      <c r="Q1546" s="603">
        <f t="shared" si="224"/>
        <v>4</v>
      </c>
      <c r="R1546" s="604" t="str">
        <f t="shared" si="225"/>
        <v>Gastos_custeados_por_captação</v>
      </c>
      <c r="S1546" s="605" t="s">
        <v>998</v>
      </c>
      <c r="T1546" s="605">
        <v>3313</v>
      </c>
    </row>
    <row r="1547" spans="1:20" ht="99.95" customHeight="1" x14ac:dyDescent="0.2">
      <c r="A1547" s="510">
        <f>IF(B1547="","",COUNT('Diário 1º PA'!$A$4:$A$2635)+ROW()-3)</f>
        <v>3280</v>
      </c>
      <c r="B1547" s="414">
        <v>44706</v>
      </c>
      <c r="C1547" s="466">
        <v>44652</v>
      </c>
      <c r="D1547" s="415" t="s">
        <v>468</v>
      </c>
      <c r="E1547" s="415" t="s">
        <v>468</v>
      </c>
      <c r="F1547" s="425">
        <v>53.8</v>
      </c>
      <c r="G1547" s="427" t="s">
        <v>3524</v>
      </c>
      <c r="H1547" s="419" t="s">
        <v>468</v>
      </c>
      <c r="I1547" s="427" t="s">
        <v>5186</v>
      </c>
      <c r="J1547" s="415" t="s">
        <v>3525</v>
      </c>
      <c r="K1547" s="415" t="s">
        <v>830</v>
      </c>
      <c r="L1547" s="415" t="s">
        <v>807</v>
      </c>
      <c r="M1547" s="415">
        <v>306296</v>
      </c>
      <c r="N1547" s="414">
        <v>44706</v>
      </c>
      <c r="O1547" s="414" t="s">
        <v>407</v>
      </c>
      <c r="P1547" s="603">
        <f t="shared" si="223"/>
        <v>5</v>
      </c>
      <c r="Q1547" s="603">
        <f t="shared" si="224"/>
        <v>4</v>
      </c>
      <c r="R1547" s="604" t="str">
        <f t="shared" si="225"/>
        <v>Gastos_custeados_por_captação</v>
      </c>
      <c r="S1547" s="605" t="s">
        <v>999</v>
      </c>
      <c r="T1547" s="605">
        <v>3492</v>
      </c>
    </row>
    <row r="1548" spans="1:20" ht="99.95" customHeight="1" x14ac:dyDescent="0.2">
      <c r="A1548" s="510">
        <f>IF(B1548="","",COUNT('Diário 1º PA'!$A$4:$A$2635)+ROW()-3)</f>
        <v>3281</v>
      </c>
      <c r="B1548" s="414">
        <v>44706</v>
      </c>
      <c r="C1548" s="466">
        <v>44652</v>
      </c>
      <c r="D1548" s="415" t="s">
        <v>468</v>
      </c>
      <c r="E1548" s="415" t="s">
        <v>468</v>
      </c>
      <c r="F1548" s="425">
        <v>1000</v>
      </c>
      <c r="G1548" s="427" t="s">
        <v>3539</v>
      </c>
      <c r="H1548" s="419" t="s">
        <v>468</v>
      </c>
      <c r="I1548" s="427" t="s">
        <v>5187</v>
      </c>
      <c r="J1548" s="415" t="s">
        <v>3256</v>
      </c>
      <c r="K1548" s="415" t="s">
        <v>830</v>
      </c>
      <c r="L1548" s="415" t="s">
        <v>807</v>
      </c>
      <c r="M1548" s="415" t="s">
        <v>5188</v>
      </c>
      <c r="N1548" s="414">
        <v>44684</v>
      </c>
      <c r="O1548" s="414" t="s">
        <v>407</v>
      </c>
      <c r="P1548" s="603">
        <f t="shared" si="223"/>
        <v>5</v>
      </c>
      <c r="Q1548" s="603">
        <f t="shared" si="224"/>
        <v>4</v>
      </c>
      <c r="R1548" s="604" t="str">
        <f t="shared" si="225"/>
        <v>Gastos_custeados_por_captação</v>
      </c>
      <c r="S1548" s="605" t="s">
        <v>998</v>
      </c>
      <c r="T1548" s="605">
        <v>3425</v>
      </c>
    </row>
    <row r="1549" spans="1:20" ht="99.95" customHeight="1" x14ac:dyDescent="0.2">
      <c r="A1549" s="510">
        <f>IF(B1549="","",COUNT('Diário 1º PA'!$A$4:$A$2635)+ROW()-3)</f>
        <v>3282</v>
      </c>
      <c r="B1549" s="414">
        <v>44706</v>
      </c>
      <c r="C1549" s="466">
        <v>44652</v>
      </c>
      <c r="D1549" s="415" t="s">
        <v>468</v>
      </c>
      <c r="E1549" s="415" t="s">
        <v>468</v>
      </c>
      <c r="F1549" s="425">
        <v>3654</v>
      </c>
      <c r="G1549" s="427" t="s">
        <v>4009</v>
      </c>
      <c r="H1549" s="419" t="s">
        <v>468</v>
      </c>
      <c r="I1549" s="427" t="s">
        <v>5189</v>
      </c>
      <c r="J1549" s="415" t="s">
        <v>4010</v>
      </c>
      <c r="K1549" s="415" t="s">
        <v>830</v>
      </c>
      <c r="L1549" s="415" t="s">
        <v>807</v>
      </c>
      <c r="M1549" s="415" t="s">
        <v>1813</v>
      </c>
      <c r="N1549" s="414">
        <v>44701</v>
      </c>
      <c r="O1549" s="414" t="s">
        <v>407</v>
      </c>
      <c r="P1549" s="603">
        <f t="shared" si="223"/>
        <v>5</v>
      </c>
      <c r="Q1549" s="603">
        <f t="shared" si="224"/>
        <v>4</v>
      </c>
      <c r="R1549" s="604" t="str">
        <f t="shared" si="225"/>
        <v>Gastos_custeados_por_captação</v>
      </c>
      <c r="S1549" s="605" t="s">
        <v>998</v>
      </c>
      <c r="T1549" s="605">
        <v>3607</v>
      </c>
    </row>
    <row r="1550" spans="1:20" ht="99.95" customHeight="1" x14ac:dyDescent="0.2">
      <c r="A1550" s="510">
        <f>IF(B1550="","",COUNT('Diário 1º PA'!$A$4:$A$2635)+ROW()-3)</f>
        <v>3283</v>
      </c>
      <c r="B1550" s="414">
        <v>44706</v>
      </c>
      <c r="C1550" s="466">
        <v>44621</v>
      </c>
      <c r="D1550" s="415" t="s">
        <v>468</v>
      </c>
      <c r="E1550" s="415" t="s">
        <v>468</v>
      </c>
      <c r="F1550" s="425">
        <v>4954.25</v>
      </c>
      <c r="G1550" s="427" t="s">
        <v>4803</v>
      </c>
      <c r="H1550" s="434" t="s">
        <v>468</v>
      </c>
      <c r="I1550" s="639" t="s">
        <v>4691</v>
      </c>
      <c r="J1550" s="418" t="s">
        <v>4804</v>
      </c>
      <c r="K1550" s="418" t="s">
        <v>830</v>
      </c>
      <c r="L1550" s="399" t="s">
        <v>807</v>
      </c>
      <c r="M1550" s="415" t="s">
        <v>5190</v>
      </c>
      <c r="N1550" s="414">
        <v>44839</v>
      </c>
      <c r="O1550" s="414" t="s">
        <v>407</v>
      </c>
      <c r="P1550" s="603">
        <f t="shared" si="223"/>
        <v>5</v>
      </c>
      <c r="Q1550" s="603">
        <f t="shared" si="224"/>
        <v>3</v>
      </c>
      <c r="R1550" s="604" t="str">
        <f t="shared" si="225"/>
        <v>Gastos_custeados_por_captação</v>
      </c>
      <c r="S1550" s="605" t="s">
        <v>1000</v>
      </c>
      <c r="T1550" s="605">
        <v>3233</v>
      </c>
    </row>
    <row r="1551" spans="1:20" ht="99.95" customHeight="1" x14ac:dyDescent="0.2">
      <c r="A1551" s="510">
        <f>IF(B1551="","",COUNT('Diário 1º PA'!$A$4:$A$2635)+ROW()-3)</f>
        <v>3284</v>
      </c>
      <c r="B1551" s="414">
        <v>44706</v>
      </c>
      <c r="C1551" s="466">
        <v>44652</v>
      </c>
      <c r="D1551" s="415" t="s">
        <v>468</v>
      </c>
      <c r="E1551" s="415" t="s">
        <v>468</v>
      </c>
      <c r="F1551" s="425">
        <v>2363.9</v>
      </c>
      <c r="G1551" s="427" t="s">
        <v>3261</v>
      </c>
      <c r="H1551" s="419" t="s">
        <v>468</v>
      </c>
      <c r="I1551" s="427" t="s">
        <v>5192</v>
      </c>
      <c r="J1551" s="415" t="s">
        <v>3284</v>
      </c>
      <c r="K1551" s="418" t="s">
        <v>830</v>
      </c>
      <c r="L1551" s="415" t="s">
        <v>839</v>
      </c>
      <c r="M1551" s="415">
        <v>1781</v>
      </c>
      <c r="N1551" s="414">
        <v>44704</v>
      </c>
      <c r="O1551" s="414" t="s">
        <v>407</v>
      </c>
      <c r="P1551" s="603">
        <f>IF(B1551=0,0,IF(YEAR(B1551)=$Q$1,MONTH(B1551)-$P$1+1,(YEAR(B1551)-$Q$1)*12-$P$1+1+MONTH(B1551)))</f>
        <v>5</v>
      </c>
      <c r="Q1551" s="603">
        <f>IF(C1551=0,0,IF(YEAR(C1551)=$Q$1,MONTH(C1551)-$P$1+1,(YEAR(C1551)-$Q$1)*12-$P$1+1+MONTH(C1551)))</f>
        <v>4</v>
      </c>
      <c r="R1551" s="604" t="str">
        <f>SUBSTITUTE(D1551," ","_")</f>
        <v>Gastos_custeados_por_captação</v>
      </c>
      <c r="S1551" s="605" t="s">
        <v>998</v>
      </c>
      <c r="T1551" s="605">
        <v>3358</v>
      </c>
    </row>
    <row r="1552" spans="1:20" ht="99.95" customHeight="1" x14ac:dyDescent="0.2">
      <c r="A1552" s="510">
        <f>IF(B1552="","",COUNT('Diário 1º PA'!$A$4:$A$2635)+ROW()-3)</f>
        <v>3285</v>
      </c>
      <c r="B1552" s="414">
        <v>44706</v>
      </c>
      <c r="C1552" s="466">
        <v>44621</v>
      </c>
      <c r="D1552" s="415" t="s">
        <v>468</v>
      </c>
      <c r="E1552" s="415" t="s">
        <v>468</v>
      </c>
      <c r="F1552" s="425">
        <v>1004.15</v>
      </c>
      <c r="G1552" s="427" t="s">
        <v>4803</v>
      </c>
      <c r="H1552" s="434" t="s">
        <v>468</v>
      </c>
      <c r="I1552" s="639" t="s">
        <v>4691</v>
      </c>
      <c r="J1552" s="418" t="s">
        <v>4804</v>
      </c>
      <c r="K1552" s="418" t="s">
        <v>830</v>
      </c>
      <c r="L1552" s="399" t="s">
        <v>807</v>
      </c>
      <c r="M1552" s="415" t="s">
        <v>5193</v>
      </c>
      <c r="N1552" s="414">
        <v>44691</v>
      </c>
      <c r="O1552" s="414" t="s">
        <v>407</v>
      </c>
      <c r="P1552" s="603">
        <f t="shared" si="223"/>
        <v>5</v>
      </c>
      <c r="Q1552" s="603">
        <f t="shared" si="224"/>
        <v>3</v>
      </c>
      <c r="R1552" s="604" t="str">
        <f t="shared" si="225"/>
        <v>Gastos_custeados_por_captação</v>
      </c>
      <c r="S1552" s="605" t="s">
        <v>1000</v>
      </c>
      <c r="T1552" s="605">
        <v>3233</v>
      </c>
    </row>
    <row r="1553" spans="1:20" ht="99.95" customHeight="1" x14ac:dyDescent="0.2">
      <c r="A1553" s="510">
        <f>IF(B1553="","",COUNT('Diário 1º PA'!$A$4:$A$2635)+ROW()-3)</f>
        <v>3286</v>
      </c>
      <c r="B1553" s="414">
        <v>44706</v>
      </c>
      <c r="C1553" s="466">
        <v>44652</v>
      </c>
      <c r="D1553" s="415" t="s">
        <v>468</v>
      </c>
      <c r="E1553" s="415" t="s">
        <v>468</v>
      </c>
      <c r="F1553" s="425">
        <v>2800</v>
      </c>
      <c r="G1553" s="427" t="s">
        <v>3290</v>
      </c>
      <c r="H1553" s="419" t="s">
        <v>468</v>
      </c>
      <c r="I1553" s="427" t="s">
        <v>4988</v>
      </c>
      <c r="J1553" s="415" t="s">
        <v>3291</v>
      </c>
      <c r="K1553" s="418" t="s">
        <v>830</v>
      </c>
      <c r="L1553" s="399" t="s">
        <v>807</v>
      </c>
      <c r="M1553" s="415">
        <v>16</v>
      </c>
      <c r="N1553" s="414">
        <v>44705</v>
      </c>
      <c r="O1553" s="414" t="s">
        <v>407</v>
      </c>
      <c r="P1553" s="603">
        <f t="shared" si="223"/>
        <v>5</v>
      </c>
      <c r="Q1553" s="603">
        <f t="shared" si="224"/>
        <v>4</v>
      </c>
      <c r="R1553" s="604" t="str">
        <f t="shared" si="225"/>
        <v>Gastos_custeados_por_captação</v>
      </c>
      <c r="S1553" s="605" t="s">
        <v>998</v>
      </c>
      <c r="T1553" s="605">
        <v>3357</v>
      </c>
    </row>
    <row r="1554" spans="1:20" ht="99.95" customHeight="1" x14ac:dyDescent="0.2">
      <c r="A1554" s="510">
        <f>IF(B1554="","",COUNT('Diário 1º PA'!$A$4:$A$2635)+ROW()-3)</f>
        <v>3287</v>
      </c>
      <c r="B1554" s="414">
        <v>44706</v>
      </c>
      <c r="C1554" s="466">
        <v>44682</v>
      </c>
      <c r="D1554" s="415" t="s">
        <v>468</v>
      </c>
      <c r="E1554" s="415" t="s">
        <v>468</v>
      </c>
      <c r="F1554" s="425">
        <v>2363.9</v>
      </c>
      <c r="G1554" s="427" t="s">
        <v>4282</v>
      </c>
      <c r="H1554" s="419" t="s">
        <v>468</v>
      </c>
      <c r="I1554" s="427" t="s">
        <v>5194</v>
      </c>
      <c r="J1554" s="415" t="s">
        <v>4283</v>
      </c>
      <c r="K1554" s="418" t="s">
        <v>830</v>
      </c>
      <c r="L1554" s="399" t="s">
        <v>839</v>
      </c>
      <c r="M1554" s="415">
        <v>1782</v>
      </c>
      <c r="N1554" s="414">
        <v>44704</v>
      </c>
      <c r="O1554" s="414" t="s">
        <v>407</v>
      </c>
      <c r="P1554" s="603">
        <f t="shared" si="223"/>
        <v>5</v>
      </c>
      <c r="Q1554" s="603">
        <f t="shared" si="224"/>
        <v>5</v>
      </c>
      <c r="R1554" s="604" t="str">
        <f t="shared" si="225"/>
        <v>Gastos_custeados_por_captação</v>
      </c>
      <c r="S1554" s="605" t="s">
        <v>998</v>
      </c>
      <c r="T1554" s="605">
        <v>3522</v>
      </c>
    </row>
    <row r="1555" spans="1:20" ht="72" x14ac:dyDescent="0.2">
      <c r="A1555" s="510">
        <f>IF(B1555="","",COUNT('Diário 1º PA'!$A$4:$A$2635)+ROW()-3)</f>
        <v>3288</v>
      </c>
      <c r="B1555" s="414">
        <v>44706</v>
      </c>
      <c r="C1555" s="466">
        <v>44593</v>
      </c>
      <c r="D1555" s="415" t="s">
        <v>468</v>
      </c>
      <c r="E1555" s="415" t="s">
        <v>468</v>
      </c>
      <c r="F1555" s="425">
        <v>16220</v>
      </c>
      <c r="G1555" s="427" t="s">
        <v>1753</v>
      </c>
      <c r="H1555" s="419" t="s">
        <v>468</v>
      </c>
      <c r="I1555" s="427" t="s">
        <v>4599</v>
      </c>
      <c r="J1555" s="415" t="s">
        <v>1752</v>
      </c>
      <c r="K1555" s="418" t="s">
        <v>830</v>
      </c>
      <c r="L1555" s="399" t="s">
        <v>807</v>
      </c>
      <c r="M1555" s="415">
        <v>5</v>
      </c>
      <c r="N1555" s="414">
        <v>44704</v>
      </c>
      <c r="O1555" s="414" t="s">
        <v>407</v>
      </c>
      <c r="P1555" s="603">
        <f t="shared" si="223"/>
        <v>5</v>
      </c>
      <c r="Q1555" s="603">
        <f t="shared" si="224"/>
        <v>2</v>
      </c>
      <c r="R1555" s="604" t="str">
        <f t="shared" si="225"/>
        <v>Gastos_custeados_por_captação</v>
      </c>
      <c r="S1555" s="605" t="s">
        <v>998</v>
      </c>
      <c r="T1555" s="605">
        <v>2869</v>
      </c>
    </row>
    <row r="1556" spans="1:20" ht="72" x14ac:dyDescent="0.2">
      <c r="A1556" s="510">
        <f>IF(B1556="","",COUNT('Diário 1º PA'!$A$4:$A$2635)+ROW()-3)</f>
        <v>3289</v>
      </c>
      <c r="B1556" s="414">
        <v>44706</v>
      </c>
      <c r="C1556" s="466">
        <v>44621</v>
      </c>
      <c r="D1556" s="415" t="s">
        <v>468</v>
      </c>
      <c r="E1556" s="415" t="s">
        <v>468</v>
      </c>
      <c r="F1556" s="425">
        <v>24120</v>
      </c>
      <c r="G1556" s="427" t="s">
        <v>2546</v>
      </c>
      <c r="H1556" s="419" t="s">
        <v>468</v>
      </c>
      <c r="I1556" s="427" t="s">
        <v>2906</v>
      </c>
      <c r="J1556" s="415" t="s">
        <v>1035</v>
      </c>
      <c r="K1556" s="418" t="s">
        <v>830</v>
      </c>
      <c r="L1556" s="399" t="s">
        <v>807</v>
      </c>
      <c r="M1556" s="415">
        <v>344</v>
      </c>
      <c r="N1556" s="414">
        <v>44704</v>
      </c>
      <c r="O1556" s="414" t="s">
        <v>407</v>
      </c>
      <c r="P1556" s="603">
        <f t="shared" si="223"/>
        <v>5</v>
      </c>
      <c r="Q1556" s="603">
        <f t="shared" si="224"/>
        <v>3</v>
      </c>
      <c r="R1556" s="604" t="str">
        <f t="shared" si="225"/>
        <v>Gastos_custeados_por_captação</v>
      </c>
      <c r="S1556" s="605" t="s">
        <v>998</v>
      </c>
      <c r="T1556" s="605">
        <v>3085</v>
      </c>
    </row>
    <row r="1557" spans="1:20" s="88" customFormat="1" ht="72" x14ac:dyDescent="0.2">
      <c r="A1557" s="510">
        <f>IF(B1557="","",COUNT('Diário 1º PA'!$A$4:$A$2635)+ROW()-3)</f>
        <v>3290</v>
      </c>
      <c r="B1557" s="414">
        <v>44706</v>
      </c>
      <c r="C1557" s="466">
        <v>44621</v>
      </c>
      <c r="D1557" s="415" t="s">
        <v>468</v>
      </c>
      <c r="E1557" s="415" t="s">
        <v>468</v>
      </c>
      <c r="F1557" s="425">
        <v>4099.42</v>
      </c>
      <c r="G1557" s="427" t="s">
        <v>2666</v>
      </c>
      <c r="H1557" s="419" t="s">
        <v>468</v>
      </c>
      <c r="I1557" s="427" t="s">
        <v>5195</v>
      </c>
      <c r="J1557" s="415" t="s">
        <v>2665</v>
      </c>
      <c r="K1557" s="418" t="s">
        <v>830</v>
      </c>
      <c r="L1557" s="415" t="s">
        <v>839</v>
      </c>
      <c r="M1557" s="415">
        <v>1788</v>
      </c>
      <c r="N1557" s="414">
        <v>44705</v>
      </c>
      <c r="O1557" s="414" t="s">
        <v>407</v>
      </c>
      <c r="P1557" s="603">
        <f t="shared" ref="P1557:P1568" si="226">IF(B1557=0,0,IF(YEAR(B1557)=$Q$1,MONTH(B1557)-$P$1+1,(YEAR(B1557)-$Q$1)*12-$P$1+1+MONTH(B1557)))</f>
        <v>5</v>
      </c>
      <c r="Q1557" s="603">
        <f t="shared" ref="Q1557:Q1568" si="227">IF(C1557=0,0,IF(YEAR(C1557)=$Q$1,MONTH(C1557)-$P$1+1,(YEAR(C1557)-$Q$1)*12-$P$1+1+MONTH(C1557)))</f>
        <v>3</v>
      </c>
      <c r="R1557" s="604" t="str">
        <f t="shared" ref="R1557:R1568" si="228">SUBSTITUTE(D1557," ","_")</f>
        <v>Gastos_custeados_por_captação</v>
      </c>
      <c r="S1557" s="605" t="s">
        <v>998</v>
      </c>
      <c r="T1557" s="605">
        <v>3275</v>
      </c>
    </row>
    <row r="1558" spans="1:20" s="88" customFormat="1" ht="60" x14ac:dyDescent="0.2">
      <c r="A1558" s="510">
        <f>IF(B1558="","",COUNT('Diário 1º PA'!$A$4:$A$2635)+ROW()-3)</f>
        <v>3291</v>
      </c>
      <c r="B1558" s="414">
        <v>44706</v>
      </c>
      <c r="C1558" s="466">
        <v>44682</v>
      </c>
      <c r="D1558" s="415" t="s">
        <v>468</v>
      </c>
      <c r="E1558" s="415" t="s">
        <v>468</v>
      </c>
      <c r="F1558" s="425">
        <v>783</v>
      </c>
      <c r="G1558" s="427" t="s">
        <v>4066</v>
      </c>
      <c r="H1558" s="419" t="s">
        <v>468</v>
      </c>
      <c r="I1558" s="427" t="s">
        <v>5401</v>
      </c>
      <c r="J1558" s="415" t="s">
        <v>5402</v>
      </c>
      <c r="K1558" s="418" t="s">
        <v>830</v>
      </c>
      <c r="L1558" s="415" t="s">
        <v>807</v>
      </c>
      <c r="M1558" s="415" t="s">
        <v>1815</v>
      </c>
      <c r="N1558" s="414">
        <v>44705</v>
      </c>
      <c r="O1558" s="414" t="s">
        <v>3762</v>
      </c>
      <c r="P1558" s="603">
        <f t="shared" si="226"/>
        <v>5</v>
      </c>
      <c r="Q1558" s="603">
        <f t="shared" si="227"/>
        <v>5</v>
      </c>
      <c r="R1558" s="604" t="str">
        <f t="shared" si="228"/>
        <v>Gastos_custeados_por_captação</v>
      </c>
      <c r="S1558" s="605" t="s">
        <v>998</v>
      </c>
      <c r="T1558" s="605">
        <v>3553</v>
      </c>
    </row>
    <row r="1559" spans="1:20" s="88" customFormat="1" ht="60" x14ac:dyDescent="0.2">
      <c r="A1559" s="510">
        <f>IF(B1559="","",COUNT('Diário 1º PA'!$A$4:$A$2635)+ROW()-3)</f>
        <v>3292</v>
      </c>
      <c r="B1559" s="414">
        <v>44706</v>
      </c>
      <c r="C1559" s="466">
        <v>44652</v>
      </c>
      <c r="D1559" s="415" t="s">
        <v>468</v>
      </c>
      <c r="E1559" s="415" t="s">
        <v>468</v>
      </c>
      <c r="F1559" s="425">
        <v>374.28</v>
      </c>
      <c r="G1559" s="427" t="s">
        <v>5183</v>
      </c>
      <c r="H1559" s="419" t="s">
        <v>468</v>
      </c>
      <c r="I1559" s="427" t="s">
        <v>1461</v>
      </c>
      <c r="J1559" s="415" t="s">
        <v>310</v>
      </c>
      <c r="K1559" s="418" t="s">
        <v>1220</v>
      </c>
      <c r="L1559" s="415" t="s">
        <v>1368</v>
      </c>
      <c r="M1559" s="415" t="s">
        <v>310</v>
      </c>
      <c r="N1559" s="414">
        <v>44706</v>
      </c>
      <c r="O1559" s="414" t="s">
        <v>404</v>
      </c>
      <c r="P1559" s="603">
        <f t="shared" si="226"/>
        <v>5</v>
      </c>
      <c r="Q1559" s="603">
        <f t="shared" si="227"/>
        <v>4</v>
      </c>
      <c r="R1559" s="604" t="str">
        <f t="shared" si="228"/>
        <v>Gastos_custeados_por_captação</v>
      </c>
      <c r="S1559" s="605" t="s">
        <v>310</v>
      </c>
      <c r="T1559" s="605" t="s">
        <v>310</v>
      </c>
    </row>
    <row r="1560" spans="1:20" s="88" customFormat="1" ht="60" x14ac:dyDescent="0.2">
      <c r="A1560" s="510">
        <f>IF(B1560="","",COUNT('Diário 1º PA'!$A$4:$A$2635)+ROW()-3)</f>
        <v>3293</v>
      </c>
      <c r="B1560" s="414">
        <v>44706</v>
      </c>
      <c r="C1560" s="466">
        <v>44652</v>
      </c>
      <c r="D1560" s="415" t="s">
        <v>468</v>
      </c>
      <c r="E1560" s="415" t="s">
        <v>468</v>
      </c>
      <c r="F1560" s="425">
        <v>294.5</v>
      </c>
      <c r="G1560" s="427" t="s">
        <v>5183</v>
      </c>
      <c r="H1560" s="419" t="s">
        <v>468</v>
      </c>
      <c r="I1560" s="427" t="s">
        <v>1461</v>
      </c>
      <c r="J1560" s="415" t="s">
        <v>310</v>
      </c>
      <c r="K1560" s="418" t="s">
        <v>1220</v>
      </c>
      <c r="L1560" s="415" t="s">
        <v>1368</v>
      </c>
      <c r="M1560" s="415" t="s">
        <v>310</v>
      </c>
      <c r="N1560" s="414">
        <v>44706</v>
      </c>
      <c r="O1560" s="414" t="s">
        <v>405</v>
      </c>
      <c r="P1560" s="603">
        <f t="shared" si="226"/>
        <v>5</v>
      </c>
      <c r="Q1560" s="603">
        <f t="shared" si="227"/>
        <v>4</v>
      </c>
      <c r="R1560" s="604" t="str">
        <f t="shared" si="228"/>
        <v>Gastos_custeados_por_captação</v>
      </c>
      <c r="S1560" s="605" t="s">
        <v>310</v>
      </c>
      <c r="T1560" s="605" t="s">
        <v>310</v>
      </c>
    </row>
    <row r="1561" spans="1:20" s="88" customFormat="1" ht="138" customHeight="1" x14ac:dyDescent="0.2">
      <c r="A1561" s="510">
        <f>IF(B1561="","",COUNT('Diário 1º PA'!$A$4:$A$2635)+ROW()-3)</f>
        <v>3294</v>
      </c>
      <c r="B1561" s="414">
        <v>44706</v>
      </c>
      <c r="C1561" s="466">
        <v>44652</v>
      </c>
      <c r="D1561" s="415" t="s">
        <v>468</v>
      </c>
      <c r="E1561" s="415" t="s">
        <v>468</v>
      </c>
      <c r="F1561" s="425">
        <v>81.52</v>
      </c>
      <c r="G1561" s="427" t="s">
        <v>5182</v>
      </c>
      <c r="H1561" s="419" t="s">
        <v>468</v>
      </c>
      <c r="I1561" s="427" t="s">
        <v>1461</v>
      </c>
      <c r="J1561" s="415" t="s">
        <v>310</v>
      </c>
      <c r="K1561" s="418" t="s">
        <v>1220</v>
      </c>
      <c r="L1561" s="415" t="s">
        <v>1368</v>
      </c>
      <c r="M1561" s="415" t="s">
        <v>310</v>
      </c>
      <c r="N1561" s="414">
        <v>44706</v>
      </c>
      <c r="O1561" s="414" t="s">
        <v>402</v>
      </c>
      <c r="P1561" s="603">
        <f t="shared" si="226"/>
        <v>5</v>
      </c>
      <c r="Q1561" s="603">
        <f t="shared" si="227"/>
        <v>4</v>
      </c>
      <c r="R1561" s="604" t="str">
        <f t="shared" si="228"/>
        <v>Gastos_custeados_por_captação</v>
      </c>
      <c r="S1561" s="605" t="s">
        <v>310</v>
      </c>
      <c r="T1561" s="605" t="s">
        <v>310</v>
      </c>
    </row>
    <row r="1562" spans="1:20" s="88" customFormat="1" ht="120" x14ac:dyDescent="0.2">
      <c r="A1562" s="510">
        <f>IF(B1562="","",COUNT('Diário 1º PA'!$A$4:$A$2635)+ROW()-3)</f>
        <v>3295</v>
      </c>
      <c r="B1562" s="465">
        <v>44707</v>
      </c>
      <c r="C1562" s="466">
        <v>44136</v>
      </c>
      <c r="D1562" s="415" t="s">
        <v>271</v>
      </c>
      <c r="E1562" s="415" t="s">
        <v>183</v>
      </c>
      <c r="F1562" s="435">
        <v>301.35000000000002</v>
      </c>
      <c r="G1562" s="437" t="s">
        <v>470</v>
      </c>
      <c r="H1562" s="434" t="s">
        <v>748</v>
      </c>
      <c r="I1562" s="437" t="s">
        <v>1486</v>
      </c>
      <c r="J1562" s="418" t="s">
        <v>1487</v>
      </c>
      <c r="K1562" s="418" t="s">
        <v>812</v>
      </c>
      <c r="L1562" s="399" t="s">
        <v>807</v>
      </c>
      <c r="M1562" s="415">
        <v>263439</v>
      </c>
      <c r="N1562" s="414">
        <v>44709</v>
      </c>
      <c r="O1562" s="414" t="s">
        <v>400</v>
      </c>
      <c r="P1562" s="603">
        <f t="shared" si="226"/>
        <v>5</v>
      </c>
      <c r="Q1562" s="603">
        <f t="shared" si="227"/>
        <v>-13</v>
      </c>
      <c r="R1562" s="604" t="str">
        <f t="shared" si="228"/>
        <v>Gastos_Gerais</v>
      </c>
      <c r="S1562" s="605" t="s">
        <v>1000</v>
      </c>
      <c r="T1562" s="605">
        <v>528</v>
      </c>
    </row>
    <row r="1563" spans="1:20" s="88" customFormat="1" ht="36" x14ac:dyDescent="0.2">
      <c r="A1563" s="510">
        <f>IF(B1563="","",COUNT('Diário 1º PA'!$A$4:$A$2635)+ROW()-3)</f>
        <v>3296</v>
      </c>
      <c r="B1563" s="455">
        <v>44707</v>
      </c>
      <c r="C1563" s="431">
        <v>44652</v>
      </c>
      <c r="D1563" s="415" t="s">
        <v>271</v>
      </c>
      <c r="E1563" s="415" t="s">
        <v>297</v>
      </c>
      <c r="F1563" s="435">
        <v>134</v>
      </c>
      <c r="G1563" s="642" t="s">
        <v>3545</v>
      </c>
      <c r="H1563" s="419" t="s">
        <v>752</v>
      </c>
      <c r="I1563" s="437" t="s">
        <v>815</v>
      </c>
      <c r="J1563" s="426" t="s">
        <v>816</v>
      </c>
      <c r="K1563" s="419" t="s">
        <v>830</v>
      </c>
      <c r="L1563" s="415" t="s">
        <v>807</v>
      </c>
      <c r="M1563" s="415" t="s">
        <v>4320</v>
      </c>
      <c r="N1563" s="414">
        <v>44679</v>
      </c>
      <c r="O1563" s="414" t="s">
        <v>400</v>
      </c>
      <c r="P1563" s="603">
        <f t="shared" si="226"/>
        <v>5</v>
      </c>
      <c r="Q1563" s="603">
        <f t="shared" si="227"/>
        <v>4</v>
      </c>
      <c r="R1563" s="604" t="str">
        <f t="shared" si="228"/>
        <v>Gastos_Gerais</v>
      </c>
      <c r="S1563" s="605" t="s">
        <v>999</v>
      </c>
      <c r="T1563" s="605">
        <v>3506</v>
      </c>
    </row>
    <row r="1564" spans="1:20" s="319" customFormat="1" ht="48" x14ac:dyDescent="0.2">
      <c r="A1564" s="510">
        <f>IF(B1564="","",COUNT('Diário 1º PA'!$A$4:$A$2635)+ROW()-3)</f>
        <v>3297</v>
      </c>
      <c r="B1564" s="455">
        <v>44707</v>
      </c>
      <c r="C1564" s="431">
        <v>44621</v>
      </c>
      <c r="D1564" s="415" t="s">
        <v>271</v>
      </c>
      <c r="E1564" s="415" t="s">
        <v>457</v>
      </c>
      <c r="F1564" s="425">
        <v>20</v>
      </c>
      <c r="G1564" s="437" t="s">
        <v>4321</v>
      </c>
      <c r="H1564" s="419" t="s">
        <v>758</v>
      </c>
      <c r="I1564" s="427" t="s">
        <v>4079</v>
      </c>
      <c r="J1564" s="415" t="s">
        <v>2065</v>
      </c>
      <c r="K1564" s="415" t="s">
        <v>830</v>
      </c>
      <c r="L1564" s="415" t="s">
        <v>310</v>
      </c>
      <c r="M1564" s="439" t="s">
        <v>310</v>
      </c>
      <c r="N1564" s="414">
        <v>44707</v>
      </c>
      <c r="O1564" s="414" t="s">
        <v>400</v>
      </c>
      <c r="P1564" s="603">
        <f t="shared" si="226"/>
        <v>5</v>
      </c>
      <c r="Q1564" s="603">
        <f t="shared" si="227"/>
        <v>3</v>
      </c>
      <c r="R1564" s="604" t="str">
        <f t="shared" si="228"/>
        <v>Gastos_Gerais</v>
      </c>
      <c r="S1564" s="605" t="s">
        <v>310</v>
      </c>
      <c r="T1564" s="605" t="s">
        <v>310</v>
      </c>
    </row>
    <row r="1565" spans="1:20" s="88" customFormat="1" ht="24" x14ac:dyDescent="0.2">
      <c r="A1565" s="510">
        <f>IF(B1565="","",COUNT('Diário 1º PA'!$A$4:$A$2635)+ROW()-3)</f>
        <v>3298</v>
      </c>
      <c r="B1565" s="455">
        <v>44707</v>
      </c>
      <c r="C1565" s="431">
        <v>44652</v>
      </c>
      <c r="D1565" s="415" t="s">
        <v>271</v>
      </c>
      <c r="E1565" s="415" t="s">
        <v>456</v>
      </c>
      <c r="F1565" s="425">
        <v>9496.2999999999993</v>
      </c>
      <c r="G1565" s="423" t="s">
        <v>3289</v>
      </c>
      <c r="H1565" s="419" t="s">
        <v>792</v>
      </c>
      <c r="I1565" s="427" t="s">
        <v>4322</v>
      </c>
      <c r="J1565" s="415" t="s">
        <v>3288</v>
      </c>
      <c r="K1565" s="415" t="s">
        <v>830</v>
      </c>
      <c r="L1565" s="415" t="s">
        <v>807</v>
      </c>
      <c r="M1565" s="415" t="s">
        <v>4323</v>
      </c>
      <c r="N1565" s="414">
        <v>44706</v>
      </c>
      <c r="O1565" s="414" t="s">
        <v>400</v>
      </c>
      <c r="P1565" s="603">
        <f t="shared" si="226"/>
        <v>5</v>
      </c>
      <c r="Q1565" s="603">
        <f t="shared" si="227"/>
        <v>4</v>
      </c>
      <c r="R1565" s="607" t="str">
        <f t="shared" si="228"/>
        <v>Gastos_Gerais</v>
      </c>
      <c r="S1565" s="605" t="s">
        <v>1000</v>
      </c>
      <c r="T1565" s="605">
        <v>3335</v>
      </c>
    </row>
    <row r="1566" spans="1:20" s="88" customFormat="1" ht="24" x14ac:dyDescent="0.2">
      <c r="A1566" s="510">
        <f>IF(B1566="","",COUNT('Diário 1º PA'!$A$4:$A$2635)+ROW()-3)</f>
        <v>3299</v>
      </c>
      <c r="B1566" s="455">
        <v>44707</v>
      </c>
      <c r="C1566" s="431">
        <v>44682</v>
      </c>
      <c r="D1566" s="415" t="s">
        <v>182</v>
      </c>
      <c r="E1566" s="415" t="s">
        <v>6</v>
      </c>
      <c r="F1566" s="425">
        <v>20995.74</v>
      </c>
      <c r="G1566" s="440" t="s">
        <v>1494</v>
      </c>
      <c r="H1566" s="415" t="s">
        <v>310</v>
      </c>
      <c r="I1566" s="437" t="s">
        <v>1486</v>
      </c>
      <c r="J1566" s="418" t="s">
        <v>1487</v>
      </c>
      <c r="K1566" s="418" t="s">
        <v>812</v>
      </c>
      <c r="L1566" s="399" t="s">
        <v>807</v>
      </c>
      <c r="M1566" s="544">
        <v>314704</v>
      </c>
      <c r="N1566" s="414">
        <v>44713</v>
      </c>
      <c r="O1566" s="414" t="s">
        <v>400</v>
      </c>
      <c r="P1566" s="603">
        <f t="shared" si="226"/>
        <v>5</v>
      </c>
      <c r="Q1566" s="603">
        <f t="shared" si="227"/>
        <v>5</v>
      </c>
      <c r="R1566" s="604" t="str">
        <f t="shared" si="228"/>
        <v>Gastos_com_Pessoal</v>
      </c>
      <c r="S1566" s="605" t="s">
        <v>310</v>
      </c>
      <c r="T1566" s="605" t="s">
        <v>310</v>
      </c>
    </row>
    <row r="1567" spans="1:20" s="88" customFormat="1" ht="36" x14ac:dyDescent="0.2">
      <c r="A1567" s="510">
        <f>IF(B1567="","",COUNT('Diário 1º PA'!$A$4:$A$2635)+ROW()-3)</f>
        <v>3300</v>
      </c>
      <c r="B1567" s="455">
        <v>44707</v>
      </c>
      <c r="C1567" s="466">
        <v>44682</v>
      </c>
      <c r="D1567" s="415" t="s">
        <v>271</v>
      </c>
      <c r="E1567" s="415" t="s">
        <v>71</v>
      </c>
      <c r="F1567" s="425">
        <v>11</v>
      </c>
      <c r="G1567" s="427" t="s">
        <v>4324</v>
      </c>
      <c r="H1567" s="419" t="s">
        <v>752</v>
      </c>
      <c r="I1567" s="639" t="s">
        <v>881</v>
      </c>
      <c r="J1567" s="418" t="s">
        <v>882</v>
      </c>
      <c r="K1567" s="418" t="s">
        <v>883</v>
      </c>
      <c r="L1567" s="399" t="s">
        <v>798</v>
      </c>
      <c r="M1567" s="544" t="s">
        <v>310</v>
      </c>
      <c r="N1567" s="455">
        <v>44707</v>
      </c>
      <c r="O1567" s="414" t="s">
        <v>400</v>
      </c>
      <c r="P1567" s="603">
        <f t="shared" si="226"/>
        <v>5</v>
      </c>
      <c r="Q1567" s="603">
        <f t="shared" si="227"/>
        <v>5</v>
      </c>
      <c r="R1567" s="604" t="str">
        <f t="shared" si="228"/>
        <v>Gastos_Gerais</v>
      </c>
      <c r="S1567" s="605" t="s">
        <v>310</v>
      </c>
      <c r="T1567" s="605" t="s">
        <v>310</v>
      </c>
    </row>
    <row r="1568" spans="1:20" s="88" customFormat="1" ht="36" x14ac:dyDescent="0.2">
      <c r="A1568" s="510">
        <f>IF(B1568="","",COUNT('Diário 1º PA'!$A$4:$A$2635)+ROW()-3)</f>
        <v>3301</v>
      </c>
      <c r="B1568" s="455">
        <v>44707</v>
      </c>
      <c r="C1568" s="466">
        <v>44682</v>
      </c>
      <c r="D1568" s="415" t="s">
        <v>271</v>
      </c>
      <c r="E1568" s="415" t="s">
        <v>71</v>
      </c>
      <c r="F1568" s="425">
        <v>11</v>
      </c>
      <c r="G1568" s="427" t="s">
        <v>4326</v>
      </c>
      <c r="H1568" s="419" t="s">
        <v>758</v>
      </c>
      <c r="I1568" s="427" t="s">
        <v>881</v>
      </c>
      <c r="J1568" s="415" t="s">
        <v>882</v>
      </c>
      <c r="K1568" s="415" t="s">
        <v>883</v>
      </c>
      <c r="L1568" s="415" t="s">
        <v>798</v>
      </c>
      <c r="M1568" s="415" t="s">
        <v>310</v>
      </c>
      <c r="N1568" s="455">
        <v>44707</v>
      </c>
      <c r="O1568" s="414" t="s">
        <v>400</v>
      </c>
      <c r="P1568" s="603">
        <f t="shared" si="226"/>
        <v>5</v>
      </c>
      <c r="Q1568" s="603">
        <f t="shared" si="227"/>
        <v>5</v>
      </c>
      <c r="R1568" s="604" t="str">
        <f t="shared" si="228"/>
        <v>Gastos_Gerais</v>
      </c>
      <c r="S1568" s="605" t="s">
        <v>310</v>
      </c>
      <c r="T1568" s="605" t="s">
        <v>310</v>
      </c>
    </row>
    <row r="1569" spans="1:20" ht="36" x14ac:dyDescent="0.2">
      <c r="A1569" s="510">
        <f>IF(B1569="","",COUNT('Diário 1º PA'!$A$4:$A$2635)+ROW()-3)</f>
        <v>3302</v>
      </c>
      <c r="B1569" s="455">
        <v>44707</v>
      </c>
      <c r="C1569" s="466">
        <v>44682</v>
      </c>
      <c r="D1569" s="415" t="s">
        <v>271</v>
      </c>
      <c r="E1569" s="415" t="s">
        <v>71</v>
      </c>
      <c r="F1569" s="425">
        <v>11</v>
      </c>
      <c r="G1569" s="427" t="s">
        <v>4325</v>
      </c>
      <c r="H1569" s="419" t="s">
        <v>792</v>
      </c>
      <c r="I1569" s="427" t="s">
        <v>881</v>
      </c>
      <c r="J1569" s="415" t="s">
        <v>882</v>
      </c>
      <c r="K1569" s="415" t="s">
        <v>883</v>
      </c>
      <c r="L1569" s="415" t="s">
        <v>798</v>
      </c>
      <c r="M1569" s="415" t="s">
        <v>310</v>
      </c>
      <c r="N1569" s="455">
        <v>44707</v>
      </c>
      <c r="O1569" s="414" t="s">
        <v>400</v>
      </c>
      <c r="P1569" s="603">
        <f t="shared" ref="P1569:P1580" si="229">IF(B1569=0,0,IF(YEAR(B1569)=$Q$1,MONTH(B1569)-$P$1+1,(YEAR(B1569)-$Q$1)*12-$P$1+1+MONTH(B1569)))</f>
        <v>5</v>
      </c>
      <c r="Q1569" s="603">
        <f t="shared" ref="Q1569:Q1580" si="230">IF(C1569=0,0,IF(YEAR(C1569)=$Q$1,MONTH(C1569)-$P$1+1,(YEAR(C1569)-$Q$1)*12-$P$1+1+MONTH(C1569)))</f>
        <v>5</v>
      </c>
      <c r="R1569" s="604" t="str">
        <f t="shared" ref="R1569:R1580" si="231">SUBSTITUTE(D1569," ","_")</f>
        <v>Gastos_Gerais</v>
      </c>
      <c r="S1569" s="605" t="s">
        <v>310</v>
      </c>
      <c r="T1569" s="605" t="s">
        <v>310</v>
      </c>
    </row>
    <row r="1570" spans="1:20" ht="72" x14ac:dyDescent="0.2">
      <c r="A1570" s="510">
        <f>IF(B1570="","",COUNT('Diário 1º PA'!$A$4:$A$2635)+ROW()-3)</f>
        <v>3303</v>
      </c>
      <c r="B1570" s="455">
        <v>44707</v>
      </c>
      <c r="C1570" s="466">
        <v>44621</v>
      </c>
      <c r="D1570" s="415" t="s">
        <v>468</v>
      </c>
      <c r="E1570" s="415" t="s">
        <v>468</v>
      </c>
      <c r="F1570" s="425">
        <v>23000</v>
      </c>
      <c r="G1570" s="427" t="s">
        <v>5196</v>
      </c>
      <c r="H1570" s="419" t="s">
        <v>468</v>
      </c>
      <c r="I1570" s="427" t="s">
        <v>5197</v>
      </c>
      <c r="J1570" s="415" t="s">
        <v>5198</v>
      </c>
      <c r="K1570" s="415" t="s">
        <v>830</v>
      </c>
      <c r="L1570" s="415" t="s">
        <v>807</v>
      </c>
      <c r="M1570" s="415">
        <v>70</v>
      </c>
      <c r="N1570" s="455">
        <v>44706</v>
      </c>
      <c r="O1570" s="414" t="s">
        <v>407</v>
      </c>
      <c r="P1570" s="603">
        <f t="shared" si="229"/>
        <v>5</v>
      </c>
      <c r="Q1570" s="603">
        <f t="shared" si="230"/>
        <v>3</v>
      </c>
      <c r="R1570" s="604" t="str">
        <f t="shared" si="231"/>
        <v>Gastos_custeados_por_captação</v>
      </c>
      <c r="S1570" s="605" t="s">
        <v>998</v>
      </c>
      <c r="T1570" s="605">
        <v>3150</v>
      </c>
    </row>
    <row r="1571" spans="1:20" ht="72" x14ac:dyDescent="0.2">
      <c r="A1571" s="510">
        <f>IF(B1571="","",COUNT('Diário 1º PA'!$A$4:$A$2635)+ROW()-3)</f>
        <v>3304</v>
      </c>
      <c r="B1571" s="455">
        <v>44707</v>
      </c>
      <c r="C1571" s="466">
        <v>44621</v>
      </c>
      <c r="D1571" s="415" t="s">
        <v>468</v>
      </c>
      <c r="E1571" s="415" t="s">
        <v>468</v>
      </c>
      <c r="F1571" s="425">
        <v>48015.1</v>
      </c>
      <c r="G1571" s="427" t="s">
        <v>3881</v>
      </c>
      <c r="H1571" s="419" t="s">
        <v>468</v>
      </c>
      <c r="I1571" s="427" t="s">
        <v>5097</v>
      </c>
      <c r="J1571" s="415" t="s">
        <v>3535</v>
      </c>
      <c r="K1571" s="415" t="s">
        <v>830</v>
      </c>
      <c r="L1571" s="415" t="s">
        <v>807</v>
      </c>
      <c r="M1571" s="415" t="s">
        <v>1892</v>
      </c>
      <c r="N1571" s="455">
        <v>44706</v>
      </c>
      <c r="O1571" s="414" t="s">
        <v>407</v>
      </c>
      <c r="P1571" s="603">
        <f t="shared" si="229"/>
        <v>5</v>
      </c>
      <c r="Q1571" s="603">
        <f t="shared" si="230"/>
        <v>3</v>
      </c>
      <c r="R1571" s="604" t="str">
        <f t="shared" si="231"/>
        <v>Gastos_custeados_por_captação</v>
      </c>
      <c r="S1571" s="605" t="s">
        <v>998</v>
      </c>
      <c r="T1571" s="605">
        <v>3581</v>
      </c>
    </row>
    <row r="1572" spans="1:20" ht="127.5" customHeight="1" x14ac:dyDescent="0.2">
      <c r="A1572" s="510">
        <f>IF(B1572="","",COUNT('Diário 1º PA'!$A$4:$A$2635)+ROW()-3)</f>
        <v>3305</v>
      </c>
      <c r="B1572" s="455">
        <v>44707</v>
      </c>
      <c r="C1572" s="431">
        <v>44621</v>
      </c>
      <c r="D1572" s="415" t="s">
        <v>468</v>
      </c>
      <c r="E1572" s="415" t="s">
        <v>468</v>
      </c>
      <c r="F1572" s="425">
        <v>990.85</v>
      </c>
      <c r="G1572" s="427" t="s">
        <v>4803</v>
      </c>
      <c r="H1572" s="419" t="s">
        <v>468</v>
      </c>
      <c r="I1572" s="427" t="s">
        <v>4691</v>
      </c>
      <c r="J1572" s="415" t="s">
        <v>4804</v>
      </c>
      <c r="K1572" s="415" t="s">
        <v>830</v>
      </c>
      <c r="L1572" s="415" t="s">
        <v>807</v>
      </c>
      <c r="M1572" s="415" t="s">
        <v>5199</v>
      </c>
      <c r="N1572" s="414">
        <v>44692</v>
      </c>
      <c r="O1572" s="414" t="s">
        <v>407</v>
      </c>
      <c r="P1572" s="603">
        <f t="shared" si="229"/>
        <v>5</v>
      </c>
      <c r="Q1572" s="603">
        <f t="shared" si="230"/>
        <v>3</v>
      </c>
      <c r="R1572" s="604" t="str">
        <f t="shared" si="231"/>
        <v>Gastos_custeados_por_captação</v>
      </c>
      <c r="S1572" s="605" t="s">
        <v>1000</v>
      </c>
      <c r="T1572" s="605">
        <v>3233</v>
      </c>
    </row>
    <row r="1573" spans="1:20" ht="100.5" customHeight="1" x14ac:dyDescent="0.2">
      <c r="A1573" s="510">
        <f>IF(B1573="","",COUNT('Diário 1º PA'!$A$4:$A$2635)+ROW()-3)</f>
        <v>3306</v>
      </c>
      <c r="B1573" s="455">
        <v>44707</v>
      </c>
      <c r="C1573" s="466">
        <v>44621</v>
      </c>
      <c r="D1573" s="415" t="s">
        <v>468</v>
      </c>
      <c r="E1573" s="415" t="s">
        <v>468</v>
      </c>
      <c r="F1573" s="425">
        <v>3000</v>
      </c>
      <c r="G1573" s="427" t="s">
        <v>3716</v>
      </c>
      <c r="H1573" s="419" t="s">
        <v>468</v>
      </c>
      <c r="I1573" s="427" t="s">
        <v>5200</v>
      </c>
      <c r="J1573" s="415" t="s">
        <v>3717</v>
      </c>
      <c r="K1573" s="415" t="s">
        <v>830</v>
      </c>
      <c r="L1573" s="415" t="s">
        <v>807</v>
      </c>
      <c r="M1573" s="415">
        <v>202235</v>
      </c>
      <c r="N1573" s="455">
        <v>44705</v>
      </c>
      <c r="O1573" s="414" t="s">
        <v>407</v>
      </c>
      <c r="P1573" s="603">
        <f t="shared" si="229"/>
        <v>5</v>
      </c>
      <c r="Q1573" s="603">
        <f t="shared" si="230"/>
        <v>3</v>
      </c>
      <c r="R1573" s="604" t="str">
        <f t="shared" si="231"/>
        <v>Gastos_custeados_por_captação</v>
      </c>
      <c r="S1573" s="605" t="s">
        <v>998</v>
      </c>
      <c r="T1573" s="605">
        <v>3443</v>
      </c>
    </row>
    <row r="1574" spans="1:20" ht="72" x14ac:dyDescent="0.2">
      <c r="A1574" s="510">
        <f>IF(B1574="","",COUNT('Diário 1º PA'!$A$4:$A$2635)+ROW()-3)</f>
        <v>3307</v>
      </c>
      <c r="B1574" s="455">
        <v>44707</v>
      </c>
      <c r="C1574" s="466">
        <v>44682</v>
      </c>
      <c r="D1574" s="415" t="s">
        <v>468</v>
      </c>
      <c r="E1574" s="415" t="s">
        <v>468</v>
      </c>
      <c r="F1574" s="425">
        <v>5036.1099999999997</v>
      </c>
      <c r="G1574" s="427" t="s">
        <v>4058</v>
      </c>
      <c r="H1574" s="419" t="s">
        <v>468</v>
      </c>
      <c r="I1574" s="427" t="s">
        <v>5201</v>
      </c>
      <c r="J1574" s="415" t="s">
        <v>4059</v>
      </c>
      <c r="K1574" s="415" t="s">
        <v>830</v>
      </c>
      <c r="L1574" s="415" t="s">
        <v>839</v>
      </c>
      <c r="M1574" s="415">
        <v>1783</v>
      </c>
      <c r="N1574" s="455">
        <v>44705</v>
      </c>
      <c r="O1574" s="414" t="s">
        <v>407</v>
      </c>
      <c r="P1574" s="603">
        <f t="shared" si="229"/>
        <v>5</v>
      </c>
      <c r="Q1574" s="603">
        <f t="shared" si="230"/>
        <v>5</v>
      </c>
      <c r="R1574" s="604" t="str">
        <f t="shared" si="231"/>
        <v>Gastos_custeados_por_captação</v>
      </c>
      <c r="S1574" s="605" t="s">
        <v>998</v>
      </c>
      <c r="T1574" s="605">
        <v>3599</v>
      </c>
    </row>
    <row r="1575" spans="1:20" ht="120" x14ac:dyDescent="0.2">
      <c r="A1575" s="510">
        <f>IF(B1575="","",COUNT('Diário 1º PA'!$A$4:$A$2635)+ROW()-3)</f>
        <v>3308</v>
      </c>
      <c r="B1575" s="455">
        <v>44707</v>
      </c>
      <c r="C1575" s="466">
        <v>44652</v>
      </c>
      <c r="D1575" s="415" t="s">
        <v>468</v>
      </c>
      <c r="E1575" s="415" t="s">
        <v>468</v>
      </c>
      <c r="F1575" s="425">
        <v>5820</v>
      </c>
      <c r="G1575" s="427" t="s">
        <v>3544</v>
      </c>
      <c r="H1575" s="419" t="s">
        <v>468</v>
      </c>
      <c r="I1575" s="427" t="s">
        <v>5202</v>
      </c>
      <c r="J1575" s="415" t="s">
        <v>1075</v>
      </c>
      <c r="K1575" s="415" t="s">
        <v>830</v>
      </c>
      <c r="L1575" s="415" t="s">
        <v>32</v>
      </c>
      <c r="M1575" s="415" t="s">
        <v>1892</v>
      </c>
      <c r="N1575" s="455">
        <v>44706</v>
      </c>
      <c r="O1575" s="414" t="s">
        <v>407</v>
      </c>
      <c r="P1575" s="603">
        <f t="shared" si="229"/>
        <v>5</v>
      </c>
      <c r="Q1575" s="603">
        <f t="shared" si="230"/>
        <v>4</v>
      </c>
      <c r="R1575" s="604" t="str">
        <f t="shared" si="231"/>
        <v>Gastos_custeados_por_captação</v>
      </c>
      <c r="S1575" s="605" t="s">
        <v>1000</v>
      </c>
      <c r="T1575" s="605">
        <v>3340</v>
      </c>
    </row>
    <row r="1576" spans="1:20" ht="72" x14ac:dyDescent="0.2">
      <c r="A1576" s="510">
        <f>IF(B1576="","",COUNT('Diário 1º PA'!$A$4:$A$2635)+ROW()-3)</f>
        <v>3309</v>
      </c>
      <c r="B1576" s="455">
        <v>44707</v>
      </c>
      <c r="C1576" s="466">
        <v>44652</v>
      </c>
      <c r="D1576" s="415" t="s">
        <v>468</v>
      </c>
      <c r="E1576" s="415" t="s">
        <v>468</v>
      </c>
      <c r="F1576" s="425">
        <v>2027.3</v>
      </c>
      <c r="G1576" s="427" t="s">
        <v>3289</v>
      </c>
      <c r="H1576" s="419" t="s">
        <v>468</v>
      </c>
      <c r="I1576" s="427" t="s">
        <v>5203</v>
      </c>
      <c r="J1576" s="415" t="s">
        <v>3288</v>
      </c>
      <c r="K1576" s="415" t="s">
        <v>830</v>
      </c>
      <c r="L1576" s="415" t="s">
        <v>32</v>
      </c>
      <c r="M1576" s="415" t="s">
        <v>5204</v>
      </c>
      <c r="N1576" s="455">
        <v>44706</v>
      </c>
      <c r="O1576" s="414" t="s">
        <v>407</v>
      </c>
      <c r="P1576" s="603">
        <f t="shared" si="229"/>
        <v>5</v>
      </c>
      <c r="Q1576" s="603">
        <f t="shared" si="230"/>
        <v>4</v>
      </c>
      <c r="R1576" s="604" t="str">
        <f t="shared" si="231"/>
        <v>Gastos_custeados_por_captação</v>
      </c>
      <c r="S1576" s="605" t="s">
        <v>998</v>
      </c>
      <c r="T1576" s="605">
        <v>3335</v>
      </c>
    </row>
    <row r="1577" spans="1:20" ht="99.95" customHeight="1" x14ac:dyDescent="0.2">
      <c r="A1577" s="510">
        <f>IF(B1577="","",COUNT('Diário 1º PA'!$A$4:$A$2635)+ROW()-3)</f>
        <v>3310</v>
      </c>
      <c r="B1577" s="455">
        <v>44707</v>
      </c>
      <c r="C1577" s="466">
        <v>44682</v>
      </c>
      <c r="D1577" s="415" t="s">
        <v>468</v>
      </c>
      <c r="E1577" s="415" t="s">
        <v>468</v>
      </c>
      <c r="F1577" s="425">
        <v>806.4</v>
      </c>
      <c r="G1577" s="427" t="s">
        <v>4093</v>
      </c>
      <c r="H1577" s="419" t="s">
        <v>468</v>
      </c>
      <c r="I1577" s="427" t="s">
        <v>5205</v>
      </c>
      <c r="J1577" s="415" t="s">
        <v>4094</v>
      </c>
      <c r="K1577" s="415" t="s">
        <v>830</v>
      </c>
      <c r="L1577" s="415" t="s">
        <v>839</v>
      </c>
      <c r="M1577" s="415">
        <v>1790</v>
      </c>
      <c r="N1577" s="455">
        <v>44706</v>
      </c>
      <c r="O1577" s="414" t="s">
        <v>407</v>
      </c>
      <c r="P1577" s="603">
        <f t="shared" si="229"/>
        <v>5</v>
      </c>
      <c r="Q1577" s="603">
        <f t="shared" si="230"/>
        <v>5</v>
      </c>
      <c r="R1577" s="604" t="str">
        <f t="shared" si="231"/>
        <v>Gastos_custeados_por_captação</v>
      </c>
      <c r="S1577" s="605" t="s">
        <v>998</v>
      </c>
      <c r="T1577" s="605">
        <v>3677</v>
      </c>
    </row>
    <row r="1578" spans="1:20" ht="99.95" customHeight="1" x14ac:dyDescent="0.2">
      <c r="A1578" s="510">
        <f>IF(B1578="","",COUNT('Diário 1º PA'!$A$4:$A$2635)+ROW()-3)</f>
        <v>3311</v>
      </c>
      <c r="B1578" s="455">
        <v>44707</v>
      </c>
      <c r="C1578" s="466">
        <v>44621</v>
      </c>
      <c r="D1578" s="415" t="s">
        <v>468</v>
      </c>
      <c r="E1578" s="415" t="s">
        <v>468</v>
      </c>
      <c r="F1578" s="425">
        <v>5501.66</v>
      </c>
      <c r="G1578" s="427" t="s">
        <v>2662</v>
      </c>
      <c r="H1578" s="419" t="s">
        <v>468</v>
      </c>
      <c r="I1578" s="427" t="s">
        <v>4408</v>
      </c>
      <c r="J1578" s="415" t="s">
        <v>2663</v>
      </c>
      <c r="K1578" s="415" t="s">
        <v>830</v>
      </c>
      <c r="L1578" s="415" t="s">
        <v>839</v>
      </c>
      <c r="M1578" s="415">
        <v>1786</v>
      </c>
      <c r="N1578" s="455">
        <v>44705</v>
      </c>
      <c r="O1578" s="414" t="s">
        <v>407</v>
      </c>
      <c r="P1578" s="603">
        <f t="shared" si="229"/>
        <v>5</v>
      </c>
      <c r="Q1578" s="603">
        <f t="shared" si="230"/>
        <v>3</v>
      </c>
      <c r="R1578" s="604" t="str">
        <f t="shared" si="231"/>
        <v>Gastos_custeados_por_captação</v>
      </c>
      <c r="S1578" s="605" t="s">
        <v>998</v>
      </c>
      <c r="T1578" s="605">
        <v>3030</v>
      </c>
    </row>
    <row r="1579" spans="1:20" ht="99.95" customHeight="1" x14ac:dyDescent="0.2">
      <c r="A1579" s="510">
        <f>IF(B1579="","",COUNT('Diário 1º PA'!$A$4:$A$2635)+ROW()-3)</f>
        <v>3312</v>
      </c>
      <c r="B1579" s="455">
        <v>44707</v>
      </c>
      <c r="C1579" s="466">
        <v>44621</v>
      </c>
      <c r="D1579" s="415" t="s">
        <v>468</v>
      </c>
      <c r="E1579" s="415" t="s">
        <v>468</v>
      </c>
      <c r="F1579" s="425">
        <v>7054.16</v>
      </c>
      <c r="G1579" s="427" t="s">
        <v>5206</v>
      </c>
      <c r="H1579" s="419" t="s">
        <v>468</v>
      </c>
      <c r="I1579" s="427" t="s">
        <v>5207</v>
      </c>
      <c r="J1579" s="415" t="s">
        <v>2652</v>
      </c>
      <c r="K1579" s="415" t="s">
        <v>830</v>
      </c>
      <c r="L1579" s="415" t="s">
        <v>839</v>
      </c>
      <c r="M1579" s="415">
        <v>1785</v>
      </c>
      <c r="N1579" s="455">
        <v>44705</v>
      </c>
      <c r="O1579" s="414" t="s">
        <v>407</v>
      </c>
      <c r="P1579" s="603">
        <f t="shared" si="229"/>
        <v>5</v>
      </c>
      <c r="Q1579" s="603">
        <f t="shared" si="230"/>
        <v>3</v>
      </c>
      <c r="R1579" s="604" t="str">
        <f t="shared" si="231"/>
        <v>Gastos_custeados_por_captação</v>
      </c>
      <c r="S1579" s="605" t="s">
        <v>998</v>
      </c>
      <c r="T1579" s="605">
        <v>3263</v>
      </c>
    </row>
    <row r="1580" spans="1:20" s="88" customFormat="1" ht="72" x14ac:dyDescent="0.2">
      <c r="A1580" s="510">
        <f>IF(B1580="","",COUNT('Diário 1º PA'!$A$4:$A$2635)+ROW()-3)</f>
        <v>3313</v>
      </c>
      <c r="B1580" s="455">
        <v>44707</v>
      </c>
      <c r="C1580" s="466">
        <v>44682</v>
      </c>
      <c r="D1580" s="415" t="s">
        <v>468</v>
      </c>
      <c r="E1580" s="415" t="s">
        <v>468</v>
      </c>
      <c r="F1580" s="425">
        <v>41632.6</v>
      </c>
      <c r="G1580" s="427" t="s">
        <v>3825</v>
      </c>
      <c r="H1580" s="419" t="s">
        <v>468</v>
      </c>
      <c r="I1580" s="427" t="s">
        <v>5208</v>
      </c>
      <c r="J1580" s="415" t="s">
        <v>3826</v>
      </c>
      <c r="K1580" s="415" t="s">
        <v>830</v>
      </c>
      <c r="L1580" s="415" t="s">
        <v>807</v>
      </c>
      <c r="M1580" s="415" t="s">
        <v>1795</v>
      </c>
      <c r="N1580" s="455">
        <v>44705</v>
      </c>
      <c r="O1580" s="414" t="s">
        <v>407</v>
      </c>
      <c r="P1580" s="603">
        <f t="shared" si="229"/>
        <v>5</v>
      </c>
      <c r="Q1580" s="603">
        <f t="shared" si="230"/>
        <v>5</v>
      </c>
      <c r="R1580" s="604" t="str">
        <f t="shared" si="231"/>
        <v>Gastos_custeados_por_captação</v>
      </c>
      <c r="S1580" s="605" t="s">
        <v>998</v>
      </c>
      <c r="T1580" s="605">
        <v>3563</v>
      </c>
    </row>
    <row r="1581" spans="1:20" s="88" customFormat="1" ht="48" x14ac:dyDescent="0.2">
      <c r="A1581" s="510">
        <f>IF(B1581="","",COUNT('Diário 1º PA'!$A$4:$A$2635)+ROW()-3)</f>
        <v>3314</v>
      </c>
      <c r="B1581" s="455">
        <v>44707</v>
      </c>
      <c r="C1581" s="466">
        <v>44682</v>
      </c>
      <c r="D1581" s="415" t="s">
        <v>468</v>
      </c>
      <c r="E1581" s="415" t="s">
        <v>468</v>
      </c>
      <c r="F1581" s="425">
        <v>11</v>
      </c>
      <c r="G1581" s="427" t="s">
        <v>4799</v>
      </c>
      <c r="H1581" s="419" t="s">
        <v>468</v>
      </c>
      <c r="I1581" s="427" t="s">
        <v>881</v>
      </c>
      <c r="J1581" s="415" t="s">
        <v>882</v>
      </c>
      <c r="K1581" s="415" t="s">
        <v>883</v>
      </c>
      <c r="L1581" s="415" t="s">
        <v>798</v>
      </c>
      <c r="M1581" s="415" t="s">
        <v>310</v>
      </c>
      <c r="N1581" s="414">
        <v>44707</v>
      </c>
      <c r="O1581" s="414" t="s">
        <v>3762</v>
      </c>
      <c r="P1581" s="603">
        <f t="shared" ref="P1581:Q1585" si="232">IF(B1581=0,0,IF(YEAR(B1581)=$Q$1,MONTH(B1581)-$P$1+1,(YEAR(B1581)-$Q$1)*12-$P$1+1+MONTH(B1581)))</f>
        <v>5</v>
      </c>
      <c r="Q1581" s="603">
        <f t="shared" si="232"/>
        <v>5</v>
      </c>
      <c r="R1581" s="604" t="str">
        <f>SUBSTITUTE(D1581," ","_")</f>
        <v>Gastos_custeados_por_captação</v>
      </c>
      <c r="S1581" s="605" t="s">
        <v>310</v>
      </c>
      <c r="T1581" s="605" t="s">
        <v>310</v>
      </c>
    </row>
    <row r="1582" spans="1:20" s="88" customFormat="1" ht="24" x14ac:dyDescent="0.2">
      <c r="A1582" s="510">
        <f>IF(B1582="","",COUNT('Diário 1º PA'!$A$4:$A$2635)+ROW()-3)</f>
        <v>3315</v>
      </c>
      <c r="B1582" s="414">
        <v>44708</v>
      </c>
      <c r="C1582" s="592">
        <v>44682</v>
      </c>
      <c r="D1582" s="415" t="s">
        <v>182</v>
      </c>
      <c r="E1582" s="415" t="s">
        <v>161</v>
      </c>
      <c r="F1582" s="425">
        <v>1511.34</v>
      </c>
      <c r="G1582" s="427" t="s">
        <v>1495</v>
      </c>
      <c r="H1582" s="415" t="s">
        <v>310</v>
      </c>
      <c r="I1582" s="427" t="s">
        <v>2008</v>
      </c>
      <c r="J1582" s="548" t="s">
        <v>2009</v>
      </c>
      <c r="K1582" s="415" t="s">
        <v>812</v>
      </c>
      <c r="L1582" s="415" t="s">
        <v>807</v>
      </c>
      <c r="M1582" s="415" t="s">
        <v>4960</v>
      </c>
      <c r="N1582" s="414">
        <v>44713</v>
      </c>
      <c r="O1582" s="414" t="s">
        <v>400</v>
      </c>
      <c r="P1582" s="603">
        <f t="shared" si="232"/>
        <v>5</v>
      </c>
      <c r="Q1582" s="603">
        <f t="shared" si="232"/>
        <v>5</v>
      </c>
      <c r="R1582" s="604" t="str">
        <f>SUBSTITUTE(D1582," ","_")</f>
        <v>Gastos_com_Pessoal</v>
      </c>
      <c r="S1582" s="605" t="s">
        <v>310</v>
      </c>
      <c r="T1582" s="605" t="s">
        <v>310</v>
      </c>
    </row>
    <row r="1583" spans="1:20" s="88" customFormat="1" ht="24" x14ac:dyDescent="0.2">
      <c r="A1583" s="510">
        <f>IF(B1583="","",COUNT('Diário 1º PA'!$A$4:$A$2635)+ROW()-3)</f>
        <v>3316</v>
      </c>
      <c r="B1583" s="414">
        <v>44708</v>
      </c>
      <c r="C1583" s="592">
        <v>44682</v>
      </c>
      <c r="D1583" s="415" t="s">
        <v>182</v>
      </c>
      <c r="E1583" s="415" t="s">
        <v>161</v>
      </c>
      <c r="F1583" s="425">
        <v>1143.6099999999999</v>
      </c>
      <c r="G1583" s="427" t="s">
        <v>1495</v>
      </c>
      <c r="H1583" s="415" t="s">
        <v>310</v>
      </c>
      <c r="I1583" s="427" t="s">
        <v>1496</v>
      </c>
      <c r="J1583" s="548" t="s">
        <v>1497</v>
      </c>
      <c r="K1583" s="415" t="s">
        <v>812</v>
      </c>
      <c r="L1583" s="415" t="s">
        <v>807</v>
      </c>
      <c r="M1583" s="415" t="s">
        <v>4961</v>
      </c>
      <c r="N1583" s="414">
        <v>44712</v>
      </c>
      <c r="O1583" s="414" t="s">
        <v>400</v>
      </c>
      <c r="P1583" s="603">
        <f t="shared" si="232"/>
        <v>5</v>
      </c>
      <c r="Q1583" s="603">
        <f t="shared" si="232"/>
        <v>5</v>
      </c>
      <c r="R1583" s="607" t="str">
        <f>SUBSTITUTE(D1583," ","_")</f>
        <v>Gastos_com_Pessoal</v>
      </c>
      <c r="S1583" s="605" t="s">
        <v>310</v>
      </c>
      <c r="T1583" s="605" t="s">
        <v>310</v>
      </c>
    </row>
    <row r="1584" spans="1:20" s="88" customFormat="1" ht="24" x14ac:dyDescent="0.2">
      <c r="A1584" s="510">
        <f>IF(B1584="","",COUNT('Diário 1º PA'!$A$4:$A$2635)+ROW()-3)</f>
        <v>3317</v>
      </c>
      <c r="B1584" s="414">
        <v>44708</v>
      </c>
      <c r="C1584" s="592">
        <v>44682</v>
      </c>
      <c r="D1584" s="415" t="s">
        <v>182</v>
      </c>
      <c r="E1584" s="415" t="s">
        <v>6</v>
      </c>
      <c r="F1584" s="425">
        <v>4563.2299999999996</v>
      </c>
      <c r="G1584" s="440" t="s">
        <v>1493</v>
      </c>
      <c r="H1584" s="415" t="s">
        <v>310</v>
      </c>
      <c r="I1584" s="437" t="s">
        <v>1486</v>
      </c>
      <c r="J1584" s="418" t="s">
        <v>1487</v>
      </c>
      <c r="K1584" s="418" t="s">
        <v>812</v>
      </c>
      <c r="L1584" s="399" t="s">
        <v>807</v>
      </c>
      <c r="M1584" s="544">
        <v>314438</v>
      </c>
      <c r="N1584" s="414">
        <v>44713</v>
      </c>
      <c r="O1584" s="414" t="s">
        <v>400</v>
      </c>
      <c r="P1584" s="603">
        <f t="shared" si="232"/>
        <v>5</v>
      </c>
      <c r="Q1584" s="603">
        <f t="shared" si="232"/>
        <v>5</v>
      </c>
      <c r="R1584" s="604" t="str">
        <f>SUBSTITUTE(D1584," ","_")</f>
        <v>Gastos_com_Pessoal</v>
      </c>
      <c r="S1584" s="605" t="s">
        <v>310</v>
      </c>
      <c r="T1584" s="605" t="s">
        <v>310</v>
      </c>
    </row>
    <row r="1585" spans="1:20" s="88" customFormat="1" ht="48" x14ac:dyDescent="0.2">
      <c r="A1585" s="510">
        <f>IF(B1585="","",COUNT('Diário 1º PA'!$A$4:$A$2635)+ROW()-3)</f>
        <v>3318</v>
      </c>
      <c r="B1585" s="414">
        <v>44708</v>
      </c>
      <c r="C1585" s="431">
        <v>44682</v>
      </c>
      <c r="D1585" s="415" t="s">
        <v>271</v>
      </c>
      <c r="E1585" s="415" t="s">
        <v>297</v>
      </c>
      <c r="F1585" s="425">
        <v>95.04</v>
      </c>
      <c r="G1585" s="427" t="s">
        <v>4310</v>
      </c>
      <c r="H1585" s="419" t="s">
        <v>792</v>
      </c>
      <c r="I1585" s="427" t="s">
        <v>4330</v>
      </c>
      <c r="J1585" s="415" t="s">
        <v>1170</v>
      </c>
      <c r="K1585" s="415" t="s">
        <v>830</v>
      </c>
      <c r="L1585" s="415" t="s">
        <v>1305</v>
      </c>
      <c r="M1585" s="415" t="s">
        <v>310</v>
      </c>
      <c r="N1585" s="414">
        <v>44708</v>
      </c>
      <c r="O1585" s="414" t="s">
        <v>400</v>
      </c>
      <c r="P1585" s="603">
        <f t="shared" si="232"/>
        <v>5</v>
      </c>
      <c r="Q1585" s="603">
        <f t="shared" si="232"/>
        <v>5</v>
      </c>
      <c r="R1585" s="604" t="str">
        <f>SUBSTITUTE(D1585," ","_")</f>
        <v>Gastos_Gerais</v>
      </c>
      <c r="S1585" s="605" t="s">
        <v>998</v>
      </c>
      <c r="T1585" s="605">
        <v>3690</v>
      </c>
    </row>
    <row r="1586" spans="1:20" ht="36" x14ac:dyDescent="0.2">
      <c r="A1586" s="510">
        <f>IF(B1586="","",COUNT('Diário 1º PA'!$A$4:$A$2635)+ROW()-3)</f>
        <v>3319</v>
      </c>
      <c r="B1586" s="414">
        <v>44708</v>
      </c>
      <c r="C1586" s="431">
        <v>44682</v>
      </c>
      <c r="D1586" s="415" t="s">
        <v>271</v>
      </c>
      <c r="E1586" s="415" t="s">
        <v>71</v>
      </c>
      <c r="F1586" s="425">
        <v>11</v>
      </c>
      <c r="G1586" s="427" t="s">
        <v>4331</v>
      </c>
      <c r="H1586" s="419" t="s">
        <v>792</v>
      </c>
      <c r="I1586" s="427" t="s">
        <v>881</v>
      </c>
      <c r="J1586" s="415" t="s">
        <v>882</v>
      </c>
      <c r="K1586" s="415" t="s">
        <v>883</v>
      </c>
      <c r="L1586" s="415" t="s">
        <v>798</v>
      </c>
      <c r="M1586" s="415" t="s">
        <v>310</v>
      </c>
      <c r="N1586" s="414">
        <v>44708</v>
      </c>
      <c r="O1586" s="414" t="s">
        <v>400</v>
      </c>
      <c r="P1586" s="603">
        <f t="shared" ref="P1586:P1592" si="233">IF(B1586=0,0,IF(YEAR(B1586)=$Q$1,MONTH(B1586)-$P$1+1,(YEAR(B1586)-$Q$1)*12-$P$1+1+MONTH(B1586)))</f>
        <v>5</v>
      </c>
      <c r="Q1586" s="603">
        <f t="shared" ref="Q1586:Q1592" si="234">IF(C1586=0,0,IF(YEAR(C1586)=$Q$1,MONTH(C1586)-$P$1+1,(YEAR(C1586)-$Q$1)*12-$P$1+1+MONTH(C1586)))</f>
        <v>5</v>
      </c>
      <c r="R1586" s="604" t="str">
        <f t="shared" ref="R1586:R1592" si="235">SUBSTITUTE(D1586," ","_")</f>
        <v>Gastos_Gerais</v>
      </c>
      <c r="S1586" s="605" t="s">
        <v>310</v>
      </c>
      <c r="T1586" s="605" t="s">
        <v>310</v>
      </c>
    </row>
    <row r="1587" spans="1:20" ht="72" x14ac:dyDescent="0.2">
      <c r="A1587" s="510">
        <f>IF(B1587="","",COUNT('Diário 1º PA'!$A$4:$A$2635)+ROW()-3)</f>
        <v>3320</v>
      </c>
      <c r="B1587" s="414">
        <v>44708</v>
      </c>
      <c r="C1587" s="431">
        <v>44621</v>
      </c>
      <c r="D1587" s="415" t="s">
        <v>468</v>
      </c>
      <c r="E1587" s="415" t="s">
        <v>468</v>
      </c>
      <c r="F1587" s="425">
        <v>14204.16</v>
      </c>
      <c r="G1587" s="427" t="s">
        <v>1977</v>
      </c>
      <c r="H1587" s="419" t="s">
        <v>468</v>
      </c>
      <c r="I1587" s="427" t="s">
        <v>5209</v>
      </c>
      <c r="J1587" s="415" t="s">
        <v>1976</v>
      </c>
      <c r="K1587" s="415" t="s">
        <v>830</v>
      </c>
      <c r="L1587" s="415" t="s">
        <v>839</v>
      </c>
      <c r="M1587" s="415">
        <v>1776</v>
      </c>
      <c r="N1587" s="414">
        <v>44701</v>
      </c>
      <c r="O1587" s="414" t="s">
        <v>407</v>
      </c>
      <c r="P1587" s="603">
        <f t="shared" si="233"/>
        <v>5</v>
      </c>
      <c r="Q1587" s="603">
        <f t="shared" si="234"/>
        <v>3</v>
      </c>
      <c r="R1587" s="604" t="str">
        <f t="shared" si="235"/>
        <v>Gastos_custeados_por_captação</v>
      </c>
      <c r="S1587" s="605" t="s">
        <v>998</v>
      </c>
      <c r="T1587" s="605">
        <v>2990</v>
      </c>
    </row>
    <row r="1588" spans="1:20" ht="72" x14ac:dyDescent="0.2">
      <c r="A1588" s="510">
        <f>IF(B1588="","",COUNT('Diário 1º PA'!$A$4:$A$2635)+ROW()-3)</f>
        <v>3321</v>
      </c>
      <c r="B1588" s="414">
        <v>44708</v>
      </c>
      <c r="C1588" s="431">
        <v>44682</v>
      </c>
      <c r="D1588" s="415" t="s">
        <v>468</v>
      </c>
      <c r="E1588" s="415" t="s">
        <v>468</v>
      </c>
      <c r="F1588" s="425">
        <v>384</v>
      </c>
      <c r="G1588" s="427" t="s">
        <v>4319</v>
      </c>
      <c r="H1588" s="415" t="s">
        <v>468</v>
      </c>
      <c r="I1588" s="427" t="s">
        <v>949</v>
      </c>
      <c r="J1588" s="415" t="s">
        <v>950</v>
      </c>
      <c r="K1588" s="415" t="s">
        <v>830</v>
      </c>
      <c r="L1588" s="415" t="s">
        <v>807</v>
      </c>
      <c r="M1588" s="415" t="s">
        <v>5213</v>
      </c>
      <c r="N1588" s="414">
        <v>44678</v>
      </c>
      <c r="O1588" s="414" t="s">
        <v>407</v>
      </c>
      <c r="P1588" s="603">
        <f t="shared" si="233"/>
        <v>5</v>
      </c>
      <c r="Q1588" s="603">
        <f t="shared" si="234"/>
        <v>5</v>
      </c>
      <c r="R1588" s="604" t="str">
        <f t="shared" si="235"/>
        <v>Gastos_custeados_por_captação</v>
      </c>
      <c r="S1588" s="605" t="s">
        <v>999</v>
      </c>
      <c r="T1588" s="605">
        <v>3438</v>
      </c>
    </row>
    <row r="1589" spans="1:20" ht="109.5" customHeight="1" x14ac:dyDescent="0.2">
      <c r="A1589" s="510">
        <f>IF(B1589="","",COUNT('Diário 1º PA'!$A$4:$A$2635)+ROW()-3)</f>
        <v>3322</v>
      </c>
      <c r="B1589" s="414">
        <v>44708</v>
      </c>
      <c r="C1589" s="431">
        <v>44621</v>
      </c>
      <c r="D1589" s="415" t="s">
        <v>468</v>
      </c>
      <c r="E1589" s="415" t="s">
        <v>468</v>
      </c>
      <c r="F1589" s="425">
        <v>19516.93</v>
      </c>
      <c r="G1589" s="427" t="s">
        <v>2308</v>
      </c>
      <c r="H1589" s="419" t="s">
        <v>468</v>
      </c>
      <c r="I1589" s="427" t="s">
        <v>1229</v>
      </c>
      <c r="J1589" s="415" t="s">
        <v>1051</v>
      </c>
      <c r="K1589" s="415" t="s">
        <v>830</v>
      </c>
      <c r="L1589" s="415" t="s">
        <v>807</v>
      </c>
      <c r="M1589" s="415" t="s">
        <v>2659</v>
      </c>
      <c r="N1589" s="414">
        <v>44707</v>
      </c>
      <c r="O1589" s="414" t="s">
        <v>407</v>
      </c>
      <c r="P1589" s="603">
        <f t="shared" si="233"/>
        <v>5</v>
      </c>
      <c r="Q1589" s="603">
        <f t="shared" si="234"/>
        <v>3</v>
      </c>
      <c r="R1589" s="604" t="str">
        <f t="shared" si="235"/>
        <v>Gastos_custeados_por_captação</v>
      </c>
      <c r="S1589" s="605" t="s">
        <v>998</v>
      </c>
      <c r="T1589" s="605">
        <v>3204</v>
      </c>
    </row>
    <row r="1590" spans="1:20" ht="108" x14ac:dyDescent="0.2">
      <c r="A1590" s="510">
        <f>IF(B1590="","",COUNT('Diário 1º PA'!$A$4:$A$2635)+ROW()-3)</f>
        <v>3323</v>
      </c>
      <c r="B1590" s="414">
        <v>44708</v>
      </c>
      <c r="C1590" s="431">
        <v>44652</v>
      </c>
      <c r="D1590" s="415" t="s">
        <v>468</v>
      </c>
      <c r="E1590" s="415" t="s">
        <v>468</v>
      </c>
      <c r="F1590" s="425">
        <v>26270.74</v>
      </c>
      <c r="G1590" s="427" t="s">
        <v>5098</v>
      </c>
      <c r="H1590" s="419" t="s">
        <v>468</v>
      </c>
      <c r="I1590" s="427" t="s">
        <v>1229</v>
      </c>
      <c r="J1590" s="415" t="s">
        <v>1051</v>
      </c>
      <c r="K1590" s="415" t="s">
        <v>830</v>
      </c>
      <c r="L1590" s="415" t="s">
        <v>807</v>
      </c>
      <c r="M1590" s="415" t="s">
        <v>2661</v>
      </c>
      <c r="N1590" s="414">
        <v>44707</v>
      </c>
      <c r="O1590" s="414" t="s">
        <v>407</v>
      </c>
      <c r="P1590" s="603">
        <f t="shared" si="233"/>
        <v>5</v>
      </c>
      <c r="Q1590" s="603">
        <f t="shared" si="234"/>
        <v>4</v>
      </c>
      <c r="R1590" s="604" t="str">
        <f t="shared" si="235"/>
        <v>Gastos_custeados_por_captação</v>
      </c>
      <c r="S1590" s="605" t="s">
        <v>998</v>
      </c>
      <c r="T1590" s="605">
        <v>3430</v>
      </c>
    </row>
    <row r="1591" spans="1:20" ht="72" x14ac:dyDescent="0.2">
      <c r="A1591" s="510">
        <f>IF(B1591="","",COUNT('Diário 1º PA'!$A$4:$A$2635)+ROW()-3)</f>
        <v>3324</v>
      </c>
      <c r="B1591" s="414">
        <v>44708</v>
      </c>
      <c r="C1591" s="431">
        <v>44621</v>
      </c>
      <c r="D1591" s="415" t="s">
        <v>468</v>
      </c>
      <c r="E1591" s="415" t="s">
        <v>468</v>
      </c>
      <c r="F1591" s="425">
        <v>3392.9</v>
      </c>
      <c r="G1591" s="427" t="s">
        <v>3139</v>
      </c>
      <c r="H1591" s="419" t="s">
        <v>468</v>
      </c>
      <c r="I1591" s="427" t="s">
        <v>1229</v>
      </c>
      <c r="J1591" s="415" t="s">
        <v>1051</v>
      </c>
      <c r="K1591" s="415" t="s">
        <v>830</v>
      </c>
      <c r="L1591" s="415" t="s">
        <v>807</v>
      </c>
      <c r="M1591" s="415" t="s">
        <v>5210</v>
      </c>
      <c r="N1591" s="414">
        <v>44707</v>
      </c>
      <c r="O1591" s="414" t="s">
        <v>407</v>
      </c>
      <c r="P1591" s="603">
        <f t="shared" si="233"/>
        <v>5</v>
      </c>
      <c r="Q1591" s="603">
        <f t="shared" si="234"/>
        <v>3</v>
      </c>
      <c r="R1591" s="604" t="str">
        <f t="shared" si="235"/>
        <v>Gastos_custeados_por_captação</v>
      </c>
      <c r="S1591" s="605" t="s">
        <v>1000</v>
      </c>
      <c r="T1591" s="605">
        <v>2912</v>
      </c>
    </row>
    <row r="1592" spans="1:20" ht="72" x14ac:dyDescent="0.2">
      <c r="A1592" s="510">
        <f>IF(B1592="","",COUNT('Diário 1º PA'!$A$4:$A$2635)+ROW()-3)</f>
        <v>3325</v>
      </c>
      <c r="B1592" s="414">
        <v>44708</v>
      </c>
      <c r="C1592" s="431">
        <v>44621</v>
      </c>
      <c r="D1592" s="415" t="s">
        <v>468</v>
      </c>
      <c r="E1592" s="415" t="s">
        <v>468</v>
      </c>
      <c r="F1592" s="425">
        <v>11681.27</v>
      </c>
      <c r="G1592" s="427" t="s">
        <v>2000</v>
      </c>
      <c r="H1592" s="419" t="s">
        <v>468</v>
      </c>
      <c r="I1592" s="427" t="s">
        <v>1229</v>
      </c>
      <c r="J1592" s="415" t="s">
        <v>1051</v>
      </c>
      <c r="K1592" s="415" t="s">
        <v>830</v>
      </c>
      <c r="L1592" s="415" t="s">
        <v>807</v>
      </c>
      <c r="M1592" s="415" t="s">
        <v>5211</v>
      </c>
      <c r="N1592" s="414">
        <v>44707</v>
      </c>
      <c r="O1592" s="414" t="s">
        <v>407</v>
      </c>
      <c r="P1592" s="603">
        <f t="shared" si="233"/>
        <v>5</v>
      </c>
      <c r="Q1592" s="603">
        <f t="shared" si="234"/>
        <v>3</v>
      </c>
      <c r="R1592" s="604" t="str">
        <f t="shared" si="235"/>
        <v>Gastos_custeados_por_captação</v>
      </c>
      <c r="S1592" s="605" t="s">
        <v>1000</v>
      </c>
      <c r="T1592" s="605">
        <v>3064</v>
      </c>
    </row>
    <row r="1593" spans="1:20" s="88" customFormat="1" ht="72" x14ac:dyDescent="0.2">
      <c r="A1593" s="510">
        <f>IF(B1593="","",COUNT('Diário 1º PA'!$A$4:$A$2635)+ROW()-3)</f>
        <v>3326</v>
      </c>
      <c r="B1593" s="414">
        <v>44708</v>
      </c>
      <c r="C1593" s="431">
        <v>44621</v>
      </c>
      <c r="D1593" s="415" t="s">
        <v>468</v>
      </c>
      <c r="E1593" s="415" t="s">
        <v>468</v>
      </c>
      <c r="F1593" s="425">
        <v>1004.15</v>
      </c>
      <c r="G1593" s="427" t="s">
        <v>4803</v>
      </c>
      <c r="H1593" s="419" t="s">
        <v>468</v>
      </c>
      <c r="I1593" s="427" t="s">
        <v>4691</v>
      </c>
      <c r="J1593" s="415" t="s">
        <v>4804</v>
      </c>
      <c r="K1593" s="415" t="s">
        <v>830</v>
      </c>
      <c r="L1593" s="415" t="s">
        <v>807</v>
      </c>
      <c r="M1593" s="415" t="s">
        <v>5212</v>
      </c>
      <c r="N1593" s="414">
        <v>44693</v>
      </c>
      <c r="O1593" s="414" t="s">
        <v>407</v>
      </c>
      <c r="P1593" s="603">
        <f t="shared" ref="P1593:P1598" si="236">IF(B1593=0,0,IF(YEAR(B1593)=$Q$1,MONTH(B1593)-$P$1+1,(YEAR(B1593)-$Q$1)*12-$P$1+1+MONTH(B1593)))</f>
        <v>5</v>
      </c>
      <c r="Q1593" s="603">
        <f t="shared" ref="Q1593:Q1598" si="237">IF(C1593=0,0,IF(YEAR(C1593)=$Q$1,MONTH(C1593)-$P$1+1,(YEAR(C1593)-$Q$1)*12-$P$1+1+MONTH(C1593)))</f>
        <v>3</v>
      </c>
      <c r="R1593" s="604" t="str">
        <f t="shared" ref="R1593:R1598" si="238">SUBSTITUTE(D1593," ","_")</f>
        <v>Gastos_custeados_por_captação</v>
      </c>
      <c r="S1593" s="605" t="s">
        <v>1000</v>
      </c>
      <c r="T1593" s="605">
        <v>3233</v>
      </c>
    </row>
    <row r="1594" spans="1:20" s="88" customFormat="1" ht="48" x14ac:dyDescent="0.2">
      <c r="A1594" s="510">
        <f>IF(B1594="","",COUNT('Diário 1º PA'!$A$4:$A$2635)+ROW()-3)</f>
        <v>3327</v>
      </c>
      <c r="B1594" s="414">
        <v>44708</v>
      </c>
      <c r="C1594" s="431">
        <v>44682</v>
      </c>
      <c r="D1594" s="415" t="s">
        <v>468</v>
      </c>
      <c r="E1594" s="415" t="s">
        <v>468</v>
      </c>
      <c r="F1594" s="425">
        <v>320</v>
      </c>
      <c r="G1594" s="427" t="s">
        <v>4259</v>
      </c>
      <c r="H1594" s="419" t="s">
        <v>468</v>
      </c>
      <c r="I1594" s="427" t="s">
        <v>5412</v>
      </c>
      <c r="J1594" s="415" t="s">
        <v>5413</v>
      </c>
      <c r="K1594" s="415" t="s">
        <v>830</v>
      </c>
      <c r="L1594" s="415" t="s">
        <v>807</v>
      </c>
      <c r="M1594" s="415">
        <v>3928</v>
      </c>
      <c r="N1594" s="414">
        <v>44705</v>
      </c>
      <c r="O1594" s="414" t="s">
        <v>3762</v>
      </c>
      <c r="P1594" s="603">
        <f t="shared" si="236"/>
        <v>5</v>
      </c>
      <c r="Q1594" s="603">
        <f t="shared" si="237"/>
        <v>5</v>
      </c>
      <c r="R1594" s="604" t="str">
        <f t="shared" si="238"/>
        <v>Gastos_custeados_por_captação</v>
      </c>
      <c r="S1594" s="605" t="s">
        <v>999</v>
      </c>
      <c r="T1594" s="605">
        <v>3770</v>
      </c>
    </row>
    <row r="1595" spans="1:20" s="88" customFormat="1" ht="48" x14ac:dyDescent="0.2">
      <c r="A1595" s="510">
        <f>IF(B1595="","",COUNT('Diário 1º PA'!$A$4:$A$2635)+ROW()-3)</f>
        <v>3328</v>
      </c>
      <c r="B1595" s="414">
        <v>44708</v>
      </c>
      <c r="C1595" s="431">
        <v>44682</v>
      </c>
      <c r="D1595" s="415" t="s">
        <v>468</v>
      </c>
      <c r="E1595" s="415" t="s">
        <v>468</v>
      </c>
      <c r="F1595" s="425">
        <v>74851.7</v>
      </c>
      <c r="G1595" s="427" t="s">
        <v>3823</v>
      </c>
      <c r="H1595" s="419" t="s">
        <v>468</v>
      </c>
      <c r="I1595" s="427" t="s">
        <v>5414</v>
      </c>
      <c r="J1595" s="415" t="s">
        <v>3824</v>
      </c>
      <c r="K1595" s="415" t="s">
        <v>830</v>
      </c>
      <c r="L1595" s="415" t="s">
        <v>807</v>
      </c>
      <c r="M1595" s="415" t="s">
        <v>1890</v>
      </c>
      <c r="N1595" s="414">
        <v>44705</v>
      </c>
      <c r="O1595" s="414" t="s">
        <v>3762</v>
      </c>
      <c r="P1595" s="603">
        <f t="shared" si="236"/>
        <v>5</v>
      </c>
      <c r="Q1595" s="603">
        <f t="shared" si="237"/>
        <v>5</v>
      </c>
      <c r="R1595" s="604" t="str">
        <f t="shared" si="238"/>
        <v>Gastos_custeados_por_captação</v>
      </c>
      <c r="S1595" s="605" t="s">
        <v>998</v>
      </c>
      <c r="T1595" s="605">
        <v>3582</v>
      </c>
    </row>
    <row r="1596" spans="1:20" s="88" customFormat="1" ht="48" x14ac:dyDescent="0.2">
      <c r="A1596" s="510">
        <f>IF(B1596="","",COUNT('Diário 1º PA'!$A$4:$A$2635)+ROW()-3)</f>
        <v>3329</v>
      </c>
      <c r="B1596" s="414">
        <v>44708</v>
      </c>
      <c r="C1596" s="431">
        <v>44682</v>
      </c>
      <c r="D1596" s="415" t="s">
        <v>468</v>
      </c>
      <c r="E1596" s="415" t="s">
        <v>468</v>
      </c>
      <c r="F1596" s="425">
        <v>11</v>
      </c>
      <c r="G1596" s="427" t="s">
        <v>4799</v>
      </c>
      <c r="H1596" s="419" t="s">
        <v>468</v>
      </c>
      <c r="I1596" s="427" t="s">
        <v>881</v>
      </c>
      <c r="J1596" s="415" t="s">
        <v>882</v>
      </c>
      <c r="K1596" s="415" t="s">
        <v>883</v>
      </c>
      <c r="L1596" s="415" t="s">
        <v>798</v>
      </c>
      <c r="M1596" s="415" t="s">
        <v>310</v>
      </c>
      <c r="N1596" s="414">
        <v>44708</v>
      </c>
      <c r="O1596" s="414" t="s">
        <v>3762</v>
      </c>
      <c r="P1596" s="603">
        <f t="shared" si="236"/>
        <v>5</v>
      </c>
      <c r="Q1596" s="603">
        <f t="shared" si="237"/>
        <v>5</v>
      </c>
      <c r="R1596" s="604" t="str">
        <f t="shared" si="238"/>
        <v>Gastos_custeados_por_captação</v>
      </c>
      <c r="S1596" s="605" t="s">
        <v>310</v>
      </c>
      <c r="T1596" s="605" t="s">
        <v>310</v>
      </c>
    </row>
    <row r="1597" spans="1:20" s="88" customFormat="1" ht="48" x14ac:dyDescent="0.2">
      <c r="A1597" s="510">
        <f>IF(B1597="","",COUNT('Diário 1º PA'!$A$4:$A$2635)+ROW()-3)</f>
        <v>3330</v>
      </c>
      <c r="B1597" s="414">
        <v>44708</v>
      </c>
      <c r="C1597" s="431">
        <v>44682</v>
      </c>
      <c r="D1597" s="415" t="s">
        <v>468</v>
      </c>
      <c r="E1597" s="415" t="s">
        <v>468</v>
      </c>
      <c r="F1597" s="425">
        <v>11</v>
      </c>
      <c r="G1597" s="427" t="s">
        <v>4799</v>
      </c>
      <c r="H1597" s="419" t="s">
        <v>468</v>
      </c>
      <c r="I1597" s="427" t="s">
        <v>881</v>
      </c>
      <c r="J1597" s="415" t="s">
        <v>882</v>
      </c>
      <c r="K1597" s="415" t="s">
        <v>883</v>
      </c>
      <c r="L1597" s="415" t="s">
        <v>798</v>
      </c>
      <c r="M1597" s="415" t="s">
        <v>310</v>
      </c>
      <c r="N1597" s="414">
        <v>44708</v>
      </c>
      <c r="O1597" s="414" t="s">
        <v>3762</v>
      </c>
      <c r="P1597" s="603">
        <f t="shared" si="236"/>
        <v>5</v>
      </c>
      <c r="Q1597" s="603">
        <f t="shared" si="237"/>
        <v>5</v>
      </c>
      <c r="R1597" s="604" t="str">
        <f t="shared" si="238"/>
        <v>Gastos_custeados_por_captação</v>
      </c>
      <c r="S1597" s="605" t="s">
        <v>310</v>
      </c>
      <c r="T1597" s="605" t="s">
        <v>310</v>
      </c>
    </row>
    <row r="1598" spans="1:20" s="88" customFormat="1" ht="48" x14ac:dyDescent="0.2">
      <c r="A1598" s="510">
        <f>IF(B1598="","",COUNT('Diário 1º PA'!$A$4:$A$2635)+ROW()-3)</f>
        <v>3331</v>
      </c>
      <c r="B1598" s="414">
        <v>44708</v>
      </c>
      <c r="C1598" s="431">
        <v>44682</v>
      </c>
      <c r="D1598" s="415" t="s">
        <v>34</v>
      </c>
      <c r="E1598" s="415" t="s">
        <v>331</v>
      </c>
      <c r="F1598" s="425">
        <v>110561.54</v>
      </c>
      <c r="G1598" s="427" t="s">
        <v>5658</v>
      </c>
      <c r="H1598" s="415" t="s">
        <v>310</v>
      </c>
      <c r="I1598" s="437" t="s">
        <v>2437</v>
      </c>
      <c r="J1598" s="434" t="s">
        <v>796</v>
      </c>
      <c r="K1598" s="434" t="s">
        <v>797</v>
      </c>
      <c r="L1598" s="434" t="s">
        <v>798</v>
      </c>
      <c r="M1598" s="436" t="s">
        <v>310</v>
      </c>
      <c r="N1598" s="414">
        <v>44708</v>
      </c>
      <c r="O1598" s="414" t="s">
        <v>3762</v>
      </c>
      <c r="P1598" s="603">
        <f t="shared" si="236"/>
        <v>5</v>
      </c>
      <c r="Q1598" s="603">
        <f t="shared" si="237"/>
        <v>5</v>
      </c>
      <c r="R1598" s="604" t="str">
        <f t="shared" si="238"/>
        <v>Receitas</v>
      </c>
      <c r="S1598" s="605" t="s">
        <v>310</v>
      </c>
      <c r="T1598" s="605" t="s">
        <v>310</v>
      </c>
    </row>
    <row r="1599" spans="1:20" s="88" customFormat="1" ht="70.5" customHeight="1" x14ac:dyDescent="0.2">
      <c r="A1599" s="510">
        <f>IF(B1599="","",COUNT('Diário 1º PA'!$A$4:$A$2635)+ROW()-3)</f>
        <v>3332</v>
      </c>
      <c r="B1599" s="455">
        <v>44711</v>
      </c>
      <c r="C1599" s="431">
        <v>44621</v>
      </c>
      <c r="D1599" s="415" t="s">
        <v>271</v>
      </c>
      <c r="E1599" s="415" t="s">
        <v>457</v>
      </c>
      <c r="F1599" s="425">
        <v>-20</v>
      </c>
      <c r="G1599" s="437" t="s">
        <v>4365</v>
      </c>
      <c r="H1599" s="419" t="s">
        <v>758</v>
      </c>
      <c r="I1599" s="427" t="s">
        <v>4079</v>
      </c>
      <c r="J1599" s="415" t="s">
        <v>2065</v>
      </c>
      <c r="K1599" s="415" t="s">
        <v>830</v>
      </c>
      <c r="L1599" s="415" t="s">
        <v>310</v>
      </c>
      <c r="M1599" s="439" t="s">
        <v>310</v>
      </c>
      <c r="N1599" s="414">
        <v>44711</v>
      </c>
      <c r="O1599" s="414" t="s">
        <v>400</v>
      </c>
      <c r="P1599" s="603">
        <f t="shared" ref="P1599:P1610" si="239">IF(B1599=0,0,IF(YEAR(B1599)=$Q$1,MONTH(B1599)-$P$1+1,(YEAR(B1599)-$Q$1)*12-$P$1+1+MONTH(B1599)))</f>
        <v>5</v>
      </c>
      <c r="Q1599" s="603">
        <f t="shared" ref="Q1599:Q1610" si="240">IF(C1599=0,0,IF(YEAR(C1599)=$Q$1,MONTH(C1599)-$P$1+1,(YEAR(C1599)-$Q$1)*12-$P$1+1+MONTH(C1599)))</f>
        <v>3</v>
      </c>
      <c r="R1599" s="604" t="str">
        <f t="shared" ref="R1599:R1610" si="241">SUBSTITUTE(D1599," ","_")</f>
        <v>Gastos_Gerais</v>
      </c>
      <c r="S1599" s="605" t="s">
        <v>310</v>
      </c>
      <c r="T1599" s="605" t="s">
        <v>310</v>
      </c>
    </row>
    <row r="1600" spans="1:20" s="88" customFormat="1" ht="48" x14ac:dyDescent="0.2">
      <c r="A1600" s="510">
        <f>IF(B1600="","",COUNT('Diário 1º PA'!$A$4:$A$2635)+ROW()-3)</f>
        <v>3333</v>
      </c>
      <c r="B1600" s="455">
        <v>44711</v>
      </c>
      <c r="C1600" s="431">
        <v>44621</v>
      </c>
      <c r="D1600" s="415" t="s">
        <v>271</v>
      </c>
      <c r="E1600" s="415" t="s">
        <v>456</v>
      </c>
      <c r="F1600" s="425">
        <v>672</v>
      </c>
      <c r="G1600" s="427" t="s">
        <v>1907</v>
      </c>
      <c r="H1600" s="419" t="s">
        <v>760</v>
      </c>
      <c r="I1600" s="427" t="s">
        <v>4366</v>
      </c>
      <c r="J1600" s="415" t="s">
        <v>1934</v>
      </c>
      <c r="K1600" s="415" t="s">
        <v>806</v>
      </c>
      <c r="L1600" s="415" t="s">
        <v>839</v>
      </c>
      <c r="M1600" s="415">
        <v>1740</v>
      </c>
      <c r="N1600" s="414">
        <v>44686</v>
      </c>
      <c r="O1600" s="414" t="s">
        <v>400</v>
      </c>
      <c r="P1600" s="603">
        <f t="shared" si="239"/>
        <v>5</v>
      </c>
      <c r="Q1600" s="603">
        <f t="shared" si="240"/>
        <v>3</v>
      </c>
      <c r="R1600" s="604" t="str">
        <f t="shared" si="241"/>
        <v>Gastos_Gerais</v>
      </c>
      <c r="S1600" s="605" t="s">
        <v>998</v>
      </c>
      <c r="T1600" s="605">
        <v>2974</v>
      </c>
    </row>
    <row r="1601" spans="1:20" s="88" customFormat="1" ht="36" x14ac:dyDescent="0.2">
      <c r="A1601" s="510">
        <f>IF(B1601="","",COUNT('Diário 1º PA'!$A$4:$A$2635)+ROW()-3)</f>
        <v>3334</v>
      </c>
      <c r="B1601" s="455">
        <v>44711</v>
      </c>
      <c r="C1601" s="431">
        <v>44652</v>
      </c>
      <c r="D1601" s="415" t="s">
        <v>271</v>
      </c>
      <c r="E1601" s="415" t="s">
        <v>456</v>
      </c>
      <c r="F1601" s="425">
        <v>1991.16</v>
      </c>
      <c r="G1601" s="427" t="s">
        <v>3548</v>
      </c>
      <c r="H1601" s="419" t="s">
        <v>752</v>
      </c>
      <c r="I1601" s="427" t="s">
        <v>815</v>
      </c>
      <c r="J1601" s="415" t="s">
        <v>816</v>
      </c>
      <c r="K1601" s="415" t="s">
        <v>830</v>
      </c>
      <c r="L1601" s="415" t="s">
        <v>807</v>
      </c>
      <c r="M1601" s="548">
        <v>311884</v>
      </c>
      <c r="N1601" s="414">
        <v>44679</v>
      </c>
      <c r="O1601" s="414" t="s">
        <v>400</v>
      </c>
      <c r="P1601" s="603">
        <f t="shared" si="239"/>
        <v>5</v>
      </c>
      <c r="Q1601" s="603">
        <f t="shared" si="240"/>
        <v>4</v>
      </c>
      <c r="R1601" s="604" t="str">
        <f t="shared" si="241"/>
        <v>Gastos_Gerais</v>
      </c>
      <c r="S1601" s="605" t="s">
        <v>999</v>
      </c>
      <c r="T1601" s="605">
        <v>3383</v>
      </c>
    </row>
    <row r="1602" spans="1:20" s="88" customFormat="1" ht="60" x14ac:dyDescent="0.2">
      <c r="A1602" s="510">
        <f>IF(B1602="","",COUNT('Diário 1º PA'!$A$4:$A$2635)+ROW()-3)</f>
        <v>3335</v>
      </c>
      <c r="B1602" s="455">
        <v>44711</v>
      </c>
      <c r="C1602" s="592">
        <v>44682</v>
      </c>
      <c r="D1602" s="415" t="s">
        <v>271</v>
      </c>
      <c r="E1602" s="415" t="s">
        <v>297</v>
      </c>
      <c r="F1602" s="425">
        <v>241.92</v>
      </c>
      <c r="G1602" s="427" t="s">
        <v>475</v>
      </c>
      <c r="H1602" s="415" t="s">
        <v>309</v>
      </c>
      <c r="I1602" s="427" t="s">
        <v>1517</v>
      </c>
      <c r="J1602" s="415" t="s">
        <v>3749</v>
      </c>
      <c r="K1602" s="415" t="s">
        <v>812</v>
      </c>
      <c r="L1602" s="415" t="s">
        <v>807</v>
      </c>
      <c r="M1602" s="415">
        <v>35827</v>
      </c>
      <c r="N1602" s="414">
        <v>44684</v>
      </c>
      <c r="O1602" s="414" t="s">
        <v>400</v>
      </c>
      <c r="P1602" s="603">
        <f t="shared" si="239"/>
        <v>5</v>
      </c>
      <c r="Q1602" s="603">
        <f t="shared" si="240"/>
        <v>5</v>
      </c>
      <c r="R1602" s="604" t="str">
        <f t="shared" si="241"/>
        <v>Gastos_Gerais</v>
      </c>
      <c r="S1602" s="605" t="s">
        <v>1000</v>
      </c>
      <c r="T1602" s="605">
        <v>1672</v>
      </c>
    </row>
    <row r="1603" spans="1:20" s="88" customFormat="1" ht="42.75" customHeight="1" x14ac:dyDescent="0.2">
      <c r="A1603" s="510">
        <f>IF(B1603="","",COUNT('Diário 1º PA'!$A$4:$A$2635)+ROW()-3)</f>
        <v>3336</v>
      </c>
      <c r="B1603" s="455">
        <v>44711</v>
      </c>
      <c r="C1603" s="431">
        <v>44682</v>
      </c>
      <c r="D1603" s="415" t="s">
        <v>271</v>
      </c>
      <c r="E1603" s="415" t="s">
        <v>71</v>
      </c>
      <c r="F1603" s="425">
        <v>11</v>
      </c>
      <c r="G1603" s="427" t="s">
        <v>4369</v>
      </c>
      <c r="H1603" s="419" t="s">
        <v>792</v>
      </c>
      <c r="I1603" s="427" t="s">
        <v>881</v>
      </c>
      <c r="J1603" s="415" t="s">
        <v>882</v>
      </c>
      <c r="K1603" s="415" t="s">
        <v>883</v>
      </c>
      <c r="L1603" s="415" t="s">
        <v>798</v>
      </c>
      <c r="M1603" s="415" t="s">
        <v>310</v>
      </c>
      <c r="N1603" s="414">
        <v>44711</v>
      </c>
      <c r="O1603" s="414" t="s">
        <v>400</v>
      </c>
      <c r="P1603" s="603">
        <f t="shared" si="239"/>
        <v>5</v>
      </c>
      <c r="Q1603" s="603">
        <f t="shared" si="240"/>
        <v>5</v>
      </c>
      <c r="R1603" s="604" t="str">
        <f t="shared" si="241"/>
        <v>Gastos_Gerais</v>
      </c>
      <c r="S1603" s="605" t="s">
        <v>310</v>
      </c>
      <c r="T1603" s="605" t="s">
        <v>310</v>
      </c>
    </row>
    <row r="1604" spans="1:20" s="88" customFormat="1" ht="36" x14ac:dyDescent="0.2">
      <c r="A1604" s="510">
        <f>IF(B1604="","",COUNT('Diário 1º PA'!$A$4:$A$2635)+ROW()-3)</f>
        <v>3337</v>
      </c>
      <c r="B1604" s="455">
        <v>44711</v>
      </c>
      <c r="C1604" s="431">
        <v>44682</v>
      </c>
      <c r="D1604" s="415" t="s">
        <v>271</v>
      </c>
      <c r="E1604" s="415" t="s">
        <v>71</v>
      </c>
      <c r="F1604" s="425">
        <v>11</v>
      </c>
      <c r="G1604" s="427" t="s">
        <v>4370</v>
      </c>
      <c r="H1604" s="419" t="s">
        <v>752</v>
      </c>
      <c r="I1604" s="427" t="s">
        <v>881</v>
      </c>
      <c r="J1604" s="415" t="s">
        <v>882</v>
      </c>
      <c r="K1604" s="415" t="s">
        <v>883</v>
      </c>
      <c r="L1604" s="415" t="s">
        <v>798</v>
      </c>
      <c r="M1604" s="415" t="s">
        <v>310</v>
      </c>
      <c r="N1604" s="414">
        <v>44711</v>
      </c>
      <c r="O1604" s="414" t="s">
        <v>400</v>
      </c>
      <c r="P1604" s="603">
        <f t="shared" si="239"/>
        <v>5</v>
      </c>
      <c r="Q1604" s="603">
        <f t="shared" si="240"/>
        <v>5</v>
      </c>
      <c r="R1604" s="604" t="str">
        <f t="shared" si="241"/>
        <v>Gastos_Gerais</v>
      </c>
      <c r="S1604" s="605" t="s">
        <v>310</v>
      </c>
      <c r="T1604" s="605" t="s">
        <v>310</v>
      </c>
    </row>
    <row r="1605" spans="1:20" s="88" customFormat="1" ht="36" x14ac:dyDescent="0.2">
      <c r="A1605" s="510">
        <f>IF(B1605="","",COUNT('Diário 1º PA'!$A$4:$A$2635)+ROW()-3)</f>
        <v>3338</v>
      </c>
      <c r="B1605" s="455">
        <v>44711</v>
      </c>
      <c r="C1605" s="431">
        <v>44682</v>
      </c>
      <c r="D1605" s="415" t="s">
        <v>271</v>
      </c>
      <c r="E1605" s="415" t="s">
        <v>71</v>
      </c>
      <c r="F1605" s="425">
        <v>11</v>
      </c>
      <c r="G1605" s="427" t="s">
        <v>4371</v>
      </c>
      <c r="H1605" s="419" t="s">
        <v>758</v>
      </c>
      <c r="I1605" s="427" t="s">
        <v>881</v>
      </c>
      <c r="J1605" s="415" t="s">
        <v>882</v>
      </c>
      <c r="K1605" s="415" t="s">
        <v>883</v>
      </c>
      <c r="L1605" s="415" t="s">
        <v>798</v>
      </c>
      <c r="M1605" s="415" t="s">
        <v>310</v>
      </c>
      <c r="N1605" s="414">
        <v>44711</v>
      </c>
      <c r="O1605" s="414" t="s">
        <v>400</v>
      </c>
      <c r="P1605" s="603">
        <f t="shared" si="239"/>
        <v>5</v>
      </c>
      <c r="Q1605" s="603">
        <f t="shared" si="240"/>
        <v>5</v>
      </c>
      <c r="R1605" s="604" t="str">
        <f t="shared" si="241"/>
        <v>Gastos_Gerais</v>
      </c>
      <c r="S1605" s="605" t="s">
        <v>310</v>
      </c>
      <c r="T1605" s="605" t="s">
        <v>310</v>
      </c>
    </row>
    <row r="1606" spans="1:20" ht="72" x14ac:dyDescent="0.2">
      <c r="A1606" s="510">
        <f>IF(B1606="","",COUNT('Diário 1º PA'!$A$4:$A$2635)+ROW()-3)</f>
        <v>3339</v>
      </c>
      <c r="B1606" s="455">
        <v>44711</v>
      </c>
      <c r="C1606" s="431">
        <v>44682</v>
      </c>
      <c r="D1606" s="415" t="s">
        <v>468</v>
      </c>
      <c r="E1606" s="415" t="s">
        <v>468</v>
      </c>
      <c r="F1606" s="425">
        <v>20000</v>
      </c>
      <c r="G1606" s="427" t="s">
        <v>5214</v>
      </c>
      <c r="H1606" s="419" t="s">
        <v>468</v>
      </c>
      <c r="I1606" s="427" t="s">
        <v>1520</v>
      </c>
      <c r="J1606" s="415" t="s">
        <v>796</v>
      </c>
      <c r="K1606" s="415" t="s">
        <v>806</v>
      </c>
      <c r="L1606" s="415" t="s">
        <v>798</v>
      </c>
      <c r="M1606" s="415" t="s">
        <v>310</v>
      </c>
      <c r="N1606" s="455">
        <v>44711</v>
      </c>
      <c r="O1606" s="414" t="s">
        <v>407</v>
      </c>
      <c r="P1606" s="603">
        <f t="shared" si="239"/>
        <v>5</v>
      </c>
      <c r="Q1606" s="603">
        <f t="shared" si="240"/>
        <v>5</v>
      </c>
      <c r="R1606" s="604" t="str">
        <f t="shared" si="241"/>
        <v>Gastos_custeados_por_captação</v>
      </c>
      <c r="S1606" s="605" t="s">
        <v>310</v>
      </c>
      <c r="T1606" s="605" t="s">
        <v>310</v>
      </c>
    </row>
    <row r="1607" spans="1:20" ht="72" x14ac:dyDescent="0.2">
      <c r="A1607" s="510">
        <f>IF(B1607="","",COUNT('Diário 1º PA'!$A$4:$A$2635)+ROW()-3)</f>
        <v>3340</v>
      </c>
      <c r="B1607" s="455">
        <v>44711</v>
      </c>
      <c r="C1607" s="431">
        <v>44682</v>
      </c>
      <c r="D1607" s="415" t="s">
        <v>468</v>
      </c>
      <c r="E1607" s="415" t="s">
        <v>468</v>
      </c>
      <c r="F1607" s="425">
        <v>6500</v>
      </c>
      <c r="G1607" s="427" t="s">
        <v>5215</v>
      </c>
      <c r="H1607" s="419" t="s">
        <v>468</v>
      </c>
      <c r="I1607" s="427" t="s">
        <v>1520</v>
      </c>
      <c r="J1607" s="415" t="s">
        <v>796</v>
      </c>
      <c r="K1607" s="415" t="s">
        <v>806</v>
      </c>
      <c r="L1607" s="415" t="s">
        <v>798</v>
      </c>
      <c r="M1607" s="415" t="s">
        <v>310</v>
      </c>
      <c r="N1607" s="455">
        <v>44711</v>
      </c>
      <c r="O1607" s="414" t="s">
        <v>407</v>
      </c>
      <c r="P1607" s="603">
        <f t="shared" si="239"/>
        <v>5</v>
      </c>
      <c r="Q1607" s="603">
        <f t="shared" si="240"/>
        <v>5</v>
      </c>
      <c r="R1607" s="604" t="str">
        <f t="shared" si="241"/>
        <v>Gastos_custeados_por_captação</v>
      </c>
      <c r="S1607" s="605" t="s">
        <v>310</v>
      </c>
      <c r="T1607" s="605" t="s">
        <v>310</v>
      </c>
    </row>
    <row r="1608" spans="1:20" ht="72" x14ac:dyDescent="0.2">
      <c r="A1608" s="510">
        <f>IF(B1608="","",COUNT('Diário 1º PA'!$A$4:$A$2635)+ROW()-3)</f>
        <v>3341</v>
      </c>
      <c r="B1608" s="455">
        <v>44711</v>
      </c>
      <c r="C1608" s="431">
        <v>44682</v>
      </c>
      <c r="D1608" s="415" t="s">
        <v>468</v>
      </c>
      <c r="E1608" s="415" t="s">
        <v>468</v>
      </c>
      <c r="F1608" s="425">
        <v>15000</v>
      </c>
      <c r="G1608" s="427" t="s">
        <v>5216</v>
      </c>
      <c r="H1608" s="419" t="s">
        <v>468</v>
      </c>
      <c r="I1608" s="427" t="s">
        <v>1520</v>
      </c>
      <c r="J1608" s="415" t="s">
        <v>796</v>
      </c>
      <c r="K1608" s="415" t="s">
        <v>806</v>
      </c>
      <c r="L1608" s="415" t="s">
        <v>798</v>
      </c>
      <c r="M1608" s="415" t="s">
        <v>310</v>
      </c>
      <c r="N1608" s="455">
        <v>44711</v>
      </c>
      <c r="O1608" s="414" t="s">
        <v>407</v>
      </c>
      <c r="P1608" s="603">
        <f t="shared" si="239"/>
        <v>5</v>
      </c>
      <c r="Q1608" s="603">
        <f t="shared" si="240"/>
        <v>5</v>
      </c>
      <c r="R1608" s="604" t="str">
        <f t="shared" si="241"/>
        <v>Gastos_custeados_por_captação</v>
      </c>
      <c r="S1608" s="605" t="s">
        <v>310</v>
      </c>
      <c r="T1608" s="605" t="s">
        <v>310</v>
      </c>
    </row>
    <row r="1609" spans="1:20" ht="72" x14ac:dyDescent="0.2">
      <c r="A1609" s="510">
        <f>IF(B1609="","",COUNT('Diário 1º PA'!$A$4:$A$2635)+ROW()-3)</f>
        <v>3342</v>
      </c>
      <c r="B1609" s="455">
        <v>44711</v>
      </c>
      <c r="C1609" s="431">
        <v>44682</v>
      </c>
      <c r="D1609" s="415" t="s">
        <v>468</v>
      </c>
      <c r="E1609" s="415" t="s">
        <v>468</v>
      </c>
      <c r="F1609" s="425">
        <v>7601.66</v>
      </c>
      <c r="G1609" s="427" t="s">
        <v>3266</v>
      </c>
      <c r="H1609" s="419" t="s">
        <v>468</v>
      </c>
      <c r="I1609" s="427" t="s">
        <v>4135</v>
      </c>
      <c r="J1609" s="415" t="s">
        <v>3267</v>
      </c>
      <c r="K1609" s="415" t="s">
        <v>830</v>
      </c>
      <c r="L1609" s="415" t="s">
        <v>839</v>
      </c>
      <c r="M1609" s="415">
        <v>1784</v>
      </c>
      <c r="N1609" s="414">
        <v>44705</v>
      </c>
      <c r="O1609" s="414" t="s">
        <v>407</v>
      </c>
      <c r="P1609" s="603">
        <f t="shared" si="239"/>
        <v>5</v>
      </c>
      <c r="Q1609" s="603">
        <f t="shared" si="240"/>
        <v>5</v>
      </c>
      <c r="R1609" s="604" t="str">
        <f t="shared" si="241"/>
        <v>Gastos_custeados_por_captação</v>
      </c>
      <c r="S1609" s="605" t="s">
        <v>998</v>
      </c>
      <c r="T1609" s="605">
        <v>3221</v>
      </c>
    </row>
    <row r="1610" spans="1:20" ht="72" x14ac:dyDescent="0.2">
      <c r="A1610" s="510">
        <f>IF(B1610="","",COUNT('Diário 1º PA'!$A$4:$A$2635)+ROW()-3)</f>
        <v>3343</v>
      </c>
      <c r="B1610" s="455">
        <v>44711</v>
      </c>
      <c r="C1610" s="431">
        <v>44682</v>
      </c>
      <c r="D1610" s="415" t="s">
        <v>468</v>
      </c>
      <c r="E1610" s="415" t="s">
        <v>468</v>
      </c>
      <c r="F1610" s="425">
        <v>714.52</v>
      </c>
      <c r="G1610" s="427" t="s">
        <v>3832</v>
      </c>
      <c r="H1610" s="419" t="s">
        <v>468</v>
      </c>
      <c r="I1610" s="427" t="s">
        <v>3746</v>
      </c>
      <c r="J1610" s="415" t="s">
        <v>2668</v>
      </c>
      <c r="K1610" s="415" t="s">
        <v>830</v>
      </c>
      <c r="L1610" s="415" t="s">
        <v>807</v>
      </c>
      <c r="M1610" s="415">
        <v>384053</v>
      </c>
      <c r="N1610" s="414">
        <v>44681</v>
      </c>
      <c r="O1610" s="414" t="s">
        <v>407</v>
      </c>
      <c r="P1610" s="603">
        <f t="shared" si="239"/>
        <v>5</v>
      </c>
      <c r="Q1610" s="603">
        <f t="shared" si="240"/>
        <v>5</v>
      </c>
      <c r="R1610" s="604" t="str">
        <f t="shared" si="241"/>
        <v>Gastos_custeados_por_captação</v>
      </c>
      <c r="S1610" s="605" t="s">
        <v>999</v>
      </c>
      <c r="T1610" s="605">
        <v>3533</v>
      </c>
    </row>
    <row r="1611" spans="1:20" s="88" customFormat="1" ht="36" x14ac:dyDescent="0.2">
      <c r="A1611" s="510">
        <f>IF(B1611="","",COUNT('Diário 1º PA'!$A$4:$A$2635)+ROW()-3)</f>
        <v>3344</v>
      </c>
      <c r="B1611" s="455">
        <v>44711</v>
      </c>
      <c r="C1611" s="431">
        <v>44682</v>
      </c>
      <c r="D1611" s="415" t="s">
        <v>468</v>
      </c>
      <c r="E1611" s="415" t="s">
        <v>468</v>
      </c>
      <c r="F1611" s="425">
        <v>-20000</v>
      </c>
      <c r="G1611" s="427" t="s">
        <v>3097</v>
      </c>
      <c r="H1611" s="415" t="s">
        <v>468</v>
      </c>
      <c r="I1611" s="482" t="s">
        <v>2437</v>
      </c>
      <c r="J1611" s="521" t="s">
        <v>796</v>
      </c>
      <c r="K1611" s="415" t="s">
        <v>797</v>
      </c>
      <c r="L1611" s="415" t="s">
        <v>798</v>
      </c>
      <c r="M1611" s="521" t="s">
        <v>310</v>
      </c>
      <c r="N1611" s="414">
        <v>44711</v>
      </c>
      <c r="O1611" s="414" t="s">
        <v>408</v>
      </c>
      <c r="P1611" s="603">
        <f t="shared" ref="P1611:P1622" si="242">IF(B1611=0,0,IF(YEAR(B1611)=$Q$1,MONTH(B1611)-$P$1+1,(YEAR(B1611)-$Q$1)*12-$P$1+1+MONTH(B1611)))</f>
        <v>5</v>
      </c>
      <c r="Q1611" s="603">
        <f t="shared" ref="Q1611:Q1616" si="243">IF(C1611=0,0,IF(YEAR(C1611)=$Q$1,MONTH(C1611)-$P$1+1,(YEAR(C1611)-$Q$1)*12-$P$1+1+MONTH(C1611)))</f>
        <v>5</v>
      </c>
      <c r="R1611" s="604" t="str">
        <f t="shared" ref="R1611:R1616" si="244">SUBSTITUTE(D1611," ","_")</f>
        <v>Gastos_custeados_por_captação</v>
      </c>
      <c r="S1611" s="605" t="s">
        <v>310</v>
      </c>
      <c r="T1611" s="605" t="s">
        <v>310</v>
      </c>
    </row>
    <row r="1612" spans="1:20" s="88" customFormat="1" ht="36" x14ac:dyDescent="0.2">
      <c r="A1612" s="510">
        <f>IF(B1612="","",COUNT('Diário 1º PA'!$A$4:$A$2635)+ROW()-3)</f>
        <v>3345</v>
      </c>
      <c r="B1612" s="455">
        <v>44711</v>
      </c>
      <c r="C1612" s="431">
        <v>44682</v>
      </c>
      <c r="D1612" s="415" t="s">
        <v>468</v>
      </c>
      <c r="E1612" s="415" t="s">
        <v>468</v>
      </c>
      <c r="F1612" s="425">
        <v>-6500</v>
      </c>
      <c r="G1612" s="427" t="s">
        <v>3098</v>
      </c>
      <c r="H1612" s="415" t="s">
        <v>468</v>
      </c>
      <c r="I1612" s="482" t="s">
        <v>2437</v>
      </c>
      <c r="J1612" s="521" t="s">
        <v>796</v>
      </c>
      <c r="K1612" s="415" t="s">
        <v>797</v>
      </c>
      <c r="L1612" s="415" t="s">
        <v>798</v>
      </c>
      <c r="M1612" s="521" t="s">
        <v>310</v>
      </c>
      <c r="N1612" s="414">
        <v>44711</v>
      </c>
      <c r="O1612" s="414" t="s">
        <v>408</v>
      </c>
      <c r="P1612" s="603">
        <f t="shared" si="242"/>
        <v>5</v>
      </c>
      <c r="Q1612" s="603">
        <f t="shared" si="243"/>
        <v>5</v>
      </c>
      <c r="R1612" s="604" t="str">
        <f t="shared" si="244"/>
        <v>Gastos_custeados_por_captação</v>
      </c>
      <c r="S1612" s="605" t="s">
        <v>310</v>
      </c>
      <c r="T1612" s="605" t="s">
        <v>310</v>
      </c>
    </row>
    <row r="1613" spans="1:20" s="88" customFormat="1" ht="36" x14ac:dyDescent="0.2">
      <c r="A1613" s="510">
        <f>IF(B1613="","",COUNT('Diário 1º PA'!$A$4:$A$2635)+ROW()-3)</f>
        <v>3346</v>
      </c>
      <c r="B1613" s="455">
        <v>44711</v>
      </c>
      <c r="C1613" s="431">
        <v>44682</v>
      </c>
      <c r="D1613" s="415" t="s">
        <v>468</v>
      </c>
      <c r="E1613" s="415" t="s">
        <v>468</v>
      </c>
      <c r="F1613" s="425">
        <v>-15000</v>
      </c>
      <c r="G1613" s="427" t="s">
        <v>3099</v>
      </c>
      <c r="H1613" s="415" t="s">
        <v>468</v>
      </c>
      <c r="I1613" s="482" t="s">
        <v>2437</v>
      </c>
      <c r="J1613" s="521" t="s">
        <v>796</v>
      </c>
      <c r="K1613" s="415" t="s">
        <v>797</v>
      </c>
      <c r="L1613" s="415" t="s">
        <v>798</v>
      </c>
      <c r="M1613" s="521" t="s">
        <v>310</v>
      </c>
      <c r="N1613" s="414">
        <v>44711</v>
      </c>
      <c r="O1613" s="414" t="s">
        <v>408</v>
      </c>
      <c r="P1613" s="603">
        <f t="shared" si="242"/>
        <v>5</v>
      </c>
      <c r="Q1613" s="603">
        <f t="shared" si="243"/>
        <v>5</v>
      </c>
      <c r="R1613" s="604" t="str">
        <f t="shared" si="244"/>
        <v>Gastos_custeados_por_captação</v>
      </c>
      <c r="S1613" s="605" t="s">
        <v>310</v>
      </c>
      <c r="T1613" s="605" t="s">
        <v>310</v>
      </c>
    </row>
    <row r="1614" spans="1:20" s="88" customFormat="1" ht="36" x14ac:dyDescent="0.2">
      <c r="A1614" s="510">
        <f>IF(B1614="","",COUNT('Diário 1º PA'!$A$4:$A$2635)+ROW()-3)</f>
        <v>3347</v>
      </c>
      <c r="B1614" s="455">
        <v>44711</v>
      </c>
      <c r="C1614" s="431">
        <v>44682</v>
      </c>
      <c r="D1614" s="415" t="s">
        <v>468</v>
      </c>
      <c r="E1614" s="415" t="s">
        <v>468</v>
      </c>
      <c r="F1614" s="425">
        <v>-6950</v>
      </c>
      <c r="G1614" s="427" t="s">
        <v>5582</v>
      </c>
      <c r="H1614" s="415" t="s">
        <v>468</v>
      </c>
      <c r="I1614" s="482" t="s">
        <v>2437</v>
      </c>
      <c r="J1614" s="521" t="s">
        <v>796</v>
      </c>
      <c r="K1614" s="415" t="s">
        <v>797</v>
      </c>
      <c r="L1614" s="415" t="s">
        <v>798</v>
      </c>
      <c r="M1614" s="521" t="s">
        <v>310</v>
      </c>
      <c r="N1614" s="414">
        <v>44711</v>
      </c>
      <c r="O1614" s="414" t="s">
        <v>408</v>
      </c>
      <c r="P1614" s="603">
        <f t="shared" si="242"/>
        <v>5</v>
      </c>
      <c r="Q1614" s="603">
        <f t="shared" si="243"/>
        <v>5</v>
      </c>
      <c r="R1614" s="604" t="str">
        <f t="shared" si="244"/>
        <v>Gastos_custeados_por_captação</v>
      </c>
      <c r="S1614" s="605" t="s">
        <v>310</v>
      </c>
      <c r="T1614" s="605" t="s">
        <v>310</v>
      </c>
    </row>
    <row r="1615" spans="1:20" s="88" customFormat="1" ht="36" x14ac:dyDescent="0.2">
      <c r="A1615" s="510">
        <f>IF(B1615="","",COUNT('Diário 1º PA'!$A$4:$A$2635)+ROW()-3)</f>
        <v>3348</v>
      </c>
      <c r="B1615" s="455">
        <v>44711</v>
      </c>
      <c r="C1615" s="431">
        <v>44682</v>
      </c>
      <c r="D1615" s="415" t="s">
        <v>468</v>
      </c>
      <c r="E1615" s="415" t="s">
        <v>468</v>
      </c>
      <c r="F1615" s="425">
        <v>-5900</v>
      </c>
      <c r="G1615" s="427" t="s">
        <v>5581</v>
      </c>
      <c r="H1615" s="415" t="s">
        <v>468</v>
      </c>
      <c r="I1615" s="482" t="s">
        <v>2437</v>
      </c>
      <c r="J1615" s="521" t="s">
        <v>796</v>
      </c>
      <c r="K1615" s="415" t="s">
        <v>797</v>
      </c>
      <c r="L1615" s="415" t="s">
        <v>798</v>
      </c>
      <c r="M1615" s="521" t="s">
        <v>310</v>
      </c>
      <c r="N1615" s="414">
        <v>44711</v>
      </c>
      <c r="O1615" s="414" t="s">
        <v>408</v>
      </c>
      <c r="P1615" s="603">
        <f t="shared" si="242"/>
        <v>5</v>
      </c>
      <c r="Q1615" s="603">
        <f t="shared" si="243"/>
        <v>5</v>
      </c>
      <c r="R1615" s="604" t="str">
        <f t="shared" si="244"/>
        <v>Gastos_custeados_por_captação</v>
      </c>
      <c r="S1615" s="605" t="s">
        <v>310</v>
      </c>
      <c r="T1615" s="605" t="s">
        <v>310</v>
      </c>
    </row>
    <row r="1616" spans="1:20" s="88" customFormat="1" ht="36" x14ac:dyDescent="0.2">
      <c r="A1616" s="510">
        <f>IF(B1616="","",COUNT('Diário 1º PA'!$A$4:$A$2635)+ROW()-3)</f>
        <v>3349</v>
      </c>
      <c r="B1616" s="455">
        <v>44711</v>
      </c>
      <c r="C1616" s="431">
        <v>44682</v>
      </c>
      <c r="D1616" s="415" t="s">
        <v>468</v>
      </c>
      <c r="E1616" s="415" t="s">
        <v>468</v>
      </c>
      <c r="F1616" s="425">
        <v>-5900</v>
      </c>
      <c r="G1616" s="427" t="s">
        <v>5583</v>
      </c>
      <c r="H1616" s="415" t="s">
        <v>468</v>
      </c>
      <c r="I1616" s="482" t="s">
        <v>2437</v>
      </c>
      <c r="J1616" s="521" t="s">
        <v>796</v>
      </c>
      <c r="K1616" s="415" t="s">
        <v>797</v>
      </c>
      <c r="L1616" s="415" t="s">
        <v>798</v>
      </c>
      <c r="M1616" s="521" t="s">
        <v>310</v>
      </c>
      <c r="N1616" s="414">
        <v>44711</v>
      </c>
      <c r="O1616" s="414" t="s">
        <v>408</v>
      </c>
      <c r="P1616" s="603">
        <f t="shared" si="242"/>
        <v>5</v>
      </c>
      <c r="Q1616" s="603">
        <f t="shared" si="243"/>
        <v>5</v>
      </c>
      <c r="R1616" s="604" t="str">
        <f t="shared" si="244"/>
        <v>Gastos_custeados_por_captação</v>
      </c>
      <c r="S1616" s="605" t="s">
        <v>310</v>
      </c>
      <c r="T1616" s="605" t="s">
        <v>310</v>
      </c>
    </row>
    <row r="1617" spans="1:20" s="88" customFormat="1" ht="48" x14ac:dyDescent="0.2">
      <c r="A1617" s="510">
        <f>IF(B1617="","",COUNT('Diário 1º PA'!$A$4:$A$2635)+ROW()-3)</f>
        <v>3350</v>
      </c>
      <c r="B1617" s="455">
        <v>44711</v>
      </c>
      <c r="C1617" s="431">
        <v>44682</v>
      </c>
      <c r="D1617" s="415" t="s">
        <v>468</v>
      </c>
      <c r="E1617" s="415" t="s">
        <v>468</v>
      </c>
      <c r="F1617" s="425">
        <v>6950</v>
      </c>
      <c r="G1617" s="427" t="s">
        <v>5586</v>
      </c>
      <c r="H1617" s="415" t="s">
        <v>468</v>
      </c>
      <c r="I1617" s="482" t="s">
        <v>2437</v>
      </c>
      <c r="J1617" s="521" t="s">
        <v>796</v>
      </c>
      <c r="K1617" s="415" t="s">
        <v>797</v>
      </c>
      <c r="L1617" s="415" t="s">
        <v>798</v>
      </c>
      <c r="M1617" s="521" t="s">
        <v>310</v>
      </c>
      <c r="N1617" s="414">
        <v>44711</v>
      </c>
      <c r="O1617" s="414" t="s">
        <v>3762</v>
      </c>
      <c r="P1617" s="603">
        <f t="shared" si="242"/>
        <v>5</v>
      </c>
      <c r="Q1617" s="603">
        <f t="shared" ref="Q1617:Q1622" si="245">IF(C1617=0,0,IF(YEAR(C1617)=$Q$1,MONTH(C1617)-$P$1+1,(YEAR(C1617)-$Q$1)*12-$P$1+1+MONTH(C1617)))</f>
        <v>5</v>
      </c>
      <c r="R1617" s="604" t="str">
        <f t="shared" ref="R1617:R1622" si="246">SUBSTITUTE(D1617," ","_")</f>
        <v>Gastos_custeados_por_captação</v>
      </c>
      <c r="S1617" s="605" t="s">
        <v>310</v>
      </c>
      <c r="T1617" s="605" t="s">
        <v>310</v>
      </c>
    </row>
    <row r="1618" spans="1:20" s="88" customFormat="1" ht="48" x14ac:dyDescent="0.2">
      <c r="A1618" s="510">
        <f>IF(B1618="","",COUNT('Diário 1º PA'!$A$4:$A$2635)+ROW()-3)</f>
        <v>3351</v>
      </c>
      <c r="B1618" s="455">
        <v>44711</v>
      </c>
      <c r="C1618" s="431">
        <v>44682</v>
      </c>
      <c r="D1618" s="415" t="s">
        <v>468</v>
      </c>
      <c r="E1618" s="415" t="s">
        <v>468</v>
      </c>
      <c r="F1618" s="425">
        <v>5900</v>
      </c>
      <c r="G1618" s="427" t="s">
        <v>5585</v>
      </c>
      <c r="H1618" s="415" t="s">
        <v>468</v>
      </c>
      <c r="I1618" s="482" t="s">
        <v>2437</v>
      </c>
      <c r="J1618" s="521" t="s">
        <v>796</v>
      </c>
      <c r="K1618" s="415" t="s">
        <v>797</v>
      </c>
      <c r="L1618" s="415" t="s">
        <v>798</v>
      </c>
      <c r="M1618" s="521" t="s">
        <v>310</v>
      </c>
      <c r="N1618" s="414">
        <v>44711</v>
      </c>
      <c r="O1618" s="414" t="s">
        <v>3762</v>
      </c>
      <c r="P1618" s="603">
        <f t="shared" si="242"/>
        <v>5</v>
      </c>
      <c r="Q1618" s="603">
        <f t="shared" si="245"/>
        <v>5</v>
      </c>
      <c r="R1618" s="604" t="str">
        <f t="shared" si="246"/>
        <v>Gastos_custeados_por_captação</v>
      </c>
      <c r="S1618" s="605" t="s">
        <v>310</v>
      </c>
      <c r="T1618" s="605" t="s">
        <v>310</v>
      </c>
    </row>
    <row r="1619" spans="1:20" s="88" customFormat="1" ht="48" x14ac:dyDescent="0.2">
      <c r="A1619" s="510">
        <f>IF(B1619="","",COUNT('Diário 1º PA'!$A$4:$A$2635)+ROW()-3)</f>
        <v>3352</v>
      </c>
      <c r="B1619" s="455">
        <v>44711</v>
      </c>
      <c r="C1619" s="431">
        <v>44682</v>
      </c>
      <c r="D1619" s="415" t="s">
        <v>468</v>
      </c>
      <c r="E1619" s="415" t="s">
        <v>468</v>
      </c>
      <c r="F1619" s="425">
        <v>5900</v>
      </c>
      <c r="G1619" s="427" t="s">
        <v>5584</v>
      </c>
      <c r="H1619" s="415" t="s">
        <v>468</v>
      </c>
      <c r="I1619" s="482" t="s">
        <v>2437</v>
      </c>
      <c r="J1619" s="521" t="s">
        <v>796</v>
      </c>
      <c r="K1619" s="415" t="s">
        <v>797</v>
      </c>
      <c r="L1619" s="415" t="s">
        <v>798</v>
      </c>
      <c r="M1619" s="521" t="s">
        <v>310</v>
      </c>
      <c r="N1619" s="414">
        <v>44711</v>
      </c>
      <c r="O1619" s="414" t="s">
        <v>3762</v>
      </c>
      <c r="P1619" s="603">
        <f t="shared" si="242"/>
        <v>5</v>
      </c>
      <c r="Q1619" s="603">
        <f t="shared" si="245"/>
        <v>5</v>
      </c>
      <c r="R1619" s="604" t="str">
        <f t="shared" si="246"/>
        <v>Gastos_custeados_por_captação</v>
      </c>
      <c r="S1619" s="605" t="s">
        <v>310</v>
      </c>
      <c r="T1619" s="605" t="s">
        <v>310</v>
      </c>
    </row>
    <row r="1620" spans="1:20" s="88" customFormat="1" ht="36" x14ac:dyDescent="0.2">
      <c r="A1620" s="510">
        <f>IF(B1620="","",COUNT('Diário 1º PA'!$A$4:$A$2635)+ROW()-3)</f>
        <v>3353</v>
      </c>
      <c r="B1620" s="455">
        <v>44712</v>
      </c>
      <c r="C1620" s="431">
        <v>44682</v>
      </c>
      <c r="D1620" s="415" t="s">
        <v>271</v>
      </c>
      <c r="E1620" s="415" t="s">
        <v>0</v>
      </c>
      <c r="F1620" s="425">
        <v>529.79999999999995</v>
      </c>
      <c r="G1620" s="427" t="s">
        <v>4424</v>
      </c>
      <c r="H1620" s="419" t="s">
        <v>748</v>
      </c>
      <c r="I1620" s="427" t="s">
        <v>3486</v>
      </c>
      <c r="J1620" s="545" t="s">
        <v>1065</v>
      </c>
      <c r="K1620" s="415" t="s">
        <v>812</v>
      </c>
      <c r="L1620" s="415" t="s">
        <v>807</v>
      </c>
      <c r="M1620" s="415">
        <v>18681</v>
      </c>
      <c r="N1620" s="414">
        <v>44684</v>
      </c>
      <c r="O1620" s="414" t="s">
        <v>400</v>
      </c>
      <c r="P1620" s="603">
        <f t="shared" si="242"/>
        <v>5</v>
      </c>
      <c r="Q1620" s="603">
        <f t="shared" si="245"/>
        <v>5</v>
      </c>
      <c r="R1620" s="604" t="str">
        <f t="shared" si="246"/>
        <v>Gastos_Gerais</v>
      </c>
      <c r="S1620" s="605" t="s">
        <v>999</v>
      </c>
      <c r="T1620" s="605">
        <v>3342</v>
      </c>
    </row>
    <row r="1621" spans="1:20" s="88" customFormat="1" ht="36" x14ac:dyDescent="0.2">
      <c r="A1621" s="510">
        <f>IF(B1621="","",COUNT('Diário 1º PA'!$A$4:$A$2635)+ROW()-3)</f>
        <v>3354</v>
      </c>
      <c r="B1621" s="455">
        <v>44712</v>
      </c>
      <c r="C1621" s="592">
        <v>44682</v>
      </c>
      <c r="D1621" s="415" t="s">
        <v>295</v>
      </c>
      <c r="E1621" s="415" t="s">
        <v>295</v>
      </c>
      <c r="F1621" s="425">
        <v>21239</v>
      </c>
      <c r="G1621" s="427" t="s">
        <v>4423</v>
      </c>
      <c r="H1621" s="415" t="s">
        <v>310</v>
      </c>
      <c r="I1621" s="427" t="s">
        <v>1520</v>
      </c>
      <c r="J1621" s="415" t="s">
        <v>796</v>
      </c>
      <c r="K1621" s="415" t="s">
        <v>797</v>
      </c>
      <c r="L1621" s="415" t="s">
        <v>798</v>
      </c>
      <c r="M1621" s="415" t="s">
        <v>310</v>
      </c>
      <c r="N1621" s="455">
        <v>44712</v>
      </c>
      <c r="O1621" s="414" t="s">
        <v>400</v>
      </c>
      <c r="P1621" s="603">
        <f t="shared" si="242"/>
        <v>5</v>
      </c>
      <c r="Q1621" s="603">
        <f t="shared" si="245"/>
        <v>5</v>
      </c>
      <c r="R1621" s="604" t="str">
        <f t="shared" si="246"/>
        <v>Rendimentos_de_Aplicações_Fin.</v>
      </c>
      <c r="S1621" s="605" t="s">
        <v>310</v>
      </c>
      <c r="T1621" s="605" t="s">
        <v>310</v>
      </c>
    </row>
    <row r="1622" spans="1:20" s="88" customFormat="1" ht="24" x14ac:dyDescent="0.2">
      <c r="A1622" s="510">
        <f>IF(B1622="","",COUNT('Diário 1º PA'!$A$4:$A$2635)+ROW()-3)</f>
        <v>3355</v>
      </c>
      <c r="B1622" s="455">
        <v>44712</v>
      </c>
      <c r="C1622" s="592">
        <v>44682</v>
      </c>
      <c r="D1622" s="415" t="s">
        <v>271</v>
      </c>
      <c r="E1622" s="415" t="s">
        <v>78</v>
      </c>
      <c r="F1622" s="425">
        <v>9941.91</v>
      </c>
      <c r="G1622" s="427" t="s">
        <v>4425</v>
      </c>
      <c r="H1622" s="415" t="s">
        <v>310</v>
      </c>
      <c r="I1622" s="427" t="s">
        <v>1461</v>
      </c>
      <c r="J1622" s="415" t="s">
        <v>310</v>
      </c>
      <c r="K1622" s="415" t="s">
        <v>1220</v>
      </c>
      <c r="L1622" s="415" t="s">
        <v>1368</v>
      </c>
      <c r="M1622" s="415" t="s">
        <v>310</v>
      </c>
      <c r="N1622" s="455">
        <v>44712</v>
      </c>
      <c r="O1622" s="414" t="s">
        <v>400</v>
      </c>
      <c r="P1622" s="603">
        <f t="shared" si="242"/>
        <v>5</v>
      </c>
      <c r="Q1622" s="603">
        <f t="shared" si="245"/>
        <v>5</v>
      </c>
      <c r="R1622" s="604" t="str">
        <f t="shared" si="246"/>
        <v>Gastos_Gerais</v>
      </c>
      <c r="S1622" s="605" t="s">
        <v>310</v>
      </c>
      <c r="T1622" s="605" t="s">
        <v>310</v>
      </c>
    </row>
    <row r="1623" spans="1:20" ht="118.5" customHeight="1" x14ac:dyDescent="0.2">
      <c r="A1623" s="510">
        <f>IF(B1623="","",COUNT('Diário 1º PA'!$A$4:$A$2635)+ROW()-3)</f>
        <v>3356</v>
      </c>
      <c r="B1623" s="455">
        <v>44712</v>
      </c>
      <c r="C1623" s="592">
        <v>44652</v>
      </c>
      <c r="D1623" s="415" t="s">
        <v>468</v>
      </c>
      <c r="E1623" s="415" t="s">
        <v>468</v>
      </c>
      <c r="F1623" s="425">
        <v>5000</v>
      </c>
      <c r="G1623" s="427" t="s">
        <v>3239</v>
      </c>
      <c r="H1623" s="415" t="s">
        <v>468</v>
      </c>
      <c r="I1623" s="427" t="s">
        <v>5107</v>
      </c>
      <c r="J1623" s="415" t="s">
        <v>3240</v>
      </c>
      <c r="K1623" s="415" t="s">
        <v>830</v>
      </c>
      <c r="L1623" s="415" t="s">
        <v>807</v>
      </c>
      <c r="M1623" s="415">
        <v>189</v>
      </c>
      <c r="N1623" s="455">
        <v>44711</v>
      </c>
      <c r="O1623" s="414" t="s">
        <v>407</v>
      </c>
      <c r="P1623" s="603">
        <f t="shared" ref="P1623:P1629" si="247">IF(B1623=0,0,IF(YEAR(B1623)=$Q$1,MONTH(B1623)-$P$1+1,(YEAR(B1623)-$Q$1)*12-$P$1+1+MONTH(B1623)))</f>
        <v>5</v>
      </c>
      <c r="Q1623" s="603">
        <f t="shared" ref="Q1623:Q1629" si="248">IF(C1623=0,0,IF(YEAR(C1623)=$Q$1,MONTH(C1623)-$P$1+1,(YEAR(C1623)-$Q$1)*12-$P$1+1+MONTH(C1623)))</f>
        <v>4</v>
      </c>
      <c r="R1623" s="604" t="str">
        <f t="shared" ref="R1623:R1629" si="249">SUBSTITUTE(D1623," ","_")</f>
        <v>Gastos_custeados_por_captação</v>
      </c>
      <c r="S1623" s="605" t="s">
        <v>998</v>
      </c>
      <c r="T1623" s="605">
        <v>3264</v>
      </c>
    </row>
    <row r="1624" spans="1:20" ht="72" x14ac:dyDescent="0.2">
      <c r="A1624" s="510">
        <f>IF(B1624="","",COUNT('Diário 1º PA'!$A$4:$A$2635)+ROW()-3)</f>
        <v>3357</v>
      </c>
      <c r="B1624" s="455">
        <v>44712</v>
      </c>
      <c r="C1624" s="592">
        <v>44652</v>
      </c>
      <c r="D1624" s="415" t="s">
        <v>468</v>
      </c>
      <c r="E1624" s="415" t="s">
        <v>468</v>
      </c>
      <c r="F1624" s="425">
        <v>5030.6899999999996</v>
      </c>
      <c r="G1624" s="427" t="s">
        <v>3753</v>
      </c>
      <c r="H1624" s="415" t="s">
        <v>468</v>
      </c>
      <c r="I1624" s="427" t="s">
        <v>4647</v>
      </c>
      <c r="J1624" s="415" t="s">
        <v>3256</v>
      </c>
      <c r="K1624" s="415" t="s">
        <v>830</v>
      </c>
      <c r="L1624" s="415" t="s">
        <v>807</v>
      </c>
      <c r="M1624" s="415">
        <v>2022562</v>
      </c>
      <c r="N1624" s="455">
        <v>44685</v>
      </c>
      <c r="O1624" s="414" t="s">
        <v>407</v>
      </c>
      <c r="P1624" s="603">
        <f t="shared" si="247"/>
        <v>5</v>
      </c>
      <c r="Q1624" s="603">
        <f t="shared" si="248"/>
        <v>4</v>
      </c>
      <c r="R1624" s="604" t="str">
        <f t="shared" si="249"/>
        <v>Gastos_custeados_por_captação</v>
      </c>
      <c r="S1624" s="605" t="s">
        <v>998</v>
      </c>
      <c r="T1624" s="605">
        <v>3426</v>
      </c>
    </row>
    <row r="1625" spans="1:20" ht="72.75" customHeight="1" x14ac:dyDescent="0.2">
      <c r="A1625" s="510">
        <f>IF(B1625="","",COUNT('Diário 1º PA'!$A$4:$A$2635)+ROW()-3)</f>
        <v>3358</v>
      </c>
      <c r="B1625" s="455">
        <v>44712</v>
      </c>
      <c r="C1625" s="592">
        <v>44652</v>
      </c>
      <c r="D1625" s="415" t="s">
        <v>468</v>
      </c>
      <c r="E1625" s="415" t="s">
        <v>468</v>
      </c>
      <c r="F1625" s="425">
        <v>1207.6500000000001</v>
      </c>
      <c r="G1625" s="427" t="s">
        <v>3549</v>
      </c>
      <c r="H1625" s="415" t="s">
        <v>468</v>
      </c>
      <c r="I1625" s="427" t="s">
        <v>5217</v>
      </c>
      <c r="J1625" s="415" t="s">
        <v>3296</v>
      </c>
      <c r="K1625" s="415" t="s">
        <v>830</v>
      </c>
      <c r="L1625" s="415" t="s">
        <v>807</v>
      </c>
      <c r="M1625" s="415" t="s">
        <v>5218</v>
      </c>
      <c r="N1625" s="455">
        <v>44691</v>
      </c>
      <c r="O1625" s="414" t="s">
        <v>407</v>
      </c>
      <c r="P1625" s="603">
        <f t="shared" si="247"/>
        <v>5</v>
      </c>
      <c r="Q1625" s="603">
        <f t="shared" si="248"/>
        <v>4</v>
      </c>
      <c r="R1625" s="604" t="str">
        <f t="shared" si="249"/>
        <v>Gastos_custeados_por_captação</v>
      </c>
      <c r="S1625" s="605" t="s">
        <v>998</v>
      </c>
      <c r="T1625" s="605">
        <v>3504</v>
      </c>
    </row>
    <row r="1626" spans="1:20" ht="76.5" customHeight="1" x14ac:dyDescent="0.2">
      <c r="A1626" s="510">
        <f>IF(B1626="","",COUNT('Diário 1º PA'!$A$4:$A$2635)+ROW()-3)</f>
        <v>3359</v>
      </c>
      <c r="B1626" s="455">
        <v>44712</v>
      </c>
      <c r="C1626" s="592">
        <v>44682</v>
      </c>
      <c r="D1626" s="415" t="s">
        <v>468</v>
      </c>
      <c r="E1626" s="415" t="s">
        <v>468</v>
      </c>
      <c r="F1626" s="425">
        <v>2100</v>
      </c>
      <c r="G1626" s="427" t="s">
        <v>4108</v>
      </c>
      <c r="H1626" s="415" t="s">
        <v>468</v>
      </c>
      <c r="I1626" s="427" t="s">
        <v>4998</v>
      </c>
      <c r="J1626" s="415" t="s">
        <v>3331</v>
      </c>
      <c r="K1626" s="415" t="s">
        <v>830</v>
      </c>
      <c r="L1626" s="415" t="s">
        <v>807</v>
      </c>
      <c r="M1626" s="415">
        <v>33330419</v>
      </c>
      <c r="N1626" s="455">
        <v>44711</v>
      </c>
      <c r="O1626" s="414" t="s">
        <v>407</v>
      </c>
      <c r="P1626" s="603">
        <f t="shared" si="247"/>
        <v>5</v>
      </c>
      <c r="Q1626" s="603">
        <f t="shared" si="248"/>
        <v>5</v>
      </c>
      <c r="R1626" s="604" t="str">
        <f t="shared" si="249"/>
        <v>Gastos_custeados_por_captação</v>
      </c>
      <c r="S1626" s="605" t="s">
        <v>998</v>
      </c>
      <c r="T1626" s="605">
        <v>3716</v>
      </c>
    </row>
    <row r="1627" spans="1:20" ht="60" customHeight="1" x14ac:dyDescent="0.2">
      <c r="A1627" s="510">
        <f>IF(B1627="","",COUNT('Diário 1º PA'!$A$4:$A$2635)+ROW()-3)</f>
        <v>3360</v>
      </c>
      <c r="B1627" s="455">
        <v>44712</v>
      </c>
      <c r="C1627" s="592">
        <v>44682</v>
      </c>
      <c r="D1627" s="415" t="s">
        <v>468</v>
      </c>
      <c r="E1627" s="415" t="s">
        <v>468</v>
      </c>
      <c r="F1627" s="425">
        <v>431.65</v>
      </c>
      <c r="G1627" s="427" t="s">
        <v>3335</v>
      </c>
      <c r="H1627" s="415" t="s">
        <v>468</v>
      </c>
      <c r="I1627" s="427" t="s">
        <v>5219</v>
      </c>
      <c r="J1627" s="415" t="s">
        <v>3296</v>
      </c>
      <c r="K1627" s="415" t="s">
        <v>830</v>
      </c>
      <c r="L1627" s="415" t="s">
        <v>807</v>
      </c>
      <c r="M1627" s="415" t="s">
        <v>5220</v>
      </c>
      <c r="N1627" s="455">
        <v>44691</v>
      </c>
      <c r="O1627" s="414" t="s">
        <v>407</v>
      </c>
      <c r="P1627" s="603">
        <f t="shared" si="247"/>
        <v>5</v>
      </c>
      <c r="Q1627" s="603">
        <f t="shared" si="248"/>
        <v>5</v>
      </c>
      <c r="R1627" s="604" t="str">
        <f t="shared" si="249"/>
        <v>Gastos_custeados_por_captação</v>
      </c>
      <c r="S1627" s="605" t="s">
        <v>998</v>
      </c>
      <c r="T1627" s="605">
        <v>3460</v>
      </c>
    </row>
    <row r="1628" spans="1:20" ht="72" x14ac:dyDescent="0.2">
      <c r="A1628" s="510">
        <f>IF(B1628="","",COUNT('Diário 1º PA'!$A$4:$A$2635)+ROW()-3)</f>
        <v>3361</v>
      </c>
      <c r="B1628" s="455">
        <v>44712</v>
      </c>
      <c r="C1628" s="592">
        <v>44682</v>
      </c>
      <c r="D1628" s="415" t="s">
        <v>468</v>
      </c>
      <c r="E1628" s="415" t="s">
        <v>468</v>
      </c>
      <c r="F1628" s="425">
        <v>86.6</v>
      </c>
      <c r="G1628" s="427" t="s">
        <v>4065</v>
      </c>
      <c r="H1628" s="415" t="s">
        <v>468</v>
      </c>
      <c r="I1628" s="427" t="s">
        <v>5022</v>
      </c>
      <c r="J1628" s="415" t="s">
        <v>3715</v>
      </c>
      <c r="K1628" s="415" t="s">
        <v>812</v>
      </c>
      <c r="L1628" s="415" t="s">
        <v>32</v>
      </c>
      <c r="M1628" s="415">
        <v>81397</v>
      </c>
      <c r="N1628" s="455">
        <v>44691</v>
      </c>
      <c r="O1628" s="414" t="s">
        <v>407</v>
      </c>
      <c r="P1628" s="603">
        <f t="shared" si="247"/>
        <v>5</v>
      </c>
      <c r="Q1628" s="603">
        <f t="shared" si="248"/>
        <v>5</v>
      </c>
      <c r="R1628" s="604" t="str">
        <f t="shared" si="249"/>
        <v>Gastos_custeados_por_captação</v>
      </c>
      <c r="S1628" s="605" t="s">
        <v>999</v>
      </c>
      <c r="T1628" s="605">
        <v>3645</v>
      </c>
    </row>
    <row r="1629" spans="1:20" ht="72" x14ac:dyDescent="0.2">
      <c r="A1629" s="510">
        <f>IF(B1629="","",COUNT('Diário 1º PA'!$A$4:$A$2635)+ROW()-3)</f>
        <v>3362</v>
      </c>
      <c r="B1629" s="455">
        <v>44712</v>
      </c>
      <c r="C1629" s="592">
        <v>44652</v>
      </c>
      <c r="D1629" s="415" t="s">
        <v>468</v>
      </c>
      <c r="E1629" s="415" t="s">
        <v>468</v>
      </c>
      <c r="F1629" s="425">
        <v>1173.7</v>
      </c>
      <c r="G1629" s="427" t="s">
        <v>3297</v>
      </c>
      <c r="H1629" s="415" t="s">
        <v>468</v>
      </c>
      <c r="I1629" s="427" t="s">
        <v>5217</v>
      </c>
      <c r="J1629" s="415" t="s">
        <v>3296</v>
      </c>
      <c r="K1629" s="415" t="s">
        <v>830</v>
      </c>
      <c r="L1629" s="415" t="s">
        <v>807</v>
      </c>
      <c r="M1629" s="415" t="s">
        <v>5221</v>
      </c>
      <c r="N1629" s="455">
        <v>44691</v>
      </c>
      <c r="O1629" s="414" t="s">
        <v>407</v>
      </c>
      <c r="P1629" s="603">
        <f t="shared" si="247"/>
        <v>5</v>
      </c>
      <c r="Q1629" s="603">
        <f t="shared" si="248"/>
        <v>4</v>
      </c>
      <c r="R1629" s="604" t="str">
        <f t="shared" si="249"/>
        <v>Gastos_custeados_por_captação</v>
      </c>
      <c r="S1629" s="605" t="s">
        <v>998</v>
      </c>
      <c r="T1629" s="605">
        <v>3403</v>
      </c>
    </row>
    <row r="1630" spans="1:20" s="88" customFormat="1" ht="36" x14ac:dyDescent="0.2">
      <c r="A1630" s="510">
        <f>IF(B1630="","",COUNT('Diário 1º PA'!$A$4:$A$2635)+ROW()-3)</f>
        <v>3363</v>
      </c>
      <c r="B1630" s="414">
        <v>44713</v>
      </c>
      <c r="C1630" s="592">
        <v>44682</v>
      </c>
      <c r="D1630" s="415" t="s">
        <v>182</v>
      </c>
      <c r="E1630" s="415" t="s">
        <v>8</v>
      </c>
      <c r="F1630" s="425">
        <v>-23.2</v>
      </c>
      <c r="G1630" s="427" t="s">
        <v>4432</v>
      </c>
      <c r="H1630" s="415" t="s">
        <v>310</v>
      </c>
      <c r="I1630" s="427" t="s">
        <v>795</v>
      </c>
      <c r="J1630" s="415" t="s">
        <v>796</v>
      </c>
      <c r="K1630" s="415" t="s">
        <v>797</v>
      </c>
      <c r="L1630" s="415" t="s">
        <v>798</v>
      </c>
      <c r="M1630" s="415" t="s">
        <v>310</v>
      </c>
      <c r="N1630" s="414">
        <v>44713</v>
      </c>
      <c r="O1630" s="414" t="s">
        <v>400</v>
      </c>
      <c r="P1630" s="603">
        <f t="shared" ref="P1630:Q1634" si="250">IF(B1630=0,0,IF(YEAR(B1630)=$Q$1,MONTH(B1630)-$P$1+1,(YEAR(B1630)-$Q$1)*12-$P$1+1+MONTH(B1630)))</f>
        <v>6</v>
      </c>
      <c r="Q1630" s="603">
        <f t="shared" si="250"/>
        <v>5</v>
      </c>
      <c r="R1630" s="604" t="str">
        <f>SUBSTITUTE(D1630," ","_")</f>
        <v>Gastos_com_Pessoal</v>
      </c>
      <c r="S1630" s="605" t="s">
        <v>310</v>
      </c>
      <c r="T1630" s="605" t="s">
        <v>310</v>
      </c>
    </row>
    <row r="1631" spans="1:20" s="88" customFormat="1" ht="24" x14ac:dyDescent="0.2">
      <c r="A1631" s="510">
        <f>IF(B1631="","",COUNT('Diário 1º PA'!$A$4:$A$2635)+ROW()-3)</f>
        <v>3364</v>
      </c>
      <c r="B1631" s="414">
        <v>44713</v>
      </c>
      <c r="C1631" s="592">
        <v>44682</v>
      </c>
      <c r="D1631" s="415" t="s">
        <v>182</v>
      </c>
      <c r="E1631" s="415" t="s">
        <v>8</v>
      </c>
      <c r="F1631" s="425">
        <v>-23.2</v>
      </c>
      <c r="G1631" s="427" t="s">
        <v>4433</v>
      </c>
      <c r="H1631" s="415" t="s">
        <v>310</v>
      </c>
      <c r="I1631" s="427" t="s">
        <v>795</v>
      </c>
      <c r="J1631" s="415" t="s">
        <v>796</v>
      </c>
      <c r="K1631" s="415" t="s">
        <v>797</v>
      </c>
      <c r="L1631" s="415" t="s">
        <v>798</v>
      </c>
      <c r="M1631" s="415" t="s">
        <v>310</v>
      </c>
      <c r="N1631" s="414">
        <v>44713</v>
      </c>
      <c r="O1631" s="414" t="s">
        <v>400</v>
      </c>
      <c r="P1631" s="603">
        <f t="shared" si="250"/>
        <v>6</v>
      </c>
      <c r="Q1631" s="603">
        <f t="shared" si="250"/>
        <v>5</v>
      </c>
      <c r="R1631" s="604" t="str">
        <f>SUBSTITUTE(D1631," ","_")</f>
        <v>Gastos_com_Pessoal</v>
      </c>
      <c r="S1631" s="605" t="s">
        <v>310</v>
      </c>
      <c r="T1631" s="605" t="s">
        <v>310</v>
      </c>
    </row>
    <row r="1632" spans="1:20" s="88" customFormat="1" ht="36" x14ac:dyDescent="0.2">
      <c r="A1632" s="510">
        <f>IF(B1632="","",COUNT('Diário 1º PA'!$A$4:$A$2635)+ROW()-3)</f>
        <v>3365</v>
      </c>
      <c r="B1632" s="414">
        <v>44713</v>
      </c>
      <c r="C1632" s="424">
        <v>44682</v>
      </c>
      <c r="D1632" s="415" t="s">
        <v>182</v>
      </c>
      <c r="E1632" s="415" t="s">
        <v>179</v>
      </c>
      <c r="F1632" s="425">
        <v>-15.12</v>
      </c>
      <c r="G1632" s="427" t="s">
        <v>4434</v>
      </c>
      <c r="H1632" s="415" t="s">
        <v>310</v>
      </c>
      <c r="I1632" s="427" t="s">
        <v>795</v>
      </c>
      <c r="J1632" s="415" t="s">
        <v>796</v>
      </c>
      <c r="K1632" s="415" t="s">
        <v>797</v>
      </c>
      <c r="L1632" s="415" t="s">
        <v>798</v>
      </c>
      <c r="M1632" s="415" t="s">
        <v>310</v>
      </c>
      <c r="N1632" s="414">
        <v>44713</v>
      </c>
      <c r="O1632" s="414" t="s">
        <v>400</v>
      </c>
      <c r="P1632" s="603">
        <f t="shared" si="250"/>
        <v>6</v>
      </c>
      <c r="Q1632" s="603">
        <f t="shared" si="250"/>
        <v>5</v>
      </c>
      <c r="R1632" s="604" t="str">
        <f>SUBSTITUTE(D1632," ","_")</f>
        <v>Gastos_com_Pessoal</v>
      </c>
      <c r="S1632" s="605" t="s">
        <v>310</v>
      </c>
      <c r="T1632" s="605" t="s">
        <v>310</v>
      </c>
    </row>
    <row r="1633" spans="1:20" s="88" customFormat="1" ht="36" x14ac:dyDescent="0.2">
      <c r="A1633" s="510">
        <f>IF(B1633="","",COUNT('Diário 1º PA'!$A$4:$A$2635)+ROW()-3)</f>
        <v>3366</v>
      </c>
      <c r="B1633" s="414">
        <v>44713</v>
      </c>
      <c r="C1633" s="592">
        <v>44682</v>
      </c>
      <c r="D1633" s="415" t="s">
        <v>182</v>
      </c>
      <c r="E1633" s="415" t="s">
        <v>179</v>
      </c>
      <c r="F1633" s="425">
        <v>-105.84</v>
      </c>
      <c r="G1633" s="427" t="s">
        <v>4435</v>
      </c>
      <c r="H1633" s="415" t="s">
        <v>310</v>
      </c>
      <c r="I1633" s="427" t="s">
        <v>795</v>
      </c>
      <c r="J1633" s="415" t="s">
        <v>796</v>
      </c>
      <c r="K1633" s="415" t="s">
        <v>797</v>
      </c>
      <c r="L1633" s="415" t="s">
        <v>798</v>
      </c>
      <c r="M1633" s="415" t="s">
        <v>310</v>
      </c>
      <c r="N1633" s="414">
        <v>44713</v>
      </c>
      <c r="O1633" s="414" t="s">
        <v>400</v>
      </c>
      <c r="P1633" s="603">
        <f t="shared" si="250"/>
        <v>6</v>
      </c>
      <c r="Q1633" s="603">
        <f t="shared" si="250"/>
        <v>5</v>
      </c>
      <c r="R1633" s="604" t="str">
        <f>SUBSTITUTE(D1633," ","_")</f>
        <v>Gastos_com_Pessoal</v>
      </c>
      <c r="S1633" s="605" t="s">
        <v>310</v>
      </c>
      <c r="T1633" s="605" t="s">
        <v>310</v>
      </c>
    </row>
    <row r="1634" spans="1:20" s="88" customFormat="1" ht="24" x14ac:dyDescent="0.2">
      <c r="A1634" s="510">
        <f>IF(B1634="","",COUNT('Diário 1º PA'!$A$4:$A$2635)+ROW()-3)</f>
        <v>3367</v>
      </c>
      <c r="B1634" s="414">
        <v>44713</v>
      </c>
      <c r="C1634" s="592">
        <v>44682</v>
      </c>
      <c r="D1634" s="415" t="s">
        <v>182</v>
      </c>
      <c r="E1634" s="415" t="s">
        <v>8</v>
      </c>
      <c r="F1634" s="425">
        <v>-162.4</v>
      </c>
      <c r="G1634" s="427" t="s">
        <v>4433</v>
      </c>
      <c r="H1634" s="415" t="s">
        <v>310</v>
      </c>
      <c r="I1634" s="427" t="s">
        <v>795</v>
      </c>
      <c r="J1634" s="415" t="s">
        <v>796</v>
      </c>
      <c r="K1634" s="415" t="s">
        <v>797</v>
      </c>
      <c r="L1634" s="415" t="s">
        <v>798</v>
      </c>
      <c r="M1634" s="415" t="s">
        <v>310</v>
      </c>
      <c r="N1634" s="414">
        <v>44713</v>
      </c>
      <c r="O1634" s="414" t="s">
        <v>400</v>
      </c>
      <c r="P1634" s="603">
        <f t="shared" si="250"/>
        <v>6</v>
      </c>
      <c r="Q1634" s="603">
        <f t="shared" si="250"/>
        <v>5</v>
      </c>
      <c r="R1634" s="604" t="str">
        <f>SUBSTITUTE(D1634," ","_")</f>
        <v>Gastos_com_Pessoal</v>
      </c>
      <c r="S1634" s="605" t="s">
        <v>310</v>
      </c>
      <c r="T1634" s="605" t="s">
        <v>310</v>
      </c>
    </row>
    <row r="1635" spans="1:20" s="88" customFormat="1" ht="48" x14ac:dyDescent="0.2">
      <c r="A1635" s="510">
        <f>IF(B1635="","",COUNT('Diário 1º PA'!$A$4:$A$2635)+ROW()-3)</f>
        <v>3368</v>
      </c>
      <c r="B1635" s="414">
        <v>44713</v>
      </c>
      <c r="C1635" s="431">
        <v>44682</v>
      </c>
      <c r="D1635" s="415" t="s">
        <v>271</v>
      </c>
      <c r="E1635" s="415" t="s">
        <v>456</v>
      </c>
      <c r="F1635" s="425">
        <v>238</v>
      </c>
      <c r="G1635" s="427" t="s">
        <v>4428</v>
      </c>
      <c r="H1635" s="419" t="s">
        <v>757</v>
      </c>
      <c r="I1635" s="427" t="s">
        <v>4410</v>
      </c>
      <c r="J1635" s="415" t="s">
        <v>1889</v>
      </c>
      <c r="K1635" s="415" t="s">
        <v>806</v>
      </c>
      <c r="L1635" s="415" t="s">
        <v>32</v>
      </c>
      <c r="M1635" s="415">
        <v>11272</v>
      </c>
      <c r="N1635" s="414">
        <v>44713</v>
      </c>
      <c r="O1635" s="414" t="s">
        <v>400</v>
      </c>
      <c r="P1635" s="603">
        <f t="shared" ref="P1635:P1737" si="251">IF(B1635=0,0,IF(YEAR(B1635)=$Q$1,MONTH(B1635)-$P$1+1,(YEAR(B1635)-$Q$1)*12-$P$1+1+MONTH(B1635)))</f>
        <v>6</v>
      </c>
      <c r="Q1635" s="603">
        <f t="shared" ref="Q1635:Q1737" si="252">IF(C1635=0,0,IF(YEAR(C1635)=$Q$1,MONTH(C1635)-$P$1+1,(YEAR(C1635)-$Q$1)*12-$P$1+1+MONTH(C1635)))</f>
        <v>5</v>
      </c>
      <c r="R1635" s="604" t="str">
        <f t="shared" ref="R1635:R1737" si="253">SUBSTITUTE(D1635," ","_")</f>
        <v>Gastos_Gerais</v>
      </c>
      <c r="S1635" s="605" t="s">
        <v>999</v>
      </c>
      <c r="T1635" s="605">
        <v>3838</v>
      </c>
    </row>
    <row r="1636" spans="1:20" s="88" customFormat="1" ht="24" x14ac:dyDescent="0.2">
      <c r="A1636" s="510">
        <f>IF(B1636="","",COUNT('Diário 1º PA'!$A$4:$A$2635)+ROW()-3)</f>
        <v>3369</v>
      </c>
      <c r="B1636" s="414">
        <v>44713</v>
      </c>
      <c r="C1636" s="592">
        <v>44682</v>
      </c>
      <c r="D1636" s="415" t="s">
        <v>182</v>
      </c>
      <c r="E1636" s="415" t="s">
        <v>8</v>
      </c>
      <c r="F1636" s="425">
        <v>1647.19</v>
      </c>
      <c r="G1636" s="427" t="s">
        <v>506</v>
      </c>
      <c r="H1636" s="415" t="s">
        <v>310</v>
      </c>
      <c r="I1636" s="427" t="s">
        <v>770</v>
      </c>
      <c r="J1636" s="415" t="s">
        <v>796</v>
      </c>
      <c r="K1636" s="415" t="s">
        <v>812</v>
      </c>
      <c r="L1636" s="415" t="s">
        <v>826</v>
      </c>
      <c r="M1636" s="415">
        <v>71107</v>
      </c>
      <c r="N1636" s="414">
        <v>44706</v>
      </c>
      <c r="O1636" s="414" t="s">
        <v>400</v>
      </c>
      <c r="P1636" s="603">
        <f t="shared" si="251"/>
        <v>6</v>
      </c>
      <c r="Q1636" s="603">
        <f t="shared" si="252"/>
        <v>5</v>
      </c>
      <c r="R1636" s="604" t="str">
        <f t="shared" si="253"/>
        <v>Gastos_com_Pessoal</v>
      </c>
      <c r="S1636" s="605" t="s">
        <v>310</v>
      </c>
      <c r="T1636" s="605" t="s">
        <v>310</v>
      </c>
    </row>
    <row r="1637" spans="1:20" s="88" customFormat="1" ht="24" x14ac:dyDescent="0.2">
      <c r="A1637" s="510">
        <f>IF(B1637="","",COUNT('Diário 1º PA'!$A$4:$A$2635)+ROW()-3)</f>
        <v>3370</v>
      </c>
      <c r="B1637" s="414">
        <v>44713</v>
      </c>
      <c r="C1637" s="592">
        <v>44682</v>
      </c>
      <c r="D1637" s="415" t="s">
        <v>182</v>
      </c>
      <c r="E1637" s="415" t="s">
        <v>179</v>
      </c>
      <c r="F1637" s="425">
        <v>570.94000000000005</v>
      </c>
      <c r="G1637" s="427" t="s">
        <v>4436</v>
      </c>
      <c r="H1637" s="415" t="s">
        <v>310</v>
      </c>
      <c r="I1637" s="427" t="s">
        <v>771</v>
      </c>
      <c r="J1637" s="415" t="s">
        <v>819</v>
      </c>
      <c r="K1637" s="415" t="s">
        <v>812</v>
      </c>
      <c r="L1637" s="415" t="s">
        <v>807</v>
      </c>
      <c r="M1637" s="415" t="s">
        <v>4440</v>
      </c>
      <c r="N1637" s="414">
        <v>44693</v>
      </c>
      <c r="O1637" s="414" t="s">
        <v>400</v>
      </c>
      <c r="P1637" s="603">
        <f t="shared" si="251"/>
        <v>6</v>
      </c>
      <c r="Q1637" s="603">
        <f t="shared" si="252"/>
        <v>5</v>
      </c>
      <c r="R1637" s="604" t="str">
        <f t="shared" si="253"/>
        <v>Gastos_com_Pessoal</v>
      </c>
      <c r="S1637" s="605" t="s">
        <v>310</v>
      </c>
      <c r="T1637" s="605" t="s">
        <v>310</v>
      </c>
    </row>
    <row r="1638" spans="1:20" s="88" customFormat="1" ht="24" x14ac:dyDescent="0.2">
      <c r="A1638" s="510">
        <f>IF(B1638="","",COUNT('Diário 1º PA'!$A$4:$A$2635)+ROW()-3)</f>
        <v>3371</v>
      </c>
      <c r="B1638" s="414">
        <v>44713</v>
      </c>
      <c r="C1638" s="592">
        <v>44682</v>
      </c>
      <c r="D1638" s="415" t="s">
        <v>182</v>
      </c>
      <c r="E1638" s="415" t="s">
        <v>179</v>
      </c>
      <c r="F1638" s="425">
        <v>394.65</v>
      </c>
      <c r="G1638" s="427" t="s">
        <v>4437</v>
      </c>
      <c r="H1638" s="415" t="s">
        <v>310</v>
      </c>
      <c r="I1638" s="427" t="s">
        <v>771</v>
      </c>
      <c r="J1638" s="415" t="s">
        <v>819</v>
      </c>
      <c r="K1638" s="415" t="s">
        <v>812</v>
      </c>
      <c r="L1638" s="415" t="s">
        <v>807</v>
      </c>
      <c r="M1638" s="415" t="s">
        <v>4443</v>
      </c>
      <c r="N1638" s="414">
        <v>44693</v>
      </c>
      <c r="O1638" s="414" t="s">
        <v>400</v>
      </c>
      <c r="P1638" s="603">
        <f t="shared" si="251"/>
        <v>6</v>
      </c>
      <c r="Q1638" s="603">
        <f t="shared" si="252"/>
        <v>5</v>
      </c>
      <c r="R1638" s="604" t="str">
        <f t="shared" si="253"/>
        <v>Gastos_com_Pessoal</v>
      </c>
      <c r="S1638" s="605" t="s">
        <v>310</v>
      </c>
      <c r="T1638" s="605" t="s">
        <v>310</v>
      </c>
    </row>
    <row r="1639" spans="1:20" ht="72" x14ac:dyDescent="0.2">
      <c r="A1639" s="510">
        <f>IF(B1639="","",COUNT('Diário 1º PA'!$A$4:$A$2635)+ROW()-3)</f>
        <v>3372</v>
      </c>
      <c r="B1639" s="414">
        <v>44713</v>
      </c>
      <c r="C1639" s="592">
        <v>44682</v>
      </c>
      <c r="D1639" s="415" t="s">
        <v>468</v>
      </c>
      <c r="E1639" s="415" t="s">
        <v>468</v>
      </c>
      <c r="F1639" s="425">
        <v>765</v>
      </c>
      <c r="G1639" s="427" t="s">
        <v>3711</v>
      </c>
      <c r="H1639" s="415" t="s">
        <v>468</v>
      </c>
      <c r="I1639" s="427" t="s">
        <v>5222</v>
      </c>
      <c r="J1639" s="415" t="s">
        <v>1042</v>
      </c>
      <c r="K1639" s="415" t="s">
        <v>830</v>
      </c>
      <c r="L1639" s="415" t="s">
        <v>807</v>
      </c>
      <c r="M1639" s="415">
        <v>8018</v>
      </c>
      <c r="N1639" s="414">
        <v>44683</v>
      </c>
      <c r="O1639" s="414" t="s">
        <v>407</v>
      </c>
      <c r="P1639" s="603">
        <f>IF(B1639=0,0,IF(YEAR(B1639)=$Q$1,MONTH(B1639)-$P$1+1,(YEAR(B1639)-$Q$1)*12-$P$1+1+MONTH(B1639)))</f>
        <v>6</v>
      </c>
      <c r="Q1639" s="603">
        <f>IF(C1639=0,0,IF(YEAR(C1639)=$Q$1,MONTH(C1639)-$P$1+1,(YEAR(C1639)-$Q$1)*12-$P$1+1+MONTH(C1639)))</f>
        <v>5</v>
      </c>
      <c r="R1639" s="604" t="str">
        <f>SUBSTITUTE(D1639," ","_")</f>
        <v>Gastos_custeados_por_captação</v>
      </c>
      <c r="S1639" s="605" t="s">
        <v>999</v>
      </c>
      <c r="T1639" s="605">
        <v>3508</v>
      </c>
    </row>
    <row r="1640" spans="1:20" s="88" customFormat="1" ht="117.75" customHeight="1" x14ac:dyDescent="0.2">
      <c r="A1640" s="510">
        <f>IF(B1640="","",COUNT('Diário 1º PA'!$A$4:$A$2635)+ROW()-3)</f>
        <v>3373</v>
      </c>
      <c r="B1640" s="414">
        <v>44714</v>
      </c>
      <c r="C1640" s="431">
        <v>44531</v>
      </c>
      <c r="D1640" s="415" t="s">
        <v>271</v>
      </c>
      <c r="E1640" s="415" t="s">
        <v>456</v>
      </c>
      <c r="F1640" s="425">
        <v>1500</v>
      </c>
      <c r="G1640" s="427" t="s">
        <v>638</v>
      </c>
      <c r="H1640" s="419" t="s">
        <v>759</v>
      </c>
      <c r="I1640" s="427" t="s">
        <v>4458</v>
      </c>
      <c r="J1640" s="415" t="s">
        <v>1069</v>
      </c>
      <c r="K1640" s="415" t="s">
        <v>806</v>
      </c>
      <c r="L1640" s="415" t="s">
        <v>807</v>
      </c>
      <c r="M1640" s="415" t="s">
        <v>848</v>
      </c>
      <c r="N1640" s="414">
        <v>44691</v>
      </c>
      <c r="O1640" s="414" t="s">
        <v>400</v>
      </c>
      <c r="P1640" s="603">
        <f t="shared" si="251"/>
        <v>6</v>
      </c>
      <c r="Q1640" s="603">
        <f t="shared" si="252"/>
        <v>0</v>
      </c>
      <c r="R1640" s="604" t="str">
        <f t="shared" si="253"/>
        <v>Gastos_Gerais</v>
      </c>
      <c r="S1640" s="605" t="s">
        <v>998</v>
      </c>
      <c r="T1640" s="605">
        <v>2622</v>
      </c>
    </row>
    <row r="1641" spans="1:20" s="88" customFormat="1" ht="72" x14ac:dyDescent="0.2">
      <c r="A1641" s="510">
        <f>IF(B1641="","",COUNT('Diário 1º PA'!$A$4:$A$2635)+ROW()-3)</f>
        <v>3374</v>
      </c>
      <c r="B1641" s="414">
        <v>44714</v>
      </c>
      <c r="C1641" s="431">
        <v>44621</v>
      </c>
      <c r="D1641" s="415" t="s">
        <v>271</v>
      </c>
      <c r="E1641" s="415" t="s">
        <v>464</v>
      </c>
      <c r="F1641" s="425">
        <v>840</v>
      </c>
      <c r="G1641" s="427" t="s">
        <v>2261</v>
      </c>
      <c r="H1641" s="419" t="s">
        <v>758</v>
      </c>
      <c r="I1641" s="427" t="s">
        <v>4459</v>
      </c>
      <c r="J1641" s="415" t="s">
        <v>2262</v>
      </c>
      <c r="K1641" s="415" t="s">
        <v>830</v>
      </c>
      <c r="L1641" s="415" t="s">
        <v>839</v>
      </c>
      <c r="M1641" s="415">
        <v>1763</v>
      </c>
      <c r="N1641" s="414">
        <v>44694</v>
      </c>
      <c r="O1641" s="414" t="s">
        <v>400</v>
      </c>
      <c r="P1641" s="603">
        <f t="shared" si="251"/>
        <v>6</v>
      </c>
      <c r="Q1641" s="603">
        <f t="shared" si="252"/>
        <v>3</v>
      </c>
      <c r="R1641" s="604" t="str">
        <f t="shared" si="253"/>
        <v>Gastos_Gerais</v>
      </c>
      <c r="S1641" s="605" t="s">
        <v>998</v>
      </c>
      <c r="T1641" s="605">
        <v>3148</v>
      </c>
    </row>
    <row r="1642" spans="1:20" s="88" customFormat="1" ht="62.25" customHeight="1" x14ac:dyDescent="0.2">
      <c r="A1642" s="510">
        <f>IF(B1642="","",COUNT('Diário 1º PA'!$A$4:$A$2635)+ROW()-3)</f>
        <v>3375</v>
      </c>
      <c r="B1642" s="414">
        <v>44714</v>
      </c>
      <c r="C1642" s="431">
        <v>44682</v>
      </c>
      <c r="D1642" s="415" t="s">
        <v>271</v>
      </c>
      <c r="E1642" s="415" t="s">
        <v>297</v>
      </c>
      <c r="F1642" s="425">
        <v>699</v>
      </c>
      <c r="G1642" s="427" t="s">
        <v>3710</v>
      </c>
      <c r="H1642" s="415" t="s">
        <v>752</v>
      </c>
      <c r="I1642" s="427" t="s">
        <v>4462</v>
      </c>
      <c r="J1642" s="415" t="s">
        <v>3614</v>
      </c>
      <c r="K1642" s="415" t="s">
        <v>830</v>
      </c>
      <c r="L1642" s="415" t="s">
        <v>807</v>
      </c>
      <c r="M1642" s="415" t="s">
        <v>4463</v>
      </c>
      <c r="N1642" s="414">
        <v>44684</v>
      </c>
      <c r="O1642" s="414" t="s">
        <v>400</v>
      </c>
      <c r="P1642" s="603">
        <f t="shared" si="251"/>
        <v>6</v>
      </c>
      <c r="Q1642" s="603">
        <f t="shared" si="252"/>
        <v>5</v>
      </c>
      <c r="R1642" s="604" t="str">
        <f t="shared" si="253"/>
        <v>Gastos_Gerais</v>
      </c>
      <c r="S1642" s="605" t="s">
        <v>999</v>
      </c>
      <c r="T1642" s="605">
        <v>3542</v>
      </c>
    </row>
    <row r="1643" spans="1:20" s="88" customFormat="1" ht="36" x14ac:dyDescent="0.2">
      <c r="A1643" s="510">
        <f>IF(B1643="","",COUNT('Diário 1º PA'!$A$4:$A$2635)+ROW()-3)</f>
        <v>3376</v>
      </c>
      <c r="B1643" s="414">
        <v>44714</v>
      </c>
      <c r="C1643" s="431">
        <v>44652</v>
      </c>
      <c r="D1643" s="434" t="s">
        <v>271</v>
      </c>
      <c r="E1643" s="434" t="s">
        <v>91</v>
      </c>
      <c r="F1643" s="425">
        <v>22900</v>
      </c>
      <c r="G1643" s="427" t="s">
        <v>3276</v>
      </c>
      <c r="H1643" s="419" t="s">
        <v>792</v>
      </c>
      <c r="I1643" s="427" t="s">
        <v>2806</v>
      </c>
      <c r="J1643" s="415" t="s">
        <v>1094</v>
      </c>
      <c r="K1643" s="415" t="s">
        <v>830</v>
      </c>
      <c r="L1643" s="415" t="s">
        <v>3743</v>
      </c>
      <c r="M1643" s="415">
        <v>319</v>
      </c>
      <c r="N1643" s="414">
        <v>44713</v>
      </c>
      <c r="O1643" s="414" t="s">
        <v>400</v>
      </c>
      <c r="P1643" s="603">
        <f t="shared" si="251"/>
        <v>6</v>
      </c>
      <c r="Q1643" s="603">
        <f t="shared" si="252"/>
        <v>4</v>
      </c>
      <c r="R1643" s="604" t="str">
        <f t="shared" si="253"/>
        <v>Gastos_Gerais</v>
      </c>
      <c r="S1643" s="605" t="s">
        <v>998</v>
      </c>
      <c r="T1643" s="605">
        <v>3349</v>
      </c>
    </row>
    <row r="1644" spans="1:20" ht="87" customHeight="1" x14ac:dyDescent="0.2">
      <c r="A1644" s="510">
        <f>IF(B1644="","",COUNT('Diário 1º PA'!$A$4:$A$2635)+ROW()-3)</f>
        <v>3377</v>
      </c>
      <c r="B1644" s="414">
        <v>44714</v>
      </c>
      <c r="C1644" s="431">
        <v>44652</v>
      </c>
      <c r="D1644" s="434" t="s">
        <v>468</v>
      </c>
      <c r="E1644" s="415" t="s">
        <v>468</v>
      </c>
      <c r="F1644" s="425">
        <v>2700</v>
      </c>
      <c r="G1644" s="427" t="s">
        <v>4016</v>
      </c>
      <c r="H1644" s="419" t="s">
        <v>468</v>
      </c>
      <c r="I1644" s="427" t="s">
        <v>5223</v>
      </c>
      <c r="J1644" s="415" t="s">
        <v>4017</v>
      </c>
      <c r="K1644" s="415" t="s">
        <v>830</v>
      </c>
      <c r="L1644" s="415" t="s">
        <v>807</v>
      </c>
      <c r="M1644" s="415">
        <v>4</v>
      </c>
      <c r="N1644" s="414">
        <v>44714</v>
      </c>
      <c r="O1644" s="414" t="s">
        <v>407</v>
      </c>
      <c r="P1644" s="603">
        <f t="shared" ref="P1644:P1654" si="254">IF(B1644=0,0,IF(YEAR(B1644)=$Q$1,MONTH(B1644)-$P$1+1,(YEAR(B1644)-$Q$1)*12-$P$1+1+MONTH(B1644)))</f>
        <v>6</v>
      </c>
      <c r="Q1644" s="603">
        <f t="shared" ref="Q1644:Q1654" si="255">IF(C1644=0,0,IF(YEAR(C1644)=$Q$1,MONTH(C1644)-$P$1+1,(YEAR(C1644)-$Q$1)*12-$P$1+1+MONTH(C1644)))</f>
        <v>4</v>
      </c>
      <c r="R1644" s="604" t="str">
        <f t="shared" ref="R1644:R1654" si="256">SUBSTITUTE(D1644," ","_")</f>
        <v>Gastos_custeados_por_captação</v>
      </c>
      <c r="S1644" s="605" t="s">
        <v>998</v>
      </c>
      <c r="T1644" s="605">
        <v>3633</v>
      </c>
    </row>
    <row r="1645" spans="1:20" ht="72" x14ac:dyDescent="0.2">
      <c r="A1645" s="510">
        <f>IF(B1645="","",COUNT('Diário 1º PA'!$A$4:$A$2635)+ROW()-3)</f>
        <v>3378</v>
      </c>
      <c r="B1645" s="414">
        <v>44714</v>
      </c>
      <c r="C1645" s="466">
        <v>44621</v>
      </c>
      <c r="D1645" s="415" t="s">
        <v>468</v>
      </c>
      <c r="E1645" s="415" t="s">
        <v>468</v>
      </c>
      <c r="F1645" s="425">
        <v>2295.1999999999998</v>
      </c>
      <c r="G1645" s="427" t="s">
        <v>4803</v>
      </c>
      <c r="H1645" s="434" t="s">
        <v>468</v>
      </c>
      <c r="I1645" s="639" t="s">
        <v>4691</v>
      </c>
      <c r="J1645" s="418" t="s">
        <v>4804</v>
      </c>
      <c r="K1645" s="418" t="s">
        <v>830</v>
      </c>
      <c r="L1645" s="399" t="s">
        <v>807</v>
      </c>
      <c r="M1645" s="415" t="s">
        <v>5224</v>
      </c>
      <c r="N1645" s="414">
        <v>44698</v>
      </c>
      <c r="O1645" s="414" t="s">
        <v>407</v>
      </c>
      <c r="P1645" s="603">
        <f t="shared" si="254"/>
        <v>6</v>
      </c>
      <c r="Q1645" s="603">
        <f t="shared" si="255"/>
        <v>3</v>
      </c>
      <c r="R1645" s="604" t="str">
        <f t="shared" si="256"/>
        <v>Gastos_custeados_por_captação</v>
      </c>
      <c r="S1645" s="605" t="s">
        <v>1000</v>
      </c>
      <c r="T1645" s="605">
        <v>3233</v>
      </c>
    </row>
    <row r="1646" spans="1:20" ht="72" x14ac:dyDescent="0.2">
      <c r="A1646" s="510">
        <f>IF(B1646="","",COUNT('Diário 1º PA'!$A$4:$A$2635)+ROW()-3)</f>
        <v>3379</v>
      </c>
      <c r="B1646" s="414">
        <v>44714</v>
      </c>
      <c r="C1646" s="431">
        <v>44682</v>
      </c>
      <c r="D1646" s="434" t="s">
        <v>468</v>
      </c>
      <c r="E1646" s="415" t="s">
        <v>468</v>
      </c>
      <c r="F1646" s="425">
        <v>3000</v>
      </c>
      <c r="G1646" s="427" t="s">
        <v>4226</v>
      </c>
      <c r="H1646" s="419" t="s">
        <v>468</v>
      </c>
      <c r="I1646" s="427" t="s">
        <v>2848</v>
      </c>
      <c r="J1646" s="415" t="s">
        <v>1085</v>
      </c>
      <c r="K1646" s="418" t="s">
        <v>830</v>
      </c>
      <c r="L1646" s="399" t="s">
        <v>807</v>
      </c>
      <c r="M1646" s="415" t="s">
        <v>1700</v>
      </c>
      <c r="N1646" s="414">
        <v>44713</v>
      </c>
      <c r="O1646" s="414" t="s">
        <v>407</v>
      </c>
      <c r="P1646" s="603">
        <f t="shared" si="254"/>
        <v>6</v>
      </c>
      <c r="Q1646" s="603">
        <f t="shared" si="255"/>
        <v>5</v>
      </c>
      <c r="R1646" s="604" t="str">
        <f t="shared" si="256"/>
        <v>Gastos_custeados_por_captação</v>
      </c>
      <c r="S1646" s="605" t="s">
        <v>1000</v>
      </c>
      <c r="T1646" s="605">
        <v>3761</v>
      </c>
    </row>
    <row r="1647" spans="1:20" ht="58.5" customHeight="1" x14ac:dyDescent="0.2">
      <c r="A1647" s="510">
        <f>IF(B1647="","",COUNT('Diário 1º PA'!$A$4:$A$2635)+ROW()-3)</f>
        <v>3380</v>
      </c>
      <c r="B1647" s="414">
        <v>44714</v>
      </c>
      <c r="C1647" s="431">
        <v>44652</v>
      </c>
      <c r="D1647" s="434" t="s">
        <v>468</v>
      </c>
      <c r="E1647" s="415" t="s">
        <v>468</v>
      </c>
      <c r="F1647" s="425">
        <v>4180.68</v>
      </c>
      <c r="G1647" s="427" t="s">
        <v>3438</v>
      </c>
      <c r="H1647" s="419" t="s">
        <v>468</v>
      </c>
      <c r="I1647" s="427" t="s">
        <v>3506</v>
      </c>
      <c r="J1647" s="415" t="s">
        <v>1093</v>
      </c>
      <c r="K1647" s="418" t="s">
        <v>830</v>
      </c>
      <c r="L1647" s="399" t="s">
        <v>807</v>
      </c>
      <c r="M1647" s="415" t="s">
        <v>1465</v>
      </c>
      <c r="N1647" s="414">
        <v>44714</v>
      </c>
      <c r="O1647" s="414" t="s">
        <v>407</v>
      </c>
      <c r="P1647" s="603">
        <f t="shared" si="254"/>
        <v>6</v>
      </c>
      <c r="Q1647" s="603">
        <f t="shared" si="255"/>
        <v>4</v>
      </c>
      <c r="R1647" s="604" t="str">
        <f t="shared" si="256"/>
        <v>Gastos_custeados_por_captação</v>
      </c>
      <c r="S1647" s="605" t="s">
        <v>998</v>
      </c>
      <c r="T1647" s="605">
        <v>3407</v>
      </c>
    </row>
    <row r="1648" spans="1:20" ht="99.95" customHeight="1" x14ac:dyDescent="0.2">
      <c r="A1648" s="510">
        <f>IF(B1648="","",COUNT('Diário 1º PA'!$A$4:$A$2635)+ROW()-3)</f>
        <v>3381</v>
      </c>
      <c r="B1648" s="414">
        <v>44714</v>
      </c>
      <c r="C1648" s="431">
        <v>44682</v>
      </c>
      <c r="D1648" s="434" t="s">
        <v>468</v>
      </c>
      <c r="E1648" s="415" t="s">
        <v>468</v>
      </c>
      <c r="F1648" s="425">
        <v>471.04</v>
      </c>
      <c r="G1648" s="427" t="s">
        <v>4064</v>
      </c>
      <c r="H1648" s="419" t="s">
        <v>468</v>
      </c>
      <c r="I1648" s="427" t="s">
        <v>1464</v>
      </c>
      <c r="J1648" s="415" t="s">
        <v>1010</v>
      </c>
      <c r="K1648" s="415" t="s">
        <v>830</v>
      </c>
      <c r="L1648" s="399" t="s">
        <v>807</v>
      </c>
      <c r="M1648" s="415" t="s">
        <v>5226</v>
      </c>
      <c r="N1648" s="414">
        <v>44713</v>
      </c>
      <c r="O1648" s="414" t="s">
        <v>407</v>
      </c>
      <c r="P1648" s="603">
        <f t="shared" si="254"/>
        <v>6</v>
      </c>
      <c r="Q1648" s="603">
        <f t="shared" si="255"/>
        <v>5</v>
      </c>
      <c r="R1648" s="604" t="str">
        <f t="shared" si="256"/>
        <v>Gastos_custeados_por_captação</v>
      </c>
      <c r="S1648" s="605" t="s">
        <v>998</v>
      </c>
      <c r="T1648" s="605">
        <v>3648</v>
      </c>
    </row>
    <row r="1649" spans="1:20" ht="99.95" customHeight="1" x14ac:dyDescent="0.2">
      <c r="A1649" s="510">
        <f>IF(B1649="","",COUNT('Diário 1º PA'!$A$4:$A$2635)+ROW()-3)</f>
        <v>3382</v>
      </c>
      <c r="B1649" s="414">
        <v>44714</v>
      </c>
      <c r="C1649" s="431">
        <v>44682</v>
      </c>
      <c r="D1649" s="434" t="s">
        <v>468</v>
      </c>
      <c r="E1649" s="415" t="s">
        <v>468</v>
      </c>
      <c r="F1649" s="425">
        <v>2700</v>
      </c>
      <c r="G1649" s="427" t="s">
        <v>3882</v>
      </c>
      <c r="H1649" s="419" t="s">
        <v>468</v>
      </c>
      <c r="I1649" s="427" t="s">
        <v>5228</v>
      </c>
      <c r="J1649" s="415" t="s">
        <v>3883</v>
      </c>
      <c r="K1649" s="415" t="s">
        <v>830</v>
      </c>
      <c r="L1649" s="399" t="s">
        <v>807</v>
      </c>
      <c r="M1649" s="415" t="s">
        <v>848</v>
      </c>
      <c r="N1649" s="414">
        <v>44713</v>
      </c>
      <c r="O1649" s="414" t="s">
        <v>407</v>
      </c>
      <c r="P1649" s="603">
        <f t="shared" si="254"/>
        <v>6</v>
      </c>
      <c r="Q1649" s="603">
        <f t="shared" si="255"/>
        <v>5</v>
      </c>
      <c r="R1649" s="604" t="str">
        <f t="shared" si="256"/>
        <v>Gastos_custeados_por_captação</v>
      </c>
      <c r="S1649" s="605" t="s">
        <v>998</v>
      </c>
      <c r="T1649" s="605">
        <v>3512</v>
      </c>
    </row>
    <row r="1650" spans="1:20" ht="99.95" customHeight="1" x14ac:dyDescent="0.2">
      <c r="A1650" s="510">
        <f>IF(B1650="","",COUNT('Diário 1º PA'!$A$4:$A$2635)+ROW()-3)</f>
        <v>3383</v>
      </c>
      <c r="B1650" s="414">
        <v>44714</v>
      </c>
      <c r="C1650" s="431">
        <v>44652</v>
      </c>
      <c r="D1650" s="434" t="s">
        <v>468</v>
      </c>
      <c r="E1650" s="415" t="s">
        <v>468</v>
      </c>
      <c r="F1650" s="425">
        <v>96280</v>
      </c>
      <c r="G1650" s="427" t="s">
        <v>3304</v>
      </c>
      <c r="H1650" s="419" t="s">
        <v>468</v>
      </c>
      <c r="I1650" s="427" t="s">
        <v>5119</v>
      </c>
      <c r="J1650" s="415" t="s">
        <v>1102</v>
      </c>
      <c r="K1650" s="415" t="s">
        <v>830</v>
      </c>
      <c r="L1650" s="399" t="s">
        <v>807</v>
      </c>
      <c r="M1650" s="415" t="s">
        <v>2186</v>
      </c>
      <c r="N1650" s="414">
        <v>44713</v>
      </c>
      <c r="O1650" s="414" t="s">
        <v>407</v>
      </c>
      <c r="P1650" s="603">
        <f t="shared" si="254"/>
        <v>6</v>
      </c>
      <c r="Q1650" s="603">
        <f t="shared" si="255"/>
        <v>4</v>
      </c>
      <c r="R1650" s="604" t="str">
        <f t="shared" si="256"/>
        <v>Gastos_custeados_por_captação</v>
      </c>
      <c r="S1650" s="605" t="s">
        <v>998</v>
      </c>
      <c r="T1650" s="605">
        <v>3301</v>
      </c>
    </row>
    <row r="1651" spans="1:20" ht="72" x14ac:dyDescent="0.2">
      <c r="A1651" s="510">
        <f>IF(B1651="","",COUNT('Diário 1º PA'!$A$4:$A$2635)+ROW()-3)</f>
        <v>3384</v>
      </c>
      <c r="B1651" s="414">
        <v>44714</v>
      </c>
      <c r="C1651" s="431">
        <v>44652</v>
      </c>
      <c r="D1651" s="434" t="s">
        <v>468</v>
      </c>
      <c r="E1651" s="415" t="s">
        <v>468</v>
      </c>
      <c r="F1651" s="425">
        <v>2700</v>
      </c>
      <c r="G1651" s="427" t="s">
        <v>4014</v>
      </c>
      <c r="H1651" s="419" t="s">
        <v>468</v>
      </c>
      <c r="I1651" s="427" t="s">
        <v>5230</v>
      </c>
      <c r="J1651" s="415" t="s">
        <v>4015</v>
      </c>
      <c r="K1651" s="415" t="s">
        <v>830</v>
      </c>
      <c r="L1651" s="399" t="s">
        <v>807</v>
      </c>
      <c r="M1651" s="415" t="s">
        <v>848</v>
      </c>
      <c r="N1651" s="414">
        <v>44714</v>
      </c>
      <c r="O1651" s="414" t="s">
        <v>407</v>
      </c>
      <c r="P1651" s="603">
        <f t="shared" si="254"/>
        <v>6</v>
      </c>
      <c r="Q1651" s="603">
        <f t="shared" si="255"/>
        <v>4</v>
      </c>
      <c r="R1651" s="604" t="str">
        <f t="shared" si="256"/>
        <v>Gastos_custeados_por_captação</v>
      </c>
      <c r="S1651" s="605" t="s">
        <v>998</v>
      </c>
      <c r="T1651" s="605">
        <v>3634</v>
      </c>
    </row>
    <row r="1652" spans="1:20" ht="72" x14ac:dyDescent="0.2">
      <c r="A1652" s="510">
        <f>IF(B1652="","",COUNT('Diário 1º PA'!$A$4:$A$2635)+ROW()-3)</f>
        <v>3385</v>
      </c>
      <c r="B1652" s="414">
        <v>44714</v>
      </c>
      <c r="C1652" s="466">
        <v>44621</v>
      </c>
      <c r="D1652" s="415" t="s">
        <v>468</v>
      </c>
      <c r="E1652" s="415" t="s">
        <v>468</v>
      </c>
      <c r="F1652" s="425">
        <v>4954.25</v>
      </c>
      <c r="G1652" s="427" t="s">
        <v>4803</v>
      </c>
      <c r="H1652" s="434" t="s">
        <v>468</v>
      </c>
      <c r="I1652" s="639" t="s">
        <v>4691</v>
      </c>
      <c r="J1652" s="418" t="s">
        <v>4804</v>
      </c>
      <c r="K1652" s="418" t="s">
        <v>830</v>
      </c>
      <c r="L1652" s="399" t="s">
        <v>807</v>
      </c>
      <c r="M1652" s="415" t="s">
        <v>5231</v>
      </c>
      <c r="N1652" s="414">
        <v>44698</v>
      </c>
      <c r="O1652" s="414" t="s">
        <v>407</v>
      </c>
      <c r="P1652" s="603">
        <f>IF(B1652=0,0,IF(YEAR(B1652)=$Q$1,MONTH(B1652)-$P$1+1,(YEAR(B1652)-$Q$1)*12-$P$1+1+MONTH(B1652)))</f>
        <v>6</v>
      </c>
      <c r="Q1652" s="603">
        <f>IF(C1652=0,0,IF(YEAR(C1652)=$Q$1,MONTH(C1652)-$P$1+1,(YEAR(C1652)-$Q$1)*12-$P$1+1+MONTH(C1652)))</f>
        <v>3</v>
      </c>
      <c r="R1652" s="604" t="str">
        <f>SUBSTITUTE(D1652," ","_")</f>
        <v>Gastos_custeados_por_captação</v>
      </c>
      <c r="S1652" s="605" t="s">
        <v>1000</v>
      </c>
      <c r="T1652" s="605">
        <v>3233</v>
      </c>
    </row>
    <row r="1653" spans="1:20" ht="72" x14ac:dyDescent="0.2">
      <c r="A1653" s="510">
        <f>IF(B1653="","",COUNT('Diário 1º PA'!$A$4:$A$2635)+ROW()-3)</f>
        <v>3386</v>
      </c>
      <c r="B1653" s="414">
        <v>44714</v>
      </c>
      <c r="C1653" s="431">
        <v>44682</v>
      </c>
      <c r="D1653" s="434" t="s">
        <v>468</v>
      </c>
      <c r="E1653" s="415" t="s">
        <v>468</v>
      </c>
      <c r="F1653" s="425">
        <v>3364.55</v>
      </c>
      <c r="G1653" s="427" t="s">
        <v>3827</v>
      </c>
      <c r="H1653" s="419" t="s">
        <v>468</v>
      </c>
      <c r="I1653" s="427" t="s">
        <v>1464</v>
      </c>
      <c r="J1653" s="415" t="s">
        <v>1010</v>
      </c>
      <c r="K1653" s="418" t="s">
        <v>830</v>
      </c>
      <c r="L1653" s="399" t="s">
        <v>807</v>
      </c>
      <c r="M1653" s="415">
        <v>2022303</v>
      </c>
      <c r="N1653" s="414">
        <v>44714</v>
      </c>
      <c r="O1653" s="414" t="s">
        <v>407</v>
      </c>
      <c r="P1653" s="603">
        <f t="shared" si="254"/>
        <v>6</v>
      </c>
      <c r="Q1653" s="603">
        <f t="shared" si="255"/>
        <v>5</v>
      </c>
      <c r="R1653" s="604" t="str">
        <f t="shared" si="256"/>
        <v>Gastos_custeados_por_captação</v>
      </c>
      <c r="S1653" s="605" t="s">
        <v>998</v>
      </c>
      <c r="T1653" s="605">
        <v>3591</v>
      </c>
    </row>
    <row r="1654" spans="1:20" ht="72" x14ac:dyDescent="0.2">
      <c r="A1654" s="510">
        <f>IF(B1654="","",COUNT('Diário 1º PA'!$A$4:$A$2635)+ROW()-3)</f>
        <v>3387</v>
      </c>
      <c r="B1654" s="414">
        <v>44714</v>
      </c>
      <c r="C1654" s="431">
        <v>44682</v>
      </c>
      <c r="D1654" s="434" t="s">
        <v>468</v>
      </c>
      <c r="E1654" s="415" t="s">
        <v>468</v>
      </c>
      <c r="F1654" s="425">
        <v>528.71</v>
      </c>
      <c r="G1654" s="427" t="s">
        <v>4222</v>
      </c>
      <c r="H1654" s="419" t="s">
        <v>468</v>
      </c>
      <c r="I1654" s="427" t="s">
        <v>2180</v>
      </c>
      <c r="J1654" s="415" t="s">
        <v>1010</v>
      </c>
      <c r="K1654" s="418" t="s">
        <v>830</v>
      </c>
      <c r="L1654" s="399" t="s">
        <v>807</v>
      </c>
      <c r="M1654" s="415" t="s">
        <v>5233</v>
      </c>
      <c r="N1654" s="414">
        <v>44713</v>
      </c>
      <c r="O1654" s="414" t="s">
        <v>407</v>
      </c>
      <c r="P1654" s="603">
        <f t="shared" si="254"/>
        <v>6</v>
      </c>
      <c r="Q1654" s="603">
        <f t="shared" si="255"/>
        <v>5</v>
      </c>
      <c r="R1654" s="604" t="str">
        <f t="shared" si="256"/>
        <v>Gastos_custeados_por_captação</v>
      </c>
      <c r="S1654" s="605" t="s">
        <v>998</v>
      </c>
      <c r="T1654" s="605">
        <v>3691</v>
      </c>
    </row>
    <row r="1655" spans="1:20" s="88" customFormat="1" ht="36" x14ac:dyDescent="0.2">
      <c r="A1655" s="510">
        <f>IF(B1655="","",COUNT('Diário 1º PA'!$A$4:$A$2635)+ROW()-3)</f>
        <v>3388</v>
      </c>
      <c r="B1655" s="414">
        <v>44714</v>
      </c>
      <c r="C1655" s="431">
        <v>44682</v>
      </c>
      <c r="D1655" s="434" t="s">
        <v>468</v>
      </c>
      <c r="E1655" s="415" t="s">
        <v>468</v>
      </c>
      <c r="F1655" s="425">
        <v>4400</v>
      </c>
      <c r="G1655" s="427" t="s">
        <v>691</v>
      </c>
      <c r="H1655" s="419" t="s">
        <v>468</v>
      </c>
      <c r="I1655" s="427" t="s">
        <v>846</v>
      </c>
      <c r="J1655" s="415" t="s">
        <v>1122</v>
      </c>
      <c r="K1655" s="418" t="s">
        <v>830</v>
      </c>
      <c r="L1655" s="399" t="s">
        <v>807</v>
      </c>
      <c r="M1655" s="415" t="s">
        <v>1890</v>
      </c>
      <c r="N1655" s="414">
        <v>44713</v>
      </c>
      <c r="O1655" s="414" t="s">
        <v>408</v>
      </c>
      <c r="P1655" s="603">
        <f t="shared" ref="P1655:P1661" si="257">IF(B1655=0,0,IF(YEAR(B1655)=$Q$1,MONTH(B1655)-$P$1+1,(YEAR(B1655)-$Q$1)*12-$P$1+1+MONTH(B1655)))</f>
        <v>6</v>
      </c>
      <c r="Q1655" s="603">
        <f t="shared" ref="Q1655:Q1661" si="258">IF(C1655=0,0,IF(YEAR(C1655)=$Q$1,MONTH(C1655)-$P$1+1,(YEAR(C1655)-$Q$1)*12-$P$1+1+MONTH(C1655)))</f>
        <v>5</v>
      </c>
      <c r="R1655" s="604" t="str">
        <f t="shared" ref="R1655:R1661" si="259">SUBSTITUTE(D1655," ","_")</f>
        <v>Gastos_custeados_por_captação</v>
      </c>
      <c r="S1655" s="605" t="s">
        <v>1000</v>
      </c>
      <c r="T1655" s="605">
        <v>2640</v>
      </c>
    </row>
    <row r="1656" spans="1:20" s="88" customFormat="1" ht="36" x14ac:dyDescent="0.2">
      <c r="A1656" s="510">
        <f>IF(B1656="","",COUNT('Diário 1º PA'!$A$4:$A$2635)+ROW()-3)</f>
        <v>3389</v>
      </c>
      <c r="B1656" s="414">
        <v>44714</v>
      </c>
      <c r="C1656" s="431">
        <v>44682</v>
      </c>
      <c r="D1656" s="434" t="s">
        <v>468</v>
      </c>
      <c r="E1656" s="415" t="s">
        <v>468</v>
      </c>
      <c r="F1656" s="425">
        <v>4311.5600000000004</v>
      </c>
      <c r="G1656" s="427" t="s">
        <v>693</v>
      </c>
      <c r="H1656" s="419" t="s">
        <v>468</v>
      </c>
      <c r="I1656" s="427" t="s">
        <v>5384</v>
      </c>
      <c r="J1656" s="415" t="s">
        <v>1124</v>
      </c>
      <c r="K1656" s="418" t="s">
        <v>830</v>
      </c>
      <c r="L1656" s="399" t="s">
        <v>807</v>
      </c>
      <c r="M1656" s="415" t="s">
        <v>1890</v>
      </c>
      <c r="N1656" s="414">
        <v>44713</v>
      </c>
      <c r="O1656" s="414" t="s">
        <v>408</v>
      </c>
      <c r="P1656" s="603">
        <f t="shared" si="257"/>
        <v>6</v>
      </c>
      <c r="Q1656" s="603">
        <f t="shared" si="258"/>
        <v>5</v>
      </c>
      <c r="R1656" s="604" t="str">
        <f t="shared" si="259"/>
        <v>Gastos_custeados_por_captação</v>
      </c>
      <c r="S1656" s="605" t="s">
        <v>1000</v>
      </c>
      <c r="T1656" s="605">
        <v>2642</v>
      </c>
    </row>
    <row r="1657" spans="1:20" s="88" customFormat="1" ht="36" x14ac:dyDescent="0.2">
      <c r="A1657" s="510">
        <f>IF(B1657="","",COUNT('Diário 1º PA'!$A$4:$A$2635)+ROW()-3)</f>
        <v>3390</v>
      </c>
      <c r="B1657" s="414">
        <v>44714</v>
      </c>
      <c r="C1657" s="431">
        <v>44682</v>
      </c>
      <c r="D1657" s="434" t="s">
        <v>468</v>
      </c>
      <c r="E1657" s="415" t="s">
        <v>468</v>
      </c>
      <c r="F1657" s="425">
        <v>2650</v>
      </c>
      <c r="G1657" s="427" t="s">
        <v>697</v>
      </c>
      <c r="H1657" s="419" t="s">
        <v>468</v>
      </c>
      <c r="I1657" s="427" t="s">
        <v>5386</v>
      </c>
      <c r="J1657" s="415" t="s">
        <v>1128</v>
      </c>
      <c r="K1657" s="418" t="s">
        <v>830</v>
      </c>
      <c r="L1657" s="399" t="s">
        <v>807</v>
      </c>
      <c r="M1657" s="415" t="s">
        <v>1892</v>
      </c>
      <c r="N1657" s="414">
        <v>44713</v>
      </c>
      <c r="O1657" s="414" t="s">
        <v>408</v>
      </c>
      <c r="P1657" s="603">
        <f t="shared" si="257"/>
        <v>6</v>
      </c>
      <c r="Q1657" s="603">
        <f t="shared" si="258"/>
        <v>5</v>
      </c>
      <c r="R1657" s="604" t="str">
        <f t="shared" si="259"/>
        <v>Gastos_custeados_por_captação</v>
      </c>
      <c r="S1657" s="605" t="s">
        <v>1000</v>
      </c>
      <c r="T1657" s="605">
        <v>2687</v>
      </c>
    </row>
    <row r="1658" spans="1:20" s="88" customFormat="1" ht="48" x14ac:dyDescent="0.2">
      <c r="A1658" s="510">
        <f>IF(B1658="","",COUNT('Diário 1º PA'!$A$4:$A$2635)+ROW()-3)</f>
        <v>3391</v>
      </c>
      <c r="B1658" s="414">
        <v>44714</v>
      </c>
      <c r="C1658" s="431">
        <v>44682</v>
      </c>
      <c r="D1658" s="434" t="s">
        <v>468</v>
      </c>
      <c r="E1658" s="415" t="s">
        <v>468</v>
      </c>
      <c r="F1658" s="425">
        <v>4400</v>
      </c>
      <c r="G1658" s="427" t="s">
        <v>701</v>
      </c>
      <c r="H1658" s="419" t="s">
        <v>468</v>
      </c>
      <c r="I1658" s="427" t="s">
        <v>2465</v>
      </c>
      <c r="J1658" s="415" t="s">
        <v>1131</v>
      </c>
      <c r="K1658" s="418" t="s">
        <v>830</v>
      </c>
      <c r="L1658" s="399" t="s">
        <v>807</v>
      </c>
      <c r="M1658" s="415" t="s">
        <v>1890</v>
      </c>
      <c r="N1658" s="414">
        <v>44713</v>
      </c>
      <c r="O1658" s="414" t="s">
        <v>408</v>
      </c>
      <c r="P1658" s="603">
        <f t="shared" si="257"/>
        <v>6</v>
      </c>
      <c r="Q1658" s="603">
        <f t="shared" si="258"/>
        <v>5</v>
      </c>
      <c r="R1658" s="604" t="str">
        <f t="shared" si="259"/>
        <v>Gastos_custeados_por_captação</v>
      </c>
      <c r="S1658" s="605" t="s">
        <v>1000</v>
      </c>
      <c r="T1658" s="605">
        <v>2641</v>
      </c>
    </row>
    <row r="1659" spans="1:20" s="88" customFormat="1" ht="36" x14ac:dyDescent="0.2">
      <c r="A1659" s="510">
        <f>IF(B1659="","",COUNT('Diário 1º PA'!$A$4:$A$2635)+ROW()-3)</f>
        <v>3392</v>
      </c>
      <c r="B1659" s="414">
        <v>44714</v>
      </c>
      <c r="C1659" s="431">
        <v>44682</v>
      </c>
      <c r="D1659" s="434" t="s">
        <v>468</v>
      </c>
      <c r="E1659" s="415" t="s">
        <v>468</v>
      </c>
      <c r="F1659" s="425">
        <v>2750</v>
      </c>
      <c r="G1659" s="427" t="s">
        <v>694</v>
      </c>
      <c r="H1659" s="419" t="s">
        <v>468</v>
      </c>
      <c r="I1659" s="427" t="s">
        <v>2468</v>
      </c>
      <c r="J1659" s="415" t="s">
        <v>1018</v>
      </c>
      <c r="K1659" s="418" t="s">
        <v>830</v>
      </c>
      <c r="L1659" s="399" t="s">
        <v>807</v>
      </c>
      <c r="M1659" s="415" t="s">
        <v>1696</v>
      </c>
      <c r="N1659" s="414">
        <v>44713</v>
      </c>
      <c r="O1659" s="414" t="s">
        <v>408</v>
      </c>
      <c r="P1659" s="603">
        <f t="shared" si="257"/>
        <v>6</v>
      </c>
      <c r="Q1659" s="603">
        <f t="shared" si="258"/>
        <v>5</v>
      </c>
      <c r="R1659" s="604" t="str">
        <f t="shared" si="259"/>
        <v>Gastos_custeados_por_captação</v>
      </c>
      <c r="S1659" s="605" t="s">
        <v>1000</v>
      </c>
      <c r="T1659" s="605">
        <v>2661</v>
      </c>
    </row>
    <row r="1660" spans="1:20" s="88" customFormat="1" ht="36" x14ac:dyDescent="0.2">
      <c r="A1660" s="510">
        <f>IF(B1660="","",COUNT('Diário 1º PA'!$A$4:$A$2635)+ROW()-3)</f>
        <v>3393</v>
      </c>
      <c r="B1660" s="414">
        <v>44714</v>
      </c>
      <c r="C1660" s="431">
        <v>44682</v>
      </c>
      <c r="D1660" s="434" t="s">
        <v>468</v>
      </c>
      <c r="E1660" s="415" t="s">
        <v>468</v>
      </c>
      <c r="F1660" s="425">
        <v>2750</v>
      </c>
      <c r="G1660" s="427" t="s">
        <v>694</v>
      </c>
      <c r="H1660" s="419" t="s">
        <v>468</v>
      </c>
      <c r="I1660" s="427" t="s">
        <v>5387</v>
      </c>
      <c r="J1660" s="415" t="s">
        <v>1121</v>
      </c>
      <c r="K1660" s="418" t="s">
        <v>830</v>
      </c>
      <c r="L1660" s="399" t="s">
        <v>807</v>
      </c>
      <c r="M1660" s="415" t="s">
        <v>1711</v>
      </c>
      <c r="N1660" s="414">
        <v>44713</v>
      </c>
      <c r="O1660" s="414" t="s">
        <v>408</v>
      </c>
      <c r="P1660" s="603">
        <f t="shared" si="257"/>
        <v>6</v>
      </c>
      <c r="Q1660" s="603">
        <f t="shared" si="258"/>
        <v>5</v>
      </c>
      <c r="R1660" s="604" t="str">
        <f t="shared" si="259"/>
        <v>Gastos_custeados_por_captação</v>
      </c>
      <c r="S1660" s="605" t="s">
        <v>1000</v>
      </c>
      <c r="T1660" s="605">
        <v>2662</v>
      </c>
    </row>
    <row r="1661" spans="1:20" s="88" customFormat="1" ht="48" x14ac:dyDescent="0.2">
      <c r="A1661" s="510">
        <f>IF(B1661="","",COUNT('Diário 1º PA'!$A$4:$A$2635)+ROW()-3)</f>
        <v>3394</v>
      </c>
      <c r="B1661" s="414">
        <v>44714</v>
      </c>
      <c r="C1661" s="431">
        <v>44682</v>
      </c>
      <c r="D1661" s="434" t="s">
        <v>468</v>
      </c>
      <c r="E1661" s="415" t="s">
        <v>468</v>
      </c>
      <c r="F1661" s="425">
        <v>2522.5500000000002</v>
      </c>
      <c r="G1661" s="427" t="s">
        <v>702</v>
      </c>
      <c r="H1661" s="419" t="s">
        <v>468</v>
      </c>
      <c r="I1661" s="427" t="s">
        <v>5388</v>
      </c>
      <c r="J1661" s="415" t="s">
        <v>1014</v>
      </c>
      <c r="K1661" s="418" t="s">
        <v>830</v>
      </c>
      <c r="L1661" s="399" t="s">
        <v>839</v>
      </c>
      <c r="M1661" s="415">
        <v>1795</v>
      </c>
      <c r="N1661" s="414">
        <v>44714</v>
      </c>
      <c r="O1661" s="414" t="s">
        <v>408</v>
      </c>
      <c r="P1661" s="603">
        <f t="shared" si="257"/>
        <v>6</v>
      </c>
      <c r="Q1661" s="603">
        <f t="shared" si="258"/>
        <v>5</v>
      </c>
      <c r="R1661" s="604" t="str">
        <f t="shared" si="259"/>
        <v>Gastos_custeados_por_captação</v>
      </c>
      <c r="S1661" s="605" t="s">
        <v>1000</v>
      </c>
      <c r="T1661" s="605">
        <v>2672</v>
      </c>
    </row>
    <row r="1662" spans="1:20" s="88" customFormat="1" ht="108" x14ac:dyDescent="0.2">
      <c r="A1662" s="510">
        <f>IF(B1662="","",COUNT('Diário 1º PA'!$A$4:$A$2635)+ROW()-3)</f>
        <v>3395</v>
      </c>
      <c r="B1662" s="414">
        <v>44714</v>
      </c>
      <c r="C1662" s="431">
        <v>44652</v>
      </c>
      <c r="D1662" s="434" t="s">
        <v>468</v>
      </c>
      <c r="E1662" s="415" t="s">
        <v>468</v>
      </c>
      <c r="F1662" s="425">
        <v>8425.7900000000009</v>
      </c>
      <c r="G1662" s="427" t="s">
        <v>3305</v>
      </c>
      <c r="H1662" s="419" t="s">
        <v>468</v>
      </c>
      <c r="I1662" s="427" t="s">
        <v>1464</v>
      </c>
      <c r="J1662" s="415" t="s">
        <v>1010</v>
      </c>
      <c r="K1662" s="418" t="s">
        <v>830</v>
      </c>
      <c r="L1662" s="399" t="s">
        <v>807</v>
      </c>
      <c r="M1662" s="415" t="s">
        <v>5459</v>
      </c>
      <c r="N1662" s="414">
        <v>44713</v>
      </c>
      <c r="O1662" s="414" t="s">
        <v>404</v>
      </c>
      <c r="P1662" s="603">
        <f t="shared" ref="P1662:Q1665" si="260">IF(B1662=0,0,IF(YEAR(B1662)=$Q$1,MONTH(B1662)-$P$1+1,(YEAR(B1662)-$Q$1)*12-$P$1+1+MONTH(B1662)))</f>
        <v>6</v>
      </c>
      <c r="Q1662" s="603">
        <f t="shared" si="260"/>
        <v>4</v>
      </c>
      <c r="R1662" s="604" t="str">
        <f>SUBSTITUTE(D1662," ","_")</f>
        <v>Gastos_custeados_por_captação</v>
      </c>
      <c r="S1662" s="605" t="s">
        <v>998</v>
      </c>
      <c r="T1662" s="605">
        <v>3410</v>
      </c>
    </row>
    <row r="1663" spans="1:20" s="88" customFormat="1" ht="96" x14ac:dyDescent="0.2">
      <c r="A1663" s="510">
        <f>IF(B1663="","",COUNT('Diário 1º PA'!$A$4:$A$2635)+ROW()-3)</f>
        <v>3396</v>
      </c>
      <c r="B1663" s="414">
        <v>44714</v>
      </c>
      <c r="C1663" s="431">
        <v>44682</v>
      </c>
      <c r="D1663" s="434" t="s">
        <v>468</v>
      </c>
      <c r="E1663" s="415" t="s">
        <v>468</v>
      </c>
      <c r="F1663" s="425">
        <v>1680</v>
      </c>
      <c r="G1663" s="427" t="s">
        <v>675</v>
      </c>
      <c r="H1663" s="419" t="s">
        <v>468</v>
      </c>
      <c r="I1663" s="427" t="s">
        <v>3918</v>
      </c>
      <c r="J1663" s="415" t="s">
        <v>1109</v>
      </c>
      <c r="K1663" s="418" t="s">
        <v>830</v>
      </c>
      <c r="L1663" s="399" t="s">
        <v>839</v>
      </c>
      <c r="M1663" s="415">
        <v>1793</v>
      </c>
      <c r="N1663" s="414">
        <v>44714</v>
      </c>
      <c r="O1663" s="414" t="s">
        <v>402</v>
      </c>
      <c r="P1663" s="603">
        <f t="shared" si="260"/>
        <v>6</v>
      </c>
      <c r="Q1663" s="603">
        <f t="shared" si="260"/>
        <v>5</v>
      </c>
      <c r="R1663" s="604" t="str">
        <f>SUBSTITUTE(D1663," ","_")</f>
        <v>Gastos_custeados_por_captação</v>
      </c>
      <c r="S1663" s="605" t="s">
        <v>1000</v>
      </c>
      <c r="T1663" s="605">
        <v>3613</v>
      </c>
    </row>
    <row r="1664" spans="1:20" s="88" customFormat="1" ht="72" x14ac:dyDescent="0.2">
      <c r="A1664" s="510">
        <f>IF(B1664="","",COUNT('Diário 1º PA'!$A$4:$A$2635)+ROW()-3)</f>
        <v>3397</v>
      </c>
      <c r="B1664" s="414">
        <v>44714</v>
      </c>
      <c r="C1664" s="431">
        <v>44682</v>
      </c>
      <c r="D1664" s="434" t="s">
        <v>468</v>
      </c>
      <c r="E1664" s="415" t="s">
        <v>468</v>
      </c>
      <c r="F1664" s="425">
        <v>3820</v>
      </c>
      <c r="G1664" s="427" t="s">
        <v>695</v>
      </c>
      <c r="H1664" s="419" t="s">
        <v>468</v>
      </c>
      <c r="I1664" s="427" t="s">
        <v>2405</v>
      </c>
      <c r="J1664" s="415" t="s">
        <v>1125</v>
      </c>
      <c r="K1664" s="418" t="s">
        <v>830</v>
      </c>
      <c r="L1664" s="399" t="s">
        <v>807</v>
      </c>
      <c r="M1664" s="415" t="s">
        <v>1890</v>
      </c>
      <c r="N1664" s="414">
        <v>44713</v>
      </c>
      <c r="O1664" s="414" t="s">
        <v>402</v>
      </c>
      <c r="P1664" s="603">
        <f t="shared" si="260"/>
        <v>6</v>
      </c>
      <c r="Q1664" s="603">
        <f t="shared" si="260"/>
        <v>5</v>
      </c>
      <c r="R1664" s="604" t="str">
        <f>SUBSTITUTE(D1664," ","_")</f>
        <v>Gastos_custeados_por_captação</v>
      </c>
      <c r="S1664" s="605" t="s">
        <v>1000</v>
      </c>
      <c r="T1664" s="605">
        <v>2631</v>
      </c>
    </row>
    <row r="1665" spans="1:20" s="88" customFormat="1" ht="72" x14ac:dyDescent="0.2">
      <c r="A1665" s="510">
        <f>IF(B1665="","",COUNT('Diário 1º PA'!$A$4:$A$2635)+ROW()-3)</f>
        <v>3398</v>
      </c>
      <c r="B1665" s="414">
        <v>44714</v>
      </c>
      <c r="C1665" s="431">
        <v>44682</v>
      </c>
      <c r="D1665" s="434" t="s">
        <v>468</v>
      </c>
      <c r="E1665" s="415" t="s">
        <v>468</v>
      </c>
      <c r="F1665" s="425">
        <v>2522.5500000000002</v>
      </c>
      <c r="G1665" s="427" t="s">
        <v>670</v>
      </c>
      <c r="H1665" s="419" t="s">
        <v>468</v>
      </c>
      <c r="I1665" s="427" t="s">
        <v>2358</v>
      </c>
      <c r="J1665" s="415" t="s">
        <v>1132</v>
      </c>
      <c r="K1665" s="418" t="s">
        <v>830</v>
      </c>
      <c r="L1665" s="399" t="s">
        <v>839</v>
      </c>
      <c r="M1665" s="415">
        <v>1794</v>
      </c>
      <c r="N1665" s="414">
        <v>44714</v>
      </c>
      <c r="O1665" s="414" t="s">
        <v>402</v>
      </c>
      <c r="P1665" s="603">
        <f t="shared" si="260"/>
        <v>6</v>
      </c>
      <c r="Q1665" s="603">
        <f t="shared" si="260"/>
        <v>5</v>
      </c>
      <c r="R1665" s="604" t="str">
        <f>SUBSTITUTE(D1665," ","_")</f>
        <v>Gastos_custeados_por_captação</v>
      </c>
      <c r="S1665" s="605" t="s">
        <v>1000</v>
      </c>
      <c r="T1665" s="605">
        <v>3724</v>
      </c>
    </row>
    <row r="1666" spans="1:20" s="88" customFormat="1" ht="60" x14ac:dyDescent="0.2">
      <c r="A1666" s="510">
        <f>IF(B1666="","",COUNT('Diário 1º PA'!$A$4:$A$2635)+ROW()-3)</f>
        <v>3399</v>
      </c>
      <c r="B1666" s="414">
        <v>44715</v>
      </c>
      <c r="C1666" s="592">
        <v>44682</v>
      </c>
      <c r="D1666" s="415" t="s">
        <v>271</v>
      </c>
      <c r="E1666" s="415" t="s">
        <v>90</v>
      </c>
      <c r="F1666" s="425">
        <v>-1980.75</v>
      </c>
      <c r="G1666" s="427" t="s">
        <v>4484</v>
      </c>
      <c r="H1666" s="415" t="s">
        <v>309</v>
      </c>
      <c r="I1666" s="427" t="s">
        <v>795</v>
      </c>
      <c r="J1666" s="415" t="s">
        <v>796</v>
      </c>
      <c r="K1666" s="415" t="s">
        <v>797</v>
      </c>
      <c r="L1666" s="415" t="s">
        <v>798</v>
      </c>
      <c r="M1666" s="415" t="s">
        <v>310</v>
      </c>
      <c r="N1666" s="414">
        <v>44715</v>
      </c>
      <c r="O1666" s="414" t="s">
        <v>400</v>
      </c>
      <c r="P1666" s="603">
        <f t="shared" si="251"/>
        <v>6</v>
      </c>
      <c r="Q1666" s="603">
        <f t="shared" si="252"/>
        <v>5</v>
      </c>
      <c r="R1666" s="604" t="str">
        <f t="shared" si="253"/>
        <v>Gastos_Gerais</v>
      </c>
      <c r="S1666" s="605" t="s">
        <v>310</v>
      </c>
      <c r="T1666" s="605" t="s">
        <v>310</v>
      </c>
    </row>
    <row r="1667" spans="1:20" s="88" customFormat="1" ht="75" customHeight="1" x14ac:dyDescent="0.2">
      <c r="A1667" s="510">
        <f>IF(B1667="","",COUNT('Diário 1º PA'!$A$4:$A$2635)+ROW()-3)</f>
        <v>3400</v>
      </c>
      <c r="B1667" s="414">
        <v>44715</v>
      </c>
      <c r="C1667" s="431">
        <v>44713</v>
      </c>
      <c r="D1667" s="415" t="s">
        <v>271</v>
      </c>
      <c r="E1667" s="415" t="s">
        <v>456</v>
      </c>
      <c r="F1667" s="425">
        <v>74.900000000000006</v>
      </c>
      <c r="G1667" s="427" t="s">
        <v>4454</v>
      </c>
      <c r="H1667" s="419" t="s">
        <v>757</v>
      </c>
      <c r="I1667" s="427" t="s">
        <v>4485</v>
      </c>
      <c r="J1667" s="415" t="s">
        <v>4455</v>
      </c>
      <c r="K1667" s="415" t="s">
        <v>830</v>
      </c>
      <c r="L1667" s="415" t="s">
        <v>807</v>
      </c>
      <c r="M1667" s="415">
        <v>16274</v>
      </c>
      <c r="N1667" s="414">
        <v>44715</v>
      </c>
      <c r="O1667" s="414" t="s">
        <v>400</v>
      </c>
      <c r="P1667" s="603">
        <f t="shared" si="251"/>
        <v>6</v>
      </c>
      <c r="Q1667" s="603">
        <f t="shared" si="252"/>
        <v>6</v>
      </c>
      <c r="R1667" s="604" t="str">
        <f t="shared" si="253"/>
        <v>Gastos_Gerais</v>
      </c>
      <c r="S1667" s="605" t="s">
        <v>999</v>
      </c>
      <c r="T1667" s="605">
        <v>3839</v>
      </c>
    </row>
    <row r="1668" spans="1:20" s="88" customFormat="1" ht="36" x14ac:dyDescent="0.2">
      <c r="A1668" s="510">
        <f>IF(B1668="","",COUNT('Diário 1º PA'!$A$4:$A$2635)+ROW()-3)</f>
        <v>3401</v>
      </c>
      <c r="B1668" s="414">
        <v>44715</v>
      </c>
      <c r="C1668" s="431">
        <v>44682</v>
      </c>
      <c r="D1668" s="415" t="s">
        <v>271</v>
      </c>
      <c r="E1668" s="415" t="s">
        <v>458</v>
      </c>
      <c r="F1668" s="425">
        <v>3649.42</v>
      </c>
      <c r="G1668" s="427" t="s">
        <v>4208</v>
      </c>
      <c r="H1668" s="419" t="s">
        <v>752</v>
      </c>
      <c r="I1668" s="427" t="s">
        <v>3773</v>
      </c>
      <c r="J1668" s="415" t="s">
        <v>2543</v>
      </c>
      <c r="K1668" s="415" t="s">
        <v>812</v>
      </c>
      <c r="L1668" s="415" t="s">
        <v>826</v>
      </c>
      <c r="M1668" s="415" t="s">
        <v>4486</v>
      </c>
      <c r="N1668" s="414">
        <v>44707</v>
      </c>
      <c r="O1668" s="414" t="s">
        <v>400</v>
      </c>
      <c r="P1668" s="603">
        <f t="shared" si="251"/>
        <v>6</v>
      </c>
      <c r="Q1668" s="603">
        <f t="shared" si="252"/>
        <v>5</v>
      </c>
      <c r="R1668" s="604" t="str">
        <f t="shared" si="253"/>
        <v>Gastos_Gerais</v>
      </c>
      <c r="S1668" s="605" t="s">
        <v>998</v>
      </c>
      <c r="T1668" s="605">
        <v>3702</v>
      </c>
    </row>
    <row r="1669" spans="1:20" s="88" customFormat="1" ht="24" x14ac:dyDescent="0.2">
      <c r="A1669" s="510">
        <f>IF(B1669="","",COUNT('Diário 1º PA'!$A$4:$A$2635)+ROW()-3)</f>
        <v>3402</v>
      </c>
      <c r="B1669" s="414">
        <v>44715</v>
      </c>
      <c r="C1669" s="431">
        <v>44713</v>
      </c>
      <c r="D1669" s="415" t="s">
        <v>182</v>
      </c>
      <c r="E1669" s="415" t="s">
        <v>161</v>
      </c>
      <c r="F1669" s="425">
        <v>199.88</v>
      </c>
      <c r="G1669" s="427" t="s">
        <v>1495</v>
      </c>
      <c r="H1669" s="415" t="s">
        <v>310</v>
      </c>
      <c r="I1669" s="427" t="s">
        <v>2008</v>
      </c>
      <c r="J1669" s="548" t="s">
        <v>2009</v>
      </c>
      <c r="K1669" s="415" t="s">
        <v>812</v>
      </c>
      <c r="L1669" s="415" t="s">
        <v>807</v>
      </c>
      <c r="M1669" s="415" t="s">
        <v>5570</v>
      </c>
      <c r="N1669" s="414">
        <v>44719</v>
      </c>
      <c r="O1669" s="414" t="s">
        <v>400</v>
      </c>
      <c r="P1669" s="603">
        <f t="shared" si="251"/>
        <v>6</v>
      </c>
      <c r="Q1669" s="603">
        <f t="shared" si="252"/>
        <v>6</v>
      </c>
      <c r="R1669" s="604" t="str">
        <f t="shared" si="253"/>
        <v>Gastos_com_Pessoal</v>
      </c>
      <c r="S1669" s="605" t="s">
        <v>310</v>
      </c>
      <c r="T1669" s="605" t="s">
        <v>310</v>
      </c>
    </row>
    <row r="1670" spans="1:20" s="88" customFormat="1" ht="105.75" customHeight="1" x14ac:dyDescent="0.2">
      <c r="A1670" s="510">
        <f>IF(B1670="","",COUNT('Diário 1º PA'!$A$4:$A$2635)+ROW()-3)</f>
        <v>3403</v>
      </c>
      <c r="B1670" s="465">
        <v>44715</v>
      </c>
      <c r="C1670" s="466">
        <v>44136</v>
      </c>
      <c r="D1670" s="415" t="s">
        <v>271</v>
      </c>
      <c r="E1670" s="415" t="s">
        <v>183</v>
      </c>
      <c r="F1670" s="435">
        <v>452.03</v>
      </c>
      <c r="G1670" s="437" t="s">
        <v>470</v>
      </c>
      <c r="H1670" s="434" t="s">
        <v>748</v>
      </c>
      <c r="I1670" s="437" t="s">
        <v>1486</v>
      </c>
      <c r="J1670" s="418" t="s">
        <v>1487</v>
      </c>
      <c r="K1670" s="418" t="s">
        <v>812</v>
      </c>
      <c r="L1670" s="399" t="s">
        <v>807</v>
      </c>
      <c r="M1670" s="415">
        <v>480575</v>
      </c>
      <c r="N1670" s="414">
        <v>44718</v>
      </c>
      <c r="O1670" s="414" t="s">
        <v>400</v>
      </c>
      <c r="P1670" s="603">
        <f t="shared" si="251"/>
        <v>6</v>
      </c>
      <c r="Q1670" s="603">
        <f t="shared" si="252"/>
        <v>-13</v>
      </c>
      <c r="R1670" s="604" t="str">
        <f t="shared" si="253"/>
        <v>Gastos_Gerais</v>
      </c>
      <c r="S1670" s="605" t="s">
        <v>1000</v>
      </c>
      <c r="T1670" s="605">
        <v>528</v>
      </c>
    </row>
    <row r="1671" spans="1:20" s="88" customFormat="1" ht="111" customHeight="1" x14ac:dyDescent="0.2">
      <c r="A1671" s="510">
        <f>IF(B1671="","",COUNT('Diário 1º PA'!$A$4:$A$2635)+ROW()-3)</f>
        <v>3404</v>
      </c>
      <c r="B1671" s="414">
        <v>44715</v>
      </c>
      <c r="C1671" s="592">
        <v>44682</v>
      </c>
      <c r="D1671" s="415" t="s">
        <v>271</v>
      </c>
      <c r="E1671" s="415" t="s">
        <v>90</v>
      </c>
      <c r="F1671" s="425">
        <v>7328.25</v>
      </c>
      <c r="G1671" s="427" t="s">
        <v>862</v>
      </c>
      <c r="H1671" s="415" t="s">
        <v>309</v>
      </c>
      <c r="I1671" s="427" t="s">
        <v>850</v>
      </c>
      <c r="J1671" s="415" t="s">
        <v>863</v>
      </c>
      <c r="K1671" s="415" t="s">
        <v>830</v>
      </c>
      <c r="L1671" s="415" t="s">
        <v>807</v>
      </c>
      <c r="M1671" s="415" t="s">
        <v>3075</v>
      </c>
      <c r="N1671" s="414">
        <v>44714</v>
      </c>
      <c r="O1671" s="414" t="s">
        <v>400</v>
      </c>
      <c r="P1671" s="603">
        <f t="shared" si="251"/>
        <v>6</v>
      </c>
      <c r="Q1671" s="603">
        <f t="shared" si="252"/>
        <v>5</v>
      </c>
      <c r="R1671" s="604" t="str">
        <f t="shared" si="253"/>
        <v>Gastos_Gerais</v>
      </c>
      <c r="S1671" s="605" t="s">
        <v>1000</v>
      </c>
      <c r="T1671" s="605">
        <v>1134</v>
      </c>
    </row>
    <row r="1672" spans="1:20" s="88" customFormat="1" ht="24" x14ac:dyDescent="0.2">
      <c r="A1672" s="510">
        <f>IF(B1672="","",COUNT('Diário 1º PA'!$A$4:$A$2635)+ROW()-3)</f>
        <v>3405</v>
      </c>
      <c r="B1672" s="414">
        <v>44715</v>
      </c>
      <c r="C1672" s="431">
        <v>44682</v>
      </c>
      <c r="D1672" s="415" t="s">
        <v>271</v>
      </c>
      <c r="E1672" s="415" t="s">
        <v>62</v>
      </c>
      <c r="F1672" s="425">
        <v>10463.200000000001</v>
      </c>
      <c r="G1672" s="427" t="s">
        <v>4062</v>
      </c>
      <c r="H1672" s="419" t="s">
        <v>792</v>
      </c>
      <c r="I1672" s="427" t="s">
        <v>4488</v>
      </c>
      <c r="J1672" s="415" t="s">
        <v>2600</v>
      </c>
      <c r="K1672" s="415" t="s">
        <v>830</v>
      </c>
      <c r="L1672" s="415" t="s">
        <v>807</v>
      </c>
      <c r="M1672" s="415">
        <v>159</v>
      </c>
      <c r="N1672" s="414">
        <v>44714</v>
      </c>
      <c r="O1672" s="414" t="s">
        <v>400</v>
      </c>
      <c r="P1672" s="603">
        <f t="shared" si="251"/>
        <v>6</v>
      </c>
      <c r="Q1672" s="603">
        <f t="shared" si="252"/>
        <v>5</v>
      </c>
      <c r="R1672" s="604" t="str">
        <f t="shared" si="253"/>
        <v>Gastos_Gerais</v>
      </c>
      <c r="S1672" s="605" t="s">
        <v>998</v>
      </c>
      <c r="T1672" s="605">
        <v>3671</v>
      </c>
    </row>
    <row r="1673" spans="1:20" s="88" customFormat="1" ht="60" x14ac:dyDescent="0.2">
      <c r="A1673" s="510">
        <f>IF(B1673="","",COUNT('Diário 1º PA'!$A$4:$A$2635)+ROW()-3)</f>
        <v>3406</v>
      </c>
      <c r="B1673" s="414">
        <v>44715</v>
      </c>
      <c r="C1673" s="431">
        <v>44682</v>
      </c>
      <c r="D1673" s="415" t="s">
        <v>271</v>
      </c>
      <c r="E1673" s="415" t="s">
        <v>453</v>
      </c>
      <c r="F1673" s="425">
        <v>832.91</v>
      </c>
      <c r="G1673" s="427" t="s">
        <v>3719</v>
      </c>
      <c r="H1673" s="419" t="s">
        <v>754</v>
      </c>
      <c r="I1673" s="427" t="s">
        <v>4489</v>
      </c>
      <c r="J1673" s="415" t="s">
        <v>3720</v>
      </c>
      <c r="K1673" s="415" t="s">
        <v>830</v>
      </c>
      <c r="L1673" s="415" t="s">
        <v>807</v>
      </c>
      <c r="M1673" s="415" t="s">
        <v>1711</v>
      </c>
      <c r="N1673" s="414">
        <v>44714</v>
      </c>
      <c r="O1673" s="414" t="s">
        <v>400</v>
      </c>
      <c r="P1673" s="603">
        <f t="shared" si="251"/>
        <v>6</v>
      </c>
      <c r="Q1673" s="603">
        <f t="shared" si="252"/>
        <v>5</v>
      </c>
      <c r="R1673" s="604" t="str">
        <f t="shared" si="253"/>
        <v>Gastos_Gerais</v>
      </c>
      <c r="S1673" s="605" t="s">
        <v>998</v>
      </c>
      <c r="T1673" s="605">
        <v>3541</v>
      </c>
    </row>
    <row r="1674" spans="1:20" ht="72" x14ac:dyDescent="0.2">
      <c r="A1674" s="510">
        <f>IF(B1674="","",COUNT('Diário 1º PA'!$A$4:$A$2635)+ROW()-3)</f>
        <v>3407</v>
      </c>
      <c r="B1674" s="414">
        <v>44715</v>
      </c>
      <c r="C1674" s="431">
        <v>44682</v>
      </c>
      <c r="D1674" s="415" t="s">
        <v>468</v>
      </c>
      <c r="E1674" s="415" t="s">
        <v>468</v>
      </c>
      <c r="F1674" s="425">
        <v>1154.3</v>
      </c>
      <c r="G1674" s="427" t="s">
        <v>3726</v>
      </c>
      <c r="H1674" s="419" t="s">
        <v>468</v>
      </c>
      <c r="I1674" s="427" t="s">
        <v>5219</v>
      </c>
      <c r="J1674" s="415" t="s">
        <v>3296</v>
      </c>
      <c r="K1674" s="415" t="s">
        <v>830</v>
      </c>
      <c r="L1674" s="415" t="s">
        <v>807</v>
      </c>
      <c r="M1674" s="415" t="s">
        <v>5235</v>
      </c>
      <c r="N1674" s="414">
        <v>44691</v>
      </c>
      <c r="O1674" s="414" t="s">
        <v>407</v>
      </c>
      <c r="P1674" s="603">
        <f t="shared" ref="P1674:P1684" si="261">IF(B1674=0,0,IF(YEAR(B1674)=$Q$1,MONTH(B1674)-$P$1+1,(YEAR(B1674)-$Q$1)*12-$P$1+1+MONTH(B1674)))</f>
        <v>6</v>
      </c>
      <c r="Q1674" s="603">
        <f t="shared" ref="Q1674:Q1684" si="262">IF(C1674=0,0,IF(YEAR(C1674)=$Q$1,MONTH(C1674)-$P$1+1,(YEAR(C1674)-$Q$1)*12-$P$1+1+MONTH(C1674)))</f>
        <v>5</v>
      </c>
      <c r="R1674" s="604" t="str">
        <f t="shared" ref="R1674:R1688" si="263">SUBSTITUTE(D1674," ","_")</f>
        <v>Gastos_custeados_por_captação</v>
      </c>
      <c r="S1674" s="605" t="s">
        <v>998</v>
      </c>
      <c r="T1674" s="605">
        <v>3544</v>
      </c>
    </row>
    <row r="1675" spans="1:20" ht="72" x14ac:dyDescent="0.2">
      <c r="A1675" s="510">
        <f>IF(B1675="","",COUNT('Diário 1º PA'!$A$4:$A$2635)+ROW()-3)</f>
        <v>3408</v>
      </c>
      <c r="B1675" s="414">
        <v>44715</v>
      </c>
      <c r="C1675" s="431">
        <v>44440</v>
      </c>
      <c r="D1675" s="415" t="s">
        <v>468</v>
      </c>
      <c r="E1675" s="415" t="s">
        <v>468</v>
      </c>
      <c r="F1675" s="425">
        <v>1.62</v>
      </c>
      <c r="G1675" s="427" t="s">
        <v>4716</v>
      </c>
      <c r="H1675" s="415" t="s">
        <v>468</v>
      </c>
      <c r="I1675" s="427" t="s">
        <v>881</v>
      </c>
      <c r="J1675" s="415" t="s">
        <v>882</v>
      </c>
      <c r="K1675" s="415" t="s">
        <v>883</v>
      </c>
      <c r="L1675" s="415" t="s">
        <v>798</v>
      </c>
      <c r="M1675" s="415" t="s">
        <v>310</v>
      </c>
      <c r="N1675" s="414">
        <v>44715</v>
      </c>
      <c r="O1675" s="414" t="s">
        <v>407</v>
      </c>
      <c r="P1675" s="603">
        <f t="shared" si="261"/>
        <v>6</v>
      </c>
      <c r="Q1675" s="603">
        <f t="shared" si="262"/>
        <v>-3</v>
      </c>
      <c r="R1675" s="604" t="str">
        <f t="shared" si="263"/>
        <v>Gastos_custeados_por_captação</v>
      </c>
      <c r="S1675" s="605" t="s">
        <v>310</v>
      </c>
      <c r="T1675" s="605" t="s">
        <v>310</v>
      </c>
    </row>
    <row r="1676" spans="1:20" ht="72" x14ac:dyDescent="0.2">
      <c r="A1676" s="510">
        <f>IF(B1676="","",COUNT('Diário 1º PA'!$A$4:$A$2635)+ROW()-3)</f>
        <v>3409</v>
      </c>
      <c r="B1676" s="414">
        <v>44715</v>
      </c>
      <c r="C1676" s="431">
        <v>44440</v>
      </c>
      <c r="D1676" s="415" t="s">
        <v>468</v>
      </c>
      <c r="E1676" s="415" t="s">
        <v>468</v>
      </c>
      <c r="F1676" s="425">
        <v>425</v>
      </c>
      <c r="G1676" s="427" t="s">
        <v>5236</v>
      </c>
      <c r="H1676" s="415" t="s">
        <v>468</v>
      </c>
      <c r="I1676" s="427" t="s">
        <v>5365</v>
      </c>
      <c r="J1676" s="415">
        <v>2170251200</v>
      </c>
      <c r="K1676" s="415" t="s">
        <v>5237</v>
      </c>
      <c r="L1676" s="415" t="s">
        <v>798</v>
      </c>
      <c r="M1676" s="415" t="s">
        <v>310</v>
      </c>
      <c r="N1676" s="414">
        <v>44715</v>
      </c>
      <c r="O1676" s="414" t="s">
        <v>407</v>
      </c>
      <c r="P1676" s="603">
        <f t="shared" si="261"/>
        <v>6</v>
      </c>
      <c r="Q1676" s="603">
        <f t="shared" si="262"/>
        <v>-3</v>
      </c>
      <c r="R1676" s="604" t="str">
        <f t="shared" si="263"/>
        <v>Gastos_custeados_por_captação</v>
      </c>
      <c r="S1676" s="605" t="s">
        <v>998</v>
      </c>
      <c r="T1676" s="605">
        <v>2041</v>
      </c>
    </row>
    <row r="1677" spans="1:20" ht="72" x14ac:dyDescent="0.2">
      <c r="A1677" s="510">
        <f>IF(B1677="","",COUNT('Diário 1º PA'!$A$4:$A$2635)+ROW()-3)</f>
        <v>3410</v>
      </c>
      <c r="B1677" s="414">
        <v>44715</v>
      </c>
      <c r="C1677" s="431">
        <v>44440</v>
      </c>
      <c r="D1677" s="415" t="s">
        <v>468</v>
      </c>
      <c r="E1677" s="415" t="s">
        <v>468</v>
      </c>
      <c r="F1677" s="425">
        <v>75</v>
      </c>
      <c r="G1677" s="427" t="s">
        <v>5239</v>
      </c>
      <c r="H1677" s="415" t="s">
        <v>468</v>
      </c>
      <c r="I1677" s="427" t="s">
        <v>1461</v>
      </c>
      <c r="J1677" s="415" t="s">
        <v>310</v>
      </c>
      <c r="K1677" s="415" t="s">
        <v>1220</v>
      </c>
      <c r="L1677" s="415" t="s">
        <v>1368</v>
      </c>
      <c r="M1677" s="415" t="s">
        <v>310</v>
      </c>
      <c r="N1677" s="414">
        <v>44715</v>
      </c>
      <c r="O1677" s="414" t="s">
        <v>407</v>
      </c>
      <c r="P1677" s="603">
        <f t="shared" si="261"/>
        <v>6</v>
      </c>
      <c r="Q1677" s="603">
        <f t="shared" si="262"/>
        <v>-3</v>
      </c>
      <c r="R1677" s="604" t="str">
        <f t="shared" si="263"/>
        <v>Gastos_custeados_por_captação</v>
      </c>
      <c r="S1677" s="605" t="s">
        <v>310</v>
      </c>
      <c r="T1677" s="605" t="s">
        <v>310</v>
      </c>
    </row>
    <row r="1678" spans="1:20" ht="72" x14ac:dyDescent="0.2">
      <c r="A1678" s="510">
        <f>IF(B1678="","",COUNT('Diário 1º PA'!$A$4:$A$2635)+ROW()-3)</f>
        <v>3411</v>
      </c>
      <c r="B1678" s="414">
        <v>44715</v>
      </c>
      <c r="C1678" s="431">
        <v>44440</v>
      </c>
      <c r="D1678" s="415" t="s">
        <v>468</v>
      </c>
      <c r="E1678" s="415" t="s">
        <v>468</v>
      </c>
      <c r="F1678" s="425">
        <v>43.97</v>
      </c>
      <c r="G1678" s="427" t="s">
        <v>5238</v>
      </c>
      <c r="H1678" s="415" t="s">
        <v>468</v>
      </c>
      <c r="I1678" s="427" t="s">
        <v>1461</v>
      </c>
      <c r="J1678" s="415" t="s">
        <v>310</v>
      </c>
      <c r="K1678" s="415" t="s">
        <v>1220</v>
      </c>
      <c r="L1678" s="415" t="s">
        <v>1368</v>
      </c>
      <c r="M1678" s="415" t="s">
        <v>310</v>
      </c>
      <c r="N1678" s="414">
        <v>44715</v>
      </c>
      <c r="O1678" s="414" t="s">
        <v>407</v>
      </c>
      <c r="P1678" s="603">
        <f t="shared" si="261"/>
        <v>6</v>
      </c>
      <c r="Q1678" s="603">
        <f t="shared" si="262"/>
        <v>-3</v>
      </c>
      <c r="R1678" s="604" t="str">
        <f t="shared" si="263"/>
        <v>Gastos_custeados_por_captação</v>
      </c>
      <c r="S1678" s="605" t="s">
        <v>310</v>
      </c>
      <c r="T1678" s="605" t="s">
        <v>310</v>
      </c>
    </row>
    <row r="1679" spans="1:20" ht="72" x14ac:dyDescent="0.2">
      <c r="A1679" s="510">
        <f>IF(B1679="","",COUNT('Diário 1º PA'!$A$4:$A$2635)+ROW()-3)</f>
        <v>3412</v>
      </c>
      <c r="B1679" s="414">
        <v>44715</v>
      </c>
      <c r="C1679" s="431">
        <v>44682</v>
      </c>
      <c r="D1679" s="415" t="s">
        <v>468</v>
      </c>
      <c r="E1679" s="415" t="s">
        <v>468</v>
      </c>
      <c r="F1679" s="425">
        <v>1540</v>
      </c>
      <c r="G1679" s="427" t="s">
        <v>3884</v>
      </c>
      <c r="H1679" s="419" t="s">
        <v>468</v>
      </c>
      <c r="I1679" s="427" t="s">
        <v>4842</v>
      </c>
      <c r="J1679" s="415" t="s">
        <v>1066</v>
      </c>
      <c r="K1679" s="415" t="s">
        <v>812</v>
      </c>
      <c r="L1679" s="415" t="s">
        <v>807</v>
      </c>
      <c r="M1679" s="415">
        <v>68632</v>
      </c>
      <c r="N1679" s="414">
        <v>44687</v>
      </c>
      <c r="O1679" s="414" t="s">
        <v>407</v>
      </c>
      <c r="P1679" s="603">
        <f t="shared" si="261"/>
        <v>6</v>
      </c>
      <c r="Q1679" s="603">
        <f t="shared" si="262"/>
        <v>5</v>
      </c>
      <c r="R1679" s="604" t="str">
        <f t="shared" si="263"/>
        <v>Gastos_custeados_por_captação</v>
      </c>
      <c r="S1679" s="605" t="s">
        <v>999</v>
      </c>
      <c r="T1679" s="605">
        <v>3595</v>
      </c>
    </row>
    <row r="1680" spans="1:20" ht="72" x14ac:dyDescent="0.2">
      <c r="A1680" s="510">
        <f>IF(B1680="","",COUNT('Diário 1º PA'!$A$4:$A$2635)+ROW()-3)</f>
        <v>3413</v>
      </c>
      <c r="B1680" s="414">
        <v>44715</v>
      </c>
      <c r="C1680" s="466">
        <v>44621</v>
      </c>
      <c r="D1680" s="415" t="s">
        <v>468</v>
      </c>
      <c r="E1680" s="415" t="s">
        <v>468</v>
      </c>
      <c r="F1680" s="425">
        <v>1415.5</v>
      </c>
      <c r="G1680" s="427" t="s">
        <v>4803</v>
      </c>
      <c r="H1680" s="434" t="s">
        <v>468</v>
      </c>
      <c r="I1680" s="639" t="s">
        <v>4691</v>
      </c>
      <c r="J1680" s="418" t="s">
        <v>4804</v>
      </c>
      <c r="K1680" s="418" t="s">
        <v>830</v>
      </c>
      <c r="L1680" s="399" t="s">
        <v>807</v>
      </c>
      <c r="M1680" s="415" t="s">
        <v>5240</v>
      </c>
      <c r="N1680" s="414">
        <v>44693</v>
      </c>
      <c r="O1680" s="414" t="s">
        <v>407</v>
      </c>
      <c r="P1680" s="603">
        <f t="shared" si="261"/>
        <v>6</v>
      </c>
      <c r="Q1680" s="603">
        <f t="shared" si="262"/>
        <v>3</v>
      </c>
      <c r="R1680" s="604" t="str">
        <f t="shared" si="263"/>
        <v>Gastos_custeados_por_captação</v>
      </c>
      <c r="S1680" s="605" t="s">
        <v>1000</v>
      </c>
      <c r="T1680" s="605">
        <v>3233</v>
      </c>
    </row>
    <row r="1681" spans="1:20" ht="72" x14ac:dyDescent="0.2">
      <c r="A1681" s="510">
        <f>IF(B1681="","",COUNT('Diário 1º PA'!$A$4:$A$2635)+ROW()-3)</f>
        <v>3414</v>
      </c>
      <c r="B1681" s="414">
        <v>44715</v>
      </c>
      <c r="C1681" s="431">
        <v>44652</v>
      </c>
      <c r="D1681" s="415" t="s">
        <v>468</v>
      </c>
      <c r="E1681" s="415" t="s">
        <v>468</v>
      </c>
      <c r="F1681" s="425">
        <v>1953</v>
      </c>
      <c r="G1681" s="427" t="s">
        <v>5241</v>
      </c>
      <c r="H1681" s="419" t="s">
        <v>468</v>
      </c>
      <c r="I1681" s="427" t="s">
        <v>5242</v>
      </c>
      <c r="J1681" s="415" t="s">
        <v>5243</v>
      </c>
      <c r="K1681" s="418" t="s">
        <v>830</v>
      </c>
      <c r="L1681" s="399" t="s">
        <v>807</v>
      </c>
      <c r="M1681" s="415">
        <v>41313</v>
      </c>
      <c r="N1681" s="414">
        <v>44685</v>
      </c>
      <c r="O1681" s="414" t="s">
        <v>407</v>
      </c>
      <c r="P1681" s="603">
        <f t="shared" si="261"/>
        <v>6</v>
      </c>
      <c r="Q1681" s="603">
        <f t="shared" si="262"/>
        <v>4</v>
      </c>
      <c r="R1681" s="604" t="str">
        <f t="shared" si="263"/>
        <v>Gastos_custeados_por_captação</v>
      </c>
      <c r="S1681" s="605" t="s">
        <v>999</v>
      </c>
      <c r="T1681" s="605">
        <v>3100</v>
      </c>
    </row>
    <row r="1682" spans="1:20" ht="120" x14ac:dyDescent="0.2">
      <c r="A1682" s="510">
        <f>IF(B1682="","",COUNT('Diário 1º PA'!$A$4:$A$2635)+ROW()-3)</f>
        <v>3415</v>
      </c>
      <c r="B1682" s="414">
        <v>44715</v>
      </c>
      <c r="C1682" s="466">
        <v>44652</v>
      </c>
      <c r="D1682" s="415" t="s">
        <v>468</v>
      </c>
      <c r="E1682" s="415" t="s">
        <v>468</v>
      </c>
      <c r="F1682" s="425">
        <v>232.8</v>
      </c>
      <c r="G1682" s="427" t="s">
        <v>3544</v>
      </c>
      <c r="H1682" s="419" t="s">
        <v>468</v>
      </c>
      <c r="I1682" s="427" t="s">
        <v>5202</v>
      </c>
      <c r="J1682" s="415" t="s">
        <v>1075</v>
      </c>
      <c r="K1682" s="415" t="s">
        <v>830</v>
      </c>
      <c r="L1682" s="415" t="s">
        <v>32</v>
      </c>
      <c r="M1682" s="415" t="s">
        <v>1465</v>
      </c>
      <c r="N1682" s="455">
        <v>44714</v>
      </c>
      <c r="O1682" s="414" t="s">
        <v>407</v>
      </c>
      <c r="P1682" s="603">
        <f t="shared" si="261"/>
        <v>6</v>
      </c>
      <c r="Q1682" s="603">
        <f t="shared" si="262"/>
        <v>4</v>
      </c>
      <c r="R1682" s="604" t="str">
        <f t="shared" si="263"/>
        <v>Gastos_custeados_por_captação</v>
      </c>
      <c r="S1682" s="605" t="s">
        <v>998</v>
      </c>
      <c r="T1682" s="605">
        <v>3340</v>
      </c>
    </row>
    <row r="1683" spans="1:20" ht="126.75" customHeight="1" x14ac:dyDescent="0.2">
      <c r="A1683" s="510">
        <f>IF(B1683="","",COUNT('Diário 1º PA'!$A$4:$A$2635)+ROW()-3)</f>
        <v>3416</v>
      </c>
      <c r="B1683" s="414">
        <v>44715</v>
      </c>
      <c r="C1683" s="431">
        <v>44652</v>
      </c>
      <c r="D1683" s="415" t="s">
        <v>468</v>
      </c>
      <c r="E1683" s="415" t="s">
        <v>468</v>
      </c>
      <c r="F1683" s="425">
        <v>7500</v>
      </c>
      <c r="G1683" s="427" t="s">
        <v>3666</v>
      </c>
      <c r="H1683" s="419" t="s">
        <v>468</v>
      </c>
      <c r="I1683" s="427" t="s">
        <v>1917</v>
      </c>
      <c r="J1683" s="415" t="s">
        <v>1091</v>
      </c>
      <c r="K1683" s="415" t="s">
        <v>830</v>
      </c>
      <c r="L1683" s="415" t="s">
        <v>32</v>
      </c>
      <c r="M1683" s="415">
        <v>890</v>
      </c>
      <c r="N1683" s="414">
        <v>44714</v>
      </c>
      <c r="O1683" s="414" t="s">
        <v>407</v>
      </c>
      <c r="P1683" s="603">
        <f t="shared" si="261"/>
        <v>6</v>
      </c>
      <c r="Q1683" s="603">
        <f t="shared" si="262"/>
        <v>4</v>
      </c>
      <c r="R1683" s="604" t="str">
        <f t="shared" si="263"/>
        <v>Gastos_custeados_por_captação</v>
      </c>
      <c r="S1683" s="605" t="s">
        <v>998</v>
      </c>
      <c r="T1683" s="605">
        <v>3524</v>
      </c>
    </row>
    <row r="1684" spans="1:20" ht="88.5" customHeight="1" x14ac:dyDescent="0.2">
      <c r="A1684" s="510">
        <f>IF(B1684="","",COUNT('Diário 1º PA'!$A$4:$A$2635)+ROW()-3)</f>
        <v>3417</v>
      </c>
      <c r="B1684" s="414">
        <v>44715</v>
      </c>
      <c r="C1684" s="431">
        <v>44682</v>
      </c>
      <c r="D1684" s="415" t="s">
        <v>468</v>
      </c>
      <c r="E1684" s="415" t="s">
        <v>468</v>
      </c>
      <c r="F1684" s="425">
        <v>28459.5</v>
      </c>
      <c r="G1684" s="427" t="s">
        <v>4011</v>
      </c>
      <c r="H1684" s="419" t="s">
        <v>468</v>
      </c>
      <c r="I1684" s="427" t="s">
        <v>5245</v>
      </c>
      <c r="J1684" s="415" t="s">
        <v>2600</v>
      </c>
      <c r="K1684" s="415" t="s">
        <v>830</v>
      </c>
      <c r="L1684" s="415" t="s">
        <v>32</v>
      </c>
      <c r="M1684" s="415">
        <v>158</v>
      </c>
      <c r="N1684" s="414">
        <v>44714</v>
      </c>
      <c r="O1684" s="414" t="s">
        <v>407</v>
      </c>
      <c r="P1684" s="603">
        <f t="shared" si="261"/>
        <v>6</v>
      </c>
      <c r="Q1684" s="603">
        <f t="shared" si="262"/>
        <v>5</v>
      </c>
      <c r="R1684" s="604" t="str">
        <f t="shared" si="263"/>
        <v>Gastos_custeados_por_captação</v>
      </c>
      <c r="S1684" s="605" t="s">
        <v>998</v>
      </c>
      <c r="T1684" s="605">
        <v>3606</v>
      </c>
    </row>
    <row r="1685" spans="1:20" s="88" customFormat="1" ht="149.25" customHeight="1" x14ac:dyDescent="0.2">
      <c r="A1685" s="510">
        <f>IF(B1685="","",COUNT('Diário 1º PA'!$A$4:$A$2635)+ROW()-3)</f>
        <v>3418</v>
      </c>
      <c r="B1685" s="414">
        <v>44715</v>
      </c>
      <c r="C1685" s="431">
        <v>44682</v>
      </c>
      <c r="D1685" s="415" t="s">
        <v>468</v>
      </c>
      <c r="E1685" s="415" t="s">
        <v>468</v>
      </c>
      <c r="F1685" s="425">
        <v>3920</v>
      </c>
      <c r="G1685" s="427" t="s">
        <v>4109</v>
      </c>
      <c r="H1685" s="419" t="s">
        <v>468</v>
      </c>
      <c r="I1685" s="427" t="s">
        <v>865</v>
      </c>
      <c r="J1685" s="415" t="s">
        <v>866</v>
      </c>
      <c r="K1685" s="415" t="s">
        <v>830</v>
      </c>
      <c r="L1685" s="415" t="s">
        <v>32</v>
      </c>
      <c r="M1685" s="415" t="s">
        <v>2168</v>
      </c>
      <c r="N1685" s="414">
        <v>44714</v>
      </c>
      <c r="O1685" s="414" t="s">
        <v>402</v>
      </c>
      <c r="P1685" s="603">
        <f t="shared" ref="P1685:Q1689" si="264">IF(B1685=0,0,IF(YEAR(B1685)=$Q$1,MONTH(B1685)-$P$1+1,(YEAR(B1685)-$Q$1)*12-$P$1+1+MONTH(B1685)))</f>
        <v>6</v>
      </c>
      <c r="Q1685" s="603">
        <f t="shared" si="264"/>
        <v>5</v>
      </c>
      <c r="R1685" s="604" t="str">
        <f t="shared" si="263"/>
        <v>Gastos_custeados_por_captação</v>
      </c>
      <c r="S1685" s="605" t="s">
        <v>1000</v>
      </c>
      <c r="T1685" s="605">
        <v>3609</v>
      </c>
    </row>
    <row r="1686" spans="1:20" s="88" customFormat="1" ht="72" x14ac:dyDescent="0.2">
      <c r="A1686" s="510">
        <f>IF(B1686="","",COUNT('Diário 1º PA'!$A$4:$A$2635)+ROW()-3)</f>
        <v>3419</v>
      </c>
      <c r="B1686" s="414">
        <v>44715</v>
      </c>
      <c r="C1686" s="431">
        <v>44682</v>
      </c>
      <c r="D1686" s="415" t="s">
        <v>468</v>
      </c>
      <c r="E1686" s="415" t="s">
        <v>468</v>
      </c>
      <c r="F1686" s="425">
        <v>2000</v>
      </c>
      <c r="G1686" s="427" t="s">
        <v>4163</v>
      </c>
      <c r="H1686" s="419" t="s">
        <v>468</v>
      </c>
      <c r="I1686" s="427" t="s">
        <v>1697</v>
      </c>
      <c r="J1686" s="415" t="s">
        <v>1015</v>
      </c>
      <c r="K1686" s="415" t="s">
        <v>830</v>
      </c>
      <c r="L1686" s="415" t="s">
        <v>32</v>
      </c>
      <c r="M1686" s="415" t="s">
        <v>1540</v>
      </c>
      <c r="N1686" s="414">
        <v>44714</v>
      </c>
      <c r="O1686" s="414" t="s">
        <v>402</v>
      </c>
      <c r="P1686" s="603">
        <f t="shared" si="264"/>
        <v>6</v>
      </c>
      <c r="Q1686" s="603">
        <f t="shared" si="264"/>
        <v>5</v>
      </c>
      <c r="R1686" s="604" t="str">
        <f t="shared" si="263"/>
        <v>Gastos_custeados_por_captação</v>
      </c>
      <c r="S1686" s="605" t="s">
        <v>1000</v>
      </c>
      <c r="T1686" s="605">
        <v>3612</v>
      </c>
    </row>
    <row r="1687" spans="1:20" s="88" customFormat="1" ht="72" x14ac:dyDescent="0.2">
      <c r="A1687" s="510">
        <f>IF(B1687="","",COUNT('Diário 1º PA'!$A$4:$A$2635)+ROW()-3)</f>
        <v>3420</v>
      </c>
      <c r="B1687" s="414">
        <v>44715</v>
      </c>
      <c r="C1687" s="431">
        <v>44682</v>
      </c>
      <c r="D1687" s="415" t="s">
        <v>468</v>
      </c>
      <c r="E1687" s="415" t="s">
        <v>468</v>
      </c>
      <c r="F1687" s="425">
        <v>2000</v>
      </c>
      <c r="G1687" s="427" t="s">
        <v>4162</v>
      </c>
      <c r="H1687" s="419" t="s">
        <v>468</v>
      </c>
      <c r="I1687" s="427" t="s">
        <v>5531</v>
      </c>
      <c r="J1687" s="415" t="s">
        <v>1655</v>
      </c>
      <c r="K1687" s="415" t="s">
        <v>830</v>
      </c>
      <c r="L1687" s="415" t="s">
        <v>32</v>
      </c>
      <c r="M1687" s="415" t="s">
        <v>1503</v>
      </c>
      <c r="N1687" s="414">
        <v>44714</v>
      </c>
      <c r="O1687" s="414" t="s">
        <v>402</v>
      </c>
      <c r="P1687" s="603">
        <f t="shared" si="264"/>
        <v>6</v>
      </c>
      <c r="Q1687" s="603">
        <f t="shared" si="264"/>
        <v>5</v>
      </c>
      <c r="R1687" s="604" t="str">
        <f t="shared" si="263"/>
        <v>Gastos_custeados_por_captação</v>
      </c>
      <c r="S1687" s="605" t="s">
        <v>1000</v>
      </c>
      <c r="T1687" s="605">
        <v>3611</v>
      </c>
    </row>
    <row r="1688" spans="1:20" s="88" customFormat="1" ht="160.5" customHeight="1" x14ac:dyDescent="0.2">
      <c r="A1688" s="510">
        <f>IF(B1688="","",COUNT('Diário 1º PA'!$A$4:$A$2635)+ROW()-3)</f>
        <v>3421</v>
      </c>
      <c r="B1688" s="414">
        <v>44715</v>
      </c>
      <c r="C1688" s="431">
        <v>44682</v>
      </c>
      <c r="D1688" s="415" t="s">
        <v>468</v>
      </c>
      <c r="E1688" s="415" t="s">
        <v>468</v>
      </c>
      <c r="F1688" s="425">
        <v>2000</v>
      </c>
      <c r="G1688" s="427" t="s">
        <v>656</v>
      </c>
      <c r="H1688" s="419" t="s">
        <v>468</v>
      </c>
      <c r="I1688" s="427" t="s">
        <v>1609</v>
      </c>
      <c r="J1688" s="415" t="s">
        <v>1016</v>
      </c>
      <c r="K1688" s="415" t="s">
        <v>830</v>
      </c>
      <c r="L1688" s="415" t="s">
        <v>32</v>
      </c>
      <c r="M1688" s="415" t="s">
        <v>1890</v>
      </c>
      <c r="N1688" s="414">
        <v>44714</v>
      </c>
      <c r="O1688" s="414" t="s">
        <v>402</v>
      </c>
      <c r="P1688" s="603">
        <f t="shared" si="264"/>
        <v>6</v>
      </c>
      <c r="Q1688" s="603">
        <f t="shared" si="264"/>
        <v>5</v>
      </c>
      <c r="R1688" s="604" t="str">
        <f t="shared" si="263"/>
        <v>Gastos_custeados_por_captação</v>
      </c>
      <c r="S1688" s="605" t="s">
        <v>1000</v>
      </c>
      <c r="T1688" s="605">
        <v>3610</v>
      </c>
    </row>
    <row r="1689" spans="1:20" s="88" customFormat="1" ht="36" x14ac:dyDescent="0.2">
      <c r="A1689" s="510">
        <f>IF(B1689="","",COUNT('Diário 1º PA'!$A$4:$A$2635)+ROW()-3)</f>
        <v>3422</v>
      </c>
      <c r="B1689" s="414">
        <v>44715</v>
      </c>
      <c r="C1689" s="431">
        <v>44682</v>
      </c>
      <c r="D1689" s="415" t="s">
        <v>468</v>
      </c>
      <c r="E1689" s="415" t="s">
        <v>468</v>
      </c>
      <c r="F1689" s="425">
        <v>4299.24</v>
      </c>
      <c r="G1689" s="427" t="s">
        <v>719</v>
      </c>
      <c r="H1689" s="419" t="s">
        <v>468</v>
      </c>
      <c r="I1689" s="427" t="s">
        <v>850</v>
      </c>
      <c r="J1689" s="415" t="s">
        <v>863</v>
      </c>
      <c r="K1689" s="415" t="s">
        <v>830</v>
      </c>
      <c r="L1689" s="415" t="s">
        <v>807</v>
      </c>
      <c r="M1689" s="415" t="s">
        <v>2186</v>
      </c>
      <c r="N1689" s="414">
        <v>44714</v>
      </c>
      <c r="O1689" s="414" t="s">
        <v>408</v>
      </c>
      <c r="P1689" s="603">
        <f t="shared" si="264"/>
        <v>6</v>
      </c>
      <c r="Q1689" s="603">
        <f t="shared" si="264"/>
        <v>5</v>
      </c>
      <c r="R1689" s="604" t="str">
        <f>SUBSTITUTE(D1689," ","_")</f>
        <v>Gastos_custeados_por_captação</v>
      </c>
      <c r="S1689" s="605" t="s">
        <v>1000</v>
      </c>
      <c r="T1689" s="605">
        <v>2776</v>
      </c>
    </row>
    <row r="1690" spans="1:20" s="88" customFormat="1" ht="60" x14ac:dyDescent="0.2">
      <c r="A1690" s="510">
        <f>IF(B1690="","",COUNT('Diário 1º PA'!$A$4:$A$2635)+ROW()-3)</f>
        <v>3423</v>
      </c>
      <c r="B1690" s="414">
        <v>44718</v>
      </c>
      <c r="C1690" s="431">
        <v>44682</v>
      </c>
      <c r="D1690" s="415" t="s">
        <v>271</v>
      </c>
      <c r="E1690" s="415" t="s">
        <v>186</v>
      </c>
      <c r="F1690" s="435">
        <v>-1901.52</v>
      </c>
      <c r="G1690" s="437" t="s">
        <v>3362</v>
      </c>
      <c r="H1690" s="434" t="s">
        <v>309</v>
      </c>
      <c r="I1690" s="437" t="s">
        <v>795</v>
      </c>
      <c r="J1690" s="434" t="s">
        <v>796</v>
      </c>
      <c r="K1690" s="434" t="s">
        <v>797</v>
      </c>
      <c r="L1690" s="434" t="s">
        <v>798</v>
      </c>
      <c r="M1690" s="436" t="s">
        <v>310</v>
      </c>
      <c r="N1690" s="414">
        <v>44718</v>
      </c>
      <c r="O1690" s="414" t="s">
        <v>400</v>
      </c>
      <c r="P1690" s="603">
        <f t="shared" si="251"/>
        <v>6</v>
      </c>
      <c r="Q1690" s="603">
        <f t="shared" si="252"/>
        <v>5</v>
      </c>
      <c r="R1690" s="604" t="str">
        <f t="shared" si="253"/>
        <v>Gastos_Gerais</v>
      </c>
      <c r="S1690" s="605" t="s">
        <v>310</v>
      </c>
      <c r="T1690" s="605" t="s">
        <v>310</v>
      </c>
    </row>
    <row r="1691" spans="1:20" s="88" customFormat="1" ht="48" x14ac:dyDescent="0.2">
      <c r="A1691" s="510">
        <f>IF(B1691="","",COUNT('Diário 1º PA'!$A$4:$A$2635)+ROW()-3)</f>
        <v>3424</v>
      </c>
      <c r="B1691" s="414">
        <v>44718</v>
      </c>
      <c r="C1691" s="431">
        <v>44652</v>
      </c>
      <c r="D1691" s="415" t="s">
        <v>271</v>
      </c>
      <c r="E1691" s="415" t="s">
        <v>453</v>
      </c>
      <c r="F1691" s="425">
        <v>1512</v>
      </c>
      <c r="G1691" s="427" t="s">
        <v>2610</v>
      </c>
      <c r="H1691" s="419" t="s">
        <v>752</v>
      </c>
      <c r="I1691" s="427" t="s">
        <v>4523</v>
      </c>
      <c r="J1691" s="415" t="s">
        <v>2611</v>
      </c>
      <c r="K1691" s="415" t="s">
        <v>806</v>
      </c>
      <c r="L1691" s="415" t="s">
        <v>839</v>
      </c>
      <c r="M1691" s="415">
        <v>1798</v>
      </c>
      <c r="N1691" s="414">
        <v>44715</v>
      </c>
      <c r="O1691" s="414" t="s">
        <v>400</v>
      </c>
      <c r="P1691" s="603">
        <f t="shared" si="251"/>
        <v>6</v>
      </c>
      <c r="Q1691" s="603">
        <f t="shared" si="252"/>
        <v>4</v>
      </c>
      <c r="R1691" s="604" t="str">
        <f t="shared" si="253"/>
        <v>Gastos_Gerais</v>
      </c>
      <c r="S1691" s="605" t="s">
        <v>998</v>
      </c>
      <c r="T1691" s="605">
        <v>3310</v>
      </c>
    </row>
    <row r="1692" spans="1:20" s="88" customFormat="1" ht="36" x14ac:dyDescent="0.2">
      <c r="A1692" s="510">
        <f>IF(B1692="","",COUNT('Diário 1º PA'!$A$4:$A$2635)+ROW()-3)</f>
        <v>3425</v>
      </c>
      <c r="B1692" s="414">
        <v>44718</v>
      </c>
      <c r="C1692" s="424">
        <v>44682</v>
      </c>
      <c r="D1692" s="415" t="s">
        <v>182</v>
      </c>
      <c r="E1692" s="415" t="s">
        <v>1</v>
      </c>
      <c r="F1692" s="425">
        <v>2882.58</v>
      </c>
      <c r="G1692" s="427" t="s">
        <v>4526</v>
      </c>
      <c r="H1692" s="415" t="s">
        <v>310</v>
      </c>
      <c r="I1692" s="427" t="s">
        <v>3665</v>
      </c>
      <c r="J1692" s="415" t="s">
        <v>3193</v>
      </c>
      <c r="K1692" s="415" t="s">
        <v>830</v>
      </c>
      <c r="L1692" s="415" t="s">
        <v>909</v>
      </c>
      <c r="M1692" s="415" t="s">
        <v>310</v>
      </c>
      <c r="N1692" s="414">
        <v>44718</v>
      </c>
      <c r="O1692" s="414" t="s">
        <v>400</v>
      </c>
      <c r="P1692" s="603">
        <f t="shared" si="251"/>
        <v>6</v>
      </c>
      <c r="Q1692" s="603">
        <f t="shared" si="252"/>
        <v>5</v>
      </c>
      <c r="R1692" s="604" t="str">
        <f t="shared" si="253"/>
        <v>Gastos_com_Pessoal</v>
      </c>
      <c r="S1692" s="605" t="s">
        <v>310</v>
      </c>
      <c r="T1692" s="605" t="s">
        <v>310</v>
      </c>
    </row>
    <row r="1693" spans="1:20" s="88" customFormat="1" ht="36" x14ac:dyDescent="0.2">
      <c r="A1693" s="510">
        <f>IF(B1693="","",COUNT('Diário 1º PA'!$A$4:$A$2635)+ROW()-3)</f>
        <v>3426</v>
      </c>
      <c r="B1693" s="414">
        <v>44718</v>
      </c>
      <c r="C1693" s="424">
        <v>44682</v>
      </c>
      <c r="D1693" s="415" t="s">
        <v>182</v>
      </c>
      <c r="E1693" s="415" t="s">
        <v>1</v>
      </c>
      <c r="F1693" s="425">
        <v>2067.66</v>
      </c>
      <c r="G1693" s="440" t="s">
        <v>4527</v>
      </c>
      <c r="H1693" s="415" t="s">
        <v>310</v>
      </c>
      <c r="I1693" s="427" t="s">
        <v>1171</v>
      </c>
      <c r="J1693" s="415" t="s">
        <v>1172</v>
      </c>
      <c r="K1693" s="415" t="s">
        <v>830</v>
      </c>
      <c r="L1693" s="415" t="s">
        <v>909</v>
      </c>
      <c r="M1693" s="415" t="s">
        <v>310</v>
      </c>
      <c r="N1693" s="414">
        <v>44718</v>
      </c>
      <c r="O1693" s="414" t="s">
        <v>400</v>
      </c>
      <c r="P1693" s="603">
        <f t="shared" si="251"/>
        <v>6</v>
      </c>
      <c r="Q1693" s="603">
        <f t="shared" si="252"/>
        <v>5</v>
      </c>
      <c r="R1693" s="604" t="str">
        <f t="shared" si="253"/>
        <v>Gastos_com_Pessoal</v>
      </c>
      <c r="S1693" s="605" t="s">
        <v>310</v>
      </c>
      <c r="T1693" s="605" t="s">
        <v>310</v>
      </c>
    </row>
    <row r="1694" spans="1:20" s="88" customFormat="1" ht="36" x14ac:dyDescent="0.2">
      <c r="A1694" s="510">
        <f>IF(B1694="","",COUNT('Diário 1º PA'!$A$4:$A$2635)+ROW()-3)</f>
        <v>3427</v>
      </c>
      <c r="B1694" s="414">
        <v>44718</v>
      </c>
      <c r="C1694" s="424">
        <v>44682</v>
      </c>
      <c r="D1694" s="415" t="s">
        <v>182</v>
      </c>
      <c r="E1694" s="415" t="s">
        <v>1</v>
      </c>
      <c r="F1694" s="435">
        <v>3498.93</v>
      </c>
      <c r="G1694" s="440" t="s">
        <v>4528</v>
      </c>
      <c r="H1694" s="415" t="s">
        <v>310</v>
      </c>
      <c r="I1694" s="437" t="s">
        <v>2061</v>
      </c>
      <c r="J1694" s="434" t="s">
        <v>2062</v>
      </c>
      <c r="K1694" s="415" t="s">
        <v>830</v>
      </c>
      <c r="L1694" s="434" t="s">
        <v>909</v>
      </c>
      <c r="M1694" s="415" t="s">
        <v>310</v>
      </c>
      <c r="N1694" s="414">
        <v>44718</v>
      </c>
      <c r="O1694" s="414" t="s">
        <v>400</v>
      </c>
      <c r="P1694" s="603">
        <f t="shared" si="251"/>
        <v>6</v>
      </c>
      <c r="Q1694" s="603">
        <f t="shared" si="252"/>
        <v>5</v>
      </c>
      <c r="R1694" s="604" t="str">
        <f t="shared" si="253"/>
        <v>Gastos_com_Pessoal</v>
      </c>
      <c r="S1694" s="605" t="s">
        <v>310</v>
      </c>
      <c r="T1694" s="605" t="s">
        <v>310</v>
      </c>
    </row>
    <row r="1695" spans="1:20" s="88" customFormat="1" ht="36" x14ac:dyDescent="0.2">
      <c r="A1695" s="510">
        <f>IF(B1695="","",COUNT('Diário 1º PA'!$A$4:$A$2635)+ROW()-3)</f>
        <v>3428</v>
      </c>
      <c r="B1695" s="414">
        <v>44718</v>
      </c>
      <c r="C1695" s="424">
        <v>44682</v>
      </c>
      <c r="D1695" s="415" t="s">
        <v>182</v>
      </c>
      <c r="E1695" s="415" t="s">
        <v>1</v>
      </c>
      <c r="F1695" s="435">
        <v>2900.56</v>
      </c>
      <c r="G1695" s="440" t="s">
        <v>4529</v>
      </c>
      <c r="H1695" s="415" t="s">
        <v>310</v>
      </c>
      <c r="I1695" s="437" t="s">
        <v>1184</v>
      </c>
      <c r="J1695" s="434" t="s">
        <v>1185</v>
      </c>
      <c r="K1695" s="415" t="s">
        <v>830</v>
      </c>
      <c r="L1695" s="434" t="s">
        <v>909</v>
      </c>
      <c r="M1695" s="415" t="s">
        <v>310</v>
      </c>
      <c r="N1695" s="414">
        <v>44718</v>
      </c>
      <c r="O1695" s="414" t="s">
        <v>400</v>
      </c>
      <c r="P1695" s="603">
        <f t="shared" si="251"/>
        <v>6</v>
      </c>
      <c r="Q1695" s="603">
        <f t="shared" si="252"/>
        <v>5</v>
      </c>
      <c r="R1695" s="604" t="str">
        <f t="shared" si="253"/>
        <v>Gastos_com_Pessoal</v>
      </c>
      <c r="S1695" s="605" t="s">
        <v>310</v>
      </c>
      <c r="T1695" s="605" t="s">
        <v>310</v>
      </c>
    </row>
    <row r="1696" spans="1:20" s="88" customFormat="1" ht="36" x14ac:dyDescent="0.2">
      <c r="A1696" s="510">
        <f>IF(B1696="","",COUNT('Diário 1º PA'!$A$4:$A$2635)+ROW()-3)</f>
        <v>3429</v>
      </c>
      <c r="B1696" s="414">
        <v>44718</v>
      </c>
      <c r="C1696" s="424">
        <v>44682</v>
      </c>
      <c r="D1696" s="415" t="s">
        <v>182</v>
      </c>
      <c r="E1696" s="415" t="s">
        <v>1</v>
      </c>
      <c r="F1696" s="425">
        <v>1056.5999999999999</v>
      </c>
      <c r="G1696" s="440" t="s">
        <v>5587</v>
      </c>
      <c r="H1696" s="415" t="s">
        <v>310</v>
      </c>
      <c r="I1696" s="427" t="s">
        <v>1194</v>
      </c>
      <c r="J1696" s="415" t="s">
        <v>1193</v>
      </c>
      <c r="K1696" s="415" t="s">
        <v>830</v>
      </c>
      <c r="L1696" s="415" t="s">
        <v>909</v>
      </c>
      <c r="M1696" s="415" t="s">
        <v>310</v>
      </c>
      <c r="N1696" s="414">
        <v>44718</v>
      </c>
      <c r="O1696" s="414" t="s">
        <v>400</v>
      </c>
      <c r="P1696" s="603">
        <f t="shared" si="251"/>
        <v>6</v>
      </c>
      <c r="Q1696" s="603">
        <f t="shared" si="252"/>
        <v>5</v>
      </c>
      <c r="R1696" s="604" t="str">
        <f t="shared" si="253"/>
        <v>Gastos_com_Pessoal</v>
      </c>
      <c r="S1696" s="605" t="s">
        <v>310</v>
      </c>
      <c r="T1696" s="605" t="s">
        <v>310</v>
      </c>
    </row>
    <row r="1697" spans="1:20" s="88" customFormat="1" ht="36" x14ac:dyDescent="0.2">
      <c r="A1697" s="510">
        <f>IF(B1697="","",COUNT('Diário 1º PA'!$A$4:$A$2635)+ROW()-3)</f>
        <v>3430</v>
      </c>
      <c r="B1697" s="414">
        <v>44718</v>
      </c>
      <c r="C1697" s="424">
        <v>44682</v>
      </c>
      <c r="D1697" s="415" t="s">
        <v>182</v>
      </c>
      <c r="E1697" s="415" t="s">
        <v>1</v>
      </c>
      <c r="F1697" s="425">
        <v>2010.14</v>
      </c>
      <c r="G1697" s="440" t="s">
        <v>4530</v>
      </c>
      <c r="H1697" s="415" t="s">
        <v>310</v>
      </c>
      <c r="I1697" s="427" t="s">
        <v>1203</v>
      </c>
      <c r="J1697" s="415" t="s">
        <v>1201</v>
      </c>
      <c r="K1697" s="415" t="s">
        <v>830</v>
      </c>
      <c r="L1697" s="415" t="s">
        <v>909</v>
      </c>
      <c r="M1697" s="415" t="s">
        <v>310</v>
      </c>
      <c r="N1697" s="414">
        <v>44718</v>
      </c>
      <c r="O1697" s="414" t="s">
        <v>400</v>
      </c>
      <c r="P1697" s="603">
        <f t="shared" si="251"/>
        <v>6</v>
      </c>
      <c r="Q1697" s="603">
        <f t="shared" si="252"/>
        <v>5</v>
      </c>
      <c r="R1697" s="604" t="str">
        <f t="shared" si="253"/>
        <v>Gastos_com_Pessoal</v>
      </c>
      <c r="S1697" s="605" t="s">
        <v>310</v>
      </c>
      <c r="T1697" s="605" t="s">
        <v>310</v>
      </c>
    </row>
    <row r="1698" spans="1:20" s="88" customFormat="1" ht="36" x14ac:dyDescent="0.2">
      <c r="A1698" s="510">
        <f>IF(B1698="","",COUNT('Diário 1º PA'!$A$4:$A$2635)+ROW()-3)</f>
        <v>3431</v>
      </c>
      <c r="B1698" s="414">
        <v>44718</v>
      </c>
      <c r="C1698" s="424">
        <v>44682</v>
      </c>
      <c r="D1698" s="415" t="s">
        <v>182</v>
      </c>
      <c r="E1698" s="415" t="s">
        <v>1</v>
      </c>
      <c r="F1698" s="425">
        <v>1939.66</v>
      </c>
      <c r="G1698" s="427" t="s">
        <v>4531</v>
      </c>
      <c r="H1698" s="415" t="s">
        <v>310</v>
      </c>
      <c r="I1698" s="427" t="s">
        <v>982</v>
      </c>
      <c r="J1698" s="415" t="s">
        <v>983</v>
      </c>
      <c r="K1698" s="415" t="s">
        <v>830</v>
      </c>
      <c r="L1698" s="415" t="s">
        <v>909</v>
      </c>
      <c r="M1698" s="415" t="s">
        <v>310</v>
      </c>
      <c r="N1698" s="414">
        <v>44718</v>
      </c>
      <c r="O1698" s="414" t="s">
        <v>400</v>
      </c>
      <c r="P1698" s="603">
        <f t="shared" si="251"/>
        <v>6</v>
      </c>
      <c r="Q1698" s="603">
        <f t="shared" si="252"/>
        <v>5</v>
      </c>
      <c r="R1698" s="604" t="str">
        <f t="shared" si="253"/>
        <v>Gastos_com_Pessoal</v>
      </c>
      <c r="S1698" s="605" t="s">
        <v>310</v>
      </c>
      <c r="T1698" s="605" t="s">
        <v>310</v>
      </c>
    </row>
    <row r="1699" spans="1:20" s="88" customFormat="1" ht="36" x14ac:dyDescent="0.2">
      <c r="A1699" s="510">
        <f>IF(B1699="","",COUNT('Diário 1º PA'!$A$4:$A$2635)+ROW()-3)</f>
        <v>3432</v>
      </c>
      <c r="B1699" s="414">
        <v>44718</v>
      </c>
      <c r="C1699" s="424">
        <v>44682</v>
      </c>
      <c r="D1699" s="415" t="s">
        <v>182</v>
      </c>
      <c r="E1699" s="415" t="s">
        <v>1</v>
      </c>
      <c r="F1699" s="425">
        <v>1474.11</v>
      </c>
      <c r="G1699" s="427" t="s">
        <v>4532</v>
      </c>
      <c r="H1699" s="415" t="s">
        <v>310</v>
      </c>
      <c r="I1699" s="427" t="s">
        <v>828</v>
      </c>
      <c r="J1699" s="415" t="s">
        <v>829</v>
      </c>
      <c r="K1699" s="415" t="s">
        <v>830</v>
      </c>
      <c r="L1699" s="415" t="s">
        <v>909</v>
      </c>
      <c r="M1699" s="415" t="s">
        <v>310</v>
      </c>
      <c r="N1699" s="414">
        <v>44718</v>
      </c>
      <c r="O1699" s="414" t="s">
        <v>400</v>
      </c>
      <c r="P1699" s="603">
        <f t="shared" si="251"/>
        <v>6</v>
      </c>
      <c r="Q1699" s="603">
        <f t="shared" si="252"/>
        <v>5</v>
      </c>
      <c r="R1699" s="604" t="str">
        <f t="shared" si="253"/>
        <v>Gastos_com_Pessoal</v>
      </c>
      <c r="S1699" s="605" t="s">
        <v>310</v>
      </c>
      <c r="T1699" s="605" t="s">
        <v>310</v>
      </c>
    </row>
    <row r="1700" spans="1:20" s="88" customFormat="1" ht="36" x14ac:dyDescent="0.2">
      <c r="A1700" s="510">
        <f>IF(B1700="","",COUNT('Diário 1º PA'!$A$4:$A$2635)+ROW()-3)</f>
        <v>3433</v>
      </c>
      <c r="B1700" s="414">
        <v>44718</v>
      </c>
      <c r="C1700" s="424">
        <v>44682</v>
      </c>
      <c r="D1700" s="415" t="s">
        <v>182</v>
      </c>
      <c r="E1700" s="415" t="s">
        <v>1</v>
      </c>
      <c r="F1700" s="425">
        <v>2882.58</v>
      </c>
      <c r="G1700" s="427" t="s">
        <v>4529</v>
      </c>
      <c r="H1700" s="415" t="s">
        <v>310</v>
      </c>
      <c r="I1700" s="427" t="s">
        <v>977</v>
      </c>
      <c r="J1700" s="415" t="s">
        <v>978</v>
      </c>
      <c r="K1700" s="415" t="s">
        <v>830</v>
      </c>
      <c r="L1700" s="415" t="s">
        <v>909</v>
      </c>
      <c r="M1700" s="415" t="s">
        <v>310</v>
      </c>
      <c r="N1700" s="414">
        <v>44718</v>
      </c>
      <c r="O1700" s="414" t="s">
        <v>400</v>
      </c>
      <c r="P1700" s="603">
        <f t="shared" si="251"/>
        <v>6</v>
      </c>
      <c r="Q1700" s="603">
        <f t="shared" si="252"/>
        <v>5</v>
      </c>
      <c r="R1700" s="604" t="str">
        <f t="shared" si="253"/>
        <v>Gastos_com_Pessoal</v>
      </c>
      <c r="S1700" s="605" t="s">
        <v>310</v>
      </c>
      <c r="T1700" s="605" t="s">
        <v>310</v>
      </c>
    </row>
    <row r="1701" spans="1:20" s="88" customFormat="1" ht="36" x14ac:dyDescent="0.2">
      <c r="A1701" s="510">
        <f>IF(B1701="","",COUNT('Diário 1º PA'!$A$4:$A$2635)+ROW()-3)</f>
        <v>3434</v>
      </c>
      <c r="B1701" s="414">
        <v>44718</v>
      </c>
      <c r="C1701" s="424">
        <v>44682</v>
      </c>
      <c r="D1701" s="415" t="s">
        <v>182</v>
      </c>
      <c r="E1701" s="415" t="s">
        <v>1</v>
      </c>
      <c r="F1701" s="435">
        <v>2900.56</v>
      </c>
      <c r="G1701" s="427" t="s">
        <v>4533</v>
      </c>
      <c r="H1701" s="434" t="s">
        <v>310</v>
      </c>
      <c r="I1701" s="427" t="s">
        <v>957</v>
      </c>
      <c r="J1701" s="415" t="s">
        <v>958</v>
      </c>
      <c r="K1701" s="415" t="s">
        <v>830</v>
      </c>
      <c r="L1701" s="415" t="s">
        <v>909</v>
      </c>
      <c r="M1701" s="415" t="s">
        <v>310</v>
      </c>
      <c r="N1701" s="414">
        <v>44718</v>
      </c>
      <c r="O1701" s="414" t="s">
        <v>400</v>
      </c>
      <c r="P1701" s="603">
        <f t="shared" si="251"/>
        <v>6</v>
      </c>
      <c r="Q1701" s="603">
        <f t="shared" si="252"/>
        <v>5</v>
      </c>
      <c r="R1701" s="604" t="str">
        <f t="shared" si="253"/>
        <v>Gastos_com_Pessoal</v>
      </c>
      <c r="S1701" s="605" t="s">
        <v>310</v>
      </c>
      <c r="T1701" s="605" t="s">
        <v>310</v>
      </c>
    </row>
    <row r="1702" spans="1:20" s="88" customFormat="1" ht="36" x14ac:dyDescent="0.2">
      <c r="A1702" s="510">
        <f>IF(B1702="","",COUNT('Diário 1º PA'!$A$4:$A$2635)+ROW()-3)</f>
        <v>3435</v>
      </c>
      <c r="B1702" s="414">
        <v>44718</v>
      </c>
      <c r="C1702" s="424">
        <v>44682</v>
      </c>
      <c r="D1702" s="415" t="s">
        <v>182</v>
      </c>
      <c r="E1702" s="415" t="s">
        <v>1</v>
      </c>
      <c r="F1702" s="425">
        <v>2261.98</v>
      </c>
      <c r="G1702" s="427" t="s">
        <v>4534</v>
      </c>
      <c r="H1702" s="415" t="s">
        <v>310</v>
      </c>
      <c r="I1702" s="427" t="s">
        <v>972</v>
      </c>
      <c r="J1702" s="415" t="s">
        <v>973</v>
      </c>
      <c r="K1702" s="415" t="s">
        <v>830</v>
      </c>
      <c r="L1702" s="415" t="s">
        <v>909</v>
      </c>
      <c r="M1702" s="415" t="s">
        <v>310</v>
      </c>
      <c r="N1702" s="414">
        <v>44718</v>
      </c>
      <c r="O1702" s="414" t="s">
        <v>400</v>
      </c>
      <c r="P1702" s="603">
        <f t="shared" si="251"/>
        <v>6</v>
      </c>
      <c r="Q1702" s="603">
        <f t="shared" si="252"/>
        <v>5</v>
      </c>
      <c r="R1702" s="604" t="str">
        <f t="shared" si="253"/>
        <v>Gastos_com_Pessoal</v>
      </c>
      <c r="S1702" s="605" t="s">
        <v>310</v>
      </c>
      <c r="T1702" s="605" t="s">
        <v>310</v>
      </c>
    </row>
    <row r="1703" spans="1:20" s="88" customFormat="1" ht="36" x14ac:dyDescent="0.2">
      <c r="A1703" s="510">
        <f>IF(B1703="","",COUNT('Diário 1º PA'!$A$4:$A$2635)+ROW()-3)</f>
        <v>3436</v>
      </c>
      <c r="B1703" s="414">
        <v>44718</v>
      </c>
      <c r="C1703" s="424">
        <v>44682</v>
      </c>
      <c r="D1703" s="415" t="s">
        <v>182</v>
      </c>
      <c r="E1703" s="415" t="s">
        <v>1</v>
      </c>
      <c r="F1703" s="425">
        <v>2077.66</v>
      </c>
      <c r="G1703" s="427" t="s">
        <v>4535</v>
      </c>
      <c r="H1703" s="415" t="s">
        <v>310</v>
      </c>
      <c r="I1703" s="427" t="s">
        <v>961</v>
      </c>
      <c r="J1703" s="415" t="s">
        <v>962</v>
      </c>
      <c r="K1703" s="415" t="s">
        <v>830</v>
      </c>
      <c r="L1703" s="415" t="s">
        <v>909</v>
      </c>
      <c r="M1703" s="415" t="s">
        <v>310</v>
      </c>
      <c r="N1703" s="414">
        <v>44718</v>
      </c>
      <c r="O1703" s="414" t="s">
        <v>400</v>
      </c>
      <c r="P1703" s="603">
        <f t="shared" si="251"/>
        <v>6</v>
      </c>
      <c r="Q1703" s="603">
        <f t="shared" si="252"/>
        <v>5</v>
      </c>
      <c r="R1703" s="604" t="str">
        <f t="shared" si="253"/>
        <v>Gastos_com_Pessoal</v>
      </c>
      <c r="S1703" s="605" t="s">
        <v>310</v>
      </c>
      <c r="T1703" s="605" t="s">
        <v>310</v>
      </c>
    </row>
    <row r="1704" spans="1:20" s="88" customFormat="1" ht="36" x14ac:dyDescent="0.2">
      <c r="A1704" s="510">
        <f>IF(B1704="","",COUNT('Diário 1º PA'!$A$4:$A$2635)+ROW()-3)</f>
        <v>3437</v>
      </c>
      <c r="B1704" s="414">
        <v>44718</v>
      </c>
      <c r="C1704" s="424">
        <v>44682</v>
      </c>
      <c r="D1704" s="415" t="s">
        <v>182</v>
      </c>
      <c r="E1704" s="415" t="s">
        <v>1</v>
      </c>
      <c r="F1704" s="425">
        <v>2095.64</v>
      </c>
      <c r="G1704" s="440" t="s">
        <v>4536</v>
      </c>
      <c r="H1704" s="415" t="s">
        <v>310</v>
      </c>
      <c r="I1704" s="427" t="s">
        <v>1182</v>
      </c>
      <c r="J1704" s="415" t="s">
        <v>1183</v>
      </c>
      <c r="K1704" s="415" t="s">
        <v>830</v>
      </c>
      <c r="L1704" s="415" t="s">
        <v>909</v>
      </c>
      <c r="M1704" s="415" t="s">
        <v>310</v>
      </c>
      <c r="N1704" s="414">
        <v>44718</v>
      </c>
      <c r="O1704" s="414" t="s">
        <v>400</v>
      </c>
      <c r="P1704" s="603">
        <f t="shared" si="251"/>
        <v>6</v>
      </c>
      <c r="Q1704" s="603">
        <f t="shared" si="252"/>
        <v>5</v>
      </c>
      <c r="R1704" s="604" t="str">
        <f t="shared" si="253"/>
        <v>Gastos_com_Pessoal</v>
      </c>
      <c r="S1704" s="605" t="s">
        <v>310</v>
      </c>
      <c r="T1704" s="605" t="s">
        <v>310</v>
      </c>
    </row>
    <row r="1705" spans="1:20" s="88" customFormat="1" ht="36" x14ac:dyDescent="0.2">
      <c r="A1705" s="510">
        <f>IF(B1705="","",COUNT('Diário 1º PA'!$A$4:$A$2635)+ROW()-3)</f>
        <v>3438</v>
      </c>
      <c r="B1705" s="414">
        <v>44718</v>
      </c>
      <c r="C1705" s="424">
        <v>44682</v>
      </c>
      <c r="D1705" s="415" t="s">
        <v>182</v>
      </c>
      <c r="E1705" s="415" t="s">
        <v>1</v>
      </c>
      <c r="F1705" s="425">
        <v>1939.66</v>
      </c>
      <c r="G1705" s="427" t="s">
        <v>4527</v>
      </c>
      <c r="H1705" s="415" t="s">
        <v>310</v>
      </c>
      <c r="I1705" s="427" t="s">
        <v>954</v>
      </c>
      <c r="J1705" s="415" t="s">
        <v>955</v>
      </c>
      <c r="K1705" s="415" t="s">
        <v>830</v>
      </c>
      <c r="L1705" s="415" t="s">
        <v>909</v>
      </c>
      <c r="M1705" s="415" t="s">
        <v>310</v>
      </c>
      <c r="N1705" s="414">
        <v>44718</v>
      </c>
      <c r="O1705" s="414" t="s">
        <v>400</v>
      </c>
      <c r="P1705" s="603">
        <f t="shared" si="251"/>
        <v>6</v>
      </c>
      <c r="Q1705" s="603">
        <f t="shared" si="252"/>
        <v>5</v>
      </c>
      <c r="R1705" s="604" t="str">
        <f t="shared" si="253"/>
        <v>Gastos_com_Pessoal</v>
      </c>
      <c r="S1705" s="605" t="s">
        <v>310</v>
      </c>
      <c r="T1705" s="605" t="s">
        <v>310</v>
      </c>
    </row>
    <row r="1706" spans="1:20" s="88" customFormat="1" ht="36" x14ac:dyDescent="0.2">
      <c r="A1706" s="510">
        <f>IF(B1706="","",COUNT('Diário 1º PA'!$A$4:$A$2635)+ROW()-3)</f>
        <v>3439</v>
      </c>
      <c r="B1706" s="414">
        <v>44718</v>
      </c>
      <c r="C1706" s="424">
        <v>44682</v>
      </c>
      <c r="D1706" s="415" t="s">
        <v>182</v>
      </c>
      <c r="E1706" s="415" t="s">
        <v>1</v>
      </c>
      <c r="F1706" s="425">
        <v>3226.72</v>
      </c>
      <c r="G1706" s="427" t="s">
        <v>4537</v>
      </c>
      <c r="H1706" s="415" t="s">
        <v>310</v>
      </c>
      <c r="I1706" s="427" t="s">
        <v>963</v>
      </c>
      <c r="J1706" s="415" t="s">
        <v>964</v>
      </c>
      <c r="K1706" s="415" t="s">
        <v>830</v>
      </c>
      <c r="L1706" s="415" t="s">
        <v>909</v>
      </c>
      <c r="M1706" s="415" t="s">
        <v>310</v>
      </c>
      <c r="N1706" s="414">
        <v>44718</v>
      </c>
      <c r="O1706" s="414" t="s">
        <v>400</v>
      </c>
      <c r="P1706" s="603">
        <f t="shared" si="251"/>
        <v>6</v>
      </c>
      <c r="Q1706" s="603">
        <f t="shared" si="252"/>
        <v>5</v>
      </c>
      <c r="R1706" s="604" t="str">
        <f t="shared" si="253"/>
        <v>Gastos_com_Pessoal</v>
      </c>
      <c r="S1706" s="605" t="s">
        <v>310</v>
      </c>
      <c r="T1706" s="605" t="s">
        <v>310</v>
      </c>
    </row>
    <row r="1707" spans="1:20" s="88" customFormat="1" ht="36" x14ac:dyDescent="0.2">
      <c r="A1707" s="510">
        <f>IF(B1707="","",COUNT('Diário 1º PA'!$A$4:$A$2635)+ROW()-3)</f>
        <v>3440</v>
      </c>
      <c r="B1707" s="414">
        <v>44718</v>
      </c>
      <c r="C1707" s="424">
        <v>44682</v>
      </c>
      <c r="D1707" s="415" t="s">
        <v>182</v>
      </c>
      <c r="E1707" s="415" t="s">
        <v>1</v>
      </c>
      <c r="F1707" s="425">
        <v>2833.4</v>
      </c>
      <c r="G1707" s="427" t="s">
        <v>4526</v>
      </c>
      <c r="H1707" s="415" t="s">
        <v>310</v>
      </c>
      <c r="I1707" s="427" t="s">
        <v>996</v>
      </c>
      <c r="J1707" s="415" t="s">
        <v>997</v>
      </c>
      <c r="K1707" s="415" t="s">
        <v>830</v>
      </c>
      <c r="L1707" s="415" t="s">
        <v>909</v>
      </c>
      <c r="M1707" s="415" t="s">
        <v>310</v>
      </c>
      <c r="N1707" s="414">
        <v>44718</v>
      </c>
      <c r="O1707" s="414" t="s">
        <v>400</v>
      </c>
      <c r="P1707" s="603">
        <f t="shared" si="251"/>
        <v>6</v>
      </c>
      <c r="Q1707" s="603">
        <f t="shared" si="252"/>
        <v>5</v>
      </c>
      <c r="R1707" s="604" t="str">
        <f t="shared" si="253"/>
        <v>Gastos_com_Pessoal</v>
      </c>
      <c r="S1707" s="605" t="s">
        <v>310</v>
      </c>
      <c r="T1707" s="605" t="s">
        <v>310</v>
      </c>
    </row>
    <row r="1708" spans="1:20" s="88" customFormat="1" ht="36" x14ac:dyDescent="0.2">
      <c r="A1708" s="510">
        <f>IF(B1708="","",COUNT('Diário 1º PA'!$A$4:$A$2635)+ROW()-3)</f>
        <v>3441</v>
      </c>
      <c r="B1708" s="414">
        <v>44718</v>
      </c>
      <c r="C1708" s="424">
        <v>44682</v>
      </c>
      <c r="D1708" s="415" t="s">
        <v>182</v>
      </c>
      <c r="E1708" s="415" t="s">
        <v>1</v>
      </c>
      <c r="F1708" s="425">
        <v>2882.58</v>
      </c>
      <c r="G1708" s="440" t="s">
        <v>4529</v>
      </c>
      <c r="H1708" s="415" t="s">
        <v>310</v>
      </c>
      <c r="I1708" s="427" t="s">
        <v>1186</v>
      </c>
      <c r="J1708" s="415" t="s">
        <v>1187</v>
      </c>
      <c r="K1708" s="415" t="s">
        <v>830</v>
      </c>
      <c r="L1708" s="415" t="s">
        <v>909</v>
      </c>
      <c r="M1708" s="415" t="s">
        <v>310</v>
      </c>
      <c r="N1708" s="414">
        <v>44718</v>
      </c>
      <c r="O1708" s="414" t="s">
        <v>400</v>
      </c>
      <c r="P1708" s="603">
        <f t="shared" si="251"/>
        <v>6</v>
      </c>
      <c r="Q1708" s="603">
        <f t="shared" si="252"/>
        <v>5</v>
      </c>
      <c r="R1708" s="604" t="str">
        <f t="shared" si="253"/>
        <v>Gastos_com_Pessoal</v>
      </c>
      <c r="S1708" s="605" t="s">
        <v>310</v>
      </c>
      <c r="T1708" s="605" t="s">
        <v>310</v>
      </c>
    </row>
    <row r="1709" spans="1:20" s="88" customFormat="1" ht="36" x14ac:dyDescent="0.2">
      <c r="A1709" s="510">
        <f>IF(B1709="","",COUNT('Diário 1º PA'!$A$4:$A$2635)+ROW()-3)</f>
        <v>3442</v>
      </c>
      <c r="B1709" s="414">
        <v>44718</v>
      </c>
      <c r="C1709" s="424">
        <v>44682</v>
      </c>
      <c r="D1709" s="415" t="s">
        <v>182</v>
      </c>
      <c r="E1709" s="415" t="s">
        <v>1</v>
      </c>
      <c r="F1709" s="425">
        <v>1984.42</v>
      </c>
      <c r="G1709" s="427" t="s">
        <v>4527</v>
      </c>
      <c r="H1709" s="415" t="s">
        <v>310</v>
      </c>
      <c r="I1709" s="427" t="s">
        <v>992</v>
      </c>
      <c r="J1709" s="415" t="s">
        <v>993</v>
      </c>
      <c r="K1709" s="415" t="s">
        <v>830</v>
      </c>
      <c r="L1709" s="415" t="s">
        <v>909</v>
      </c>
      <c r="M1709" s="415" t="s">
        <v>310</v>
      </c>
      <c r="N1709" s="414">
        <v>44718</v>
      </c>
      <c r="O1709" s="414" t="s">
        <v>400</v>
      </c>
      <c r="P1709" s="603">
        <f t="shared" si="251"/>
        <v>6</v>
      </c>
      <c r="Q1709" s="603">
        <f t="shared" si="252"/>
        <v>5</v>
      </c>
      <c r="R1709" s="604" t="str">
        <f t="shared" si="253"/>
        <v>Gastos_com_Pessoal</v>
      </c>
      <c r="S1709" s="605" t="s">
        <v>310</v>
      </c>
      <c r="T1709" s="605" t="s">
        <v>310</v>
      </c>
    </row>
    <row r="1710" spans="1:20" s="88" customFormat="1" ht="36" x14ac:dyDescent="0.2">
      <c r="A1710" s="510">
        <f>IF(B1710="","",COUNT('Diário 1º PA'!$A$4:$A$2635)+ROW()-3)</f>
        <v>3443</v>
      </c>
      <c r="B1710" s="414">
        <v>44718</v>
      </c>
      <c r="C1710" s="424">
        <v>44682</v>
      </c>
      <c r="D1710" s="415" t="s">
        <v>182</v>
      </c>
      <c r="E1710" s="415" t="s">
        <v>1</v>
      </c>
      <c r="F1710" s="425">
        <v>2093.1999999999998</v>
      </c>
      <c r="G1710" s="440" t="s">
        <v>4527</v>
      </c>
      <c r="H1710" s="415" t="s">
        <v>310</v>
      </c>
      <c r="I1710" s="427" t="s">
        <v>3197</v>
      </c>
      <c r="J1710" s="415" t="s">
        <v>3198</v>
      </c>
      <c r="K1710" s="415" t="s">
        <v>830</v>
      </c>
      <c r="L1710" s="415" t="s">
        <v>909</v>
      </c>
      <c r="M1710" s="415" t="s">
        <v>310</v>
      </c>
      <c r="N1710" s="414">
        <v>44718</v>
      </c>
      <c r="O1710" s="414" t="s">
        <v>400</v>
      </c>
      <c r="P1710" s="603">
        <f t="shared" si="251"/>
        <v>6</v>
      </c>
      <c r="Q1710" s="603">
        <f t="shared" si="252"/>
        <v>5</v>
      </c>
      <c r="R1710" s="604" t="str">
        <f t="shared" si="253"/>
        <v>Gastos_com_Pessoal</v>
      </c>
      <c r="S1710" s="605" t="s">
        <v>310</v>
      </c>
      <c r="T1710" s="605" t="s">
        <v>310</v>
      </c>
    </row>
    <row r="1711" spans="1:20" s="88" customFormat="1" ht="36" x14ac:dyDescent="0.2">
      <c r="A1711" s="510">
        <f>IF(B1711="","",COUNT('Diário 1º PA'!$A$4:$A$2635)+ROW()-3)</f>
        <v>3444</v>
      </c>
      <c r="B1711" s="414">
        <v>44718</v>
      </c>
      <c r="C1711" s="424">
        <v>44682</v>
      </c>
      <c r="D1711" s="415" t="s">
        <v>182</v>
      </c>
      <c r="E1711" s="415" t="s">
        <v>1</v>
      </c>
      <c r="F1711" s="425">
        <v>2113.62</v>
      </c>
      <c r="G1711" s="440" t="s">
        <v>4538</v>
      </c>
      <c r="H1711" s="415" t="s">
        <v>310</v>
      </c>
      <c r="I1711" s="427" t="s">
        <v>1202</v>
      </c>
      <c r="J1711" s="415" t="s">
        <v>1201</v>
      </c>
      <c r="K1711" s="415" t="s">
        <v>830</v>
      </c>
      <c r="L1711" s="415" t="s">
        <v>909</v>
      </c>
      <c r="M1711" s="415" t="s">
        <v>310</v>
      </c>
      <c r="N1711" s="414">
        <v>44718</v>
      </c>
      <c r="O1711" s="414" t="s">
        <v>400</v>
      </c>
      <c r="P1711" s="603">
        <f t="shared" si="251"/>
        <v>6</v>
      </c>
      <c r="Q1711" s="603">
        <f t="shared" si="252"/>
        <v>5</v>
      </c>
      <c r="R1711" s="604" t="str">
        <f t="shared" si="253"/>
        <v>Gastos_com_Pessoal</v>
      </c>
      <c r="S1711" s="605" t="s">
        <v>310</v>
      </c>
      <c r="T1711" s="605" t="s">
        <v>310</v>
      </c>
    </row>
    <row r="1712" spans="1:20" s="88" customFormat="1" ht="36" x14ac:dyDescent="0.2">
      <c r="A1712" s="510">
        <f>IF(B1712="","",COUNT('Diário 1º PA'!$A$4:$A$2635)+ROW()-3)</f>
        <v>3445</v>
      </c>
      <c r="B1712" s="414">
        <v>44718</v>
      </c>
      <c r="C1712" s="424">
        <v>44682</v>
      </c>
      <c r="D1712" s="415" t="s">
        <v>182</v>
      </c>
      <c r="E1712" s="415" t="s">
        <v>1</v>
      </c>
      <c r="F1712" s="425">
        <v>1939.66</v>
      </c>
      <c r="G1712" s="440" t="s">
        <v>4539</v>
      </c>
      <c r="H1712" s="415" t="s">
        <v>310</v>
      </c>
      <c r="I1712" s="427" t="s">
        <v>1198</v>
      </c>
      <c r="J1712" s="415" t="s">
        <v>1197</v>
      </c>
      <c r="K1712" s="415" t="s">
        <v>830</v>
      </c>
      <c r="L1712" s="415" t="s">
        <v>909</v>
      </c>
      <c r="M1712" s="415" t="s">
        <v>310</v>
      </c>
      <c r="N1712" s="414">
        <v>44718</v>
      </c>
      <c r="O1712" s="414" t="s">
        <v>400</v>
      </c>
      <c r="P1712" s="603">
        <f t="shared" si="251"/>
        <v>6</v>
      </c>
      <c r="Q1712" s="603">
        <f t="shared" si="252"/>
        <v>5</v>
      </c>
      <c r="R1712" s="604" t="str">
        <f t="shared" si="253"/>
        <v>Gastos_com_Pessoal</v>
      </c>
      <c r="S1712" s="605" t="s">
        <v>310</v>
      </c>
      <c r="T1712" s="605" t="s">
        <v>310</v>
      </c>
    </row>
    <row r="1713" spans="1:20" s="88" customFormat="1" ht="36" x14ac:dyDescent="0.2">
      <c r="A1713" s="510">
        <f>IF(B1713="","",COUNT('Diário 1º PA'!$A$4:$A$2635)+ROW()-3)</f>
        <v>3446</v>
      </c>
      <c r="B1713" s="414">
        <v>44718</v>
      </c>
      <c r="C1713" s="424">
        <v>44682</v>
      </c>
      <c r="D1713" s="415" t="s">
        <v>182</v>
      </c>
      <c r="E1713" s="415" t="s">
        <v>1</v>
      </c>
      <c r="F1713" s="425">
        <v>1850.85</v>
      </c>
      <c r="G1713" s="440" t="s">
        <v>4527</v>
      </c>
      <c r="H1713" s="415" t="s">
        <v>310</v>
      </c>
      <c r="I1713" s="427" t="s">
        <v>1173</v>
      </c>
      <c r="J1713" s="415" t="s">
        <v>1174</v>
      </c>
      <c r="K1713" s="415" t="s">
        <v>830</v>
      </c>
      <c r="L1713" s="415" t="s">
        <v>909</v>
      </c>
      <c r="M1713" s="415" t="s">
        <v>310</v>
      </c>
      <c r="N1713" s="414">
        <v>44718</v>
      </c>
      <c r="O1713" s="414" t="s">
        <v>400</v>
      </c>
      <c r="P1713" s="603">
        <f t="shared" si="251"/>
        <v>6</v>
      </c>
      <c r="Q1713" s="603">
        <f t="shared" si="252"/>
        <v>5</v>
      </c>
      <c r="R1713" s="604" t="str">
        <f t="shared" si="253"/>
        <v>Gastos_com_Pessoal</v>
      </c>
      <c r="S1713" s="605" t="s">
        <v>310</v>
      </c>
      <c r="T1713" s="605" t="s">
        <v>310</v>
      </c>
    </row>
    <row r="1714" spans="1:20" s="88" customFormat="1" ht="36" x14ac:dyDescent="0.2">
      <c r="A1714" s="510">
        <f>IF(B1714="","",COUNT('Diário 1º PA'!$A$4:$A$2635)+ROW()-3)</f>
        <v>3447</v>
      </c>
      <c r="B1714" s="414">
        <v>44718</v>
      </c>
      <c r="C1714" s="424">
        <v>44682</v>
      </c>
      <c r="D1714" s="415" t="s">
        <v>182</v>
      </c>
      <c r="E1714" s="415" t="s">
        <v>1</v>
      </c>
      <c r="F1714" s="425">
        <v>2550.2800000000002</v>
      </c>
      <c r="G1714" s="440" t="s">
        <v>4529</v>
      </c>
      <c r="H1714" s="415" t="s">
        <v>310</v>
      </c>
      <c r="I1714" s="427" t="s">
        <v>1188</v>
      </c>
      <c r="J1714" s="415" t="s">
        <v>1189</v>
      </c>
      <c r="K1714" s="415" t="s">
        <v>830</v>
      </c>
      <c r="L1714" s="415" t="s">
        <v>909</v>
      </c>
      <c r="M1714" s="415" t="s">
        <v>310</v>
      </c>
      <c r="N1714" s="414">
        <v>44718</v>
      </c>
      <c r="O1714" s="414" t="s">
        <v>400</v>
      </c>
      <c r="P1714" s="603">
        <f t="shared" si="251"/>
        <v>6</v>
      </c>
      <c r="Q1714" s="603">
        <f t="shared" si="252"/>
        <v>5</v>
      </c>
      <c r="R1714" s="604" t="str">
        <f t="shared" si="253"/>
        <v>Gastos_com_Pessoal</v>
      </c>
      <c r="S1714" s="605" t="s">
        <v>310</v>
      </c>
      <c r="T1714" s="605" t="s">
        <v>310</v>
      </c>
    </row>
    <row r="1715" spans="1:20" s="88" customFormat="1" ht="36" x14ac:dyDescent="0.2">
      <c r="A1715" s="510">
        <f>IF(B1715="","",COUNT('Diário 1º PA'!$A$4:$A$2635)+ROW()-3)</f>
        <v>3448</v>
      </c>
      <c r="B1715" s="414">
        <v>44718</v>
      </c>
      <c r="C1715" s="424">
        <v>44682</v>
      </c>
      <c r="D1715" s="415" t="s">
        <v>182</v>
      </c>
      <c r="E1715" s="415" t="s">
        <v>1</v>
      </c>
      <c r="F1715" s="425">
        <v>2077.66</v>
      </c>
      <c r="G1715" s="427" t="s">
        <v>4531</v>
      </c>
      <c r="H1715" s="415" t="s">
        <v>310</v>
      </c>
      <c r="I1715" s="427" t="s">
        <v>980</v>
      </c>
      <c r="J1715" s="415" t="s">
        <v>981</v>
      </c>
      <c r="K1715" s="415" t="s">
        <v>830</v>
      </c>
      <c r="L1715" s="415" t="s">
        <v>909</v>
      </c>
      <c r="M1715" s="415" t="s">
        <v>310</v>
      </c>
      <c r="N1715" s="414">
        <v>44718</v>
      </c>
      <c r="O1715" s="414" t="s">
        <v>400</v>
      </c>
      <c r="P1715" s="603">
        <f t="shared" si="251"/>
        <v>6</v>
      </c>
      <c r="Q1715" s="603">
        <f t="shared" si="252"/>
        <v>5</v>
      </c>
      <c r="R1715" s="604" t="str">
        <f t="shared" si="253"/>
        <v>Gastos_com_Pessoal</v>
      </c>
      <c r="S1715" s="605" t="s">
        <v>310</v>
      </c>
      <c r="T1715" s="605" t="s">
        <v>310</v>
      </c>
    </row>
    <row r="1716" spans="1:20" s="88" customFormat="1" ht="36" x14ac:dyDescent="0.2">
      <c r="A1716" s="510">
        <f>IF(B885="","",COUNT('Diário 1º PA'!$A$4:$A$2635)+ROW()-3)</f>
        <v>3449</v>
      </c>
      <c r="B1716" s="414">
        <v>44718</v>
      </c>
      <c r="C1716" s="424">
        <v>44682</v>
      </c>
      <c r="D1716" s="415" t="s">
        <v>182</v>
      </c>
      <c r="E1716" s="415" t="s">
        <v>1</v>
      </c>
      <c r="F1716" s="435">
        <v>2869.17</v>
      </c>
      <c r="G1716" s="440" t="s">
        <v>4526</v>
      </c>
      <c r="H1716" s="415" t="s">
        <v>310</v>
      </c>
      <c r="I1716" s="437" t="s">
        <v>1181</v>
      </c>
      <c r="J1716" s="434" t="s">
        <v>933</v>
      </c>
      <c r="K1716" s="415" t="s">
        <v>830</v>
      </c>
      <c r="L1716" s="434" t="s">
        <v>909</v>
      </c>
      <c r="M1716" s="415" t="s">
        <v>310</v>
      </c>
      <c r="N1716" s="414">
        <v>44718</v>
      </c>
      <c r="O1716" s="414" t="s">
        <v>400</v>
      </c>
      <c r="P1716" s="603">
        <f t="shared" si="251"/>
        <v>6</v>
      </c>
      <c r="Q1716" s="603">
        <f t="shared" si="252"/>
        <v>5</v>
      </c>
      <c r="R1716" s="604" t="str">
        <f t="shared" si="253"/>
        <v>Gastos_com_Pessoal</v>
      </c>
      <c r="S1716" s="605" t="s">
        <v>310</v>
      </c>
      <c r="T1716" s="605" t="s">
        <v>310</v>
      </c>
    </row>
    <row r="1717" spans="1:20" s="88" customFormat="1" ht="36" x14ac:dyDescent="0.2">
      <c r="A1717" s="510">
        <f>IF(B1717="","",COUNT('Diário 1º PA'!$A$4:$A$2635)+ROW()-3)</f>
        <v>3450</v>
      </c>
      <c r="B1717" s="414">
        <v>44718</v>
      </c>
      <c r="C1717" s="424">
        <v>44682</v>
      </c>
      <c r="D1717" s="415" t="s">
        <v>182</v>
      </c>
      <c r="E1717" s="415" t="s">
        <v>1</v>
      </c>
      <c r="F1717" s="425">
        <v>1494.54</v>
      </c>
      <c r="G1717" s="440" t="s">
        <v>3867</v>
      </c>
      <c r="H1717" s="415" t="s">
        <v>310</v>
      </c>
      <c r="I1717" s="427" t="s">
        <v>1196</v>
      </c>
      <c r="J1717" s="415" t="s">
        <v>1195</v>
      </c>
      <c r="K1717" s="415" t="s">
        <v>830</v>
      </c>
      <c r="L1717" s="415" t="s">
        <v>909</v>
      </c>
      <c r="M1717" s="415" t="s">
        <v>310</v>
      </c>
      <c r="N1717" s="414">
        <v>44718</v>
      </c>
      <c r="O1717" s="414" t="s">
        <v>400</v>
      </c>
      <c r="P1717" s="603">
        <f t="shared" si="251"/>
        <v>6</v>
      </c>
      <c r="Q1717" s="603">
        <f t="shared" si="252"/>
        <v>5</v>
      </c>
      <c r="R1717" s="604" t="str">
        <f t="shared" si="253"/>
        <v>Gastos_com_Pessoal</v>
      </c>
      <c r="S1717" s="605" t="s">
        <v>310</v>
      </c>
      <c r="T1717" s="605" t="s">
        <v>310</v>
      </c>
    </row>
    <row r="1718" spans="1:20" s="88" customFormat="1" ht="36" x14ac:dyDescent="0.2">
      <c r="A1718" s="510">
        <f>IF(B1718="","",COUNT('Diário 1º PA'!$A$4:$A$2635)+ROW()-3)</f>
        <v>3451</v>
      </c>
      <c r="B1718" s="414">
        <v>44718</v>
      </c>
      <c r="C1718" s="424">
        <v>44682</v>
      </c>
      <c r="D1718" s="415" t="s">
        <v>182</v>
      </c>
      <c r="E1718" s="415" t="s">
        <v>1</v>
      </c>
      <c r="F1718" s="425">
        <v>10188.709999999999</v>
      </c>
      <c r="G1718" s="427" t="s">
        <v>6828</v>
      </c>
      <c r="H1718" s="415" t="s">
        <v>310</v>
      </c>
      <c r="I1718" s="427" t="s">
        <v>952</v>
      </c>
      <c r="J1718" s="415" t="s">
        <v>953</v>
      </c>
      <c r="K1718" s="415" t="s">
        <v>830</v>
      </c>
      <c r="L1718" s="415" t="s">
        <v>909</v>
      </c>
      <c r="M1718" s="415" t="s">
        <v>310</v>
      </c>
      <c r="N1718" s="414">
        <v>44718</v>
      </c>
      <c r="O1718" s="414" t="s">
        <v>400</v>
      </c>
      <c r="P1718" s="603">
        <f t="shared" si="251"/>
        <v>6</v>
      </c>
      <c r="Q1718" s="603">
        <f t="shared" si="252"/>
        <v>5</v>
      </c>
      <c r="R1718" s="604" t="str">
        <f t="shared" si="253"/>
        <v>Gastos_com_Pessoal</v>
      </c>
      <c r="S1718" s="605" t="s">
        <v>310</v>
      </c>
      <c r="T1718" s="605" t="s">
        <v>310</v>
      </c>
    </row>
    <row r="1719" spans="1:20" s="88" customFormat="1" ht="36" x14ac:dyDescent="0.2">
      <c r="A1719" s="510">
        <f>IF(B1719="","",COUNT('Diário 1º PA'!$A$4:$A$2635)+ROW()-3)</f>
        <v>3452</v>
      </c>
      <c r="B1719" s="414">
        <v>44718</v>
      </c>
      <c r="C1719" s="424">
        <v>44682</v>
      </c>
      <c r="D1719" s="415" t="s">
        <v>182</v>
      </c>
      <c r="E1719" s="415" t="s">
        <v>1</v>
      </c>
      <c r="F1719" s="425">
        <v>1957.64</v>
      </c>
      <c r="G1719" s="427" t="s">
        <v>4526</v>
      </c>
      <c r="H1719" s="415" t="s">
        <v>310</v>
      </c>
      <c r="I1719" s="427" t="s">
        <v>996</v>
      </c>
      <c r="J1719" s="415" t="s">
        <v>997</v>
      </c>
      <c r="K1719" s="415" t="s">
        <v>830</v>
      </c>
      <c r="L1719" s="415" t="s">
        <v>909</v>
      </c>
      <c r="M1719" s="415" t="s">
        <v>310</v>
      </c>
      <c r="N1719" s="414">
        <v>44718</v>
      </c>
      <c r="O1719" s="414" t="s">
        <v>400</v>
      </c>
      <c r="P1719" s="603">
        <f t="shared" si="251"/>
        <v>6</v>
      </c>
      <c r="Q1719" s="603">
        <f t="shared" si="252"/>
        <v>5</v>
      </c>
      <c r="R1719" s="604" t="str">
        <f t="shared" si="253"/>
        <v>Gastos_com_Pessoal</v>
      </c>
      <c r="S1719" s="605" t="s">
        <v>310</v>
      </c>
      <c r="T1719" s="605" t="s">
        <v>310</v>
      </c>
    </row>
    <row r="1720" spans="1:20" s="88" customFormat="1" ht="36" x14ac:dyDescent="0.2">
      <c r="A1720" s="510">
        <f>IF(B1720="","",COUNT('Diário 1º PA'!$A$4:$A$2635)+ROW()-3)</f>
        <v>3453</v>
      </c>
      <c r="B1720" s="414">
        <v>44718</v>
      </c>
      <c r="C1720" s="424">
        <v>44682</v>
      </c>
      <c r="D1720" s="415" t="s">
        <v>182</v>
      </c>
      <c r="E1720" s="415" t="s">
        <v>1</v>
      </c>
      <c r="F1720" s="425">
        <v>1412.57</v>
      </c>
      <c r="G1720" s="440" t="s">
        <v>4527</v>
      </c>
      <c r="H1720" s="415" t="s">
        <v>310</v>
      </c>
      <c r="I1720" s="427" t="s">
        <v>1200</v>
      </c>
      <c r="J1720" s="415" t="s">
        <v>1201</v>
      </c>
      <c r="K1720" s="415" t="s">
        <v>830</v>
      </c>
      <c r="L1720" s="415" t="s">
        <v>909</v>
      </c>
      <c r="M1720" s="415" t="s">
        <v>310</v>
      </c>
      <c r="N1720" s="414">
        <v>44718</v>
      </c>
      <c r="O1720" s="414" t="s">
        <v>400</v>
      </c>
      <c r="P1720" s="603">
        <f t="shared" si="251"/>
        <v>6</v>
      </c>
      <c r="Q1720" s="603">
        <f t="shared" si="252"/>
        <v>5</v>
      </c>
      <c r="R1720" s="604" t="str">
        <f t="shared" si="253"/>
        <v>Gastos_com_Pessoal</v>
      </c>
      <c r="S1720" s="605" t="s">
        <v>310</v>
      </c>
      <c r="T1720" s="605" t="s">
        <v>310</v>
      </c>
    </row>
    <row r="1721" spans="1:20" s="88" customFormat="1" ht="36" x14ac:dyDescent="0.2">
      <c r="A1721" s="510">
        <f>IF(B1721="","",COUNT('Diário 1º PA'!$A$4:$A$2635)+ROW()-3)</f>
        <v>3454</v>
      </c>
      <c r="B1721" s="414">
        <v>44718</v>
      </c>
      <c r="C1721" s="424">
        <v>44682</v>
      </c>
      <c r="D1721" s="415" t="s">
        <v>182</v>
      </c>
      <c r="E1721" s="415" t="s">
        <v>1</v>
      </c>
      <c r="F1721" s="425">
        <v>2077.66</v>
      </c>
      <c r="G1721" s="440" t="s">
        <v>4527</v>
      </c>
      <c r="H1721" s="415" t="s">
        <v>310</v>
      </c>
      <c r="I1721" s="427" t="s">
        <v>1175</v>
      </c>
      <c r="J1721" s="415" t="s">
        <v>1176</v>
      </c>
      <c r="K1721" s="415" t="s">
        <v>830</v>
      </c>
      <c r="L1721" s="415" t="s">
        <v>909</v>
      </c>
      <c r="M1721" s="415" t="s">
        <v>310</v>
      </c>
      <c r="N1721" s="414">
        <v>44718</v>
      </c>
      <c r="O1721" s="414" t="s">
        <v>400</v>
      </c>
      <c r="P1721" s="603">
        <f t="shared" si="251"/>
        <v>6</v>
      </c>
      <c r="Q1721" s="603">
        <f t="shared" si="252"/>
        <v>5</v>
      </c>
      <c r="R1721" s="604" t="str">
        <f t="shared" si="253"/>
        <v>Gastos_com_Pessoal</v>
      </c>
      <c r="S1721" s="605" t="s">
        <v>310</v>
      </c>
      <c r="T1721" s="605" t="s">
        <v>310</v>
      </c>
    </row>
    <row r="1722" spans="1:20" s="88" customFormat="1" ht="36" x14ac:dyDescent="0.2">
      <c r="A1722" s="510">
        <f>IF(B1722="","",COUNT('Diário 1º PA'!$A$4:$A$2635)+ROW()-3)</f>
        <v>3455</v>
      </c>
      <c r="B1722" s="414">
        <v>44718</v>
      </c>
      <c r="C1722" s="424">
        <v>44682</v>
      </c>
      <c r="D1722" s="415" t="s">
        <v>182</v>
      </c>
      <c r="E1722" s="415" t="s">
        <v>1</v>
      </c>
      <c r="F1722" s="425">
        <v>1983.14</v>
      </c>
      <c r="G1722" s="427" t="s">
        <v>4540</v>
      </c>
      <c r="H1722" s="415" t="s">
        <v>310</v>
      </c>
      <c r="I1722" s="427" t="s">
        <v>975</v>
      </c>
      <c r="J1722" s="415" t="s">
        <v>1565</v>
      </c>
      <c r="K1722" s="415" t="s">
        <v>830</v>
      </c>
      <c r="L1722" s="415" t="s">
        <v>909</v>
      </c>
      <c r="M1722" s="415" t="s">
        <v>310</v>
      </c>
      <c r="N1722" s="414">
        <v>44718</v>
      </c>
      <c r="O1722" s="414" t="s">
        <v>400</v>
      </c>
      <c r="P1722" s="603">
        <f t="shared" si="251"/>
        <v>6</v>
      </c>
      <c r="Q1722" s="603">
        <f t="shared" si="252"/>
        <v>5</v>
      </c>
      <c r="R1722" s="604" t="str">
        <f t="shared" si="253"/>
        <v>Gastos_com_Pessoal</v>
      </c>
      <c r="S1722" s="605" t="s">
        <v>310</v>
      </c>
      <c r="T1722" s="605" t="s">
        <v>310</v>
      </c>
    </row>
    <row r="1723" spans="1:20" s="88" customFormat="1" ht="36" x14ac:dyDescent="0.2">
      <c r="A1723" s="510">
        <f>IF(B1723="","",COUNT('Diário 1º PA'!$A$4:$A$2635)+ROW()-3)</f>
        <v>3456</v>
      </c>
      <c r="B1723" s="414">
        <v>44718</v>
      </c>
      <c r="C1723" s="424">
        <v>44682</v>
      </c>
      <c r="D1723" s="415" t="s">
        <v>182</v>
      </c>
      <c r="E1723" s="415" t="s">
        <v>1</v>
      </c>
      <c r="F1723" s="425">
        <v>1456.13</v>
      </c>
      <c r="G1723" s="440" t="s">
        <v>4541</v>
      </c>
      <c r="H1723" s="415" t="s">
        <v>310</v>
      </c>
      <c r="I1723" s="427" t="s">
        <v>1207</v>
      </c>
      <c r="J1723" s="415" t="s">
        <v>1206</v>
      </c>
      <c r="K1723" s="415" t="s">
        <v>830</v>
      </c>
      <c r="L1723" s="415" t="s">
        <v>909</v>
      </c>
      <c r="M1723" s="415" t="s">
        <v>310</v>
      </c>
      <c r="N1723" s="414">
        <v>44718</v>
      </c>
      <c r="O1723" s="414" t="s">
        <v>400</v>
      </c>
      <c r="P1723" s="603">
        <f t="shared" si="251"/>
        <v>6</v>
      </c>
      <c r="Q1723" s="603">
        <f t="shared" si="252"/>
        <v>5</v>
      </c>
      <c r="R1723" s="604" t="str">
        <f t="shared" si="253"/>
        <v>Gastos_com_Pessoal</v>
      </c>
      <c r="S1723" s="605" t="s">
        <v>310</v>
      </c>
      <c r="T1723" s="605" t="s">
        <v>310</v>
      </c>
    </row>
    <row r="1724" spans="1:20" s="88" customFormat="1" ht="36" x14ac:dyDescent="0.2">
      <c r="A1724" s="510">
        <f>IF(B1724="","",COUNT('Diário 1º PA'!$A$4:$A$2635)+ROW()-3)</f>
        <v>3457</v>
      </c>
      <c r="B1724" s="414">
        <v>44718</v>
      </c>
      <c r="C1724" s="424">
        <v>44682</v>
      </c>
      <c r="D1724" s="415" t="s">
        <v>182</v>
      </c>
      <c r="E1724" s="415" t="s">
        <v>1</v>
      </c>
      <c r="F1724" s="425">
        <v>2077.66</v>
      </c>
      <c r="G1724" s="440" t="s">
        <v>4527</v>
      </c>
      <c r="H1724" s="415" t="s">
        <v>310</v>
      </c>
      <c r="I1724" s="639" t="s">
        <v>1190</v>
      </c>
      <c r="J1724" s="399" t="s">
        <v>1191</v>
      </c>
      <c r="K1724" s="415" t="s">
        <v>830</v>
      </c>
      <c r="L1724" s="415" t="s">
        <v>909</v>
      </c>
      <c r="M1724" s="415" t="s">
        <v>310</v>
      </c>
      <c r="N1724" s="414">
        <v>44718</v>
      </c>
      <c r="O1724" s="414" t="s">
        <v>400</v>
      </c>
      <c r="P1724" s="603">
        <f t="shared" si="251"/>
        <v>6</v>
      </c>
      <c r="Q1724" s="603">
        <f t="shared" si="252"/>
        <v>5</v>
      </c>
      <c r="R1724" s="604" t="str">
        <f t="shared" si="253"/>
        <v>Gastos_com_Pessoal</v>
      </c>
      <c r="S1724" s="605" t="s">
        <v>310</v>
      </c>
      <c r="T1724" s="605" t="s">
        <v>310</v>
      </c>
    </row>
    <row r="1725" spans="1:20" s="88" customFormat="1" ht="36" x14ac:dyDescent="0.2">
      <c r="A1725" s="510">
        <f>IF(B1725="","",COUNT('Diário 1º PA'!$A$4:$A$2635)+ROW()-3)</f>
        <v>3458</v>
      </c>
      <c r="B1725" s="414">
        <v>44718</v>
      </c>
      <c r="C1725" s="424">
        <v>44682</v>
      </c>
      <c r="D1725" s="415" t="s">
        <v>182</v>
      </c>
      <c r="E1725" s="415" t="s">
        <v>1</v>
      </c>
      <c r="F1725" s="425">
        <v>10721.52</v>
      </c>
      <c r="G1725" s="427" t="s">
        <v>4542</v>
      </c>
      <c r="H1725" s="415" t="s">
        <v>310</v>
      </c>
      <c r="I1725" s="427" t="s">
        <v>990</v>
      </c>
      <c r="J1725" s="415" t="s">
        <v>991</v>
      </c>
      <c r="K1725" s="415" t="s">
        <v>830</v>
      </c>
      <c r="L1725" s="415" t="s">
        <v>909</v>
      </c>
      <c r="M1725" s="415" t="s">
        <v>310</v>
      </c>
      <c r="N1725" s="414">
        <v>44718</v>
      </c>
      <c r="O1725" s="414" t="s">
        <v>400</v>
      </c>
      <c r="P1725" s="603">
        <f t="shared" si="251"/>
        <v>6</v>
      </c>
      <c r="Q1725" s="603">
        <f t="shared" si="252"/>
        <v>5</v>
      </c>
      <c r="R1725" s="604" t="str">
        <f t="shared" si="253"/>
        <v>Gastos_com_Pessoal</v>
      </c>
      <c r="S1725" s="605" t="s">
        <v>310</v>
      </c>
      <c r="T1725" s="605" t="s">
        <v>310</v>
      </c>
    </row>
    <row r="1726" spans="1:20" s="88" customFormat="1" ht="36" x14ac:dyDescent="0.2">
      <c r="A1726" s="510">
        <f>IF(B1726="","",COUNT('Diário 1º PA'!$A$4:$A$2635)+ROW()-3)</f>
        <v>3459</v>
      </c>
      <c r="B1726" s="414">
        <v>44718</v>
      </c>
      <c r="C1726" s="424">
        <v>44682</v>
      </c>
      <c r="D1726" s="415" t="s">
        <v>182</v>
      </c>
      <c r="E1726" s="415" t="s">
        <v>1</v>
      </c>
      <c r="F1726" s="425">
        <v>2871.58</v>
      </c>
      <c r="G1726" s="427" t="s">
        <v>4543</v>
      </c>
      <c r="H1726" s="415" t="s">
        <v>310</v>
      </c>
      <c r="I1726" s="427" t="s">
        <v>985</v>
      </c>
      <c r="J1726" s="415" t="s">
        <v>986</v>
      </c>
      <c r="K1726" s="415" t="s">
        <v>830</v>
      </c>
      <c r="L1726" s="415" t="s">
        <v>909</v>
      </c>
      <c r="M1726" s="415" t="s">
        <v>310</v>
      </c>
      <c r="N1726" s="414">
        <v>44718</v>
      </c>
      <c r="O1726" s="414" t="s">
        <v>400</v>
      </c>
      <c r="P1726" s="603">
        <f t="shared" si="251"/>
        <v>6</v>
      </c>
      <c r="Q1726" s="603">
        <f t="shared" si="252"/>
        <v>5</v>
      </c>
      <c r="R1726" s="604" t="str">
        <f t="shared" si="253"/>
        <v>Gastos_com_Pessoal</v>
      </c>
      <c r="S1726" s="605" t="s">
        <v>310</v>
      </c>
      <c r="T1726" s="605" t="s">
        <v>310</v>
      </c>
    </row>
    <row r="1727" spans="1:20" s="88" customFormat="1" ht="36" x14ac:dyDescent="0.2">
      <c r="A1727" s="510">
        <f>IF(B1727="","",COUNT('Diário 1º PA'!$A$4:$A$2635)+ROW()-3)</f>
        <v>3460</v>
      </c>
      <c r="B1727" s="414">
        <v>44718</v>
      </c>
      <c r="C1727" s="424">
        <v>44682</v>
      </c>
      <c r="D1727" s="415" t="s">
        <v>182</v>
      </c>
      <c r="E1727" s="415" t="s">
        <v>1</v>
      </c>
      <c r="F1727" s="425">
        <v>2111.1799999999998</v>
      </c>
      <c r="G1727" s="427" t="s">
        <v>4540</v>
      </c>
      <c r="H1727" s="415" t="s">
        <v>310</v>
      </c>
      <c r="I1727" s="427" t="s">
        <v>994</v>
      </c>
      <c r="J1727" s="415" t="s">
        <v>995</v>
      </c>
      <c r="K1727" s="415" t="s">
        <v>830</v>
      </c>
      <c r="L1727" s="415" t="s">
        <v>909</v>
      </c>
      <c r="M1727" s="415" t="s">
        <v>310</v>
      </c>
      <c r="N1727" s="414">
        <v>44718</v>
      </c>
      <c r="O1727" s="414" t="s">
        <v>400</v>
      </c>
      <c r="P1727" s="603">
        <f t="shared" si="251"/>
        <v>6</v>
      </c>
      <c r="Q1727" s="603">
        <f t="shared" si="252"/>
        <v>5</v>
      </c>
      <c r="R1727" s="604" t="str">
        <f t="shared" si="253"/>
        <v>Gastos_com_Pessoal</v>
      </c>
      <c r="S1727" s="605" t="s">
        <v>310</v>
      </c>
      <c r="T1727" s="605" t="s">
        <v>310</v>
      </c>
    </row>
    <row r="1728" spans="1:20" s="88" customFormat="1" ht="36" x14ac:dyDescent="0.2">
      <c r="A1728" s="510">
        <f>IF(B1728="","",COUNT('Diário 1º PA'!$A$4:$A$2635)+ROW()-3)</f>
        <v>3461</v>
      </c>
      <c r="B1728" s="414">
        <v>44718</v>
      </c>
      <c r="C1728" s="424">
        <v>44682</v>
      </c>
      <c r="D1728" s="415" t="s">
        <v>182</v>
      </c>
      <c r="E1728" s="415" t="s">
        <v>1</v>
      </c>
      <c r="F1728" s="425">
        <v>2882.58</v>
      </c>
      <c r="G1728" s="427" t="s">
        <v>4533</v>
      </c>
      <c r="H1728" s="415" t="s">
        <v>310</v>
      </c>
      <c r="I1728" s="427" t="s">
        <v>959</v>
      </c>
      <c r="J1728" s="415" t="s">
        <v>960</v>
      </c>
      <c r="K1728" s="415" t="s">
        <v>830</v>
      </c>
      <c r="L1728" s="415" t="s">
        <v>909</v>
      </c>
      <c r="M1728" s="415" t="s">
        <v>310</v>
      </c>
      <c r="N1728" s="414">
        <v>44718</v>
      </c>
      <c r="O1728" s="414" t="s">
        <v>400</v>
      </c>
      <c r="P1728" s="603">
        <f t="shared" si="251"/>
        <v>6</v>
      </c>
      <c r="Q1728" s="603">
        <f t="shared" si="252"/>
        <v>5</v>
      </c>
      <c r="R1728" s="604" t="str">
        <f t="shared" si="253"/>
        <v>Gastos_com_Pessoal</v>
      </c>
      <c r="S1728" s="605" t="s">
        <v>310</v>
      </c>
      <c r="T1728" s="605" t="s">
        <v>310</v>
      </c>
    </row>
    <row r="1729" spans="1:20" s="88" customFormat="1" ht="36" x14ac:dyDescent="0.2">
      <c r="A1729" s="510">
        <f>IF(B1729="","",COUNT('Diário 1º PA'!$A$4:$A$2635)+ROW()-3)</f>
        <v>3462</v>
      </c>
      <c r="B1729" s="414">
        <v>44718</v>
      </c>
      <c r="C1729" s="424">
        <v>44682</v>
      </c>
      <c r="D1729" s="415" t="s">
        <v>182</v>
      </c>
      <c r="E1729" s="415" t="s">
        <v>1</v>
      </c>
      <c r="F1729" s="425">
        <v>1908.24</v>
      </c>
      <c r="G1729" s="440" t="s">
        <v>4538</v>
      </c>
      <c r="H1729" s="415" t="s">
        <v>310</v>
      </c>
      <c r="I1729" s="427" t="s">
        <v>3519</v>
      </c>
      <c r="J1729" s="415" t="s">
        <v>988</v>
      </c>
      <c r="K1729" s="415" t="s">
        <v>830</v>
      </c>
      <c r="L1729" s="415" t="s">
        <v>909</v>
      </c>
      <c r="M1729" s="415" t="s">
        <v>310</v>
      </c>
      <c r="N1729" s="414">
        <v>44718</v>
      </c>
      <c r="O1729" s="414" t="s">
        <v>400</v>
      </c>
      <c r="P1729" s="603">
        <f t="shared" si="251"/>
        <v>6</v>
      </c>
      <c r="Q1729" s="603">
        <f t="shared" si="252"/>
        <v>5</v>
      </c>
      <c r="R1729" s="604" t="str">
        <f t="shared" si="253"/>
        <v>Gastos_com_Pessoal</v>
      </c>
      <c r="S1729" s="605" t="s">
        <v>310</v>
      </c>
      <c r="T1729" s="605" t="s">
        <v>310</v>
      </c>
    </row>
    <row r="1730" spans="1:20" s="88" customFormat="1" ht="36" x14ac:dyDescent="0.2">
      <c r="A1730" s="510">
        <f>IF(B1730="","",COUNT('Diário 1º PA'!$A$4:$A$2635)+ROW()-3)</f>
        <v>3463</v>
      </c>
      <c r="B1730" s="414">
        <v>44718</v>
      </c>
      <c r="C1730" s="424">
        <v>44682</v>
      </c>
      <c r="D1730" s="415" t="s">
        <v>182</v>
      </c>
      <c r="E1730" s="415" t="s">
        <v>1</v>
      </c>
      <c r="F1730" s="425">
        <v>2005.11</v>
      </c>
      <c r="G1730" s="440" t="s">
        <v>4544</v>
      </c>
      <c r="H1730" s="415" t="s">
        <v>310</v>
      </c>
      <c r="I1730" s="427" t="s">
        <v>1205</v>
      </c>
      <c r="J1730" s="415" t="s">
        <v>1204</v>
      </c>
      <c r="K1730" s="415" t="s">
        <v>830</v>
      </c>
      <c r="L1730" s="415" t="s">
        <v>909</v>
      </c>
      <c r="M1730" s="415" t="s">
        <v>310</v>
      </c>
      <c r="N1730" s="414">
        <v>44718</v>
      </c>
      <c r="O1730" s="414" t="s">
        <v>400</v>
      </c>
      <c r="P1730" s="603">
        <f t="shared" si="251"/>
        <v>6</v>
      </c>
      <c r="Q1730" s="603">
        <f t="shared" si="252"/>
        <v>5</v>
      </c>
      <c r="R1730" s="604" t="str">
        <f t="shared" si="253"/>
        <v>Gastos_com_Pessoal</v>
      </c>
      <c r="S1730" s="605" t="s">
        <v>310</v>
      </c>
      <c r="T1730" s="605" t="s">
        <v>310</v>
      </c>
    </row>
    <row r="1731" spans="1:20" s="88" customFormat="1" ht="36" x14ac:dyDescent="0.2">
      <c r="A1731" s="510">
        <f>IF(B1731="","",COUNT('Diário 1º PA'!$A$4:$A$2635)+ROW()-3)</f>
        <v>3464</v>
      </c>
      <c r="B1731" s="414">
        <v>44718</v>
      </c>
      <c r="C1731" s="424">
        <v>44682</v>
      </c>
      <c r="D1731" s="415" t="s">
        <v>182</v>
      </c>
      <c r="E1731" s="415" t="s">
        <v>1</v>
      </c>
      <c r="F1731" s="425">
        <v>2900.56</v>
      </c>
      <c r="G1731" s="440" t="s">
        <v>4526</v>
      </c>
      <c r="H1731" s="415" t="s">
        <v>310</v>
      </c>
      <c r="I1731" s="427" t="s">
        <v>3195</v>
      </c>
      <c r="J1731" s="415" t="s">
        <v>3518</v>
      </c>
      <c r="K1731" s="415" t="s">
        <v>830</v>
      </c>
      <c r="L1731" s="415" t="s">
        <v>909</v>
      </c>
      <c r="M1731" s="415" t="s">
        <v>310</v>
      </c>
      <c r="N1731" s="414">
        <v>44718</v>
      </c>
      <c r="O1731" s="414" t="s">
        <v>400</v>
      </c>
      <c r="P1731" s="603">
        <f t="shared" si="251"/>
        <v>6</v>
      </c>
      <c r="Q1731" s="603">
        <f t="shared" si="252"/>
        <v>5</v>
      </c>
      <c r="R1731" s="604" t="str">
        <f t="shared" si="253"/>
        <v>Gastos_com_Pessoal</v>
      </c>
      <c r="S1731" s="605" t="s">
        <v>310</v>
      </c>
      <c r="T1731" s="605" t="s">
        <v>310</v>
      </c>
    </row>
    <row r="1732" spans="1:20" s="88" customFormat="1" ht="36" x14ac:dyDescent="0.2">
      <c r="A1732" s="510">
        <f>IF(B1732="","",COUNT('Diário 1º PA'!$A$4:$A$2635)+ROW()-3)</f>
        <v>3465</v>
      </c>
      <c r="B1732" s="414">
        <v>44718</v>
      </c>
      <c r="C1732" s="424">
        <v>44682</v>
      </c>
      <c r="D1732" s="415" t="s">
        <v>182</v>
      </c>
      <c r="E1732" s="415" t="s">
        <v>1</v>
      </c>
      <c r="F1732" s="425">
        <v>2471.9699999999998</v>
      </c>
      <c r="G1732" s="440" t="s">
        <v>4529</v>
      </c>
      <c r="H1732" s="415" t="s">
        <v>310</v>
      </c>
      <c r="I1732" s="427" t="s">
        <v>1192</v>
      </c>
      <c r="J1732" s="434" t="s">
        <v>1191</v>
      </c>
      <c r="K1732" s="415" t="s">
        <v>830</v>
      </c>
      <c r="L1732" s="415" t="s">
        <v>909</v>
      </c>
      <c r="M1732" s="415" t="s">
        <v>310</v>
      </c>
      <c r="N1732" s="414">
        <v>44718</v>
      </c>
      <c r="O1732" s="414" t="s">
        <v>400</v>
      </c>
      <c r="P1732" s="603">
        <f t="shared" si="251"/>
        <v>6</v>
      </c>
      <c r="Q1732" s="603">
        <f t="shared" si="252"/>
        <v>5</v>
      </c>
      <c r="R1732" s="604" t="str">
        <f t="shared" si="253"/>
        <v>Gastos_com_Pessoal</v>
      </c>
      <c r="S1732" s="605" t="s">
        <v>310</v>
      </c>
      <c r="T1732" s="605" t="s">
        <v>310</v>
      </c>
    </row>
    <row r="1733" spans="1:20" s="88" customFormat="1" ht="36" x14ac:dyDescent="0.2">
      <c r="A1733" s="510">
        <f>IF(B1733="","",COUNT('Diário 1º PA'!$A$4:$A$2635)+ROW()-3)</f>
        <v>3466</v>
      </c>
      <c r="B1733" s="414">
        <v>44718</v>
      </c>
      <c r="C1733" s="424">
        <v>44682</v>
      </c>
      <c r="D1733" s="415" t="s">
        <v>182</v>
      </c>
      <c r="E1733" s="415" t="s">
        <v>1</v>
      </c>
      <c r="F1733" s="425">
        <v>2042</v>
      </c>
      <c r="G1733" s="427" t="s">
        <v>4545</v>
      </c>
      <c r="H1733" s="415" t="s">
        <v>310</v>
      </c>
      <c r="I1733" s="427" t="s">
        <v>969</v>
      </c>
      <c r="J1733" s="415" t="s">
        <v>970</v>
      </c>
      <c r="K1733" s="415" t="s">
        <v>830</v>
      </c>
      <c r="L1733" s="415" t="s">
        <v>909</v>
      </c>
      <c r="M1733" s="415" t="s">
        <v>310</v>
      </c>
      <c r="N1733" s="414">
        <v>44718</v>
      </c>
      <c r="O1733" s="414" t="s">
        <v>400</v>
      </c>
      <c r="P1733" s="603">
        <f t="shared" si="251"/>
        <v>6</v>
      </c>
      <c r="Q1733" s="603">
        <f t="shared" si="252"/>
        <v>5</v>
      </c>
      <c r="R1733" s="604" t="str">
        <f t="shared" si="253"/>
        <v>Gastos_com_Pessoal</v>
      </c>
      <c r="S1733" s="605" t="s">
        <v>310</v>
      </c>
      <c r="T1733" s="605" t="s">
        <v>310</v>
      </c>
    </row>
    <row r="1734" spans="1:20" s="88" customFormat="1" ht="36" x14ac:dyDescent="0.2">
      <c r="A1734" s="510">
        <f>IF(B1734="","",COUNT('Diário 1º PA'!$A$4:$A$2635)+ROW()-3)</f>
        <v>3467</v>
      </c>
      <c r="B1734" s="414">
        <v>44718</v>
      </c>
      <c r="C1734" s="424">
        <v>44682</v>
      </c>
      <c r="D1734" s="415" t="s">
        <v>182</v>
      </c>
      <c r="E1734" s="415" t="s">
        <v>1</v>
      </c>
      <c r="F1734" s="425">
        <v>2812.64</v>
      </c>
      <c r="G1734" s="440" t="s">
        <v>4546</v>
      </c>
      <c r="H1734" s="415" t="s">
        <v>310</v>
      </c>
      <c r="I1734" s="427" t="s">
        <v>1179</v>
      </c>
      <c r="J1734" s="415" t="s">
        <v>1180</v>
      </c>
      <c r="K1734" s="415" t="s">
        <v>830</v>
      </c>
      <c r="L1734" s="415" t="s">
        <v>909</v>
      </c>
      <c r="M1734" s="415" t="s">
        <v>310</v>
      </c>
      <c r="N1734" s="414">
        <v>44718</v>
      </c>
      <c r="O1734" s="414" t="s">
        <v>400</v>
      </c>
      <c r="P1734" s="603">
        <f t="shared" si="251"/>
        <v>6</v>
      </c>
      <c r="Q1734" s="603">
        <f t="shared" si="252"/>
        <v>5</v>
      </c>
      <c r="R1734" s="604" t="str">
        <f t="shared" si="253"/>
        <v>Gastos_com_Pessoal</v>
      </c>
      <c r="S1734" s="605" t="s">
        <v>310</v>
      </c>
      <c r="T1734" s="605" t="s">
        <v>310</v>
      </c>
    </row>
    <row r="1735" spans="1:20" s="88" customFormat="1" ht="36" x14ac:dyDescent="0.2">
      <c r="A1735" s="510">
        <f>IF(B1735="","",COUNT('Diário 1º PA'!$A$4:$A$2635)+ROW()-3)</f>
        <v>3468</v>
      </c>
      <c r="B1735" s="414">
        <v>44718</v>
      </c>
      <c r="C1735" s="424">
        <v>44682</v>
      </c>
      <c r="D1735" s="415" t="s">
        <v>182</v>
      </c>
      <c r="E1735" s="415" t="s">
        <v>1</v>
      </c>
      <c r="F1735" s="435">
        <v>2077.66</v>
      </c>
      <c r="G1735" s="440" t="s">
        <v>4540</v>
      </c>
      <c r="H1735" s="415" t="s">
        <v>310</v>
      </c>
      <c r="I1735" s="437" t="s">
        <v>1167</v>
      </c>
      <c r="J1735" s="434" t="s">
        <v>1168</v>
      </c>
      <c r="K1735" s="415" t="s">
        <v>830</v>
      </c>
      <c r="L1735" s="434" t="s">
        <v>909</v>
      </c>
      <c r="M1735" s="415" t="s">
        <v>310</v>
      </c>
      <c r="N1735" s="414">
        <v>44718</v>
      </c>
      <c r="O1735" s="414" t="s">
        <v>400</v>
      </c>
      <c r="P1735" s="603">
        <f t="shared" si="251"/>
        <v>6</v>
      </c>
      <c r="Q1735" s="603">
        <f t="shared" si="252"/>
        <v>5</v>
      </c>
      <c r="R1735" s="604" t="str">
        <f t="shared" si="253"/>
        <v>Gastos_com_Pessoal</v>
      </c>
      <c r="S1735" s="605" t="s">
        <v>310</v>
      </c>
      <c r="T1735" s="605" t="s">
        <v>310</v>
      </c>
    </row>
    <row r="1736" spans="1:20" s="88" customFormat="1" ht="36" x14ac:dyDescent="0.2">
      <c r="A1736" s="510">
        <f>IF(B1736="","",COUNT('Diário 1º PA'!$A$4:$A$2635)+ROW()-3)</f>
        <v>3469</v>
      </c>
      <c r="B1736" s="414">
        <v>44718</v>
      </c>
      <c r="C1736" s="424">
        <v>44682</v>
      </c>
      <c r="D1736" s="415" t="s">
        <v>182</v>
      </c>
      <c r="E1736" s="415" t="s">
        <v>1</v>
      </c>
      <c r="F1736" s="425">
        <v>2750.95</v>
      </c>
      <c r="G1736" s="440" t="s">
        <v>4547</v>
      </c>
      <c r="H1736" s="415" t="s">
        <v>310</v>
      </c>
      <c r="I1736" s="427" t="s">
        <v>1169</v>
      </c>
      <c r="J1736" s="415" t="s">
        <v>1170</v>
      </c>
      <c r="K1736" s="415" t="s">
        <v>830</v>
      </c>
      <c r="L1736" s="415" t="s">
        <v>909</v>
      </c>
      <c r="M1736" s="415" t="s">
        <v>310</v>
      </c>
      <c r="N1736" s="414">
        <v>44718</v>
      </c>
      <c r="O1736" s="414" t="s">
        <v>400</v>
      </c>
      <c r="P1736" s="603">
        <f t="shared" si="251"/>
        <v>6</v>
      </c>
      <c r="Q1736" s="603">
        <f t="shared" si="252"/>
        <v>5</v>
      </c>
      <c r="R1736" s="604" t="str">
        <f t="shared" si="253"/>
        <v>Gastos_com_Pessoal</v>
      </c>
      <c r="S1736" s="605" t="s">
        <v>310</v>
      </c>
      <c r="T1736" s="605" t="s">
        <v>310</v>
      </c>
    </row>
    <row r="1737" spans="1:20" s="88" customFormat="1" ht="24" x14ac:dyDescent="0.2">
      <c r="A1737" s="510">
        <f>IF(B1737="","",COUNT('Diário 1º PA'!$A$4:$A$2635)+ROW()-3)</f>
        <v>3470</v>
      </c>
      <c r="B1737" s="414">
        <v>44718</v>
      </c>
      <c r="C1737" s="424">
        <v>44682</v>
      </c>
      <c r="D1737" s="415" t="s">
        <v>271</v>
      </c>
      <c r="E1737" s="415" t="s">
        <v>85</v>
      </c>
      <c r="F1737" s="425">
        <v>89.19</v>
      </c>
      <c r="G1737" s="437" t="s">
        <v>3637</v>
      </c>
      <c r="H1737" s="415" t="s">
        <v>750</v>
      </c>
      <c r="I1737" s="437" t="s">
        <v>765</v>
      </c>
      <c r="J1737" s="434" t="s">
        <v>892</v>
      </c>
      <c r="K1737" s="415" t="s">
        <v>893</v>
      </c>
      <c r="L1737" s="415" t="s">
        <v>807</v>
      </c>
      <c r="M1737" s="415">
        <v>78949544</v>
      </c>
      <c r="N1737" s="414">
        <v>44698</v>
      </c>
      <c r="O1737" s="414" t="s">
        <v>400</v>
      </c>
      <c r="P1737" s="603">
        <f t="shared" si="251"/>
        <v>6</v>
      </c>
      <c r="Q1737" s="603">
        <f t="shared" si="252"/>
        <v>5</v>
      </c>
      <c r="R1737" s="604" t="str">
        <f t="shared" si="253"/>
        <v>Gastos_Gerais</v>
      </c>
      <c r="S1737" s="605" t="s">
        <v>310</v>
      </c>
      <c r="T1737" s="605" t="s">
        <v>310</v>
      </c>
    </row>
    <row r="1738" spans="1:20" s="88" customFormat="1" ht="24" x14ac:dyDescent="0.2">
      <c r="A1738" s="510">
        <f>IF(B1738="","",COUNT('Diário 1º PA'!$A$4:$A$2635)+ROW()-3)</f>
        <v>3471</v>
      </c>
      <c r="B1738" s="414">
        <v>44718</v>
      </c>
      <c r="C1738" s="424">
        <v>44682</v>
      </c>
      <c r="D1738" s="415" t="s">
        <v>271</v>
      </c>
      <c r="E1738" s="415" t="s">
        <v>297</v>
      </c>
      <c r="F1738" s="425">
        <v>21908.73</v>
      </c>
      <c r="G1738" s="427" t="s">
        <v>1687</v>
      </c>
      <c r="H1738" s="415" t="s">
        <v>750</v>
      </c>
      <c r="I1738" s="427" t="s">
        <v>774</v>
      </c>
      <c r="J1738" s="415" t="s">
        <v>844</v>
      </c>
      <c r="K1738" s="415" t="s">
        <v>812</v>
      </c>
      <c r="L1738" s="415" t="s">
        <v>310</v>
      </c>
      <c r="M1738" s="415" t="s">
        <v>310</v>
      </c>
      <c r="N1738" s="414">
        <v>44718</v>
      </c>
      <c r="O1738" s="414" t="s">
        <v>400</v>
      </c>
      <c r="P1738" s="603">
        <f>IF(B1738=0,0,IF(YEAR(B1738)=$Q$1,MONTH(B1738)-$P$1+1,(YEAR(B1738)-$Q$1)*12-$P$1+1+MONTH(B1738)))</f>
        <v>6</v>
      </c>
      <c r="Q1738" s="603">
        <f>IF(C1738=0,0,IF(YEAR(C1738)=$Q$1,MONTH(C1738)-$P$1+1,(YEAR(C1738)-$Q$1)*12-$P$1+1+MONTH(C1738)))</f>
        <v>5</v>
      </c>
      <c r="R1738" s="604" t="str">
        <f>SUBSTITUTE(D1738," ","_")</f>
        <v>Gastos_Gerais</v>
      </c>
      <c r="S1738" s="605" t="s">
        <v>310</v>
      </c>
      <c r="T1738" s="605" t="s">
        <v>310</v>
      </c>
    </row>
    <row r="1739" spans="1:20" s="88" customFormat="1" ht="60" x14ac:dyDescent="0.2">
      <c r="A1739" s="510">
        <f>IF(B1739="","",COUNT('Diário 1º PA'!$A$4:$A$2635)+ROW()-3)</f>
        <v>3472</v>
      </c>
      <c r="B1739" s="414">
        <v>44718</v>
      </c>
      <c r="C1739" s="431">
        <v>44682</v>
      </c>
      <c r="D1739" s="415" t="s">
        <v>271</v>
      </c>
      <c r="E1739" s="415" t="s">
        <v>456</v>
      </c>
      <c r="F1739" s="425">
        <v>814.03</v>
      </c>
      <c r="G1739" s="427" t="s">
        <v>4279</v>
      </c>
      <c r="H1739" s="419" t="s">
        <v>754</v>
      </c>
      <c r="I1739" s="427" t="s">
        <v>1388</v>
      </c>
      <c r="J1739" s="415" t="s">
        <v>1022</v>
      </c>
      <c r="K1739" s="415" t="s">
        <v>830</v>
      </c>
      <c r="L1739" s="415" t="s">
        <v>1305</v>
      </c>
      <c r="M1739" s="415" t="s">
        <v>310</v>
      </c>
      <c r="N1739" s="414">
        <v>44718</v>
      </c>
      <c r="O1739" s="414" t="s">
        <v>400</v>
      </c>
      <c r="P1739" s="603">
        <f t="shared" ref="P1739:P1749" si="265">IF(B1739=0,0,IF(YEAR(B1739)=$Q$1,MONTH(B1739)-$P$1+1,(YEAR(B1739)-$Q$1)*12-$P$1+1+MONTH(B1739)))</f>
        <v>6</v>
      </c>
      <c r="Q1739" s="603">
        <f t="shared" ref="Q1739:Q1749" si="266">IF(C1739=0,0,IF(YEAR(C1739)=$Q$1,MONTH(C1739)-$P$1+1,(YEAR(C1739)-$Q$1)*12-$P$1+1+MONTH(C1739)))</f>
        <v>5</v>
      </c>
      <c r="R1739" s="604" t="str">
        <f t="shared" ref="R1739:R1749" si="267">SUBSTITUTE(D1739," ","_")</f>
        <v>Gastos_Gerais</v>
      </c>
      <c r="S1739" s="605" t="s">
        <v>998</v>
      </c>
      <c r="T1739" s="605">
        <v>3773</v>
      </c>
    </row>
    <row r="1740" spans="1:20" s="88" customFormat="1" ht="55.5" customHeight="1" x14ac:dyDescent="0.2">
      <c r="A1740" s="510">
        <f>IF(B1740="","",COUNT('Diário 1º PA'!$A$4:$A$2635)+ROW()-3)</f>
        <v>3473</v>
      </c>
      <c r="B1740" s="414">
        <v>44718</v>
      </c>
      <c r="C1740" s="431">
        <v>44682</v>
      </c>
      <c r="D1740" s="415" t="s">
        <v>271</v>
      </c>
      <c r="E1740" s="415" t="s">
        <v>297</v>
      </c>
      <c r="F1740" s="425">
        <v>815.15</v>
      </c>
      <c r="G1740" s="427" t="s">
        <v>4278</v>
      </c>
      <c r="H1740" s="419" t="s">
        <v>760</v>
      </c>
      <c r="I1740" s="427" t="s">
        <v>1388</v>
      </c>
      <c r="J1740" s="415" t="s">
        <v>1022</v>
      </c>
      <c r="K1740" s="415" t="s">
        <v>830</v>
      </c>
      <c r="L1740" s="415" t="s">
        <v>1305</v>
      </c>
      <c r="M1740" s="415" t="s">
        <v>310</v>
      </c>
      <c r="N1740" s="414">
        <v>44718</v>
      </c>
      <c r="O1740" s="414" t="s">
        <v>400</v>
      </c>
      <c r="P1740" s="603">
        <f>IF(B1740=0,0,IF(YEAR(B1740)=$Q$1,MONTH(B1740)-$P$1+1,(YEAR(B1740)-$Q$1)*12-$P$1+1+MONTH(B1740)))</f>
        <v>6</v>
      </c>
      <c r="Q1740" s="603">
        <f>IF(C1740=0,0,IF(YEAR(C1740)=$Q$1,MONTH(C1740)-$P$1+1,(YEAR(C1740)-$Q$1)*12-$P$1+1+MONTH(C1740)))</f>
        <v>5</v>
      </c>
      <c r="R1740" s="604" t="str">
        <f>SUBSTITUTE(D1740," ","_")</f>
        <v>Gastos_Gerais</v>
      </c>
      <c r="S1740" s="605" t="s">
        <v>998</v>
      </c>
      <c r="T1740" s="605">
        <v>3774</v>
      </c>
    </row>
    <row r="1741" spans="1:20" s="88" customFormat="1" ht="48" x14ac:dyDescent="0.2">
      <c r="A1741" s="510">
        <f>IF(B1741="","",COUNT('Diário 1º PA'!$A$4:$A$2635)+ROW()-3)</f>
        <v>3474</v>
      </c>
      <c r="B1741" s="414">
        <v>44718</v>
      </c>
      <c r="C1741" s="431">
        <v>44682</v>
      </c>
      <c r="D1741" s="415" t="s">
        <v>271</v>
      </c>
      <c r="E1741" s="415" t="s">
        <v>297</v>
      </c>
      <c r="F1741" s="425">
        <v>815.15</v>
      </c>
      <c r="G1741" s="427" t="s">
        <v>4273</v>
      </c>
      <c r="H1741" s="419" t="s">
        <v>751</v>
      </c>
      <c r="I1741" s="427" t="s">
        <v>1388</v>
      </c>
      <c r="J1741" s="415" t="s">
        <v>1022</v>
      </c>
      <c r="K1741" s="415" t="s">
        <v>830</v>
      </c>
      <c r="L1741" s="415" t="s">
        <v>1305</v>
      </c>
      <c r="M1741" s="415" t="s">
        <v>310</v>
      </c>
      <c r="N1741" s="414">
        <v>44718</v>
      </c>
      <c r="O1741" s="414" t="s">
        <v>400</v>
      </c>
      <c r="P1741" s="603">
        <f t="shared" si="265"/>
        <v>6</v>
      </c>
      <c r="Q1741" s="603">
        <f t="shared" si="266"/>
        <v>5</v>
      </c>
      <c r="R1741" s="604" t="str">
        <f t="shared" si="267"/>
        <v>Gastos_Gerais</v>
      </c>
      <c r="S1741" s="605" t="s">
        <v>998</v>
      </c>
      <c r="T1741" s="605">
        <v>3775</v>
      </c>
    </row>
    <row r="1742" spans="1:20" s="88" customFormat="1" ht="99.95" customHeight="1" x14ac:dyDescent="0.2">
      <c r="A1742" s="510">
        <f>IF(B1742="","",COUNT('Diário 1º PA'!$A$4:$A$2635)+ROW()-3)</f>
        <v>3475</v>
      </c>
      <c r="B1742" s="414">
        <v>44718</v>
      </c>
      <c r="C1742" s="431">
        <v>44682</v>
      </c>
      <c r="D1742" s="415" t="s">
        <v>271</v>
      </c>
      <c r="E1742" s="415" t="s">
        <v>90</v>
      </c>
      <c r="F1742" s="425">
        <v>5028.87</v>
      </c>
      <c r="G1742" s="427" t="s">
        <v>4276</v>
      </c>
      <c r="H1742" s="415" t="s">
        <v>309</v>
      </c>
      <c r="I1742" s="427" t="s">
        <v>4548</v>
      </c>
      <c r="J1742" s="415" t="s">
        <v>4277</v>
      </c>
      <c r="K1742" s="415" t="s">
        <v>830</v>
      </c>
      <c r="L1742" s="415" t="s">
        <v>807</v>
      </c>
      <c r="M1742" s="415" t="s">
        <v>1700</v>
      </c>
      <c r="N1742" s="414">
        <v>44714</v>
      </c>
      <c r="O1742" s="414" t="s">
        <v>400</v>
      </c>
      <c r="P1742" s="603">
        <f t="shared" si="265"/>
        <v>6</v>
      </c>
      <c r="Q1742" s="603">
        <f t="shared" si="266"/>
        <v>5</v>
      </c>
      <c r="R1742" s="604" t="str">
        <f t="shared" si="267"/>
        <v>Gastos_Gerais</v>
      </c>
      <c r="S1742" s="605" t="s">
        <v>1000</v>
      </c>
      <c r="T1742" s="605">
        <v>3658</v>
      </c>
    </row>
    <row r="1743" spans="1:20" s="88" customFormat="1" ht="99.95" customHeight="1" x14ac:dyDescent="0.2">
      <c r="A1743" s="510">
        <f>IF(B1743="","",COUNT('Diário 1º PA'!$A$4:$A$2635)+ROW()-3)</f>
        <v>3476</v>
      </c>
      <c r="B1743" s="414">
        <v>44718</v>
      </c>
      <c r="C1743" s="431">
        <v>44682</v>
      </c>
      <c r="D1743" s="415" t="s">
        <v>271</v>
      </c>
      <c r="E1743" s="415" t="s">
        <v>186</v>
      </c>
      <c r="F1743" s="425">
        <v>7200</v>
      </c>
      <c r="G1743" s="427" t="s">
        <v>2347</v>
      </c>
      <c r="H1743" s="415" t="s">
        <v>309</v>
      </c>
      <c r="I1743" s="427" t="s">
        <v>3366</v>
      </c>
      <c r="J1743" s="415" t="s">
        <v>2348</v>
      </c>
      <c r="K1743" s="415" t="s">
        <v>807</v>
      </c>
      <c r="L1743" s="415" t="s">
        <v>807</v>
      </c>
      <c r="M1743" s="415">
        <v>254</v>
      </c>
      <c r="N1743" s="414">
        <v>44713</v>
      </c>
      <c r="O1743" s="414" t="s">
        <v>400</v>
      </c>
      <c r="P1743" s="603">
        <f t="shared" si="265"/>
        <v>6</v>
      </c>
      <c r="Q1743" s="603">
        <f t="shared" si="266"/>
        <v>5</v>
      </c>
      <c r="R1743" s="604" t="str">
        <f t="shared" si="267"/>
        <v>Gastos_Gerais</v>
      </c>
      <c r="S1743" s="605" t="s">
        <v>1000</v>
      </c>
      <c r="T1743" s="605">
        <v>3106</v>
      </c>
    </row>
    <row r="1744" spans="1:20" s="88" customFormat="1" ht="99.95" customHeight="1" x14ac:dyDescent="0.2">
      <c r="A1744" s="510">
        <f>IF(B1744="","",COUNT('Diário 1º PA'!$A$4:$A$2635)+ROW()-3)</f>
        <v>3477</v>
      </c>
      <c r="B1744" s="414">
        <v>44718</v>
      </c>
      <c r="C1744" s="431">
        <v>44621</v>
      </c>
      <c r="D1744" s="415" t="s">
        <v>271</v>
      </c>
      <c r="E1744" s="415" t="s">
        <v>453</v>
      </c>
      <c r="F1744" s="425">
        <v>1512</v>
      </c>
      <c r="G1744" s="427" t="s">
        <v>4561</v>
      </c>
      <c r="H1744" s="419" t="s">
        <v>752</v>
      </c>
      <c r="I1744" s="427" t="s">
        <v>2693</v>
      </c>
      <c r="J1744" s="415" t="s">
        <v>1259</v>
      </c>
      <c r="K1744" s="415" t="s">
        <v>830</v>
      </c>
      <c r="L1744" s="415" t="s">
        <v>839</v>
      </c>
      <c r="M1744" s="415">
        <v>1799</v>
      </c>
      <c r="N1744" s="414">
        <v>44715</v>
      </c>
      <c r="O1744" s="414" t="s">
        <v>400</v>
      </c>
      <c r="P1744" s="603">
        <f t="shared" si="265"/>
        <v>6</v>
      </c>
      <c r="Q1744" s="603">
        <f t="shared" si="266"/>
        <v>3</v>
      </c>
      <c r="R1744" s="604" t="str">
        <f t="shared" si="267"/>
        <v>Gastos_Gerais</v>
      </c>
      <c r="S1744" s="605" t="s">
        <v>998</v>
      </c>
      <c r="T1744" s="605">
        <v>3311</v>
      </c>
    </row>
    <row r="1745" spans="1:20" s="88" customFormat="1" ht="99.95" customHeight="1" x14ac:dyDescent="0.2">
      <c r="A1745" s="510">
        <f>IF(B1745="","",COUNT('Diário 1º PA'!$A$4:$A$2635)+ROW()-3)</f>
        <v>3478</v>
      </c>
      <c r="B1745" s="414">
        <v>44718</v>
      </c>
      <c r="C1745" s="431">
        <v>44682</v>
      </c>
      <c r="D1745" s="415" t="s">
        <v>271</v>
      </c>
      <c r="E1745" s="415" t="s">
        <v>453</v>
      </c>
      <c r="F1745" s="425">
        <v>1998.6</v>
      </c>
      <c r="G1745" s="427" t="s">
        <v>2732</v>
      </c>
      <c r="H1745" s="419" t="s">
        <v>752</v>
      </c>
      <c r="I1745" s="427" t="s">
        <v>4564</v>
      </c>
      <c r="J1745" s="415" t="s">
        <v>1637</v>
      </c>
      <c r="K1745" s="415" t="s">
        <v>830</v>
      </c>
      <c r="L1745" s="415" t="s">
        <v>839</v>
      </c>
      <c r="M1745" s="415">
        <v>1807</v>
      </c>
      <c r="N1745" s="414">
        <v>44715</v>
      </c>
      <c r="O1745" s="414" t="s">
        <v>400</v>
      </c>
      <c r="P1745" s="603">
        <f t="shared" si="265"/>
        <v>6</v>
      </c>
      <c r="Q1745" s="603">
        <f t="shared" si="266"/>
        <v>5</v>
      </c>
      <c r="R1745" s="604" t="str">
        <f t="shared" si="267"/>
        <v>Gastos_Gerais</v>
      </c>
      <c r="S1745" s="605" t="s">
        <v>998</v>
      </c>
      <c r="T1745" s="605">
        <v>3319</v>
      </c>
    </row>
    <row r="1746" spans="1:20" s="88" customFormat="1" ht="99.95" customHeight="1" x14ac:dyDescent="0.2">
      <c r="A1746" s="510">
        <f>IF(B1746="","",COUNT('Diário 1º PA'!$A$4:$A$2635)+ROW()-3)</f>
        <v>3479</v>
      </c>
      <c r="B1746" s="414">
        <v>44718</v>
      </c>
      <c r="C1746" s="431">
        <v>44682</v>
      </c>
      <c r="D1746" s="415" t="s">
        <v>182</v>
      </c>
      <c r="E1746" s="415" t="s">
        <v>1</v>
      </c>
      <c r="F1746" s="425">
        <v>4562.1499999999996</v>
      </c>
      <c r="G1746" s="427" t="s">
        <v>4568</v>
      </c>
      <c r="H1746" s="415" t="s">
        <v>310</v>
      </c>
      <c r="I1746" s="427" t="s">
        <v>907</v>
      </c>
      <c r="J1746" s="415" t="s">
        <v>908</v>
      </c>
      <c r="K1746" s="415" t="s">
        <v>806</v>
      </c>
      <c r="L1746" s="415" t="s">
        <v>909</v>
      </c>
      <c r="M1746" s="415" t="s">
        <v>310</v>
      </c>
      <c r="N1746" s="414">
        <v>44718</v>
      </c>
      <c r="O1746" s="414" t="s">
        <v>400</v>
      </c>
      <c r="P1746" s="603">
        <f t="shared" si="265"/>
        <v>6</v>
      </c>
      <c r="Q1746" s="603">
        <f t="shared" si="266"/>
        <v>5</v>
      </c>
      <c r="R1746" s="604" t="str">
        <f t="shared" si="267"/>
        <v>Gastos_com_Pessoal</v>
      </c>
      <c r="S1746" s="605" t="s">
        <v>310</v>
      </c>
      <c r="T1746" s="605" t="s">
        <v>310</v>
      </c>
    </row>
    <row r="1747" spans="1:20" s="88" customFormat="1" ht="99.95" customHeight="1" x14ac:dyDescent="0.2">
      <c r="A1747" s="510">
        <f>IF(B1747="","",COUNT('Diário 1º PA'!$A$4:$A$2635)+ROW()-3)</f>
        <v>3480</v>
      </c>
      <c r="B1747" s="414">
        <v>44718</v>
      </c>
      <c r="C1747" s="431">
        <v>44682</v>
      </c>
      <c r="D1747" s="415" t="s">
        <v>182</v>
      </c>
      <c r="E1747" s="415" t="s">
        <v>1</v>
      </c>
      <c r="F1747" s="425">
        <v>1908.59</v>
      </c>
      <c r="G1747" s="427" t="s">
        <v>4527</v>
      </c>
      <c r="H1747" s="415" t="s">
        <v>310</v>
      </c>
      <c r="I1747" s="427" t="s">
        <v>911</v>
      </c>
      <c r="J1747" s="415" t="s">
        <v>912</v>
      </c>
      <c r="K1747" s="415" t="s">
        <v>806</v>
      </c>
      <c r="L1747" s="415" t="s">
        <v>909</v>
      </c>
      <c r="M1747" s="415" t="s">
        <v>310</v>
      </c>
      <c r="N1747" s="414">
        <v>44718</v>
      </c>
      <c r="O1747" s="414" t="s">
        <v>400</v>
      </c>
      <c r="P1747" s="603">
        <f t="shared" si="265"/>
        <v>6</v>
      </c>
      <c r="Q1747" s="603">
        <f t="shared" si="266"/>
        <v>5</v>
      </c>
      <c r="R1747" s="604" t="str">
        <f t="shared" si="267"/>
        <v>Gastos_com_Pessoal</v>
      </c>
      <c r="S1747" s="605" t="s">
        <v>310</v>
      </c>
      <c r="T1747" s="605" t="s">
        <v>310</v>
      </c>
    </row>
    <row r="1748" spans="1:20" s="88" customFormat="1" ht="99.95" customHeight="1" x14ac:dyDescent="0.2">
      <c r="A1748" s="510">
        <f>IF(B1748="","",COUNT('Diário 1º PA'!$A$4:$A$2635)+ROW()-3)</f>
        <v>3481</v>
      </c>
      <c r="B1748" s="414">
        <v>44718</v>
      </c>
      <c r="C1748" s="431">
        <v>44682</v>
      </c>
      <c r="D1748" s="415" t="s">
        <v>182</v>
      </c>
      <c r="E1748" s="415" t="s">
        <v>1</v>
      </c>
      <c r="F1748" s="425">
        <v>2261.98</v>
      </c>
      <c r="G1748" s="427" t="s">
        <v>4569</v>
      </c>
      <c r="H1748" s="415" t="s">
        <v>310</v>
      </c>
      <c r="I1748" s="427" t="s">
        <v>914</v>
      </c>
      <c r="J1748" s="415" t="s">
        <v>915</v>
      </c>
      <c r="K1748" s="415" t="s">
        <v>806</v>
      </c>
      <c r="L1748" s="415" t="s">
        <v>909</v>
      </c>
      <c r="M1748" s="415" t="s">
        <v>310</v>
      </c>
      <c r="N1748" s="414">
        <v>44718</v>
      </c>
      <c r="O1748" s="414" t="s">
        <v>400</v>
      </c>
      <c r="P1748" s="603">
        <f t="shared" si="265"/>
        <v>6</v>
      </c>
      <c r="Q1748" s="603">
        <f t="shared" si="266"/>
        <v>5</v>
      </c>
      <c r="R1748" s="604" t="str">
        <f t="shared" si="267"/>
        <v>Gastos_com_Pessoal</v>
      </c>
      <c r="S1748" s="605" t="s">
        <v>310</v>
      </c>
      <c r="T1748" s="605" t="s">
        <v>310</v>
      </c>
    </row>
    <row r="1749" spans="1:20" s="88" customFormat="1" ht="99.95" customHeight="1" x14ac:dyDescent="0.2">
      <c r="A1749" s="510">
        <f>IF(B1749="","",COUNT('Diário 1º PA'!$A$4:$A$2635)+ROW()-3)</f>
        <v>3482</v>
      </c>
      <c r="B1749" s="414">
        <v>44718</v>
      </c>
      <c r="C1749" s="431">
        <v>44682</v>
      </c>
      <c r="D1749" s="415" t="s">
        <v>182</v>
      </c>
      <c r="E1749" s="415" t="s">
        <v>1</v>
      </c>
      <c r="F1749" s="425">
        <v>2095.64</v>
      </c>
      <c r="G1749" s="427" t="s">
        <v>4527</v>
      </c>
      <c r="H1749" s="415" t="s">
        <v>310</v>
      </c>
      <c r="I1749" s="427" t="s">
        <v>916</v>
      </c>
      <c r="J1749" s="415" t="s">
        <v>917</v>
      </c>
      <c r="K1749" s="415" t="s">
        <v>806</v>
      </c>
      <c r="L1749" s="415" t="s">
        <v>909</v>
      </c>
      <c r="M1749" s="415" t="s">
        <v>310</v>
      </c>
      <c r="N1749" s="414">
        <v>44718</v>
      </c>
      <c r="O1749" s="414" t="s">
        <v>400</v>
      </c>
      <c r="P1749" s="603">
        <f t="shared" si="265"/>
        <v>6</v>
      </c>
      <c r="Q1749" s="603">
        <f t="shared" si="266"/>
        <v>5</v>
      </c>
      <c r="R1749" s="604" t="str">
        <f t="shared" si="267"/>
        <v>Gastos_com_Pessoal</v>
      </c>
      <c r="S1749" s="605" t="s">
        <v>310</v>
      </c>
      <c r="T1749" s="605" t="s">
        <v>310</v>
      </c>
    </row>
    <row r="1750" spans="1:20" s="88" customFormat="1" ht="99.95" customHeight="1" x14ac:dyDescent="0.2">
      <c r="A1750" s="510">
        <f>IF(B1750="","",COUNT('Diário 1º PA'!$A$4:$A$2635)+ROW()-3)</f>
        <v>3483</v>
      </c>
      <c r="B1750" s="414">
        <v>44718</v>
      </c>
      <c r="C1750" s="431">
        <v>44682</v>
      </c>
      <c r="D1750" s="415" t="s">
        <v>182</v>
      </c>
      <c r="E1750" s="415" t="s">
        <v>1</v>
      </c>
      <c r="F1750" s="425">
        <v>2095.64</v>
      </c>
      <c r="G1750" s="427" t="s">
        <v>4527</v>
      </c>
      <c r="H1750" s="415" t="s">
        <v>310</v>
      </c>
      <c r="I1750" s="427" t="s">
        <v>920</v>
      </c>
      <c r="J1750" s="415" t="s">
        <v>921</v>
      </c>
      <c r="K1750" s="415" t="s">
        <v>806</v>
      </c>
      <c r="L1750" s="415" t="s">
        <v>909</v>
      </c>
      <c r="M1750" s="415" t="s">
        <v>310</v>
      </c>
      <c r="N1750" s="414">
        <v>44718</v>
      </c>
      <c r="O1750" s="414" t="s">
        <v>400</v>
      </c>
      <c r="P1750" s="603">
        <f t="shared" ref="P1750:P1820" si="268">IF(B1750=0,0,IF(YEAR(B1750)=$Q$1,MONTH(B1750)-$P$1+1,(YEAR(B1750)-$Q$1)*12-$P$1+1+MONTH(B1750)))</f>
        <v>6</v>
      </c>
      <c r="Q1750" s="603">
        <f t="shared" ref="Q1750:Q1820" si="269">IF(C1750=0,0,IF(YEAR(C1750)=$Q$1,MONTH(C1750)-$P$1+1,(YEAR(C1750)-$Q$1)*12-$P$1+1+MONTH(C1750)))</f>
        <v>5</v>
      </c>
      <c r="R1750" s="604" t="str">
        <f t="shared" ref="R1750:R1820" si="270">SUBSTITUTE(D1750," ","_")</f>
        <v>Gastos_com_Pessoal</v>
      </c>
      <c r="S1750" s="605" t="s">
        <v>310</v>
      </c>
      <c r="T1750" s="605" t="s">
        <v>310</v>
      </c>
    </row>
    <row r="1751" spans="1:20" s="88" customFormat="1" ht="99.95" customHeight="1" x14ac:dyDescent="0.2">
      <c r="A1751" s="510">
        <f>IF(B1751="","",COUNT('Diário 1º PA'!$A$4:$A$2635)+ROW()-3)</f>
        <v>3484</v>
      </c>
      <c r="B1751" s="414">
        <v>44718</v>
      </c>
      <c r="C1751" s="431">
        <v>44682</v>
      </c>
      <c r="D1751" s="415" t="s">
        <v>182</v>
      </c>
      <c r="E1751" s="415" t="s">
        <v>1</v>
      </c>
      <c r="F1751" s="425">
        <v>4544.17</v>
      </c>
      <c r="G1751" s="427" t="s">
        <v>4570</v>
      </c>
      <c r="H1751" s="415" t="s">
        <v>310</v>
      </c>
      <c r="I1751" s="427" t="s">
        <v>923</v>
      </c>
      <c r="J1751" s="415" t="s">
        <v>924</v>
      </c>
      <c r="K1751" s="415" t="s">
        <v>806</v>
      </c>
      <c r="L1751" s="415" t="s">
        <v>909</v>
      </c>
      <c r="M1751" s="415" t="s">
        <v>310</v>
      </c>
      <c r="N1751" s="414">
        <v>44718</v>
      </c>
      <c r="O1751" s="414" t="s">
        <v>400</v>
      </c>
      <c r="P1751" s="603">
        <f t="shared" si="268"/>
        <v>6</v>
      </c>
      <c r="Q1751" s="603">
        <f t="shared" si="269"/>
        <v>5</v>
      </c>
      <c r="R1751" s="604" t="str">
        <f t="shared" si="270"/>
        <v>Gastos_com_Pessoal</v>
      </c>
      <c r="S1751" s="605" t="s">
        <v>310</v>
      </c>
      <c r="T1751" s="605" t="s">
        <v>310</v>
      </c>
    </row>
    <row r="1752" spans="1:20" s="88" customFormat="1" ht="99.95" customHeight="1" x14ac:dyDescent="0.2">
      <c r="A1752" s="510">
        <f>IF(B1752="","",COUNT('Diário 1º PA'!$A$4:$A$2635)+ROW()-3)</f>
        <v>3485</v>
      </c>
      <c r="B1752" s="414">
        <v>44718</v>
      </c>
      <c r="C1752" s="431">
        <v>44682</v>
      </c>
      <c r="D1752" s="415" t="s">
        <v>182</v>
      </c>
      <c r="E1752" s="415" t="s">
        <v>1</v>
      </c>
      <c r="F1752" s="425">
        <v>2046.59</v>
      </c>
      <c r="G1752" s="427" t="s">
        <v>4527</v>
      </c>
      <c r="H1752" s="415" t="s">
        <v>310</v>
      </c>
      <c r="I1752" s="427" t="s">
        <v>926</v>
      </c>
      <c r="J1752" s="415" t="s">
        <v>927</v>
      </c>
      <c r="K1752" s="415" t="s">
        <v>806</v>
      </c>
      <c r="L1752" s="415" t="s">
        <v>909</v>
      </c>
      <c r="M1752" s="415" t="s">
        <v>310</v>
      </c>
      <c r="N1752" s="414">
        <v>44718</v>
      </c>
      <c r="O1752" s="414" t="s">
        <v>400</v>
      </c>
      <c r="P1752" s="603">
        <f t="shared" si="268"/>
        <v>6</v>
      </c>
      <c r="Q1752" s="603">
        <f t="shared" si="269"/>
        <v>5</v>
      </c>
      <c r="R1752" s="604" t="str">
        <f t="shared" si="270"/>
        <v>Gastos_com_Pessoal</v>
      </c>
      <c r="S1752" s="605" t="s">
        <v>310</v>
      </c>
      <c r="T1752" s="605" t="s">
        <v>310</v>
      </c>
    </row>
    <row r="1753" spans="1:20" s="88" customFormat="1" ht="99.95" customHeight="1" x14ac:dyDescent="0.2">
      <c r="A1753" s="510">
        <f>IF(B1753="","",COUNT('Diário 1º PA'!$A$4:$A$2635)+ROW()-3)</f>
        <v>3486</v>
      </c>
      <c r="B1753" s="414">
        <v>44718</v>
      </c>
      <c r="C1753" s="431">
        <v>44682</v>
      </c>
      <c r="D1753" s="415" t="s">
        <v>182</v>
      </c>
      <c r="E1753" s="415" t="s">
        <v>1</v>
      </c>
      <c r="F1753" s="425">
        <v>1474.11</v>
      </c>
      <c r="G1753" s="427" t="s">
        <v>4532</v>
      </c>
      <c r="H1753" s="415" t="s">
        <v>310</v>
      </c>
      <c r="I1753" s="427" t="s">
        <v>929</v>
      </c>
      <c r="J1753" s="415" t="s">
        <v>930</v>
      </c>
      <c r="K1753" s="415" t="s">
        <v>806</v>
      </c>
      <c r="L1753" s="415" t="s">
        <v>909</v>
      </c>
      <c r="M1753" s="415" t="s">
        <v>310</v>
      </c>
      <c r="N1753" s="414">
        <v>44718</v>
      </c>
      <c r="O1753" s="414" t="s">
        <v>400</v>
      </c>
      <c r="P1753" s="603">
        <f t="shared" si="268"/>
        <v>6</v>
      </c>
      <c r="Q1753" s="603">
        <f t="shared" si="269"/>
        <v>5</v>
      </c>
      <c r="R1753" s="604" t="str">
        <f t="shared" si="270"/>
        <v>Gastos_com_Pessoal</v>
      </c>
      <c r="S1753" s="605" t="s">
        <v>310</v>
      </c>
      <c r="T1753" s="605" t="s">
        <v>310</v>
      </c>
    </row>
    <row r="1754" spans="1:20" s="88" customFormat="1" ht="99.95" customHeight="1" x14ac:dyDescent="0.2">
      <c r="A1754" s="510">
        <f>IF(B1754="","",COUNT('Diário 1º PA'!$A$4:$A$2635)+ROW()-3)</f>
        <v>3487</v>
      </c>
      <c r="B1754" s="414">
        <v>44718</v>
      </c>
      <c r="C1754" s="431">
        <v>44682</v>
      </c>
      <c r="D1754" s="415" t="s">
        <v>182</v>
      </c>
      <c r="E1754" s="415" t="s">
        <v>1</v>
      </c>
      <c r="F1754" s="425">
        <v>2095.64</v>
      </c>
      <c r="G1754" s="427" t="s">
        <v>4540</v>
      </c>
      <c r="H1754" s="415" t="s">
        <v>310</v>
      </c>
      <c r="I1754" s="427" t="s">
        <v>932</v>
      </c>
      <c r="J1754" s="415" t="s">
        <v>933</v>
      </c>
      <c r="K1754" s="415" t="s">
        <v>806</v>
      </c>
      <c r="L1754" s="415" t="s">
        <v>909</v>
      </c>
      <c r="M1754" s="415" t="s">
        <v>310</v>
      </c>
      <c r="N1754" s="414">
        <v>44718</v>
      </c>
      <c r="O1754" s="414" t="s">
        <v>400</v>
      </c>
      <c r="P1754" s="603">
        <f t="shared" si="268"/>
        <v>6</v>
      </c>
      <c r="Q1754" s="603">
        <f t="shared" si="269"/>
        <v>5</v>
      </c>
      <c r="R1754" s="604" t="str">
        <f t="shared" si="270"/>
        <v>Gastos_com_Pessoal</v>
      </c>
      <c r="S1754" s="605" t="s">
        <v>310</v>
      </c>
      <c r="T1754" s="605" t="s">
        <v>310</v>
      </c>
    </row>
    <row r="1755" spans="1:20" s="88" customFormat="1" ht="36" x14ac:dyDescent="0.2">
      <c r="A1755" s="510">
        <f>IF(B1755="","",COUNT('Diário 1º PA'!$A$4:$A$2635)+ROW()-3)</f>
        <v>3488</v>
      </c>
      <c r="B1755" s="414">
        <v>44718</v>
      </c>
      <c r="C1755" s="431">
        <v>44682</v>
      </c>
      <c r="D1755" s="415" t="s">
        <v>182</v>
      </c>
      <c r="E1755" s="415" t="s">
        <v>1</v>
      </c>
      <c r="F1755" s="425">
        <v>2095.64</v>
      </c>
      <c r="G1755" s="427" t="s">
        <v>4527</v>
      </c>
      <c r="H1755" s="415" t="s">
        <v>310</v>
      </c>
      <c r="I1755" s="427" t="s">
        <v>935</v>
      </c>
      <c r="J1755" s="415" t="s">
        <v>936</v>
      </c>
      <c r="K1755" s="415" t="s">
        <v>806</v>
      </c>
      <c r="L1755" s="415" t="s">
        <v>909</v>
      </c>
      <c r="M1755" s="415" t="s">
        <v>310</v>
      </c>
      <c r="N1755" s="414">
        <v>44718</v>
      </c>
      <c r="O1755" s="414" t="s">
        <v>400</v>
      </c>
      <c r="P1755" s="603">
        <f t="shared" si="268"/>
        <v>6</v>
      </c>
      <c r="Q1755" s="603">
        <f t="shared" si="269"/>
        <v>5</v>
      </c>
      <c r="R1755" s="604" t="str">
        <f t="shared" si="270"/>
        <v>Gastos_com_Pessoal</v>
      </c>
      <c r="S1755" s="605" t="s">
        <v>310</v>
      </c>
      <c r="T1755" s="605" t="s">
        <v>310</v>
      </c>
    </row>
    <row r="1756" spans="1:20" s="88" customFormat="1" ht="36" x14ac:dyDescent="0.2">
      <c r="A1756" s="510">
        <f>IF(B1756="","",COUNT('Diário 1º PA'!$A$4:$A$2635)+ROW()-3)</f>
        <v>3489</v>
      </c>
      <c r="B1756" s="414">
        <v>44718</v>
      </c>
      <c r="C1756" s="431">
        <v>44682</v>
      </c>
      <c r="D1756" s="415" t="s">
        <v>182</v>
      </c>
      <c r="E1756" s="415" t="s">
        <v>1</v>
      </c>
      <c r="F1756" s="425">
        <v>2900.56</v>
      </c>
      <c r="G1756" s="427" t="s">
        <v>4574</v>
      </c>
      <c r="H1756" s="415" t="s">
        <v>310</v>
      </c>
      <c r="I1756" s="427" t="s">
        <v>938</v>
      </c>
      <c r="J1756" s="415" t="s">
        <v>939</v>
      </c>
      <c r="K1756" s="415" t="s">
        <v>806</v>
      </c>
      <c r="L1756" s="415" t="s">
        <v>909</v>
      </c>
      <c r="M1756" s="415" t="s">
        <v>310</v>
      </c>
      <c r="N1756" s="414">
        <v>44718</v>
      </c>
      <c r="O1756" s="414" t="s">
        <v>400</v>
      </c>
      <c r="P1756" s="603">
        <f t="shared" si="268"/>
        <v>6</v>
      </c>
      <c r="Q1756" s="603">
        <f t="shared" si="269"/>
        <v>5</v>
      </c>
      <c r="R1756" s="604" t="str">
        <f t="shared" si="270"/>
        <v>Gastos_com_Pessoal</v>
      </c>
      <c r="S1756" s="605" t="s">
        <v>310</v>
      </c>
      <c r="T1756" s="605" t="s">
        <v>310</v>
      </c>
    </row>
    <row r="1757" spans="1:20" s="88" customFormat="1" ht="36" x14ac:dyDescent="0.2">
      <c r="A1757" s="510">
        <f>IF(B1757="","",COUNT('Diário 1º PA'!$A$4:$A$2635)+ROW()-3)</f>
        <v>3490</v>
      </c>
      <c r="B1757" s="414">
        <v>44718</v>
      </c>
      <c r="C1757" s="431">
        <v>44682</v>
      </c>
      <c r="D1757" s="415" t="s">
        <v>182</v>
      </c>
      <c r="E1757" s="415" t="s">
        <v>1</v>
      </c>
      <c r="F1757" s="425">
        <v>12172.09</v>
      </c>
      <c r="G1757" s="427" t="s">
        <v>4571</v>
      </c>
      <c r="H1757" s="415" t="s">
        <v>310</v>
      </c>
      <c r="I1757" s="427" t="s">
        <v>941</v>
      </c>
      <c r="J1757" s="415" t="s">
        <v>942</v>
      </c>
      <c r="K1757" s="415" t="s">
        <v>806</v>
      </c>
      <c r="L1757" s="415" t="s">
        <v>909</v>
      </c>
      <c r="M1757" s="415" t="s">
        <v>310</v>
      </c>
      <c r="N1757" s="414">
        <v>44718</v>
      </c>
      <c r="O1757" s="414" t="s">
        <v>400</v>
      </c>
      <c r="P1757" s="603">
        <f t="shared" si="268"/>
        <v>6</v>
      </c>
      <c r="Q1757" s="603">
        <f t="shared" si="269"/>
        <v>5</v>
      </c>
      <c r="R1757" s="604" t="str">
        <f t="shared" si="270"/>
        <v>Gastos_com_Pessoal</v>
      </c>
      <c r="S1757" s="605" t="s">
        <v>310</v>
      </c>
      <c r="T1757" s="605" t="s">
        <v>310</v>
      </c>
    </row>
    <row r="1758" spans="1:20" s="88" customFormat="1" ht="36" x14ac:dyDescent="0.2">
      <c r="A1758" s="510">
        <f>IF(B1758="","",COUNT('Diário 1º PA'!$A$4:$A$2635)+ROW()-3)</f>
        <v>3491</v>
      </c>
      <c r="B1758" s="414">
        <v>44718</v>
      </c>
      <c r="C1758" s="431">
        <v>44682</v>
      </c>
      <c r="D1758" s="415" t="s">
        <v>182</v>
      </c>
      <c r="E1758" s="415" t="s">
        <v>1</v>
      </c>
      <c r="F1758" s="425">
        <v>2095.64</v>
      </c>
      <c r="G1758" s="427" t="s">
        <v>4527</v>
      </c>
      <c r="H1758" s="415" t="s">
        <v>310</v>
      </c>
      <c r="I1758" s="427" t="s">
        <v>943</v>
      </c>
      <c r="J1758" s="415" t="s">
        <v>1553</v>
      </c>
      <c r="K1758" s="415" t="s">
        <v>806</v>
      </c>
      <c r="L1758" s="415" t="s">
        <v>909</v>
      </c>
      <c r="M1758" s="415" t="s">
        <v>310</v>
      </c>
      <c r="N1758" s="414">
        <v>44718</v>
      </c>
      <c r="O1758" s="414" t="s">
        <v>400</v>
      </c>
      <c r="P1758" s="603">
        <f t="shared" si="268"/>
        <v>6</v>
      </c>
      <c r="Q1758" s="603">
        <f t="shared" si="269"/>
        <v>5</v>
      </c>
      <c r="R1758" s="604" t="str">
        <f t="shared" si="270"/>
        <v>Gastos_com_Pessoal</v>
      </c>
      <c r="S1758" s="605" t="s">
        <v>310</v>
      </c>
      <c r="T1758" s="605" t="s">
        <v>310</v>
      </c>
    </row>
    <row r="1759" spans="1:20" s="88" customFormat="1" ht="36" x14ac:dyDescent="0.2">
      <c r="A1759" s="510">
        <f>IF(B1759="","",COUNT('Diário 1º PA'!$A$4:$A$2635)+ROW()-3)</f>
        <v>3492</v>
      </c>
      <c r="B1759" s="414">
        <v>44718</v>
      </c>
      <c r="C1759" s="431">
        <v>44682</v>
      </c>
      <c r="D1759" s="415" t="s">
        <v>182</v>
      </c>
      <c r="E1759" s="415" t="s">
        <v>1</v>
      </c>
      <c r="F1759" s="425">
        <v>2763.74</v>
      </c>
      <c r="G1759" s="427" t="s">
        <v>4572</v>
      </c>
      <c r="H1759" s="415" t="s">
        <v>310</v>
      </c>
      <c r="I1759" s="427" t="s">
        <v>946</v>
      </c>
      <c r="J1759" s="415" t="s">
        <v>947</v>
      </c>
      <c r="K1759" s="415" t="s">
        <v>806</v>
      </c>
      <c r="L1759" s="415" t="s">
        <v>909</v>
      </c>
      <c r="M1759" s="415" t="s">
        <v>310</v>
      </c>
      <c r="N1759" s="414">
        <v>44718</v>
      </c>
      <c r="O1759" s="414" t="s">
        <v>400</v>
      </c>
      <c r="P1759" s="603">
        <f t="shared" si="268"/>
        <v>6</v>
      </c>
      <c r="Q1759" s="603">
        <f t="shared" si="269"/>
        <v>5</v>
      </c>
      <c r="R1759" s="604" t="str">
        <f t="shared" si="270"/>
        <v>Gastos_com_Pessoal</v>
      </c>
      <c r="S1759" s="605" t="s">
        <v>310</v>
      </c>
      <c r="T1759" s="605" t="s">
        <v>310</v>
      </c>
    </row>
    <row r="1760" spans="1:20" s="88" customFormat="1" ht="36" x14ac:dyDescent="0.2">
      <c r="A1760" s="510">
        <f>IF(B1760="","",COUNT('Diário 1º PA'!$A$4:$A$2635)+ROW()-3)</f>
        <v>3493</v>
      </c>
      <c r="B1760" s="414">
        <v>44718</v>
      </c>
      <c r="C1760" s="431">
        <v>44682</v>
      </c>
      <c r="D1760" s="415" t="s">
        <v>182</v>
      </c>
      <c r="E1760" s="415" t="s">
        <v>1</v>
      </c>
      <c r="F1760" s="425">
        <v>4380.43</v>
      </c>
      <c r="G1760" s="427" t="s">
        <v>4573</v>
      </c>
      <c r="H1760" s="415" t="s">
        <v>310</v>
      </c>
      <c r="I1760" s="427" t="s">
        <v>949</v>
      </c>
      <c r="J1760" s="415" t="s">
        <v>950</v>
      </c>
      <c r="K1760" s="415" t="s">
        <v>806</v>
      </c>
      <c r="L1760" s="415" t="s">
        <v>909</v>
      </c>
      <c r="M1760" s="415" t="s">
        <v>310</v>
      </c>
      <c r="N1760" s="414">
        <v>44718</v>
      </c>
      <c r="O1760" s="414" t="s">
        <v>400</v>
      </c>
      <c r="P1760" s="603">
        <f t="shared" si="268"/>
        <v>6</v>
      </c>
      <c r="Q1760" s="603">
        <f t="shared" si="269"/>
        <v>5</v>
      </c>
      <c r="R1760" s="604" t="str">
        <f t="shared" si="270"/>
        <v>Gastos_com_Pessoal</v>
      </c>
      <c r="S1760" s="605" t="s">
        <v>310</v>
      </c>
      <c r="T1760" s="605" t="s">
        <v>310</v>
      </c>
    </row>
    <row r="1761" spans="1:20" s="88" customFormat="1" ht="24" x14ac:dyDescent="0.2">
      <c r="A1761" s="510">
        <f>IF(B1761="","",COUNT('Diário 1º PA'!$A$4:$A$2635)+ROW()-3)</f>
        <v>3494</v>
      </c>
      <c r="B1761" s="414">
        <v>44718</v>
      </c>
      <c r="C1761" s="424">
        <v>44713</v>
      </c>
      <c r="D1761" s="415" t="s">
        <v>271</v>
      </c>
      <c r="E1761" s="415" t="s">
        <v>71</v>
      </c>
      <c r="F1761" s="425">
        <v>11</v>
      </c>
      <c r="G1761" s="427" t="s">
        <v>1232</v>
      </c>
      <c r="H1761" s="415" t="s">
        <v>310</v>
      </c>
      <c r="I1761" s="639" t="s">
        <v>881</v>
      </c>
      <c r="J1761" s="418" t="s">
        <v>882</v>
      </c>
      <c r="K1761" s="418" t="s">
        <v>883</v>
      </c>
      <c r="L1761" s="399" t="s">
        <v>798</v>
      </c>
      <c r="M1761" s="544" t="s">
        <v>310</v>
      </c>
      <c r="N1761" s="414">
        <v>44718</v>
      </c>
      <c r="O1761" s="414" t="s">
        <v>400</v>
      </c>
      <c r="P1761" s="603">
        <f t="shared" si="268"/>
        <v>6</v>
      </c>
      <c r="Q1761" s="603">
        <f t="shared" si="269"/>
        <v>6</v>
      </c>
      <c r="R1761" s="604" t="str">
        <f t="shared" si="270"/>
        <v>Gastos_Gerais</v>
      </c>
      <c r="S1761" s="605" t="s">
        <v>310</v>
      </c>
      <c r="T1761" s="605" t="s">
        <v>310</v>
      </c>
    </row>
    <row r="1762" spans="1:20" s="88" customFormat="1" ht="24" x14ac:dyDescent="0.2">
      <c r="A1762" s="510">
        <f>IF(B1762="","",COUNT('Diário 1º PA'!$A$4:$A$2635)+ROW()-3)</f>
        <v>3495</v>
      </c>
      <c r="B1762" s="414">
        <v>44718</v>
      </c>
      <c r="C1762" s="424">
        <v>44713</v>
      </c>
      <c r="D1762" s="415" t="s">
        <v>271</v>
      </c>
      <c r="E1762" s="415" t="s">
        <v>71</v>
      </c>
      <c r="F1762" s="425">
        <v>11</v>
      </c>
      <c r="G1762" s="427" t="s">
        <v>1233</v>
      </c>
      <c r="H1762" s="415" t="s">
        <v>310</v>
      </c>
      <c r="I1762" s="639" t="s">
        <v>881</v>
      </c>
      <c r="J1762" s="418" t="s">
        <v>882</v>
      </c>
      <c r="K1762" s="418" t="s">
        <v>883</v>
      </c>
      <c r="L1762" s="399" t="s">
        <v>798</v>
      </c>
      <c r="M1762" s="544" t="s">
        <v>310</v>
      </c>
      <c r="N1762" s="414">
        <v>44718</v>
      </c>
      <c r="O1762" s="414" t="s">
        <v>400</v>
      </c>
      <c r="P1762" s="603">
        <f t="shared" si="268"/>
        <v>6</v>
      </c>
      <c r="Q1762" s="603">
        <f t="shared" si="269"/>
        <v>6</v>
      </c>
      <c r="R1762" s="604" t="str">
        <f t="shared" si="270"/>
        <v>Gastos_Gerais</v>
      </c>
      <c r="S1762" s="605" t="s">
        <v>310</v>
      </c>
      <c r="T1762" s="605" t="s">
        <v>310</v>
      </c>
    </row>
    <row r="1763" spans="1:20" s="88" customFormat="1" ht="24" x14ac:dyDescent="0.2">
      <c r="A1763" s="510">
        <f>IF(B1763="","",COUNT('Diário 1º PA'!$A$4:$A$2635)+ROW()-3)</f>
        <v>3496</v>
      </c>
      <c r="B1763" s="414">
        <v>44718</v>
      </c>
      <c r="C1763" s="424">
        <v>44713</v>
      </c>
      <c r="D1763" s="415" t="s">
        <v>271</v>
      </c>
      <c r="E1763" s="415" t="s">
        <v>71</v>
      </c>
      <c r="F1763" s="425">
        <v>11</v>
      </c>
      <c r="G1763" s="427" t="s">
        <v>1246</v>
      </c>
      <c r="H1763" s="415" t="s">
        <v>310</v>
      </c>
      <c r="I1763" s="639" t="s">
        <v>881</v>
      </c>
      <c r="J1763" s="418" t="s">
        <v>882</v>
      </c>
      <c r="K1763" s="418" t="s">
        <v>883</v>
      </c>
      <c r="L1763" s="399" t="s">
        <v>798</v>
      </c>
      <c r="M1763" s="544" t="s">
        <v>310</v>
      </c>
      <c r="N1763" s="414">
        <v>44718</v>
      </c>
      <c r="O1763" s="414" t="s">
        <v>400</v>
      </c>
      <c r="P1763" s="603">
        <f t="shared" si="268"/>
        <v>6</v>
      </c>
      <c r="Q1763" s="603">
        <f t="shared" si="269"/>
        <v>6</v>
      </c>
      <c r="R1763" s="604" t="str">
        <f t="shared" si="270"/>
        <v>Gastos_Gerais</v>
      </c>
      <c r="S1763" s="605" t="s">
        <v>310</v>
      </c>
      <c r="T1763" s="605" t="s">
        <v>310</v>
      </c>
    </row>
    <row r="1764" spans="1:20" s="88" customFormat="1" ht="24" x14ac:dyDescent="0.2">
      <c r="A1764" s="510">
        <f>IF(B1764="","",COUNT('Diário 1º PA'!$A$4:$A$2635)+ROW()-3)</f>
        <v>3497</v>
      </c>
      <c r="B1764" s="414">
        <v>44718</v>
      </c>
      <c r="C1764" s="424">
        <v>44713</v>
      </c>
      <c r="D1764" s="415" t="s">
        <v>271</v>
      </c>
      <c r="E1764" s="415" t="s">
        <v>71</v>
      </c>
      <c r="F1764" s="425">
        <v>11</v>
      </c>
      <c r="G1764" s="427" t="s">
        <v>1246</v>
      </c>
      <c r="H1764" s="415" t="s">
        <v>310</v>
      </c>
      <c r="I1764" s="639" t="s">
        <v>881</v>
      </c>
      <c r="J1764" s="418" t="s">
        <v>882</v>
      </c>
      <c r="K1764" s="418" t="s">
        <v>883</v>
      </c>
      <c r="L1764" s="399" t="s">
        <v>798</v>
      </c>
      <c r="M1764" s="544" t="s">
        <v>310</v>
      </c>
      <c r="N1764" s="414">
        <v>44718</v>
      </c>
      <c r="O1764" s="414" t="s">
        <v>400</v>
      </c>
      <c r="P1764" s="603">
        <f t="shared" si="268"/>
        <v>6</v>
      </c>
      <c r="Q1764" s="603">
        <f t="shared" si="269"/>
        <v>6</v>
      </c>
      <c r="R1764" s="604" t="str">
        <f t="shared" si="270"/>
        <v>Gastos_Gerais</v>
      </c>
      <c r="S1764" s="605" t="s">
        <v>310</v>
      </c>
      <c r="T1764" s="605" t="s">
        <v>310</v>
      </c>
    </row>
    <row r="1765" spans="1:20" s="88" customFormat="1" ht="24" x14ac:dyDescent="0.2">
      <c r="A1765" s="510">
        <f>IF(B1765="","",COUNT('Diário 1º PA'!$A$4:$A$2635)+ROW()-3)</f>
        <v>3498</v>
      </c>
      <c r="B1765" s="414">
        <v>44718</v>
      </c>
      <c r="C1765" s="424">
        <v>44713</v>
      </c>
      <c r="D1765" s="415" t="s">
        <v>271</v>
      </c>
      <c r="E1765" s="415" t="s">
        <v>71</v>
      </c>
      <c r="F1765" s="425">
        <v>11</v>
      </c>
      <c r="G1765" s="427" t="s">
        <v>1233</v>
      </c>
      <c r="H1765" s="415" t="s">
        <v>310</v>
      </c>
      <c r="I1765" s="639" t="s">
        <v>881</v>
      </c>
      <c r="J1765" s="418" t="s">
        <v>882</v>
      </c>
      <c r="K1765" s="418" t="s">
        <v>883</v>
      </c>
      <c r="L1765" s="399" t="s">
        <v>798</v>
      </c>
      <c r="M1765" s="544" t="s">
        <v>310</v>
      </c>
      <c r="N1765" s="414">
        <v>44718</v>
      </c>
      <c r="O1765" s="414" t="s">
        <v>400</v>
      </c>
      <c r="P1765" s="603">
        <f t="shared" si="268"/>
        <v>6</v>
      </c>
      <c r="Q1765" s="603">
        <f t="shared" si="269"/>
        <v>6</v>
      </c>
      <c r="R1765" s="604" t="str">
        <f t="shared" si="270"/>
        <v>Gastos_Gerais</v>
      </c>
      <c r="S1765" s="605" t="s">
        <v>310</v>
      </c>
      <c r="T1765" s="605" t="s">
        <v>310</v>
      </c>
    </row>
    <row r="1766" spans="1:20" s="88" customFormat="1" ht="24" x14ac:dyDescent="0.2">
      <c r="A1766" s="510">
        <f>IF(B1766="","",COUNT('Diário 1º PA'!$A$4:$A$2635)+ROW()-3)</f>
        <v>3499</v>
      </c>
      <c r="B1766" s="414">
        <v>44718</v>
      </c>
      <c r="C1766" s="424">
        <v>44713</v>
      </c>
      <c r="D1766" s="415" t="s">
        <v>271</v>
      </c>
      <c r="E1766" s="415" t="s">
        <v>71</v>
      </c>
      <c r="F1766" s="425">
        <v>11</v>
      </c>
      <c r="G1766" s="427" t="s">
        <v>1585</v>
      </c>
      <c r="H1766" s="415" t="s">
        <v>310</v>
      </c>
      <c r="I1766" s="639" t="s">
        <v>881</v>
      </c>
      <c r="J1766" s="418" t="s">
        <v>882</v>
      </c>
      <c r="K1766" s="418" t="s">
        <v>883</v>
      </c>
      <c r="L1766" s="399" t="s">
        <v>798</v>
      </c>
      <c r="M1766" s="544" t="s">
        <v>310</v>
      </c>
      <c r="N1766" s="414">
        <v>44718</v>
      </c>
      <c r="O1766" s="414" t="s">
        <v>400</v>
      </c>
      <c r="P1766" s="603">
        <f t="shared" si="268"/>
        <v>6</v>
      </c>
      <c r="Q1766" s="603">
        <f t="shared" si="269"/>
        <v>6</v>
      </c>
      <c r="R1766" s="604" t="str">
        <f t="shared" si="270"/>
        <v>Gastos_Gerais</v>
      </c>
      <c r="S1766" s="605" t="s">
        <v>310</v>
      </c>
      <c r="T1766" s="605" t="s">
        <v>310</v>
      </c>
    </row>
    <row r="1767" spans="1:20" s="88" customFormat="1" ht="24" x14ac:dyDescent="0.2">
      <c r="A1767" s="510">
        <f>IF(B1767="","",COUNT('Diário 1º PA'!$A$4:$A$2635)+ROW()-3)</f>
        <v>3500</v>
      </c>
      <c r="B1767" s="414">
        <v>44718</v>
      </c>
      <c r="C1767" s="424">
        <v>44713</v>
      </c>
      <c r="D1767" s="415" t="s">
        <v>271</v>
      </c>
      <c r="E1767" s="415" t="s">
        <v>71</v>
      </c>
      <c r="F1767" s="425">
        <v>11</v>
      </c>
      <c r="G1767" s="427" t="s">
        <v>1235</v>
      </c>
      <c r="H1767" s="415" t="s">
        <v>310</v>
      </c>
      <c r="I1767" s="639" t="s">
        <v>881</v>
      </c>
      <c r="J1767" s="418" t="s">
        <v>882</v>
      </c>
      <c r="K1767" s="418" t="s">
        <v>883</v>
      </c>
      <c r="L1767" s="399" t="s">
        <v>798</v>
      </c>
      <c r="M1767" s="544" t="s">
        <v>310</v>
      </c>
      <c r="N1767" s="414">
        <v>44718</v>
      </c>
      <c r="O1767" s="414" t="s">
        <v>400</v>
      </c>
      <c r="P1767" s="603">
        <f t="shared" si="268"/>
        <v>6</v>
      </c>
      <c r="Q1767" s="603">
        <f t="shared" si="269"/>
        <v>6</v>
      </c>
      <c r="R1767" s="604" t="str">
        <f t="shared" si="270"/>
        <v>Gastos_Gerais</v>
      </c>
      <c r="S1767" s="605" t="s">
        <v>310</v>
      </c>
      <c r="T1767" s="605" t="s">
        <v>310</v>
      </c>
    </row>
    <row r="1768" spans="1:20" s="88" customFormat="1" ht="24" x14ac:dyDescent="0.2">
      <c r="A1768" s="510">
        <f>IF(B1768="","",COUNT('Diário 1º PA'!$A$4:$A$2635)+ROW()-3)</f>
        <v>3501</v>
      </c>
      <c r="B1768" s="414">
        <v>44718</v>
      </c>
      <c r="C1768" s="424">
        <v>44713</v>
      </c>
      <c r="D1768" s="415" t="s">
        <v>271</v>
      </c>
      <c r="E1768" s="415" t="s">
        <v>71</v>
      </c>
      <c r="F1768" s="425">
        <v>11</v>
      </c>
      <c r="G1768" s="427" t="s">
        <v>1233</v>
      </c>
      <c r="H1768" s="415" t="s">
        <v>310</v>
      </c>
      <c r="I1768" s="639" t="s">
        <v>881</v>
      </c>
      <c r="J1768" s="418" t="s">
        <v>882</v>
      </c>
      <c r="K1768" s="418" t="s">
        <v>883</v>
      </c>
      <c r="L1768" s="399" t="s">
        <v>798</v>
      </c>
      <c r="M1768" s="544" t="s">
        <v>310</v>
      </c>
      <c r="N1768" s="414">
        <v>44718</v>
      </c>
      <c r="O1768" s="414" t="s">
        <v>400</v>
      </c>
      <c r="P1768" s="603">
        <f t="shared" si="268"/>
        <v>6</v>
      </c>
      <c r="Q1768" s="603">
        <f t="shared" si="269"/>
        <v>6</v>
      </c>
      <c r="R1768" s="604" t="str">
        <f t="shared" si="270"/>
        <v>Gastos_Gerais</v>
      </c>
      <c r="S1768" s="605" t="s">
        <v>310</v>
      </c>
      <c r="T1768" s="605" t="s">
        <v>310</v>
      </c>
    </row>
    <row r="1769" spans="1:20" s="88" customFormat="1" ht="24" x14ac:dyDescent="0.2">
      <c r="A1769" s="510">
        <f>IF(B1769="","",COUNT('Diário 1º PA'!$A$4:$A$2635)+ROW()-3)</f>
        <v>3502</v>
      </c>
      <c r="B1769" s="414">
        <v>44718</v>
      </c>
      <c r="C1769" s="424">
        <v>44713</v>
      </c>
      <c r="D1769" s="415" t="s">
        <v>271</v>
      </c>
      <c r="E1769" s="415" t="s">
        <v>71</v>
      </c>
      <c r="F1769" s="425">
        <v>11</v>
      </c>
      <c r="G1769" s="427" t="s">
        <v>1587</v>
      </c>
      <c r="H1769" s="415" t="s">
        <v>310</v>
      </c>
      <c r="I1769" s="639" t="s">
        <v>881</v>
      </c>
      <c r="J1769" s="418" t="s">
        <v>882</v>
      </c>
      <c r="K1769" s="418" t="s">
        <v>883</v>
      </c>
      <c r="L1769" s="399" t="s">
        <v>798</v>
      </c>
      <c r="M1769" s="544" t="s">
        <v>310</v>
      </c>
      <c r="N1769" s="414">
        <v>44718</v>
      </c>
      <c r="O1769" s="414" t="s">
        <v>400</v>
      </c>
      <c r="P1769" s="603">
        <f t="shared" si="268"/>
        <v>6</v>
      </c>
      <c r="Q1769" s="603">
        <f t="shared" si="269"/>
        <v>6</v>
      </c>
      <c r="R1769" s="604" t="str">
        <f t="shared" si="270"/>
        <v>Gastos_Gerais</v>
      </c>
      <c r="S1769" s="605" t="s">
        <v>310</v>
      </c>
      <c r="T1769" s="605" t="s">
        <v>310</v>
      </c>
    </row>
    <row r="1770" spans="1:20" s="88" customFormat="1" ht="24" x14ac:dyDescent="0.2">
      <c r="A1770" s="510">
        <f>IF(B1770="","",COUNT('Diário 1º PA'!$A$4:$A$2635)+ROW()-3)</f>
        <v>3503</v>
      </c>
      <c r="B1770" s="414">
        <v>44718</v>
      </c>
      <c r="C1770" s="424">
        <v>44713</v>
      </c>
      <c r="D1770" s="415" t="s">
        <v>271</v>
      </c>
      <c r="E1770" s="415" t="s">
        <v>71</v>
      </c>
      <c r="F1770" s="425">
        <v>11</v>
      </c>
      <c r="G1770" s="427" t="s">
        <v>1233</v>
      </c>
      <c r="H1770" s="415" t="s">
        <v>310</v>
      </c>
      <c r="I1770" s="639" t="s">
        <v>881</v>
      </c>
      <c r="J1770" s="418" t="s">
        <v>882</v>
      </c>
      <c r="K1770" s="418" t="s">
        <v>883</v>
      </c>
      <c r="L1770" s="399" t="s">
        <v>798</v>
      </c>
      <c r="M1770" s="544" t="s">
        <v>310</v>
      </c>
      <c r="N1770" s="414">
        <v>44718</v>
      </c>
      <c r="O1770" s="414" t="s">
        <v>400</v>
      </c>
      <c r="P1770" s="603">
        <f t="shared" si="268"/>
        <v>6</v>
      </c>
      <c r="Q1770" s="603">
        <f t="shared" si="269"/>
        <v>6</v>
      </c>
      <c r="R1770" s="604" t="str">
        <f t="shared" si="270"/>
        <v>Gastos_Gerais</v>
      </c>
      <c r="S1770" s="605" t="s">
        <v>310</v>
      </c>
      <c r="T1770" s="605" t="s">
        <v>310</v>
      </c>
    </row>
    <row r="1771" spans="1:20" s="88" customFormat="1" ht="24" x14ac:dyDescent="0.2">
      <c r="A1771" s="510">
        <f>IF(B1771="","",COUNT('Diário 1º PA'!$A$4:$A$2635)+ROW()-3)</f>
        <v>3504</v>
      </c>
      <c r="B1771" s="414">
        <v>44718</v>
      </c>
      <c r="C1771" s="424">
        <v>44713</v>
      </c>
      <c r="D1771" s="415" t="s">
        <v>271</v>
      </c>
      <c r="E1771" s="415" t="s">
        <v>71</v>
      </c>
      <c r="F1771" s="425">
        <v>11</v>
      </c>
      <c r="G1771" s="427" t="s">
        <v>1586</v>
      </c>
      <c r="H1771" s="415" t="s">
        <v>310</v>
      </c>
      <c r="I1771" s="639" t="s">
        <v>881</v>
      </c>
      <c r="J1771" s="418" t="s">
        <v>882</v>
      </c>
      <c r="K1771" s="418" t="s">
        <v>883</v>
      </c>
      <c r="L1771" s="399" t="s">
        <v>798</v>
      </c>
      <c r="M1771" s="544" t="s">
        <v>310</v>
      </c>
      <c r="N1771" s="414">
        <v>44718</v>
      </c>
      <c r="O1771" s="414" t="s">
        <v>400</v>
      </c>
      <c r="P1771" s="603">
        <f t="shared" si="268"/>
        <v>6</v>
      </c>
      <c r="Q1771" s="603">
        <f t="shared" si="269"/>
        <v>6</v>
      </c>
      <c r="R1771" s="604" t="str">
        <f t="shared" si="270"/>
        <v>Gastos_Gerais</v>
      </c>
      <c r="S1771" s="605" t="s">
        <v>310</v>
      </c>
      <c r="T1771" s="605" t="s">
        <v>310</v>
      </c>
    </row>
    <row r="1772" spans="1:20" s="88" customFormat="1" ht="24" x14ac:dyDescent="0.2">
      <c r="A1772" s="510">
        <f>IF(B1772="","",COUNT('Diário 1º PA'!$A$4:$A$2635)+ROW()-3)</f>
        <v>3505</v>
      </c>
      <c r="B1772" s="414">
        <v>44718</v>
      </c>
      <c r="C1772" s="424">
        <v>44713</v>
      </c>
      <c r="D1772" s="415" t="s">
        <v>271</v>
      </c>
      <c r="E1772" s="415" t="s">
        <v>71</v>
      </c>
      <c r="F1772" s="425">
        <v>11</v>
      </c>
      <c r="G1772" s="427" t="s">
        <v>1588</v>
      </c>
      <c r="H1772" s="415" t="s">
        <v>310</v>
      </c>
      <c r="I1772" s="639" t="s">
        <v>881</v>
      </c>
      <c r="J1772" s="418" t="s">
        <v>882</v>
      </c>
      <c r="K1772" s="418" t="s">
        <v>883</v>
      </c>
      <c r="L1772" s="399" t="s">
        <v>798</v>
      </c>
      <c r="M1772" s="544" t="s">
        <v>310</v>
      </c>
      <c r="N1772" s="414">
        <v>44718</v>
      </c>
      <c r="O1772" s="414" t="s">
        <v>400</v>
      </c>
      <c r="P1772" s="603">
        <f t="shared" si="268"/>
        <v>6</v>
      </c>
      <c r="Q1772" s="603">
        <f t="shared" si="269"/>
        <v>6</v>
      </c>
      <c r="R1772" s="604" t="str">
        <f t="shared" si="270"/>
        <v>Gastos_Gerais</v>
      </c>
      <c r="S1772" s="605" t="s">
        <v>310</v>
      </c>
      <c r="T1772" s="605" t="s">
        <v>310</v>
      </c>
    </row>
    <row r="1773" spans="1:20" s="88" customFormat="1" ht="24" x14ac:dyDescent="0.2">
      <c r="A1773" s="510">
        <f>IF(B1773="","",COUNT('Diário 1º PA'!$A$4:$A$2635)+ROW()-3)</f>
        <v>3506</v>
      </c>
      <c r="B1773" s="414">
        <v>44718</v>
      </c>
      <c r="C1773" s="424">
        <v>44713</v>
      </c>
      <c r="D1773" s="415" t="s">
        <v>271</v>
      </c>
      <c r="E1773" s="415" t="s">
        <v>71</v>
      </c>
      <c r="F1773" s="425">
        <v>11</v>
      </c>
      <c r="G1773" s="427" t="s">
        <v>1233</v>
      </c>
      <c r="H1773" s="415" t="s">
        <v>310</v>
      </c>
      <c r="I1773" s="639" t="s">
        <v>881</v>
      </c>
      <c r="J1773" s="418" t="s">
        <v>882</v>
      </c>
      <c r="K1773" s="418" t="s">
        <v>883</v>
      </c>
      <c r="L1773" s="399" t="s">
        <v>798</v>
      </c>
      <c r="M1773" s="544" t="s">
        <v>310</v>
      </c>
      <c r="N1773" s="414">
        <v>44718</v>
      </c>
      <c r="O1773" s="414" t="s">
        <v>400</v>
      </c>
      <c r="P1773" s="603">
        <f t="shared" si="268"/>
        <v>6</v>
      </c>
      <c r="Q1773" s="603">
        <f t="shared" si="269"/>
        <v>6</v>
      </c>
      <c r="R1773" s="604" t="str">
        <f t="shared" si="270"/>
        <v>Gastos_Gerais</v>
      </c>
      <c r="S1773" s="605" t="s">
        <v>310</v>
      </c>
      <c r="T1773" s="605" t="s">
        <v>310</v>
      </c>
    </row>
    <row r="1774" spans="1:20" s="88" customFormat="1" ht="24" x14ac:dyDescent="0.2">
      <c r="A1774" s="510">
        <f>IF(B1774="","",COUNT('Diário 1º PA'!$A$4:$A$2635)+ROW()-3)</f>
        <v>3507</v>
      </c>
      <c r="B1774" s="414">
        <v>44718</v>
      </c>
      <c r="C1774" s="424">
        <v>44713</v>
      </c>
      <c r="D1774" s="415" t="s">
        <v>271</v>
      </c>
      <c r="E1774" s="415" t="s">
        <v>71</v>
      </c>
      <c r="F1774" s="425">
        <v>11</v>
      </c>
      <c r="G1774" s="427" t="s">
        <v>1233</v>
      </c>
      <c r="H1774" s="415" t="s">
        <v>310</v>
      </c>
      <c r="I1774" s="639" t="s">
        <v>881</v>
      </c>
      <c r="J1774" s="418" t="s">
        <v>882</v>
      </c>
      <c r="K1774" s="418" t="s">
        <v>883</v>
      </c>
      <c r="L1774" s="399" t="s">
        <v>798</v>
      </c>
      <c r="M1774" s="544" t="s">
        <v>310</v>
      </c>
      <c r="N1774" s="414">
        <v>44718</v>
      </c>
      <c r="O1774" s="414" t="s">
        <v>400</v>
      </c>
      <c r="P1774" s="603">
        <f t="shared" si="268"/>
        <v>6</v>
      </c>
      <c r="Q1774" s="603">
        <f t="shared" si="269"/>
        <v>6</v>
      </c>
      <c r="R1774" s="604" t="str">
        <f t="shared" si="270"/>
        <v>Gastos_Gerais</v>
      </c>
      <c r="S1774" s="605" t="s">
        <v>310</v>
      </c>
      <c r="T1774" s="605" t="s">
        <v>310</v>
      </c>
    </row>
    <row r="1775" spans="1:20" s="88" customFormat="1" ht="24" x14ac:dyDescent="0.2">
      <c r="A1775" s="510">
        <f>IF(B1775="","",COUNT('Diário 1º PA'!$A$4:$A$2635)+ROW()-3)</f>
        <v>3508</v>
      </c>
      <c r="B1775" s="414">
        <v>44718</v>
      </c>
      <c r="C1775" s="424">
        <v>44713</v>
      </c>
      <c r="D1775" s="415" t="s">
        <v>271</v>
      </c>
      <c r="E1775" s="415" t="s">
        <v>71</v>
      </c>
      <c r="F1775" s="425">
        <v>11</v>
      </c>
      <c r="G1775" s="427" t="s">
        <v>1245</v>
      </c>
      <c r="H1775" s="415" t="s">
        <v>310</v>
      </c>
      <c r="I1775" s="639" t="s">
        <v>881</v>
      </c>
      <c r="J1775" s="418" t="s">
        <v>882</v>
      </c>
      <c r="K1775" s="418" t="s">
        <v>883</v>
      </c>
      <c r="L1775" s="399" t="s">
        <v>798</v>
      </c>
      <c r="M1775" s="544" t="s">
        <v>310</v>
      </c>
      <c r="N1775" s="414">
        <v>44718</v>
      </c>
      <c r="O1775" s="414" t="s">
        <v>400</v>
      </c>
      <c r="P1775" s="603">
        <f t="shared" si="268"/>
        <v>6</v>
      </c>
      <c r="Q1775" s="603">
        <f t="shared" si="269"/>
        <v>6</v>
      </c>
      <c r="R1775" s="604" t="str">
        <f t="shared" si="270"/>
        <v>Gastos_Gerais</v>
      </c>
      <c r="S1775" s="605" t="s">
        <v>310</v>
      </c>
      <c r="T1775" s="605" t="s">
        <v>310</v>
      </c>
    </row>
    <row r="1776" spans="1:20" s="88" customFormat="1" ht="24" x14ac:dyDescent="0.2">
      <c r="A1776" s="510">
        <f>IF(B1776="","",COUNT('Diário 1º PA'!$A$4:$A$2635)+ROW()-3)</f>
        <v>3509</v>
      </c>
      <c r="B1776" s="414">
        <v>44718</v>
      </c>
      <c r="C1776" s="424">
        <v>44713</v>
      </c>
      <c r="D1776" s="415" t="s">
        <v>271</v>
      </c>
      <c r="E1776" s="415" t="s">
        <v>71</v>
      </c>
      <c r="F1776" s="425">
        <v>11</v>
      </c>
      <c r="G1776" s="427" t="s">
        <v>1233</v>
      </c>
      <c r="H1776" s="415" t="s">
        <v>310</v>
      </c>
      <c r="I1776" s="639" t="s">
        <v>881</v>
      </c>
      <c r="J1776" s="418" t="s">
        <v>882</v>
      </c>
      <c r="K1776" s="418" t="s">
        <v>883</v>
      </c>
      <c r="L1776" s="399" t="s">
        <v>798</v>
      </c>
      <c r="M1776" s="544" t="s">
        <v>310</v>
      </c>
      <c r="N1776" s="414">
        <v>44718</v>
      </c>
      <c r="O1776" s="414" t="s">
        <v>400</v>
      </c>
      <c r="P1776" s="603">
        <f t="shared" si="268"/>
        <v>6</v>
      </c>
      <c r="Q1776" s="603">
        <f t="shared" si="269"/>
        <v>6</v>
      </c>
      <c r="R1776" s="604" t="str">
        <f t="shared" si="270"/>
        <v>Gastos_Gerais</v>
      </c>
      <c r="S1776" s="605" t="s">
        <v>310</v>
      </c>
      <c r="T1776" s="605" t="s">
        <v>310</v>
      </c>
    </row>
    <row r="1777" spans="1:20" s="88" customFormat="1" ht="24" x14ac:dyDescent="0.2">
      <c r="A1777" s="510">
        <f>IF(B1777="","",COUNT('Diário 1º PA'!$A$4:$A$2635)+ROW()-3)</f>
        <v>3510</v>
      </c>
      <c r="B1777" s="414">
        <v>44718</v>
      </c>
      <c r="C1777" s="424">
        <v>44713</v>
      </c>
      <c r="D1777" s="415" t="s">
        <v>271</v>
      </c>
      <c r="E1777" s="415" t="s">
        <v>71</v>
      </c>
      <c r="F1777" s="425">
        <v>11</v>
      </c>
      <c r="G1777" s="427" t="s">
        <v>1240</v>
      </c>
      <c r="H1777" s="415" t="s">
        <v>310</v>
      </c>
      <c r="I1777" s="639" t="s">
        <v>881</v>
      </c>
      <c r="J1777" s="418" t="s">
        <v>882</v>
      </c>
      <c r="K1777" s="418" t="s">
        <v>883</v>
      </c>
      <c r="L1777" s="399" t="s">
        <v>798</v>
      </c>
      <c r="M1777" s="544" t="s">
        <v>310</v>
      </c>
      <c r="N1777" s="414">
        <v>44718</v>
      </c>
      <c r="O1777" s="414" t="s">
        <v>400</v>
      </c>
      <c r="P1777" s="603">
        <f t="shared" si="268"/>
        <v>6</v>
      </c>
      <c r="Q1777" s="603">
        <f t="shared" si="269"/>
        <v>6</v>
      </c>
      <c r="R1777" s="604" t="str">
        <f t="shared" si="270"/>
        <v>Gastos_Gerais</v>
      </c>
      <c r="S1777" s="605" t="s">
        <v>310</v>
      </c>
      <c r="T1777" s="605" t="s">
        <v>310</v>
      </c>
    </row>
    <row r="1778" spans="1:20" s="88" customFormat="1" ht="24" x14ac:dyDescent="0.2">
      <c r="A1778" s="510">
        <f>IF(B1778="","",COUNT('Diário 1º PA'!$A$4:$A$2635)+ROW()-3)</f>
        <v>3511</v>
      </c>
      <c r="B1778" s="414">
        <v>44718</v>
      </c>
      <c r="C1778" s="424">
        <v>44713</v>
      </c>
      <c r="D1778" s="415" t="s">
        <v>271</v>
      </c>
      <c r="E1778" s="415" t="s">
        <v>71</v>
      </c>
      <c r="F1778" s="425">
        <v>11</v>
      </c>
      <c r="G1778" s="427" t="s">
        <v>1233</v>
      </c>
      <c r="H1778" s="415" t="s">
        <v>310</v>
      </c>
      <c r="I1778" s="639" t="s">
        <v>881</v>
      </c>
      <c r="J1778" s="418" t="s">
        <v>882</v>
      </c>
      <c r="K1778" s="418" t="s">
        <v>883</v>
      </c>
      <c r="L1778" s="399" t="s">
        <v>798</v>
      </c>
      <c r="M1778" s="544" t="s">
        <v>310</v>
      </c>
      <c r="N1778" s="414">
        <v>44718</v>
      </c>
      <c r="O1778" s="414" t="s">
        <v>400</v>
      </c>
      <c r="P1778" s="603">
        <f t="shared" si="268"/>
        <v>6</v>
      </c>
      <c r="Q1778" s="603">
        <f t="shared" si="269"/>
        <v>6</v>
      </c>
      <c r="R1778" s="604" t="str">
        <f t="shared" si="270"/>
        <v>Gastos_Gerais</v>
      </c>
      <c r="S1778" s="605" t="s">
        <v>310</v>
      </c>
      <c r="T1778" s="605" t="s">
        <v>310</v>
      </c>
    </row>
    <row r="1779" spans="1:20" s="88" customFormat="1" ht="24" x14ac:dyDescent="0.2">
      <c r="A1779" s="510">
        <f>IF(B1779="","",COUNT('Diário 1º PA'!$A$4:$A$2635)+ROW()-3)</f>
        <v>3512</v>
      </c>
      <c r="B1779" s="414">
        <v>44718</v>
      </c>
      <c r="C1779" s="424">
        <v>44713</v>
      </c>
      <c r="D1779" s="415" t="s">
        <v>271</v>
      </c>
      <c r="E1779" s="415" t="s">
        <v>71</v>
      </c>
      <c r="F1779" s="425">
        <v>11</v>
      </c>
      <c r="G1779" s="427" t="s">
        <v>1233</v>
      </c>
      <c r="H1779" s="415" t="s">
        <v>310</v>
      </c>
      <c r="I1779" s="639" t="s">
        <v>881</v>
      </c>
      <c r="J1779" s="418" t="s">
        <v>882</v>
      </c>
      <c r="K1779" s="418" t="s">
        <v>883</v>
      </c>
      <c r="L1779" s="399" t="s">
        <v>798</v>
      </c>
      <c r="M1779" s="544" t="s">
        <v>310</v>
      </c>
      <c r="N1779" s="414">
        <v>44718</v>
      </c>
      <c r="O1779" s="414" t="s">
        <v>400</v>
      </c>
      <c r="P1779" s="603">
        <f t="shared" si="268"/>
        <v>6</v>
      </c>
      <c r="Q1779" s="603">
        <f t="shared" si="269"/>
        <v>6</v>
      </c>
      <c r="R1779" s="604" t="str">
        <f t="shared" si="270"/>
        <v>Gastos_Gerais</v>
      </c>
      <c r="S1779" s="605" t="s">
        <v>310</v>
      </c>
      <c r="T1779" s="605" t="s">
        <v>310</v>
      </c>
    </row>
    <row r="1780" spans="1:20" s="88" customFormat="1" ht="24" x14ac:dyDescent="0.2">
      <c r="A1780" s="510">
        <f>IF(B1780="","",COUNT('Diário 1º PA'!$A$4:$A$2635)+ROW()-3)</f>
        <v>3513</v>
      </c>
      <c r="B1780" s="414">
        <v>44718</v>
      </c>
      <c r="C1780" s="424">
        <v>44713</v>
      </c>
      <c r="D1780" s="415" t="s">
        <v>271</v>
      </c>
      <c r="E1780" s="415" t="s">
        <v>71</v>
      </c>
      <c r="F1780" s="425">
        <v>11</v>
      </c>
      <c r="G1780" s="427" t="s">
        <v>1246</v>
      </c>
      <c r="H1780" s="415" t="s">
        <v>310</v>
      </c>
      <c r="I1780" s="639" t="s">
        <v>881</v>
      </c>
      <c r="J1780" s="418" t="s">
        <v>882</v>
      </c>
      <c r="K1780" s="418" t="s">
        <v>883</v>
      </c>
      <c r="L1780" s="399" t="s">
        <v>798</v>
      </c>
      <c r="M1780" s="544" t="s">
        <v>310</v>
      </c>
      <c r="N1780" s="414">
        <v>44718</v>
      </c>
      <c r="O1780" s="414" t="s">
        <v>400</v>
      </c>
      <c r="P1780" s="603">
        <f t="shared" si="268"/>
        <v>6</v>
      </c>
      <c r="Q1780" s="603">
        <f t="shared" si="269"/>
        <v>6</v>
      </c>
      <c r="R1780" s="604" t="str">
        <f t="shared" si="270"/>
        <v>Gastos_Gerais</v>
      </c>
      <c r="S1780" s="605" t="s">
        <v>310</v>
      </c>
      <c r="T1780" s="605" t="s">
        <v>310</v>
      </c>
    </row>
    <row r="1781" spans="1:20" s="88" customFormat="1" ht="24" x14ac:dyDescent="0.2">
      <c r="A1781" s="510">
        <f>IF(B1781="","",COUNT('Diário 1º PA'!$A$4:$A$2635)+ROW()-3)</f>
        <v>3514</v>
      </c>
      <c r="B1781" s="414">
        <v>44718</v>
      </c>
      <c r="C1781" s="424">
        <v>44713</v>
      </c>
      <c r="D1781" s="415" t="s">
        <v>271</v>
      </c>
      <c r="E1781" s="415" t="s">
        <v>71</v>
      </c>
      <c r="F1781" s="425">
        <v>11</v>
      </c>
      <c r="G1781" s="427" t="s">
        <v>1589</v>
      </c>
      <c r="H1781" s="415" t="s">
        <v>310</v>
      </c>
      <c r="I1781" s="639" t="s">
        <v>881</v>
      </c>
      <c r="J1781" s="418" t="s">
        <v>882</v>
      </c>
      <c r="K1781" s="418" t="s">
        <v>883</v>
      </c>
      <c r="L1781" s="399" t="s">
        <v>798</v>
      </c>
      <c r="M1781" s="544" t="s">
        <v>310</v>
      </c>
      <c r="N1781" s="414">
        <v>44718</v>
      </c>
      <c r="O1781" s="414" t="s">
        <v>400</v>
      </c>
      <c r="P1781" s="603">
        <f t="shared" si="268"/>
        <v>6</v>
      </c>
      <c r="Q1781" s="603">
        <f t="shared" si="269"/>
        <v>6</v>
      </c>
      <c r="R1781" s="604" t="str">
        <f t="shared" si="270"/>
        <v>Gastos_Gerais</v>
      </c>
      <c r="S1781" s="605" t="s">
        <v>310</v>
      </c>
      <c r="T1781" s="605" t="s">
        <v>310</v>
      </c>
    </row>
    <row r="1782" spans="1:20" s="88" customFormat="1" ht="24" x14ac:dyDescent="0.2">
      <c r="A1782" s="510">
        <f>IF(B1782="","",COUNT('Diário 1º PA'!$A$4:$A$2635)+ROW()-3)</f>
        <v>3515</v>
      </c>
      <c r="B1782" s="414">
        <v>44718</v>
      </c>
      <c r="C1782" s="424">
        <v>44713</v>
      </c>
      <c r="D1782" s="415" t="s">
        <v>271</v>
      </c>
      <c r="E1782" s="415" t="s">
        <v>71</v>
      </c>
      <c r="F1782" s="425">
        <v>11</v>
      </c>
      <c r="G1782" s="427" t="s">
        <v>1233</v>
      </c>
      <c r="H1782" s="415" t="s">
        <v>310</v>
      </c>
      <c r="I1782" s="639" t="s">
        <v>881</v>
      </c>
      <c r="J1782" s="418" t="s">
        <v>882</v>
      </c>
      <c r="K1782" s="418" t="s">
        <v>883</v>
      </c>
      <c r="L1782" s="399" t="s">
        <v>798</v>
      </c>
      <c r="M1782" s="544" t="s">
        <v>310</v>
      </c>
      <c r="N1782" s="414">
        <v>44718</v>
      </c>
      <c r="O1782" s="414" t="s">
        <v>400</v>
      </c>
      <c r="P1782" s="603">
        <f t="shared" si="268"/>
        <v>6</v>
      </c>
      <c r="Q1782" s="603">
        <f t="shared" si="269"/>
        <v>6</v>
      </c>
      <c r="R1782" s="604" t="str">
        <f t="shared" si="270"/>
        <v>Gastos_Gerais</v>
      </c>
      <c r="S1782" s="605" t="s">
        <v>310</v>
      </c>
      <c r="T1782" s="605" t="s">
        <v>310</v>
      </c>
    </row>
    <row r="1783" spans="1:20" s="88" customFormat="1" ht="24" x14ac:dyDescent="0.2">
      <c r="A1783" s="510">
        <f>IF(B1783="","",COUNT('Diário 1º PA'!$A$4:$A$2635)+ROW()-3)</f>
        <v>3516</v>
      </c>
      <c r="B1783" s="414">
        <v>44718</v>
      </c>
      <c r="C1783" s="424">
        <v>44713</v>
      </c>
      <c r="D1783" s="415" t="s">
        <v>271</v>
      </c>
      <c r="E1783" s="415" t="s">
        <v>71</v>
      </c>
      <c r="F1783" s="425">
        <v>11</v>
      </c>
      <c r="G1783" s="427" t="s">
        <v>1233</v>
      </c>
      <c r="H1783" s="415" t="s">
        <v>310</v>
      </c>
      <c r="I1783" s="639" t="s">
        <v>881</v>
      </c>
      <c r="J1783" s="418" t="s">
        <v>882</v>
      </c>
      <c r="K1783" s="418" t="s">
        <v>883</v>
      </c>
      <c r="L1783" s="399" t="s">
        <v>798</v>
      </c>
      <c r="M1783" s="544" t="s">
        <v>310</v>
      </c>
      <c r="N1783" s="414">
        <v>44718</v>
      </c>
      <c r="O1783" s="414" t="s">
        <v>400</v>
      </c>
      <c r="P1783" s="603">
        <f t="shared" si="268"/>
        <v>6</v>
      </c>
      <c r="Q1783" s="603">
        <f t="shared" si="269"/>
        <v>6</v>
      </c>
      <c r="R1783" s="604" t="str">
        <f t="shared" si="270"/>
        <v>Gastos_Gerais</v>
      </c>
      <c r="S1783" s="605" t="s">
        <v>310</v>
      </c>
      <c r="T1783" s="605" t="s">
        <v>310</v>
      </c>
    </row>
    <row r="1784" spans="1:20" s="88" customFormat="1" ht="24" x14ac:dyDescent="0.2">
      <c r="A1784" s="510">
        <f>IF(B1784="","",COUNT('Diário 1º PA'!$A$4:$A$2635)+ROW()-3)</f>
        <v>3517</v>
      </c>
      <c r="B1784" s="414">
        <v>44718</v>
      </c>
      <c r="C1784" s="424">
        <v>44713</v>
      </c>
      <c r="D1784" s="415" t="s">
        <v>271</v>
      </c>
      <c r="E1784" s="415" t="s">
        <v>71</v>
      </c>
      <c r="F1784" s="425">
        <v>11</v>
      </c>
      <c r="G1784" s="427" t="s">
        <v>1233</v>
      </c>
      <c r="H1784" s="415" t="s">
        <v>310</v>
      </c>
      <c r="I1784" s="639" t="s">
        <v>881</v>
      </c>
      <c r="J1784" s="418" t="s">
        <v>882</v>
      </c>
      <c r="K1784" s="418" t="s">
        <v>883</v>
      </c>
      <c r="L1784" s="399" t="s">
        <v>798</v>
      </c>
      <c r="M1784" s="544" t="s">
        <v>310</v>
      </c>
      <c r="N1784" s="414">
        <v>44718</v>
      </c>
      <c r="O1784" s="414" t="s">
        <v>400</v>
      </c>
      <c r="P1784" s="603">
        <f t="shared" si="268"/>
        <v>6</v>
      </c>
      <c r="Q1784" s="603">
        <f t="shared" si="269"/>
        <v>6</v>
      </c>
      <c r="R1784" s="604" t="str">
        <f t="shared" si="270"/>
        <v>Gastos_Gerais</v>
      </c>
      <c r="S1784" s="605" t="s">
        <v>310</v>
      </c>
      <c r="T1784" s="605" t="s">
        <v>310</v>
      </c>
    </row>
    <row r="1785" spans="1:20" s="88" customFormat="1" ht="24" x14ac:dyDescent="0.2">
      <c r="A1785" s="510">
        <f>IF(B1785="","",COUNT('Diário 1º PA'!$A$4:$A$2635)+ROW()-3)</f>
        <v>3518</v>
      </c>
      <c r="B1785" s="414">
        <v>44718</v>
      </c>
      <c r="C1785" s="424">
        <v>44713</v>
      </c>
      <c r="D1785" s="415" t="s">
        <v>271</v>
      </c>
      <c r="E1785" s="415" t="s">
        <v>71</v>
      </c>
      <c r="F1785" s="425">
        <v>11</v>
      </c>
      <c r="G1785" s="427" t="s">
        <v>1233</v>
      </c>
      <c r="H1785" s="415" t="s">
        <v>310</v>
      </c>
      <c r="I1785" s="639" t="s">
        <v>881</v>
      </c>
      <c r="J1785" s="418" t="s">
        <v>882</v>
      </c>
      <c r="K1785" s="418" t="s">
        <v>883</v>
      </c>
      <c r="L1785" s="399" t="s">
        <v>798</v>
      </c>
      <c r="M1785" s="544" t="s">
        <v>310</v>
      </c>
      <c r="N1785" s="414">
        <v>44718</v>
      </c>
      <c r="O1785" s="414" t="s">
        <v>400</v>
      </c>
      <c r="P1785" s="603">
        <f t="shared" si="268"/>
        <v>6</v>
      </c>
      <c r="Q1785" s="603">
        <f t="shared" si="269"/>
        <v>6</v>
      </c>
      <c r="R1785" s="604" t="str">
        <f t="shared" si="270"/>
        <v>Gastos_Gerais</v>
      </c>
      <c r="S1785" s="605" t="s">
        <v>310</v>
      </c>
      <c r="T1785" s="605" t="s">
        <v>310</v>
      </c>
    </row>
    <row r="1786" spans="1:20" s="88" customFormat="1" ht="24" x14ac:dyDescent="0.2">
      <c r="A1786" s="510">
        <f>IF(B1786="","",COUNT('Diário 1º PA'!$A$4:$A$2635)+ROW()-3)</f>
        <v>3519</v>
      </c>
      <c r="B1786" s="414">
        <v>44718</v>
      </c>
      <c r="C1786" s="424">
        <v>44713</v>
      </c>
      <c r="D1786" s="415" t="s">
        <v>271</v>
      </c>
      <c r="E1786" s="415" t="s">
        <v>71</v>
      </c>
      <c r="F1786" s="425">
        <v>11</v>
      </c>
      <c r="G1786" s="427" t="s">
        <v>1233</v>
      </c>
      <c r="H1786" s="415" t="s">
        <v>310</v>
      </c>
      <c r="I1786" s="639" t="s">
        <v>881</v>
      </c>
      <c r="J1786" s="418" t="s">
        <v>882</v>
      </c>
      <c r="K1786" s="418" t="s">
        <v>883</v>
      </c>
      <c r="L1786" s="399" t="s">
        <v>798</v>
      </c>
      <c r="M1786" s="544" t="s">
        <v>310</v>
      </c>
      <c r="N1786" s="414">
        <v>44718</v>
      </c>
      <c r="O1786" s="414" t="s">
        <v>400</v>
      </c>
      <c r="P1786" s="603">
        <f t="shared" si="268"/>
        <v>6</v>
      </c>
      <c r="Q1786" s="603">
        <f t="shared" si="269"/>
        <v>6</v>
      </c>
      <c r="R1786" s="604" t="str">
        <f t="shared" si="270"/>
        <v>Gastos_Gerais</v>
      </c>
      <c r="S1786" s="605" t="s">
        <v>310</v>
      </c>
      <c r="T1786" s="605" t="s">
        <v>310</v>
      </c>
    </row>
    <row r="1787" spans="1:20" s="88" customFormat="1" ht="24" x14ac:dyDescent="0.2">
      <c r="A1787" s="510">
        <f>IF(B1787="","",COUNT('Diário 1º PA'!$A$4:$A$2635)+ROW()-3)</f>
        <v>3520</v>
      </c>
      <c r="B1787" s="414">
        <v>44718</v>
      </c>
      <c r="C1787" s="424">
        <v>44713</v>
      </c>
      <c r="D1787" s="415" t="s">
        <v>271</v>
      </c>
      <c r="E1787" s="415" t="s">
        <v>71</v>
      </c>
      <c r="F1787" s="425">
        <v>11</v>
      </c>
      <c r="G1787" s="427" t="s">
        <v>1239</v>
      </c>
      <c r="H1787" s="415" t="s">
        <v>310</v>
      </c>
      <c r="I1787" s="639" t="s">
        <v>881</v>
      </c>
      <c r="J1787" s="418" t="s">
        <v>882</v>
      </c>
      <c r="K1787" s="418" t="s">
        <v>883</v>
      </c>
      <c r="L1787" s="399" t="s">
        <v>798</v>
      </c>
      <c r="M1787" s="544" t="s">
        <v>310</v>
      </c>
      <c r="N1787" s="414">
        <v>44718</v>
      </c>
      <c r="O1787" s="414" t="s">
        <v>400</v>
      </c>
      <c r="P1787" s="603">
        <f t="shared" si="268"/>
        <v>6</v>
      </c>
      <c r="Q1787" s="603">
        <f t="shared" si="269"/>
        <v>6</v>
      </c>
      <c r="R1787" s="604" t="str">
        <f t="shared" si="270"/>
        <v>Gastos_Gerais</v>
      </c>
      <c r="S1787" s="605" t="s">
        <v>310</v>
      </c>
      <c r="T1787" s="605" t="s">
        <v>310</v>
      </c>
    </row>
    <row r="1788" spans="1:20" s="88" customFormat="1" ht="24" x14ac:dyDescent="0.2">
      <c r="A1788" s="510">
        <f>IF(B1788="","",COUNT('Diário 1º PA'!$A$4:$A$2635)+ROW()-3)</f>
        <v>3521</v>
      </c>
      <c r="B1788" s="414">
        <v>44718</v>
      </c>
      <c r="C1788" s="424">
        <v>44713</v>
      </c>
      <c r="D1788" s="415" t="s">
        <v>271</v>
      </c>
      <c r="E1788" s="415" t="s">
        <v>71</v>
      </c>
      <c r="F1788" s="425">
        <v>11</v>
      </c>
      <c r="G1788" s="427" t="s">
        <v>1246</v>
      </c>
      <c r="H1788" s="415" t="s">
        <v>310</v>
      </c>
      <c r="I1788" s="639" t="s">
        <v>881</v>
      </c>
      <c r="J1788" s="418" t="s">
        <v>882</v>
      </c>
      <c r="K1788" s="418" t="s">
        <v>883</v>
      </c>
      <c r="L1788" s="399" t="s">
        <v>798</v>
      </c>
      <c r="M1788" s="544" t="s">
        <v>310</v>
      </c>
      <c r="N1788" s="414">
        <v>44718</v>
      </c>
      <c r="O1788" s="414" t="s">
        <v>400</v>
      </c>
      <c r="P1788" s="603">
        <f t="shared" si="268"/>
        <v>6</v>
      </c>
      <c r="Q1788" s="603">
        <f t="shared" si="269"/>
        <v>6</v>
      </c>
      <c r="R1788" s="604" t="str">
        <f t="shared" si="270"/>
        <v>Gastos_Gerais</v>
      </c>
      <c r="S1788" s="605" t="s">
        <v>310</v>
      </c>
      <c r="T1788" s="605" t="s">
        <v>310</v>
      </c>
    </row>
    <row r="1789" spans="1:20" s="88" customFormat="1" ht="24" x14ac:dyDescent="0.2">
      <c r="A1789" s="510">
        <f>IF(B1789="","",COUNT('Diário 1º PA'!$A$4:$A$2635)+ROW()-3)</f>
        <v>3522</v>
      </c>
      <c r="B1789" s="414">
        <v>44718</v>
      </c>
      <c r="C1789" s="424">
        <v>44713</v>
      </c>
      <c r="D1789" s="415" t="s">
        <v>271</v>
      </c>
      <c r="E1789" s="415" t="s">
        <v>71</v>
      </c>
      <c r="F1789" s="425">
        <v>11</v>
      </c>
      <c r="G1789" s="427" t="s">
        <v>1233</v>
      </c>
      <c r="H1789" s="415" t="s">
        <v>310</v>
      </c>
      <c r="I1789" s="639" t="s">
        <v>881</v>
      </c>
      <c r="J1789" s="418" t="s">
        <v>882</v>
      </c>
      <c r="K1789" s="418" t="s">
        <v>883</v>
      </c>
      <c r="L1789" s="399" t="s">
        <v>798</v>
      </c>
      <c r="M1789" s="544" t="s">
        <v>310</v>
      </c>
      <c r="N1789" s="414">
        <v>44718</v>
      </c>
      <c r="O1789" s="414" t="s">
        <v>400</v>
      </c>
      <c r="P1789" s="603">
        <f t="shared" si="268"/>
        <v>6</v>
      </c>
      <c r="Q1789" s="603">
        <f t="shared" si="269"/>
        <v>6</v>
      </c>
      <c r="R1789" s="604" t="str">
        <f t="shared" si="270"/>
        <v>Gastos_Gerais</v>
      </c>
      <c r="S1789" s="605" t="s">
        <v>310</v>
      </c>
      <c r="T1789" s="605" t="s">
        <v>310</v>
      </c>
    </row>
    <row r="1790" spans="1:20" s="88" customFormat="1" ht="24" x14ac:dyDescent="0.2">
      <c r="A1790" s="510">
        <f>IF(B1790="","",COUNT('Diário 1º PA'!$A$4:$A$2635)+ROW()-3)</f>
        <v>3523</v>
      </c>
      <c r="B1790" s="414">
        <v>44718</v>
      </c>
      <c r="C1790" s="424">
        <v>44713</v>
      </c>
      <c r="D1790" s="415" t="s">
        <v>271</v>
      </c>
      <c r="E1790" s="415" t="s">
        <v>71</v>
      </c>
      <c r="F1790" s="425">
        <v>11</v>
      </c>
      <c r="G1790" s="427" t="s">
        <v>1247</v>
      </c>
      <c r="H1790" s="415" t="s">
        <v>310</v>
      </c>
      <c r="I1790" s="639" t="s">
        <v>881</v>
      </c>
      <c r="J1790" s="418" t="s">
        <v>882</v>
      </c>
      <c r="K1790" s="418" t="s">
        <v>883</v>
      </c>
      <c r="L1790" s="399" t="s">
        <v>798</v>
      </c>
      <c r="M1790" s="544" t="s">
        <v>310</v>
      </c>
      <c r="N1790" s="414">
        <v>44718</v>
      </c>
      <c r="O1790" s="414" t="s">
        <v>400</v>
      </c>
      <c r="P1790" s="603">
        <f t="shared" si="268"/>
        <v>6</v>
      </c>
      <c r="Q1790" s="603">
        <f t="shared" si="269"/>
        <v>6</v>
      </c>
      <c r="R1790" s="604" t="str">
        <f t="shared" si="270"/>
        <v>Gastos_Gerais</v>
      </c>
      <c r="S1790" s="605" t="s">
        <v>310</v>
      </c>
      <c r="T1790" s="605" t="s">
        <v>310</v>
      </c>
    </row>
    <row r="1791" spans="1:20" s="88" customFormat="1" ht="24" x14ac:dyDescent="0.2">
      <c r="A1791" s="510">
        <f>IF(B1791="","",COUNT('Diário 1º PA'!$A$4:$A$2635)+ROW()-3)</f>
        <v>3524</v>
      </c>
      <c r="B1791" s="414">
        <v>44718</v>
      </c>
      <c r="C1791" s="424">
        <v>44713</v>
      </c>
      <c r="D1791" s="415" t="s">
        <v>271</v>
      </c>
      <c r="E1791" s="415" t="s">
        <v>71</v>
      </c>
      <c r="F1791" s="425">
        <v>11</v>
      </c>
      <c r="G1791" s="427" t="s">
        <v>1247</v>
      </c>
      <c r="H1791" s="415" t="s">
        <v>310</v>
      </c>
      <c r="I1791" s="639" t="s">
        <v>881</v>
      </c>
      <c r="J1791" s="418" t="s">
        <v>882</v>
      </c>
      <c r="K1791" s="418" t="s">
        <v>883</v>
      </c>
      <c r="L1791" s="399" t="s">
        <v>798</v>
      </c>
      <c r="M1791" s="544" t="s">
        <v>310</v>
      </c>
      <c r="N1791" s="414">
        <v>44718</v>
      </c>
      <c r="O1791" s="414" t="s">
        <v>400</v>
      </c>
      <c r="P1791" s="603">
        <f t="shared" si="268"/>
        <v>6</v>
      </c>
      <c r="Q1791" s="603">
        <f t="shared" si="269"/>
        <v>6</v>
      </c>
      <c r="R1791" s="604" t="str">
        <f t="shared" si="270"/>
        <v>Gastos_Gerais</v>
      </c>
      <c r="S1791" s="605" t="s">
        <v>310</v>
      </c>
      <c r="T1791" s="605" t="s">
        <v>310</v>
      </c>
    </row>
    <row r="1792" spans="1:20" s="88" customFormat="1" ht="24" x14ac:dyDescent="0.2">
      <c r="A1792" s="510">
        <f>IF(B1792="","",COUNT('Diário 1º PA'!$A$4:$A$2635)+ROW()-3)</f>
        <v>3525</v>
      </c>
      <c r="B1792" s="414">
        <v>44718</v>
      </c>
      <c r="C1792" s="424">
        <v>44713</v>
      </c>
      <c r="D1792" s="415" t="s">
        <v>271</v>
      </c>
      <c r="E1792" s="415" t="s">
        <v>71</v>
      </c>
      <c r="F1792" s="425">
        <v>11</v>
      </c>
      <c r="G1792" s="427" t="s">
        <v>1247</v>
      </c>
      <c r="H1792" s="415" t="s">
        <v>310</v>
      </c>
      <c r="I1792" s="639" t="s">
        <v>881</v>
      </c>
      <c r="J1792" s="418" t="s">
        <v>882</v>
      </c>
      <c r="K1792" s="418" t="s">
        <v>883</v>
      </c>
      <c r="L1792" s="399" t="s">
        <v>798</v>
      </c>
      <c r="M1792" s="544" t="s">
        <v>310</v>
      </c>
      <c r="N1792" s="414">
        <v>44718</v>
      </c>
      <c r="O1792" s="414" t="s">
        <v>400</v>
      </c>
      <c r="P1792" s="603">
        <f t="shared" si="268"/>
        <v>6</v>
      </c>
      <c r="Q1792" s="603">
        <f t="shared" si="269"/>
        <v>6</v>
      </c>
      <c r="R1792" s="604" t="str">
        <f t="shared" si="270"/>
        <v>Gastos_Gerais</v>
      </c>
      <c r="S1792" s="605" t="s">
        <v>310</v>
      </c>
      <c r="T1792" s="605" t="s">
        <v>310</v>
      </c>
    </row>
    <row r="1793" spans="1:20" s="88" customFormat="1" ht="24" x14ac:dyDescent="0.2">
      <c r="A1793" s="510">
        <f>IF(B1793="","",COUNT('Diário 1º PA'!$A$4:$A$2635)+ROW()-3)</f>
        <v>3526</v>
      </c>
      <c r="B1793" s="414">
        <v>44718</v>
      </c>
      <c r="C1793" s="424">
        <v>44713</v>
      </c>
      <c r="D1793" s="415" t="s">
        <v>271</v>
      </c>
      <c r="E1793" s="415" t="s">
        <v>71</v>
      </c>
      <c r="F1793" s="425">
        <v>11</v>
      </c>
      <c r="G1793" s="427" t="s">
        <v>1233</v>
      </c>
      <c r="H1793" s="415" t="s">
        <v>310</v>
      </c>
      <c r="I1793" s="639" t="s">
        <v>881</v>
      </c>
      <c r="J1793" s="418" t="s">
        <v>882</v>
      </c>
      <c r="K1793" s="418" t="s">
        <v>883</v>
      </c>
      <c r="L1793" s="399" t="s">
        <v>798</v>
      </c>
      <c r="M1793" s="544" t="s">
        <v>310</v>
      </c>
      <c r="N1793" s="414">
        <v>44718</v>
      </c>
      <c r="O1793" s="414" t="s">
        <v>400</v>
      </c>
      <c r="P1793" s="603">
        <f t="shared" si="268"/>
        <v>6</v>
      </c>
      <c r="Q1793" s="603">
        <f t="shared" si="269"/>
        <v>6</v>
      </c>
      <c r="R1793" s="604" t="str">
        <f t="shared" si="270"/>
        <v>Gastos_Gerais</v>
      </c>
      <c r="S1793" s="605" t="s">
        <v>310</v>
      </c>
      <c r="T1793" s="605" t="s">
        <v>310</v>
      </c>
    </row>
    <row r="1794" spans="1:20" s="88" customFormat="1" ht="24" x14ac:dyDescent="0.2">
      <c r="A1794" s="510">
        <f>IF(B1794="","",COUNT('Diário 1º PA'!$A$4:$A$2635)+ROW()-3)</f>
        <v>3527</v>
      </c>
      <c r="B1794" s="414">
        <v>44718</v>
      </c>
      <c r="C1794" s="424">
        <v>44713</v>
      </c>
      <c r="D1794" s="415" t="s">
        <v>271</v>
      </c>
      <c r="E1794" s="415" t="s">
        <v>71</v>
      </c>
      <c r="F1794" s="425">
        <v>11</v>
      </c>
      <c r="G1794" s="427" t="s">
        <v>1233</v>
      </c>
      <c r="H1794" s="415" t="s">
        <v>310</v>
      </c>
      <c r="I1794" s="639" t="s">
        <v>881</v>
      </c>
      <c r="J1794" s="418" t="s">
        <v>882</v>
      </c>
      <c r="K1794" s="418" t="s">
        <v>883</v>
      </c>
      <c r="L1794" s="399" t="s">
        <v>798</v>
      </c>
      <c r="M1794" s="544" t="s">
        <v>310</v>
      </c>
      <c r="N1794" s="414">
        <v>44718</v>
      </c>
      <c r="O1794" s="414" t="s">
        <v>400</v>
      </c>
      <c r="P1794" s="603">
        <f t="shared" si="268"/>
        <v>6</v>
      </c>
      <c r="Q1794" s="603">
        <f t="shared" si="269"/>
        <v>6</v>
      </c>
      <c r="R1794" s="604" t="str">
        <f t="shared" si="270"/>
        <v>Gastos_Gerais</v>
      </c>
      <c r="S1794" s="605" t="s">
        <v>310</v>
      </c>
      <c r="T1794" s="605" t="s">
        <v>310</v>
      </c>
    </row>
    <row r="1795" spans="1:20" s="88" customFormat="1" ht="24" x14ac:dyDescent="0.2">
      <c r="A1795" s="510">
        <f>IF(B1795="","",COUNT('Diário 1º PA'!$A$4:$A$2635)+ROW()-3)</f>
        <v>3528</v>
      </c>
      <c r="B1795" s="414">
        <v>44718</v>
      </c>
      <c r="C1795" s="424">
        <v>44713</v>
      </c>
      <c r="D1795" s="415" t="s">
        <v>271</v>
      </c>
      <c r="E1795" s="415" t="s">
        <v>71</v>
      </c>
      <c r="F1795" s="425">
        <v>11</v>
      </c>
      <c r="G1795" s="427" t="s">
        <v>1233</v>
      </c>
      <c r="H1795" s="415" t="s">
        <v>310</v>
      </c>
      <c r="I1795" s="639" t="s">
        <v>881</v>
      </c>
      <c r="J1795" s="418" t="s">
        <v>882</v>
      </c>
      <c r="K1795" s="418" t="s">
        <v>883</v>
      </c>
      <c r="L1795" s="399" t="s">
        <v>798</v>
      </c>
      <c r="M1795" s="544" t="s">
        <v>310</v>
      </c>
      <c r="N1795" s="414">
        <v>44718</v>
      </c>
      <c r="O1795" s="414" t="s">
        <v>400</v>
      </c>
      <c r="P1795" s="603">
        <f t="shared" si="268"/>
        <v>6</v>
      </c>
      <c r="Q1795" s="603">
        <f t="shared" si="269"/>
        <v>6</v>
      </c>
      <c r="R1795" s="604" t="str">
        <f t="shared" si="270"/>
        <v>Gastos_Gerais</v>
      </c>
      <c r="S1795" s="605" t="s">
        <v>310</v>
      </c>
      <c r="T1795" s="605" t="s">
        <v>310</v>
      </c>
    </row>
    <row r="1796" spans="1:20" s="88" customFormat="1" ht="24" x14ac:dyDescent="0.2">
      <c r="A1796" s="510">
        <f>IF(B1796="","",COUNT('Diário 1º PA'!$A$4:$A$2635)+ROW()-3)</f>
        <v>3529</v>
      </c>
      <c r="B1796" s="414">
        <v>44718</v>
      </c>
      <c r="C1796" s="424">
        <v>44713</v>
      </c>
      <c r="D1796" s="415" t="s">
        <v>271</v>
      </c>
      <c r="E1796" s="415" t="s">
        <v>71</v>
      </c>
      <c r="F1796" s="425">
        <v>11</v>
      </c>
      <c r="G1796" s="427" t="s">
        <v>1233</v>
      </c>
      <c r="H1796" s="415" t="s">
        <v>310</v>
      </c>
      <c r="I1796" s="639" t="s">
        <v>881</v>
      </c>
      <c r="J1796" s="418" t="s">
        <v>882</v>
      </c>
      <c r="K1796" s="418" t="s">
        <v>883</v>
      </c>
      <c r="L1796" s="399" t="s">
        <v>798</v>
      </c>
      <c r="M1796" s="544" t="s">
        <v>310</v>
      </c>
      <c r="N1796" s="414">
        <v>44718</v>
      </c>
      <c r="O1796" s="414" t="s">
        <v>400</v>
      </c>
      <c r="P1796" s="603">
        <f t="shared" si="268"/>
        <v>6</v>
      </c>
      <c r="Q1796" s="603">
        <f t="shared" si="269"/>
        <v>6</v>
      </c>
      <c r="R1796" s="604" t="str">
        <f t="shared" si="270"/>
        <v>Gastos_Gerais</v>
      </c>
      <c r="S1796" s="605" t="s">
        <v>310</v>
      </c>
      <c r="T1796" s="605" t="s">
        <v>310</v>
      </c>
    </row>
    <row r="1797" spans="1:20" s="88" customFormat="1" ht="24" x14ac:dyDescent="0.2">
      <c r="A1797" s="510">
        <f>IF(B1797="","",COUNT('Diário 1º PA'!$A$4:$A$2635)+ROW()-3)</f>
        <v>3530</v>
      </c>
      <c r="B1797" s="414">
        <v>44718</v>
      </c>
      <c r="C1797" s="424">
        <v>44713</v>
      </c>
      <c r="D1797" s="415" t="s">
        <v>271</v>
      </c>
      <c r="E1797" s="415" t="s">
        <v>71</v>
      </c>
      <c r="F1797" s="425">
        <v>11</v>
      </c>
      <c r="G1797" s="427" t="s">
        <v>1233</v>
      </c>
      <c r="H1797" s="415" t="s">
        <v>310</v>
      </c>
      <c r="I1797" s="639" t="s">
        <v>881</v>
      </c>
      <c r="J1797" s="418" t="s">
        <v>882</v>
      </c>
      <c r="K1797" s="418" t="s">
        <v>883</v>
      </c>
      <c r="L1797" s="399" t="s">
        <v>798</v>
      </c>
      <c r="M1797" s="544" t="s">
        <v>310</v>
      </c>
      <c r="N1797" s="414">
        <v>44718</v>
      </c>
      <c r="O1797" s="414" t="s">
        <v>400</v>
      </c>
      <c r="P1797" s="603">
        <f t="shared" si="268"/>
        <v>6</v>
      </c>
      <c r="Q1797" s="603">
        <f t="shared" si="269"/>
        <v>6</v>
      </c>
      <c r="R1797" s="604" t="str">
        <f t="shared" si="270"/>
        <v>Gastos_Gerais</v>
      </c>
      <c r="S1797" s="605" t="s">
        <v>310</v>
      </c>
      <c r="T1797" s="605" t="s">
        <v>310</v>
      </c>
    </row>
    <row r="1798" spans="1:20" s="88" customFormat="1" ht="24" x14ac:dyDescent="0.2">
      <c r="A1798" s="510">
        <f>IF(B1798="","",COUNT('Diário 1º PA'!$A$4:$A$2635)+ROW()-3)</f>
        <v>3531</v>
      </c>
      <c r="B1798" s="414">
        <v>44718</v>
      </c>
      <c r="C1798" s="424">
        <v>44713</v>
      </c>
      <c r="D1798" s="415" t="s">
        <v>271</v>
      </c>
      <c r="E1798" s="415" t="s">
        <v>71</v>
      </c>
      <c r="F1798" s="425">
        <v>11</v>
      </c>
      <c r="G1798" s="427" t="s">
        <v>1233</v>
      </c>
      <c r="H1798" s="415" t="s">
        <v>310</v>
      </c>
      <c r="I1798" s="639" t="s">
        <v>881</v>
      </c>
      <c r="J1798" s="418" t="s">
        <v>882</v>
      </c>
      <c r="K1798" s="418" t="s">
        <v>883</v>
      </c>
      <c r="L1798" s="399" t="s">
        <v>798</v>
      </c>
      <c r="M1798" s="544" t="s">
        <v>310</v>
      </c>
      <c r="N1798" s="414">
        <v>44718</v>
      </c>
      <c r="O1798" s="414" t="s">
        <v>400</v>
      </c>
      <c r="P1798" s="603">
        <f t="shared" si="268"/>
        <v>6</v>
      </c>
      <c r="Q1798" s="603">
        <f t="shared" si="269"/>
        <v>6</v>
      </c>
      <c r="R1798" s="604" t="str">
        <f t="shared" si="270"/>
        <v>Gastos_Gerais</v>
      </c>
      <c r="S1798" s="605" t="s">
        <v>310</v>
      </c>
      <c r="T1798" s="605" t="s">
        <v>310</v>
      </c>
    </row>
    <row r="1799" spans="1:20" s="88" customFormat="1" ht="24" x14ac:dyDescent="0.2">
      <c r="A1799" s="510">
        <f>IF(B1799="","",COUNT('Diário 1º PA'!$A$4:$A$2635)+ROW()-3)</f>
        <v>3532</v>
      </c>
      <c r="B1799" s="414">
        <v>44718</v>
      </c>
      <c r="C1799" s="424">
        <v>44713</v>
      </c>
      <c r="D1799" s="415" t="s">
        <v>271</v>
      </c>
      <c r="E1799" s="415" t="s">
        <v>71</v>
      </c>
      <c r="F1799" s="425">
        <v>11</v>
      </c>
      <c r="G1799" s="427" t="s">
        <v>1233</v>
      </c>
      <c r="H1799" s="415" t="s">
        <v>310</v>
      </c>
      <c r="I1799" s="639" t="s">
        <v>881</v>
      </c>
      <c r="J1799" s="418" t="s">
        <v>882</v>
      </c>
      <c r="K1799" s="418" t="s">
        <v>883</v>
      </c>
      <c r="L1799" s="399" t="s">
        <v>798</v>
      </c>
      <c r="M1799" s="544" t="s">
        <v>310</v>
      </c>
      <c r="N1799" s="414">
        <v>44718</v>
      </c>
      <c r="O1799" s="414" t="s">
        <v>400</v>
      </c>
      <c r="P1799" s="603">
        <f t="shared" si="268"/>
        <v>6</v>
      </c>
      <c r="Q1799" s="603">
        <f t="shared" si="269"/>
        <v>6</v>
      </c>
      <c r="R1799" s="604" t="str">
        <f t="shared" si="270"/>
        <v>Gastos_Gerais</v>
      </c>
      <c r="S1799" s="605" t="s">
        <v>310</v>
      </c>
      <c r="T1799" s="605" t="s">
        <v>310</v>
      </c>
    </row>
    <row r="1800" spans="1:20" s="88" customFormat="1" ht="24" x14ac:dyDescent="0.2">
      <c r="A1800" s="510">
        <f>IF(B1800="","",COUNT('Diário 1º PA'!$A$4:$A$2635)+ROW()-3)</f>
        <v>3533</v>
      </c>
      <c r="B1800" s="414">
        <v>44718</v>
      </c>
      <c r="C1800" s="424">
        <v>44713</v>
      </c>
      <c r="D1800" s="415" t="s">
        <v>271</v>
      </c>
      <c r="E1800" s="415" t="s">
        <v>71</v>
      </c>
      <c r="F1800" s="425">
        <v>11</v>
      </c>
      <c r="G1800" s="427" t="s">
        <v>1233</v>
      </c>
      <c r="H1800" s="415" t="s">
        <v>310</v>
      </c>
      <c r="I1800" s="639" t="s">
        <v>881</v>
      </c>
      <c r="J1800" s="418" t="s">
        <v>882</v>
      </c>
      <c r="K1800" s="418" t="s">
        <v>883</v>
      </c>
      <c r="L1800" s="399" t="s">
        <v>798</v>
      </c>
      <c r="M1800" s="544" t="s">
        <v>310</v>
      </c>
      <c r="N1800" s="414">
        <v>44718</v>
      </c>
      <c r="O1800" s="414" t="s">
        <v>400</v>
      </c>
      <c r="P1800" s="603">
        <f t="shared" si="268"/>
        <v>6</v>
      </c>
      <c r="Q1800" s="603">
        <f t="shared" si="269"/>
        <v>6</v>
      </c>
      <c r="R1800" s="604" t="str">
        <f t="shared" si="270"/>
        <v>Gastos_Gerais</v>
      </c>
      <c r="S1800" s="605" t="s">
        <v>310</v>
      </c>
      <c r="T1800" s="605" t="s">
        <v>310</v>
      </c>
    </row>
    <row r="1801" spans="1:20" s="88" customFormat="1" ht="24" x14ac:dyDescent="0.2">
      <c r="A1801" s="510">
        <f>IF(B1801="","",COUNT('Diário 1º PA'!$A$4:$A$2635)+ROW()-3)</f>
        <v>3534</v>
      </c>
      <c r="B1801" s="414">
        <v>44718</v>
      </c>
      <c r="C1801" s="424">
        <v>44713</v>
      </c>
      <c r="D1801" s="415" t="s">
        <v>271</v>
      </c>
      <c r="E1801" s="415" t="s">
        <v>71</v>
      </c>
      <c r="F1801" s="425">
        <v>11</v>
      </c>
      <c r="G1801" s="427" t="s">
        <v>1233</v>
      </c>
      <c r="H1801" s="415" t="s">
        <v>310</v>
      </c>
      <c r="I1801" s="639" t="s">
        <v>881</v>
      </c>
      <c r="J1801" s="418" t="s">
        <v>882</v>
      </c>
      <c r="K1801" s="418" t="s">
        <v>883</v>
      </c>
      <c r="L1801" s="399" t="s">
        <v>798</v>
      </c>
      <c r="M1801" s="544" t="s">
        <v>310</v>
      </c>
      <c r="N1801" s="414">
        <v>44718</v>
      </c>
      <c r="O1801" s="414" t="s">
        <v>400</v>
      </c>
      <c r="P1801" s="603">
        <f t="shared" si="268"/>
        <v>6</v>
      </c>
      <c r="Q1801" s="603">
        <f t="shared" si="269"/>
        <v>6</v>
      </c>
      <c r="R1801" s="604" t="str">
        <f t="shared" si="270"/>
        <v>Gastos_Gerais</v>
      </c>
      <c r="S1801" s="605" t="s">
        <v>310</v>
      </c>
      <c r="T1801" s="605" t="s">
        <v>310</v>
      </c>
    </row>
    <row r="1802" spans="1:20" s="88" customFormat="1" ht="24" x14ac:dyDescent="0.2">
      <c r="A1802" s="510">
        <f>IF(B1802="","",COUNT('Diário 1º PA'!$A$4:$A$2635)+ROW()-3)</f>
        <v>3535</v>
      </c>
      <c r="B1802" s="414">
        <v>44718</v>
      </c>
      <c r="C1802" s="424">
        <v>44713</v>
      </c>
      <c r="D1802" s="415" t="s">
        <v>271</v>
      </c>
      <c r="E1802" s="415" t="s">
        <v>71</v>
      </c>
      <c r="F1802" s="425">
        <v>11</v>
      </c>
      <c r="G1802" s="427" t="s">
        <v>1233</v>
      </c>
      <c r="H1802" s="415" t="s">
        <v>310</v>
      </c>
      <c r="I1802" s="639" t="s">
        <v>881</v>
      </c>
      <c r="J1802" s="418" t="s">
        <v>882</v>
      </c>
      <c r="K1802" s="418" t="s">
        <v>883</v>
      </c>
      <c r="L1802" s="399" t="s">
        <v>798</v>
      </c>
      <c r="M1802" s="544" t="s">
        <v>310</v>
      </c>
      <c r="N1802" s="414">
        <v>44718</v>
      </c>
      <c r="O1802" s="414" t="s">
        <v>400</v>
      </c>
      <c r="P1802" s="603">
        <f t="shared" si="268"/>
        <v>6</v>
      </c>
      <c r="Q1802" s="603">
        <f t="shared" si="269"/>
        <v>6</v>
      </c>
      <c r="R1802" s="604" t="str">
        <f t="shared" si="270"/>
        <v>Gastos_Gerais</v>
      </c>
      <c r="S1802" s="605" t="s">
        <v>310</v>
      </c>
      <c r="T1802" s="605" t="s">
        <v>310</v>
      </c>
    </row>
    <row r="1803" spans="1:20" s="88" customFormat="1" ht="24" x14ac:dyDescent="0.2">
      <c r="A1803" s="510">
        <f>IF(B1803="","",COUNT('Diário 1º PA'!$A$4:$A$2635)+ROW()-3)</f>
        <v>3536</v>
      </c>
      <c r="B1803" s="414">
        <v>44718</v>
      </c>
      <c r="C1803" s="424">
        <v>44713</v>
      </c>
      <c r="D1803" s="415" t="s">
        <v>271</v>
      </c>
      <c r="E1803" s="415" t="s">
        <v>71</v>
      </c>
      <c r="F1803" s="425">
        <v>11</v>
      </c>
      <c r="G1803" s="427" t="s">
        <v>1233</v>
      </c>
      <c r="H1803" s="415" t="s">
        <v>310</v>
      </c>
      <c r="I1803" s="639" t="s">
        <v>881</v>
      </c>
      <c r="J1803" s="418" t="s">
        <v>882</v>
      </c>
      <c r="K1803" s="418" t="s">
        <v>883</v>
      </c>
      <c r="L1803" s="399" t="s">
        <v>798</v>
      </c>
      <c r="M1803" s="544" t="s">
        <v>310</v>
      </c>
      <c r="N1803" s="414">
        <v>44718</v>
      </c>
      <c r="O1803" s="414" t="s">
        <v>400</v>
      </c>
      <c r="P1803" s="603">
        <f t="shared" si="268"/>
        <v>6</v>
      </c>
      <c r="Q1803" s="603">
        <f t="shared" si="269"/>
        <v>6</v>
      </c>
      <c r="R1803" s="604" t="str">
        <f t="shared" si="270"/>
        <v>Gastos_Gerais</v>
      </c>
      <c r="S1803" s="605" t="s">
        <v>310</v>
      </c>
      <c r="T1803" s="605" t="s">
        <v>310</v>
      </c>
    </row>
    <row r="1804" spans="1:20" s="88" customFormat="1" ht="24" x14ac:dyDescent="0.2">
      <c r="A1804" s="510">
        <f>IF(B1804="","",COUNT('Diário 1º PA'!$A$4:$A$2635)+ROW()-3)</f>
        <v>3537</v>
      </c>
      <c r="B1804" s="414">
        <v>44718</v>
      </c>
      <c r="C1804" s="424">
        <v>44713</v>
      </c>
      <c r="D1804" s="415" t="s">
        <v>271</v>
      </c>
      <c r="E1804" s="415" t="s">
        <v>71</v>
      </c>
      <c r="F1804" s="425">
        <v>11</v>
      </c>
      <c r="G1804" s="427" t="s">
        <v>1233</v>
      </c>
      <c r="H1804" s="415" t="s">
        <v>310</v>
      </c>
      <c r="I1804" s="639" t="s">
        <v>881</v>
      </c>
      <c r="J1804" s="418" t="s">
        <v>882</v>
      </c>
      <c r="K1804" s="418" t="s">
        <v>883</v>
      </c>
      <c r="L1804" s="399" t="s">
        <v>798</v>
      </c>
      <c r="M1804" s="544" t="s">
        <v>310</v>
      </c>
      <c r="N1804" s="414">
        <v>44718</v>
      </c>
      <c r="O1804" s="414" t="s">
        <v>400</v>
      </c>
      <c r="P1804" s="603">
        <f t="shared" si="268"/>
        <v>6</v>
      </c>
      <c r="Q1804" s="603">
        <f t="shared" si="269"/>
        <v>6</v>
      </c>
      <c r="R1804" s="604" t="str">
        <f t="shared" si="270"/>
        <v>Gastos_Gerais</v>
      </c>
      <c r="S1804" s="605" t="s">
        <v>310</v>
      </c>
      <c r="T1804" s="605" t="s">
        <v>310</v>
      </c>
    </row>
    <row r="1805" spans="1:20" s="88" customFormat="1" ht="24" x14ac:dyDescent="0.2">
      <c r="A1805" s="510">
        <f>IF(B1805="","",COUNT('Diário 1º PA'!$A$4:$A$2635)+ROW()-3)</f>
        <v>3538</v>
      </c>
      <c r="B1805" s="414">
        <v>44718</v>
      </c>
      <c r="C1805" s="424">
        <v>44713</v>
      </c>
      <c r="D1805" s="415" t="s">
        <v>271</v>
      </c>
      <c r="E1805" s="415" t="s">
        <v>71</v>
      </c>
      <c r="F1805" s="425">
        <v>11</v>
      </c>
      <c r="G1805" s="427" t="s">
        <v>1233</v>
      </c>
      <c r="H1805" s="415" t="s">
        <v>310</v>
      </c>
      <c r="I1805" s="639" t="s">
        <v>881</v>
      </c>
      <c r="J1805" s="418" t="s">
        <v>882</v>
      </c>
      <c r="K1805" s="418" t="s">
        <v>883</v>
      </c>
      <c r="L1805" s="399" t="s">
        <v>798</v>
      </c>
      <c r="M1805" s="544" t="s">
        <v>310</v>
      </c>
      <c r="N1805" s="414">
        <v>44718</v>
      </c>
      <c r="O1805" s="414" t="s">
        <v>400</v>
      </c>
      <c r="P1805" s="603">
        <f t="shared" si="268"/>
        <v>6</v>
      </c>
      <c r="Q1805" s="603">
        <f t="shared" si="269"/>
        <v>6</v>
      </c>
      <c r="R1805" s="604" t="str">
        <f t="shared" si="270"/>
        <v>Gastos_Gerais</v>
      </c>
      <c r="S1805" s="605" t="s">
        <v>310</v>
      </c>
      <c r="T1805" s="605" t="s">
        <v>310</v>
      </c>
    </row>
    <row r="1806" spans="1:20" s="88" customFormat="1" ht="24" x14ac:dyDescent="0.2">
      <c r="A1806" s="510">
        <f>IF(B1806="","",COUNT('Diário 1º PA'!$A$4:$A$2635)+ROW()-3)</f>
        <v>3539</v>
      </c>
      <c r="B1806" s="414">
        <v>44718</v>
      </c>
      <c r="C1806" s="424">
        <v>44713</v>
      </c>
      <c r="D1806" s="415" t="s">
        <v>271</v>
      </c>
      <c r="E1806" s="415" t="s">
        <v>71</v>
      </c>
      <c r="F1806" s="425">
        <v>11</v>
      </c>
      <c r="G1806" s="427" t="s">
        <v>1246</v>
      </c>
      <c r="H1806" s="415" t="s">
        <v>310</v>
      </c>
      <c r="I1806" s="639" t="s">
        <v>881</v>
      </c>
      <c r="J1806" s="418" t="s">
        <v>882</v>
      </c>
      <c r="K1806" s="418" t="s">
        <v>883</v>
      </c>
      <c r="L1806" s="399" t="s">
        <v>798</v>
      </c>
      <c r="M1806" s="544" t="s">
        <v>310</v>
      </c>
      <c r="N1806" s="414">
        <v>44718</v>
      </c>
      <c r="O1806" s="414" t="s">
        <v>400</v>
      </c>
      <c r="P1806" s="603">
        <f t="shared" si="268"/>
        <v>6</v>
      </c>
      <c r="Q1806" s="603">
        <f t="shared" si="269"/>
        <v>6</v>
      </c>
      <c r="R1806" s="604" t="str">
        <f t="shared" si="270"/>
        <v>Gastos_Gerais</v>
      </c>
      <c r="S1806" s="605" t="s">
        <v>310</v>
      </c>
      <c r="T1806" s="605" t="s">
        <v>310</v>
      </c>
    </row>
    <row r="1807" spans="1:20" s="88" customFormat="1" ht="24" x14ac:dyDescent="0.2">
      <c r="A1807" s="510">
        <f>IF(B1807="","",COUNT('Diário 1º PA'!$A$4:$A$2635)+ROW()-3)</f>
        <v>3540</v>
      </c>
      <c r="B1807" s="414">
        <v>44718</v>
      </c>
      <c r="C1807" s="424">
        <v>44713</v>
      </c>
      <c r="D1807" s="415" t="s">
        <v>271</v>
      </c>
      <c r="E1807" s="415" t="s">
        <v>71</v>
      </c>
      <c r="F1807" s="425">
        <v>11</v>
      </c>
      <c r="G1807" s="427" t="s">
        <v>1246</v>
      </c>
      <c r="H1807" s="415" t="s">
        <v>310</v>
      </c>
      <c r="I1807" s="639" t="s">
        <v>881</v>
      </c>
      <c r="J1807" s="418" t="s">
        <v>882</v>
      </c>
      <c r="K1807" s="418" t="s">
        <v>883</v>
      </c>
      <c r="L1807" s="399" t="s">
        <v>798</v>
      </c>
      <c r="M1807" s="544" t="s">
        <v>310</v>
      </c>
      <c r="N1807" s="414">
        <v>44718</v>
      </c>
      <c r="O1807" s="414" t="s">
        <v>400</v>
      </c>
      <c r="P1807" s="603">
        <f t="shared" si="268"/>
        <v>6</v>
      </c>
      <c r="Q1807" s="603">
        <f t="shared" si="269"/>
        <v>6</v>
      </c>
      <c r="R1807" s="604" t="str">
        <f t="shared" si="270"/>
        <v>Gastos_Gerais</v>
      </c>
      <c r="S1807" s="605" t="s">
        <v>310</v>
      </c>
      <c r="T1807" s="605" t="s">
        <v>310</v>
      </c>
    </row>
    <row r="1808" spans="1:20" s="88" customFormat="1" ht="24" x14ac:dyDescent="0.2">
      <c r="A1808" s="510">
        <f>IF(B1808="","",COUNT('Diário 1º PA'!$A$4:$A$2635)+ROW()-3)</f>
        <v>3541</v>
      </c>
      <c r="B1808" s="414">
        <v>44718</v>
      </c>
      <c r="C1808" s="424">
        <v>44713</v>
      </c>
      <c r="D1808" s="415" t="s">
        <v>271</v>
      </c>
      <c r="E1808" s="415" t="s">
        <v>71</v>
      </c>
      <c r="F1808" s="425">
        <v>153</v>
      </c>
      <c r="G1808" s="427" t="s">
        <v>880</v>
      </c>
      <c r="H1808" s="415" t="s">
        <v>309</v>
      </c>
      <c r="I1808" s="427" t="s">
        <v>881</v>
      </c>
      <c r="J1808" s="415" t="s">
        <v>882</v>
      </c>
      <c r="K1808" s="415" t="s">
        <v>883</v>
      </c>
      <c r="L1808" s="415" t="s">
        <v>798</v>
      </c>
      <c r="M1808" s="415" t="s">
        <v>310</v>
      </c>
      <c r="N1808" s="414">
        <v>44718</v>
      </c>
      <c r="O1808" s="414" t="s">
        <v>400</v>
      </c>
      <c r="P1808" s="603">
        <f t="shared" si="268"/>
        <v>6</v>
      </c>
      <c r="Q1808" s="603">
        <f t="shared" si="269"/>
        <v>6</v>
      </c>
      <c r="R1808" s="604" t="str">
        <f t="shared" si="270"/>
        <v>Gastos_Gerais</v>
      </c>
      <c r="S1808" s="605" t="s">
        <v>310</v>
      </c>
      <c r="T1808" s="605" t="s">
        <v>310</v>
      </c>
    </row>
    <row r="1809" spans="1:20" ht="99.95" customHeight="1" x14ac:dyDescent="0.2">
      <c r="A1809" s="510">
        <f>IF(B1809="","",COUNT('Diário 1º PA'!$A$4:$A$2635)+ROW()-3)</f>
        <v>3542</v>
      </c>
      <c r="B1809" s="414">
        <v>44718</v>
      </c>
      <c r="C1809" s="424">
        <v>44682</v>
      </c>
      <c r="D1809" s="415" t="s">
        <v>468</v>
      </c>
      <c r="E1809" s="415" t="s">
        <v>468</v>
      </c>
      <c r="F1809" s="425">
        <v>2560</v>
      </c>
      <c r="G1809" s="427" t="s">
        <v>4318</v>
      </c>
      <c r="H1809" s="415" t="s">
        <v>468</v>
      </c>
      <c r="I1809" s="427" t="s">
        <v>2803</v>
      </c>
      <c r="J1809" s="415" t="s">
        <v>2426</v>
      </c>
      <c r="K1809" s="415" t="s">
        <v>830</v>
      </c>
      <c r="L1809" s="415" t="s">
        <v>807</v>
      </c>
      <c r="M1809" s="415">
        <v>33394720</v>
      </c>
      <c r="N1809" s="414">
        <v>44715</v>
      </c>
      <c r="O1809" s="414" t="s">
        <v>407</v>
      </c>
      <c r="P1809" s="603">
        <f t="shared" ref="P1809:P1818" si="271">IF(B1809=0,0,IF(YEAR(B1809)=$Q$1,MONTH(B1809)-$P$1+1,(YEAR(B1809)-$Q$1)*12-$P$1+1+MONTH(B1809)))</f>
        <v>6</v>
      </c>
      <c r="Q1809" s="603">
        <f t="shared" si="269"/>
        <v>5</v>
      </c>
      <c r="R1809" s="604" t="str">
        <f t="shared" ref="R1809:R1818" si="272">SUBSTITUTE(D1809," ","_")</f>
        <v>Gastos_custeados_por_captação</v>
      </c>
      <c r="S1809" s="605" t="s">
        <v>998</v>
      </c>
      <c r="T1809" s="605">
        <v>3748</v>
      </c>
    </row>
    <row r="1810" spans="1:20" ht="99.95" customHeight="1" x14ac:dyDescent="0.2">
      <c r="A1810" s="510">
        <f>IF(B1810="","",COUNT('Diário 1º PA'!$A$4:$A$2635)+ROW()-3)</f>
        <v>3543</v>
      </c>
      <c r="B1810" s="414">
        <v>44718</v>
      </c>
      <c r="C1810" s="424">
        <v>44682</v>
      </c>
      <c r="D1810" s="415" t="s">
        <v>468</v>
      </c>
      <c r="E1810" s="415" t="s">
        <v>468</v>
      </c>
      <c r="F1810" s="425">
        <v>7977.25</v>
      </c>
      <c r="G1810" s="427" t="s">
        <v>1615</v>
      </c>
      <c r="H1810" s="415" t="s">
        <v>468</v>
      </c>
      <c r="I1810" s="427" t="s">
        <v>5246</v>
      </c>
      <c r="J1810" s="415" t="s">
        <v>860</v>
      </c>
      <c r="K1810" s="415" t="s">
        <v>830</v>
      </c>
      <c r="L1810" s="415" t="s">
        <v>807</v>
      </c>
      <c r="M1810" s="415" t="s">
        <v>5247</v>
      </c>
      <c r="N1810" s="414">
        <v>44701</v>
      </c>
      <c r="O1810" s="414" t="s">
        <v>407</v>
      </c>
      <c r="P1810" s="603">
        <f t="shared" si="271"/>
        <v>6</v>
      </c>
      <c r="Q1810" s="603">
        <f t="shared" si="269"/>
        <v>5</v>
      </c>
      <c r="R1810" s="604" t="str">
        <f t="shared" si="272"/>
        <v>Gastos_custeados_por_captação</v>
      </c>
      <c r="S1810" s="605" t="s">
        <v>310</v>
      </c>
      <c r="T1810" s="605" t="s">
        <v>310</v>
      </c>
    </row>
    <row r="1811" spans="1:20" ht="99.95" customHeight="1" x14ac:dyDescent="0.2">
      <c r="A1811" s="510">
        <f>IF(B1811="","",COUNT('Diário 1º PA'!$A$4:$A$2635)+ROW()-3)</f>
        <v>3544</v>
      </c>
      <c r="B1811" s="414">
        <v>44718</v>
      </c>
      <c r="C1811" s="424">
        <v>44682</v>
      </c>
      <c r="D1811" s="415" t="s">
        <v>468</v>
      </c>
      <c r="E1811" s="415" t="s">
        <v>468</v>
      </c>
      <c r="F1811" s="425">
        <v>4703.5200000000004</v>
      </c>
      <c r="G1811" s="427" t="s">
        <v>4328</v>
      </c>
      <c r="H1811" s="415" t="s">
        <v>468</v>
      </c>
      <c r="I1811" s="427" t="s">
        <v>3424</v>
      </c>
      <c r="J1811" s="415" t="s">
        <v>2273</v>
      </c>
      <c r="K1811" s="415" t="s">
        <v>830</v>
      </c>
      <c r="L1811" s="415" t="s">
        <v>807</v>
      </c>
      <c r="M1811" s="415" t="s">
        <v>3672</v>
      </c>
      <c r="N1811" s="414">
        <v>44718</v>
      </c>
      <c r="O1811" s="414" t="s">
        <v>407</v>
      </c>
      <c r="P1811" s="603">
        <f t="shared" si="271"/>
        <v>6</v>
      </c>
      <c r="Q1811" s="603">
        <f t="shared" si="269"/>
        <v>5</v>
      </c>
      <c r="R1811" s="604" t="str">
        <f t="shared" si="272"/>
        <v>Gastos_custeados_por_captação</v>
      </c>
      <c r="S1811" s="605" t="s">
        <v>1000</v>
      </c>
      <c r="T1811" s="605">
        <v>3754</v>
      </c>
    </row>
    <row r="1812" spans="1:20" ht="99.95" customHeight="1" x14ac:dyDescent="0.2">
      <c r="A1812" s="510">
        <f>IF(B1812="","",COUNT('Diário 1º PA'!$A$4:$A$2635)+ROW()-3)</f>
        <v>3545</v>
      </c>
      <c r="B1812" s="414">
        <v>44718</v>
      </c>
      <c r="C1812" s="424">
        <v>44682</v>
      </c>
      <c r="D1812" s="415" t="s">
        <v>468</v>
      </c>
      <c r="E1812" s="415" t="s">
        <v>468</v>
      </c>
      <c r="F1812" s="425">
        <v>3131.28</v>
      </c>
      <c r="G1812" s="427" t="s">
        <v>3834</v>
      </c>
      <c r="H1812" s="415" t="s">
        <v>468</v>
      </c>
      <c r="I1812" s="427" t="s">
        <v>5249</v>
      </c>
      <c r="J1812" s="415" t="s">
        <v>3835</v>
      </c>
      <c r="K1812" s="415" t="s">
        <v>830</v>
      </c>
      <c r="L1812" s="415" t="s">
        <v>807</v>
      </c>
      <c r="M1812" s="415">
        <v>20224880</v>
      </c>
      <c r="N1812" s="414">
        <v>44708</v>
      </c>
      <c r="O1812" s="414" t="s">
        <v>407</v>
      </c>
      <c r="P1812" s="603">
        <f t="shared" si="271"/>
        <v>6</v>
      </c>
      <c r="Q1812" s="603">
        <f t="shared" si="269"/>
        <v>5</v>
      </c>
      <c r="R1812" s="604" t="str">
        <f t="shared" si="272"/>
        <v>Gastos_custeados_por_captação</v>
      </c>
      <c r="S1812" s="605" t="s">
        <v>998</v>
      </c>
      <c r="T1812" s="605">
        <v>3570</v>
      </c>
    </row>
    <row r="1813" spans="1:20" ht="99.95" customHeight="1" x14ac:dyDescent="0.2">
      <c r="A1813" s="510">
        <f>IF(B1813="","",COUNT('Diário 1º PA'!$A$4:$A$2635)+ROW()-3)</f>
        <v>3546</v>
      </c>
      <c r="B1813" s="414">
        <v>44718</v>
      </c>
      <c r="C1813" s="424">
        <v>44682</v>
      </c>
      <c r="D1813" s="415" t="s">
        <v>468</v>
      </c>
      <c r="E1813" s="415" t="s">
        <v>468</v>
      </c>
      <c r="F1813" s="425">
        <v>2700</v>
      </c>
      <c r="G1813" s="427" t="s">
        <v>3878</v>
      </c>
      <c r="H1813" s="415" t="s">
        <v>468</v>
      </c>
      <c r="I1813" s="427" t="s">
        <v>5250</v>
      </c>
      <c r="J1813" s="415" t="s">
        <v>3879</v>
      </c>
      <c r="K1813" s="415" t="s">
        <v>830</v>
      </c>
      <c r="L1813" s="415" t="s">
        <v>807</v>
      </c>
      <c r="M1813" s="415" t="s">
        <v>842</v>
      </c>
      <c r="N1813" s="414">
        <v>44715</v>
      </c>
      <c r="O1813" s="414" t="s">
        <v>407</v>
      </c>
      <c r="P1813" s="603">
        <f t="shared" si="271"/>
        <v>6</v>
      </c>
      <c r="Q1813" s="603">
        <f t="shared" si="269"/>
        <v>5</v>
      </c>
      <c r="R1813" s="604" t="str">
        <f t="shared" si="272"/>
        <v>Gastos_custeados_por_captação</v>
      </c>
      <c r="S1813" s="605" t="s">
        <v>998</v>
      </c>
      <c r="T1813" s="605">
        <v>3519</v>
      </c>
    </row>
    <row r="1814" spans="1:20" s="88" customFormat="1" ht="99.95" customHeight="1" x14ac:dyDescent="0.2">
      <c r="A1814" s="510">
        <f>IF(B1814="","",COUNT('Diário 1º PA'!$A$4:$A$2635)+ROW()-3)</f>
        <v>3547</v>
      </c>
      <c r="B1814" s="414">
        <v>44718</v>
      </c>
      <c r="C1814" s="424">
        <v>44682</v>
      </c>
      <c r="D1814" s="415" t="s">
        <v>468</v>
      </c>
      <c r="E1814" s="415" t="s">
        <v>468</v>
      </c>
      <c r="F1814" s="425">
        <v>6309.32</v>
      </c>
      <c r="G1814" s="427" t="s">
        <v>9</v>
      </c>
      <c r="H1814" s="415" t="s">
        <v>468</v>
      </c>
      <c r="I1814" s="427" t="s">
        <v>1620</v>
      </c>
      <c r="J1814" s="415" t="s">
        <v>1041</v>
      </c>
      <c r="K1814" s="415" t="s">
        <v>830</v>
      </c>
      <c r="L1814" s="415" t="s">
        <v>807</v>
      </c>
      <c r="M1814" s="415" t="s">
        <v>5481</v>
      </c>
      <c r="N1814" s="414">
        <v>44715</v>
      </c>
      <c r="O1814" s="414" t="s">
        <v>405</v>
      </c>
      <c r="P1814" s="603">
        <f t="shared" si="271"/>
        <v>6</v>
      </c>
      <c r="Q1814" s="603">
        <f t="shared" si="269"/>
        <v>5</v>
      </c>
      <c r="R1814" s="604" t="str">
        <f t="shared" si="272"/>
        <v>Gastos_custeados_por_captação</v>
      </c>
      <c r="S1814" s="605" t="s">
        <v>310</v>
      </c>
      <c r="T1814" s="605" t="s">
        <v>310</v>
      </c>
    </row>
    <row r="1815" spans="1:20" s="88" customFormat="1" ht="99.95" customHeight="1" x14ac:dyDescent="0.2">
      <c r="A1815" s="510">
        <f>IF(B1815="","",COUNT('Diário 1º PA'!$A$4:$A$2635)+ROW()-3)</f>
        <v>3548</v>
      </c>
      <c r="B1815" s="414">
        <v>44718</v>
      </c>
      <c r="C1815" s="424">
        <v>44593</v>
      </c>
      <c r="D1815" s="415" t="s">
        <v>468</v>
      </c>
      <c r="E1815" s="415" t="s">
        <v>468</v>
      </c>
      <c r="F1815" s="425">
        <v>138.32</v>
      </c>
      <c r="G1815" s="427" t="s">
        <v>3764</v>
      </c>
      <c r="H1815" s="415" t="s">
        <v>468</v>
      </c>
      <c r="I1815" s="427" t="s">
        <v>3765</v>
      </c>
      <c r="J1815" s="415" t="s">
        <v>310</v>
      </c>
      <c r="K1815" s="415" t="s">
        <v>830</v>
      </c>
      <c r="L1815" s="415" t="s">
        <v>310</v>
      </c>
      <c r="M1815" s="415" t="s">
        <v>310</v>
      </c>
      <c r="N1815" s="414">
        <v>44718</v>
      </c>
      <c r="O1815" s="414" t="s">
        <v>408</v>
      </c>
      <c r="P1815" s="603">
        <f t="shared" si="271"/>
        <v>6</v>
      </c>
      <c r="Q1815" s="603">
        <f t="shared" si="269"/>
        <v>2</v>
      </c>
      <c r="R1815" s="604" t="str">
        <f t="shared" si="272"/>
        <v>Gastos_custeados_por_captação</v>
      </c>
      <c r="S1815" s="605" t="s">
        <v>1000</v>
      </c>
      <c r="T1815" s="605">
        <v>2859</v>
      </c>
    </row>
    <row r="1816" spans="1:20" s="88" customFormat="1" ht="99.95" customHeight="1" x14ac:dyDescent="0.2">
      <c r="A1816" s="510">
        <f>IF(B1816="","",COUNT('Diário 1º PA'!$A$4:$A$2635)+ROW()-3)</f>
        <v>3549</v>
      </c>
      <c r="B1816" s="414">
        <v>44718</v>
      </c>
      <c r="C1816" s="424">
        <v>44682</v>
      </c>
      <c r="D1816" s="415" t="s">
        <v>468</v>
      </c>
      <c r="E1816" s="415" t="s">
        <v>468</v>
      </c>
      <c r="F1816" s="425">
        <v>2694.72</v>
      </c>
      <c r="G1816" s="427" t="s">
        <v>694</v>
      </c>
      <c r="H1816" s="415" t="s">
        <v>468</v>
      </c>
      <c r="I1816" s="427" t="s">
        <v>2457</v>
      </c>
      <c r="J1816" s="415" t="s">
        <v>2410</v>
      </c>
      <c r="K1816" s="415" t="s">
        <v>830</v>
      </c>
      <c r="L1816" s="415" t="s">
        <v>807</v>
      </c>
      <c r="M1816" s="415">
        <v>202211</v>
      </c>
      <c r="N1816" s="414">
        <v>44715</v>
      </c>
      <c r="O1816" s="414" t="s">
        <v>408</v>
      </c>
      <c r="P1816" s="603">
        <f t="shared" si="271"/>
        <v>6</v>
      </c>
      <c r="Q1816" s="603">
        <f t="shared" si="269"/>
        <v>5</v>
      </c>
      <c r="R1816" s="604" t="str">
        <f t="shared" si="272"/>
        <v>Gastos_custeados_por_captação</v>
      </c>
      <c r="S1816" s="605" t="s">
        <v>1000</v>
      </c>
      <c r="T1816" s="605">
        <v>2663</v>
      </c>
    </row>
    <row r="1817" spans="1:20" s="88" customFormat="1" ht="99.95" customHeight="1" x14ac:dyDescent="0.2">
      <c r="A1817" s="510">
        <f>IF(B1817="","",COUNT('Diário 1º PA'!$A$4:$A$2635)+ROW()-3)</f>
        <v>3550</v>
      </c>
      <c r="B1817" s="414">
        <v>44718</v>
      </c>
      <c r="C1817" s="424">
        <v>44682</v>
      </c>
      <c r="D1817" s="415" t="s">
        <v>468</v>
      </c>
      <c r="E1817" s="415" t="s">
        <v>468</v>
      </c>
      <c r="F1817" s="425">
        <v>1632.26</v>
      </c>
      <c r="G1817" s="427" t="s">
        <v>700</v>
      </c>
      <c r="H1817" s="415" t="s">
        <v>468</v>
      </c>
      <c r="I1817" s="427" t="s">
        <v>2455</v>
      </c>
      <c r="J1817" s="415" t="s">
        <v>2456</v>
      </c>
      <c r="K1817" s="415" t="s">
        <v>830</v>
      </c>
      <c r="L1817" s="415" t="s">
        <v>807</v>
      </c>
      <c r="M1817" s="415" t="s">
        <v>1795</v>
      </c>
      <c r="N1817" s="414">
        <v>44715</v>
      </c>
      <c r="O1817" s="414" t="s">
        <v>408</v>
      </c>
      <c r="P1817" s="603">
        <f t="shared" si="271"/>
        <v>6</v>
      </c>
      <c r="Q1817" s="603">
        <f t="shared" si="269"/>
        <v>5</v>
      </c>
      <c r="R1817" s="604" t="str">
        <f t="shared" si="272"/>
        <v>Gastos_custeados_por_captação</v>
      </c>
      <c r="S1817" s="605" t="s">
        <v>998</v>
      </c>
      <c r="T1817" s="605">
        <v>2693</v>
      </c>
    </row>
    <row r="1818" spans="1:20" s="88" customFormat="1" ht="99.95" customHeight="1" x14ac:dyDescent="0.2">
      <c r="A1818" s="510">
        <f>IF(B1818="","",COUNT('Diário 1º PA'!$A$4:$A$2635)+ROW()-3)</f>
        <v>3551</v>
      </c>
      <c r="B1818" s="414">
        <v>44718</v>
      </c>
      <c r="C1818" s="424">
        <v>44682</v>
      </c>
      <c r="D1818" s="415" t="s">
        <v>468</v>
      </c>
      <c r="E1818" s="415" t="s">
        <v>468</v>
      </c>
      <c r="F1818" s="425">
        <v>4000</v>
      </c>
      <c r="G1818" s="427" t="s">
        <v>710</v>
      </c>
      <c r="H1818" s="415" t="s">
        <v>468</v>
      </c>
      <c r="I1818" s="427" t="s">
        <v>2454</v>
      </c>
      <c r="J1818" s="415" t="s">
        <v>1135</v>
      </c>
      <c r="K1818" s="415" t="s">
        <v>830</v>
      </c>
      <c r="L1818" s="415" t="s">
        <v>807</v>
      </c>
      <c r="M1818" s="415" t="s">
        <v>1503</v>
      </c>
      <c r="N1818" s="414">
        <v>44657</v>
      </c>
      <c r="O1818" s="414" t="s">
        <v>408</v>
      </c>
      <c r="P1818" s="603">
        <f t="shared" si="271"/>
        <v>6</v>
      </c>
      <c r="Q1818" s="603">
        <f t="shared" si="269"/>
        <v>5</v>
      </c>
      <c r="R1818" s="604" t="str">
        <f t="shared" si="272"/>
        <v>Gastos_custeados_por_captação</v>
      </c>
      <c r="S1818" s="605" t="s">
        <v>1000</v>
      </c>
      <c r="T1818" s="605">
        <v>2757</v>
      </c>
    </row>
    <row r="1819" spans="1:20" s="88" customFormat="1" ht="99.95" customHeight="1" x14ac:dyDescent="0.2">
      <c r="A1819" s="510">
        <f>IF(B1819="","",COUNT('Diário 1º PA'!$A$4:$A$2635)+ROW()-3)</f>
        <v>3552</v>
      </c>
      <c r="B1819" s="455">
        <v>44719</v>
      </c>
      <c r="C1819" s="424">
        <v>44682</v>
      </c>
      <c r="D1819" s="415" t="s">
        <v>182</v>
      </c>
      <c r="E1819" s="415" t="s">
        <v>4</v>
      </c>
      <c r="F1819" s="425">
        <v>-2527.02</v>
      </c>
      <c r="G1819" s="427" t="s">
        <v>4575</v>
      </c>
      <c r="H1819" s="415" t="s">
        <v>310</v>
      </c>
      <c r="I1819" s="427" t="s">
        <v>795</v>
      </c>
      <c r="J1819" s="415" t="s">
        <v>796</v>
      </c>
      <c r="K1819" s="415" t="s">
        <v>797</v>
      </c>
      <c r="L1819" s="415" t="s">
        <v>798</v>
      </c>
      <c r="M1819" s="415" t="s">
        <v>310</v>
      </c>
      <c r="N1819" s="414">
        <v>44719</v>
      </c>
      <c r="O1819" s="414" t="s">
        <v>400</v>
      </c>
      <c r="P1819" s="603">
        <f t="shared" si="268"/>
        <v>6</v>
      </c>
      <c r="Q1819" s="603">
        <f t="shared" si="269"/>
        <v>5</v>
      </c>
      <c r="R1819" s="604" t="str">
        <f t="shared" si="270"/>
        <v>Gastos_com_Pessoal</v>
      </c>
      <c r="S1819" s="605" t="s">
        <v>310</v>
      </c>
      <c r="T1819" s="605" t="s">
        <v>310</v>
      </c>
    </row>
    <row r="1820" spans="1:20" s="88" customFormat="1" ht="99.95" customHeight="1" x14ac:dyDescent="0.2">
      <c r="A1820" s="510">
        <f>IF(B1820="","",COUNT('Diário 1º PA'!$A$4:$A$2635)+ROW()-3)</f>
        <v>3553</v>
      </c>
      <c r="B1820" s="455">
        <v>44719</v>
      </c>
      <c r="C1820" s="424">
        <v>44682</v>
      </c>
      <c r="D1820" s="415" t="s">
        <v>182</v>
      </c>
      <c r="E1820" s="415" t="s">
        <v>4</v>
      </c>
      <c r="F1820" s="425">
        <v>-120</v>
      </c>
      <c r="G1820" s="427" t="s">
        <v>4576</v>
      </c>
      <c r="H1820" s="415" t="s">
        <v>310</v>
      </c>
      <c r="I1820" s="427" t="s">
        <v>795</v>
      </c>
      <c r="J1820" s="415" t="s">
        <v>796</v>
      </c>
      <c r="K1820" s="415" t="s">
        <v>797</v>
      </c>
      <c r="L1820" s="415" t="s">
        <v>798</v>
      </c>
      <c r="M1820" s="415" t="s">
        <v>310</v>
      </c>
      <c r="N1820" s="414">
        <v>44719</v>
      </c>
      <c r="O1820" s="414" t="s">
        <v>400</v>
      </c>
      <c r="P1820" s="603">
        <f t="shared" si="268"/>
        <v>6</v>
      </c>
      <c r="Q1820" s="603">
        <f t="shared" si="269"/>
        <v>5</v>
      </c>
      <c r="R1820" s="604" t="str">
        <f t="shared" si="270"/>
        <v>Gastos_com_Pessoal</v>
      </c>
      <c r="S1820" s="605" t="s">
        <v>310</v>
      </c>
      <c r="T1820" s="605" t="s">
        <v>310</v>
      </c>
    </row>
    <row r="1821" spans="1:20" s="88" customFormat="1" ht="99.95" customHeight="1" x14ac:dyDescent="0.2">
      <c r="A1821" s="510">
        <f>IF(B1821="","",COUNT('Diário 1º PA'!$A$4:$A$2635)+ROW()-3)</f>
        <v>3554</v>
      </c>
      <c r="B1821" s="455">
        <v>44719</v>
      </c>
      <c r="C1821" s="431">
        <v>44621</v>
      </c>
      <c r="D1821" s="415" t="s">
        <v>271</v>
      </c>
      <c r="E1821" s="415" t="s">
        <v>453</v>
      </c>
      <c r="F1821" s="425">
        <v>1512</v>
      </c>
      <c r="G1821" s="427" t="s">
        <v>2613</v>
      </c>
      <c r="H1821" s="415" t="s">
        <v>752</v>
      </c>
      <c r="I1821" s="427" t="s">
        <v>4037</v>
      </c>
      <c r="J1821" s="415" t="s">
        <v>2614</v>
      </c>
      <c r="K1821" s="415" t="s">
        <v>806</v>
      </c>
      <c r="L1821" s="415" t="s">
        <v>839</v>
      </c>
      <c r="M1821" s="415">
        <v>1800</v>
      </c>
      <c r="N1821" s="414">
        <v>44715</v>
      </c>
      <c r="O1821" s="414" t="s">
        <v>400</v>
      </c>
      <c r="P1821" s="603">
        <f t="shared" ref="P1821:P1851" si="273">IF(B1821=0,0,IF(YEAR(B1821)=$Q$1,MONTH(B1821)-$P$1+1,(YEAR(B1821)-$Q$1)*12-$P$1+1+MONTH(B1821)))</f>
        <v>6</v>
      </c>
      <c r="Q1821" s="603">
        <f t="shared" ref="Q1821:Q1851" si="274">IF(C1821=0,0,IF(YEAR(C1821)=$Q$1,MONTH(C1821)-$P$1+1,(YEAR(C1821)-$Q$1)*12-$P$1+1+MONTH(C1821)))</f>
        <v>3</v>
      </c>
      <c r="R1821" s="604" t="str">
        <f t="shared" ref="R1821:R1851" si="275">SUBSTITUTE(D1821," ","_")</f>
        <v>Gastos_Gerais</v>
      </c>
      <c r="S1821" s="605" t="s">
        <v>998</v>
      </c>
      <c r="T1821" s="605">
        <v>3312</v>
      </c>
    </row>
    <row r="1822" spans="1:20" s="88" customFormat="1" ht="24" x14ac:dyDescent="0.2">
      <c r="A1822" s="510">
        <f>IF(B1822="","",COUNT('Diário 1º PA'!$A$4:$A$2635)+ROW()-3)</f>
        <v>3555</v>
      </c>
      <c r="B1822" s="455">
        <v>44719</v>
      </c>
      <c r="C1822" s="424">
        <v>44682</v>
      </c>
      <c r="D1822" s="415" t="s">
        <v>182</v>
      </c>
      <c r="E1822" s="415" t="s">
        <v>4</v>
      </c>
      <c r="F1822" s="425">
        <v>18884.98</v>
      </c>
      <c r="G1822" s="440" t="s">
        <v>4579</v>
      </c>
      <c r="H1822" s="415" t="s">
        <v>310</v>
      </c>
      <c r="I1822" s="639" t="s">
        <v>1219</v>
      </c>
      <c r="J1822" s="418" t="s">
        <v>310</v>
      </c>
      <c r="K1822" s="418" t="s">
        <v>1220</v>
      </c>
      <c r="L1822" s="399" t="s">
        <v>4</v>
      </c>
      <c r="M1822" s="543" t="s">
        <v>310</v>
      </c>
      <c r="N1822" s="414">
        <v>44719</v>
      </c>
      <c r="O1822" s="414" t="s">
        <v>400</v>
      </c>
      <c r="P1822" s="603">
        <f t="shared" si="273"/>
        <v>6</v>
      </c>
      <c r="Q1822" s="603">
        <f t="shared" si="274"/>
        <v>5</v>
      </c>
      <c r="R1822" s="604" t="str">
        <f t="shared" si="275"/>
        <v>Gastos_com_Pessoal</v>
      </c>
      <c r="S1822" s="605" t="s">
        <v>310</v>
      </c>
      <c r="T1822" s="605" t="s">
        <v>310</v>
      </c>
    </row>
    <row r="1823" spans="1:20" s="88" customFormat="1" ht="72" x14ac:dyDescent="0.2">
      <c r="A1823" s="510">
        <f>IF(B1823="","",COUNT('Diário 1º PA'!$A$4:$A$2635)+ROW()-3)</f>
        <v>3556</v>
      </c>
      <c r="B1823" s="455">
        <v>44719</v>
      </c>
      <c r="C1823" s="431">
        <v>44682</v>
      </c>
      <c r="D1823" s="415" t="s">
        <v>271</v>
      </c>
      <c r="E1823" s="415" t="s">
        <v>453</v>
      </c>
      <c r="F1823" s="425">
        <v>1998.6</v>
      </c>
      <c r="G1823" s="427" t="s">
        <v>3308</v>
      </c>
      <c r="H1823" s="419" t="s">
        <v>752</v>
      </c>
      <c r="I1823" s="427" t="s">
        <v>4580</v>
      </c>
      <c r="J1823" s="415" t="s">
        <v>3309</v>
      </c>
      <c r="K1823" s="415" t="s">
        <v>830</v>
      </c>
      <c r="L1823" s="415" t="s">
        <v>839</v>
      </c>
      <c r="M1823" s="415">
        <v>1808</v>
      </c>
      <c r="N1823" s="414">
        <v>44715</v>
      </c>
      <c r="O1823" s="414" t="s">
        <v>400</v>
      </c>
      <c r="P1823" s="603">
        <f t="shared" si="273"/>
        <v>6</v>
      </c>
      <c r="Q1823" s="603">
        <f t="shared" si="274"/>
        <v>5</v>
      </c>
      <c r="R1823" s="604" t="str">
        <f t="shared" si="275"/>
        <v>Gastos_Gerais</v>
      </c>
      <c r="S1823" s="605" t="s">
        <v>998</v>
      </c>
      <c r="T1823" s="605">
        <v>3321</v>
      </c>
    </row>
    <row r="1824" spans="1:20" s="88" customFormat="1" ht="36" x14ac:dyDescent="0.2">
      <c r="A1824" s="510">
        <f>IF(B1824="","",COUNT('Diário 1º PA'!$A$4:$A$2635)+ROW()-3)</f>
        <v>3557</v>
      </c>
      <c r="B1824" s="455">
        <v>44719</v>
      </c>
      <c r="C1824" s="466">
        <v>44682</v>
      </c>
      <c r="D1824" s="415" t="s">
        <v>271</v>
      </c>
      <c r="E1824" s="415" t="s">
        <v>71</v>
      </c>
      <c r="F1824" s="425">
        <v>11</v>
      </c>
      <c r="G1824" s="427" t="s">
        <v>3961</v>
      </c>
      <c r="H1824" s="419" t="s">
        <v>752</v>
      </c>
      <c r="I1824" s="427" t="s">
        <v>881</v>
      </c>
      <c r="J1824" s="415" t="s">
        <v>882</v>
      </c>
      <c r="K1824" s="415" t="s">
        <v>883</v>
      </c>
      <c r="L1824" s="415" t="s">
        <v>798</v>
      </c>
      <c r="M1824" s="415" t="s">
        <v>310</v>
      </c>
      <c r="N1824" s="414">
        <v>44719</v>
      </c>
      <c r="O1824" s="414" t="s">
        <v>400</v>
      </c>
      <c r="P1824" s="603">
        <f t="shared" si="273"/>
        <v>6</v>
      </c>
      <c r="Q1824" s="603">
        <f t="shared" si="274"/>
        <v>5</v>
      </c>
      <c r="R1824" s="604" t="str">
        <f t="shared" si="275"/>
        <v>Gastos_Gerais</v>
      </c>
      <c r="S1824" s="605" t="s">
        <v>310</v>
      </c>
      <c r="T1824" s="605" t="s">
        <v>310</v>
      </c>
    </row>
    <row r="1825" spans="1:21" ht="72" x14ac:dyDescent="0.2">
      <c r="A1825" s="510">
        <f>IF(B1825="","",COUNT('Diário 1º PA'!$A$4:$A$2635)+ROW()-3)</f>
        <v>3558</v>
      </c>
      <c r="B1825" s="455">
        <v>44719</v>
      </c>
      <c r="C1825" s="466">
        <v>44682</v>
      </c>
      <c r="D1825" s="415" t="s">
        <v>468</v>
      </c>
      <c r="E1825" s="415" t="s">
        <v>468</v>
      </c>
      <c r="F1825" s="425">
        <v>840</v>
      </c>
      <c r="G1825" s="427" t="s">
        <v>4187</v>
      </c>
      <c r="H1825" s="419" t="s">
        <v>468</v>
      </c>
      <c r="I1825" s="427" t="s">
        <v>5251</v>
      </c>
      <c r="J1825" s="415" t="s">
        <v>4188</v>
      </c>
      <c r="K1825" s="415" t="s">
        <v>830</v>
      </c>
      <c r="L1825" s="415" t="s">
        <v>839</v>
      </c>
      <c r="M1825" s="415">
        <v>1813</v>
      </c>
      <c r="N1825" s="414">
        <v>44718</v>
      </c>
      <c r="O1825" s="414" t="s">
        <v>407</v>
      </c>
      <c r="P1825" s="603">
        <f t="shared" ref="P1825:P1840" si="276">IF(B1825=0,0,IF(YEAR(B1825)=$Q$1,MONTH(B1825)-$P$1+1,(YEAR(B1825)-$Q$1)*12-$P$1+1+MONTH(B1825)))</f>
        <v>6</v>
      </c>
      <c r="Q1825" s="603">
        <f t="shared" si="274"/>
        <v>5</v>
      </c>
      <c r="R1825" s="604" t="str">
        <f t="shared" ref="R1825:R1840" si="277">SUBSTITUTE(D1825," ","_")</f>
        <v>Gastos_custeados_por_captação</v>
      </c>
      <c r="S1825" s="605" t="s">
        <v>998</v>
      </c>
      <c r="T1825" s="605">
        <v>3664</v>
      </c>
    </row>
    <row r="1826" spans="1:21" ht="72" x14ac:dyDescent="0.2">
      <c r="A1826" s="510">
        <f>IF(B1826="","",COUNT('Diário 1º PA'!$A$4:$A$2635)+ROW()-3)</f>
        <v>3559</v>
      </c>
      <c r="B1826" s="455">
        <v>44719</v>
      </c>
      <c r="C1826" s="466">
        <v>44713</v>
      </c>
      <c r="D1826" s="415" t="s">
        <v>468</v>
      </c>
      <c r="E1826" s="415" t="s">
        <v>468</v>
      </c>
      <c r="F1826" s="425">
        <v>108</v>
      </c>
      <c r="G1826" s="427" t="s">
        <v>4491</v>
      </c>
      <c r="H1826" s="419" t="s">
        <v>468</v>
      </c>
      <c r="I1826" s="427" t="s">
        <v>5245</v>
      </c>
      <c r="J1826" s="415" t="s">
        <v>2600</v>
      </c>
      <c r="K1826" s="415" t="s">
        <v>830</v>
      </c>
      <c r="L1826" s="415" t="s">
        <v>807</v>
      </c>
      <c r="M1826" s="415">
        <v>160</v>
      </c>
      <c r="N1826" s="414">
        <v>44714</v>
      </c>
      <c r="O1826" s="414" t="s">
        <v>407</v>
      </c>
      <c r="P1826" s="603">
        <f t="shared" si="276"/>
        <v>6</v>
      </c>
      <c r="Q1826" s="603">
        <f t="shared" si="274"/>
        <v>6</v>
      </c>
      <c r="R1826" s="604" t="str">
        <f t="shared" si="277"/>
        <v>Gastos_custeados_por_captação</v>
      </c>
      <c r="S1826" s="605" t="s">
        <v>998</v>
      </c>
      <c r="T1826" s="605">
        <v>3852</v>
      </c>
    </row>
    <row r="1827" spans="1:21" ht="99.95" customHeight="1" x14ac:dyDescent="0.2">
      <c r="A1827" s="510">
        <f>IF(B1827="","",COUNT('Diário 1º PA'!$A$4:$A$2635)+ROW()-3)</f>
        <v>3560</v>
      </c>
      <c r="B1827" s="455">
        <v>44719</v>
      </c>
      <c r="C1827" s="466">
        <v>44682</v>
      </c>
      <c r="D1827" s="415" t="s">
        <v>468</v>
      </c>
      <c r="E1827" s="415" t="s">
        <v>468</v>
      </c>
      <c r="F1827" s="425">
        <v>29106</v>
      </c>
      <c r="G1827" s="427" t="s">
        <v>736</v>
      </c>
      <c r="H1827" s="419" t="s">
        <v>468</v>
      </c>
      <c r="I1827" s="427" t="s">
        <v>2141</v>
      </c>
      <c r="J1827" s="415" t="s">
        <v>1072</v>
      </c>
      <c r="K1827" s="415" t="s">
        <v>830</v>
      </c>
      <c r="L1827" s="415" t="s">
        <v>807</v>
      </c>
      <c r="M1827" s="415">
        <v>206</v>
      </c>
      <c r="N1827" s="414">
        <v>44716</v>
      </c>
      <c r="O1827" s="414" t="s">
        <v>407</v>
      </c>
      <c r="P1827" s="603">
        <f t="shared" si="276"/>
        <v>6</v>
      </c>
      <c r="Q1827" s="603">
        <f t="shared" si="274"/>
        <v>5</v>
      </c>
      <c r="R1827" s="604" t="str">
        <f t="shared" si="277"/>
        <v>Gastos_custeados_por_captação</v>
      </c>
      <c r="S1827" s="605" t="s">
        <v>1000</v>
      </c>
      <c r="T1827" s="605">
        <v>2815</v>
      </c>
    </row>
    <row r="1828" spans="1:21" ht="99.95" customHeight="1" x14ac:dyDescent="0.2">
      <c r="A1828" s="510">
        <f>IF(B1828="","",COUNT('Diário 1º PA'!$A$4:$A$2635)+ROW()-3)</f>
        <v>3561</v>
      </c>
      <c r="B1828" s="455">
        <v>44719</v>
      </c>
      <c r="C1828" s="466">
        <v>44652</v>
      </c>
      <c r="D1828" s="415" t="s">
        <v>468</v>
      </c>
      <c r="E1828" s="415" t="s">
        <v>468</v>
      </c>
      <c r="F1828" s="425">
        <v>3000</v>
      </c>
      <c r="G1828" s="427" t="s">
        <v>3880</v>
      </c>
      <c r="H1828" s="419" t="s">
        <v>468</v>
      </c>
      <c r="I1828" s="427" t="s">
        <v>5255</v>
      </c>
      <c r="J1828" s="415" t="s">
        <v>4063</v>
      </c>
      <c r="K1828" s="415" t="s">
        <v>830</v>
      </c>
      <c r="L1828" s="415" t="s">
        <v>807</v>
      </c>
      <c r="M1828" s="415">
        <v>1</v>
      </c>
      <c r="N1828" s="414">
        <v>44715</v>
      </c>
      <c r="O1828" s="414" t="s">
        <v>407</v>
      </c>
      <c r="P1828" s="603">
        <f t="shared" si="276"/>
        <v>6</v>
      </c>
      <c r="Q1828" s="603">
        <f t="shared" si="274"/>
        <v>4</v>
      </c>
      <c r="R1828" s="604" t="str">
        <f t="shared" si="277"/>
        <v>Gastos_custeados_por_captação</v>
      </c>
      <c r="S1828" s="605" t="s">
        <v>998</v>
      </c>
      <c r="T1828" s="605">
        <v>3631</v>
      </c>
    </row>
    <row r="1829" spans="1:21" ht="99.95" customHeight="1" x14ac:dyDescent="0.2">
      <c r="A1829" s="510">
        <f>IF(B1829="","",COUNT('Diário 1º PA'!$A$4:$A$2635)+ROW()-3)</f>
        <v>3562</v>
      </c>
      <c r="B1829" s="455">
        <v>44719</v>
      </c>
      <c r="C1829" s="466">
        <v>44682</v>
      </c>
      <c r="D1829" s="415" t="s">
        <v>468</v>
      </c>
      <c r="E1829" s="415" t="s">
        <v>468</v>
      </c>
      <c r="F1829" s="425">
        <v>510</v>
      </c>
      <c r="G1829" s="427" t="s">
        <v>3829</v>
      </c>
      <c r="H1829" s="419" t="s">
        <v>468</v>
      </c>
      <c r="I1829" s="427" t="s">
        <v>5222</v>
      </c>
      <c r="J1829" s="415" t="s">
        <v>1042</v>
      </c>
      <c r="K1829" s="415" t="s">
        <v>830</v>
      </c>
      <c r="L1829" s="415" t="s">
        <v>807</v>
      </c>
      <c r="M1829" s="415">
        <v>8037</v>
      </c>
      <c r="N1829" s="414">
        <v>44692</v>
      </c>
      <c r="O1829" s="414" t="s">
        <v>407</v>
      </c>
      <c r="P1829" s="603">
        <f t="shared" si="276"/>
        <v>6</v>
      </c>
      <c r="Q1829" s="603">
        <f t="shared" si="274"/>
        <v>5</v>
      </c>
      <c r="R1829" s="604" t="str">
        <f t="shared" si="277"/>
        <v>Gastos_custeados_por_captação</v>
      </c>
      <c r="S1829" s="605" t="s">
        <v>999</v>
      </c>
      <c r="T1829" s="605">
        <v>3604</v>
      </c>
    </row>
    <row r="1830" spans="1:21" s="88" customFormat="1" ht="99.95" customHeight="1" x14ac:dyDescent="0.2">
      <c r="A1830" s="510">
        <f>IF(B1830="","",COUNT('Diário 1º PA'!$A$4:$A$2635)+ROW()-3)</f>
        <v>3563</v>
      </c>
      <c r="B1830" s="455">
        <v>44719</v>
      </c>
      <c r="C1830" s="466">
        <v>44713</v>
      </c>
      <c r="D1830" s="415" t="s">
        <v>468</v>
      </c>
      <c r="E1830" s="415" t="s">
        <v>468</v>
      </c>
      <c r="F1830" s="425">
        <v>100</v>
      </c>
      <c r="G1830" s="427" t="s">
        <v>4553</v>
      </c>
      <c r="H1830" s="419" t="s">
        <v>468</v>
      </c>
      <c r="I1830" s="427" t="s">
        <v>5415</v>
      </c>
      <c r="J1830" s="415" t="s">
        <v>4554</v>
      </c>
      <c r="K1830" s="415" t="s">
        <v>830</v>
      </c>
      <c r="L1830" s="415" t="s">
        <v>807</v>
      </c>
      <c r="M1830" s="415">
        <v>137213</v>
      </c>
      <c r="N1830" s="414">
        <v>44719</v>
      </c>
      <c r="O1830" s="414" t="s">
        <v>3762</v>
      </c>
      <c r="P1830" s="603">
        <f t="shared" si="276"/>
        <v>6</v>
      </c>
      <c r="Q1830" s="603">
        <f t="shared" si="274"/>
        <v>6</v>
      </c>
      <c r="R1830" s="604" t="str">
        <f t="shared" si="277"/>
        <v>Gastos_custeados_por_captação</v>
      </c>
      <c r="S1830" s="605" t="s">
        <v>999</v>
      </c>
      <c r="T1830" s="605">
        <v>3855</v>
      </c>
    </row>
    <row r="1831" spans="1:21" s="88" customFormat="1" ht="99.95" customHeight="1" x14ac:dyDescent="0.2">
      <c r="A1831" s="510">
        <f>IF(B1831="","",COUNT('Diário 1º PA'!$A$4:$A$2635)+ROW()-3)</f>
        <v>3564</v>
      </c>
      <c r="B1831" s="455">
        <v>44719</v>
      </c>
      <c r="C1831" s="466">
        <v>44682</v>
      </c>
      <c r="D1831" s="415" t="s">
        <v>468</v>
      </c>
      <c r="E1831" s="415" t="s">
        <v>468</v>
      </c>
      <c r="F1831" s="425">
        <v>2153.25</v>
      </c>
      <c r="G1831" s="427" t="s">
        <v>4018</v>
      </c>
      <c r="H1831" s="419" t="s">
        <v>468</v>
      </c>
      <c r="I1831" s="427" t="s">
        <v>3690</v>
      </c>
      <c r="J1831" s="415" t="s">
        <v>1989</v>
      </c>
      <c r="K1831" s="415" t="s">
        <v>830</v>
      </c>
      <c r="L1831" s="415" t="s">
        <v>839</v>
      </c>
      <c r="M1831" s="415">
        <v>1804</v>
      </c>
      <c r="N1831" s="414">
        <v>44715</v>
      </c>
      <c r="O1831" s="414" t="s">
        <v>3762</v>
      </c>
      <c r="P1831" s="603">
        <f t="shared" si="276"/>
        <v>6</v>
      </c>
      <c r="Q1831" s="603">
        <f t="shared" si="274"/>
        <v>5</v>
      </c>
      <c r="R1831" s="604" t="str">
        <f t="shared" si="277"/>
        <v>Gastos_custeados_por_captação</v>
      </c>
      <c r="S1831" s="605" t="s">
        <v>998</v>
      </c>
      <c r="T1831" s="605">
        <v>3647</v>
      </c>
    </row>
    <row r="1832" spans="1:21" s="88" customFormat="1" ht="99.95" customHeight="1" x14ac:dyDescent="0.2">
      <c r="A1832" s="510">
        <f>IF(B1832="","",COUNT('Diário 1º PA'!$A$4:$A$2635)+ROW()-3)</f>
        <v>3565</v>
      </c>
      <c r="B1832" s="455">
        <v>44719</v>
      </c>
      <c r="C1832" s="466">
        <v>44652</v>
      </c>
      <c r="D1832" s="415" t="s">
        <v>468</v>
      </c>
      <c r="E1832" s="415" t="s">
        <v>468</v>
      </c>
      <c r="F1832" s="425">
        <v>2153.25</v>
      </c>
      <c r="G1832" s="427" t="s">
        <v>4018</v>
      </c>
      <c r="H1832" s="419" t="s">
        <v>468</v>
      </c>
      <c r="I1832" s="427" t="s">
        <v>3587</v>
      </c>
      <c r="J1832" s="415" t="s">
        <v>1991</v>
      </c>
      <c r="K1832" s="415" t="s">
        <v>830</v>
      </c>
      <c r="L1832" s="415" t="s">
        <v>839</v>
      </c>
      <c r="M1832" s="415">
        <v>1805</v>
      </c>
      <c r="N1832" s="414">
        <v>44715</v>
      </c>
      <c r="O1832" s="414" t="s">
        <v>3762</v>
      </c>
      <c r="P1832" s="603">
        <f t="shared" si="276"/>
        <v>6</v>
      </c>
      <c r="Q1832" s="603">
        <f t="shared" si="274"/>
        <v>4</v>
      </c>
      <c r="R1832" s="604" t="str">
        <f t="shared" si="277"/>
        <v>Gastos_custeados_por_captação</v>
      </c>
      <c r="S1832" s="605" t="s">
        <v>998</v>
      </c>
      <c r="T1832" s="605">
        <v>3643</v>
      </c>
    </row>
    <row r="1833" spans="1:21" s="88" customFormat="1" ht="99.95" customHeight="1" x14ac:dyDescent="0.2">
      <c r="A1833" s="510">
        <f>IF(B1833="","",COUNT('Diário 1º PA'!$A$4:$A$2635)+ROW()-3)</f>
        <v>3566</v>
      </c>
      <c r="B1833" s="455">
        <v>44719</v>
      </c>
      <c r="C1833" s="466">
        <v>44652</v>
      </c>
      <c r="D1833" s="415" t="s">
        <v>468</v>
      </c>
      <c r="E1833" s="415" t="s">
        <v>468</v>
      </c>
      <c r="F1833" s="425">
        <v>2462.5500000000002</v>
      </c>
      <c r="G1833" s="427" t="s">
        <v>698</v>
      </c>
      <c r="H1833" s="415" t="s">
        <v>468</v>
      </c>
      <c r="I1833" s="427" t="s">
        <v>4808</v>
      </c>
      <c r="J1833" s="415" t="s">
        <v>1129</v>
      </c>
      <c r="K1833" s="415" t="s">
        <v>830</v>
      </c>
      <c r="L1833" s="415" t="s">
        <v>839</v>
      </c>
      <c r="M1833" s="415">
        <v>1764</v>
      </c>
      <c r="N1833" s="414">
        <v>44694</v>
      </c>
      <c r="O1833" s="414" t="s">
        <v>404</v>
      </c>
      <c r="P1833" s="603">
        <f t="shared" si="276"/>
        <v>6</v>
      </c>
      <c r="Q1833" s="603">
        <f t="shared" si="274"/>
        <v>4</v>
      </c>
      <c r="R1833" s="604" t="str">
        <f t="shared" si="277"/>
        <v>Gastos_custeados_por_captação</v>
      </c>
      <c r="S1833" s="605" t="s">
        <v>310</v>
      </c>
      <c r="T1833" s="605" t="s">
        <v>310</v>
      </c>
      <c r="U1833" s="627" t="s">
        <v>5589</v>
      </c>
    </row>
    <row r="1834" spans="1:21" s="88" customFormat="1" ht="99.95" customHeight="1" x14ac:dyDescent="0.2">
      <c r="A1834" s="510">
        <f>IF(B1834="","",COUNT('Diário 1º PA'!$A$4:$A$2635)+ROW()-3)</f>
        <v>3567</v>
      </c>
      <c r="B1834" s="455">
        <v>44719</v>
      </c>
      <c r="C1834" s="466">
        <v>44652</v>
      </c>
      <c r="D1834" s="415" t="s">
        <v>468</v>
      </c>
      <c r="E1834" s="415" t="s">
        <v>468</v>
      </c>
      <c r="F1834" s="425">
        <v>4806.5</v>
      </c>
      <c r="G1834" s="427" t="s">
        <v>3303</v>
      </c>
      <c r="H1834" s="419" t="s">
        <v>468</v>
      </c>
      <c r="I1834" s="427" t="s">
        <v>1464</v>
      </c>
      <c r="J1834" s="415" t="s">
        <v>1010</v>
      </c>
      <c r="K1834" s="415" t="s">
        <v>830</v>
      </c>
      <c r="L1834" s="415" t="s">
        <v>807</v>
      </c>
      <c r="M1834" s="415" t="s">
        <v>5461</v>
      </c>
      <c r="N1834" s="414">
        <v>44718</v>
      </c>
      <c r="O1834" s="414" t="s">
        <v>404</v>
      </c>
      <c r="P1834" s="603">
        <f t="shared" si="276"/>
        <v>6</v>
      </c>
      <c r="Q1834" s="603">
        <f t="shared" si="274"/>
        <v>4</v>
      </c>
      <c r="R1834" s="604" t="str">
        <f t="shared" si="277"/>
        <v>Gastos_custeados_por_captação</v>
      </c>
      <c r="S1834" s="605" t="s">
        <v>998</v>
      </c>
      <c r="T1834" s="605">
        <v>3308</v>
      </c>
    </row>
    <row r="1835" spans="1:21" s="88" customFormat="1" ht="99.95" customHeight="1" x14ac:dyDescent="0.2">
      <c r="A1835" s="510">
        <f>IF(B1835="","",COUNT('Diário 1º PA'!$A$4:$A$2635)+ROW()-3)</f>
        <v>3568</v>
      </c>
      <c r="B1835" s="455">
        <v>44719</v>
      </c>
      <c r="C1835" s="466">
        <v>44652</v>
      </c>
      <c r="D1835" s="415" t="s">
        <v>468</v>
      </c>
      <c r="E1835" s="415" t="s">
        <v>468</v>
      </c>
      <c r="F1835" s="425">
        <v>2075.92</v>
      </c>
      <c r="G1835" s="427" t="s">
        <v>694</v>
      </c>
      <c r="H1835" s="419" t="s">
        <v>468</v>
      </c>
      <c r="I1835" s="427" t="s">
        <v>2376</v>
      </c>
      <c r="J1835" s="415" t="s">
        <v>1143</v>
      </c>
      <c r="K1835" s="415" t="s">
        <v>830</v>
      </c>
      <c r="L1835" s="415" t="s">
        <v>839</v>
      </c>
      <c r="M1835" s="415">
        <v>1811</v>
      </c>
      <c r="N1835" s="414">
        <v>44718</v>
      </c>
      <c r="O1835" s="414" t="s">
        <v>405</v>
      </c>
      <c r="P1835" s="603">
        <f t="shared" si="276"/>
        <v>6</v>
      </c>
      <c r="Q1835" s="603">
        <f t="shared" si="274"/>
        <v>4</v>
      </c>
      <c r="R1835" s="604" t="str">
        <f t="shared" si="277"/>
        <v>Gastos_custeados_por_captação</v>
      </c>
      <c r="S1835" s="605" t="s">
        <v>998</v>
      </c>
      <c r="T1835" s="605">
        <v>2781</v>
      </c>
    </row>
    <row r="1836" spans="1:21" s="88" customFormat="1" ht="99.95" customHeight="1" x14ac:dyDescent="0.2">
      <c r="A1836" s="510">
        <f>IF(B1836="","",COUNT('Diário 1º PA'!$A$4:$A$2635)+ROW()-3)</f>
        <v>3569</v>
      </c>
      <c r="B1836" s="455">
        <v>44719</v>
      </c>
      <c r="C1836" s="431">
        <v>44682</v>
      </c>
      <c r="D1836" s="415" t="s">
        <v>468</v>
      </c>
      <c r="E1836" s="415" t="s">
        <v>468</v>
      </c>
      <c r="F1836" s="425">
        <v>2939.7</v>
      </c>
      <c r="G1836" s="427" t="s">
        <v>1666</v>
      </c>
      <c r="H1836" s="419" t="s">
        <v>468</v>
      </c>
      <c r="I1836" s="427" t="s">
        <v>2512</v>
      </c>
      <c r="J1836" s="415" t="s">
        <v>1026</v>
      </c>
      <c r="K1836" s="415" t="s">
        <v>830</v>
      </c>
      <c r="L1836" s="415" t="s">
        <v>32</v>
      </c>
      <c r="M1836" s="623">
        <v>20225</v>
      </c>
      <c r="N1836" s="649">
        <v>44718</v>
      </c>
      <c r="O1836" s="414" t="s">
        <v>402</v>
      </c>
      <c r="P1836" s="603">
        <f t="shared" si="276"/>
        <v>6</v>
      </c>
      <c r="Q1836" s="603">
        <f t="shared" si="274"/>
        <v>5</v>
      </c>
      <c r="R1836" s="604" t="str">
        <f t="shared" si="277"/>
        <v>Gastos_custeados_por_captação</v>
      </c>
      <c r="S1836" s="605" t="s">
        <v>998</v>
      </c>
      <c r="T1836" s="605">
        <v>2881</v>
      </c>
    </row>
    <row r="1837" spans="1:21" s="88" customFormat="1" ht="99.95" customHeight="1" x14ac:dyDescent="0.2">
      <c r="A1837" s="510">
        <f>IF(B1837="","",COUNT('Diário 1º PA'!$A$4:$A$2635)+ROW()-3)</f>
        <v>3570</v>
      </c>
      <c r="B1837" s="455">
        <v>44719</v>
      </c>
      <c r="C1837" s="466">
        <v>44682</v>
      </c>
      <c r="D1837" s="415" t="s">
        <v>468</v>
      </c>
      <c r="E1837" s="415" t="s">
        <v>468</v>
      </c>
      <c r="F1837" s="425">
        <v>2939.7</v>
      </c>
      <c r="G1837" s="427" t="s">
        <v>713</v>
      </c>
      <c r="H1837" s="419" t="s">
        <v>468</v>
      </c>
      <c r="I1837" s="427" t="s">
        <v>4414</v>
      </c>
      <c r="J1837" s="415" t="s">
        <v>1137</v>
      </c>
      <c r="K1837" s="415" t="s">
        <v>830</v>
      </c>
      <c r="L1837" s="415" t="s">
        <v>32</v>
      </c>
      <c r="M1837" s="415">
        <v>202214</v>
      </c>
      <c r="N1837" s="414">
        <v>44715</v>
      </c>
      <c r="O1837" s="414" t="s">
        <v>402</v>
      </c>
      <c r="P1837" s="603">
        <f t="shared" si="276"/>
        <v>6</v>
      </c>
      <c r="Q1837" s="603">
        <f t="shared" si="274"/>
        <v>5</v>
      </c>
      <c r="R1837" s="604" t="str">
        <f t="shared" si="277"/>
        <v>Gastos_custeados_por_captação</v>
      </c>
      <c r="S1837" s="605" t="s">
        <v>1000</v>
      </c>
      <c r="T1837" s="605">
        <v>3760</v>
      </c>
    </row>
    <row r="1838" spans="1:21" s="88" customFormat="1" ht="99.95" customHeight="1" x14ac:dyDescent="0.2">
      <c r="A1838" s="510">
        <f>IF(B1838="","",COUNT('Diário 1º PA'!$A$4:$A$2635)+ROW()-3)</f>
        <v>3571</v>
      </c>
      <c r="B1838" s="455">
        <v>44719</v>
      </c>
      <c r="C1838" s="466">
        <v>44682</v>
      </c>
      <c r="D1838" s="415" t="s">
        <v>468</v>
      </c>
      <c r="E1838" s="415" t="s">
        <v>468</v>
      </c>
      <c r="F1838" s="425">
        <v>2939.7</v>
      </c>
      <c r="G1838" s="427" t="s">
        <v>713</v>
      </c>
      <c r="H1838" s="419" t="s">
        <v>468</v>
      </c>
      <c r="I1838" s="427" t="s">
        <v>4414</v>
      </c>
      <c r="J1838" s="415" t="s">
        <v>1137</v>
      </c>
      <c r="K1838" s="415" t="s">
        <v>830</v>
      </c>
      <c r="L1838" s="415" t="s">
        <v>32</v>
      </c>
      <c r="M1838" s="415">
        <v>202215</v>
      </c>
      <c r="N1838" s="414">
        <v>44715</v>
      </c>
      <c r="O1838" s="414" t="s">
        <v>402</v>
      </c>
      <c r="P1838" s="603">
        <f t="shared" si="276"/>
        <v>6</v>
      </c>
      <c r="Q1838" s="603">
        <f t="shared" si="274"/>
        <v>5</v>
      </c>
      <c r="R1838" s="604" t="str">
        <f t="shared" si="277"/>
        <v>Gastos_custeados_por_captação</v>
      </c>
      <c r="S1838" s="605" t="s">
        <v>1000</v>
      </c>
      <c r="T1838" s="605">
        <v>3769</v>
      </c>
    </row>
    <row r="1839" spans="1:21" s="88" customFormat="1" ht="99.95" customHeight="1" x14ac:dyDescent="0.2">
      <c r="A1839" s="510">
        <f>IF(B1839="","",COUNT('Diário 1º PA'!$A$4:$A$2635)+ROW()-3)</f>
        <v>3572</v>
      </c>
      <c r="B1839" s="455">
        <v>44719</v>
      </c>
      <c r="C1839" s="466">
        <v>44682</v>
      </c>
      <c r="D1839" s="415" t="s">
        <v>468</v>
      </c>
      <c r="E1839" s="415" t="s">
        <v>468</v>
      </c>
      <c r="F1839" s="425">
        <v>1500</v>
      </c>
      <c r="G1839" s="427" t="s">
        <v>2947</v>
      </c>
      <c r="H1839" s="419" t="s">
        <v>468</v>
      </c>
      <c r="I1839" s="427" t="s">
        <v>2948</v>
      </c>
      <c r="J1839" s="415" t="s">
        <v>2414</v>
      </c>
      <c r="K1839" s="415" t="s">
        <v>830</v>
      </c>
      <c r="L1839" s="415" t="s">
        <v>32</v>
      </c>
      <c r="M1839" s="415">
        <v>60635</v>
      </c>
      <c r="N1839" s="414">
        <v>44721</v>
      </c>
      <c r="O1839" s="414" t="s">
        <v>408</v>
      </c>
      <c r="P1839" s="603">
        <f t="shared" si="276"/>
        <v>6</v>
      </c>
      <c r="Q1839" s="603">
        <f t="shared" si="274"/>
        <v>5</v>
      </c>
      <c r="R1839" s="604" t="str">
        <f t="shared" si="277"/>
        <v>Gastos_custeados_por_captação</v>
      </c>
      <c r="S1839" s="605" t="s">
        <v>1000</v>
      </c>
      <c r="T1839" s="605">
        <v>2456</v>
      </c>
    </row>
    <row r="1840" spans="1:21" s="88" customFormat="1" ht="99.95" customHeight="1" x14ac:dyDescent="0.2">
      <c r="A1840" s="510">
        <f>IF(B1840="","",COUNT('Diário 1º PA'!$A$4:$A$2635)+ROW()-3)</f>
        <v>3573</v>
      </c>
      <c r="B1840" s="414">
        <v>44720</v>
      </c>
      <c r="C1840" s="431">
        <v>44682</v>
      </c>
      <c r="D1840" s="415" t="s">
        <v>271</v>
      </c>
      <c r="E1840" s="415" t="s">
        <v>297</v>
      </c>
      <c r="F1840" s="425">
        <v>-14.47</v>
      </c>
      <c r="G1840" s="427" t="s">
        <v>3907</v>
      </c>
      <c r="H1840" s="415" t="s">
        <v>309</v>
      </c>
      <c r="I1840" s="427" t="s">
        <v>795</v>
      </c>
      <c r="J1840" s="415" t="s">
        <v>796</v>
      </c>
      <c r="K1840" s="415" t="s">
        <v>797</v>
      </c>
      <c r="L1840" s="415" t="s">
        <v>798</v>
      </c>
      <c r="M1840" s="415" t="s">
        <v>310</v>
      </c>
      <c r="N1840" s="414">
        <v>44720</v>
      </c>
      <c r="O1840" s="414" t="s">
        <v>400</v>
      </c>
      <c r="P1840" s="603">
        <f t="shared" si="276"/>
        <v>6</v>
      </c>
      <c r="Q1840" s="603">
        <f t="shared" si="274"/>
        <v>5</v>
      </c>
      <c r="R1840" s="604" t="str">
        <f t="shared" si="277"/>
        <v>Gastos_Gerais</v>
      </c>
      <c r="S1840" s="605" t="s">
        <v>310</v>
      </c>
      <c r="T1840" s="605" t="s">
        <v>310</v>
      </c>
    </row>
    <row r="1841" spans="1:20" s="88" customFormat="1" ht="99.95" customHeight="1" x14ac:dyDescent="0.2">
      <c r="A1841" s="510">
        <f>IF(B1841="","",COUNT('Diário 1º PA'!$A$4:$A$2635)+ROW()-3)</f>
        <v>3574</v>
      </c>
      <c r="B1841" s="414">
        <v>44720</v>
      </c>
      <c r="C1841" s="431">
        <v>44682</v>
      </c>
      <c r="D1841" s="415" t="s">
        <v>271</v>
      </c>
      <c r="E1841" s="415" t="s">
        <v>297</v>
      </c>
      <c r="F1841" s="425">
        <v>-14.47</v>
      </c>
      <c r="G1841" s="427" t="s">
        <v>3909</v>
      </c>
      <c r="H1841" s="415" t="s">
        <v>309</v>
      </c>
      <c r="I1841" s="427" t="s">
        <v>795</v>
      </c>
      <c r="J1841" s="415" t="s">
        <v>796</v>
      </c>
      <c r="K1841" s="415" t="s">
        <v>797</v>
      </c>
      <c r="L1841" s="415" t="s">
        <v>798</v>
      </c>
      <c r="M1841" s="415" t="s">
        <v>310</v>
      </c>
      <c r="N1841" s="414">
        <v>44720</v>
      </c>
      <c r="O1841" s="414" t="s">
        <v>400</v>
      </c>
      <c r="P1841" s="603">
        <f t="shared" si="273"/>
        <v>6</v>
      </c>
      <c r="Q1841" s="603">
        <f t="shared" si="274"/>
        <v>5</v>
      </c>
      <c r="R1841" s="604" t="str">
        <f t="shared" si="275"/>
        <v>Gastos_Gerais</v>
      </c>
      <c r="S1841" s="605" t="s">
        <v>310</v>
      </c>
      <c r="T1841" s="605" t="s">
        <v>310</v>
      </c>
    </row>
    <row r="1842" spans="1:20" s="88" customFormat="1" ht="99.95" customHeight="1" x14ac:dyDescent="0.2">
      <c r="A1842" s="510">
        <f>IF(B1842="","",COUNT('Diário 1º PA'!$A$4:$A$2635)+ROW()-3)</f>
        <v>3575</v>
      </c>
      <c r="B1842" s="414">
        <v>44720</v>
      </c>
      <c r="C1842" s="431">
        <v>44682</v>
      </c>
      <c r="D1842" s="415" t="s">
        <v>271</v>
      </c>
      <c r="E1842" s="415" t="s">
        <v>297</v>
      </c>
      <c r="F1842" s="425">
        <v>-274.93</v>
      </c>
      <c r="G1842" s="427" t="s">
        <v>3426</v>
      </c>
      <c r="H1842" s="415" t="s">
        <v>309</v>
      </c>
      <c r="I1842" s="427" t="s">
        <v>795</v>
      </c>
      <c r="J1842" s="415" t="s">
        <v>796</v>
      </c>
      <c r="K1842" s="415" t="s">
        <v>797</v>
      </c>
      <c r="L1842" s="415" t="s">
        <v>798</v>
      </c>
      <c r="M1842" s="415" t="s">
        <v>310</v>
      </c>
      <c r="N1842" s="414">
        <v>44720</v>
      </c>
      <c r="O1842" s="414" t="s">
        <v>400</v>
      </c>
      <c r="P1842" s="603">
        <f t="shared" si="273"/>
        <v>6</v>
      </c>
      <c r="Q1842" s="603">
        <f t="shared" si="274"/>
        <v>5</v>
      </c>
      <c r="R1842" s="604" t="str">
        <f t="shared" si="275"/>
        <v>Gastos_Gerais</v>
      </c>
      <c r="S1842" s="605" t="s">
        <v>310</v>
      </c>
      <c r="T1842" s="605" t="s">
        <v>310</v>
      </c>
    </row>
    <row r="1843" spans="1:20" s="88" customFormat="1" ht="99.95" customHeight="1" x14ac:dyDescent="0.2">
      <c r="A1843" s="510">
        <f>IF(B1843="","",COUNT('Diário 1º PA'!$A$4:$A$2635)+ROW()-3)</f>
        <v>3576</v>
      </c>
      <c r="B1843" s="414">
        <v>44720</v>
      </c>
      <c r="C1843" s="431">
        <v>44682</v>
      </c>
      <c r="D1843" s="415" t="s">
        <v>271</v>
      </c>
      <c r="E1843" s="415" t="s">
        <v>453</v>
      </c>
      <c r="F1843" s="425">
        <v>605.20000000000005</v>
      </c>
      <c r="G1843" s="427" t="s">
        <v>3721</v>
      </c>
      <c r="H1843" s="419" t="s">
        <v>760</v>
      </c>
      <c r="I1843" s="427" t="s">
        <v>4609</v>
      </c>
      <c r="J1843" s="415" t="s">
        <v>3722</v>
      </c>
      <c r="K1843" s="415" t="s">
        <v>806</v>
      </c>
      <c r="L1843" s="415" t="s">
        <v>839</v>
      </c>
      <c r="M1843" s="415">
        <v>1818</v>
      </c>
      <c r="N1843" s="414">
        <v>44719</v>
      </c>
      <c r="O1843" s="414" t="s">
        <v>400</v>
      </c>
      <c r="P1843" s="603">
        <f t="shared" si="273"/>
        <v>6</v>
      </c>
      <c r="Q1843" s="603">
        <f t="shared" si="274"/>
        <v>5</v>
      </c>
      <c r="R1843" s="604" t="str">
        <f t="shared" si="275"/>
        <v>Gastos_Gerais</v>
      </c>
      <c r="S1843" s="605" t="s">
        <v>998</v>
      </c>
      <c r="T1843" s="605">
        <v>3517</v>
      </c>
    </row>
    <row r="1844" spans="1:20" s="88" customFormat="1" ht="99.95" customHeight="1" x14ac:dyDescent="0.2">
      <c r="A1844" s="510">
        <f>IF(B1844="","",COUNT('Diário 1º PA'!$A$4:$A$2635)+ROW()-3)</f>
        <v>3577</v>
      </c>
      <c r="B1844" s="414">
        <v>44720</v>
      </c>
      <c r="C1844" s="431">
        <v>44652</v>
      </c>
      <c r="D1844" s="415" t="s">
        <v>271</v>
      </c>
      <c r="E1844" s="415" t="s">
        <v>90</v>
      </c>
      <c r="F1844" s="425">
        <v>164.25</v>
      </c>
      <c r="G1844" s="427" t="s">
        <v>3756</v>
      </c>
      <c r="H1844" s="415" t="s">
        <v>309</v>
      </c>
      <c r="I1844" s="427" t="s">
        <v>764</v>
      </c>
      <c r="J1844" s="415" t="s">
        <v>310</v>
      </c>
      <c r="K1844" s="415" t="s">
        <v>1220</v>
      </c>
      <c r="L1844" s="415" t="s">
        <v>3443</v>
      </c>
      <c r="M1844" s="546">
        <v>222132174158</v>
      </c>
      <c r="N1844" s="414">
        <v>44720</v>
      </c>
      <c r="O1844" s="414" t="s">
        <v>400</v>
      </c>
      <c r="P1844" s="603">
        <f t="shared" si="273"/>
        <v>6</v>
      </c>
      <c r="Q1844" s="603">
        <f t="shared" si="274"/>
        <v>4</v>
      </c>
      <c r="R1844" s="604" t="str">
        <f t="shared" si="275"/>
        <v>Gastos_Gerais</v>
      </c>
      <c r="S1844" s="605" t="s">
        <v>310</v>
      </c>
      <c r="T1844" s="605" t="s">
        <v>310</v>
      </c>
    </row>
    <row r="1845" spans="1:20" s="88" customFormat="1" ht="99.95" customHeight="1" x14ac:dyDescent="0.2">
      <c r="A1845" s="510">
        <f>IF(B1845="","",COUNT('Diário 1º PA'!$A$4:$A$2635)+ROW()-3)</f>
        <v>3578</v>
      </c>
      <c r="B1845" s="414">
        <v>44720</v>
      </c>
      <c r="C1845" s="431">
        <v>44652</v>
      </c>
      <c r="D1845" s="415" t="s">
        <v>271</v>
      </c>
      <c r="E1845" s="415" t="s">
        <v>456</v>
      </c>
      <c r="F1845" s="425">
        <v>25</v>
      </c>
      <c r="G1845" s="427" t="s">
        <v>3803</v>
      </c>
      <c r="H1845" s="419" t="s">
        <v>761</v>
      </c>
      <c r="I1845" s="427" t="s">
        <v>764</v>
      </c>
      <c r="J1845" s="415" t="s">
        <v>310</v>
      </c>
      <c r="K1845" s="415" t="s">
        <v>1220</v>
      </c>
      <c r="L1845" s="415" t="s">
        <v>3443</v>
      </c>
      <c r="M1845" s="546">
        <v>222132175120</v>
      </c>
      <c r="N1845" s="414">
        <v>44720</v>
      </c>
      <c r="O1845" s="414" t="s">
        <v>400</v>
      </c>
      <c r="P1845" s="603">
        <f t="shared" si="273"/>
        <v>6</v>
      </c>
      <c r="Q1845" s="603">
        <f t="shared" si="274"/>
        <v>4</v>
      </c>
      <c r="R1845" s="604" t="str">
        <f t="shared" si="275"/>
        <v>Gastos_Gerais</v>
      </c>
      <c r="S1845" s="605" t="s">
        <v>310</v>
      </c>
      <c r="T1845" s="605" t="s">
        <v>310</v>
      </c>
    </row>
    <row r="1846" spans="1:20" s="88" customFormat="1" ht="99.95" customHeight="1" x14ac:dyDescent="0.2">
      <c r="A1846" s="510">
        <f>IF(B1846="","",COUNT('Diário 1º PA'!$A$4:$A$2635)+ROW()-3)</f>
        <v>3579</v>
      </c>
      <c r="B1846" s="414">
        <v>44720</v>
      </c>
      <c r="C1846" s="592">
        <v>44652</v>
      </c>
      <c r="D1846" s="415" t="s">
        <v>182</v>
      </c>
      <c r="E1846" s="415" t="s">
        <v>1</v>
      </c>
      <c r="F1846" s="425">
        <v>17.690000000000001</v>
      </c>
      <c r="G1846" s="427" t="s">
        <v>4611</v>
      </c>
      <c r="H1846" s="415" t="s">
        <v>310</v>
      </c>
      <c r="I1846" s="427" t="s">
        <v>764</v>
      </c>
      <c r="J1846" s="415" t="s">
        <v>310</v>
      </c>
      <c r="K1846" s="415" t="s">
        <v>1220</v>
      </c>
      <c r="L1846" s="415" t="s">
        <v>3443</v>
      </c>
      <c r="M1846" s="546">
        <v>222132175472</v>
      </c>
      <c r="N1846" s="414">
        <v>44720</v>
      </c>
      <c r="O1846" s="414" t="s">
        <v>400</v>
      </c>
      <c r="P1846" s="603">
        <f t="shared" si="273"/>
        <v>6</v>
      </c>
      <c r="Q1846" s="603">
        <f t="shared" si="274"/>
        <v>4</v>
      </c>
      <c r="R1846" s="604" t="str">
        <f t="shared" si="275"/>
        <v>Gastos_com_Pessoal</v>
      </c>
      <c r="S1846" s="605" t="s">
        <v>310</v>
      </c>
      <c r="T1846" s="605" t="s">
        <v>310</v>
      </c>
    </row>
    <row r="1847" spans="1:20" s="88" customFormat="1" ht="48" x14ac:dyDescent="0.2">
      <c r="A1847" s="510">
        <f>IF(B1847="","",COUNT('Diário 1º PA'!$A$4:$A$2635)+ROW()-3)</f>
        <v>3580</v>
      </c>
      <c r="B1847" s="414">
        <v>44720</v>
      </c>
      <c r="C1847" s="431">
        <v>44652</v>
      </c>
      <c r="D1847" s="415" t="s">
        <v>271</v>
      </c>
      <c r="E1847" s="415" t="s">
        <v>456</v>
      </c>
      <c r="F1847" s="425">
        <v>75</v>
      </c>
      <c r="G1847" s="427" t="s">
        <v>3919</v>
      </c>
      <c r="H1847" s="419" t="s">
        <v>760</v>
      </c>
      <c r="I1847" s="427" t="s">
        <v>764</v>
      </c>
      <c r="J1847" s="415" t="s">
        <v>310</v>
      </c>
      <c r="K1847" s="415" t="s">
        <v>1220</v>
      </c>
      <c r="L1847" s="415" t="s">
        <v>3443</v>
      </c>
      <c r="M1847" s="546">
        <v>222132175634</v>
      </c>
      <c r="N1847" s="414">
        <v>44720</v>
      </c>
      <c r="O1847" s="414" t="s">
        <v>400</v>
      </c>
      <c r="P1847" s="603">
        <f t="shared" si="273"/>
        <v>6</v>
      </c>
      <c r="Q1847" s="603">
        <f t="shared" si="274"/>
        <v>4</v>
      </c>
      <c r="R1847" s="604" t="str">
        <f t="shared" si="275"/>
        <v>Gastos_Gerais</v>
      </c>
      <c r="S1847" s="605" t="s">
        <v>310</v>
      </c>
      <c r="T1847" s="605" t="s">
        <v>310</v>
      </c>
    </row>
    <row r="1848" spans="1:20" s="88" customFormat="1" ht="48" x14ac:dyDescent="0.2">
      <c r="A1848" s="510">
        <f>IF(B1848="","",COUNT('Diário 1º PA'!$A$4:$A$2635)+ROW()-3)</f>
        <v>3581</v>
      </c>
      <c r="B1848" s="414">
        <v>44720</v>
      </c>
      <c r="C1848" s="431">
        <v>44593</v>
      </c>
      <c r="D1848" s="415" t="s">
        <v>271</v>
      </c>
      <c r="E1848" s="415" t="s">
        <v>453</v>
      </c>
      <c r="F1848" s="425">
        <v>40</v>
      </c>
      <c r="G1848" s="427" t="s">
        <v>3916</v>
      </c>
      <c r="H1848" s="419" t="s">
        <v>760</v>
      </c>
      <c r="I1848" s="427" t="s">
        <v>764</v>
      </c>
      <c r="J1848" s="415" t="s">
        <v>310</v>
      </c>
      <c r="K1848" s="415" t="s">
        <v>1220</v>
      </c>
      <c r="L1848" s="415" t="s">
        <v>3443</v>
      </c>
      <c r="M1848" s="546">
        <v>222132176282</v>
      </c>
      <c r="N1848" s="414">
        <v>44720</v>
      </c>
      <c r="O1848" s="414" t="s">
        <v>400</v>
      </c>
      <c r="P1848" s="603">
        <f t="shared" si="273"/>
        <v>6</v>
      </c>
      <c r="Q1848" s="603">
        <f t="shared" si="274"/>
        <v>2</v>
      </c>
      <c r="R1848" s="604" t="str">
        <f t="shared" si="275"/>
        <v>Gastos_Gerais</v>
      </c>
      <c r="S1848" s="605" t="s">
        <v>310</v>
      </c>
      <c r="T1848" s="605" t="s">
        <v>310</v>
      </c>
    </row>
    <row r="1849" spans="1:20" s="88" customFormat="1" ht="36" x14ac:dyDescent="0.2">
      <c r="A1849" s="510">
        <f>IF(B1849="","",COUNT('Diário 1º PA'!$A$4:$A$2635)+ROW()-3)</f>
        <v>3582</v>
      </c>
      <c r="B1849" s="414">
        <v>44720</v>
      </c>
      <c r="C1849" s="431">
        <v>44593</v>
      </c>
      <c r="D1849" s="415" t="s">
        <v>271</v>
      </c>
      <c r="E1849" s="415" t="s">
        <v>453</v>
      </c>
      <c r="F1849" s="425">
        <v>40</v>
      </c>
      <c r="G1849" s="423" t="s">
        <v>3924</v>
      </c>
      <c r="H1849" s="419" t="s">
        <v>748</v>
      </c>
      <c r="I1849" s="427" t="s">
        <v>764</v>
      </c>
      <c r="J1849" s="415" t="s">
        <v>310</v>
      </c>
      <c r="K1849" s="415" t="s">
        <v>1220</v>
      </c>
      <c r="L1849" s="415" t="s">
        <v>3443</v>
      </c>
      <c r="M1849" s="546">
        <v>222132176525</v>
      </c>
      <c r="N1849" s="414">
        <v>44720</v>
      </c>
      <c r="O1849" s="414" t="s">
        <v>400</v>
      </c>
      <c r="P1849" s="603">
        <f t="shared" si="273"/>
        <v>6</v>
      </c>
      <c r="Q1849" s="603">
        <f t="shared" si="274"/>
        <v>2</v>
      </c>
      <c r="R1849" s="604" t="str">
        <f t="shared" si="275"/>
        <v>Gastos_Gerais</v>
      </c>
      <c r="S1849" s="605" t="s">
        <v>310</v>
      </c>
      <c r="T1849" s="605" t="s">
        <v>310</v>
      </c>
    </row>
    <row r="1850" spans="1:20" s="88" customFormat="1" ht="60" x14ac:dyDescent="0.2">
      <c r="A1850" s="510">
        <f>IF(B1850="","",COUNT('Diário 1º PA'!$A$4:$A$2635)+ROW()-3)</f>
        <v>3583</v>
      </c>
      <c r="B1850" s="414">
        <v>44720</v>
      </c>
      <c r="C1850" s="431">
        <v>44593</v>
      </c>
      <c r="D1850" s="415" t="s">
        <v>271</v>
      </c>
      <c r="E1850" s="415" t="s">
        <v>456</v>
      </c>
      <c r="F1850" s="425">
        <v>327</v>
      </c>
      <c r="G1850" s="427" t="s">
        <v>3806</v>
      </c>
      <c r="H1850" s="415" t="s">
        <v>762</v>
      </c>
      <c r="I1850" s="427" t="s">
        <v>764</v>
      </c>
      <c r="J1850" s="415" t="s">
        <v>310</v>
      </c>
      <c r="K1850" s="415" t="s">
        <v>1220</v>
      </c>
      <c r="L1850" s="415" t="s">
        <v>3443</v>
      </c>
      <c r="M1850" s="546">
        <v>222132176959</v>
      </c>
      <c r="N1850" s="414">
        <v>44720</v>
      </c>
      <c r="O1850" s="414" t="s">
        <v>400</v>
      </c>
      <c r="P1850" s="603">
        <f t="shared" si="273"/>
        <v>6</v>
      </c>
      <c r="Q1850" s="603">
        <f t="shared" si="274"/>
        <v>2</v>
      </c>
      <c r="R1850" s="604" t="str">
        <f t="shared" si="275"/>
        <v>Gastos_Gerais</v>
      </c>
      <c r="S1850" s="605" t="s">
        <v>310</v>
      </c>
      <c r="T1850" s="605" t="s">
        <v>310</v>
      </c>
    </row>
    <row r="1851" spans="1:20" s="88" customFormat="1" ht="36" x14ac:dyDescent="0.2">
      <c r="A1851" s="510">
        <f>IF(B1851="","",COUNT('Diário 1º PA'!$A$4:$A$2635)+ROW()-3)</f>
        <v>3584</v>
      </c>
      <c r="B1851" s="414">
        <v>44720</v>
      </c>
      <c r="C1851" s="431">
        <v>44652</v>
      </c>
      <c r="D1851" s="415" t="s">
        <v>271</v>
      </c>
      <c r="E1851" s="415" t="s">
        <v>462</v>
      </c>
      <c r="F1851" s="425">
        <v>45</v>
      </c>
      <c r="G1851" s="427" t="s">
        <v>3912</v>
      </c>
      <c r="H1851" s="415" t="s">
        <v>752</v>
      </c>
      <c r="I1851" s="427" t="s">
        <v>764</v>
      </c>
      <c r="J1851" s="415" t="s">
        <v>310</v>
      </c>
      <c r="K1851" s="415" t="s">
        <v>1220</v>
      </c>
      <c r="L1851" s="415" t="s">
        <v>3443</v>
      </c>
      <c r="M1851" s="546">
        <v>222132177173</v>
      </c>
      <c r="N1851" s="414">
        <v>44720</v>
      </c>
      <c r="O1851" s="414" t="s">
        <v>400</v>
      </c>
      <c r="P1851" s="603">
        <f t="shared" si="273"/>
        <v>6</v>
      </c>
      <c r="Q1851" s="603">
        <f t="shared" si="274"/>
        <v>4</v>
      </c>
      <c r="R1851" s="604" t="str">
        <f t="shared" si="275"/>
        <v>Gastos_Gerais</v>
      </c>
      <c r="S1851" s="605" t="s">
        <v>310</v>
      </c>
      <c r="T1851" s="605" t="s">
        <v>310</v>
      </c>
    </row>
    <row r="1852" spans="1:20" s="88" customFormat="1" ht="48" x14ac:dyDescent="0.2">
      <c r="A1852" s="510">
        <f>IF(B1852="","",COUNT('Diário 1º PA'!$A$4:$A$2635)+ROW()-3)</f>
        <v>3585</v>
      </c>
      <c r="B1852" s="414">
        <v>44720</v>
      </c>
      <c r="C1852" s="431">
        <v>44621</v>
      </c>
      <c r="D1852" s="415" t="s">
        <v>271</v>
      </c>
      <c r="E1852" s="415" t="s">
        <v>456</v>
      </c>
      <c r="F1852" s="425">
        <v>40</v>
      </c>
      <c r="G1852" s="427" t="s">
        <v>4367</v>
      </c>
      <c r="H1852" s="419" t="s">
        <v>760</v>
      </c>
      <c r="I1852" s="427" t="s">
        <v>764</v>
      </c>
      <c r="J1852" s="415" t="s">
        <v>310</v>
      </c>
      <c r="K1852" s="415" t="s">
        <v>1220</v>
      </c>
      <c r="L1852" s="415" t="s">
        <v>3443</v>
      </c>
      <c r="M1852" s="546">
        <v>222132177505</v>
      </c>
      <c r="N1852" s="414">
        <v>44720</v>
      </c>
      <c r="O1852" s="414" t="s">
        <v>400</v>
      </c>
      <c r="P1852" s="603">
        <f t="shared" ref="P1852:P1869" si="278">IF(B1852=0,0,IF(YEAR(B1852)=$Q$1,MONTH(B1852)-$P$1+1,(YEAR(B1852)-$Q$1)*12-$P$1+1+MONTH(B1852)))</f>
        <v>6</v>
      </c>
      <c r="Q1852" s="603">
        <f t="shared" ref="Q1852:Q1869" si="279">IF(C1852=0,0,IF(YEAR(C1852)=$Q$1,MONTH(C1852)-$P$1+1,(YEAR(C1852)-$Q$1)*12-$P$1+1+MONTH(C1852)))</f>
        <v>3</v>
      </c>
      <c r="R1852" s="604" t="str">
        <f t="shared" ref="R1852:R1869" si="280">SUBSTITUTE(D1852," ","_")</f>
        <v>Gastos_Gerais</v>
      </c>
      <c r="S1852" s="605" t="s">
        <v>310</v>
      </c>
      <c r="T1852" s="605" t="s">
        <v>310</v>
      </c>
    </row>
    <row r="1853" spans="1:20" s="88" customFormat="1" ht="36" x14ac:dyDescent="0.2">
      <c r="A1853" s="510">
        <f>IF(B1853="","",COUNT('Diário 1º PA'!$A$4:$A$2635)+ROW()-3)</f>
        <v>3586</v>
      </c>
      <c r="B1853" s="414">
        <v>44720</v>
      </c>
      <c r="C1853" s="431">
        <v>44621</v>
      </c>
      <c r="D1853" s="415" t="s">
        <v>271</v>
      </c>
      <c r="E1853" s="415" t="s">
        <v>456</v>
      </c>
      <c r="F1853" s="425">
        <v>40</v>
      </c>
      <c r="G1853" s="427" t="s">
        <v>3930</v>
      </c>
      <c r="H1853" s="419" t="s">
        <v>748</v>
      </c>
      <c r="I1853" s="427" t="s">
        <v>764</v>
      </c>
      <c r="J1853" s="415" t="s">
        <v>310</v>
      </c>
      <c r="K1853" s="415" t="s">
        <v>1220</v>
      </c>
      <c r="L1853" s="415" t="s">
        <v>3443</v>
      </c>
      <c r="M1853" s="546" t="s">
        <v>4619</v>
      </c>
      <c r="N1853" s="414">
        <v>44720</v>
      </c>
      <c r="O1853" s="414" t="s">
        <v>400</v>
      </c>
      <c r="P1853" s="603">
        <f t="shared" si="278"/>
        <v>6</v>
      </c>
      <c r="Q1853" s="603">
        <f t="shared" si="279"/>
        <v>3</v>
      </c>
      <c r="R1853" s="604" t="str">
        <f t="shared" si="280"/>
        <v>Gastos_Gerais</v>
      </c>
      <c r="S1853" s="605" t="s">
        <v>310</v>
      </c>
      <c r="T1853" s="605" t="s">
        <v>310</v>
      </c>
    </row>
    <row r="1854" spans="1:20" s="88" customFormat="1" ht="36" x14ac:dyDescent="0.2">
      <c r="A1854" s="510">
        <f>IF(B1854="","",COUNT('Diário 1º PA'!$A$4:$A$2635)+ROW()-3)</f>
        <v>3587</v>
      </c>
      <c r="B1854" s="414">
        <v>44720</v>
      </c>
      <c r="C1854" s="431">
        <v>44621</v>
      </c>
      <c r="D1854" s="415" t="s">
        <v>271</v>
      </c>
      <c r="E1854" s="415" t="s">
        <v>456</v>
      </c>
      <c r="F1854" s="425">
        <v>40</v>
      </c>
      <c r="G1854" s="427" t="s">
        <v>3922</v>
      </c>
      <c r="H1854" s="419" t="s">
        <v>748</v>
      </c>
      <c r="I1854" s="427" t="s">
        <v>764</v>
      </c>
      <c r="J1854" s="415" t="s">
        <v>310</v>
      </c>
      <c r="K1854" s="415" t="s">
        <v>1220</v>
      </c>
      <c r="L1854" s="415" t="s">
        <v>3443</v>
      </c>
      <c r="M1854" s="546" t="s">
        <v>4618</v>
      </c>
      <c r="N1854" s="414">
        <v>44720</v>
      </c>
      <c r="O1854" s="414" t="s">
        <v>400</v>
      </c>
      <c r="P1854" s="603">
        <f t="shared" si="278"/>
        <v>6</v>
      </c>
      <c r="Q1854" s="603">
        <f t="shared" si="279"/>
        <v>3</v>
      </c>
      <c r="R1854" s="604" t="str">
        <f t="shared" si="280"/>
        <v>Gastos_Gerais</v>
      </c>
      <c r="S1854" s="605" t="s">
        <v>310</v>
      </c>
      <c r="T1854" s="605" t="s">
        <v>310</v>
      </c>
    </row>
    <row r="1855" spans="1:20" s="88" customFormat="1" ht="36" x14ac:dyDescent="0.2">
      <c r="A1855" s="510">
        <f>IF(B1855="","",COUNT('Diário 1º PA'!$A$4:$A$2635)+ROW()-3)</f>
        <v>3588</v>
      </c>
      <c r="B1855" s="414">
        <v>44720</v>
      </c>
      <c r="C1855" s="431">
        <v>44593</v>
      </c>
      <c r="D1855" s="415" t="s">
        <v>271</v>
      </c>
      <c r="E1855" s="415" t="s">
        <v>453</v>
      </c>
      <c r="F1855" s="425">
        <v>40</v>
      </c>
      <c r="G1855" s="427" t="s">
        <v>3999</v>
      </c>
      <c r="H1855" s="419" t="s">
        <v>749</v>
      </c>
      <c r="I1855" s="427" t="s">
        <v>764</v>
      </c>
      <c r="J1855" s="415" t="s">
        <v>310</v>
      </c>
      <c r="K1855" s="415" t="s">
        <v>1220</v>
      </c>
      <c r="L1855" s="415" t="s">
        <v>3443</v>
      </c>
      <c r="M1855" s="546" t="s">
        <v>4617</v>
      </c>
      <c r="N1855" s="414">
        <v>44720</v>
      </c>
      <c r="O1855" s="414" t="s">
        <v>400</v>
      </c>
      <c r="P1855" s="603">
        <f t="shared" si="278"/>
        <v>6</v>
      </c>
      <c r="Q1855" s="603">
        <f t="shared" si="279"/>
        <v>2</v>
      </c>
      <c r="R1855" s="604" t="str">
        <f t="shared" si="280"/>
        <v>Gastos_Gerais</v>
      </c>
      <c r="S1855" s="605" t="s">
        <v>310</v>
      </c>
      <c r="T1855" s="605" t="s">
        <v>310</v>
      </c>
    </row>
    <row r="1856" spans="1:20" s="88" customFormat="1" ht="48" x14ac:dyDescent="0.2">
      <c r="A1856" s="510">
        <f>IF(B1856="","",COUNT('Diário 1º PA'!$A$4:$A$2635)+ROW()-3)</f>
        <v>3589</v>
      </c>
      <c r="B1856" s="414">
        <v>44720</v>
      </c>
      <c r="C1856" s="431">
        <v>44621</v>
      </c>
      <c r="D1856" s="415" t="s">
        <v>271</v>
      </c>
      <c r="E1856" s="415" t="s">
        <v>456</v>
      </c>
      <c r="F1856" s="425">
        <v>16.079999999999998</v>
      </c>
      <c r="G1856" s="427" t="s">
        <v>3976</v>
      </c>
      <c r="H1856" s="419" t="s">
        <v>760</v>
      </c>
      <c r="I1856" s="427" t="s">
        <v>764</v>
      </c>
      <c r="J1856" s="415" t="s">
        <v>310</v>
      </c>
      <c r="K1856" s="415" t="s">
        <v>1220</v>
      </c>
      <c r="L1856" s="415" t="s">
        <v>3443</v>
      </c>
      <c r="M1856" s="546" t="s">
        <v>4620</v>
      </c>
      <c r="N1856" s="414">
        <v>44720</v>
      </c>
      <c r="O1856" s="414" t="s">
        <v>400</v>
      </c>
      <c r="P1856" s="603">
        <f t="shared" si="278"/>
        <v>6</v>
      </c>
      <c r="Q1856" s="603">
        <f t="shared" si="279"/>
        <v>3</v>
      </c>
      <c r="R1856" s="604" t="str">
        <f t="shared" si="280"/>
        <v>Gastos_Gerais</v>
      </c>
      <c r="S1856" s="605" t="s">
        <v>310</v>
      </c>
      <c r="T1856" s="605" t="s">
        <v>310</v>
      </c>
    </row>
    <row r="1857" spans="1:20" s="88" customFormat="1" ht="48" x14ac:dyDescent="0.2">
      <c r="A1857" s="510">
        <f>IF(B1857="","",COUNT('Diário 1º PA'!$A$4:$A$2635)+ROW()-3)</f>
        <v>3590</v>
      </c>
      <c r="B1857" s="414">
        <v>44720</v>
      </c>
      <c r="C1857" s="431">
        <v>44593</v>
      </c>
      <c r="D1857" s="415" t="s">
        <v>271</v>
      </c>
      <c r="E1857" s="415" t="s">
        <v>456</v>
      </c>
      <c r="F1857" s="425">
        <v>16.079999999999998</v>
      </c>
      <c r="G1857" s="427" t="s">
        <v>3977</v>
      </c>
      <c r="H1857" s="419" t="s">
        <v>760</v>
      </c>
      <c r="I1857" s="427" t="s">
        <v>764</v>
      </c>
      <c r="J1857" s="415" t="s">
        <v>310</v>
      </c>
      <c r="K1857" s="415" t="s">
        <v>1220</v>
      </c>
      <c r="L1857" s="415" t="s">
        <v>3443</v>
      </c>
      <c r="M1857" s="415" t="s">
        <v>4621</v>
      </c>
      <c r="N1857" s="414">
        <v>44720</v>
      </c>
      <c r="O1857" s="414" t="s">
        <v>400</v>
      </c>
      <c r="P1857" s="603">
        <f t="shared" si="278"/>
        <v>6</v>
      </c>
      <c r="Q1857" s="603">
        <f t="shared" si="279"/>
        <v>2</v>
      </c>
      <c r="R1857" s="604" t="str">
        <f t="shared" si="280"/>
        <v>Gastos_Gerais</v>
      </c>
      <c r="S1857" s="605" t="s">
        <v>310</v>
      </c>
      <c r="T1857" s="605" t="s">
        <v>310</v>
      </c>
    </row>
    <row r="1858" spans="1:20" s="88" customFormat="1" ht="36" x14ac:dyDescent="0.2">
      <c r="A1858" s="510">
        <f>IF(B1858="","",COUNT('Diário 1º PA'!$A$4:$A$2635)+ROW()-3)</f>
        <v>3591</v>
      </c>
      <c r="B1858" s="414">
        <v>44720</v>
      </c>
      <c r="C1858" s="431">
        <v>44652</v>
      </c>
      <c r="D1858" s="415" t="s">
        <v>271</v>
      </c>
      <c r="E1858" s="415" t="s">
        <v>453</v>
      </c>
      <c r="F1858" s="425">
        <v>120</v>
      </c>
      <c r="G1858" s="427" t="s">
        <v>3934</v>
      </c>
      <c r="H1858" s="419" t="s">
        <v>752</v>
      </c>
      <c r="I1858" s="427" t="s">
        <v>764</v>
      </c>
      <c r="J1858" s="415" t="s">
        <v>310</v>
      </c>
      <c r="K1858" s="415" t="s">
        <v>1220</v>
      </c>
      <c r="L1858" s="415" t="s">
        <v>3443</v>
      </c>
      <c r="M1858" s="415" t="s">
        <v>4622</v>
      </c>
      <c r="N1858" s="414">
        <v>44720</v>
      </c>
      <c r="O1858" s="414" t="s">
        <v>400</v>
      </c>
      <c r="P1858" s="603">
        <f t="shared" si="278"/>
        <v>6</v>
      </c>
      <c r="Q1858" s="603">
        <f t="shared" si="279"/>
        <v>4</v>
      </c>
      <c r="R1858" s="604" t="str">
        <f t="shared" si="280"/>
        <v>Gastos_Gerais</v>
      </c>
      <c r="S1858" s="605" t="s">
        <v>310</v>
      </c>
      <c r="T1858" s="605" t="s">
        <v>310</v>
      </c>
    </row>
    <row r="1859" spans="1:20" s="88" customFormat="1" ht="36" x14ac:dyDescent="0.2">
      <c r="A1859" s="510">
        <f>IF(B1859="","",COUNT('Diário 1º PA'!$A$4:$A$2635)+ROW()-3)</f>
        <v>3592</v>
      </c>
      <c r="B1859" s="414">
        <v>44720</v>
      </c>
      <c r="C1859" s="431">
        <v>44652</v>
      </c>
      <c r="D1859" s="415" t="s">
        <v>271</v>
      </c>
      <c r="E1859" s="415" t="s">
        <v>453</v>
      </c>
      <c r="F1859" s="425">
        <v>120</v>
      </c>
      <c r="G1859" s="427" t="s">
        <v>4624</v>
      </c>
      <c r="H1859" s="419" t="s">
        <v>752</v>
      </c>
      <c r="I1859" s="427" t="s">
        <v>764</v>
      </c>
      <c r="J1859" s="415" t="s">
        <v>310</v>
      </c>
      <c r="K1859" s="415" t="s">
        <v>1220</v>
      </c>
      <c r="L1859" s="415" t="s">
        <v>3443</v>
      </c>
      <c r="M1859" s="415" t="s">
        <v>4623</v>
      </c>
      <c r="N1859" s="414">
        <v>44720</v>
      </c>
      <c r="O1859" s="414" t="s">
        <v>400</v>
      </c>
      <c r="P1859" s="603">
        <f t="shared" si="278"/>
        <v>6</v>
      </c>
      <c r="Q1859" s="603">
        <f t="shared" si="279"/>
        <v>4</v>
      </c>
      <c r="R1859" s="604" t="str">
        <f t="shared" si="280"/>
        <v>Gastos_Gerais</v>
      </c>
      <c r="S1859" s="605" t="s">
        <v>310</v>
      </c>
      <c r="T1859" s="605" t="s">
        <v>310</v>
      </c>
    </row>
    <row r="1860" spans="1:20" s="88" customFormat="1" ht="36" x14ac:dyDescent="0.2">
      <c r="A1860" s="510">
        <f>IF(B1860="","",COUNT('Diário 1º PA'!$A$4:$A$2635)+ROW()-3)</f>
        <v>3593</v>
      </c>
      <c r="B1860" s="414">
        <v>44720</v>
      </c>
      <c r="C1860" s="431">
        <v>44621</v>
      </c>
      <c r="D1860" s="415" t="s">
        <v>271</v>
      </c>
      <c r="E1860" s="415" t="s">
        <v>297</v>
      </c>
      <c r="F1860" s="425">
        <v>402</v>
      </c>
      <c r="G1860" s="427" t="s">
        <v>3974</v>
      </c>
      <c r="H1860" s="419" t="s">
        <v>748</v>
      </c>
      <c r="I1860" s="427" t="s">
        <v>764</v>
      </c>
      <c r="J1860" s="415" t="s">
        <v>310</v>
      </c>
      <c r="K1860" s="415" t="s">
        <v>1220</v>
      </c>
      <c r="L1860" s="415" t="s">
        <v>3443</v>
      </c>
      <c r="M1860" s="415" t="s">
        <v>4625</v>
      </c>
      <c r="N1860" s="414">
        <v>44720</v>
      </c>
      <c r="O1860" s="414" t="s">
        <v>400</v>
      </c>
      <c r="P1860" s="603">
        <f t="shared" si="278"/>
        <v>6</v>
      </c>
      <c r="Q1860" s="603">
        <f t="shared" si="279"/>
        <v>3</v>
      </c>
      <c r="R1860" s="604" t="str">
        <f t="shared" si="280"/>
        <v>Gastos_Gerais</v>
      </c>
      <c r="S1860" s="605" t="s">
        <v>310</v>
      </c>
      <c r="T1860" s="605" t="s">
        <v>310</v>
      </c>
    </row>
    <row r="1861" spans="1:20" s="88" customFormat="1" ht="36" x14ac:dyDescent="0.2">
      <c r="A1861" s="510">
        <f>IF(B1861="","",COUNT('Diário 1º PA'!$A$4:$A$2635)+ROW()-3)</f>
        <v>3594</v>
      </c>
      <c r="B1861" s="414">
        <v>44720</v>
      </c>
      <c r="C1861" s="431">
        <v>44562</v>
      </c>
      <c r="D1861" s="415" t="s">
        <v>271</v>
      </c>
      <c r="E1861" s="415" t="s">
        <v>456</v>
      </c>
      <c r="F1861" s="425">
        <v>100.5</v>
      </c>
      <c r="G1861" s="427" t="s">
        <v>4626</v>
      </c>
      <c r="H1861" s="419" t="s">
        <v>748</v>
      </c>
      <c r="I1861" s="427" t="s">
        <v>764</v>
      </c>
      <c r="J1861" s="415" t="s">
        <v>310</v>
      </c>
      <c r="K1861" s="415" t="s">
        <v>1220</v>
      </c>
      <c r="L1861" s="415" t="s">
        <v>3443</v>
      </c>
      <c r="M1861" s="546">
        <v>222132182509</v>
      </c>
      <c r="N1861" s="414">
        <v>44720</v>
      </c>
      <c r="O1861" s="414" t="s">
        <v>400</v>
      </c>
      <c r="P1861" s="603">
        <f t="shared" si="278"/>
        <v>6</v>
      </c>
      <c r="Q1861" s="603">
        <f t="shared" si="279"/>
        <v>1</v>
      </c>
      <c r="R1861" s="604" t="str">
        <f t="shared" si="280"/>
        <v>Gastos_Gerais</v>
      </c>
      <c r="S1861" s="605" t="s">
        <v>310</v>
      </c>
      <c r="T1861" s="605" t="s">
        <v>310</v>
      </c>
    </row>
    <row r="1862" spans="1:20" s="88" customFormat="1" ht="36" x14ac:dyDescent="0.2">
      <c r="A1862" s="510">
        <f>IF(B1862="","",COUNT('Diário 1º PA'!$A$4:$A$2635)+ROW()-3)</f>
        <v>3595</v>
      </c>
      <c r="B1862" s="414">
        <v>44720</v>
      </c>
      <c r="C1862" s="431">
        <v>44652</v>
      </c>
      <c r="D1862" s="415" t="s">
        <v>271</v>
      </c>
      <c r="E1862" s="415" t="s">
        <v>456</v>
      </c>
      <c r="F1862" s="425">
        <v>28.5</v>
      </c>
      <c r="G1862" s="427" t="s">
        <v>4627</v>
      </c>
      <c r="H1862" s="419" t="s">
        <v>758</v>
      </c>
      <c r="I1862" s="427" t="s">
        <v>764</v>
      </c>
      <c r="J1862" s="415" t="s">
        <v>310</v>
      </c>
      <c r="K1862" s="415" t="s">
        <v>1220</v>
      </c>
      <c r="L1862" s="415" t="s">
        <v>3443</v>
      </c>
      <c r="M1862" s="546">
        <v>222132182924</v>
      </c>
      <c r="N1862" s="414">
        <v>44720</v>
      </c>
      <c r="O1862" s="414" t="s">
        <v>400</v>
      </c>
      <c r="P1862" s="603">
        <f t="shared" si="278"/>
        <v>6</v>
      </c>
      <c r="Q1862" s="603">
        <f t="shared" si="279"/>
        <v>4</v>
      </c>
      <c r="R1862" s="604" t="str">
        <f t="shared" si="280"/>
        <v>Gastos_Gerais</v>
      </c>
      <c r="S1862" s="605" t="s">
        <v>310</v>
      </c>
      <c r="T1862" s="605" t="s">
        <v>310</v>
      </c>
    </row>
    <row r="1863" spans="1:20" s="88" customFormat="1" ht="24" x14ac:dyDescent="0.2">
      <c r="A1863" s="510">
        <f>IF(B1863="","",COUNT('Diário 1º PA'!$A$4:$A$2635)+ROW()-3)</f>
        <v>3596</v>
      </c>
      <c r="B1863" s="414">
        <v>44720</v>
      </c>
      <c r="C1863" s="592">
        <v>44713</v>
      </c>
      <c r="D1863" s="415" t="s">
        <v>182</v>
      </c>
      <c r="E1863" s="415" t="s">
        <v>325</v>
      </c>
      <c r="F1863" s="425">
        <v>230.62</v>
      </c>
      <c r="G1863" s="427" t="s">
        <v>4628</v>
      </c>
      <c r="H1863" s="415" t="s">
        <v>310</v>
      </c>
      <c r="I1863" s="427" t="s">
        <v>764</v>
      </c>
      <c r="J1863" s="415" t="s">
        <v>310</v>
      </c>
      <c r="K1863" s="415" t="s">
        <v>1220</v>
      </c>
      <c r="L1863" s="415" t="s">
        <v>3443</v>
      </c>
      <c r="M1863" s="546" t="s">
        <v>4629</v>
      </c>
      <c r="N1863" s="414">
        <v>44720</v>
      </c>
      <c r="O1863" s="414" t="s">
        <v>400</v>
      </c>
      <c r="P1863" s="603">
        <f t="shared" si="278"/>
        <v>6</v>
      </c>
      <c r="Q1863" s="603">
        <f t="shared" si="279"/>
        <v>6</v>
      </c>
      <c r="R1863" s="604" t="str">
        <f t="shared" si="280"/>
        <v>Gastos_com_Pessoal</v>
      </c>
      <c r="S1863" s="605" t="s">
        <v>310</v>
      </c>
      <c r="T1863" s="605" t="s">
        <v>310</v>
      </c>
    </row>
    <row r="1864" spans="1:20" s="88" customFormat="1" ht="36" x14ac:dyDescent="0.2">
      <c r="A1864" s="510">
        <f>IF(B1864="","",COUNT('Diário 1º PA'!$A$4:$A$2635)+ROW()-3)</f>
        <v>3597</v>
      </c>
      <c r="B1864" s="414">
        <v>44720</v>
      </c>
      <c r="C1864" s="592">
        <v>44682</v>
      </c>
      <c r="D1864" s="415" t="s">
        <v>271</v>
      </c>
      <c r="E1864" s="415" t="s">
        <v>178</v>
      </c>
      <c r="F1864" s="425">
        <v>10.07</v>
      </c>
      <c r="G1864" s="427" t="s">
        <v>4630</v>
      </c>
      <c r="H1864" s="415" t="s">
        <v>309</v>
      </c>
      <c r="I1864" s="427" t="s">
        <v>764</v>
      </c>
      <c r="J1864" s="415" t="s">
        <v>310</v>
      </c>
      <c r="K1864" s="415" t="s">
        <v>1220</v>
      </c>
      <c r="L1864" s="415" t="s">
        <v>3443</v>
      </c>
      <c r="M1864" s="546" t="s">
        <v>4631</v>
      </c>
      <c r="N1864" s="414">
        <v>44720</v>
      </c>
      <c r="O1864" s="414" t="s">
        <v>400</v>
      </c>
      <c r="P1864" s="603">
        <f t="shared" si="278"/>
        <v>6</v>
      </c>
      <c r="Q1864" s="603">
        <f t="shared" si="279"/>
        <v>5</v>
      </c>
      <c r="R1864" s="604" t="str">
        <f t="shared" si="280"/>
        <v>Gastos_Gerais</v>
      </c>
      <c r="S1864" s="605" t="s">
        <v>310</v>
      </c>
      <c r="T1864" s="605" t="s">
        <v>310</v>
      </c>
    </row>
    <row r="1865" spans="1:20" s="88" customFormat="1" ht="36" x14ac:dyDescent="0.2">
      <c r="A1865" s="510">
        <f>IF(B1865="","",COUNT('Diário 1º PA'!$A$4:$A$2635)+ROW()-3)</f>
        <v>3598</v>
      </c>
      <c r="B1865" s="414">
        <v>44720</v>
      </c>
      <c r="C1865" s="431">
        <v>44621</v>
      </c>
      <c r="D1865" s="415" t="s">
        <v>271</v>
      </c>
      <c r="E1865" s="415" t="s">
        <v>444</v>
      </c>
      <c r="F1865" s="425">
        <v>425</v>
      </c>
      <c r="G1865" s="427" t="s">
        <v>4048</v>
      </c>
      <c r="H1865" s="419" t="s">
        <v>758</v>
      </c>
      <c r="I1865" s="427" t="s">
        <v>764</v>
      </c>
      <c r="J1865" s="415" t="s">
        <v>310</v>
      </c>
      <c r="K1865" s="415" t="s">
        <v>1220</v>
      </c>
      <c r="L1865" s="415" t="s">
        <v>3443</v>
      </c>
      <c r="M1865" s="546">
        <v>222132183653</v>
      </c>
      <c r="N1865" s="414">
        <v>44720</v>
      </c>
      <c r="O1865" s="414" t="s">
        <v>400</v>
      </c>
      <c r="P1865" s="603">
        <f t="shared" si="278"/>
        <v>6</v>
      </c>
      <c r="Q1865" s="603">
        <f t="shared" si="279"/>
        <v>3</v>
      </c>
      <c r="R1865" s="604" t="str">
        <f t="shared" si="280"/>
        <v>Gastos_Gerais</v>
      </c>
      <c r="S1865" s="605" t="s">
        <v>310</v>
      </c>
      <c r="T1865" s="605" t="s">
        <v>310</v>
      </c>
    </row>
    <row r="1866" spans="1:20" s="88" customFormat="1" ht="24" x14ac:dyDescent="0.2">
      <c r="A1866" s="510">
        <f>IF(B1866="","",COUNT('Diário 1º PA'!$A$4:$A$2635)+ROW()-3)</f>
        <v>3599</v>
      </c>
      <c r="B1866" s="414">
        <v>44720</v>
      </c>
      <c r="C1866" s="431">
        <v>44652</v>
      </c>
      <c r="D1866" s="415" t="s">
        <v>271</v>
      </c>
      <c r="E1866" s="415" t="s">
        <v>297</v>
      </c>
      <c r="F1866" s="425">
        <v>53.75</v>
      </c>
      <c r="G1866" s="427" t="s">
        <v>3983</v>
      </c>
      <c r="H1866" s="419" t="s">
        <v>309</v>
      </c>
      <c r="I1866" s="427" t="s">
        <v>764</v>
      </c>
      <c r="J1866" s="415" t="s">
        <v>310</v>
      </c>
      <c r="K1866" s="415" t="s">
        <v>1220</v>
      </c>
      <c r="L1866" s="415" t="s">
        <v>3443</v>
      </c>
      <c r="M1866" s="546">
        <v>222132183904</v>
      </c>
      <c r="N1866" s="414">
        <v>44720</v>
      </c>
      <c r="O1866" s="414" t="s">
        <v>400</v>
      </c>
      <c r="P1866" s="603">
        <f t="shared" si="278"/>
        <v>6</v>
      </c>
      <c r="Q1866" s="603">
        <f t="shared" si="279"/>
        <v>4</v>
      </c>
      <c r="R1866" s="604" t="str">
        <f t="shared" si="280"/>
        <v>Gastos_Gerais</v>
      </c>
      <c r="S1866" s="605" t="s">
        <v>310</v>
      </c>
      <c r="T1866" s="605" t="s">
        <v>310</v>
      </c>
    </row>
    <row r="1867" spans="1:20" s="88" customFormat="1" ht="36" x14ac:dyDescent="0.2">
      <c r="A1867" s="510">
        <f>IF(B1867="","",COUNT('Diário 1º PA'!$A$4:$A$2635)+ROW()-3)</f>
        <v>3600</v>
      </c>
      <c r="B1867" s="414">
        <v>44720</v>
      </c>
      <c r="C1867" s="431">
        <v>44682</v>
      </c>
      <c r="D1867" s="415" t="s">
        <v>271</v>
      </c>
      <c r="E1867" s="415" t="s">
        <v>456</v>
      </c>
      <c r="F1867" s="425">
        <v>25</v>
      </c>
      <c r="G1867" s="427" t="s">
        <v>3993</v>
      </c>
      <c r="H1867" s="419" t="s">
        <v>761</v>
      </c>
      <c r="I1867" s="427" t="s">
        <v>764</v>
      </c>
      <c r="J1867" s="415" t="s">
        <v>310</v>
      </c>
      <c r="K1867" s="415" t="s">
        <v>1220</v>
      </c>
      <c r="L1867" s="415" t="s">
        <v>3443</v>
      </c>
      <c r="M1867" s="546">
        <v>222132184463</v>
      </c>
      <c r="N1867" s="414">
        <v>44720</v>
      </c>
      <c r="O1867" s="414" t="s">
        <v>400</v>
      </c>
      <c r="P1867" s="603">
        <f t="shared" si="278"/>
        <v>6</v>
      </c>
      <c r="Q1867" s="603">
        <f t="shared" si="279"/>
        <v>5</v>
      </c>
      <c r="R1867" s="604" t="str">
        <f t="shared" si="280"/>
        <v>Gastos_Gerais</v>
      </c>
      <c r="S1867" s="605" t="s">
        <v>310</v>
      </c>
      <c r="T1867" s="605" t="s">
        <v>310</v>
      </c>
    </row>
    <row r="1868" spans="1:20" s="88" customFormat="1" ht="48" x14ac:dyDescent="0.2">
      <c r="A1868" s="510">
        <f>IF(B1868="","",COUNT('Diário 1º PA'!$A$4:$A$2635)+ROW()-3)</f>
        <v>3601</v>
      </c>
      <c r="B1868" s="414">
        <v>44720</v>
      </c>
      <c r="C1868" s="431">
        <v>44652</v>
      </c>
      <c r="D1868" s="415" t="s">
        <v>271</v>
      </c>
      <c r="E1868" s="415" t="s">
        <v>442</v>
      </c>
      <c r="F1868" s="425">
        <v>38.4</v>
      </c>
      <c r="G1868" s="427" t="s">
        <v>4042</v>
      </c>
      <c r="H1868" s="419" t="s">
        <v>757</v>
      </c>
      <c r="I1868" s="427" t="s">
        <v>764</v>
      </c>
      <c r="J1868" s="415" t="s">
        <v>310</v>
      </c>
      <c r="K1868" s="415" t="s">
        <v>1220</v>
      </c>
      <c r="L1868" s="415" t="s">
        <v>3443</v>
      </c>
      <c r="M1868" s="546">
        <v>222132184897</v>
      </c>
      <c r="N1868" s="414">
        <v>44720</v>
      </c>
      <c r="O1868" s="414" t="s">
        <v>400</v>
      </c>
      <c r="P1868" s="603">
        <f t="shared" si="278"/>
        <v>6</v>
      </c>
      <c r="Q1868" s="603">
        <f t="shared" si="279"/>
        <v>4</v>
      </c>
      <c r="R1868" s="604" t="str">
        <f t="shared" si="280"/>
        <v>Gastos_Gerais</v>
      </c>
      <c r="S1868" s="605" t="s">
        <v>310</v>
      </c>
      <c r="T1868" s="605" t="s">
        <v>310</v>
      </c>
    </row>
    <row r="1869" spans="1:20" s="88" customFormat="1" ht="36" x14ac:dyDescent="0.2">
      <c r="A1869" s="510">
        <f>IF(B1869="","",COUNT('Diário 1º PA'!$A$4:$A$2635)+ROW()-3)</f>
        <v>3602</v>
      </c>
      <c r="B1869" s="414">
        <v>44720</v>
      </c>
      <c r="C1869" s="431">
        <v>44621</v>
      </c>
      <c r="D1869" s="415" t="s">
        <v>271</v>
      </c>
      <c r="E1869" s="415" t="s">
        <v>452</v>
      </c>
      <c r="F1869" s="425">
        <v>100</v>
      </c>
      <c r="G1869" s="427" t="s">
        <v>4035</v>
      </c>
      <c r="H1869" s="419" t="s">
        <v>758</v>
      </c>
      <c r="I1869" s="427" t="s">
        <v>764</v>
      </c>
      <c r="J1869" s="415" t="s">
        <v>310</v>
      </c>
      <c r="K1869" s="415" t="s">
        <v>1220</v>
      </c>
      <c r="L1869" s="415" t="s">
        <v>3443</v>
      </c>
      <c r="M1869" s="546">
        <v>222132184978</v>
      </c>
      <c r="N1869" s="414">
        <v>44720</v>
      </c>
      <c r="O1869" s="414" t="s">
        <v>400</v>
      </c>
      <c r="P1869" s="603">
        <f t="shared" si="278"/>
        <v>6</v>
      </c>
      <c r="Q1869" s="603">
        <f t="shared" si="279"/>
        <v>3</v>
      </c>
      <c r="R1869" s="604" t="str">
        <f t="shared" si="280"/>
        <v>Gastos_Gerais</v>
      </c>
      <c r="S1869" s="605" t="s">
        <v>310</v>
      </c>
      <c r="T1869" s="605" t="s">
        <v>310</v>
      </c>
    </row>
    <row r="1870" spans="1:20" s="88" customFormat="1" ht="36" x14ac:dyDescent="0.2">
      <c r="A1870" s="510">
        <f>IF(B1870="","",COUNT('Diário 1º PA'!$A$4:$A$2635)+ROW()-3)</f>
        <v>3603</v>
      </c>
      <c r="B1870" s="414">
        <v>44720</v>
      </c>
      <c r="C1870" s="431">
        <v>44652</v>
      </c>
      <c r="D1870" s="415" t="s">
        <v>271</v>
      </c>
      <c r="E1870" s="415" t="s">
        <v>456</v>
      </c>
      <c r="F1870" s="435">
        <v>175</v>
      </c>
      <c r="G1870" s="437" t="s">
        <v>4004</v>
      </c>
      <c r="H1870" s="419" t="s">
        <v>758</v>
      </c>
      <c r="I1870" s="427" t="s">
        <v>764</v>
      </c>
      <c r="J1870" s="415" t="s">
        <v>310</v>
      </c>
      <c r="K1870" s="415" t="s">
        <v>1220</v>
      </c>
      <c r="L1870" s="415" t="s">
        <v>3443</v>
      </c>
      <c r="M1870" s="546">
        <v>222132185001</v>
      </c>
      <c r="N1870" s="414">
        <v>44720</v>
      </c>
      <c r="O1870" s="414" t="s">
        <v>400</v>
      </c>
      <c r="P1870" s="603">
        <f t="shared" ref="P1870:P1895" si="281">IF(B1870=0,0,IF(YEAR(B1870)=$Q$1,MONTH(B1870)-$P$1+1,(YEAR(B1870)-$Q$1)*12-$P$1+1+MONTH(B1870)))</f>
        <v>6</v>
      </c>
      <c r="Q1870" s="603">
        <f t="shared" ref="Q1870:Q1895" si="282">IF(C1870=0,0,IF(YEAR(C1870)=$Q$1,MONTH(C1870)-$P$1+1,(YEAR(C1870)-$Q$1)*12-$P$1+1+MONTH(C1870)))</f>
        <v>4</v>
      </c>
      <c r="R1870" s="604" t="str">
        <f t="shared" ref="R1870:R1895" si="283">SUBSTITUTE(D1870," ","_")</f>
        <v>Gastos_Gerais</v>
      </c>
      <c r="S1870" s="605" t="s">
        <v>310</v>
      </c>
      <c r="T1870" s="605" t="s">
        <v>310</v>
      </c>
    </row>
    <row r="1871" spans="1:20" s="88" customFormat="1" ht="48" x14ac:dyDescent="0.2">
      <c r="A1871" s="510">
        <f>IF(B1871="","",COUNT('Diário 1º PA'!$A$4:$A$2635)+ROW()-3)</f>
        <v>3604</v>
      </c>
      <c r="B1871" s="414">
        <v>44720</v>
      </c>
      <c r="C1871" s="421">
        <v>44652</v>
      </c>
      <c r="D1871" s="415" t="s">
        <v>271</v>
      </c>
      <c r="E1871" s="415" t="s">
        <v>186</v>
      </c>
      <c r="F1871" s="435">
        <v>75.7</v>
      </c>
      <c r="G1871" s="437" t="s">
        <v>4243</v>
      </c>
      <c r="H1871" s="419" t="s">
        <v>751</v>
      </c>
      <c r="I1871" s="427" t="s">
        <v>764</v>
      </c>
      <c r="J1871" s="415" t="s">
        <v>310</v>
      </c>
      <c r="K1871" s="415" t="s">
        <v>1220</v>
      </c>
      <c r="L1871" s="415" t="s">
        <v>3443</v>
      </c>
      <c r="M1871" s="546" t="s">
        <v>4632</v>
      </c>
      <c r="N1871" s="414">
        <v>44720</v>
      </c>
      <c r="O1871" s="414" t="s">
        <v>400</v>
      </c>
      <c r="P1871" s="603">
        <f t="shared" si="281"/>
        <v>6</v>
      </c>
      <c r="Q1871" s="603">
        <f t="shared" si="282"/>
        <v>4</v>
      </c>
      <c r="R1871" s="604" t="str">
        <f t="shared" si="283"/>
        <v>Gastos_Gerais</v>
      </c>
      <c r="S1871" s="605" t="s">
        <v>310</v>
      </c>
      <c r="T1871" s="605" t="s">
        <v>310</v>
      </c>
    </row>
    <row r="1872" spans="1:20" s="88" customFormat="1" ht="36" x14ac:dyDescent="0.2">
      <c r="A1872" s="510">
        <f>IF(B1872="","",COUNT('Diário 1º PA'!$A$4:$A$2635)+ROW()-3)</f>
        <v>3605</v>
      </c>
      <c r="B1872" s="414">
        <v>44720</v>
      </c>
      <c r="C1872" s="431">
        <v>44562</v>
      </c>
      <c r="D1872" s="415" t="s">
        <v>271</v>
      </c>
      <c r="E1872" s="415" t="s">
        <v>465</v>
      </c>
      <c r="F1872" s="425">
        <v>105.65</v>
      </c>
      <c r="G1872" s="427" t="s">
        <v>4001</v>
      </c>
      <c r="H1872" s="419" t="s">
        <v>752</v>
      </c>
      <c r="I1872" s="427" t="s">
        <v>764</v>
      </c>
      <c r="J1872" s="415" t="s">
        <v>310</v>
      </c>
      <c r="K1872" s="415" t="s">
        <v>1220</v>
      </c>
      <c r="L1872" s="415" t="s">
        <v>3443</v>
      </c>
      <c r="M1872" s="546" t="s">
        <v>4633</v>
      </c>
      <c r="N1872" s="414">
        <v>44720</v>
      </c>
      <c r="O1872" s="414" t="s">
        <v>400</v>
      </c>
      <c r="P1872" s="603">
        <f t="shared" si="281"/>
        <v>6</v>
      </c>
      <c r="Q1872" s="603">
        <f t="shared" si="282"/>
        <v>1</v>
      </c>
      <c r="R1872" s="604" t="str">
        <f t="shared" si="283"/>
        <v>Gastos_Gerais</v>
      </c>
      <c r="S1872" s="605" t="s">
        <v>310</v>
      </c>
      <c r="T1872" s="605" t="s">
        <v>310</v>
      </c>
    </row>
    <row r="1873" spans="1:20" s="88" customFormat="1" ht="36" x14ac:dyDescent="0.2">
      <c r="A1873" s="510">
        <f>IF(B1873="","",COUNT('Diário 1º PA'!$A$4:$A$2635)+ROW()-3)</f>
        <v>3606</v>
      </c>
      <c r="B1873" s="414">
        <v>44720</v>
      </c>
      <c r="C1873" s="431">
        <v>44621</v>
      </c>
      <c r="D1873" s="415" t="s">
        <v>271</v>
      </c>
      <c r="E1873" s="415" t="s">
        <v>453</v>
      </c>
      <c r="F1873" s="425">
        <v>90</v>
      </c>
      <c r="G1873" s="427" t="s">
        <v>4038</v>
      </c>
      <c r="H1873" s="419" t="s">
        <v>752</v>
      </c>
      <c r="I1873" s="427" t="s">
        <v>764</v>
      </c>
      <c r="J1873" s="415" t="s">
        <v>310</v>
      </c>
      <c r="K1873" s="415" t="s">
        <v>1220</v>
      </c>
      <c r="L1873" s="415" t="s">
        <v>3443</v>
      </c>
      <c r="M1873" s="546">
        <v>222132186164</v>
      </c>
      <c r="N1873" s="414">
        <v>44720</v>
      </c>
      <c r="O1873" s="414" t="s">
        <v>400</v>
      </c>
      <c r="P1873" s="603">
        <f t="shared" si="281"/>
        <v>6</v>
      </c>
      <c r="Q1873" s="603">
        <f t="shared" si="282"/>
        <v>3</v>
      </c>
      <c r="R1873" s="604" t="str">
        <f t="shared" si="283"/>
        <v>Gastos_Gerais</v>
      </c>
      <c r="S1873" s="605" t="s">
        <v>310</v>
      </c>
      <c r="T1873" s="605" t="s">
        <v>310</v>
      </c>
    </row>
    <row r="1874" spans="1:20" s="88" customFormat="1" ht="36" x14ac:dyDescent="0.2">
      <c r="A1874" s="510">
        <f>IF(B1874="","",COUNT('Diário 1º PA'!$A$4:$A$2635)+ROW()-3)</f>
        <v>3607</v>
      </c>
      <c r="B1874" s="414">
        <v>44720</v>
      </c>
      <c r="C1874" s="431">
        <v>44621</v>
      </c>
      <c r="D1874" s="415" t="s">
        <v>271</v>
      </c>
      <c r="E1874" s="415" t="s">
        <v>453</v>
      </c>
      <c r="F1874" s="425">
        <v>90</v>
      </c>
      <c r="G1874" s="427" t="s">
        <v>4044</v>
      </c>
      <c r="H1874" s="419" t="s">
        <v>752</v>
      </c>
      <c r="I1874" s="427" t="s">
        <v>764</v>
      </c>
      <c r="J1874" s="415" t="s">
        <v>310</v>
      </c>
      <c r="K1874" s="415" t="s">
        <v>1220</v>
      </c>
      <c r="L1874" s="415" t="s">
        <v>3443</v>
      </c>
      <c r="M1874" s="546" t="s">
        <v>4634</v>
      </c>
      <c r="N1874" s="414">
        <v>44720</v>
      </c>
      <c r="O1874" s="414" t="s">
        <v>400</v>
      </c>
      <c r="P1874" s="603">
        <f t="shared" si="281"/>
        <v>6</v>
      </c>
      <c r="Q1874" s="603">
        <f t="shared" si="282"/>
        <v>3</v>
      </c>
      <c r="R1874" s="604" t="str">
        <f t="shared" si="283"/>
        <v>Gastos_Gerais</v>
      </c>
      <c r="S1874" s="605" t="s">
        <v>310</v>
      </c>
      <c r="T1874" s="605" t="s">
        <v>310</v>
      </c>
    </row>
    <row r="1875" spans="1:20" s="88" customFormat="1" ht="36" x14ac:dyDescent="0.2">
      <c r="A1875" s="510">
        <f>IF(B1875="","",COUNT('Diário 1º PA'!$A$4:$A$2635)+ROW()-3)</f>
        <v>3608</v>
      </c>
      <c r="B1875" s="414">
        <v>44720</v>
      </c>
      <c r="C1875" s="431">
        <v>44621</v>
      </c>
      <c r="D1875" s="415" t="s">
        <v>271</v>
      </c>
      <c r="E1875" s="415" t="s">
        <v>453</v>
      </c>
      <c r="F1875" s="425">
        <v>90</v>
      </c>
      <c r="G1875" s="423" t="s">
        <v>4046</v>
      </c>
      <c r="H1875" s="419" t="s">
        <v>752</v>
      </c>
      <c r="I1875" s="427" t="s">
        <v>764</v>
      </c>
      <c r="J1875" s="415" t="s">
        <v>310</v>
      </c>
      <c r="K1875" s="415" t="s">
        <v>1220</v>
      </c>
      <c r="L1875" s="415" t="s">
        <v>3443</v>
      </c>
      <c r="M1875" s="546">
        <v>222132187217</v>
      </c>
      <c r="N1875" s="414">
        <v>44720</v>
      </c>
      <c r="O1875" s="414" t="s">
        <v>400</v>
      </c>
      <c r="P1875" s="603">
        <f t="shared" si="281"/>
        <v>6</v>
      </c>
      <c r="Q1875" s="603">
        <f t="shared" si="282"/>
        <v>3</v>
      </c>
      <c r="R1875" s="604" t="str">
        <f t="shared" si="283"/>
        <v>Gastos_Gerais</v>
      </c>
      <c r="S1875" s="605" t="s">
        <v>310</v>
      </c>
      <c r="T1875" s="605" t="s">
        <v>310</v>
      </c>
    </row>
    <row r="1876" spans="1:20" s="88" customFormat="1" ht="48" x14ac:dyDescent="0.2">
      <c r="A1876" s="510">
        <f>IF(B1876="","",COUNT('Diário 1º PA'!$A$4:$A$2635)+ROW()-3)</f>
        <v>3609</v>
      </c>
      <c r="B1876" s="414">
        <v>44720</v>
      </c>
      <c r="C1876" s="431">
        <v>44652</v>
      </c>
      <c r="D1876" s="415" t="s">
        <v>271</v>
      </c>
      <c r="E1876" s="415" t="s">
        <v>456</v>
      </c>
      <c r="F1876" s="425">
        <v>150</v>
      </c>
      <c r="G1876" s="423" t="s">
        <v>4072</v>
      </c>
      <c r="H1876" s="419" t="s">
        <v>760</v>
      </c>
      <c r="I1876" s="427" t="s">
        <v>764</v>
      </c>
      <c r="J1876" s="415" t="s">
        <v>310</v>
      </c>
      <c r="K1876" s="415" t="s">
        <v>1220</v>
      </c>
      <c r="L1876" s="415" t="s">
        <v>3443</v>
      </c>
      <c r="M1876" s="546">
        <v>222132187560</v>
      </c>
      <c r="N1876" s="414">
        <v>44720</v>
      </c>
      <c r="O1876" s="414" t="s">
        <v>400</v>
      </c>
      <c r="P1876" s="603">
        <f t="shared" si="281"/>
        <v>6</v>
      </c>
      <c r="Q1876" s="603">
        <f t="shared" si="282"/>
        <v>4</v>
      </c>
      <c r="R1876" s="604" t="str">
        <f t="shared" si="283"/>
        <v>Gastos_Gerais</v>
      </c>
      <c r="S1876" s="605" t="s">
        <v>310</v>
      </c>
      <c r="T1876" s="605" t="s">
        <v>310</v>
      </c>
    </row>
    <row r="1877" spans="1:20" s="88" customFormat="1" ht="36" x14ac:dyDescent="0.2">
      <c r="A1877" s="510">
        <f>IF(B1877="","",COUNT('Diário 1º PA'!$A$4:$A$2635)+ROW()-3)</f>
        <v>3610</v>
      </c>
      <c r="B1877" s="414">
        <v>44720</v>
      </c>
      <c r="C1877" s="431">
        <v>44562</v>
      </c>
      <c r="D1877" s="415" t="s">
        <v>271</v>
      </c>
      <c r="E1877" s="415" t="s">
        <v>456</v>
      </c>
      <c r="F1877" s="425">
        <v>60</v>
      </c>
      <c r="G1877" s="423" t="s">
        <v>4083</v>
      </c>
      <c r="H1877" s="419" t="s">
        <v>758</v>
      </c>
      <c r="I1877" s="427" t="s">
        <v>764</v>
      </c>
      <c r="J1877" s="415" t="s">
        <v>310</v>
      </c>
      <c r="K1877" s="415" t="s">
        <v>1220</v>
      </c>
      <c r="L1877" s="415" t="s">
        <v>3443</v>
      </c>
      <c r="M1877" s="546">
        <v>222132188108</v>
      </c>
      <c r="N1877" s="414">
        <v>44720</v>
      </c>
      <c r="O1877" s="414" t="s">
        <v>400</v>
      </c>
      <c r="P1877" s="603">
        <f t="shared" si="281"/>
        <v>6</v>
      </c>
      <c r="Q1877" s="603">
        <f t="shared" si="282"/>
        <v>1</v>
      </c>
      <c r="R1877" s="604" t="str">
        <f t="shared" si="283"/>
        <v>Gastos_Gerais</v>
      </c>
      <c r="S1877" s="605" t="s">
        <v>310</v>
      </c>
      <c r="T1877" s="605" t="s">
        <v>310</v>
      </c>
    </row>
    <row r="1878" spans="1:20" s="88" customFormat="1" ht="36" x14ac:dyDescent="0.2">
      <c r="A1878" s="510">
        <f>IF(B1878="","",COUNT('Diário 1º PA'!$A$4:$A$2635)+ROW()-3)</f>
        <v>3611</v>
      </c>
      <c r="B1878" s="414">
        <v>44720</v>
      </c>
      <c r="C1878" s="431">
        <v>44621</v>
      </c>
      <c r="D1878" s="415" t="s">
        <v>271</v>
      </c>
      <c r="E1878" s="415" t="s">
        <v>456</v>
      </c>
      <c r="F1878" s="425">
        <v>250</v>
      </c>
      <c r="G1878" s="423" t="s">
        <v>4241</v>
      </c>
      <c r="H1878" s="419" t="s">
        <v>758</v>
      </c>
      <c r="I1878" s="427" t="s">
        <v>764</v>
      </c>
      <c r="J1878" s="415" t="s">
        <v>310</v>
      </c>
      <c r="K1878" s="415" t="s">
        <v>1220</v>
      </c>
      <c r="L1878" s="415" t="s">
        <v>3443</v>
      </c>
      <c r="M1878" s="546" t="s">
        <v>4635</v>
      </c>
      <c r="N1878" s="414">
        <v>44720</v>
      </c>
      <c r="O1878" s="414" t="s">
        <v>400</v>
      </c>
      <c r="P1878" s="603">
        <f t="shared" si="281"/>
        <v>6</v>
      </c>
      <c r="Q1878" s="603">
        <f t="shared" si="282"/>
        <v>3</v>
      </c>
      <c r="R1878" s="604" t="str">
        <f t="shared" si="283"/>
        <v>Gastos_Gerais</v>
      </c>
      <c r="S1878" s="605" t="s">
        <v>310</v>
      </c>
      <c r="T1878" s="605" t="s">
        <v>310</v>
      </c>
    </row>
    <row r="1879" spans="1:20" s="88" customFormat="1" ht="24" x14ac:dyDescent="0.2">
      <c r="A1879" s="510">
        <f>IF(B1879="","",COUNT('Diário 1º PA'!$A$4:$A$2635)+ROW()-3)</f>
        <v>3612</v>
      </c>
      <c r="B1879" s="414">
        <v>44720</v>
      </c>
      <c r="C1879" s="433">
        <v>44682</v>
      </c>
      <c r="D1879" s="434" t="s">
        <v>182</v>
      </c>
      <c r="E1879" s="434" t="s">
        <v>179</v>
      </c>
      <c r="F1879" s="425">
        <v>10.63</v>
      </c>
      <c r="G1879" s="423" t="s">
        <v>4444</v>
      </c>
      <c r="H1879" s="415" t="s">
        <v>310</v>
      </c>
      <c r="I1879" s="427" t="s">
        <v>764</v>
      </c>
      <c r="J1879" s="415" t="s">
        <v>310</v>
      </c>
      <c r="K1879" s="415" t="s">
        <v>1220</v>
      </c>
      <c r="L1879" s="415" t="s">
        <v>3443</v>
      </c>
      <c r="M1879" s="546" t="s">
        <v>4636</v>
      </c>
      <c r="N1879" s="414">
        <v>44720</v>
      </c>
      <c r="O1879" s="414" t="s">
        <v>400</v>
      </c>
      <c r="P1879" s="603">
        <f t="shared" si="281"/>
        <v>6</v>
      </c>
      <c r="Q1879" s="603">
        <f t="shared" si="282"/>
        <v>5</v>
      </c>
      <c r="R1879" s="604" t="str">
        <f t="shared" si="283"/>
        <v>Gastos_com_Pessoal</v>
      </c>
      <c r="S1879" s="605" t="s">
        <v>310</v>
      </c>
      <c r="T1879" s="605" t="s">
        <v>310</v>
      </c>
    </row>
    <row r="1880" spans="1:20" s="88" customFormat="1" ht="24" x14ac:dyDescent="0.2">
      <c r="A1880" s="510">
        <f>IF(B1880="","",COUNT('Diário 1º PA'!$A$4:$A$2635)+ROW()-3)</f>
        <v>3613</v>
      </c>
      <c r="B1880" s="414">
        <v>44720</v>
      </c>
      <c r="C1880" s="433">
        <v>44682</v>
      </c>
      <c r="D1880" s="434" t="s">
        <v>182</v>
      </c>
      <c r="E1880" s="434" t="s">
        <v>179</v>
      </c>
      <c r="F1880" s="425">
        <v>18.55</v>
      </c>
      <c r="G1880" s="423" t="s">
        <v>4441</v>
      </c>
      <c r="H1880" s="415" t="s">
        <v>310</v>
      </c>
      <c r="I1880" s="427" t="s">
        <v>764</v>
      </c>
      <c r="J1880" s="415" t="s">
        <v>310</v>
      </c>
      <c r="K1880" s="415" t="s">
        <v>1220</v>
      </c>
      <c r="L1880" s="415" t="s">
        <v>3443</v>
      </c>
      <c r="M1880" s="546">
        <v>222132189422</v>
      </c>
      <c r="N1880" s="414">
        <v>44720</v>
      </c>
      <c r="O1880" s="414" t="s">
        <v>400</v>
      </c>
      <c r="P1880" s="603">
        <f t="shared" si="281"/>
        <v>6</v>
      </c>
      <c r="Q1880" s="603">
        <f t="shared" si="282"/>
        <v>5</v>
      </c>
      <c r="R1880" s="604" t="str">
        <f t="shared" si="283"/>
        <v>Gastos_com_Pessoal</v>
      </c>
      <c r="S1880" s="605" t="s">
        <v>310</v>
      </c>
      <c r="T1880" s="605" t="s">
        <v>310</v>
      </c>
    </row>
    <row r="1881" spans="1:20" s="88" customFormat="1" ht="36" x14ac:dyDescent="0.2">
      <c r="A1881" s="510">
        <f>IF(B1881="","",COUNT('Diário 1º PA'!$A$4:$A$2635)+ROW()-3)</f>
        <v>3614</v>
      </c>
      <c r="B1881" s="414">
        <v>44720</v>
      </c>
      <c r="C1881" s="431">
        <v>44621</v>
      </c>
      <c r="D1881" s="415" t="s">
        <v>271</v>
      </c>
      <c r="E1881" s="415" t="s">
        <v>450</v>
      </c>
      <c r="F1881" s="425">
        <v>115</v>
      </c>
      <c r="G1881" s="423" t="s">
        <v>4175</v>
      </c>
      <c r="H1881" s="419" t="s">
        <v>758</v>
      </c>
      <c r="I1881" s="427" t="s">
        <v>764</v>
      </c>
      <c r="J1881" s="415" t="s">
        <v>310</v>
      </c>
      <c r="K1881" s="415" t="s">
        <v>1220</v>
      </c>
      <c r="L1881" s="415" t="s">
        <v>3443</v>
      </c>
      <c r="M1881" s="546" t="s">
        <v>4637</v>
      </c>
      <c r="N1881" s="414">
        <v>44720</v>
      </c>
      <c r="O1881" s="414" t="s">
        <v>400</v>
      </c>
      <c r="P1881" s="603">
        <f t="shared" si="281"/>
        <v>6</v>
      </c>
      <c r="Q1881" s="603">
        <f t="shared" si="282"/>
        <v>3</v>
      </c>
      <c r="R1881" s="604" t="str">
        <f t="shared" si="283"/>
        <v>Gastos_Gerais</v>
      </c>
      <c r="S1881" s="605" t="s">
        <v>310</v>
      </c>
      <c r="T1881" s="605" t="s">
        <v>310</v>
      </c>
    </row>
    <row r="1882" spans="1:20" s="88" customFormat="1" ht="36" x14ac:dyDescent="0.2">
      <c r="A1882" s="510">
        <f>IF(B1882="","",COUNT('Diário 1º PA'!$A$4:$A$2635)+ROW()-3)</f>
        <v>3615</v>
      </c>
      <c r="B1882" s="414">
        <v>44720</v>
      </c>
      <c r="C1882" s="431">
        <v>44621</v>
      </c>
      <c r="D1882" s="415" t="s">
        <v>271</v>
      </c>
      <c r="E1882" s="415" t="s">
        <v>464</v>
      </c>
      <c r="F1882" s="425">
        <v>50</v>
      </c>
      <c r="G1882" s="423" t="s">
        <v>4460</v>
      </c>
      <c r="H1882" s="419" t="s">
        <v>758</v>
      </c>
      <c r="I1882" s="427" t="s">
        <v>764</v>
      </c>
      <c r="J1882" s="415" t="s">
        <v>310</v>
      </c>
      <c r="K1882" s="415" t="s">
        <v>1220</v>
      </c>
      <c r="L1882" s="415" t="s">
        <v>3443</v>
      </c>
      <c r="M1882" s="546">
        <v>222132190439</v>
      </c>
      <c r="N1882" s="414">
        <v>44720</v>
      </c>
      <c r="O1882" s="414" t="s">
        <v>400</v>
      </c>
      <c r="P1882" s="603">
        <f t="shared" si="281"/>
        <v>6</v>
      </c>
      <c r="Q1882" s="603">
        <f t="shared" si="282"/>
        <v>3</v>
      </c>
      <c r="R1882" s="604" t="str">
        <f t="shared" si="283"/>
        <v>Gastos_Gerais</v>
      </c>
      <c r="S1882" s="605" t="s">
        <v>310</v>
      </c>
      <c r="T1882" s="605" t="s">
        <v>310</v>
      </c>
    </row>
    <row r="1883" spans="1:20" s="88" customFormat="1" ht="36" x14ac:dyDescent="0.2">
      <c r="A1883" s="510">
        <f>IF(B1883="","",COUNT('Diário 1º PA'!$A$4:$A$2635)+ROW()-3)</f>
        <v>3616</v>
      </c>
      <c r="B1883" s="414">
        <v>44720</v>
      </c>
      <c r="C1883" s="431">
        <v>44562</v>
      </c>
      <c r="D1883" s="415" t="s">
        <v>271</v>
      </c>
      <c r="E1883" s="415" t="s">
        <v>456</v>
      </c>
      <c r="F1883" s="425">
        <v>120</v>
      </c>
      <c r="G1883" s="423" t="s">
        <v>4084</v>
      </c>
      <c r="H1883" s="419" t="s">
        <v>758</v>
      </c>
      <c r="I1883" s="427" t="s">
        <v>764</v>
      </c>
      <c r="J1883" s="415" t="s">
        <v>310</v>
      </c>
      <c r="K1883" s="415" t="s">
        <v>1220</v>
      </c>
      <c r="L1883" s="415" t="s">
        <v>3443</v>
      </c>
      <c r="M1883" s="546">
        <v>222132190609</v>
      </c>
      <c r="N1883" s="414">
        <v>44720</v>
      </c>
      <c r="O1883" s="414" t="s">
        <v>400</v>
      </c>
      <c r="P1883" s="603">
        <f t="shared" si="281"/>
        <v>6</v>
      </c>
      <c r="Q1883" s="603">
        <f t="shared" si="282"/>
        <v>1</v>
      </c>
      <c r="R1883" s="604" t="str">
        <f t="shared" si="283"/>
        <v>Gastos_Gerais</v>
      </c>
      <c r="S1883" s="605" t="s">
        <v>310</v>
      </c>
      <c r="T1883" s="605" t="s">
        <v>310</v>
      </c>
    </row>
    <row r="1884" spans="1:20" s="88" customFormat="1" ht="24" x14ac:dyDescent="0.2">
      <c r="A1884" s="510">
        <f>IF(B1884="","",COUNT('Diário 1º PA'!$A$4:$A$2635)+ROW()-3)</f>
        <v>3617</v>
      </c>
      <c r="B1884" s="414">
        <v>44720</v>
      </c>
      <c r="C1884" s="431">
        <v>44652</v>
      </c>
      <c r="D1884" s="415" t="s">
        <v>271</v>
      </c>
      <c r="E1884" s="415" t="s">
        <v>454</v>
      </c>
      <c r="F1884" s="425">
        <v>1507.5</v>
      </c>
      <c r="G1884" s="423" t="s">
        <v>4155</v>
      </c>
      <c r="H1884" s="419" t="s">
        <v>792</v>
      </c>
      <c r="I1884" s="427" t="s">
        <v>764</v>
      </c>
      <c r="J1884" s="415" t="s">
        <v>310</v>
      </c>
      <c r="K1884" s="415" t="s">
        <v>1220</v>
      </c>
      <c r="L1884" s="415" t="s">
        <v>3443</v>
      </c>
      <c r="M1884" s="546">
        <v>222132191087</v>
      </c>
      <c r="N1884" s="414">
        <v>44720</v>
      </c>
      <c r="O1884" s="414" t="s">
        <v>400</v>
      </c>
      <c r="P1884" s="603">
        <f t="shared" si="281"/>
        <v>6</v>
      </c>
      <c r="Q1884" s="603">
        <f t="shared" si="282"/>
        <v>4</v>
      </c>
      <c r="R1884" s="604" t="str">
        <f t="shared" si="283"/>
        <v>Gastos_Gerais</v>
      </c>
      <c r="S1884" s="605" t="s">
        <v>310</v>
      </c>
      <c r="T1884" s="605" t="s">
        <v>310</v>
      </c>
    </row>
    <row r="1885" spans="1:20" s="88" customFormat="1" ht="36" x14ac:dyDescent="0.2">
      <c r="A1885" s="510">
        <f>IF(B1885="","",COUNT('Diário 1º PA'!$A$4:$A$2635)+ROW()-3)</f>
        <v>3618</v>
      </c>
      <c r="B1885" s="414">
        <v>44720</v>
      </c>
      <c r="C1885" s="431">
        <v>44621</v>
      </c>
      <c r="D1885" s="415" t="s">
        <v>271</v>
      </c>
      <c r="E1885" s="415" t="s">
        <v>456</v>
      </c>
      <c r="F1885" s="435">
        <v>60</v>
      </c>
      <c r="G1885" s="437" t="s">
        <v>4152</v>
      </c>
      <c r="H1885" s="419" t="s">
        <v>758</v>
      </c>
      <c r="I1885" s="427" t="s">
        <v>764</v>
      </c>
      <c r="J1885" s="415" t="s">
        <v>310</v>
      </c>
      <c r="K1885" s="415" t="s">
        <v>1220</v>
      </c>
      <c r="L1885" s="415" t="s">
        <v>3443</v>
      </c>
      <c r="M1885" s="546">
        <v>222132191249</v>
      </c>
      <c r="N1885" s="414">
        <v>44720</v>
      </c>
      <c r="O1885" s="414" t="s">
        <v>400</v>
      </c>
      <c r="P1885" s="603">
        <f t="shared" si="281"/>
        <v>6</v>
      </c>
      <c r="Q1885" s="603">
        <f t="shared" si="282"/>
        <v>3</v>
      </c>
      <c r="R1885" s="604" t="str">
        <f t="shared" si="283"/>
        <v>Gastos_Gerais</v>
      </c>
      <c r="S1885" s="605" t="s">
        <v>310</v>
      </c>
      <c r="T1885" s="605" t="s">
        <v>310</v>
      </c>
    </row>
    <row r="1886" spans="1:20" s="88" customFormat="1" ht="24" x14ac:dyDescent="0.2">
      <c r="A1886" s="510">
        <f>IF(B1886="","",COUNT('Diário 1º PA'!$A$4:$A$2635)+ROW()-3)</f>
        <v>3619</v>
      </c>
      <c r="B1886" s="414">
        <v>44720</v>
      </c>
      <c r="C1886" s="431">
        <v>44682</v>
      </c>
      <c r="D1886" s="415" t="s">
        <v>271</v>
      </c>
      <c r="E1886" s="415" t="s">
        <v>90</v>
      </c>
      <c r="F1886" s="435">
        <v>12.64</v>
      </c>
      <c r="G1886" s="437" t="s">
        <v>4172</v>
      </c>
      <c r="H1886" s="419" t="s">
        <v>753</v>
      </c>
      <c r="I1886" s="427" t="s">
        <v>764</v>
      </c>
      <c r="J1886" s="415" t="s">
        <v>310</v>
      </c>
      <c r="K1886" s="415" t="s">
        <v>1220</v>
      </c>
      <c r="L1886" s="415" t="s">
        <v>3443</v>
      </c>
      <c r="M1886" s="546">
        <v>222132191753</v>
      </c>
      <c r="N1886" s="414">
        <v>44720</v>
      </c>
      <c r="O1886" s="414" t="s">
        <v>400</v>
      </c>
      <c r="P1886" s="603">
        <f t="shared" si="281"/>
        <v>6</v>
      </c>
      <c r="Q1886" s="603">
        <f t="shared" si="282"/>
        <v>5</v>
      </c>
      <c r="R1886" s="604" t="str">
        <f t="shared" si="283"/>
        <v>Gastos_Gerais</v>
      </c>
      <c r="S1886" s="605" t="s">
        <v>310</v>
      </c>
      <c r="T1886" s="605" t="s">
        <v>310</v>
      </c>
    </row>
    <row r="1887" spans="1:20" s="88" customFormat="1" ht="36" x14ac:dyDescent="0.2">
      <c r="A1887" s="510">
        <f>IF(B1887="","",COUNT('Diário 1º PA'!$A$4:$A$2635)+ROW()-3)</f>
        <v>3620</v>
      </c>
      <c r="B1887" s="414">
        <v>44720</v>
      </c>
      <c r="C1887" s="431">
        <v>44652</v>
      </c>
      <c r="D1887" s="415" t="s">
        <v>271</v>
      </c>
      <c r="E1887" s="415" t="s">
        <v>453</v>
      </c>
      <c r="F1887" s="435">
        <v>90</v>
      </c>
      <c r="G1887" s="437" t="s">
        <v>4196</v>
      </c>
      <c r="H1887" s="419" t="s">
        <v>752</v>
      </c>
      <c r="I1887" s="427" t="s">
        <v>764</v>
      </c>
      <c r="J1887" s="415" t="s">
        <v>310</v>
      </c>
      <c r="K1887" s="415" t="s">
        <v>1220</v>
      </c>
      <c r="L1887" s="415" t="s">
        <v>3443</v>
      </c>
      <c r="M1887" s="546" t="s">
        <v>4638</v>
      </c>
      <c r="N1887" s="414">
        <v>44720</v>
      </c>
      <c r="O1887" s="414" t="s">
        <v>400</v>
      </c>
      <c r="P1887" s="603">
        <f t="shared" si="281"/>
        <v>6</v>
      </c>
      <c r="Q1887" s="603">
        <f t="shared" si="282"/>
        <v>4</v>
      </c>
      <c r="R1887" s="604" t="str">
        <f t="shared" si="283"/>
        <v>Gastos_Gerais</v>
      </c>
      <c r="S1887" s="605" t="s">
        <v>310</v>
      </c>
      <c r="T1887" s="605" t="s">
        <v>310</v>
      </c>
    </row>
    <row r="1888" spans="1:20" s="88" customFormat="1" ht="48" x14ac:dyDescent="0.2">
      <c r="A1888" s="510">
        <f>IF(B1888="","",COUNT('Diário 1º PA'!$A$4:$A$2635)+ROW()-3)</f>
        <v>3621</v>
      </c>
      <c r="B1888" s="414">
        <v>44720</v>
      </c>
      <c r="C1888" s="431">
        <v>44652</v>
      </c>
      <c r="D1888" s="594" t="s">
        <v>271</v>
      </c>
      <c r="E1888" s="415" t="s">
        <v>456</v>
      </c>
      <c r="F1888" s="435">
        <v>12.06</v>
      </c>
      <c r="G1888" s="437" t="s">
        <v>4201</v>
      </c>
      <c r="H1888" s="419" t="s">
        <v>760</v>
      </c>
      <c r="I1888" s="427" t="s">
        <v>764</v>
      </c>
      <c r="J1888" s="415" t="s">
        <v>310</v>
      </c>
      <c r="K1888" s="415" t="s">
        <v>1220</v>
      </c>
      <c r="L1888" s="415" t="s">
        <v>3443</v>
      </c>
      <c r="M1888" s="546" t="s">
        <v>4639</v>
      </c>
      <c r="N1888" s="414">
        <v>44720</v>
      </c>
      <c r="O1888" s="414" t="s">
        <v>400</v>
      </c>
      <c r="P1888" s="603">
        <f t="shared" si="281"/>
        <v>6</v>
      </c>
      <c r="Q1888" s="603">
        <f t="shared" si="282"/>
        <v>4</v>
      </c>
      <c r="R1888" s="604" t="str">
        <f t="shared" si="283"/>
        <v>Gastos_Gerais</v>
      </c>
      <c r="S1888" s="605" t="s">
        <v>310</v>
      </c>
      <c r="T1888" s="605" t="s">
        <v>310</v>
      </c>
    </row>
    <row r="1889" spans="1:20" s="88" customFormat="1" ht="48" x14ac:dyDescent="0.2">
      <c r="A1889" s="510">
        <f>IF(B1889="","",COUNT('Diário 1º PA'!$A$4:$A$2635)+ROW()-3)</f>
        <v>3622</v>
      </c>
      <c r="B1889" s="414">
        <v>44720</v>
      </c>
      <c r="C1889" s="431">
        <v>44652</v>
      </c>
      <c r="D1889" s="415" t="s">
        <v>271</v>
      </c>
      <c r="E1889" s="415" t="s">
        <v>456</v>
      </c>
      <c r="F1889" s="435">
        <v>14.07</v>
      </c>
      <c r="G1889" s="437" t="s">
        <v>4205</v>
      </c>
      <c r="H1889" s="419" t="s">
        <v>760</v>
      </c>
      <c r="I1889" s="427" t="s">
        <v>764</v>
      </c>
      <c r="J1889" s="415" t="s">
        <v>310</v>
      </c>
      <c r="K1889" s="415" t="s">
        <v>1220</v>
      </c>
      <c r="L1889" s="415" t="s">
        <v>3443</v>
      </c>
      <c r="M1889" s="546" t="s">
        <v>4641</v>
      </c>
      <c r="N1889" s="414">
        <v>44720</v>
      </c>
      <c r="O1889" s="414" t="s">
        <v>400</v>
      </c>
      <c r="P1889" s="603">
        <f t="shared" si="281"/>
        <v>6</v>
      </c>
      <c r="Q1889" s="603">
        <f t="shared" si="282"/>
        <v>4</v>
      </c>
      <c r="R1889" s="604" t="str">
        <f t="shared" si="283"/>
        <v>Gastos_Gerais</v>
      </c>
      <c r="S1889" s="605" t="s">
        <v>310</v>
      </c>
      <c r="T1889" s="605" t="s">
        <v>310</v>
      </c>
    </row>
    <row r="1890" spans="1:20" s="88" customFormat="1" ht="36" x14ac:dyDescent="0.2">
      <c r="A1890" s="510">
        <f>IF(B1890="","",COUNT('Diário 1º PA'!$A$4:$A$2635)+ROW()-3)</f>
        <v>3623</v>
      </c>
      <c r="B1890" s="414">
        <v>44720</v>
      </c>
      <c r="C1890" s="431">
        <v>44652</v>
      </c>
      <c r="D1890" s="415" t="s">
        <v>271</v>
      </c>
      <c r="E1890" s="415" t="s">
        <v>456</v>
      </c>
      <c r="F1890" s="435">
        <v>340</v>
      </c>
      <c r="G1890" s="437" t="s">
        <v>4204</v>
      </c>
      <c r="H1890" s="419" t="s">
        <v>752</v>
      </c>
      <c r="I1890" s="427" t="s">
        <v>764</v>
      </c>
      <c r="J1890" s="415" t="s">
        <v>310</v>
      </c>
      <c r="K1890" s="415" t="s">
        <v>1220</v>
      </c>
      <c r="L1890" s="415" t="s">
        <v>3443</v>
      </c>
      <c r="M1890" s="546" t="s">
        <v>4640</v>
      </c>
      <c r="N1890" s="414">
        <v>44720</v>
      </c>
      <c r="O1890" s="414" t="s">
        <v>400</v>
      </c>
      <c r="P1890" s="603">
        <f t="shared" si="281"/>
        <v>6</v>
      </c>
      <c r="Q1890" s="603">
        <f t="shared" si="282"/>
        <v>4</v>
      </c>
      <c r="R1890" s="604" t="str">
        <f t="shared" si="283"/>
        <v>Gastos_Gerais</v>
      </c>
      <c r="S1890" s="605" t="s">
        <v>310</v>
      </c>
      <c r="T1890" s="605" t="s">
        <v>310</v>
      </c>
    </row>
    <row r="1891" spans="1:20" s="88" customFormat="1" ht="48" x14ac:dyDescent="0.2">
      <c r="A1891" s="510">
        <f>IF(B1891="","",COUNT('Diário 1º PA'!$A$4:$A$2635)+ROW()-3)</f>
        <v>3624</v>
      </c>
      <c r="B1891" s="414">
        <v>44720</v>
      </c>
      <c r="C1891" s="431">
        <v>44682</v>
      </c>
      <c r="D1891" s="415" t="s">
        <v>271</v>
      </c>
      <c r="E1891" s="415" t="s">
        <v>463</v>
      </c>
      <c r="F1891" s="425">
        <v>25</v>
      </c>
      <c r="G1891" s="427" t="s">
        <v>4298</v>
      </c>
      <c r="H1891" s="419" t="s">
        <v>760</v>
      </c>
      <c r="I1891" s="427" t="s">
        <v>764</v>
      </c>
      <c r="J1891" s="415" t="s">
        <v>310</v>
      </c>
      <c r="K1891" s="415" t="s">
        <v>1220</v>
      </c>
      <c r="L1891" s="415" t="s">
        <v>3443</v>
      </c>
      <c r="M1891" s="546" t="s">
        <v>4642</v>
      </c>
      <c r="N1891" s="414">
        <v>44720</v>
      </c>
      <c r="O1891" s="414" t="s">
        <v>400</v>
      </c>
      <c r="P1891" s="603">
        <f t="shared" si="281"/>
        <v>6</v>
      </c>
      <c r="Q1891" s="603">
        <f t="shared" si="282"/>
        <v>5</v>
      </c>
      <c r="R1891" s="604" t="str">
        <f t="shared" si="283"/>
        <v>Gastos_Gerais</v>
      </c>
      <c r="S1891" s="605" t="s">
        <v>310</v>
      </c>
      <c r="T1891" s="605" t="s">
        <v>310</v>
      </c>
    </row>
    <row r="1892" spans="1:20" s="88" customFormat="1" ht="24" x14ac:dyDescent="0.2">
      <c r="A1892" s="510">
        <f>IF(B1892="","",COUNT('Diário 1º PA'!$A$4:$A$2635)+ROW()-3)</f>
        <v>3625</v>
      </c>
      <c r="B1892" s="414">
        <v>44720</v>
      </c>
      <c r="C1892" s="592">
        <v>44682</v>
      </c>
      <c r="D1892" s="415" t="s">
        <v>182</v>
      </c>
      <c r="E1892" s="415" t="s">
        <v>161</v>
      </c>
      <c r="F1892" s="425">
        <v>0.56999999999999995</v>
      </c>
      <c r="G1892" s="437" t="s">
        <v>4643</v>
      </c>
      <c r="H1892" s="415" t="s">
        <v>310</v>
      </c>
      <c r="I1892" s="427" t="s">
        <v>764</v>
      </c>
      <c r="J1892" s="415" t="s">
        <v>310</v>
      </c>
      <c r="K1892" s="415" t="s">
        <v>1220</v>
      </c>
      <c r="L1892" s="415" t="s">
        <v>3443</v>
      </c>
      <c r="M1892" s="546" t="s">
        <v>4644</v>
      </c>
      <c r="N1892" s="414">
        <v>44720</v>
      </c>
      <c r="O1892" s="414" t="s">
        <v>400</v>
      </c>
      <c r="P1892" s="603">
        <f t="shared" si="281"/>
        <v>6</v>
      </c>
      <c r="Q1892" s="603">
        <f t="shared" si="282"/>
        <v>5</v>
      </c>
      <c r="R1892" s="604" t="str">
        <f t="shared" si="283"/>
        <v>Gastos_com_Pessoal</v>
      </c>
      <c r="S1892" s="605" t="s">
        <v>310</v>
      </c>
      <c r="T1892" s="605" t="s">
        <v>310</v>
      </c>
    </row>
    <row r="1893" spans="1:20" s="88" customFormat="1" ht="36" x14ac:dyDescent="0.2">
      <c r="A1893" s="510">
        <f>IF(B1893="","",COUNT('Diário 1º PA'!$A$4:$A$2635)+ROW()-3)</f>
        <v>3626</v>
      </c>
      <c r="B1893" s="414">
        <v>44720</v>
      </c>
      <c r="C1893" s="592">
        <v>44682</v>
      </c>
      <c r="D1893" s="415" t="s">
        <v>182</v>
      </c>
      <c r="E1893" s="415" t="s">
        <v>161</v>
      </c>
      <c r="F1893" s="435">
        <v>0.75</v>
      </c>
      <c r="G1893" s="437" t="s">
        <v>4645</v>
      </c>
      <c r="H1893" s="415" t="s">
        <v>310</v>
      </c>
      <c r="I1893" s="427" t="s">
        <v>764</v>
      </c>
      <c r="J1893" s="415" t="s">
        <v>310</v>
      </c>
      <c r="K1893" s="415" t="s">
        <v>1220</v>
      </c>
      <c r="L1893" s="415" t="s">
        <v>3443</v>
      </c>
      <c r="M1893" s="546">
        <v>222132194779</v>
      </c>
      <c r="N1893" s="414">
        <v>44720</v>
      </c>
      <c r="O1893" s="414" t="s">
        <v>400</v>
      </c>
      <c r="P1893" s="603">
        <f t="shared" si="281"/>
        <v>6</v>
      </c>
      <c r="Q1893" s="603">
        <f t="shared" si="282"/>
        <v>5</v>
      </c>
      <c r="R1893" s="604" t="str">
        <f t="shared" si="283"/>
        <v>Gastos_com_Pessoal</v>
      </c>
      <c r="S1893" s="605" t="s">
        <v>310</v>
      </c>
      <c r="T1893" s="605" t="s">
        <v>310</v>
      </c>
    </row>
    <row r="1894" spans="1:20" s="88" customFormat="1" ht="99.95" customHeight="1" x14ac:dyDescent="0.2">
      <c r="A1894" s="510">
        <f>IF(B1894="","",COUNT('Diário 1º PA'!$A$4:$A$2635)+ROW()-3)</f>
        <v>3627</v>
      </c>
      <c r="B1894" s="414">
        <v>44720</v>
      </c>
      <c r="C1894" s="431">
        <v>44621</v>
      </c>
      <c r="D1894" s="415" t="s">
        <v>271</v>
      </c>
      <c r="E1894" s="415" t="s">
        <v>450</v>
      </c>
      <c r="F1894" s="425">
        <v>350</v>
      </c>
      <c r="G1894" s="427" t="s">
        <v>3777</v>
      </c>
      <c r="H1894" s="419" t="s">
        <v>792</v>
      </c>
      <c r="I1894" s="427" t="s">
        <v>764</v>
      </c>
      <c r="J1894" s="415" t="s">
        <v>310</v>
      </c>
      <c r="K1894" s="415" t="s">
        <v>1220</v>
      </c>
      <c r="L1894" s="415" t="s">
        <v>3443</v>
      </c>
      <c r="M1894" s="546">
        <v>222132198847</v>
      </c>
      <c r="N1894" s="414">
        <v>44720</v>
      </c>
      <c r="O1894" s="414" t="s">
        <v>400</v>
      </c>
      <c r="P1894" s="603">
        <f t="shared" si="281"/>
        <v>6</v>
      </c>
      <c r="Q1894" s="603">
        <f t="shared" si="282"/>
        <v>3</v>
      </c>
      <c r="R1894" s="604" t="str">
        <f t="shared" si="283"/>
        <v>Gastos_Gerais</v>
      </c>
      <c r="S1894" s="605" t="s">
        <v>310</v>
      </c>
      <c r="T1894" s="605" t="s">
        <v>310</v>
      </c>
    </row>
    <row r="1895" spans="1:20" s="88" customFormat="1" ht="99.95" customHeight="1" x14ac:dyDescent="0.2">
      <c r="A1895" s="510">
        <f>IF(B1895="","",COUNT('Diário 1º PA'!$A$4:$A$2635)+ROW()-3)</f>
        <v>3628</v>
      </c>
      <c r="B1895" s="414">
        <v>44720</v>
      </c>
      <c r="C1895" s="431">
        <v>44682</v>
      </c>
      <c r="D1895" s="415" t="s">
        <v>271</v>
      </c>
      <c r="E1895" s="415" t="s">
        <v>297</v>
      </c>
      <c r="F1895" s="425">
        <v>1143.1300000000001</v>
      </c>
      <c r="G1895" s="427" t="s">
        <v>3925</v>
      </c>
      <c r="H1895" s="415" t="s">
        <v>309</v>
      </c>
      <c r="I1895" s="427" t="s">
        <v>776</v>
      </c>
      <c r="J1895" s="415" t="s">
        <v>1036</v>
      </c>
      <c r="K1895" s="415" t="s">
        <v>812</v>
      </c>
      <c r="L1895" s="415" t="s">
        <v>807</v>
      </c>
      <c r="M1895" s="415">
        <v>45871</v>
      </c>
      <c r="N1895" s="414">
        <v>44713</v>
      </c>
      <c r="O1895" s="414" t="s">
        <v>400</v>
      </c>
      <c r="P1895" s="603">
        <f t="shared" si="281"/>
        <v>6</v>
      </c>
      <c r="Q1895" s="603">
        <f t="shared" si="282"/>
        <v>5</v>
      </c>
      <c r="R1895" s="604" t="str">
        <f t="shared" si="283"/>
        <v>Gastos_Gerais</v>
      </c>
      <c r="S1895" s="605" t="s">
        <v>1000</v>
      </c>
      <c r="T1895" s="605">
        <v>1141</v>
      </c>
    </row>
    <row r="1896" spans="1:20" s="88" customFormat="1" ht="99.95" customHeight="1" x14ac:dyDescent="0.2">
      <c r="A1896" s="510">
        <f>IF(B1896="","",COUNT('Diário 1º PA'!$A$4:$A$2635)+ROW()-3)</f>
        <v>3629</v>
      </c>
      <c r="B1896" s="414">
        <v>44720</v>
      </c>
      <c r="C1896" s="433">
        <v>44652</v>
      </c>
      <c r="D1896" s="434" t="s">
        <v>271</v>
      </c>
      <c r="E1896" s="434" t="s">
        <v>465</v>
      </c>
      <c r="F1896" s="425">
        <v>22057.1</v>
      </c>
      <c r="G1896" s="427" t="s">
        <v>4646</v>
      </c>
      <c r="H1896" s="426" t="s">
        <v>752</v>
      </c>
      <c r="I1896" s="427" t="s">
        <v>4647</v>
      </c>
      <c r="J1896" s="415" t="s">
        <v>3256</v>
      </c>
      <c r="K1896" s="415" t="s">
        <v>812</v>
      </c>
      <c r="L1896" s="415" t="s">
        <v>807</v>
      </c>
      <c r="M1896" s="415" t="s">
        <v>4648</v>
      </c>
      <c r="N1896" s="414">
        <v>44713</v>
      </c>
      <c r="O1896" s="414" t="s">
        <v>400</v>
      </c>
      <c r="P1896" s="603">
        <f t="shared" ref="P1896:Q1900" si="284">IF(B1896=0,0,IF(YEAR(B1896)=$Q$1,MONTH(B1896)-$P$1+1,(YEAR(B1896)-$Q$1)*12-$P$1+1+MONTH(B1896)))</f>
        <v>6</v>
      </c>
      <c r="Q1896" s="603">
        <f t="shared" si="284"/>
        <v>4</v>
      </c>
      <c r="R1896" s="604" t="str">
        <f>SUBSTITUTE(D1896," ","_")</f>
        <v>Gastos_Gerais</v>
      </c>
      <c r="S1896" s="605" t="s">
        <v>998</v>
      </c>
      <c r="T1896" s="605">
        <v>3324</v>
      </c>
    </row>
    <row r="1897" spans="1:20" s="88" customFormat="1" ht="99.95" customHeight="1" x14ac:dyDescent="0.2">
      <c r="A1897" s="510">
        <f>IF(B1897="","",COUNT('Diário 1º PA'!$A$4:$A$2635)+ROW()-3)</f>
        <v>3630</v>
      </c>
      <c r="B1897" s="455">
        <v>44720</v>
      </c>
      <c r="C1897" s="431">
        <v>44621</v>
      </c>
      <c r="D1897" s="415" t="s">
        <v>271</v>
      </c>
      <c r="E1897" s="415" t="s">
        <v>453</v>
      </c>
      <c r="F1897" s="435">
        <v>1512</v>
      </c>
      <c r="G1897" s="642" t="s">
        <v>4650</v>
      </c>
      <c r="H1897" s="419" t="s">
        <v>752</v>
      </c>
      <c r="I1897" s="437" t="s">
        <v>2829</v>
      </c>
      <c r="J1897" s="434" t="s">
        <v>1834</v>
      </c>
      <c r="K1897" s="415" t="s">
        <v>830</v>
      </c>
      <c r="L1897" s="434" t="s">
        <v>839</v>
      </c>
      <c r="M1897" s="434">
        <v>1797</v>
      </c>
      <c r="N1897" s="455">
        <v>44715</v>
      </c>
      <c r="O1897" s="414" t="s">
        <v>400</v>
      </c>
      <c r="P1897" s="603">
        <f t="shared" si="284"/>
        <v>6</v>
      </c>
      <c r="Q1897" s="603">
        <f t="shared" si="284"/>
        <v>3</v>
      </c>
      <c r="R1897" s="604" t="str">
        <f>SUBSTITUTE(D1897," ","_")</f>
        <v>Gastos_Gerais</v>
      </c>
      <c r="S1897" s="605" t="s">
        <v>998</v>
      </c>
      <c r="T1897" s="605">
        <v>3309</v>
      </c>
    </row>
    <row r="1898" spans="1:20" s="88" customFormat="1" ht="99.95" customHeight="1" x14ac:dyDescent="0.2">
      <c r="A1898" s="510">
        <f>IF(B1898="","",COUNT('Diário 1º PA'!$A$4:$A$2635)+ROW()-3)</f>
        <v>3631</v>
      </c>
      <c r="B1898" s="414">
        <v>44720</v>
      </c>
      <c r="C1898" s="431">
        <v>44682</v>
      </c>
      <c r="D1898" s="415" t="s">
        <v>271</v>
      </c>
      <c r="E1898" s="415" t="s">
        <v>90</v>
      </c>
      <c r="F1898" s="425">
        <v>3000</v>
      </c>
      <c r="G1898" s="423" t="s">
        <v>3964</v>
      </c>
      <c r="H1898" s="419" t="s">
        <v>750</v>
      </c>
      <c r="I1898" s="427" t="s">
        <v>856</v>
      </c>
      <c r="J1898" s="419" t="s">
        <v>1077</v>
      </c>
      <c r="K1898" s="415" t="s">
        <v>830</v>
      </c>
      <c r="L1898" s="415" t="s">
        <v>807</v>
      </c>
      <c r="M1898" s="434">
        <v>145</v>
      </c>
      <c r="N1898" s="455">
        <v>44719</v>
      </c>
      <c r="O1898" s="414" t="s">
        <v>400</v>
      </c>
      <c r="P1898" s="603">
        <f t="shared" si="284"/>
        <v>6</v>
      </c>
      <c r="Q1898" s="603">
        <f t="shared" si="284"/>
        <v>5</v>
      </c>
      <c r="R1898" s="604" t="str">
        <f>SUBSTITUTE(D1898," ","_")</f>
        <v>Gastos_Gerais</v>
      </c>
      <c r="S1898" s="605" t="s">
        <v>1000</v>
      </c>
      <c r="T1898" s="605">
        <v>3527</v>
      </c>
    </row>
    <row r="1899" spans="1:20" s="88" customFormat="1" ht="99.95" customHeight="1" x14ac:dyDescent="0.2">
      <c r="A1899" s="510">
        <f>IF(B1899="","",COUNT('Diário 1º PA'!$A$4:$A$2635)+ROW()-3)</f>
        <v>3632</v>
      </c>
      <c r="B1899" s="414">
        <v>44720</v>
      </c>
      <c r="C1899" s="431">
        <v>44713</v>
      </c>
      <c r="D1899" s="415" t="s">
        <v>271</v>
      </c>
      <c r="E1899" s="415" t="s">
        <v>71</v>
      </c>
      <c r="F1899" s="425">
        <v>11</v>
      </c>
      <c r="G1899" s="427" t="s">
        <v>4653</v>
      </c>
      <c r="H1899" s="419" t="s">
        <v>752</v>
      </c>
      <c r="I1899" s="427" t="s">
        <v>881</v>
      </c>
      <c r="J1899" s="415" t="s">
        <v>882</v>
      </c>
      <c r="K1899" s="415" t="s">
        <v>883</v>
      </c>
      <c r="L1899" s="415" t="s">
        <v>798</v>
      </c>
      <c r="M1899" s="415" t="s">
        <v>310</v>
      </c>
      <c r="N1899" s="414">
        <v>44720</v>
      </c>
      <c r="O1899" s="414" t="s">
        <v>400</v>
      </c>
      <c r="P1899" s="603">
        <f t="shared" si="284"/>
        <v>6</v>
      </c>
      <c r="Q1899" s="603">
        <f t="shared" si="284"/>
        <v>6</v>
      </c>
      <c r="R1899" s="604" t="str">
        <f>SUBSTITUTE(D1899," ","_")</f>
        <v>Gastos_Gerais</v>
      </c>
      <c r="S1899" s="605" t="s">
        <v>310</v>
      </c>
      <c r="T1899" s="605" t="s">
        <v>310</v>
      </c>
    </row>
    <row r="1900" spans="1:20" s="88" customFormat="1" ht="99.95" customHeight="1" x14ac:dyDescent="0.2">
      <c r="A1900" s="510">
        <f>IF(B1900="","",COUNT('Diário 1º PA'!$A$4:$A$2635)+ROW()-3)</f>
        <v>3633</v>
      </c>
      <c r="B1900" s="414">
        <v>44720</v>
      </c>
      <c r="C1900" s="431">
        <v>44713</v>
      </c>
      <c r="D1900" s="415" t="s">
        <v>271</v>
      </c>
      <c r="E1900" s="415" t="s">
        <v>71</v>
      </c>
      <c r="F1900" s="425">
        <v>11</v>
      </c>
      <c r="G1900" s="427" t="s">
        <v>4654</v>
      </c>
      <c r="H1900" s="419" t="s">
        <v>750</v>
      </c>
      <c r="I1900" s="427" t="s">
        <v>881</v>
      </c>
      <c r="J1900" s="415" t="s">
        <v>882</v>
      </c>
      <c r="K1900" s="415" t="s">
        <v>883</v>
      </c>
      <c r="L1900" s="415" t="s">
        <v>798</v>
      </c>
      <c r="M1900" s="415" t="s">
        <v>310</v>
      </c>
      <c r="N1900" s="414">
        <v>44720</v>
      </c>
      <c r="O1900" s="414" t="s">
        <v>400</v>
      </c>
      <c r="P1900" s="603">
        <f t="shared" si="284"/>
        <v>6</v>
      </c>
      <c r="Q1900" s="603">
        <f t="shared" si="284"/>
        <v>6</v>
      </c>
      <c r="R1900" s="604" t="str">
        <f>SUBSTITUTE(D1900," ","_")</f>
        <v>Gastos_Gerais</v>
      </c>
      <c r="S1900" s="605" t="s">
        <v>310</v>
      </c>
      <c r="T1900" s="605" t="s">
        <v>310</v>
      </c>
    </row>
    <row r="1901" spans="1:20" ht="99.95" customHeight="1" x14ac:dyDescent="0.2">
      <c r="A1901" s="510">
        <f>IF(B1901="","",COUNT('Diário 1º PA'!$A$4:$A$2635)+ROW()-3)</f>
        <v>3634</v>
      </c>
      <c r="B1901" s="414">
        <v>44720</v>
      </c>
      <c r="C1901" s="431">
        <v>44652</v>
      </c>
      <c r="D1901" s="415" t="s">
        <v>468</v>
      </c>
      <c r="E1901" s="415" t="s">
        <v>468</v>
      </c>
      <c r="F1901" s="425">
        <v>52.15</v>
      </c>
      <c r="G1901" s="640" t="s">
        <v>5257</v>
      </c>
      <c r="H1901" s="419" t="s">
        <v>468</v>
      </c>
      <c r="I1901" s="427" t="s">
        <v>764</v>
      </c>
      <c r="J1901" s="415" t="s">
        <v>310</v>
      </c>
      <c r="K1901" s="415" t="s">
        <v>1220</v>
      </c>
      <c r="L1901" s="415" t="s">
        <v>3443</v>
      </c>
      <c r="M1901" s="613">
        <v>222132109925</v>
      </c>
      <c r="N1901" s="414">
        <v>44720</v>
      </c>
      <c r="O1901" s="414" t="s">
        <v>407</v>
      </c>
      <c r="P1901" s="603">
        <f t="shared" ref="P1901:P1963" si="285">IF(B1901=0,0,IF(YEAR(B1901)=$Q$1,MONTH(B1901)-$P$1+1,(YEAR(B1901)-$Q$1)*12-$P$1+1+MONTH(B1901)))</f>
        <v>6</v>
      </c>
      <c r="Q1901" s="603">
        <f t="shared" ref="Q1901:Q1963" si="286">IF(C1901=0,0,IF(YEAR(C1901)=$Q$1,MONTH(C1901)-$P$1+1,(YEAR(C1901)-$Q$1)*12-$P$1+1+MONTH(C1901)))</f>
        <v>4</v>
      </c>
      <c r="R1901" s="604" t="str">
        <f t="shared" ref="R1901:R1963" si="287">SUBSTITUTE(D1901," ","_")</f>
        <v>Gastos_custeados_por_captação</v>
      </c>
      <c r="S1901" s="605" t="s">
        <v>310</v>
      </c>
      <c r="T1901" s="605" t="s">
        <v>310</v>
      </c>
    </row>
    <row r="1902" spans="1:20" ht="99.95" customHeight="1" x14ac:dyDescent="0.2">
      <c r="A1902" s="510">
        <f>IF(B1902="","",COUNT('Diário 1º PA'!$A$4:$A$2635)+ROW()-3)</f>
        <v>3635</v>
      </c>
      <c r="B1902" s="414">
        <v>44720</v>
      </c>
      <c r="C1902" s="431">
        <v>44652</v>
      </c>
      <c r="D1902" s="415" t="s">
        <v>468</v>
      </c>
      <c r="E1902" s="415" t="s">
        <v>468</v>
      </c>
      <c r="F1902" s="425">
        <v>301.5</v>
      </c>
      <c r="G1902" s="640" t="s">
        <v>5258</v>
      </c>
      <c r="H1902" s="419" t="s">
        <v>468</v>
      </c>
      <c r="I1902" s="427" t="s">
        <v>764</v>
      </c>
      <c r="J1902" s="415" t="s">
        <v>310</v>
      </c>
      <c r="K1902" s="415" t="s">
        <v>1220</v>
      </c>
      <c r="L1902" s="415" t="s">
        <v>3443</v>
      </c>
      <c r="M1902" s="613">
        <v>222132075680</v>
      </c>
      <c r="N1902" s="414">
        <v>44720</v>
      </c>
      <c r="O1902" s="414" t="s">
        <v>407</v>
      </c>
      <c r="P1902" s="603">
        <f t="shared" si="285"/>
        <v>6</v>
      </c>
      <c r="Q1902" s="603">
        <f t="shared" si="286"/>
        <v>4</v>
      </c>
      <c r="R1902" s="604" t="str">
        <f t="shared" si="287"/>
        <v>Gastos_custeados_por_captação</v>
      </c>
      <c r="S1902" s="605" t="s">
        <v>310</v>
      </c>
      <c r="T1902" s="605" t="s">
        <v>310</v>
      </c>
    </row>
    <row r="1903" spans="1:20" ht="99.95" customHeight="1" x14ac:dyDescent="0.2">
      <c r="A1903" s="510">
        <f>IF(B1903="","",COUNT('Diário 1º PA'!$A$4:$A$2635)+ROW()-3)</f>
        <v>3636</v>
      </c>
      <c r="B1903" s="414">
        <v>44720</v>
      </c>
      <c r="C1903" s="431">
        <v>44652</v>
      </c>
      <c r="D1903" s="415" t="s">
        <v>468</v>
      </c>
      <c r="E1903" s="415" t="s">
        <v>468</v>
      </c>
      <c r="F1903" s="425">
        <v>52.15</v>
      </c>
      <c r="G1903" s="640" t="s">
        <v>5259</v>
      </c>
      <c r="H1903" s="419" t="s">
        <v>468</v>
      </c>
      <c r="I1903" s="427" t="s">
        <v>764</v>
      </c>
      <c r="J1903" s="415" t="s">
        <v>310</v>
      </c>
      <c r="K1903" s="415" t="s">
        <v>1220</v>
      </c>
      <c r="L1903" s="415" t="s">
        <v>3443</v>
      </c>
      <c r="M1903" s="613">
        <v>222131971127</v>
      </c>
      <c r="N1903" s="414">
        <v>44720</v>
      </c>
      <c r="O1903" s="414" t="s">
        <v>407</v>
      </c>
      <c r="P1903" s="603">
        <f t="shared" si="285"/>
        <v>6</v>
      </c>
      <c r="Q1903" s="603">
        <f t="shared" si="286"/>
        <v>4</v>
      </c>
      <c r="R1903" s="604" t="str">
        <f t="shared" si="287"/>
        <v>Gastos_custeados_por_captação</v>
      </c>
      <c r="S1903" s="605" t="s">
        <v>310</v>
      </c>
      <c r="T1903" s="605" t="s">
        <v>310</v>
      </c>
    </row>
    <row r="1904" spans="1:20" ht="99.95" customHeight="1" x14ac:dyDescent="0.2">
      <c r="A1904" s="510">
        <f>IF(B1904="","",COUNT('Diário 1º PA'!$A$4:$A$2635)+ROW()-3)</f>
        <v>3637</v>
      </c>
      <c r="B1904" s="414">
        <v>44720</v>
      </c>
      <c r="C1904" s="431">
        <v>44652</v>
      </c>
      <c r="D1904" s="415" t="s">
        <v>468</v>
      </c>
      <c r="E1904" s="415" t="s">
        <v>468</v>
      </c>
      <c r="F1904" s="425">
        <v>107.1</v>
      </c>
      <c r="G1904" s="640" t="s">
        <v>5260</v>
      </c>
      <c r="H1904" s="419" t="s">
        <v>468</v>
      </c>
      <c r="I1904" s="427" t="s">
        <v>764</v>
      </c>
      <c r="J1904" s="415" t="s">
        <v>310</v>
      </c>
      <c r="K1904" s="415" t="s">
        <v>1220</v>
      </c>
      <c r="L1904" s="415" t="s">
        <v>3443</v>
      </c>
      <c r="M1904" s="613">
        <v>222132096092</v>
      </c>
      <c r="N1904" s="414">
        <v>44720</v>
      </c>
      <c r="O1904" s="414" t="s">
        <v>407</v>
      </c>
      <c r="P1904" s="603">
        <f t="shared" si="285"/>
        <v>6</v>
      </c>
      <c r="Q1904" s="603">
        <f t="shared" si="286"/>
        <v>4</v>
      </c>
      <c r="R1904" s="604" t="str">
        <f t="shared" si="287"/>
        <v>Gastos_custeados_por_captação</v>
      </c>
      <c r="S1904" s="605" t="s">
        <v>310</v>
      </c>
      <c r="T1904" s="605" t="s">
        <v>310</v>
      </c>
    </row>
    <row r="1905" spans="1:20" ht="99.95" customHeight="1" x14ac:dyDescent="0.2">
      <c r="A1905" s="510">
        <f>IF(B1905="","",COUNT('Diário 1º PA'!$A$4:$A$2635)+ROW()-3)</f>
        <v>3638</v>
      </c>
      <c r="B1905" s="414">
        <v>44720</v>
      </c>
      <c r="C1905" s="431">
        <v>44652</v>
      </c>
      <c r="D1905" s="415" t="s">
        <v>468</v>
      </c>
      <c r="E1905" s="415" t="s">
        <v>468</v>
      </c>
      <c r="F1905" s="425">
        <v>36.299999999999997</v>
      </c>
      <c r="G1905" s="640" t="s">
        <v>5261</v>
      </c>
      <c r="H1905" s="419" t="s">
        <v>468</v>
      </c>
      <c r="I1905" s="427" t="s">
        <v>764</v>
      </c>
      <c r="J1905" s="415" t="s">
        <v>310</v>
      </c>
      <c r="K1905" s="415" t="s">
        <v>1220</v>
      </c>
      <c r="L1905" s="415" t="s">
        <v>3443</v>
      </c>
      <c r="M1905" s="613">
        <v>222132102912</v>
      </c>
      <c r="N1905" s="414">
        <v>44720</v>
      </c>
      <c r="O1905" s="414" t="s">
        <v>407</v>
      </c>
      <c r="P1905" s="603">
        <f t="shared" si="285"/>
        <v>6</v>
      </c>
      <c r="Q1905" s="603">
        <f t="shared" si="286"/>
        <v>4</v>
      </c>
      <c r="R1905" s="604" t="str">
        <f t="shared" si="287"/>
        <v>Gastos_custeados_por_captação</v>
      </c>
      <c r="S1905" s="605" t="s">
        <v>310</v>
      </c>
      <c r="T1905" s="605" t="s">
        <v>310</v>
      </c>
    </row>
    <row r="1906" spans="1:20" ht="99.95" customHeight="1" x14ac:dyDescent="0.2">
      <c r="A1906" s="510">
        <f>IF(B1906="","",COUNT('Diário 1º PA'!$A$4:$A$2635)+ROW()-3)</f>
        <v>3639</v>
      </c>
      <c r="B1906" s="414">
        <v>44720</v>
      </c>
      <c r="C1906" s="431">
        <v>44652</v>
      </c>
      <c r="D1906" s="415" t="s">
        <v>468</v>
      </c>
      <c r="E1906" s="415" t="s">
        <v>468</v>
      </c>
      <c r="F1906" s="425">
        <v>54.75</v>
      </c>
      <c r="G1906" s="640" t="s">
        <v>5262</v>
      </c>
      <c r="H1906" s="419" t="s">
        <v>468</v>
      </c>
      <c r="I1906" s="427" t="s">
        <v>764</v>
      </c>
      <c r="J1906" s="415" t="s">
        <v>310</v>
      </c>
      <c r="K1906" s="415" t="s">
        <v>1220</v>
      </c>
      <c r="L1906" s="415" t="s">
        <v>3443</v>
      </c>
      <c r="M1906" s="613">
        <v>222132088405</v>
      </c>
      <c r="N1906" s="414">
        <v>44720</v>
      </c>
      <c r="O1906" s="414" t="s">
        <v>407</v>
      </c>
      <c r="P1906" s="603">
        <f t="shared" si="285"/>
        <v>6</v>
      </c>
      <c r="Q1906" s="603">
        <f t="shared" si="286"/>
        <v>4</v>
      </c>
      <c r="R1906" s="604" t="str">
        <f t="shared" si="287"/>
        <v>Gastos_custeados_por_captação</v>
      </c>
      <c r="S1906" s="605" t="s">
        <v>310</v>
      </c>
      <c r="T1906" s="605" t="s">
        <v>310</v>
      </c>
    </row>
    <row r="1907" spans="1:20" ht="99.95" customHeight="1" x14ac:dyDescent="0.2">
      <c r="A1907" s="510">
        <f>IF(B1907="","",COUNT('Diário 1º PA'!$A$4:$A$2635)+ROW()-3)</f>
        <v>3640</v>
      </c>
      <c r="B1907" s="414">
        <v>44720</v>
      </c>
      <c r="C1907" s="431">
        <v>44652</v>
      </c>
      <c r="D1907" s="415" t="s">
        <v>468</v>
      </c>
      <c r="E1907" s="415" t="s">
        <v>468</v>
      </c>
      <c r="F1907" s="425">
        <v>552.75</v>
      </c>
      <c r="G1907" s="640" t="s">
        <v>5263</v>
      </c>
      <c r="H1907" s="419" t="s">
        <v>468</v>
      </c>
      <c r="I1907" s="427" t="s">
        <v>764</v>
      </c>
      <c r="J1907" s="415" t="s">
        <v>310</v>
      </c>
      <c r="K1907" s="415" t="s">
        <v>1220</v>
      </c>
      <c r="L1907" s="415" t="s">
        <v>3443</v>
      </c>
      <c r="M1907" s="613">
        <v>222132079082</v>
      </c>
      <c r="N1907" s="414">
        <v>44720</v>
      </c>
      <c r="O1907" s="414" t="s">
        <v>407</v>
      </c>
      <c r="P1907" s="603">
        <f t="shared" si="285"/>
        <v>6</v>
      </c>
      <c r="Q1907" s="603">
        <f t="shared" si="286"/>
        <v>4</v>
      </c>
      <c r="R1907" s="604" t="str">
        <f t="shared" si="287"/>
        <v>Gastos_custeados_por_captação</v>
      </c>
      <c r="S1907" s="605" t="s">
        <v>310</v>
      </c>
      <c r="T1907" s="605" t="s">
        <v>310</v>
      </c>
    </row>
    <row r="1908" spans="1:20" ht="72" x14ac:dyDescent="0.2">
      <c r="A1908" s="510">
        <f>IF(B1908="","",COUNT('Diário 1º PA'!$A$4:$A$2635)+ROW()-3)</f>
        <v>3641</v>
      </c>
      <c r="B1908" s="414">
        <v>44720</v>
      </c>
      <c r="C1908" s="431">
        <v>44652</v>
      </c>
      <c r="D1908" s="415" t="s">
        <v>468</v>
      </c>
      <c r="E1908" s="415" t="s">
        <v>468</v>
      </c>
      <c r="F1908" s="425">
        <v>7.55</v>
      </c>
      <c r="G1908" s="640" t="s">
        <v>5264</v>
      </c>
      <c r="H1908" s="419" t="s">
        <v>468</v>
      </c>
      <c r="I1908" s="427" t="s">
        <v>764</v>
      </c>
      <c r="J1908" s="415" t="s">
        <v>310</v>
      </c>
      <c r="K1908" s="415" t="s">
        <v>1220</v>
      </c>
      <c r="L1908" s="415" t="s">
        <v>3443</v>
      </c>
      <c r="M1908" s="613">
        <v>222132106829</v>
      </c>
      <c r="N1908" s="414">
        <v>44720</v>
      </c>
      <c r="O1908" s="414" t="s">
        <v>407</v>
      </c>
      <c r="P1908" s="603">
        <f t="shared" si="285"/>
        <v>6</v>
      </c>
      <c r="Q1908" s="603">
        <f t="shared" si="286"/>
        <v>4</v>
      </c>
      <c r="R1908" s="604" t="str">
        <f t="shared" si="287"/>
        <v>Gastos_custeados_por_captação</v>
      </c>
      <c r="S1908" s="605" t="s">
        <v>310</v>
      </c>
      <c r="T1908" s="605" t="s">
        <v>310</v>
      </c>
    </row>
    <row r="1909" spans="1:20" ht="72" x14ac:dyDescent="0.2">
      <c r="A1909" s="510">
        <f>IF(B1909="","",COUNT('Diário 1º PA'!$A$4:$A$2635)+ROW()-3)</f>
        <v>3642</v>
      </c>
      <c r="B1909" s="414">
        <v>44720</v>
      </c>
      <c r="C1909" s="431">
        <v>44652</v>
      </c>
      <c r="D1909" s="415" t="s">
        <v>468</v>
      </c>
      <c r="E1909" s="415" t="s">
        <v>468</v>
      </c>
      <c r="F1909" s="425">
        <v>368.73</v>
      </c>
      <c r="G1909" s="640" t="s">
        <v>5264</v>
      </c>
      <c r="H1909" s="419" t="s">
        <v>468</v>
      </c>
      <c r="I1909" s="427" t="s">
        <v>764</v>
      </c>
      <c r="J1909" s="415" t="s">
        <v>310</v>
      </c>
      <c r="K1909" s="415" t="s">
        <v>1220</v>
      </c>
      <c r="L1909" s="415" t="s">
        <v>3443</v>
      </c>
      <c r="M1909" s="613">
        <v>222132096254</v>
      </c>
      <c r="N1909" s="414">
        <v>44720</v>
      </c>
      <c r="O1909" s="414" t="s">
        <v>407</v>
      </c>
      <c r="P1909" s="603">
        <f t="shared" si="285"/>
        <v>6</v>
      </c>
      <c r="Q1909" s="603">
        <f t="shared" si="286"/>
        <v>4</v>
      </c>
      <c r="R1909" s="604" t="str">
        <f t="shared" si="287"/>
        <v>Gastos_custeados_por_captação</v>
      </c>
      <c r="S1909" s="605" t="s">
        <v>310</v>
      </c>
      <c r="T1909" s="605" t="s">
        <v>310</v>
      </c>
    </row>
    <row r="1910" spans="1:20" ht="72" x14ac:dyDescent="0.2">
      <c r="A1910" s="510">
        <f>IF(B1910="","",COUNT('Diário 1º PA'!$A$4:$A$2635)+ROW()-3)</f>
        <v>3643</v>
      </c>
      <c r="B1910" s="414">
        <v>44720</v>
      </c>
      <c r="C1910" s="431">
        <v>44652</v>
      </c>
      <c r="D1910" s="415" t="s">
        <v>468</v>
      </c>
      <c r="E1910" s="415" t="s">
        <v>468</v>
      </c>
      <c r="F1910" s="425">
        <v>829.26</v>
      </c>
      <c r="G1910" s="640" t="s">
        <v>5265</v>
      </c>
      <c r="H1910" s="419" t="s">
        <v>468</v>
      </c>
      <c r="I1910" s="427" t="s">
        <v>764</v>
      </c>
      <c r="J1910" s="415" t="s">
        <v>310</v>
      </c>
      <c r="K1910" s="415" t="s">
        <v>1220</v>
      </c>
      <c r="L1910" s="415" t="s">
        <v>3443</v>
      </c>
      <c r="M1910" s="613">
        <v>222132096920</v>
      </c>
      <c r="N1910" s="414">
        <v>44720</v>
      </c>
      <c r="O1910" s="414" t="s">
        <v>407</v>
      </c>
      <c r="P1910" s="603">
        <f t="shared" si="285"/>
        <v>6</v>
      </c>
      <c r="Q1910" s="603">
        <f t="shared" si="286"/>
        <v>4</v>
      </c>
      <c r="R1910" s="604" t="str">
        <f t="shared" si="287"/>
        <v>Gastos_custeados_por_captação</v>
      </c>
      <c r="S1910" s="605" t="s">
        <v>310</v>
      </c>
      <c r="T1910" s="605" t="s">
        <v>310</v>
      </c>
    </row>
    <row r="1911" spans="1:20" ht="72" x14ac:dyDescent="0.2">
      <c r="A1911" s="510">
        <f>IF(B1911="","",COUNT('Diário 1º PA'!$A$4:$A$2635)+ROW()-3)</f>
        <v>3644</v>
      </c>
      <c r="B1911" s="414">
        <v>44720</v>
      </c>
      <c r="C1911" s="431">
        <v>44652</v>
      </c>
      <c r="D1911" s="415" t="s">
        <v>468</v>
      </c>
      <c r="E1911" s="415" t="s">
        <v>468</v>
      </c>
      <c r="F1911" s="425">
        <v>36.299999999999997</v>
      </c>
      <c r="G1911" s="640" t="s">
        <v>5266</v>
      </c>
      <c r="H1911" s="419" t="s">
        <v>468</v>
      </c>
      <c r="I1911" s="427" t="s">
        <v>764</v>
      </c>
      <c r="J1911" s="415" t="s">
        <v>310</v>
      </c>
      <c r="K1911" s="415" t="s">
        <v>1220</v>
      </c>
      <c r="L1911" s="415" t="s">
        <v>3443</v>
      </c>
      <c r="M1911" s="613">
        <v>222132104885</v>
      </c>
      <c r="N1911" s="414">
        <v>44720</v>
      </c>
      <c r="O1911" s="414" t="s">
        <v>407</v>
      </c>
      <c r="P1911" s="603">
        <f t="shared" si="285"/>
        <v>6</v>
      </c>
      <c r="Q1911" s="603">
        <f t="shared" si="286"/>
        <v>4</v>
      </c>
      <c r="R1911" s="604" t="str">
        <f t="shared" si="287"/>
        <v>Gastos_custeados_por_captação</v>
      </c>
      <c r="S1911" s="605" t="s">
        <v>310</v>
      </c>
      <c r="T1911" s="605" t="s">
        <v>310</v>
      </c>
    </row>
    <row r="1912" spans="1:20" ht="72" x14ac:dyDescent="0.2">
      <c r="A1912" s="510">
        <f>IF(B1912="","",COUNT('Diário 1º PA'!$A$4:$A$2635)+ROW()-3)</f>
        <v>3645</v>
      </c>
      <c r="B1912" s="414">
        <v>44720</v>
      </c>
      <c r="C1912" s="431">
        <v>44652</v>
      </c>
      <c r="D1912" s="415" t="s">
        <v>468</v>
      </c>
      <c r="E1912" s="415" t="s">
        <v>468</v>
      </c>
      <c r="F1912" s="425">
        <v>52.15</v>
      </c>
      <c r="G1912" s="640" t="s">
        <v>5267</v>
      </c>
      <c r="H1912" s="419" t="s">
        <v>468</v>
      </c>
      <c r="I1912" s="427" t="s">
        <v>764</v>
      </c>
      <c r="J1912" s="415" t="s">
        <v>310</v>
      </c>
      <c r="K1912" s="415" t="s">
        <v>1220</v>
      </c>
      <c r="L1912" s="415" t="s">
        <v>3443</v>
      </c>
      <c r="M1912" s="613">
        <v>222131972522</v>
      </c>
      <c r="N1912" s="414">
        <v>44720</v>
      </c>
      <c r="O1912" s="414" t="s">
        <v>407</v>
      </c>
      <c r="P1912" s="603">
        <f t="shared" si="285"/>
        <v>6</v>
      </c>
      <c r="Q1912" s="603">
        <f t="shared" si="286"/>
        <v>4</v>
      </c>
      <c r="R1912" s="604" t="str">
        <f t="shared" si="287"/>
        <v>Gastos_custeados_por_captação</v>
      </c>
      <c r="S1912" s="605" t="s">
        <v>310</v>
      </c>
      <c r="T1912" s="605" t="s">
        <v>310</v>
      </c>
    </row>
    <row r="1913" spans="1:20" ht="72" x14ac:dyDescent="0.2">
      <c r="A1913" s="510">
        <f>IF(B1913="","",COUNT('Diário 1º PA'!$A$4:$A$2635)+ROW()-3)</f>
        <v>3646</v>
      </c>
      <c r="B1913" s="414">
        <v>44720</v>
      </c>
      <c r="C1913" s="431">
        <v>44652</v>
      </c>
      <c r="D1913" s="415" t="s">
        <v>468</v>
      </c>
      <c r="E1913" s="415" t="s">
        <v>468</v>
      </c>
      <c r="F1913" s="425">
        <v>157.5</v>
      </c>
      <c r="G1913" s="640" t="s">
        <v>5268</v>
      </c>
      <c r="H1913" s="419" t="s">
        <v>468</v>
      </c>
      <c r="I1913" s="427" t="s">
        <v>764</v>
      </c>
      <c r="J1913" s="415" t="s">
        <v>310</v>
      </c>
      <c r="K1913" s="415" t="s">
        <v>1220</v>
      </c>
      <c r="L1913" s="415" t="s">
        <v>3443</v>
      </c>
      <c r="M1913" s="613">
        <v>222132073637</v>
      </c>
      <c r="N1913" s="414">
        <v>44720</v>
      </c>
      <c r="O1913" s="414" t="s">
        <v>407</v>
      </c>
      <c r="P1913" s="603">
        <f t="shared" si="285"/>
        <v>6</v>
      </c>
      <c r="Q1913" s="603">
        <f t="shared" si="286"/>
        <v>4</v>
      </c>
      <c r="R1913" s="604" t="str">
        <f t="shared" si="287"/>
        <v>Gastos_custeados_por_captação</v>
      </c>
      <c r="S1913" s="605" t="s">
        <v>310</v>
      </c>
      <c r="T1913" s="605" t="s">
        <v>310</v>
      </c>
    </row>
    <row r="1914" spans="1:20" ht="72" x14ac:dyDescent="0.2">
      <c r="A1914" s="510">
        <f>IF(B1914="","",COUNT('Diário 1º PA'!$A$4:$A$2635)+ROW()-3)</f>
        <v>3647</v>
      </c>
      <c r="B1914" s="414">
        <v>44720</v>
      </c>
      <c r="C1914" s="431">
        <v>44652</v>
      </c>
      <c r="D1914" s="415" t="s">
        <v>468</v>
      </c>
      <c r="E1914" s="415" t="s">
        <v>468</v>
      </c>
      <c r="F1914" s="425">
        <v>52.15</v>
      </c>
      <c r="G1914" s="640" t="s">
        <v>5269</v>
      </c>
      <c r="H1914" s="419" t="s">
        <v>468</v>
      </c>
      <c r="I1914" s="427" t="s">
        <v>764</v>
      </c>
      <c r="J1914" s="415" t="s">
        <v>310</v>
      </c>
      <c r="K1914" s="415" t="s">
        <v>1220</v>
      </c>
      <c r="L1914" s="415" t="s">
        <v>3443</v>
      </c>
      <c r="M1914" s="613">
        <v>222132018024</v>
      </c>
      <c r="N1914" s="414">
        <v>44720</v>
      </c>
      <c r="O1914" s="414" t="s">
        <v>407</v>
      </c>
      <c r="P1914" s="603">
        <f t="shared" si="285"/>
        <v>6</v>
      </c>
      <c r="Q1914" s="603">
        <f t="shared" si="286"/>
        <v>4</v>
      </c>
      <c r="R1914" s="604" t="str">
        <f t="shared" si="287"/>
        <v>Gastos_custeados_por_captação</v>
      </c>
      <c r="S1914" s="605" t="s">
        <v>310</v>
      </c>
      <c r="T1914" s="605" t="s">
        <v>310</v>
      </c>
    </row>
    <row r="1915" spans="1:20" ht="72" x14ac:dyDescent="0.2">
      <c r="A1915" s="510">
        <f>IF(B1915="","",COUNT('Diário 1º PA'!$A$4:$A$2635)+ROW()-3)</f>
        <v>3648</v>
      </c>
      <c r="B1915" s="414">
        <v>44720</v>
      </c>
      <c r="C1915" s="431">
        <v>44652</v>
      </c>
      <c r="D1915" s="415" t="s">
        <v>468</v>
      </c>
      <c r="E1915" s="415" t="s">
        <v>468</v>
      </c>
      <c r="F1915" s="425">
        <v>616.07000000000005</v>
      </c>
      <c r="G1915" s="640" t="s">
        <v>5270</v>
      </c>
      <c r="H1915" s="419" t="s">
        <v>468</v>
      </c>
      <c r="I1915" s="427" t="s">
        <v>764</v>
      </c>
      <c r="J1915" s="415" t="s">
        <v>310</v>
      </c>
      <c r="K1915" s="415" t="s">
        <v>1220</v>
      </c>
      <c r="L1915" s="415" t="s">
        <v>3443</v>
      </c>
      <c r="M1915" s="613">
        <v>222132096505</v>
      </c>
      <c r="N1915" s="414">
        <v>44720</v>
      </c>
      <c r="O1915" s="414" t="s">
        <v>407</v>
      </c>
      <c r="P1915" s="603">
        <f t="shared" si="285"/>
        <v>6</v>
      </c>
      <c r="Q1915" s="603">
        <f t="shared" si="286"/>
        <v>4</v>
      </c>
      <c r="R1915" s="604" t="str">
        <f t="shared" si="287"/>
        <v>Gastos_custeados_por_captação</v>
      </c>
      <c r="S1915" s="605" t="s">
        <v>310</v>
      </c>
      <c r="T1915" s="605" t="s">
        <v>310</v>
      </c>
    </row>
    <row r="1916" spans="1:20" ht="72" x14ac:dyDescent="0.2">
      <c r="A1916" s="510">
        <f>IF(B1916="","",COUNT('Diário 1º PA'!$A$4:$A$2635)+ROW()-3)</f>
        <v>3649</v>
      </c>
      <c r="B1916" s="414">
        <v>44720</v>
      </c>
      <c r="C1916" s="431">
        <v>44652</v>
      </c>
      <c r="D1916" s="415" t="s">
        <v>468</v>
      </c>
      <c r="E1916" s="415" t="s">
        <v>468</v>
      </c>
      <c r="F1916" s="425">
        <v>500</v>
      </c>
      <c r="G1916" s="640" t="s">
        <v>5271</v>
      </c>
      <c r="H1916" s="419" t="s">
        <v>468</v>
      </c>
      <c r="I1916" s="427" t="s">
        <v>764</v>
      </c>
      <c r="J1916" s="415" t="s">
        <v>310</v>
      </c>
      <c r="K1916" s="415" t="s">
        <v>1220</v>
      </c>
      <c r="L1916" s="415" t="s">
        <v>3443</v>
      </c>
      <c r="M1916" s="613">
        <v>222132072665</v>
      </c>
      <c r="N1916" s="414">
        <v>44720</v>
      </c>
      <c r="O1916" s="414" t="s">
        <v>407</v>
      </c>
      <c r="P1916" s="603">
        <f t="shared" si="285"/>
        <v>6</v>
      </c>
      <c r="Q1916" s="603">
        <f t="shared" si="286"/>
        <v>4</v>
      </c>
      <c r="R1916" s="604" t="str">
        <f t="shared" si="287"/>
        <v>Gastos_custeados_por_captação</v>
      </c>
      <c r="S1916" s="605" t="s">
        <v>310</v>
      </c>
      <c r="T1916" s="605" t="s">
        <v>310</v>
      </c>
    </row>
    <row r="1917" spans="1:20" ht="72" x14ac:dyDescent="0.2">
      <c r="A1917" s="510">
        <f>IF(B1917="","",COUNT('Diário 1º PA'!$A$4:$A$2635)+ROW()-3)</f>
        <v>3650</v>
      </c>
      <c r="B1917" s="414">
        <v>44720</v>
      </c>
      <c r="C1917" s="431">
        <v>44652</v>
      </c>
      <c r="D1917" s="415" t="s">
        <v>468</v>
      </c>
      <c r="E1917" s="415" t="s">
        <v>468</v>
      </c>
      <c r="F1917" s="425">
        <v>52.85</v>
      </c>
      <c r="G1917" s="640" t="s">
        <v>5272</v>
      </c>
      <c r="H1917" s="419" t="s">
        <v>468</v>
      </c>
      <c r="I1917" s="427" t="s">
        <v>764</v>
      </c>
      <c r="J1917" s="415" t="s">
        <v>310</v>
      </c>
      <c r="K1917" s="415" t="s">
        <v>1220</v>
      </c>
      <c r="L1917" s="415" t="s">
        <v>3443</v>
      </c>
      <c r="M1917" s="613">
        <v>222132021912</v>
      </c>
      <c r="N1917" s="414">
        <v>44720</v>
      </c>
      <c r="O1917" s="414" t="s">
        <v>407</v>
      </c>
      <c r="P1917" s="603">
        <f t="shared" si="285"/>
        <v>6</v>
      </c>
      <c r="Q1917" s="603">
        <f t="shared" si="286"/>
        <v>4</v>
      </c>
      <c r="R1917" s="604" t="str">
        <f t="shared" si="287"/>
        <v>Gastos_custeados_por_captação</v>
      </c>
      <c r="S1917" s="605" t="s">
        <v>310</v>
      </c>
      <c r="T1917" s="605" t="s">
        <v>310</v>
      </c>
    </row>
    <row r="1918" spans="1:20" ht="72" x14ac:dyDescent="0.2">
      <c r="A1918" s="510">
        <f>IF(B1918="","",COUNT('Diário 1º PA'!$A$4:$A$2635)+ROW()-3)</f>
        <v>3651</v>
      </c>
      <c r="B1918" s="414">
        <v>44720</v>
      </c>
      <c r="C1918" s="431">
        <v>44652</v>
      </c>
      <c r="D1918" s="415" t="s">
        <v>468</v>
      </c>
      <c r="E1918" s="415" t="s">
        <v>468</v>
      </c>
      <c r="F1918" s="425">
        <v>84</v>
      </c>
      <c r="G1918" s="640" t="s">
        <v>5273</v>
      </c>
      <c r="H1918" s="419" t="s">
        <v>468</v>
      </c>
      <c r="I1918" s="427" t="s">
        <v>764</v>
      </c>
      <c r="J1918" s="415" t="s">
        <v>310</v>
      </c>
      <c r="K1918" s="415" t="s">
        <v>1220</v>
      </c>
      <c r="L1918" s="415" t="s">
        <v>3443</v>
      </c>
      <c r="M1918" s="613">
        <v>222132061620</v>
      </c>
      <c r="N1918" s="414">
        <v>44720</v>
      </c>
      <c r="O1918" s="414" t="s">
        <v>407</v>
      </c>
      <c r="P1918" s="603">
        <f t="shared" si="285"/>
        <v>6</v>
      </c>
      <c r="Q1918" s="603">
        <f t="shared" si="286"/>
        <v>4</v>
      </c>
      <c r="R1918" s="604" t="str">
        <f t="shared" si="287"/>
        <v>Gastos_custeados_por_captação</v>
      </c>
      <c r="S1918" s="605" t="s">
        <v>310</v>
      </c>
      <c r="T1918" s="605" t="s">
        <v>310</v>
      </c>
    </row>
    <row r="1919" spans="1:20" ht="72" x14ac:dyDescent="0.2">
      <c r="A1919" s="510">
        <f>IF(B1919="","",COUNT('Diário 1º PA'!$A$4:$A$2635)+ROW()-3)</f>
        <v>3652</v>
      </c>
      <c r="B1919" s="414">
        <v>44720</v>
      </c>
      <c r="C1919" s="431">
        <v>44652</v>
      </c>
      <c r="D1919" s="415" t="s">
        <v>468</v>
      </c>
      <c r="E1919" s="415" t="s">
        <v>468</v>
      </c>
      <c r="F1919" s="425">
        <v>315</v>
      </c>
      <c r="G1919" s="640" t="s">
        <v>5274</v>
      </c>
      <c r="H1919" s="419" t="s">
        <v>468</v>
      </c>
      <c r="I1919" s="427" t="s">
        <v>764</v>
      </c>
      <c r="J1919" s="415" t="s">
        <v>310</v>
      </c>
      <c r="K1919" s="415" t="s">
        <v>1220</v>
      </c>
      <c r="L1919" s="415" t="s">
        <v>3443</v>
      </c>
      <c r="M1919" s="613">
        <v>222132072150</v>
      </c>
      <c r="N1919" s="414">
        <v>44720</v>
      </c>
      <c r="O1919" s="414" t="s">
        <v>407</v>
      </c>
      <c r="P1919" s="603">
        <f t="shared" si="285"/>
        <v>6</v>
      </c>
      <c r="Q1919" s="603">
        <f t="shared" si="286"/>
        <v>4</v>
      </c>
      <c r="R1919" s="604" t="str">
        <f t="shared" si="287"/>
        <v>Gastos_custeados_por_captação</v>
      </c>
      <c r="S1919" s="605" t="s">
        <v>310</v>
      </c>
      <c r="T1919" s="605" t="s">
        <v>310</v>
      </c>
    </row>
    <row r="1920" spans="1:20" ht="72" x14ac:dyDescent="0.2">
      <c r="A1920" s="510">
        <f>IF(B1920="","",COUNT('Diário 1º PA'!$A$4:$A$2635)+ROW()-3)</f>
        <v>3653</v>
      </c>
      <c r="B1920" s="414">
        <v>44720</v>
      </c>
      <c r="C1920" s="431">
        <v>44652</v>
      </c>
      <c r="D1920" s="415" t="s">
        <v>468</v>
      </c>
      <c r="E1920" s="415" t="s">
        <v>468</v>
      </c>
      <c r="F1920" s="425">
        <v>15.1</v>
      </c>
      <c r="G1920" s="640" t="s">
        <v>5275</v>
      </c>
      <c r="H1920" s="419" t="s">
        <v>468</v>
      </c>
      <c r="I1920" s="427" t="s">
        <v>764</v>
      </c>
      <c r="J1920" s="415" t="s">
        <v>310</v>
      </c>
      <c r="K1920" s="415" t="s">
        <v>1220</v>
      </c>
      <c r="L1920" s="415" t="s">
        <v>3443</v>
      </c>
      <c r="M1920" s="613">
        <v>222132115062</v>
      </c>
      <c r="N1920" s="414">
        <v>44720</v>
      </c>
      <c r="O1920" s="414" t="s">
        <v>407</v>
      </c>
      <c r="P1920" s="603">
        <f t="shared" si="285"/>
        <v>6</v>
      </c>
      <c r="Q1920" s="603">
        <f t="shared" si="286"/>
        <v>4</v>
      </c>
      <c r="R1920" s="604" t="str">
        <f t="shared" si="287"/>
        <v>Gastos_custeados_por_captação</v>
      </c>
      <c r="S1920" s="605" t="s">
        <v>310</v>
      </c>
      <c r="T1920" s="605" t="s">
        <v>310</v>
      </c>
    </row>
    <row r="1921" spans="1:20" ht="72" x14ac:dyDescent="0.2">
      <c r="A1921" s="510">
        <f>IF(B1921="","",COUNT('Diário 1º PA'!$A$4:$A$2635)+ROW()-3)</f>
        <v>3654</v>
      </c>
      <c r="B1921" s="414">
        <v>44720</v>
      </c>
      <c r="C1921" s="431">
        <v>44652</v>
      </c>
      <c r="D1921" s="415" t="s">
        <v>468</v>
      </c>
      <c r="E1921" s="415" t="s">
        <v>468</v>
      </c>
      <c r="F1921" s="425">
        <v>480</v>
      </c>
      <c r="G1921" s="640" t="s">
        <v>5276</v>
      </c>
      <c r="H1921" s="419" t="s">
        <v>468</v>
      </c>
      <c r="I1921" s="427" t="s">
        <v>764</v>
      </c>
      <c r="J1921" s="415" t="s">
        <v>310</v>
      </c>
      <c r="K1921" s="415" t="s">
        <v>1220</v>
      </c>
      <c r="L1921" s="415" t="s">
        <v>3443</v>
      </c>
      <c r="M1921" s="613">
        <v>222132059480</v>
      </c>
      <c r="N1921" s="414">
        <v>44720</v>
      </c>
      <c r="O1921" s="414" t="s">
        <v>407</v>
      </c>
      <c r="P1921" s="603">
        <f t="shared" si="285"/>
        <v>6</v>
      </c>
      <c r="Q1921" s="603">
        <f t="shared" si="286"/>
        <v>4</v>
      </c>
      <c r="R1921" s="604" t="str">
        <f t="shared" si="287"/>
        <v>Gastos_custeados_por_captação</v>
      </c>
      <c r="S1921" s="605" t="s">
        <v>310</v>
      </c>
      <c r="T1921" s="605" t="s">
        <v>310</v>
      </c>
    </row>
    <row r="1922" spans="1:20" ht="72" x14ac:dyDescent="0.2">
      <c r="A1922" s="510">
        <f>IF(B1922="","",COUNT('Diário 1º PA'!$A$4:$A$2635)+ROW()-3)</f>
        <v>3655</v>
      </c>
      <c r="B1922" s="414">
        <v>44720</v>
      </c>
      <c r="C1922" s="431">
        <v>44652</v>
      </c>
      <c r="D1922" s="415" t="s">
        <v>468</v>
      </c>
      <c r="E1922" s="415" t="s">
        <v>468</v>
      </c>
      <c r="F1922" s="425">
        <v>1733.25</v>
      </c>
      <c r="G1922" s="640" t="s">
        <v>5269</v>
      </c>
      <c r="H1922" s="419" t="s">
        <v>468</v>
      </c>
      <c r="I1922" s="427" t="s">
        <v>764</v>
      </c>
      <c r="J1922" s="415" t="s">
        <v>310</v>
      </c>
      <c r="K1922" s="415" t="s">
        <v>1220</v>
      </c>
      <c r="L1922" s="415" t="s">
        <v>3443</v>
      </c>
      <c r="M1922" s="613">
        <v>222132018024</v>
      </c>
      <c r="N1922" s="414">
        <v>44720</v>
      </c>
      <c r="O1922" s="414" t="s">
        <v>407</v>
      </c>
      <c r="P1922" s="603">
        <f t="shared" si="285"/>
        <v>6</v>
      </c>
      <c r="Q1922" s="603">
        <f t="shared" si="286"/>
        <v>4</v>
      </c>
      <c r="R1922" s="604" t="str">
        <f t="shared" si="287"/>
        <v>Gastos_custeados_por_captação</v>
      </c>
      <c r="S1922" s="605" t="s">
        <v>310</v>
      </c>
      <c r="T1922" s="605" t="s">
        <v>310</v>
      </c>
    </row>
    <row r="1923" spans="1:20" ht="72" x14ac:dyDescent="0.2">
      <c r="A1923" s="510">
        <f>IF(B1923="","",COUNT('Diário 1º PA'!$A$4:$A$2635)+ROW()-3)</f>
        <v>3656</v>
      </c>
      <c r="B1923" s="414">
        <v>44720</v>
      </c>
      <c r="C1923" s="431">
        <v>44652</v>
      </c>
      <c r="D1923" s="415" t="s">
        <v>468</v>
      </c>
      <c r="E1923" s="415" t="s">
        <v>468</v>
      </c>
      <c r="F1923" s="425">
        <v>15.1</v>
      </c>
      <c r="G1923" s="640" t="s">
        <v>5277</v>
      </c>
      <c r="H1923" s="419" t="s">
        <v>468</v>
      </c>
      <c r="I1923" s="427" t="s">
        <v>764</v>
      </c>
      <c r="J1923" s="415" t="s">
        <v>310</v>
      </c>
      <c r="K1923" s="415" t="s">
        <v>1220</v>
      </c>
      <c r="L1923" s="415" t="s">
        <v>3443</v>
      </c>
      <c r="M1923" s="613">
        <v>222132115496</v>
      </c>
      <c r="N1923" s="414">
        <v>44720</v>
      </c>
      <c r="O1923" s="414" t="s">
        <v>407</v>
      </c>
      <c r="P1923" s="603">
        <f t="shared" si="285"/>
        <v>6</v>
      </c>
      <c r="Q1923" s="603">
        <f t="shared" si="286"/>
        <v>4</v>
      </c>
      <c r="R1923" s="604" t="str">
        <f t="shared" si="287"/>
        <v>Gastos_custeados_por_captação</v>
      </c>
      <c r="S1923" s="605" t="s">
        <v>310</v>
      </c>
      <c r="T1923" s="605" t="s">
        <v>310</v>
      </c>
    </row>
    <row r="1924" spans="1:20" ht="72" x14ac:dyDescent="0.2">
      <c r="A1924" s="510">
        <f>IF(B1924="","",COUNT('Diário 1º PA'!$A$4:$A$2635)+ROW()-3)</f>
        <v>3657</v>
      </c>
      <c r="B1924" s="414">
        <v>44720</v>
      </c>
      <c r="C1924" s="431">
        <v>44652</v>
      </c>
      <c r="D1924" s="415" t="s">
        <v>468</v>
      </c>
      <c r="E1924" s="415" t="s">
        <v>468</v>
      </c>
      <c r="F1924" s="425">
        <v>287.54000000000002</v>
      </c>
      <c r="G1924" s="640" t="s">
        <v>5278</v>
      </c>
      <c r="H1924" s="419" t="s">
        <v>468</v>
      </c>
      <c r="I1924" s="427" t="s">
        <v>764</v>
      </c>
      <c r="J1924" s="415" t="s">
        <v>310</v>
      </c>
      <c r="K1924" s="415" t="s">
        <v>1220</v>
      </c>
      <c r="L1924" s="415" t="s">
        <v>3443</v>
      </c>
      <c r="M1924" s="613">
        <v>222132101002</v>
      </c>
      <c r="N1924" s="414">
        <v>44720</v>
      </c>
      <c r="O1924" s="414" t="s">
        <v>407</v>
      </c>
      <c r="P1924" s="603">
        <f t="shared" si="285"/>
        <v>6</v>
      </c>
      <c r="Q1924" s="603">
        <f t="shared" si="286"/>
        <v>4</v>
      </c>
      <c r="R1924" s="604" t="str">
        <f t="shared" si="287"/>
        <v>Gastos_custeados_por_captação</v>
      </c>
      <c r="S1924" s="605" t="s">
        <v>310</v>
      </c>
      <c r="T1924" s="605" t="s">
        <v>310</v>
      </c>
    </row>
    <row r="1925" spans="1:20" ht="72" x14ac:dyDescent="0.2">
      <c r="A1925" s="510">
        <f>IF(B1925="","",COUNT('Diário 1º PA'!$A$4:$A$2635)+ROW()-3)</f>
        <v>3658</v>
      </c>
      <c r="B1925" s="414">
        <v>44720</v>
      </c>
      <c r="C1925" s="431">
        <v>44652</v>
      </c>
      <c r="D1925" s="415" t="s">
        <v>468</v>
      </c>
      <c r="E1925" s="415" t="s">
        <v>468</v>
      </c>
      <c r="F1925" s="425">
        <v>52.15</v>
      </c>
      <c r="G1925" s="640" t="s">
        <v>5279</v>
      </c>
      <c r="H1925" s="419" t="s">
        <v>468</v>
      </c>
      <c r="I1925" s="427" t="s">
        <v>764</v>
      </c>
      <c r="J1925" s="415" t="s">
        <v>310</v>
      </c>
      <c r="K1925" s="415" t="s">
        <v>1220</v>
      </c>
      <c r="L1925" s="415" t="s">
        <v>3443</v>
      </c>
      <c r="M1925" s="613">
        <v>222132111660</v>
      </c>
      <c r="N1925" s="414">
        <v>44720</v>
      </c>
      <c r="O1925" s="414" t="s">
        <v>407</v>
      </c>
      <c r="P1925" s="603">
        <f t="shared" si="285"/>
        <v>6</v>
      </c>
      <c r="Q1925" s="603">
        <f t="shared" si="286"/>
        <v>4</v>
      </c>
      <c r="R1925" s="604" t="str">
        <f t="shared" si="287"/>
        <v>Gastos_custeados_por_captação</v>
      </c>
      <c r="S1925" s="605" t="s">
        <v>310</v>
      </c>
      <c r="T1925" s="605" t="s">
        <v>310</v>
      </c>
    </row>
    <row r="1926" spans="1:20" ht="72" x14ac:dyDescent="0.2">
      <c r="A1926" s="510">
        <f>IF(B1926="","",COUNT('Diário 1º PA'!$A$4:$A$2635)+ROW()-3)</f>
        <v>3659</v>
      </c>
      <c r="B1926" s="414">
        <v>44720</v>
      </c>
      <c r="C1926" s="431">
        <v>44652</v>
      </c>
      <c r="D1926" s="415" t="s">
        <v>468</v>
      </c>
      <c r="E1926" s="415" t="s">
        <v>468</v>
      </c>
      <c r="F1926" s="425">
        <v>52.15</v>
      </c>
      <c r="G1926" s="640" t="s">
        <v>5280</v>
      </c>
      <c r="H1926" s="419" t="s">
        <v>468</v>
      </c>
      <c r="I1926" s="427" t="s">
        <v>764</v>
      </c>
      <c r="J1926" s="415" t="s">
        <v>310</v>
      </c>
      <c r="K1926" s="415" t="s">
        <v>1220</v>
      </c>
      <c r="L1926" s="415" t="s">
        <v>3443</v>
      </c>
      <c r="M1926" s="613">
        <v>222132111822</v>
      </c>
      <c r="N1926" s="414">
        <v>44720</v>
      </c>
      <c r="O1926" s="414" t="s">
        <v>407</v>
      </c>
      <c r="P1926" s="603">
        <f t="shared" si="285"/>
        <v>6</v>
      </c>
      <c r="Q1926" s="603">
        <f t="shared" si="286"/>
        <v>4</v>
      </c>
      <c r="R1926" s="604" t="str">
        <f t="shared" si="287"/>
        <v>Gastos_custeados_por_captação</v>
      </c>
      <c r="S1926" s="605" t="s">
        <v>310</v>
      </c>
      <c r="T1926" s="605" t="s">
        <v>310</v>
      </c>
    </row>
    <row r="1927" spans="1:20" ht="72" x14ac:dyDescent="0.2">
      <c r="A1927" s="510">
        <f>IF(B1927="","",COUNT('Diário 1º PA'!$A$4:$A$2635)+ROW()-3)</f>
        <v>3660</v>
      </c>
      <c r="B1927" s="414">
        <v>44720</v>
      </c>
      <c r="C1927" s="431">
        <v>44652</v>
      </c>
      <c r="D1927" s="415" t="s">
        <v>468</v>
      </c>
      <c r="E1927" s="415" t="s">
        <v>468</v>
      </c>
      <c r="F1927" s="425">
        <v>27.64</v>
      </c>
      <c r="G1927" s="640" t="s">
        <v>5281</v>
      </c>
      <c r="H1927" s="419" t="s">
        <v>468</v>
      </c>
      <c r="I1927" s="427" t="s">
        <v>764</v>
      </c>
      <c r="J1927" s="415" t="s">
        <v>310</v>
      </c>
      <c r="K1927" s="415" t="s">
        <v>1220</v>
      </c>
      <c r="L1927" s="415" t="s">
        <v>3443</v>
      </c>
      <c r="M1927" s="613">
        <v>222132091295</v>
      </c>
      <c r="N1927" s="414">
        <v>44720</v>
      </c>
      <c r="O1927" s="414" t="s">
        <v>407</v>
      </c>
      <c r="P1927" s="603">
        <f t="shared" si="285"/>
        <v>6</v>
      </c>
      <c r="Q1927" s="603">
        <f t="shared" si="286"/>
        <v>4</v>
      </c>
      <c r="R1927" s="604" t="str">
        <f t="shared" si="287"/>
        <v>Gastos_custeados_por_captação</v>
      </c>
      <c r="S1927" s="605" t="s">
        <v>310</v>
      </c>
      <c r="T1927" s="605" t="s">
        <v>310</v>
      </c>
    </row>
    <row r="1928" spans="1:20" ht="72" x14ac:dyDescent="0.2">
      <c r="A1928" s="510">
        <f>IF(B1928="","",COUNT('Diário 1º PA'!$A$4:$A$2635)+ROW()-3)</f>
        <v>3661</v>
      </c>
      <c r="B1928" s="414">
        <v>44720</v>
      </c>
      <c r="C1928" s="431">
        <v>44652</v>
      </c>
      <c r="D1928" s="415" t="s">
        <v>468</v>
      </c>
      <c r="E1928" s="415" t="s">
        <v>468</v>
      </c>
      <c r="F1928" s="425">
        <v>52.15</v>
      </c>
      <c r="G1928" s="640" t="s">
        <v>5282</v>
      </c>
      <c r="H1928" s="419" t="s">
        <v>468</v>
      </c>
      <c r="I1928" s="427" t="s">
        <v>764</v>
      </c>
      <c r="J1928" s="415" t="s">
        <v>310</v>
      </c>
      <c r="K1928" s="415" t="s">
        <v>1220</v>
      </c>
      <c r="L1928" s="415" t="s">
        <v>3443</v>
      </c>
      <c r="M1928" s="613">
        <v>222132112390</v>
      </c>
      <c r="N1928" s="414">
        <v>44720</v>
      </c>
      <c r="O1928" s="414" t="s">
        <v>407</v>
      </c>
      <c r="P1928" s="603">
        <f t="shared" si="285"/>
        <v>6</v>
      </c>
      <c r="Q1928" s="603">
        <f t="shared" si="286"/>
        <v>4</v>
      </c>
      <c r="R1928" s="604" t="str">
        <f t="shared" si="287"/>
        <v>Gastos_custeados_por_captação</v>
      </c>
      <c r="S1928" s="605" t="s">
        <v>310</v>
      </c>
      <c r="T1928" s="605" t="s">
        <v>310</v>
      </c>
    </row>
    <row r="1929" spans="1:20" ht="72" x14ac:dyDescent="0.2">
      <c r="A1929" s="510">
        <f>IF(B1929="","",COUNT('Diário 1º PA'!$A$4:$A$2635)+ROW()-3)</f>
        <v>3662</v>
      </c>
      <c r="B1929" s="414">
        <v>44720</v>
      </c>
      <c r="C1929" s="431">
        <v>44652</v>
      </c>
      <c r="D1929" s="415" t="s">
        <v>468</v>
      </c>
      <c r="E1929" s="415" t="s">
        <v>468</v>
      </c>
      <c r="F1929" s="425">
        <v>30</v>
      </c>
      <c r="G1929" s="640" t="s">
        <v>5283</v>
      </c>
      <c r="H1929" s="419" t="s">
        <v>468</v>
      </c>
      <c r="I1929" s="427" t="s">
        <v>764</v>
      </c>
      <c r="J1929" s="415" t="s">
        <v>310</v>
      </c>
      <c r="K1929" s="415" t="s">
        <v>1220</v>
      </c>
      <c r="L1929" s="415" t="s">
        <v>3443</v>
      </c>
      <c r="M1929" s="613">
        <v>222132102831</v>
      </c>
      <c r="N1929" s="414">
        <v>44720</v>
      </c>
      <c r="O1929" s="414" t="s">
        <v>407</v>
      </c>
      <c r="P1929" s="603">
        <f t="shared" si="285"/>
        <v>6</v>
      </c>
      <c r="Q1929" s="603">
        <f t="shared" si="286"/>
        <v>4</v>
      </c>
      <c r="R1929" s="604" t="str">
        <f t="shared" si="287"/>
        <v>Gastos_custeados_por_captação</v>
      </c>
      <c r="S1929" s="605" t="s">
        <v>310</v>
      </c>
      <c r="T1929" s="605" t="s">
        <v>310</v>
      </c>
    </row>
    <row r="1930" spans="1:20" ht="72" x14ac:dyDescent="0.2">
      <c r="A1930" s="510">
        <f>IF(B1930="","",COUNT('Diário 1º PA'!$A$4:$A$2635)+ROW()-3)</f>
        <v>3663</v>
      </c>
      <c r="B1930" s="414">
        <v>44720</v>
      </c>
      <c r="C1930" s="431">
        <v>44652</v>
      </c>
      <c r="D1930" s="415" t="s">
        <v>468</v>
      </c>
      <c r="E1930" s="415" t="s">
        <v>468</v>
      </c>
      <c r="F1930" s="425">
        <v>35.700000000000003</v>
      </c>
      <c r="G1930" s="640" t="s">
        <v>5284</v>
      </c>
      <c r="H1930" s="419" t="s">
        <v>468</v>
      </c>
      <c r="I1930" s="427" t="s">
        <v>764</v>
      </c>
      <c r="J1930" s="415" t="s">
        <v>310</v>
      </c>
      <c r="K1930" s="415" t="s">
        <v>1220</v>
      </c>
      <c r="L1930" s="415" t="s">
        <v>3443</v>
      </c>
      <c r="M1930" s="613">
        <v>222132105857</v>
      </c>
      <c r="N1930" s="414">
        <v>44720</v>
      </c>
      <c r="O1930" s="414" t="s">
        <v>407</v>
      </c>
      <c r="P1930" s="603">
        <f t="shared" si="285"/>
        <v>6</v>
      </c>
      <c r="Q1930" s="603">
        <f t="shared" si="286"/>
        <v>4</v>
      </c>
      <c r="R1930" s="604" t="str">
        <f t="shared" si="287"/>
        <v>Gastos_custeados_por_captação</v>
      </c>
      <c r="S1930" s="605" t="s">
        <v>310</v>
      </c>
      <c r="T1930" s="605" t="s">
        <v>310</v>
      </c>
    </row>
    <row r="1931" spans="1:20" ht="72" x14ac:dyDescent="0.2">
      <c r="A1931" s="510">
        <f>IF(B1931="","",COUNT('Diário 1º PA'!$A$4:$A$2635)+ROW()-3)</f>
        <v>3664</v>
      </c>
      <c r="B1931" s="414">
        <v>44720</v>
      </c>
      <c r="C1931" s="431">
        <v>44652</v>
      </c>
      <c r="D1931" s="415" t="s">
        <v>468</v>
      </c>
      <c r="E1931" s="415" t="s">
        <v>468</v>
      </c>
      <c r="F1931" s="425">
        <v>52.15</v>
      </c>
      <c r="G1931" s="640" t="s">
        <v>5285</v>
      </c>
      <c r="H1931" s="419" t="s">
        <v>468</v>
      </c>
      <c r="I1931" s="427" t="s">
        <v>764</v>
      </c>
      <c r="J1931" s="415" t="s">
        <v>310</v>
      </c>
      <c r="K1931" s="415" t="s">
        <v>1220</v>
      </c>
      <c r="L1931" s="415" t="s">
        <v>3443</v>
      </c>
      <c r="M1931" s="613">
        <v>222132112985</v>
      </c>
      <c r="N1931" s="414">
        <v>44720</v>
      </c>
      <c r="O1931" s="414" t="s">
        <v>407</v>
      </c>
      <c r="P1931" s="603">
        <f t="shared" si="285"/>
        <v>6</v>
      </c>
      <c r="Q1931" s="603">
        <f t="shared" si="286"/>
        <v>4</v>
      </c>
      <c r="R1931" s="604" t="str">
        <f t="shared" si="287"/>
        <v>Gastos_custeados_por_captação</v>
      </c>
      <c r="S1931" s="605" t="s">
        <v>310</v>
      </c>
      <c r="T1931" s="605" t="s">
        <v>310</v>
      </c>
    </row>
    <row r="1932" spans="1:20" ht="72" x14ac:dyDescent="0.2">
      <c r="A1932" s="510">
        <f>IF(B1932="","",COUNT('Diário 1º PA'!$A$4:$A$2635)+ROW()-3)</f>
        <v>3665</v>
      </c>
      <c r="B1932" s="414">
        <v>44720</v>
      </c>
      <c r="C1932" s="431">
        <v>44652</v>
      </c>
      <c r="D1932" s="415" t="s">
        <v>468</v>
      </c>
      <c r="E1932" s="415" t="s">
        <v>468</v>
      </c>
      <c r="F1932" s="425">
        <v>906.3</v>
      </c>
      <c r="G1932" s="640" t="s">
        <v>5286</v>
      </c>
      <c r="H1932" s="419" t="s">
        <v>468</v>
      </c>
      <c r="I1932" s="427" t="s">
        <v>764</v>
      </c>
      <c r="J1932" s="415" t="s">
        <v>310</v>
      </c>
      <c r="K1932" s="415" t="s">
        <v>1220</v>
      </c>
      <c r="L1932" s="415" t="s">
        <v>3443</v>
      </c>
      <c r="M1932" s="613">
        <v>222132061205</v>
      </c>
      <c r="N1932" s="414">
        <v>44720</v>
      </c>
      <c r="O1932" s="414" t="s">
        <v>407</v>
      </c>
      <c r="P1932" s="603">
        <f t="shared" si="285"/>
        <v>6</v>
      </c>
      <c r="Q1932" s="603">
        <f t="shared" si="286"/>
        <v>4</v>
      </c>
      <c r="R1932" s="604" t="str">
        <f t="shared" si="287"/>
        <v>Gastos_custeados_por_captação</v>
      </c>
      <c r="S1932" s="605" t="s">
        <v>310</v>
      </c>
      <c r="T1932" s="605" t="s">
        <v>310</v>
      </c>
    </row>
    <row r="1933" spans="1:20" ht="72" x14ac:dyDescent="0.2">
      <c r="A1933" s="510">
        <f>IF(B1933="","",COUNT('Diário 1º PA'!$A$4:$A$2635)+ROW()-3)</f>
        <v>3666</v>
      </c>
      <c r="B1933" s="414">
        <v>44720</v>
      </c>
      <c r="C1933" s="431">
        <v>44652</v>
      </c>
      <c r="D1933" s="415" t="s">
        <v>468</v>
      </c>
      <c r="E1933" s="415" t="s">
        <v>468</v>
      </c>
      <c r="F1933" s="425">
        <v>1367.4</v>
      </c>
      <c r="G1933" s="640" t="s">
        <v>5287</v>
      </c>
      <c r="H1933" s="419" t="s">
        <v>468</v>
      </c>
      <c r="I1933" s="427" t="s">
        <v>764</v>
      </c>
      <c r="J1933" s="415" t="s">
        <v>310</v>
      </c>
      <c r="K1933" s="415" t="s">
        <v>1220</v>
      </c>
      <c r="L1933" s="415" t="s">
        <v>3443</v>
      </c>
      <c r="M1933" s="613">
        <v>222132078515</v>
      </c>
      <c r="N1933" s="414">
        <v>44720</v>
      </c>
      <c r="O1933" s="414" t="s">
        <v>407</v>
      </c>
      <c r="P1933" s="603">
        <f t="shared" si="285"/>
        <v>6</v>
      </c>
      <c r="Q1933" s="603">
        <f t="shared" si="286"/>
        <v>4</v>
      </c>
      <c r="R1933" s="604" t="str">
        <f t="shared" si="287"/>
        <v>Gastos_custeados_por_captação</v>
      </c>
      <c r="S1933" s="605" t="s">
        <v>310</v>
      </c>
      <c r="T1933" s="605" t="s">
        <v>310</v>
      </c>
    </row>
    <row r="1934" spans="1:20" ht="72" x14ac:dyDescent="0.2">
      <c r="A1934" s="510">
        <f>IF(B1934="","",COUNT('Diário 1º PA'!$A$4:$A$2635)+ROW()-3)</f>
        <v>3667</v>
      </c>
      <c r="B1934" s="414">
        <v>44720</v>
      </c>
      <c r="C1934" s="431">
        <v>44652</v>
      </c>
      <c r="D1934" s="415" t="s">
        <v>468</v>
      </c>
      <c r="E1934" s="415" t="s">
        <v>468</v>
      </c>
      <c r="F1934" s="425">
        <v>235.95</v>
      </c>
      <c r="G1934" s="640" t="s">
        <v>5288</v>
      </c>
      <c r="H1934" s="419" t="s">
        <v>468</v>
      </c>
      <c r="I1934" s="427" t="s">
        <v>764</v>
      </c>
      <c r="J1934" s="415" t="s">
        <v>310</v>
      </c>
      <c r="K1934" s="415" t="s">
        <v>1220</v>
      </c>
      <c r="L1934" s="415" t="s">
        <v>3443</v>
      </c>
      <c r="M1934" s="613">
        <v>222132103994</v>
      </c>
      <c r="N1934" s="414">
        <v>44720</v>
      </c>
      <c r="O1934" s="414" t="s">
        <v>407</v>
      </c>
      <c r="P1934" s="603">
        <f t="shared" si="285"/>
        <v>6</v>
      </c>
      <c r="Q1934" s="603">
        <f t="shared" si="286"/>
        <v>4</v>
      </c>
      <c r="R1934" s="604" t="str">
        <f t="shared" si="287"/>
        <v>Gastos_custeados_por_captação</v>
      </c>
      <c r="S1934" s="605" t="s">
        <v>310</v>
      </c>
      <c r="T1934" s="605" t="s">
        <v>310</v>
      </c>
    </row>
    <row r="1935" spans="1:20" ht="72" x14ac:dyDescent="0.2">
      <c r="A1935" s="510">
        <f>IF(B1935="","",COUNT('Diário 1º PA'!$A$4:$A$2635)+ROW()-3)</f>
        <v>3668</v>
      </c>
      <c r="B1935" s="414">
        <v>44720</v>
      </c>
      <c r="C1935" s="431">
        <v>44652</v>
      </c>
      <c r="D1935" s="415" t="s">
        <v>468</v>
      </c>
      <c r="E1935" s="415" t="s">
        <v>468</v>
      </c>
      <c r="F1935" s="425">
        <v>7.55</v>
      </c>
      <c r="G1935" s="640" t="s">
        <v>5289</v>
      </c>
      <c r="H1935" s="419" t="s">
        <v>468</v>
      </c>
      <c r="I1935" s="427" t="s">
        <v>764</v>
      </c>
      <c r="J1935" s="415" t="s">
        <v>310</v>
      </c>
      <c r="K1935" s="415" t="s">
        <v>1220</v>
      </c>
      <c r="L1935" s="415" t="s">
        <v>3443</v>
      </c>
      <c r="M1935" s="613">
        <v>222132114686</v>
      </c>
      <c r="N1935" s="414">
        <v>44720</v>
      </c>
      <c r="O1935" s="414" t="s">
        <v>407</v>
      </c>
      <c r="P1935" s="603">
        <f t="shared" si="285"/>
        <v>6</v>
      </c>
      <c r="Q1935" s="603">
        <f t="shared" si="286"/>
        <v>4</v>
      </c>
      <c r="R1935" s="604" t="str">
        <f t="shared" si="287"/>
        <v>Gastos_custeados_por_captação</v>
      </c>
      <c r="S1935" s="605" t="s">
        <v>310</v>
      </c>
      <c r="T1935" s="605" t="s">
        <v>310</v>
      </c>
    </row>
    <row r="1936" spans="1:20" ht="72" x14ac:dyDescent="0.2">
      <c r="A1936" s="510">
        <f>IF(B1936="","",COUNT('Diário 1º PA'!$A$4:$A$2635)+ROW()-3)</f>
        <v>3669</v>
      </c>
      <c r="B1936" s="414">
        <v>44720</v>
      </c>
      <c r="C1936" s="431">
        <v>44652</v>
      </c>
      <c r="D1936" s="415" t="s">
        <v>468</v>
      </c>
      <c r="E1936" s="415" t="s">
        <v>468</v>
      </c>
      <c r="F1936" s="425">
        <v>180</v>
      </c>
      <c r="G1936" s="640" t="s">
        <v>5290</v>
      </c>
      <c r="H1936" s="419" t="s">
        <v>468</v>
      </c>
      <c r="I1936" s="427" t="s">
        <v>764</v>
      </c>
      <c r="J1936" s="415" t="s">
        <v>310</v>
      </c>
      <c r="K1936" s="415" t="s">
        <v>1220</v>
      </c>
      <c r="L1936" s="415" t="s">
        <v>3443</v>
      </c>
      <c r="M1936" s="613">
        <v>222132084833</v>
      </c>
      <c r="N1936" s="414">
        <v>44720</v>
      </c>
      <c r="O1936" s="414" t="s">
        <v>407</v>
      </c>
      <c r="P1936" s="603">
        <f t="shared" si="285"/>
        <v>6</v>
      </c>
      <c r="Q1936" s="603">
        <f t="shared" si="286"/>
        <v>4</v>
      </c>
      <c r="R1936" s="604" t="str">
        <f t="shared" si="287"/>
        <v>Gastos_custeados_por_captação</v>
      </c>
      <c r="S1936" s="605" t="s">
        <v>310</v>
      </c>
      <c r="T1936" s="605" t="s">
        <v>310</v>
      </c>
    </row>
    <row r="1937" spans="1:20" ht="72" x14ac:dyDescent="0.2">
      <c r="A1937" s="510">
        <f>IF(B1937="","",COUNT('Diário 1º PA'!$A$4:$A$2635)+ROW()-3)</f>
        <v>3670</v>
      </c>
      <c r="B1937" s="414">
        <v>44720</v>
      </c>
      <c r="C1937" s="431">
        <v>44652</v>
      </c>
      <c r="D1937" s="415" t="s">
        <v>468</v>
      </c>
      <c r="E1937" s="415" t="s">
        <v>468</v>
      </c>
      <c r="F1937" s="425">
        <v>100</v>
      </c>
      <c r="G1937" s="640" t="s">
        <v>5291</v>
      </c>
      <c r="H1937" s="419" t="s">
        <v>468</v>
      </c>
      <c r="I1937" s="427" t="s">
        <v>764</v>
      </c>
      <c r="J1937" s="415" t="s">
        <v>310</v>
      </c>
      <c r="K1937" s="415" t="s">
        <v>1220</v>
      </c>
      <c r="L1937" s="415" t="s">
        <v>3443</v>
      </c>
      <c r="M1937" s="613">
        <v>222132084329</v>
      </c>
      <c r="N1937" s="414">
        <v>44720</v>
      </c>
      <c r="O1937" s="414" t="s">
        <v>407</v>
      </c>
      <c r="P1937" s="603">
        <f t="shared" si="285"/>
        <v>6</v>
      </c>
      <c r="Q1937" s="603">
        <f t="shared" si="286"/>
        <v>4</v>
      </c>
      <c r="R1937" s="604" t="str">
        <f t="shared" si="287"/>
        <v>Gastos_custeados_por_captação</v>
      </c>
      <c r="S1937" s="605" t="s">
        <v>310</v>
      </c>
      <c r="T1937" s="605" t="s">
        <v>310</v>
      </c>
    </row>
    <row r="1938" spans="1:20" ht="72" x14ac:dyDescent="0.2">
      <c r="A1938" s="510">
        <f>IF(B1938="","",COUNT('Diário 1º PA'!$A$4:$A$2635)+ROW()-3)</f>
        <v>3671</v>
      </c>
      <c r="B1938" s="414">
        <v>44720</v>
      </c>
      <c r="C1938" s="431">
        <v>44652</v>
      </c>
      <c r="D1938" s="415" t="s">
        <v>468</v>
      </c>
      <c r="E1938" s="415" t="s">
        <v>468</v>
      </c>
      <c r="F1938" s="425">
        <v>984.9</v>
      </c>
      <c r="G1938" s="640" t="s">
        <v>5292</v>
      </c>
      <c r="H1938" s="419" t="s">
        <v>468</v>
      </c>
      <c r="I1938" s="427" t="s">
        <v>764</v>
      </c>
      <c r="J1938" s="415" t="s">
        <v>310</v>
      </c>
      <c r="K1938" s="415" t="s">
        <v>1220</v>
      </c>
      <c r="L1938" s="415" t="s">
        <v>3443</v>
      </c>
      <c r="M1938" s="613">
        <v>222132084671</v>
      </c>
      <c r="N1938" s="414">
        <v>44720</v>
      </c>
      <c r="O1938" s="414" t="s">
        <v>407</v>
      </c>
      <c r="P1938" s="603">
        <f t="shared" si="285"/>
        <v>6</v>
      </c>
      <c r="Q1938" s="603">
        <f t="shared" si="286"/>
        <v>4</v>
      </c>
      <c r="R1938" s="604" t="str">
        <f t="shared" si="287"/>
        <v>Gastos_custeados_por_captação</v>
      </c>
      <c r="S1938" s="605" t="s">
        <v>310</v>
      </c>
      <c r="T1938" s="605" t="s">
        <v>310</v>
      </c>
    </row>
    <row r="1939" spans="1:20" ht="72" x14ac:dyDescent="0.2">
      <c r="A1939" s="510">
        <f>IF(B1939="","",COUNT('Diário 1º PA'!$A$4:$A$2635)+ROW()-3)</f>
        <v>3672</v>
      </c>
      <c r="B1939" s="414">
        <v>44720</v>
      </c>
      <c r="C1939" s="431">
        <v>44652</v>
      </c>
      <c r="D1939" s="415" t="s">
        <v>468</v>
      </c>
      <c r="E1939" s="415" t="s">
        <v>468</v>
      </c>
      <c r="F1939" s="425">
        <v>200</v>
      </c>
      <c r="G1939" s="640" t="s">
        <v>5293</v>
      </c>
      <c r="H1939" s="419" t="s">
        <v>468</v>
      </c>
      <c r="I1939" s="427" t="s">
        <v>764</v>
      </c>
      <c r="J1939" s="415" t="s">
        <v>310</v>
      </c>
      <c r="K1939" s="415" t="s">
        <v>1220</v>
      </c>
      <c r="L1939" s="415" t="s">
        <v>3443</v>
      </c>
      <c r="M1939" s="613">
        <v>222132057275</v>
      </c>
      <c r="N1939" s="414">
        <v>44720</v>
      </c>
      <c r="O1939" s="414" t="s">
        <v>407</v>
      </c>
      <c r="P1939" s="603">
        <f t="shared" si="285"/>
        <v>6</v>
      </c>
      <c r="Q1939" s="603">
        <f t="shared" si="286"/>
        <v>4</v>
      </c>
      <c r="R1939" s="604" t="str">
        <f t="shared" si="287"/>
        <v>Gastos_custeados_por_captação</v>
      </c>
      <c r="S1939" s="605" t="s">
        <v>310</v>
      </c>
      <c r="T1939" s="605" t="s">
        <v>310</v>
      </c>
    </row>
    <row r="1940" spans="1:20" ht="72" x14ac:dyDescent="0.2">
      <c r="A1940" s="510">
        <f>IF(B1940="","",COUNT('Diário 1º PA'!$A$4:$A$2635)+ROW()-3)</f>
        <v>3673</v>
      </c>
      <c r="B1940" s="414">
        <v>44720</v>
      </c>
      <c r="C1940" s="431">
        <v>44652</v>
      </c>
      <c r="D1940" s="415" t="s">
        <v>468</v>
      </c>
      <c r="E1940" s="415" t="s">
        <v>468</v>
      </c>
      <c r="F1940" s="425">
        <v>84</v>
      </c>
      <c r="G1940" s="640" t="s">
        <v>5294</v>
      </c>
      <c r="H1940" s="419" t="s">
        <v>468</v>
      </c>
      <c r="I1940" s="427" t="s">
        <v>764</v>
      </c>
      <c r="J1940" s="415" t="s">
        <v>310</v>
      </c>
      <c r="K1940" s="415" t="s">
        <v>1220</v>
      </c>
      <c r="L1940" s="415" t="s">
        <v>3443</v>
      </c>
      <c r="M1940" s="613">
        <v>222132062198</v>
      </c>
      <c r="N1940" s="414">
        <v>44720</v>
      </c>
      <c r="O1940" s="414" t="s">
        <v>407</v>
      </c>
      <c r="P1940" s="603">
        <f t="shared" si="285"/>
        <v>6</v>
      </c>
      <c r="Q1940" s="603">
        <f t="shared" si="286"/>
        <v>4</v>
      </c>
      <c r="R1940" s="604" t="str">
        <f t="shared" si="287"/>
        <v>Gastos_custeados_por_captação</v>
      </c>
      <c r="S1940" s="605" t="s">
        <v>310</v>
      </c>
      <c r="T1940" s="605" t="s">
        <v>310</v>
      </c>
    </row>
    <row r="1941" spans="1:20" ht="72" x14ac:dyDescent="0.2">
      <c r="A1941" s="510">
        <f>IF(B1941="","",COUNT('Diário 1º PA'!$A$4:$A$2635)+ROW()-3)</f>
        <v>3674</v>
      </c>
      <c r="B1941" s="414">
        <v>44720</v>
      </c>
      <c r="C1941" s="431">
        <v>44682</v>
      </c>
      <c r="D1941" s="415" t="s">
        <v>468</v>
      </c>
      <c r="E1941" s="415" t="s">
        <v>468</v>
      </c>
      <c r="F1941" s="425">
        <v>7200</v>
      </c>
      <c r="G1941" s="427" t="s">
        <v>4019</v>
      </c>
      <c r="H1941" s="419" t="s">
        <v>468</v>
      </c>
      <c r="I1941" s="427" t="s">
        <v>5018</v>
      </c>
      <c r="J1941" s="415" t="s">
        <v>1052</v>
      </c>
      <c r="K1941" s="415" t="s">
        <v>830</v>
      </c>
      <c r="L1941" s="415" t="s">
        <v>807</v>
      </c>
      <c r="M1941" s="546">
        <v>163</v>
      </c>
      <c r="N1941" s="414">
        <v>44719</v>
      </c>
      <c r="O1941" s="414" t="s">
        <v>407</v>
      </c>
      <c r="P1941" s="603">
        <f t="shared" si="285"/>
        <v>6</v>
      </c>
      <c r="Q1941" s="603">
        <f t="shared" si="286"/>
        <v>5</v>
      </c>
      <c r="R1941" s="604" t="str">
        <f t="shared" si="287"/>
        <v>Gastos_custeados_por_captação</v>
      </c>
      <c r="S1941" s="605" t="s">
        <v>1000</v>
      </c>
      <c r="T1941" s="605">
        <v>3653</v>
      </c>
    </row>
    <row r="1942" spans="1:20" ht="72" x14ac:dyDescent="0.2">
      <c r="A1942" s="510">
        <f>IF(B1942="","",COUNT('Diário 1º PA'!$A$4:$A$2635)+ROW()-3)</f>
        <v>3675</v>
      </c>
      <c r="B1942" s="414">
        <v>44720</v>
      </c>
      <c r="C1942" s="431">
        <v>44652</v>
      </c>
      <c r="D1942" s="415" t="s">
        <v>468</v>
      </c>
      <c r="E1942" s="415" t="s">
        <v>468</v>
      </c>
      <c r="F1942" s="425">
        <v>52.85</v>
      </c>
      <c r="G1942" s="640" t="s">
        <v>5295</v>
      </c>
      <c r="H1942" s="419" t="s">
        <v>468</v>
      </c>
      <c r="I1942" s="427" t="s">
        <v>764</v>
      </c>
      <c r="J1942" s="415" t="s">
        <v>310</v>
      </c>
      <c r="K1942" s="415" t="s">
        <v>1220</v>
      </c>
      <c r="L1942" s="415" t="s">
        <v>3443</v>
      </c>
      <c r="M1942" s="613">
        <v>222132113361</v>
      </c>
      <c r="N1942" s="414">
        <v>44720</v>
      </c>
      <c r="O1942" s="414" t="s">
        <v>407</v>
      </c>
      <c r="P1942" s="603">
        <f t="shared" si="285"/>
        <v>6</v>
      </c>
      <c r="Q1942" s="603">
        <f t="shared" si="286"/>
        <v>4</v>
      </c>
      <c r="R1942" s="604" t="str">
        <f t="shared" si="287"/>
        <v>Gastos_custeados_por_captação</v>
      </c>
      <c r="S1942" s="605" t="s">
        <v>310</v>
      </c>
      <c r="T1942" s="605" t="s">
        <v>310</v>
      </c>
    </row>
    <row r="1943" spans="1:20" ht="72" x14ac:dyDescent="0.2">
      <c r="A1943" s="510">
        <f>IF(B1943="","",COUNT('Diário 1º PA'!$A$4:$A$2635)+ROW()-3)</f>
        <v>3676</v>
      </c>
      <c r="B1943" s="414">
        <v>44720</v>
      </c>
      <c r="C1943" s="431">
        <v>44652</v>
      </c>
      <c r="D1943" s="415" t="s">
        <v>468</v>
      </c>
      <c r="E1943" s="415" t="s">
        <v>468</v>
      </c>
      <c r="F1943" s="425">
        <v>52.15</v>
      </c>
      <c r="G1943" s="640" t="s">
        <v>5296</v>
      </c>
      <c r="H1943" s="419" t="s">
        <v>468</v>
      </c>
      <c r="I1943" s="427" t="s">
        <v>764</v>
      </c>
      <c r="J1943" s="415" t="s">
        <v>310</v>
      </c>
      <c r="K1943" s="415" t="s">
        <v>1220</v>
      </c>
      <c r="L1943" s="415" t="s">
        <v>3443</v>
      </c>
      <c r="M1943" s="613">
        <v>222132113019</v>
      </c>
      <c r="N1943" s="414">
        <v>44720</v>
      </c>
      <c r="O1943" s="414" t="s">
        <v>407</v>
      </c>
      <c r="P1943" s="603">
        <f t="shared" si="285"/>
        <v>6</v>
      </c>
      <c r="Q1943" s="603">
        <f t="shared" si="286"/>
        <v>4</v>
      </c>
      <c r="R1943" s="604" t="str">
        <f t="shared" si="287"/>
        <v>Gastos_custeados_por_captação</v>
      </c>
      <c r="S1943" s="605" t="s">
        <v>310</v>
      </c>
      <c r="T1943" s="605" t="s">
        <v>310</v>
      </c>
    </row>
    <row r="1944" spans="1:20" ht="72" x14ac:dyDescent="0.2">
      <c r="A1944" s="510">
        <f>IF(B1944="","",COUNT('Diário 1º PA'!$A$4:$A$2635)+ROW()-3)</f>
        <v>3677</v>
      </c>
      <c r="B1944" s="414">
        <v>44720</v>
      </c>
      <c r="C1944" s="431">
        <v>44652</v>
      </c>
      <c r="D1944" s="415" t="s">
        <v>468</v>
      </c>
      <c r="E1944" s="415" t="s">
        <v>468</v>
      </c>
      <c r="F1944" s="425">
        <v>69</v>
      </c>
      <c r="G1944" s="640" t="s">
        <v>5297</v>
      </c>
      <c r="H1944" s="419" t="s">
        <v>468</v>
      </c>
      <c r="I1944" s="427" t="s">
        <v>764</v>
      </c>
      <c r="J1944" s="415" t="s">
        <v>310</v>
      </c>
      <c r="K1944" s="415" t="s">
        <v>1220</v>
      </c>
      <c r="L1944" s="415" t="s">
        <v>3443</v>
      </c>
      <c r="M1944" s="613">
        <v>222132079830</v>
      </c>
      <c r="N1944" s="414">
        <v>44720</v>
      </c>
      <c r="O1944" s="414" t="s">
        <v>407</v>
      </c>
      <c r="P1944" s="603">
        <f t="shared" si="285"/>
        <v>6</v>
      </c>
      <c r="Q1944" s="603">
        <f t="shared" si="286"/>
        <v>4</v>
      </c>
      <c r="R1944" s="604" t="str">
        <f t="shared" si="287"/>
        <v>Gastos_custeados_por_captação</v>
      </c>
      <c r="S1944" s="605" t="s">
        <v>310</v>
      </c>
      <c r="T1944" s="605" t="s">
        <v>310</v>
      </c>
    </row>
    <row r="1945" spans="1:20" ht="72" x14ac:dyDescent="0.2">
      <c r="A1945" s="510">
        <f>IF(B1945="","",COUNT('Diário 1º PA'!$A$4:$A$2635)+ROW()-3)</f>
        <v>3678</v>
      </c>
      <c r="B1945" s="414">
        <v>44720</v>
      </c>
      <c r="C1945" s="431">
        <v>44652</v>
      </c>
      <c r="D1945" s="415" t="s">
        <v>468</v>
      </c>
      <c r="E1945" s="415" t="s">
        <v>468</v>
      </c>
      <c r="F1945" s="425">
        <v>52.15</v>
      </c>
      <c r="G1945" s="640" t="s">
        <v>5298</v>
      </c>
      <c r="H1945" s="419" t="s">
        <v>468</v>
      </c>
      <c r="I1945" s="427" t="s">
        <v>764</v>
      </c>
      <c r="J1945" s="415" t="s">
        <v>310</v>
      </c>
      <c r="K1945" s="415" t="s">
        <v>1220</v>
      </c>
      <c r="L1945" s="415" t="s">
        <v>3443</v>
      </c>
      <c r="M1945" s="613">
        <v>222132113604</v>
      </c>
      <c r="N1945" s="414">
        <v>44720</v>
      </c>
      <c r="O1945" s="414" t="s">
        <v>407</v>
      </c>
      <c r="P1945" s="603">
        <f t="shared" si="285"/>
        <v>6</v>
      </c>
      <c r="Q1945" s="603">
        <f t="shared" si="286"/>
        <v>4</v>
      </c>
      <c r="R1945" s="604" t="str">
        <f t="shared" si="287"/>
        <v>Gastos_custeados_por_captação</v>
      </c>
      <c r="S1945" s="605" t="s">
        <v>310</v>
      </c>
      <c r="T1945" s="605" t="s">
        <v>310</v>
      </c>
    </row>
    <row r="1946" spans="1:20" ht="72" x14ac:dyDescent="0.2">
      <c r="A1946" s="510">
        <f>IF(B1946="","",COUNT('Diário 1º PA'!$A$4:$A$2635)+ROW()-3)</f>
        <v>3679</v>
      </c>
      <c r="B1946" s="414">
        <v>44720</v>
      </c>
      <c r="C1946" s="431">
        <v>44652</v>
      </c>
      <c r="D1946" s="415" t="s">
        <v>468</v>
      </c>
      <c r="E1946" s="415" t="s">
        <v>468</v>
      </c>
      <c r="F1946" s="425">
        <v>880</v>
      </c>
      <c r="G1946" s="640" t="s">
        <v>5272</v>
      </c>
      <c r="H1946" s="419" t="s">
        <v>468</v>
      </c>
      <c r="I1946" s="427" t="s">
        <v>764</v>
      </c>
      <c r="J1946" s="415" t="s">
        <v>310</v>
      </c>
      <c r="K1946" s="415" t="s">
        <v>1220</v>
      </c>
      <c r="L1946" s="415" t="s">
        <v>3443</v>
      </c>
      <c r="M1946" s="613">
        <v>222132021912</v>
      </c>
      <c r="N1946" s="414">
        <v>44720</v>
      </c>
      <c r="O1946" s="414" t="s">
        <v>407</v>
      </c>
      <c r="P1946" s="603">
        <f t="shared" si="285"/>
        <v>6</v>
      </c>
      <c r="Q1946" s="603">
        <f t="shared" si="286"/>
        <v>4</v>
      </c>
      <c r="R1946" s="604" t="str">
        <f t="shared" si="287"/>
        <v>Gastos_custeados_por_captação</v>
      </c>
      <c r="S1946" s="605" t="s">
        <v>310</v>
      </c>
      <c r="T1946" s="605" t="s">
        <v>310</v>
      </c>
    </row>
    <row r="1947" spans="1:20" ht="72" x14ac:dyDescent="0.2">
      <c r="A1947" s="510">
        <f>IF(B1947="","",COUNT('Diário 1º PA'!$A$4:$A$2635)+ROW()-3)</f>
        <v>3680</v>
      </c>
      <c r="B1947" s="414">
        <v>44720</v>
      </c>
      <c r="C1947" s="431">
        <v>44652</v>
      </c>
      <c r="D1947" s="415" t="s">
        <v>468</v>
      </c>
      <c r="E1947" s="415" t="s">
        <v>468</v>
      </c>
      <c r="F1947" s="425">
        <v>30.2</v>
      </c>
      <c r="G1947" s="640" t="s">
        <v>5299</v>
      </c>
      <c r="H1947" s="419" t="s">
        <v>468</v>
      </c>
      <c r="I1947" s="427" t="s">
        <v>764</v>
      </c>
      <c r="J1947" s="415" t="s">
        <v>310</v>
      </c>
      <c r="K1947" s="415" t="s">
        <v>1220</v>
      </c>
      <c r="L1947" s="415" t="s">
        <v>3443</v>
      </c>
      <c r="M1947" s="613">
        <v>2222132114848</v>
      </c>
      <c r="N1947" s="414">
        <v>44720</v>
      </c>
      <c r="O1947" s="414" t="s">
        <v>407</v>
      </c>
      <c r="P1947" s="603">
        <f t="shared" si="285"/>
        <v>6</v>
      </c>
      <c r="Q1947" s="603">
        <f t="shared" si="286"/>
        <v>4</v>
      </c>
      <c r="R1947" s="604" t="str">
        <f t="shared" si="287"/>
        <v>Gastos_custeados_por_captação</v>
      </c>
      <c r="S1947" s="605" t="s">
        <v>310</v>
      </c>
      <c r="T1947" s="605" t="s">
        <v>310</v>
      </c>
    </row>
    <row r="1948" spans="1:20" ht="72" x14ac:dyDescent="0.2">
      <c r="A1948" s="510">
        <f>IF(B1948="","",COUNT('Diário 1º PA'!$A$4:$A$2635)+ROW()-3)</f>
        <v>3681</v>
      </c>
      <c r="B1948" s="414">
        <v>44720</v>
      </c>
      <c r="C1948" s="431">
        <v>44652</v>
      </c>
      <c r="D1948" s="415" t="s">
        <v>468</v>
      </c>
      <c r="E1948" s="415" t="s">
        <v>468</v>
      </c>
      <c r="F1948" s="425">
        <v>52.15</v>
      </c>
      <c r="G1948" s="640" t="s">
        <v>5300</v>
      </c>
      <c r="H1948" s="419" t="s">
        <v>468</v>
      </c>
      <c r="I1948" s="427" t="s">
        <v>764</v>
      </c>
      <c r="J1948" s="415" t="s">
        <v>310</v>
      </c>
      <c r="K1948" s="415" t="s">
        <v>1220</v>
      </c>
      <c r="L1948" s="415" t="s">
        <v>3443</v>
      </c>
      <c r="M1948" s="613">
        <v>222132113876</v>
      </c>
      <c r="N1948" s="414">
        <v>44720</v>
      </c>
      <c r="O1948" s="414" t="s">
        <v>407</v>
      </c>
      <c r="P1948" s="603">
        <f t="shared" si="285"/>
        <v>6</v>
      </c>
      <c r="Q1948" s="603">
        <f t="shared" si="286"/>
        <v>4</v>
      </c>
      <c r="R1948" s="604" t="str">
        <f t="shared" si="287"/>
        <v>Gastos_custeados_por_captação</v>
      </c>
      <c r="S1948" s="605" t="s">
        <v>310</v>
      </c>
      <c r="T1948" s="605" t="s">
        <v>310</v>
      </c>
    </row>
    <row r="1949" spans="1:20" ht="72" x14ac:dyDescent="0.2">
      <c r="A1949" s="510">
        <f>IF(B1949="","",COUNT('Diário 1º PA'!$A$4:$A$2635)+ROW()-3)</f>
        <v>3682</v>
      </c>
      <c r="B1949" s="414">
        <v>44720</v>
      </c>
      <c r="C1949" s="431">
        <v>44652</v>
      </c>
      <c r="D1949" s="415" t="s">
        <v>468</v>
      </c>
      <c r="E1949" s="415" t="s">
        <v>468</v>
      </c>
      <c r="F1949" s="425">
        <v>350</v>
      </c>
      <c r="G1949" s="640" t="s">
        <v>5301</v>
      </c>
      <c r="H1949" s="419" t="s">
        <v>468</v>
      </c>
      <c r="I1949" s="427" t="s">
        <v>764</v>
      </c>
      <c r="J1949" s="415" t="s">
        <v>310</v>
      </c>
      <c r="K1949" s="415" t="s">
        <v>1220</v>
      </c>
      <c r="L1949" s="415" t="s">
        <v>3443</v>
      </c>
      <c r="M1949" s="613">
        <v>222132062945</v>
      </c>
      <c r="N1949" s="414">
        <v>44720</v>
      </c>
      <c r="O1949" s="414" t="s">
        <v>407</v>
      </c>
      <c r="P1949" s="603">
        <f t="shared" si="285"/>
        <v>6</v>
      </c>
      <c r="Q1949" s="603">
        <f t="shared" si="286"/>
        <v>4</v>
      </c>
      <c r="R1949" s="604" t="str">
        <f t="shared" si="287"/>
        <v>Gastos_custeados_por_captação</v>
      </c>
      <c r="S1949" s="605" t="s">
        <v>310</v>
      </c>
      <c r="T1949" s="605" t="s">
        <v>310</v>
      </c>
    </row>
    <row r="1950" spans="1:20" ht="72" x14ac:dyDescent="0.2">
      <c r="A1950" s="510">
        <f>IF(B1950="","",COUNT('Diário 1º PA'!$A$4:$A$2635)+ROW()-3)</f>
        <v>3683</v>
      </c>
      <c r="B1950" s="414">
        <v>44720</v>
      </c>
      <c r="C1950" s="431">
        <v>44652</v>
      </c>
      <c r="D1950" s="415" t="s">
        <v>468</v>
      </c>
      <c r="E1950" s="415" t="s">
        <v>468</v>
      </c>
      <c r="F1950" s="425">
        <v>959.4</v>
      </c>
      <c r="G1950" s="640" t="s">
        <v>5302</v>
      </c>
      <c r="H1950" s="419" t="s">
        <v>468</v>
      </c>
      <c r="I1950" s="427" t="s">
        <v>764</v>
      </c>
      <c r="J1950" s="415" t="s">
        <v>310</v>
      </c>
      <c r="K1950" s="415" t="s">
        <v>1220</v>
      </c>
      <c r="L1950" s="415" t="s">
        <v>3443</v>
      </c>
      <c r="M1950" s="613">
        <v>222132093239</v>
      </c>
      <c r="N1950" s="414">
        <v>44720</v>
      </c>
      <c r="O1950" s="414" t="s">
        <v>407</v>
      </c>
      <c r="P1950" s="603">
        <f t="shared" si="285"/>
        <v>6</v>
      </c>
      <c r="Q1950" s="603">
        <f t="shared" si="286"/>
        <v>4</v>
      </c>
      <c r="R1950" s="604" t="str">
        <f t="shared" si="287"/>
        <v>Gastos_custeados_por_captação</v>
      </c>
      <c r="S1950" s="605" t="s">
        <v>310</v>
      </c>
      <c r="T1950" s="605" t="s">
        <v>310</v>
      </c>
    </row>
    <row r="1951" spans="1:20" ht="72" x14ac:dyDescent="0.2">
      <c r="A1951" s="510">
        <f>IF(B1951="","",COUNT('Diário 1º PA'!$A$4:$A$2635)+ROW()-3)</f>
        <v>3684</v>
      </c>
      <c r="B1951" s="414">
        <v>44720</v>
      </c>
      <c r="C1951" s="431">
        <v>44652</v>
      </c>
      <c r="D1951" s="415" t="s">
        <v>468</v>
      </c>
      <c r="E1951" s="415" t="s">
        <v>468</v>
      </c>
      <c r="F1951" s="425">
        <v>183.6</v>
      </c>
      <c r="G1951" s="640" t="s">
        <v>5303</v>
      </c>
      <c r="H1951" s="419" t="s">
        <v>468</v>
      </c>
      <c r="I1951" s="427" t="s">
        <v>764</v>
      </c>
      <c r="J1951" s="415" t="s">
        <v>310</v>
      </c>
      <c r="K1951" s="415" t="s">
        <v>1220</v>
      </c>
      <c r="L1951" s="415" t="s">
        <v>3443</v>
      </c>
      <c r="M1951" s="613">
        <v>222132094634</v>
      </c>
      <c r="N1951" s="414">
        <v>44720</v>
      </c>
      <c r="O1951" s="414" t="s">
        <v>407</v>
      </c>
      <c r="P1951" s="603">
        <f t="shared" si="285"/>
        <v>6</v>
      </c>
      <c r="Q1951" s="603">
        <f t="shared" si="286"/>
        <v>4</v>
      </c>
      <c r="R1951" s="604" t="str">
        <f t="shared" si="287"/>
        <v>Gastos_custeados_por_captação</v>
      </c>
      <c r="S1951" s="605" t="s">
        <v>310</v>
      </c>
      <c r="T1951" s="605" t="s">
        <v>310</v>
      </c>
    </row>
    <row r="1952" spans="1:20" ht="72" x14ac:dyDescent="0.2">
      <c r="A1952" s="510">
        <f>IF(B1952="","",COUNT('Diário 1º PA'!$A$4:$A$2635)+ROW()-3)</f>
        <v>3685</v>
      </c>
      <c r="B1952" s="414">
        <v>44720</v>
      </c>
      <c r="C1952" s="431">
        <v>44652</v>
      </c>
      <c r="D1952" s="415" t="s">
        <v>468</v>
      </c>
      <c r="E1952" s="415" t="s">
        <v>468</v>
      </c>
      <c r="F1952" s="425">
        <v>428.4</v>
      </c>
      <c r="G1952" s="640" t="s">
        <v>5304</v>
      </c>
      <c r="H1952" s="419" t="s">
        <v>468</v>
      </c>
      <c r="I1952" s="427" t="s">
        <v>764</v>
      </c>
      <c r="J1952" s="415" t="s">
        <v>310</v>
      </c>
      <c r="K1952" s="415" t="s">
        <v>1220</v>
      </c>
      <c r="L1952" s="415" t="s">
        <v>3443</v>
      </c>
      <c r="M1952" s="613">
        <v>222132095525</v>
      </c>
      <c r="N1952" s="414">
        <v>44720</v>
      </c>
      <c r="O1952" s="414" t="s">
        <v>407</v>
      </c>
      <c r="P1952" s="603">
        <f t="shared" si="285"/>
        <v>6</v>
      </c>
      <c r="Q1952" s="603">
        <f t="shared" si="286"/>
        <v>4</v>
      </c>
      <c r="R1952" s="604" t="str">
        <f t="shared" si="287"/>
        <v>Gastos_custeados_por_captação</v>
      </c>
      <c r="S1952" s="605" t="s">
        <v>310</v>
      </c>
      <c r="T1952" s="605" t="s">
        <v>310</v>
      </c>
    </row>
    <row r="1953" spans="1:20" ht="72" x14ac:dyDescent="0.2">
      <c r="A1953" s="510">
        <f>IF(B1953="","",COUNT('Diário 1º PA'!$A$4:$A$2635)+ROW()-3)</f>
        <v>3686</v>
      </c>
      <c r="B1953" s="414">
        <v>44720</v>
      </c>
      <c r="C1953" s="431">
        <v>44652</v>
      </c>
      <c r="D1953" s="415" t="s">
        <v>468</v>
      </c>
      <c r="E1953" s="415" t="s">
        <v>468</v>
      </c>
      <c r="F1953" s="425">
        <v>52.85</v>
      </c>
      <c r="G1953" s="640" t="s">
        <v>5305</v>
      </c>
      <c r="H1953" s="419" t="s">
        <v>468</v>
      </c>
      <c r="I1953" s="427" t="s">
        <v>764</v>
      </c>
      <c r="J1953" s="415" t="s">
        <v>310</v>
      </c>
      <c r="K1953" s="415" t="s">
        <v>1220</v>
      </c>
      <c r="L1953" s="415" t="s">
        <v>3443</v>
      </c>
      <c r="M1953" s="613">
        <v>222132111237</v>
      </c>
      <c r="N1953" s="414">
        <v>44720</v>
      </c>
      <c r="O1953" s="414" t="s">
        <v>407</v>
      </c>
      <c r="P1953" s="603">
        <f t="shared" si="285"/>
        <v>6</v>
      </c>
      <c r="Q1953" s="603">
        <f t="shared" si="286"/>
        <v>4</v>
      </c>
      <c r="R1953" s="604" t="str">
        <f t="shared" si="287"/>
        <v>Gastos_custeados_por_captação</v>
      </c>
      <c r="S1953" s="605" t="s">
        <v>310</v>
      </c>
      <c r="T1953" s="605" t="s">
        <v>310</v>
      </c>
    </row>
    <row r="1954" spans="1:20" ht="72" x14ac:dyDescent="0.2">
      <c r="A1954" s="510">
        <f>IF(B1954="","",COUNT('Diário 1º PA'!$A$4:$A$2635)+ROW()-3)</f>
        <v>3687</v>
      </c>
      <c r="B1954" s="414">
        <v>44720</v>
      </c>
      <c r="C1954" s="431">
        <v>44652</v>
      </c>
      <c r="D1954" s="415" t="s">
        <v>468</v>
      </c>
      <c r="E1954" s="415" t="s">
        <v>468</v>
      </c>
      <c r="F1954" s="425">
        <v>22.35</v>
      </c>
      <c r="G1954" s="640" t="s">
        <v>5306</v>
      </c>
      <c r="H1954" s="419" t="s">
        <v>468</v>
      </c>
      <c r="I1954" s="427" t="s">
        <v>764</v>
      </c>
      <c r="J1954" s="415" t="s">
        <v>310</v>
      </c>
      <c r="K1954" s="415" t="s">
        <v>1220</v>
      </c>
      <c r="L1954" s="415" t="s">
        <v>3443</v>
      </c>
      <c r="M1954" s="613">
        <v>222132107124</v>
      </c>
      <c r="N1954" s="414">
        <v>44720</v>
      </c>
      <c r="O1954" s="414" t="s">
        <v>407</v>
      </c>
      <c r="P1954" s="603">
        <f t="shared" si="285"/>
        <v>6</v>
      </c>
      <c r="Q1954" s="603">
        <f t="shared" si="286"/>
        <v>4</v>
      </c>
      <c r="R1954" s="604" t="str">
        <f t="shared" si="287"/>
        <v>Gastos_custeados_por_captação</v>
      </c>
      <c r="S1954" s="605" t="s">
        <v>310</v>
      </c>
      <c r="T1954" s="605" t="s">
        <v>310</v>
      </c>
    </row>
    <row r="1955" spans="1:20" ht="72" x14ac:dyDescent="0.2">
      <c r="A1955" s="510">
        <f>IF(B1955="","",COUNT('Diário 1º PA'!$A$4:$A$2635)+ROW()-3)</f>
        <v>3688</v>
      </c>
      <c r="B1955" s="414">
        <v>44720</v>
      </c>
      <c r="C1955" s="431">
        <v>44652</v>
      </c>
      <c r="D1955" s="415" t="s">
        <v>468</v>
      </c>
      <c r="E1955" s="415" t="s">
        <v>468</v>
      </c>
      <c r="F1955" s="425">
        <v>37.25</v>
      </c>
      <c r="G1955" s="640" t="s">
        <v>5307</v>
      </c>
      <c r="H1955" s="419" t="s">
        <v>468</v>
      </c>
      <c r="I1955" s="427" t="s">
        <v>764</v>
      </c>
      <c r="J1955" s="415" t="s">
        <v>310</v>
      </c>
      <c r="K1955" s="415" t="s">
        <v>1220</v>
      </c>
      <c r="L1955" s="415" t="s">
        <v>3443</v>
      </c>
      <c r="M1955" s="613">
        <v>222132107710</v>
      </c>
      <c r="N1955" s="414">
        <v>44720</v>
      </c>
      <c r="O1955" s="414" t="s">
        <v>407</v>
      </c>
      <c r="P1955" s="603">
        <f t="shared" si="285"/>
        <v>6</v>
      </c>
      <c r="Q1955" s="603">
        <f t="shared" si="286"/>
        <v>4</v>
      </c>
      <c r="R1955" s="604" t="str">
        <f t="shared" si="287"/>
        <v>Gastos_custeados_por_captação</v>
      </c>
      <c r="S1955" s="605" t="s">
        <v>310</v>
      </c>
      <c r="T1955" s="605" t="s">
        <v>310</v>
      </c>
    </row>
    <row r="1956" spans="1:20" ht="72" x14ac:dyDescent="0.2">
      <c r="A1956" s="510">
        <f>IF(B1956="","",COUNT('Diário 1º PA'!$A$4:$A$2635)+ROW()-3)</f>
        <v>3689</v>
      </c>
      <c r="B1956" s="414">
        <v>44720</v>
      </c>
      <c r="C1956" s="431">
        <v>44652</v>
      </c>
      <c r="D1956" s="415" t="s">
        <v>468</v>
      </c>
      <c r="E1956" s="415" t="s">
        <v>468</v>
      </c>
      <c r="F1956" s="425">
        <v>608.94000000000005</v>
      </c>
      <c r="G1956" s="640" t="s">
        <v>5308</v>
      </c>
      <c r="H1956" s="419" t="s">
        <v>468</v>
      </c>
      <c r="I1956" s="427" t="s">
        <v>764</v>
      </c>
      <c r="J1956" s="415" t="s">
        <v>310</v>
      </c>
      <c r="K1956" s="415" t="s">
        <v>1220</v>
      </c>
      <c r="L1956" s="415" t="s">
        <v>3443</v>
      </c>
      <c r="M1956" s="613">
        <v>222132094200</v>
      </c>
      <c r="N1956" s="414">
        <v>44720</v>
      </c>
      <c r="O1956" s="414" t="s">
        <v>407</v>
      </c>
      <c r="P1956" s="603">
        <f t="shared" si="285"/>
        <v>6</v>
      </c>
      <c r="Q1956" s="603">
        <f t="shared" si="286"/>
        <v>4</v>
      </c>
      <c r="R1956" s="604" t="str">
        <f t="shared" si="287"/>
        <v>Gastos_custeados_por_captação</v>
      </c>
      <c r="S1956" s="605" t="s">
        <v>310</v>
      </c>
      <c r="T1956" s="605" t="s">
        <v>310</v>
      </c>
    </row>
    <row r="1957" spans="1:20" ht="72" x14ac:dyDescent="0.2">
      <c r="A1957" s="510">
        <f>IF(B1957="","",COUNT('Diário 1º PA'!$A$4:$A$2635)+ROW()-3)</f>
        <v>3690</v>
      </c>
      <c r="B1957" s="414">
        <v>44720</v>
      </c>
      <c r="C1957" s="431">
        <v>44652</v>
      </c>
      <c r="D1957" s="415" t="s">
        <v>468</v>
      </c>
      <c r="E1957" s="415" t="s">
        <v>468</v>
      </c>
      <c r="F1957" s="425">
        <v>210</v>
      </c>
      <c r="G1957" s="640" t="s">
        <v>5309</v>
      </c>
      <c r="H1957" s="419" t="s">
        <v>468</v>
      </c>
      <c r="I1957" s="427" t="s">
        <v>764</v>
      </c>
      <c r="J1957" s="415" t="s">
        <v>310</v>
      </c>
      <c r="K1957" s="415" t="s">
        <v>1220</v>
      </c>
      <c r="L1957" s="415" t="s">
        <v>3443</v>
      </c>
      <c r="M1957" s="613">
        <v>222132026710</v>
      </c>
      <c r="N1957" s="414">
        <v>44720</v>
      </c>
      <c r="O1957" s="414" t="s">
        <v>407</v>
      </c>
      <c r="P1957" s="603">
        <f t="shared" si="285"/>
        <v>6</v>
      </c>
      <c r="Q1957" s="603">
        <f t="shared" si="286"/>
        <v>4</v>
      </c>
      <c r="R1957" s="604" t="str">
        <f t="shared" si="287"/>
        <v>Gastos_custeados_por_captação</v>
      </c>
      <c r="S1957" s="605" t="s">
        <v>310</v>
      </c>
      <c r="T1957" s="605" t="s">
        <v>310</v>
      </c>
    </row>
    <row r="1958" spans="1:20" ht="72" x14ac:dyDescent="0.2">
      <c r="A1958" s="510">
        <f>IF(B1958="","",COUNT('Diário 1º PA'!$A$4:$A$2635)+ROW()-3)</f>
        <v>3691</v>
      </c>
      <c r="B1958" s="414">
        <v>44720</v>
      </c>
      <c r="C1958" s="431">
        <v>44652</v>
      </c>
      <c r="D1958" s="415" t="s">
        <v>468</v>
      </c>
      <c r="E1958" s="415" t="s">
        <v>468</v>
      </c>
      <c r="F1958" s="425">
        <v>420</v>
      </c>
      <c r="G1958" s="640" t="s">
        <v>5310</v>
      </c>
      <c r="H1958" s="419" t="s">
        <v>468</v>
      </c>
      <c r="I1958" s="427" t="s">
        <v>764</v>
      </c>
      <c r="J1958" s="415" t="s">
        <v>310</v>
      </c>
      <c r="K1958" s="415" t="s">
        <v>1220</v>
      </c>
      <c r="L1958" s="415" t="s">
        <v>3443</v>
      </c>
      <c r="M1958" s="613">
        <v>222132080250</v>
      </c>
      <c r="N1958" s="414">
        <v>44720</v>
      </c>
      <c r="O1958" s="414" t="s">
        <v>407</v>
      </c>
      <c r="P1958" s="603">
        <f t="shared" si="285"/>
        <v>6</v>
      </c>
      <c r="Q1958" s="603">
        <f t="shared" si="286"/>
        <v>4</v>
      </c>
      <c r="R1958" s="604" t="str">
        <f t="shared" si="287"/>
        <v>Gastos_custeados_por_captação</v>
      </c>
      <c r="S1958" s="605" t="s">
        <v>310</v>
      </c>
      <c r="T1958" s="605" t="s">
        <v>310</v>
      </c>
    </row>
    <row r="1959" spans="1:20" ht="72" x14ac:dyDescent="0.2">
      <c r="A1959" s="510">
        <f>IF(B1959="","",COUNT('Diário 1º PA'!$A$4:$A$2635)+ROW()-3)</f>
        <v>3692</v>
      </c>
      <c r="B1959" s="414">
        <v>44720</v>
      </c>
      <c r="C1959" s="431">
        <v>44652</v>
      </c>
      <c r="D1959" s="415" t="s">
        <v>468</v>
      </c>
      <c r="E1959" s="415" t="s">
        <v>468</v>
      </c>
      <c r="F1959" s="425">
        <v>13.35</v>
      </c>
      <c r="G1959" s="640" t="s">
        <v>5311</v>
      </c>
      <c r="H1959" s="419" t="s">
        <v>468</v>
      </c>
      <c r="I1959" s="427" t="s">
        <v>764</v>
      </c>
      <c r="J1959" s="415" t="s">
        <v>310</v>
      </c>
      <c r="K1959" s="415" t="s">
        <v>1220</v>
      </c>
      <c r="L1959" s="415" t="s">
        <v>3443</v>
      </c>
      <c r="M1959" s="613">
        <v>222132105423</v>
      </c>
      <c r="N1959" s="414">
        <v>44720</v>
      </c>
      <c r="O1959" s="414" t="s">
        <v>407</v>
      </c>
      <c r="P1959" s="603">
        <f t="shared" si="285"/>
        <v>6</v>
      </c>
      <c r="Q1959" s="603">
        <f t="shared" si="286"/>
        <v>4</v>
      </c>
      <c r="R1959" s="604" t="str">
        <f t="shared" si="287"/>
        <v>Gastos_custeados_por_captação</v>
      </c>
      <c r="S1959" s="605" t="s">
        <v>310</v>
      </c>
      <c r="T1959" s="605" t="s">
        <v>310</v>
      </c>
    </row>
    <row r="1960" spans="1:20" ht="72" x14ac:dyDescent="0.2">
      <c r="A1960" s="510">
        <f>IF(B1960="","",COUNT('Diário 1º PA'!$A$4:$A$2635)+ROW()-3)</f>
        <v>3693</v>
      </c>
      <c r="B1960" s="414">
        <v>44720</v>
      </c>
      <c r="C1960" s="431">
        <v>44652</v>
      </c>
      <c r="D1960" s="415" t="s">
        <v>468</v>
      </c>
      <c r="E1960" s="415" t="s">
        <v>468</v>
      </c>
      <c r="F1960" s="425">
        <v>37.35</v>
      </c>
      <c r="G1960" s="640" t="s">
        <v>5312</v>
      </c>
      <c r="H1960" s="419" t="s">
        <v>468</v>
      </c>
      <c r="I1960" s="427" t="s">
        <v>764</v>
      </c>
      <c r="J1960" s="415" t="s">
        <v>310</v>
      </c>
      <c r="K1960" s="415" t="s">
        <v>1220</v>
      </c>
      <c r="L1960" s="415" t="s">
        <v>3443</v>
      </c>
      <c r="M1960" s="613">
        <v>222132106233</v>
      </c>
      <c r="N1960" s="414">
        <v>44720</v>
      </c>
      <c r="O1960" s="414" t="s">
        <v>407</v>
      </c>
      <c r="P1960" s="603">
        <f t="shared" si="285"/>
        <v>6</v>
      </c>
      <c r="Q1960" s="603">
        <f t="shared" si="286"/>
        <v>4</v>
      </c>
      <c r="R1960" s="604" t="str">
        <f t="shared" si="287"/>
        <v>Gastos_custeados_por_captação</v>
      </c>
      <c r="S1960" s="605" t="s">
        <v>310</v>
      </c>
      <c r="T1960" s="605" t="s">
        <v>310</v>
      </c>
    </row>
    <row r="1961" spans="1:20" ht="72" x14ac:dyDescent="0.2">
      <c r="A1961" s="510">
        <f>IF(B1961="","",COUNT('Diário 1º PA'!$A$4:$A$2635)+ROW()-3)</f>
        <v>3694</v>
      </c>
      <c r="B1961" s="414">
        <v>44720</v>
      </c>
      <c r="C1961" s="431">
        <v>44652</v>
      </c>
      <c r="D1961" s="415" t="s">
        <v>468</v>
      </c>
      <c r="E1961" s="415" t="s">
        <v>468</v>
      </c>
      <c r="F1961" s="425">
        <v>600</v>
      </c>
      <c r="G1961" s="640" t="s">
        <v>5313</v>
      </c>
      <c r="H1961" s="419" t="s">
        <v>468</v>
      </c>
      <c r="I1961" s="427" t="s">
        <v>764</v>
      </c>
      <c r="J1961" s="415" t="s">
        <v>310</v>
      </c>
      <c r="K1961" s="415" t="s">
        <v>1220</v>
      </c>
      <c r="L1961" s="415" t="s">
        <v>3443</v>
      </c>
      <c r="M1961" s="613">
        <v>222132060810</v>
      </c>
      <c r="N1961" s="414">
        <v>44720</v>
      </c>
      <c r="O1961" s="414" t="s">
        <v>407</v>
      </c>
      <c r="P1961" s="603">
        <f t="shared" si="285"/>
        <v>6</v>
      </c>
      <c r="Q1961" s="603">
        <f t="shared" si="286"/>
        <v>4</v>
      </c>
      <c r="R1961" s="604" t="str">
        <f t="shared" si="287"/>
        <v>Gastos_custeados_por_captação</v>
      </c>
      <c r="S1961" s="605" t="s">
        <v>310</v>
      </c>
      <c r="T1961" s="605" t="s">
        <v>310</v>
      </c>
    </row>
    <row r="1962" spans="1:20" ht="72" x14ac:dyDescent="0.2">
      <c r="A1962" s="510">
        <f>IF(B1962="","",COUNT('Diário 1º PA'!$A$4:$A$2635)+ROW()-3)</f>
        <v>3695</v>
      </c>
      <c r="B1962" s="414">
        <v>44720</v>
      </c>
      <c r="C1962" s="431">
        <v>44652</v>
      </c>
      <c r="D1962" s="415" t="s">
        <v>468</v>
      </c>
      <c r="E1962" s="415" t="s">
        <v>468</v>
      </c>
      <c r="F1962" s="425">
        <v>970.43</v>
      </c>
      <c r="G1962" s="640" t="s">
        <v>5314</v>
      </c>
      <c r="H1962" s="419" t="s">
        <v>468</v>
      </c>
      <c r="I1962" s="427" t="s">
        <v>764</v>
      </c>
      <c r="J1962" s="415" t="s">
        <v>310</v>
      </c>
      <c r="K1962" s="415" t="s">
        <v>1220</v>
      </c>
      <c r="L1962" s="415" t="s">
        <v>3443</v>
      </c>
      <c r="M1962" s="613">
        <v>222132082547</v>
      </c>
      <c r="N1962" s="414">
        <v>44720</v>
      </c>
      <c r="O1962" s="414" t="s">
        <v>407</v>
      </c>
      <c r="P1962" s="603">
        <f t="shared" si="285"/>
        <v>6</v>
      </c>
      <c r="Q1962" s="603">
        <f t="shared" si="286"/>
        <v>4</v>
      </c>
      <c r="R1962" s="604" t="str">
        <f t="shared" si="287"/>
        <v>Gastos_custeados_por_captação</v>
      </c>
      <c r="S1962" s="605" t="s">
        <v>310</v>
      </c>
      <c r="T1962" s="605" t="s">
        <v>310</v>
      </c>
    </row>
    <row r="1963" spans="1:20" ht="72" x14ac:dyDescent="0.2">
      <c r="A1963" s="510">
        <f>IF(B1963="","",COUNT('Diário 1º PA'!$A$4:$A$2635)+ROW()-3)</f>
        <v>3696</v>
      </c>
      <c r="B1963" s="414">
        <v>44720</v>
      </c>
      <c r="C1963" s="431">
        <v>44652</v>
      </c>
      <c r="D1963" s="415" t="s">
        <v>468</v>
      </c>
      <c r="E1963" s="415" t="s">
        <v>468</v>
      </c>
      <c r="F1963" s="425">
        <v>71.400000000000006</v>
      </c>
      <c r="G1963" s="640" t="s">
        <v>5259</v>
      </c>
      <c r="H1963" s="419" t="s">
        <v>468</v>
      </c>
      <c r="I1963" s="427" t="s">
        <v>764</v>
      </c>
      <c r="J1963" s="415" t="s">
        <v>310</v>
      </c>
      <c r="K1963" s="415" t="s">
        <v>1220</v>
      </c>
      <c r="L1963" s="415" t="s">
        <v>3443</v>
      </c>
      <c r="M1963" s="613">
        <v>222131971127</v>
      </c>
      <c r="N1963" s="414">
        <v>44720</v>
      </c>
      <c r="O1963" s="414" t="s">
        <v>407</v>
      </c>
      <c r="P1963" s="603">
        <f t="shared" si="285"/>
        <v>6</v>
      </c>
      <c r="Q1963" s="603">
        <f t="shared" si="286"/>
        <v>4</v>
      </c>
      <c r="R1963" s="604" t="str">
        <f t="shared" si="287"/>
        <v>Gastos_custeados_por_captação</v>
      </c>
      <c r="S1963" s="605" t="s">
        <v>310</v>
      </c>
      <c r="T1963" s="605" t="s">
        <v>310</v>
      </c>
    </row>
    <row r="1964" spans="1:20" ht="72" x14ac:dyDescent="0.2">
      <c r="A1964" s="510">
        <f>IF(B1964="","",COUNT('Diário 1º PA'!$A$4:$A$2635)+ROW()-3)</f>
        <v>3697</v>
      </c>
      <c r="B1964" s="414">
        <v>44720</v>
      </c>
      <c r="C1964" s="431">
        <v>44652</v>
      </c>
      <c r="D1964" s="415" t="s">
        <v>468</v>
      </c>
      <c r="E1964" s="415" t="s">
        <v>468</v>
      </c>
      <c r="F1964" s="425">
        <v>14.59</v>
      </c>
      <c r="G1964" s="640" t="s">
        <v>5315</v>
      </c>
      <c r="H1964" s="419" t="s">
        <v>468</v>
      </c>
      <c r="I1964" s="427" t="s">
        <v>764</v>
      </c>
      <c r="J1964" s="415" t="s">
        <v>310</v>
      </c>
      <c r="K1964" s="415" t="s">
        <v>1220</v>
      </c>
      <c r="L1964" s="415" t="s">
        <v>3443</v>
      </c>
      <c r="M1964" s="613">
        <v>222132099350</v>
      </c>
      <c r="N1964" s="414">
        <v>44720</v>
      </c>
      <c r="O1964" s="414" t="s">
        <v>407</v>
      </c>
      <c r="P1964" s="603">
        <f t="shared" ref="P1964:P1985" si="288">IF(B1964=0,0,IF(YEAR(B1964)=$Q$1,MONTH(B1964)-$P$1+1,(YEAR(B1964)-$Q$1)*12-$P$1+1+MONTH(B1964)))</f>
        <v>6</v>
      </c>
      <c r="Q1964" s="603">
        <f t="shared" ref="Q1964:Q1985" si="289">IF(C1964=0,0,IF(YEAR(C1964)=$Q$1,MONTH(C1964)-$P$1+1,(YEAR(C1964)-$Q$1)*12-$P$1+1+MONTH(C1964)))</f>
        <v>4</v>
      </c>
      <c r="R1964" s="604" t="str">
        <f t="shared" ref="R1964:R1985" si="290">SUBSTITUTE(D1964," ","_")</f>
        <v>Gastos_custeados_por_captação</v>
      </c>
      <c r="S1964" s="605" t="s">
        <v>310</v>
      </c>
      <c r="T1964" s="605" t="s">
        <v>310</v>
      </c>
    </row>
    <row r="1965" spans="1:20" ht="72" x14ac:dyDescent="0.2">
      <c r="A1965" s="510">
        <f>IF(B1965="","",COUNT('Diário 1º PA'!$A$4:$A$2635)+ROW()-3)</f>
        <v>3698</v>
      </c>
      <c r="B1965" s="414">
        <v>44720</v>
      </c>
      <c r="C1965" s="592">
        <v>44683</v>
      </c>
      <c r="D1965" s="415" t="s">
        <v>468</v>
      </c>
      <c r="E1965" s="415" t="s">
        <v>468</v>
      </c>
      <c r="F1965" s="425">
        <v>50</v>
      </c>
      <c r="G1965" s="427" t="s">
        <v>5590</v>
      </c>
      <c r="H1965" s="415" t="s">
        <v>468</v>
      </c>
      <c r="I1965" s="427" t="s">
        <v>764</v>
      </c>
      <c r="J1965" s="415" t="s">
        <v>310</v>
      </c>
      <c r="K1965" s="415" t="s">
        <v>1220</v>
      </c>
      <c r="L1965" s="415" t="s">
        <v>3443</v>
      </c>
      <c r="M1965" s="634">
        <v>222098736802</v>
      </c>
      <c r="N1965" s="414">
        <v>44720</v>
      </c>
      <c r="O1965" s="414" t="s">
        <v>407</v>
      </c>
      <c r="P1965" s="603">
        <f t="shared" si="288"/>
        <v>6</v>
      </c>
      <c r="Q1965" s="603">
        <f t="shared" si="289"/>
        <v>5</v>
      </c>
      <c r="R1965" s="604" t="str">
        <f t="shared" si="290"/>
        <v>Gastos_custeados_por_captação</v>
      </c>
      <c r="S1965" s="605" t="s">
        <v>310</v>
      </c>
      <c r="T1965" s="605" t="s">
        <v>310</v>
      </c>
    </row>
    <row r="1966" spans="1:20" ht="72" x14ac:dyDescent="0.2">
      <c r="A1966" s="510">
        <f>IF(B1966="","",COUNT('Diário 1º PA'!$A$4:$A$2635)+ROW()-3)</f>
        <v>3699</v>
      </c>
      <c r="B1966" s="414">
        <v>44720</v>
      </c>
      <c r="C1966" s="431">
        <v>44652</v>
      </c>
      <c r="D1966" s="415" t="s">
        <v>468</v>
      </c>
      <c r="E1966" s="415" t="s">
        <v>468</v>
      </c>
      <c r="F1966" s="425">
        <v>90</v>
      </c>
      <c r="G1966" s="640" t="s">
        <v>5316</v>
      </c>
      <c r="H1966" s="419" t="s">
        <v>468</v>
      </c>
      <c r="I1966" s="427" t="s">
        <v>764</v>
      </c>
      <c r="J1966" s="415" t="s">
        <v>310</v>
      </c>
      <c r="K1966" s="415" t="s">
        <v>1220</v>
      </c>
      <c r="L1966" s="415" t="s">
        <v>3443</v>
      </c>
      <c r="M1966" s="613">
        <v>222132027104</v>
      </c>
      <c r="N1966" s="414">
        <v>44720</v>
      </c>
      <c r="O1966" s="414" t="s">
        <v>407</v>
      </c>
      <c r="P1966" s="603">
        <f t="shared" si="288"/>
        <v>6</v>
      </c>
      <c r="Q1966" s="603">
        <f t="shared" si="289"/>
        <v>4</v>
      </c>
      <c r="R1966" s="604" t="str">
        <f t="shared" si="290"/>
        <v>Gastos_custeados_por_captação</v>
      </c>
      <c r="S1966" s="605" t="s">
        <v>310</v>
      </c>
      <c r="T1966" s="605" t="s">
        <v>310</v>
      </c>
    </row>
    <row r="1967" spans="1:20" ht="72" x14ac:dyDescent="0.2">
      <c r="A1967" s="510">
        <f>IF(B1967="","",COUNT('Diário 1º PA'!$A$4:$A$2635)+ROW()-3)</f>
        <v>3700</v>
      </c>
      <c r="B1967" s="414">
        <v>44720</v>
      </c>
      <c r="C1967" s="431">
        <v>44652</v>
      </c>
      <c r="D1967" s="415" t="s">
        <v>468</v>
      </c>
      <c r="E1967" s="415" t="s">
        <v>468</v>
      </c>
      <c r="F1967" s="425">
        <v>52.15</v>
      </c>
      <c r="G1967" s="640" t="s">
        <v>5317</v>
      </c>
      <c r="H1967" s="419" t="s">
        <v>468</v>
      </c>
      <c r="I1967" s="427" t="s">
        <v>764</v>
      </c>
      <c r="J1967" s="415" t="s">
        <v>310</v>
      </c>
      <c r="K1967" s="415" t="s">
        <v>1220</v>
      </c>
      <c r="L1967" s="415" t="s">
        <v>3443</v>
      </c>
      <c r="M1967" s="613">
        <v>222132116549</v>
      </c>
      <c r="N1967" s="414">
        <v>44720</v>
      </c>
      <c r="O1967" s="414" t="s">
        <v>407</v>
      </c>
      <c r="P1967" s="603">
        <f t="shared" si="288"/>
        <v>6</v>
      </c>
      <c r="Q1967" s="603">
        <f t="shared" si="289"/>
        <v>4</v>
      </c>
      <c r="R1967" s="604" t="str">
        <f t="shared" si="290"/>
        <v>Gastos_custeados_por_captação</v>
      </c>
      <c r="S1967" s="605" t="s">
        <v>310</v>
      </c>
      <c r="T1967" s="605" t="s">
        <v>310</v>
      </c>
    </row>
    <row r="1968" spans="1:20" ht="72" x14ac:dyDescent="0.2">
      <c r="A1968" s="510">
        <f>IF(B1968="","",COUNT('Diário 1º PA'!$A$4:$A$2635)+ROW()-3)</f>
        <v>3701</v>
      </c>
      <c r="B1968" s="414">
        <v>44720</v>
      </c>
      <c r="C1968" s="431">
        <v>44652</v>
      </c>
      <c r="D1968" s="415" t="s">
        <v>468</v>
      </c>
      <c r="E1968" s="415" t="s">
        <v>468</v>
      </c>
      <c r="F1968" s="425">
        <v>48</v>
      </c>
      <c r="G1968" s="640" t="s">
        <v>5318</v>
      </c>
      <c r="H1968" s="419" t="s">
        <v>468</v>
      </c>
      <c r="I1968" s="427" t="s">
        <v>764</v>
      </c>
      <c r="J1968" s="415" t="s">
        <v>310</v>
      </c>
      <c r="K1968" s="415" t="s">
        <v>1220</v>
      </c>
      <c r="L1968" s="415" t="s">
        <v>3443</v>
      </c>
      <c r="M1968" s="613">
        <v>222132073807</v>
      </c>
      <c r="N1968" s="414">
        <v>44720</v>
      </c>
      <c r="O1968" s="414" t="s">
        <v>407</v>
      </c>
      <c r="P1968" s="603">
        <f t="shared" si="288"/>
        <v>6</v>
      </c>
      <c r="Q1968" s="603">
        <f t="shared" si="289"/>
        <v>4</v>
      </c>
      <c r="R1968" s="604" t="str">
        <f t="shared" si="290"/>
        <v>Gastos_custeados_por_captação</v>
      </c>
      <c r="S1968" s="605" t="s">
        <v>310</v>
      </c>
      <c r="T1968" s="605" t="s">
        <v>310</v>
      </c>
    </row>
    <row r="1969" spans="1:20" ht="72" x14ac:dyDescent="0.2">
      <c r="A1969" s="510">
        <f>IF(B1969="","",COUNT('Diário 1º PA'!$A$4:$A$2635)+ROW()-3)</f>
        <v>3702</v>
      </c>
      <c r="B1969" s="414">
        <v>44720</v>
      </c>
      <c r="C1969" s="431">
        <v>44652</v>
      </c>
      <c r="D1969" s="415" t="s">
        <v>468</v>
      </c>
      <c r="E1969" s="415" t="s">
        <v>468</v>
      </c>
      <c r="F1969" s="425">
        <v>270</v>
      </c>
      <c r="G1969" s="640" t="s">
        <v>5319</v>
      </c>
      <c r="H1969" s="419" t="s">
        <v>468</v>
      </c>
      <c r="I1969" s="427" t="s">
        <v>764</v>
      </c>
      <c r="J1969" s="415" t="s">
        <v>310</v>
      </c>
      <c r="K1969" s="415" t="s">
        <v>1220</v>
      </c>
      <c r="L1969" s="415" t="s">
        <v>3443</v>
      </c>
      <c r="M1969" s="613">
        <v>222132028330</v>
      </c>
      <c r="N1969" s="414">
        <v>44720</v>
      </c>
      <c r="O1969" s="414" t="s">
        <v>407</v>
      </c>
      <c r="P1969" s="603">
        <f t="shared" si="288"/>
        <v>6</v>
      </c>
      <c r="Q1969" s="603">
        <f t="shared" si="289"/>
        <v>4</v>
      </c>
      <c r="R1969" s="604" t="str">
        <f t="shared" si="290"/>
        <v>Gastos_custeados_por_captação</v>
      </c>
      <c r="S1969" s="605" t="s">
        <v>310</v>
      </c>
      <c r="T1969" s="605" t="s">
        <v>310</v>
      </c>
    </row>
    <row r="1970" spans="1:20" ht="72" x14ac:dyDescent="0.2">
      <c r="A1970" s="510">
        <f>IF(B1970="","",COUNT('Diário 1º PA'!$A$4:$A$2635)+ROW()-3)</f>
        <v>3703</v>
      </c>
      <c r="B1970" s="414">
        <v>44720</v>
      </c>
      <c r="C1970" s="431">
        <v>44652</v>
      </c>
      <c r="D1970" s="415" t="s">
        <v>468</v>
      </c>
      <c r="E1970" s="415" t="s">
        <v>468</v>
      </c>
      <c r="F1970" s="425">
        <v>200</v>
      </c>
      <c r="G1970" s="640" t="s">
        <v>5320</v>
      </c>
      <c r="H1970" s="419" t="s">
        <v>468</v>
      </c>
      <c r="I1970" s="427" t="s">
        <v>764</v>
      </c>
      <c r="J1970" s="415" t="s">
        <v>310</v>
      </c>
      <c r="K1970" s="415" t="s">
        <v>1220</v>
      </c>
      <c r="L1970" s="415" t="s">
        <v>3443</v>
      </c>
      <c r="M1970" s="613">
        <v>222132057860</v>
      </c>
      <c r="N1970" s="414">
        <v>44720</v>
      </c>
      <c r="O1970" s="414" t="s">
        <v>407</v>
      </c>
      <c r="P1970" s="603">
        <f t="shared" si="288"/>
        <v>6</v>
      </c>
      <c r="Q1970" s="603">
        <f t="shared" si="289"/>
        <v>4</v>
      </c>
      <c r="R1970" s="604" t="str">
        <f t="shared" si="290"/>
        <v>Gastos_custeados_por_captação</v>
      </c>
      <c r="S1970" s="605" t="s">
        <v>310</v>
      </c>
      <c r="T1970" s="605" t="s">
        <v>310</v>
      </c>
    </row>
    <row r="1971" spans="1:20" ht="72" x14ac:dyDescent="0.2">
      <c r="A1971" s="510">
        <f>IF(B1971="","",COUNT('Diário 1º PA'!$A$4:$A$2635)+ROW()-3)</f>
        <v>3704</v>
      </c>
      <c r="B1971" s="414">
        <v>44720</v>
      </c>
      <c r="C1971" s="431">
        <v>44652</v>
      </c>
      <c r="D1971" s="415" t="s">
        <v>468</v>
      </c>
      <c r="E1971" s="415" t="s">
        <v>468</v>
      </c>
      <c r="F1971" s="425">
        <v>52.15</v>
      </c>
      <c r="G1971" s="640" t="s">
        <v>5321</v>
      </c>
      <c r="H1971" s="419" t="s">
        <v>468</v>
      </c>
      <c r="I1971" s="427" t="s">
        <v>764</v>
      </c>
      <c r="J1971" s="415" t="s">
        <v>310</v>
      </c>
      <c r="K1971" s="415" t="s">
        <v>1220</v>
      </c>
      <c r="L1971" s="415" t="s">
        <v>3443</v>
      </c>
      <c r="M1971" s="613">
        <v>222132117359</v>
      </c>
      <c r="N1971" s="414">
        <v>44720</v>
      </c>
      <c r="O1971" s="414" t="s">
        <v>407</v>
      </c>
      <c r="P1971" s="603">
        <f t="shared" si="288"/>
        <v>6</v>
      </c>
      <c r="Q1971" s="603">
        <f t="shared" si="289"/>
        <v>4</v>
      </c>
      <c r="R1971" s="604" t="str">
        <f t="shared" si="290"/>
        <v>Gastos_custeados_por_captação</v>
      </c>
      <c r="S1971" s="605" t="s">
        <v>310</v>
      </c>
      <c r="T1971" s="605" t="s">
        <v>310</v>
      </c>
    </row>
    <row r="1972" spans="1:20" ht="72" x14ac:dyDescent="0.2">
      <c r="A1972" s="510">
        <f>IF(B1972="","",COUNT('Diário 1º PA'!$A$4:$A$2635)+ROW()-3)</f>
        <v>3705</v>
      </c>
      <c r="B1972" s="414">
        <v>44720</v>
      </c>
      <c r="C1972" s="431">
        <v>44652</v>
      </c>
      <c r="D1972" s="415" t="s">
        <v>468</v>
      </c>
      <c r="E1972" s="415" t="s">
        <v>468</v>
      </c>
      <c r="F1972" s="425">
        <v>124.37</v>
      </c>
      <c r="G1972" s="640" t="s">
        <v>5322</v>
      </c>
      <c r="H1972" s="419" t="s">
        <v>468</v>
      </c>
      <c r="I1972" s="427" t="s">
        <v>764</v>
      </c>
      <c r="J1972" s="415" t="s">
        <v>310</v>
      </c>
      <c r="K1972" s="415" t="s">
        <v>1220</v>
      </c>
      <c r="L1972" s="415" t="s">
        <v>3443</v>
      </c>
      <c r="M1972" s="613">
        <v>222132118916</v>
      </c>
      <c r="N1972" s="414">
        <v>44720</v>
      </c>
      <c r="O1972" s="414" t="s">
        <v>407</v>
      </c>
      <c r="P1972" s="603">
        <f t="shared" si="288"/>
        <v>6</v>
      </c>
      <c r="Q1972" s="603">
        <f t="shared" si="289"/>
        <v>4</v>
      </c>
      <c r="R1972" s="604" t="str">
        <f t="shared" si="290"/>
        <v>Gastos_custeados_por_captação</v>
      </c>
      <c r="S1972" s="605" t="s">
        <v>310</v>
      </c>
      <c r="T1972" s="605" t="s">
        <v>310</v>
      </c>
    </row>
    <row r="1973" spans="1:20" ht="72" x14ac:dyDescent="0.2">
      <c r="A1973" s="510">
        <f>IF(B1973="","",COUNT('Diário 1º PA'!$A$4:$A$2635)+ROW()-3)</f>
        <v>3706</v>
      </c>
      <c r="B1973" s="414">
        <v>44720</v>
      </c>
      <c r="C1973" s="431">
        <v>44682</v>
      </c>
      <c r="D1973" s="415" t="s">
        <v>468</v>
      </c>
      <c r="E1973" s="415" t="s">
        <v>468</v>
      </c>
      <c r="F1973" s="425">
        <v>1846</v>
      </c>
      <c r="G1973" s="427" t="s">
        <v>3792</v>
      </c>
      <c r="H1973" s="419" t="s">
        <v>468</v>
      </c>
      <c r="I1973" s="427" t="s">
        <v>5323</v>
      </c>
      <c r="J1973" s="415" t="s">
        <v>3793</v>
      </c>
      <c r="K1973" s="415" t="s">
        <v>830</v>
      </c>
      <c r="L1973" s="415" t="s">
        <v>807</v>
      </c>
      <c r="M1973" s="546">
        <v>41367</v>
      </c>
      <c r="N1973" s="414">
        <v>44690</v>
      </c>
      <c r="O1973" s="414" t="s">
        <v>407</v>
      </c>
      <c r="P1973" s="603">
        <f t="shared" si="288"/>
        <v>6</v>
      </c>
      <c r="Q1973" s="603">
        <f t="shared" si="289"/>
        <v>5</v>
      </c>
      <c r="R1973" s="604" t="str">
        <f t="shared" si="290"/>
        <v>Gastos_custeados_por_captação</v>
      </c>
      <c r="S1973" s="605" t="s">
        <v>999</v>
      </c>
      <c r="T1973" s="605">
        <v>3564</v>
      </c>
    </row>
    <row r="1974" spans="1:20" ht="72" x14ac:dyDescent="0.2">
      <c r="A1974" s="510">
        <f>IF(B1974="","",COUNT('Diário 1º PA'!$A$4:$A$2635)+ROW()-3)</f>
        <v>3707</v>
      </c>
      <c r="B1974" s="414">
        <v>44720</v>
      </c>
      <c r="C1974" s="431">
        <v>44652</v>
      </c>
      <c r="D1974" s="415" t="s">
        <v>468</v>
      </c>
      <c r="E1974" s="415" t="s">
        <v>468</v>
      </c>
      <c r="F1974" s="425">
        <v>22.35</v>
      </c>
      <c r="G1974" s="640" t="s">
        <v>5324</v>
      </c>
      <c r="H1974" s="419" t="s">
        <v>468</v>
      </c>
      <c r="I1974" s="427" t="s">
        <v>764</v>
      </c>
      <c r="J1974" s="415" t="s">
        <v>310</v>
      </c>
      <c r="K1974" s="415" t="s">
        <v>1220</v>
      </c>
      <c r="L1974" s="415" t="s">
        <v>3443</v>
      </c>
      <c r="M1974" s="613">
        <v>222132115909</v>
      </c>
      <c r="N1974" s="414">
        <v>44720</v>
      </c>
      <c r="O1974" s="414" t="s">
        <v>407</v>
      </c>
      <c r="P1974" s="603">
        <f t="shared" si="288"/>
        <v>6</v>
      </c>
      <c r="Q1974" s="603">
        <f t="shared" si="289"/>
        <v>4</v>
      </c>
      <c r="R1974" s="604" t="str">
        <f t="shared" si="290"/>
        <v>Gastos_custeados_por_captação</v>
      </c>
      <c r="S1974" s="605" t="s">
        <v>310</v>
      </c>
      <c r="T1974" s="605" t="s">
        <v>310</v>
      </c>
    </row>
    <row r="1975" spans="1:20" ht="72" x14ac:dyDescent="0.2">
      <c r="A1975" s="510">
        <f>IF(B1975="","",COUNT('Diário 1º PA'!$A$4:$A$2635)+ROW()-3)</f>
        <v>3708</v>
      </c>
      <c r="B1975" s="414">
        <v>44720</v>
      </c>
      <c r="C1975" s="431">
        <v>44652</v>
      </c>
      <c r="D1975" s="415" t="s">
        <v>468</v>
      </c>
      <c r="E1975" s="415" t="s">
        <v>468</v>
      </c>
      <c r="F1975" s="425">
        <v>52.15</v>
      </c>
      <c r="G1975" s="640" t="s">
        <v>5325</v>
      </c>
      <c r="H1975" s="419" t="s">
        <v>468</v>
      </c>
      <c r="I1975" s="427" t="s">
        <v>764</v>
      </c>
      <c r="J1975" s="415" t="s">
        <v>310</v>
      </c>
      <c r="K1975" s="415" t="s">
        <v>1220</v>
      </c>
      <c r="L1975" s="415" t="s">
        <v>3443</v>
      </c>
      <c r="M1975" s="613">
        <v>222132118088</v>
      </c>
      <c r="N1975" s="414">
        <v>44720</v>
      </c>
      <c r="O1975" s="414" t="s">
        <v>407</v>
      </c>
      <c r="P1975" s="603">
        <f t="shared" si="288"/>
        <v>6</v>
      </c>
      <c r="Q1975" s="603">
        <f t="shared" si="289"/>
        <v>4</v>
      </c>
      <c r="R1975" s="604" t="str">
        <f t="shared" si="290"/>
        <v>Gastos_custeados_por_captação</v>
      </c>
      <c r="S1975" s="605" t="s">
        <v>310</v>
      </c>
      <c r="T1975" s="605" t="s">
        <v>310</v>
      </c>
    </row>
    <row r="1976" spans="1:20" ht="72" x14ac:dyDescent="0.2">
      <c r="A1976" s="510">
        <f>IF(B1976="","",COUNT('Diário 1º PA'!$A$4:$A$2635)+ROW()-3)</f>
        <v>3709</v>
      </c>
      <c r="B1976" s="414">
        <v>44720</v>
      </c>
      <c r="C1976" s="431">
        <v>44652</v>
      </c>
      <c r="D1976" s="415" t="s">
        <v>468</v>
      </c>
      <c r="E1976" s="415" t="s">
        <v>468</v>
      </c>
      <c r="F1976" s="425">
        <v>596</v>
      </c>
      <c r="G1976" s="640" t="s">
        <v>5267</v>
      </c>
      <c r="H1976" s="419" t="s">
        <v>468</v>
      </c>
      <c r="I1976" s="427" t="s">
        <v>764</v>
      </c>
      <c r="J1976" s="415" t="s">
        <v>310</v>
      </c>
      <c r="K1976" s="415" t="s">
        <v>1220</v>
      </c>
      <c r="L1976" s="415" t="s">
        <v>3443</v>
      </c>
      <c r="M1976" s="613">
        <v>222131972522</v>
      </c>
      <c r="N1976" s="414">
        <v>44720</v>
      </c>
      <c r="O1976" s="414" t="s">
        <v>407</v>
      </c>
      <c r="P1976" s="603">
        <f t="shared" si="288"/>
        <v>6</v>
      </c>
      <c r="Q1976" s="603">
        <f t="shared" si="289"/>
        <v>4</v>
      </c>
      <c r="R1976" s="604" t="str">
        <f t="shared" si="290"/>
        <v>Gastos_custeados_por_captação</v>
      </c>
      <c r="S1976" s="605" t="s">
        <v>310</v>
      </c>
      <c r="T1976" s="605" t="s">
        <v>310</v>
      </c>
    </row>
    <row r="1977" spans="1:20" ht="72" x14ac:dyDescent="0.2">
      <c r="A1977" s="510">
        <f>IF(B1977="","",COUNT('Diário 1º PA'!$A$4:$A$2635)+ROW()-3)</f>
        <v>3710</v>
      </c>
      <c r="B1977" s="414">
        <v>44720</v>
      </c>
      <c r="C1977" s="431">
        <v>44652</v>
      </c>
      <c r="D1977" s="415" t="s">
        <v>468</v>
      </c>
      <c r="E1977" s="415" t="s">
        <v>468</v>
      </c>
      <c r="F1977" s="425">
        <v>385</v>
      </c>
      <c r="G1977" s="640" t="s">
        <v>5326</v>
      </c>
      <c r="H1977" s="419" t="s">
        <v>468</v>
      </c>
      <c r="I1977" s="427" t="s">
        <v>764</v>
      </c>
      <c r="J1977" s="415" t="s">
        <v>310</v>
      </c>
      <c r="K1977" s="415" t="s">
        <v>1220</v>
      </c>
      <c r="L1977" s="415" t="s">
        <v>3443</v>
      </c>
      <c r="M1977" s="613">
        <v>222132073041</v>
      </c>
      <c r="N1977" s="414">
        <v>44720</v>
      </c>
      <c r="O1977" s="414" t="s">
        <v>407</v>
      </c>
      <c r="P1977" s="603">
        <f t="shared" si="288"/>
        <v>6</v>
      </c>
      <c r="Q1977" s="603">
        <f t="shared" si="289"/>
        <v>4</v>
      </c>
      <c r="R1977" s="604" t="str">
        <f t="shared" si="290"/>
        <v>Gastos_custeados_por_captação</v>
      </c>
      <c r="S1977" s="605" t="s">
        <v>310</v>
      </c>
      <c r="T1977" s="605" t="s">
        <v>310</v>
      </c>
    </row>
    <row r="1978" spans="1:20" ht="72" x14ac:dyDescent="0.2">
      <c r="A1978" s="510">
        <f>IF(B1978="","",COUNT('Diário 1º PA'!$A$4:$A$2635)+ROW()-3)</f>
        <v>3711</v>
      </c>
      <c r="B1978" s="414">
        <v>44720</v>
      </c>
      <c r="C1978" s="431">
        <v>44652</v>
      </c>
      <c r="D1978" s="415" t="s">
        <v>468</v>
      </c>
      <c r="E1978" s="415" t="s">
        <v>468</v>
      </c>
      <c r="F1978" s="425">
        <v>22.35</v>
      </c>
      <c r="G1978" s="640" t="s">
        <v>5327</v>
      </c>
      <c r="H1978" s="419" t="s">
        <v>468</v>
      </c>
      <c r="I1978" s="427" t="s">
        <v>764</v>
      </c>
      <c r="J1978" s="415" t="s">
        <v>310</v>
      </c>
      <c r="K1978" s="415" t="s">
        <v>1220</v>
      </c>
      <c r="L1978" s="415" t="s">
        <v>3443</v>
      </c>
      <c r="M1978" s="613">
        <v>222132117197</v>
      </c>
      <c r="N1978" s="414">
        <v>44720</v>
      </c>
      <c r="O1978" s="414" t="s">
        <v>407</v>
      </c>
      <c r="P1978" s="603">
        <f t="shared" si="288"/>
        <v>6</v>
      </c>
      <c r="Q1978" s="603">
        <f t="shared" si="289"/>
        <v>4</v>
      </c>
      <c r="R1978" s="604" t="str">
        <f t="shared" si="290"/>
        <v>Gastos_custeados_por_captação</v>
      </c>
      <c r="S1978" s="605" t="s">
        <v>310</v>
      </c>
      <c r="T1978" s="605" t="s">
        <v>310</v>
      </c>
    </row>
    <row r="1979" spans="1:20" ht="72" x14ac:dyDescent="0.2">
      <c r="A1979" s="510">
        <f>IF(B1979="","",COUNT('Diário 1º PA'!$A$4:$A$2635)+ROW()-3)</f>
        <v>3712</v>
      </c>
      <c r="B1979" s="414">
        <v>44720</v>
      </c>
      <c r="C1979" s="431">
        <v>44652</v>
      </c>
      <c r="D1979" s="415" t="s">
        <v>468</v>
      </c>
      <c r="E1979" s="415" t="s">
        <v>468</v>
      </c>
      <c r="F1979" s="425">
        <v>52.15</v>
      </c>
      <c r="G1979" s="640" t="s">
        <v>5328</v>
      </c>
      <c r="H1979" s="419" t="s">
        <v>468</v>
      </c>
      <c r="I1979" s="427" t="s">
        <v>764</v>
      </c>
      <c r="J1979" s="415" t="s">
        <v>310</v>
      </c>
      <c r="K1979" s="415" t="s">
        <v>1220</v>
      </c>
      <c r="L1979" s="415" t="s">
        <v>3443</v>
      </c>
      <c r="M1979" s="613">
        <v>222132117510</v>
      </c>
      <c r="N1979" s="414">
        <v>44720</v>
      </c>
      <c r="O1979" s="414" t="s">
        <v>407</v>
      </c>
      <c r="P1979" s="603">
        <f t="shared" si="288"/>
        <v>6</v>
      </c>
      <c r="Q1979" s="603">
        <f t="shared" si="289"/>
        <v>4</v>
      </c>
      <c r="R1979" s="604" t="str">
        <f t="shared" si="290"/>
        <v>Gastos_custeados_por_captação</v>
      </c>
      <c r="S1979" s="605" t="s">
        <v>310</v>
      </c>
      <c r="T1979" s="605" t="s">
        <v>310</v>
      </c>
    </row>
    <row r="1980" spans="1:20" ht="72" x14ac:dyDescent="0.2">
      <c r="A1980" s="510">
        <f>IF(B1980="","",COUNT('Diário 1º PA'!$A$4:$A$2635)+ROW()-3)</f>
        <v>3713</v>
      </c>
      <c r="B1980" s="414">
        <v>44720</v>
      </c>
      <c r="C1980" s="431">
        <v>44652</v>
      </c>
      <c r="D1980" s="415" t="s">
        <v>468</v>
      </c>
      <c r="E1980" s="415" t="s">
        <v>468</v>
      </c>
      <c r="F1980" s="425">
        <v>52.15</v>
      </c>
      <c r="G1980" s="640" t="s">
        <v>5329</v>
      </c>
      <c r="H1980" s="419" t="s">
        <v>468</v>
      </c>
      <c r="I1980" s="427" t="s">
        <v>764</v>
      </c>
      <c r="J1980" s="415" t="s">
        <v>310</v>
      </c>
      <c r="K1980" s="415" t="s">
        <v>1220</v>
      </c>
      <c r="L1980" s="415" t="s">
        <v>3443</v>
      </c>
      <c r="M1980" s="613">
        <v>222132117863</v>
      </c>
      <c r="N1980" s="414">
        <v>44720</v>
      </c>
      <c r="O1980" s="414" t="s">
        <v>407</v>
      </c>
      <c r="P1980" s="603">
        <f t="shared" si="288"/>
        <v>6</v>
      </c>
      <c r="Q1980" s="603">
        <f t="shared" si="289"/>
        <v>4</v>
      </c>
      <c r="R1980" s="604" t="str">
        <f t="shared" si="290"/>
        <v>Gastos_custeados_por_captação</v>
      </c>
      <c r="S1980" s="605" t="s">
        <v>310</v>
      </c>
      <c r="T1980" s="605" t="s">
        <v>310</v>
      </c>
    </row>
    <row r="1981" spans="1:20" ht="72" x14ac:dyDescent="0.2">
      <c r="A1981" s="510">
        <f>IF(B1981="","",COUNT('Diário 1º PA'!$A$4:$A$2635)+ROW()-3)</f>
        <v>3714</v>
      </c>
      <c r="B1981" s="414">
        <v>44720</v>
      </c>
      <c r="C1981" s="431">
        <v>44652</v>
      </c>
      <c r="D1981" s="415" t="s">
        <v>468</v>
      </c>
      <c r="E1981" s="415" t="s">
        <v>468</v>
      </c>
      <c r="F1981" s="425">
        <v>5.81</v>
      </c>
      <c r="G1981" s="640" t="s">
        <v>5330</v>
      </c>
      <c r="H1981" s="419" t="s">
        <v>468</v>
      </c>
      <c r="I1981" s="427" t="s">
        <v>764</v>
      </c>
      <c r="J1981" s="415" t="s">
        <v>310</v>
      </c>
      <c r="K1981" s="415" t="s">
        <v>1220</v>
      </c>
      <c r="L1981" s="415" t="s">
        <v>3443</v>
      </c>
      <c r="M1981" s="613">
        <v>222132099601</v>
      </c>
      <c r="N1981" s="414">
        <v>44720</v>
      </c>
      <c r="O1981" s="414" t="s">
        <v>407</v>
      </c>
      <c r="P1981" s="603">
        <f t="shared" si="288"/>
        <v>6</v>
      </c>
      <c r="Q1981" s="603">
        <f t="shared" si="289"/>
        <v>4</v>
      </c>
      <c r="R1981" s="604" t="str">
        <f t="shared" si="290"/>
        <v>Gastos_custeados_por_captação</v>
      </c>
      <c r="S1981" s="605" t="s">
        <v>310</v>
      </c>
      <c r="T1981" s="605" t="s">
        <v>310</v>
      </c>
    </row>
    <row r="1982" spans="1:20" ht="72" x14ac:dyDescent="0.2">
      <c r="A1982" s="510">
        <f>IF(B1982="","",COUNT('Diário 1º PA'!$A$4:$A$2635)+ROW()-3)</f>
        <v>3715</v>
      </c>
      <c r="B1982" s="414">
        <v>44720</v>
      </c>
      <c r="C1982" s="431">
        <v>44652</v>
      </c>
      <c r="D1982" s="415" t="s">
        <v>468</v>
      </c>
      <c r="E1982" s="415" t="s">
        <v>468</v>
      </c>
      <c r="F1982" s="425">
        <v>314.56</v>
      </c>
      <c r="G1982" s="640" t="s">
        <v>5331</v>
      </c>
      <c r="H1982" s="419" t="s">
        <v>468</v>
      </c>
      <c r="I1982" s="427" t="s">
        <v>764</v>
      </c>
      <c r="J1982" s="415" t="s">
        <v>310</v>
      </c>
      <c r="K1982" s="415" t="s">
        <v>1220</v>
      </c>
      <c r="L1982" s="415" t="s">
        <v>3443</v>
      </c>
      <c r="M1982" s="613">
        <v>222132081656</v>
      </c>
      <c r="N1982" s="414">
        <v>44720</v>
      </c>
      <c r="O1982" s="414" t="s">
        <v>407</v>
      </c>
      <c r="P1982" s="603">
        <f t="shared" si="288"/>
        <v>6</v>
      </c>
      <c r="Q1982" s="603">
        <f t="shared" si="289"/>
        <v>4</v>
      </c>
      <c r="R1982" s="604" t="str">
        <f t="shared" si="290"/>
        <v>Gastos_custeados_por_captação</v>
      </c>
      <c r="S1982" s="605" t="s">
        <v>310</v>
      </c>
      <c r="T1982" s="605" t="s">
        <v>310</v>
      </c>
    </row>
    <row r="1983" spans="1:20" ht="72" x14ac:dyDescent="0.2">
      <c r="A1983" s="510">
        <f>IF(B1983="","",COUNT('Diário 1º PA'!$A$4:$A$2635)+ROW()-3)</f>
        <v>3716</v>
      </c>
      <c r="B1983" s="414">
        <v>44720</v>
      </c>
      <c r="C1983" s="431">
        <v>44652</v>
      </c>
      <c r="D1983" s="415" t="s">
        <v>468</v>
      </c>
      <c r="E1983" s="415" t="s">
        <v>468</v>
      </c>
      <c r="F1983" s="425">
        <v>97.48</v>
      </c>
      <c r="G1983" s="640" t="s">
        <v>5332</v>
      </c>
      <c r="H1983" s="419" t="s">
        <v>468</v>
      </c>
      <c r="I1983" s="427" t="s">
        <v>764</v>
      </c>
      <c r="J1983" s="415" t="s">
        <v>310</v>
      </c>
      <c r="K1983" s="415" t="s">
        <v>1220</v>
      </c>
      <c r="L1983" s="415" t="s">
        <v>3443</v>
      </c>
      <c r="M1983" s="613">
        <v>222132077039</v>
      </c>
      <c r="N1983" s="414">
        <v>44720</v>
      </c>
      <c r="O1983" s="414" t="s">
        <v>407</v>
      </c>
      <c r="P1983" s="603">
        <f t="shared" si="288"/>
        <v>6</v>
      </c>
      <c r="Q1983" s="603">
        <f t="shared" si="289"/>
        <v>4</v>
      </c>
      <c r="R1983" s="604" t="str">
        <f t="shared" si="290"/>
        <v>Gastos_custeados_por_captação</v>
      </c>
      <c r="S1983" s="605" t="s">
        <v>310</v>
      </c>
      <c r="T1983" s="605" t="s">
        <v>310</v>
      </c>
    </row>
    <row r="1984" spans="1:20" ht="72" x14ac:dyDescent="0.2">
      <c r="A1984" s="510">
        <f>IF(B1984="","",COUNT('Diário 1º PA'!$A$4:$A$2635)+ROW()-3)</f>
        <v>3717</v>
      </c>
      <c r="B1984" s="414">
        <v>44720</v>
      </c>
      <c r="C1984" s="431">
        <v>44652</v>
      </c>
      <c r="D1984" s="415" t="s">
        <v>468</v>
      </c>
      <c r="E1984" s="415" t="s">
        <v>468</v>
      </c>
      <c r="F1984" s="425">
        <v>120.08</v>
      </c>
      <c r="G1984" s="640" t="s">
        <v>5333</v>
      </c>
      <c r="H1984" s="419" t="s">
        <v>468</v>
      </c>
      <c r="I1984" s="427" t="s">
        <v>764</v>
      </c>
      <c r="J1984" s="415" t="s">
        <v>310</v>
      </c>
      <c r="K1984" s="415" t="s">
        <v>1220</v>
      </c>
      <c r="L1984" s="415" t="s">
        <v>3443</v>
      </c>
      <c r="M1984" s="613">
        <v>222132078191</v>
      </c>
      <c r="N1984" s="414">
        <v>44720</v>
      </c>
      <c r="O1984" s="414" t="s">
        <v>407</v>
      </c>
      <c r="P1984" s="603">
        <f t="shared" si="288"/>
        <v>6</v>
      </c>
      <c r="Q1984" s="603">
        <f t="shared" si="289"/>
        <v>4</v>
      </c>
      <c r="R1984" s="604" t="str">
        <f t="shared" si="290"/>
        <v>Gastos_custeados_por_captação</v>
      </c>
      <c r="S1984" s="605" t="s">
        <v>310</v>
      </c>
      <c r="T1984" s="605" t="s">
        <v>310</v>
      </c>
    </row>
    <row r="1985" spans="1:20" ht="72" x14ac:dyDescent="0.2">
      <c r="A1985" s="510">
        <f>IF(B1985="","",COUNT('Diário 1º PA'!$A$4:$A$2635)+ROW()-3)</f>
        <v>3718</v>
      </c>
      <c r="B1985" s="414">
        <v>44720</v>
      </c>
      <c r="C1985" s="431">
        <v>44652</v>
      </c>
      <c r="D1985" s="415" t="s">
        <v>468</v>
      </c>
      <c r="E1985" s="415" t="s">
        <v>468</v>
      </c>
      <c r="F1985" s="425">
        <v>723.6</v>
      </c>
      <c r="G1985" s="640" t="s">
        <v>5334</v>
      </c>
      <c r="H1985" s="419" t="s">
        <v>468</v>
      </c>
      <c r="I1985" s="427" t="s">
        <v>764</v>
      </c>
      <c r="J1985" s="415" t="s">
        <v>310</v>
      </c>
      <c r="K1985" s="415" t="s">
        <v>1220</v>
      </c>
      <c r="L1985" s="415" t="s">
        <v>3443</v>
      </c>
      <c r="M1985" s="613">
        <v>222132076229</v>
      </c>
      <c r="N1985" s="414">
        <v>44720</v>
      </c>
      <c r="O1985" s="414" t="s">
        <v>407</v>
      </c>
      <c r="P1985" s="603">
        <f t="shared" si="288"/>
        <v>6</v>
      </c>
      <c r="Q1985" s="603">
        <f t="shared" si="289"/>
        <v>4</v>
      </c>
      <c r="R1985" s="604" t="str">
        <f t="shared" si="290"/>
        <v>Gastos_custeados_por_captação</v>
      </c>
      <c r="S1985" s="605" t="s">
        <v>310</v>
      </c>
      <c r="T1985" s="605" t="s">
        <v>310</v>
      </c>
    </row>
    <row r="1986" spans="1:20" s="88" customFormat="1" ht="48" x14ac:dyDescent="0.2">
      <c r="A1986" s="510">
        <f>IF(B1986="","",COUNT('Diário 1º PA'!$A$4:$A$2635)+ROW()-3)</f>
        <v>3719</v>
      </c>
      <c r="B1986" s="414">
        <v>44720</v>
      </c>
      <c r="C1986" s="431">
        <v>44652</v>
      </c>
      <c r="D1986" s="415" t="s">
        <v>468</v>
      </c>
      <c r="E1986" s="415" t="s">
        <v>468</v>
      </c>
      <c r="F1986" s="425">
        <v>2148.3000000000002</v>
      </c>
      <c r="G1986" s="643" t="s">
        <v>5419</v>
      </c>
      <c r="H1986" s="419" t="s">
        <v>468</v>
      </c>
      <c r="I1986" s="427" t="s">
        <v>764</v>
      </c>
      <c r="J1986" s="415" t="s">
        <v>310</v>
      </c>
      <c r="K1986" s="415" t="s">
        <v>1220</v>
      </c>
      <c r="L1986" s="415" t="s">
        <v>3443</v>
      </c>
      <c r="M1986" s="613">
        <v>222132239896</v>
      </c>
      <c r="N1986" s="414">
        <v>44720</v>
      </c>
      <c r="O1986" s="414" t="s">
        <v>3762</v>
      </c>
      <c r="P1986" s="603">
        <f t="shared" ref="P1986:P1994" si="291">IF(B1986=0,0,IF(YEAR(B1986)=$Q$1,MONTH(B1986)-$P$1+1,(YEAR(B1986)-$Q$1)*12-$P$1+1+MONTH(B1986)))</f>
        <v>6</v>
      </c>
      <c r="Q1986" s="603">
        <f t="shared" ref="Q1986:Q1994" si="292">IF(C1986=0,0,IF(YEAR(C1986)=$Q$1,MONTH(C1986)-$P$1+1,(YEAR(C1986)-$Q$1)*12-$P$1+1+MONTH(C1986)))</f>
        <v>4</v>
      </c>
      <c r="R1986" s="604" t="str">
        <f t="shared" ref="R1986:R1994" si="293">SUBSTITUTE(D1986," ","_")</f>
        <v>Gastos_custeados_por_captação</v>
      </c>
      <c r="S1986" s="605" t="s">
        <v>310</v>
      </c>
      <c r="T1986" s="605" t="s">
        <v>310</v>
      </c>
    </row>
    <row r="1987" spans="1:20" s="88" customFormat="1" ht="48" x14ac:dyDescent="0.2">
      <c r="A1987" s="510">
        <f>IF(B1987="","",COUNT('Diário 1º PA'!$A$4:$A$2635)+ROW()-3)</f>
        <v>3720</v>
      </c>
      <c r="B1987" s="414">
        <v>44720</v>
      </c>
      <c r="C1987" s="431">
        <v>44652</v>
      </c>
      <c r="D1987" s="415" t="s">
        <v>468</v>
      </c>
      <c r="E1987" s="415" t="s">
        <v>468</v>
      </c>
      <c r="F1987" s="425">
        <v>10.32</v>
      </c>
      <c r="G1987" s="643" t="s">
        <v>5420</v>
      </c>
      <c r="H1987" s="419" t="s">
        <v>468</v>
      </c>
      <c r="I1987" s="427" t="s">
        <v>764</v>
      </c>
      <c r="J1987" s="415" t="s">
        <v>310</v>
      </c>
      <c r="K1987" s="415" t="s">
        <v>1220</v>
      </c>
      <c r="L1987" s="415" t="s">
        <v>3443</v>
      </c>
      <c r="M1987" s="613">
        <v>222132238903</v>
      </c>
      <c r="N1987" s="414">
        <v>44720</v>
      </c>
      <c r="O1987" s="414" t="s">
        <v>3762</v>
      </c>
      <c r="P1987" s="603">
        <f t="shared" si="291"/>
        <v>6</v>
      </c>
      <c r="Q1987" s="603">
        <f t="shared" si="292"/>
        <v>4</v>
      </c>
      <c r="R1987" s="604" t="str">
        <f t="shared" si="293"/>
        <v>Gastos_custeados_por_captação</v>
      </c>
      <c r="S1987" s="605" t="s">
        <v>310</v>
      </c>
      <c r="T1987" s="605" t="s">
        <v>310</v>
      </c>
    </row>
    <row r="1988" spans="1:20" s="88" customFormat="1" ht="48" x14ac:dyDescent="0.2">
      <c r="A1988" s="510">
        <f>IF(B1988="","",COUNT('Diário 1º PA'!$A$4:$A$2635)+ROW()-3)</f>
        <v>3721</v>
      </c>
      <c r="B1988" s="414">
        <v>44720</v>
      </c>
      <c r="C1988" s="431">
        <v>44652</v>
      </c>
      <c r="D1988" s="415" t="s">
        <v>468</v>
      </c>
      <c r="E1988" s="415" t="s">
        <v>468</v>
      </c>
      <c r="F1988" s="425">
        <v>28.5</v>
      </c>
      <c r="G1988" s="644" t="s">
        <v>5421</v>
      </c>
      <c r="H1988" s="419" t="s">
        <v>468</v>
      </c>
      <c r="I1988" s="427" t="s">
        <v>764</v>
      </c>
      <c r="J1988" s="415" t="s">
        <v>310</v>
      </c>
      <c r="K1988" s="415" t="s">
        <v>1220</v>
      </c>
      <c r="L1988" s="415" t="s">
        <v>3443</v>
      </c>
      <c r="M1988" s="613">
        <v>222132238733</v>
      </c>
      <c r="N1988" s="414">
        <v>44720</v>
      </c>
      <c r="O1988" s="414" t="s">
        <v>3762</v>
      </c>
      <c r="P1988" s="603">
        <f t="shared" si="291"/>
        <v>6</v>
      </c>
      <c r="Q1988" s="603">
        <f t="shared" si="292"/>
        <v>4</v>
      </c>
      <c r="R1988" s="604" t="str">
        <f t="shared" si="293"/>
        <v>Gastos_custeados_por_captação</v>
      </c>
      <c r="S1988" s="605" t="s">
        <v>310</v>
      </c>
      <c r="T1988" s="605" t="s">
        <v>310</v>
      </c>
    </row>
    <row r="1989" spans="1:20" s="88" customFormat="1" ht="48" x14ac:dyDescent="0.2">
      <c r="A1989" s="510">
        <f>IF(B1989="","",COUNT('Diário 1º PA'!$A$4:$A$2635)+ROW()-3)</f>
        <v>3722</v>
      </c>
      <c r="B1989" s="414">
        <v>44720</v>
      </c>
      <c r="C1989" s="431">
        <v>44652</v>
      </c>
      <c r="D1989" s="415" t="s">
        <v>468</v>
      </c>
      <c r="E1989" s="415" t="s">
        <v>468</v>
      </c>
      <c r="F1989" s="425">
        <v>10</v>
      </c>
      <c r="G1989" s="643" t="s">
        <v>5422</v>
      </c>
      <c r="H1989" s="419" t="s">
        <v>468</v>
      </c>
      <c r="I1989" s="427" t="s">
        <v>764</v>
      </c>
      <c r="J1989" s="415" t="s">
        <v>310</v>
      </c>
      <c r="K1989" s="415" t="s">
        <v>1220</v>
      </c>
      <c r="L1989" s="415" t="s">
        <v>3443</v>
      </c>
      <c r="M1989" s="613">
        <v>222132239462</v>
      </c>
      <c r="N1989" s="414">
        <v>44720</v>
      </c>
      <c r="O1989" s="414" t="s">
        <v>3762</v>
      </c>
      <c r="P1989" s="603">
        <f t="shared" si="291"/>
        <v>6</v>
      </c>
      <c r="Q1989" s="603">
        <f t="shared" si="292"/>
        <v>4</v>
      </c>
      <c r="R1989" s="604" t="str">
        <f t="shared" si="293"/>
        <v>Gastos_custeados_por_captação</v>
      </c>
      <c r="S1989" s="605" t="s">
        <v>310</v>
      </c>
      <c r="T1989" s="605" t="s">
        <v>310</v>
      </c>
    </row>
    <row r="1990" spans="1:20" s="88" customFormat="1" ht="48" x14ac:dyDescent="0.2">
      <c r="A1990" s="510">
        <f>IF(B1990="","",COUNT('Diário 1º PA'!$A$4:$A$2635)+ROW()-3)</f>
        <v>3723</v>
      </c>
      <c r="B1990" s="414">
        <v>44720</v>
      </c>
      <c r="C1990" s="431">
        <v>44652</v>
      </c>
      <c r="D1990" s="415" t="s">
        <v>468</v>
      </c>
      <c r="E1990" s="415" t="s">
        <v>468</v>
      </c>
      <c r="F1990" s="425">
        <v>72.25</v>
      </c>
      <c r="G1990" s="643" t="s">
        <v>5423</v>
      </c>
      <c r="H1990" s="419" t="s">
        <v>468</v>
      </c>
      <c r="I1990" s="427" t="s">
        <v>764</v>
      </c>
      <c r="J1990" s="415" t="s">
        <v>310</v>
      </c>
      <c r="K1990" s="415" t="s">
        <v>1220</v>
      </c>
      <c r="L1990" s="415" t="s">
        <v>3443</v>
      </c>
      <c r="M1990" s="613">
        <v>222132236870</v>
      </c>
      <c r="N1990" s="414">
        <v>44720</v>
      </c>
      <c r="O1990" s="414" t="s">
        <v>3762</v>
      </c>
      <c r="P1990" s="603">
        <f t="shared" si="291"/>
        <v>6</v>
      </c>
      <c r="Q1990" s="603">
        <f t="shared" si="292"/>
        <v>4</v>
      </c>
      <c r="R1990" s="604" t="str">
        <f t="shared" si="293"/>
        <v>Gastos_custeados_por_captação</v>
      </c>
      <c r="S1990" s="605" t="s">
        <v>310</v>
      </c>
      <c r="T1990" s="605" t="s">
        <v>310</v>
      </c>
    </row>
    <row r="1991" spans="1:20" s="88" customFormat="1" ht="48" x14ac:dyDescent="0.2">
      <c r="A1991" s="510">
        <f>IF(B1991="","",COUNT('Diário 1º PA'!$A$4:$A$2635)+ROW()-3)</f>
        <v>3724</v>
      </c>
      <c r="B1991" s="414">
        <v>44720</v>
      </c>
      <c r="C1991" s="431">
        <v>44652</v>
      </c>
      <c r="D1991" s="415" t="s">
        <v>468</v>
      </c>
      <c r="E1991" s="415" t="s">
        <v>468</v>
      </c>
      <c r="F1991" s="425">
        <v>34.799999999999997</v>
      </c>
      <c r="G1991" s="643" t="s">
        <v>5424</v>
      </c>
      <c r="H1991" s="419" t="s">
        <v>468</v>
      </c>
      <c r="I1991" s="427" t="s">
        <v>764</v>
      </c>
      <c r="J1991" s="415" t="s">
        <v>310</v>
      </c>
      <c r="K1991" s="415" t="s">
        <v>1220</v>
      </c>
      <c r="L1991" s="415" t="s">
        <v>3443</v>
      </c>
      <c r="M1991" s="613">
        <v>222132237623</v>
      </c>
      <c r="N1991" s="414">
        <v>44720</v>
      </c>
      <c r="O1991" s="414" t="s">
        <v>3762</v>
      </c>
      <c r="P1991" s="603">
        <f t="shared" si="291"/>
        <v>6</v>
      </c>
      <c r="Q1991" s="603">
        <f t="shared" si="292"/>
        <v>4</v>
      </c>
      <c r="R1991" s="604" t="str">
        <f t="shared" si="293"/>
        <v>Gastos_custeados_por_captação</v>
      </c>
      <c r="S1991" s="605" t="s">
        <v>310</v>
      </c>
      <c r="T1991" s="605" t="s">
        <v>310</v>
      </c>
    </row>
    <row r="1992" spans="1:20" s="88" customFormat="1" ht="48" x14ac:dyDescent="0.2">
      <c r="A1992" s="510">
        <f>IF(B1992="","",COUNT('Diário 1º PA'!$A$4:$A$2635)+ROW()-3)</f>
        <v>3725</v>
      </c>
      <c r="B1992" s="414">
        <v>44720</v>
      </c>
      <c r="C1992" s="431">
        <v>44652</v>
      </c>
      <c r="D1992" s="415" t="s">
        <v>468</v>
      </c>
      <c r="E1992" s="415" t="s">
        <v>468</v>
      </c>
      <c r="F1992" s="425">
        <v>1105.5</v>
      </c>
      <c r="G1992" s="644" t="s">
        <v>5425</v>
      </c>
      <c r="H1992" s="419" t="s">
        <v>468</v>
      </c>
      <c r="I1992" s="427" t="s">
        <v>764</v>
      </c>
      <c r="J1992" s="415" t="s">
        <v>310</v>
      </c>
      <c r="K1992" s="415" t="s">
        <v>1220</v>
      </c>
      <c r="L1992" s="415" t="s">
        <v>3443</v>
      </c>
      <c r="M1992" s="613">
        <v>222132238229</v>
      </c>
      <c r="N1992" s="414">
        <v>44720</v>
      </c>
      <c r="O1992" s="414" t="s">
        <v>3762</v>
      </c>
      <c r="P1992" s="603">
        <f t="shared" si="291"/>
        <v>6</v>
      </c>
      <c r="Q1992" s="603">
        <f t="shared" si="292"/>
        <v>4</v>
      </c>
      <c r="R1992" s="604" t="str">
        <f t="shared" si="293"/>
        <v>Gastos_custeados_por_captação</v>
      </c>
      <c r="S1992" s="605" t="s">
        <v>310</v>
      </c>
      <c r="T1992" s="605" t="s">
        <v>310</v>
      </c>
    </row>
    <row r="1993" spans="1:20" s="88" customFormat="1" ht="48" x14ac:dyDescent="0.2">
      <c r="A1993" s="510">
        <f>IF(B1993="","",COUNT('Diário 1º PA'!$A$4:$A$2635)+ROW()-3)</f>
        <v>3726</v>
      </c>
      <c r="B1993" s="414">
        <v>44720</v>
      </c>
      <c r="C1993" s="431">
        <v>44652</v>
      </c>
      <c r="D1993" s="415" t="s">
        <v>468</v>
      </c>
      <c r="E1993" s="415" t="s">
        <v>468</v>
      </c>
      <c r="F1993" s="425">
        <v>18</v>
      </c>
      <c r="G1993" s="643" t="s">
        <v>5426</v>
      </c>
      <c r="H1993" s="419" t="s">
        <v>468</v>
      </c>
      <c r="I1993" s="427" t="s">
        <v>764</v>
      </c>
      <c r="J1993" s="415" t="s">
        <v>310</v>
      </c>
      <c r="K1993" s="415" t="s">
        <v>1220</v>
      </c>
      <c r="L1993" s="415" t="s">
        <v>3443</v>
      </c>
      <c r="M1993" s="613">
        <v>222132240045</v>
      </c>
      <c r="N1993" s="414">
        <v>44720</v>
      </c>
      <c r="O1993" s="414" t="s">
        <v>3762</v>
      </c>
      <c r="P1993" s="603">
        <f t="shared" si="291"/>
        <v>6</v>
      </c>
      <c r="Q1993" s="603">
        <f t="shared" si="292"/>
        <v>4</v>
      </c>
      <c r="R1993" s="604" t="str">
        <f t="shared" si="293"/>
        <v>Gastos_custeados_por_captação</v>
      </c>
      <c r="S1993" s="605" t="s">
        <v>310</v>
      </c>
      <c r="T1993" s="605" t="s">
        <v>310</v>
      </c>
    </row>
    <row r="1994" spans="1:20" s="88" customFormat="1" ht="60" x14ac:dyDescent="0.2">
      <c r="A1994" s="510">
        <f>IF(B1994="","",COUNT('Diário 1º PA'!$A$4:$A$2635)+ROW()-3)</f>
        <v>3727</v>
      </c>
      <c r="B1994" s="414">
        <v>44720</v>
      </c>
      <c r="C1994" s="431">
        <v>44652</v>
      </c>
      <c r="D1994" s="415" t="s">
        <v>468</v>
      </c>
      <c r="E1994" s="415" t="s">
        <v>468</v>
      </c>
      <c r="F1994" s="425">
        <v>2153.25</v>
      </c>
      <c r="G1994" s="640" t="s">
        <v>4018</v>
      </c>
      <c r="H1994" s="419" t="s">
        <v>468</v>
      </c>
      <c r="I1994" s="427" t="s">
        <v>5427</v>
      </c>
      <c r="J1994" s="415" t="s">
        <v>1990</v>
      </c>
      <c r="K1994" s="415" t="s">
        <v>830</v>
      </c>
      <c r="L1994" s="415" t="s">
        <v>839</v>
      </c>
      <c r="M1994" s="613">
        <v>1817</v>
      </c>
      <c r="N1994" s="414">
        <v>44719</v>
      </c>
      <c r="O1994" s="414" t="s">
        <v>3762</v>
      </c>
      <c r="P1994" s="603">
        <f t="shared" si="291"/>
        <v>6</v>
      </c>
      <c r="Q1994" s="603">
        <f t="shared" si="292"/>
        <v>4</v>
      </c>
      <c r="R1994" s="604" t="str">
        <f t="shared" si="293"/>
        <v>Gastos_custeados_por_captação</v>
      </c>
      <c r="S1994" s="605" t="s">
        <v>998</v>
      </c>
      <c r="T1994" s="605">
        <v>3646</v>
      </c>
    </row>
    <row r="1995" spans="1:20" s="88" customFormat="1" ht="60" x14ac:dyDescent="0.2">
      <c r="A1995" s="510">
        <f>IF(B1995="","",COUNT('Diário 1º PA'!$A$4:$A$2635)+ROW()-3)</f>
        <v>3728</v>
      </c>
      <c r="B1995" s="414">
        <v>44720</v>
      </c>
      <c r="C1995" s="431">
        <v>44652</v>
      </c>
      <c r="D1995" s="415" t="s">
        <v>468</v>
      </c>
      <c r="E1995" s="415" t="s">
        <v>468</v>
      </c>
      <c r="F1995" s="425">
        <v>150</v>
      </c>
      <c r="G1995" s="640" t="s">
        <v>5463</v>
      </c>
      <c r="H1995" s="419" t="s">
        <v>468</v>
      </c>
      <c r="I1995" s="427" t="s">
        <v>764</v>
      </c>
      <c r="J1995" s="415" t="s">
        <v>310</v>
      </c>
      <c r="K1995" s="415" t="s">
        <v>1220</v>
      </c>
      <c r="L1995" s="415" t="s">
        <v>3443</v>
      </c>
      <c r="M1995" s="613">
        <v>222132242412</v>
      </c>
      <c r="N1995" s="414">
        <v>44720</v>
      </c>
      <c r="O1995" s="414" t="s">
        <v>404</v>
      </c>
      <c r="P1995" s="603">
        <f>IF(B1995=0,0,IF(YEAR(B1995)=$Q$1,MONTH(B1995)-$P$1+1,(YEAR(B1995)-$Q$1)*12-$P$1+1+MONTH(B1995)))</f>
        <v>6</v>
      </c>
      <c r="Q1995" s="603">
        <f>IF(C1995=0,0,IF(YEAR(C1995)=$Q$1,MONTH(C1995)-$P$1+1,(YEAR(C1995)-$Q$1)*12-$P$1+1+MONTH(C1995)))</f>
        <v>4</v>
      </c>
      <c r="R1995" s="604" t="str">
        <f>SUBSTITUTE(D1995," ","_")</f>
        <v>Gastos_custeados_por_captação</v>
      </c>
      <c r="S1995" s="605" t="s">
        <v>310</v>
      </c>
      <c r="T1995" s="605" t="s">
        <v>310</v>
      </c>
    </row>
    <row r="1996" spans="1:20" s="88" customFormat="1" ht="60" x14ac:dyDescent="0.2">
      <c r="A1996" s="510">
        <f>IF(B1996="","",COUNT('Diário 1º PA'!$A$4:$A$2635)+ROW()-3)</f>
        <v>3729</v>
      </c>
      <c r="B1996" s="414">
        <v>44720</v>
      </c>
      <c r="C1996" s="431">
        <v>44652</v>
      </c>
      <c r="D1996" s="415" t="s">
        <v>468</v>
      </c>
      <c r="E1996" s="415" t="s">
        <v>468</v>
      </c>
      <c r="F1996" s="425">
        <v>120.6</v>
      </c>
      <c r="G1996" s="640" t="s">
        <v>5484</v>
      </c>
      <c r="H1996" s="419" t="s">
        <v>468</v>
      </c>
      <c r="I1996" s="427" t="s">
        <v>764</v>
      </c>
      <c r="J1996" s="415" t="s">
        <v>310</v>
      </c>
      <c r="K1996" s="415" t="s">
        <v>1220</v>
      </c>
      <c r="L1996" s="415" t="s">
        <v>3443</v>
      </c>
      <c r="M1996" s="613">
        <v>222131961245</v>
      </c>
      <c r="N1996" s="414">
        <v>44720</v>
      </c>
      <c r="O1996" s="414" t="s">
        <v>405</v>
      </c>
      <c r="P1996" s="603">
        <f t="shared" ref="P1996:P2002" si="294">IF(B1996=0,0,IF(YEAR(B1996)=$Q$1,MONTH(B1996)-$P$1+1,(YEAR(B1996)-$Q$1)*12-$P$1+1+MONTH(B1996)))</f>
        <v>6</v>
      </c>
      <c r="Q1996" s="603">
        <f t="shared" ref="Q1996:Q2002" si="295">IF(C1996=0,0,IF(YEAR(C1996)=$Q$1,MONTH(C1996)-$P$1+1,(YEAR(C1996)-$Q$1)*12-$P$1+1+MONTH(C1996)))</f>
        <v>4</v>
      </c>
      <c r="R1996" s="604" t="str">
        <f t="shared" ref="R1996:R2002" si="296">SUBSTITUTE(D1996," ","_")</f>
        <v>Gastos_custeados_por_captação</v>
      </c>
      <c r="S1996" s="605" t="s">
        <v>310</v>
      </c>
      <c r="T1996" s="605" t="s">
        <v>310</v>
      </c>
    </row>
    <row r="1997" spans="1:20" s="88" customFormat="1" ht="60" x14ac:dyDescent="0.2">
      <c r="A1997" s="510">
        <f>IF(B1997="","",COUNT('Diário 1º PA'!$A$4:$A$2635)+ROW()-3)</f>
        <v>3730</v>
      </c>
      <c r="B1997" s="414">
        <v>44720</v>
      </c>
      <c r="C1997" s="431">
        <v>44652</v>
      </c>
      <c r="D1997" s="415" t="s">
        <v>468</v>
      </c>
      <c r="E1997" s="415" t="s">
        <v>468</v>
      </c>
      <c r="F1997" s="425">
        <v>60.3</v>
      </c>
      <c r="G1997" s="640" t="s">
        <v>5485</v>
      </c>
      <c r="H1997" s="419" t="s">
        <v>468</v>
      </c>
      <c r="I1997" s="427" t="s">
        <v>764</v>
      </c>
      <c r="J1997" s="415" t="s">
        <v>310</v>
      </c>
      <c r="K1997" s="415" t="s">
        <v>1220</v>
      </c>
      <c r="L1997" s="415" t="s">
        <v>3443</v>
      </c>
      <c r="M1997" s="613">
        <v>222131963027</v>
      </c>
      <c r="N1997" s="414">
        <v>44720</v>
      </c>
      <c r="O1997" s="414" t="s">
        <v>405</v>
      </c>
      <c r="P1997" s="603">
        <f t="shared" si="294"/>
        <v>6</v>
      </c>
      <c r="Q1997" s="603">
        <f t="shared" si="295"/>
        <v>4</v>
      </c>
      <c r="R1997" s="604" t="str">
        <f t="shared" si="296"/>
        <v>Gastos_custeados_por_captação</v>
      </c>
      <c r="S1997" s="605" t="s">
        <v>310</v>
      </c>
      <c r="T1997" s="605" t="s">
        <v>310</v>
      </c>
    </row>
    <row r="1998" spans="1:20" s="88" customFormat="1" ht="60" x14ac:dyDescent="0.2">
      <c r="A1998" s="510">
        <f>IF(B1998="","",COUNT('Diário 1º PA'!$A$4:$A$2635)+ROW()-3)</f>
        <v>3731</v>
      </c>
      <c r="B1998" s="414">
        <v>44720</v>
      </c>
      <c r="C1998" s="431">
        <v>44652</v>
      </c>
      <c r="D1998" s="415" t="s">
        <v>468</v>
      </c>
      <c r="E1998" s="415" t="s">
        <v>468</v>
      </c>
      <c r="F1998" s="425">
        <v>66.33</v>
      </c>
      <c r="G1998" s="640" t="s">
        <v>5486</v>
      </c>
      <c r="H1998" s="419" t="s">
        <v>468</v>
      </c>
      <c r="I1998" s="427" t="s">
        <v>764</v>
      </c>
      <c r="J1998" s="415" t="s">
        <v>310</v>
      </c>
      <c r="K1998" s="415" t="s">
        <v>1220</v>
      </c>
      <c r="L1998" s="415" t="s">
        <v>3443</v>
      </c>
      <c r="M1998" s="613">
        <v>222131963965</v>
      </c>
      <c r="N1998" s="414">
        <v>44720</v>
      </c>
      <c r="O1998" s="414" t="s">
        <v>405</v>
      </c>
      <c r="P1998" s="603">
        <f t="shared" si="294"/>
        <v>6</v>
      </c>
      <c r="Q1998" s="603">
        <f t="shared" si="295"/>
        <v>4</v>
      </c>
      <c r="R1998" s="604" t="str">
        <f t="shared" si="296"/>
        <v>Gastos_custeados_por_captação</v>
      </c>
      <c r="S1998" s="605" t="s">
        <v>310</v>
      </c>
      <c r="T1998" s="605" t="s">
        <v>310</v>
      </c>
    </row>
    <row r="1999" spans="1:20" s="88" customFormat="1" ht="60" x14ac:dyDescent="0.2">
      <c r="A1999" s="510">
        <f>IF(B1999="","",COUNT('Diário 1º PA'!$A$4:$A$2635)+ROW()-3)</f>
        <v>3732</v>
      </c>
      <c r="B1999" s="414">
        <v>44720</v>
      </c>
      <c r="C1999" s="431">
        <v>44652</v>
      </c>
      <c r="D1999" s="415" t="s">
        <v>468</v>
      </c>
      <c r="E1999" s="415" t="s">
        <v>468</v>
      </c>
      <c r="F1999" s="425">
        <v>70.349999999999994</v>
      </c>
      <c r="G1999" s="640" t="s">
        <v>5487</v>
      </c>
      <c r="H1999" s="419" t="s">
        <v>468</v>
      </c>
      <c r="I1999" s="427" t="s">
        <v>764</v>
      </c>
      <c r="J1999" s="415" t="s">
        <v>310</v>
      </c>
      <c r="K1999" s="415" t="s">
        <v>1220</v>
      </c>
      <c r="L1999" s="415" t="s">
        <v>3443</v>
      </c>
      <c r="M1999" s="613">
        <v>222131964775</v>
      </c>
      <c r="N1999" s="414">
        <v>44720</v>
      </c>
      <c r="O1999" s="414" t="s">
        <v>405</v>
      </c>
      <c r="P1999" s="603">
        <f t="shared" si="294"/>
        <v>6</v>
      </c>
      <c r="Q1999" s="603">
        <f t="shared" si="295"/>
        <v>4</v>
      </c>
      <c r="R1999" s="604" t="str">
        <f t="shared" si="296"/>
        <v>Gastos_custeados_por_captação</v>
      </c>
      <c r="S1999" s="605" t="s">
        <v>310</v>
      </c>
      <c r="T1999" s="605" t="s">
        <v>310</v>
      </c>
    </row>
    <row r="2000" spans="1:20" s="88" customFormat="1" ht="60" x14ac:dyDescent="0.2">
      <c r="A2000" s="510">
        <f>IF(B2000="","",COUNT('Diário 1º PA'!$A$4:$A$2635)+ROW()-3)</f>
        <v>3733</v>
      </c>
      <c r="B2000" s="414">
        <v>44720</v>
      </c>
      <c r="C2000" s="431">
        <v>44652</v>
      </c>
      <c r="D2000" s="415" t="s">
        <v>468</v>
      </c>
      <c r="E2000" s="415" t="s">
        <v>468</v>
      </c>
      <c r="F2000" s="425">
        <v>70.349999999999994</v>
      </c>
      <c r="G2000" s="640" t="s">
        <v>5488</v>
      </c>
      <c r="H2000" s="419" t="s">
        <v>468</v>
      </c>
      <c r="I2000" s="427" t="s">
        <v>764</v>
      </c>
      <c r="J2000" s="415" t="s">
        <v>310</v>
      </c>
      <c r="K2000" s="415" t="s">
        <v>1220</v>
      </c>
      <c r="L2000" s="415" t="s">
        <v>3443</v>
      </c>
      <c r="M2000" s="613">
        <v>222131965585</v>
      </c>
      <c r="N2000" s="414">
        <v>44720</v>
      </c>
      <c r="O2000" s="414" t="s">
        <v>405</v>
      </c>
      <c r="P2000" s="603">
        <f t="shared" si="294"/>
        <v>6</v>
      </c>
      <c r="Q2000" s="603">
        <f t="shared" si="295"/>
        <v>4</v>
      </c>
      <c r="R2000" s="604" t="str">
        <f t="shared" si="296"/>
        <v>Gastos_custeados_por_captação</v>
      </c>
      <c r="S2000" s="605" t="s">
        <v>310</v>
      </c>
      <c r="T2000" s="605" t="s">
        <v>310</v>
      </c>
    </row>
    <row r="2001" spans="1:20" s="88" customFormat="1" ht="60" x14ac:dyDescent="0.2">
      <c r="A2001" s="510">
        <f>IF(B2001="","",COUNT('Diário 1º PA'!$A$4:$A$2635)+ROW()-3)</f>
        <v>3734</v>
      </c>
      <c r="B2001" s="414">
        <v>44720</v>
      </c>
      <c r="C2001" s="431">
        <v>44652</v>
      </c>
      <c r="D2001" s="415" t="s">
        <v>468</v>
      </c>
      <c r="E2001" s="415" t="s">
        <v>468</v>
      </c>
      <c r="F2001" s="425">
        <v>55.27</v>
      </c>
      <c r="G2001" s="640" t="s">
        <v>5489</v>
      </c>
      <c r="H2001" s="419" t="s">
        <v>468</v>
      </c>
      <c r="I2001" s="427" t="s">
        <v>764</v>
      </c>
      <c r="J2001" s="415" t="s">
        <v>310</v>
      </c>
      <c r="K2001" s="415" t="s">
        <v>1220</v>
      </c>
      <c r="L2001" s="415" t="s">
        <v>3443</v>
      </c>
      <c r="M2001" s="613">
        <v>222131965828</v>
      </c>
      <c r="N2001" s="414">
        <v>44720</v>
      </c>
      <c r="O2001" s="414" t="s">
        <v>405</v>
      </c>
      <c r="P2001" s="603">
        <f t="shared" si="294"/>
        <v>6</v>
      </c>
      <c r="Q2001" s="603">
        <f t="shared" si="295"/>
        <v>4</v>
      </c>
      <c r="R2001" s="604" t="str">
        <f t="shared" si="296"/>
        <v>Gastos_custeados_por_captação</v>
      </c>
      <c r="S2001" s="605" t="s">
        <v>310</v>
      </c>
      <c r="T2001" s="605" t="s">
        <v>310</v>
      </c>
    </row>
    <row r="2002" spans="1:20" s="88" customFormat="1" ht="92.25" customHeight="1" x14ac:dyDescent="0.2">
      <c r="A2002" s="510">
        <f>IF(B2002="","",COUNT('Diário 1º PA'!$A$4:$A$2635)+ROW()-3)</f>
        <v>3735</v>
      </c>
      <c r="B2002" s="414">
        <v>44720</v>
      </c>
      <c r="C2002" s="431">
        <v>44682</v>
      </c>
      <c r="D2002" s="415" t="s">
        <v>468</v>
      </c>
      <c r="E2002" s="415" t="s">
        <v>468</v>
      </c>
      <c r="F2002" s="425">
        <v>5000</v>
      </c>
      <c r="G2002" s="640" t="s">
        <v>3889</v>
      </c>
      <c r="H2002" s="419" t="s">
        <v>468</v>
      </c>
      <c r="I2002" s="427" t="s">
        <v>5490</v>
      </c>
      <c r="J2002" s="415" t="s">
        <v>3890</v>
      </c>
      <c r="K2002" s="415" t="s">
        <v>830</v>
      </c>
      <c r="L2002" s="415" t="s">
        <v>1305</v>
      </c>
      <c r="M2002" s="616" t="s">
        <v>310</v>
      </c>
      <c r="N2002" s="414">
        <v>44720</v>
      </c>
      <c r="O2002" s="414" t="s">
        <v>405</v>
      </c>
      <c r="P2002" s="603">
        <f t="shared" si="294"/>
        <v>6</v>
      </c>
      <c r="Q2002" s="603">
        <f t="shared" si="295"/>
        <v>5</v>
      </c>
      <c r="R2002" s="604" t="str">
        <f t="shared" si="296"/>
        <v>Gastos_custeados_por_captação</v>
      </c>
      <c r="S2002" s="605" t="s">
        <v>998</v>
      </c>
      <c r="T2002" s="605">
        <v>3575</v>
      </c>
    </row>
    <row r="2003" spans="1:20" s="88" customFormat="1" ht="72" x14ac:dyDescent="0.2">
      <c r="A2003" s="510">
        <f>IF(B2003="","",COUNT('Diário 1º PA'!$A$4:$A$2635)+ROW()-3)</f>
        <v>3736</v>
      </c>
      <c r="B2003" s="414">
        <v>44720</v>
      </c>
      <c r="C2003" s="431">
        <v>44652</v>
      </c>
      <c r="D2003" s="415" t="s">
        <v>468</v>
      </c>
      <c r="E2003" s="415" t="s">
        <v>468</v>
      </c>
      <c r="F2003" s="625">
        <v>60.3</v>
      </c>
      <c r="G2003" s="639" t="s">
        <v>5535</v>
      </c>
      <c r="H2003" s="419" t="s">
        <v>468</v>
      </c>
      <c r="I2003" s="427" t="s">
        <v>764</v>
      </c>
      <c r="J2003" s="415" t="s">
        <v>310</v>
      </c>
      <c r="K2003" s="415" t="s">
        <v>1220</v>
      </c>
      <c r="L2003" s="415" t="s">
        <v>3443</v>
      </c>
      <c r="M2003" s="464">
        <v>222132154041</v>
      </c>
      <c r="N2003" s="414">
        <v>44720</v>
      </c>
      <c r="O2003" s="414" t="s">
        <v>402</v>
      </c>
      <c r="P2003" s="603">
        <f t="shared" ref="P2003:P2018" si="297">IF(B2003=0,0,IF(YEAR(B2003)=$Q$1,MONTH(B2003)-$P$1+1,(YEAR(B2003)-$Q$1)*12-$P$1+1+MONTH(B2003)))</f>
        <v>6</v>
      </c>
      <c r="Q2003" s="603">
        <f t="shared" ref="Q2003:Q2018" si="298">IF(C2003=0,0,IF(YEAR(C2003)=$Q$1,MONTH(C2003)-$P$1+1,(YEAR(C2003)-$Q$1)*12-$P$1+1+MONTH(C2003)))</f>
        <v>4</v>
      </c>
      <c r="R2003" s="604" t="str">
        <f t="shared" ref="R2003:R2018" si="299">SUBSTITUTE(D2003," ","_")</f>
        <v>Gastos_custeados_por_captação</v>
      </c>
      <c r="S2003" s="605" t="s">
        <v>310</v>
      </c>
      <c r="T2003" s="605" t="s">
        <v>310</v>
      </c>
    </row>
    <row r="2004" spans="1:20" s="88" customFormat="1" ht="72" x14ac:dyDescent="0.2">
      <c r="A2004" s="510">
        <f>IF(B2004="","",COUNT('Diário 1º PA'!$A$4:$A$2635)+ROW()-3)</f>
        <v>3737</v>
      </c>
      <c r="B2004" s="414">
        <v>44720</v>
      </c>
      <c r="C2004" s="431">
        <v>44652</v>
      </c>
      <c r="D2004" s="415" t="s">
        <v>468</v>
      </c>
      <c r="E2004" s="415" t="s">
        <v>468</v>
      </c>
      <c r="F2004" s="625">
        <v>110.55</v>
      </c>
      <c r="G2004" s="639" t="s">
        <v>5536</v>
      </c>
      <c r="H2004" s="419" t="s">
        <v>468</v>
      </c>
      <c r="I2004" s="427" t="s">
        <v>764</v>
      </c>
      <c r="J2004" s="415" t="s">
        <v>310</v>
      </c>
      <c r="K2004" s="415" t="s">
        <v>1220</v>
      </c>
      <c r="L2004" s="415" t="s">
        <v>3443</v>
      </c>
      <c r="M2004" s="464">
        <v>222132156095</v>
      </c>
      <c r="N2004" s="414">
        <v>44720</v>
      </c>
      <c r="O2004" s="414" t="s">
        <v>402</v>
      </c>
      <c r="P2004" s="603">
        <f t="shared" si="297"/>
        <v>6</v>
      </c>
      <c r="Q2004" s="603">
        <f t="shared" si="298"/>
        <v>4</v>
      </c>
      <c r="R2004" s="604" t="str">
        <f t="shared" si="299"/>
        <v>Gastos_custeados_por_captação</v>
      </c>
      <c r="S2004" s="605" t="s">
        <v>310</v>
      </c>
      <c r="T2004" s="605" t="s">
        <v>310</v>
      </c>
    </row>
    <row r="2005" spans="1:20" s="88" customFormat="1" ht="72" x14ac:dyDescent="0.2">
      <c r="A2005" s="510">
        <f>IF(B2005="","",COUNT('Diário 1º PA'!$A$4:$A$2635)+ROW()-3)</f>
        <v>3738</v>
      </c>
      <c r="B2005" s="414">
        <v>44720</v>
      </c>
      <c r="C2005" s="431">
        <v>44652</v>
      </c>
      <c r="D2005" s="415" t="s">
        <v>468</v>
      </c>
      <c r="E2005" s="415" t="s">
        <v>468</v>
      </c>
      <c r="F2005" s="625">
        <v>75</v>
      </c>
      <c r="G2005" s="639" t="s">
        <v>5537</v>
      </c>
      <c r="H2005" s="419" t="s">
        <v>468</v>
      </c>
      <c r="I2005" s="427" t="s">
        <v>764</v>
      </c>
      <c r="J2005" s="415" t="s">
        <v>310</v>
      </c>
      <c r="K2005" s="415" t="s">
        <v>1220</v>
      </c>
      <c r="L2005" s="415" t="s">
        <v>3443</v>
      </c>
      <c r="M2005" s="464">
        <v>222132157490</v>
      </c>
      <c r="N2005" s="414">
        <v>44720</v>
      </c>
      <c r="O2005" s="414" t="s">
        <v>402</v>
      </c>
      <c r="P2005" s="603">
        <f t="shared" si="297"/>
        <v>6</v>
      </c>
      <c r="Q2005" s="603">
        <f t="shared" si="298"/>
        <v>4</v>
      </c>
      <c r="R2005" s="604" t="str">
        <f t="shared" si="299"/>
        <v>Gastos_custeados_por_captação</v>
      </c>
      <c r="S2005" s="605" t="s">
        <v>310</v>
      </c>
      <c r="T2005" s="605" t="s">
        <v>310</v>
      </c>
    </row>
    <row r="2006" spans="1:20" s="88" customFormat="1" ht="72" x14ac:dyDescent="0.2">
      <c r="A2006" s="510">
        <f>IF(B2006="","",COUNT('Diário 1º PA'!$A$4:$A$2635)+ROW()-3)</f>
        <v>3739</v>
      </c>
      <c r="B2006" s="414">
        <v>44720</v>
      </c>
      <c r="C2006" s="431">
        <v>44652</v>
      </c>
      <c r="D2006" s="415" t="s">
        <v>468</v>
      </c>
      <c r="E2006" s="415" t="s">
        <v>468</v>
      </c>
      <c r="F2006" s="625">
        <v>90</v>
      </c>
      <c r="G2006" s="639" t="s">
        <v>5538</v>
      </c>
      <c r="H2006" s="419" t="s">
        <v>468</v>
      </c>
      <c r="I2006" s="427" t="s">
        <v>764</v>
      </c>
      <c r="J2006" s="415" t="s">
        <v>310</v>
      </c>
      <c r="K2006" s="415" t="s">
        <v>1220</v>
      </c>
      <c r="L2006" s="415" t="s">
        <v>3443</v>
      </c>
      <c r="M2006" s="464">
        <v>222132158110</v>
      </c>
      <c r="N2006" s="414">
        <v>44720</v>
      </c>
      <c r="O2006" s="414" t="s">
        <v>402</v>
      </c>
      <c r="P2006" s="603">
        <f t="shared" si="297"/>
        <v>6</v>
      </c>
      <c r="Q2006" s="603">
        <f t="shared" si="298"/>
        <v>4</v>
      </c>
      <c r="R2006" s="604" t="str">
        <f t="shared" si="299"/>
        <v>Gastos_custeados_por_captação</v>
      </c>
      <c r="S2006" s="605" t="s">
        <v>310</v>
      </c>
      <c r="T2006" s="605" t="s">
        <v>310</v>
      </c>
    </row>
    <row r="2007" spans="1:20" s="88" customFormat="1" ht="72" x14ac:dyDescent="0.2">
      <c r="A2007" s="510">
        <f>IF(B2007="","",COUNT('Diário 1º PA'!$A$4:$A$2635)+ROW()-3)</f>
        <v>3740</v>
      </c>
      <c r="B2007" s="414">
        <v>44720</v>
      </c>
      <c r="C2007" s="431">
        <v>44652</v>
      </c>
      <c r="D2007" s="415" t="s">
        <v>468</v>
      </c>
      <c r="E2007" s="415" t="s">
        <v>468</v>
      </c>
      <c r="F2007" s="625">
        <v>120</v>
      </c>
      <c r="G2007" s="639" t="s">
        <v>5539</v>
      </c>
      <c r="H2007" s="419" t="s">
        <v>468</v>
      </c>
      <c r="I2007" s="427" t="s">
        <v>764</v>
      </c>
      <c r="J2007" s="415" t="s">
        <v>310</v>
      </c>
      <c r="K2007" s="415" t="s">
        <v>1220</v>
      </c>
      <c r="L2007" s="415" t="s">
        <v>3443</v>
      </c>
      <c r="M2007" s="464">
        <v>222132158977</v>
      </c>
      <c r="N2007" s="414">
        <v>44720</v>
      </c>
      <c r="O2007" s="414" t="s">
        <v>402</v>
      </c>
      <c r="P2007" s="603">
        <f t="shared" si="297"/>
        <v>6</v>
      </c>
      <c r="Q2007" s="603">
        <f t="shared" si="298"/>
        <v>4</v>
      </c>
      <c r="R2007" s="604" t="str">
        <f t="shared" si="299"/>
        <v>Gastos_custeados_por_captação</v>
      </c>
      <c r="S2007" s="605" t="s">
        <v>310</v>
      </c>
      <c r="T2007" s="605" t="s">
        <v>310</v>
      </c>
    </row>
    <row r="2008" spans="1:20" s="88" customFormat="1" ht="72" x14ac:dyDescent="0.2">
      <c r="A2008" s="510">
        <f>IF(B2008="","",COUNT('Diário 1º PA'!$A$4:$A$2635)+ROW()-3)</f>
        <v>3741</v>
      </c>
      <c r="B2008" s="414">
        <v>44720</v>
      </c>
      <c r="C2008" s="431">
        <v>44652</v>
      </c>
      <c r="D2008" s="415" t="s">
        <v>468</v>
      </c>
      <c r="E2008" s="415" t="s">
        <v>468</v>
      </c>
      <c r="F2008" s="625">
        <v>80</v>
      </c>
      <c r="G2008" s="639" t="s">
        <v>5540</v>
      </c>
      <c r="H2008" s="419" t="s">
        <v>468</v>
      </c>
      <c r="I2008" s="427" t="s">
        <v>764</v>
      </c>
      <c r="J2008" s="415" t="s">
        <v>310</v>
      </c>
      <c r="K2008" s="415" t="s">
        <v>1220</v>
      </c>
      <c r="L2008" s="415" t="s">
        <v>3443</v>
      </c>
      <c r="M2008" s="464">
        <v>222132160521</v>
      </c>
      <c r="N2008" s="414">
        <v>44720</v>
      </c>
      <c r="O2008" s="414" t="s">
        <v>402</v>
      </c>
      <c r="P2008" s="603">
        <f t="shared" si="297"/>
        <v>6</v>
      </c>
      <c r="Q2008" s="603">
        <f t="shared" si="298"/>
        <v>4</v>
      </c>
      <c r="R2008" s="604" t="str">
        <f t="shared" si="299"/>
        <v>Gastos_custeados_por_captação</v>
      </c>
      <c r="S2008" s="605" t="s">
        <v>310</v>
      </c>
      <c r="T2008" s="605" t="s">
        <v>310</v>
      </c>
    </row>
    <row r="2009" spans="1:20" s="88" customFormat="1" ht="72" x14ac:dyDescent="0.2">
      <c r="A2009" s="510">
        <f>IF(B2009="","",COUNT('Diário 1º PA'!$A$4:$A$2635)+ROW()-3)</f>
        <v>3742</v>
      </c>
      <c r="B2009" s="414">
        <v>44720</v>
      </c>
      <c r="C2009" s="431">
        <v>44652</v>
      </c>
      <c r="D2009" s="415" t="s">
        <v>468</v>
      </c>
      <c r="E2009" s="415" t="s">
        <v>468</v>
      </c>
      <c r="F2009" s="625">
        <v>180</v>
      </c>
      <c r="G2009" s="639" t="s">
        <v>5541</v>
      </c>
      <c r="H2009" s="419" t="s">
        <v>468</v>
      </c>
      <c r="I2009" s="427" t="s">
        <v>764</v>
      </c>
      <c r="J2009" s="415" t="s">
        <v>310</v>
      </c>
      <c r="K2009" s="415" t="s">
        <v>1220</v>
      </c>
      <c r="L2009" s="415" t="s">
        <v>3443</v>
      </c>
      <c r="M2009" s="464">
        <v>222132160874</v>
      </c>
      <c r="N2009" s="414">
        <v>44720</v>
      </c>
      <c r="O2009" s="414" t="s">
        <v>402</v>
      </c>
      <c r="P2009" s="603">
        <f t="shared" si="297"/>
        <v>6</v>
      </c>
      <c r="Q2009" s="603">
        <f t="shared" si="298"/>
        <v>4</v>
      </c>
      <c r="R2009" s="604" t="str">
        <f t="shared" si="299"/>
        <v>Gastos_custeados_por_captação</v>
      </c>
      <c r="S2009" s="605" t="s">
        <v>310</v>
      </c>
      <c r="T2009" s="605" t="s">
        <v>310</v>
      </c>
    </row>
    <row r="2010" spans="1:20" s="88" customFormat="1" ht="72" x14ac:dyDescent="0.2">
      <c r="A2010" s="510">
        <f>IF(B2010="","",COUNT('Diário 1º PA'!$A$4:$A$2635)+ROW()-3)</f>
        <v>3743</v>
      </c>
      <c r="B2010" s="414">
        <v>44720</v>
      </c>
      <c r="C2010" s="431">
        <v>44652</v>
      </c>
      <c r="D2010" s="415" t="s">
        <v>468</v>
      </c>
      <c r="E2010" s="415" t="s">
        <v>468</v>
      </c>
      <c r="F2010" s="625">
        <v>60.3</v>
      </c>
      <c r="G2010" s="639" t="s">
        <v>5542</v>
      </c>
      <c r="H2010" s="419" t="s">
        <v>468</v>
      </c>
      <c r="I2010" s="427" t="s">
        <v>764</v>
      </c>
      <c r="J2010" s="415" t="s">
        <v>310</v>
      </c>
      <c r="K2010" s="415" t="s">
        <v>1220</v>
      </c>
      <c r="L2010" s="415" t="s">
        <v>3443</v>
      </c>
      <c r="M2010" s="464">
        <v>222132161412</v>
      </c>
      <c r="N2010" s="414">
        <v>44720</v>
      </c>
      <c r="O2010" s="414" t="s">
        <v>402</v>
      </c>
      <c r="P2010" s="603">
        <f t="shared" si="297"/>
        <v>6</v>
      </c>
      <c r="Q2010" s="603">
        <f t="shared" si="298"/>
        <v>4</v>
      </c>
      <c r="R2010" s="604" t="str">
        <f t="shared" si="299"/>
        <v>Gastos_custeados_por_captação</v>
      </c>
      <c r="S2010" s="605" t="s">
        <v>310</v>
      </c>
      <c r="T2010" s="605" t="s">
        <v>310</v>
      </c>
    </row>
    <row r="2011" spans="1:20" s="88" customFormat="1" ht="72" x14ac:dyDescent="0.2">
      <c r="A2011" s="510">
        <f>IF(B2011="","",COUNT('Diário 1º PA'!$A$4:$A$2635)+ROW()-3)</f>
        <v>3744</v>
      </c>
      <c r="B2011" s="414">
        <v>44720</v>
      </c>
      <c r="C2011" s="431">
        <v>44652</v>
      </c>
      <c r="D2011" s="415" t="s">
        <v>468</v>
      </c>
      <c r="E2011" s="415" t="s">
        <v>468</v>
      </c>
      <c r="F2011" s="625">
        <v>125.99</v>
      </c>
      <c r="G2011" s="639" t="s">
        <v>5543</v>
      </c>
      <c r="H2011" s="419" t="s">
        <v>468</v>
      </c>
      <c r="I2011" s="427" t="s">
        <v>764</v>
      </c>
      <c r="J2011" s="415" t="s">
        <v>310</v>
      </c>
      <c r="K2011" s="415" t="s">
        <v>1220</v>
      </c>
      <c r="L2011" s="415" t="s">
        <v>3443</v>
      </c>
      <c r="M2011" s="464">
        <v>22213212162656</v>
      </c>
      <c r="N2011" s="414">
        <v>44720</v>
      </c>
      <c r="O2011" s="414" t="s">
        <v>402</v>
      </c>
      <c r="P2011" s="603">
        <f t="shared" si="297"/>
        <v>6</v>
      </c>
      <c r="Q2011" s="603">
        <f t="shared" si="298"/>
        <v>4</v>
      </c>
      <c r="R2011" s="604" t="str">
        <f t="shared" si="299"/>
        <v>Gastos_custeados_por_captação</v>
      </c>
      <c r="S2011" s="605" t="s">
        <v>310</v>
      </c>
      <c r="T2011" s="605" t="s">
        <v>310</v>
      </c>
    </row>
    <row r="2012" spans="1:20" s="88" customFormat="1" ht="72" x14ac:dyDescent="0.2">
      <c r="A2012" s="510">
        <f>IF(B2012="","",COUNT('Diário 1º PA'!$A$4:$A$2635)+ROW()-3)</f>
        <v>3745</v>
      </c>
      <c r="B2012" s="414">
        <v>44720</v>
      </c>
      <c r="C2012" s="431">
        <v>44652</v>
      </c>
      <c r="D2012" s="415" t="s">
        <v>468</v>
      </c>
      <c r="E2012" s="415" t="s">
        <v>468</v>
      </c>
      <c r="F2012" s="625">
        <v>55.27</v>
      </c>
      <c r="G2012" s="639" t="s">
        <v>5544</v>
      </c>
      <c r="H2012" s="419" t="s">
        <v>468</v>
      </c>
      <c r="I2012" s="427" t="s">
        <v>764</v>
      </c>
      <c r="J2012" s="415" t="s">
        <v>310</v>
      </c>
      <c r="K2012" s="415" t="s">
        <v>1220</v>
      </c>
      <c r="L2012" s="415" t="s">
        <v>3443</v>
      </c>
      <c r="M2012" s="464">
        <v>222132162907</v>
      </c>
      <c r="N2012" s="414">
        <v>44720</v>
      </c>
      <c r="O2012" s="414" t="s">
        <v>402</v>
      </c>
      <c r="P2012" s="603">
        <f t="shared" si="297"/>
        <v>6</v>
      </c>
      <c r="Q2012" s="603">
        <f t="shared" si="298"/>
        <v>4</v>
      </c>
      <c r="R2012" s="604" t="str">
        <f t="shared" si="299"/>
        <v>Gastos_custeados_por_captação</v>
      </c>
      <c r="S2012" s="605" t="s">
        <v>310</v>
      </c>
      <c r="T2012" s="605" t="s">
        <v>310</v>
      </c>
    </row>
    <row r="2013" spans="1:20" s="88" customFormat="1" ht="72" x14ac:dyDescent="0.2">
      <c r="A2013" s="510">
        <f>IF(B2013="","",COUNT('Diário 1º PA'!$A$4:$A$2635)+ROW()-3)</f>
        <v>3746</v>
      </c>
      <c r="B2013" s="414">
        <v>44720</v>
      </c>
      <c r="C2013" s="431">
        <v>44652</v>
      </c>
      <c r="D2013" s="415" t="s">
        <v>468</v>
      </c>
      <c r="E2013" s="415" t="s">
        <v>468</v>
      </c>
      <c r="F2013" s="625">
        <v>38.700000000000003</v>
      </c>
      <c r="G2013" s="639" t="s">
        <v>5545</v>
      </c>
      <c r="H2013" s="419" t="s">
        <v>468</v>
      </c>
      <c r="I2013" s="427" t="s">
        <v>764</v>
      </c>
      <c r="J2013" s="415" t="s">
        <v>310</v>
      </c>
      <c r="K2013" s="415" t="s">
        <v>1220</v>
      </c>
      <c r="L2013" s="415" t="s">
        <v>3443</v>
      </c>
      <c r="M2013" s="464">
        <v>222132163628</v>
      </c>
      <c r="N2013" s="414">
        <v>44720</v>
      </c>
      <c r="O2013" s="414" t="s">
        <v>402</v>
      </c>
      <c r="P2013" s="603">
        <f t="shared" si="297"/>
        <v>6</v>
      </c>
      <c r="Q2013" s="603">
        <f t="shared" si="298"/>
        <v>4</v>
      </c>
      <c r="R2013" s="604" t="str">
        <f t="shared" si="299"/>
        <v>Gastos_custeados_por_captação</v>
      </c>
      <c r="S2013" s="605" t="s">
        <v>310</v>
      </c>
      <c r="T2013" s="605" t="s">
        <v>310</v>
      </c>
    </row>
    <row r="2014" spans="1:20" s="88" customFormat="1" ht="72" x14ac:dyDescent="0.2">
      <c r="A2014" s="510">
        <f>IF(B2014="","",COUNT('Diário 1º PA'!$A$4:$A$2635)+ROW()-3)</f>
        <v>3747</v>
      </c>
      <c r="B2014" s="414">
        <v>44720</v>
      </c>
      <c r="C2014" s="431">
        <v>44652</v>
      </c>
      <c r="D2014" s="415" t="s">
        <v>468</v>
      </c>
      <c r="E2014" s="415" t="s">
        <v>468</v>
      </c>
      <c r="F2014" s="625">
        <v>38.020000000000003</v>
      </c>
      <c r="G2014" s="639" t="s">
        <v>5546</v>
      </c>
      <c r="H2014" s="419" t="s">
        <v>468</v>
      </c>
      <c r="I2014" s="427" t="s">
        <v>764</v>
      </c>
      <c r="J2014" s="415" t="s">
        <v>310</v>
      </c>
      <c r="K2014" s="415" t="s">
        <v>1220</v>
      </c>
      <c r="L2014" s="415" t="s">
        <v>3443</v>
      </c>
      <c r="M2014" s="464">
        <v>222132164276</v>
      </c>
      <c r="N2014" s="414">
        <v>44720</v>
      </c>
      <c r="O2014" s="414" t="s">
        <v>402</v>
      </c>
      <c r="P2014" s="603">
        <f t="shared" si="297"/>
        <v>6</v>
      </c>
      <c r="Q2014" s="603">
        <f t="shared" si="298"/>
        <v>4</v>
      </c>
      <c r="R2014" s="604" t="str">
        <f t="shared" si="299"/>
        <v>Gastos_custeados_por_captação</v>
      </c>
      <c r="S2014" s="605" t="s">
        <v>310</v>
      </c>
      <c r="T2014" s="605" t="s">
        <v>310</v>
      </c>
    </row>
    <row r="2015" spans="1:20" s="88" customFormat="1" ht="72" x14ac:dyDescent="0.2">
      <c r="A2015" s="510">
        <f>IF(B2015="","",COUNT('Diário 1º PA'!$A$4:$A$2635)+ROW()-3)</f>
        <v>3748</v>
      </c>
      <c r="B2015" s="414">
        <v>44720</v>
      </c>
      <c r="C2015" s="431">
        <v>44652</v>
      </c>
      <c r="D2015" s="415" t="s">
        <v>468</v>
      </c>
      <c r="E2015" s="415" t="s">
        <v>468</v>
      </c>
      <c r="F2015" s="625">
        <v>60.3</v>
      </c>
      <c r="G2015" s="639" t="s">
        <v>5547</v>
      </c>
      <c r="H2015" s="419" t="s">
        <v>468</v>
      </c>
      <c r="I2015" s="427" t="s">
        <v>764</v>
      </c>
      <c r="J2015" s="415" t="s">
        <v>310</v>
      </c>
      <c r="K2015" s="415" t="s">
        <v>1220</v>
      </c>
      <c r="L2015" s="415" t="s">
        <v>3443</v>
      </c>
      <c r="M2015" s="464">
        <v>222132164780</v>
      </c>
      <c r="N2015" s="414">
        <v>44720</v>
      </c>
      <c r="O2015" s="414" t="s">
        <v>402</v>
      </c>
      <c r="P2015" s="603">
        <f t="shared" si="297"/>
        <v>6</v>
      </c>
      <c r="Q2015" s="603">
        <f t="shared" si="298"/>
        <v>4</v>
      </c>
      <c r="R2015" s="604" t="str">
        <f t="shared" si="299"/>
        <v>Gastos_custeados_por_captação</v>
      </c>
      <c r="S2015" s="605" t="s">
        <v>310</v>
      </c>
      <c r="T2015" s="605" t="s">
        <v>310</v>
      </c>
    </row>
    <row r="2016" spans="1:20" s="88" customFormat="1" ht="72" x14ac:dyDescent="0.2">
      <c r="A2016" s="510">
        <f>IF(B2016="","",COUNT('Diário 1º PA'!$A$4:$A$2635)+ROW()-3)</f>
        <v>3749</v>
      </c>
      <c r="B2016" s="414">
        <v>44720</v>
      </c>
      <c r="C2016" s="431">
        <v>44652</v>
      </c>
      <c r="D2016" s="415" t="s">
        <v>468</v>
      </c>
      <c r="E2016" s="415" t="s">
        <v>468</v>
      </c>
      <c r="F2016" s="625">
        <v>120.6</v>
      </c>
      <c r="G2016" s="639" t="s">
        <v>5548</v>
      </c>
      <c r="H2016" s="419" t="s">
        <v>468</v>
      </c>
      <c r="I2016" s="427" t="s">
        <v>764</v>
      </c>
      <c r="J2016" s="415" t="s">
        <v>310</v>
      </c>
      <c r="K2016" s="415" t="s">
        <v>1220</v>
      </c>
      <c r="L2016" s="415" t="s">
        <v>3443</v>
      </c>
      <c r="M2016" s="464">
        <v>222132165671</v>
      </c>
      <c r="N2016" s="414">
        <v>44720</v>
      </c>
      <c r="O2016" s="414" t="s">
        <v>402</v>
      </c>
      <c r="P2016" s="603">
        <f t="shared" si="297"/>
        <v>6</v>
      </c>
      <c r="Q2016" s="603">
        <f t="shared" si="298"/>
        <v>4</v>
      </c>
      <c r="R2016" s="604" t="str">
        <f t="shared" si="299"/>
        <v>Gastos_custeados_por_captação</v>
      </c>
      <c r="S2016" s="605" t="s">
        <v>310</v>
      </c>
      <c r="T2016" s="605" t="s">
        <v>310</v>
      </c>
    </row>
    <row r="2017" spans="1:20" s="88" customFormat="1" ht="72" x14ac:dyDescent="0.2">
      <c r="A2017" s="510">
        <f>IF(B2017="","",COUNT('Diário 1º PA'!$A$4:$A$2635)+ROW()-3)</f>
        <v>3750</v>
      </c>
      <c r="B2017" s="414">
        <v>44720</v>
      </c>
      <c r="C2017" s="431">
        <v>44652</v>
      </c>
      <c r="D2017" s="415" t="s">
        <v>468</v>
      </c>
      <c r="E2017" s="415" t="s">
        <v>468</v>
      </c>
      <c r="F2017" s="625">
        <v>120.6</v>
      </c>
      <c r="G2017" s="639" t="s">
        <v>5549</v>
      </c>
      <c r="H2017" s="419" t="s">
        <v>468</v>
      </c>
      <c r="I2017" s="427" t="s">
        <v>764</v>
      </c>
      <c r="J2017" s="415" t="s">
        <v>310</v>
      </c>
      <c r="K2017" s="415" t="s">
        <v>1220</v>
      </c>
      <c r="L2017" s="415" t="s">
        <v>3443</v>
      </c>
      <c r="M2017" s="464">
        <v>222132166058</v>
      </c>
      <c r="N2017" s="414">
        <v>44720</v>
      </c>
      <c r="O2017" s="414" t="s">
        <v>402</v>
      </c>
      <c r="P2017" s="603">
        <f t="shared" si="297"/>
        <v>6</v>
      </c>
      <c r="Q2017" s="603">
        <f t="shared" si="298"/>
        <v>4</v>
      </c>
      <c r="R2017" s="604" t="str">
        <f t="shared" si="299"/>
        <v>Gastos_custeados_por_captação</v>
      </c>
      <c r="S2017" s="605" t="s">
        <v>310</v>
      </c>
      <c r="T2017" s="605" t="s">
        <v>310</v>
      </c>
    </row>
    <row r="2018" spans="1:20" s="88" customFormat="1" ht="72" x14ac:dyDescent="0.2">
      <c r="A2018" s="510">
        <f>IF(B2018="","",COUNT('Diário 1º PA'!$A$4:$A$2635)+ROW()-3)</f>
        <v>3751</v>
      </c>
      <c r="B2018" s="414">
        <v>44720</v>
      </c>
      <c r="C2018" s="431">
        <v>44652</v>
      </c>
      <c r="D2018" s="415" t="s">
        <v>468</v>
      </c>
      <c r="E2018" s="415" t="s">
        <v>468</v>
      </c>
      <c r="F2018" s="625">
        <v>137.5</v>
      </c>
      <c r="G2018" s="639" t="s">
        <v>5550</v>
      </c>
      <c r="H2018" s="419" t="s">
        <v>468</v>
      </c>
      <c r="I2018" s="427" t="s">
        <v>764</v>
      </c>
      <c r="J2018" s="415" t="s">
        <v>310</v>
      </c>
      <c r="K2018" s="415" t="s">
        <v>1220</v>
      </c>
      <c r="L2018" s="415" t="s">
        <v>3443</v>
      </c>
      <c r="M2018" s="464">
        <v>222132166210</v>
      </c>
      <c r="N2018" s="414">
        <v>44720</v>
      </c>
      <c r="O2018" s="414" t="s">
        <v>402</v>
      </c>
      <c r="P2018" s="603">
        <f t="shared" si="297"/>
        <v>6</v>
      </c>
      <c r="Q2018" s="603">
        <f t="shared" si="298"/>
        <v>4</v>
      </c>
      <c r="R2018" s="604" t="str">
        <f t="shared" si="299"/>
        <v>Gastos_custeados_por_captação</v>
      </c>
      <c r="S2018" s="605" t="s">
        <v>310</v>
      </c>
      <c r="T2018" s="605" t="s">
        <v>310</v>
      </c>
    </row>
    <row r="2019" spans="1:20" s="88" customFormat="1" ht="36" x14ac:dyDescent="0.2">
      <c r="A2019" s="510">
        <f>IF(B2019="","",COUNT('Diário 1º PA'!$A$4:$A$2635)+ROW()-3)</f>
        <v>3752</v>
      </c>
      <c r="B2019" s="414">
        <v>44721</v>
      </c>
      <c r="C2019" s="466">
        <v>44652</v>
      </c>
      <c r="D2019" s="415" t="s">
        <v>182</v>
      </c>
      <c r="E2019" s="415" t="s">
        <v>6</v>
      </c>
      <c r="F2019" s="425">
        <v>-480</v>
      </c>
      <c r="G2019" s="427" t="s">
        <v>4655</v>
      </c>
      <c r="H2019" s="415" t="s">
        <v>310</v>
      </c>
      <c r="I2019" s="427" t="s">
        <v>795</v>
      </c>
      <c r="J2019" s="415" t="s">
        <v>796</v>
      </c>
      <c r="K2019" s="415" t="s">
        <v>797</v>
      </c>
      <c r="L2019" s="415" t="s">
        <v>798</v>
      </c>
      <c r="M2019" s="546" t="s">
        <v>310</v>
      </c>
      <c r="N2019" s="414">
        <v>44721</v>
      </c>
      <c r="O2019" s="414" t="s">
        <v>400</v>
      </c>
      <c r="P2019" s="603">
        <f>IF(B2019=0,0,IF(YEAR(B2019)=$Q$1,MONTH(B2019)-$P$1+1,(YEAR(B2019)-$Q$1)*12-$P$1+1+MONTH(B2019)))</f>
        <v>6</v>
      </c>
      <c r="Q2019" s="603">
        <f>IF(C2019=0,0,IF(YEAR(C2019)=$Q$1,MONTH(C2019)-$P$1+1,(YEAR(C2019)-$Q$1)*12-$P$1+1+MONTH(C2019)))</f>
        <v>4</v>
      </c>
      <c r="R2019" s="604" t="str">
        <f>SUBSTITUTE(D2019," ","_")</f>
        <v>Gastos_com_Pessoal</v>
      </c>
      <c r="S2019" s="605" t="s">
        <v>310</v>
      </c>
      <c r="T2019" s="605" t="s">
        <v>310</v>
      </c>
    </row>
    <row r="2020" spans="1:20" s="88" customFormat="1" ht="48" x14ac:dyDescent="0.2">
      <c r="A2020" s="510">
        <f>IF(B2020="","",COUNT('Diário 1º PA'!$A$4:$A$2635)+ROW()-3)</f>
        <v>3753</v>
      </c>
      <c r="B2020" s="414">
        <v>44721</v>
      </c>
      <c r="C2020" s="431">
        <v>44682</v>
      </c>
      <c r="D2020" s="415" t="s">
        <v>271</v>
      </c>
      <c r="E2020" s="415" t="s">
        <v>90</v>
      </c>
      <c r="F2020" s="425">
        <v>3000</v>
      </c>
      <c r="G2020" s="423" t="s">
        <v>3964</v>
      </c>
      <c r="H2020" s="419" t="s">
        <v>750</v>
      </c>
      <c r="I2020" s="427" t="s">
        <v>785</v>
      </c>
      <c r="J2020" s="419" t="s">
        <v>1126</v>
      </c>
      <c r="K2020" s="434" t="s">
        <v>806</v>
      </c>
      <c r="L2020" s="434" t="s">
        <v>32</v>
      </c>
      <c r="M2020" s="439" t="s">
        <v>1503</v>
      </c>
      <c r="N2020" s="455">
        <v>44720</v>
      </c>
      <c r="O2020" s="414" t="s">
        <v>400</v>
      </c>
      <c r="P2020" s="603">
        <f t="shared" ref="P2020:P2123" si="300">IF(B2020=0,0,IF(YEAR(B2020)=$Q$1,MONTH(B2020)-$P$1+1,(YEAR(B2020)-$Q$1)*12-$P$1+1+MONTH(B2020)))</f>
        <v>6</v>
      </c>
      <c r="Q2020" s="603">
        <f t="shared" ref="Q2020:Q2123" si="301">IF(C2020=0,0,IF(YEAR(C2020)=$Q$1,MONTH(C2020)-$P$1+1,(YEAR(C2020)-$Q$1)*12-$P$1+1+MONTH(C2020)))</f>
        <v>5</v>
      </c>
      <c r="R2020" s="604" t="str">
        <f t="shared" ref="R2020:R2122" si="302">SUBSTITUTE(D2020," ","_")</f>
        <v>Gastos_Gerais</v>
      </c>
      <c r="S2020" s="605" t="s">
        <v>1000</v>
      </c>
      <c r="T2020" s="605">
        <v>3528</v>
      </c>
    </row>
    <row r="2021" spans="1:20" s="88" customFormat="1" ht="48" x14ac:dyDescent="0.2">
      <c r="A2021" s="510">
        <f>IF(B2021="","",COUNT('Diário 1º PA'!$A$4:$A$2635)+ROW()-3)</f>
        <v>3754</v>
      </c>
      <c r="B2021" s="414">
        <v>44721</v>
      </c>
      <c r="C2021" s="431">
        <v>44682</v>
      </c>
      <c r="D2021" s="415" t="s">
        <v>271</v>
      </c>
      <c r="E2021" s="415" t="s">
        <v>456</v>
      </c>
      <c r="F2021" s="425">
        <v>500</v>
      </c>
      <c r="G2021" s="423" t="s">
        <v>4274</v>
      </c>
      <c r="H2021" s="419" t="s">
        <v>761</v>
      </c>
      <c r="I2021" s="427" t="s">
        <v>4656</v>
      </c>
      <c r="J2021" s="419" t="s">
        <v>4275</v>
      </c>
      <c r="K2021" s="419" t="s">
        <v>830</v>
      </c>
      <c r="L2021" s="434" t="s">
        <v>32</v>
      </c>
      <c r="M2021" s="597" t="s">
        <v>1608</v>
      </c>
      <c r="N2021" s="455">
        <v>44720</v>
      </c>
      <c r="O2021" s="414" t="s">
        <v>400</v>
      </c>
      <c r="P2021" s="603">
        <f t="shared" si="300"/>
        <v>6</v>
      </c>
      <c r="Q2021" s="603">
        <f t="shared" si="301"/>
        <v>5</v>
      </c>
      <c r="R2021" s="604" t="str">
        <f t="shared" si="302"/>
        <v>Gastos_Gerais</v>
      </c>
      <c r="S2021" s="605" t="s">
        <v>998</v>
      </c>
      <c r="T2021" s="605">
        <v>3721</v>
      </c>
    </row>
    <row r="2022" spans="1:20" s="88" customFormat="1" ht="48" x14ac:dyDescent="0.2">
      <c r="A2022" s="510">
        <f>IF(B2022="","",COUNT('Diário 1º PA'!$A$4:$A$2635)+ROW()-3)</f>
        <v>3755</v>
      </c>
      <c r="B2022" s="414">
        <v>44721</v>
      </c>
      <c r="C2022" s="431">
        <v>44531</v>
      </c>
      <c r="D2022" s="415" t="s">
        <v>271</v>
      </c>
      <c r="E2022" s="415" t="s">
        <v>442</v>
      </c>
      <c r="F2022" s="425">
        <v>489.95</v>
      </c>
      <c r="G2022" s="423" t="s">
        <v>621</v>
      </c>
      <c r="H2022" s="419" t="s">
        <v>761</v>
      </c>
      <c r="I2022" s="427" t="s">
        <v>4657</v>
      </c>
      <c r="J2022" s="419" t="s">
        <v>1063</v>
      </c>
      <c r="K2022" s="419" t="s">
        <v>830</v>
      </c>
      <c r="L2022" s="434" t="s">
        <v>32</v>
      </c>
      <c r="M2022" s="419" t="s">
        <v>1696</v>
      </c>
      <c r="N2022" s="455">
        <v>44719</v>
      </c>
      <c r="O2022" s="414" t="s">
        <v>400</v>
      </c>
      <c r="P2022" s="603">
        <f t="shared" si="300"/>
        <v>6</v>
      </c>
      <c r="Q2022" s="603">
        <f t="shared" si="301"/>
        <v>0</v>
      </c>
      <c r="R2022" s="604" t="str">
        <f t="shared" si="302"/>
        <v>Gastos_Gerais</v>
      </c>
      <c r="S2022" s="605" t="s">
        <v>998</v>
      </c>
      <c r="T2022" s="605">
        <v>2471</v>
      </c>
    </row>
    <row r="2023" spans="1:20" s="88" customFormat="1" ht="60" x14ac:dyDescent="0.2">
      <c r="A2023" s="510">
        <f>IF(B2023="","",COUNT('Diário 1º PA'!$A$4:$A$2635)+ROW()-3)</f>
        <v>3756</v>
      </c>
      <c r="B2023" s="414">
        <v>44721</v>
      </c>
      <c r="C2023" s="431">
        <v>44652</v>
      </c>
      <c r="D2023" s="415" t="s">
        <v>271</v>
      </c>
      <c r="E2023" s="415" t="s">
        <v>456</v>
      </c>
      <c r="F2023" s="425">
        <v>921.5</v>
      </c>
      <c r="G2023" s="423" t="s">
        <v>3754</v>
      </c>
      <c r="H2023" s="419" t="s">
        <v>758</v>
      </c>
      <c r="I2023" s="427" t="s">
        <v>2325</v>
      </c>
      <c r="J2023" s="419" t="s">
        <v>1136</v>
      </c>
      <c r="K2023" s="419" t="s">
        <v>812</v>
      </c>
      <c r="L2023" s="434" t="s">
        <v>32</v>
      </c>
      <c r="M2023" s="419" t="s">
        <v>3797</v>
      </c>
      <c r="N2023" s="455">
        <v>44687</v>
      </c>
      <c r="O2023" s="414" t="s">
        <v>400</v>
      </c>
      <c r="P2023" s="603">
        <f t="shared" si="300"/>
        <v>6</v>
      </c>
      <c r="Q2023" s="603">
        <f t="shared" si="301"/>
        <v>4</v>
      </c>
      <c r="R2023" s="604" t="str">
        <f t="shared" si="302"/>
        <v>Gastos_Gerais</v>
      </c>
      <c r="S2023" s="605" t="s">
        <v>998</v>
      </c>
      <c r="T2023" s="605">
        <v>3535</v>
      </c>
    </row>
    <row r="2024" spans="1:20" s="88" customFormat="1" ht="36" x14ac:dyDescent="0.2">
      <c r="A2024" s="510">
        <f>IF(B2024="","",COUNT('Diário 1º PA'!$A$4:$A$2635)+ROW()-3)</f>
        <v>3757</v>
      </c>
      <c r="B2024" s="414">
        <v>44721</v>
      </c>
      <c r="C2024" s="431">
        <v>44652</v>
      </c>
      <c r="D2024" s="415" t="s">
        <v>271</v>
      </c>
      <c r="E2024" s="415" t="s">
        <v>456</v>
      </c>
      <c r="F2024" s="425">
        <v>10000</v>
      </c>
      <c r="G2024" s="423" t="s">
        <v>3403</v>
      </c>
      <c r="H2024" s="419" t="s">
        <v>792</v>
      </c>
      <c r="I2024" s="427" t="s">
        <v>4659</v>
      </c>
      <c r="J2024" s="419" t="s">
        <v>4660</v>
      </c>
      <c r="K2024" s="419" t="s">
        <v>830</v>
      </c>
      <c r="L2024" s="415" t="s">
        <v>1305</v>
      </c>
      <c r="M2024" s="415" t="s">
        <v>310</v>
      </c>
      <c r="N2024" s="455">
        <v>44720</v>
      </c>
      <c r="O2024" s="414" t="s">
        <v>400</v>
      </c>
      <c r="P2024" s="603">
        <f t="shared" si="300"/>
        <v>6</v>
      </c>
      <c r="Q2024" s="603">
        <f t="shared" si="301"/>
        <v>4</v>
      </c>
      <c r="R2024" s="604" t="str">
        <f t="shared" si="302"/>
        <v>Gastos_Gerais</v>
      </c>
      <c r="S2024" s="605" t="s">
        <v>998</v>
      </c>
      <c r="T2024" s="605">
        <v>3428</v>
      </c>
    </row>
    <row r="2025" spans="1:20" s="88" customFormat="1" ht="48" x14ac:dyDescent="0.2">
      <c r="A2025" s="510">
        <f>IF(B2025="","",COUNT('Diário 1º PA'!$A$4:$A$2635)+ROW()-3)</f>
        <v>3758</v>
      </c>
      <c r="B2025" s="414">
        <v>44721</v>
      </c>
      <c r="C2025" s="431">
        <v>44682</v>
      </c>
      <c r="D2025" s="415" t="s">
        <v>271</v>
      </c>
      <c r="E2025" s="415" t="s">
        <v>453</v>
      </c>
      <c r="F2025" s="425">
        <v>1500</v>
      </c>
      <c r="G2025" s="423" t="s">
        <v>3900</v>
      </c>
      <c r="H2025" s="419" t="s">
        <v>749</v>
      </c>
      <c r="I2025" s="427" t="s">
        <v>4661</v>
      </c>
      <c r="J2025" s="419" t="s">
        <v>3901</v>
      </c>
      <c r="K2025" s="419" t="s">
        <v>830</v>
      </c>
      <c r="L2025" s="415" t="s">
        <v>807</v>
      </c>
      <c r="M2025" s="415" t="s">
        <v>1608</v>
      </c>
      <c r="N2025" s="455">
        <v>44719</v>
      </c>
      <c r="O2025" s="414" t="s">
        <v>400</v>
      </c>
      <c r="P2025" s="603">
        <f t="shared" si="300"/>
        <v>6</v>
      </c>
      <c r="Q2025" s="603">
        <f t="shared" si="301"/>
        <v>5</v>
      </c>
      <c r="R2025" s="604" t="str">
        <f t="shared" si="302"/>
        <v>Gastos_Gerais</v>
      </c>
      <c r="S2025" s="605" t="s">
        <v>998</v>
      </c>
      <c r="T2025" s="605">
        <v>3567</v>
      </c>
    </row>
    <row r="2026" spans="1:20" s="88" customFormat="1" ht="36" x14ac:dyDescent="0.2">
      <c r="A2026" s="510">
        <f>IF(B2026="","",COUNT('Diário 1º PA'!$A$4:$A$2635)+ROW()-3)</f>
        <v>3759</v>
      </c>
      <c r="B2026" s="414">
        <v>44721</v>
      </c>
      <c r="C2026" s="431">
        <v>44713</v>
      </c>
      <c r="D2026" s="415" t="s">
        <v>271</v>
      </c>
      <c r="E2026" s="415" t="s">
        <v>71</v>
      </c>
      <c r="F2026" s="425">
        <v>11</v>
      </c>
      <c r="G2026" s="427" t="s">
        <v>4662</v>
      </c>
      <c r="H2026" s="419" t="s">
        <v>761</v>
      </c>
      <c r="I2026" s="427" t="s">
        <v>881</v>
      </c>
      <c r="J2026" s="415" t="s">
        <v>882</v>
      </c>
      <c r="K2026" s="415" t="s">
        <v>883</v>
      </c>
      <c r="L2026" s="415" t="s">
        <v>798</v>
      </c>
      <c r="M2026" s="415" t="s">
        <v>310</v>
      </c>
      <c r="N2026" s="414">
        <v>44721</v>
      </c>
      <c r="O2026" s="414" t="s">
        <v>400</v>
      </c>
      <c r="P2026" s="603">
        <f t="shared" si="300"/>
        <v>6</v>
      </c>
      <c r="Q2026" s="603">
        <f t="shared" si="301"/>
        <v>6</v>
      </c>
      <c r="R2026" s="604" t="str">
        <f t="shared" si="302"/>
        <v>Gastos_Gerais</v>
      </c>
      <c r="S2026" s="605" t="s">
        <v>310</v>
      </c>
      <c r="T2026" s="605" t="s">
        <v>310</v>
      </c>
    </row>
    <row r="2027" spans="1:20" s="88" customFormat="1" ht="36" x14ac:dyDescent="0.2">
      <c r="A2027" s="510">
        <f>IF(B2027="","",COUNT('Diário 1º PA'!$A$4:$A$2635)+ROW()-3)</f>
        <v>3760</v>
      </c>
      <c r="B2027" s="414">
        <v>44721</v>
      </c>
      <c r="C2027" s="431">
        <v>44713</v>
      </c>
      <c r="D2027" s="415" t="s">
        <v>271</v>
      </c>
      <c r="E2027" s="415" t="s">
        <v>71</v>
      </c>
      <c r="F2027" s="425">
        <v>11</v>
      </c>
      <c r="G2027" s="427" t="s">
        <v>4663</v>
      </c>
      <c r="H2027" s="419" t="s">
        <v>761</v>
      </c>
      <c r="I2027" s="427" t="s">
        <v>881</v>
      </c>
      <c r="J2027" s="415" t="s">
        <v>882</v>
      </c>
      <c r="K2027" s="415" t="s">
        <v>883</v>
      </c>
      <c r="L2027" s="415" t="s">
        <v>798</v>
      </c>
      <c r="M2027" s="415" t="s">
        <v>310</v>
      </c>
      <c r="N2027" s="414">
        <v>44721</v>
      </c>
      <c r="O2027" s="414" t="s">
        <v>400</v>
      </c>
      <c r="P2027" s="603">
        <f t="shared" si="300"/>
        <v>6</v>
      </c>
      <c r="Q2027" s="603">
        <f t="shared" si="301"/>
        <v>6</v>
      </c>
      <c r="R2027" s="604" t="str">
        <f t="shared" si="302"/>
        <v>Gastos_Gerais</v>
      </c>
      <c r="S2027" s="605" t="s">
        <v>310</v>
      </c>
      <c r="T2027" s="605" t="s">
        <v>310</v>
      </c>
    </row>
    <row r="2028" spans="1:20" s="88" customFormat="1" ht="36" x14ac:dyDescent="0.2">
      <c r="A2028" s="510">
        <f>IF(B2028="","",COUNT('Diário 1º PA'!$A$4:$A$2635)+ROW()-3)</f>
        <v>3761</v>
      </c>
      <c r="B2028" s="414">
        <v>44721</v>
      </c>
      <c r="C2028" s="431">
        <v>44713</v>
      </c>
      <c r="D2028" s="415" t="s">
        <v>271</v>
      </c>
      <c r="E2028" s="415" t="s">
        <v>71</v>
      </c>
      <c r="F2028" s="425">
        <v>11</v>
      </c>
      <c r="G2028" s="427" t="s">
        <v>4664</v>
      </c>
      <c r="H2028" s="419" t="s">
        <v>792</v>
      </c>
      <c r="I2028" s="427" t="s">
        <v>881</v>
      </c>
      <c r="J2028" s="415" t="s">
        <v>882</v>
      </c>
      <c r="K2028" s="415" t="s">
        <v>883</v>
      </c>
      <c r="L2028" s="415" t="s">
        <v>798</v>
      </c>
      <c r="M2028" s="415" t="s">
        <v>310</v>
      </c>
      <c r="N2028" s="414">
        <v>44721</v>
      </c>
      <c r="O2028" s="414" t="s">
        <v>400</v>
      </c>
      <c r="P2028" s="603">
        <f t="shared" si="300"/>
        <v>6</v>
      </c>
      <c r="Q2028" s="603">
        <f t="shared" si="301"/>
        <v>6</v>
      </c>
      <c r="R2028" s="604" t="str">
        <f t="shared" si="302"/>
        <v>Gastos_Gerais</v>
      </c>
      <c r="S2028" s="605" t="s">
        <v>310</v>
      </c>
      <c r="T2028" s="605" t="s">
        <v>310</v>
      </c>
    </row>
    <row r="2029" spans="1:20" s="88" customFormat="1" ht="36" x14ac:dyDescent="0.2">
      <c r="A2029" s="510">
        <f>IF(B2029="","",COUNT('Diário 1º PA'!$A$4:$A$2635)+ROW()-3)</f>
        <v>3762</v>
      </c>
      <c r="B2029" s="414">
        <v>44721</v>
      </c>
      <c r="C2029" s="431">
        <v>44713</v>
      </c>
      <c r="D2029" s="415" t="s">
        <v>271</v>
      </c>
      <c r="E2029" s="415" t="s">
        <v>71</v>
      </c>
      <c r="F2029" s="425">
        <v>11</v>
      </c>
      <c r="G2029" s="427" t="s">
        <v>4665</v>
      </c>
      <c r="H2029" s="419" t="s">
        <v>749</v>
      </c>
      <c r="I2029" s="427" t="s">
        <v>881</v>
      </c>
      <c r="J2029" s="415" t="s">
        <v>882</v>
      </c>
      <c r="K2029" s="415" t="s">
        <v>883</v>
      </c>
      <c r="L2029" s="415" t="s">
        <v>798</v>
      </c>
      <c r="M2029" s="415" t="s">
        <v>310</v>
      </c>
      <c r="N2029" s="414">
        <v>44721</v>
      </c>
      <c r="O2029" s="414" t="s">
        <v>400</v>
      </c>
      <c r="P2029" s="603">
        <f t="shared" si="300"/>
        <v>6</v>
      </c>
      <c r="Q2029" s="603">
        <f t="shared" si="301"/>
        <v>6</v>
      </c>
      <c r="R2029" s="604" t="str">
        <f t="shared" si="302"/>
        <v>Gastos_Gerais</v>
      </c>
      <c r="S2029" s="605" t="s">
        <v>310</v>
      </c>
      <c r="T2029" s="605" t="s">
        <v>310</v>
      </c>
    </row>
    <row r="2030" spans="1:20" s="88" customFormat="1" ht="48" x14ac:dyDescent="0.2">
      <c r="A2030" s="510">
        <f>IF(B2030="","",COUNT('Diário 1º PA'!$A$4:$A$2635)+ROW()-3)</f>
        <v>3763</v>
      </c>
      <c r="B2030" s="414">
        <v>44721</v>
      </c>
      <c r="C2030" s="431">
        <v>44682</v>
      </c>
      <c r="D2030" s="415" t="s">
        <v>468</v>
      </c>
      <c r="E2030" s="415" t="s">
        <v>468</v>
      </c>
      <c r="F2030" s="425">
        <v>2694.72</v>
      </c>
      <c r="G2030" s="427" t="s">
        <v>3897</v>
      </c>
      <c r="H2030" s="419" t="s">
        <v>468</v>
      </c>
      <c r="I2030" s="427" t="s">
        <v>1811</v>
      </c>
      <c r="J2030" s="415" t="s">
        <v>1023</v>
      </c>
      <c r="K2030" s="415" t="s">
        <v>830</v>
      </c>
      <c r="L2030" s="415" t="s">
        <v>807</v>
      </c>
      <c r="M2030" s="415" t="s">
        <v>3508</v>
      </c>
      <c r="N2030" s="414">
        <v>44718</v>
      </c>
      <c r="O2030" s="414" t="s">
        <v>3762</v>
      </c>
      <c r="P2030" s="603">
        <f t="shared" ref="P2030:Q2032" si="303">IF(B2030=0,0,IF(YEAR(B2030)=$Q$1,MONTH(B2030)-$P$1+1,(YEAR(B2030)-$Q$1)*12-$P$1+1+MONTH(B2030)))</f>
        <v>6</v>
      </c>
      <c r="Q2030" s="603">
        <f t="shared" si="303"/>
        <v>5</v>
      </c>
      <c r="R2030" s="604" t="str">
        <f>SUBSTITUTE(D2030," ","_")</f>
        <v>Gastos_custeados_por_captação</v>
      </c>
      <c r="S2030" s="605" t="s">
        <v>1000</v>
      </c>
      <c r="T2030" s="605">
        <v>3618</v>
      </c>
    </row>
    <row r="2031" spans="1:20" s="88" customFormat="1" ht="71.25" customHeight="1" x14ac:dyDescent="0.2">
      <c r="A2031" s="510">
        <f>IF(B2031="","",COUNT('Diário 1º PA'!$A$4:$A$2635)+ROW()-3)</f>
        <v>3764</v>
      </c>
      <c r="B2031" s="414">
        <v>44721</v>
      </c>
      <c r="C2031" s="431">
        <v>44682</v>
      </c>
      <c r="D2031" s="415" t="s">
        <v>468</v>
      </c>
      <c r="E2031" s="415" t="s">
        <v>468</v>
      </c>
      <c r="F2031" s="425">
        <v>2939.7</v>
      </c>
      <c r="G2031" s="427" t="s">
        <v>2344</v>
      </c>
      <c r="H2031" s="419" t="s">
        <v>468</v>
      </c>
      <c r="I2031" s="427" t="s">
        <v>5470</v>
      </c>
      <c r="J2031" s="415" t="s">
        <v>2345</v>
      </c>
      <c r="K2031" s="415" t="s">
        <v>830</v>
      </c>
      <c r="L2031" s="415" t="s">
        <v>807</v>
      </c>
      <c r="M2031" s="415" t="s">
        <v>1503</v>
      </c>
      <c r="N2031" s="414">
        <v>44719</v>
      </c>
      <c r="O2031" s="414" t="s">
        <v>405</v>
      </c>
      <c r="P2031" s="603">
        <f t="shared" si="303"/>
        <v>6</v>
      </c>
      <c r="Q2031" s="603">
        <f t="shared" si="303"/>
        <v>5</v>
      </c>
      <c r="R2031" s="604" t="str">
        <f>SUBSTITUTE(D2031," ","_")</f>
        <v>Gastos_custeados_por_captação</v>
      </c>
      <c r="S2031" s="605" t="s">
        <v>1000</v>
      </c>
      <c r="T2031" s="605">
        <v>3185</v>
      </c>
    </row>
    <row r="2032" spans="1:20" s="88" customFormat="1" ht="60" x14ac:dyDescent="0.2">
      <c r="A2032" s="510">
        <f>IF(B2032="","",COUNT('Diário 1º PA'!$A$4:$A$2635)+ROW()-3)</f>
        <v>3765</v>
      </c>
      <c r="B2032" s="414">
        <v>44721</v>
      </c>
      <c r="C2032" s="431">
        <v>44682</v>
      </c>
      <c r="D2032" s="415" t="s">
        <v>468</v>
      </c>
      <c r="E2032" s="415" t="s">
        <v>468</v>
      </c>
      <c r="F2032" s="425">
        <v>2694.72</v>
      </c>
      <c r="G2032" s="427" t="s">
        <v>3896</v>
      </c>
      <c r="H2032" s="419" t="s">
        <v>468</v>
      </c>
      <c r="I2032" s="427" t="s">
        <v>1811</v>
      </c>
      <c r="J2032" s="415" t="s">
        <v>1023</v>
      </c>
      <c r="K2032" s="415" t="s">
        <v>830</v>
      </c>
      <c r="L2032" s="415" t="s">
        <v>807</v>
      </c>
      <c r="M2032" s="415" t="s">
        <v>5492</v>
      </c>
      <c r="N2032" s="414">
        <v>44718</v>
      </c>
      <c r="O2032" s="414" t="s">
        <v>405</v>
      </c>
      <c r="P2032" s="603">
        <f t="shared" si="303"/>
        <v>6</v>
      </c>
      <c r="Q2032" s="603">
        <f t="shared" si="303"/>
        <v>5</v>
      </c>
      <c r="R2032" s="604" t="str">
        <f>SUBSTITUTE(D2032," ","_")</f>
        <v>Gastos_custeados_por_captação</v>
      </c>
      <c r="S2032" s="605" t="s">
        <v>1000</v>
      </c>
      <c r="T2032" s="605">
        <v>3260</v>
      </c>
    </row>
    <row r="2033" spans="1:20" s="88" customFormat="1" ht="36" x14ac:dyDescent="0.2">
      <c r="A2033" s="510">
        <f>IF(B2033="","",COUNT('Diário 1º PA'!$A$4:$A$2635)+ROW()-3)</f>
        <v>3766</v>
      </c>
      <c r="B2033" s="414">
        <v>44721</v>
      </c>
      <c r="C2033" s="431">
        <v>44652</v>
      </c>
      <c r="D2033" s="415" t="s">
        <v>468</v>
      </c>
      <c r="E2033" s="415" t="s">
        <v>468</v>
      </c>
      <c r="F2033" s="425">
        <v>90</v>
      </c>
      <c r="G2033" s="645" t="s">
        <v>5596</v>
      </c>
      <c r="H2033" s="419" t="s">
        <v>468</v>
      </c>
      <c r="I2033" s="427" t="s">
        <v>764</v>
      </c>
      <c r="J2033" s="415" t="s">
        <v>310</v>
      </c>
      <c r="K2033" s="415" t="s">
        <v>1220</v>
      </c>
      <c r="L2033" s="415" t="s">
        <v>3443</v>
      </c>
      <c r="M2033" s="485">
        <v>222131937450</v>
      </c>
      <c r="N2033" s="414">
        <v>44721</v>
      </c>
      <c r="O2033" s="414" t="s">
        <v>408</v>
      </c>
      <c r="P2033" s="603">
        <f t="shared" ref="P2033:P2041" si="304">IF(B2033=0,0,IF(YEAR(B2033)=$Q$1,MONTH(B2033)-$P$1+1,(YEAR(B2033)-$Q$1)*12-$P$1+1+MONTH(B2033)))</f>
        <v>6</v>
      </c>
      <c r="Q2033" s="603">
        <f t="shared" ref="Q2033:Q2041" si="305">IF(C2033=0,0,IF(YEAR(C2033)=$Q$1,MONTH(C2033)-$P$1+1,(YEAR(C2033)-$Q$1)*12-$P$1+1+MONTH(C2033)))</f>
        <v>4</v>
      </c>
      <c r="R2033" s="604" t="str">
        <f t="shared" ref="R2033:R2041" si="306">SUBSTITUTE(D2033," ","_")</f>
        <v>Gastos_custeados_por_captação</v>
      </c>
      <c r="S2033" s="605" t="s">
        <v>310</v>
      </c>
      <c r="T2033" s="605" t="s">
        <v>310</v>
      </c>
    </row>
    <row r="2034" spans="1:20" s="88" customFormat="1" ht="36" x14ac:dyDescent="0.2">
      <c r="A2034" s="510">
        <f>IF(B2034="","",COUNT('Diário 1º PA'!$A$4:$A$2635)+ROW()-3)</f>
        <v>3767</v>
      </c>
      <c r="B2034" s="414">
        <v>44721</v>
      </c>
      <c r="C2034" s="431">
        <v>44652</v>
      </c>
      <c r="D2034" s="415" t="s">
        <v>468</v>
      </c>
      <c r="E2034" s="415" t="s">
        <v>468</v>
      </c>
      <c r="F2034" s="425">
        <v>200</v>
      </c>
      <c r="G2034" s="645" t="s">
        <v>5597</v>
      </c>
      <c r="H2034" s="419" t="s">
        <v>468</v>
      </c>
      <c r="I2034" s="427" t="s">
        <v>764</v>
      </c>
      <c r="J2034" s="415" t="s">
        <v>310</v>
      </c>
      <c r="K2034" s="415" t="s">
        <v>1220</v>
      </c>
      <c r="L2034" s="415" t="s">
        <v>3443</v>
      </c>
      <c r="M2034" s="485">
        <v>222131938774</v>
      </c>
      <c r="N2034" s="414">
        <v>44721</v>
      </c>
      <c r="O2034" s="414" t="s">
        <v>408</v>
      </c>
      <c r="P2034" s="603">
        <f t="shared" si="304"/>
        <v>6</v>
      </c>
      <c r="Q2034" s="603">
        <f t="shared" si="305"/>
        <v>4</v>
      </c>
      <c r="R2034" s="604" t="str">
        <f t="shared" si="306"/>
        <v>Gastos_custeados_por_captação</v>
      </c>
      <c r="S2034" s="605" t="s">
        <v>310</v>
      </c>
      <c r="T2034" s="605" t="s">
        <v>310</v>
      </c>
    </row>
    <row r="2035" spans="1:20" s="88" customFormat="1" ht="36" x14ac:dyDescent="0.2">
      <c r="A2035" s="510">
        <f>IF(B2035="","",COUNT('Diário 1º PA'!$A$4:$A$2635)+ROW()-3)</f>
        <v>3768</v>
      </c>
      <c r="B2035" s="414">
        <v>44721</v>
      </c>
      <c r="C2035" s="431">
        <v>44652</v>
      </c>
      <c r="D2035" s="415" t="s">
        <v>468</v>
      </c>
      <c r="E2035" s="415" t="s">
        <v>468</v>
      </c>
      <c r="F2035" s="425">
        <v>88.44</v>
      </c>
      <c r="G2035" s="645" t="s">
        <v>5598</v>
      </c>
      <c r="H2035" s="419" t="s">
        <v>468</v>
      </c>
      <c r="I2035" s="427" t="s">
        <v>764</v>
      </c>
      <c r="J2035" s="415" t="s">
        <v>310</v>
      </c>
      <c r="K2035" s="415" t="s">
        <v>1220</v>
      </c>
      <c r="L2035" s="415" t="s">
        <v>3443</v>
      </c>
      <c r="M2035" s="485">
        <v>222131939827</v>
      </c>
      <c r="N2035" s="414">
        <v>44721</v>
      </c>
      <c r="O2035" s="414" t="s">
        <v>408</v>
      </c>
      <c r="P2035" s="603">
        <f t="shared" si="304"/>
        <v>6</v>
      </c>
      <c r="Q2035" s="603">
        <f t="shared" si="305"/>
        <v>4</v>
      </c>
      <c r="R2035" s="604" t="str">
        <f t="shared" si="306"/>
        <v>Gastos_custeados_por_captação</v>
      </c>
      <c r="S2035" s="605" t="s">
        <v>310</v>
      </c>
      <c r="T2035" s="605" t="s">
        <v>310</v>
      </c>
    </row>
    <row r="2036" spans="1:20" s="88" customFormat="1" ht="36" x14ac:dyDescent="0.2">
      <c r="A2036" s="510">
        <f>IF(B2036="","",COUNT('Diário 1º PA'!$A$4:$A$2635)+ROW()-3)</f>
        <v>3769</v>
      </c>
      <c r="B2036" s="414">
        <v>44721</v>
      </c>
      <c r="C2036" s="431">
        <v>44652</v>
      </c>
      <c r="D2036" s="415" t="s">
        <v>468</v>
      </c>
      <c r="E2036" s="415" t="s">
        <v>468</v>
      </c>
      <c r="F2036" s="425">
        <v>55.27</v>
      </c>
      <c r="G2036" s="645" t="s">
        <v>5599</v>
      </c>
      <c r="H2036" s="419" t="s">
        <v>468</v>
      </c>
      <c r="I2036" s="427" t="s">
        <v>764</v>
      </c>
      <c r="J2036" s="415" t="s">
        <v>310</v>
      </c>
      <c r="K2036" s="415" t="s">
        <v>1220</v>
      </c>
      <c r="L2036" s="415" t="s">
        <v>3443</v>
      </c>
      <c r="M2036" s="485">
        <v>222131940833</v>
      </c>
      <c r="N2036" s="414">
        <v>44721</v>
      </c>
      <c r="O2036" s="414" t="s">
        <v>408</v>
      </c>
      <c r="P2036" s="603">
        <f t="shared" si="304"/>
        <v>6</v>
      </c>
      <c r="Q2036" s="603">
        <f t="shared" si="305"/>
        <v>4</v>
      </c>
      <c r="R2036" s="604" t="str">
        <f t="shared" si="306"/>
        <v>Gastos_custeados_por_captação</v>
      </c>
      <c r="S2036" s="605" t="s">
        <v>310</v>
      </c>
      <c r="T2036" s="605" t="s">
        <v>310</v>
      </c>
    </row>
    <row r="2037" spans="1:20" s="88" customFormat="1" ht="36" x14ac:dyDescent="0.2">
      <c r="A2037" s="510">
        <f>IF(B2037="","",COUNT('Diário 1º PA'!$A$4:$A$2635)+ROW()-3)</f>
        <v>3770</v>
      </c>
      <c r="B2037" s="414">
        <v>44721</v>
      </c>
      <c r="C2037" s="431">
        <v>44652</v>
      </c>
      <c r="D2037" s="415" t="s">
        <v>468</v>
      </c>
      <c r="E2037" s="415" t="s">
        <v>468</v>
      </c>
      <c r="F2037" s="425">
        <v>150.75</v>
      </c>
      <c r="G2037" s="645" t="s">
        <v>5600</v>
      </c>
      <c r="H2037" s="419" t="s">
        <v>468</v>
      </c>
      <c r="I2037" s="427" t="s">
        <v>764</v>
      </c>
      <c r="J2037" s="415" t="s">
        <v>310</v>
      </c>
      <c r="K2037" s="415" t="s">
        <v>1220</v>
      </c>
      <c r="L2037" s="415" t="s">
        <v>3443</v>
      </c>
      <c r="M2037" s="485">
        <v>222131942968</v>
      </c>
      <c r="N2037" s="414">
        <v>44721</v>
      </c>
      <c r="O2037" s="414" t="s">
        <v>408</v>
      </c>
      <c r="P2037" s="603">
        <f t="shared" si="304"/>
        <v>6</v>
      </c>
      <c r="Q2037" s="603">
        <f t="shared" si="305"/>
        <v>4</v>
      </c>
      <c r="R2037" s="604" t="str">
        <f t="shared" si="306"/>
        <v>Gastos_custeados_por_captação</v>
      </c>
      <c r="S2037" s="605" t="s">
        <v>310</v>
      </c>
      <c r="T2037" s="605" t="s">
        <v>310</v>
      </c>
    </row>
    <row r="2038" spans="1:20" s="88" customFormat="1" ht="36" x14ac:dyDescent="0.2">
      <c r="A2038" s="510">
        <f>IF(B2038="","",COUNT('Diário 1º PA'!$A$4:$A$2635)+ROW()-3)</f>
        <v>3771</v>
      </c>
      <c r="B2038" s="414">
        <v>44721</v>
      </c>
      <c r="C2038" s="431">
        <v>44652</v>
      </c>
      <c r="D2038" s="415" t="s">
        <v>468</v>
      </c>
      <c r="E2038" s="415" t="s">
        <v>468</v>
      </c>
      <c r="F2038" s="425">
        <v>211.25</v>
      </c>
      <c r="G2038" s="645" t="s">
        <v>5601</v>
      </c>
      <c r="H2038" s="419" t="s">
        <v>468</v>
      </c>
      <c r="I2038" s="427" t="s">
        <v>764</v>
      </c>
      <c r="J2038" s="415" t="s">
        <v>310</v>
      </c>
      <c r="K2038" s="415" t="s">
        <v>1220</v>
      </c>
      <c r="L2038" s="415" t="s">
        <v>3443</v>
      </c>
      <c r="M2038" s="485">
        <v>222131943506</v>
      </c>
      <c r="N2038" s="414">
        <v>44721</v>
      </c>
      <c r="O2038" s="414" t="s">
        <v>408</v>
      </c>
      <c r="P2038" s="603">
        <f t="shared" si="304"/>
        <v>6</v>
      </c>
      <c r="Q2038" s="603">
        <f t="shared" si="305"/>
        <v>4</v>
      </c>
      <c r="R2038" s="604" t="str">
        <f t="shared" si="306"/>
        <v>Gastos_custeados_por_captação</v>
      </c>
      <c r="S2038" s="605" t="s">
        <v>310</v>
      </c>
      <c r="T2038" s="605" t="s">
        <v>310</v>
      </c>
    </row>
    <row r="2039" spans="1:20" s="88" customFormat="1" ht="36" x14ac:dyDescent="0.2">
      <c r="A2039" s="510">
        <f>IF(B2039="","",COUNT('Diário 1º PA'!$A$4:$A$2635)+ROW()-3)</f>
        <v>3772</v>
      </c>
      <c r="B2039" s="414">
        <v>44721</v>
      </c>
      <c r="C2039" s="431">
        <v>44652</v>
      </c>
      <c r="D2039" s="415" t="s">
        <v>468</v>
      </c>
      <c r="E2039" s="415" t="s">
        <v>468</v>
      </c>
      <c r="F2039" s="425">
        <v>12.06</v>
      </c>
      <c r="G2039" s="645" t="s">
        <v>5602</v>
      </c>
      <c r="H2039" s="419" t="s">
        <v>468</v>
      </c>
      <c r="I2039" s="427" t="s">
        <v>764</v>
      </c>
      <c r="J2039" s="415" t="s">
        <v>310</v>
      </c>
      <c r="K2039" s="415" t="s">
        <v>1220</v>
      </c>
      <c r="L2039" s="415" t="s">
        <v>3443</v>
      </c>
      <c r="M2039" s="485">
        <v>222131943859</v>
      </c>
      <c r="N2039" s="414">
        <v>44721</v>
      </c>
      <c r="O2039" s="414" t="s">
        <v>408</v>
      </c>
      <c r="P2039" s="603">
        <f t="shared" si="304"/>
        <v>6</v>
      </c>
      <c r="Q2039" s="603">
        <f t="shared" si="305"/>
        <v>4</v>
      </c>
      <c r="R2039" s="604" t="str">
        <f t="shared" si="306"/>
        <v>Gastos_custeados_por_captação</v>
      </c>
      <c r="S2039" s="605" t="s">
        <v>310</v>
      </c>
      <c r="T2039" s="605" t="s">
        <v>310</v>
      </c>
    </row>
    <row r="2040" spans="1:20" s="88" customFormat="1" ht="36" x14ac:dyDescent="0.2">
      <c r="A2040" s="510">
        <f>IF(B2040="","",COUNT('Diário 1º PA'!$A$4:$A$2635)+ROW()-3)</f>
        <v>3773</v>
      </c>
      <c r="B2040" s="414">
        <v>44721</v>
      </c>
      <c r="C2040" s="431">
        <v>44652</v>
      </c>
      <c r="D2040" s="415" t="s">
        <v>468</v>
      </c>
      <c r="E2040" s="415" t="s">
        <v>468</v>
      </c>
      <c r="F2040" s="425">
        <v>96.36</v>
      </c>
      <c r="G2040" s="645" t="s">
        <v>5603</v>
      </c>
      <c r="H2040" s="419" t="s">
        <v>468</v>
      </c>
      <c r="I2040" s="427" t="s">
        <v>764</v>
      </c>
      <c r="J2040" s="415" t="s">
        <v>310</v>
      </c>
      <c r="K2040" s="415" t="s">
        <v>1220</v>
      </c>
      <c r="L2040" s="415" t="s">
        <v>3443</v>
      </c>
      <c r="M2040" s="485">
        <v>222131945550</v>
      </c>
      <c r="N2040" s="414">
        <v>44721</v>
      </c>
      <c r="O2040" s="414" t="s">
        <v>408</v>
      </c>
      <c r="P2040" s="603">
        <f t="shared" si="304"/>
        <v>6</v>
      </c>
      <c r="Q2040" s="603">
        <f t="shared" si="305"/>
        <v>4</v>
      </c>
      <c r="R2040" s="604" t="str">
        <f t="shared" si="306"/>
        <v>Gastos_custeados_por_captação</v>
      </c>
      <c r="S2040" s="605" t="s">
        <v>310</v>
      </c>
      <c r="T2040" s="605" t="s">
        <v>310</v>
      </c>
    </row>
    <row r="2041" spans="1:20" s="88" customFormat="1" ht="36" x14ac:dyDescent="0.2">
      <c r="A2041" s="510">
        <f>IF(B2041="","",COUNT('Diário 1º PA'!$A$4:$A$2635)+ROW()-3)</f>
        <v>3774</v>
      </c>
      <c r="B2041" s="414">
        <v>44721</v>
      </c>
      <c r="C2041" s="431">
        <v>44682</v>
      </c>
      <c r="D2041" s="415" t="s">
        <v>468</v>
      </c>
      <c r="E2041" s="415" t="s">
        <v>468</v>
      </c>
      <c r="F2041" s="425">
        <v>2750</v>
      </c>
      <c r="G2041" s="427" t="s">
        <v>694</v>
      </c>
      <c r="H2041" s="419" t="s">
        <v>468</v>
      </c>
      <c r="I2041" s="427" t="s">
        <v>2476</v>
      </c>
      <c r="J2041" s="415" t="s">
        <v>2477</v>
      </c>
      <c r="K2041" s="415" t="s">
        <v>830</v>
      </c>
      <c r="L2041" s="415" t="s">
        <v>32</v>
      </c>
      <c r="M2041" s="415" t="s">
        <v>1503</v>
      </c>
      <c r="N2041" s="414">
        <v>44720</v>
      </c>
      <c r="O2041" s="414" t="s">
        <v>408</v>
      </c>
      <c r="P2041" s="603">
        <f t="shared" si="304"/>
        <v>6</v>
      </c>
      <c r="Q2041" s="603">
        <f t="shared" si="305"/>
        <v>5</v>
      </c>
      <c r="R2041" s="604" t="str">
        <f t="shared" si="306"/>
        <v>Gastos_custeados_por_captação</v>
      </c>
      <c r="S2041" s="605" t="s">
        <v>1000</v>
      </c>
      <c r="T2041" s="605">
        <v>2740</v>
      </c>
    </row>
    <row r="2042" spans="1:20" s="88" customFormat="1" ht="36" x14ac:dyDescent="0.2">
      <c r="A2042" s="510">
        <f>IF(B2042="","",COUNT('Diário 1º PA'!$A$4:$A$2635)+ROW()-3)</f>
        <v>3775</v>
      </c>
      <c r="B2042" s="414">
        <v>44722</v>
      </c>
      <c r="C2042" s="431">
        <v>44682</v>
      </c>
      <c r="D2042" s="415" t="s">
        <v>271</v>
      </c>
      <c r="E2042" s="415" t="s">
        <v>178</v>
      </c>
      <c r="F2042" s="425">
        <v>-69.989999999999995</v>
      </c>
      <c r="G2042" s="427" t="s">
        <v>4666</v>
      </c>
      <c r="H2042" s="415" t="s">
        <v>309</v>
      </c>
      <c r="I2042" s="427" t="s">
        <v>795</v>
      </c>
      <c r="J2042" s="415" t="s">
        <v>796</v>
      </c>
      <c r="K2042" s="415" t="s">
        <v>797</v>
      </c>
      <c r="L2042" s="415" t="s">
        <v>798</v>
      </c>
      <c r="M2042" s="415" t="s">
        <v>310</v>
      </c>
      <c r="N2042" s="414">
        <v>44722</v>
      </c>
      <c r="O2042" s="414" t="s">
        <v>400</v>
      </c>
      <c r="P2042" s="603">
        <f t="shared" si="300"/>
        <v>6</v>
      </c>
      <c r="Q2042" s="603">
        <f t="shared" si="301"/>
        <v>5</v>
      </c>
      <c r="R2042" s="604" t="str">
        <f t="shared" si="302"/>
        <v>Gastos_Gerais</v>
      </c>
      <c r="S2042" s="605" t="s">
        <v>310</v>
      </c>
      <c r="T2042" s="605" t="s">
        <v>310</v>
      </c>
    </row>
    <row r="2043" spans="1:20" s="88" customFormat="1" ht="60" x14ac:dyDescent="0.2">
      <c r="A2043" s="510">
        <f>IF(B2043="","",COUNT('Diário 1º PA'!$A$4:$A$2635)+ROW()-3)</f>
        <v>3776</v>
      </c>
      <c r="B2043" s="414">
        <v>44722</v>
      </c>
      <c r="C2043" s="431">
        <v>44713</v>
      </c>
      <c r="D2043" s="415" t="s">
        <v>271</v>
      </c>
      <c r="E2043" s="415" t="s">
        <v>67</v>
      </c>
      <c r="F2043" s="435">
        <v>-99.9</v>
      </c>
      <c r="G2043" s="427" t="s">
        <v>4667</v>
      </c>
      <c r="H2043" s="415" t="s">
        <v>309</v>
      </c>
      <c r="I2043" s="427" t="s">
        <v>795</v>
      </c>
      <c r="J2043" s="415" t="s">
        <v>796</v>
      </c>
      <c r="K2043" s="415" t="s">
        <v>797</v>
      </c>
      <c r="L2043" s="415" t="s">
        <v>798</v>
      </c>
      <c r="M2043" s="415" t="s">
        <v>310</v>
      </c>
      <c r="N2043" s="414">
        <v>44722</v>
      </c>
      <c r="O2043" s="414" t="s">
        <v>400</v>
      </c>
      <c r="P2043" s="603">
        <f t="shared" si="300"/>
        <v>6</v>
      </c>
      <c r="Q2043" s="603">
        <f t="shared" si="301"/>
        <v>6</v>
      </c>
      <c r="R2043" s="604" t="str">
        <f t="shared" si="302"/>
        <v>Gastos_Gerais</v>
      </c>
      <c r="S2043" s="605" t="s">
        <v>310</v>
      </c>
      <c r="T2043" s="605" t="s">
        <v>310</v>
      </c>
    </row>
    <row r="2044" spans="1:20" s="88" customFormat="1" ht="48" x14ac:dyDescent="0.2">
      <c r="A2044" s="510">
        <f>IF(B2044="","",COUNT('Diário 1º PA'!$A$4:$A$2635)+ROW()-3)</f>
        <v>3777</v>
      </c>
      <c r="B2044" s="414">
        <v>44722</v>
      </c>
      <c r="C2044" s="431">
        <v>44652</v>
      </c>
      <c r="D2044" s="415" t="s">
        <v>271</v>
      </c>
      <c r="E2044" s="415" t="s">
        <v>297</v>
      </c>
      <c r="F2044" s="425">
        <v>117.88</v>
      </c>
      <c r="G2044" s="427" t="s">
        <v>4668</v>
      </c>
      <c r="H2044" s="419" t="s">
        <v>757</v>
      </c>
      <c r="I2044" s="427" t="s">
        <v>4669</v>
      </c>
      <c r="J2044" s="415" t="s">
        <v>939</v>
      </c>
      <c r="K2044" s="415" t="s">
        <v>830</v>
      </c>
      <c r="L2044" s="415" t="s">
        <v>1305</v>
      </c>
      <c r="M2044" s="415" t="s">
        <v>310</v>
      </c>
      <c r="N2044" s="414">
        <v>44722</v>
      </c>
      <c r="O2044" s="414" t="s">
        <v>400</v>
      </c>
      <c r="P2044" s="603">
        <f t="shared" si="300"/>
        <v>6</v>
      </c>
      <c r="Q2044" s="603">
        <f t="shared" si="301"/>
        <v>4</v>
      </c>
      <c r="R2044" s="604" t="str">
        <f t="shared" si="302"/>
        <v>Gastos_Gerais</v>
      </c>
      <c r="S2044" s="605" t="s">
        <v>999</v>
      </c>
      <c r="T2044" s="605">
        <v>3338</v>
      </c>
    </row>
    <row r="2045" spans="1:20" s="88" customFormat="1" ht="99.95" customHeight="1" x14ac:dyDescent="0.2">
      <c r="A2045" s="510">
        <f>IF(B2045="","",COUNT('Diário 1º PA'!$A$4:$A$2635)+ROW()-3)</f>
        <v>3778</v>
      </c>
      <c r="B2045" s="414">
        <v>44722</v>
      </c>
      <c r="C2045" s="431">
        <v>44682</v>
      </c>
      <c r="D2045" s="415" t="s">
        <v>271</v>
      </c>
      <c r="E2045" s="415" t="s">
        <v>178</v>
      </c>
      <c r="F2045" s="425">
        <v>254.93</v>
      </c>
      <c r="G2045" s="427" t="s">
        <v>482</v>
      </c>
      <c r="H2045" s="415" t="s">
        <v>309</v>
      </c>
      <c r="I2045" s="427" t="s">
        <v>1276</v>
      </c>
      <c r="J2045" s="415" t="s">
        <v>1017</v>
      </c>
      <c r="K2045" s="415" t="s">
        <v>812</v>
      </c>
      <c r="L2045" s="415" t="s">
        <v>32</v>
      </c>
      <c r="M2045" s="415" t="s">
        <v>4670</v>
      </c>
      <c r="N2045" s="414">
        <v>44688</v>
      </c>
      <c r="O2045" s="414" t="s">
        <v>400</v>
      </c>
      <c r="P2045" s="603">
        <f t="shared" si="300"/>
        <v>6</v>
      </c>
      <c r="Q2045" s="603">
        <f t="shared" si="301"/>
        <v>5</v>
      </c>
      <c r="R2045" s="604" t="str">
        <f t="shared" si="302"/>
        <v>Gastos_Gerais</v>
      </c>
      <c r="S2045" s="605" t="s">
        <v>1000</v>
      </c>
      <c r="T2045" s="606">
        <v>1133</v>
      </c>
    </row>
    <row r="2046" spans="1:20" s="88" customFormat="1" ht="99.95" customHeight="1" x14ac:dyDescent="0.2">
      <c r="A2046" s="510">
        <f>IF(B2046="","",COUNT('Diário 1º PA'!$A$4:$A$2635)+ROW()-3)</f>
        <v>3779</v>
      </c>
      <c r="B2046" s="414">
        <v>44722</v>
      </c>
      <c r="C2046" s="431">
        <v>44682</v>
      </c>
      <c r="D2046" s="415" t="s">
        <v>271</v>
      </c>
      <c r="E2046" s="415" t="s">
        <v>183</v>
      </c>
      <c r="F2046" s="425">
        <v>139.74</v>
      </c>
      <c r="G2046" s="427" t="s">
        <v>551</v>
      </c>
      <c r="H2046" s="415" t="s">
        <v>753</v>
      </c>
      <c r="I2046" s="427" t="s">
        <v>1705</v>
      </c>
      <c r="J2046" s="415" t="s">
        <v>1704</v>
      </c>
      <c r="K2046" s="415" t="s">
        <v>1404</v>
      </c>
      <c r="L2046" s="415" t="s">
        <v>32</v>
      </c>
      <c r="M2046" s="546">
        <v>2205953726133</v>
      </c>
      <c r="N2046" s="414">
        <v>44700</v>
      </c>
      <c r="O2046" s="414" t="s">
        <v>400</v>
      </c>
      <c r="P2046" s="603">
        <f t="shared" si="300"/>
        <v>6</v>
      </c>
      <c r="Q2046" s="603">
        <f t="shared" si="301"/>
        <v>5</v>
      </c>
      <c r="R2046" s="604" t="str">
        <f t="shared" si="302"/>
        <v>Gastos_Gerais</v>
      </c>
      <c r="S2046" s="605" t="s">
        <v>1000</v>
      </c>
      <c r="T2046" s="605">
        <v>1997</v>
      </c>
    </row>
    <row r="2047" spans="1:20" s="88" customFormat="1" ht="99.95" customHeight="1" x14ac:dyDescent="0.2">
      <c r="A2047" s="510">
        <f>IF(B2047="","",COUNT('Diário 1º PA'!$A$4:$A$2635)+ROW()-3)</f>
        <v>3780</v>
      </c>
      <c r="B2047" s="414">
        <v>44722</v>
      </c>
      <c r="C2047" s="431">
        <v>44713</v>
      </c>
      <c r="D2047" s="415" t="s">
        <v>271</v>
      </c>
      <c r="E2047" s="415" t="s">
        <v>67</v>
      </c>
      <c r="F2047" s="425">
        <v>378.25</v>
      </c>
      <c r="G2047" s="427" t="s">
        <v>3521</v>
      </c>
      <c r="H2047" s="415" t="s">
        <v>309</v>
      </c>
      <c r="I2047" s="427" t="s">
        <v>764</v>
      </c>
      <c r="J2047" s="415" t="s">
        <v>310</v>
      </c>
      <c r="K2047" s="415" t="s">
        <v>1220</v>
      </c>
      <c r="L2047" s="415" t="s">
        <v>3973</v>
      </c>
      <c r="M2047" s="546" t="s">
        <v>4671</v>
      </c>
      <c r="N2047" s="414">
        <v>44722</v>
      </c>
      <c r="O2047" s="414" t="s">
        <v>400</v>
      </c>
      <c r="P2047" s="603">
        <f t="shared" si="300"/>
        <v>6</v>
      </c>
      <c r="Q2047" s="603">
        <f t="shared" si="301"/>
        <v>6</v>
      </c>
      <c r="R2047" s="604" t="str">
        <f t="shared" si="302"/>
        <v>Gastos_Gerais</v>
      </c>
      <c r="S2047" s="605" t="s">
        <v>310</v>
      </c>
      <c r="T2047" s="605" t="s">
        <v>310</v>
      </c>
    </row>
    <row r="2048" spans="1:20" s="88" customFormat="1" ht="99.95" customHeight="1" x14ac:dyDescent="0.2">
      <c r="A2048" s="510">
        <f>IF(B2048="","",COUNT('Diário 1º PA'!$A$4:$A$2635)+ROW()-3)</f>
        <v>3781</v>
      </c>
      <c r="B2048" s="414">
        <v>44722</v>
      </c>
      <c r="C2048" s="431">
        <v>44682</v>
      </c>
      <c r="D2048" s="415" t="s">
        <v>271</v>
      </c>
      <c r="E2048" s="415" t="s">
        <v>456</v>
      </c>
      <c r="F2048" s="425">
        <v>1000</v>
      </c>
      <c r="G2048" s="427" t="s">
        <v>4336</v>
      </c>
      <c r="H2048" s="419" t="s">
        <v>760</v>
      </c>
      <c r="I2048" s="427" t="s">
        <v>1230</v>
      </c>
      <c r="J2048" s="415" t="s">
        <v>1039</v>
      </c>
      <c r="K2048" s="415" t="s">
        <v>830</v>
      </c>
      <c r="L2048" s="415" t="s">
        <v>807</v>
      </c>
      <c r="M2048" s="415" t="s">
        <v>1700</v>
      </c>
      <c r="N2048" s="414">
        <v>44721</v>
      </c>
      <c r="O2048" s="414" t="s">
        <v>400</v>
      </c>
      <c r="P2048" s="603">
        <f t="shared" si="300"/>
        <v>6</v>
      </c>
      <c r="Q2048" s="603">
        <f t="shared" si="301"/>
        <v>5</v>
      </c>
      <c r="R2048" s="604" t="str">
        <f t="shared" si="302"/>
        <v>Gastos_Gerais</v>
      </c>
      <c r="S2048" s="605" t="s">
        <v>1000</v>
      </c>
      <c r="T2048" s="605">
        <v>3520</v>
      </c>
    </row>
    <row r="2049" spans="1:20" s="88" customFormat="1" ht="99.95" customHeight="1" x14ac:dyDescent="0.2">
      <c r="A2049" s="510">
        <f>IF(B2049="","",COUNT('Diário 1º PA'!$A$4:$A$2635)+ROW()-3)</f>
        <v>3782</v>
      </c>
      <c r="B2049" s="414">
        <v>44722</v>
      </c>
      <c r="C2049" s="431">
        <v>44713</v>
      </c>
      <c r="D2049" s="415" t="s">
        <v>271</v>
      </c>
      <c r="E2049" s="415" t="s">
        <v>297</v>
      </c>
      <c r="F2049" s="425">
        <v>872.36</v>
      </c>
      <c r="G2049" s="427" t="s">
        <v>4600</v>
      </c>
      <c r="H2049" s="419" t="s">
        <v>309</v>
      </c>
      <c r="I2049" s="427" t="s">
        <v>4672</v>
      </c>
      <c r="J2049" s="415" t="s">
        <v>4601</v>
      </c>
      <c r="K2049" s="415" t="s">
        <v>812</v>
      </c>
      <c r="L2049" s="415" t="s">
        <v>807</v>
      </c>
      <c r="M2049" s="415">
        <v>118675</v>
      </c>
      <c r="N2049" s="414">
        <v>44724</v>
      </c>
      <c r="O2049" s="414" t="s">
        <v>400</v>
      </c>
      <c r="P2049" s="603">
        <f t="shared" si="300"/>
        <v>6</v>
      </c>
      <c r="Q2049" s="603">
        <f t="shared" si="301"/>
        <v>6</v>
      </c>
      <c r="R2049" s="604" t="str">
        <f t="shared" si="302"/>
        <v>Gastos_Gerais</v>
      </c>
      <c r="S2049" s="605" t="s">
        <v>999</v>
      </c>
      <c r="T2049" s="605">
        <v>3869</v>
      </c>
    </row>
    <row r="2050" spans="1:20" s="88" customFormat="1" ht="99.95" customHeight="1" x14ac:dyDescent="0.2">
      <c r="A2050" s="510">
        <f>IF(B2050="","",COUNT('Diário 1º PA'!$A$4:$A$2635)+ROW()-3)</f>
        <v>3783</v>
      </c>
      <c r="B2050" s="414">
        <v>44722</v>
      </c>
      <c r="C2050" s="431">
        <v>44713</v>
      </c>
      <c r="D2050" s="415" t="s">
        <v>271</v>
      </c>
      <c r="E2050" s="415" t="s">
        <v>71</v>
      </c>
      <c r="F2050" s="425">
        <v>11</v>
      </c>
      <c r="G2050" s="427" t="s">
        <v>4673</v>
      </c>
      <c r="H2050" s="419" t="s">
        <v>760</v>
      </c>
      <c r="I2050" s="427" t="s">
        <v>881</v>
      </c>
      <c r="J2050" s="415" t="s">
        <v>882</v>
      </c>
      <c r="K2050" s="415" t="s">
        <v>883</v>
      </c>
      <c r="L2050" s="415" t="s">
        <v>798</v>
      </c>
      <c r="M2050" s="415" t="s">
        <v>310</v>
      </c>
      <c r="N2050" s="414">
        <v>44722</v>
      </c>
      <c r="O2050" s="414" t="s">
        <v>400</v>
      </c>
      <c r="P2050" s="603">
        <f t="shared" ref="P2050:Q2057" si="307">IF(B2050=0,0,IF(YEAR(B2050)=$Q$1,MONTH(B2050)-$P$1+1,(YEAR(B2050)-$Q$1)*12-$P$1+1+MONTH(B2050)))</f>
        <v>6</v>
      </c>
      <c r="Q2050" s="603">
        <f t="shared" si="307"/>
        <v>6</v>
      </c>
      <c r="R2050" s="604" t="str">
        <f t="shared" ref="R2050:R2057" si="308">SUBSTITUTE(D2050," ","_")</f>
        <v>Gastos_Gerais</v>
      </c>
      <c r="S2050" s="605" t="s">
        <v>310</v>
      </c>
      <c r="T2050" s="605" t="s">
        <v>310</v>
      </c>
    </row>
    <row r="2051" spans="1:20" s="88" customFormat="1" ht="99.95" customHeight="1" x14ac:dyDescent="0.2">
      <c r="A2051" s="510">
        <f>IF(B2051="","",COUNT('Diário 1º PA'!$A$4:$A$2635)+ROW()-3)</f>
        <v>3784</v>
      </c>
      <c r="B2051" s="414">
        <v>44722</v>
      </c>
      <c r="C2051" s="431">
        <v>44713</v>
      </c>
      <c r="D2051" s="415" t="s">
        <v>468</v>
      </c>
      <c r="E2051" s="415" t="s">
        <v>468</v>
      </c>
      <c r="F2051" s="425">
        <v>339</v>
      </c>
      <c r="G2051" s="427" t="s">
        <v>4604</v>
      </c>
      <c r="H2051" s="419" t="s">
        <v>468</v>
      </c>
      <c r="I2051" s="427" t="s">
        <v>5431</v>
      </c>
      <c r="J2051" s="415" t="s">
        <v>4605</v>
      </c>
      <c r="K2051" s="415" t="s">
        <v>830</v>
      </c>
      <c r="L2051" s="415" t="s">
        <v>807</v>
      </c>
      <c r="M2051" s="415">
        <v>10469</v>
      </c>
      <c r="N2051" s="414">
        <v>44810</v>
      </c>
      <c r="O2051" s="414" t="s">
        <v>3762</v>
      </c>
      <c r="P2051" s="603">
        <f t="shared" si="307"/>
        <v>6</v>
      </c>
      <c r="Q2051" s="603">
        <f t="shared" si="307"/>
        <v>6</v>
      </c>
      <c r="R2051" s="604" t="str">
        <f t="shared" si="308"/>
        <v>Gastos_custeados_por_captação</v>
      </c>
      <c r="S2051" s="605" t="s">
        <v>998</v>
      </c>
      <c r="T2051" s="605">
        <v>3809</v>
      </c>
    </row>
    <row r="2052" spans="1:20" s="88" customFormat="1" ht="99.95" customHeight="1" x14ac:dyDescent="0.2">
      <c r="A2052" s="510">
        <f>IF(B2052="","",COUNT('Diário 1º PA'!$A$4:$A$2635)+ROW()-3)</f>
        <v>3785</v>
      </c>
      <c r="B2052" s="414">
        <v>44722</v>
      </c>
      <c r="C2052" s="431">
        <v>44682</v>
      </c>
      <c r="D2052" s="415" t="s">
        <v>468</v>
      </c>
      <c r="E2052" s="415" t="s">
        <v>468</v>
      </c>
      <c r="F2052" s="425">
        <v>5000</v>
      </c>
      <c r="G2052" s="427" t="s">
        <v>4314</v>
      </c>
      <c r="H2052" s="419" t="s">
        <v>468</v>
      </c>
      <c r="I2052" s="427" t="s">
        <v>5432</v>
      </c>
      <c r="J2052" s="415" t="s">
        <v>4315</v>
      </c>
      <c r="K2052" s="415" t="s">
        <v>830</v>
      </c>
      <c r="L2052" s="415" t="s">
        <v>807</v>
      </c>
      <c r="M2052" s="415" t="s">
        <v>1892</v>
      </c>
      <c r="N2052" s="414">
        <v>44719</v>
      </c>
      <c r="O2052" s="414" t="s">
        <v>3762</v>
      </c>
      <c r="P2052" s="603">
        <f t="shared" si="307"/>
        <v>6</v>
      </c>
      <c r="Q2052" s="603">
        <f t="shared" si="307"/>
        <v>5</v>
      </c>
      <c r="R2052" s="604" t="str">
        <f t="shared" si="308"/>
        <v>Gastos_custeados_por_captação</v>
      </c>
      <c r="S2052" s="605" t="s">
        <v>1000</v>
      </c>
      <c r="T2052" s="605">
        <v>3725</v>
      </c>
    </row>
    <row r="2053" spans="1:20" s="88" customFormat="1" ht="99.95" customHeight="1" x14ac:dyDescent="0.2">
      <c r="A2053" s="510">
        <f>IF(B2053="","",COUNT('Diário 1º PA'!$A$4:$A$2635)+ROW()-3)</f>
        <v>3786</v>
      </c>
      <c r="B2053" s="414">
        <v>44722</v>
      </c>
      <c r="C2053" s="431">
        <v>44682</v>
      </c>
      <c r="D2053" s="415" t="s">
        <v>468</v>
      </c>
      <c r="E2053" s="415" t="s">
        <v>468</v>
      </c>
      <c r="F2053" s="425">
        <v>574</v>
      </c>
      <c r="G2053" s="427" t="s">
        <v>3830</v>
      </c>
      <c r="H2053" s="419" t="s">
        <v>468</v>
      </c>
      <c r="I2053" s="427" t="s">
        <v>5433</v>
      </c>
      <c r="J2053" s="415" t="s">
        <v>3831</v>
      </c>
      <c r="K2053" s="415" t="s">
        <v>830</v>
      </c>
      <c r="L2053" s="415" t="s">
        <v>807</v>
      </c>
      <c r="M2053" s="415">
        <v>375</v>
      </c>
      <c r="N2053" s="414">
        <v>44721</v>
      </c>
      <c r="O2053" s="414" t="s">
        <v>3762</v>
      </c>
      <c r="P2053" s="603">
        <f t="shared" si="307"/>
        <v>6</v>
      </c>
      <c r="Q2053" s="603">
        <f t="shared" si="307"/>
        <v>5</v>
      </c>
      <c r="R2053" s="604" t="str">
        <f t="shared" si="308"/>
        <v>Gastos_custeados_por_captação</v>
      </c>
      <c r="S2053" s="605" t="s">
        <v>998</v>
      </c>
      <c r="T2053" s="605">
        <v>3596</v>
      </c>
    </row>
    <row r="2054" spans="1:20" s="88" customFormat="1" ht="99.95" customHeight="1" x14ac:dyDescent="0.2">
      <c r="A2054" s="510">
        <f>IF(B2054="","",COUNT('Diário 1º PA'!$A$4:$A$2635)+ROW()-3)</f>
        <v>3787</v>
      </c>
      <c r="B2054" s="414">
        <v>44722</v>
      </c>
      <c r="C2054" s="431">
        <v>44682</v>
      </c>
      <c r="D2054" s="415" t="s">
        <v>468</v>
      </c>
      <c r="E2054" s="415" t="s">
        <v>468</v>
      </c>
      <c r="F2054" s="425">
        <v>2269.2399999999998</v>
      </c>
      <c r="G2054" s="427" t="s">
        <v>5465</v>
      </c>
      <c r="H2054" s="419" t="s">
        <v>468</v>
      </c>
      <c r="I2054" s="427" t="s">
        <v>5464</v>
      </c>
      <c r="J2054" s="415" t="s">
        <v>3084</v>
      </c>
      <c r="K2054" s="415" t="s">
        <v>830</v>
      </c>
      <c r="L2054" s="415" t="s">
        <v>839</v>
      </c>
      <c r="M2054" s="415">
        <v>1830</v>
      </c>
      <c r="N2054" s="414">
        <v>44721</v>
      </c>
      <c r="O2054" s="414" t="s">
        <v>404</v>
      </c>
      <c r="P2054" s="603">
        <f t="shared" si="307"/>
        <v>6</v>
      </c>
      <c r="Q2054" s="603">
        <f t="shared" si="307"/>
        <v>5</v>
      </c>
      <c r="R2054" s="604" t="str">
        <f t="shared" si="308"/>
        <v>Gastos_custeados_por_captação</v>
      </c>
      <c r="S2054" s="605" t="s">
        <v>998</v>
      </c>
      <c r="T2054" s="605">
        <v>2880</v>
      </c>
    </row>
    <row r="2055" spans="1:20" s="88" customFormat="1" ht="99.95" customHeight="1" x14ac:dyDescent="0.2">
      <c r="A2055" s="510">
        <f>IF(B2055="","",COUNT('Diário 1º PA'!$A$4:$A$2635)+ROW()-3)</f>
        <v>3788</v>
      </c>
      <c r="B2055" s="414">
        <v>44722</v>
      </c>
      <c r="C2055" s="431">
        <v>44682</v>
      </c>
      <c r="D2055" s="415" t="s">
        <v>468</v>
      </c>
      <c r="E2055" s="415" t="s">
        <v>468</v>
      </c>
      <c r="F2055" s="425">
        <v>2269.2399999999998</v>
      </c>
      <c r="G2055" s="427" t="s">
        <v>3898</v>
      </c>
      <c r="H2055" s="419" t="s">
        <v>468</v>
      </c>
      <c r="I2055" s="427" t="s">
        <v>5494</v>
      </c>
      <c r="J2055" s="415" t="s">
        <v>3899</v>
      </c>
      <c r="K2055" s="415" t="s">
        <v>830</v>
      </c>
      <c r="L2055" s="415" t="s">
        <v>839</v>
      </c>
      <c r="M2055" s="415">
        <v>1825</v>
      </c>
      <c r="N2055" s="414">
        <v>44720</v>
      </c>
      <c r="O2055" s="414" t="s">
        <v>405</v>
      </c>
      <c r="P2055" s="603">
        <f t="shared" si="307"/>
        <v>6</v>
      </c>
      <c r="Q2055" s="603">
        <f t="shared" si="307"/>
        <v>5</v>
      </c>
      <c r="R2055" s="604" t="str">
        <f t="shared" si="308"/>
        <v>Gastos_custeados_por_captação</v>
      </c>
      <c r="S2055" s="605" t="s">
        <v>1000</v>
      </c>
      <c r="T2055" s="605">
        <v>3617</v>
      </c>
    </row>
    <row r="2056" spans="1:20" s="88" customFormat="1" ht="72" x14ac:dyDescent="0.2">
      <c r="A2056" s="510">
        <f>IF(B2056="","",COUNT('Diário 1º PA'!$A$4:$A$2635)+ROW()-3)</f>
        <v>3789</v>
      </c>
      <c r="B2056" s="414">
        <v>44722</v>
      </c>
      <c r="C2056" s="431">
        <v>44682</v>
      </c>
      <c r="D2056" s="415" t="s">
        <v>468</v>
      </c>
      <c r="E2056" s="415" t="s">
        <v>468</v>
      </c>
      <c r="F2056" s="425">
        <v>3260.8</v>
      </c>
      <c r="G2056" s="427" t="s">
        <v>2577</v>
      </c>
      <c r="H2056" s="419" t="s">
        <v>468</v>
      </c>
      <c r="I2056" s="427" t="s">
        <v>5516</v>
      </c>
      <c r="J2056" s="415" t="s">
        <v>2579</v>
      </c>
      <c r="K2056" s="415" t="s">
        <v>830</v>
      </c>
      <c r="L2056" s="415" t="s">
        <v>839</v>
      </c>
      <c r="M2056" s="415">
        <v>1829</v>
      </c>
      <c r="N2056" s="414">
        <v>44721</v>
      </c>
      <c r="O2056" s="414" t="s">
        <v>402</v>
      </c>
      <c r="P2056" s="603">
        <f t="shared" si="307"/>
        <v>6</v>
      </c>
      <c r="Q2056" s="603">
        <f t="shared" si="307"/>
        <v>5</v>
      </c>
      <c r="R2056" s="604" t="str">
        <f t="shared" si="308"/>
        <v>Gastos_custeados_por_captação</v>
      </c>
      <c r="S2056" s="605" t="s">
        <v>1000</v>
      </c>
      <c r="T2056" s="605">
        <v>3730</v>
      </c>
    </row>
    <row r="2057" spans="1:20" s="88" customFormat="1" ht="72" x14ac:dyDescent="0.2">
      <c r="A2057" s="510">
        <f>IF(B2057="","",COUNT('Diário 1º PA'!$A$4:$A$2635)+ROW()-3)</f>
        <v>3790</v>
      </c>
      <c r="B2057" s="414">
        <v>44722</v>
      </c>
      <c r="C2057" s="431">
        <v>44713</v>
      </c>
      <c r="D2057" s="415" t="s">
        <v>468</v>
      </c>
      <c r="E2057" s="415" t="s">
        <v>468</v>
      </c>
      <c r="F2057" s="425">
        <v>153</v>
      </c>
      <c r="G2057" s="427" t="s">
        <v>5404</v>
      </c>
      <c r="H2057" s="419" t="s">
        <v>468</v>
      </c>
      <c r="I2057" s="427" t="s">
        <v>881</v>
      </c>
      <c r="J2057" s="415" t="s">
        <v>882</v>
      </c>
      <c r="K2057" s="415" t="s">
        <v>883</v>
      </c>
      <c r="L2057" s="415" t="s">
        <v>798</v>
      </c>
      <c r="M2057" s="415" t="s">
        <v>310</v>
      </c>
      <c r="N2057" s="414">
        <v>44722</v>
      </c>
      <c r="O2057" s="414" t="s">
        <v>402</v>
      </c>
      <c r="P2057" s="603">
        <f t="shared" si="307"/>
        <v>6</v>
      </c>
      <c r="Q2057" s="603">
        <f t="shared" si="307"/>
        <v>6</v>
      </c>
      <c r="R2057" s="604" t="str">
        <f t="shared" si="308"/>
        <v>Gastos_custeados_por_captação</v>
      </c>
      <c r="S2057" s="605" t="s">
        <v>310</v>
      </c>
      <c r="T2057" s="605" t="s">
        <v>310</v>
      </c>
    </row>
    <row r="2058" spans="1:20" s="88" customFormat="1" ht="48" x14ac:dyDescent="0.2">
      <c r="A2058" s="510">
        <f>IF(B2058="","",COUNT('Diário 1º PA'!$A$4:$A$2635)+ROW()-3)</f>
        <v>3791</v>
      </c>
      <c r="B2058" s="414">
        <v>44725</v>
      </c>
      <c r="C2058" s="431">
        <v>44562</v>
      </c>
      <c r="D2058" s="415" t="s">
        <v>271</v>
      </c>
      <c r="E2058" s="415" t="s">
        <v>456</v>
      </c>
      <c r="F2058" s="425">
        <v>4899.5</v>
      </c>
      <c r="G2058" s="427" t="s">
        <v>730</v>
      </c>
      <c r="H2058" s="419" t="s">
        <v>748</v>
      </c>
      <c r="I2058" s="427" t="s">
        <v>4696</v>
      </c>
      <c r="J2058" s="415" t="s">
        <v>1151</v>
      </c>
      <c r="K2058" s="415" t="s">
        <v>830</v>
      </c>
      <c r="L2058" s="415" t="s">
        <v>807</v>
      </c>
      <c r="M2058" s="415" t="s">
        <v>1503</v>
      </c>
      <c r="N2058" s="414">
        <v>44687</v>
      </c>
      <c r="O2058" s="414" t="s">
        <v>400</v>
      </c>
      <c r="P2058" s="603">
        <f t="shared" si="300"/>
        <v>6</v>
      </c>
      <c r="Q2058" s="603">
        <f t="shared" si="301"/>
        <v>1</v>
      </c>
      <c r="R2058" s="604" t="str">
        <f t="shared" si="302"/>
        <v>Gastos_Gerais</v>
      </c>
      <c r="S2058" s="605" t="s">
        <v>998</v>
      </c>
      <c r="T2058" s="605">
        <v>2785</v>
      </c>
    </row>
    <row r="2059" spans="1:20" s="88" customFormat="1" ht="48" x14ac:dyDescent="0.2">
      <c r="A2059" s="510">
        <f>IF(B2059="","",COUNT('Diário 1º PA'!$A$4:$A$2635)+ROW()-3)</f>
        <v>3792</v>
      </c>
      <c r="B2059" s="414">
        <v>44725</v>
      </c>
      <c r="C2059" s="431">
        <v>44682</v>
      </c>
      <c r="D2059" s="415" t="s">
        <v>271</v>
      </c>
      <c r="E2059" s="415" t="s">
        <v>453</v>
      </c>
      <c r="F2059" s="425">
        <v>2316.1799999999998</v>
      </c>
      <c r="G2059" s="427" t="s">
        <v>1972</v>
      </c>
      <c r="H2059" s="419" t="s">
        <v>757</v>
      </c>
      <c r="I2059" s="427" t="s">
        <v>4697</v>
      </c>
      <c r="J2059" s="415" t="s">
        <v>1830</v>
      </c>
      <c r="K2059" s="415" t="s">
        <v>830</v>
      </c>
      <c r="L2059" s="415" t="s">
        <v>839</v>
      </c>
      <c r="M2059" s="415">
        <v>1835</v>
      </c>
      <c r="N2059" s="414">
        <v>44722</v>
      </c>
      <c r="O2059" s="414" t="s">
        <v>400</v>
      </c>
      <c r="P2059" s="603">
        <f t="shared" si="300"/>
        <v>6</v>
      </c>
      <c r="Q2059" s="603">
        <f t="shared" si="301"/>
        <v>5</v>
      </c>
      <c r="R2059" s="604" t="str">
        <f t="shared" si="302"/>
        <v>Gastos_Gerais</v>
      </c>
      <c r="S2059" s="605" t="s">
        <v>998</v>
      </c>
      <c r="T2059" s="605">
        <v>3759</v>
      </c>
    </row>
    <row r="2060" spans="1:20" s="88" customFormat="1" ht="48" x14ac:dyDescent="0.2">
      <c r="A2060" s="510">
        <f>IF(B2060="","",COUNT('Diário 1º PA'!$A$4:$A$2635)+ROW()-3)</f>
        <v>3793</v>
      </c>
      <c r="B2060" s="414">
        <v>44725</v>
      </c>
      <c r="C2060" s="431">
        <v>44682</v>
      </c>
      <c r="D2060" s="415" t="s">
        <v>271</v>
      </c>
      <c r="E2060" s="415" t="s">
        <v>453</v>
      </c>
      <c r="F2060" s="425">
        <v>1100.8</v>
      </c>
      <c r="G2060" s="427" t="s">
        <v>1985</v>
      </c>
      <c r="H2060" s="419" t="s">
        <v>757</v>
      </c>
      <c r="I2060" s="427" t="s">
        <v>3593</v>
      </c>
      <c r="J2060" s="415" t="s">
        <v>3594</v>
      </c>
      <c r="K2060" s="415" t="s">
        <v>830</v>
      </c>
      <c r="L2060" s="415" t="s">
        <v>839</v>
      </c>
      <c r="M2060" s="415">
        <v>1836</v>
      </c>
      <c r="N2060" s="414">
        <v>44722</v>
      </c>
      <c r="O2060" s="414" t="s">
        <v>400</v>
      </c>
      <c r="P2060" s="603">
        <f t="shared" si="300"/>
        <v>6</v>
      </c>
      <c r="Q2060" s="603">
        <f t="shared" si="301"/>
        <v>5</v>
      </c>
      <c r="R2060" s="604" t="str">
        <f t="shared" si="302"/>
        <v>Gastos_Gerais</v>
      </c>
      <c r="S2060" s="605" t="s">
        <v>1000</v>
      </c>
      <c r="T2060" s="605">
        <v>3705</v>
      </c>
    </row>
    <row r="2061" spans="1:20" s="88" customFormat="1" ht="63.75" customHeight="1" x14ac:dyDescent="0.2">
      <c r="A2061" s="510">
        <f>IF(B2061="","",COUNT('Diário 1º PA'!$A$4:$A$2635)+ROW()-3)</f>
        <v>3794</v>
      </c>
      <c r="B2061" s="414">
        <v>44725</v>
      </c>
      <c r="C2061" s="431">
        <v>44652</v>
      </c>
      <c r="D2061" s="415" t="s">
        <v>271</v>
      </c>
      <c r="E2061" s="415" t="s">
        <v>453</v>
      </c>
      <c r="F2061" s="425">
        <v>3017.68</v>
      </c>
      <c r="G2061" s="427" t="s">
        <v>1593</v>
      </c>
      <c r="H2061" s="419" t="s">
        <v>757</v>
      </c>
      <c r="I2061" s="427" t="s">
        <v>1352</v>
      </c>
      <c r="J2061" s="415" t="s">
        <v>1057</v>
      </c>
      <c r="K2061" s="415" t="s">
        <v>830</v>
      </c>
      <c r="L2061" s="415" t="s">
        <v>839</v>
      </c>
      <c r="M2061" s="415">
        <v>1834</v>
      </c>
      <c r="N2061" s="414">
        <v>44722</v>
      </c>
      <c r="O2061" s="414" t="s">
        <v>400</v>
      </c>
      <c r="P2061" s="603">
        <f t="shared" si="300"/>
        <v>6</v>
      </c>
      <c r="Q2061" s="603">
        <f t="shared" si="301"/>
        <v>4</v>
      </c>
      <c r="R2061" s="604" t="str">
        <f t="shared" si="302"/>
        <v>Gastos_Gerais</v>
      </c>
      <c r="S2061" s="605" t="s">
        <v>1000</v>
      </c>
      <c r="T2061" s="605">
        <v>2837</v>
      </c>
    </row>
    <row r="2062" spans="1:20" s="88" customFormat="1" ht="36" x14ac:dyDescent="0.2">
      <c r="A2062" s="510">
        <f>IF(B2062="","",COUNT('Diário 1º PA'!$A$4:$A$2635)+ROW()-3)</f>
        <v>3795</v>
      </c>
      <c r="B2062" s="414">
        <v>44725</v>
      </c>
      <c r="C2062" s="431">
        <v>44713</v>
      </c>
      <c r="D2062" s="415" t="s">
        <v>271</v>
      </c>
      <c r="E2062" s="415" t="s">
        <v>71</v>
      </c>
      <c r="F2062" s="425">
        <v>11</v>
      </c>
      <c r="G2062" s="427" t="s">
        <v>4705</v>
      </c>
      <c r="H2062" s="419" t="s">
        <v>748</v>
      </c>
      <c r="I2062" s="427" t="s">
        <v>881</v>
      </c>
      <c r="J2062" s="415" t="s">
        <v>882</v>
      </c>
      <c r="K2062" s="415" t="s">
        <v>883</v>
      </c>
      <c r="L2062" s="415" t="s">
        <v>798</v>
      </c>
      <c r="M2062" s="415" t="s">
        <v>310</v>
      </c>
      <c r="N2062" s="414">
        <v>44725</v>
      </c>
      <c r="O2062" s="414" t="s">
        <v>400</v>
      </c>
      <c r="P2062" s="603">
        <f t="shared" si="300"/>
        <v>6</v>
      </c>
      <c r="Q2062" s="603">
        <f t="shared" si="301"/>
        <v>6</v>
      </c>
      <c r="R2062" s="604" t="str">
        <f t="shared" si="302"/>
        <v>Gastos_Gerais</v>
      </c>
      <c r="S2062" s="605" t="s">
        <v>310</v>
      </c>
      <c r="T2062" s="605" t="s">
        <v>310</v>
      </c>
    </row>
    <row r="2063" spans="1:20" s="88" customFormat="1" ht="48" x14ac:dyDescent="0.2">
      <c r="A2063" s="510">
        <f>IF(B2063="","",COUNT('Diário 1º PA'!$A$4:$A$2635)+ROW()-3)</f>
        <v>3796</v>
      </c>
      <c r="B2063" s="414">
        <v>44725</v>
      </c>
      <c r="C2063" s="431">
        <v>44713</v>
      </c>
      <c r="D2063" s="415" t="s">
        <v>271</v>
      </c>
      <c r="E2063" s="415" t="s">
        <v>71</v>
      </c>
      <c r="F2063" s="425">
        <v>11</v>
      </c>
      <c r="G2063" s="427" t="s">
        <v>4706</v>
      </c>
      <c r="H2063" s="419" t="s">
        <v>757</v>
      </c>
      <c r="I2063" s="427" t="s">
        <v>881</v>
      </c>
      <c r="J2063" s="415" t="s">
        <v>882</v>
      </c>
      <c r="K2063" s="415" t="s">
        <v>883</v>
      </c>
      <c r="L2063" s="415" t="s">
        <v>798</v>
      </c>
      <c r="M2063" s="415" t="s">
        <v>310</v>
      </c>
      <c r="N2063" s="414">
        <v>44725</v>
      </c>
      <c r="O2063" s="414" t="s">
        <v>400</v>
      </c>
      <c r="P2063" s="603">
        <f t="shared" si="300"/>
        <v>6</v>
      </c>
      <c r="Q2063" s="603">
        <f t="shared" si="301"/>
        <v>6</v>
      </c>
      <c r="R2063" s="604" t="str">
        <f t="shared" si="302"/>
        <v>Gastos_Gerais</v>
      </c>
      <c r="S2063" s="605" t="s">
        <v>310</v>
      </c>
      <c r="T2063" s="605" t="s">
        <v>310</v>
      </c>
    </row>
    <row r="2064" spans="1:20" s="88" customFormat="1" ht="48" x14ac:dyDescent="0.2">
      <c r="A2064" s="510">
        <f>IF(B2064="","",COUNT('Diário 1º PA'!$A$4:$A$2635)+ROW()-3)</f>
        <v>3797</v>
      </c>
      <c r="B2064" s="414">
        <v>44725</v>
      </c>
      <c r="C2064" s="431">
        <v>44713</v>
      </c>
      <c r="D2064" s="415" t="s">
        <v>271</v>
      </c>
      <c r="E2064" s="415" t="s">
        <v>71</v>
      </c>
      <c r="F2064" s="425">
        <v>11</v>
      </c>
      <c r="G2064" s="427" t="s">
        <v>4707</v>
      </c>
      <c r="H2064" s="419" t="s">
        <v>757</v>
      </c>
      <c r="I2064" s="427" t="s">
        <v>881</v>
      </c>
      <c r="J2064" s="415" t="s">
        <v>882</v>
      </c>
      <c r="K2064" s="415" t="s">
        <v>883</v>
      </c>
      <c r="L2064" s="415" t="s">
        <v>798</v>
      </c>
      <c r="M2064" s="415" t="s">
        <v>310</v>
      </c>
      <c r="N2064" s="414">
        <v>44725</v>
      </c>
      <c r="O2064" s="414" t="s">
        <v>400</v>
      </c>
      <c r="P2064" s="603">
        <f t="shared" si="300"/>
        <v>6</v>
      </c>
      <c r="Q2064" s="603">
        <f t="shared" si="301"/>
        <v>6</v>
      </c>
      <c r="R2064" s="604" t="str">
        <f t="shared" si="302"/>
        <v>Gastos_Gerais</v>
      </c>
      <c r="S2064" s="605" t="s">
        <v>310</v>
      </c>
      <c r="T2064" s="605" t="s">
        <v>310</v>
      </c>
    </row>
    <row r="2065" spans="1:20" s="88" customFormat="1" ht="48" x14ac:dyDescent="0.2">
      <c r="A2065" s="510">
        <f>IF(B2065="","",COUNT('Diário 1º PA'!$A$4:$A$2635)+ROW()-3)</f>
        <v>3798</v>
      </c>
      <c r="B2065" s="414">
        <v>44725</v>
      </c>
      <c r="C2065" s="431">
        <v>44713</v>
      </c>
      <c r="D2065" s="415" t="s">
        <v>271</v>
      </c>
      <c r="E2065" s="415" t="s">
        <v>71</v>
      </c>
      <c r="F2065" s="425">
        <v>11</v>
      </c>
      <c r="G2065" s="427" t="s">
        <v>4708</v>
      </c>
      <c r="H2065" s="419" t="s">
        <v>757</v>
      </c>
      <c r="I2065" s="427" t="s">
        <v>881</v>
      </c>
      <c r="J2065" s="415" t="s">
        <v>882</v>
      </c>
      <c r="K2065" s="415" t="s">
        <v>883</v>
      </c>
      <c r="L2065" s="415" t="s">
        <v>798</v>
      </c>
      <c r="M2065" s="415" t="s">
        <v>310</v>
      </c>
      <c r="N2065" s="414">
        <v>44725</v>
      </c>
      <c r="O2065" s="414" t="s">
        <v>400</v>
      </c>
      <c r="P2065" s="603">
        <f t="shared" si="300"/>
        <v>6</v>
      </c>
      <c r="Q2065" s="603">
        <f t="shared" si="301"/>
        <v>6</v>
      </c>
      <c r="R2065" s="604" t="str">
        <f t="shared" si="302"/>
        <v>Gastos_Gerais</v>
      </c>
      <c r="S2065" s="605" t="s">
        <v>310</v>
      </c>
      <c r="T2065" s="605" t="s">
        <v>310</v>
      </c>
    </row>
    <row r="2066" spans="1:20" s="88" customFormat="1" ht="151.5" customHeight="1" x14ac:dyDescent="0.2">
      <c r="A2066" s="510">
        <f>IF(B2066="","",COUNT('Diário 1º PA'!$A$4:$A$2635)+ROW()-3)</f>
        <v>3799</v>
      </c>
      <c r="B2066" s="414">
        <v>44725</v>
      </c>
      <c r="C2066" s="431">
        <v>44713</v>
      </c>
      <c r="D2066" s="415" t="s">
        <v>468</v>
      </c>
      <c r="E2066" s="415" t="s">
        <v>468</v>
      </c>
      <c r="F2066" s="425">
        <v>535.08000000000004</v>
      </c>
      <c r="G2066" s="427" t="s">
        <v>4470</v>
      </c>
      <c r="H2066" s="419" t="s">
        <v>468</v>
      </c>
      <c r="I2066" s="427" t="s">
        <v>5434</v>
      </c>
      <c r="J2066" s="415" t="s">
        <v>4471</v>
      </c>
      <c r="K2066" s="415" t="s">
        <v>830</v>
      </c>
      <c r="L2066" s="415" t="s">
        <v>839</v>
      </c>
      <c r="M2066" s="415">
        <v>1838</v>
      </c>
      <c r="N2066" s="414">
        <v>44725</v>
      </c>
      <c r="O2066" s="414" t="s">
        <v>3762</v>
      </c>
      <c r="P2066" s="603">
        <f t="shared" ref="P2066:Q2069" si="309">IF(B2066=0,0,IF(YEAR(B2066)=$Q$1,MONTH(B2066)-$P$1+1,(YEAR(B2066)-$Q$1)*12-$P$1+1+MONTH(B2066)))</f>
        <v>6</v>
      </c>
      <c r="Q2066" s="603">
        <f t="shared" si="309"/>
        <v>6</v>
      </c>
      <c r="R2066" s="604" t="str">
        <f>SUBSTITUTE(D2066," ","_")</f>
        <v>Gastos_custeados_por_captação</v>
      </c>
      <c r="S2066" s="605" t="s">
        <v>998</v>
      </c>
      <c r="T2066" s="605">
        <v>3843</v>
      </c>
    </row>
    <row r="2067" spans="1:20" s="88" customFormat="1" ht="60" x14ac:dyDescent="0.2">
      <c r="A2067" s="510">
        <f>IF(B2067="","",COUNT('Diário 1º PA'!$A$4:$A$2635)+ROW()-3)</f>
        <v>3800</v>
      </c>
      <c r="B2067" s="414">
        <v>44725</v>
      </c>
      <c r="C2067" s="431">
        <v>44713</v>
      </c>
      <c r="D2067" s="415" t="s">
        <v>468</v>
      </c>
      <c r="E2067" s="415" t="s">
        <v>468</v>
      </c>
      <c r="F2067" s="425">
        <v>3429.65</v>
      </c>
      <c r="G2067" s="427" t="s">
        <v>3260</v>
      </c>
      <c r="H2067" s="419" t="s">
        <v>468</v>
      </c>
      <c r="I2067" s="427" t="s">
        <v>3091</v>
      </c>
      <c r="J2067" s="415" t="s">
        <v>1141</v>
      </c>
      <c r="K2067" s="415" t="s">
        <v>830</v>
      </c>
      <c r="L2067" s="415" t="s">
        <v>807</v>
      </c>
      <c r="M2067" s="415" t="s">
        <v>1465</v>
      </c>
      <c r="N2067" s="414">
        <v>44722</v>
      </c>
      <c r="O2067" s="414" t="s">
        <v>405</v>
      </c>
      <c r="P2067" s="603">
        <f t="shared" si="309"/>
        <v>6</v>
      </c>
      <c r="Q2067" s="603">
        <f t="shared" si="309"/>
        <v>6</v>
      </c>
      <c r="R2067" s="604" t="str">
        <f>SUBSTITUTE(D2067," ","_")</f>
        <v>Gastos_custeados_por_captação</v>
      </c>
      <c r="S2067" s="605" t="s">
        <v>1000</v>
      </c>
      <c r="T2067" s="605">
        <v>3295</v>
      </c>
    </row>
    <row r="2068" spans="1:20" ht="72" x14ac:dyDescent="0.2">
      <c r="A2068" s="510">
        <f>IF(B2068="","",COUNT('Diário 1º PA'!$A$4:$A$2635)+ROW()-3)</f>
        <v>3801</v>
      </c>
      <c r="B2068" s="414">
        <v>44725</v>
      </c>
      <c r="C2068" s="433">
        <v>44682</v>
      </c>
      <c r="D2068" s="415" t="s">
        <v>468</v>
      </c>
      <c r="E2068" s="415" t="s">
        <v>468</v>
      </c>
      <c r="F2068" s="425">
        <v>500</v>
      </c>
      <c r="G2068" s="427" t="s">
        <v>692</v>
      </c>
      <c r="H2068" s="419" t="s">
        <v>468</v>
      </c>
      <c r="I2068" s="456" t="s">
        <v>1371</v>
      </c>
      <c r="J2068" s="415" t="s">
        <v>1123</v>
      </c>
      <c r="K2068" s="415" t="s">
        <v>812</v>
      </c>
      <c r="L2068" s="415" t="s">
        <v>1372</v>
      </c>
      <c r="M2068" s="415" t="s">
        <v>310</v>
      </c>
      <c r="N2068" s="414">
        <v>44725</v>
      </c>
      <c r="O2068" s="414" t="s">
        <v>407</v>
      </c>
      <c r="P2068" s="603">
        <f t="shared" si="309"/>
        <v>6</v>
      </c>
      <c r="Q2068" s="603">
        <f t="shared" si="309"/>
        <v>5</v>
      </c>
      <c r="R2068" s="604" t="str">
        <f>SUBSTITUTE(D2068," ","_")</f>
        <v>Gastos_custeados_por_captação</v>
      </c>
      <c r="S2068" s="605" t="s">
        <v>1000</v>
      </c>
      <c r="T2068" s="605">
        <v>2665</v>
      </c>
    </row>
    <row r="2069" spans="1:20" s="88" customFormat="1" ht="22.15" customHeight="1" x14ac:dyDescent="0.2">
      <c r="A2069" s="510">
        <v>3808</v>
      </c>
      <c r="B2069" s="414">
        <v>44725</v>
      </c>
      <c r="C2069" s="433">
        <v>44682</v>
      </c>
      <c r="D2069" s="415" t="s">
        <v>468</v>
      </c>
      <c r="E2069" s="415" t="s">
        <v>468</v>
      </c>
      <c r="F2069" s="425">
        <v>2500</v>
      </c>
      <c r="G2069" s="427" t="s">
        <v>1986</v>
      </c>
      <c r="H2069" s="419" t="s">
        <v>468</v>
      </c>
      <c r="I2069" s="427" t="s">
        <v>4694</v>
      </c>
      <c r="J2069" s="415" t="s">
        <v>4695</v>
      </c>
      <c r="K2069" s="415" t="s">
        <v>830</v>
      </c>
      <c r="L2069" s="415" t="s">
        <v>807</v>
      </c>
      <c r="M2069" s="415" t="s">
        <v>1608</v>
      </c>
      <c r="N2069" s="414">
        <v>44725</v>
      </c>
      <c r="O2069" s="414" t="s">
        <v>402</v>
      </c>
      <c r="P2069" s="603">
        <f t="shared" si="309"/>
        <v>6</v>
      </c>
      <c r="Q2069" s="603">
        <f t="shared" si="309"/>
        <v>5</v>
      </c>
      <c r="R2069" s="604" t="str">
        <f>SUBSTITUTE(D2069," ","_")</f>
        <v>Gastos_custeados_por_captação</v>
      </c>
      <c r="S2069" s="605" t="s">
        <v>1000</v>
      </c>
      <c r="T2069" s="605">
        <v>3045</v>
      </c>
    </row>
    <row r="2070" spans="1:20" s="88" customFormat="1" ht="45.75" customHeight="1" x14ac:dyDescent="0.2">
      <c r="A2070" s="510">
        <f>IF(B2070="","",COUNT('Diário 1º PA'!$A$4:$A$2635)+ROW()-3)</f>
        <v>3803</v>
      </c>
      <c r="B2070" s="414">
        <v>44726</v>
      </c>
      <c r="C2070" s="431">
        <v>44713</v>
      </c>
      <c r="D2070" s="415" t="s">
        <v>271</v>
      </c>
      <c r="E2070" s="415" t="s">
        <v>91</v>
      </c>
      <c r="F2070" s="425">
        <v>2000</v>
      </c>
      <c r="G2070" s="427" t="s">
        <v>4550</v>
      </c>
      <c r="H2070" s="419" t="s">
        <v>752</v>
      </c>
      <c r="I2070" s="427" t="s">
        <v>4739</v>
      </c>
      <c r="J2070" s="415" t="s">
        <v>1091</v>
      </c>
      <c r="K2070" s="415" t="s">
        <v>830</v>
      </c>
      <c r="L2070" s="415" t="s">
        <v>807</v>
      </c>
      <c r="M2070" s="415">
        <v>345</v>
      </c>
      <c r="N2070" s="414">
        <v>44725</v>
      </c>
      <c r="O2070" s="414" t="s">
        <v>400</v>
      </c>
      <c r="P2070" s="603">
        <f t="shared" si="300"/>
        <v>6</v>
      </c>
      <c r="Q2070" s="603">
        <f t="shared" si="301"/>
        <v>6</v>
      </c>
      <c r="R2070" s="604" t="str">
        <f t="shared" si="302"/>
        <v>Gastos_Gerais</v>
      </c>
      <c r="S2070" s="605" t="s">
        <v>998</v>
      </c>
      <c r="T2070" s="605">
        <v>3859</v>
      </c>
    </row>
    <row r="2071" spans="1:20" s="88" customFormat="1" ht="60" x14ac:dyDescent="0.2">
      <c r="A2071" s="510">
        <f>IF(B2071="","",COUNT('Diário 1º PA'!$A$4:$A$2635)+ROW()-3)</f>
        <v>3804</v>
      </c>
      <c r="B2071" s="414">
        <v>44726</v>
      </c>
      <c r="C2071" s="431">
        <v>44652</v>
      </c>
      <c r="D2071" s="415" t="s">
        <v>271</v>
      </c>
      <c r="E2071" s="415" t="s">
        <v>456</v>
      </c>
      <c r="F2071" s="425">
        <v>4836.5</v>
      </c>
      <c r="G2071" s="427" t="s">
        <v>3336</v>
      </c>
      <c r="H2071" s="419" t="s">
        <v>762</v>
      </c>
      <c r="I2071" s="427" t="s">
        <v>4740</v>
      </c>
      <c r="J2071" s="415" t="s">
        <v>2538</v>
      </c>
      <c r="K2071" s="415" t="s">
        <v>830</v>
      </c>
      <c r="L2071" s="415" t="s">
        <v>807</v>
      </c>
      <c r="M2071" s="415" t="s">
        <v>4741</v>
      </c>
      <c r="N2071" s="414">
        <v>44725</v>
      </c>
      <c r="O2071" s="414" t="s">
        <v>400</v>
      </c>
      <c r="P2071" s="603">
        <f t="shared" si="300"/>
        <v>6</v>
      </c>
      <c r="Q2071" s="603">
        <f t="shared" si="301"/>
        <v>4</v>
      </c>
      <c r="R2071" s="604" t="str">
        <f t="shared" si="302"/>
        <v>Gastos_Gerais</v>
      </c>
      <c r="S2071" s="605" t="s">
        <v>998</v>
      </c>
      <c r="T2071" s="605">
        <v>2292</v>
      </c>
    </row>
    <row r="2072" spans="1:20" s="88" customFormat="1" ht="48" x14ac:dyDescent="0.2">
      <c r="A2072" s="510">
        <f>IF(B2072="","",COUNT('Diário 1º PA'!$A$4:$A$2635)+ROW()-3)</f>
        <v>3805</v>
      </c>
      <c r="B2072" s="414">
        <v>44726</v>
      </c>
      <c r="C2072" s="431">
        <v>44682</v>
      </c>
      <c r="D2072" s="415" t="s">
        <v>271</v>
      </c>
      <c r="E2072" s="415" t="s">
        <v>456</v>
      </c>
      <c r="F2072" s="425">
        <v>1700</v>
      </c>
      <c r="G2072" s="427" t="s">
        <v>4743</v>
      </c>
      <c r="H2072" s="415" t="s">
        <v>752</v>
      </c>
      <c r="I2072" s="427" t="s">
        <v>2682</v>
      </c>
      <c r="J2072" s="415" t="s">
        <v>816</v>
      </c>
      <c r="K2072" s="415" t="s">
        <v>830</v>
      </c>
      <c r="L2072" s="415" t="s">
        <v>807</v>
      </c>
      <c r="M2072" s="548">
        <v>313971</v>
      </c>
      <c r="N2072" s="414">
        <v>44698</v>
      </c>
      <c r="O2072" s="414" t="s">
        <v>400</v>
      </c>
      <c r="P2072" s="603">
        <f t="shared" si="300"/>
        <v>6</v>
      </c>
      <c r="Q2072" s="603">
        <f t="shared" si="301"/>
        <v>5</v>
      </c>
      <c r="R2072" s="604" t="str">
        <f t="shared" si="302"/>
        <v>Gastos_Gerais</v>
      </c>
      <c r="S2072" s="605" t="s">
        <v>999</v>
      </c>
      <c r="T2072" s="605">
        <v>3656</v>
      </c>
    </row>
    <row r="2073" spans="1:20" s="88" customFormat="1" ht="36" x14ac:dyDescent="0.2">
      <c r="A2073" s="510">
        <f>IF(B2073="","",COUNT('Diário 1º PA'!$A$4:$A$2635)+ROW()-3)</f>
        <v>3806</v>
      </c>
      <c r="B2073" s="414">
        <v>44726</v>
      </c>
      <c r="C2073" s="431">
        <v>44713</v>
      </c>
      <c r="D2073" s="415" t="s">
        <v>271</v>
      </c>
      <c r="E2073" s="415" t="s">
        <v>71</v>
      </c>
      <c r="F2073" s="425">
        <v>11</v>
      </c>
      <c r="G2073" s="427" t="s">
        <v>4744</v>
      </c>
      <c r="H2073" s="419" t="s">
        <v>752</v>
      </c>
      <c r="I2073" s="427" t="s">
        <v>881</v>
      </c>
      <c r="J2073" s="415" t="s">
        <v>882</v>
      </c>
      <c r="K2073" s="415" t="s">
        <v>883</v>
      </c>
      <c r="L2073" s="415" t="s">
        <v>798</v>
      </c>
      <c r="M2073" s="415" t="s">
        <v>310</v>
      </c>
      <c r="N2073" s="414">
        <v>44726</v>
      </c>
      <c r="O2073" s="414" t="s">
        <v>400</v>
      </c>
      <c r="P2073" s="603">
        <f t="shared" ref="P2073:Q2079" si="310">IF(B2073=0,0,IF(YEAR(B2073)=$Q$1,MONTH(B2073)-$P$1+1,(YEAR(B2073)-$Q$1)*12-$P$1+1+MONTH(B2073)))</f>
        <v>6</v>
      </c>
      <c r="Q2073" s="603">
        <f t="shared" si="310"/>
        <v>6</v>
      </c>
      <c r="R2073" s="604" t="str">
        <f t="shared" ref="R2073:R2079" si="311">SUBSTITUTE(D2073," ","_")</f>
        <v>Gastos_Gerais</v>
      </c>
      <c r="S2073" s="605" t="s">
        <v>310</v>
      </c>
      <c r="T2073" s="605" t="s">
        <v>310</v>
      </c>
    </row>
    <row r="2074" spans="1:20" s="88" customFormat="1" ht="60" x14ac:dyDescent="0.2">
      <c r="A2074" s="510">
        <f>IF(B2074="","",COUNT('Diário 1º PA'!$A$4:$A$2635)+ROW()-3)</f>
        <v>3807</v>
      </c>
      <c r="B2074" s="414">
        <v>44726</v>
      </c>
      <c r="C2074" s="431">
        <v>44713</v>
      </c>
      <c r="D2074" s="415" t="s">
        <v>271</v>
      </c>
      <c r="E2074" s="415" t="s">
        <v>71</v>
      </c>
      <c r="F2074" s="425">
        <v>11</v>
      </c>
      <c r="G2074" s="427" t="s">
        <v>4745</v>
      </c>
      <c r="H2074" s="419" t="s">
        <v>762</v>
      </c>
      <c r="I2074" s="427" t="s">
        <v>881</v>
      </c>
      <c r="J2074" s="415" t="s">
        <v>882</v>
      </c>
      <c r="K2074" s="415" t="s">
        <v>883</v>
      </c>
      <c r="L2074" s="415" t="s">
        <v>798</v>
      </c>
      <c r="M2074" s="415" t="s">
        <v>310</v>
      </c>
      <c r="N2074" s="414">
        <v>44726</v>
      </c>
      <c r="O2074" s="414" t="s">
        <v>400</v>
      </c>
      <c r="P2074" s="603">
        <f t="shared" si="310"/>
        <v>6</v>
      </c>
      <c r="Q2074" s="603">
        <f t="shared" si="310"/>
        <v>6</v>
      </c>
      <c r="R2074" s="604" t="str">
        <f t="shared" si="311"/>
        <v>Gastos_Gerais</v>
      </c>
      <c r="S2074" s="605" t="s">
        <v>310</v>
      </c>
      <c r="T2074" s="605" t="s">
        <v>310</v>
      </c>
    </row>
    <row r="2075" spans="1:20" s="88" customFormat="1" ht="36" x14ac:dyDescent="0.2">
      <c r="A2075" s="510">
        <f>IF(B2075="","",COUNT('Diário 1º PA'!$A$4:$A$2635)+ROW()-3)</f>
        <v>3808</v>
      </c>
      <c r="B2075" s="414">
        <v>44726</v>
      </c>
      <c r="C2075" s="431">
        <v>44713</v>
      </c>
      <c r="D2075" s="415" t="s">
        <v>271</v>
      </c>
      <c r="E2075" s="415" t="s">
        <v>71</v>
      </c>
      <c r="F2075" s="425">
        <v>11</v>
      </c>
      <c r="G2075" s="427" t="s">
        <v>4746</v>
      </c>
      <c r="H2075" s="415" t="s">
        <v>752</v>
      </c>
      <c r="I2075" s="427" t="s">
        <v>881</v>
      </c>
      <c r="J2075" s="415" t="s">
        <v>882</v>
      </c>
      <c r="K2075" s="415" t="s">
        <v>883</v>
      </c>
      <c r="L2075" s="415" t="s">
        <v>798</v>
      </c>
      <c r="M2075" s="415" t="s">
        <v>310</v>
      </c>
      <c r="N2075" s="414">
        <v>44726</v>
      </c>
      <c r="O2075" s="414" t="s">
        <v>400</v>
      </c>
      <c r="P2075" s="603">
        <f t="shared" si="310"/>
        <v>6</v>
      </c>
      <c r="Q2075" s="603">
        <f t="shared" si="310"/>
        <v>6</v>
      </c>
      <c r="R2075" s="604" t="str">
        <f t="shared" si="311"/>
        <v>Gastos_Gerais</v>
      </c>
      <c r="S2075" s="605" t="s">
        <v>310</v>
      </c>
      <c r="T2075" s="605" t="s">
        <v>310</v>
      </c>
    </row>
    <row r="2076" spans="1:20" s="88" customFormat="1" ht="60" x14ac:dyDescent="0.2">
      <c r="A2076" s="510">
        <f>IF(B2076="","",COUNT('Diário 1º PA'!$A$4:$A$2635)+ROW()-3)</f>
        <v>3809</v>
      </c>
      <c r="B2076" s="414">
        <v>44726</v>
      </c>
      <c r="C2076" s="424">
        <v>44562</v>
      </c>
      <c r="D2076" s="415" t="s">
        <v>468</v>
      </c>
      <c r="E2076" s="415" t="s">
        <v>468</v>
      </c>
      <c r="F2076" s="425">
        <v>5879.4</v>
      </c>
      <c r="G2076" s="427" t="s">
        <v>2380</v>
      </c>
      <c r="H2076" s="415" t="s">
        <v>468</v>
      </c>
      <c r="I2076" s="639" t="s">
        <v>2381</v>
      </c>
      <c r="J2076" s="418" t="s">
        <v>2382</v>
      </c>
      <c r="K2076" s="418" t="s">
        <v>830</v>
      </c>
      <c r="L2076" s="399" t="s">
        <v>807</v>
      </c>
      <c r="M2076" s="544">
        <v>20227</v>
      </c>
      <c r="N2076" s="414">
        <v>44726</v>
      </c>
      <c r="O2076" s="414" t="s">
        <v>405</v>
      </c>
      <c r="P2076" s="603">
        <f t="shared" si="310"/>
        <v>6</v>
      </c>
      <c r="Q2076" s="603">
        <f t="shared" si="310"/>
        <v>1</v>
      </c>
      <c r="R2076" s="604" t="str">
        <f t="shared" si="311"/>
        <v>Gastos_custeados_por_captação</v>
      </c>
      <c r="S2076" s="605" t="s">
        <v>998</v>
      </c>
      <c r="T2076" s="605">
        <v>1633</v>
      </c>
    </row>
    <row r="2077" spans="1:20" s="88" customFormat="1" ht="60" x14ac:dyDescent="0.2">
      <c r="A2077" s="510">
        <f>IF(B2077="","",COUNT('Diário 1º PA'!$A$4:$A$2635)+ROW()-3)</f>
        <v>3810</v>
      </c>
      <c r="B2077" s="414">
        <v>44726</v>
      </c>
      <c r="C2077" s="431">
        <v>44682</v>
      </c>
      <c r="D2077" s="415" t="s">
        <v>468</v>
      </c>
      <c r="E2077" s="415" t="s">
        <v>468</v>
      </c>
      <c r="F2077" s="425">
        <v>3233.67</v>
      </c>
      <c r="G2077" s="427" t="s">
        <v>2341</v>
      </c>
      <c r="H2077" s="415" t="s">
        <v>468</v>
      </c>
      <c r="I2077" s="427" t="s">
        <v>2557</v>
      </c>
      <c r="J2077" s="415" t="s">
        <v>2342</v>
      </c>
      <c r="K2077" s="418" t="s">
        <v>830</v>
      </c>
      <c r="L2077" s="399" t="s">
        <v>807</v>
      </c>
      <c r="M2077" s="415">
        <v>202210</v>
      </c>
      <c r="N2077" s="414">
        <v>44726</v>
      </c>
      <c r="O2077" s="414" t="s">
        <v>405</v>
      </c>
      <c r="P2077" s="603">
        <f t="shared" si="310"/>
        <v>6</v>
      </c>
      <c r="Q2077" s="603">
        <f t="shared" si="310"/>
        <v>5</v>
      </c>
      <c r="R2077" s="604" t="str">
        <f t="shared" si="311"/>
        <v>Gastos_custeados_por_captação</v>
      </c>
      <c r="S2077" s="605" t="s">
        <v>1000</v>
      </c>
      <c r="T2077" s="605">
        <v>3187</v>
      </c>
    </row>
    <row r="2078" spans="1:20" s="88" customFormat="1" ht="102" customHeight="1" x14ac:dyDescent="0.2">
      <c r="A2078" s="510">
        <f>IF(B2078="","",COUNT('Diário 1º PA'!$A$4:$A$2635)+ROW()-3)</f>
        <v>3811</v>
      </c>
      <c r="B2078" s="414">
        <v>44726</v>
      </c>
      <c r="C2078" s="431">
        <v>44682</v>
      </c>
      <c r="D2078" s="415" t="s">
        <v>468</v>
      </c>
      <c r="E2078" s="415" t="s">
        <v>468</v>
      </c>
      <c r="F2078" s="425">
        <v>2537.5500000000002</v>
      </c>
      <c r="G2078" s="427" t="s">
        <v>4128</v>
      </c>
      <c r="H2078" s="415" t="s">
        <v>468</v>
      </c>
      <c r="I2078" s="427" t="s">
        <v>5554</v>
      </c>
      <c r="J2078" s="415" t="s">
        <v>4127</v>
      </c>
      <c r="K2078" s="418" t="s">
        <v>830</v>
      </c>
      <c r="L2078" s="399" t="s">
        <v>839</v>
      </c>
      <c r="M2078" s="415">
        <v>1839</v>
      </c>
      <c r="N2078" s="414">
        <v>44726</v>
      </c>
      <c r="O2078" s="414" t="s">
        <v>402</v>
      </c>
      <c r="P2078" s="603">
        <f t="shared" si="310"/>
        <v>6</v>
      </c>
      <c r="Q2078" s="603">
        <f t="shared" si="310"/>
        <v>5</v>
      </c>
      <c r="R2078" s="604" t="str">
        <f t="shared" si="311"/>
        <v>Gastos_custeados_por_captação</v>
      </c>
      <c r="S2078" s="605" t="s">
        <v>1000</v>
      </c>
      <c r="T2078" s="605">
        <v>3718</v>
      </c>
    </row>
    <row r="2079" spans="1:20" s="88" customFormat="1" ht="72" x14ac:dyDescent="0.2">
      <c r="A2079" s="510">
        <f>IF(B2079="","",COUNT('Diário 1º PA'!$A$4:$A$2635)+ROW()-3)</f>
        <v>3812</v>
      </c>
      <c r="B2079" s="414">
        <v>44726</v>
      </c>
      <c r="C2079" s="431">
        <v>44713</v>
      </c>
      <c r="D2079" s="415" t="s">
        <v>468</v>
      </c>
      <c r="E2079" s="415" t="s">
        <v>468</v>
      </c>
      <c r="F2079" s="425">
        <v>11</v>
      </c>
      <c r="G2079" s="427" t="s">
        <v>4799</v>
      </c>
      <c r="H2079" s="415" t="s">
        <v>468</v>
      </c>
      <c r="I2079" s="427" t="s">
        <v>881</v>
      </c>
      <c r="J2079" s="415" t="s">
        <v>882</v>
      </c>
      <c r="K2079" s="415" t="s">
        <v>883</v>
      </c>
      <c r="L2079" s="415" t="s">
        <v>798</v>
      </c>
      <c r="M2079" s="415" t="s">
        <v>310</v>
      </c>
      <c r="N2079" s="414">
        <v>44726</v>
      </c>
      <c r="O2079" s="414" t="s">
        <v>402</v>
      </c>
      <c r="P2079" s="603">
        <f t="shared" si="310"/>
        <v>6</v>
      </c>
      <c r="Q2079" s="603">
        <f t="shared" si="310"/>
        <v>6</v>
      </c>
      <c r="R2079" s="604" t="str">
        <f t="shared" si="311"/>
        <v>Gastos_custeados_por_captação</v>
      </c>
      <c r="S2079" s="605" t="s">
        <v>310</v>
      </c>
      <c r="T2079" s="605" t="s">
        <v>310</v>
      </c>
    </row>
    <row r="2080" spans="1:20" s="88" customFormat="1" ht="36" x14ac:dyDescent="0.2">
      <c r="A2080" s="510">
        <f>IF(B2080="","",COUNT('Diário 1º PA'!$A$4:$A$2635)+ROW()-3)</f>
        <v>3813</v>
      </c>
      <c r="B2080" s="414">
        <v>44726</v>
      </c>
      <c r="C2080" s="431">
        <v>44682</v>
      </c>
      <c r="D2080" s="415" t="s">
        <v>468</v>
      </c>
      <c r="E2080" s="415" t="s">
        <v>468</v>
      </c>
      <c r="F2080" s="628">
        <v>2827.55</v>
      </c>
      <c r="G2080" s="427" t="s">
        <v>4106</v>
      </c>
      <c r="H2080" s="415" t="s">
        <v>468</v>
      </c>
      <c r="I2080" s="427" t="s">
        <v>5604</v>
      </c>
      <c r="J2080" s="415" t="s">
        <v>4107</v>
      </c>
      <c r="K2080" s="415" t="s">
        <v>830</v>
      </c>
      <c r="L2080" s="415" t="s">
        <v>839</v>
      </c>
      <c r="M2080" s="485">
        <v>1840</v>
      </c>
      <c r="N2080" s="487">
        <v>44725</v>
      </c>
      <c r="O2080" s="414" t="s">
        <v>408</v>
      </c>
      <c r="P2080" s="603">
        <f t="shared" ref="P2080:P2085" si="312">IF(B2080=0,0,IF(YEAR(B2080)=$Q$1,MONTH(B2080)-$P$1+1,(YEAR(B2080)-$Q$1)*12-$P$1+1+MONTH(B2080)))</f>
        <v>6</v>
      </c>
      <c r="Q2080" s="603">
        <f t="shared" ref="Q2080:Q2085" si="313">IF(C2080=0,0,IF(YEAR(C2080)=$Q$1,MONTH(C2080)-$P$1+1,(YEAR(C2080)-$Q$1)*12-$P$1+1+MONTH(C2080)))</f>
        <v>5</v>
      </c>
      <c r="R2080" s="604" t="str">
        <f t="shared" ref="R2080:R2085" si="314">SUBSTITUTE(D2080," ","_")</f>
        <v>Gastos_custeados_por_captação</v>
      </c>
      <c r="S2080" s="605" t="s">
        <v>1000</v>
      </c>
      <c r="T2080" s="605">
        <v>3700</v>
      </c>
    </row>
    <row r="2081" spans="1:20" s="88" customFormat="1" ht="36" x14ac:dyDescent="0.2">
      <c r="A2081" s="510">
        <f>IF(B2081="","",COUNT('Diário 1º PA'!$A$4:$A$2635)+ROW()-3)</f>
        <v>3814</v>
      </c>
      <c r="B2081" s="414">
        <v>44726</v>
      </c>
      <c r="C2081" s="431">
        <v>44713</v>
      </c>
      <c r="D2081" s="415" t="s">
        <v>468</v>
      </c>
      <c r="E2081" s="415" t="s">
        <v>468</v>
      </c>
      <c r="F2081" s="628">
        <v>75.400000000000006</v>
      </c>
      <c r="G2081" s="427" t="s">
        <v>5607</v>
      </c>
      <c r="H2081" s="415" t="s">
        <v>468</v>
      </c>
      <c r="I2081" s="427" t="s">
        <v>3653</v>
      </c>
      <c r="J2081" s="415" t="s">
        <v>2424</v>
      </c>
      <c r="K2081" s="415" t="s">
        <v>830</v>
      </c>
      <c r="L2081" s="415" t="s">
        <v>807</v>
      </c>
      <c r="M2081" s="485">
        <v>1158</v>
      </c>
      <c r="N2081" s="487">
        <v>44726</v>
      </c>
      <c r="O2081" s="414" t="s">
        <v>408</v>
      </c>
      <c r="P2081" s="603">
        <f t="shared" si="312"/>
        <v>6</v>
      </c>
      <c r="Q2081" s="603">
        <f t="shared" si="313"/>
        <v>6</v>
      </c>
      <c r="R2081" s="604" t="str">
        <f t="shared" si="314"/>
        <v>Gastos_custeados_por_captação</v>
      </c>
      <c r="S2081" s="605" t="s">
        <v>999</v>
      </c>
      <c r="T2081" s="605">
        <v>3902</v>
      </c>
    </row>
    <row r="2082" spans="1:20" s="88" customFormat="1" ht="60.75" customHeight="1" x14ac:dyDescent="0.2">
      <c r="A2082" s="510">
        <f>IF(B2082="","",COUNT('Diário 1º PA'!$A$4:$A$2635)+ROW()-3)</f>
        <v>3815</v>
      </c>
      <c r="B2082" s="414">
        <v>44726</v>
      </c>
      <c r="C2082" s="431">
        <v>44682</v>
      </c>
      <c r="D2082" s="415" t="s">
        <v>468</v>
      </c>
      <c r="E2082" s="415" t="s">
        <v>468</v>
      </c>
      <c r="F2082" s="628">
        <v>3500</v>
      </c>
      <c r="G2082" s="427" t="s">
        <v>1974</v>
      </c>
      <c r="H2082" s="415" t="s">
        <v>468</v>
      </c>
      <c r="I2082" s="427" t="s">
        <v>5608</v>
      </c>
      <c r="J2082" s="415" t="s">
        <v>1975</v>
      </c>
      <c r="K2082" s="415" t="s">
        <v>830</v>
      </c>
      <c r="L2082" s="415" t="s">
        <v>807</v>
      </c>
      <c r="M2082" s="485">
        <v>20223</v>
      </c>
      <c r="N2082" s="487">
        <v>44725</v>
      </c>
      <c r="O2082" s="414" t="s">
        <v>408</v>
      </c>
      <c r="P2082" s="603">
        <f t="shared" si="312"/>
        <v>6</v>
      </c>
      <c r="Q2082" s="603">
        <f t="shared" si="313"/>
        <v>5</v>
      </c>
      <c r="R2082" s="604" t="str">
        <f t="shared" si="314"/>
        <v>Gastos_custeados_por_captação</v>
      </c>
      <c r="S2082" s="605" t="s">
        <v>1000</v>
      </c>
      <c r="T2082" s="605">
        <v>3047</v>
      </c>
    </row>
    <row r="2083" spans="1:20" s="88" customFormat="1" ht="36" x14ac:dyDescent="0.2">
      <c r="A2083" s="510">
        <f>IF(B2083="","",COUNT('Diário 1º PA'!$A$4:$A$2635)+ROW()-3)</f>
        <v>3816</v>
      </c>
      <c r="B2083" s="414">
        <v>44726</v>
      </c>
      <c r="C2083" s="431">
        <v>44682</v>
      </c>
      <c r="D2083" s="415" t="s">
        <v>468</v>
      </c>
      <c r="E2083" s="415" t="s">
        <v>468</v>
      </c>
      <c r="F2083" s="628">
        <v>3429.65</v>
      </c>
      <c r="G2083" s="427" t="s">
        <v>4106</v>
      </c>
      <c r="H2083" s="415" t="s">
        <v>468</v>
      </c>
      <c r="I2083" s="427" t="s">
        <v>2996</v>
      </c>
      <c r="J2083" s="415" t="s">
        <v>1601</v>
      </c>
      <c r="K2083" s="415" t="s">
        <v>830</v>
      </c>
      <c r="L2083" s="415" t="s">
        <v>807</v>
      </c>
      <c r="M2083" s="485">
        <v>20229</v>
      </c>
      <c r="N2083" s="487">
        <v>44725</v>
      </c>
      <c r="O2083" s="414" t="s">
        <v>408</v>
      </c>
      <c r="P2083" s="603">
        <f t="shared" si="312"/>
        <v>6</v>
      </c>
      <c r="Q2083" s="603">
        <f t="shared" si="313"/>
        <v>5</v>
      </c>
      <c r="R2083" s="604" t="str">
        <f t="shared" si="314"/>
        <v>Gastos_custeados_por_captação</v>
      </c>
      <c r="S2083" s="605" t="s">
        <v>1000</v>
      </c>
      <c r="T2083" s="605">
        <v>3701</v>
      </c>
    </row>
    <row r="2084" spans="1:20" s="88" customFormat="1" ht="36" x14ac:dyDescent="0.2">
      <c r="A2084" s="510">
        <f>IF(B2084="","",COUNT('Diário 1º PA'!$A$4:$A$2635)+ROW()-3)</f>
        <v>3817</v>
      </c>
      <c r="B2084" s="414">
        <v>44726</v>
      </c>
      <c r="C2084" s="431">
        <v>44682</v>
      </c>
      <c r="D2084" s="415" t="s">
        <v>468</v>
      </c>
      <c r="E2084" s="415" t="s">
        <v>468</v>
      </c>
      <c r="F2084" s="628">
        <v>733.33</v>
      </c>
      <c r="G2084" s="427" t="s">
        <v>4429</v>
      </c>
      <c r="H2084" s="415" t="s">
        <v>468</v>
      </c>
      <c r="I2084" s="427" t="s">
        <v>5610</v>
      </c>
      <c r="J2084" s="415" t="s">
        <v>2456</v>
      </c>
      <c r="K2084" s="415" t="s">
        <v>830</v>
      </c>
      <c r="L2084" s="415" t="s">
        <v>807</v>
      </c>
      <c r="M2084" s="485">
        <v>202211</v>
      </c>
      <c r="N2084" s="487">
        <v>44726</v>
      </c>
      <c r="O2084" s="414" t="s">
        <v>408</v>
      </c>
      <c r="P2084" s="603">
        <f t="shared" si="312"/>
        <v>6</v>
      </c>
      <c r="Q2084" s="603">
        <f t="shared" si="313"/>
        <v>5</v>
      </c>
      <c r="R2084" s="604" t="str">
        <f t="shared" si="314"/>
        <v>Gastos_custeados_por_captação</v>
      </c>
      <c r="S2084" s="605" t="s">
        <v>1000</v>
      </c>
      <c r="T2084" s="605">
        <v>3804</v>
      </c>
    </row>
    <row r="2085" spans="1:20" s="88" customFormat="1" ht="36" x14ac:dyDescent="0.2">
      <c r="A2085" s="510">
        <f>IF(B2085="","",COUNT('Diário 1º PA'!$A$4:$A$2635)+ROW()-3)</f>
        <v>3818</v>
      </c>
      <c r="B2085" s="414">
        <v>44726</v>
      </c>
      <c r="C2085" s="431">
        <v>44713</v>
      </c>
      <c r="D2085" s="415" t="s">
        <v>468</v>
      </c>
      <c r="E2085" s="415" t="s">
        <v>468</v>
      </c>
      <c r="F2085" s="628">
        <v>11</v>
      </c>
      <c r="G2085" s="427" t="s">
        <v>4799</v>
      </c>
      <c r="H2085" s="415" t="s">
        <v>468</v>
      </c>
      <c r="I2085" s="427" t="s">
        <v>881</v>
      </c>
      <c r="J2085" s="415" t="s">
        <v>882</v>
      </c>
      <c r="K2085" s="415" t="s">
        <v>883</v>
      </c>
      <c r="L2085" s="415" t="s">
        <v>798</v>
      </c>
      <c r="M2085" s="415" t="s">
        <v>310</v>
      </c>
      <c r="N2085" s="414">
        <v>44726</v>
      </c>
      <c r="O2085" s="414" t="s">
        <v>408</v>
      </c>
      <c r="P2085" s="603">
        <f t="shared" si="312"/>
        <v>6</v>
      </c>
      <c r="Q2085" s="603">
        <f t="shared" si="313"/>
        <v>6</v>
      </c>
      <c r="R2085" s="604" t="str">
        <f t="shared" si="314"/>
        <v>Gastos_custeados_por_captação</v>
      </c>
      <c r="S2085" s="605" t="s">
        <v>310</v>
      </c>
      <c r="T2085" s="605" t="s">
        <v>310</v>
      </c>
    </row>
    <row r="2086" spans="1:20" s="88" customFormat="1" ht="36" x14ac:dyDescent="0.2">
      <c r="A2086" s="510">
        <f>IF(B2086="","",COUNT('Diário 1º PA'!$A$4:$A$2635)+ROW()-3)</f>
        <v>3819</v>
      </c>
      <c r="B2086" s="414">
        <v>44727</v>
      </c>
      <c r="C2086" s="433">
        <v>44652</v>
      </c>
      <c r="D2086" s="415" t="s">
        <v>182</v>
      </c>
      <c r="E2086" s="415" t="s">
        <v>1</v>
      </c>
      <c r="F2086" s="425">
        <v>-295.06</v>
      </c>
      <c r="G2086" s="427" t="s">
        <v>1384</v>
      </c>
      <c r="H2086" s="415" t="s">
        <v>310</v>
      </c>
      <c r="I2086" s="427" t="s">
        <v>795</v>
      </c>
      <c r="J2086" s="415" t="s">
        <v>796</v>
      </c>
      <c r="K2086" s="415" t="s">
        <v>797</v>
      </c>
      <c r="L2086" s="415" t="s">
        <v>798</v>
      </c>
      <c r="M2086" s="415" t="s">
        <v>310</v>
      </c>
      <c r="N2086" s="414">
        <v>44727</v>
      </c>
      <c r="O2086" s="414" t="s">
        <v>400</v>
      </c>
      <c r="P2086" s="603">
        <f t="shared" si="300"/>
        <v>6</v>
      </c>
      <c r="Q2086" s="603">
        <f t="shared" si="301"/>
        <v>4</v>
      </c>
      <c r="R2086" s="604" t="str">
        <f t="shared" si="302"/>
        <v>Gastos_com_Pessoal</v>
      </c>
      <c r="S2086" s="605" t="s">
        <v>310</v>
      </c>
      <c r="T2086" s="605" t="s">
        <v>310</v>
      </c>
    </row>
    <row r="2087" spans="1:20" s="88" customFormat="1" ht="36" x14ac:dyDescent="0.2">
      <c r="A2087" s="510">
        <f>IF(B2087="","",COUNT('Diário 1º PA'!$A$4:$A$2635)+ROW()-3)</f>
        <v>3820</v>
      </c>
      <c r="B2087" s="414">
        <v>44727</v>
      </c>
      <c r="C2087" s="466">
        <v>44713</v>
      </c>
      <c r="D2087" s="415" t="s">
        <v>182</v>
      </c>
      <c r="E2087" s="415" t="s">
        <v>325</v>
      </c>
      <c r="F2087" s="425">
        <v>-2914.37</v>
      </c>
      <c r="G2087" s="427" t="s">
        <v>1382</v>
      </c>
      <c r="H2087" s="415" t="s">
        <v>310</v>
      </c>
      <c r="I2087" s="427" t="s">
        <v>795</v>
      </c>
      <c r="J2087" s="415" t="s">
        <v>796</v>
      </c>
      <c r="K2087" s="415" t="s">
        <v>797</v>
      </c>
      <c r="L2087" s="415" t="s">
        <v>798</v>
      </c>
      <c r="M2087" s="415" t="s">
        <v>310</v>
      </c>
      <c r="N2087" s="414">
        <v>44727</v>
      </c>
      <c r="O2087" s="414" t="s">
        <v>400</v>
      </c>
      <c r="P2087" s="603">
        <f t="shared" si="300"/>
        <v>6</v>
      </c>
      <c r="Q2087" s="603">
        <f t="shared" si="301"/>
        <v>6</v>
      </c>
      <c r="R2087" s="604" t="str">
        <f t="shared" si="302"/>
        <v>Gastos_com_Pessoal</v>
      </c>
      <c r="S2087" s="605" t="s">
        <v>310</v>
      </c>
      <c r="T2087" s="605" t="s">
        <v>310</v>
      </c>
    </row>
    <row r="2088" spans="1:20" s="88" customFormat="1" ht="36" x14ac:dyDescent="0.2">
      <c r="A2088" s="510">
        <f>IF(B2088="","",COUNT('Diário 1º PA'!$A$4:$A$2635)+ROW()-3)</f>
        <v>3821</v>
      </c>
      <c r="B2088" s="414">
        <v>44727</v>
      </c>
      <c r="C2088" s="466">
        <v>44713</v>
      </c>
      <c r="D2088" s="415" t="s">
        <v>182</v>
      </c>
      <c r="E2088" s="415" t="s">
        <v>325</v>
      </c>
      <c r="F2088" s="425">
        <v>-222.88</v>
      </c>
      <c r="G2088" s="427" t="s">
        <v>1378</v>
      </c>
      <c r="H2088" s="415" t="s">
        <v>310</v>
      </c>
      <c r="I2088" s="427" t="s">
        <v>795</v>
      </c>
      <c r="J2088" s="415" t="s">
        <v>796</v>
      </c>
      <c r="K2088" s="415" t="s">
        <v>797</v>
      </c>
      <c r="L2088" s="415" t="s">
        <v>798</v>
      </c>
      <c r="M2088" s="415" t="s">
        <v>310</v>
      </c>
      <c r="N2088" s="414">
        <v>44727</v>
      </c>
      <c r="O2088" s="414" t="s">
        <v>400</v>
      </c>
      <c r="P2088" s="603">
        <f t="shared" si="300"/>
        <v>6</v>
      </c>
      <c r="Q2088" s="603">
        <f t="shared" si="301"/>
        <v>6</v>
      </c>
      <c r="R2088" s="604" t="str">
        <f t="shared" si="302"/>
        <v>Gastos_com_Pessoal</v>
      </c>
      <c r="S2088" s="605" t="s">
        <v>310</v>
      </c>
      <c r="T2088" s="605" t="s">
        <v>310</v>
      </c>
    </row>
    <row r="2089" spans="1:20" s="88" customFormat="1" ht="48" x14ac:dyDescent="0.2">
      <c r="A2089" s="510">
        <f>IF(B2089="","",COUNT('Diário 1º PA'!$A$4:$A$2635)+ROW()-3)</f>
        <v>3822</v>
      </c>
      <c r="B2089" s="414">
        <v>44727</v>
      </c>
      <c r="C2089" s="431">
        <v>44713</v>
      </c>
      <c r="D2089" s="415" t="s">
        <v>271</v>
      </c>
      <c r="E2089" s="415" t="s">
        <v>456</v>
      </c>
      <c r="F2089" s="425">
        <v>11758.8</v>
      </c>
      <c r="G2089" s="427" t="s">
        <v>4521</v>
      </c>
      <c r="H2089" s="415" t="s">
        <v>755</v>
      </c>
      <c r="I2089" s="427" t="s">
        <v>4154</v>
      </c>
      <c r="J2089" s="415" t="s">
        <v>3816</v>
      </c>
      <c r="K2089" s="415" t="s">
        <v>830</v>
      </c>
      <c r="L2089" s="415" t="s">
        <v>807</v>
      </c>
      <c r="M2089" s="415" t="s">
        <v>3672</v>
      </c>
      <c r="N2089" s="414">
        <v>44726</v>
      </c>
      <c r="O2089" s="414" t="s">
        <v>400</v>
      </c>
      <c r="P2089" s="603">
        <f t="shared" si="300"/>
        <v>6</v>
      </c>
      <c r="Q2089" s="603">
        <f t="shared" si="301"/>
        <v>6</v>
      </c>
      <c r="R2089" s="604" t="str">
        <f t="shared" si="302"/>
        <v>Gastos_Gerais</v>
      </c>
      <c r="S2089" s="605" t="s">
        <v>1000</v>
      </c>
      <c r="T2089" s="612">
        <v>3846</v>
      </c>
    </row>
    <row r="2090" spans="1:20" s="88" customFormat="1" ht="48" x14ac:dyDescent="0.2">
      <c r="A2090" s="510">
        <f>IF(B2090="","",COUNT('Diário 1º PA'!$A$4:$A$2635)+ROW()-3)</f>
        <v>3823</v>
      </c>
      <c r="B2090" s="414">
        <v>44727</v>
      </c>
      <c r="C2090" s="421">
        <v>44682</v>
      </c>
      <c r="D2090" s="415" t="s">
        <v>271</v>
      </c>
      <c r="E2090" s="415" t="s">
        <v>91</v>
      </c>
      <c r="F2090" s="425">
        <v>937.05</v>
      </c>
      <c r="G2090" s="427" t="s">
        <v>471</v>
      </c>
      <c r="H2090" s="415" t="s">
        <v>309</v>
      </c>
      <c r="I2090" s="427" t="s">
        <v>1505</v>
      </c>
      <c r="J2090" s="415" t="s">
        <v>1009</v>
      </c>
      <c r="K2090" s="415" t="s">
        <v>812</v>
      </c>
      <c r="L2090" s="415" t="s">
        <v>32</v>
      </c>
      <c r="M2090" s="415">
        <v>4200051</v>
      </c>
      <c r="N2090" s="414">
        <v>44713</v>
      </c>
      <c r="O2090" s="414" t="s">
        <v>400</v>
      </c>
      <c r="P2090" s="603">
        <f t="shared" si="300"/>
        <v>6</v>
      </c>
      <c r="Q2090" s="603">
        <f t="shared" si="301"/>
        <v>5</v>
      </c>
      <c r="R2090" s="604" t="str">
        <f t="shared" si="302"/>
        <v>Gastos_Gerais</v>
      </c>
      <c r="S2090" s="605" t="s">
        <v>1000</v>
      </c>
      <c r="T2090" s="605">
        <v>1142</v>
      </c>
    </row>
    <row r="2091" spans="1:20" s="88" customFormat="1" ht="36" x14ac:dyDescent="0.2">
      <c r="A2091" s="510">
        <f>IF(B2091="","",COUNT('Diário 1º PA'!$A$4:$A$2635)+ROW()-3)</f>
        <v>3824</v>
      </c>
      <c r="B2091" s="414">
        <v>44727</v>
      </c>
      <c r="C2091" s="431">
        <v>44682</v>
      </c>
      <c r="D2091" s="415" t="s">
        <v>271</v>
      </c>
      <c r="E2091" s="415" t="s">
        <v>456</v>
      </c>
      <c r="F2091" s="425">
        <v>2152.2199999999998</v>
      </c>
      <c r="G2091" s="427" t="s">
        <v>4183</v>
      </c>
      <c r="H2091" s="415" t="s">
        <v>753</v>
      </c>
      <c r="I2091" s="427" t="s">
        <v>4832</v>
      </c>
      <c r="J2091" s="415" t="s">
        <v>4184</v>
      </c>
      <c r="K2091" s="415" t="s">
        <v>812</v>
      </c>
      <c r="L2091" s="415" t="s">
        <v>807</v>
      </c>
      <c r="M2091" s="415">
        <v>1179129</v>
      </c>
      <c r="N2091" s="414">
        <v>44699</v>
      </c>
      <c r="O2091" s="414" t="s">
        <v>400</v>
      </c>
      <c r="P2091" s="603">
        <f t="shared" si="300"/>
        <v>6</v>
      </c>
      <c r="Q2091" s="603">
        <f t="shared" si="301"/>
        <v>5</v>
      </c>
      <c r="R2091" s="604" t="str">
        <f t="shared" si="302"/>
        <v>Gastos_Gerais</v>
      </c>
      <c r="S2091" s="605" t="s">
        <v>999</v>
      </c>
      <c r="T2091" s="605">
        <v>3627</v>
      </c>
    </row>
    <row r="2092" spans="1:20" s="88" customFormat="1" ht="36" x14ac:dyDescent="0.2">
      <c r="A2092" s="510">
        <f>IF(B2092="","",COUNT('Diário 1º PA'!$A$4:$A$2635)+ROW()-3)</f>
        <v>3825</v>
      </c>
      <c r="B2092" s="414">
        <v>44727</v>
      </c>
      <c r="C2092" s="431">
        <v>44682</v>
      </c>
      <c r="D2092" s="415" t="s">
        <v>271</v>
      </c>
      <c r="E2092" s="415" t="s">
        <v>456</v>
      </c>
      <c r="F2092" s="425">
        <v>116.57</v>
      </c>
      <c r="G2092" s="427" t="s">
        <v>4327</v>
      </c>
      <c r="H2092" s="415" t="s">
        <v>752</v>
      </c>
      <c r="I2092" s="427" t="s">
        <v>4833</v>
      </c>
      <c r="J2092" s="415" t="s">
        <v>1074</v>
      </c>
      <c r="K2092" s="415" t="s">
        <v>812</v>
      </c>
      <c r="L2092" s="415" t="s">
        <v>807</v>
      </c>
      <c r="M2092" s="415">
        <v>294500</v>
      </c>
      <c r="N2092" s="414">
        <v>44713</v>
      </c>
      <c r="O2092" s="414" t="s">
        <v>400</v>
      </c>
      <c r="P2092" s="603">
        <f t="shared" si="300"/>
        <v>6</v>
      </c>
      <c r="Q2092" s="603">
        <f t="shared" si="301"/>
        <v>5</v>
      </c>
      <c r="R2092" s="604" t="str">
        <f t="shared" si="302"/>
        <v>Gastos_Gerais</v>
      </c>
      <c r="S2092" s="605" t="s">
        <v>999</v>
      </c>
      <c r="T2092" s="605">
        <v>3820</v>
      </c>
    </row>
    <row r="2093" spans="1:20" s="88" customFormat="1" ht="99.95" customHeight="1" x14ac:dyDescent="0.2">
      <c r="A2093" s="510">
        <f>IF(B2093="","",COUNT('Diário 1º PA'!$A$4:$A$2635)+ROW()-3)</f>
        <v>3826</v>
      </c>
      <c r="B2093" s="414">
        <v>44727</v>
      </c>
      <c r="C2093" s="433">
        <v>44652</v>
      </c>
      <c r="D2093" s="415" t="s">
        <v>182</v>
      </c>
      <c r="E2093" s="415" t="s">
        <v>1</v>
      </c>
      <c r="F2093" s="425">
        <v>1894.46</v>
      </c>
      <c r="G2093" s="427" t="s">
        <v>1396</v>
      </c>
      <c r="H2093" s="415" t="s">
        <v>310</v>
      </c>
      <c r="I2093" s="427" t="s">
        <v>773</v>
      </c>
      <c r="J2093" s="415" t="s">
        <v>1397</v>
      </c>
      <c r="K2093" s="415" t="s">
        <v>812</v>
      </c>
      <c r="L2093" s="415" t="s">
        <v>32</v>
      </c>
      <c r="M2093" s="415" t="s">
        <v>4834</v>
      </c>
      <c r="N2093" s="414">
        <v>44686</v>
      </c>
      <c r="O2093" s="414" t="s">
        <v>400</v>
      </c>
      <c r="P2093" s="603">
        <f t="shared" si="300"/>
        <v>6</v>
      </c>
      <c r="Q2093" s="603">
        <f t="shared" si="301"/>
        <v>4</v>
      </c>
      <c r="R2093" s="604" t="str">
        <f t="shared" si="302"/>
        <v>Gastos_com_Pessoal</v>
      </c>
      <c r="S2093" s="605" t="s">
        <v>310</v>
      </c>
      <c r="T2093" s="605" t="s">
        <v>310</v>
      </c>
    </row>
    <row r="2094" spans="1:20" s="88" customFormat="1" ht="99.95" customHeight="1" x14ac:dyDescent="0.2">
      <c r="A2094" s="510">
        <f>IF(B2094="","",COUNT('Diário 1º PA'!$A$4:$A$2635)+ROW()-3)</f>
        <v>3827</v>
      </c>
      <c r="B2094" s="414">
        <v>44727</v>
      </c>
      <c r="C2094" s="433">
        <v>44713</v>
      </c>
      <c r="D2094" s="415" t="s">
        <v>182</v>
      </c>
      <c r="E2094" s="415" t="s">
        <v>325</v>
      </c>
      <c r="F2094" s="425">
        <v>25393.78</v>
      </c>
      <c r="G2094" s="427" t="s">
        <v>1399</v>
      </c>
      <c r="H2094" s="415" t="s">
        <v>310</v>
      </c>
      <c r="I2094" s="427" t="s">
        <v>773</v>
      </c>
      <c r="J2094" s="415" t="s">
        <v>1397</v>
      </c>
      <c r="K2094" s="415" t="s">
        <v>812</v>
      </c>
      <c r="L2094" s="415" t="s">
        <v>32</v>
      </c>
      <c r="M2094" s="415" t="s">
        <v>4835</v>
      </c>
      <c r="N2094" s="414">
        <v>44687</v>
      </c>
      <c r="O2094" s="414" t="s">
        <v>400</v>
      </c>
      <c r="P2094" s="603">
        <f t="shared" si="300"/>
        <v>6</v>
      </c>
      <c r="Q2094" s="603">
        <f t="shared" si="301"/>
        <v>6</v>
      </c>
      <c r="R2094" s="604" t="str">
        <f t="shared" si="302"/>
        <v>Gastos_com_Pessoal</v>
      </c>
      <c r="S2094" s="605" t="s">
        <v>310</v>
      </c>
      <c r="T2094" s="605" t="s">
        <v>310</v>
      </c>
    </row>
    <row r="2095" spans="1:20" s="88" customFormat="1" ht="36" x14ac:dyDescent="0.2">
      <c r="A2095" s="510">
        <f>IF(B2095="","",COUNT('Diário 1º PA'!$A$4:$A$2635)+ROW()-3)</f>
        <v>3828</v>
      </c>
      <c r="B2095" s="414">
        <v>44727</v>
      </c>
      <c r="C2095" s="424">
        <v>44713</v>
      </c>
      <c r="D2095" s="415" t="s">
        <v>182</v>
      </c>
      <c r="E2095" s="415" t="s">
        <v>287</v>
      </c>
      <c r="F2095" s="425">
        <v>2837.38</v>
      </c>
      <c r="G2095" s="427" t="s">
        <v>3345</v>
      </c>
      <c r="H2095" s="415" t="s">
        <v>310</v>
      </c>
      <c r="I2095" s="427" t="s">
        <v>990</v>
      </c>
      <c r="J2095" s="415" t="s">
        <v>991</v>
      </c>
      <c r="K2095" s="415" t="s">
        <v>830</v>
      </c>
      <c r="L2095" s="415" t="s">
        <v>925</v>
      </c>
      <c r="M2095" s="415" t="s">
        <v>310</v>
      </c>
      <c r="N2095" s="414">
        <v>44727</v>
      </c>
      <c r="O2095" s="414" t="s">
        <v>400</v>
      </c>
      <c r="P2095" s="603">
        <f t="shared" si="300"/>
        <v>6</v>
      </c>
      <c r="Q2095" s="603">
        <f t="shared" si="301"/>
        <v>6</v>
      </c>
      <c r="R2095" s="604" t="str">
        <f t="shared" si="302"/>
        <v>Gastos_com_Pessoal</v>
      </c>
      <c r="S2095" s="605" t="s">
        <v>310</v>
      </c>
      <c r="T2095" s="605" t="s">
        <v>310</v>
      </c>
    </row>
    <row r="2096" spans="1:20" s="88" customFormat="1" ht="36" x14ac:dyDescent="0.2">
      <c r="A2096" s="510">
        <f>IF(B2096="","",COUNT('Diário 1º PA'!$A$4:$A$2635)+ROW()-3)</f>
        <v>3829</v>
      </c>
      <c r="B2096" s="414">
        <v>44727</v>
      </c>
      <c r="C2096" s="424">
        <v>44713</v>
      </c>
      <c r="D2096" s="415" t="s">
        <v>182</v>
      </c>
      <c r="E2096" s="415" t="s">
        <v>287</v>
      </c>
      <c r="F2096" s="425">
        <v>2826.84</v>
      </c>
      <c r="G2096" s="427" t="s">
        <v>4836</v>
      </c>
      <c r="H2096" s="415" t="s">
        <v>310</v>
      </c>
      <c r="I2096" s="427" t="s">
        <v>952</v>
      </c>
      <c r="J2096" s="415" t="s">
        <v>953</v>
      </c>
      <c r="K2096" s="415" t="s">
        <v>830</v>
      </c>
      <c r="L2096" s="415" t="s">
        <v>925</v>
      </c>
      <c r="M2096" s="415" t="s">
        <v>310</v>
      </c>
      <c r="N2096" s="414">
        <v>44727</v>
      </c>
      <c r="O2096" s="414" t="s">
        <v>400</v>
      </c>
      <c r="P2096" s="603">
        <f t="shared" si="300"/>
        <v>6</v>
      </c>
      <c r="Q2096" s="603">
        <f t="shared" si="301"/>
        <v>6</v>
      </c>
      <c r="R2096" s="604" t="str">
        <f t="shared" si="302"/>
        <v>Gastos_com_Pessoal</v>
      </c>
      <c r="S2096" s="605" t="s">
        <v>310</v>
      </c>
      <c r="T2096" s="605" t="s">
        <v>310</v>
      </c>
    </row>
    <row r="2097" spans="1:20" s="88" customFormat="1" ht="99.95" customHeight="1" x14ac:dyDescent="0.2">
      <c r="A2097" s="510">
        <f>IF(B2097="","",COUNT('Diário 1º PA'!$A$4:$A$2635)+ROW()-3)</f>
        <v>3830</v>
      </c>
      <c r="B2097" s="414">
        <v>44727</v>
      </c>
      <c r="C2097" s="431">
        <v>44713</v>
      </c>
      <c r="D2097" s="415" t="s">
        <v>271</v>
      </c>
      <c r="E2097" s="415" t="s">
        <v>449</v>
      </c>
      <c r="F2097" s="425">
        <v>12600</v>
      </c>
      <c r="G2097" s="427" t="s">
        <v>4675</v>
      </c>
      <c r="H2097" s="415" t="s">
        <v>755</v>
      </c>
      <c r="I2097" s="427" t="s">
        <v>4837</v>
      </c>
      <c r="J2097" s="415" t="s">
        <v>4676</v>
      </c>
      <c r="K2097" s="415" t="s">
        <v>830</v>
      </c>
      <c r="L2097" s="415" t="s">
        <v>1305</v>
      </c>
      <c r="M2097" s="415" t="s">
        <v>310</v>
      </c>
      <c r="N2097" s="414">
        <v>44727</v>
      </c>
      <c r="O2097" s="414" t="s">
        <v>400</v>
      </c>
      <c r="P2097" s="603">
        <f t="shared" si="300"/>
        <v>6</v>
      </c>
      <c r="Q2097" s="603">
        <f t="shared" si="301"/>
        <v>6</v>
      </c>
      <c r="R2097" s="604" t="str">
        <f t="shared" si="302"/>
        <v>Gastos_Gerais</v>
      </c>
      <c r="S2097" s="605" t="s">
        <v>998</v>
      </c>
      <c r="T2097" s="605">
        <v>3898</v>
      </c>
    </row>
    <row r="2098" spans="1:20" s="88" customFormat="1" ht="99.95" customHeight="1" x14ac:dyDescent="0.2">
      <c r="A2098" s="510">
        <f>IF(B2098="","",COUNT('Diário 1º PA'!$A$4:$A$2635)+ROW()-3)</f>
        <v>3831</v>
      </c>
      <c r="B2098" s="414">
        <v>44727</v>
      </c>
      <c r="C2098" s="431">
        <v>44713</v>
      </c>
      <c r="D2098" s="415" t="s">
        <v>271</v>
      </c>
      <c r="E2098" s="415" t="s">
        <v>71</v>
      </c>
      <c r="F2098" s="425">
        <v>11</v>
      </c>
      <c r="G2098" s="427" t="s">
        <v>4838</v>
      </c>
      <c r="H2098" s="415" t="s">
        <v>755</v>
      </c>
      <c r="I2098" s="427" t="s">
        <v>881</v>
      </c>
      <c r="J2098" s="415" t="s">
        <v>882</v>
      </c>
      <c r="K2098" s="415" t="s">
        <v>883</v>
      </c>
      <c r="L2098" s="415" t="s">
        <v>798</v>
      </c>
      <c r="M2098" s="415" t="s">
        <v>310</v>
      </c>
      <c r="N2098" s="414">
        <v>44727</v>
      </c>
      <c r="O2098" s="414" t="s">
        <v>400</v>
      </c>
      <c r="P2098" s="603">
        <f t="shared" si="300"/>
        <v>6</v>
      </c>
      <c r="Q2098" s="603">
        <f t="shared" si="301"/>
        <v>6</v>
      </c>
      <c r="R2098" s="604" t="str">
        <f t="shared" si="302"/>
        <v>Gastos_Gerais</v>
      </c>
      <c r="S2098" s="605" t="s">
        <v>310</v>
      </c>
      <c r="T2098" s="605" t="s">
        <v>310</v>
      </c>
    </row>
    <row r="2099" spans="1:20" s="88" customFormat="1" ht="99.95" customHeight="1" x14ac:dyDescent="0.2">
      <c r="A2099" s="510">
        <f>IF(B2099="","",COUNT('Diário 1º PA'!$A$4:$A$2635)+ROW()-3)</f>
        <v>3832</v>
      </c>
      <c r="B2099" s="414">
        <v>44727</v>
      </c>
      <c r="C2099" s="431">
        <v>44713</v>
      </c>
      <c r="D2099" s="415" t="s">
        <v>271</v>
      </c>
      <c r="E2099" s="415" t="s">
        <v>71</v>
      </c>
      <c r="F2099" s="425">
        <v>11</v>
      </c>
      <c r="G2099" s="427" t="s">
        <v>4839</v>
      </c>
      <c r="H2099" s="415" t="s">
        <v>310</v>
      </c>
      <c r="I2099" s="427" t="s">
        <v>881</v>
      </c>
      <c r="J2099" s="415" t="s">
        <v>882</v>
      </c>
      <c r="K2099" s="415" t="s">
        <v>883</v>
      </c>
      <c r="L2099" s="415" t="s">
        <v>798</v>
      </c>
      <c r="M2099" s="415" t="s">
        <v>310</v>
      </c>
      <c r="N2099" s="414">
        <v>44727</v>
      </c>
      <c r="O2099" s="414" t="s">
        <v>400</v>
      </c>
      <c r="P2099" s="603">
        <f t="shared" si="300"/>
        <v>6</v>
      </c>
      <c r="Q2099" s="603">
        <f t="shared" si="301"/>
        <v>6</v>
      </c>
      <c r="R2099" s="604" t="str">
        <f t="shared" si="302"/>
        <v>Gastos_Gerais</v>
      </c>
      <c r="S2099" s="605" t="s">
        <v>310</v>
      </c>
      <c r="T2099" s="605" t="s">
        <v>310</v>
      </c>
    </row>
    <row r="2100" spans="1:20" s="88" customFormat="1" ht="99.95" customHeight="1" x14ac:dyDescent="0.2">
      <c r="A2100" s="510">
        <f>IF(B2100="","",COUNT('Diário 1º PA'!$A$4:$A$2635)+ROW()-3)</f>
        <v>3833</v>
      </c>
      <c r="B2100" s="414">
        <v>44727</v>
      </c>
      <c r="C2100" s="431">
        <v>44713</v>
      </c>
      <c r="D2100" s="415" t="s">
        <v>271</v>
      </c>
      <c r="E2100" s="415" t="s">
        <v>71</v>
      </c>
      <c r="F2100" s="425">
        <v>11</v>
      </c>
      <c r="G2100" s="427" t="s">
        <v>4840</v>
      </c>
      <c r="H2100" s="415" t="s">
        <v>310</v>
      </c>
      <c r="I2100" s="427" t="s">
        <v>881</v>
      </c>
      <c r="J2100" s="415" t="s">
        <v>882</v>
      </c>
      <c r="K2100" s="415" t="s">
        <v>883</v>
      </c>
      <c r="L2100" s="415" t="s">
        <v>798</v>
      </c>
      <c r="M2100" s="415" t="s">
        <v>310</v>
      </c>
      <c r="N2100" s="414">
        <v>44727</v>
      </c>
      <c r="O2100" s="414" t="s">
        <v>400</v>
      </c>
      <c r="P2100" s="603">
        <f t="shared" si="300"/>
        <v>6</v>
      </c>
      <c r="Q2100" s="603">
        <f t="shared" si="301"/>
        <v>6</v>
      </c>
      <c r="R2100" s="604" t="str">
        <f t="shared" si="302"/>
        <v>Gastos_Gerais</v>
      </c>
      <c r="S2100" s="605" t="s">
        <v>310</v>
      </c>
      <c r="T2100" s="605" t="s">
        <v>310</v>
      </c>
    </row>
    <row r="2101" spans="1:20" s="88" customFormat="1" ht="99.95" customHeight="1" x14ac:dyDescent="0.2">
      <c r="A2101" s="510">
        <f>IF(B2101="","",COUNT('Diário 1º PA'!$A$4:$A$2635)+ROW()-3)</f>
        <v>3834</v>
      </c>
      <c r="B2101" s="414">
        <v>44727</v>
      </c>
      <c r="C2101" s="431">
        <v>44713</v>
      </c>
      <c r="D2101" s="415" t="s">
        <v>271</v>
      </c>
      <c r="E2101" s="415" t="s">
        <v>71</v>
      </c>
      <c r="F2101" s="425">
        <v>11</v>
      </c>
      <c r="G2101" s="427" t="s">
        <v>4841</v>
      </c>
      <c r="H2101" s="415" t="s">
        <v>755</v>
      </c>
      <c r="I2101" s="427" t="s">
        <v>881</v>
      </c>
      <c r="J2101" s="415" t="s">
        <v>882</v>
      </c>
      <c r="K2101" s="415" t="s">
        <v>883</v>
      </c>
      <c r="L2101" s="415" t="s">
        <v>798</v>
      </c>
      <c r="M2101" s="415" t="s">
        <v>310</v>
      </c>
      <c r="N2101" s="414">
        <v>44727</v>
      </c>
      <c r="O2101" s="414" t="s">
        <v>400</v>
      </c>
      <c r="P2101" s="603">
        <f t="shared" si="300"/>
        <v>6</v>
      </c>
      <c r="Q2101" s="603">
        <f t="shared" si="301"/>
        <v>6</v>
      </c>
      <c r="R2101" s="604" t="str">
        <f t="shared" si="302"/>
        <v>Gastos_Gerais</v>
      </c>
      <c r="S2101" s="605" t="s">
        <v>310</v>
      </c>
      <c r="T2101" s="605" t="s">
        <v>310</v>
      </c>
    </row>
    <row r="2102" spans="1:20" ht="99.95" customHeight="1" x14ac:dyDescent="0.2">
      <c r="A2102" s="510">
        <f>IF(B2102="","",COUNT('Diário 1º PA'!$A$4:$A$2635)+ROW()-3)</f>
        <v>3835</v>
      </c>
      <c r="B2102" s="414">
        <v>44727</v>
      </c>
      <c r="C2102" s="431">
        <v>44682</v>
      </c>
      <c r="D2102" s="415" t="s">
        <v>468</v>
      </c>
      <c r="E2102" s="415" t="s">
        <v>468</v>
      </c>
      <c r="F2102" s="425">
        <v>1469.85</v>
      </c>
      <c r="G2102" s="427" t="s">
        <v>5656</v>
      </c>
      <c r="H2102" s="415" t="s">
        <v>468</v>
      </c>
      <c r="I2102" s="427" t="s">
        <v>4154</v>
      </c>
      <c r="J2102" s="415" t="s">
        <v>3816</v>
      </c>
      <c r="K2102" s="415" t="s">
        <v>830</v>
      </c>
      <c r="L2102" s="415" t="s">
        <v>807</v>
      </c>
      <c r="M2102" s="415" t="s">
        <v>1793</v>
      </c>
      <c r="N2102" s="414">
        <v>44726</v>
      </c>
      <c r="O2102" s="414" t="s">
        <v>407</v>
      </c>
      <c r="P2102" s="603">
        <f t="shared" ref="P2102:Q2109" si="315">IF(B2102=0,0,IF(YEAR(B2102)=$Q$1,MONTH(B2102)-$P$1+1,(YEAR(B2102)-$Q$1)*12-$P$1+1+MONTH(B2102)))</f>
        <v>6</v>
      </c>
      <c r="Q2102" s="603">
        <f t="shared" si="315"/>
        <v>5</v>
      </c>
      <c r="R2102" s="604" t="str">
        <f>SUBSTITUTE(D2102," ","_")</f>
        <v>Gastos_custeados_por_captação</v>
      </c>
      <c r="S2102" s="605" t="s">
        <v>998</v>
      </c>
      <c r="T2102" s="605">
        <v>3661</v>
      </c>
    </row>
    <row r="2103" spans="1:20" s="88" customFormat="1" ht="99.95" customHeight="1" x14ac:dyDescent="0.2">
      <c r="A2103" s="510">
        <f>IF(B2103="","",COUNT('Diário 1º PA'!$A$4:$A$2635)+ROW()-3)</f>
        <v>3836</v>
      </c>
      <c r="B2103" s="414">
        <v>44727</v>
      </c>
      <c r="C2103" s="431">
        <v>44713</v>
      </c>
      <c r="D2103" s="415" t="s">
        <v>468</v>
      </c>
      <c r="E2103" s="415" t="s">
        <v>468</v>
      </c>
      <c r="F2103" s="425">
        <v>47035.199999999997</v>
      </c>
      <c r="G2103" s="427" t="s">
        <v>4521</v>
      </c>
      <c r="H2103" s="415" t="s">
        <v>468</v>
      </c>
      <c r="I2103" s="427" t="s">
        <v>5557</v>
      </c>
      <c r="J2103" s="415" t="s">
        <v>3816</v>
      </c>
      <c r="K2103" s="415" t="s">
        <v>830</v>
      </c>
      <c r="L2103" s="415" t="s">
        <v>807</v>
      </c>
      <c r="M2103" s="415">
        <v>202213</v>
      </c>
      <c r="N2103" s="414">
        <v>44726</v>
      </c>
      <c r="O2103" s="414" t="s">
        <v>402</v>
      </c>
      <c r="P2103" s="603">
        <f t="shared" si="315"/>
        <v>6</v>
      </c>
      <c r="Q2103" s="603">
        <f t="shared" si="315"/>
        <v>6</v>
      </c>
      <c r="R2103" s="604" t="str">
        <f t="shared" ref="R2103:R2109" si="316">SUBSTITUTE(D2103," ","_")</f>
        <v>Gastos_custeados_por_captação</v>
      </c>
      <c r="S2103" s="605" t="s">
        <v>998</v>
      </c>
      <c r="T2103" s="605">
        <v>3846</v>
      </c>
    </row>
    <row r="2104" spans="1:20" s="88" customFormat="1" ht="99.95" customHeight="1" x14ac:dyDescent="0.2">
      <c r="A2104" s="510">
        <f>IF(B2104="","",COUNT('Diário 1º PA'!$A$4:$A$2635)+ROW()-3)</f>
        <v>3837</v>
      </c>
      <c r="B2104" s="414">
        <v>44727</v>
      </c>
      <c r="C2104" s="431">
        <v>44682</v>
      </c>
      <c r="D2104" s="415" t="s">
        <v>468</v>
      </c>
      <c r="E2104" s="415" t="s">
        <v>468</v>
      </c>
      <c r="F2104" s="425">
        <v>1482.97</v>
      </c>
      <c r="G2104" s="427" t="s">
        <v>552</v>
      </c>
      <c r="H2104" s="415" t="s">
        <v>468</v>
      </c>
      <c r="I2104" s="427" t="s">
        <v>1785</v>
      </c>
      <c r="J2104" s="415" t="s">
        <v>1044</v>
      </c>
      <c r="K2104" s="415" t="s">
        <v>830</v>
      </c>
      <c r="L2104" s="415" t="s">
        <v>807</v>
      </c>
      <c r="M2104" s="415">
        <v>20222575</v>
      </c>
      <c r="N2104" s="414">
        <v>44714</v>
      </c>
      <c r="O2104" s="414" t="s">
        <v>402</v>
      </c>
      <c r="P2104" s="603">
        <f t="shared" si="315"/>
        <v>6</v>
      </c>
      <c r="Q2104" s="603">
        <f t="shared" si="315"/>
        <v>5</v>
      </c>
      <c r="R2104" s="604" t="str">
        <f t="shared" si="316"/>
        <v>Gastos_custeados_por_captação</v>
      </c>
      <c r="S2104" s="605" t="s">
        <v>1000</v>
      </c>
      <c r="T2104" s="605">
        <v>1371</v>
      </c>
    </row>
    <row r="2105" spans="1:20" s="88" customFormat="1" ht="99.95" customHeight="1" x14ac:dyDescent="0.2">
      <c r="A2105" s="510">
        <f>IF(B2105="","",COUNT('Diário 1º PA'!$A$4:$A$2635)+ROW()-3)</f>
        <v>3838</v>
      </c>
      <c r="B2105" s="414">
        <v>44727</v>
      </c>
      <c r="C2105" s="431">
        <v>44713</v>
      </c>
      <c r="D2105" s="415" t="s">
        <v>468</v>
      </c>
      <c r="E2105" s="415" t="s">
        <v>468</v>
      </c>
      <c r="F2105" s="425">
        <v>1608.6</v>
      </c>
      <c r="G2105" s="427" t="s">
        <v>4465</v>
      </c>
      <c r="H2105" s="415" t="s">
        <v>468</v>
      </c>
      <c r="I2105" s="427" t="s">
        <v>5101</v>
      </c>
      <c r="J2105" s="415" t="s">
        <v>3730</v>
      </c>
      <c r="K2105" s="415" t="s">
        <v>830</v>
      </c>
      <c r="L2105" s="415" t="s">
        <v>807</v>
      </c>
      <c r="M2105" s="415">
        <v>195</v>
      </c>
      <c r="N2105" s="414">
        <v>44726</v>
      </c>
      <c r="O2105" s="414" t="s">
        <v>402</v>
      </c>
      <c r="P2105" s="603">
        <f t="shared" si="315"/>
        <v>6</v>
      </c>
      <c r="Q2105" s="603">
        <f t="shared" si="315"/>
        <v>6</v>
      </c>
      <c r="R2105" s="604" t="str">
        <f t="shared" si="316"/>
        <v>Gastos_custeados_por_captação</v>
      </c>
      <c r="S2105" s="605" t="s">
        <v>998</v>
      </c>
      <c r="T2105" s="605">
        <v>3847</v>
      </c>
    </row>
    <row r="2106" spans="1:20" s="88" customFormat="1" ht="99.95" customHeight="1" x14ac:dyDescent="0.2">
      <c r="A2106" s="510">
        <f>IF(B2106="","",COUNT('Diário 1º PA'!$A$4:$A$2635)+ROW()-3)</f>
        <v>3839</v>
      </c>
      <c r="B2106" s="414">
        <v>44727</v>
      </c>
      <c r="C2106" s="431">
        <v>44713</v>
      </c>
      <c r="D2106" s="415" t="s">
        <v>468</v>
      </c>
      <c r="E2106" s="415" t="s">
        <v>468</v>
      </c>
      <c r="F2106" s="425">
        <v>11</v>
      </c>
      <c r="G2106" s="427" t="s">
        <v>5404</v>
      </c>
      <c r="H2106" s="415" t="s">
        <v>468</v>
      </c>
      <c r="I2106" s="427" t="s">
        <v>881</v>
      </c>
      <c r="J2106" s="415" t="s">
        <v>882</v>
      </c>
      <c r="K2106" s="415" t="s">
        <v>883</v>
      </c>
      <c r="L2106" s="415" t="s">
        <v>798</v>
      </c>
      <c r="M2106" s="415" t="s">
        <v>310</v>
      </c>
      <c r="N2106" s="414">
        <v>44727</v>
      </c>
      <c r="O2106" s="414" t="s">
        <v>402</v>
      </c>
      <c r="P2106" s="603">
        <f t="shared" si="315"/>
        <v>6</v>
      </c>
      <c r="Q2106" s="603">
        <f t="shared" si="315"/>
        <v>6</v>
      </c>
      <c r="R2106" s="604" t="str">
        <f t="shared" si="316"/>
        <v>Gastos_custeados_por_captação</v>
      </c>
      <c r="S2106" s="605" t="s">
        <v>310</v>
      </c>
      <c r="T2106" s="605" t="s">
        <v>310</v>
      </c>
    </row>
    <row r="2107" spans="1:20" s="88" customFormat="1" ht="99.95" customHeight="1" x14ac:dyDescent="0.2">
      <c r="A2107" s="510">
        <f>IF(B2107="","",COUNT('Diário 1º PA'!$A$4:$A$2635)+ROW()-3)</f>
        <v>3840</v>
      </c>
      <c r="B2107" s="414">
        <v>44727</v>
      </c>
      <c r="C2107" s="431">
        <v>44713</v>
      </c>
      <c r="D2107" s="415" t="s">
        <v>468</v>
      </c>
      <c r="E2107" s="415" t="s">
        <v>468</v>
      </c>
      <c r="F2107" s="425">
        <v>11</v>
      </c>
      <c r="G2107" s="427" t="s">
        <v>5404</v>
      </c>
      <c r="H2107" s="415" t="s">
        <v>468</v>
      </c>
      <c r="I2107" s="427" t="s">
        <v>881</v>
      </c>
      <c r="J2107" s="415" t="s">
        <v>882</v>
      </c>
      <c r="K2107" s="415" t="s">
        <v>883</v>
      </c>
      <c r="L2107" s="415" t="s">
        <v>798</v>
      </c>
      <c r="M2107" s="415" t="s">
        <v>310</v>
      </c>
      <c r="N2107" s="414">
        <v>44727</v>
      </c>
      <c r="O2107" s="414" t="s">
        <v>402</v>
      </c>
      <c r="P2107" s="603">
        <f t="shared" si="315"/>
        <v>6</v>
      </c>
      <c r="Q2107" s="603">
        <f t="shared" si="315"/>
        <v>6</v>
      </c>
      <c r="R2107" s="604" t="str">
        <f t="shared" si="316"/>
        <v>Gastos_custeados_por_captação</v>
      </c>
      <c r="S2107" s="605" t="s">
        <v>310</v>
      </c>
      <c r="T2107" s="605" t="s">
        <v>310</v>
      </c>
    </row>
    <row r="2108" spans="1:20" s="88" customFormat="1" ht="36" x14ac:dyDescent="0.2">
      <c r="A2108" s="510">
        <f>IF(B2108="","",COUNT('Diário 1º PA'!$A$4:$A$2635)+ROW()-3)</f>
        <v>3841</v>
      </c>
      <c r="B2108" s="414">
        <v>44727</v>
      </c>
      <c r="C2108" s="431">
        <v>44682</v>
      </c>
      <c r="D2108" s="415" t="s">
        <v>468</v>
      </c>
      <c r="E2108" s="415" t="s">
        <v>468</v>
      </c>
      <c r="F2108" s="425">
        <v>5585.43</v>
      </c>
      <c r="G2108" s="427" t="s">
        <v>4099</v>
      </c>
      <c r="H2108" s="415" t="s">
        <v>468</v>
      </c>
      <c r="I2108" s="427" t="s">
        <v>5611</v>
      </c>
      <c r="J2108" s="415" t="s">
        <v>4100</v>
      </c>
      <c r="K2108" s="415" t="s">
        <v>830</v>
      </c>
      <c r="L2108" s="415" t="s">
        <v>807</v>
      </c>
      <c r="M2108" s="415" t="s">
        <v>1786</v>
      </c>
      <c r="N2108" s="414">
        <v>44726</v>
      </c>
      <c r="O2108" s="414" t="s">
        <v>408</v>
      </c>
      <c r="P2108" s="603">
        <f t="shared" si="315"/>
        <v>6</v>
      </c>
      <c r="Q2108" s="603">
        <f t="shared" si="315"/>
        <v>5</v>
      </c>
      <c r="R2108" s="604" t="str">
        <f t="shared" si="316"/>
        <v>Gastos_custeados_por_captação</v>
      </c>
      <c r="S2108" s="605" t="s">
        <v>1000</v>
      </c>
      <c r="T2108" s="605">
        <v>3699</v>
      </c>
    </row>
    <row r="2109" spans="1:20" s="88" customFormat="1" ht="36" x14ac:dyDescent="0.2">
      <c r="A2109" s="510">
        <f>IF(B2109="","",COUNT('Diário 1º PA'!$A$4:$A$2635)+ROW()-3)</f>
        <v>3842</v>
      </c>
      <c r="B2109" s="414">
        <v>44727</v>
      </c>
      <c r="C2109" s="431">
        <v>44713</v>
      </c>
      <c r="D2109" s="415" t="s">
        <v>468</v>
      </c>
      <c r="E2109" s="415" t="s">
        <v>468</v>
      </c>
      <c r="F2109" s="425">
        <v>11</v>
      </c>
      <c r="G2109" s="427" t="s">
        <v>5404</v>
      </c>
      <c r="H2109" s="415" t="s">
        <v>468</v>
      </c>
      <c r="I2109" s="427" t="s">
        <v>881</v>
      </c>
      <c r="J2109" s="415" t="s">
        <v>882</v>
      </c>
      <c r="K2109" s="415" t="s">
        <v>883</v>
      </c>
      <c r="L2109" s="415" t="s">
        <v>798</v>
      </c>
      <c r="M2109" s="415" t="s">
        <v>310</v>
      </c>
      <c r="N2109" s="414">
        <v>44727</v>
      </c>
      <c r="O2109" s="414" t="s">
        <v>408</v>
      </c>
      <c r="P2109" s="603">
        <f t="shared" si="315"/>
        <v>6</v>
      </c>
      <c r="Q2109" s="603">
        <f t="shared" si="315"/>
        <v>6</v>
      </c>
      <c r="R2109" s="604" t="str">
        <f t="shared" si="316"/>
        <v>Gastos_custeados_por_captação</v>
      </c>
      <c r="S2109" s="605" t="s">
        <v>310</v>
      </c>
      <c r="T2109" s="605" t="s">
        <v>310</v>
      </c>
    </row>
    <row r="2110" spans="1:20" s="88" customFormat="1" ht="60" x14ac:dyDescent="0.2">
      <c r="A2110" s="510">
        <f>IF(B2110="","",COUNT('Diário 1º PA'!$A$4:$A$2635)+ROW()-3)</f>
        <v>3843</v>
      </c>
      <c r="B2110" s="414">
        <v>44729</v>
      </c>
      <c r="C2110" s="431">
        <v>44682</v>
      </c>
      <c r="D2110" s="415" t="s">
        <v>271</v>
      </c>
      <c r="E2110" s="415" t="s">
        <v>141</v>
      </c>
      <c r="F2110" s="425">
        <v>999.9</v>
      </c>
      <c r="G2110" s="427" t="s">
        <v>4166</v>
      </c>
      <c r="H2110" s="415" t="s">
        <v>753</v>
      </c>
      <c r="I2110" s="427" t="s">
        <v>4842</v>
      </c>
      <c r="J2110" s="415" t="s">
        <v>1066</v>
      </c>
      <c r="K2110" s="415" t="s">
        <v>812</v>
      </c>
      <c r="L2110" s="415" t="s">
        <v>807</v>
      </c>
      <c r="M2110" s="415">
        <v>68957</v>
      </c>
      <c r="N2110" s="414">
        <v>44700</v>
      </c>
      <c r="O2110" s="414" t="s">
        <v>400</v>
      </c>
      <c r="P2110" s="603">
        <f t="shared" si="300"/>
        <v>6</v>
      </c>
      <c r="Q2110" s="603">
        <f t="shared" si="301"/>
        <v>5</v>
      </c>
      <c r="R2110" s="604" t="str">
        <f t="shared" si="302"/>
        <v>Gastos_Gerais</v>
      </c>
      <c r="S2110" s="605" t="s">
        <v>999</v>
      </c>
      <c r="T2110" s="605">
        <v>3713</v>
      </c>
    </row>
    <row r="2111" spans="1:20" s="88" customFormat="1" ht="60" x14ac:dyDescent="0.2">
      <c r="A2111" s="510">
        <f>IF(B2111="","",COUNT('Diário 1º PA'!$A$4:$A$2635)+ROW()-3)</f>
        <v>3844</v>
      </c>
      <c r="B2111" s="414">
        <v>44729</v>
      </c>
      <c r="C2111" s="431">
        <v>44682</v>
      </c>
      <c r="D2111" s="415" t="s">
        <v>468</v>
      </c>
      <c r="E2111" s="415" t="s">
        <v>468</v>
      </c>
      <c r="F2111" s="425">
        <v>898.16</v>
      </c>
      <c r="G2111" s="427" t="s">
        <v>4225</v>
      </c>
      <c r="H2111" s="415" t="s">
        <v>468</v>
      </c>
      <c r="I2111" s="427" t="s">
        <v>815</v>
      </c>
      <c r="J2111" s="415" t="s">
        <v>816</v>
      </c>
      <c r="K2111" s="415" t="s">
        <v>830</v>
      </c>
      <c r="L2111" s="415" t="s">
        <v>807</v>
      </c>
      <c r="M2111" s="415">
        <v>314581</v>
      </c>
      <c r="N2111" s="414">
        <v>44701</v>
      </c>
      <c r="O2111" s="414" t="s">
        <v>404</v>
      </c>
      <c r="P2111" s="603">
        <f>IF(B2111=0,0,IF(YEAR(B2111)=$Q$1,MONTH(B2111)-$P$1+1,(YEAR(B2111)-$Q$1)*12-$P$1+1+MONTH(B2111)))</f>
        <v>6</v>
      </c>
      <c r="Q2111" s="603">
        <f>IF(C2111=0,0,IF(YEAR(C2111)=$Q$1,MONTH(C2111)-$P$1+1,(YEAR(C2111)-$Q$1)*12-$P$1+1+MONTH(C2111)))</f>
        <v>5</v>
      </c>
      <c r="R2111" s="604" t="str">
        <f>SUBSTITUTE(D2111," ","_")</f>
        <v>Gastos_custeados_por_captação</v>
      </c>
      <c r="S2111" s="605" t="s">
        <v>999</v>
      </c>
      <c r="T2111" s="605">
        <v>3756</v>
      </c>
    </row>
    <row r="2112" spans="1:20" s="88" customFormat="1" ht="24" x14ac:dyDescent="0.2">
      <c r="A2112" s="510">
        <f>IF(B2112="","",COUNT('Diário 1º PA'!$A$4:$A$2635)+ROW()-3)</f>
        <v>3845</v>
      </c>
      <c r="B2112" s="414">
        <v>44732</v>
      </c>
      <c r="C2112" s="424">
        <v>44682</v>
      </c>
      <c r="D2112" s="415" t="s">
        <v>468</v>
      </c>
      <c r="E2112" s="415" t="s">
        <v>468</v>
      </c>
      <c r="F2112" s="425">
        <v>-2976</v>
      </c>
      <c r="G2112" s="427" t="s">
        <v>4843</v>
      </c>
      <c r="H2112" s="415" t="s">
        <v>468</v>
      </c>
      <c r="I2112" s="427" t="s">
        <v>795</v>
      </c>
      <c r="J2112" s="415" t="s">
        <v>796</v>
      </c>
      <c r="K2112" s="415" t="s">
        <v>797</v>
      </c>
      <c r="L2112" s="415" t="s">
        <v>798</v>
      </c>
      <c r="M2112" s="415" t="s">
        <v>310</v>
      </c>
      <c r="N2112" s="414">
        <v>44732</v>
      </c>
      <c r="O2112" s="414" t="s">
        <v>400</v>
      </c>
      <c r="P2112" s="603">
        <f t="shared" si="300"/>
        <v>6</v>
      </c>
      <c r="Q2112" s="603">
        <f t="shared" si="301"/>
        <v>5</v>
      </c>
      <c r="R2112" s="604" t="str">
        <f t="shared" si="302"/>
        <v>Gastos_custeados_por_captação</v>
      </c>
      <c r="S2112" s="605" t="s">
        <v>310</v>
      </c>
      <c r="T2112" s="605" t="s">
        <v>310</v>
      </c>
    </row>
    <row r="2113" spans="1:20" s="88" customFormat="1" ht="24" x14ac:dyDescent="0.2">
      <c r="A2113" s="510">
        <f>IF(B2113="","",COUNT('Diário 1º PA'!$A$4:$A$2635)+ROW()-3)</f>
        <v>3846</v>
      </c>
      <c r="B2113" s="414">
        <v>44732</v>
      </c>
      <c r="C2113" s="424">
        <v>44682</v>
      </c>
      <c r="D2113" s="415" t="s">
        <v>468</v>
      </c>
      <c r="E2113" s="415" t="s">
        <v>468</v>
      </c>
      <c r="F2113" s="425">
        <v>-3952.5</v>
      </c>
      <c r="G2113" s="427" t="s">
        <v>4844</v>
      </c>
      <c r="H2113" s="415" t="s">
        <v>468</v>
      </c>
      <c r="I2113" s="427" t="s">
        <v>795</v>
      </c>
      <c r="J2113" s="415" t="s">
        <v>796</v>
      </c>
      <c r="K2113" s="415" t="s">
        <v>797</v>
      </c>
      <c r="L2113" s="415" t="s">
        <v>798</v>
      </c>
      <c r="M2113" s="415" t="s">
        <v>310</v>
      </c>
      <c r="N2113" s="414">
        <v>44732</v>
      </c>
      <c r="O2113" s="414" t="s">
        <v>400</v>
      </c>
      <c r="P2113" s="603">
        <f t="shared" si="300"/>
        <v>6</v>
      </c>
      <c r="Q2113" s="603">
        <f t="shared" si="301"/>
        <v>5</v>
      </c>
      <c r="R2113" s="604" t="str">
        <f t="shared" si="302"/>
        <v>Gastos_custeados_por_captação</v>
      </c>
      <c r="S2113" s="605" t="s">
        <v>310</v>
      </c>
      <c r="T2113" s="605" t="s">
        <v>310</v>
      </c>
    </row>
    <row r="2114" spans="1:20" s="88" customFormat="1" ht="24" x14ac:dyDescent="0.2">
      <c r="A2114" s="510">
        <f>IF(B2114="","",COUNT('Diário 1º PA'!$A$4:$A$2635)+ROW()-3)</f>
        <v>3847</v>
      </c>
      <c r="B2114" s="414">
        <v>44732</v>
      </c>
      <c r="C2114" s="424">
        <v>44682</v>
      </c>
      <c r="D2114" s="415" t="s">
        <v>468</v>
      </c>
      <c r="E2114" s="415" t="s">
        <v>468</v>
      </c>
      <c r="F2114" s="425">
        <v>-531.96</v>
      </c>
      <c r="G2114" s="427" t="s">
        <v>4845</v>
      </c>
      <c r="H2114" s="415" t="s">
        <v>468</v>
      </c>
      <c r="I2114" s="427" t="s">
        <v>795</v>
      </c>
      <c r="J2114" s="415" t="s">
        <v>796</v>
      </c>
      <c r="K2114" s="415" t="s">
        <v>797</v>
      </c>
      <c r="L2114" s="415" t="s">
        <v>798</v>
      </c>
      <c r="M2114" s="415" t="s">
        <v>310</v>
      </c>
      <c r="N2114" s="414">
        <v>44732</v>
      </c>
      <c r="O2114" s="414" t="s">
        <v>400</v>
      </c>
      <c r="P2114" s="603">
        <f t="shared" si="300"/>
        <v>6</v>
      </c>
      <c r="Q2114" s="603">
        <f t="shared" si="301"/>
        <v>5</v>
      </c>
      <c r="R2114" s="604" t="str">
        <f t="shared" si="302"/>
        <v>Gastos_custeados_por_captação</v>
      </c>
      <c r="S2114" s="605" t="s">
        <v>310</v>
      </c>
      <c r="T2114" s="605" t="s">
        <v>310</v>
      </c>
    </row>
    <row r="2115" spans="1:20" s="88" customFormat="1" ht="36" x14ac:dyDescent="0.2">
      <c r="A2115" s="510">
        <f>IF(B2115="","",COUNT('Diário 1º PA'!$A$4:$A$2635)+ROW()-3)</f>
        <v>3848</v>
      </c>
      <c r="B2115" s="414">
        <v>44732</v>
      </c>
      <c r="C2115" s="424">
        <v>44682</v>
      </c>
      <c r="D2115" s="415" t="s">
        <v>182</v>
      </c>
      <c r="E2115" s="415" t="s">
        <v>1</v>
      </c>
      <c r="F2115" s="425">
        <v>-3203.98</v>
      </c>
      <c r="G2115" s="427" t="s">
        <v>4846</v>
      </c>
      <c r="H2115" s="415" t="s">
        <v>310</v>
      </c>
      <c r="I2115" s="427" t="s">
        <v>795</v>
      </c>
      <c r="J2115" s="415" t="s">
        <v>796</v>
      </c>
      <c r="K2115" s="415" t="s">
        <v>797</v>
      </c>
      <c r="L2115" s="415" t="s">
        <v>798</v>
      </c>
      <c r="M2115" s="415" t="s">
        <v>310</v>
      </c>
      <c r="N2115" s="414">
        <v>44732</v>
      </c>
      <c r="O2115" s="414" t="s">
        <v>400</v>
      </c>
      <c r="P2115" s="603">
        <f t="shared" si="300"/>
        <v>6</v>
      </c>
      <c r="Q2115" s="603">
        <f t="shared" si="301"/>
        <v>5</v>
      </c>
      <c r="R2115" s="604" t="str">
        <f t="shared" si="302"/>
        <v>Gastos_com_Pessoal</v>
      </c>
      <c r="S2115" s="605" t="s">
        <v>310</v>
      </c>
      <c r="T2115" s="605" t="s">
        <v>310</v>
      </c>
    </row>
    <row r="2116" spans="1:20" s="88" customFormat="1" ht="36" x14ac:dyDescent="0.2">
      <c r="A2116" s="510">
        <f>IF(B2116="","",COUNT('Diário 1º PA'!$A$4:$A$2635)+ROW()-3)</f>
        <v>3849</v>
      </c>
      <c r="B2116" s="414">
        <v>44732</v>
      </c>
      <c r="C2116" s="424">
        <v>44682</v>
      </c>
      <c r="D2116" s="415" t="s">
        <v>182</v>
      </c>
      <c r="E2116" s="415" t="s">
        <v>252</v>
      </c>
      <c r="F2116" s="425">
        <v>-8054.88</v>
      </c>
      <c r="G2116" s="427" t="s">
        <v>4847</v>
      </c>
      <c r="H2116" s="415" t="s">
        <v>310</v>
      </c>
      <c r="I2116" s="427" t="s">
        <v>795</v>
      </c>
      <c r="J2116" s="415" t="s">
        <v>796</v>
      </c>
      <c r="K2116" s="415" t="s">
        <v>797</v>
      </c>
      <c r="L2116" s="415" t="s">
        <v>798</v>
      </c>
      <c r="M2116" s="415" t="s">
        <v>310</v>
      </c>
      <c r="N2116" s="414">
        <v>44732</v>
      </c>
      <c r="O2116" s="414" t="s">
        <v>400</v>
      </c>
      <c r="P2116" s="603">
        <f t="shared" si="300"/>
        <v>6</v>
      </c>
      <c r="Q2116" s="603">
        <f t="shared" si="301"/>
        <v>5</v>
      </c>
      <c r="R2116" s="604" t="str">
        <f t="shared" si="302"/>
        <v>Gastos_com_Pessoal</v>
      </c>
      <c r="S2116" s="605" t="s">
        <v>310</v>
      </c>
      <c r="T2116" s="605" t="s">
        <v>310</v>
      </c>
    </row>
    <row r="2117" spans="1:20" s="88" customFormat="1" ht="36" x14ac:dyDescent="0.2">
      <c r="A2117" s="510">
        <f>IF(B2117="","",COUNT('Diário 1º PA'!$A$4:$A$2635)+ROW()-3)</f>
        <v>3850</v>
      </c>
      <c r="B2117" s="414">
        <v>44732</v>
      </c>
      <c r="C2117" s="424">
        <v>44682</v>
      </c>
      <c r="D2117" s="415" t="s">
        <v>271</v>
      </c>
      <c r="E2117" s="415" t="s">
        <v>90</v>
      </c>
      <c r="F2117" s="425">
        <v>-1740.5</v>
      </c>
      <c r="G2117" s="427" t="s">
        <v>4848</v>
      </c>
      <c r="H2117" s="415" t="s">
        <v>310</v>
      </c>
      <c r="I2117" s="427" t="s">
        <v>795</v>
      </c>
      <c r="J2117" s="415" t="s">
        <v>796</v>
      </c>
      <c r="K2117" s="415" t="s">
        <v>797</v>
      </c>
      <c r="L2117" s="415" t="s">
        <v>798</v>
      </c>
      <c r="M2117" s="415" t="s">
        <v>310</v>
      </c>
      <c r="N2117" s="414">
        <v>44732</v>
      </c>
      <c r="O2117" s="414" t="s">
        <v>400</v>
      </c>
      <c r="P2117" s="603">
        <f t="shared" si="300"/>
        <v>6</v>
      </c>
      <c r="Q2117" s="603">
        <f t="shared" si="301"/>
        <v>5</v>
      </c>
      <c r="R2117" s="604" t="str">
        <f t="shared" si="302"/>
        <v>Gastos_Gerais</v>
      </c>
      <c r="S2117" s="605" t="s">
        <v>310</v>
      </c>
      <c r="T2117" s="605" t="s">
        <v>310</v>
      </c>
    </row>
    <row r="2118" spans="1:20" s="88" customFormat="1" ht="48" x14ac:dyDescent="0.2">
      <c r="A2118" s="510">
        <f>IF(B2118="","",COUNT('Diário 1º PA'!$A$4:$A$2635)+ROW()-3)</f>
        <v>3851</v>
      </c>
      <c r="B2118" s="414">
        <v>44732</v>
      </c>
      <c r="C2118" s="424">
        <v>44682</v>
      </c>
      <c r="D2118" s="415" t="s">
        <v>271</v>
      </c>
      <c r="E2118" s="415" t="s">
        <v>326</v>
      </c>
      <c r="F2118" s="425">
        <v>-396.15</v>
      </c>
      <c r="G2118" s="427" t="s">
        <v>4849</v>
      </c>
      <c r="H2118" s="415" t="s">
        <v>309</v>
      </c>
      <c r="I2118" s="427" t="s">
        <v>795</v>
      </c>
      <c r="J2118" s="415" t="s">
        <v>796</v>
      </c>
      <c r="K2118" s="415" t="s">
        <v>797</v>
      </c>
      <c r="L2118" s="415" t="s">
        <v>798</v>
      </c>
      <c r="M2118" s="415" t="s">
        <v>310</v>
      </c>
      <c r="N2118" s="414">
        <v>44732</v>
      </c>
      <c r="O2118" s="414" t="s">
        <v>400</v>
      </c>
      <c r="P2118" s="603">
        <f t="shared" si="300"/>
        <v>6</v>
      </c>
      <c r="Q2118" s="603">
        <f t="shared" si="301"/>
        <v>5</v>
      </c>
      <c r="R2118" s="604" t="str">
        <f t="shared" si="302"/>
        <v>Gastos_Gerais</v>
      </c>
      <c r="S2118" s="605" t="s">
        <v>310</v>
      </c>
      <c r="T2118" s="605" t="s">
        <v>310</v>
      </c>
    </row>
    <row r="2119" spans="1:20" s="88" customFormat="1" ht="24" x14ac:dyDescent="0.2">
      <c r="A2119" s="510">
        <f>IF(B2119="","",COUNT('Diário 1º PA'!$A$4:$A$2635)+ROW()-3)</f>
        <v>3852</v>
      </c>
      <c r="B2119" s="414">
        <v>44732</v>
      </c>
      <c r="C2119" s="424">
        <v>44682</v>
      </c>
      <c r="D2119" s="415" t="s">
        <v>468</v>
      </c>
      <c r="E2119" s="415" t="s">
        <v>468</v>
      </c>
      <c r="F2119" s="425">
        <v>-930</v>
      </c>
      <c r="G2119" s="427" t="s">
        <v>4850</v>
      </c>
      <c r="H2119" s="415" t="s">
        <v>468</v>
      </c>
      <c r="I2119" s="427" t="s">
        <v>795</v>
      </c>
      <c r="J2119" s="415" t="s">
        <v>796</v>
      </c>
      <c r="K2119" s="415" t="s">
        <v>797</v>
      </c>
      <c r="L2119" s="415" t="s">
        <v>798</v>
      </c>
      <c r="M2119" s="415" t="s">
        <v>310</v>
      </c>
      <c r="N2119" s="414">
        <v>44732</v>
      </c>
      <c r="O2119" s="414" t="s">
        <v>400</v>
      </c>
      <c r="P2119" s="603">
        <f t="shared" si="300"/>
        <v>6</v>
      </c>
      <c r="Q2119" s="603">
        <f t="shared" si="301"/>
        <v>5</v>
      </c>
      <c r="R2119" s="604" t="str">
        <f t="shared" si="302"/>
        <v>Gastos_custeados_por_captação</v>
      </c>
      <c r="S2119" s="605" t="s">
        <v>310</v>
      </c>
      <c r="T2119" s="605" t="s">
        <v>310</v>
      </c>
    </row>
    <row r="2120" spans="1:20" s="88" customFormat="1" ht="24" x14ac:dyDescent="0.2">
      <c r="A2120" s="510">
        <f>IF(B2120="","",COUNT('Diário 1º PA'!$A$4:$A$2635)+ROW()-3)</f>
        <v>3853</v>
      </c>
      <c r="B2120" s="414">
        <v>44732</v>
      </c>
      <c r="C2120" s="424">
        <v>44652</v>
      </c>
      <c r="D2120" s="415" t="s">
        <v>468</v>
      </c>
      <c r="E2120" s="415" t="s">
        <v>468</v>
      </c>
      <c r="F2120" s="425">
        <v>-1564.2</v>
      </c>
      <c r="G2120" s="427" t="s">
        <v>4851</v>
      </c>
      <c r="H2120" s="415" t="s">
        <v>468</v>
      </c>
      <c r="I2120" s="427" t="s">
        <v>795</v>
      </c>
      <c r="J2120" s="415" t="s">
        <v>796</v>
      </c>
      <c r="K2120" s="415" t="s">
        <v>797</v>
      </c>
      <c r="L2120" s="415" t="s">
        <v>798</v>
      </c>
      <c r="M2120" s="415" t="s">
        <v>310</v>
      </c>
      <c r="N2120" s="414">
        <v>44732</v>
      </c>
      <c r="O2120" s="414" t="s">
        <v>400</v>
      </c>
      <c r="P2120" s="603">
        <f t="shared" si="300"/>
        <v>6</v>
      </c>
      <c r="Q2120" s="603">
        <f t="shared" si="301"/>
        <v>4</v>
      </c>
      <c r="R2120" s="604" t="str">
        <f t="shared" si="302"/>
        <v>Gastos_custeados_por_captação</v>
      </c>
      <c r="S2120" s="605" t="s">
        <v>310</v>
      </c>
      <c r="T2120" s="605" t="s">
        <v>310</v>
      </c>
    </row>
    <row r="2121" spans="1:20" s="88" customFormat="1" ht="24" x14ac:dyDescent="0.2">
      <c r="A2121" s="510">
        <f>IF(B2121="","",COUNT('Diário 1º PA'!$A$4:$A$2635)+ROW()-3)</f>
        <v>3854</v>
      </c>
      <c r="B2121" s="414">
        <v>44732</v>
      </c>
      <c r="C2121" s="424">
        <v>44682</v>
      </c>
      <c r="D2121" s="415" t="s">
        <v>468</v>
      </c>
      <c r="E2121" s="415" t="s">
        <v>468</v>
      </c>
      <c r="F2121" s="425">
        <v>-36540.230000000003</v>
      </c>
      <c r="G2121" s="427" t="s">
        <v>4851</v>
      </c>
      <c r="H2121" s="415" t="s">
        <v>468</v>
      </c>
      <c r="I2121" s="427" t="s">
        <v>795</v>
      </c>
      <c r="J2121" s="415" t="s">
        <v>796</v>
      </c>
      <c r="K2121" s="415" t="s">
        <v>797</v>
      </c>
      <c r="L2121" s="415" t="s">
        <v>798</v>
      </c>
      <c r="M2121" s="415" t="s">
        <v>310</v>
      </c>
      <c r="N2121" s="414">
        <v>44732</v>
      </c>
      <c r="O2121" s="414" t="s">
        <v>400</v>
      </c>
      <c r="P2121" s="603">
        <f t="shared" si="300"/>
        <v>6</v>
      </c>
      <c r="Q2121" s="603">
        <f t="shared" si="301"/>
        <v>5</v>
      </c>
      <c r="R2121" s="604" t="str">
        <f t="shared" si="302"/>
        <v>Gastos_custeados_por_captação</v>
      </c>
      <c r="S2121" s="605" t="s">
        <v>310</v>
      </c>
      <c r="T2121" s="605" t="s">
        <v>310</v>
      </c>
    </row>
    <row r="2122" spans="1:20" s="88" customFormat="1" ht="24" x14ac:dyDescent="0.2">
      <c r="A2122" s="510">
        <f>IF(B2122="","",COUNT('Diário 1º PA'!$A$4:$A$2635)+ROW()-3)</f>
        <v>3855</v>
      </c>
      <c r="B2122" s="414">
        <v>44732</v>
      </c>
      <c r="C2122" s="424">
        <v>44682</v>
      </c>
      <c r="D2122" s="415" t="s">
        <v>468</v>
      </c>
      <c r="E2122" s="415" t="s">
        <v>468</v>
      </c>
      <c r="F2122" s="425">
        <v>-499.32</v>
      </c>
      <c r="G2122" s="427" t="s">
        <v>4852</v>
      </c>
      <c r="H2122" s="415" t="s">
        <v>468</v>
      </c>
      <c r="I2122" s="427" t="s">
        <v>795</v>
      </c>
      <c r="J2122" s="415" t="s">
        <v>796</v>
      </c>
      <c r="K2122" s="415" t="s">
        <v>797</v>
      </c>
      <c r="L2122" s="415" t="s">
        <v>798</v>
      </c>
      <c r="M2122" s="415" t="s">
        <v>310</v>
      </c>
      <c r="N2122" s="414">
        <v>44732</v>
      </c>
      <c r="O2122" s="414" t="s">
        <v>400</v>
      </c>
      <c r="P2122" s="603">
        <f t="shared" si="300"/>
        <v>6</v>
      </c>
      <c r="Q2122" s="603">
        <f t="shared" si="301"/>
        <v>5</v>
      </c>
      <c r="R2122" s="604" t="str">
        <f t="shared" si="302"/>
        <v>Gastos_custeados_por_captação</v>
      </c>
      <c r="S2122" s="605" t="s">
        <v>310</v>
      </c>
      <c r="T2122" s="605" t="s">
        <v>310</v>
      </c>
    </row>
    <row r="2123" spans="1:20" s="88" customFormat="1" ht="24" x14ac:dyDescent="0.2">
      <c r="A2123" s="510">
        <f>IF(B2123="","",COUNT('Diário 1º PA'!$A$4:$A$2635)+ROW()-3)</f>
        <v>3856</v>
      </c>
      <c r="B2123" s="414">
        <v>44732</v>
      </c>
      <c r="C2123" s="424">
        <v>44682</v>
      </c>
      <c r="D2123" s="415" t="s">
        <v>468</v>
      </c>
      <c r="E2123" s="415" t="s">
        <v>468</v>
      </c>
      <c r="F2123" s="425">
        <v>-2170</v>
      </c>
      <c r="G2123" s="427" t="s">
        <v>4853</v>
      </c>
      <c r="H2123" s="415" t="s">
        <v>468</v>
      </c>
      <c r="I2123" s="427" t="s">
        <v>795</v>
      </c>
      <c r="J2123" s="415" t="s">
        <v>796</v>
      </c>
      <c r="K2123" s="415" t="s">
        <v>797</v>
      </c>
      <c r="L2123" s="415" t="s">
        <v>798</v>
      </c>
      <c r="M2123" s="415" t="s">
        <v>310</v>
      </c>
      <c r="N2123" s="414">
        <v>44732</v>
      </c>
      <c r="O2123" s="414" t="s">
        <v>400</v>
      </c>
      <c r="P2123" s="603">
        <f t="shared" si="300"/>
        <v>6</v>
      </c>
      <c r="Q2123" s="603">
        <f t="shared" si="301"/>
        <v>5</v>
      </c>
      <c r="R2123" s="604" t="str">
        <f t="shared" ref="R2123:R2186" si="317">SUBSTITUTE(D2123," ","_")</f>
        <v>Gastos_custeados_por_captação</v>
      </c>
      <c r="S2123" s="605" t="s">
        <v>310</v>
      </c>
      <c r="T2123" s="605" t="s">
        <v>310</v>
      </c>
    </row>
    <row r="2124" spans="1:20" s="88" customFormat="1" ht="24" x14ac:dyDescent="0.2">
      <c r="A2124" s="510">
        <f>IF(B2124="","",COUNT('Diário 1º PA'!$A$4:$A$2635)+ROW()-3)</f>
        <v>3857</v>
      </c>
      <c r="B2124" s="414">
        <v>44732</v>
      </c>
      <c r="C2124" s="424">
        <v>44682</v>
      </c>
      <c r="D2124" s="415" t="s">
        <v>468</v>
      </c>
      <c r="E2124" s="415" t="s">
        <v>468</v>
      </c>
      <c r="F2124" s="425">
        <v>-7267.09</v>
      </c>
      <c r="G2124" s="427" t="s">
        <v>4854</v>
      </c>
      <c r="H2124" s="415" t="s">
        <v>468</v>
      </c>
      <c r="I2124" s="427" t="s">
        <v>795</v>
      </c>
      <c r="J2124" s="415" t="s">
        <v>796</v>
      </c>
      <c r="K2124" s="415" t="s">
        <v>797</v>
      </c>
      <c r="L2124" s="415" t="s">
        <v>798</v>
      </c>
      <c r="M2124" s="415" t="s">
        <v>310</v>
      </c>
      <c r="N2124" s="414">
        <v>44732</v>
      </c>
      <c r="O2124" s="414" t="s">
        <v>400</v>
      </c>
      <c r="P2124" s="603">
        <f t="shared" ref="P2124:P2187" si="318">IF(B2124=0,0,IF(YEAR(B2124)=$Q$1,MONTH(B2124)-$P$1+1,(YEAR(B2124)-$Q$1)*12-$P$1+1+MONTH(B2124)))</f>
        <v>6</v>
      </c>
      <c r="Q2124" s="603">
        <f t="shared" ref="Q2124:Q2187" si="319">IF(C2124=0,0,IF(YEAR(C2124)=$Q$1,MONTH(C2124)-$P$1+1,(YEAR(C2124)-$Q$1)*12-$P$1+1+MONTH(C2124)))</f>
        <v>5</v>
      </c>
      <c r="R2124" s="604" t="str">
        <f t="shared" si="317"/>
        <v>Gastos_custeados_por_captação</v>
      </c>
      <c r="S2124" s="605" t="s">
        <v>310</v>
      </c>
      <c r="T2124" s="605" t="s">
        <v>310</v>
      </c>
    </row>
    <row r="2125" spans="1:20" s="88" customFormat="1" ht="24" x14ac:dyDescent="0.2">
      <c r="A2125" s="510">
        <f>IF(B2125="","",COUNT('Diário 1º PA'!$A$4:$A$2635)+ROW()-3)</f>
        <v>3858</v>
      </c>
      <c r="B2125" s="414">
        <v>44732</v>
      </c>
      <c r="C2125" s="424">
        <v>44652</v>
      </c>
      <c r="D2125" s="415" t="s">
        <v>182</v>
      </c>
      <c r="E2125" s="415" t="s">
        <v>1</v>
      </c>
      <c r="F2125" s="425">
        <v>7395.95</v>
      </c>
      <c r="G2125" s="427" t="s">
        <v>3905</v>
      </c>
      <c r="H2125" s="415" t="s">
        <v>310</v>
      </c>
      <c r="I2125" s="427" t="s">
        <v>1461</v>
      </c>
      <c r="J2125" s="415" t="s">
        <v>310</v>
      </c>
      <c r="K2125" s="415" t="s">
        <v>1220</v>
      </c>
      <c r="L2125" s="415" t="s">
        <v>1368</v>
      </c>
      <c r="M2125" s="415" t="s">
        <v>310</v>
      </c>
      <c r="N2125" s="414">
        <v>44732</v>
      </c>
      <c r="O2125" s="414" t="s">
        <v>400</v>
      </c>
      <c r="P2125" s="603">
        <f t="shared" si="318"/>
        <v>6</v>
      </c>
      <c r="Q2125" s="603">
        <f t="shared" si="319"/>
        <v>4</v>
      </c>
      <c r="R2125" s="604" t="str">
        <f t="shared" si="317"/>
        <v>Gastos_com_Pessoal</v>
      </c>
      <c r="S2125" s="605" t="s">
        <v>310</v>
      </c>
      <c r="T2125" s="605" t="s">
        <v>310</v>
      </c>
    </row>
    <row r="2126" spans="1:20" s="88" customFormat="1" ht="24" x14ac:dyDescent="0.2">
      <c r="A2126" s="510">
        <f>IF(B2126="","",COUNT('Diário 1º PA'!$A$4:$A$2635)+ROW()-3)</f>
        <v>3859</v>
      </c>
      <c r="B2126" s="414">
        <v>44732</v>
      </c>
      <c r="C2126" s="431">
        <v>44682</v>
      </c>
      <c r="D2126" s="415" t="s">
        <v>271</v>
      </c>
      <c r="E2126" s="415" t="s">
        <v>326</v>
      </c>
      <c r="F2126" s="425">
        <v>1434.3</v>
      </c>
      <c r="G2126" s="427" t="s">
        <v>4855</v>
      </c>
      <c r="H2126" s="415" t="s">
        <v>309</v>
      </c>
      <c r="I2126" s="427" t="s">
        <v>4856</v>
      </c>
      <c r="J2126" s="415" t="s">
        <v>3604</v>
      </c>
      <c r="K2126" s="415" t="s">
        <v>812</v>
      </c>
      <c r="L2126" s="415" t="s">
        <v>807</v>
      </c>
      <c r="M2126" s="415" t="s">
        <v>4857</v>
      </c>
      <c r="N2126" s="414">
        <v>44719</v>
      </c>
      <c r="O2126" s="414" t="s">
        <v>400</v>
      </c>
      <c r="P2126" s="603">
        <f t="shared" si="318"/>
        <v>6</v>
      </c>
      <c r="Q2126" s="603">
        <f t="shared" si="319"/>
        <v>5</v>
      </c>
      <c r="R2126" s="604" t="str">
        <f t="shared" si="317"/>
        <v>Gastos_Gerais</v>
      </c>
      <c r="S2126" s="605" t="s">
        <v>1000</v>
      </c>
      <c r="T2126" s="605">
        <v>3559</v>
      </c>
    </row>
    <row r="2127" spans="1:20" s="88" customFormat="1" ht="24" x14ac:dyDescent="0.2">
      <c r="A2127" s="510">
        <f>IF(B2127="","",COUNT('Diário 1º PA'!$A$4:$A$2635)+ROW()-3)</f>
        <v>3860</v>
      </c>
      <c r="B2127" s="414">
        <v>44732</v>
      </c>
      <c r="C2127" s="433">
        <v>44652</v>
      </c>
      <c r="D2127" s="415" t="s">
        <v>182</v>
      </c>
      <c r="E2127" s="415" t="s">
        <v>179</v>
      </c>
      <c r="F2127" s="425">
        <v>29.17</v>
      </c>
      <c r="G2127" s="427" t="s">
        <v>3703</v>
      </c>
      <c r="H2127" s="415" t="s">
        <v>310</v>
      </c>
      <c r="I2127" s="427" t="s">
        <v>1461</v>
      </c>
      <c r="J2127" s="415" t="s">
        <v>310</v>
      </c>
      <c r="K2127" s="415" t="s">
        <v>1220</v>
      </c>
      <c r="L2127" s="415" t="s">
        <v>1368</v>
      </c>
      <c r="M2127" s="415" t="s">
        <v>310</v>
      </c>
      <c r="N2127" s="414">
        <v>44732</v>
      </c>
      <c r="O2127" s="414" t="s">
        <v>400</v>
      </c>
      <c r="P2127" s="603">
        <f t="shared" si="318"/>
        <v>6</v>
      </c>
      <c r="Q2127" s="603">
        <f t="shared" si="319"/>
        <v>4</v>
      </c>
      <c r="R2127" s="604" t="str">
        <f t="shared" si="317"/>
        <v>Gastos_com_Pessoal</v>
      </c>
      <c r="S2127" s="605" t="s">
        <v>310</v>
      </c>
      <c r="T2127" s="605" t="s">
        <v>310</v>
      </c>
    </row>
    <row r="2128" spans="1:20" s="88" customFormat="1" ht="24" x14ac:dyDescent="0.2">
      <c r="A2128" s="510">
        <f>IF(B2128="","",COUNT('Diário 1º PA'!$A$4:$A$2635)+ROW()-3)</f>
        <v>3861</v>
      </c>
      <c r="B2128" s="414">
        <v>44732</v>
      </c>
      <c r="C2128" s="421">
        <v>44652</v>
      </c>
      <c r="D2128" s="415" t="s">
        <v>271</v>
      </c>
      <c r="E2128" s="415" t="s">
        <v>59</v>
      </c>
      <c r="F2128" s="425">
        <v>395.25</v>
      </c>
      <c r="G2128" s="427" t="s">
        <v>3799</v>
      </c>
      <c r="H2128" s="415" t="s">
        <v>309</v>
      </c>
      <c r="I2128" s="427" t="s">
        <v>1461</v>
      </c>
      <c r="J2128" s="415" t="s">
        <v>310</v>
      </c>
      <c r="K2128" s="415" t="s">
        <v>1220</v>
      </c>
      <c r="L2128" s="415" t="s">
        <v>1368</v>
      </c>
      <c r="M2128" s="415" t="s">
        <v>310</v>
      </c>
      <c r="N2128" s="414">
        <v>44732</v>
      </c>
      <c r="O2128" s="414" t="s">
        <v>400</v>
      </c>
      <c r="P2128" s="603">
        <f t="shared" si="318"/>
        <v>6</v>
      </c>
      <c r="Q2128" s="603">
        <f t="shared" si="319"/>
        <v>4</v>
      </c>
      <c r="R2128" s="604" t="str">
        <f t="shared" si="317"/>
        <v>Gastos_Gerais</v>
      </c>
      <c r="S2128" s="605" t="s">
        <v>310</v>
      </c>
      <c r="T2128" s="605" t="s">
        <v>310</v>
      </c>
    </row>
    <row r="2129" spans="1:20" s="88" customFormat="1" ht="24" x14ac:dyDescent="0.2">
      <c r="A2129" s="510">
        <f>IF(B2129="","",COUNT('Diário 1º PA'!$A$4:$A$2635)+ROW()-3)</f>
        <v>3862</v>
      </c>
      <c r="B2129" s="414">
        <v>44732</v>
      </c>
      <c r="C2129" s="431">
        <v>44652</v>
      </c>
      <c r="D2129" s="415" t="s">
        <v>271</v>
      </c>
      <c r="E2129" s="415" t="s">
        <v>205</v>
      </c>
      <c r="F2129" s="425">
        <v>784.58</v>
      </c>
      <c r="G2129" s="427" t="s">
        <v>4078</v>
      </c>
      <c r="H2129" s="415" t="s">
        <v>792</v>
      </c>
      <c r="I2129" s="427" t="s">
        <v>1461</v>
      </c>
      <c r="J2129" s="415" t="s">
        <v>310</v>
      </c>
      <c r="K2129" s="415" t="s">
        <v>1220</v>
      </c>
      <c r="L2129" s="415" t="s">
        <v>1368</v>
      </c>
      <c r="M2129" s="415" t="s">
        <v>310</v>
      </c>
      <c r="N2129" s="414">
        <v>44732</v>
      </c>
      <c r="O2129" s="414" t="s">
        <v>400</v>
      </c>
      <c r="P2129" s="603">
        <f t="shared" si="318"/>
        <v>6</v>
      </c>
      <c r="Q2129" s="603">
        <f t="shared" si="319"/>
        <v>4</v>
      </c>
      <c r="R2129" s="604" t="str">
        <f t="shared" si="317"/>
        <v>Gastos_Gerais</v>
      </c>
      <c r="S2129" s="605" t="s">
        <v>310</v>
      </c>
      <c r="T2129" s="605" t="s">
        <v>310</v>
      </c>
    </row>
    <row r="2130" spans="1:20" s="88" customFormat="1" ht="24" x14ac:dyDescent="0.2">
      <c r="A2130" s="510">
        <f>IF(B2130="","",COUNT('Diário 1º PA'!$A$4:$A$2635)+ROW()-3)</f>
        <v>3863</v>
      </c>
      <c r="B2130" s="414">
        <v>44732</v>
      </c>
      <c r="C2130" s="431">
        <v>44652</v>
      </c>
      <c r="D2130" s="415" t="s">
        <v>271</v>
      </c>
      <c r="E2130" s="415" t="s">
        <v>456</v>
      </c>
      <c r="F2130" s="425">
        <v>825</v>
      </c>
      <c r="G2130" s="427" t="s">
        <v>4086</v>
      </c>
      <c r="H2130" s="415" t="s">
        <v>792</v>
      </c>
      <c r="I2130" s="427" t="s">
        <v>1461</v>
      </c>
      <c r="J2130" s="415" t="s">
        <v>310</v>
      </c>
      <c r="K2130" s="415" t="s">
        <v>1220</v>
      </c>
      <c r="L2130" s="415" t="s">
        <v>1368</v>
      </c>
      <c r="M2130" s="415" t="s">
        <v>310</v>
      </c>
      <c r="N2130" s="414">
        <v>44732</v>
      </c>
      <c r="O2130" s="414" t="s">
        <v>400</v>
      </c>
      <c r="P2130" s="603">
        <f t="shared" si="318"/>
        <v>6</v>
      </c>
      <c r="Q2130" s="603">
        <f t="shared" si="319"/>
        <v>4</v>
      </c>
      <c r="R2130" s="604" t="str">
        <f t="shared" si="317"/>
        <v>Gastos_Gerais</v>
      </c>
      <c r="S2130" s="605" t="s">
        <v>310</v>
      </c>
      <c r="T2130" s="605" t="s">
        <v>310</v>
      </c>
    </row>
    <row r="2131" spans="1:20" s="88" customFormat="1" ht="24" x14ac:dyDescent="0.2">
      <c r="A2131" s="510">
        <f>IF(B2131="","",COUNT('Diário 1º PA'!$A$4:$A$2635)+ROW()-3)</f>
        <v>3864</v>
      </c>
      <c r="B2131" s="414">
        <v>44732</v>
      </c>
      <c r="C2131" s="431">
        <v>44652</v>
      </c>
      <c r="D2131" s="415" t="s">
        <v>271</v>
      </c>
      <c r="E2131" s="415" t="s">
        <v>456</v>
      </c>
      <c r="F2131" s="425">
        <v>1732.5</v>
      </c>
      <c r="G2131" s="427" t="s">
        <v>4858</v>
      </c>
      <c r="H2131" s="415" t="s">
        <v>792</v>
      </c>
      <c r="I2131" s="427" t="s">
        <v>1461</v>
      </c>
      <c r="J2131" s="415" t="s">
        <v>310</v>
      </c>
      <c r="K2131" s="415" t="s">
        <v>1220</v>
      </c>
      <c r="L2131" s="415" t="s">
        <v>1368</v>
      </c>
      <c r="M2131" s="415" t="s">
        <v>310</v>
      </c>
      <c r="N2131" s="414">
        <v>44732</v>
      </c>
      <c r="O2131" s="414" t="s">
        <v>400</v>
      </c>
      <c r="P2131" s="603">
        <f t="shared" si="318"/>
        <v>6</v>
      </c>
      <c r="Q2131" s="603">
        <f t="shared" si="319"/>
        <v>4</v>
      </c>
      <c r="R2131" s="604" t="str">
        <f t="shared" si="317"/>
        <v>Gastos_Gerais</v>
      </c>
      <c r="S2131" s="605" t="s">
        <v>310</v>
      </c>
      <c r="T2131" s="605" t="s">
        <v>310</v>
      </c>
    </row>
    <row r="2132" spans="1:20" s="88" customFormat="1" ht="24" x14ac:dyDescent="0.2">
      <c r="A2132" s="510">
        <f>IF(B2132="","",COUNT('Diário 1º PA'!$A$4:$A$2635)+ROW()-3)</f>
        <v>3865</v>
      </c>
      <c r="B2132" s="414">
        <v>44732</v>
      </c>
      <c r="C2132" s="424">
        <v>44652</v>
      </c>
      <c r="D2132" s="415" t="s">
        <v>468</v>
      </c>
      <c r="E2132" s="415" t="s">
        <v>468</v>
      </c>
      <c r="F2132" s="425">
        <v>1564.2</v>
      </c>
      <c r="G2132" s="427" t="s">
        <v>4859</v>
      </c>
      <c r="H2132" s="415" t="s">
        <v>468</v>
      </c>
      <c r="I2132" s="427" t="s">
        <v>1461</v>
      </c>
      <c r="J2132" s="415" t="s">
        <v>310</v>
      </c>
      <c r="K2132" s="415" t="s">
        <v>1220</v>
      </c>
      <c r="L2132" s="415" t="s">
        <v>1368</v>
      </c>
      <c r="M2132" s="415" t="s">
        <v>310</v>
      </c>
      <c r="N2132" s="414">
        <v>44732</v>
      </c>
      <c r="O2132" s="414" t="s">
        <v>400</v>
      </c>
      <c r="P2132" s="603">
        <f t="shared" si="318"/>
        <v>6</v>
      </c>
      <c r="Q2132" s="603">
        <f t="shared" si="319"/>
        <v>4</v>
      </c>
      <c r="R2132" s="604" t="str">
        <f t="shared" si="317"/>
        <v>Gastos_custeados_por_captação</v>
      </c>
      <c r="S2132" s="605" t="s">
        <v>310</v>
      </c>
      <c r="T2132" s="605" t="s">
        <v>310</v>
      </c>
    </row>
    <row r="2133" spans="1:20" s="88" customFormat="1" ht="24" x14ac:dyDescent="0.2">
      <c r="A2133" s="510">
        <f>IF(B2133="","",COUNT('Diário 1º PA'!$A$4:$A$2635)+ROW()-3)</f>
        <v>3866</v>
      </c>
      <c r="B2133" s="414">
        <v>44732</v>
      </c>
      <c r="C2133" s="433">
        <v>44652</v>
      </c>
      <c r="D2133" s="415" t="s">
        <v>182</v>
      </c>
      <c r="E2133" s="415" t="s">
        <v>1</v>
      </c>
      <c r="F2133" s="425">
        <v>13.08</v>
      </c>
      <c r="G2133" s="427" t="s">
        <v>4860</v>
      </c>
      <c r="H2133" s="415" t="s">
        <v>310</v>
      </c>
      <c r="I2133" s="427" t="s">
        <v>1461</v>
      </c>
      <c r="J2133" s="415" t="s">
        <v>310</v>
      </c>
      <c r="K2133" s="415" t="s">
        <v>1220</v>
      </c>
      <c r="L2133" s="415" t="s">
        <v>1368</v>
      </c>
      <c r="M2133" s="415" t="s">
        <v>310</v>
      </c>
      <c r="N2133" s="414">
        <v>44732</v>
      </c>
      <c r="O2133" s="414" t="s">
        <v>400</v>
      </c>
      <c r="P2133" s="603">
        <f t="shared" si="318"/>
        <v>6</v>
      </c>
      <c r="Q2133" s="603">
        <f t="shared" si="319"/>
        <v>4</v>
      </c>
      <c r="R2133" s="604" t="str">
        <f t="shared" si="317"/>
        <v>Gastos_com_Pessoal</v>
      </c>
      <c r="S2133" s="605" t="s">
        <v>310</v>
      </c>
      <c r="T2133" s="605" t="s">
        <v>310</v>
      </c>
    </row>
    <row r="2134" spans="1:20" s="88" customFormat="1" ht="24" x14ac:dyDescent="0.2">
      <c r="A2134" s="510">
        <f>IF(B2134="","",COUNT('Diário 1º PA'!$A$4:$A$2635)+ROW()-3)</f>
        <v>3867</v>
      </c>
      <c r="B2134" s="414">
        <v>44732</v>
      </c>
      <c r="C2134" s="431">
        <v>44621</v>
      </c>
      <c r="D2134" s="415" t="s">
        <v>182</v>
      </c>
      <c r="E2134" s="415" t="s">
        <v>1</v>
      </c>
      <c r="F2134" s="425">
        <v>52.72</v>
      </c>
      <c r="G2134" s="427" t="s">
        <v>4245</v>
      </c>
      <c r="H2134" s="415" t="s">
        <v>310</v>
      </c>
      <c r="I2134" s="427" t="s">
        <v>1461</v>
      </c>
      <c r="J2134" s="415" t="s">
        <v>310</v>
      </c>
      <c r="K2134" s="415" t="s">
        <v>1220</v>
      </c>
      <c r="L2134" s="415" t="s">
        <v>1368</v>
      </c>
      <c r="M2134" s="415" t="s">
        <v>310</v>
      </c>
      <c r="N2134" s="414">
        <v>44732</v>
      </c>
      <c r="O2134" s="414" t="s">
        <v>400</v>
      </c>
      <c r="P2134" s="603">
        <f t="shared" si="318"/>
        <v>6</v>
      </c>
      <c r="Q2134" s="603">
        <f t="shared" si="319"/>
        <v>3</v>
      </c>
      <c r="R2134" s="604" t="str">
        <f t="shared" si="317"/>
        <v>Gastos_com_Pessoal</v>
      </c>
      <c r="S2134" s="605" t="s">
        <v>310</v>
      </c>
      <c r="T2134" s="605" t="s">
        <v>310</v>
      </c>
    </row>
    <row r="2135" spans="1:20" s="88" customFormat="1" ht="24" x14ac:dyDescent="0.2">
      <c r="A2135" s="510">
        <f>IF(B2135="","",COUNT('Diário 1º PA'!$A$4:$A$2635)+ROW()-3)</f>
        <v>3868</v>
      </c>
      <c r="B2135" s="414">
        <v>44732</v>
      </c>
      <c r="C2135" s="433">
        <v>44652</v>
      </c>
      <c r="D2135" s="415" t="s">
        <v>271</v>
      </c>
      <c r="E2135" s="415" t="s">
        <v>2</v>
      </c>
      <c r="F2135" s="425">
        <v>1881</v>
      </c>
      <c r="G2135" s="427" t="s">
        <v>494</v>
      </c>
      <c r="H2135" s="415" t="s">
        <v>309</v>
      </c>
      <c r="I2135" s="427" t="s">
        <v>1461</v>
      </c>
      <c r="J2135" s="415" t="s">
        <v>310</v>
      </c>
      <c r="K2135" s="415" t="s">
        <v>1220</v>
      </c>
      <c r="L2135" s="415" t="s">
        <v>1368</v>
      </c>
      <c r="M2135" s="415" t="s">
        <v>310</v>
      </c>
      <c r="N2135" s="414">
        <v>44732</v>
      </c>
      <c r="O2135" s="414" t="s">
        <v>400</v>
      </c>
      <c r="P2135" s="603">
        <f t="shared" si="318"/>
        <v>6</v>
      </c>
      <c r="Q2135" s="603">
        <f t="shared" si="319"/>
        <v>4</v>
      </c>
      <c r="R2135" s="604" t="str">
        <f t="shared" si="317"/>
        <v>Gastos_Gerais</v>
      </c>
      <c r="S2135" s="605" t="s">
        <v>310</v>
      </c>
      <c r="T2135" s="605" t="s">
        <v>310</v>
      </c>
    </row>
    <row r="2136" spans="1:20" s="88" customFormat="1" ht="36" x14ac:dyDescent="0.2">
      <c r="A2136" s="510">
        <f>IF(B2136="","",COUNT('Diário 1º PA'!$A$4:$A$2635)+ROW()-3)</f>
        <v>3869</v>
      </c>
      <c r="B2136" s="414">
        <v>44732</v>
      </c>
      <c r="C2136" s="431">
        <v>44652</v>
      </c>
      <c r="D2136" s="415" t="s">
        <v>271</v>
      </c>
      <c r="E2136" s="415" t="s">
        <v>453</v>
      </c>
      <c r="F2136" s="425">
        <v>17.399999999999999</v>
      </c>
      <c r="G2136" s="427" t="s">
        <v>3933</v>
      </c>
      <c r="H2136" s="415" t="s">
        <v>752</v>
      </c>
      <c r="I2136" s="427" t="s">
        <v>1461</v>
      </c>
      <c r="J2136" s="415" t="s">
        <v>310</v>
      </c>
      <c r="K2136" s="415" t="s">
        <v>1220</v>
      </c>
      <c r="L2136" s="415" t="s">
        <v>1368</v>
      </c>
      <c r="M2136" s="415" t="s">
        <v>310</v>
      </c>
      <c r="N2136" s="414">
        <v>44732</v>
      </c>
      <c r="O2136" s="414" t="s">
        <v>400</v>
      </c>
      <c r="P2136" s="603">
        <f t="shared" si="318"/>
        <v>6</v>
      </c>
      <c r="Q2136" s="603">
        <f t="shared" si="319"/>
        <v>4</v>
      </c>
      <c r="R2136" s="604" t="str">
        <f t="shared" si="317"/>
        <v>Gastos_Gerais</v>
      </c>
      <c r="S2136" s="605" t="s">
        <v>310</v>
      </c>
      <c r="T2136" s="605" t="s">
        <v>310</v>
      </c>
    </row>
    <row r="2137" spans="1:20" s="88" customFormat="1" ht="36" x14ac:dyDescent="0.2">
      <c r="A2137" s="510">
        <f>IF(B2137="","",COUNT('Diário 1º PA'!$A$4:$A$2635)+ROW()-3)</f>
        <v>3870</v>
      </c>
      <c r="B2137" s="414">
        <v>44732</v>
      </c>
      <c r="C2137" s="431">
        <v>44652</v>
      </c>
      <c r="D2137" s="415" t="s">
        <v>271</v>
      </c>
      <c r="E2137" s="415" t="s">
        <v>456</v>
      </c>
      <c r="F2137" s="425">
        <v>112.45</v>
      </c>
      <c r="G2137" s="427" t="s">
        <v>4005</v>
      </c>
      <c r="H2137" s="415" t="s">
        <v>758</v>
      </c>
      <c r="I2137" s="427" t="s">
        <v>1461</v>
      </c>
      <c r="J2137" s="415" t="s">
        <v>310</v>
      </c>
      <c r="K2137" s="415" t="s">
        <v>1220</v>
      </c>
      <c r="L2137" s="415" t="s">
        <v>1368</v>
      </c>
      <c r="M2137" s="415" t="s">
        <v>310</v>
      </c>
      <c r="N2137" s="414">
        <v>44732</v>
      </c>
      <c r="O2137" s="414" t="s">
        <v>400</v>
      </c>
      <c r="P2137" s="603">
        <f t="shared" si="318"/>
        <v>6</v>
      </c>
      <c r="Q2137" s="603">
        <f t="shared" si="319"/>
        <v>4</v>
      </c>
      <c r="R2137" s="604" t="str">
        <f t="shared" si="317"/>
        <v>Gastos_Gerais</v>
      </c>
      <c r="S2137" s="605" t="s">
        <v>310</v>
      </c>
      <c r="T2137" s="605" t="s">
        <v>310</v>
      </c>
    </row>
    <row r="2138" spans="1:20" s="88" customFormat="1" ht="48" x14ac:dyDescent="0.2">
      <c r="A2138" s="510">
        <f>IF(B2138="","",COUNT('Diário 1º PA'!$A$4:$A$2635)+ROW()-3)</f>
        <v>3871</v>
      </c>
      <c r="B2138" s="414">
        <v>44732</v>
      </c>
      <c r="C2138" s="431">
        <v>44652</v>
      </c>
      <c r="D2138" s="415" t="s">
        <v>271</v>
      </c>
      <c r="E2138" s="415" t="s">
        <v>453</v>
      </c>
      <c r="F2138" s="425">
        <v>33.42</v>
      </c>
      <c r="G2138" s="427" t="s">
        <v>5443</v>
      </c>
      <c r="H2138" s="415" t="s">
        <v>757</v>
      </c>
      <c r="I2138" s="427" t="s">
        <v>1461</v>
      </c>
      <c r="J2138" s="415" t="s">
        <v>310</v>
      </c>
      <c r="K2138" s="415" t="s">
        <v>1220</v>
      </c>
      <c r="L2138" s="415" t="s">
        <v>1368</v>
      </c>
      <c r="M2138" s="415" t="s">
        <v>310</v>
      </c>
      <c r="N2138" s="414">
        <v>44732</v>
      </c>
      <c r="O2138" s="414" t="s">
        <v>400</v>
      </c>
      <c r="P2138" s="603">
        <f t="shared" si="318"/>
        <v>6</v>
      </c>
      <c r="Q2138" s="603">
        <f t="shared" si="319"/>
        <v>4</v>
      </c>
      <c r="R2138" s="604" t="str">
        <f t="shared" si="317"/>
        <v>Gastos_Gerais</v>
      </c>
      <c r="S2138" s="605" t="s">
        <v>310</v>
      </c>
      <c r="T2138" s="605" t="s">
        <v>310</v>
      </c>
    </row>
    <row r="2139" spans="1:20" s="88" customFormat="1" ht="36" x14ac:dyDescent="0.2">
      <c r="A2139" s="510">
        <f>IF(B2139="","",COUNT('Diário 1º PA'!$A$4:$A$2635)+ROW()-3)</f>
        <v>3872</v>
      </c>
      <c r="B2139" s="414">
        <v>44732</v>
      </c>
      <c r="C2139" s="431">
        <v>44652</v>
      </c>
      <c r="D2139" s="415" t="s">
        <v>271</v>
      </c>
      <c r="E2139" s="415" t="s">
        <v>453</v>
      </c>
      <c r="F2139" s="425">
        <v>17.399999999999999</v>
      </c>
      <c r="G2139" s="427" t="s">
        <v>3927</v>
      </c>
      <c r="H2139" s="415" t="s">
        <v>752</v>
      </c>
      <c r="I2139" s="427" t="s">
        <v>1461</v>
      </c>
      <c r="J2139" s="415" t="s">
        <v>310</v>
      </c>
      <c r="K2139" s="415" t="s">
        <v>1220</v>
      </c>
      <c r="L2139" s="415" t="s">
        <v>1368</v>
      </c>
      <c r="M2139" s="415" t="s">
        <v>310</v>
      </c>
      <c r="N2139" s="414">
        <v>44732</v>
      </c>
      <c r="O2139" s="414" t="s">
        <v>400</v>
      </c>
      <c r="P2139" s="603">
        <f t="shared" si="318"/>
        <v>6</v>
      </c>
      <c r="Q2139" s="603">
        <f t="shared" si="319"/>
        <v>4</v>
      </c>
      <c r="R2139" s="604" t="str">
        <f t="shared" si="317"/>
        <v>Gastos_Gerais</v>
      </c>
      <c r="S2139" s="605" t="s">
        <v>310</v>
      </c>
      <c r="T2139" s="605" t="s">
        <v>310</v>
      </c>
    </row>
    <row r="2140" spans="1:20" s="88" customFormat="1" ht="24" x14ac:dyDescent="0.2">
      <c r="A2140" s="510">
        <f>IF(B2140="","",COUNT('Diário 1º PA'!$A$4:$A$2635)+ROW()-3)</f>
        <v>3873</v>
      </c>
      <c r="B2140" s="414">
        <v>44732</v>
      </c>
      <c r="C2140" s="431">
        <v>44621</v>
      </c>
      <c r="D2140" s="415" t="s">
        <v>271</v>
      </c>
      <c r="E2140" s="415" t="s">
        <v>450</v>
      </c>
      <c r="F2140" s="425">
        <v>843.89</v>
      </c>
      <c r="G2140" s="427" t="s">
        <v>3778</v>
      </c>
      <c r="H2140" s="415" t="s">
        <v>792</v>
      </c>
      <c r="I2140" s="427" t="s">
        <v>1461</v>
      </c>
      <c r="J2140" s="415" t="s">
        <v>310</v>
      </c>
      <c r="K2140" s="415" t="s">
        <v>1220</v>
      </c>
      <c r="L2140" s="415" t="s">
        <v>1368</v>
      </c>
      <c r="M2140" s="415" t="s">
        <v>310</v>
      </c>
      <c r="N2140" s="414">
        <v>44732</v>
      </c>
      <c r="O2140" s="414" t="s">
        <v>400</v>
      </c>
      <c r="P2140" s="603">
        <f t="shared" si="318"/>
        <v>6</v>
      </c>
      <c r="Q2140" s="603">
        <f t="shared" si="319"/>
        <v>3</v>
      </c>
      <c r="R2140" s="604" t="str">
        <f t="shared" si="317"/>
        <v>Gastos_Gerais</v>
      </c>
      <c r="S2140" s="605" t="s">
        <v>310</v>
      </c>
      <c r="T2140" s="605" t="s">
        <v>310</v>
      </c>
    </row>
    <row r="2141" spans="1:20" s="88" customFormat="1" ht="48" x14ac:dyDescent="0.2">
      <c r="A2141" s="510">
        <f>IF(B2141="","",COUNT('Diário 1º PA'!$A$4:$A$2635)+ROW()-3)</f>
        <v>3874</v>
      </c>
      <c r="B2141" s="414">
        <v>44732</v>
      </c>
      <c r="C2141" s="431">
        <v>44652</v>
      </c>
      <c r="D2141" s="415" t="s">
        <v>271</v>
      </c>
      <c r="E2141" s="415" t="s">
        <v>456</v>
      </c>
      <c r="F2141" s="425">
        <v>57.45</v>
      </c>
      <c r="G2141" s="427" t="s">
        <v>4073</v>
      </c>
      <c r="H2141" s="415" t="s">
        <v>760</v>
      </c>
      <c r="I2141" s="427" t="s">
        <v>1461</v>
      </c>
      <c r="J2141" s="415" t="s">
        <v>310</v>
      </c>
      <c r="K2141" s="415" t="s">
        <v>1220</v>
      </c>
      <c r="L2141" s="415" t="s">
        <v>1368</v>
      </c>
      <c r="M2141" s="415" t="s">
        <v>310</v>
      </c>
      <c r="N2141" s="414">
        <v>44732</v>
      </c>
      <c r="O2141" s="414" t="s">
        <v>400</v>
      </c>
      <c r="P2141" s="603">
        <f t="shared" si="318"/>
        <v>6</v>
      </c>
      <c r="Q2141" s="603">
        <f t="shared" si="319"/>
        <v>4</v>
      </c>
      <c r="R2141" s="604" t="str">
        <f t="shared" si="317"/>
        <v>Gastos_Gerais</v>
      </c>
      <c r="S2141" s="605" t="s">
        <v>310</v>
      </c>
      <c r="T2141" s="605" t="s">
        <v>310</v>
      </c>
    </row>
    <row r="2142" spans="1:20" s="88" customFormat="1" ht="36" x14ac:dyDescent="0.2">
      <c r="A2142" s="510">
        <f>IF(B2142="","",COUNT('Diário 1º PA'!$A$4:$A$2635)+ROW()-3)</f>
        <v>3875</v>
      </c>
      <c r="B2142" s="414">
        <v>44732</v>
      </c>
      <c r="C2142" s="431">
        <v>44621</v>
      </c>
      <c r="D2142" s="415" t="s">
        <v>271</v>
      </c>
      <c r="E2142" s="415" t="s">
        <v>450</v>
      </c>
      <c r="F2142" s="425">
        <v>10.73</v>
      </c>
      <c r="G2142" s="427" t="s">
        <v>4176</v>
      </c>
      <c r="H2142" s="415" t="s">
        <v>758</v>
      </c>
      <c r="I2142" s="427" t="s">
        <v>1461</v>
      </c>
      <c r="J2142" s="415" t="s">
        <v>310</v>
      </c>
      <c r="K2142" s="415" t="s">
        <v>1220</v>
      </c>
      <c r="L2142" s="415" t="s">
        <v>1368</v>
      </c>
      <c r="M2142" s="415" t="s">
        <v>310</v>
      </c>
      <c r="N2142" s="414">
        <v>44732</v>
      </c>
      <c r="O2142" s="414" t="s">
        <v>400</v>
      </c>
      <c r="P2142" s="603">
        <f t="shared" si="318"/>
        <v>6</v>
      </c>
      <c r="Q2142" s="603">
        <f t="shared" si="319"/>
        <v>3</v>
      </c>
      <c r="R2142" s="604" t="str">
        <f t="shared" si="317"/>
        <v>Gastos_Gerais</v>
      </c>
      <c r="S2142" s="605" t="s">
        <v>310</v>
      </c>
      <c r="T2142" s="605" t="s">
        <v>310</v>
      </c>
    </row>
    <row r="2143" spans="1:20" s="88" customFormat="1" ht="48" x14ac:dyDescent="0.2">
      <c r="A2143" s="510">
        <f>IF(B2143="","",COUNT('Diário 1º PA'!$A$4:$A$2635)+ROW()-3)</f>
        <v>3876</v>
      </c>
      <c r="B2143" s="414">
        <v>44732</v>
      </c>
      <c r="C2143" s="431">
        <v>44652</v>
      </c>
      <c r="D2143" s="415" t="s">
        <v>271</v>
      </c>
      <c r="E2143" s="415" t="s">
        <v>453</v>
      </c>
      <c r="F2143" s="425">
        <v>104.44</v>
      </c>
      <c r="G2143" s="427" t="s">
        <v>4007</v>
      </c>
      <c r="H2143" s="415" t="s">
        <v>757</v>
      </c>
      <c r="I2143" s="427" t="s">
        <v>1461</v>
      </c>
      <c r="J2143" s="415" t="s">
        <v>310</v>
      </c>
      <c r="K2143" s="415" t="s">
        <v>1220</v>
      </c>
      <c r="L2143" s="415" t="s">
        <v>1368</v>
      </c>
      <c r="M2143" s="415" t="s">
        <v>310</v>
      </c>
      <c r="N2143" s="414">
        <v>44732</v>
      </c>
      <c r="O2143" s="414" t="s">
        <v>400</v>
      </c>
      <c r="P2143" s="603">
        <f t="shared" si="318"/>
        <v>6</v>
      </c>
      <c r="Q2143" s="603">
        <f t="shared" si="319"/>
        <v>4</v>
      </c>
      <c r="R2143" s="604" t="str">
        <f t="shared" si="317"/>
        <v>Gastos_Gerais</v>
      </c>
      <c r="S2143" s="605" t="s">
        <v>310</v>
      </c>
      <c r="T2143" s="605" t="s">
        <v>310</v>
      </c>
    </row>
    <row r="2144" spans="1:20" s="88" customFormat="1" ht="36" x14ac:dyDescent="0.2">
      <c r="A2144" s="510">
        <f>IF(B2144="","",COUNT('Diário 1º PA'!$A$4:$A$2635)+ROW()-3)</f>
        <v>3877</v>
      </c>
      <c r="B2144" s="414">
        <v>44732</v>
      </c>
      <c r="C2144" s="431">
        <v>44652</v>
      </c>
      <c r="D2144" s="415" t="s">
        <v>271</v>
      </c>
      <c r="E2144" s="415" t="s">
        <v>453</v>
      </c>
      <c r="F2144" s="425">
        <v>744</v>
      </c>
      <c r="G2144" s="427" t="s">
        <v>3935</v>
      </c>
      <c r="H2144" s="415" t="s">
        <v>752</v>
      </c>
      <c r="I2144" s="427" t="s">
        <v>1461</v>
      </c>
      <c r="J2144" s="415" t="s">
        <v>310</v>
      </c>
      <c r="K2144" s="415" t="s">
        <v>1220</v>
      </c>
      <c r="L2144" s="415" t="s">
        <v>1368</v>
      </c>
      <c r="M2144" s="415" t="s">
        <v>310</v>
      </c>
      <c r="N2144" s="414">
        <v>44732</v>
      </c>
      <c r="O2144" s="414" t="s">
        <v>400</v>
      </c>
      <c r="P2144" s="603">
        <f t="shared" si="318"/>
        <v>6</v>
      </c>
      <c r="Q2144" s="603">
        <f t="shared" si="319"/>
        <v>4</v>
      </c>
      <c r="R2144" s="604" t="str">
        <f t="shared" si="317"/>
        <v>Gastos_Gerais</v>
      </c>
      <c r="S2144" s="605" t="s">
        <v>310</v>
      </c>
      <c r="T2144" s="605" t="s">
        <v>310</v>
      </c>
    </row>
    <row r="2145" spans="1:20" s="88" customFormat="1" ht="36" x14ac:dyDescent="0.2">
      <c r="A2145" s="510">
        <f>IF(B2145="","",COUNT('Diário 1º PA'!$A$4:$A$2635)+ROW()-3)</f>
        <v>3878</v>
      </c>
      <c r="B2145" s="414">
        <v>44732</v>
      </c>
      <c r="C2145" s="431">
        <v>44621</v>
      </c>
      <c r="D2145" s="415" t="s">
        <v>271</v>
      </c>
      <c r="E2145" s="415" t="s">
        <v>453</v>
      </c>
      <c r="F2145" s="425">
        <v>558</v>
      </c>
      <c r="G2145" s="427" t="s">
        <v>4045</v>
      </c>
      <c r="H2145" s="415" t="s">
        <v>752</v>
      </c>
      <c r="I2145" s="427" t="s">
        <v>1461</v>
      </c>
      <c r="J2145" s="415" t="s">
        <v>310</v>
      </c>
      <c r="K2145" s="415" t="s">
        <v>1220</v>
      </c>
      <c r="L2145" s="415" t="s">
        <v>1368</v>
      </c>
      <c r="M2145" s="415" t="s">
        <v>310</v>
      </c>
      <c r="N2145" s="414">
        <v>44732</v>
      </c>
      <c r="O2145" s="414" t="s">
        <v>400</v>
      </c>
      <c r="P2145" s="603">
        <f t="shared" si="318"/>
        <v>6</v>
      </c>
      <c r="Q2145" s="603">
        <f t="shared" si="319"/>
        <v>3</v>
      </c>
      <c r="R2145" s="604" t="str">
        <f t="shared" si="317"/>
        <v>Gastos_Gerais</v>
      </c>
      <c r="S2145" s="605" t="s">
        <v>310</v>
      </c>
      <c r="T2145" s="605" t="s">
        <v>310</v>
      </c>
    </row>
    <row r="2146" spans="1:20" s="88" customFormat="1" ht="36" x14ac:dyDescent="0.2">
      <c r="A2146" s="510">
        <f>IF(B2146="","",COUNT('Diário 1º PA'!$A$4:$A$2635)+ROW()-3)</f>
        <v>3879</v>
      </c>
      <c r="B2146" s="414">
        <v>44732</v>
      </c>
      <c r="C2146" s="431">
        <v>44621</v>
      </c>
      <c r="D2146" s="415" t="s">
        <v>271</v>
      </c>
      <c r="E2146" s="415" t="s">
        <v>456</v>
      </c>
      <c r="F2146" s="425">
        <v>248</v>
      </c>
      <c r="G2146" s="427" t="s">
        <v>3931</v>
      </c>
      <c r="H2146" s="415" t="s">
        <v>748</v>
      </c>
      <c r="I2146" s="427" t="s">
        <v>1461</v>
      </c>
      <c r="J2146" s="415" t="s">
        <v>310</v>
      </c>
      <c r="K2146" s="415" t="s">
        <v>1220</v>
      </c>
      <c r="L2146" s="415" t="s">
        <v>1368</v>
      </c>
      <c r="M2146" s="415" t="s">
        <v>310</v>
      </c>
      <c r="N2146" s="414">
        <v>44732</v>
      </c>
      <c r="O2146" s="414" t="s">
        <v>400</v>
      </c>
      <c r="P2146" s="603">
        <f t="shared" si="318"/>
        <v>6</v>
      </c>
      <c r="Q2146" s="603">
        <f t="shared" si="319"/>
        <v>3</v>
      </c>
      <c r="R2146" s="604" t="str">
        <f t="shared" si="317"/>
        <v>Gastos_Gerais</v>
      </c>
      <c r="S2146" s="605" t="s">
        <v>310</v>
      </c>
      <c r="T2146" s="605" t="s">
        <v>310</v>
      </c>
    </row>
    <row r="2147" spans="1:20" s="88" customFormat="1" ht="36" x14ac:dyDescent="0.2">
      <c r="A2147" s="510">
        <f>IF(B2147="","",COUNT('Diário 1º PA'!$A$4:$A$2635)+ROW()-3)</f>
        <v>3880</v>
      </c>
      <c r="B2147" s="414">
        <v>44732</v>
      </c>
      <c r="C2147" s="431">
        <v>44652</v>
      </c>
      <c r="D2147" s="415" t="s">
        <v>271</v>
      </c>
      <c r="E2147" s="415" t="s">
        <v>456</v>
      </c>
      <c r="F2147" s="425">
        <v>1085</v>
      </c>
      <c r="G2147" s="427" t="s">
        <v>4006</v>
      </c>
      <c r="H2147" s="415" t="s">
        <v>758</v>
      </c>
      <c r="I2147" s="427" t="s">
        <v>1461</v>
      </c>
      <c r="J2147" s="415" t="s">
        <v>310</v>
      </c>
      <c r="K2147" s="415" t="s">
        <v>1220</v>
      </c>
      <c r="L2147" s="415" t="s">
        <v>1368</v>
      </c>
      <c r="M2147" s="415" t="s">
        <v>310</v>
      </c>
      <c r="N2147" s="414">
        <v>44732</v>
      </c>
      <c r="O2147" s="414" t="s">
        <v>400</v>
      </c>
      <c r="P2147" s="603">
        <f t="shared" si="318"/>
        <v>6</v>
      </c>
      <c r="Q2147" s="603">
        <f t="shared" si="319"/>
        <v>4</v>
      </c>
      <c r="R2147" s="604" t="str">
        <f t="shared" si="317"/>
        <v>Gastos_Gerais</v>
      </c>
      <c r="S2147" s="605" t="s">
        <v>310</v>
      </c>
      <c r="T2147" s="605" t="s">
        <v>310</v>
      </c>
    </row>
    <row r="2148" spans="1:20" s="88" customFormat="1" ht="48" x14ac:dyDescent="0.2">
      <c r="A2148" s="510">
        <f>IF(B2148="","",COUNT('Diário 1º PA'!$A$4:$A$2635)+ROW()-3)</f>
        <v>3881</v>
      </c>
      <c r="B2148" s="414">
        <v>44732</v>
      </c>
      <c r="C2148" s="431">
        <v>44652</v>
      </c>
      <c r="D2148" s="415" t="s">
        <v>271</v>
      </c>
      <c r="E2148" s="415" t="s">
        <v>453</v>
      </c>
      <c r="F2148" s="425">
        <v>818.4</v>
      </c>
      <c r="G2148" s="427" t="s">
        <v>5444</v>
      </c>
      <c r="H2148" s="415" t="s">
        <v>757</v>
      </c>
      <c r="I2148" s="427" t="s">
        <v>1461</v>
      </c>
      <c r="J2148" s="415" t="s">
        <v>310</v>
      </c>
      <c r="K2148" s="415" t="s">
        <v>1220</v>
      </c>
      <c r="L2148" s="415" t="s">
        <v>1368</v>
      </c>
      <c r="M2148" s="415" t="s">
        <v>310</v>
      </c>
      <c r="N2148" s="414">
        <v>44732</v>
      </c>
      <c r="O2148" s="414" t="s">
        <v>400</v>
      </c>
      <c r="P2148" s="603">
        <f t="shared" si="318"/>
        <v>6</v>
      </c>
      <c r="Q2148" s="603">
        <f t="shared" si="319"/>
        <v>4</v>
      </c>
      <c r="R2148" s="604" t="str">
        <f t="shared" si="317"/>
        <v>Gastos_Gerais</v>
      </c>
      <c r="S2148" s="605" t="s">
        <v>310</v>
      </c>
      <c r="T2148" s="605" t="s">
        <v>310</v>
      </c>
    </row>
    <row r="2149" spans="1:20" s="88" customFormat="1" ht="48" x14ac:dyDescent="0.2">
      <c r="A2149" s="510">
        <f>IF(B2149="","",COUNT('Diário 1º PA'!$A$4:$A$2635)+ROW()-3)</f>
        <v>3882</v>
      </c>
      <c r="B2149" s="414">
        <v>44732</v>
      </c>
      <c r="C2149" s="431">
        <v>44593</v>
      </c>
      <c r="D2149" s="415" t="s">
        <v>271</v>
      </c>
      <c r="E2149" s="415" t="s">
        <v>453</v>
      </c>
      <c r="F2149" s="425">
        <v>248</v>
      </c>
      <c r="G2149" s="427" t="s">
        <v>3917</v>
      </c>
      <c r="H2149" s="415" t="s">
        <v>760</v>
      </c>
      <c r="I2149" s="427" t="s">
        <v>1461</v>
      </c>
      <c r="J2149" s="415" t="s">
        <v>310</v>
      </c>
      <c r="K2149" s="415" t="s">
        <v>1220</v>
      </c>
      <c r="L2149" s="415" t="s">
        <v>1368</v>
      </c>
      <c r="M2149" s="415" t="s">
        <v>310</v>
      </c>
      <c r="N2149" s="414">
        <v>44732</v>
      </c>
      <c r="O2149" s="414" t="s">
        <v>400</v>
      </c>
      <c r="P2149" s="603">
        <f t="shared" si="318"/>
        <v>6</v>
      </c>
      <c r="Q2149" s="603">
        <f t="shared" si="319"/>
        <v>2</v>
      </c>
      <c r="R2149" s="604" t="str">
        <f t="shared" si="317"/>
        <v>Gastos_Gerais</v>
      </c>
      <c r="S2149" s="605" t="s">
        <v>310</v>
      </c>
      <c r="T2149" s="605" t="s">
        <v>310</v>
      </c>
    </row>
    <row r="2150" spans="1:20" s="88" customFormat="1" ht="48" x14ac:dyDescent="0.2">
      <c r="A2150" s="510">
        <f>IF(B2150="","",COUNT('Diário 1º PA'!$A$4:$A$2635)+ROW()-3)</f>
        <v>3883</v>
      </c>
      <c r="B2150" s="414">
        <v>44732</v>
      </c>
      <c r="C2150" s="431">
        <v>44652</v>
      </c>
      <c r="D2150" s="415" t="s">
        <v>271</v>
      </c>
      <c r="E2150" s="415" t="s">
        <v>456</v>
      </c>
      <c r="F2150" s="425">
        <v>465</v>
      </c>
      <c r="G2150" s="427" t="s">
        <v>3920</v>
      </c>
      <c r="H2150" s="415" t="s">
        <v>760</v>
      </c>
      <c r="I2150" s="427" t="s">
        <v>1461</v>
      </c>
      <c r="J2150" s="415" t="s">
        <v>310</v>
      </c>
      <c r="K2150" s="415" t="s">
        <v>1220</v>
      </c>
      <c r="L2150" s="415" t="s">
        <v>1368</v>
      </c>
      <c r="M2150" s="415" t="s">
        <v>310</v>
      </c>
      <c r="N2150" s="414">
        <v>44732</v>
      </c>
      <c r="O2150" s="414" t="s">
        <v>400</v>
      </c>
      <c r="P2150" s="603">
        <f t="shared" si="318"/>
        <v>6</v>
      </c>
      <c r="Q2150" s="603">
        <f t="shared" si="319"/>
        <v>4</v>
      </c>
      <c r="R2150" s="604" t="str">
        <f t="shared" si="317"/>
        <v>Gastos_Gerais</v>
      </c>
      <c r="S2150" s="605" t="s">
        <v>310</v>
      </c>
      <c r="T2150" s="605" t="s">
        <v>310</v>
      </c>
    </row>
    <row r="2151" spans="1:20" s="88" customFormat="1" ht="36" x14ac:dyDescent="0.2">
      <c r="A2151" s="510">
        <f>IF(B2151="","",COUNT('Diário 1º PA'!$A$4:$A$2635)+ROW()-3)</f>
        <v>3884</v>
      </c>
      <c r="B2151" s="414">
        <v>44732</v>
      </c>
      <c r="C2151" s="431">
        <v>44621</v>
      </c>
      <c r="D2151" s="415" t="s">
        <v>271</v>
      </c>
      <c r="E2151" s="415" t="s">
        <v>453</v>
      </c>
      <c r="F2151" s="425">
        <v>558</v>
      </c>
      <c r="G2151" s="427" t="s">
        <v>4047</v>
      </c>
      <c r="H2151" s="415" t="s">
        <v>752</v>
      </c>
      <c r="I2151" s="427" t="s">
        <v>1461</v>
      </c>
      <c r="J2151" s="415" t="s">
        <v>310</v>
      </c>
      <c r="K2151" s="415" t="s">
        <v>1220</v>
      </c>
      <c r="L2151" s="415" t="s">
        <v>1368</v>
      </c>
      <c r="M2151" s="415" t="s">
        <v>310</v>
      </c>
      <c r="N2151" s="414">
        <v>44732</v>
      </c>
      <c r="O2151" s="414" t="s">
        <v>400</v>
      </c>
      <c r="P2151" s="603">
        <f t="shared" si="318"/>
        <v>6</v>
      </c>
      <c r="Q2151" s="603">
        <f t="shared" si="319"/>
        <v>3</v>
      </c>
      <c r="R2151" s="604" t="str">
        <f t="shared" si="317"/>
        <v>Gastos_Gerais</v>
      </c>
      <c r="S2151" s="605" t="s">
        <v>310</v>
      </c>
      <c r="T2151" s="605" t="s">
        <v>310</v>
      </c>
    </row>
    <row r="2152" spans="1:20" s="88" customFormat="1" ht="36" x14ac:dyDescent="0.2">
      <c r="A2152" s="510">
        <f>IF(B2152="","",COUNT('Diário 1º PA'!$A$4:$A$2635)+ROW()-3)</f>
        <v>3885</v>
      </c>
      <c r="B2152" s="414">
        <v>44732</v>
      </c>
      <c r="C2152" s="431">
        <v>44652</v>
      </c>
      <c r="D2152" s="415" t="s">
        <v>271</v>
      </c>
      <c r="E2152" s="415" t="s">
        <v>453</v>
      </c>
      <c r="F2152" s="425">
        <v>744</v>
      </c>
      <c r="G2152" s="427" t="s">
        <v>3928</v>
      </c>
      <c r="H2152" s="415" t="s">
        <v>752</v>
      </c>
      <c r="I2152" s="427" t="s">
        <v>1461</v>
      </c>
      <c r="J2152" s="415" t="s">
        <v>310</v>
      </c>
      <c r="K2152" s="415" t="s">
        <v>1220</v>
      </c>
      <c r="L2152" s="415" t="s">
        <v>1368</v>
      </c>
      <c r="M2152" s="576" t="s">
        <v>310</v>
      </c>
      <c r="N2152" s="414">
        <v>44732</v>
      </c>
      <c r="O2152" s="414" t="s">
        <v>400</v>
      </c>
      <c r="P2152" s="603">
        <f t="shared" si="318"/>
        <v>6</v>
      </c>
      <c r="Q2152" s="603">
        <f t="shared" si="319"/>
        <v>4</v>
      </c>
      <c r="R2152" s="604" t="str">
        <f t="shared" si="317"/>
        <v>Gastos_Gerais</v>
      </c>
      <c r="S2152" s="605" t="s">
        <v>310</v>
      </c>
      <c r="T2152" s="605" t="s">
        <v>310</v>
      </c>
    </row>
    <row r="2153" spans="1:20" s="88" customFormat="1" ht="36" x14ac:dyDescent="0.2">
      <c r="A2153" s="510">
        <f>IF(B2153="","",COUNT('Diário 1º PA'!$A$4:$A$2635)+ROW()-3)</f>
        <v>3886</v>
      </c>
      <c r="B2153" s="414">
        <v>44732</v>
      </c>
      <c r="C2153" s="431">
        <v>44652</v>
      </c>
      <c r="D2153" s="415" t="s">
        <v>271</v>
      </c>
      <c r="E2153" s="415" t="s">
        <v>453</v>
      </c>
      <c r="F2153" s="425">
        <v>558</v>
      </c>
      <c r="G2153" s="427" t="s">
        <v>4524</v>
      </c>
      <c r="H2153" s="415" t="s">
        <v>752</v>
      </c>
      <c r="I2153" s="427" t="s">
        <v>1461</v>
      </c>
      <c r="J2153" s="415" t="s">
        <v>310</v>
      </c>
      <c r="K2153" s="415" t="s">
        <v>1220</v>
      </c>
      <c r="L2153" s="415" t="s">
        <v>1368</v>
      </c>
      <c r="M2153" s="415" t="s">
        <v>310</v>
      </c>
      <c r="N2153" s="414">
        <v>44732</v>
      </c>
      <c r="O2153" s="414" t="s">
        <v>400</v>
      </c>
      <c r="P2153" s="603">
        <f t="shared" si="318"/>
        <v>6</v>
      </c>
      <c r="Q2153" s="603">
        <f t="shared" si="319"/>
        <v>4</v>
      </c>
      <c r="R2153" s="604" t="str">
        <f t="shared" si="317"/>
        <v>Gastos_Gerais</v>
      </c>
      <c r="S2153" s="605" t="s">
        <v>310</v>
      </c>
      <c r="T2153" s="605" t="s">
        <v>310</v>
      </c>
    </row>
    <row r="2154" spans="1:20" s="88" customFormat="1" ht="24" x14ac:dyDescent="0.2">
      <c r="A2154" s="510">
        <f>IF(B2154="","",COUNT('Diário 1º PA'!$A$4:$A$2635)+ROW()-3)</f>
        <v>3887</v>
      </c>
      <c r="B2154" s="414">
        <v>44732</v>
      </c>
      <c r="C2154" s="431">
        <v>44621</v>
      </c>
      <c r="D2154" s="415" t="s">
        <v>271</v>
      </c>
      <c r="E2154" s="415" t="s">
        <v>450</v>
      </c>
      <c r="F2154" s="425">
        <v>2170</v>
      </c>
      <c r="G2154" s="427" t="s">
        <v>3779</v>
      </c>
      <c r="H2154" s="415" t="s">
        <v>792</v>
      </c>
      <c r="I2154" s="427" t="s">
        <v>1461</v>
      </c>
      <c r="J2154" s="415" t="s">
        <v>310</v>
      </c>
      <c r="K2154" s="415" t="s">
        <v>1220</v>
      </c>
      <c r="L2154" s="415" t="s">
        <v>1368</v>
      </c>
      <c r="M2154" s="415" t="s">
        <v>310</v>
      </c>
      <c r="N2154" s="414">
        <v>44732</v>
      </c>
      <c r="O2154" s="414" t="s">
        <v>400</v>
      </c>
      <c r="P2154" s="603">
        <f t="shared" si="318"/>
        <v>6</v>
      </c>
      <c r="Q2154" s="603">
        <f t="shared" si="319"/>
        <v>3</v>
      </c>
      <c r="R2154" s="604" t="str">
        <f t="shared" si="317"/>
        <v>Gastos_Gerais</v>
      </c>
      <c r="S2154" s="605" t="s">
        <v>310</v>
      </c>
      <c r="T2154" s="605" t="s">
        <v>310</v>
      </c>
    </row>
    <row r="2155" spans="1:20" s="88" customFormat="1" ht="48" x14ac:dyDescent="0.2">
      <c r="A2155" s="510">
        <f>IF(B2155="","",COUNT('Diário 1º PA'!$A$4:$A$2635)+ROW()-3)</f>
        <v>3888</v>
      </c>
      <c r="B2155" s="414">
        <v>44732</v>
      </c>
      <c r="C2155" s="431">
        <v>44652</v>
      </c>
      <c r="D2155" s="415" t="s">
        <v>271</v>
      </c>
      <c r="E2155" s="415" t="s">
        <v>456</v>
      </c>
      <c r="F2155" s="425">
        <v>930</v>
      </c>
      <c r="G2155" s="427" t="s">
        <v>4074</v>
      </c>
      <c r="H2155" s="415" t="s">
        <v>760</v>
      </c>
      <c r="I2155" s="427" t="s">
        <v>1461</v>
      </c>
      <c r="J2155" s="415" t="s">
        <v>310</v>
      </c>
      <c r="K2155" s="415" t="s">
        <v>1220</v>
      </c>
      <c r="L2155" s="415" t="s">
        <v>1368</v>
      </c>
      <c r="M2155" s="415" t="s">
        <v>310</v>
      </c>
      <c r="N2155" s="414">
        <v>44732</v>
      </c>
      <c r="O2155" s="414" t="s">
        <v>400</v>
      </c>
      <c r="P2155" s="603">
        <f t="shared" si="318"/>
        <v>6</v>
      </c>
      <c r="Q2155" s="603">
        <f t="shared" si="319"/>
        <v>4</v>
      </c>
      <c r="R2155" s="604" t="str">
        <f t="shared" si="317"/>
        <v>Gastos_Gerais</v>
      </c>
      <c r="S2155" s="605" t="s">
        <v>310</v>
      </c>
      <c r="T2155" s="605" t="s">
        <v>310</v>
      </c>
    </row>
    <row r="2156" spans="1:20" s="88" customFormat="1" ht="36" x14ac:dyDescent="0.2">
      <c r="A2156" s="510">
        <f>IF(B2156="","",COUNT('Diário 1º PA'!$A$4:$A$2635)+ROW()-3)</f>
        <v>3889</v>
      </c>
      <c r="B2156" s="414">
        <v>44732</v>
      </c>
      <c r="C2156" s="431">
        <v>44652</v>
      </c>
      <c r="D2156" s="415" t="s">
        <v>271</v>
      </c>
      <c r="E2156" s="415" t="s">
        <v>456</v>
      </c>
      <c r="F2156" s="425">
        <v>155</v>
      </c>
      <c r="G2156" s="427" t="s">
        <v>3804</v>
      </c>
      <c r="H2156" s="415" t="s">
        <v>761</v>
      </c>
      <c r="I2156" s="427" t="s">
        <v>1461</v>
      </c>
      <c r="J2156" s="415" t="s">
        <v>310</v>
      </c>
      <c r="K2156" s="415" t="s">
        <v>1220</v>
      </c>
      <c r="L2156" s="415" t="s">
        <v>1368</v>
      </c>
      <c r="M2156" s="415" t="s">
        <v>310</v>
      </c>
      <c r="N2156" s="414">
        <v>44732</v>
      </c>
      <c r="O2156" s="414" t="s">
        <v>400</v>
      </c>
      <c r="P2156" s="603">
        <f t="shared" si="318"/>
        <v>6</v>
      </c>
      <c r="Q2156" s="603">
        <f t="shared" si="319"/>
        <v>4</v>
      </c>
      <c r="R2156" s="604" t="str">
        <f t="shared" si="317"/>
        <v>Gastos_Gerais</v>
      </c>
      <c r="S2156" s="605" t="s">
        <v>310</v>
      </c>
      <c r="T2156" s="605" t="s">
        <v>310</v>
      </c>
    </row>
    <row r="2157" spans="1:20" s="88" customFormat="1" ht="48" x14ac:dyDescent="0.2">
      <c r="A2157" s="510">
        <f>IF(B2157="","",COUNT('Diário 1º PA'!$A$4:$A$2635)+ROW()-3)</f>
        <v>3890</v>
      </c>
      <c r="B2157" s="414">
        <v>44732</v>
      </c>
      <c r="C2157" s="431">
        <v>44621</v>
      </c>
      <c r="D2157" s="415" t="s">
        <v>271</v>
      </c>
      <c r="E2157" s="415" t="s">
        <v>456</v>
      </c>
      <c r="F2157" s="425">
        <v>248</v>
      </c>
      <c r="G2157" s="427" t="s">
        <v>4368</v>
      </c>
      <c r="H2157" s="415" t="s">
        <v>760</v>
      </c>
      <c r="I2157" s="427" t="s">
        <v>1461</v>
      </c>
      <c r="J2157" s="415" t="s">
        <v>310</v>
      </c>
      <c r="K2157" s="415" t="s">
        <v>1220</v>
      </c>
      <c r="L2157" s="415" t="s">
        <v>1368</v>
      </c>
      <c r="M2157" s="415" t="s">
        <v>310</v>
      </c>
      <c r="N2157" s="414">
        <v>44732</v>
      </c>
      <c r="O2157" s="414" t="s">
        <v>400</v>
      </c>
      <c r="P2157" s="603">
        <f t="shared" si="318"/>
        <v>6</v>
      </c>
      <c r="Q2157" s="603">
        <f t="shared" si="319"/>
        <v>3</v>
      </c>
      <c r="R2157" s="604" t="str">
        <f t="shared" si="317"/>
        <v>Gastos_Gerais</v>
      </c>
      <c r="S2157" s="605" t="s">
        <v>310</v>
      </c>
      <c r="T2157" s="605" t="s">
        <v>310</v>
      </c>
    </row>
    <row r="2158" spans="1:20" s="88" customFormat="1" ht="36" x14ac:dyDescent="0.2">
      <c r="A2158" s="510">
        <f>IF(B2158="","",COUNT('Diário 1º PA'!$A$4:$A$2635)+ROW()-3)</f>
        <v>3891</v>
      </c>
      <c r="B2158" s="414">
        <v>44732</v>
      </c>
      <c r="C2158" s="431">
        <v>44621</v>
      </c>
      <c r="D2158" s="415" t="s">
        <v>271</v>
      </c>
      <c r="E2158" s="415" t="s">
        <v>456</v>
      </c>
      <c r="F2158" s="425">
        <v>248</v>
      </c>
      <c r="G2158" s="427" t="s">
        <v>3923</v>
      </c>
      <c r="H2158" s="415" t="s">
        <v>748</v>
      </c>
      <c r="I2158" s="427" t="s">
        <v>1461</v>
      </c>
      <c r="J2158" s="415" t="s">
        <v>310</v>
      </c>
      <c r="K2158" s="415" t="s">
        <v>1220</v>
      </c>
      <c r="L2158" s="415" t="s">
        <v>1368</v>
      </c>
      <c r="M2158" s="415" t="s">
        <v>310</v>
      </c>
      <c r="N2158" s="414">
        <v>44732</v>
      </c>
      <c r="O2158" s="414" t="s">
        <v>400</v>
      </c>
      <c r="P2158" s="603">
        <f t="shared" si="318"/>
        <v>6</v>
      </c>
      <c r="Q2158" s="603">
        <f t="shared" si="319"/>
        <v>3</v>
      </c>
      <c r="R2158" s="604" t="str">
        <f t="shared" si="317"/>
        <v>Gastos_Gerais</v>
      </c>
      <c r="S2158" s="605" t="s">
        <v>310</v>
      </c>
      <c r="T2158" s="605" t="s">
        <v>310</v>
      </c>
    </row>
    <row r="2159" spans="1:20" s="88" customFormat="1" ht="36" x14ac:dyDescent="0.2">
      <c r="A2159" s="510">
        <f>IF(B2159="","",COUNT('Diário 1º PA'!$A$4:$A$2635)+ROW()-3)</f>
        <v>3892</v>
      </c>
      <c r="B2159" s="414">
        <v>44732</v>
      </c>
      <c r="C2159" s="431">
        <v>44621</v>
      </c>
      <c r="D2159" s="415" t="s">
        <v>271</v>
      </c>
      <c r="E2159" s="415" t="s">
        <v>450</v>
      </c>
      <c r="F2159" s="425">
        <v>713</v>
      </c>
      <c r="G2159" s="427" t="s">
        <v>4177</v>
      </c>
      <c r="H2159" s="415" t="s">
        <v>758</v>
      </c>
      <c r="I2159" s="427" t="s">
        <v>1461</v>
      </c>
      <c r="J2159" s="415" t="s">
        <v>310</v>
      </c>
      <c r="K2159" s="415" t="s">
        <v>1220</v>
      </c>
      <c r="L2159" s="415" t="s">
        <v>1368</v>
      </c>
      <c r="M2159" s="415" t="s">
        <v>310</v>
      </c>
      <c r="N2159" s="414">
        <v>44732</v>
      </c>
      <c r="O2159" s="414" t="s">
        <v>400</v>
      </c>
      <c r="P2159" s="603">
        <f t="shared" si="318"/>
        <v>6</v>
      </c>
      <c r="Q2159" s="603">
        <f t="shared" si="319"/>
        <v>3</v>
      </c>
      <c r="R2159" s="604" t="str">
        <f t="shared" si="317"/>
        <v>Gastos_Gerais</v>
      </c>
      <c r="S2159" s="605" t="s">
        <v>310</v>
      </c>
      <c r="T2159" s="605" t="s">
        <v>310</v>
      </c>
    </row>
    <row r="2160" spans="1:20" s="88" customFormat="1" ht="36" x14ac:dyDescent="0.2">
      <c r="A2160" s="510">
        <f>IF(B2160="","",COUNT('Diário 1º PA'!$A$4:$A$2635)+ROW()-3)</f>
        <v>3893</v>
      </c>
      <c r="B2160" s="414">
        <v>44732</v>
      </c>
      <c r="C2160" s="431">
        <v>44621</v>
      </c>
      <c r="D2160" s="415" t="s">
        <v>271</v>
      </c>
      <c r="E2160" s="415" t="s">
        <v>464</v>
      </c>
      <c r="F2160" s="425">
        <v>310</v>
      </c>
      <c r="G2160" s="427" t="s">
        <v>4461</v>
      </c>
      <c r="H2160" s="415" t="s">
        <v>758</v>
      </c>
      <c r="I2160" s="427" t="s">
        <v>1461</v>
      </c>
      <c r="J2160" s="415" t="s">
        <v>310</v>
      </c>
      <c r="K2160" s="415" t="s">
        <v>1220</v>
      </c>
      <c r="L2160" s="415" t="s">
        <v>1368</v>
      </c>
      <c r="M2160" s="415" t="s">
        <v>310</v>
      </c>
      <c r="N2160" s="414">
        <v>44732</v>
      </c>
      <c r="O2160" s="414" t="s">
        <v>400</v>
      </c>
      <c r="P2160" s="603">
        <f t="shared" si="318"/>
        <v>6</v>
      </c>
      <c r="Q2160" s="603">
        <f t="shared" si="319"/>
        <v>3</v>
      </c>
      <c r="R2160" s="604" t="str">
        <f t="shared" si="317"/>
        <v>Gastos_Gerais</v>
      </c>
      <c r="S2160" s="605" t="s">
        <v>310</v>
      </c>
      <c r="T2160" s="605" t="s">
        <v>310</v>
      </c>
    </row>
    <row r="2161" spans="1:20" s="88" customFormat="1" ht="48" x14ac:dyDescent="0.2">
      <c r="A2161" s="510">
        <f>IF(B2161="","",COUNT('Diário 1º PA'!$A$4:$A$2635)+ROW()-3)</f>
        <v>3894</v>
      </c>
      <c r="B2161" s="414">
        <v>44732</v>
      </c>
      <c r="C2161" s="431">
        <v>44652</v>
      </c>
      <c r="D2161" s="415" t="s">
        <v>271</v>
      </c>
      <c r="E2161" s="415" t="s">
        <v>442</v>
      </c>
      <c r="F2161" s="425">
        <v>396.8</v>
      </c>
      <c r="G2161" s="427" t="s">
        <v>4043</v>
      </c>
      <c r="H2161" s="415" t="s">
        <v>757</v>
      </c>
      <c r="I2161" s="427" t="s">
        <v>1461</v>
      </c>
      <c r="J2161" s="415" t="s">
        <v>310</v>
      </c>
      <c r="K2161" s="415" t="s">
        <v>1220</v>
      </c>
      <c r="L2161" s="415" t="s">
        <v>1368</v>
      </c>
      <c r="M2161" s="415" t="s">
        <v>310</v>
      </c>
      <c r="N2161" s="414">
        <v>44732</v>
      </c>
      <c r="O2161" s="414" t="s">
        <v>400</v>
      </c>
      <c r="P2161" s="603">
        <f t="shared" si="318"/>
        <v>6</v>
      </c>
      <c r="Q2161" s="603">
        <f t="shared" si="319"/>
        <v>4</v>
      </c>
      <c r="R2161" s="604" t="str">
        <f t="shared" si="317"/>
        <v>Gastos_Gerais</v>
      </c>
      <c r="S2161" s="605" t="s">
        <v>310</v>
      </c>
      <c r="T2161" s="605" t="s">
        <v>310</v>
      </c>
    </row>
    <row r="2162" spans="1:20" s="88" customFormat="1" ht="36" x14ac:dyDescent="0.2">
      <c r="A2162" s="510">
        <f>IF(B2162="","",COUNT('Diário 1º PA'!$A$4:$A$2635)+ROW()-3)</f>
        <v>3895</v>
      </c>
      <c r="B2162" s="414">
        <v>44732</v>
      </c>
      <c r="C2162" s="431">
        <v>44621</v>
      </c>
      <c r="D2162" s="415" t="s">
        <v>271</v>
      </c>
      <c r="E2162" s="415" t="s">
        <v>452</v>
      </c>
      <c r="F2162" s="425">
        <v>620</v>
      </c>
      <c r="G2162" s="427" t="s">
        <v>4036</v>
      </c>
      <c r="H2162" s="415" t="s">
        <v>758</v>
      </c>
      <c r="I2162" s="427" t="s">
        <v>1461</v>
      </c>
      <c r="J2162" s="415" t="s">
        <v>310</v>
      </c>
      <c r="K2162" s="415" t="s">
        <v>1220</v>
      </c>
      <c r="L2162" s="415" t="s">
        <v>1368</v>
      </c>
      <c r="M2162" s="415" t="s">
        <v>310</v>
      </c>
      <c r="N2162" s="414">
        <v>44732</v>
      </c>
      <c r="O2162" s="414" t="s">
        <v>400</v>
      </c>
      <c r="P2162" s="603">
        <f t="shared" si="318"/>
        <v>6</v>
      </c>
      <c r="Q2162" s="603">
        <f t="shared" si="319"/>
        <v>3</v>
      </c>
      <c r="R2162" s="604" t="str">
        <f t="shared" si="317"/>
        <v>Gastos_Gerais</v>
      </c>
      <c r="S2162" s="605" t="s">
        <v>310</v>
      </c>
      <c r="T2162" s="605" t="s">
        <v>310</v>
      </c>
    </row>
    <row r="2163" spans="1:20" s="88" customFormat="1" ht="36" x14ac:dyDescent="0.2">
      <c r="A2163" s="510">
        <f>IF(B2163="","",COUNT('Diário 1º PA'!$A$4:$A$2635)+ROW()-3)</f>
        <v>3896</v>
      </c>
      <c r="B2163" s="414">
        <v>44732</v>
      </c>
      <c r="C2163" s="431">
        <v>44593</v>
      </c>
      <c r="D2163" s="415" t="s">
        <v>271</v>
      </c>
      <c r="E2163" s="415" t="s">
        <v>453</v>
      </c>
      <c r="F2163" s="425">
        <v>248</v>
      </c>
      <c r="G2163" s="427" t="s">
        <v>3997</v>
      </c>
      <c r="H2163" s="415" t="s">
        <v>748</v>
      </c>
      <c r="I2163" s="427" t="s">
        <v>1461</v>
      </c>
      <c r="J2163" s="415" t="s">
        <v>310</v>
      </c>
      <c r="K2163" s="415" t="s">
        <v>1220</v>
      </c>
      <c r="L2163" s="415" t="s">
        <v>1368</v>
      </c>
      <c r="M2163" s="576" t="s">
        <v>310</v>
      </c>
      <c r="N2163" s="414">
        <v>44732</v>
      </c>
      <c r="O2163" s="414" t="s">
        <v>400</v>
      </c>
      <c r="P2163" s="603">
        <f t="shared" si="318"/>
        <v>6</v>
      </c>
      <c r="Q2163" s="603">
        <f t="shared" si="319"/>
        <v>2</v>
      </c>
      <c r="R2163" s="604" t="str">
        <f t="shared" si="317"/>
        <v>Gastos_Gerais</v>
      </c>
      <c r="S2163" s="605" t="s">
        <v>310</v>
      </c>
      <c r="T2163" s="605" t="s">
        <v>310</v>
      </c>
    </row>
    <row r="2164" spans="1:20" s="88" customFormat="1" ht="48" x14ac:dyDescent="0.2">
      <c r="A2164" s="510">
        <f>IF(B2164="","",COUNT('Diário 1º PA'!$A$4:$A$2635)+ROW()-3)</f>
        <v>3897</v>
      </c>
      <c r="B2164" s="414">
        <v>44732</v>
      </c>
      <c r="C2164" s="431">
        <v>44652</v>
      </c>
      <c r="D2164" s="415" t="s">
        <v>271</v>
      </c>
      <c r="E2164" s="415" t="s">
        <v>453</v>
      </c>
      <c r="F2164" s="425">
        <v>818.4</v>
      </c>
      <c r="G2164" s="427" t="s">
        <v>4008</v>
      </c>
      <c r="H2164" s="415" t="s">
        <v>757</v>
      </c>
      <c r="I2164" s="427" t="s">
        <v>1461</v>
      </c>
      <c r="J2164" s="415" t="s">
        <v>310</v>
      </c>
      <c r="K2164" s="415" t="s">
        <v>1220</v>
      </c>
      <c r="L2164" s="415" t="s">
        <v>1368</v>
      </c>
      <c r="M2164" s="415" t="s">
        <v>310</v>
      </c>
      <c r="N2164" s="414">
        <v>44732</v>
      </c>
      <c r="O2164" s="414" t="s">
        <v>400</v>
      </c>
      <c r="P2164" s="603">
        <f t="shared" si="318"/>
        <v>6</v>
      </c>
      <c r="Q2164" s="603">
        <f t="shared" si="319"/>
        <v>4</v>
      </c>
      <c r="R2164" s="604" t="str">
        <f t="shared" si="317"/>
        <v>Gastos_Gerais</v>
      </c>
      <c r="S2164" s="605" t="s">
        <v>310</v>
      </c>
      <c r="T2164" s="605" t="s">
        <v>310</v>
      </c>
    </row>
    <row r="2165" spans="1:20" s="88" customFormat="1" ht="48" x14ac:dyDescent="0.2">
      <c r="A2165" s="510">
        <f>IF(B2165="","",COUNT('Diário 1º PA'!$A$4:$A$2635)+ROW()-3)</f>
        <v>3898</v>
      </c>
      <c r="B2165" s="414">
        <v>44732</v>
      </c>
      <c r="C2165" s="431">
        <v>44682</v>
      </c>
      <c r="D2165" s="415" t="s">
        <v>271</v>
      </c>
      <c r="E2165" s="415" t="s">
        <v>463</v>
      </c>
      <c r="F2165" s="425">
        <v>155</v>
      </c>
      <c r="G2165" s="427" t="s">
        <v>4299</v>
      </c>
      <c r="H2165" s="415" t="s">
        <v>760</v>
      </c>
      <c r="I2165" s="427" t="s">
        <v>1461</v>
      </c>
      <c r="J2165" s="415" t="s">
        <v>310</v>
      </c>
      <c r="K2165" s="415" t="s">
        <v>1220</v>
      </c>
      <c r="L2165" s="415" t="s">
        <v>1368</v>
      </c>
      <c r="M2165" s="576" t="s">
        <v>310</v>
      </c>
      <c r="N2165" s="414">
        <v>44732</v>
      </c>
      <c r="O2165" s="414" t="s">
        <v>400</v>
      </c>
      <c r="P2165" s="603">
        <f t="shared" si="318"/>
        <v>6</v>
      </c>
      <c r="Q2165" s="603">
        <f t="shared" si="319"/>
        <v>5</v>
      </c>
      <c r="R2165" s="604" t="str">
        <f t="shared" si="317"/>
        <v>Gastos_Gerais</v>
      </c>
      <c r="S2165" s="605" t="s">
        <v>310</v>
      </c>
      <c r="T2165" s="605" t="s">
        <v>310</v>
      </c>
    </row>
    <row r="2166" spans="1:20" s="88" customFormat="1" ht="36" x14ac:dyDescent="0.2">
      <c r="A2166" s="510">
        <f>IF(B2166="","",COUNT('Diário 1º PA'!$A$4:$A$2635)+ROW()-3)</f>
        <v>3899</v>
      </c>
      <c r="B2166" s="414">
        <v>44732</v>
      </c>
      <c r="C2166" s="431">
        <v>44652</v>
      </c>
      <c r="D2166" s="415" t="s">
        <v>271</v>
      </c>
      <c r="E2166" s="415" t="s">
        <v>462</v>
      </c>
      <c r="F2166" s="425">
        <v>279</v>
      </c>
      <c r="G2166" s="427" t="s">
        <v>3913</v>
      </c>
      <c r="H2166" s="415" t="s">
        <v>752</v>
      </c>
      <c r="I2166" s="427" t="s">
        <v>1461</v>
      </c>
      <c r="J2166" s="415" t="s">
        <v>310</v>
      </c>
      <c r="K2166" s="415" t="s">
        <v>1220</v>
      </c>
      <c r="L2166" s="415" t="s">
        <v>1368</v>
      </c>
      <c r="M2166" s="415" t="s">
        <v>310</v>
      </c>
      <c r="N2166" s="414">
        <v>44732</v>
      </c>
      <c r="O2166" s="414" t="s">
        <v>400</v>
      </c>
      <c r="P2166" s="603">
        <f t="shared" si="318"/>
        <v>6</v>
      </c>
      <c r="Q2166" s="603">
        <f t="shared" si="319"/>
        <v>4</v>
      </c>
      <c r="R2166" s="604" t="str">
        <f t="shared" si="317"/>
        <v>Gastos_Gerais</v>
      </c>
      <c r="S2166" s="605" t="s">
        <v>310</v>
      </c>
      <c r="T2166" s="605" t="s">
        <v>310</v>
      </c>
    </row>
    <row r="2167" spans="1:20" s="88" customFormat="1" ht="36" x14ac:dyDescent="0.2">
      <c r="A2167" s="510">
        <f>IF(B2167="","",COUNT('Diário 1º PA'!$A$4:$A$2635)+ROW()-3)</f>
        <v>3900</v>
      </c>
      <c r="B2167" s="414">
        <v>44732</v>
      </c>
      <c r="C2167" s="431">
        <v>44593</v>
      </c>
      <c r="D2167" s="415" t="s">
        <v>271</v>
      </c>
      <c r="E2167" s="415" t="s">
        <v>453</v>
      </c>
      <c r="F2167" s="425">
        <v>248</v>
      </c>
      <c r="G2167" s="427" t="s">
        <v>4000</v>
      </c>
      <c r="H2167" s="415" t="s">
        <v>749</v>
      </c>
      <c r="I2167" s="427" t="s">
        <v>1461</v>
      </c>
      <c r="J2167" s="415" t="s">
        <v>310</v>
      </c>
      <c r="K2167" s="415" t="s">
        <v>1220</v>
      </c>
      <c r="L2167" s="415" t="s">
        <v>1368</v>
      </c>
      <c r="M2167" s="415" t="s">
        <v>310</v>
      </c>
      <c r="N2167" s="414">
        <v>44732</v>
      </c>
      <c r="O2167" s="414" t="s">
        <v>400</v>
      </c>
      <c r="P2167" s="603">
        <f t="shared" si="318"/>
        <v>6</v>
      </c>
      <c r="Q2167" s="603">
        <f t="shared" si="319"/>
        <v>2</v>
      </c>
      <c r="R2167" s="604" t="str">
        <f t="shared" si="317"/>
        <v>Gastos_Gerais</v>
      </c>
      <c r="S2167" s="605" t="s">
        <v>310</v>
      </c>
      <c r="T2167" s="605" t="s">
        <v>310</v>
      </c>
    </row>
    <row r="2168" spans="1:20" s="88" customFormat="1" ht="48" x14ac:dyDescent="0.2">
      <c r="A2168" s="510">
        <f>IF(B2168="","",COUNT('Diário 1º PA'!$A$4:$A$2635)+ROW()-3)</f>
        <v>3901</v>
      </c>
      <c r="B2168" s="414">
        <v>44732</v>
      </c>
      <c r="C2168" s="431">
        <v>44621</v>
      </c>
      <c r="D2168" s="415" t="s">
        <v>271</v>
      </c>
      <c r="E2168" s="415" t="s">
        <v>453</v>
      </c>
      <c r="F2168" s="425">
        <v>372</v>
      </c>
      <c r="G2168" s="427" t="s">
        <v>4198</v>
      </c>
      <c r="H2168" s="415" t="s">
        <v>760</v>
      </c>
      <c r="I2168" s="427" t="s">
        <v>1461</v>
      </c>
      <c r="J2168" s="415" t="s">
        <v>310</v>
      </c>
      <c r="K2168" s="415" t="s">
        <v>1220</v>
      </c>
      <c r="L2168" s="415" t="s">
        <v>1368</v>
      </c>
      <c r="M2168" s="415" t="s">
        <v>310</v>
      </c>
      <c r="N2168" s="414">
        <v>44732</v>
      </c>
      <c r="O2168" s="414" t="s">
        <v>400</v>
      </c>
      <c r="P2168" s="603">
        <f t="shared" si="318"/>
        <v>6</v>
      </c>
      <c r="Q2168" s="603">
        <f t="shared" si="319"/>
        <v>3</v>
      </c>
      <c r="R2168" s="604" t="str">
        <f t="shared" si="317"/>
        <v>Gastos_Gerais</v>
      </c>
      <c r="S2168" s="605" t="s">
        <v>310</v>
      </c>
      <c r="T2168" s="605" t="s">
        <v>310</v>
      </c>
    </row>
    <row r="2169" spans="1:20" s="88" customFormat="1" ht="36" x14ac:dyDescent="0.2">
      <c r="A2169" s="510">
        <f>IF(B2169="","",COUNT('Diário 1º PA'!$A$4:$A$2635)+ROW()-3)</f>
        <v>3902</v>
      </c>
      <c r="B2169" s="414">
        <v>44732</v>
      </c>
      <c r="C2169" s="431">
        <v>44682</v>
      </c>
      <c r="D2169" s="415" t="s">
        <v>271</v>
      </c>
      <c r="E2169" s="415" t="s">
        <v>456</v>
      </c>
      <c r="F2169" s="425">
        <v>155</v>
      </c>
      <c r="G2169" s="427" t="s">
        <v>3994</v>
      </c>
      <c r="H2169" s="415" t="s">
        <v>761</v>
      </c>
      <c r="I2169" s="427" t="s">
        <v>1461</v>
      </c>
      <c r="J2169" s="415" t="s">
        <v>310</v>
      </c>
      <c r="K2169" s="415" t="s">
        <v>1220</v>
      </c>
      <c r="L2169" s="415" t="s">
        <v>1368</v>
      </c>
      <c r="M2169" s="415" t="s">
        <v>310</v>
      </c>
      <c r="N2169" s="414">
        <v>44732</v>
      </c>
      <c r="O2169" s="414" t="s">
        <v>400</v>
      </c>
      <c r="P2169" s="603">
        <f t="shared" si="318"/>
        <v>6</v>
      </c>
      <c r="Q2169" s="603">
        <f t="shared" si="319"/>
        <v>5</v>
      </c>
      <c r="R2169" s="604" t="str">
        <f t="shared" si="317"/>
        <v>Gastos_Gerais</v>
      </c>
      <c r="S2169" s="605" t="s">
        <v>310</v>
      </c>
      <c r="T2169" s="605" t="s">
        <v>310</v>
      </c>
    </row>
    <row r="2170" spans="1:20" s="88" customFormat="1" ht="36" x14ac:dyDescent="0.2">
      <c r="A2170" s="510">
        <f>IF(B2170="","",COUNT('Diário 1º PA'!$A$4:$A$2635)+ROW()-3)</f>
        <v>3903</v>
      </c>
      <c r="B2170" s="414">
        <v>44732</v>
      </c>
      <c r="C2170" s="431">
        <v>44621</v>
      </c>
      <c r="D2170" s="415" t="s">
        <v>271</v>
      </c>
      <c r="E2170" s="415" t="s">
        <v>453</v>
      </c>
      <c r="F2170" s="425">
        <v>558</v>
      </c>
      <c r="G2170" s="427" t="s">
        <v>4039</v>
      </c>
      <c r="H2170" s="415" t="s">
        <v>752</v>
      </c>
      <c r="I2170" s="427" t="s">
        <v>1461</v>
      </c>
      <c r="J2170" s="415" t="s">
        <v>310</v>
      </c>
      <c r="K2170" s="415" t="s">
        <v>1220</v>
      </c>
      <c r="L2170" s="415" t="s">
        <v>1368</v>
      </c>
      <c r="M2170" s="415" t="s">
        <v>310</v>
      </c>
      <c r="N2170" s="414">
        <v>44732</v>
      </c>
      <c r="O2170" s="414" t="s">
        <v>400</v>
      </c>
      <c r="P2170" s="603">
        <f t="shared" si="318"/>
        <v>6</v>
      </c>
      <c r="Q2170" s="603">
        <f t="shared" si="319"/>
        <v>3</v>
      </c>
      <c r="R2170" s="604" t="str">
        <f t="shared" si="317"/>
        <v>Gastos_Gerais</v>
      </c>
      <c r="S2170" s="605" t="s">
        <v>310</v>
      </c>
      <c r="T2170" s="605" t="s">
        <v>310</v>
      </c>
    </row>
    <row r="2171" spans="1:20" s="88" customFormat="1" ht="24" x14ac:dyDescent="0.2">
      <c r="A2171" s="510">
        <f>IF(B2171="","",COUNT('Diário 1º PA'!$A$4:$A$2635)+ROW()-3)</f>
        <v>3904</v>
      </c>
      <c r="B2171" s="414">
        <v>44732</v>
      </c>
      <c r="C2171" s="424">
        <v>44682</v>
      </c>
      <c r="D2171" s="415" t="s">
        <v>468</v>
      </c>
      <c r="E2171" s="415" t="s">
        <v>468</v>
      </c>
      <c r="F2171" s="425">
        <v>2976</v>
      </c>
      <c r="G2171" s="427" t="s">
        <v>4861</v>
      </c>
      <c r="H2171" s="415" t="s">
        <v>468</v>
      </c>
      <c r="I2171" s="427" t="s">
        <v>795</v>
      </c>
      <c r="J2171" s="415" t="s">
        <v>796</v>
      </c>
      <c r="K2171" s="415" t="s">
        <v>806</v>
      </c>
      <c r="L2171" s="415" t="s">
        <v>798</v>
      </c>
      <c r="M2171" s="415" t="s">
        <v>310</v>
      </c>
      <c r="N2171" s="414">
        <v>44732</v>
      </c>
      <c r="O2171" s="414" t="s">
        <v>400</v>
      </c>
      <c r="P2171" s="603">
        <f t="shared" si="318"/>
        <v>6</v>
      </c>
      <c r="Q2171" s="603">
        <f t="shared" si="319"/>
        <v>5</v>
      </c>
      <c r="R2171" s="604" t="str">
        <f t="shared" si="317"/>
        <v>Gastos_custeados_por_captação</v>
      </c>
      <c r="S2171" s="605" t="s">
        <v>310</v>
      </c>
      <c r="T2171" s="605" t="s">
        <v>310</v>
      </c>
    </row>
    <row r="2172" spans="1:20" s="88" customFormat="1" ht="24" x14ac:dyDescent="0.2">
      <c r="A2172" s="510">
        <f>IF(B2172="","",COUNT('Diário 1º PA'!$A$4:$A$2635)+ROW()-3)</f>
        <v>3905</v>
      </c>
      <c r="B2172" s="414">
        <v>44732</v>
      </c>
      <c r="C2172" s="424">
        <v>44682</v>
      </c>
      <c r="D2172" s="415" t="s">
        <v>468</v>
      </c>
      <c r="E2172" s="415" t="s">
        <v>468</v>
      </c>
      <c r="F2172" s="425">
        <v>3952.5</v>
      </c>
      <c r="G2172" s="427" t="s">
        <v>4862</v>
      </c>
      <c r="H2172" s="415" t="s">
        <v>468</v>
      </c>
      <c r="I2172" s="427" t="s">
        <v>795</v>
      </c>
      <c r="J2172" s="415" t="s">
        <v>796</v>
      </c>
      <c r="K2172" s="415" t="s">
        <v>806</v>
      </c>
      <c r="L2172" s="415" t="s">
        <v>798</v>
      </c>
      <c r="M2172" s="415" t="s">
        <v>310</v>
      </c>
      <c r="N2172" s="414">
        <v>44732</v>
      </c>
      <c r="O2172" s="414" t="s">
        <v>400</v>
      </c>
      <c r="P2172" s="603">
        <f t="shared" si="318"/>
        <v>6</v>
      </c>
      <c r="Q2172" s="603">
        <f t="shared" si="319"/>
        <v>5</v>
      </c>
      <c r="R2172" s="604" t="str">
        <f t="shared" si="317"/>
        <v>Gastos_custeados_por_captação</v>
      </c>
      <c r="S2172" s="605" t="s">
        <v>310</v>
      </c>
      <c r="T2172" s="605" t="s">
        <v>310</v>
      </c>
    </row>
    <row r="2173" spans="1:20" s="88" customFormat="1" ht="24" x14ac:dyDescent="0.2">
      <c r="A2173" s="510">
        <f>IF(B2173="","",COUNT('Diário 1º PA'!$A$4:$A$2635)+ROW()-3)</f>
        <v>3906</v>
      </c>
      <c r="B2173" s="414">
        <v>44732</v>
      </c>
      <c r="C2173" s="424">
        <v>44682</v>
      </c>
      <c r="D2173" s="415" t="s">
        <v>468</v>
      </c>
      <c r="E2173" s="415" t="s">
        <v>468</v>
      </c>
      <c r="F2173" s="425">
        <v>531.96</v>
      </c>
      <c r="G2173" s="427" t="s">
        <v>4863</v>
      </c>
      <c r="H2173" s="415" t="s">
        <v>468</v>
      </c>
      <c r="I2173" s="427" t="s">
        <v>795</v>
      </c>
      <c r="J2173" s="415" t="s">
        <v>796</v>
      </c>
      <c r="K2173" s="415" t="s">
        <v>806</v>
      </c>
      <c r="L2173" s="415" t="s">
        <v>798</v>
      </c>
      <c r="M2173" s="415" t="s">
        <v>310</v>
      </c>
      <c r="N2173" s="414">
        <v>44732</v>
      </c>
      <c r="O2173" s="414" t="s">
        <v>400</v>
      </c>
      <c r="P2173" s="603">
        <f t="shared" si="318"/>
        <v>6</v>
      </c>
      <c r="Q2173" s="603">
        <f t="shared" si="319"/>
        <v>5</v>
      </c>
      <c r="R2173" s="604" t="str">
        <f t="shared" si="317"/>
        <v>Gastos_custeados_por_captação</v>
      </c>
      <c r="S2173" s="605" t="s">
        <v>310</v>
      </c>
      <c r="T2173" s="605" t="s">
        <v>310</v>
      </c>
    </row>
    <row r="2174" spans="1:20" s="88" customFormat="1" ht="24" x14ac:dyDescent="0.2">
      <c r="A2174" s="510">
        <f>IF(B2174="","",COUNT('Diário 1º PA'!$A$4:$A$2635)+ROW()-3)</f>
        <v>3907</v>
      </c>
      <c r="B2174" s="414">
        <v>44732</v>
      </c>
      <c r="C2174" s="424">
        <v>44682</v>
      </c>
      <c r="D2174" s="415" t="s">
        <v>182</v>
      </c>
      <c r="E2174" s="415" t="s">
        <v>1</v>
      </c>
      <c r="F2174" s="425">
        <v>3203.98</v>
      </c>
      <c r="G2174" s="427" t="s">
        <v>4864</v>
      </c>
      <c r="H2174" s="415" t="s">
        <v>310</v>
      </c>
      <c r="I2174" s="427" t="s">
        <v>795</v>
      </c>
      <c r="J2174" s="415" t="s">
        <v>796</v>
      </c>
      <c r="K2174" s="415" t="s">
        <v>806</v>
      </c>
      <c r="L2174" s="415" t="s">
        <v>798</v>
      </c>
      <c r="M2174" s="415" t="s">
        <v>310</v>
      </c>
      <c r="N2174" s="414">
        <v>44732</v>
      </c>
      <c r="O2174" s="414" t="s">
        <v>400</v>
      </c>
      <c r="P2174" s="603">
        <f t="shared" si="318"/>
        <v>6</v>
      </c>
      <c r="Q2174" s="603">
        <f t="shared" si="319"/>
        <v>5</v>
      </c>
      <c r="R2174" s="604" t="str">
        <f t="shared" si="317"/>
        <v>Gastos_com_Pessoal</v>
      </c>
      <c r="S2174" s="605" t="s">
        <v>310</v>
      </c>
      <c r="T2174" s="605" t="s">
        <v>310</v>
      </c>
    </row>
    <row r="2175" spans="1:20" s="88" customFormat="1" ht="24" x14ac:dyDescent="0.2">
      <c r="A2175" s="510">
        <f>IF(B2175="","",COUNT('Diário 1º PA'!$A$4:$A$2635)+ROW()-3)</f>
        <v>3908</v>
      </c>
      <c r="B2175" s="414">
        <v>44732</v>
      </c>
      <c r="C2175" s="424">
        <v>44682</v>
      </c>
      <c r="D2175" s="415" t="s">
        <v>182</v>
      </c>
      <c r="E2175" s="415" t="s">
        <v>252</v>
      </c>
      <c r="F2175" s="425">
        <v>8054.88</v>
      </c>
      <c r="G2175" s="427" t="s">
        <v>4865</v>
      </c>
      <c r="H2175" s="415" t="s">
        <v>310</v>
      </c>
      <c r="I2175" s="427" t="s">
        <v>795</v>
      </c>
      <c r="J2175" s="415" t="s">
        <v>796</v>
      </c>
      <c r="K2175" s="415" t="s">
        <v>806</v>
      </c>
      <c r="L2175" s="415" t="s">
        <v>798</v>
      </c>
      <c r="M2175" s="415" t="s">
        <v>310</v>
      </c>
      <c r="N2175" s="414">
        <v>44732</v>
      </c>
      <c r="O2175" s="414" t="s">
        <v>400</v>
      </c>
      <c r="P2175" s="603">
        <f t="shared" si="318"/>
        <v>6</v>
      </c>
      <c r="Q2175" s="603">
        <f t="shared" si="319"/>
        <v>5</v>
      </c>
      <c r="R2175" s="604" t="str">
        <f t="shared" si="317"/>
        <v>Gastos_com_Pessoal</v>
      </c>
      <c r="S2175" s="605" t="s">
        <v>310</v>
      </c>
      <c r="T2175" s="605" t="s">
        <v>310</v>
      </c>
    </row>
    <row r="2176" spans="1:20" s="88" customFormat="1" ht="24" x14ac:dyDescent="0.2">
      <c r="A2176" s="510">
        <f>IF(B2176="","",COUNT('Diário 1º PA'!$A$4:$A$2635)+ROW()-3)</f>
        <v>3909</v>
      </c>
      <c r="B2176" s="414">
        <v>44732</v>
      </c>
      <c r="C2176" s="424">
        <v>44682</v>
      </c>
      <c r="D2176" s="415" t="s">
        <v>271</v>
      </c>
      <c r="E2176" s="415" t="s">
        <v>90</v>
      </c>
      <c r="F2176" s="425">
        <v>1740.5</v>
      </c>
      <c r="G2176" s="427" t="s">
        <v>4866</v>
      </c>
      <c r="H2176" s="415" t="s">
        <v>310</v>
      </c>
      <c r="I2176" s="427" t="s">
        <v>795</v>
      </c>
      <c r="J2176" s="415" t="s">
        <v>796</v>
      </c>
      <c r="K2176" s="415" t="s">
        <v>806</v>
      </c>
      <c r="L2176" s="415" t="s">
        <v>798</v>
      </c>
      <c r="M2176" s="415" t="s">
        <v>310</v>
      </c>
      <c r="N2176" s="414">
        <v>44732</v>
      </c>
      <c r="O2176" s="414" t="s">
        <v>400</v>
      </c>
      <c r="P2176" s="603">
        <f t="shared" si="318"/>
        <v>6</v>
      </c>
      <c r="Q2176" s="603">
        <f t="shared" si="319"/>
        <v>5</v>
      </c>
      <c r="R2176" s="604" t="str">
        <f t="shared" si="317"/>
        <v>Gastos_Gerais</v>
      </c>
      <c r="S2176" s="605" t="s">
        <v>310</v>
      </c>
      <c r="T2176" s="605" t="s">
        <v>310</v>
      </c>
    </row>
    <row r="2177" spans="1:20" s="88" customFormat="1" ht="24" x14ac:dyDescent="0.2">
      <c r="A2177" s="510">
        <f>IF(B2177="","",COUNT('Diário 1º PA'!$A$4:$A$2635)+ROW()-3)</f>
        <v>3910</v>
      </c>
      <c r="B2177" s="414">
        <v>44732</v>
      </c>
      <c r="C2177" s="424">
        <v>44682</v>
      </c>
      <c r="D2177" s="415" t="s">
        <v>468</v>
      </c>
      <c r="E2177" s="415" t="s">
        <v>468</v>
      </c>
      <c r="F2177" s="425">
        <v>930</v>
      </c>
      <c r="G2177" s="427" t="s">
        <v>4867</v>
      </c>
      <c r="H2177" s="415" t="s">
        <v>468</v>
      </c>
      <c r="I2177" s="427" t="s">
        <v>795</v>
      </c>
      <c r="J2177" s="415" t="s">
        <v>796</v>
      </c>
      <c r="K2177" s="415" t="s">
        <v>806</v>
      </c>
      <c r="L2177" s="415" t="s">
        <v>798</v>
      </c>
      <c r="M2177" s="576" t="s">
        <v>310</v>
      </c>
      <c r="N2177" s="414">
        <v>44732</v>
      </c>
      <c r="O2177" s="414" t="s">
        <v>400</v>
      </c>
      <c r="P2177" s="603">
        <f t="shared" si="318"/>
        <v>6</v>
      </c>
      <c r="Q2177" s="603">
        <f t="shared" si="319"/>
        <v>5</v>
      </c>
      <c r="R2177" s="604" t="str">
        <f t="shared" si="317"/>
        <v>Gastos_custeados_por_captação</v>
      </c>
      <c r="S2177" s="605" t="s">
        <v>310</v>
      </c>
      <c r="T2177" s="605" t="s">
        <v>310</v>
      </c>
    </row>
    <row r="2178" spans="1:20" s="88" customFormat="1" ht="24" x14ac:dyDescent="0.2">
      <c r="A2178" s="510">
        <f>IF(B2178="","",COUNT('Diário 1º PA'!$A$4:$A$2635)+ROW()-3)</f>
        <v>3911</v>
      </c>
      <c r="B2178" s="414">
        <v>44732</v>
      </c>
      <c r="C2178" s="424">
        <v>44682</v>
      </c>
      <c r="D2178" s="415" t="s">
        <v>468</v>
      </c>
      <c r="E2178" s="415" t="s">
        <v>468</v>
      </c>
      <c r="F2178" s="425">
        <v>36540.230000000003</v>
      </c>
      <c r="G2178" s="427" t="s">
        <v>4868</v>
      </c>
      <c r="H2178" s="415" t="s">
        <v>468</v>
      </c>
      <c r="I2178" s="427" t="s">
        <v>795</v>
      </c>
      <c r="J2178" s="415" t="s">
        <v>796</v>
      </c>
      <c r="K2178" s="415" t="s">
        <v>806</v>
      </c>
      <c r="L2178" s="415" t="s">
        <v>798</v>
      </c>
      <c r="M2178" s="415" t="s">
        <v>310</v>
      </c>
      <c r="N2178" s="414">
        <v>44732</v>
      </c>
      <c r="O2178" s="414" t="s">
        <v>400</v>
      </c>
      <c r="P2178" s="603">
        <f t="shared" si="318"/>
        <v>6</v>
      </c>
      <c r="Q2178" s="603">
        <f t="shared" si="319"/>
        <v>5</v>
      </c>
      <c r="R2178" s="604" t="str">
        <f t="shared" si="317"/>
        <v>Gastos_custeados_por_captação</v>
      </c>
      <c r="S2178" s="605" t="s">
        <v>310</v>
      </c>
      <c r="T2178" s="605" t="s">
        <v>310</v>
      </c>
    </row>
    <row r="2179" spans="1:20" s="88" customFormat="1" ht="24" x14ac:dyDescent="0.2">
      <c r="A2179" s="510">
        <f>IF(B2179="","",COUNT('Diário 1º PA'!$A$4:$A$2635)+ROW()-3)</f>
        <v>3912</v>
      </c>
      <c r="B2179" s="414">
        <v>44732</v>
      </c>
      <c r="C2179" s="424">
        <v>44682</v>
      </c>
      <c r="D2179" s="415" t="s">
        <v>468</v>
      </c>
      <c r="E2179" s="415" t="s">
        <v>468</v>
      </c>
      <c r="F2179" s="425">
        <v>499.32</v>
      </c>
      <c r="G2179" s="427" t="s">
        <v>4869</v>
      </c>
      <c r="H2179" s="415" t="s">
        <v>468</v>
      </c>
      <c r="I2179" s="427" t="s">
        <v>795</v>
      </c>
      <c r="J2179" s="415" t="s">
        <v>796</v>
      </c>
      <c r="K2179" s="415" t="s">
        <v>806</v>
      </c>
      <c r="L2179" s="415" t="s">
        <v>798</v>
      </c>
      <c r="M2179" s="415" t="s">
        <v>310</v>
      </c>
      <c r="N2179" s="414">
        <v>44732</v>
      </c>
      <c r="O2179" s="414" t="s">
        <v>400</v>
      </c>
      <c r="P2179" s="603">
        <f t="shared" si="318"/>
        <v>6</v>
      </c>
      <c r="Q2179" s="603">
        <f t="shared" si="319"/>
        <v>5</v>
      </c>
      <c r="R2179" s="604" t="str">
        <f t="shared" si="317"/>
        <v>Gastos_custeados_por_captação</v>
      </c>
      <c r="S2179" s="605" t="s">
        <v>310</v>
      </c>
      <c r="T2179" s="605" t="s">
        <v>310</v>
      </c>
    </row>
    <row r="2180" spans="1:20" s="88" customFormat="1" ht="24" x14ac:dyDescent="0.2">
      <c r="A2180" s="510">
        <f>IF(B2180="","",COUNT('Diário 1º PA'!$A$4:$A$2635)+ROW()-3)</f>
        <v>3913</v>
      </c>
      <c r="B2180" s="414">
        <v>44732</v>
      </c>
      <c r="C2180" s="424">
        <v>44682</v>
      </c>
      <c r="D2180" s="415" t="s">
        <v>468</v>
      </c>
      <c r="E2180" s="415" t="s">
        <v>468</v>
      </c>
      <c r="F2180" s="425">
        <v>2170</v>
      </c>
      <c r="G2180" s="427" t="s">
        <v>4870</v>
      </c>
      <c r="H2180" s="415" t="s">
        <v>468</v>
      </c>
      <c r="I2180" s="427" t="s">
        <v>795</v>
      </c>
      <c r="J2180" s="415" t="s">
        <v>796</v>
      </c>
      <c r="K2180" s="415" t="s">
        <v>806</v>
      </c>
      <c r="L2180" s="415" t="s">
        <v>798</v>
      </c>
      <c r="M2180" s="415" t="s">
        <v>310</v>
      </c>
      <c r="N2180" s="414">
        <v>44732</v>
      </c>
      <c r="O2180" s="414" t="s">
        <v>400</v>
      </c>
      <c r="P2180" s="603">
        <f t="shared" si="318"/>
        <v>6</v>
      </c>
      <c r="Q2180" s="603">
        <f t="shared" si="319"/>
        <v>5</v>
      </c>
      <c r="R2180" s="604" t="str">
        <f t="shared" si="317"/>
        <v>Gastos_custeados_por_captação</v>
      </c>
      <c r="S2180" s="605" t="s">
        <v>310</v>
      </c>
      <c r="T2180" s="605" t="s">
        <v>310</v>
      </c>
    </row>
    <row r="2181" spans="1:20" s="88" customFormat="1" ht="24" x14ac:dyDescent="0.2">
      <c r="A2181" s="510">
        <f>IF(B2181="","",COUNT('Diário 1º PA'!$A$4:$A$2635)+ROW()-3)</f>
        <v>3914</v>
      </c>
      <c r="B2181" s="414">
        <v>44732</v>
      </c>
      <c r="C2181" s="424">
        <v>44682</v>
      </c>
      <c r="D2181" s="415" t="s">
        <v>468</v>
      </c>
      <c r="E2181" s="415" t="s">
        <v>468</v>
      </c>
      <c r="F2181" s="425">
        <v>7267.09</v>
      </c>
      <c r="G2181" s="427" t="s">
        <v>4871</v>
      </c>
      <c r="H2181" s="415" t="s">
        <v>468</v>
      </c>
      <c r="I2181" s="427" t="s">
        <v>795</v>
      </c>
      <c r="J2181" s="415" t="s">
        <v>796</v>
      </c>
      <c r="K2181" s="415" t="s">
        <v>806</v>
      </c>
      <c r="L2181" s="415" t="s">
        <v>798</v>
      </c>
      <c r="M2181" s="415" t="s">
        <v>310</v>
      </c>
      <c r="N2181" s="414">
        <v>44732</v>
      </c>
      <c r="O2181" s="414" t="s">
        <v>400</v>
      </c>
      <c r="P2181" s="603">
        <f t="shared" si="318"/>
        <v>6</v>
      </c>
      <c r="Q2181" s="603">
        <f t="shared" si="319"/>
        <v>5</v>
      </c>
      <c r="R2181" s="604" t="str">
        <f t="shared" si="317"/>
        <v>Gastos_custeados_por_captação</v>
      </c>
      <c r="S2181" s="605" t="s">
        <v>310</v>
      </c>
      <c r="T2181" s="605" t="s">
        <v>310</v>
      </c>
    </row>
    <row r="2182" spans="1:20" s="88" customFormat="1" ht="24" x14ac:dyDescent="0.2">
      <c r="A2182" s="510">
        <f>IF(B2182="","",COUNT('Diário 1º PA'!$A$4:$A$2635)+ROW()-3)</f>
        <v>3915</v>
      </c>
      <c r="B2182" s="414">
        <v>44732</v>
      </c>
      <c r="C2182" s="424">
        <v>44682</v>
      </c>
      <c r="D2182" s="415" t="s">
        <v>182</v>
      </c>
      <c r="E2182" s="415" t="s">
        <v>1</v>
      </c>
      <c r="F2182" s="425">
        <v>16650.740000000002</v>
      </c>
      <c r="G2182" s="427" t="s">
        <v>4586</v>
      </c>
      <c r="H2182" s="415" t="s">
        <v>310</v>
      </c>
      <c r="I2182" s="427" t="s">
        <v>1461</v>
      </c>
      <c r="J2182" s="415" t="s">
        <v>310</v>
      </c>
      <c r="K2182" s="415" t="s">
        <v>1220</v>
      </c>
      <c r="L2182" s="415" t="s">
        <v>1368</v>
      </c>
      <c r="M2182" s="415" t="s">
        <v>310</v>
      </c>
      <c r="N2182" s="414">
        <v>44732</v>
      </c>
      <c r="O2182" s="414" t="s">
        <v>400</v>
      </c>
      <c r="P2182" s="603">
        <f t="shared" si="318"/>
        <v>6</v>
      </c>
      <c r="Q2182" s="603">
        <f t="shared" si="319"/>
        <v>5</v>
      </c>
      <c r="R2182" s="604" t="str">
        <f t="shared" si="317"/>
        <v>Gastos_com_Pessoal</v>
      </c>
      <c r="S2182" s="605" t="s">
        <v>310</v>
      </c>
      <c r="T2182" s="605" t="s">
        <v>310</v>
      </c>
    </row>
    <row r="2183" spans="1:20" s="88" customFormat="1" ht="24" x14ac:dyDescent="0.2">
      <c r="A2183" s="510">
        <f>IF(B2183="","",COUNT('Diário 1º PA'!$A$4:$A$2635)+ROW()-3)</f>
        <v>3916</v>
      </c>
      <c r="B2183" s="414">
        <v>44732</v>
      </c>
      <c r="C2183" s="424">
        <v>44682</v>
      </c>
      <c r="D2183" s="415" t="s">
        <v>182</v>
      </c>
      <c r="E2183" s="415" t="s">
        <v>252</v>
      </c>
      <c r="F2183" s="425">
        <v>52102.89</v>
      </c>
      <c r="G2183" s="427" t="s">
        <v>4872</v>
      </c>
      <c r="H2183" s="415" t="s">
        <v>310</v>
      </c>
      <c r="I2183" s="427" t="s">
        <v>1461</v>
      </c>
      <c r="J2183" s="415" t="s">
        <v>310</v>
      </c>
      <c r="K2183" s="415" t="s">
        <v>1220</v>
      </c>
      <c r="L2183" s="415" t="s">
        <v>1368</v>
      </c>
      <c r="M2183" s="415" t="s">
        <v>310</v>
      </c>
      <c r="N2183" s="414">
        <v>44732</v>
      </c>
      <c r="O2183" s="414" t="s">
        <v>400</v>
      </c>
      <c r="P2183" s="603">
        <f t="shared" si="318"/>
        <v>6</v>
      </c>
      <c r="Q2183" s="603">
        <f t="shared" si="319"/>
        <v>5</v>
      </c>
      <c r="R2183" s="604" t="str">
        <f t="shared" si="317"/>
        <v>Gastos_com_Pessoal</v>
      </c>
      <c r="S2183" s="605" t="s">
        <v>310</v>
      </c>
      <c r="T2183" s="605" t="s">
        <v>310</v>
      </c>
    </row>
    <row r="2184" spans="1:20" s="88" customFormat="1" ht="24" x14ac:dyDescent="0.2">
      <c r="A2184" s="510">
        <f>IF(B2184="","",COUNT('Diário 1º PA'!$A$4:$A$2635)+ROW()-3)</f>
        <v>3917</v>
      </c>
      <c r="B2184" s="414">
        <v>44732</v>
      </c>
      <c r="C2184" s="433">
        <v>44652</v>
      </c>
      <c r="D2184" s="415" t="s">
        <v>182</v>
      </c>
      <c r="E2184" s="415" t="s">
        <v>179</v>
      </c>
      <c r="F2184" s="425">
        <v>20.05</v>
      </c>
      <c r="G2184" s="427" t="s">
        <v>3701</v>
      </c>
      <c r="H2184" s="415" t="s">
        <v>310</v>
      </c>
      <c r="I2184" s="427" t="s">
        <v>1461</v>
      </c>
      <c r="J2184" s="415" t="s">
        <v>310</v>
      </c>
      <c r="K2184" s="415" t="s">
        <v>1220</v>
      </c>
      <c r="L2184" s="415" t="s">
        <v>1368</v>
      </c>
      <c r="M2184" s="415" t="s">
        <v>310</v>
      </c>
      <c r="N2184" s="414">
        <v>44732</v>
      </c>
      <c r="O2184" s="414" t="s">
        <v>400</v>
      </c>
      <c r="P2184" s="603">
        <f t="shared" si="318"/>
        <v>6</v>
      </c>
      <c r="Q2184" s="603">
        <f t="shared" si="319"/>
        <v>4</v>
      </c>
      <c r="R2184" s="604" t="str">
        <f t="shared" si="317"/>
        <v>Gastos_com_Pessoal</v>
      </c>
      <c r="S2184" s="605" t="s">
        <v>310</v>
      </c>
      <c r="T2184" s="605" t="s">
        <v>310</v>
      </c>
    </row>
    <row r="2185" spans="1:20" s="88" customFormat="1" ht="48" x14ac:dyDescent="0.2">
      <c r="A2185" s="510">
        <f>IF(B2185="","",COUNT('Diário 1º PA'!$A$4:$A$2635)+ROW()-3)</f>
        <v>3918</v>
      </c>
      <c r="B2185" s="414">
        <v>44732</v>
      </c>
      <c r="C2185" s="433">
        <v>44713</v>
      </c>
      <c r="D2185" s="415" t="s">
        <v>271</v>
      </c>
      <c r="E2185" s="415" t="s">
        <v>297</v>
      </c>
      <c r="F2185" s="425">
        <v>228.05</v>
      </c>
      <c r="G2185" s="427" t="s">
        <v>4873</v>
      </c>
      <c r="H2185" s="415" t="s">
        <v>309</v>
      </c>
      <c r="I2185" s="427" t="s">
        <v>4874</v>
      </c>
      <c r="J2185" s="415" t="s">
        <v>4875</v>
      </c>
      <c r="K2185" s="415" t="s">
        <v>830</v>
      </c>
      <c r="L2185" s="415" t="s">
        <v>807</v>
      </c>
      <c r="M2185" s="415" t="s">
        <v>4876</v>
      </c>
      <c r="N2185" s="414">
        <v>44729</v>
      </c>
      <c r="O2185" s="414" t="s">
        <v>400</v>
      </c>
      <c r="P2185" s="603">
        <f t="shared" si="318"/>
        <v>6</v>
      </c>
      <c r="Q2185" s="603">
        <f t="shared" si="319"/>
        <v>6</v>
      </c>
      <c r="R2185" s="604" t="str">
        <f t="shared" si="317"/>
        <v>Gastos_Gerais</v>
      </c>
      <c r="S2185" s="605" t="s">
        <v>1000</v>
      </c>
      <c r="T2185" s="605">
        <v>3908</v>
      </c>
    </row>
    <row r="2186" spans="1:20" s="88" customFormat="1" ht="48" x14ac:dyDescent="0.2">
      <c r="A2186" s="510">
        <f>IF(B2186="","",COUNT('Diário 1º PA'!$A$4:$A$2635)+ROW()-3)</f>
        <v>3919</v>
      </c>
      <c r="B2186" s="414">
        <v>44732</v>
      </c>
      <c r="C2186" s="431">
        <v>44713</v>
      </c>
      <c r="D2186" s="415" t="s">
        <v>271</v>
      </c>
      <c r="E2186" s="415" t="s">
        <v>456</v>
      </c>
      <c r="F2186" s="425">
        <v>375</v>
      </c>
      <c r="G2186" s="427" t="s">
        <v>4877</v>
      </c>
      <c r="H2186" s="415" t="s">
        <v>751</v>
      </c>
      <c r="I2186" s="427" t="s">
        <v>4878</v>
      </c>
      <c r="J2186" s="415" t="s">
        <v>4879</v>
      </c>
      <c r="K2186" s="415" t="s">
        <v>830</v>
      </c>
      <c r="L2186" s="415" t="s">
        <v>807</v>
      </c>
      <c r="M2186" s="415">
        <v>11346</v>
      </c>
      <c r="N2186" s="414">
        <v>44732</v>
      </c>
      <c r="O2186" s="414" t="s">
        <v>400</v>
      </c>
      <c r="P2186" s="603">
        <f t="shared" si="318"/>
        <v>6</v>
      </c>
      <c r="Q2186" s="603">
        <f t="shared" si="319"/>
        <v>6</v>
      </c>
      <c r="R2186" s="604" t="str">
        <f t="shared" si="317"/>
        <v>Gastos_Gerais</v>
      </c>
      <c r="S2186" s="605" t="s">
        <v>999</v>
      </c>
      <c r="T2186" s="605">
        <v>3926</v>
      </c>
    </row>
    <row r="2187" spans="1:20" s="88" customFormat="1" ht="24" x14ac:dyDescent="0.2">
      <c r="A2187" s="510">
        <f>IF(B2187="","",COUNT('Diário 1º PA'!$A$4:$A$2635)+ROW()-3)</f>
        <v>3920</v>
      </c>
      <c r="B2187" s="414">
        <v>44732</v>
      </c>
      <c r="C2187" s="431">
        <v>44652</v>
      </c>
      <c r="D2187" s="415" t="s">
        <v>271</v>
      </c>
      <c r="E2187" s="415" t="s">
        <v>456</v>
      </c>
      <c r="F2187" s="425">
        <v>172</v>
      </c>
      <c r="G2187" s="427" t="s">
        <v>3781</v>
      </c>
      <c r="H2187" s="415" t="s">
        <v>792</v>
      </c>
      <c r="I2187" s="427" t="s">
        <v>4247</v>
      </c>
      <c r="J2187" s="415" t="s">
        <v>310</v>
      </c>
      <c r="K2187" s="415" t="s">
        <v>1220</v>
      </c>
      <c r="L2187" s="415" t="s">
        <v>3443</v>
      </c>
      <c r="M2187" s="415" t="s">
        <v>4880</v>
      </c>
      <c r="N2187" s="414">
        <v>44732</v>
      </c>
      <c r="O2187" s="414" t="s">
        <v>400</v>
      </c>
      <c r="P2187" s="603">
        <f t="shared" si="318"/>
        <v>6</v>
      </c>
      <c r="Q2187" s="603">
        <f t="shared" si="319"/>
        <v>4</v>
      </c>
      <c r="R2187" s="604" t="str">
        <f>SUBSTITUTE(D2187," ","_")</f>
        <v>Gastos_Gerais</v>
      </c>
      <c r="S2187" s="605" t="s">
        <v>310</v>
      </c>
      <c r="T2187" s="605" t="s">
        <v>310</v>
      </c>
    </row>
    <row r="2188" spans="1:20" s="88" customFormat="1" ht="24" x14ac:dyDescent="0.2">
      <c r="A2188" s="510">
        <f>IF(B2188="","",COUNT('Diário 1º PA'!$A$4:$A$2635)+ROW()-3)</f>
        <v>3921</v>
      </c>
      <c r="B2188" s="414">
        <v>44732</v>
      </c>
      <c r="C2188" s="431">
        <v>44652</v>
      </c>
      <c r="D2188" s="415" t="s">
        <v>271</v>
      </c>
      <c r="E2188" s="415" t="s">
        <v>456</v>
      </c>
      <c r="F2188" s="425">
        <v>502.7</v>
      </c>
      <c r="G2188" s="427" t="s">
        <v>8524</v>
      </c>
      <c r="H2188" s="415" t="s">
        <v>792</v>
      </c>
      <c r="I2188" s="427" t="s">
        <v>4247</v>
      </c>
      <c r="J2188" s="415" t="s">
        <v>310</v>
      </c>
      <c r="K2188" s="415" t="s">
        <v>1220</v>
      </c>
      <c r="L2188" s="415" t="s">
        <v>3443</v>
      </c>
      <c r="M2188" s="415" t="s">
        <v>8519</v>
      </c>
      <c r="N2188" s="414">
        <v>44732</v>
      </c>
      <c r="O2188" s="414" t="s">
        <v>400</v>
      </c>
      <c r="P2188" s="603">
        <f t="shared" ref="P2188:Q2191" si="320">IF(B2188=0,0,IF(YEAR(B2188)=$Q$1,MONTH(B2188)-$P$1+1,(YEAR(B2188)-$Q$1)*12-$P$1+1+MONTH(B2188)))</f>
        <v>6</v>
      </c>
      <c r="Q2188" s="603">
        <f t="shared" si="320"/>
        <v>4</v>
      </c>
      <c r="R2188" s="604" t="str">
        <f>SUBSTITUTE(D2188," ","_")</f>
        <v>Gastos_Gerais</v>
      </c>
      <c r="S2188" s="605" t="s">
        <v>310</v>
      </c>
      <c r="T2188" s="605" t="s">
        <v>310</v>
      </c>
    </row>
    <row r="2189" spans="1:20" s="88" customFormat="1" ht="24" x14ac:dyDescent="0.2">
      <c r="A2189" s="510">
        <f>IF(B2189="","",COUNT('Diário 1º PA'!$A$4:$A$2635)+ROW()-3)</f>
        <v>3922</v>
      </c>
      <c r="B2189" s="414">
        <v>44732</v>
      </c>
      <c r="C2189" s="431">
        <v>44652</v>
      </c>
      <c r="D2189" s="415" t="s">
        <v>271</v>
      </c>
      <c r="E2189" s="415" t="s">
        <v>456</v>
      </c>
      <c r="F2189" s="425">
        <v>211.05</v>
      </c>
      <c r="G2189" s="427" t="s">
        <v>4881</v>
      </c>
      <c r="H2189" s="415" t="s">
        <v>792</v>
      </c>
      <c r="I2189" s="427" t="s">
        <v>4247</v>
      </c>
      <c r="J2189" s="415" t="s">
        <v>310</v>
      </c>
      <c r="K2189" s="415" t="s">
        <v>1220</v>
      </c>
      <c r="L2189" s="415" t="s">
        <v>3443</v>
      </c>
      <c r="M2189" s="415" t="s">
        <v>4882</v>
      </c>
      <c r="N2189" s="414">
        <v>44732</v>
      </c>
      <c r="O2189" s="414" t="s">
        <v>400</v>
      </c>
      <c r="P2189" s="603">
        <f t="shared" si="320"/>
        <v>6</v>
      </c>
      <c r="Q2189" s="603">
        <f t="shared" si="320"/>
        <v>4</v>
      </c>
      <c r="R2189" s="604" t="str">
        <f>SUBSTITUTE(D2189," ","_")</f>
        <v>Gastos_Gerais</v>
      </c>
      <c r="S2189" s="605" t="s">
        <v>310</v>
      </c>
      <c r="T2189" s="605" t="s">
        <v>310</v>
      </c>
    </row>
    <row r="2190" spans="1:20" s="88" customFormat="1" ht="36" x14ac:dyDescent="0.2">
      <c r="A2190" s="510">
        <f>IF(B2190="","",COUNT('Diário 1º PA'!$A$4:$A$2635)+ROW()-3)</f>
        <v>3923</v>
      </c>
      <c r="B2190" s="414">
        <v>44732</v>
      </c>
      <c r="C2190" s="431">
        <v>44713</v>
      </c>
      <c r="D2190" s="415" t="s">
        <v>271</v>
      </c>
      <c r="E2190" s="415" t="s">
        <v>71</v>
      </c>
      <c r="F2190" s="425">
        <v>11</v>
      </c>
      <c r="G2190" s="427" t="s">
        <v>4883</v>
      </c>
      <c r="H2190" s="415" t="s">
        <v>309</v>
      </c>
      <c r="I2190" s="427" t="s">
        <v>881</v>
      </c>
      <c r="J2190" s="415" t="s">
        <v>882</v>
      </c>
      <c r="K2190" s="415" t="s">
        <v>883</v>
      </c>
      <c r="L2190" s="415" t="s">
        <v>798</v>
      </c>
      <c r="M2190" s="576" t="s">
        <v>310</v>
      </c>
      <c r="N2190" s="414">
        <v>44732</v>
      </c>
      <c r="O2190" s="414" t="s">
        <v>400</v>
      </c>
      <c r="P2190" s="603">
        <f t="shared" si="320"/>
        <v>6</v>
      </c>
      <c r="Q2190" s="603">
        <f t="shared" si="320"/>
        <v>6</v>
      </c>
      <c r="R2190" s="604" t="str">
        <f>SUBSTITUTE(D2190," ","_")</f>
        <v>Gastos_Gerais</v>
      </c>
      <c r="S2190" s="605" t="s">
        <v>310</v>
      </c>
      <c r="T2190" s="605" t="s">
        <v>310</v>
      </c>
    </row>
    <row r="2191" spans="1:20" s="88" customFormat="1" ht="48" x14ac:dyDescent="0.2">
      <c r="A2191" s="510">
        <f>IF(B2191="","",COUNT('Diário 1º PA'!$A$4:$A$2635)+ROW()-3)</f>
        <v>3924</v>
      </c>
      <c r="B2191" s="414">
        <v>44732</v>
      </c>
      <c r="C2191" s="431">
        <v>44713</v>
      </c>
      <c r="D2191" s="415" t="s">
        <v>271</v>
      </c>
      <c r="E2191" s="415" t="s">
        <v>71</v>
      </c>
      <c r="F2191" s="425">
        <v>11</v>
      </c>
      <c r="G2191" s="427" t="s">
        <v>4884</v>
      </c>
      <c r="H2191" s="415" t="s">
        <v>751</v>
      </c>
      <c r="I2191" s="427" t="s">
        <v>881</v>
      </c>
      <c r="J2191" s="415" t="s">
        <v>882</v>
      </c>
      <c r="K2191" s="415" t="s">
        <v>883</v>
      </c>
      <c r="L2191" s="415" t="s">
        <v>798</v>
      </c>
      <c r="M2191" s="415" t="s">
        <v>310</v>
      </c>
      <c r="N2191" s="414">
        <v>44732</v>
      </c>
      <c r="O2191" s="414" t="s">
        <v>400</v>
      </c>
      <c r="P2191" s="603">
        <f t="shared" si="320"/>
        <v>6</v>
      </c>
      <c r="Q2191" s="603">
        <f t="shared" si="320"/>
        <v>6</v>
      </c>
      <c r="R2191" s="604" t="str">
        <f>SUBSTITUTE(D2191," ","_")</f>
        <v>Gastos_Gerais</v>
      </c>
      <c r="S2191" s="605" t="s">
        <v>310</v>
      </c>
      <c r="T2191" s="605" t="s">
        <v>310</v>
      </c>
    </row>
    <row r="2192" spans="1:20" ht="72" x14ac:dyDescent="0.2">
      <c r="A2192" s="510">
        <f>IF(B2192="","",COUNT('Diário 1º PA'!$A$4:$A$2635)+ROW()-3)</f>
        <v>3925</v>
      </c>
      <c r="B2192" s="414">
        <v>44732</v>
      </c>
      <c r="C2192" s="431">
        <v>44652</v>
      </c>
      <c r="D2192" s="415" t="s">
        <v>468</v>
      </c>
      <c r="E2192" s="415" t="s">
        <v>468</v>
      </c>
      <c r="F2192" s="425">
        <v>2779.59</v>
      </c>
      <c r="G2192" s="427" t="s">
        <v>5335</v>
      </c>
      <c r="H2192" s="415" t="s">
        <v>468</v>
      </c>
      <c r="I2192" s="427" t="s">
        <v>795</v>
      </c>
      <c r="J2192" s="415" t="s">
        <v>796</v>
      </c>
      <c r="K2192" s="415" t="s">
        <v>806</v>
      </c>
      <c r="L2192" s="415" t="s">
        <v>798</v>
      </c>
      <c r="M2192" s="415" t="s">
        <v>310</v>
      </c>
      <c r="N2192" s="414">
        <v>44732</v>
      </c>
      <c r="O2192" s="414" t="s">
        <v>407</v>
      </c>
      <c r="P2192" s="603">
        <f t="shared" ref="P2192:P2207" si="321">IF(B2192=0,0,IF(YEAR(B2192)=$Q$1,MONTH(B2192)-$P$1+1,(YEAR(B2192)-$Q$1)*12-$P$1+1+MONTH(B2192)))</f>
        <v>6</v>
      </c>
      <c r="Q2192" s="603">
        <f t="shared" ref="Q2192:Q2207" si="322">IF(C2192=0,0,IF(YEAR(C2192)=$Q$1,MONTH(C2192)-$P$1+1,(YEAR(C2192)-$Q$1)*12-$P$1+1+MONTH(C2192)))</f>
        <v>4</v>
      </c>
      <c r="R2192" s="604" t="str">
        <f t="shared" ref="R2192:R2207" si="323">SUBSTITUTE(D2192," ","_")</f>
        <v>Gastos_custeados_por_captação</v>
      </c>
      <c r="S2192" s="605" t="s">
        <v>310</v>
      </c>
      <c r="T2192" s="605" t="s">
        <v>310</v>
      </c>
    </row>
    <row r="2193" spans="1:20" ht="99.95" customHeight="1" x14ac:dyDescent="0.2">
      <c r="A2193" s="510">
        <f>IF(B2193="","",COUNT('Diário 1º PA'!$A$4:$A$2635)+ROW()-3)</f>
        <v>3926</v>
      </c>
      <c r="B2193" s="414">
        <v>44732</v>
      </c>
      <c r="C2193" s="431">
        <v>44652</v>
      </c>
      <c r="D2193" s="415" t="s">
        <v>468</v>
      </c>
      <c r="E2193" s="415" t="s">
        <v>468</v>
      </c>
      <c r="F2193" s="425">
        <v>297.60000000000002</v>
      </c>
      <c r="G2193" s="427" t="s">
        <v>5336</v>
      </c>
      <c r="H2193" s="415" t="s">
        <v>468</v>
      </c>
      <c r="I2193" s="427" t="s">
        <v>795</v>
      </c>
      <c r="J2193" s="415" t="s">
        <v>796</v>
      </c>
      <c r="K2193" s="415" t="s">
        <v>806</v>
      </c>
      <c r="L2193" s="415" t="s">
        <v>798</v>
      </c>
      <c r="M2193" s="415" t="s">
        <v>310</v>
      </c>
      <c r="N2193" s="414">
        <v>44732</v>
      </c>
      <c r="O2193" s="414" t="s">
        <v>407</v>
      </c>
      <c r="P2193" s="603">
        <f t="shared" si="321"/>
        <v>6</v>
      </c>
      <c r="Q2193" s="603">
        <f t="shared" si="322"/>
        <v>4</v>
      </c>
      <c r="R2193" s="604" t="str">
        <f t="shared" si="323"/>
        <v>Gastos_custeados_por_captação</v>
      </c>
      <c r="S2193" s="605" t="s">
        <v>310</v>
      </c>
      <c r="T2193" s="605" t="s">
        <v>310</v>
      </c>
    </row>
    <row r="2194" spans="1:20" ht="99.95" customHeight="1" x14ac:dyDescent="0.2">
      <c r="A2194" s="510">
        <f>IF(B2194="","",COUNT('Diário 1º PA'!$A$4:$A$2635)+ROW()-3)</f>
        <v>3927</v>
      </c>
      <c r="B2194" s="414">
        <v>44732</v>
      </c>
      <c r="C2194" s="431">
        <v>44652</v>
      </c>
      <c r="D2194" s="415" t="s">
        <v>468</v>
      </c>
      <c r="E2194" s="415" t="s">
        <v>468</v>
      </c>
      <c r="F2194" s="425">
        <v>3979.59</v>
      </c>
      <c r="G2194" s="427" t="s">
        <v>5337</v>
      </c>
      <c r="H2194" s="415" t="s">
        <v>468</v>
      </c>
      <c r="I2194" s="427" t="s">
        <v>795</v>
      </c>
      <c r="J2194" s="415" t="s">
        <v>796</v>
      </c>
      <c r="K2194" s="415" t="s">
        <v>806</v>
      </c>
      <c r="L2194" s="415" t="s">
        <v>798</v>
      </c>
      <c r="M2194" s="415" t="s">
        <v>310</v>
      </c>
      <c r="N2194" s="414">
        <v>44732</v>
      </c>
      <c r="O2194" s="414" t="s">
        <v>407</v>
      </c>
      <c r="P2194" s="603">
        <f t="shared" si="321"/>
        <v>6</v>
      </c>
      <c r="Q2194" s="603">
        <f t="shared" si="322"/>
        <v>4</v>
      </c>
      <c r="R2194" s="604" t="str">
        <f t="shared" si="323"/>
        <v>Gastos_custeados_por_captação</v>
      </c>
      <c r="S2194" s="605" t="s">
        <v>310</v>
      </c>
      <c r="T2194" s="605" t="s">
        <v>310</v>
      </c>
    </row>
    <row r="2195" spans="1:20" ht="99.95" customHeight="1" x14ac:dyDescent="0.2">
      <c r="A2195" s="510">
        <f>IF(B2195="","",COUNT('Diário 1º PA'!$A$4:$A$2635)+ROW()-3)</f>
        <v>3928</v>
      </c>
      <c r="B2195" s="414">
        <v>44732</v>
      </c>
      <c r="C2195" s="431">
        <v>44652</v>
      </c>
      <c r="D2195" s="415" t="s">
        <v>468</v>
      </c>
      <c r="E2195" s="415" t="s">
        <v>468</v>
      </c>
      <c r="F2195" s="425">
        <v>2170</v>
      </c>
      <c r="G2195" s="427" t="s">
        <v>5338</v>
      </c>
      <c r="H2195" s="415" t="s">
        <v>468</v>
      </c>
      <c r="I2195" s="427" t="s">
        <v>795</v>
      </c>
      <c r="J2195" s="415" t="s">
        <v>796</v>
      </c>
      <c r="K2195" s="415" t="s">
        <v>806</v>
      </c>
      <c r="L2195" s="415" t="s">
        <v>798</v>
      </c>
      <c r="M2195" s="415" t="s">
        <v>310</v>
      </c>
      <c r="N2195" s="414">
        <v>44732</v>
      </c>
      <c r="O2195" s="414" t="s">
        <v>407</v>
      </c>
      <c r="P2195" s="603">
        <f t="shared" si="321"/>
        <v>6</v>
      </c>
      <c r="Q2195" s="603">
        <f t="shared" si="322"/>
        <v>4</v>
      </c>
      <c r="R2195" s="604" t="str">
        <f t="shared" si="323"/>
        <v>Gastos_custeados_por_captação</v>
      </c>
      <c r="S2195" s="605" t="s">
        <v>310</v>
      </c>
      <c r="T2195" s="605" t="s">
        <v>310</v>
      </c>
    </row>
    <row r="2196" spans="1:20" ht="99.95" customHeight="1" x14ac:dyDescent="0.2">
      <c r="A2196" s="510">
        <f>IF(B2196="","",COUNT('Diário 1º PA'!$A$4:$A$2635)+ROW()-3)</f>
        <v>3929</v>
      </c>
      <c r="B2196" s="414">
        <v>44732</v>
      </c>
      <c r="C2196" s="431">
        <v>44652</v>
      </c>
      <c r="D2196" s="415" t="s">
        <v>468</v>
      </c>
      <c r="E2196" s="415" t="s">
        <v>468</v>
      </c>
      <c r="F2196" s="425">
        <v>2879.59</v>
      </c>
      <c r="G2196" s="427" t="s">
        <v>5339</v>
      </c>
      <c r="H2196" s="415" t="s">
        <v>468</v>
      </c>
      <c r="I2196" s="427" t="s">
        <v>795</v>
      </c>
      <c r="J2196" s="415" t="s">
        <v>796</v>
      </c>
      <c r="K2196" s="415" t="s">
        <v>806</v>
      </c>
      <c r="L2196" s="415" t="s">
        <v>798</v>
      </c>
      <c r="M2196" s="415" t="s">
        <v>310</v>
      </c>
      <c r="N2196" s="414">
        <v>44732</v>
      </c>
      <c r="O2196" s="414" t="s">
        <v>407</v>
      </c>
      <c r="P2196" s="603">
        <f t="shared" si="321"/>
        <v>6</v>
      </c>
      <c r="Q2196" s="603">
        <f t="shared" si="322"/>
        <v>4</v>
      </c>
      <c r="R2196" s="604" t="str">
        <f t="shared" si="323"/>
        <v>Gastos_custeados_por_captação</v>
      </c>
      <c r="S2196" s="605" t="s">
        <v>310</v>
      </c>
      <c r="T2196" s="605" t="s">
        <v>310</v>
      </c>
    </row>
    <row r="2197" spans="1:20" ht="99.95" customHeight="1" x14ac:dyDescent="0.2">
      <c r="A2197" s="510">
        <f>IF(B2197="","",COUNT('Diário 1º PA'!$A$4:$A$2635)+ROW()-3)</f>
        <v>3930</v>
      </c>
      <c r="B2197" s="414">
        <v>44732</v>
      </c>
      <c r="C2197" s="431">
        <v>44652</v>
      </c>
      <c r="D2197" s="415" t="s">
        <v>468</v>
      </c>
      <c r="E2197" s="415" t="s">
        <v>468</v>
      </c>
      <c r="F2197" s="425">
        <v>6821.59</v>
      </c>
      <c r="G2197" s="427" t="s">
        <v>5340</v>
      </c>
      <c r="H2197" s="415" t="s">
        <v>468</v>
      </c>
      <c r="I2197" s="427" t="s">
        <v>795</v>
      </c>
      <c r="J2197" s="415" t="s">
        <v>796</v>
      </c>
      <c r="K2197" s="415" t="s">
        <v>806</v>
      </c>
      <c r="L2197" s="415" t="s">
        <v>798</v>
      </c>
      <c r="M2197" s="415" t="s">
        <v>310</v>
      </c>
      <c r="N2197" s="414">
        <v>44732</v>
      </c>
      <c r="O2197" s="414" t="s">
        <v>407</v>
      </c>
      <c r="P2197" s="603">
        <f t="shared" si="321"/>
        <v>6</v>
      </c>
      <c r="Q2197" s="603">
        <f t="shared" si="322"/>
        <v>4</v>
      </c>
      <c r="R2197" s="604" t="str">
        <f t="shared" si="323"/>
        <v>Gastos_custeados_por_captação</v>
      </c>
      <c r="S2197" s="605" t="s">
        <v>310</v>
      </c>
      <c r="T2197" s="605" t="s">
        <v>310</v>
      </c>
    </row>
    <row r="2198" spans="1:20" ht="99.95" customHeight="1" x14ac:dyDescent="0.2">
      <c r="A2198" s="510">
        <f>IF(B2198="","",COUNT('Diário 1º PA'!$A$4:$A$2635)+ROW()-3)</f>
        <v>3931</v>
      </c>
      <c r="B2198" s="414">
        <v>44732</v>
      </c>
      <c r="C2198" s="431">
        <v>44652</v>
      </c>
      <c r="D2198" s="415" t="s">
        <v>468</v>
      </c>
      <c r="E2198" s="415" t="s">
        <v>468</v>
      </c>
      <c r="F2198" s="425">
        <v>930</v>
      </c>
      <c r="G2198" s="427" t="s">
        <v>5341</v>
      </c>
      <c r="H2198" s="415" t="s">
        <v>468</v>
      </c>
      <c r="I2198" s="427" t="s">
        <v>795</v>
      </c>
      <c r="J2198" s="415" t="s">
        <v>796</v>
      </c>
      <c r="K2198" s="415" t="s">
        <v>806</v>
      </c>
      <c r="L2198" s="415" t="s">
        <v>798</v>
      </c>
      <c r="M2198" s="415" t="s">
        <v>310</v>
      </c>
      <c r="N2198" s="414">
        <v>44732</v>
      </c>
      <c r="O2198" s="414" t="s">
        <v>407</v>
      </c>
      <c r="P2198" s="603">
        <f t="shared" si="321"/>
        <v>6</v>
      </c>
      <c r="Q2198" s="603">
        <f t="shared" si="322"/>
        <v>4</v>
      </c>
      <c r="R2198" s="604" t="str">
        <f t="shared" si="323"/>
        <v>Gastos_custeados_por_captação</v>
      </c>
      <c r="S2198" s="605" t="s">
        <v>310</v>
      </c>
      <c r="T2198" s="605" t="s">
        <v>310</v>
      </c>
    </row>
    <row r="2199" spans="1:20" ht="99.95" customHeight="1" x14ac:dyDescent="0.2">
      <c r="A2199" s="510">
        <f>IF(B2199="","",COUNT('Diário 1º PA'!$A$4:$A$2635)+ROW()-3)</f>
        <v>3932</v>
      </c>
      <c r="B2199" s="414">
        <v>44732</v>
      </c>
      <c r="C2199" s="431">
        <v>44652</v>
      </c>
      <c r="D2199" s="415" t="s">
        <v>468</v>
      </c>
      <c r="E2199" s="415" t="s">
        <v>468</v>
      </c>
      <c r="F2199" s="425">
        <v>2319.59</v>
      </c>
      <c r="G2199" s="427" t="s">
        <v>5342</v>
      </c>
      <c r="H2199" s="415" t="s">
        <v>468</v>
      </c>
      <c r="I2199" s="427" t="s">
        <v>795</v>
      </c>
      <c r="J2199" s="415" t="s">
        <v>796</v>
      </c>
      <c r="K2199" s="415" t="s">
        <v>806</v>
      </c>
      <c r="L2199" s="415" t="s">
        <v>798</v>
      </c>
      <c r="M2199" s="415" t="s">
        <v>310</v>
      </c>
      <c r="N2199" s="414">
        <v>44732</v>
      </c>
      <c r="O2199" s="414" t="s">
        <v>407</v>
      </c>
      <c r="P2199" s="603">
        <f t="shared" si="321"/>
        <v>6</v>
      </c>
      <c r="Q2199" s="603">
        <f t="shared" si="322"/>
        <v>4</v>
      </c>
      <c r="R2199" s="604" t="str">
        <f t="shared" si="323"/>
        <v>Gastos_custeados_por_captação</v>
      </c>
      <c r="S2199" s="605" t="s">
        <v>310</v>
      </c>
      <c r="T2199" s="605" t="s">
        <v>310</v>
      </c>
    </row>
    <row r="2200" spans="1:20" ht="99.95" customHeight="1" x14ac:dyDescent="0.2">
      <c r="A2200" s="510">
        <f>IF(B2200="","",COUNT('Diário 1º PA'!$A$4:$A$2635)+ROW()-3)</f>
        <v>3933</v>
      </c>
      <c r="B2200" s="414">
        <v>44732</v>
      </c>
      <c r="C2200" s="431">
        <v>44652</v>
      </c>
      <c r="D2200" s="415" t="s">
        <v>468</v>
      </c>
      <c r="E2200" s="415" t="s">
        <v>468</v>
      </c>
      <c r="F2200" s="425">
        <v>4779.59</v>
      </c>
      <c r="G2200" s="427" t="s">
        <v>5343</v>
      </c>
      <c r="H2200" s="415" t="s">
        <v>468</v>
      </c>
      <c r="I2200" s="427" t="s">
        <v>795</v>
      </c>
      <c r="J2200" s="415" t="s">
        <v>796</v>
      </c>
      <c r="K2200" s="415" t="s">
        <v>806</v>
      </c>
      <c r="L2200" s="415" t="s">
        <v>798</v>
      </c>
      <c r="M2200" s="415" t="s">
        <v>310</v>
      </c>
      <c r="N2200" s="414">
        <v>44732</v>
      </c>
      <c r="O2200" s="414" t="s">
        <v>407</v>
      </c>
      <c r="P2200" s="603">
        <f t="shared" si="321"/>
        <v>6</v>
      </c>
      <c r="Q2200" s="603">
        <f t="shared" si="322"/>
        <v>4</v>
      </c>
      <c r="R2200" s="604" t="str">
        <f t="shared" si="323"/>
        <v>Gastos_custeados_por_captação</v>
      </c>
      <c r="S2200" s="605" t="s">
        <v>310</v>
      </c>
      <c r="T2200" s="605" t="s">
        <v>310</v>
      </c>
    </row>
    <row r="2201" spans="1:20" ht="99.95" customHeight="1" x14ac:dyDescent="0.2">
      <c r="A2201" s="510">
        <f>IF(B2201="","",COUNT('Diário 1º PA'!$A$4:$A$2635)+ROW()-3)</f>
        <v>3934</v>
      </c>
      <c r="B2201" s="414">
        <v>44732</v>
      </c>
      <c r="C2201" s="431">
        <v>44652</v>
      </c>
      <c r="D2201" s="415" t="s">
        <v>468</v>
      </c>
      <c r="E2201" s="415" t="s">
        <v>468</v>
      </c>
      <c r="F2201" s="425">
        <v>1627.5</v>
      </c>
      <c r="G2201" s="427" t="s">
        <v>5344</v>
      </c>
      <c r="H2201" s="415" t="s">
        <v>468</v>
      </c>
      <c r="I2201" s="427" t="s">
        <v>795</v>
      </c>
      <c r="J2201" s="415" t="s">
        <v>796</v>
      </c>
      <c r="K2201" s="415" t="s">
        <v>806</v>
      </c>
      <c r="L2201" s="415" t="s">
        <v>798</v>
      </c>
      <c r="M2201" s="415" t="s">
        <v>310</v>
      </c>
      <c r="N2201" s="414">
        <v>44732</v>
      </c>
      <c r="O2201" s="414" t="s">
        <v>407</v>
      </c>
      <c r="P2201" s="603">
        <f t="shared" si="321"/>
        <v>6</v>
      </c>
      <c r="Q2201" s="603">
        <f t="shared" si="322"/>
        <v>4</v>
      </c>
      <c r="R2201" s="604" t="str">
        <f t="shared" si="323"/>
        <v>Gastos_custeados_por_captação</v>
      </c>
      <c r="S2201" s="605" t="s">
        <v>310</v>
      </c>
      <c r="T2201" s="605" t="s">
        <v>310</v>
      </c>
    </row>
    <row r="2202" spans="1:20" ht="99.95" customHeight="1" x14ac:dyDescent="0.2">
      <c r="A2202" s="510">
        <f>IF(B2202="","",COUNT('Diário 1º PA'!$A$4:$A$2635)+ROW()-3)</f>
        <v>3935</v>
      </c>
      <c r="B2202" s="414">
        <v>44732</v>
      </c>
      <c r="C2202" s="431">
        <v>44652</v>
      </c>
      <c r="D2202" s="415" t="s">
        <v>468</v>
      </c>
      <c r="E2202" s="415" t="s">
        <v>468</v>
      </c>
      <c r="F2202" s="425">
        <v>1240</v>
      </c>
      <c r="G2202" s="427" t="s">
        <v>5345</v>
      </c>
      <c r="H2202" s="415" t="s">
        <v>468</v>
      </c>
      <c r="I2202" s="427" t="s">
        <v>795</v>
      </c>
      <c r="J2202" s="415" t="s">
        <v>796</v>
      </c>
      <c r="K2202" s="415" t="s">
        <v>806</v>
      </c>
      <c r="L2202" s="415" t="s">
        <v>798</v>
      </c>
      <c r="M2202" s="415" t="s">
        <v>310</v>
      </c>
      <c r="N2202" s="414">
        <v>44732</v>
      </c>
      <c r="O2202" s="414" t="s">
        <v>407</v>
      </c>
      <c r="P2202" s="603">
        <f t="shared" si="321"/>
        <v>6</v>
      </c>
      <c r="Q2202" s="603">
        <f t="shared" si="322"/>
        <v>4</v>
      </c>
      <c r="R2202" s="604" t="str">
        <f t="shared" si="323"/>
        <v>Gastos_custeados_por_captação</v>
      </c>
      <c r="S2202" s="605" t="s">
        <v>310</v>
      </c>
      <c r="T2202" s="605" t="s">
        <v>310</v>
      </c>
    </row>
    <row r="2203" spans="1:20" ht="72" x14ac:dyDescent="0.2">
      <c r="A2203" s="510">
        <f>IF(B2203="","",COUNT('Diário 1º PA'!$A$4:$A$2635)+ROW()-3)</f>
        <v>3936</v>
      </c>
      <c r="B2203" s="414">
        <v>44732</v>
      </c>
      <c r="C2203" s="431">
        <v>44652</v>
      </c>
      <c r="D2203" s="415" t="s">
        <v>468</v>
      </c>
      <c r="E2203" s="415" t="s">
        <v>468</v>
      </c>
      <c r="F2203" s="425">
        <v>868</v>
      </c>
      <c r="G2203" s="427" t="s">
        <v>5346</v>
      </c>
      <c r="H2203" s="415" t="s">
        <v>468</v>
      </c>
      <c r="I2203" s="427" t="s">
        <v>795</v>
      </c>
      <c r="J2203" s="415" t="s">
        <v>796</v>
      </c>
      <c r="K2203" s="415" t="s">
        <v>806</v>
      </c>
      <c r="L2203" s="415" t="s">
        <v>798</v>
      </c>
      <c r="M2203" s="415" t="s">
        <v>310</v>
      </c>
      <c r="N2203" s="414">
        <v>44732</v>
      </c>
      <c r="O2203" s="414" t="s">
        <v>407</v>
      </c>
      <c r="P2203" s="603">
        <f t="shared" si="321"/>
        <v>6</v>
      </c>
      <c r="Q2203" s="603">
        <f t="shared" si="322"/>
        <v>4</v>
      </c>
      <c r="R2203" s="604" t="str">
        <f t="shared" si="323"/>
        <v>Gastos_custeados_por_captação</v>
      </c>
      <c r="S2203" s="605" t="s">
        <v>310</v>
      </c>
      <c r="T2203" s="605" t="s">
        <v>310</v>
      </c>
    </row>
    <row r="2204" spans="1:20" ht="72" x14ac:dyDescent="0.2">
      <c r="A2204" s="510">
        <f>IF(B2204="","",COUNT('Diário 1º PA'!$A$4:$A$2635)+ROW()-3)</f>
        <v>3937</v>
      </c>
      <c r="B2204" s="414">
        <v>44732</v>
      </c>
      <c r="C2204" s="431">
        <v>44652</v>
      </c>
      <c r="D2204" s="415" t="s">
        <v>468</v>
      </c>
      <c r="E2204" s="415" t="s">
        <v>468</v>
      </c>
      <c r="F2204" s="425">
        <v>868</v>
      </c>
      <c r="G2204" s="427" t="s">
        <v>5347</v>
      </c>
      <c r="H2204" s="415" t="s">
        <v>468</v>
      </c>
      <c r="I2204" s="427" t="s">
        <v>795</v>
      </c>
      <c r="J2204" s="415" t="s">
        <v>796</v>
      </c>
      <c r="K2204" s="415" t="s">
        <v>806</v>
      </c>
      <c r="L2204" s="415" t="s">
        <v>798</v>
      </c>
      <c r="M2204" s="415" t="s">
        <v>310</v>
      </c>
      <c r="N2204" s="414">
        <v>44732</v>
      </c>
      <c r="O2204" s="414" t="s">
        <v>407</v>
      </c>
      <c r="P2204" s="603">
        <f t="shared" si="321"/>
        <v>6</v>
      </c>
      <c r="Q2204" s="603">
        <f t="shared" si="322"/>
        <v>4</v>
      </c>
      <c r="R2204" s="604" t="str">
        <f t="shared" si="323"/>
        <v>Gastos_custeados_por_captação</v>
      </c>
      <c r="S2204" s="605" t="s">
        <v>310</v>
      </c>
      <c r="T2204" s="605" t="s">
        <v>310</v>
      </c>
    </row>
    <row r="2205" spans="1:20" ht="72" x14ac:dyDescent="0.2">
      <c r="A2205" s="510">
        <f>IF(B2205="","",COUNT('Diário 1º PA'!$A$4:$A$2635)+ROW()-3)</f>
        <v>3938</v>
      </c>
      <c r="B2205" s="414">
        <v>44732</v>
      </c>
      <c r="C2205" s="431">
        <v>44652</v>
      </c>
      <c r="D2205" s="415" t="s">
        <v>468</v>
      </c>
      <c r="E2205" s="415" t="s">
        <v>468</v>
      </c>
      <c r="F2205" s="425">
        <v>1160</v>
      </c>
      <c r="G2205" s="427" t="s">
        <v>5348</v>
      </c>
      <c r="H2205" s="415" t="s">
        <v>468</v>
      </c>
      <c r="I2205" s="427" t="s">
        <v>795</v>
      </c>
      <c r="J2205" s="415" t="s">
        <v>796</v>
      </c>
      <c r="K2205" s="415" t="s">
        <v>806</v>
      </c>
      <c r="L2205" s="415" t="s">
        <v>798</v>
      </c>
      <c r="M2205" s="415" t="s">
        <v>310</v>
      </c>
      <c r="N2205" s="414">
        <v>44732</v>
      </c>
      <c r="O2205" s="414" t="s">
        <v>407</v>
      </c>
      <c r="P2205" s="603">
        <f>IF(B2205=0,0,IF(YEAR(B2205)=$Q$1,MONTH(B2205)-$P$1+1,(YEAR(B2205)-$Q$1)*12-$P$1+1+MONTH(B2205)))</f>
        <v>6</v>
      </c>
      <c r="Q2205" s="603">
        <f>IF(C2205=0,0,IF(YEAR(C2205)=$Q$1,MONTH(C2205)-$P$1+1,(YEAR(C2205)-$Q$1)*12-$P$1+1+MONTH(C2205)))</f>
        <v>4</v>
      </c>
      <c r="R2205" s="604" t="str">
        <f>SUBSTITUTE(D2205," ","_")</f>
        <v>Gastos_custeados_por_captação</v>
      </c>
      <c r="S2205" s="605" t="s">
        <v>310</v>
      </c>
      <c r="T2205" s="605" t="s">
        <v>310</v>
      </c>
    </row>
    <row r="2206" spans="1:20" ht="72" x14ac:dyDescent="0.2">
      <c r="A2206" s="510">
        <f>IF(B2206="","",COUNT('Diário 1º PA'!$A$4:$A$2635)+ROW()-3)</f>
        <v>3939</v>
      </c>
      <c r="B2206" s="414">
        <v>44732</v>
      </c>
      <c r="C2206" s="431">
        <v>44652</v>
      </c>
      <c r="D2206" s="415" t="s">
        <v>468</v>
      </c>
      <c r="E2206" s="415" t="s">
        <v>468</v>
      </c>
      <c r="F2206" s="425">
        <v>1240</v>
      </c>
      <c r="G2206" s="427" t="s">
        <v>5349</v>
      </c>
      <c r="H2206" s="415" t="s">
        <v>468</v>
      </c>
      <c r="I2206" s="427" t="s">
        <v>795</v>
      </c>
      <c r="J2206" s="415" t="s">
        <v>796</v>
      </c>
      <c r="K2206" s="415" t="s">
        <v>806</v>
      </c>
      <c r="L2206" s="415" t="s">
        <v>798</v>
      </c>
      <c r="M2206" s="415" t="s">
        <v>310</v>
      </c>
      <c r="N2206" s="414">
        <v>44732</v>
      </c>
      <c r="O2206" s="414" t="s">
        <v>407</v>
      </c>
      <c r="P2206" s="603">
        <f t="shared" si="321"/>
        <v>6</v>
      </c>
      <c r="Q2206" s="603">
        <f t="shared" si="322"/>
        <v>4</v>
      </c>
      <c r="R2206" s="604" t="str">
        <f t="shared" si="323"/>
        <v>Gastos_custeados_por_captação</v>
      </c>
      <c r="S2206" s="605" t="s">
        <v>310</v>
      </c>
      <c r="T2206" s="605" t="s">
        <v>310</v>
      </c>
    </row>
    <row r="2207" spans="1:20" ht="72" x14ac:dyDescent="0.2">
      <c r="A2207" s="510">
        <f>IF(B2207="","",COUNT('Diário 1º PA'!$A$4:$A$2635)+ROW()-3)</f>
        <v>3940</v>
      </c>
      <c r="B2207" s="414">
        <v>44732</v>
      </c>
      <c r="C2207" s="431">
        <v>44652</v>
      </c>
      <c r="D2207" s="415" t="s">
        <v>468</v>
      </c>
      <c r="E2207" s="415" t="s">
        <v>468</v>
      </c>
      <c r="F2207" s="425">
        <v>2579.59</v>
      </c>
      <c r="G2207" s="427" t="s">
        <v>5350</v>
      </c>
      <c r="H2207" s="415" t="s">
        <v>468</v>
      </c>
      <c r="I2207" s="427" t="s">
        <v>795</v>
      </c>
      <c r="J2207" s="415" t="s">
        <v>796</v>
      </c>
      <c r="K2207" s="415" t="s">
        <v>806</v>
      </c>
      <c r="L2207" s="415" t="s">
        <v>798</v>
      </c>
      <c r="M2207" s="415" t="s">
        <v>310</v>
      </c>
      <c r="N2207" s="414">
        <v>44732</v>
      </c>
      <c r="O2207" s="414" t="s">
        <v>407</v>
      </c>
      <c r="P2207" s="603">
        <f t="shared" si="321"/>
        <v>6</v>
      </c>
      <c r="Q2207" s="603">
        <f t="shared" si="322"/>
        <v>4</v>
      </c>
      <c r="R2207" s="604" t="str">
        <f t="shared" si="323"/>
        <v>Gastos_custeados_por_captação</v>
      </c>
      <c r="S2207" s="605" t="s">
        <v>310</v>
      </c>
      <c r="T2207" s="605" t="s">
        <v>310</v>
      </c>
    </row>
    <row r="2208" spans="1:20" ht="72" x14ac:dyDescent="0.2">
      <c r="A2208" s="510">
        <f>IF(B2208="","",COUNT('Diário 1º PA'!$A$4:$A$2635)+ROW()-3)</f>
        <v>3941</v>
      </c>
      <c r="B2208" s="414">
        <v>44732</v>
      </c>
      <c r="C2208" s="431">
        <v>44652</v>
      </c>
      <c r="D2208" s="415" t="s">
        <v>468</v>
      </c>
      <c r="E2208" s="415" t="s">
        <v>468</v>
      </c>
      <c r="F2208" s="425">
        <v>1666.25</v>
      </c>
      <c r="G2208" s="427" t="s">
        <v>5351</v>
      </c>
      <c r="H2208" s="415" t="s">
        <v>468</v>
      </c>
      <c r="I2208" s="427" t="s">
        <v>1461</v>
      </c>
      <c r="J2208" s="415" t="s">
        <v>310</v>
      </c>
      <c r="K2208" s="415" t="s">
        <v>1220</v>
      </c>
      <c r="L2208" s="415" t="s">
        <v>1368</v>
      </c>
      <c r="M2208" s="415" t="s">
        <v>310</v>
      </c>
      <c r="N2208" s="414">
        <v>44732</v>
      </c>
      <c r="O2208" s="414" t="s">
        <v>407</v>
      </c>
      <c r="P2208" s="603">
        <f t="shared" ref="P2208:P2221" si="324">IF(B2208=0,0,IF(YEAR(B2208)=$Q$1,MONTH(B2208)-$P$1+1,(YEAR(B2208)-$Q$1)*12-$P$1+1+MONTH(B2208)))</f>
        <v>6</v>
      </c>
      <c r="Q2208" s="603">
        <f t="shared" ref="Q2208:Q2221" si="325">IF(C2208=0,0,IF(YEAR(C2208)=$Q$1,MONTH(C2208)-$P$1+1,(YEAR(C2208)-$Q$1)*12-$P$1+1+MONTH(C2208)))</f>
        <v>4</v>
      </c>
      <c r="R2208" s="604" t="str">
        <f t="shared" ref="R2208:R2221" si="326">SUBSTITUTE(D2208," ","_")</f>
        <v>Gastos_custeados_por_captação</v>
      </c>
      <c r="S2208" s="605" t="s">
        <v>310</v>
      </c>
      <c r="T2208" s="605" t="s">
        <v>310</v>
      </c>
    </row>
    <row r="2209" spans="1:20" ht="72" x14ac:dyDescent="0.2">
      <c r="A2209" s="510">
        <f>IF(B2209="","",COUNT('Diário 1º PA'!$A$4:$A$2635)+ROW()-3)</f>
        <v>3942</v>
      </c>
      <c r="B2209" s="414">
        <v>44732</v>
      </c>
      <c r="C2209" s="431">
        <v>44652</v>
      </c>
      <c r="D2209" s="415" t="s">
        <v>468</v>
      </c>
      <c r="E2209" s="415" t="s">
        <v>468</v>
      </c>
      <c r="F2209" s="425">
        <v>3316.25</v>
      </c>
      <c r="G2209" s="427" t="s">
        <v>5352</v>
      </c>
      <c r="H2209" s="415" t="s">
        <v>468</v>
      </c>
      <c r="I2209" s="427" t="s">
        <v>1461</v>
      </c>
      <c r="J2209" s="415" t="s">
        <v>310</v>
      </c>
      <c r="K2209" s="415" t="s">
        <v>1220</v>
      </c>
      <c r="L2209" s="415" t="s">
        <v>1368</v>
      </c>
      <c r="M2209" s="415" t="s">
        <v>310</v>
      </c>
      <c r="N2209" s="414">
        <v>44732</v>
      </c>
      <c r="O2209" s="414" t="s">
        <v>407</v>
      </c>
      <c r="P2209" s="603">
        <f t="shared" si="324"/>
        <v>6</v>
      </c>
      <c r="Q2209" s="603">
        <f t="shared" si="325"/>
        <v>4</v>
      </c>
      <c r="R2209" s="604" t="str">
        <f t="shared" si="326"/>
        <v>Gastos_custeados_por_captação</v>
      </c>
      <c r="S2209" s="605" t="s">
        <v>310</v>
      </c>
      <c r="T2209" s="605" t="s">
        <v>310</v>
      </c>
    </row>
    <row r="2210" spans="1:20" ht="72" x14ac:dyDescent="0.2">
      <c r="A2210" s="510">
        <f>IF(B2210="","",COUNT('Diário 1º PA'!$A$4:$A$2635)+ROW()-3)</f>
        <v>3943</v>
      </c>
      <c r="B2210" s="414">
        <v>44732</v>
      </c>
      <c r="C2210" s="431">
        <v>44652</v>
      </c>
      <c r="D2210" s="415" t="s">
        <v>468</v>
      </c>
      <c r="E2210" s="415" t="s">
        <v>468</v>
      </c>
      <c r="F2210" s="425">
        <v>843.89</v>
      </c>
      <c r="G2210" s="427" t="s">
        <v>5353</v>
      </c>
      <c r="H2210" s="415" t="s">
        <v>468</v>
      </c>
      <c r="I2210" s="427" t="s">
        <v>1461</v>
      </c>
      <c r="J2210" s="415" t="s">
        <v>310</v>
      </c>
      <c r="K2210" s="415" t="s">
        <v>1220</v>
      </c>
      <c r="L2210" s="415" t="s">
        <v>1368</v>
      </c>
      <c r="M2210" s="415" t="s">
        <v>310</v>
      </c>
      <c r="N2210" s="414">
        <v>44732</v>
      </c>
      <c r="O2210" s="414" t="s">
        <v>407</v>
      </c>
      <c r="P2210" s="603">
        <f t="shared" si="324"/>
        <v>6</v>
      </c>
      <c r="Q2210" s="603">
        <f t="shared" si="325"/>
        <v>4</v>
      </c>
      <c r="R2210" s="604" t="str">
        <f t="shared" si="326"/>
        <v>Gastos_custeados_por_captação</v>
      </c>
      <c r="S2210" s="605" t="s">
        <v>310</v>
      </c>
      <c r="T2210" s="605" t="s">
        <v>310</v>
      </c>
    </row>
    <row r="2211" spans="1:20" ht="72" x14ac:dyDescent="0.2">
      <c r="A2211" s="510">
        <f>IF(B2211="","",COUNT('Diário 1º PA'!$A$4:$A$2635)+ROW()-3)</f>
        <v>3944</v>
      </c>
      <c r="B2211" s="414">
        <v>44732</v>
      </c>
      <c r="C2211" s="431">
        <v>44652</v>
      </c>
      <c r="D2211" s="415" t="s">
        <v>468</v>
      </c>
      <c r="E2211" s="415" t="s">
        <v>468</v>
      </c>
      <c r="F2211" s="425">
        <v>1803.75</v>
      </c>
      <c r="G2211" s="427" t="s">
        <v>5354</v>
      </c>
      <c r="H2211" s="415" t="s">
        <v>468</v>
      </c>
      <c r="I2211" s="427" t="s">
        <v>1461</v>
      </c>
      <c r="J2211" s="415" t="s">
        <v>310</v>
      </c>
      <c r="K2211" s="415" t="s">
        <v>1220</v>
      </c>
      <c r="L2211" s="415" t="s">
        <v>1368</v>
      </c>
      <c r="M2211" s="415" t="s">
        <v>310</v>
      </c>
      <c r="N2211" s="414">
        <v>44732</v>
      </c>
      <c r="O2211" s="414" t="s">
        <v>407</v>
      </c>
      <c r="P2211" s="603">
        <f t="shared" si="324"/>
        <v>6</v>
      </c>
      <c r="Q2211" s="603">
        <f t="shared" si="325"/>
        <v>4</v>
      </c>
      <c r="R2211" s="604" t="str">
        <f t="shared" si="326"/>
        <v>Gastos_custeados_por_captação</v>
      </c>
      <c r="S2211" s="605" t="s">
        <v>310</v>
      </c>
      <c r="T2211" s="605" t="s">
        <v>310</v>
      </c>
    </row>
    <row r="2212" spans="1:20" ht="72" x14ac:dyDescent="0.2">
      <c r="A2212" s="510">
        <f>IF(B2212="","",COUNT('Diário 1º PA'!$A$4:$A$2635)+ROW()-3)</f>
        <v>3945</v>
      </c>
      <c r="B2212" s="414">
        <v>44732</v>
      </c>
      <c r="C2212" s="431">
        <v>44652</v>
      </c>
      <c r="D2212" s="415" t="s">
        <v>468</v>
      </c>
      <c r="E2212" s="415" t="s">
        <v>468</v>
      </c>
      <c r="F2212" s="425">
        <v>7224</v>
      </c>
      <c r="G2212" s="427" t="s">
        <v>5355</v>
      </c>
      <c r="H2212" s="415" t="s">
        <v>468</v>
      </c>
      <c r="I2212" s="427" t="s">
        <v>1461</v>
      </c>
      <c r="J2212" s="415" t="s">
        <v>310</v>
      </c>
      <c r="K2212" s="415" t="s">
        <v>1220</v>
      </c>
      <c r="L2212" s="415" t="s">
        <v>1368</v>
      </c>
      <c r="M2212" s="415" t="s">
        <v>310</v>
      </c>
      <c r="N2212" s="414">
        <v>44732</v>
      </c>
      <c r="O2212" s="414" t="s">
        <v>407</v>
      </c>
      <c r="P2212" s="603">
        <f t="shared" si="324"/>
        <v>6</v>
      </c>
      <c r="Q2212" s="603">
        <f t="shared" si="325"/>
        <v>4</v>
      </c>
      <c r="R2212" s="604" t="str">
        <f t="shared" si="326"/>
        <v>Gastos_custeados_por_captação</v>
      </c>
      <c r="S2212" s="605" t="s">
        <v>310</v>
      </c>
      <c r="T2212" s="605" t="s">
        <v>310</v>
      </c>
    </row>
    <row r="2213" spans="1:20" ht="72" x14ac:dyDescent="0.2">
      <c r="A2213" s="510">
        <f>IF(B2213="","",COUNT('Diário 1º PA'!$A$4:$A$2635)+ROW()-3)</f>
        <v>3946</v>
      </c>
      <c r="B2213" s="414">
        <v>44732</v>
      </c>
      <c r="C2213" s="431">
        <v>44652</v>
      </c>
      <c r="D2213" s="415" t="s">
        <v>468</v>
      </c>
      <c r="E2213" s="415" t="s">
        <v>468</v>
      </c>
      <c r="F2213" s="425">
        <v>57.45</v>
      </c>
      <c r="G2213" s="427" t="s">
        <v>5356</v>
      </c>
      <c r="H2213" s="415" t="s">
        <v>468</v>
      </c>
      <c r="I2213" s="427" t="s">
        <v>1461</v>
      </c>
      <c r="J2213" s="415" t="s">
        <v>310</v>
      </c>
      <c r="K2213" s="415" t="s">
        <v>1220</v>
      </c>
      <c r="L2213" s="415" t="s">
        <v>1368</v>
      </c>
      <c r="M2213" s="415" t="s">
        <v>310</v>
      </c>
      <c r="N2213" s="414">
        <v>44732</v>
      </c>
      <c r="O2213" s="414" t="s">
        <v>407</v>
      </c>
      <c r="P2213" s="603">
        <f t="shared" si="324"/>
        <v>6</v>
      </c>
      <c r="Q2213" s="603">
        <f t="shared" si="325"/>
        <v>4</v>
      </c>
      <c r="R2213" s="604" t="str">
        <f t="shared" si="326"/>
        <v>Gastos_custeados_por_captação</v>
      </c>
      <c r="S2213" s="605" t="s">
        <v>310</v>
      </c>
      <c r="T2213" s="605" t="s">
        <v>310</v>
      </c>
    </row>
    <row r="2214" spans="1:20" ht="72" x14ac:dyDescent="0.2">
      <c r="A2214" s="510">
        <f>IF(B2214="","",COUNT('Diário 1º PA'!$A$4:$A$2635)+ROW()-3)</f>
        <v>3947</v>
      </c>
      <c r="B2214" s="414">
        <v>44732</v>
      </c>
      <c r="C2214" s="431">
        <v>44652</v>
      </c>
      <c r="D2214" s="415" t="s">
        <v>468</v>
      </c>
      <c r="E2214" s="415" t="s">
        <v>468</v>
      </c>
      <c r="F2214" s="425">
        <v>1033.75</v>
      </c>
      <c r="G2214" s="427" t="s">
        <v>5357</v>
      </c>
      <c r="H2214" s="415" t="s">
        <v>468</v>
      </c>
      <c r="I2214" s="427" t="s">
        <v>1461</v>
      </c>
      <c r="J2214" s="415" t="s">
        <v>310</v>
      </c>
      <c r="K2214" s="415" t="s">
        <v>1220</v>
      </c>
      <c r="L2214" s="415" t="s">
        <v>1368</v>
      </c>
      <c r="M2214" s="415" t="s">
        <v>310</v>
      </c>
      <c r="N2214" s="414">
        <v>44732</v>
      </c>
      <c r="O2214" s="414" t="s">
        <v>407</v>
      </c>
      <c r="P2214" s="603">
        <f t="shared" si="324"/>
        <v>6</v>
      </c>
      <c r="Q2214" s="603">
        <f t="shared" si="325"/>
        <v>4</v>
      </c>
      <c r="R2214" s="604" t="str">
        <f t="shared" si="326"/>
        <v>Gastos_custeados_por_captação</v>
      </c>
      <c r="S2214" s="605" t="s">
        <v>310</v>
      </c>
      <c r="T2214" s="605" t="s">
        <v>310</v>
      </c>
    </row>
    <row r="2215" spans="1:20" ht="72" x14ac:dyDescent="0.2">
      <c r="A2215" s="510">
        <f>IF(B2215="","",COUNT('Diário 1º PA'!$A$4:$A$2635)+ROW()-3)</f>
        <v>3948</v>
      </c>
      <c r="B2215" s="414">
        <v>44732</v>
      </c>
      <c r="C2215" s="431">
        <v>44652</v>
      </c>
      <c r="D2215" s="415" t="s">
        <v>468</v>
      </c>
      <c r="E2215" s="415" t="s">
        <v>468</v>
      </c>
      <c r="F2215" s="425">
        <v>4416.25</v>
      </c>
      <c r="G2215" s="427" t="s">
        <v>5358</v>
      </c>
      <c r="H2215" s="415" t="s">
        <v>468</v>
      </c>
      <c r="I2215" s="427" t="s">
        <v>1461</v>
      </c>
      <c r="J2215" s="415" t="s">
        <v>310</v>
      </c>
      <c r="K2215" s="415" t="s">
        <v>1220</v>
      </c>
      <c r="L2215" s="415" t="s">
        <v>1368</v>
      </c>
      <c r="M2215" s="415" t="s">
        <v>310</v>
      </c>
      <c r="N2215" s="414">
        <v>44732</v>
      </c>
      <c r="O2215" s="414" t="s">
        <v>407</v>
      </c>
      <c r="P2215" s="603">
        <f t="shared" si="324"/>
        <v>6</v>
      </c>
      <c r="Q2215" s="603">
        <f t="shared" si="325"/>
        <v>4</v>
      </c>
      <c r="R2215" s="604" t="str">
        <f t="shared" si="326"/>
        <v>Gastos_custeados_por_captação</v>
      </c>
      <c r="S2215" s="605" t="s">
        <v>310</v>
      </c>
      <c r="T2215" s="605" t="s">
        <v>310</v>
      </c>
    </row>
    <row r="2216" spans="1:20" ht="72" x14ac:dyDescent="0.2">
      <c r="A2216" s="510">
        <f>IF(B2216="","",COUNT('Diário 1º PA'!$A$4:$A$2635)+ROW()-3)</f>
        <v>3949</v>
      </c>
      <c r="B2216" s="414">
        <v>44732</v>
      </c>
      <c r="C2216" s="431">
        <v>44652</v>
      </c>
      <c r="D2216" s="415" t="s">
        <v>468</v>
      </c>
      <c r="E2216" s="415" t="s">
        <v>468</v>
      </c>
      <c r="F2216" s="425">
        <v>415.58</v>
      </c>
      <c r="G2216" s="427" t="s">
        <v>5359</v>
      </c>
      <c r="H2216" s="415" t="s">
        <v>468</v>
      </c>
      <c r="I2216" s="427" t="s">
        <v>1461</v>
      </c>
      <c r="J2216" s="415" t="s">
        <v>310</v>
      </c>
      <c r="K2216" s="415" t="s">
        <v>1220</v>
      </c>
      <c r="L2216" s="415" t="s">
        <v>1368</v>
      </c>
      <c r="M2216" s="415" t="s">
        <v>310</v>
      </c>
      <c r="N2216" s="414">
        <v>44732</v>
      </c>
      <c r="O2216" s="414" t="s">
        <v>407</v>
      </c>
      <c r="P2216" s="603">
        <f t="shared" si="324"/>
        <v>6</v>
      </c>
      <c r="Q2216" s="603">
        <f t="shared" si="325"/>
        <v>4</v>
      </c>
      <c r="R2216" s="604" t="str">
        <f t="shared" si="326"/>
        <v>Gastos_custeados_por_captação</v>
      </c>
      <c r="S2216" s="605" t="s">
        <v>310</v>
      </c>
      <c r="T2216" s="605" t="s">
        <v>310</v>
      </c>
    </row>
    <row r="2217" spans="1:20" ht="72" x14ac:dyDescent="0.2">
      <c r="A2217" s="510">
        <f>IF(B2217="","",COUNT('Diário 1º PA'!$A$4:$A$2635)+ROW()-3)</f>
        <v>3950</v>
      </c>
      <c r="B2217" s="414">
        <v>44732</v>
      </c>
      <c r="C2217" s="431">
        <v>44652</v>
      </c>
      <c r="D2217" s="415" t="s">
        <v>468</v>
      </c>
      <c r="E2217" s="415" t="s">
        <v>468</v>
      </c>
      <c r="F2217" s="425">
        <v>179.2</v>
      </c>
      <c r="G2217" s="427" t="s">
        <v>5360</v>
      </c>
      <c r="H2217" s="415" t="s">
        <v>468</v>
      </c>
      <c r="I2217" s="427" t="s">
        <v>1461</v>
      </c>
      <c r="J2217" s="415" t="s">
        <v>310</v>
      </c>
      <c r="K2217" s="415" t="s">
        <v>1220</v>
      </c>
      <c r="L2217" s="415" t="s">
        <v>1368</v>
      </c>
      <c r="M2217" s="415" t="s">
        <v>310</v>
      </c>
      <c r="N2217" s="414">
        <v>44732</v>
      </c>
      <c r="O2217" s="414" t="s">
        <v>407</v>
      </c>
      <c r="P2217" s="603">
        <f t="shared" si="324"/>
        <v>6</v>
      </c>
      <c r="Q2217" s="603">
        <f t="shared" si="325"/>
        <v>4</v>
      </c>
      <c r="R2217" s="604" t="str">
        <f t="shared" si="326"/>
        <v>Gastos_custeados_por_captação</v>
      </c>
      <c r="S2217" s="605" t="s">
        <v>310</v>
      </c>
      <c r="T2217" s="605" t="s">
        <v>310</v>
      </c>
    </row>
    <row r="2218" spans="1:20" ht="72" x14ac:dyDescent="0.2">
      <c r="A2218" s="510">
        <f>IF(B2218="","",COUNT('Diário 1º PA'!$A$4:$A$2635)+ROW()-3)</f>
        <v>3951</v>
      </c>
      <c r="B2218" s="414">
        <v>44732</v>
      </c>
      <c r="C2218" s="431">
        <v>44652</v>
      </c>
      <c r="D2218" s="415" t="s">
        <v>468</v>
      </c>
      <c r="E2218" s="415" t="s">
        <v>468</v>
      </c>
      <c r="F2218" s="425">
        <v>44.1</v>
      </c>
      <c r="G2218" s="427" t="s">
        <v>5361</v>
      </c>
      <c r="H2218" s="415" t="s">
        <v>468</v>
      </c>
      <c r="I2218" s="427" t="s">
        <v>1461</v>
      </c>
      <c r="J2218" s="415" t="s">
        <v>310</v>
      </c>
      <c r="K2218" s="415" t="s">
        <v>1220</v>
      </c>
      <c r="L2218" s="415" t="s">
        <v>1368</v>
      </c>
      <c r="M2218" s="415" t="s">
        <v>310</v>
      </c>
      <c r="N2218" s="414">
        <v>44732</v>
      </c>
      <c r="O2218" s="414" t="s">
        <v>407</v>
      </c>
      <c r="P2218" s="603">
        <f t="shared" si="324"/>
        <v>6</v>
      </c>
      <c r="Q2218" s="603">
        <f t="shared" si="325"/>
        <v>4</v>
      </c>
      <c r="R2218" s="604" t="str">
        <f t="shared" si="326"/>
        <v>Gastos_custeados_por_captação</v>
      </c>
      <c r="S2218" s="605" t="s">
        <v>310</v>
      </c>
      <c r="T2218" s="605" t="s">
        <v>310</v>
      </c>
    </row>
    <row r="2219" spans="1:20" ht="72" x14ac:dyDescent="0.2">
      <c r="A2219" s="510">
        <f>IF(B2219="","",COUNT('Diário 1º PA'!$A$4:$A$2635)+ROW()-3)</f>
        <v>3952</v>
      </c>
      <c r="B2219" s="414">
        <v>44732</v>
      </c>
      <c r="C2219" s="431">
        <v>44652</v>
      </c>
      <c r="D2219" s="415" t="s">
        <v>468</v>
      </c>
      <c r="E2219" s="415" t="s">
        <v>468</v>
      </c>
      <c r="F2219" s="425">
        <v>44.1</v>
      </c>
      <c r="G2219" s="427" t="s">
        <v>5362</v>
      </c>
      <c r="H2219" s="415" t="s">
        <v>468</v>
      </c>
      <c r="I2219" s="427" t="s">
        <v>1461</v>
      </c>
      <c r="J2219" s="415" t="s">
        <v>310</v>
      </c>
      <c r="K2219" s="415" t="s">
        <v>1220</v>
      </c>
      <c r="L2219" s="415" t="s">
        <v>1368</v>
      </c>
      <c r="M2219" s="415" t="s">
        <v>310</v>
      </c>
      <c r="N2219" s="414">
        <v>44732</v>
      </c>
      <c r="O2219" s="414" t="s">
        <v>407</v>
      </c>
      <c r="P2219" s="603">
        <f t="shared" si="324"/>
        <v>6</v>
      </c>
      <c r="Q2219" s="603">
        <f t="shared" si="325"/>
        <v>4</v>
      </c>
      <c r="R2219" s="604" t="str">
        <f t="shared" si="326"/>
        <v>Gastos_custeados_por_captação</v>
      </c>
      <c r="S2219" s="605" t="s">
        <v>310</v>
      </c>
      <c r="T2219" s="605" t="s">
        <v>310</v>
      </c>
    </row>
    <row r="2220" spans="1:20" ht="72" x14ac:dyDescent="0.2">
      <c r="A2220" s="510">
        <f>IF(B2220="","",COUNT('Diário 1º PA'!$A$4:$A$2635)+ROW()-3)</f>
        <v>3953</v>
      </c>
      <c r="B2220" s="414">
        <v>44732</v>
      </c>
      <c r="C2220" s="431">
        <v>44652</v>
      </c>
      <c r="D2220" s="415" t="s">
        <v>468</v>
      </c>
      <c r="E2220" s="415" t="s">
        <v>468</v>
      </c>
      <c r="F2220" s="425">
        <v>179.2</v>
      </c>
      <c r="G2220" s="427" t="s">
        <v>5363</v>
      </c>
      <c r="H2220" s="415" t="s">
        <v>468</v>
      </c>
      <c r="I2220" s="427" t="s">
        <v>1461</v>
      </c>
      <c r="J2220" s="415" t="s">
        <v>310</v>
      </c>
      <c r="K2220" s="415" t="s">
        <v>1220</v>
      </c>
      <c r="L2220" s="415" t="s">
        <v>1368</v>
      </c>
      <c r="M2220" s="415" t="s">
        <v>310</v>
      </c>
      <c r="N2220" s="414">
        <v>44732</v>
      </c>
      <c r="O2220" s="414" t="s">
        <v>407</v>
      </c>
      <c r="P2220" s="603">
        <f t="shared" si="324"/>
        <v>6</v>
      </c>
      <c r="Q2220" s="603">
        <f t="shared" si="325"/>
        <v>4</v>
      </c>
      <c r="R2220" s="604" t="str">
        <f t="shared" si="326"/>
        <v>Gastos_custeados_por_captação</v>
      </c>
      <c r="S2220" s="605" t="s">
        <v>310</v>
      </c>
      <c r="T2220" s="605" t="s">
        <v>310</v>
      </c>
    </row>
    <row r="2221" spans="1:20" ht="72" x14ac:dyDescent="0.2">
      <c r="A2221" s="510">
        <f>IF(B2221="","",COUNT('Diário 1º PA'!$A$4:$A$2635)+ROW()-3)</f>
        <v>3954</v>
      </c>
      <c r="B2221" s="414">
        <v>44732</v>
      </c>
      <c r="C2221" s="431">
        <v>44652</v>
      </c>
      <c r="D2221" s="415" t="s">
        <v>468</v>
      </c>
      <c r="E2221" s="415" t="s">
        <v>468</v>
      </c>
      <c r="F2221" s="425">
        <v>1391.25</v>
      </c>
      <c r="G2221" s="427" t="s">
        <v>5364</v>
      </c>
      <c r="H2221" s="415" t="s">
        <v>468</v>
      </c>
      <c r="I2221" s="427" t="s">
        <v>1461</v>
      </c>
      <c r="J2221" s="415" t="s">
        <v>310</v>
      </c>
      <c r="K2221" s="415" t="s">
        <v>1220</v>
      </c>
      <c r="L2221" s="415" t="s">
        <v>1368</v>
      </c>
      <c r="M2221" s="415" t="s">
        <v>310</v>
      </c>
      <c r="N2221" s="414">
        <v>44732</v>
      </c>
      <c r="O2221" s="414" t="s">
        <v>407</v>
      </c>
      <c r="P2221" s="603">
        <f t="shared" si="324"/>
        <v>6</v>
      </c>
      <c r="Q2221" s="603">
        <f t="shared" si="325"/>
        <v>4</v>
      </c>
      <c r="R2221" s="604" t="str">
        <f t="shared" si="326"/>
        <v>Gastos_custeados_por_captação</v>
      </c>
      <c r="S2221" s="605" t="s">
        <v>310</v>
      </c>
      <c r="T2221" s="605" t="s">
        <v>310</v>
      </c>
    </row>
    <row r="2222" spans="1:20" s="88" customFormat="1" ht="48" x14ac:dyDescent="0.2">
      <c r="A2222" s="510">
        <f>IF(B2222="","",COUNT('Diário 1º PA'!$A$4:$A$2635)+ROW()-3)</f>
        <v>3955</v>
      </c>
      <c r="B2222" s="414">
        <v>44732</v>
      </c>
      <c r="C2222" s="592">
        <v>44682</v>
      </c>
      <c r="D2222" s="415" t="s">
        <v>468</v>
      </c>
      <c r="E2222" s="415" t="s">
        <v>468</v>
      </c>
      <c r="F2222" s="425">
        <v>154</v>
      </c>
      <c r="G2222" s="427" t="s">
        <v>5591</v>
      </c>
      <c r="H2222" s="415" t="s">
        <v>468</v>
      </c>
      <c r="I2222" s="427" t="s">
        <v>795</v>
      </c>
      <c r="J2222" s="415" t="s">
        <v>796</v>
      </c>
      <c r="K2222" s="415" t="s">
        <v>806</v>
      </c>
      <c r="L2222" s="415" t="s">
        <v>798</v>
      </c>
      <c r="M2222" s="415" t="s">
        <v>310</v>
      </c>
      <c r="N2222" s="414">
        <v>44732</v>
      </c>
      <c r="O2222" s="414" t="s">
        <v>3762</v>
      </c>
      <c r="P2222" s="603">
        <f t="shared" ref="P2222:P2248" si="327">IF(B2222=0,0,IF(YEAR(B2222)=$Q$1,MONTH(B2222)-$P$1+1,(YEAR(B2222)-$Q$1)*12-$P$1+1+MONTH(B2222)))</f>
        <v>6</v>
      </c>
      <c r="Q2222" s="603">
        <f t="shared" ref="Q2222:Q2248" si="328">IF(C2222=0,0,IF(YEAR(C2222)=$Q$1,MONTH(C2222)-$P$1+1,(YEAR(C2222)-$Q$1)*12-$P$1+1+MONTH(C2222)))</f>
        <v>5</v>
      </c>
      <c r="R2222" s="604" t="str">
        <f t="shared" ref="R2222:R2230" si="329">SUBSTITUTE(D2222," ","_")</f>
        <v>Gastos_custeados_por_captação</v>
      </c>
      <c r="S2222" s="605" t="s">
        <v>310</v>
      </c>
      <c r="T2222" s="605" t="s">
        <v>310</v>
      </c>
    </row>
    <row r="2223" spans="1:20" s="88" customFormat="1" ht="60" x14ac:dyDescent="0.2">
      <c r="A2223" s="510">
        <f>IF(B2223="","",COUNT('Diário 1º PA'!$A$4:$A$2635)+ROW()-3)</f>
        <v>3956</v>
      </c>
      <c r="B2223" s="414">
        <v>44732</v>
      </c>
      <c r="C2223" s="431">
        <v>44652</v>
      </c>
      <c r="D2223" s="415" t="s">
        <v>468</v>
      </c>
      <c r="E2223" s="415" t="s">
        <v>468</v>
      </c>
      <c r="F2223" s="425">
        <v>930</v>
      </c>
      <c r="G2223" s="427" t="s">
        <v>5468</v>
      </c>
      <c r="H2223" s="415" t="s">
        <v>468</v>
      </c>
      <c r="I2223" s="427" t="s">
        <v>795</v>
      </c>
      <c r="J2223" s="415" t="s">
        <v>796</v>
      </c>
      <c r="K2223" s="415" t="s">
        <v>806</v>
      </c>
      <c r="L2223" s="415" t="s">
        <v>798</v>
      </c>
      <c r="M2223" s="415" t="s">
        <v>310</v>
      </c>
      <c r="N2223" s="414">
        <v>44732</v>
      </c>
      <c r="O2223" s="414" t="s">
        <v>404</v>
      </c>
      <c r="P2223" s="603">
        <f t="shared" si="327"/>
        <v>6</v>
      </c>
      <c r="Q2223" s="603">
        <f t="shared" si="328"/>
        <v>4</v>
      </c>
      <c r="R2223" s="604" t="str">
        <f t="shared" si="329"/>
        <v>Gastos_custeados_por_captação</v>
      </c>
      <c r="S2223" s="605" t="s">
        <v>310</v>
      </c>
      <c r="T2223" s="605" t="s">
        <v>310</v>
      </c>
    </row>
    <row r="2224" spans="1:20" s="88" customFormat="1" ht="60" x14ac:dyDescent="0.2">
      <c r="A2224" s="510">
        <f>IF(B2224="","",COUNT('Diário 1º PA'!$A$4:$A$2635)+ROW()-3)</f>
        <v>3957</v>
      </c>
      <c r="B2224" s="414">
        <v>44732</v>
      </c>
      <c r="C2224" s="431">
        <v>44652</v>
      </c>
      <c r="D2224" s="415" t="s">
        <v>468</v>
      </c>
      <c r="E2224" s="415" t="s">
        <v>468</v>
      </c>
      <c r="F2224" s="425">
        <v>57.45</v>
      </c>
      <c r="G2224" s="427" t="s">
        <v>5469</v>
      </c>
      <c r="H2224" s="415" t="s">
        <v>468</v>
      </c>
      <c r="I2224" s="427" t="s">
        <v>1461</v>
      </c>
      <c r="J2224" s="415" t="s">
        <v>310</v>
      </c>
      <c r="K2224" s="415" t="s">
        <v>1220</v>
      </c>
      <c r="L2224" s="415" t="s">
        <v>1368</v>
      </c>
      <c r="M2224" s="415" t="s">
        <v>310</v>
      </c>
      <c r="N2224" s="414">
        <v>44732</v>
      </c>
      <c r="O2224" s="414" t="s">
        <v>404</v>
      </c>
      <c r="P2224" s="603">
        <f t="shared" si="327"/>
        <v>6</v>
      </c>
      <c r="Q2224" s="603">
        <f t="shared" si="328"/>
        <v>4</v>
      </c>
      <c r="R2224" s="604" t="str">
        <f t="shared" si="329"/>
        <v>Gastos_custeados_por_captação</v>
      </c>
      <c r="S2224" s="605" t="s">
        <v>310</v>
      </c>
      <c r="T2224" s="605" t="s">
        <v>310</v>
      </c>
    </row>
    <row r="2225" spans="1:20" s="88" customFormat="1" ht="60" x14ac:dyDescent="0.2">
      <c r="A2225" s="510">
        <f>IF(B2225="","",COUNT('Diário 1º PA'!$A$4:$A$2635)+ROW()-3)</f>
        <v>3958</v>
      </c>
      <c r="B2225" s="414">
        <v>44732</v>
      </c>
      <c r="C2225" s="431">
        <v>44682</v>
      </c>
      <c r="D2225" s="415" t="s">
        <v>468</v>
      </c>
      <c r="E2225" s="415" t="s">
        <v>468</v>
      </c>
      <c r="F2225" s="425">
        <v>505.64</v>
      </c>
      <c r="G2225" s="427" t="s">
        <v>5500</v>
      </c>
      <c r="H2225" s="415" t="s">
        <v>468</v>
      </c>
      <c r="I2225" s="427" t="s">
        <v>1461</v>
      </c>
      <c r="J2225" s="415" t="s">
        <v>310</v>
      </c>
      <c r="K2225" s="415" t="s">
        <v>1220</v>
      </c>
      <c r="L2225" s="415" t="s">
        <v>1368</v>
      </c>
      <c r="M2225" s="415" t="s">
        <v>310</v>
      </c>
      <c r="N2225" s="414">
        <v>44732</v>
      </c>
      <c r="O2225" s="414" t="s">
        <v>405</v>
      </c>
      <c r="P2225" s="603">
        <f t="shared" si="327"/>
        <v>6</v>
      </c>
      <c r="Q2225" s="603">
        <f t="shared" si="328"/>
        <v>5</v>
      </c>
      <c r="R2225" s="604" t="str">
        <f t="shared" si="329"/>
        <v>Gastos_custeados_por_captação</v>
      </c>
      <c r="S2225" s="605" t="s">
        <v>310</v>
      </c>
      <c r="T2225" s="605" t="s">
        <v>310</v>
      </c>
    </row>
    <row r="2226" spans="1:20" s="88" customFormat="1" ht="60" x14ac:dyDescent="0.2">
      <c r="A2226" s="510">
        <f>IF(B2226="","",COUNT('Diário 1º PA'!$A$4:$A$2635)+ROW()-3)</f>
        <v>3959</v>
      </c>
      <c r="B2226" s="414">
        <v>44732</v>
      </c>
      <c r="C2226" s="431">
        <v>44682</v>
      </c>
      <c r="D2226" s="415" t="s">
        <v>468</v>
      </c>
      <c r="E2226" s="415" t="s">
        <v>468</v>
      </c>
      <c r="F2226" s="425">
        <v>505.64</v>
      </c>
      <c r="G2226" s="427" t="s">
        <v>5500</v>
      </c>
      <c r="H2226" s="415" t="s">
        <v>468</v>
      </c>
      <c r="I2226" s="427" t="s">
        <v>1461</v>
      </c>
      <c r="J2226" s="415" t="s">
        <v>310</v>
      </c>
      <c r="K2226" s="415" t="s">
        <v>1220</v>
      </c>
      <c r="L2226" s="415" t="s">
        <v>1368</v>
      </c>
      <c r="M2226" s="415" t="s">
        <v>310</v>
      </c>
      <c r="N2226" s="414">
        <v>44732</v>
      </c>
      <c r="O2226" s="414" t="s">
        <v>405</v>
      </c>
      <c r="P2226" s="603">
        <f t="shared" si="327"/>
        <v>6</v>
      </c>
      <c r="Q2226" s="603">
        <f t="shared" si="328"/>
        <v>5</v>
      </c>
      <c r="R2226" s="604" t="str">
        <f t="shared" si="329"/>
        <v>Gastos_custeados_por_captação</v>
      </c>
      <c r="S2226" s="605" t="s">
        <v>310</v>
      </c>
      <c r="T2226" s="605" t="s">
        <v>310</v>
      </c>
    </row>
    <row r="2227" spans="1:20" s="88" customFormat="1" ht="72" x14ac:dyDescent="0.2">
      <c r="A2227" s="510">
        <f>IF(B2227="","",COUNT('Diário 1º PA'!$A$4:$A$2635)+ROW()-3)</f>
        <v>3960</v>
      </c>
      <c r="B2227" s="414">
        <v>44732</v>
      </c>
      <c r="C2227" s="431">
        <v>44652</v>
      </c>
      <c r="D2227" s="415" t="s">
        <v>468</v>
      </c>
      <c r="E2227" s="415" t="s">
        <v>468</v>
      </c>
      <c r="F2227" s="425">
        <v>930</v>
      </c>
      <c r="G2227" s="427" t="s">
        <v>5563</v>
      </c>
      <c r="H2227" s="415" t="s">
        <v>468</v>
      </c>
      <c r="I2227" s="427" t="s">
        <v>795</v>
      </c>
      <c r="J2227" s="415" t="s">
        <v>796</v>
      </c>
      <c r="K2227" s="415" t="s">
        <v>806</v>
      </c>
      <c r="L2227" s="415" t="s">
        <v>798</v>
      </c>
      <c r="M2227" s="415" t="s">
        <v>310</v>
      </c>
      <c r="N2227" s="414">
        <v>44732</v>
      </c>
      <c r="O2227" s="414" t="s">
        <v>402</v>
      </c>
      <c r="P2227" s="603">
        <f t="shared" si="327"/>
        <v>6</v>
      </c>
      <c r="Q2227" s="603">
        <f t="shared" si="328"/>
        <v>4</v>
      </c>
      <c r="R2227" s="604" t="str">
        <f t="shared" si="329"/>
        <v>Gastos_custeados_por_captação</v>
      </c>
      <c r="S2227" s="605" t="s">
        <v>310</v>
      </c>
      <c r="T2227" s="605" t="s">
        <v>310</v>
      </c>
    </row>
    <row r="2228" spans="1:20" s="88" customFormat="1" ht="72" x14ac:dyDescent="0.2">
      <c r="A2228" s="510">
        <f>IF(B2228="","",COUNT('Diário 1º PA'!$A$4:$A$2635)+ROW()-3)</f>
        <v>3961</v>
      </c>
      <c r="B2228" s="414">
        <v>44732</v>
      </c>
      <c r="C2228" s="431">
        <v>44652</v>
      </c>
      <c r="D2228" s="415" t="s">
        <v>468</v>
      </c>
      <c r="E2228" s="415" t="s">
        <v>468</v>
      </c>
      <c r="F2228" s="425">
        <v>852.5</v>
      </c>
      <c r="G2228" s="427" t="s">
        <v>5564</v>
      </c>
      <c r="H2228" s="415" t="s">
        <v>468</v>
      </c>
      <c r="I2228" s="427" t="s">
        <v>795</v>
      </c>
      <c r="J2228" s="415" t="s">
        <v>796</v>
      </c>
      <c r="K2228" s="415" t="s">
        <v>806</v>
      </c>
      <c r="L2228" s="415" t="s">
        <v>798</v>
      </c>
      <c r="M2228" s="415" t="s">
        <v>310</v>
      </c>
      <c r="N2228" s="414">
        <v>44732</v>
      </c>
      <c r="O2228" s="414" t="s">
        <v>402</v>
      </c>
      <c r="P2228" s="603">
        <f t="shared" si="327"/>
        <v>6</v>
      </c>
      <c r="Q2228" s="603">
        <f t="shared" si="328"/>
        <v>4</v>
      </c>
      <c r="R2228" s="604" t="str">
        <f t="shared" si="329"/>
        <v>Gastos_custeados_por_captação</v>
      </c>
      <c r="S2228" s="605" t="s">
        <v>310</v>
      </c>
      <c r="T2228" s="605" t="s">
        <v>310</v>
      </c>
    </row>
    <row r="2229" spans="1:20" s="88" customFormat="1" ht="72" x14ac:dyDescent="0.2">
      <c r="A2229" s="510">
        <f>IF(B2229="","",COUNT('Diário 1º PA'!$A$4:$A$2635)+ROW()-3)</f>
        <v>3962</v>
      </c>
      <c r="B2229" s="414">
        <v>44732</v>
      </c>
      <c r="C2229" s="431">
        <v>44652</v>
      </c>
      <c r="D2229" s="415" t="s">
        <v>468</v>
      </c>
      <c r="E2229" s="415" t="s">
        <v>468</v>
      </c>
      <c r="F2229" s="425">
        <v>1240</v>
      </c>
      <c r="G2229" s="427" t="s">
        <v>5565</v>
      </c>
      <c r="H2229" s="415" t="s">
        <v>468</v>
      </c>
      <c r="I2229" s="427" t="s">
        <v>795</v>
      </c>
      <c r="J2229" s="415" t="s">
        <v>796</v>
      </c>
      <c r="K2229" s="415" t="s">
        <v>806</v>
      </c>
      <c r="L2229" s="415" t="s">
        <v>798</v>
      </c>
      <c r="M2229" s="415" t="s">
        <v>310</v>
      </c>
      <c r="N2229" s="414">
        <v>44732</v>
      </c>
      <c r="O2229" s="414" t="s">
        <v>402</v>
      </c>
      <c r="P2229" s="603">
        <f t="shared" si="327"/>
        <v>6</v>
      </c>
      <c r="Q2229" s="603">
        <f t="shared" si="328"/>
        <v>4</v>
      </c>
      <c r="R2229" s="604" t="str">
        <f t="shared" si="329"/>
        <v>Gastos_custeados_por_captação</v>
      </c>
      <c r="S2229" s="605" t="s">
        <v>310</v>
      </c>
      <c r="T2229" s="605" t="s">
        <v>310</v>
      </c>
    </row>
    <row r="2230" spans="1:20" s="88" customFormat="1" ht="72" x14ac:dyDescent="0.2">
      <c r="A2230" s="510">
        <f>IF(B2230="","",COUNT('Diário 1º PA'!$A$4:$A$2635)+ROW()-3)</f>
        <v>3963</v>
      </c>
      <c r="B2230" s="414">
        <v>44732</v>
      </c>
      <c r="C2230" s="431">
        <v>44652</v>
      </c>
      <c r="D2230" s="415" t="s">
        <v>468</v>
      </c>
      <c r="E2230" s="415" t="s">
        <v>468</v>
      </c>
      <c r="F2230" s="425">
        <v>930</v>
      </c>
      <c r="G2230" s="427" t="s">
        <v>5566</v>
      </c>
      <c r="H2230" s="415" t="s">
        <v>468</v>
      </c>
      <c r="I2230" s="427" t="s">
        <v>795</v>
      </c>
      <c r="J2230" s="415" t="s">
        <v>796</v>
      </c>
      <c r="K2230" s="415" t="s">
        <v>806</v>
      </c>
      <c r="L2230" s="415" t="s">
        <v>798</v>
      </c>
      <c r="M2230" s="415" t="s">
        <v>310</v>
      </c>
      <c r="N2230" s="414">
        <v>44732</v>
      </c>
      <c r="O2230" s="414" t="s">
        <v>402</v>
      </c>
      <c r="P2230" s="603">
        <f t="shared" si="327"/>
        <v>6</v>
      </c>
      <c r="Q2230" s="603">
        <f t="shared" si="328"/>
        <v>4</v>
      </c>
      <c r="R2230" s="604" t="str">
        <f t="shared" si="329"/>
        <v>Gastos_custeados_por_captação</v>
      </c>
      <c r="S2230" s="605" t="s">
        <v>310</v>
      </c>
      <c r="T2230" s="605" t="s">
        <v>310</v>
      </c>
    </row>
    <row r="2231" spans="1:20" s="88" customFormat="1" ht="72" x14ac:dyDescent="0.2">
      <c r="A2231" s="510">
        <f>IF(B2231="","",COUNT('Diário 1º PA'!$A$4:$A$2635)+ROW()-3)</f>
        <v>3964</v>
      </c>
      <c r="B2231" s="414">
        <v>44732</v>
      </c>
      <c r="C2231" s="431">
        <v>44652</v>
      </c>
      <c r="D2231" s="415" t="s">
        <v>468</v>
      </c>
      <c r="E2231" s="415" t="s">
        <v>468</v>
      </c>
      <c r="F2231" s="425">
        <v>57.45</v>
      </c>
      <c r="G2231" s="427" t="s">
        <v>5559</v>
      </c>
      <c r="H2231" s="415" t="s">
        <v>468</v>
      </c>
      <c r="I2231" s="427" t="s">
        <v>1461</v>
      </c>
      <c r="J2231" s="415" t="s">
        <v>310</v>
      </c>
      <c r="K2231" s="415" t="s">
        <v>1220</v>
      </c>
      <c r="L2231" s="415" t="s">
        <v>1368</v>
      </c>
      <c r="M2231" s="415" t="s">
        <v>310</v>
      </c>
      <c r="N2231" s="414">
        <v>44732</v>
      </c>
      <c r="O2231" s="414" t="s">
        <v>402</v>
      </c>
      <c r="P2231" s="603">
        <f t="shared" si="327"/>
        <v>6</v>
      </c>
      <c r="Q2231" s="603">
        <f t="shared" si="328"/>
        <v>4</v>
      </c>
      <c r="R2231" s="604" t="str">
        <f t="shared" ref="R2231:R2236" si="330">SUBSTITUTE(D2231," ","_")</f>
        <v>Gastos_custeados_por_captação</v>
      </c>
      <c r="S2231" s="605" t="s">
        <v>310</v>
      </c>
      <c r="T2231" s="605" t="s">
        <v>310</v>
      </c>
    </row>
    <row r="2232" spans="1:20" s="88" customFormat="1" ht="72" x14ac:dyDescent="0.2">
      <c r="A2232" s="510">
        <f>IF(B2232="","",COUNT('Diário 1º PA'!$A$4:$A$2635)+ROW()-3)</f>
        <v>3965</v>
      </c>
      <c r="B2232" s="414">
        <v>44732</v>
      </c>
      <c r="C2232" s="431">
        <v>44652</v>
      </c>
      <c r="D2232" s="415" t="s">
        <v>468</v>
      </c>
      <c r="E2232" s="415" t="s">
        <v>468</v>
      </c>
      <c r="F2232" s="425">
        <v>40.76</v>
      </c>
      <c r="G2232" s="427" t="s">
        <v>5560</v>
      </c>
      <c r="H2232" s="415" t="s">
        <v>468</v>
      </c>
      <c r="I2232" s="427" t="s">
        <v>1461</v>
      </c>
      <c r="J2232" s="415" t="s">
        <v>310</v>
      </c>
      <c r="K2232" s="415" t="s">
        <v>1220</v>
      </c>
      <c r="L2232" s="415" t="s">
        <v>1368</v>
      </c>
      <c r="M2232" s="415" t="s">
        <v>310</v>
      </c>
      <c r="N2232" s="414">
        <v>44732</v>
      </c>
      <c r="O2232" s="414" t="s">
        <v>402</v>
      </c>
      <c r="P2232" s="603">
        <f t="shared" si="327"/>
        <v>6</v>
      </c>
      <c r="Q2232" s="603">
        <f t="shared" si="328"/>
        <v>4</v>
      </c>
      <c r="R2232" s="604" t="str">
        <f t="shared" si="330"/>
        <v>Gastos_custeados_por_captação</v>
      </c>
      <c r="S2232" s="605" t="s">
        <v>310</v>
      </c>
      <c r="T2232" s="605" t="s">
        <v>310</v>
      </c>
    </row>
    <row r="2233" spans="1:20" s="88" customFormat="1" ht="72" x14ac:dyDescent="0.2">
      <c r="A2233" s="510">
        <f>IF(B2233="","",COUNT('Diário 1º PA'!$A$4:$A$2635)+ROW()-3)</f>
        <v>3966</v>
      </c>
      <c r="B2233" s="414">
        <v>44732</v>
      </c>
      <c r="C2233" s="431">
        <v>44652</v>
      </c>
      <c r="D2233" s="415" t="s">
        <v>468</v>
      </c>
      <c r="E2233" s="415" t="s">
        <v>468</v>
      </c>
      <c r="F2233" s="425">
        <v>179.2</v>
      </c>
      <c r="G2233" s="427" t="s">
        <v>5561</v>
      </c>
      <c r="H2233" s="415" t="s">
        <v>468</v>
      </c>
      <c r="I2233" s="427" t="s">
        <v>1461</v>
      </c>
      <c r="J2233" s="415" t="s">
        <v>310</v>
      </c>
      <c r="K2233" s="415" t="s">
        <v>1220</v>
      </c>
      <c r="L2233" s="415" t="s">
        <v>1368</v>
      </c>
      <c r="M2233" s="415" t="s">
        <v>310</v>
      </c>
      <c r="N2233" s="414">
        <v>44732</v>
      </c>
      <c r="O2233" s="414" t="s">
        <v>402</v>
      </c>
      <c r="P2233" s="603">
        <f t="shared" si="327"/>
        <v>6</v>
      </c>
      <c r="Q2233" s="603">
        <f t="shared" si="328"/>
        <v>4</v>
      </c>
      <c r="R2233" s="604" t="str">
        <f t="shared" si="330"/>
        <v>Gastos_custeados_por_captação</v>
      </c>
      <c r="S2233" s="605" t="s">
        <v>310</v>
      </c>
      <c r="T2233" s="605" t="s">
        <v>310</v>
      </c>
    </row>
    <row r="2234" spans="1:20" s="88" customFormat="1" ht="72" x14ac:dyDescent="0.2">
      <c r="A2234" s="510">
        <f>IF(B2234="","",COUNT('Diário 1º PA'!$A$4:$A$2635)+ROW()-3)</f>
        <v>3967</v>
      </c>
      <c r="B2234" s="414">
        <v>44732</v>
      </c>
      <c r="C2234" s="431">
        <v>44652</v>
      </c>
      <c r="D2234" s="415" t="s">
        <v>468</v>
      </c>
      <c r="E2234" s="415" t="s">
        <v>468</v>
      </c>
      <c r="F2234" s="425">
        <v>57.45</v>
      </c>
      <c r="G2234" s="427" t="s">
        <v>5562</v>
      </c>
      <c r="H2234" s="415" t="s">
        <v>468</v>
      </c>
      <c r="I2234" s="427" t="s">
        <v>1461</v>
      </c>
      <c r="J2234" s="415" t="s">
        <v>310</v>
      </c>
      <c r="K2234" s="415" t="s">
        <v>1220</v>
      </c>
      <c r="L2234" s="415" t="s">
        <v>1368</v>
      </c>
      <c r="M2234" s="415" t="s">
        <v>310</v>
      </c>
      <c r="N2234" s="414">
        <v>44732</v>
      </c>
      <c r="O2234" s="414" t="s">
        <v>402</v>
      </c>
      <c r="P2234" s="603">
        <f t="shared" si="327"/>
        <v>6</v>
      </c>
      <c r="Q2234" s="603">
        <f t="shared" si="328"/>
        <v>4</v>
      </c>
      <c r="R2234" s="604" t="str">
        <f t="shared" si="330"/>
        <v>Gastos_custeados_por_captação</v>
      </c>
      <c r="S2234" s="605" t="s">
        <v>310</v>
      </c>
      <c r="T2234" s="605" t="s">
        <v>310</v>
      </c>
    </row>
    <row r="2235" spans="1:20" s="88" customFormat="1" ht="36" x14ac:dyDescent="0.2">
      <c r="A2235" s="510">
        <f>IF(B2235="","",COUNT('Diário 1º PA'!$A$4:$A$2635)+ROW()-3)</f>
        <v>3968</v>
      </c>
      <c r="B2235" s="414">
        <v>44732</v>
      </c>
      <c r="C2235" s="431">
        <v>44652</v>
      </c>
      <c r="D2235" s="415" t="s">
        <v>468</v>
      </c>
      <c r="E2235" s="415" t="s">
        <v>468</v>
      </c>
      <c r="F2235" s="425">
        <v>930</v>
      </c>
      <c r="G2235" s="427" t="s">
        <v>5613</v>
      </c>
      <c r="H2235" s="415" t="s">
        <v>468</v>
      </c>
      <c r="I2235" s="427" t="s">
        <v>795</v>
      </c>
      <c r="J2235" s="415" t="s">
        <v>796</v>
      </c>
      <c r="K2235" s="415" t="s">
        <v>806</v>
      </c>
      <c r="L2235" s="415" t="s">
        <v>798</v>
      </c>
      <c r="M2235" s="415" t="s">
        <v>310</v>
      </c>
      <c r="N2235" s="414">
        <v>44732</v>
      </c>
      <c r="O2235" s="414" t="s">
        <v>408</v>
      </c>
      <c r="P2235" s="603">
        <f t="shared" si="327"/>
        <v>6</v>
      </c>
      <c r="Q2235" s="603">
        <f t="shared" si="328"/>
        <v>4</v>
      </c>
      <c r="R2235" s="604" t="str">
        <f t="shared" si="330"/>
        <v>Gastos_custeados_por_captação</v>
      </c>
      <c r="S2235" s="605" t="s">
        <v>310</v>
      </c>
      <c r="T2235" s="605" t="s">
        <v>310</v>
      </c>
    </row>
    <row r="2236" spans="1:20" s="88" customFormat="1" ht="36" x14ac:dyDescent="0.2">
      <c r="A2236" s="510">
        <f>IF(B2236="","",COUNT('Diário 1º PA'!$A$4:$A$2635)+ROW()-3)</f>
        <v>3969</v>
      </c>
      <c r="B2236" s="414">
        <v>44732</v>
      </c>
      <c r="C2236" s="431">
        <v>44652</v>
      </c>
      <c r="D2236" s="415" t="s">
        <v>468</v>
      </c>
      <c r="E2236" s="415" t="s">
        <v>468</v>
      </c>
      <c r="F2236" s="425">
        <v>1240</v>
      </c>
      <c r="G2236" s="427" t="s">
        <v>5614</v>
      </c>
      <c r="H2236" s="415" t="s">
        <v>468</v>
      </c>
      <c r="I2236" s="427" t="s">
        <v>795</v>
      </c>
      <c r="J2236" s="415" t="s">
        <v>796</v>
      </c>
      <c r="K2236" s="415" t="s">
        <v>806</v>
      </c>
      <c r="L2236" s="415" t="s">
        <v>798</v>
      </c>
      <c r="M2236" s="415" t="s">
        <v>310</v>
      </c>
      <c r="N2236" s="414">
        <v>44732</v>
      </c>
      <c r="O2236" s="414" t="s">
        <v>408</v>
      </c>
      <c r="P2236" s="603">
        <f t="shared" si="327"/>
        <v>6</v>
      </c>
      <c r="Q2236" s="603">
        <f t="shared" si="328"/>
        <v>4</v>
      </c>
      <c r="R2236" s="604" t="str">
        <f t="shared" si="330"/>
        <v>Gastos_custeados_por_captação</v>
      </c>
      <c r="S2236" s="605" t="s">
        <v>310</v>
      </c>
      <c r="T2236" s="605" t="s">
        <v>310</v>
      </c>
    </row>
    <row r="2237" spans="1:20" s="88" customFormat="1" ht="36" x14ac:dyDescent="0.2">
      <c r="A2237" s="510">
        <f>IF(B2237="","",COUNT('Diário 1º PA'!$A$4:$A$2635)+ROW()-3)</f>
        <v>3970</v>
      </c>
      <c r="B2237" s="414">
        <v>44732</v>
      </c>
      <c r="C2237" s="431">
        <v>44682</v>
      </c>
      <c r="D2237" s="415" t="s">
        <v>468</v>
      </c>
      <c r="E2237" s="415" t="s">
        <v>468</v>
      </c>
      <c r="F2237" s="425">
        <v>1000</v>
      </c>
      <c r="G2237" s="427" t="s">
        <v>4124</v>
      </c>
      <c r="H2237" s="415" t="s">
        <v>468</v>
      </c>
      <c r="I2237" s="427" t="s">
        <v>2993</v>
      </c>
      <c r="J2237" s="415" t="s">
        <v>2994</v>
      </c>
      <c r="K2237" s="415" t="s">
        <v>830</v>
      </c>
      <c r="L2237" s="415" t="s">
        <v>807</v>
      </c>
      <c r="M2237" s="415">
        <v>17920</v>
      </c>
      <c r="N2237" s="414">
        <v>44718</v>
      </c>
      <c r="O2237" s="414" t="s">
        <v>408</v>
      </c>
      <c r="P2237" s="603">
        <f t="shared" si="327"/>
        <v>6</v>
      </c>
      <c r="Q2237" s="603">
        <f t="shared" si="328"/>
        <v>5</v>
      </c>
      <c r="R2237" s="604" t="str">
        <f t="shared" ref="R2237:R2248" si="331">SUBSTITUTE(D2237," ","_")</f>
        <v>Gastos_custeados_por_captação</v>
      </c>
      <c r="S2237" s="605" t="s">
        <v>1000</v>
      </c>
      <c r="T2237" s="605">
        <v>2783</v>
      </c>
    </row>
    <row r="2238" spans="1:20" s="88" customFormat="1" ht="36" x14ac:dyDescent="0.2">
      <c r="A2238" s="510">
        <f>IF(B2238="","",COUNT('Diário 1º PA'!$A$4:$A$2635)+ROW()-3)</f>
        <v>3971</v>
      </c>
      <c r="B2238" s="414">
        <v>44732</v>
      </c>
      <c r="C2238" s="431">
        <v>44652</v>
      </c>
      <c r="D2238" s="415" t="s">
        <v>468</v>
      </c>
      <c r="E2238" s="415" t="s">
        <v>468</v>
      </c>
      <c r="F2238" s="425">
        <v>57.45</v>
      </c>
      <c r="G2238" s="427" t="s">
        <v>5615</v>
      </c>
      <c r="H2238" s="415" t="s">
        <v>468</v>
      </c>
      <c r="I2238" s="427" t="s">
        <v>1461</v>
      </c>
      <c r="J2238" s="415" t="s">
        <v>310</v>
      </c>
      <c r="K2238" s="415" t="s">
        <v>1220</v>
      </c>
      <c r="L2238" s="415" t="s">
        <v>1368</v>
      </c>
      <c r="M2238" s="415" t="s">
        <v>310</v>
      </c>
      <c r="N2238" s="414">
        <v>44732</v>
      </c>
      <c r="O2238" s="414" t="s">
        <v>408</v>
      </c>
      <c r="P2238" s="603">
        <f t="shared" si="327"/>
        <v>6</v>
      </c>
      <c r="Q2238" s="603">
        <f t="shared" si="328"/>
        <v>4</v>
      </c>
      <c r="R2238" s="604" t="str">
        <f t="shared" si="331"/>
        <v>Gastos_custeados_por_captação</v>
      </c>
      <c r="S2238" s="605" t="s">
        <v>310</v>
      </c>
      <c r="T2238" s="605" t="s">
        <v>310</v>
      </c>
    </row>
    <row r="2239" spans="1:20" s="88" customFormat="1" ht="36" x14ac:dyDescent="0.2">
      <c r="A2239" s="510">
        <f>IF(B2239="","",COUNT('Diário 1º PA'!$A$4:$A$2635)+ROW()-3)</f>
        <v>3972</v>
      </c>
      <c r="B2239" s="414">
        <v>44732</v>
      </c>
      <c r="C2239" s="431">
        <v>44652</v>
      </c>
      <c r="D2239" s="415" t="s">
        <v>468</v>
      </c>
      <c r="E2239" s="415" t="s">
        <v>468</v>
      </c>
      <c r="F2239" s="425">
        <v>179.2</v>
      </c>
      <c r="G2239" s="427" t="s">
        <v>5616</v>
      </c>
      <c r="H2239" s="415" t="s">
        <v>468</v>
      </c>
      <c r="I2239" s="427" t="s">
        <v>1461</v>
      </c>
      <c r="J2239" s="415" t="s">
        <v>310</v>
      </c>
      <c r="K2239" s="415" t="s">
        <v>1220</v>
      </c>
      <c r="L2239" s="415" t="s">
        <v>1368</v>
      </c>
      <c r="M2239" s="415" t="s">
        <v>310</v>
      </c>
      <c r="N2239" s="414">
        <v>44732</v>
      </c>
      <c r="O2239" s="414" t="s">
        <v>408</v>
      </c>
      <c r="P2239" s="603">
        <f t="shared" si="327"/>
        <v>6</v>
      </c>
      <c r="Q2239" s="603">
        <f t="shared" si="328"/>
        <v>4</v>
      </c>
      <c r="R2239" s="604" t="str">
        <f t="shared" si="331"/>
        <v>Gastos_custeados_por_captação</v>
      </c>
      <c r="S2239" s="605" t="s">
        <v>310</v>
      </c>
      <c r="T2239" s="605" t="s">
        <v>310</v>
      </c>
    </row>
    <row r="2240" spans="1:20" s="88" customFormat="1" ht="60" x14ac:dyDescent="0.2">
      <c r="A2240" s="510">
        <f>IF(B2240="","",COUNT('Diário 1º PA'!$A$4:$A$2635)+ROW()-3)</f>
        <v>3973</v>
      </c>
      <c r="B2240" s="414">
        <v>44733</v>
      </c>
      <c r="C2240" s="431">
        <v>44713</v>
      </c>
      <c r="D2240" s="415" t="s">
        <v>271</v>
      </c>
      <c r="E2240" s="415" t="s">
        <v>444</v>
      </c>
      <c r="F2240" s="425">
        <v>3645.6</v>
      </c>
      <c r="G2240" s="427" t="s">
        <v>1905</v>
      </c>
      <c r="H2240" s="419" t="s">
        <v>752</v>
      </c>
      <c r="I2240" s="427" t="s">
        <v>2148</v>
      </c>
      <c r="J2240" s="415" t="s">
        <v>1904</v>
      </c>
      <c r="K2240" s="415" t="s">
        <v>830</v>
      </c>
      <c r="L2240" s="415" t="s">
        <v>807</v>
      </c>
      <c r="M2240" s="415" t="s">
        <v>1428</v>
      </c>
      <c r="N2240" s="414">
        <v>44727</v>
      </c>
      <c r="O2240" s="414" t="s">
        <v>400</v>
      </c>
      <c r="P2240" s="603">
        <f t="shared" si="327"/>
        <v>6</v>
      </c>
      <c r="Q2240" s="603">
        <f t="shared" si="328"/>
        <v>6</v>
      </c>
      <c r="R2240" s="604" t="str">
        <f t="shared" si="331"/>
        <v>Gastos_Gerais</v>
      </c>
      <c r="S2240" s="605" t="s">
        <v>998</v>
      </c>
      <c r="T2240" s="605">
        <v>2901</v>
      </c>
    </row>
    <row r="2241" spans="1:20" s="88" customFormat="1" ht="36" x14ac:dyDescent="0.2">
      <c r="A2241" s="510">
        <f>IF(B2241="","",COUNT('Diário 1º PA'!$A$4:$A$2635)+ROW()-3)</f>
        <v>3974</v>
      </c>
      <c r="B2241" s="414">
        <v>44733</v>
      </c>
      <c r="C2241" s="431">
        <v>44682</v>
      </c>
      <c r="D2241" s="415" t="s">
        <v>271</v>
      </c>
      <c r="E2241" s="415" t="s">
        <v>453</v>
      </c>
      <c r="F2241" s="425">
        <v>420</v>
      </c>
      <c r="G2241" s="427" t="s">
        <v>4104</v>
      </c>
      <c r="H2241" s="419" t="s">
        <v>756</v>
      </c>
      <c r="I2241" s="427" t="s">
        <v>4900</v>
      </c>
      <c r="J2241" s="415" t="s">
        <v>4105</v>
      </c>
      <c r="K2241" s="415" t="s">
        <v>830</v>
      </c>
      <c r="L2241" s="415" t="s">
        <v>839</v>
      </c>
      <c r="M2241" s="415">
        <v>1814</v>
      </c>
      <c r="N2241" s="414">
        <v>44718</v>
      </c>
      <c r="O2241" s="414" t="s">
        <v>400</v>
      </c>
      <c r="P2241" s="603">
        <f t="shared" si="327"/>
        <v>6</v>
      </c>
      <c r="Q2241" s="603">
        <f t="shared" si="328"/>
        <v>5</v>
      </c>
      <c r="R2241" s="604" t="str">
        <f t="shared" si="331"/>
        <v>Gastos_Gerais</v>
      </c>
      <c r="S2241" s="605" t="s">
        <v>998</v>
      </c>
      <c r="T2241" s="605">
        <v>3668</v>
      </c>
    </row>
    <row r="2242" spans="1:20" s="88" customFormat="1" ht="48" x14ac:dyDescent="0.2">
      <c r="A2242" s="510">
        <f>IF(B2242="","",COUNT('Diário 1º PA'!$A$4:$A$2635)+ROW()-3)</f>
        <v>3975</v>
      </c>
      <c r="B2242" s="414">
        <v>44733</v>
      </c>
      <c r="C2242" s="431">
        <v>44682</v>
      </c>
      <c r="D2242" s="415" t="s">
        <v>271</v>
      </c>
      <c r="E2242" s="415" t="s">
        <v>453</v>
      </c>
      <c r="F2242" s="425">
        <v>420</v>
      </c>
      <c r="G2242" s="427" t="s">
        <v>4164</v>
      </c>
      <c r="H2242" s="419" t="s">
        <v>761</v>
      </c>
      <c r="I2242" s="427" t="s">
        <v>4903</v>
      </c>
      <c r="J2242" s="415" t="s">
        <v>4165</v>
      </c>
      <c r="K2242" s="415" t="s">
        <v>830</v>
      </c>
      <c r="L2242" s="415" t="s">
        <v>839</v>
      </c>
      <c r="M2242" s="415">
        <v>1843</v>
      </c>
      <c r="N2242" s="414">
        <v>44727</v>
      </c>
      <c r="O2242" s="414" t="s">
        <v>400</v>
      </c>
      <c r="P2242" s="603">
        <f t="shared" si="327"/>
        <v>6</v>
      </c>
      <c r="Q2242" s="603">
        <f t="shared" si="328"/>
        <v>5</v>
      </c>
      <c r="R2242" s="604" t="str">
        <f t="shared" si="331"/>
        <v>Gastos_Gerais</v>
      </c>
      <c r="S2242" s="605" t="s">
        <v>998</v>
      </c>
      <c r="T2242" s="605">
        <v>3722</v>
      </c>
    </row>
    <row r="2243" spans="1:20" s="88" customFormat="1" ht="36" x14ac:dyDescent="0.2">
      <c r="A2243" s="510">
        <f>IF(B2243="","",COUNT('Diário 1º PA'!$A$4:$A$2635)+ROW()-3)</f>
        <v>3976</v>
      </c>
      <c r="B2243" s="414">
        <v>44733</v>
      </c>
      <c r="C2243" s="421">
        <v>44682</v>
      </c>
      <c r="D2243" s="415" t="s">
        <v>271</v>
      </c>
      <c r="E2243" s="415" t="s">
        <v>92</v>
      </c>
      <c r="F2243" s="425">
        <v>500</v>
      </c>
      <c r="G2243" s="437" t="s">
        <v>1590</v>
      </c>
      <c r="H2243" s="415" t="s">
        <v>309</v>
      </c>
      <c r="I2243" s="437" t="s">
        <v>1304</v>
      </c>
      <c r="J2243" s="415" t="s">
        <v>1033</v>
      </c>
      <c r="K2243" s="415"/>
      <c r="L2243" s="399"/>
      <c r="M2243" s="415" t="s">
        <v>310</v>
      </c>
      <c r="N2243" s="414">
        <v>44733</v>
      </c>
      <c r="O2243" s="414" t="s">
        <v>400</v>
      </c>
      <c r="P2243" s="603">
        <f t="shared" si="327"/>
        <v>6</v>
      </c>
      <c r="Q2243" s="603">
        <f t="shared" si="328"/>
        <v>5</v>
      </c>
      <c r="R2243" s="604" t="str">
        <f t="shared" si="331"/>
        <v>Gastos_Gerais</v>
      </c>
      <c r="S2243" s="605" t="s">
        <v>1000</v>
      </c>
      <c r="T2243" s="605">
        <v>2842</v>
      </c>
    </row>
    <row r="2244" spans="1:20" s="88" customFormat="1" ht="24" x14ac:dyDescent="0.2">
      <c r="A2244" s="510">
        <f>IF(B2244="","",COUNT('Diário 1º PA'!$A$4:$A$2635)+ROW()-3)</f>
        <v>3977</v>
      </c>
      <c r="B2244" s="414">
        <v>44733</v>
      </c>
      <c r="C2244" s="431">
        <v>44713</v>
      </c>
      <c r="D2244" s="415" t="s">
        <v>182</v>
      </c>
      <c r="E2244" s="415" t="s">
        <v>161</v>
      </c>
      <c r="F2244" s="425">
        <v>90.85</v>
      </c>
      <c r="G2244" s="427" t="s">
        <v>1495</v>
      </c>
      <c r="H2244" s="415" t="s">
        <v>310</v>
      </c>
      <c r="I2244" s="427" t="s">
        <v>2008</v>
      </c>
      <c r="J2244" s="548" t="s">
        <v>2009</v>
      </c>
      <c r="K2244" s="415" t="s">
        <v>812</v>
      </c>
      <c r="L2244" s="415" t="s">
        <v>807</v>
      </c>
      <c r="M2244" s="415" t="s">
        <v>5571</v>
      </c>
      <c r="N2244" s="414">
        <v>44734</v>
      </c>
      <c r="O2244" s="414" t="s">
        <v>400</v>
      </c>
      <c r="P2244" s="603">
        <f t="shared" si="327"/>
        <v>6</v>
      </c>
      <c r="Q2244" s="603">
        <f t="shared" si="328"/>
        <v>6</v>
      </c>
      <c r="R2244" s="604" t="str">
        <f t="shared" si="331"/>
        <v>Gastos_com_Pessoal</v>
      </c>
      <c r="S2244" s="605" t="s">
        <v>310</v>
      </c>
      <c r="T2244" s="605" t="s">
        <v>310</v>
      </c>
    </row>
    <row r="2245" spans="1:20" s="88" customFormat="1" ht="48" x14ac:dyDescent="0.2">
      <c r="A2245" s="510">
        <f>IF(B2245="","",COUNT('Diário 1º PA'!$A$4:$A$2635)+ROW()-3)</f>
        <v>3978</v>
      </c>
      <c r="B2245" s="414">
        <v>44733</v>
      </c>
      <c r="C2245" s="431">
        <v>44621</v>
      </c>
      <c r="D2245" s="415" t="s">
        <v>271</v>
      </c>
      <c r="E2245" s="415" t="s">
        <v>456</v>
      </c>
      <c r="F2245" s="425">
        <v>72.11</v>
      </c>
      <c r="G2245" s="427" t="s">
        <v>1165</v>
      </c>
      <c r="H2245" s="419" t="s">
        <v>760</v>
      </c>
      <c r="I2245" s="427" t="s">
        <v>4906</v>
      </c>
      <c r="J2245" s="415" t="s">
        <v>1166</v>
      </c>
      <c r="K2245" s="415" t="s">
        <v>830</v>
      </c>
      <c r="L2245" s="415" t="s">
        <v>1372</v>
      </c>
      <c r="M2245" s="415" t="s">
        <v>310</v>
      </c>
      <c r="N2245" s="414">
        <v>44733</v>
      </c>
      <c r="O2245" s="414" t="s">
        <v>400</v>
      </c>
      <c r="P2245" s="603">
        <f t="shared" si="327"/>
        <v>6</v>
      </c>
      <c r="Q2245" s="603">
        <f t="shared" si="328"/>
        <v>3</v>
      </c>
      <c r="R2245" s="604" t="str">
        <f t="shared" si="331"/>
        <v>Gastos_Gerais</v>
      </c>
      <c r="S2245" s="605" t="s">
        <v>998</v>
      </c>
      <c r="T2245" s="605">
        <v>2768</v>
      </c>
    </row>
    <row r="2246" spans="1:20" s="88" customFormat="1" ht="60" x14ac:dyDescent="0.2">
      <c r="A2246" s="510">
        <f>IF(B2246="","",COUNT('Diário 1º PA'!$A$4:$A$2635)+ROW()-3)</f>
        <v>3979</v>
      </c>
      <c r="B2246" s="414">
        <v>44733</v>
      </c>
      <c r="C2246" s="431">
        <v>44682</v>
      </c>
      <c r="D2246" s="415" t="s">
        <v>271</v>
      </c>
      <c r="E2246" s="415" t="s">
        <v>453</v>
      </c>
      <c r="F2246" s="425">
        <v>832.91</v>
      </c>
      <c r="G2246" s="427" t="s">
        <v>3836</v>
      </c>
      <c r="H2246" s="419" t="s">
        <v>754</v>
      </c>
      <c r="I2246" s="427" t="s">
        <v>4489</v>
      </c>
      <c r="J2246" s="415" t="s">
        <v>3720</v>
      </c>
      <c r="K2246" s="415" t="s">
        <v>830</v>
      </c>
      <c r="L2246" s="415" t="s">
        <v>807</v>
      </c>
      <c r="M2246" s="415" t="s">
        <v>3763</v>
      </c>
      <c r="N2246" s="414">
        <v>44727</v>
      </c>
      <c r="O2246" s="414" t="s">
        <v>400</v>
      </c>
      <c r="P2246" s="603">
        <f t="shared" si="327"/>
        <v>6</v>
      </c>
      <c r="Q2246" s="603">
        <f t="shared" si="328"/>
        <v>5</v>
      </c>
      <c r="R2246" s="604" t="str">
        <f t="shared" si="331"/>
        <v>Gastos_Gerais</v>
      </c>
      <c r="S2246" s="605" t="s">
        <v>998</v>
      </c>
      <c r="T2246" s="605">
        <v>3614</v>
      </c>
    </row>
    <row r="2247" spans="1:20" s="88" customFormat="1" ht="48" customHeight="1" x14ac:dyDescent="0.2">
      <c r="A2247" s="510">
        <f>IF(B2247="","",COUNT('Diário 1º PA'!$A$4:$A$2635)+ROW()-3)</f>
        <v>3980</v>
      </c>
      <c r="B2247" s="414">
        <v>44733</v>
      </c>
      <c r="C2247" s="431">
        <v>44713</v>
      </c>
      <c r="D2247" s="415" t="s">
        <v>271</v>
      </c>
      <c r="E2247" s="415" t="s">
        <v>297</v>
      </c>
      <c r="F2247" s="425">
        <v>650</v>
      </c>
      <c r="G2247" s="427" t="s">
        <v>4895</v>
      </c>
      <c r="H2247" s="419" t="s">
        <v>751</v>
      </c>
      <c r="I2247" s="427" t="s">
        <v>4908</v>
      </c>
      <c r="J2247" s="415" t="s">
        <v>4909</v>
      </c>
      <c r="K2247" s="415" t="s">
        <v>830</v>
      </c>
      <c r="L2247" s="415" t="s">
        <v>807</v>
      </c>
      <c r="M2247" s="415">
        <v>1167</v>
      </c>
      <c r="N2247" s="414">
        <v>44733</v>
      </c>
      <c r="O2247" s="414" t="s">
        <v>400</v>
      </c>
      <c r="P2247" s="603">
        <f t="shared" si="327"/>
        <v>6</v>
      </c>
      <c r="Q2247" s="603">
        <f t="shared" si="328"/>
        <v>6</v>
      </c>
      <c r="R2247" s="604" t="str">
        <f t="shared" si="331"/>
        <v>Gastos_Gerais</v>
      </c>
      <c r="S2247" s="605" t="s">
        <v>999</v>
      </c>
      <c r="T2247" s="605">
        <v>3925</v>
      </c>
    </row>
    <row r="2248" spans="1:20" s="88" customFormat="1" ht="60" customHeight="1" x14ac:dyDescent="0.2">
      <c r="A2248" s="510">
        <f>IF(B2248="","",COUNT('Diário 1º PA'!$A$4:$A$2635)+ROW()-3)</f>
        <v>3981</v>
      </c>
      <c r="B2248" s="414">
        <v>44733</v>
      </c>
      <c r="C2248" s="431">
        <v>44621</v>
      </c>
      <c r="D2248" s="415" t="s">
        <v>271</v>
      </c>
      <c r="E2248" s="415" t="s">
        <v>297</v>
      </c>
      <c r="F2248" s="425">
        <v>2902</v>
      </c>
      <c r="G2248" s="427" t="s">
        <v>2395</v>
      </c>
      <c r="H2248" s="419" t="s">
        <v>755</v>
      </c>
      <c r="I2248" s="427" t="s">
        <v>4910</v>
      </c>
      <c r="J2248" s="415" t="s">
        <v>1865</v>
      </c>
      <c r="K2248" s="415" t="s">
        <v>830</v>
      </c>
      <c r="L2248" s="415" t="s">
        <v>807</v>
      </c>
      <c r="M2248" s="415">
        <v>342</v>
      </c>
      <c r="N2248" s="414">
        <v>44727</v>
      </c>
      <c r="O2248" s="414" t="s">
        <v>400</v>
      </c>
      <c r="P2248" s="603">
        <f t="shared" si="327"/>
        <v>6</v>
      </c>
      <c r="Q2248" s="603">
        <f t="shared" si="328"/>
        <v>3</v>
      </c>
      <c r="R2248" s="604" t="str">
        <f t="shared" si="331"/>
        <v>Gastos_Gerais</v>
      </c>
      <c r="S2248" s="605" t="s">
        <v>998</v>
      </c>
      <c r="T2248" s="605">
        <v>3248</v>
      </c>
    </row>
    <row r="2249" spans="1:20" s="88" customFormat="1" ht="36" customHeight="1" x14ac:dyDescent="0.2">
      <c r="A2249" s="510">
        <f>IF(B2249="","",COUNT('Diário 1º PA'!$A$4:$A$2635)+ROW()-3)</f>
        <v>3982</v>
      </c>
      <c r="B2249" s="414">
        <v>44733</v>
      </c>
      <c r="C2249" s="431">
        <v>44713</v>
      </c>
      <c r="D2249" s="415" t="s">
        <v>271</v>
      </c>
      <c r="E2249" s="415" t="s">
        <v>71</v>
      </c>
      <c r="F2249" s="425">
        <v>11</v>
      </c>
      <c r="G2249" s="427" t="s">
        <v>4911</v>
      </c>
      <c r="H2249" s="419" t="s">
        <v>752</v>
      </c>
      <c r="I2249" s="427" t="s">
        <v>881</v>
      </c>
      <c r="J2249" s="415" t="s">
        <v>882</v>
      </c>
      <c r="K2249" s="415" t="s">
        <v>883</v>
      </c>
      <c r="L2249" s="415" t="s">
        <v>798</v>
      </c>
      <c r="M2249" s="415" t="s">
        <v>310</v>
      </c>
      <c r="N2249" s="414">
        <v>44733</v>
      </c>
      <c r="O2249" s="414" t="s">
        <v>400</v>
      </c>
      <c r="P2249" s="603">
        <f t="shared" ref="P2249:P2256" si="332">IF(B2249=0,0,IF(YEAR(B2249)=$Q$1,MONTH(B2249)-$P$1+1,(YEAR(B2249)-$Q$1)*12-$P$1+1+MONTH(B2249)))</f>
        <v>6</v>
      </c>
      <c r="Q2249" s="603">
        <f t="shared" ref="Q2249:Q2256" si="333">IF(C2249=0,0,IF(YEAR(C2249)=$Q$1,MONTH(C2249)-$P$1+1,(YEAR(C2249)-$Q$1)*12-$P$1+1+MONTH(C2249)))</f>
        <v>6</v>
      </c>
      <c r="R2249" s="604" t="str">
        <f t="shared" ref="R2249:R2256" si="334">SUBSTITUTE(D2249," ","_")</f>
        <v>Gastos_Gerais</v>
      </c>
      <c r="S2249" s="605" t="s">
        <v>310</v>
      </c>
      <c r="T2249" s="605" t="s">
        <v>310</v>
      </c>
    </row>
    <row r="2250" spans="1:20" s="88" customFormat="1" ht="36" customHeight="1" x14ac:dyDescent="0.2">
      <c r="A2250" s="510">
        <f>IF(B2250="","",COUNT('Diário 1º PA'!$A$4:$A$2635)+ROW()-3)</f>
        <v>3983</v>
      </c>
      <c r="B2250" s="414">
        <v>44733</v>
      </c>
      <c r="C2250" s="431">
        <v>44713</v>
      </c>
      <c r="D2250" s="415" t="s">
        <v>271</v>
      </c>
      <c r="E2250" s="415" t="s">
        <v>71</v>
      </c>
      <c r="F2250" s="425">
        <v>11</v>
      </c>
      <c r="G2250" s="427" t="s">
        <v>4912</v>
      </c>
      <c r="H2250" s="419" t="s">
        <v>756</v>
      </c>
      <c r="I2250" s="427" t="s">
        <v>881</v>
      </c>
      <c r="J2250" s="415" t="s">
        <v>882</v>
      </c>
      <c r="K2250" s="415" t="s">
        <v>883</v>
      </c>
      <c r="L2250" s="415" t="s">
        <v>798</v>
      </c>
      <c r="M2250" s="415" t="s">
        <v>310</v>
      </c>
      <c r="N2250" s="414">
        <v>44733</v>
      </c>
      <c r="O2250" s="414" t="s">
        <v>400</v>
      </c>
      <c r="P2250" s="603">
        <f t="shared" si="332"/>
        <v>6</v>
      </c>
      <c r="Q2250" s="603">
        <f t="shared" si="333"/>
        <v>6</v>
      </c>
      <c r="R2250" s="604" t="str">
        <f t="shared" si="334"/>
        <v>Gastos_Gerais</v>
      </c>
      <c r="S2250" s="605" t="s">
        <v>310</v>
      </c>
      <c r="T2250" s="605" t="s">
        <v>310</v>
      </c>
    </row>
    <row r="2251" spans="1:20" s="88" customFormat="1" ht="36" customHeight="1" x14ac:dyDescent="0.2">
      <c r="A2251" s="510">
        <f>IF(B2251="","",COUNT('Diário 1º PA'!$A$4:$A$2635)+ROW()-3)</f>
        <v>3984</v>
      </c>
      <c r="B2251" s="414">
        <v>44733</v>
      </c>
      <c r="C2251" s="431">
        <v>44713</v>
      </c>
      <c r="D2251" s="415" t="s">
        <v>271</v>
      </c>
      <c r="E2251" s="415" t="s">
        <v>71</v>
      </c>
      <c r="F2251" s="425">
        <v>11</v>
      </c>
      <c r="G2251" s="427" t="s">
        <v>4913</v>
      </c>
      <c r="H2251" s="419" t="s">
        <v>761</v>
      </c>
      <c r="I2251" s="427" t="s">
        <v>881</v>
      </c>
      <c r="J2251" s="415" t="s">
        <v>882</v>
      </c>
      <c r="K2251" s="415" t="s">
        <v>883</v>
      </c>
      <c r="L2251" s="415" t="s">
        <v>798</v>
      </c>
      <c r="M2251" s="415" t="s">
        <v>310</v>
      </c>
      <c r="N2251" s="414">
        <v>44733</v>
      </c>
      <c r="O2251" s="414" t="s">
        <v>400</v>
      </c>
      <c r="P2251" s="603">
        <f t="shared" si="332"/>
        <v>6</v>
      </c>
      <c r="Q2251" s="603">
        <f t="shared" si="333"/>
        <v>6</v>
      </c>
      <c r="R2251" s="604" t="str">
        <f t="shared" si="334"/>
        <v>Gastos_Gerais</v>
      </c>
      <c r="S2251" s="605" t="s">
        <v>310</v>
      </c>
      <c r="T2251" s="605" t="s">
        <v>310</v>
      </c>
    </row>
    <row r="2252" spans="1:20" s="88" customFormat="1" ht="36" x14ac:dyDescent="0.2">
      <c r="A2252" s="510">
        <f>IF(B2252="","",COUNT('Diário 1º PA'!$A$4:$A$2635)+ROW()-3)</f>
        <v>3985</v>
      </c>
      <c r="B2252" s="414">
        <v>44733</v>
      </c>
      <c r="C2252" s="431">
        <v>44713</v>
      </c>
      <c r="D2252" s="415" t="s">
        <v>271</v>
      </c>
      <c r="E2252" s="415" t="s">
        <v>71</v>
      </c>
      <c r="F2252" s="425">
        <v>11</v>
      </c>
      <c r="G2252" s="427" t="s">
        <v>4917</v>
      </c>
      <c r="H2252" s="419" t="s">
        <v>309</v>
      </c>
      <c r="I2252" s="427" t="s">
        <v>881</v>
      </c>
      <c r="J2252" s="415" t="s">
        <v>882</v>
      </c>
      <c r="K2252" s="415" t="s">
        <v>883</v>
      </c>
      <c r="L2252" s="415" t="s">
        <v>798</v>
      </c>
      <c r="M2252" s="415" t="s">
        <v>310</v>
      </c>
      <c r="N2252" s="414">
        <v>44733</v>
      </c>
      <c r="O2252" s="414" t="s">
        <v>400</v>
      </c>
      <c r="P2252" s="603">
        <f>IF(B2252=0,0,IF(YEAR(B2252)=$Q$1,MONTH(B2252)-$P$1+1,(YEAR(B2252)-$Q$1)*12-$P$1+1+MONTH(B2252)))</f>
        <v>6</v>
      </c>
      <c r="Q2252" s="603">
        <f>IF(C2252=0,0,IF(YEAR(C2252)=$Q$1,MONTH(C2252)-$P$1+1,(YEAR(C2252)-$Q$1)*12-$P$1+1+MONTH(C2252)))</f>
        <v>6</v>
      </c>
      <c r="R2252" s="604" t="str">
        <f>SUBSTITUTE(D2252," ","_")</f>
        <v>Gastos_Gerais</v>
      </c>
      <c r="S2252" s="605" t="s">
        <v>310</v>
      </c>
      <c r="T2252" s="605" t="s">
        <v>310</v>
      </c>
    </row>
    <row r="2253" spans="1:20" s="88" customFormat="1" ht="60" x14ac:dyDescent="0.2">
      <c r="A2253" s="510">
        <f>IF(B2253="","",COUNT('Diário 1º PA'!$A$4:$A$2635)+ROW()-3)</f>
        <v>3986</v>
      </c>
      <c r="B2253" s="414">
        <v>44733</v>
      </c>
      <c r="C2253" s="431">
        <v>44713</v>
      </c>
      <c r="D2253" s="415" t="s">
        <v>271</v>
      </c>
      <c r="E2253" s="415" t="s">
        <v>71</v>
      </c>
      <c r="F2253" s="425">
        <v>11</v>
      </c>
      <c r="G2253" s="427" t="s">
        <v>4914</v>
      </c>
      <c r="H2253" s="419" t="s">
        <v>754</v>
      </c>
      <c r="I2253" s="427" t="s">
        <v>881</v>
      </c>
      <c r="J2253" s="415" t="s">
        <v>882</v>
      </c>
      <c r="K2253" s="415" t="s">
        <v>883</v>
      </c>
      <c r="L2253" s="415" t="s">
        <v>798</v>
      </c>
      <c r="M2253" s="415" t="s">
        <v>310</v>
      </c>
      <c r="N2253" s="414">
        <v>44733</v>
      </c>
      <c r="O2253" s="414" t="s">
        <v>400</v>
      </c>
      <c r="P2253" s="603">
        <f t="shared" si="332"/>
        <v>6</v>
      </c>
      <c r="Q2253" s="603">
        <f t="shared" si="333"/>
        <v>6</v>
      </c>
      <c r="R2253" s="604" t="str">
        <f t="shared" si="334"/>
        <v>Gastos_Gerais</v>
      </c>
      <c r="S2253" s="605" t="s">
        <v>310</v>
      </c>
      <c r="T2253" s="605" t="s">
        <v>310</v>
      </c>
    </row>
    <row r="2254" spans="1:20" s="88" customFormat="1" ht="48" x14ac:dyDescent="0.2">
      <c r="A2254" s="510">
        <f>IF(B2254="","",COUNT('Diário 1º PA'!$A$4:$A$2635)+ROW()-3)</f>
        <v>3987</v>
      </c>
      <c r="B2254" s="414">
        <v>44733</v>
      </c>
      <c r="C2254" s="431">
        <v>44713</v>
      </c>
      <c r="D2254" s="415" t="s">
        <v>271</v>
      </c>
      <c r="E2254" s="415" t="s">
        <v>71</v>
      </c>
      <c r="F2254" s="425">
        <v>11</v>
      </c>
      <c r="G2254" s="427" t="s">
        <v>4915</v>
      </c>
      <c r="H2254" s="419" t="s">
        <v>751</v>
      </c>
      <c r="I2254" s="427" t="s">
        <v>881</v>
      </c>
      <c r="J2254" s="415" t="s">
        <v>882</v>
      </c>
      <c r="K2254" s="415" t="s">
        <v>883</v>
      </c>
      <c r="L2254" s="415" t="s">
        <v>798</v>
      </c>
      <c r="M2254" s="415" t="s">
        <v>310</v>
      </c>
      <c r="N2254" s="414">
        <v>44733</v>
      </c>
      <c r="O2254" s="414" t="s">
        <v>400</v>
      </c>
      <c r="P2254" s="603">
        <f t="shared" si="332"/>
        <v>6</v>
      </c>
      <c r="Q2254" s="603">
        <f t="shared" si="333"/>
        <v>6</v>
      </c>
      <c r="R2254" s="604" t="str">
        <f t="shared" si="334"/>
        <v>Gastos_Gerais</v>
      </c>
      <c r="S2254" s="605" t="s">
        <v>310</v>
      </c>
      <c r="T2254" s="605" t="s">
        <v>310</v>
      </c>
    </row>
    <row r="2255" spans="1:20" s="88" customFormat="1" ht="48" x14ac:dyDescent="0.2">
      <c r="A2255" s="510">
        <f>IF(B2255="","",COUNT('Diário 1º PA'!$A$4:$A$2635)+ROW()-3)</f>
        <v>3988</v>
      </c>
      <c r="B2255" s="414">
        <v>44733</v>
      </c>
      <c r="C2255" s="431">
        <v>44713</v>
      </c>
      <c r="D2255" s="415" t="s">
        <v>271</v>
      </c>
      <c r="E2255" s="415" t="s">
        <v>71</v>
      </c>
      <c r="F2255" s="425">
        <v>11</v>
      </c>
      <c r="G2255" s="427" t="s">
        <v>4916</v>
      </c>
      <c r="H2255" s="419" t="s">
        <v>755</v>
      </c>
      <c r="I2255" s="427" t="s">
        <v>881</v>
      </c>
      <c r="J2255" s="415" t="s">
        <v>882</v>
      </c>
      <c r="K2255" s="415" t="s">
        <v>883</v>
      </c>
      <c r="L2255" s="415" t="s">
        <v>798</v>
      </c>
      <c r="M2255" s="415" t="s">
        <v>310</v>
      </c>
      <c r="N2255" s="414">
        <v>44733</v>
      </c>
      <c r="O2255" s="414" t="s">
        <v>400</v>
      </c>
      <c r="P2255" s="603">
        <f t="shared" si="332"/>
        <v>6</v>
      </c>
      <c r="Q2255" s="603">
        <f t="shared" si="333"/>
        <v>6</v>
      </c>
      <c r="R2255" s="604" t="str">
        <f t="shared" si="334"/>
        <v>Gastos_Gerais</v>
      </c>
      <c r="S2255" s="605" t="s">
        <v>310</v>
      </c>
      <c r="T2255" s="605" t="s">
        <v>310</v>
      </c>
    </row>
    <row r="2256" spans="1:20" s="88" customFormat="1" ht="48" customHeight="1" x14ac:dyDescent="0.2">
      <c r="A2256" s="510">
        <f>IF(B2256="","",COUNT('Diário 1º PA'!$A$4:$A$2635)+ROW()-3)</f>
        <v>3989</v>
      </c>
      <c r="B2256" s="414">
        <v>44733</v>
      </c>
      <c r="C2256" s="431">
        <v>44713</v>
      </c>
      <c r="D2256" s="415" t="s">
        <v>271</v>
      </c>
      <c r="E2256" s="415" t="s">
        <v>71</v>
      </c>
      <c r="F2256" s="425">
        <v>11</v>
      </c>
      <c r="G2256" s="427" t="s">
        <v>4884</v>
      </c>
      <c r="H2256" s="415" t="s">
        <v>751</v>
      </c>
      <c r="I2256" s="427" t="s">
        <v>881</v>
      </c>
      <c r="J2256" s="415" t="s">
        <v>882</v>
      </c>
      <c r="K2256" s="415" t="s">
        <v>883</v>
      </c>
      <c r="L2256" s="415" t="s">
        <v>798</v>
      </c>
      <c r="M2256" s="415" t="s">
        <v>310</v>
      </c>
      <c r="N2256" s="414">
        <v>44733</v>
      </c>
      <c r="O2256" s="414" t="s">
        <v>400</v>
      </c>
      <c r="P2256" s="603">
        <f t="shared" si="332"/>
        <v>6</v>
      </c>
      <c r="Q2256" s="603">
        <f t="shared" si="333"/>
        <v>6</v>
      </c>
      <c r="R2256" s="604" t="str">
        <f t="shared" si="334"/>
        <v>Gastos_Gerais</v>
      </c>
      <c r="S2256" s="605" t="s">
        <v>310</v>
      </c>
      <c r="T2256" s="605" t="s">
        <v>310</v>
      </c>
    </row>
    <row r="2257" spans="1:20" s="88" customFormat="1" ht="72" x14ac:dyDescent="0.2">
      <c r="A2257" s="510">
        <f>IF(B2257="","",COUNT('Diário 1º PA'!$A$4:$A$2635)+ROW()-3)</f>
        <v>3990</v>
      </c>
      <c r="B2257" s="414">
        <v>44733</v>
      </c>
      <c r="C2257" s="431">
        <v>44713</v>
      </c>
      <c r="D2257" s="415" t="s">
        <v>468</v>
      </c>
      <c r="E2257" s="415" t="s">
        <v>468</v>
      </c>
      <c r="F2257" s="425">
        <v>1261</v>
      </c>
      <c r="G2257" s="427" t="s">
        <v>4464</v>
      </c>
      <c r="H2257" s="415" t="s">
        <v>468</v>
      </c>
      <c r="I2257" s="427" t="s">
        <v>3675</v>
      </c>
      <c r="J2257" s="415" t="s">
        <v>2843</v>
      </c>
      <c r="K2257" s="415" t="s">
        <v>830</v>
      </c>
      <c r="L2257" s="415" t="s">
        <v>32</v>
      </c>
      <c r="M2257" s="415">
        <v>2022680</v>
      </c>
      <c r="N2257" s="414">
        <v>44726</v>
      </c>
      <c r="O2257" s="414" t="s">
        <v>402</v>
      </c>
      <c r="P2257" s="603">
        <f t="shared" ref="P2257:P2292" si="335">IF(B2257=0,0,IF(YEAR(B2257)=$Q$1,MONTH(B2257)-$P$1+1,(YEAR(B2257)-$Q$1)*12-$P$1+1+MONTH(B2257)))</f>
        <v>6</v>
      </c>
      <c r="Q2257" s="603">
        <f t="shared" ref="Q2257:Q2292" si="336">IF(C2257=0,0,IF(YEAR(C2257)=$Q$1,MONTH(C2257)-$P$1+1,(YEAR(C2257)-$Q$1)*12-$P$1+1+MONTH(C2257)))</f>
        <v>6</v>
      </c>
      <c r="R2257" s="604" t="str">
        <f t="shared" ref="R2257:R2292" si="337">SUBSTITUTE(D2257," ","_")</f>
        <v>Gastos_custeados_por_captação</v>
      </c>
      <c r="S2257" s="605" t="s">
        <v>998</v>
      </c>
      <c r="T2257" s="605">
        <v>3848</v>
      </c>
    </row>
    <row r="2258" spans="1:20" s="88" customFormat="1" ht="72" x14ac:dyDescent="0.2">
      <c r="A2258" s="510">
        <f>IF(B2258="","",COUNT('Diário 1º PA'!$A$4:$A$2635)+ROW()-3)</f>
        <v>3991</v>
      </c>
      <c r="B2258" s="414">
        <v>44733</v>
      </c>
      <c r="C2258" s="431">
        <v>44713</v>
      </c>
      <c r="D2258" s="415" t="s">
        <v>468</v>
      </c>
      <c r="E2258" s="415" t="s">
        <v>468</v>
      </c>
      <c r="F2258" s="425">
        <v>11</v>
      </c>
      <c r="G2258" s="427" t="s">
        <v>4799</v>
      </c>
      <c r="H2258" s="415" t="s">
        <v>468</v>
      </c>
      <c r="I2258" s="427" t="s">
        <v>881</v>
      </c>
      <c r="J2258" s="415" t="s">
        <v>882</v>
      </c>
      <c r="K2258" s="415" t="s">
        <v>883</v>
      </c>
      <c r="L2258" s="415" t="s">
        <v>798</v>
      </c>
      <c r="M2258" s="415" t="s">
        <v>310</v>
      </c>
      <c r="N2258" s="414">
        <v>44733</v>
      </c>
      <c r="O2258" s="414" t="s">
        <v>402</v>
      </c>
      <c r="P2258" s="603">
        <f t="shared" si="335"/>
        <v>6</v>
      </c>
      <c r="Q2258" s="603">
        <f t="shared" si="336"/>
        <v>6</v>
      </c>
      <c r="R2258" s="604" t="str">
        <f t="shared" si="337"/>
        <v>Gastos_custeados_por_captação</v>
      </c>
      <c r="S2258" s="605" t="s">
        <v>1000</v>
      </c>
      <c r="T2258" s="605">
        <v>3094</v>
      </c>
    </row>
    <row r="2259" spans="1:20" s="88" customFormat="1" ht="36" x14ac:dyDescent="0.2">
      <c r="A2259" s="510">
        <f>IF(B2259="","",COUNT('Diário 1º PA'!$A$4:$A$2635)+ROW()-3)</f>
        <v>3992</v>
      </c>
      <c r="B2259" s="414">
        <v>44733</v>
      </c>
      <c r="C2259" s="431">
        <v>44682</v>
      </c>
      <c r="D2259" s="415" t="s">
        <v>468</v>
      </c>
      <c r="E2259" s="415" t="s">
        <v>468</v>
      </c>
      <c r="F2259" s="425">
        <v>6292.65</v>
      </c>
      <c r="G2259" s="427" t="s">
        <v>2330</v>
      </c>
      <c r="H2259" s="415" t="s">
        <v>468</v>
      </c>
      <c r="I2259" s="473" t="s">
        <v>4125</v>
      </c>
      <c r="J2259" s="415" t="s">
        <v>2329</v>
      </c>
      <c r="K2259" s="415" t="s">
        <v>830</v>
      </c>
      <c r="L2259" s="415" t="s">
        <v>807</v>
      </c>
      <c r="M2259" s="415" t="s">
        <v>1711</v>
      </c>
      <c r="N2259" s="414">
        <v>44732</v>
      </c>
      <c r="O2259" s="414" t="s">
        <v>408</v>
      </c>
      <c r="P2259" s="603">
        <f t="shared" ref="P2259:Q2262" si="338">IF(B2259=0,0,IF(YEAR(B2259)=$Q$1,MONTH(B2259)-$P$1+1,(YEAR(B2259)-$Q$1)*12-$P$1+1+MONTH(B2259)))</f>
        <v>6</v>
      </c>
      <c r="Q2259" s="603">
        <f t="shared" si="338"/>
        <v>5</v>
      </c>
      <c r="R2259" s="604" t="str">
        <f>SUBSTITUTE(D2259," ","_")</f>
        <v>Gastos_custeados_por_captação</v>
      </c>
      <c r="S2259" s="605" t="s">
        <v>1000</v>
      </c>
      <c r="T2259" s="605">
        <v>3093</v>
      </c>
    </row>
    <row r="2260" spans="1:20" s="88" customFormat="1" ht="36" x14ac:dyDescent="0.2">
      <c r="A2260" s="510">
        <f>IF(B2260="","",COUNT('Diário 1º PA'!$A$4:$A$2635)+ROW()-3)</f>
        <v>3993</v>
      </c>
      <c r="B2260" s="414">
        <v>44733</v>
      </c>
      <c r="C2260" s="431">
        <v>44682</v>
      </c>
      <c r="D2260" s="415" t="s">
        <v>468</v>
      </c>
      <c r="E2260" s="415" t="s">
        <v>468</v>
      </c>
      <c r="F2260" s="425">
        <v>587.94000000000005</v>
      </c>
      <c r="G2260" s="427" t="s">
        <v>2268</v>
      </c>
      <c r="H2260" s="415" t="s">
        <v>468</v>
      </c>
      <c r="I2260" s="473" t="s">
        <v>4123</v>
      </c>
      <c r="J2260" s="415" t="s">
        <v>2269</v>
      </c>
      <c r="K2260" s="415" t="s">
        <v>830</v>
      </c>
      <c r="L2260" s="415" t="s">
        <v>807</v>
      </c>
      <c r="M2260" s="415" t="s">
        <v>6716</v>
      </c>
      <c r="N2260" s="414">
        <v>44732</v>
      </c>
      <c r="O2260" s="414" t="s">
        <v>408</v>
      </c>
      <c r="P2260" s="603">
        <f t="shared" si="338"/>
        <v>6</v>
      </c>
      <c r="Q2260" s="603">
        <f t="shared" si="338"/>
        <v>5</v>
      </c>
      <c r="R2260" s="604" t="str">
        <f>SUBSTITUTE(D2260," ","_")</f>
        <v>Gastos_custeados_por_captação</v>
      </c>
      <c r="S2260" s="605" t="s">
        <v>1000</v>
      </c>
      <c r="T2260" s="605">
        <v>3697</v>
      </c>
    </row>
    <row r="2261" spans="1:20" s="88" customFormat="1" ht="36" x14ac:dyDescent="0.2">
      <c r="A2261" s="510">
        <f>IF(B2261="","",COUNT('Diário 1º PA'!$A$4:$A$2635)+ROW()-3)</f>
        <v>3994</v>
      </c>
      <c r="B2261" s="414">
        <v>44733</v>
      </c>
      <c r="C2261" s="431">
        <v>44682</v>
      </c>
      <c r="D2261" s="415" t="s">
        <v>468</v>
      </c>
      <c r="E2261" s="415" t="s">
        <v>468</v>
      </c>
      <c r="F2261" s="425">
        <v>8819.1</v>
      </c>
      <c r="G2261" s="427" t="s">
        <v>4102</v>
      </c>
      <c r="H2261" s="415" t="s">
        <v>468</v>
      </c>
      <c r="I2261" s="473" t="s">
        <v>5619</v>
      </c>
      <c r="J2261" s="415" t="s">
        <v>4103</v>
      </c>
      <c r="K2261" s="415" t="s">
        <v>830</v>
      </c>
      <c r="L2261" s="415" t="s">
        <v>807</v>
      </c>
      <c r="M2261" s="415" t="s">
        <v>1608</v>
      </c>
      <c r="N2261" s="414">
        <v>44725</v>
      </c>
      <c r="O2261" s="414" t="s">
        <v>408</v>
      </c>
      <c r="P2261" s="603">
        <f t="shared" si="338"/>
        <v>6</v>
      </c>
      <c r="Q2261" s="603">
        <f t="shared" si="338"/>
        <v>5</v>
      </c>
      <c r="R2261" s="604" t="str">
        <f>SUBSTITUTE(D2261," ","_")</f>
        <v>Gastos_custeados_por_captação</v>
      </c>
      <c r="S2261" s="605" t="s">
        <v>310</v>
      </c>
      <c r="T2261" s="605" t="s">
        <v>310</v>
      </c>
    </row>
    <row r="2262" spans="1:20" s="88" customFormat="1" ht="36" x14ac:dyDescent="0.2">
      <c r="A2262" s="510">
        <f>IF(B2262="","",COUNT('Diário 1º PA'!$A$4:$A$2635)+ROW()-3)</f>
        <v>3995</v>
      </c>
      <c r="B2262" s="414">
        <v>44733</v>
      </c>
      <c r="C2262" s="431">
        <v>44713</v>
      </c>
      <c r="D2262" s="415" t="s">
        <v>468</v>
      </c>
      <c r="E2262" s="415" t="s">
        <v>468</v>
      </c>
      <c r="F2262" s="425">
        <v>11</v>
      </c>
      <c r="G2262" s="427" t="s">
        <v>4799</v>
      </c>
      <c r="H2262" s="415" t="s">
        <v>468</v>
      </c>
      <c r="I2262" s="473" t="s">
        <v>881</v>
      </c>
      <c r="J2262" s="415" t="s">
        <v>882</v>
      </c>
      <c r="K2262" s="415" t="s">
        <v>883</v>
      </c>
      <c r="L2262" s="415" t="s">
        <v>798</v>
      </c>
      <c r="M2262" s="415" t="s">
        <v>310</v>
      </c>
      <c r="N2262" s="414">
        <v>44733</v>
      </c>
      <c r="O2262" s="414" t="s">
        <v>408</v>
      </c>
      <c r="P2262" s="603">
        <f t="shared" si="338"/>
        <v>6</v>
      </c>
      <c r="Q2262" s="603">
        <f t="shared" si="338"/>
        <v>6</v>
      </c>
      <c r="R2262" s="604" t="str">
        <f>SUBSTITUTE(D2262," ","_")</f>
        <v>Gastos_custeados_por_captação</v>
      </c>
      <c r="S2262" s="605" t="s">
        <v>310</v>
      </c>
      <c r="T2262" s="605" t="s">
        <v>310</v>
      </c>
    </row>
    <row r="2263" spans="1:20" s="88" customFormat="1" ht="36" x14ac:dyDescent="0.2">
      <c r="A2263" s="510">
        <f>IF(B2263="","",COUNT('Diário 1º PA'!$A$4:$A$2635)+ROW()-3)</f>
        <v>3996</v>
      </c>
      <c r="B2263" s="414">
        <v>44734</v>
      </c>
      <c r="C2263" s="431">
        <v>44652</v>
      </c>
      <c r="D2263" s="415" t="s">
        <v>271</v>
      </c>
      <c r="E2263" s="415" t="s">
        <v>462</v>
      </c>
      <c r="F2263" s="425">
        <v>1008</v>
      </c>
      <c r="G2263" s="427" t="s">
        <v>2839</v>
      </c>
      <c r="H2263" s="415" t="s">
        <v>752</v>
      </c>
      <c r="I2263" s="427" t="s">
        <v>4919</v>
      </c>
      <c r="J2263" s="415" t="s">
        <v>2838</v>
      </c>
      <c r="K2263" s="415" t="s">
        <v>806</v>
      </c>
      <c r="L2263" s="415" t="s">
        <v>839</v>
      </c>
      <c r="M2263" s="415">
        <v>1845</v>
      </c>
      <c r="N2263" s="414">
        <v>44732</v>
      </c>
      <c r="O2263" s="414" t="s">
        <v>400</v>
      </c>
      <c r="P2263" s="603">
        <f t="shared" si="335"/>
        <v>6</v>
      </c>
      <c r="Q2263" s="603">
        <f t="shared" si="336"/>
        <v>4</v>
      </c>
      <c r="R2263" s="604" t="str">
        <f t="shared" si="337"/>
        <v>Gastos_Gerais</v>
      </c>
      <c r="S2263" s="605" t="s">
        <v>998</v>
      </c>
      <c r="T2263" s="605">
        <v>3281</v>
      </c>
    </row>
    <row r="2264" spans="1:20" s="88" customFormat="1" ht="36" x14ac:dyDescent="0.2">
      <c r="A2264" s="510">
        <f>IF(B2264="","",COUNT('Diário 1º PA'!$A$4:$A$2635)+ROW()-3)</f>
        <v>3997</v>
      </c>
      <c r="B2264" s="414">
        <v>44734</v>
      </c>
      <c r="C2264" s="431">
        <v>44682</v>
      </c>
      <c r="D2264" s="415" t="s">
        <v>271</v>
      </c>
      <c r="E2264" s="415" t="s">
        <v>466</v>
      </c>
      <c r="F2264" s="425">
        <v>882</v>
      </c>
      <c r="G2264" s="427" t="s">
        <v>4255</v>
      </c>
      <c r="H2264" s="419" t="s">
        <v>758</v>
      </c>
      <c r="I2264" s="427" t="s">
        <v>4922</v>
      </c>
      <c r="J2264" s="415" t="s">
        <v>4256</v>
      </c>
      <c r="K2264" s="415" t="s">
        <v>806</v>
      </c>
      <c r="L2264" s="415" t="s">
        <v>839</v>
      </c>
      <c r="M2264" s="415">
        <v>1846</v>
      </c>
      <c r="N2264" s="414">
        <v>44732</v>
      </c>
      <c r="O2264" s="414" t="s">
        <v>400</v>
      </c>
      <c r="P2264" s="603">
        <f t="shared" si="335"/>
        <v>6</v>
      </c>
      <c r="Q2264" s="603">
        <f t="shared" si="336"/>
        <v>5</v>
      </c>
      <c r="R2264" s="604" t="str">
        <f t="shared" si="337"/>
        <v>Gastos_Gerais</v>
      </c>
      <c r="S2264" s="605" t="s">
        <v>1000</v>
      </c>
      <c r="T2264" s="605">
        <v>3682</v>
      </c>
    </row>
    <row r="2265" spans="1:20" s="88" customFormat="1" ht="24" x14ac:dyDescent="0.2">
      <c r="A2265" s="510">
        <f>IF(B2265="","",COUNT('Diário 1º PA'!$A$4:$A$2635)+ROW()-3)</f>
        <v>3998</v>
      </c>
      <c r="B2265" s="414">
        <v>44734</v>
      </c>
      <c r="C2265" s="431">
        <v>44713</v>
      </c>
      <c r="D2265" s="415" t="s">
        <v>271</v>
      </c>
      <c r="E2265" s="415" t="s">
        <v>456</v>
      </c>
      <c r="F2265" s="425">
        <v>1020</v>
      </c>
      <c r="G2265" s="427" t="s">
        <v>4452</v>
      </c>
      <c r="H2265" s="419" t="s">
        <v>753</v>
      </c>
      <c r="I2265" s="427" t="s">
        <v>4925</v>
      </c>
      <c r="J2265" s="415" t="s">
        <v>4453</v>
      </c>
      <c r="K2265" s="415" t="s">
        <v>830</v>
      </c>
      <c r="L2265" s="415" t="s">
        <v>807</v>
      </c>
      <c r="M2265" s="415">
        <v>246</v>
      </c>
      <c r="N2265" s="414">
        <v>44732</v>
      </c>
      <c r="O2265" s="414" t="s">
        <v>400</v>
      </c>
      <c r="P2265" s="603">
        <f t="shared" si="335"/>
        <v>6</v>
      </c>
      <c r="Q2265" s="603">
        <f t="shared" si="336"/>
        <v>6</v>
      </c>
      <c r="R2265" s="604" t="str">
        <f t="shared" si="337"/>
        <v>Gastos_Gerais</v>
      </c>
      <c r="S2265" s="605" t="s">
        <v>998</v>
      </c>
      <c r="T2265" s="605">
        <v>3758</v>
      </c>
    </row>
    <row r="2266" spans="1:20" s="88" customFormat="1" ht="24" x14ac:dyDescent="0.2">
      <c r="A2266" s="510">
        <f>IF(B2266="","",COUNT('Diário 1º PA'!$A$4:$A$2635)+ROW()-3)</f>
        <v>3999</v>
      </c>
      <c r="B2266" s="414">
        <v>44734</v>
      </c>
      <c r="C2266" s="431">
        <v>44713</v>
      </c>
      <c r="D2266" s="415" t="s">
        <v>271</v>
      </c>
      <c r="E2266" s="415" t="s">
        <v>84</v>
      </c>
      <c r="F2266" s="425">
        <v>146.54</v>
      </c>
      <c r="G2266" s="437" t="s">
        <v>1479</v>
      </c>
      <c r="H2266" s="434" t="s">
        <v>750</v>
      </c>
      <c r="I2266" s="437" t="s">
        <v>766</v>
      </c>
      <c r="J2266" s="415" t="s">
        <v>1019</v>
      </c>
      <c r="K2266" s="418" t="s">
        <v>1392</v>
      </c>
      <c r="L2266" s="399" t="s">
        <v>1372</v>
      </c>
      <c r="M2266" s="544" t="s">
        <v>4926</v>
      </c>
      <c r="N2266" s="414">
        <v>44724</v>
      </c>
      <c r="O2266" s="414" t="s">
        <v>400</v>
      </c>
      <c r="P2266" s="603">
        <f t="shared" si="335"/>
        <v>6</v>
      </c>
      <c r="Q2266" s="603">
        <f t="shared" si="336"/>
        <v>6</v>
      </c>
      <c r="R2266" s="607" t="str">
        <f t="shared" si="337"/>
        <v>Gastos_Gerais</v>
      </c>
      <c r="S2266" s="605" t="s">
        <v>310</v>
      </c>
      <c r="T2266" s="605" t="s">
        <v>310</v>
      </c>
    </row>
    <row r="2267" spans="1:20" s="88" customFormat="1" ht="48" x14ac:dyDescent="0.2">
      <c r="A2267" s="510">
        <f>IF(B2267="","",COUNT('Diário 1º PA'!$A$4:$A$2635)+ROW()-3)</f>
        <v>4000</v>
      </c>
      <c r="B2267" s="414">
        <v>44734</v>
      </c>
      <c r="C2267" s="431">
        <v>44682</v>
      </c>
      <c r="D2267" s="415" t="s">
        <v>271</v>
      </c>
      <c r="E2267" s="415" t="s">
        <v>462</v>
      </c>
      <c r="F2267" s="425">
        <v>674.24</v>
      </c>
      <c r="G2267" s="427" t="s">
        <v>4284</v>
      </c>
      <c r="H2267" s="419" t="s">
        <v>790</v>
      </c>
      <c r="I2267" s="427" t="s">
        <v>2231</v>
      </c>
      <c r="J2267" s="415" t="s">
        <v>1093</v>
      </c>
      <c r="K2267" s="415" t="s">
        <v>830</v>
      </c>
      <c r="L2267" s="415" t="s">
        <v>807</v>
      </c>
      <c r="M2267" s="415" t="s">
        <v>1724</v>
      </c>
      <c r="N2267" s="414">
        <v>44733</v>
      </c>
      <c r="O2267" s="414" t="s">
        <v>400</v>
      </c>
      <c r="P2267" s="603">
        <f t="shared" si="335"/>
        <v>6</v>
      </c>
      <c r="Q2267" s="603">
        <f t="shared" si="336"/>
        <v>5</v>
      </c>
      <c r="R2267" s="604" t="str">
        <f t="shared" si="337"/>
        <v>Gastos_Gerais</v>
      </c>
      <c r="S2267" s="605" t="s">
        <v>998</v>
      </c>
      <c r="T2267" s="605">
        <v>3811</v>
      </c>
    </row>
    <row r="2268" spans="1:20" s="88" customFormat="1" ht="36" x14ac:dyDescent="0.2">
      <c r="A2268" s="510">
        <f>IF(B2268="","",COUNT('Diário 1º PA'!$A$4:$A$2635)+ROW()-3)</f>
        <v>4001</v>
      </c>
      <c r="B2268" s="414">
        <v>44734</v>
      </c>
      <c r="C2268" s="431">
        <v>44713</v>
      </c>
      <c r="D2268" s="415" t="s">
        <v>271</v>
      </c>
      <c r="E2268" s="415" t="s">
        <v>297</v>
      </c>
      <c r="F2268" s="425">
        <v>112</v>
      </c>
      <c r="G2268" s="427" t="s">
        <v>4928</v>
      </c>
      <c r="H2268" s="419" t="s">
        <v>753</v>
      </c>
      <c r="I2268" s="427" t="s">
        <v>1530</v>
      </c>
      <c r="J2268" s="415" t="s">
        <v>1254</v>
      </c>
      <c r="K2268" s="415" t="s">
        <v>812</v>
      </c>
      <c r="L2268" s="415" t="s">
        <v>807</v>
      </c>
      <c r="M2268" s="415" t="s">
        <v>4929</v>
      </c>
      <c r="N2268" s="414">
        <v>44725</v>
      </c>
      <c r="O2268" s="414" t="s">
        <v>400</v>
      </c>
      <c r="P2268" s="603">
        <f t="shared" si="335"/>
        <v>6</v>
      </c>
      <c r="Q2268" s="603">
        <f t="shared" si="336"/>
        <v>6</v>
      </c>
      <c r="R2268" s="604" t="str">
        <f t="shared" si="337"/>
        <v>Gastos_Gerais</v>
      </c>
      <c r="S2268" s="605" t="s">
        <v>999</v>
      </c>
      <c r="T2268" s="605">
        <v>3899</v>
      </c>
    </row>
    <row r="2269" spans="1:20" s="88" customFormat="1" ht="60" x14ac:dyDescent="0.2">
      <c r="A2269" s="510">
        <f>IF(B2269="","",COUNT('Diário 1º PA'!$A$4:$A$2635)+ROW()-3)</f>
        <v>4002</v>
      </c>
      <c r="B2269" s="414">
        <v>44734</v>
      </c>
      <c r="C2269" s="431">
        <v>44652</v>
      </c>
      <c r="D2269" s="415" t="s">
        <v>271</v>
      </c>
      <c r="E2269" s="415" t="s">
        <v>453</v>
      </c>
      <c r="F2269" s="425">
        <v>2316.1799999999998</v>
      </c>
      <c r="G2269" s="427" t="s">
        <v>1538</v>
      </c>
      <c r="H2269" s="419" t="s">
        <v>757</v>
      </c>
      <c r="I2269" s="427" t="s">
        <v>5439</v>
      </c>
      <c r="J2269" s="415" t="s">
        <v>1539</v>
      </c>
      <c r="K2269" s="415" t="s">
        <v>830</v>
      </c>
      <c r="L2269" s="415" t="s">
        <v>839</v>
      </c>
      <c r="M2269" s="415">
        <v>1847</v>
      </c>
      <c r="N2269" s="414">
        <v>44734</v>
      </c>
      <c r="O2269" s="414" t="s">
        <v>400</v>
      </c>
      <c r="P2269" s="603">
        <f t="shared" si="335"/>
        <v>6</v>
      </c>
      <c r="Q2269" s="603">
        <f t="shared" si="336"/>
        <v>4</v>
      </c>
      <c r="R2269" s="604" t="str">
        <f t="shared" si="337"/>
        <v>Gastos_Gerais</v>
      </c>
      <c r="S2269" s="605" t="s">
        <v>998</v>
      </c>
      <c r="T2269" s="605">
        <v>2836</v>
      </c>
    </row>
    <row r="2270" spans="1:20" s="88" customFormat="1" ht="48" x14ac:dyDescent="0.2">
      <c r="A2270" s="510">
        <f>IF(B2270="","",COUNT('Diário 1º PA'!$A$4:$A$2635)+ROW()-3)</f>
        <v>4003</v>
      </c>
      <c r="B2270" s="414">
        <v>44734</v>
      </c>
      <c r="C2270" s="431">
        <v>44713</v>
      </c>
      <c r="D2270" s="415" t="s">
        <v>271</v>
      </c>
      <c r="E2270" s="415" t="s">
        <v>297</v>
      </c>
      <c r="F2270" s="425">
        <v>697.5</v>
      </c>
      <c r="G2270" s="427" t="s">
        <v>4732</v>
      </c>
      <c r="H2270" s="419" t="s">
        <v>751</v>
      </c>
      <c r="I2270" s="427" t="s">
        <v>4933</v>
      </c>
      <c r="J2270" s="415" t="s">
        <v>1119</v>
      </c>
      <c r="K2270" s="415" t="s">
        <v>830</v>
      </c>
      <c r="L2270" s="415" t="s">
        <v>807</v>
      </c>
      <c r="M2270" s="415">
        <v>390</v>
      </c>
      <c r="N2270" s="414">
        <v>44732</v>
      </c>
      <c r="O2270" s="414" t="s">
        <v>400</v>
      </c>
      <c r="P2270" s="603">
        <f t="shared" si="335"/>
        <v>6</v>
      </c>
      <c r="Q2270" s="603">
        <f t="shared" si="336"/>
        <v>6</v>
      </c>
      <c r="R2270" s="604" t="str">
        <f t="shared" si="337"/>
        <v>Gastos_Gerais</v>
      </c>
      <c r="S2270" s="605" t="s">
        <v>999</v>
      </c>
      <c r="T2270" s="605">
        <v>3911</v>
      </c>
    </row>
    <row r="2271" spans="1:20" s="88" customFormat="1" ht="48" x14ac:dyDescent="0.2">
      <c r="A2271" s="510">
        <f>IF(B2271="","",COUNT('Diário 1º PA'!$A$4:$A$2635)+ROW()-3)</f>
        <v>4004</v>
      </c>
      <c r="B2271" s="414">
        <v>44734</v>
      </c>
      <c r="C2271" s="431">
        <v>44713</v>
      </c>
      <c r="D2271" s="415" t="s">
        <v>271</v>
      </c>
      <c r="E2271" s="415" t="s">
        <v>71</v>
      </c>
      <c r="F2271" s="425">
        <v>11</v>
      </c>
      <c r="G2271" s="427" t="s">
        <v>4936</v>
      </c>
      <c r="H2271" s="419" t="s">
        <v>753</v>
      </c>
      <c r="I2271" s="427" t="s">
        <v>881</v>
      </c>
      <c r="J2271" s="415" t="s">
        <v>882</v>
      </c>
      <c r="K2271" s="415" t="s">
        <v>883</v>
      </c>
      <c r="L2271" s="415" t="s">
        <v>798</v>
      </c>
      <c r="M2271" s="415" t="s">
        <v>310</v>
      </c>
      <c r="N2271" s="414">
        <v>44734</v>
      </c>
      <c r="O2271" s="414" t="s">
        <v>400</v>
      </c>
      <c r="P2271" s="603">
        <f t="shared" si="335"/>
        <v>6</v>
      </c>
      <c r="Q2271" s="603">
        <f t="shared" si="336"/>
        <v>6</v>
      </c>
      <c r="R2271" s="604" t="str">
        <f t="shared" si="337"/>
        <v>Gastos_Gerais</v>
      </c>
      <c r="S2271" s="605" t="s">
        <v>310</v>
      </c>
      <c r="T2271" s="605" t="s">
        <v>310</v>
      </c>
    </row>
    <row r="2272" spans="1:20" s="88" customFormat="1" ht="48" x14ac:dyDescent="0.2">
      <c r="A2272" s="510">
        <f>IF(B2272="","",COUNT('Diário 1º PA'!$A$4:$A$2635)+ROW()-3)</f>
        <v>4005</v>
      </c>
      <c r="B2272" s="414">
        <v>44734</v>
      </c>
      <c r="C2272" s="431">
        <v>44713</v>
      </c>
      <c r="D2272" s="415" t="s">
        <v>271</v>
      </c>
      <c r="E2272" s="415" t="s">
        <v>71</v>
      </c>
      <c r="F2272" s="425">
        <v>11</v>
      </c>
      <c r="G2272" s="427" t="s">
        <v>4934</v>
      </c>
      <c r="H2272" s="419" t="s">
        <v>790</v>
      </c>
      <c r="I2272" s="427" t="s">
        <v>881</v>
      </c>
      <c r="J2272" s="415" t="s">
        <v>882</v>
      </c>
      <c r="K2272" s="415" t="s">
        <v>883</v>
      </c>
      <c r="L2272" s="415" t="s">
        <v>798</v>
      </c>
      <c r="M2272" s="415" t="s">
        <v>310</v>
      </c>
      <c r="N2272" s="414">
        <v>44734</v>
      </c>
      <c r="O2272" s="414" t="s">
        <v>400</v>
      </c>
      <c r="P2272" s="603">
        <f t="shared" si="335"/>
        <v>6</v>
      </c>
      <c r="Q2272" s="603">
        <f t="shared" si="336"/>
        <v>6</v>
      </c>
      <c r="R2272" s="604" t="str">
        <f t="shared" si="337"/>
        <v>Gastos_Gerais</v>
      </c>
      <c r="S2272" s="605" t="s">
        <v>310</v>
      </c>
      <c r="T2272" s="605" t="s">
        <v>310</v>
      </c>
    </row>
    <row r="2273" spans="1:20" s="88" customFormat="1" ht="36" x14ac:dyDescent="0.2">
      <c r="A2273" s="510">
        <f>IF(B2273="","",COUNT('Diário 1º PA'!$A$4:$A$2635)+ROW()-3)</f>
        <v>4006</v>
      </c>
      <c r="B2273" s="414">
        <v>44734</v>
      </c>
      <c r="C2273" s="431">
        <v>44713</v>
      </c>
      <c r="D2273" s="415" t="s">
        <v>271</v>
      </c>
      <c r="E2273" s="415" t="s">
        <v>71</v>
      </c>
      <c r="F2273" s="425">
        <v>11</v>
      </c>
      <c r="G2273" s="427" t="s">
        <v>4935</v>
      </c>
      <c r="H2273" s="419" t="s">
        <v>752</v>
      </c>
      <c r="I2273" s="427" t="s">
        <v>881</v>
      </c>
      <c r="J2273" s="415" t="s">
        <v>882</v>
      </c>
      <c r="K2273" s="415" t="s">
        <v>883</v>
      </c>
      <c r="L2273" s="415" t="s">
        <v>798</v>
      </c>
      <c r="M2273" s="415" t="s">
        <v>310</v>
      </c>
      <c r="N2273" s="414">
        <v>44734</v>
      </c>
      <c r="O2273" s="414" t="s">
        <v>400</v>
      </c>
      <c r="P2273" s="603">
        <f t="shared" si="335"/>
        <v>6</v>
      </c>
      <c r="Q2273" s="603">
        <f t="shared" si="336"/>
        <v>6</v>
      </c>
      <c r="R2273" s="604" t="str">
        <f t="shared" si="337"/>
        <v>Gastos_Gerais</v>
      </c>
      <c r="S2273" s="605" t="s">
        <v>310</v>
      </c>
      <c r="T2273" s="605" t="s">
        <v>310</v>
      </c>
    </row>
    <row r="2274" spans="1:20" s="88" customFormat="1" ht="48" x14ac:dyDescent="0.2">
      <c r="A2274" s="510">
        <f>IF(B2274="","",COUNT('Diário 1º PA'!$A$4:$A$2635)+ROW()-3)</f>
        <v>4007</v>
      </c>
      <c r="B2274" s="414">
        <v>44734</v>
      </c>
      <c r="C2274" s="431">
        <v>44713</v>
      </c>
      <c r="D2274" s="415" t="s">
        <v>271</v>
      </c>
      <c r="E2274" s="415" t="s">
        <v>71</v>
      </c>
      <c r="F2274" s="425">
        <v>11</v>
      </c>
      <c r="G2274" s="427" t="s">
        <v>5445</v>
      </c>
      <c r="H2274" s="419" t="s">
        <v>757</v>
      </c>
      <c r="I2274" s="427" t="s">
        <v>881</v>
      </c>
      <c r="J2274" s="415" t="s">
        <v>882</v>
      </c>
      <c r="K2274" s="415" t="s">
        <v>883</v>
      </c>
      <c r="L2274" s="415" t="s">
        <v>798</v>
      </c>
      <c r="M2274" s="415" t="s">
        <v>310</v>
      </c>
      <c r="N2274" s="414">
        <v>44734</v>
      </c>
      <c r="O2274" s="414" t="s">
        <v>400</v>
      </c>
      <c r="P2274" s="603">
        <f t="shared" si="335"/>
        <v>6</v>
      </c>
      <c r="Q2274" s="603">
        <f t="shared" si="336"/>
        <v>6</v>
      </c>
      <c r="R2274" s="604" t="str">
        <f t="shared" si="337"/>
        <v>Gastos_Gerais</v>
      </c>
      <c r="S2274" s="605" t="s">
        <v>310</v>
      </c>
      <c r="T2274" s="605" t="s">
        <v>310</v>
      </c>
    </row>
    <row r="2275" spans="1:20" s="88" customFormat="1" ht="48" x14ac:dyDescent="0.2">
      <c r="A2275" s="510">
        <f>IF(B2275="","",COUNT('Diário 1º PA'!$A$4:$A$2635)+ROW()-3)</f>
        <v>4008</v>
      </c>
      <c r="B2275" s="414">
        <v>44734</v>
      </c>
      <c r="C2275" s="431">
        <v>44713</v>
      </c>
      <c r="D2275" s="415" t="s">
        <v>271</v>
      </c>
      <c r="E2275" s="415" t="s">
        <v>71</v>
      </c>
      <c r="F2275" s="425">
        <v>11</v>
      </c>
      <c r="G2275" s="427" t="s">
        <v>4937</v>
      </c>
      <c r="H2275" s="419" t="s">
        <v>751</v>
      </c>
      <c r="I2275" s="427" t="s">
        <v>881</v>
      </c>
      <c r="J2275" s="415" t="s">
        <v>882</v>
      </c>
      <c r="K2275" s="415" t="s">
        <v>883</v>
      </c>
      <c r="L2275" s="415" t="s">
        <v>798</v>
      </c>
      <c r="M2275" s="415" t="s">
        <v>310</v>
      </c>
      <c r="N2275" s="414">
        <v>44734</v>
      </c>
      <c r="O2275" s="414" t="s">
        <v>400</v>
      </c>
      <c r="P2275" s="603">
        <f t="shared" si="335"/>
        <v>6</v>
      </c>
      <c r="Q2275" s="603">
        <f t="shared" si="336"/>
        <v>6</v>
      </c>
      <c r="R2275" s="604" t="str">
        <f t="shared" si="337"/>
        <v>Gastos_Gerais</v>
      </c>
      <c r="S2275" s="605" t="s">
        <v>310</v>
      </c>
      <c r="T2275" s="605" t="s">
        <v>310</v>
      </c>
    </row>
    <row r="2276" spans="1:20" s="88" customFormat="1" ht="103.5" customHeight="1" x14ac:dyDescent="0.2">
      <c r="A2276" s="510">
        <f>IF(B2276="","",COUNT('Diário 1º PA'!$A$4:$A$2635)+ROW()-3)</f>
        <v>4009</v>
      </c>
      <c r="B2276" s="414">
        <v>44734</v>
      </c>
      <c r="C2276" s="431">
        <v>44682</v>
      </c>
      <c r="D2276" s="415" t="s">
        <v>468</v>
      </c>
      <c r="E2276" s="415" t="s">
        <v>468</v>
      </c>
      <c r="F2276" s="425">
        <v>3180.8</v>
      </c>
      <c r="G2276" s="427" t="s">
        <v>1736</v>
      </c>
      <c r="H2276" s="419" t="s">
        <v>468</v>
      </c>
      <c r="I2276" s="427" t="s">
        <v>2990</v>
      </c>
      <c r="J2276" s="415" t="s">
        <v>1735</v>
      </c>
      <c r="K2276" s="415" t="s">
        <v>830</v>
      </c>
      <c r="L2276" s="415" t="s">
        <v>839</v>
      </c>
      <c r="M2276" s="415">
        <v>1844</v>
      </c>
      <c r="N2276" s="414">
        <v>44732</v>
      </c>
      <c r="O2276" s="414" t="s">
        <v>408</v>
      </c>
      <c r="P2276" s="603">
        <f t="shared" si="335"/>
        <v>6</v>
      </c>
      <c r="Q2276" s="603">
        <f t="shared" si="336"/>
        <v>5</v>
      </c>
      <c r="R2276" s="604" t="str">
        <f t="shared" si="337"/>
        <v>Gastos_custeados_por_captação</v>
      </c>
      <c r="S2276" s="605" t="s">
        <v>1000</v>
      </c>
      <c r="T2276" s="605">
        <v>2759</v>
      </c>
    </row>
    <row r="2277" spans="1:20" s="88" customFormat="1" ht="36" x14ac:dyDescent="0.2">
      <c r="A2277" s="510">
        <f>IF(B2277="","",COUNT('Diário 1º PA'!$A$4:$A$2635)+ROW()-3)</f>
        <v>4010</v>
      </c>
      <c r="B2277" s="414">
        <v>44734</v>
      </c>
      <c r="C2277" s="431">
        <v>44713</v>
      </c>
      <c r="D2277" s="415" t="s">
        <v>468</v>
      </c>
      <c r="E2277" s="415" t="s">
        <v>468</v>
      </c>
      <c r="F2277" s="425">
        <v>11</v>
      </c>
      <c r="G2277" s="427" t="s">
        <v>4799</v>
      </c>
      <c r="H2277" s="419" t="s">
        <v>468</v>
      </c>
      <c r="I2277" s="427" t="s">
        <v>881</v>
      </c>
      <c r="J2277" s="415" t="s">
        <v>882</v>
      </c>
      <c r="K2277" s="415" t="s">
        <v>883</v>
      </c>
      <c r="L2277" s="415" t="s">
        <v>798</v>
      </c>
      <c r="M2277" s="415" t="s">
        <v>310</v>
      </c>
      <c r="N2277" s="414">
        <v>44734</v>
      </c>
      <c r="O2277" s="414" t="s">
        <v>408</v>
      </c>
      <c r="P2277" s="603">
        <f t="shared" si="335"/>
        <v>6</v>
      </c>
      <c r="Q2277" s="603">
        <f t="shared" si="336"/>
        <v>6</v>
      </c>
      <c r="R2277" s="604" t="str">
        <f t="shared" si="337"/>
        <v>Gastos_custeados_por_captação</v>
      </c>
      <c r="S2277" s="605" t="s">
        <v>310</v>
      </c>
      <c r="T2277" s="605" t="s">
        <v>310</v>
      </c>
    </row>
    <row r="2278" spans="1:20" s="88" customFormat="1" ht="72" x14ac:dyDescent="0.2">
      <c r="A2278" s="510">
        <f>IF(B2278="","",COUNT('Diário 1º PA'!$A$4:$A$2635)+ROW()-3)</f>
        <v>4011</v>
      </c>
      <c r="B2278" s="414">
        <v>44734</v>
      </c>
      <c r="C2278" s="431">
        <v>44713</v>
      </c>
      <c r="D2278" s="415" t="s">
        <v>468</v>
      </c>
      <c r="E2278" s="415" t="s">
        <v>468</v>
      </c>
      <c r="F2278" s="425">
        <v>372.4</v>
      </c>
      <c r="G2278" s="427" t="s">
        <v>4466</v>
      </c>
      <c r="H2278" s="419" t="s">
        <v>468</v>
      </c>
      <c r="I2278" s="427" t="s">
        <v>5621</v>
      </c>
      <c r="J2278" s="415" t="s">
        <v>4467</v>
      </c>
      <c r="K2278" s="415" t="s">
        <v>830</v>
      </c>
      <c r="L2278" s="415" t="s">
        <v>807</v>
      </c>
      <c r="M2278" s="415">
        <v>202242</v>
      </c>
      <c r="N2278" s="414">
        <v>44734</v>
      </c>
      <c r="O2278" s="414" t="s">
        <v>402</v>
      </c>
      <c r="P2278" s="603">
        <f t="shared" si="335"/>
        <v>6</v>
      </c>
      <c r="Q2278" s="603">
        <f t="shared" si="336"/>
        <v>6</v>
      </c>
      <c r="R2278" s="604" t="str">
        <f t="shared" si="337"/>
        <v>Gastos_custeados_por_captação</v>
      </c>
      <c r="S2278" s="605" t="s">
        <v>998</v>
      </c>
      <c r="T2278" s="605">
        <v>3850</v>
      </c>
    </row>
    <row r="2279" spans="1:20" s="88" customFormat="1" ht="72" x14ac:dyDescent="0.2">
      <c r="A2279" s="510">
        <f>IF(B2279="","",COUNT('Diário 1º PA'!$A$4:$A$2635)+ROW()-3)</f>
        <v>4012</v>
      </c>
      <c r="B2279" s="414">
        <v>44734</v>
      </c>
      <c r="C2279" s="431">
        <v>44713</v>
      </c>
      <c r="D2279" s="415" t="s">
        <v>468</v>
      </c>
      <c r="E2279" s="415" t="s">
        <v>468</v>
      </c>
      <c r="F2279" s="425">
        <v>11</v>
      </c>
      <c r="G2279" s="427" t="s">
        <v>4799</v>
      </c>
      <c r="H2279" s="419" t="s">
        <v>468</v>
      </c>
      <c r="I2279" s="639" t="s">
        <v>881</v>
      </c>
      <c r="J2279" s="418" t="s">
        <v>882</v>
      </c>
      <c r="K2279" s="418" t="s">
        <v>883</v>
      </c>
      <c r="L2279" s="399" t="s">
        <v>798</v>
      </c>
      <c r="M2279" s="544" t="s">
        <v>310</v>
      </c>
      <c r="N2279" s="414">
        <v>44734</v>
      </c>
      <c r="O2279" s="414" t="s">
        <v>402</v>
      </c>
      <c r="P2279" s="603">
        <f t="shared" si="335"/>
        <v>6</v>
      </c>
      <c r="Q2279" s="603">
        <f t="shared" si="336"/>
        <v>6</v>
      </c>
      <c r="R2279" s="604" t="str">
        <f t="shared" si="337"/>
        <v>Gastos_custeados_por_captação</v>
      </c>
      <c r="S2279" s="605" t="s">
        <v>310</v>
      </c>
      <c r="T2279" s="605" t="s">
        <v>310</v>
      </c>
    </row>
    <row r="2280" spans="1:20" s="88" customFormat="1" ht="48" x14ac:dyDescent="0.2">
      <c r="A2280" s="510">
        <f>IF(B2280="","",COUNT('Diário 1º PA'!$A$4:$A$2635)+ROW()-3)</f>
        <v>4013</v>
      </c>
      <c r="B2280" s="414">
        <v>44735</v>
      </c>
      <c r="C2280" s="431">
        <v>44593</v>
      </c>
      <c r="D2280" s="415" t="s">
        <v>271</v>
      </c>
      <c r="E2280" s="415" t="s">
        <v>90</v>
      </c>
      <c r="F2280" s="425">
        <v>80</v>
      </c>
      <c r="G2280" s="427" t="s">
        <v>4962</v>
      </c>
      <c r="H2280" s="415" t="s">
        <v>748</v>
      </c>
      <c r="I2280" s="427" t="s">
        <v>2437</v>
      </c>
      <c r="J2280" s="415" t="s">
        <v>796</v>
      </c>
      <c r="K2280" s="415" t="s">
        <v>806</v>
      </c>
      <c r="L2280" s="415" t="s">
        <v>798</v>
      </c>
      <c r="M2280" s="415" t="s">
        <v>310</v>
      </c>
      <c r="N2280" s="414">
        <v>44735</v>
      </c>
      <c r="O2280" s="414" t="s">
        <v>400</v>
      </c>
      <c r="P2280" s="603">
        <f t="shared" si="335"/>
        <v>6</v>
      </c>
      <c r="Q2280" s="603">
        <f t="shared" si="336"/>
        <v>2</v>
      </c>
      <c r="R2280" s="604" t="str">
        <f t="shared" si="337"/>
        <v>Gastos_Gerais</v>
      </c>
      <c r="S2280" s="605" t="s">
        <v>310</v>
      </c>
      <c r="T2280" s="605" t="s">
        <v>310</v>
      </c>
    </row>
    <row r="2281" spans="1:20" s="88" customFormat="1" ht="36" x14ac:dyDescent="0.2">
      <c r="A2281" s="510">
        <f>IF(B2281="","",COUNT('Diário 1º PA'!$A$4:$A$2635)+ROW()-3)</f>
        <v>4014</v>
      </c>
      <c r="B2281" s="414">
        <v>44735</v>
      </c>
      <c r="C2281" s="424">
        <v>44409</v>
      </c>
      <c r="D2281" s="415" t="s">
        <v>271</v>
      </c>
      <c r="E2281" s="415" t="s">
        <v>465</v>
      </c>
      <c r="F2281" s="425">
        <v>108.75</v>
      </c>
      <c r="G2281" s="427" t="s">
        <v>4963</v>
      </c>
      <c r="H2281" s="415" t="s">
        <v>752</v>
      </c>
      <c r="I2281" s="427" t="s">
        <v>2437</v>
      </c>
      <c r="J2281" s="415" t="s">
        <v>796</v>
      </c>
      <c r="K2281" s="415" t="s">
        <v>806</v>
      </c>
      <c r="L2281" s="415" t="s">
        <v>798</v>
      </c>
      <c r="M2281" s="415" t="s">
        <v>310</v>
      </c>
      <c r="N2281" s="414">
        <v>44735</v>
      </c>
      <c r="O2281" s="414" t="s">
        <v>400</v>
      </c>
      <c r="P2281" s="603">
        <f t="shared" si="335"/>
        <v>6</v>
      </c>
      <c r="Q2281" s="603">
        <f t="shared" si="336"/>
        <v>-4</v>
      </c>
      <c r="R2281" s="604" t="str">
        <f t="shared" si="337"/>
        <v>Gastos_Gerais</v>
      </c>
      <c r="S2281" s="605" t="s">
        <v>310</v>
      </c>
      <c r="T2281" s="605" t="s">
        <v>310</v>
      </c>
    </row>
    <row r="2282" spans="1:20" s="88" customFormat="1" ht="36" x14ac:dyDescent="0.2">
      <c r="A2282" s="510">
        <f>IF(B2282="","",COUNT('Diário 1º PA'!$A$4:$A$2635)+ROW()-3)</f>
        <v>4015</v>
      </c>
      <c r="B2282" s="414">
        <v>44735</v>
      </c>
      <c r="C2282" s="431">
        <v>44713</v>
      </c>
      <c r="D2282" s="415" t="s">
        <v>182</v>
      </c>
      <c r="E2282" s="415" t="s">
        <v>175</v>
      </c>
      <c r="F2282" s="435">
        <v>1664.25</v>
      </c>
      <c r="G2282" s="427" t="s">
        <v>4964</v>
      </c>
      <c r="H2282" s="434" t="s">
        <v>310</v>
      </c>
      <c r="I2282" s="427" t="s">
        <v>957</v>
      </c>
      <c r="J2282" s="415" t="s">
        <v>958</v>
      </c>
      <c r="K2282" s="415" t="s">
        <v>830</v>
      </c>
      <c r="L2282" s="415" t="s">
        <v>3915</v>
      </c>
      <c r="M2282" s="415" t="s">
        <v>310</v>
      </c>
      <c r="N2282" s="414">
        <v>44735</v>
      </c>
      <c r="O2282" s="414" t="s">
        <v>400</v>
      </c>
      <c r="P2282" s="603">
        <f t="shared" si="335"/>
        <v>6</v>
      </c>
      <c r="Q2282" s="603">
        <f t="shared" si="336"/>
        <v>6</v>
      </c>
      <c r="R2282" s="604" t="str">
        <f t="shared" si="337"/>
        <v>Gastos_com_Pessoal</v>
      </c>
      <c r="S2282" s="605" t="s">
        <v>310</v>
      </c>
      <c r="T2282" s="605" t="s">
        <v>310</v>
      </c>
    </row>
    <row r="2283" spans="1:20" s="88" customFormat="1" ht="48" x14ac:dyDescent="0.2">
      <c r="A2283" s="510">
        <f>IF(B2283="","",COUNT('Diário 1º PA'!$A$4:$A$2635)+ROW()-3)</f>
        <v>4016</v>
      </c>
      <c r="B2283" s="414">
        <v>44735</v>
      </c>
      <c r="C2283" s="431">
        <v>44713</v>
      </c>
      <c r="D2283" s="415" t="s">
        <v>271</v>
      </c>
      <c r="E2283" s="415" t="s">
        <v>456</v>
      </c>
      <c r="F2283" s="425">
        <v>750</v>
      </c>
      <c r="G2283" s="427" t="s">
        <v>4930</v>
      </c>
      <c r="H2283" s="419" t="s">
        <v>752</v>
      </c>
      <c r="I2283" s="427" t="s">
        <v>4965</v>
      </c>
      <c r="J2283" s="415" t="s">
        <v>4608</v>
      </c>
      <c r="K2283" s="415" t="s">
        <v>830</v>
      </c>
      <c r="L2283" s="415" t="s">
        <v>807</v>
      </c>
      <c r="M2283" s="415" t="s">
        <v>842</v>
      </c>
      <c r="N2283" s="414">
        <v>44728</v>
      </c>
      <c r="O2283" s="414" t="s">
        <v>400</v>
      </c>
      <c r="P2283" s="603">
        <f t="shared" si="335"/>
        <v>6</v>
      </c>
      <c r="Q2283" s="603">
        <f t="shared" si="336"/>
        <v>6</v>
      </c>
      <c r="R2283" s="604" t="str">
        <f t="shared" si="337"/>
        <v>Gastos_Gerais</v>
      </c>
      <c r="S2283" s="605" t="s">
        <v>998</v>
      </c>
      <c r="T2283" s="605">
        <v>3861</v>
      </c>
    </row>
    <row r="2284" spans="1:20" s="88" customFormat="1" ht="83.25" customHeight="1" x14ac:dyDescent="0.2">
      <c r="A2284" s="510">
        <f>IF(B2284="","",COUNT('Diário 1º PA'!$A$4:$A$2635)+ROW()-3)</f>
        <v>4017</v>
      </c>
      <c r="B2284" s="414">
        <v>44735</v>
      </c>
      <c r="C2284" s="433">
        <v>44713</v>
      </c>
      <c r="D2284" s="415" t="s">
        <v>271</v>
      </c>
      <c r="E2284" s="415" t="s">
        <v>297</v>
      </c>
      <c r="F2284" s="425">
        <v>228.05</v>
      </c>
      <c r="G2284" s="427" t="s">
        <v>4873</v>
      </c>
      <c r="H2284" s="415" t="s">
        <v>309</v>
      </c>
      <c r="I2284" s="427" t="s">
        <v>4874</v>
      </c>
      <c r="J2284" s="415" t="s">
        <v>4875</v>
      </c>
      <c r="K2284" s="415" t="s">
        <v>830</v>
      </c>
      <c r="L2284" s="415" t="s">
        <v>807</v>
      </c>
      <c r="M2284" s="415" t="s">
        <v>4876</v>
      </c>
      <c r="N2284" s="414">
        <v>44729</v>
      </c>
      <c r="O2284" s="414" t="s">
        <v>400</v>
      </c>
      <c r="P2284" s="603">
        <f t="shared" si="335"/>
        <v>6</v>
      </c>
      <c r="Q2284" s="603">
        <f t="shared" si="336"/>
        <v>6</v>
      </c>
      <c r="R2284" s="604" t="str">
        <f t="shared" si="337"/>
        <v>Gastos_Gerais</v>
      </c>
      <c r="S2284" s="605" t="s">
        <v>999</v>
      </c>
      <c r="T2284" s="605">
        <v>3908</v>
      </c>
    </row>
    <row r="2285" spans="1:20" s="88" customFormat="1" ht="24" x14ac:dyDescent="0.2">
      <c r="A2285" s="510">
        <f>IF(B2285="","",COUNT('Diário 1º PA'!$A$4:$A$2635)+ROW()-3)</f>
        <v>4018</v>
      </c>
      <c r="B2285" s="414">
        <v>44735</v>
      </c>
      <c r="C2285" s="433">
        <v>44713</v>
      </c>
      <c r="D2285" s="415" t="s">
        <v>182</v>
      </c>
      <c r="E2285" s="415" t="s">
        <v>6</v>
      </c>
      <c r="F2285" s="425">
        <v>21914.51</v>
      </c>
      <c r="G2285" s="440" t="s">
        <v>1494</v>
      </c>
      <c r="H2285" s="415" t="s">
        <v>310</v>
      </c>
      <c r="I2285" s="437" t="s">
        <v>1486</v>
      </c>
      <c r="J2285" s="418" t="s">
        <v>1487</v>
      </c>
      <c r="K2285" s="418" t="s">
        <v>812</v>
      </c>
      <c r="L2285" s="399" t="s">
        <v>807</v>
      </c>
      <c r="M2285" s="544">
        <v>78982</v>
      </c>
      <c r="N2285" s="414">
        <v>44743</v>
      </c>
      <c r="O2285" s="414" t="s">
        <v>400</v>
      </c>
      <c r="P2285" s="603">
        <f t="shared" si="335"/>
        <v>6</v>
      </c>
      <c r="Q2285" s="603">
        <f t="shared" si="336"/>
        <v>6</v>
      </c>
      <c r="R2285" s="607" t="str">
        <f t="shared" si="337"/>
        <v>Gastos_com_Pessoal</v>
      </c>
      <c r="S2285" s="605" t="s">
        <v>310</v>
      </c>
      <c r="T2285" s="605" t="s">
        <v>310</v>
      </c>
    </row>
    <row r="2286" spans="1:20" s="88" customFormat="1" ht="48" x14ac:dyDescent="0.2">
      <c r="A2286" s="510">
        <f>IF(B2286="","",COUNT('Diário 1º PA'!$A$4:$A$2635)+ROW()-3)</f>
        <v>4019</v>
      </c>
      <c r="B2286" s="414">
        <v>44735</v>
      </c>
      <c r="C2286" s="431">
        <v>44682</v>
      </c>
      <c r="D2286" s="415" t="s">
        <v>271</v>
      </c>
      <c r="E2286" s="415" t="s">
        <v>450</v>
      </c>
      <c r="F2286" s="425">
        <v>4160.32</v>
      </c>
      <c r="G2286" s="427" t="s">
        <v>4419</v>
      </c>
      <c r="H2286" s="419" t="s">
        <v>758</v>
      </c>
      <c r="I2286" s="427" t="s">
        <v>4966</v>
      </c>
      <c r="J2286" s="415" t="s">
        <v>4420</v>
      </c>
      <c r="K2286" s="415" t="s">
        <v>830</v>
      </c>
      <c r="L2286" s="415" t="s">
        <v>807</v>
      </c>
      <c r="M2286" s="415" t="s">
        <v>1890</v>
      </c>
      <c r="N2286" s="414">
        <v>44733</v>
      </c>
      <c r="O2286" s="414" t="s">
        <v>400</v>
      </c>
      <c r="P2286" s="603">
        <f t="shared" si="335"/>
        <v>6</v>
      </c>
      <c r="Q2286" s="603">
        <f t="shared" si="336"/>
        <v>5</v>
      </c>
      <c r="R2286" s="604" t="str">
        <f t="shared" si="337"/>
        <v>Gastos_Gerais</v>
      </c>
      <c r="S2286" s="605" t="s">
        <v>1000</v>
      </c>
      <c r="T2286" s="605">
        <v>3785</v>
      </c>
    </row>
    <row r="2287" spans="1:20" s="88" customFormat="1" ht="59.25" customHeight="1" x14ac:dyDescent="0.2">
      <c r="A2287" s="510">
        <f>IF(B2287="","",COUNT('Diário 1º PA'!$A$4:$A$2635)+ROW()-3)</f>
        <v>4020</v>
      </c>
      <c r="B2287" s="414">
        <v>44735</v>
      </c>
      <c r="C2287" s="431">
        <v>44652</v>
      </c>
      <c r="D2287" s="415" t="s">
        <v>271</v>
      </c>
      <c r="E2287" s="415" t="s">
        <v>297</v>
      </c>
      <c r="F2287" s="425">
        <v>300</v>
      </c>
      <c r="G2287" s="427" t="s">
        <v>3546</v>
      </c>
      <c r="H2287" s="419" t="s">
        <v>753</v>
      </c>
      <c r="I2287" s="427" t="s">
        <v>2138</v>
      </c>
      <c r="J2287" s="415" t="s">
        <v>1689</v>
      </c>
      <c r="K2287" s="415" t="s">
        <v>830</v>
      </c>
      <c r="L2287" s="415" t="s">
        <v>807</v>
      </c>
      <c r="M2287" s="415">
        <v>110</v>
      </c>
      <c r="N2287" s="414">
        <v>44720</v>
      </c>
      <c r="O2287" s="414" t="s">
        <v>400</v>
      </c>
      <c r="P2287" s="603">
        <f t="shared" si="335"/>
        <v>6</v>
      </c>
      <c r="Q2287" s="603">
        <f t="shared" si="336"/>
        <v>4</v>
      </c>
      <c r="R2287" s="604" t="str">
        <f t="shared" si="337"/>
        <v>Gastos_Gerais</v>
      </c>
      <c r="S2287" s="605" t="s">
        <v>998</v>
      </c>
      <c r="T2287" s="605">
        <v>3473</v>
      </c>
    </row>
    <row r="2288" spans="1:20" s="88" customFormat="1" ht="24" x14ac:dyDescent="0.2">
      <c r="A2288" s="510">
        <f>IF(B2288="","",COUNT('Diário 1º PA'!$A$4:$A$2635)+ROW()-3)</f>
        <v>4021</v>
      </c>
      <c r="B2288" s="414">
        <v>44735</v>
      </c>
      <c r="C2288" s="431">
        <v>44713</v>
      </c>
      <c r="D2288" s="415" t="s">
        <v>271</v>
      </c>
      <c r="E2288" s="415" t="s">
        <v>71</v>
      </c>
      <c r="F2288" s="425">
        <v>11</v>
      </c>
      <c r="G2288" s="427" t="s">
        <v>4968</v>
      </c>
      <c r="H2288" s="419" t="s">
        <v>310</v>
      </c>
      <c r="I2288" s="427" t="s">
        <v>881</v>
      </c>
      <c r="J2288" s="415" t="s">
        <v>882</v>
      </c>
      <c r="K2288" s="415" t="s">
        <v>883</v>
      </c>
      <c r="L2288" s="415" t="s">
        <v>798</v>
      </c>
      <c r="M2288" s="415" t="s">
        <v>310</v>
      </c>
      <c r="N2288" s="414">
        <v>44735</v>
      </c>
      <c r="O2288" s="414" t="s">
        <v>400</v>
      </c>
      <c r="P2288" s="603">
        <f t="shared" si="335"/>
        <v>6</v>
      </c>
      <c r="Q2288" s="603">
        <f t="shared" si="336"/>
        <v>6</v>
      </c>
      <c r="R2288" s="604" t="str">
        <f t="shared" si="337"/>
        <v>Gastos_Gerais</v>
      </c>
      <c r="S2288" s="605" t="s">
        <v>310</v>
      </c>
      <c r="T2288" s="605" t="s">
        <v>310</v>
      </c>
    </row>
    <row r="2289" spans="1:20" s="88" customFormat="1" ht="36" x14ac:dyDescent="0.2">
      <c r="A2289" s="510">
        <f>IF(B2289="","",COUNT('Diário 1º PA'!$A$4:$A$2635)+ROW()-3)</f>
        <v>4022</v>
      </c>
      <c r="B2289" s="414">
        <v>44735</v>
      </c>
      <c r="C2289" s="431">
        <v>44713</v>
      </c>
      <c r="D2289" s="415" t="s">
        <v>271</v>
      </c>
      <c r="E2289" s="415" t="s">
        <v>71</v>
      </c>
      <c r="F2289" s="425">
        <v>11</v>
      </c>
      <c r="G2289" s="427" t="s">
        <v>4969</v>
      </c>
      <c r="H2289" s="419" t="s">
        <v>752</v>
      </c>
      <c r="I2289" s="427" t="s">
        <v>881</v>
      </c>
      <c r="J2289" s="415" t="s">
        <v>882</v>
      </c>
      <c r="K2289" s="415" t="s">
        <v>883</v>
      </c>
      <c r="L2289" s="415" t="s">
        <v>798</v>
      </c>
      <c r="M2289" s="415" t="s">
        <v>310</v>
      </c>
      <c r="N2289" s="414">
        <v>44735</v>
      </c>
      <c r="O2289" s="414" t="s">
        <v>400</v>
      </c>
      <c r="P2289" s="603">
        <f t="shared" si="335"/>
        <v>6</v>
      </c>
      <c r="Q2289" s="603">
        <f t="shared" si="336"/>
        <v>6</v>
      </c>
      <c r="R2289" s="604" t="str">
        <f t="shared" si="337"/>
        <v>Gastos_Gerais</v>
      </c>
      <c r="S2289" s="605" t="s">
        <v>310</v>
      </c>
      <c r="T2289" s="605" t="s">
        <v>310</v>
      </c>
    </row>
    <row r="2290" spans="1:20" s="88" customFormat="1" ht="36" x14ac:dyDescent="0.2">
      <c r="A2290" s="510">
        <f>IF(B2290="","",COUNT('Diário 1º PA'!$A$4:$A$2635)+ROW()-3)</f>
        <v>4023</v>
      </c>
      <c r="B2290" s="414">
        <v>44735</v>
      </c>
      <c r="C2290" s="431">
        <v>44713</v>
      </c>
      <c r="D2290" s="415" t="s">
        <v>271</v>
      </c>
      <c r="E2290" s="415" t="s">
        <v>71</v>
      </c>
      <c r="F2290" s="425">
        <v>11</v>
      </c>
      <c r="G2290" s="427" t="s">
        <v>4970</v>
      </c>
      <c r="H2290" s="415" t="s">
        <v>309</v>
      </c>
      <c r="I2290" s="427" t="s">
        <v>881</v>
      </c>
      <c r="J2290" s="415" t="s">
        <v>882</v>
      </c>
      <c r="K2290" s="415" t="s">
        <v>883</v>
      </c>
      <c r="L2290" s="415" t="s">
        <v>798</v>
      </c>
      <c r="M2290" s="415" t="s">
        <v>310</v>
      </c>
      <c r="N2290" s="414">
        <v>44735</v>
      </c>
      <c r="O2290" s="414" t="s">
        <v>400</v>
      </c>
      <c r="P2290" s="603">
        <f t="shared" si="335"/>
        <v>6</v>
      </c>
      <c r="Q2290" s="603">
        <f t="shared" si="336"/>
        <v>6</v>
      </c>
      <c r="R2290" s="604" t="str">
        <f t="shared" si="337"/>
        <v>Gastos_Gerais</v>
      </c>
      <c r="S2290" s="605" t="s">
        <v>310</v>
      </c>
      <c r="T2290" s="605" t="s">
        <v>310</v>
      </c>
    </row>
    <row r="2291" spans="1:20" s="88" customFormat="1" ht="36" x14ac:dyDescent="0.2">
      <c r="A2291" s="510">
        <f>IF(B2291="","",COUNT('Diário 1º PA'!$A$4:$A$2635)+ROW()-3)</f>
        <v>4024</v>
      </c>
      <c r="B2291" s="414">
        <v>44735</v>
      </c>
      <c r="C2291" s="431">
        <v>44713</v>
      </c>
      <c r="D2291" s="415" t="s">
        <v>271</v>
      </c>
      <c r="E2291" s="415" t="s">
        <v>71</v>
      </c>
      <c r="F2291" s="425">
        <v>11</v>
      </c>
      <c r="G2291" s="427" t="s">
        <v>4971</v>
      </c>
      <c r="H2291" s="415" t="s">
        <v>758</v>
      </c>
      <c r="I2291" s="427" t="s">
        <v>881</v>
      </c>
      <c r="J2291" s="415" t="s">
        <v>882</v>
      </c>
      <c r="K2291" s="415" t="s">
        <v>883</v>
      </c>
      <c r="L2291" s="415" t="s">
        <v>798</v>
      </c>
      <c r="M2291" s="415" t="s">
        <v>310</v>
      </c>
      <c r="N2291" s="414">
        <v>44735</v>
      </c>
      <c r="O2291" s="414" t="s">
        <v>400</v>
      </c>
      <c r="P2291" s="603">
        <f t="shared" si="335"/>
        <v>6</v>
      </c>
      <c r="Q2291" s="603">
        <f t="shared" si="336"/>
        <v>6</v>
      </c>
      <c r="R2291" s="604" t="str">
        <f t="shared" si="337"/>
        <v>Gastos_Gerais</v>
      </c>
      <c r="S2291" s="605" t="s">
        <v>310</v>
      </c>
      <c r="T2291" s="605" t="s">
        <v>310</v>
      </c>
    </row>
    <row r="2292" spans="1:20" s="88" customFormat="1" ht="36" x14ac:dyDescent="0.2">
      <c r="A2292" s="510">
        <f>IF(B2292="","",COUNT('Diário 1º PA'!$A$4:$A$2635)+ROW()-3)</f>
        <v>4025</v>
      </c>
      <c r="B2292" s="414">
        <v>44735</v>
      </c>
      <c r="C2292" s="431">
        <v>44713</v>
      </c>
      <c r="D2292" s="415" t="s">
        <v>271</v>
      </c>
      <c r="E2292" s="415" t="s">
        <v>71</v>
      </c>
      <c r="F2292" s="425">
        <v>11</v>
      </c>
      <c r="G2292" s="427" t="s">
        <v>4972</v>
      </c>
      <c r="H2292" s="415" t="s">
        <v>753</v>
      </c>
      <c r="I2292" s="427" t="s">
        <v>881</v>
      </c>
      <c r="J2292" s="415" t="s">
        <v>882</v>
      </c>
      <c r="K2292" s="415" t="s">
        <v>883</v>
      </c>
      <c r="L2292" s="415" t="s">
        <v>798</v>
      </c>
      <c r="M2292" s="415" t="s">
        <v>310</v>
      </c>
      <c r="N2292" s="414">
        <v>44735</v>
      </c>
      <c r="O2292" s="414" t="s">
        <v>400</v>
      </c>
      <c r="P2292" s="603">
        <f t="shared" si="335"/>
        <v>6</v>
      </c>
      <c r="Q2292" s="603">
        <f t="shared" si="336"/>
        <v>6</v>
      </c>
      <c r="R2292" s="604" t="str">
        <f t="shared" si="337"/>
        <v>Gastos_Gerais</v>
      </c>
      <c r="S2292" s="605" t="s">
        <v>310</v>
      </c>
      <c r="T2292" s="605" t="s">
        <v>310</v>
      </c>
    </row>
    <row r="2293" spans="1:20" s="88" customFormat="1" ht="36" x14ac:dyDescent="0.2">
      <c r="A2293" s="510">
        <f>IF(B2293="","",COUNT('Diário 1º PA'!$A$4:$A$2635)+ROW()-3)</f>
        <v>4026</v>
      </c>
      <c r="B2293" s="414">
        <v>44735</v>
      </c>
      <c r="C2293" s="431">
        <v>44682</v>
      </c>
      <c r="D2293" s="415" t="s">
        <v>468</v>
      </c>
      <c r="E2293" s="415" t="s">
        <v>468</v>
      </c>
      <c r="F2293" s="498">
        <v>-4500</v>
      </c>
      <c r="G2293" s="427" t="s">
        <v>2440</v>
      </c>
      <c r="H2293" s="415" t="s">
        <v>468</v>
      </c>
      <c r="I2293" s="482" t="s">
        <v>2437</v>
      </c>
      <c r="J2293" s="521" t="s">
        <v>796</v>
      </c>
      <c r="K2293" s="415" t="s">
        <v>797</v>
      </c>
      <c r="L2293" s="415" t="s">
        <v>798</v>
      </c>
      <c r="M2293" s="521" t="s">
        <v>310</v>
      </c>
      <c r="N2293" s="414">
        <v>44735</v>
      </c>
      <c r="O2293" s="414" t="s">
        <v>408</v>
      </c>
      <c r="P2293" s="603">
        <f t="shared" ref="P2293:P2303" si="339">IF(B2293=0,0,IF(YEAR(B2293)=$Q$1,MONTH(B2293)-$P$1+1,(YEAR(B2293)-$Q$1)*12-$P$1+1+MONTH(B2293)))</f>
        <v>6</v>
      </c>
      <c r="Q2293" s="603">
        <f t="shared" ref="Q2293:Q2303" si="340">IF(C2293=0,0,IF(YEAR(C2293)=$Q$1,MONTH(C2293)-$P$1+1,(YEAR(C2293)-$Q$1)*12-$P$1+1+MONTH(C2293)))</f>
        <v>5</v>
      </c>
      <c r="R2293" s="604" t="str">
        <f t="shared" ref="R2293:R2303" si="341">SUBSTITUTE(D2293," ","_")</f>
        <v>Gastos_custeados_por_captação</v>
      </c>
      <c r="S2293" s="605" t="s">
        <v>310</v>
      </c>
      <c r="T2293" s="605" t="s">
        <v>310</v>
      </c>
    </row>
    <row r="2294" spans="1:20" s="88" customFormat="1" ht="36" x14ac:dyDescent="0.2">
      <c r="A2294" s="510">
        <f>IF(B2294="","",COUNT('Diário 1º PA'!$A$4:$A$2635)+ROW()-3)</f>
        <v>4027</v>
      </c>
      <c r="B2294" s="414">
        <v>44735</v>
      </c>
      <c r="C2294" s="431">
        <v>44682</v>
      </c>
      <c r="D2294" s="415" t="s">
        <v>468</v>
      </c>
      <c r="E2294" s="415" t="s">
        <v>468</v>
      </c>
      <c r="F2294" s="556">
        <v>-5000</v>
      </c>
      <c r="G2294" s="646" t="s">
        <v>5645</v>
      </c>
      <c r="H2294" s="395" t="s">
        <v>468</v>
      </c>
      <c r="I2294" s="482" t="s">
        <v>2437</v>
      </c>
      <c r="J2294" s="521" t="s">
        <v>796</v>
      </c>
      <c r="K2294" s="415" t="s">
        <v>797</v>
      </c>
      <c r="L2294" s="415" t="s">
        <v>798</v>
      </c>
      <c r="M2294" s="521" t="s">
        <v>310</v>
      </c>
      <c r="N2294" s="414">
        <v>44735</v>
      </c>
      <c r="O2294" s="414" t="s">
        <v>408</v>
      </c>
      <c r="P2294" s="603">
        <f t="shared" si="339"/>
        <v>6</v>
      </c>
      <c r="Q2294" s="603">
        <f t="shared" si="340"/>
        <v>5</v>
      </c>
      <c r="R2294" s="604" t="str">
        <f t="shared" si="341"/>
        <v>Gastos_custeados_por_captação</v>
      </c>
      <c r="S2294" s="605" t="s">
        <v>310</v>
      </c>
      <c r="T2294" s="605" t="s">
        <v>310</v>
      </c>
    </row>
    <row r="2295" spans="1:20" s="88" customFormat="1" ht="36" x14ac:dyDescent="0.2">
      <c r="A2295" s="510">
        <f>IF(B2295="","",COUNT('Diário 1º PA'!$A$4:$A$2635)+ROW()-3)</f>
        <v>4028</v>
      </c>
      <c r="B2295" s="414">
        <v>44735</v>
      </c>
      <c r="C2295" s="431">
        <v>44682</v>
      </c>
      <c r="D2295" s="415" t="s">
        <v>468</v>
      </c>
      <c r="E2295" s="415" t="s">
        <v>468</v>
      </c>
      <c r="F2295" s="556">
        <v>-4350</v>
      </c>
      <c r="G2295" s="646" t="s">
        <v>5646</v>
      </c>
      <c r="H2295" s="395" t="s">
        <v>468</v>
      </c>
      <c r="I2295" s="482" t="s">
        <v>2437</v>
      </c>
      <c r="J2295" s="521" t="s">
        <v>796</v>
      </c>
      <c r="K2295" s="415" t="s">
        <v>797</v>
      </c>
      <c r="L2295" s="415" t="s">
        <v>798</v>
      </c>
      <c r="M2295" s="521" t="s">
        <v>310</v>
      </c>
      <c r="N2295" s="414">
        <v>44735</v>
      </c>
      <c r="O2295" s="414" t="s">
        <v>408</v>
      </c>
      <c r="P2295" s="603">
        <f t="shared" si="339"/>
        <v>6</v>
      </c>
      <c r="Q2295" s="603">
        <f t="shared" si="340"/>
        <v>5</v>
      </c>
      <c r="R2295" s="604" t="str">
        <f t="shared" si="341"/>
        <v>Gastos_custeados_por_captação</v>
      </c>
      <c r="S2295" s="605" t="s">
        <v>310</v>
      </c>
      <c r="T2295" s="605" t="s">
        <v>310</v>
      </c>
    </row>
    <row r="2296" spans="1:20" s="88" customFormat="1" ht="36" x14ac:dyDescent="0.2">
      <c r="A2296" s="510">
        <f>IF(B2296="","",COUNT('Diário 1º PA'!$A$4:$A$2635)+ROW()-3)</f>
        <v>4029</v>
      </c>
      <c r="B2296" s="414">
        <v>44735</v>
      </c>
      <c r="C2296" s="431">
        <v>44682</v>
      </c>
      <c r="D2296" s="415" t="s">
        <v>468</v>
      </c>
      <c r="E2296" s="415" t="s">
        <v>468</v>
      </c>
      <c r="F2296" s="556">
        <v>-5000</v>
      </c>
      <c r="G2296" s="646" t="s">
        <v>5647</v>
      </c>
      <c r="H2296" s="395" t="s">
        <v>468</v>
      </c>
      <c r="I2296" s="482" t="s">
        <v>2437</v>
      </c>
      <c r="J2296" s="521" t="s">
        <v>796</v>
      </c>
      <c r="K2296" s="415" t="s">
        <v>797</v>
      </c>
      <c r="L2296" s="415" t="s">
        <v>798</v>
      </c>
      <c r="M2296" s="521" t="s">
        <v>310</v>
      </c>
      <c r="N2296" s="414">
        <v>44735</v>
      </c>
      <c r="O2296" s="414" t="s">
        <v>408</v>
      </c>
      <c r="P2296" s="603">
        <f t="shared" si="339"/>
        <v>6</v>
      </c>
      <c r="Q2296" s="603">
        <f t="shared" si="340"/>
        <v>5</v>
      </c>
      <c r="R2296" s="604" t="str">
        <f t="shared" si="341"/>
        <v>Gastos_custeados_por_captação</v>
      </c>
      <c r="S2296" s="605" t="s">
        <v>310</v>
      </c>
      <c r="T2296" s="605" t="s">
        <v>310</v>
      </c>
    </row>
    <row r="2297" spans="1:20" s="88" customFormat="1" ht="36" x14ac:dyDescent="0.2">
      <c r="A2297" s="510">
        <f>IF(B2297="","",COUNT('Diário 1º PA'!$A$4:$A$2635)+ROW()-3)</f>
        <v>4030</v>
      </c>
      <c r="B2297" s="414">
        <v>44735</v>
      </c>
      <c r="C2297" s="431">
        <v>44682</v>
      </c>
      <c r="D2297" s="415" t="s">
        <v>468</v>
      </c>
      <c r="E2297" s="415" t="s">
        <v>468</v>
      </c>
      <c r="F2297" s="556">
        <v>-5000</v>
      </c>
      <c r="G2297" s="646" t="s">
        <v>5648</v>
      </c>
      <c r="H2297" s="395" t="s">
        <v>468</v>
      </c>
      <c r="I2297" s="482" t="s">
        <v>2437</v>
      </c>
      <c r="J2297" s="521" t="s">
        <v>796</v>
      </c>
      <c r="K2297" s="415" t="s">
        <v>797</v>
      </c>
      <c r="L2297" s="415" t="s">
        <v>798</v>
      </c>
      <c r="M2297" s="521" t="s">
        <v>310</v>
      </c>
      <c r="N2297" s="414">
        <v>44735</v>
      </c>
      <c r="O2297" s="414" t="s">
        <v>408</v>
      </c>
      <c r="P2297" s="603">
        <f t="shared" si="339"/>
        <v>6</v>
      </c>
      <c r="Q2297" s="603">
        <f t="shared" si="340"/>
        <v>5</v>
      </c>
      <c r="R2297" s="604" t="str">
        <f t="shared" si="341"/>
        <v>Gastos_custeados_por_captação</v>
      </c>
      <c r="S2297" s="605" t="s">
        <v>310</v>
      </c>
      <c r="T2297" s="605" t="s">
        <v>310</v>
      </c>
    </row>
    <row r="2298" spans="1:20" s="88" customFormat="1" ht="36" x14ac:dyDescent="0.2">
      <c r="A2298" s="510">
        <f>IF(B2298="","",COUNT('Diário 1º PA'!$A$4:$A$2635)+ROW()-3)</f>
        <v>4031</v>
      </c>
      <c r="B2298" s="414">
        <v>44735</v>
      </c>
      <c r="C2298" s="431">
        <v>44682</v>
      </c>
      <c r="D2298" s="415" t="s">
        <v>468</v>
      </c>
      <c r="E2298" s="415" t="s">
        <v>468</v>
      </c>
      <c r="F2298" s="556">
        <v>-5000</v>
      </c>
      <c r="G2298" s="646" t="s">
        <v>5649</v>
      </c>
      <c r="H2298" s="395" t="s">
        <v>468</v>
      </c>
      <c r="I2298" s="482" t="s">
        <v>2437</v>
      </c>
      <c r="J2298" s="521" t="s">
        <v>796</v>
      </c>
      <c r="K2298" s="415" t="s">
        <v>797</v>
      </c>
      <c r="L2298" s="415" t="s">
        <v>798</v>
      </c>
      <c r="M2298" s="521" t="s">
        <v>310</v>
      </c>
      <c r="N2298" s="414">
        <v>44735</v>
      </c>
      <c r="O2298" s="414" t="s">
        <v>408</v>
      </c>
      <c r="P2298" s="603">
        <f t="shared" si="339"/>
        <v>6</v>
      </c>
      <c r="Q2298" s="603">
        <f t="shared" si="340"/>
        <v>5</v>
      </c>
      <c r="R2298" s="604" t="str">
        <f t="shared" si="341"/>
        <v>Gastos_custeados_por_captação</v>
      </c>
      <c r="S2298" s="605" t="s">
        <v>310</v>
      </c>
      <c r="T2298" s="605" t="s">
        <v>310</v>
      </c>
    </row>
    <row r="2299" spans="1:20" s="88" customFormat="1" ht="36" x14ac:dyDescent="0.2">
      <c r="A2299" s="510">
        <f>IF(B2299="","",COUNT('Diário 1º PA'!$A$4:$A$2635)+ROW()-3)</f>
        <v>4032</v>
      </c>
      <c r="B2299" s="414">
        <v>44735</v>
      </c>
      <c r="C2299" s="431">
        <v>44682</v>
      </c>
      <c r="D2299" s="415" t="s">
        <v>468</v>
      </c>
      <c r="E2299" s="415" t="s">
        <v>468</v>
      </c>
      <c r="F2299" s="556">
        <v>-5000</v>
      </c>
      <c r="G2299" s="646" t="s">
        <v>5650</v>
      </c>
      <c r="H2299" s="395" t="s">
        <v>468</v>
      </c>
      <c r="I2299" s="482" t="s">
        <v>2437</v>
      </c>
      <c r="J2299" s="521" t="s">
        <v>796</v>
      </c>
      <c r="K2299" s="415" t="s">
        <v>797</v>
      </c>
      <c r="L2299" s="415" t="s">
        <v>798</v>
      </c>
      <c r="M2299" s="521" t="s">
        <v>310</v>
      </c>
      <c r="N2299" s="414">
        <v>44735</v>
      </c>
      <c r="O2299" s="414" t="s">
        <v>408</v>
      </c>
      <c r="P2299" s="603">
        <f t="shared" si="339"/>
        <v>6</v>
      </c>
      <c r="Q2299" s="603">
        <f t="shared" si="340"/>
        <v>5</v>
      </c>
      <c r="R2299" s="604" t="str">
        <f t="shared" si="341"/>
        <v>Gastos_custeados_por_captação</v>
      </c>
      <c r="S2299" s="605" t="s">
        <v>310</v>
      </c>
      <c r="T2299" s="605" t="s">
        <v>310</v>
      </c>
    </row>
    <row r="2300" spans="1:20" s="88" customFormat="1" ht="36" x14ac:dyDescent="0.2">
      <c r="A2300" s="510">
        <f>IF(B2300="","",COUNT('Diário 1º PA'!$A$4:$A$2635)+ROW()-3)</f>
        <v>4033</v>
      </c>
      <c r="B2300" s="414">
        <v>44735</v>
      </c>
      <c r="C2300" s="431">
        <v>44682</v>
      </c>
      <c r="D2300" s="415" t="s">
        <v>468</v>
      </c>
      <c r="E2300" s="415" t="s">
        <v>468</v>
      </c>
      <c r="F2300" s="556">
        <v>-20000</v>
      </c>
      <c r="G2300" s="646" t="s">
        <v>5651</v>
      </c>
      <c r="H2300" s="395" t="s">
        <v>468</v>
      </c>
      <c r="I2300" s="482" t="s">
        <v>2437</v>
      </c>
      <c r="J2300" s="521" t="s">
        <v>796</v>
      </c>
      <c r="K2300" s="415" t="s">
        <v>797</v>
      </c>
      <c r="L2300" s="415" t="s">
        <v>798</v>
      </c>
      <c r="M2300" s="521" t="s">
        <v>310</v>
      </c>
      <c r="N2300" s="414">
        <v>44735</v>
      </c>
      <c r="O2300" s="414" t="s">
        <v>408</v>
      </c>
      <c r="P2300" s="603">
        <f t="shared" si="339"/>
        <v>6</v>
      </c>
      <c r="Q2300" s="603">
        <f t="shared" si="340"/>
        <v>5</v>
      </c>
      <c r="R2300" s="604" t="str">
        <f t="shared" si="341"/>
        <v>Gastos_custeados_por_captação</v>
      </c>
      <c r="S2300" s="605" t="s">
        <v>310</v>
      </c>
      <c r="T2300" s="605" t="s">
        <v>310</v>
      </c>
    </row>
    <row r="2301" spans="1:20" s="88" customFormat="1" ht="36" x14ac:dyDescent="0.2">
      <c r="A2301" s="510">
        <f>IF(B2301="","",COUNT('Diário 1º PA'!$A$4:$A$2635)+ROW()-3)</f>
        <v>4034</v>
      </c>
      <c r="B2301" s="414">
        <v>44735</v>
      </c>
      <c r="C2301" s="431">
        <v>44682</v>
      </c>
      <c r="D2301" s="415" t="s">
        <v>468</v>
      </c>
      <c r="E2301" s="415" t="s">
        <v>468</v>
      </c>
      <c r="F2301" s="556">
        <v>-5900</v>
      </c>
      <c r="G2301" s="646" t="s">
        <v>5652</v>
      </c>
      <c r="H2301" s="395" t="s">
        <v>468</v>
      </c>
      <c r="I2301" s="482" t="s">
        <v>2437</v>
      </c>
      <c r="J2301" s="521" t="s">
        <v>796</v>
      </c>
      <c r="K2301" s="415" t="s">
        <v>797</v>
      </c>
      <c r="L2301" s="415" t="s">
        <v>798</v>
      </c>
      <c r="M2301" s="521" t="s">
        <v>310</v>
      </c>
      <c r="N2301" s="414">
        <v>44735</v>
      </c>
      <c r="O2301" s="414" t="s">
        <v>408</v>
      </c>
      <c r="P2301" s="603">
        <f t="shared" si="339"/>
        <v>6</v>
      </c>
      <c r="Q2301" s="603">
        <f t="shared" si="340"/>
        <v>5</v>
      </c>
      <c r="R2301" s="604" t="str">
        <f t="shared" si="341"/>
        <v>Gastos_custeados_por_captação</v>
      </c>
      <c r="S2301" s="605" t="s">
        <v>310</v>
      </c>
      <c r="T2301" s="605" t="s">
        <v>310</v>
      </c>
    </row>
    <row r="2302" spans="1:20" s="88" customFormat="1" ht="36" x14ac:dyDescent="0.2">
      <c r="A2302" s="510">
        <f>IF(B2302="","",COUNT('Diário 1º PA'!$A$4:$A$2635)+ROW()-3)</f>
        <v>4035</v>
      </c>
      <c r="B2302" s="414">
        <v>44735</v>
      </c>
      <c r="C2302" s="431">
        <v>44682</v>
      </c>
      <c r="D2302" s="415" t="s">
        <v>468</v>
      </c>
      <c r="E2302" s="415" t="s">
        <v>468</v>
      </c>
      <c r="F2302" s="556">
        <v>-6950</v>
      </c>
      <c r="G2302" s="646" t="s">
        <v>5653</v>
      </c>
      <c r="H2302" s="395" t="s">
        <v>468</v>
      </c>
      <c r="I2302" s="482" t="s">
        <v>2437</v>
      </c>
      <c r="J2302" s="521" t="s">
        <v>796</v>
      </c>
      <c r="K2302" s="415" t="s">
        <v>797</v>
      </c>
      <c r="L2302" s="415" t="s">
        <v>798</v>
      </c>
      <c r="M2302" s="521" t="s">
        <v>310</v>
      </c>
      <c r="N2302" s="414">
        <v>44735</v>
      </c>
      <c r="O2302" s="414" t="s">
        <v>408</v>
      </c>
      <c r="P2302" s="603">
        <f t="shared" si="339"/>
        <v>6</v>
      </c>
      <c r="Q2302" s="603">
        <f t="shared" si="340"/>
        <v>5</v>
      </c>
      <c r="R2302" s="604" t="str">
        <f t="shared" si="341"/>
        <v>Gastos_custeados_por_captação</v>
      </c>
      <c r="S2302" s="605" t="s">
        <v>310</v>
      </c>
      <c r="T2302" s="605" t="s">
        <v>310</v>
      </c>
    </row>
    <row r="2303" spans="1:20" s="88" customFormat="1" ht="36" x14ac:dyDescent="0.2">
      <c r="A2303" s="632">
        <f>IF(B2303="","",COUNT('Diário 1º PA'!$A$4:$A$2635)+ROW()-3)</f>
        <v>4036</v>
      </c>
      <c r="B2303" s="633">
        <v>44735</v>
      </c>
      <c r="C2303" s="636">
        <v>44682</v>
      </c>
      <c r="D2303" s="635" t="s">
        <v>468</v>
      </c>
      <c r="E2303" s="635" t="s">
        <v>468</v>
      </c>
      <c r="F2303" s="637">
        <v>-5900</v>
      </c>
      <c r="G2303" s="651" t="s">
        <v>5654</v>
      </c>
      <c r="H2303" s="638" t="s">
        <v>468</v>
      </c>
      <c r="I2303" s="486" t="s">
        <v>2437</v>
      </c>
      <c r="J2303" s="521" t="s">
        <v>796</v>
      </c>
      <c r="K2303" s="635" t="s">
        <v>797</v>
      </c>
      <c r="L2303" s="635" t="s">
        <v>798</v>
      </c>
      <c r="M2303" s="521" t="s">
        <v>310</v>
      </c>
      <c r="N2303" s="633">
        <v>44735</v>
      </c>
      <c r="O2303" s="633" t="s">
        <v>408</v>
      </c>
      <c r="P2303" s="629">
        <f t="shared" si="339"/>
        <v>6</v>
      </c>
      <c r="Q2303" s="629">
        <f t="shared" si="340"/>
        <v>5</v>
      </c>
      <c r="R2303" s="630" t="str">
        <f t="shared" si="341"/>
        <v>Gastos_custeados_por_captação</v>
      </c>
      <c r="S2303" s="631" t="s">
        <v>310</v>
      </c>
      <c r="T2303" s="631" t="s">
        <v>310</v>
      </c>
    </row>
    <row r="2304" spans="1:20" s="88" customFormat="1" ht="85.5" customHeight="1" x14ac:dyDescent="0.2">
      <c r="A2304" s="632">
        <f>IF(B2304="","",COUNT('Diário 1º PA'!$A$4:$A$2635)+ROW()-3)</f>
        <v>4037</v>
      </c>
      <c r="B2304" s="633">
        <v>44735</v>
      </c>
      <c r="C2304" s="431">
        <v>44682</v>
      </c>
      <c r="D2304" s="415" t="s">
        <v>468</v>
      </c>
      <c r="E2304" s="415" t="s">
        <v>468</v>
      </c>
      <c r="F2304" s="459">
        <v>4500</v>
      </c>
      <c r="G2304" s="646" t="s">
        <v>5655</v>
      </c>
      <c r="H2304" s="395" t="s">
        <v>468</v>
      </c>
      <c r="I2304" s="486" t="s">
        <v>2437</v>
      </c>
      <c r="J2304" s="521" t="s">
        <v>796</v>
      </c>
      <c r="K2304" s="635" t="s">
        <v>797</v>
      </c>
      <c r="L2304" s="635" t="s">
        <v>798</v>
      </c>
      <c r="M2304" s="521" t="s">
        <v>310</v>
      </c>
      <c r="N2304" s="633">
        <v>44735</v>
      </c>
      <c r="O2304" s="414" t="s">
        <v>402</v>
      </c>
      <c r="P2304" s="629">
        <f t="shared" ref="P2304:P2319" si="342">IF(B2304=0,0,IF(YEAR(B2304)=$Q$1,MONTH(B2304)-$P$1+1,(YEAR(B2304)-$Q$1)*12-$P$1+1+MONTH(B2304)))</f>
        <v>6</v>
      </c>
      <c r="Q2304" s="629">
        <f t="shared" ref="Q2304:Q2319" si="343">IF(C2304=0,0,IF(YEAR(C2304)=$Q$1,MONTH(C2304)-$P$1+1,(YEAR(C2304)-$Q$1)*12-$P$1+1+MONTH(C2304)))</f>
        <v>5</v>
      </c>
      <c r="R2304" s="630" t="str">
        <f t="shared" ref="R2304:R2319" si="344">SUBSTITUTE(D2304," ","_")</f>
        <v>Gastos_custeados_por_captação</v>
      </c>
      <c r="S2304" s="631" t="s">
        <v>310</v>
      </c>
      <c r="T2304" s="631" t="s">
        <v>310</v>
      </c>
    </row>
    <row r="2305" spans="1:20" s="88" customFormat="1" ht="59.25" customHeight="1" x14ac:dyDescent="0.2">
      <c r="A2305" s="632">
        <f>IF(B2305="","",COUNT('Diário 1º PA'!$A$4:$A$2635)+ROW()-3)</f>
        <v>4038</v>
      </c>
      <c r="B2305" s="633">
        <v>44735</v>
      </c>
      <c r="C2305" s="431">
        <v>44682</v>
      </c>
      <c r="D2305" s="415" t="s">
        <v>468</v>
      </c>
      <c r="E2305" s="415" t="s">
        <v>468</v>
      </c>
      <c r="F2305" s="459">
        <v>5000</v>
      </c>
      <c r="G2305" s="646" t="s">
        <v>5645</v>
      </c>
      <c r="H2305" s="395" t="s">
        <v>468</v>
      </c>
      <c r="I2305" s="486" t="s">
        <v>2437</v>
      </c>
      <c r="J2305" s="521" t="s">
        <v>796</v>
      </c>
      <c r="K2305" s="635" t="s">
        <v>797</v>
      </c>
      <c r="L2305" s="635" t="s">
        <v>798</v>
      </c>
      <c r="M2305" s="521" t="s">
        <v>310</v>
      </c>
      <c r="N2305" s="633">
        <v>44735</v>
      </c>
      <c r="O2305" s="414" t="s">
        <v>402</v>
      </c>
      <c r="P2305" s="629">
        <f t="shared" si="342"/>
        <v>6</v>
      </c>
      <c r="Q2305" s="629">
        <f t="shared" si="343"/>
        <v>5</v>
      </c>
      <c r="R2305" s="630" t="str">
        <f t="shared" si="344"/>
        <v>Gastos_custeados_por_captação</v>
      </c>
      <c r="S2305" s="631" t="s">
        <v>310</v>
      </c>
      <c r="T2305" s="631" t="s">
        <v>310</v>
      </c>
    </row>
    <row r="2306" spans="1:20" s="88" customFormat="1" ht="36" customHeight="1" x14ac:dyDescent="0.2">
      <c r="A2306" s="632">
        <f>IF(B2306="","",COUNT('Diário 1º PA'!$A$4:$A$2635)+ROW()-3)</f>
        <v>4039</v>
      </c>
      <c r="B2306" s="633">
        <v>44735</v>
      </c>
      <c r="C2306" s="431">
        <v>44682</v>
      </c>
      <c r="D2306" s="415" t="s">
        <v>468</v>
      </c>
      <c r="E2306" s="415" t="s">
        <v>468</v>
      </c>
      <c r="F2306" s="459">
        <v>4350</v>
      </c>
      <c r="G2306" s="646" t="s">
        <v>5646</v>
      </c>
      <c r="H2306" s="395" t="s">
        <v>468</v>
      </c>
      <c r="I2306" s="486" t="s">
        <v>2437</v>
      </c>
      <c r="J2306" s="521" t="s">
        <v>796</v>
      </c>
      <c r="K2306" s="635" t="s">
        <v>797</v>
      </c>
      <c r="L2306" s="635" t="s">
        <v>798</v>
      </c>
      <c r="M2306" s="521" t="s">
        <v>310</v>
      </c>
      <c r="N2306" s="633">
        <v>44735</v>
      </c>
      <c r="O2306" s="414" t="s">
        <v>402</v>
      </c>
      <c r="P2306" s="629">
        <f t="shared" si="342"/>
        <v>6</v>
      </c>
      <c r="Q2306" s="629">
        <f t="shared" si="343"/>
        <v>5</v>
      </c>
      <c r="R2306" s="630" t="str">
        <f t="shared" si="344"/>
        <v>Gastos_custeados_por_captação</v>
      </c>
      <c r="S2306" s="631" t="s">
        <v>310</v>
      </c>
      <c r="T2306" s="631" t="s">
        <v>310</v>
      </c>
    </row>
    <row r="2307" spans="1:20" s="88" customFormat="1" ht="70.5" customHeight="1" x14ac:dyDescent="0.2">
      <c r="A2307" s="632">
        <f>IF(B2307="","",COUNT('Diário 1º PA'!$A$4:$A$2635)+ROW()-3)</f>
        <v>4040</v>
      </c>
      <c r="B2307" s="633">
        <v>44735</v>
      </c>
      <c r="C2307" s="431">
        <v>44713</v>
      </c>
      <c r="D2307" s="415" t="s">
        <v>468</v>
      </c>
      <c r="E2307" s="415" t="s">
        <v>468</v>
      </c>
      <c r="F2307" s="657">
        <v>5000</v>
      </c>
      <c r="G2307" s="653" t="s">
        <v>5660</v>
      </c>
      <c r="H2307" s="415" t="s">
        <v>468</v>
      </c>
      <c r="I2307" s="456" t="s">
        <v>2437</v>
      </c>
      <c r="J2307" s="461" t="s">
        <v>796</v>
      </c>
      <c r="K2307" s="461" t="s">
        <v>806</v>
      </c>
      <c r="L2307" s="461" t="s">
        <v>798</v>
      </c>
      <c r="M2307" s="461" t="s">
        <v>310</v>
      </c>
      <c r="N2307" s="414">
        <v>44735</v>
      </c>
      <c r="O2307" s="414" t="s">
        <v>405</v>
      </c>
      <c r="P2307" s="629">
        <f t="shared" ref="P2307:P2314" si="345">IF(B2307=0,0,IF(YEAR(B2307)=$Q$1,MONTH(B2307)-$P$1+1,(YEAR(B2307)-$Q$1)*12-$P$1+1+MONTH(B2307)))</f>
        <v>6</v>
      </c>
      <c r="Q2307" s="629">
        <f t="shared" ref="Q2307:Q2314" si="346">IF(C2307=0,0,IF(YEAR(C2307)=$Q$1,MONTH(C2307)-$P$1+1,(YEAR(C2307)-$Q$1)*12-$P$1+1+MONTH(C2307)))</f>
        <v>6</v>
      </c>
      <c r="R2307" s="630" t="str">
        <f t="shared" ref="R2307:R2314" si="347">SUBSTITUTE(D2307," ","_")</f>
        <v>Gastos_custeados_por_captação</v>
      </c>
      <c r="S2307" s="631" t="s">
        <v>310</v>
      </c>
      <c r="T2307" s="631" t="s">
        <v>310</v>
      </c>
    </row>
    <row r="2308" spans="1:20" s="88" customFormat="1" ht="60" x14ac:dyDescent="0.2">
      <c r="A2308" s="632">
        <f>IF(B2308="","",COUNT('Diário 1º PA'!$A$4:$A$2635)+ROW()-3)</f>
        <v>4041</v>
      </c>
      <c r="B2308" s="633">
        <v>44735</v>
      </c>
      <c r="C2308" s="431">
        <v>44713</v>
      </c>
      <c r="D2308" s="415" t="s">
        <v>468</v>
      </c>
      <c r="E2308" s="415" t="s">
        <v>468</v>
      </c>
      <c r="F2308" s="498">
        <v>5000</v>
      </c>
      <c r="G2308" s="427" t="s">
        <v>5661</v>
      </c>
      <c r="H2308" s="415" t="s">
        <v>468</v>
      </c>
      <c r="I2308" s="456" t="s">
        <v>2437</v>
      </c>
      <c r="J2308" s="461" t="s">
        <v>796</v>
      </c>
      <c r="K2308" s="461" t="s">
        <v>806</v>
      </c>
      <c r="L2308" s="461" t="s">
        <v>798</v>
      </c>
      <c r="M2308" s="461" t="s">
        <v>310</v>
      </c>
      <c r="N2308" s="414">
        <v>44735</v>
      </c>
      <c r="O2308" s="414" t="s">
        <v>405</v>
      </c>
      <c r="P2308" s="629">
        <f t="shared" si="345"/>
        <v>6</v>
      </c>
      <c r="Q2308" s="629">
        <f t="shared" si="346"/>
        <v>6</v>
      </c>
      <c r="R2308" s="630" t="str">
        <f t="shared" si="347"/>
        <v>Gastos_custeados_por_captação</v>
      </c>
      <c r="S2308" s="631" t="s">
        <v>310</v>
      </c>
      <c r="T2308" s="631" t="s">
        <v>310</v>
      </c>
    </row>
    <row r="2309" spans="1:20" s="88" customFormat="1" ht="57.75" customHeight="1" x14ac:dyDescent="0.2">
      <c r="A2309" s="632">
        <f>IF(B2309="","",COUNT('Diário 1º PA'!$A$4:$A$2635)+ROW()-3)</f>
        <v>4042</v>
      </c>
      <c r="B2309" s="633">
        <v>44735</v>
      </c>
      <c r="C2309" s="431">
        <v>44713</v>
      </c>
      <c r="D2309" s="415" t="s">
        <v>468</v>
      </c>
      <c r="E2309" s="415" t="s">
        <v>468</v>
      </c>
      <c r="F2309" s="498">
        <v>5000</v>
      </c>
      <c r="G2309" s="427" t="s">
        <v>5662</v>
      </c>
      <c r="H2309" s="415" t="s">
        <v>468</v>
      </c>
      <c r="I2309" s="456" t="s">
        <v>2437</v>
      </c>
      <c r="J2309" s="461" t="s">
        <v>796</v>
      </c>
      <c r="K2309" s="461" t="s">
        <v>806</v>
      </c>
      <c r="L2309" s="461" t="s">
        <v>798</v>
      </c>
      <c r="M2309" s="461" t="s">
        <v>310</v>
      </c>
      <c r="N2309" s="414">
        <v>44735</v>
      </c>
      <c r="O2309" s="414" t="s">
        <v>405</v>
      </c>
      <c r="P2309" s="629">
        <f t="shared" si="345"/>
        <v>6</v>
      </c>
      <c r="Q2309" s="629">
        <f t="shared" si="346"/>
        <v>6</v>
      </c>
      <c r="R2309" s="630" t="str">
        <f t="shared" si="347"/>
        <v>Gastos_custeados_por_captação</v>
      </c>
      <c r="S2309" s="631" t="s">
        <v>310</v>
      </c>
      <c r="T2309" s="631" t="s">
        <v>310</v>
      </c>
    </row>
    <row r="2310" spans="1:20" s="88" customFormat="1" ht="60" x14ac:dyDescent="0.2">
      <c r="A2310" s="632">
        <f>IF(B2310="","",COUNT('Diário 1º PA'!$A$4:$A$2635)+ROW()-3)</f>
        <v>4043</v>
      </c>
      <c r="B2310" s="633">
        <v>44735</v>
      </c>
      <c r="C2310" s="431">
        <v>44713</v>
      </c>
      <c r="D2310" s="415" t="s">
        <v>468</v>
      </c>
      <c r="E2310" s="415" t="s">
        <v>468</v>
      </c>
      <c r="F2310" s="498">
        <v>5000</v>
      </c>
      <c r="G2310" s="427" t="s">
        <v>5663</v>
      </c>
      <c r="H2310" s="415" t="s">
        <v>468</v>
      </c>
      <c r="I2310" s="456" t="s">
        <v>2437</v>
      </c>
      <c r="J2310" s="461" t="s">
        <v>796</v>
      </c>
      <c r="K2310" s="461" t="s">
        <v>806</v>
      </c>
      <c r="L2310" s="461" t="s">
        <v>798</v>
      </c>
      <c r="M2310" s="461" t="s">
        <v>310</v>
      </c>
      <c r="N2310" s="414">
        <v>44735</v>
      </c>
      <c r="O2310" s="414" t="s">
        <v>405</v>
      </c>
      <c r="P2310" s="629">
        <f t="shared" si="345"/>
        <v>6</v>
      </c>
      <c r="Q2310" s="629">
        <f t="shared" si="346"/>
        <v>6</v>
      </c>
      <c r="R2310" s="630" t="str">
        <f t="shared" si="347"/>
        <v>Gastos_custeados_por_captação</v>
      </c>
      <c r="S2310" s="631" t="s">
        <v>310</v>
      </c>
      <c r="T2310" s="631" t="s">
        <v>310</v>
      </c>
    </row>
    <row r="2311" spans="1:20" s="88" customFormat="1" ht="60" x14ac:dyDescent="0.2">
      <c r="A2311" s="632">
        <f>IF(B2311="","",COUNT('Diário 1º PA'!$A$4:$A$2635)+ROW()-3)</f>
        <v>4044</v>
      </c>
      <c r="B2311" s="633">
        <v>44735</v>
      </c>
      <c r="C2311" s="431">
        <v>44501</v>
      </c>
      <c r="D2311" s="415" t="s">
        <v>468</v>
      </c>
      <c r="E2311" s="415" t="s">
        <v>468</v>
      </c>
      <c r="F2311" s="498">
        <v>0.84</v>
      </c>
      <c r="G2311" s="427" t="s">
        <v>5632</v>
      </c>
      <c r="H2311" s="415" t="s">
        <v>468</v>
      </c>
      <c r="I2311" s="427" t="s">
        <v>881</v>
      </c>
      <c r="J2311" s="415" t="s">
        <v>882</v>
      </c>
      <c r="K2311" s="415" t="s">
        <v>883</v>
      </c>
      <c r="L2311" s="415" t="s">
        <v>798</v>
      </c>
      <c r="M2311" s="415" t="s">
        <v>310</v>
      </c>
      <c r="N2311" s="414">
        <v>44735</v>
      </c>
      <c r="O2311" s="414" t="s">
        <v>405</v>
      </c>
      <c r="P2311" s="629">
        <f t="shared" si="345"/>
        <v>6</v>
      </c>
      <c r="Q2311" s="629">
        <f t="shared" si="346"/>
        <v>-1</v>
      </c>
      <c r="R2311" s="630" t="str">
        <f t="shared" si="347"/>
        <v>Gastos_custeados_por_captação</v>
      </c>
      <c r="S2311" s="631" t="s">
        <v>310</v>
      </c>
      <c r="T2311" s="631" t="s">
        <v>310</v>
      </c>
    </row>
    <row r="2312" spans="1:20" s="88" customFormat="1" ht="60" x14ac:dyDescent="0.2">
      <c r="A2312" s="632">
        <f>IF(B2312="","",COUNT('Diário 1º PA'!$A$4:$A$2635)+ROW()-3)</f>
        <v>4045</v>
      </c>
      <c r="B2312" s="633">
        <v>44735</v>
      </c>
      <c r="C2312" s="431">
        <v>44501</v>
      </c>
      <c r="D2312" s="415" t="s">
        <v>468</v>
      </c>
      <c r="E2312" s="415" t="s">
        <v>468</v>
      </c>
      <c r="F2312" s="628">
        <v>220.79</v>
      </c>
      <c r="G2312" s="427" t="s">
        <v>5633</v>
      </c>
      <c r="H2312" s="415" t="s">
        <v>468</v>
      </c>
      <c r="I2312" s="427" t="s">
        <v>5634</v>
      </c>
      <c r="J2312" s="415" t="s">
        <v>5635</v>
      </c>
      <c r="K2312" s="415" t="s">
        <v>5237</v>
      </c>
      <c r="L2312" s="415" t="s">
        <v>1305</v>
      </c>
      <c r="M2312" s="415" t="s">
        <v>310</v>
      </c>
      <c r="N2312" s="414">
        <v>44735</v>
      </c>
      <c r="O2312" s="414" t="s">
        <v>405</v>
      </c>
      <c r="P2312" s="629">
        <f t="shared" si="345"/>
        <v>6</v>
      </c>
      <c r="Q2312" s="629">
        <f t="shared" si="346"/>
        <v>-1</v>
      </c>
      <c r="R2312" s="630" t="str">
        <f t="shared" si="347"/>
        <v>Gastos_custeados_por_captação</v>
      </c>
      <c r="S2312" s="631" t="s">
        <v>998</v>
      </c>
      <c r="T2312" s="631">
        <v>2396</v>
      </c>
    </row>
    <row r="2313" spans="1:20" s="88" customFormat="1" ht="60" x14ac:dyDescent="0.2">
      <c r="A2313" s="632">
        <f>IF(B2313="","",COUNT('Diário 1º PA'!$A$4:$A$2635)+ROW()-3)</f>
        <v>4046</v>
      </c>
      <c r="B2313" s="633">
        <v>44735</v>
      </c>
      <c r="C2313" s="431">
        <v>44501</v>
      </c>
      <c r="D2313" s="415" t="s">
        <v>468</v>
      </c>
      <c r="E2313" s="415" t="s">
        <v>468</v>
      </c>
      <c r="F2313" s="628">
        <v>550</v>
      </c>
      <c r="G2313" s="427" t="s">
        <v>5636</v>
      </c>
      <c r="H2313" s="415" t="s">
        <v>468</v>
      </c>
      <c r="I2313" s="427" t="s">
        <v>881</v>
      </c>
      <c r="J2313" s="415" t="s">
        <v>882</v>
      </c>
      <c r="K2313" s="415" t="s">
        <v>883</v>
      </c>
      <c r="L2313" s="415" t="s">
        <v>798</v>
      </c>
      <c r="M2313" s="415" t="s">
        <v>310</v>
      </c>
      <c r="N2313" s="414">
        <v>44735</v>
      </c>
      <c r="O2313" s="414" t="s">
        <v>405</v>
      </c>
      <c r="P2313" s="629">
        <f t="shared" si="345"/>
        <v>6</v>
      </c>
      <c r="Q2313" s="629">
        <f t="shared" si="346"/>
        <v>-1</v>
      </c>
      <c r="R2313" s="630" t="str">
        <f t="shared" si="347"/>
        <v>Gastos_custeados_por_captação</v>
      </c>
      <c r="S2313" s="631" t="s">
        <v>310</v>
      </c>
      <c r="T2313" s="631" t="s">
        <v>310</v>
      </c>
    </row>
    <row r="2314" spans="1:20" s="88" customFormat="1" ht="60" x14ac:dyDescent="0.2">
      <c r="A2314" s="632">
        <f>IF(B2314="","",COUNT('Diário 1º PA'!$A$4:$A$2635)+ROW()-3)</f>
        <v>4047</v>
      </c>
      <c r="B2314" s="633">
        <v>44735</v>
      </c>
      <c r="C2314" s="431">
        <v>44501</v>
      </c>
      <c r="D2314" s="415" t="s">
        <v>468</v>
      </c>
      <c r="E2314" s="415" t="s">
        <v>468</v>
      </c>
      <c r="F2314" s="628">
        <v>38.96</v>
      </c>
      <c r="G2314" s="427" t="s">
        <v>5637</v>
      </c>
      <c r="H2314" s="415" t="s">
        <v>468</v>
      </c>
      <c r="I2314" s="427" t="s">
        <v>1461</v>
      </c>
      <c r="J2314" s="415" t="s">
        <v>310</v>
      </c>
      <c r="K2314" s="415" t="s">
        <v>1220</v>
      </c>
      <c r="L2314" s="415" t="s">
        <v>1368</v>
      </c>
      <c r="M2314" s="415" t="s">
        <v>310</v>
      </c>
      <c r="N2314" s="414">
        <v>44735</v>
      </c>
      <c r="O2314" s="414" t="s">
        <v>405</v>
      </c>
      <c r="P2314" s="629">
        <f t="shared" si="345"/>
        <v>6</v>
      </c>
      <c r="Q2314" s="629">
        <f t="shared" si="346"/>
        <v>-1</v>
      </c>
      <c r="R2314" s="630" t="str">
        <f t="shared" si="347"/>
        <v>Gastos_custeados_por_captação</v>
      </c>
      <c r="S2314" s="631" t="s">
        <v>310</v>
      </c>
      <c r="T2314" s="631" t="s">
        <v>310</v>
      </c>
    </row>
    <row r="2315" spans="1:20" s="88" customFormat="1" ht="72" x14ac:dyDescent="0.2">
      <c r="A2315" s="632">
        <f>IF(B2315="","",COUNT('Diário 1º PA'!$A$4:$A$2635)+ROW()-3)</f>
        <v>4048</v>
      </c>
      <c r="B2315" s="633">
        <v>44735</v>
      </c>
      <c r="C2315" s="431">
        <v>44501</v>
      </c>
      <c r="D2315" s="415" t="s">
        <v>468</v>
      </c>
      <c r="E2315" s="415" t="s">
        <v>468</v>
      </c>
      <c r="F2315" s="459">
        <v>1.67</v>
      </c>
      <c r="G2315" s="427" t="s">
        <v>5625</v>
      </c>
      <c r="H2315" s="415" t="s">
        <v>468</v>
      </c>
      <c r="I2315" s="427" t="s">
        <v>881</v>
      </c>
      <c r="J2315" s="415" t="s">
        <v>882</v>
      </c>
      <c r="K2315" s="415" t="s">
        <v>883</v>
      </c>
      <c r="L2315" s="415" t="s">
        <v>798</v>
      </c>
      <c r="M2315" s="415" t="s">
        <v>310</v>
      </c>
      <c r="N2315" s="414">
        <v>44735</v>
      </c>
      <c r="O2315" s="414" t="s">
        <v>402</v>
      </c>
      <c r="P2315" s="629">
        <f t="shared" si="342"/>
        <v>6</v>
      </c>
      <c r="Q2315" s="629">
        <f t="shared" si="343"/>
        <v>-1</v>
      </c>
      <c r="R2315" s="630" t="str">
        <f t="shared" si="344"/>
        <v>Gastos_custeados_por_captação</v>
      </c>
      <c r="S2315" s="631" t="s">
        <v>310</v>
      </c>
      <c r="T2315" s="631" t="s">
        <v>310</v>
      </c>
    </row>
    <row r="2316" spans="1:20" s="496" customFormat="1" ht="72" x14ac:dyDescent="0.2">
      <c r="A2316" s="632">
        <f>IF(B2316="","",COUNT('Diário 1º PA'!$A$4:$A$2635)+ROW()-3)</f>
        <v>4049</v>
      </c>
      <c r="B2316" s="633">
        <v>44735</v>
      </c>
      <c r="C2316" s="431">
        <v>44501</v>
      </c>
      <c r="D2316" s="415" t="s">
        <v>468</v>
      </c>
      <c r="E2316" s="415" t="s">
        <v>468</v>
      </c>
      <c r="F2316" s="459">
        <v>440.73</v>
      </c>
      <c r="G2316" s="427" t="s">
        <v>5623</v>
      </c>
      <c r="H2316" s="415" t="s">
        <v>468</v>
      </c>
      <c r="I2316" s="427" t="s">
        <v>5624</v>
      </c>
      <c r="J2316" s="415">
        <v>2137194</v>
      </c>
      <c r="K2316" s="415" t="s">
        <v>5237</v>
      </c>
      <c r="L2316" s="415" t="s">
        <v>1305</v>
      </c>
      <c r="M2316" s="415" t="s">
        <v>310</v>
      </c>
      <c r="N2316" s="414">
        <v>44735</v>
      </c>
      <c r="O2316" s="414" t="s">
        <v>402</v>
      </c>
      <c r="P2316" s="629">
        <f t="shared" si="342"/>
        <v>6</v>
      </c>
      <c r="Q2316" s="629">
        <f t="shared" si="343"/>
        <v>-1</v>
      </c>
      <c r="R2316" s="630" t="str">
        <f t="shared" si="344"/>
        <v>Gastos_custeados_por_captação</v>
      </c>
      <c r="S2316" s="631" t="s">
        <v>998</v>
      </c>
      <c r="T2316" s="631">
        <v>2436</v>
      </c>
    </row>
    <row r="2317" spans="1:20" s="496" customFormat="1" ht="72" x14ac:dyDescent="0.2">
      <c r="A2317" s="632">
        <f>IF(B2317="","",COUNT('Diário 1º PA'!$A$4:$A$2635)+ROW()-3)</f>
        <v>4050</v>
      </c>
      <c r="B2317" s="633">
        <v>44735</v>
      </c>
      <c r="C2317" s="431">
        <v>44501</v>
      </c>
      <c r="D2317" s="415" t="s">
        <v>468</v>
      </c>
      <c r="E2317" s="415" t="s">
        <v>468</v>
      </c>
      <c r="F2317" s="459">
        <v>77.78</v>
      </c>
      <c r="G2317" s="427" t="s">
        <v>5626</v>
      </c>
      <c r="H2317" s="415" t="s">
        <v>468</v>
      </c>
      <c r="I2317" s="427" t="s">
        <v>1461</v>
      </c>
      <c r="J2317" s="415" t="s">
        <v>310</v>
      </c>
      <c r="K2317" s="415" t="s">
        <v>1220</v>
      </c>
      <c r="L2317" s="415" t="s">
        <v>1368</v>
      </c>
      <c r="M2317" s="415" t="s">
        <v>310</v>
      </c>
      <c r="N2317" s="414">
        <v>44735</v>
      </c>
      <c r="O2317" s="414" t="s">
        <v>402</v>
      </c>
      <c r="P2317" s="629">
        <f t="shared" si="342"/>
        <v>6</v>
      </c>
      <c r="Q2317" s="629">
        <f t="shared" si="343"/>
        <v>-1</v>
      </c>
      <c r="R2317" s="630" t="str">
        <f t="shared" si="344"/>
        <v>Gastos_custeados_por_captação</v>
      </c>
      <c r="S2317" s="631" t="s">
        <v>310</v>
      </c>
      <c r="T2317" s="631" t="s">
        <v>310</v>
      </c>
    </row>
    <row r="2318" spans="1:20" s="496" customFormat="1" ht="72" x14ac:dyDescent="0.2">
      <c r="A2318" s="632">
        <f>IF(B2318="","",COUNT('Diário 1º PA'!$A$4:$A$2635)+ROW()-3)</f>
        <v>4051</v>
      </c>
      <c r="B2318" s="633">
        <v>44735</v>
      </c>
      <c r="C2318" s="431">
        <v>44682</v>
      </c>
      <c r="D2318" s="415" t="s">
        <v>468</v>
      </c>
      <c r="E2318" s="415" t="s">
        <v>468</v>
      </c>
      <c r="F2318" s="459">
        <v>19.45</v>
      </c>
      <c r="G2318" s="427" t="s">
        <v>5627</v>
      </c>
      <c r="H2318" s="415" t="s">
        <v>468</v>
      </c>
      <c r="I2318" s="427" t="s">
        <v>1461</v>
      </c>
      <c r="J2318" s="415" t="s">
        <v>310</v>
      </c>
      <c r="K2318" s="415" t="s">
        <v>1220</v>
      </c>
      <c r="L2318" s="415" t="s">
        <v>1368</v>
      </c>
      <c r="M2318" s="415" t="s">
        <v>310</v>
      </c>
      <c r="N2318" s="414">
        <v>44735</v>
      </c>
      <c r="O2318" s="414" t="s">
        <v>402</v>
      </c>
      <c r="P2318" s="629">
        <f t="shared" si="342"/>
        <v>6</v>
      </c>
      <c r="Q2318" s="629">
        <f t="shared" si="343"/>
        <v>5</v>
      </c>
      <c r="R2318" s="630" t="str">
        <f t="shared" si="344"/>
        <v>Gastos_custeados_por_captação</v>
      </c>
      <c r="S2318" s="631" t="s">
        <v>310</v>
      </c>
      <c r="T2318" s="631" t="s">
        <v>310</v>
      </c>
    </row>
    <row r="2319" spans="1:20" s="496" customFormat="1" ht="72" x14ac:dyDescent="0.2">
      <c r="A2319" s="632">
        <f>IF(B2319="","",COUNT('Diário 1º PA'!$A$4:$A$2635)+ROW()-3)</f>
        <v>4052</v>
      </c>
      <c r="B2319" s="633">
        <v>44735</v>
      </c>
      <c r="C2319" s="431">
        <v>44682</v>
      </c>
      <c r="D2319" s="415" t="s">
        <v>468</v>
      </c>
      <c r="E2319" s="415" t="s">
        <v>468</v>
      </c>
      <c r="F2319" s="459">
        <v>45.59</v>
      </c>
      <c r="G2319" s="652" t="s">
        <v>5628</v>
      </c>
      <c r="H2319" s="415" t="s">
        <v>468</v>
      </c>
      <c r="I2319" s="427" t="s">
        <v>1461</v>
      </c>
      <c r="J2319" s="415" t="s">
        <v>310</v>
      </c>
      <c r="K2319" s="415" t="s">
        <v>1220</v>
      </c>
      <c r="L2319" s="415" t="s">
        <v>1368</v>
      </c>
      <c r="M2319" s="415" t="s">
        <v>310</v>
      </c>
      <c r="N2319" s="414">
        <v>44735</v>
      </c>
      <c r="O2319" s="414" t="s">
        <v>402</v>
      </c>
      <c r="P2319" s="629">
        <f t="shared" si="342"/>
        <v>6</v>
      </c>
      <c r="Q2319" s="629">
        <f t="shared" si="343"/>
        <v>5</v>
      </c>
      <c r="R2319" s="630" t="str">
        <f t="shared" si="344"/>
        <v>Gastos_custeados_por_captação</v>
      </c>
      <c r="S2319" s="631" t="s">
        <v>310</v>
      </c>
      <c r="T2319" s="631" t="s">
        <v>310</v>
      </c>
    </row>
    <row r="2320" spans="1:20" s="496" customFormat="1" ht="72" customHeight="1" x14ac:dyDescent="0.2">
      <c r="A2320" s="632">
        <f>IF(B2320="","",COUNT('Diário 1º PA'!$A$4:$A$2635)+ROW()-3)</f>
        <v>4053</v>
      </c>
      <c r="B2320" s="633">
        <v>44735</v>
      </c>
      <c r="C2320" s="431">
        <v>44682</v>
      </c>
      <c r="D2320" s="415" t="s">
        <v>468</v>
      </c>
      <c r="E2320" s="415" t="s">
        <v>468</v>
      </c>
      <c r="F2320" s="650">
        <v>5900</v>
      </c>
      <c r="G2320" s="646" t="s">
        <v>5652</v>
      </c>
      <c r="H2320" s="395" t="s">
        <v>468</v>
      </c>
      <c r="I2320" s="486" t="s">
        <v>2437</v>
      </c>
      <c r="J2320" s="521" t="s">
        <v>796</v>
      </c>
      <c r="K2320" s="635" t="s">
        <v>797</v>
      </c>
      <c r="L2320" s="635" t="s">
        <v>798</v>
      </c>
      <c r="M2320" s="521" t="s">
        <v>310</v>
      </c>
      <c r="N2320" s="633">
        <v>44735</v>
      </c>
      <c r="O2320" s="414" t="s">
        <v>3762</v>
      </c>
      <c r="P2320" s="629">
        <f t="shared" ref="P2320:P2349" si="348">IF(B2320=0,0,IF(YEAR(B2320)=$Q$1,MONTH(B2320)-$P$1+1,(YEAR(B2320)-$Q$1)*12-$P$1+1+MONTH(B2320)))</f>
        <v>6</v>
      </c>
      <c r="Q2320" s="629">
        <f t="shared" ref="Q2320:Q2349" si="349">IF(C2320=0,0,IF(YEAR(C2320)=$Q$1,MONTH(C2320)-$P$1+1,(YEAR(C2320)-$Q$1)*12-$P$1+1+MONTH(C2320)))</f>
        <v>5</v>
      </c>
      <c r="R2320" s="630" t="str">
        <f t="shared" ref="R2320:R2348" si="350">SUBSTITUTE(D2320," ","_")</f>
        <v>Gastos_custeados_por_captação</v>
      </c>
      <c r="S2320" s="631" t="s">
        <v>310</v>
      </c>
      <c r="T2320" s="631" t="s">
        <v>310</v>
      </c>
    </row>
    <row r="2321" spans="1:20" s="496" customFormat="1" ht="72" customHeight="1" x14ac:dyDescent="0.2">
      <c r="A2321" s="632">
        <f>IF(B2321="","",COUNT('Diário 1º PA'!$A$4:$A$2635)+ROW()-3)</f>
        <v>4054</v>
      </c>
      <c r="B2321" s="633">
        <v>44735</v>
      </c>
      <c r="C2321" s="431">
        <v>44682</v>
      </c>
      <c r="D2321" s="415" t="s">
        <v>468</v>
      </c>
      <c r="E2321" s="415" t="s">
        <v>468</v>
      </c>
      <c r="F2321" s="650">
        <v>6950</v>
      </c>
      <c r="G2321" s="646" t="s">
        <v>5653</v>
      </c>
      <c r="H2321" s="395" t="s">
        <v>468</v>
      </c>
      <c r="I2321" s="486" t="s">
        <v>2437</v>
      </c>
      <c r="J2321" s="521" t="s">
        <v>796</v>
      </c>
      <c r="K2321" s="635" t="s">
        <v>797</v>
      </c>
      <c r="L2321" s="635" t="s">
        <v>798</v>
      </c>
      <c r="M2321" s="521" t="s">
        <v>310</v>
      </c>
      <c r="N2321" s="633">
        <v>44735</v>
      </c>
      <c r="O2321" s="414" t="s">
        <v>3762</v>
      </c>
      <c r="P2321" s="629">
        <f t="shared" si="348"/>
        <v>6</v>
      </c>
      <c r="Q2321" s="629">
        <f t="shared" si="349"/>
        <v>5</v>
      </c>
      <c r="R2321" s="630" t="str">
        <f t="shared" si="350"/>
        <v>Gastos_custeados_por_captação</v>
      </c>
      <c r="S2321" s="631" t="s">
        <v>310</v>
      </c>
      <c r="T2321" s="631" t="s">
        <v>310</v>
      </c>
    </row>
    <row r="2322" spans="1:20" s="496" customFormat="1" ht="72" customHeight="1" x14ac:dyDescent="0.2">
      <c r="A2322" s="632">
        <f>IF(B2322="","",COUNT('Diário 1º PA'!$A$4:$A$2635)+ROW()-3)</f>
        <v>4055</v>
      </c>
      <c r="B2322" s="633">
        <v>44735</v>
      </c>
      <c r="C2322" s="431">
        <v>44682</v>
      </c>
      <c r="D2322" s="415" t="s">
        <v>468</v>
      </c>
      <c r="E2322" s="415" t="s">
        <v>468</v>
      </c>
      <c r="F2322" s="650">
        <v>5900</v>
      </c>
      <c r="G2322" s="646" t="s">
        <v>5654</v>
      </c>
      <c r="H2322" s="395" t="s">
        <v>468</v>
      </c>
      <c r="I2322" s="486" t="s">
        <v>2437</v>
      </c>
      <c r="J2322" s="521" t="s">
        <v>796</v>
      </c>
      <c r="K2322" s="635" t="s">
        <v>797</v>
      </c>
      <c r="L2322" s="635" t="s">
        <v>798</v>
      </c>
      <c r="M2322" s="521" t="s">
        <v>310</v>
      </c>
      <c r="N2322" s="633">
        <v>44735</v>
      </c>
      <c r="O2322" s="414" t="s">
        <v>3762</v>
      </c>
      <c r="P2322" s="629">
        <f t="shared" si="348"/>
        <v>6</v>
      </c>
      <c r="Q2322" s="629">
        <f t="shared" si="349"/>
        <v>5</v>
      </c>
      <c r="R2322" s="630" t="str">
        <f t="shared" si="350"/>
        <v>Gastos_custeados_por_captação</v>
      </c>
      <c r="S2322" s="631" t="s">
        <v>310</v>
      </c>
      <c r="T2322" s="631" t="s">
        <v>310</v>
      </c>
    </row>
    <row r="2323" spans="1:20" s="88" customFormat="1" ht="48" x14ac:dyDescent="0.2">
      <c r="A2323" s="510">
        <f>IF(B2323="","",COUNT('Diário 1º PA'!$A$4:$A$2635)+ROW()-3)</f>
        <v>4056</v>
      </c>
      <c r="B2323" s="414">
        <v>44736</v>
      </c>
      <c r="C2323" s="466">
        <v>44682</v>
      </c>
      <c r="D2323" s="415" t="s">
        <v>271</v>
      </c>
      <c r="E2323" s="415" t="s">
        <v>92</v>
      </c>
      <c r="F2323" s="425">
        <v>-114.88</v>
      </c>
      <c r="G2323" s="653" t="s">
        <v>5084</v>
      </c>
      <c r="H2323" s="415" t="s">
        <v>309</v>
      </c>
      <c r="I2323" s="437" t="s">
        <v>795</v>
      </c>
      <c r="J2323" s="434" t="s">
        <v>796</v>
      </c>
      <c r="K2323" s="434" t="s">
        <v>797</v>
      </c>
      <c r="L2323" s="434" t="s">
        <v>798</v>
      </c>
      <c r="M2323" s="436" t="s">
        <v>310</v>
      </c>
      <c r="N2323" s="414">
        <v>44736</v>
      </c>
      <c r="O2323" s="414" t="s">
        <v>400</v>
      </c>
      <c r="P2323" s="603">
        <f t="shared" si="348"/>
        <v>6</v>
      </c>
      <c r="Q2323" s="603">
        <f t="shared" si="349"/>
        <v>5</v>
      </c>
      <c r="R2323" s="604" t="str">
        <f t="shared" si="350"/>
        <v>Gastos_Gerais</v>
      </c>
      <c r="S2323" s="605" t="s">
        <v>310</v>
      </c>
      <c r="T2323" s="605" t="s">
        <v>310</v>
      </c>
    </row>
    <row r="2324" spans="1:20" s="88" customFormat="1" ht="142.5" customHeight="1" x14ac:dyDescent="0.2">
      <c r="A2324" s="510">
        <f>IF(B2324="","",COUNT('Diário 1º PA'!$A$4:$A$2635)+ROW()-3)</f>
        <v>4057</v>
      </c>
      <c r="B2324" s="414">
        <v>44736</v>
      </c>
      <c r="C2324" s="466">
        <v>44682</v>
      </c>
      <c r="D2324" s="415" t="s">
        <v>271</v>
      </c>
      <c r="E2324" s="415" t="s">
        <v>92</v>
      </c>
      <c r="F2324" s="435">
        <v>435</v>
      </c>
      <c r="G2324" s="437" t="s">
        <v>473</v>
      </c>
      <c r="H2324" s="434" t="s">
        <v>309</v>
      </c>
      <c r="I2324" s="456" t="s">
        <v>1488</v>
      </c>
      <c r="J2324" s="418" t="s">
        <v>1078</v>
      </c>
      <c r="K2324" s="418" t="s">
        <v>1353</v>
      </c>
      <c r="L2324" s="399" t="s">
        <v>1489</v>
      </c>
      <c r="M2324" s="415">
        <v>22251</v>
      </c>
      <c r="N2324" s="414">
        <v>44723</v>
      </c>
      <c r="O2324" s="414" t="s">
        <v>400</v>
      </c>
      <c r="P2324" s="603">
        <f t="shared" si="348"/>
        <v>6</v>
      </c>
      <c r="Q2324" s="603">
        <f t="shared" si="349"/>
        <v>5</v>
      </c>
      <c r="R2324" s="604" t="str">
        <f t="shared" si="350"/>
        <v>Gastos_Gerais</v>
      </c>
      <c r="S2324" s="605" t="s">
        <v>1000</v>
      </c>
      <c r="T2324" s="605">
        <v>2667</v>
      </c>
    </row>
    <row r="2325" spans="1:20" s="88" customFormat="1" ht="24" x14ac:dyDescent="0.2">
      <c r="A2325" s="510">
        <f>IF(B2325="","",COUNT('Diário 1º PA'!$A$4:$A$2635)+ROW()-3)</f>
        <v>4058</v>
      </c>
      <c r="B2325" s="414">
        <v>44736</v>
      </c>
      <c r="C2325" s="592">
        <v>44713</v>
      </c>
      <c r="D2325" s="415" t="s">
        <v>182</v>
      </c>
      <c r="E2325" s="415" t="s">
        <v>6</v>
      </c>
      <c r="F2325" s="425">
        <v>5184.5200000000004</v>
      </c>
      <c r="G2325" s="440" t="s">
        <v>1493</v>
      </c>
      <c r="H2325" s="415" t="s">
        <v>310</v>
      </c>
      <c r="I2325" s="437" t="s">
        <v>1486</v>
      </c>
      <c r="J2325" s="418" t="s">
        <v>1487</v>
      </c>
      <c r="K2325" s="418" t="s">
        <v>812</v>
      </c>
      <c r="L2325" s="399" t="s">
        <v>807</v>
      </c>
      <c r="M2325" s="544">
        <v>183085</v>
      </c>
      <c r="N2325" s="414">
        <v>44743</v>
      </c>
      <c r="O2325" s="414" t="s">
        <v>400</v>
      </c>
      <c r="P2325" s="603">
        <f t="shared" si="348"/>
        <v>6</v>
      </c>
      <c r="Q2325" s="603">
        <f t="shared" si="349"/>
        <v>6</v>
      </c>
      <c r="R2325" s="607" t="str">
        <f t="shared" si="350"/>
        <v>Gastos_com_Pessoal</v>
      </c>
      <c r="S2325" s="605" t="s">
        <v>310</v>
      </c>
      <c r="T2325" s="605" t="s">
        <v>310</v>
      </c>
    </row>
    <row r="2326" spans="1:20" s="88" customFormat="1" ht="24" x14ac:dyDescent="0.2">
      <c r="A2326" s="510">
        <f>IF(B2326="","",COUNT('Diário 1º PA'!$A$4:$A$2635)+ROW()-3)</f>
        <v>4059</v>
      </c>
      <c r="B2326" s="414">
        <v>44736</v>
      </c>
      <c r="C2326" s="466">
        <v>44682</v>
      </c>
      <c r="D2326" s="415" t="s">
        <v>182</v>
      </c>
      <c r="E2326" s="415" t="s">
        <v>267</v>
      </c>
      <c r="F2326" s="435">
        <v>2045.46</v>
      </c>
      <c r="G2326" s="437" t="s">
        <v>5085</v>
      </c>
      <c r="H2326" s="434" t="s">
        <v>310</v>
      </c>
      <c r="I2326" s="639" t="s">
        <v>1461</v>
      </c>
      <c r="J2326" s="434" t="s">
        <v>310</v>
      </c>
      <c r="K2326" s="434" t="s">
        <v>1220</v>
      </c>
      <c r="L2326" s="434" t="s">
        <v>1368</v>
      </c>
      <c r="M2326" s="415" t="s">
        <v>310</v>
      </c>
      <c r="N2326" s="414">
        <v>44736</v>
      </c>
      <c r="O2326" s="414" t="s">
        <v>400</v>
      </c>
      <c r="P2326" s="603">
        <f t="shared" si="348"/>
        <v>6</v>
      </c>
      <c r="Q2326" s="603">
        <f t="shared" si="349"/>
        <v>5</v>
      </c>
      <c r="R2326" s="604" t="str">
        <f t="shared" si="350"/>
        <v>Gastos_com_Pessoal</v>
      </c>
      <c r="S2326" s="605" t="s">
        <v>310</v>
      </c>
      <c r="T2326" s="605" t="s">
        <v>310</v>
      </c>
    </row>
    <row r="2327" spans="1:20" s="88" customFormat="1" ht="24" x14ac:dyDescent="0.2">
      <c r="A2327" s="510">
        <f>IF(B2327="","",COUNT('Diário 1º PA'!$A$4:$A$2635)+ROW()-3)</f>
        <v>4060</v>
      </c>
      <c r="B2327" s="414">
        <v>44736</v>
      </c>
      <c r="C2327" s="466">
        <v>44682</v>
      </c>
      <c r="D2327" s="415" t="s">
        <v>271</v>
      </c>
      <c r="E2327" s="415" t="s">
        <v>67</v>
      </c>
      <c r="F2327" s="435">
        <v>881.89</v>
      </c>
      <c r="G2327" s="437" t="s">
        <v>5086</v>
      </c>
      <c r="H2327" s="434" t="s">
        <v>310</v>
      </c>
      <c r="I2327" s="639" t="s">
        <v>1461</v>
      </c>
      <c r="J2327" s="434" t="s">
        <v>310</v>
      </c>
      <c r="K2327" s="434" t="s">
        <v>1220</v>
      </c>
      <c r="L2327" s="434" t="s">
        <v>1368</v>
      </c>
      <c r="M2327" s="415" t="s">
        <v>310</v>
      </c>
      <c r="N2327" s="414">
        <v>44736</v>
      </c>
      <c r="O2327" s="414" t="s">
        <v>400</v>
      </c>
      <c r="P2327" s="603">
        <f t="shared" si="348"/>
        <v>6</v>
      </c>
      <c r="Q2327" s="603">
        <f t="shared" si="349"/>
        <v>5</v>
      </c>
      <c r="R2327" s="604" t="str">
        <f t="shared" si="350"/>
        <v>Gastos_Gerais</v>
      </c>
      <c r="S2327" s="605" t="s">
        <v>310</v>
      </c>
      <c r="T2327" s="605" t="s">
        <v>310</v>
      </c>
    </row>
    <row r="2328" spans="1:20" s="88" customFormat="1" ht="72" customHeight="1" x14ac:dyDescent="0.2">
      <c r="A2328" s="510">
        <f>IF(B2328="","",COUNT('Diário 1º PA'!$A$4:$A$2635)+ROW()-3)</f>
        <v>4061</v>
      </c>
      <c r="B2328" s="414">
        <v>44736</v>
      </c>
      <c r="C2328" s="431">
        <v>44713</v>
      </c>
      <c r="D2328" s="415" t="s">
        <v>271</v>
      </c>
      <c r="E2328" s="415" t="s">
        <v>444</v>
      </c>
      <c r="F2328" s="425">
        <v>15675</v>
      </c>
      <c r="G2328" s="427" t="s">
        <v>4892</v>
      </c>
      <c r="H2328" s="419" t="s">
        <v>752</v>
      </c>
      <c r="I2328" s="427" t="s">
        <v>3671</v>
      </c>
      <c r="J2328" s="415" t="s">
        <v>3282</v>
      </c>
      <c r="K2328" s="415" t="s">
        <v>830</v>
      </c>
      <c r="L2328" s="415" t="s">
        <v>807</v>
      </c>
      <c r="M2328" s="415" t="s">
        <v>1428</v>
      </c>
      <c r="N2328" s="414">
        <v>44736</v>
      </c>
      <c r="O2328" s="414" t="s">
        <v>400</v>
      </c>
      <c r="P2328" s="603">
        <f t="shared" si="348"/>
        <v>6</v>
      </c>
      <c r="Q2328" s="603">
        <f t="shared" si="349"/>
        <v>6</v>
      </c>
      <c r="R2328" s="604" t="str">
        <f t="shared" si="350"/>
        <v>Gastos_Gerais</v>
      </c>
      <c r="S2328" s="605" t="s">
        <v>1000</v>
      </c>
      <c r="T2328" s="605">
        <v>3913</v>
      </c>
    </row>
    <row r="2329" spans="1:20" s="88" customFormat="1" ht="48" x14ac:dyDescent="0.2">
      <c r="A2329" s="510">
        <f>IF(B2329="","",COUNT('Diário 1º PA'!$A$4:$A$2635)+ROW()-3)</f>
        <v>4062</v>
      </c>
      <c r="B2329" s="414">
        <v>44736</v>
      </c>
      <c r="C2329" s="431">
        <v>44713</v>
      </c>
      <c r="D2329" s="415" t="s">
        <v>271</v>
      </c>
      <c r="E2329" s="415" t="s">
        <v>297</v>
      </c>
      <c r="F2329" s="425">
        <v>756</v>
      </c>
      <c r="G2329" s="427" t="s">
        <v>4946</v>
      </c>
      <c r="H2329" s="419" t="s">
        <v>751</v>
      </c>
      <c r="I2329" s="427" t="s">
        <v>1803</v>
      </c>
      <c r="J2329" s="415" t="s">
        <v>991</v>
      </c>
      <c r="K2329" s="415" t="s">
        <v>830</v>
      </c>
      <c r="L2329" s="415" t="s">
        <v>798</v>
      </c>
      <c r="M2329" s="415" t="s">
        <v>310</v>
      </c>
      <c r="N2329" s="414">
        <v>44736</v>
      </c>
      <c r="O2329" s="414" t="s">
        <v>400</v>
      </c>
      <c r="P2329" s="603">
        <f t="shared" si="348"/>
        <v>6</v>
      </c>
      <c r="Q2329" s="603">
        <f t="shared" si="349"/>
        <v>6</v>
      </c>
      <c r="R2329" s="604" t="str">
        <f t="shared" si="350"/>
        <v>Gastos_Gerais</v>
      </c>
      <c r="S2329" s="605" t="s">
        <v>999</v>
      </c>
      <c r="T2329" s="605">
        <v>3912</v>
      </c>
    </row>
    <row r="2330" spans="1:20" s="88" customFormat="1" ht="36" x14ac:dyDescent="0.2">
      <c r="A2330" s="510">
        <f>IF(B2330="","",COUNT('Diário 1º PA'!$A$4:$A$2635)+ROW()-3)</f>
        <v>4063</v>
      </c>
      <c r="B2330" s="414">
        <v>44736</v>
      </c>
      <c r="C2330" s="466">
        <v>44682</v>
      </c>
      <c r="D2330" s="415" t="s">
        <v>315</v>
      </c>
      <c r="E2330" s="415" t="s">
        <v>315</v>
      </c>
      <c r="F2330" s="435">
        <v>10415.200000000001</v>
      </c>
      <c r="G2330" s="437" t="s">
        <v>5088</v>
      </c>
      <c r="H2330" s="434" t="s">
        <v>310</v>
      </c>
      <c r="I2330" s="437" t="s">
        <v>1473</v>
      </c>
      <c r="J2330" s="434" t="s">
        <v>796</v>
      </c>
      <c r="K2330" s="434" t="s">
        <v>797</v>
      </c>
      <c r="L2330" s="434" t="s">
        <v>798</v>
      </c>
      <c r="M2330" s="436" t="s">
        <v>310</v>
      </c>
      <c r="N2330" s="414">
        <v>44736</v>
      </c>
      <c r="O2330" s="414" t="s">
        <v>400</v>
      </c>
      <c r="P2330" s="603">
        <f t="shared" si="348"/>
        <v>6</v>
      </c>
      <c r="Q2330" s="603">
        <f t="shared" si="349"/>
        <v>5</v>
      </c>
      <c r="R2330" s="604" t="str">
        <f t="shared" si="350"/>
        <v>Transferência_para_Reserva_de_Recursos</v>
      </c>
      <c r="S2330" s="605" t="s">
        <v>310</v>
      </c>
      <c r="T2330" s="605" t="s">
        <v>310</v>
      </c>
    </row>
    <row r="2331" spans="1:20" s="88" customFormat="1" ht="36" x14ac:dyDescent="0.2">
      <c r="A2331" s="510">
        <f>IF(B2331="","",COUNT('Diário 1º PA'!$A$4:$A$2635)+ROW()-3)</f>
        <v>4064</v>
      </c>
      <c r="B2331" s="414">
        <v>44736</v>
      </c>
      <c r="C2331" s="466">
        <v>44713</v>
      </c>
      <c r="D2331" s="415" t="s">
        <v>271</v>
      </c>
      <c r="E2331" s="415" t="s">
        <v>71</v>
      </c>
      <c r="F2331" s="425">
        <v>11</v>
      </c>
      <c r="G2331" s="427" t="s">
        <v>2221</v>
      </c>
      <c r="H2331" s="434" t="s">
        <v>309</v>
      </c>
      <c r="I2331" s="639" t="s">
        <v>881</v>
      </c>
      <c r="J2331" s="418" t="s">
        <v>882</v>
      </c>
      <c r="K2331" s="418" t="s">
        <v>883</v>
      </c>
      <c r="L2331" s="399" t="s">
        <v>798</v>
      </c>
      <c r="M2331" s="544" t="s">
        <v>310</v>
      </c>
      <c r="N2331" s="414">
        <v>44736</v>
      </c>
      <c r="O2331" s="414" t="s">
        <v>400</v>
      </c>
      <c r="P2331" s="603">
        <f t="shared" si="348"/>
        <v>6</v>
      </c>
      <c r="Q2331" s="603">
        <f t="shared" si="349"/>
        <v>6</v>
      </c>
      <c r="R2331" s="604" t="str">
        <f t="shared" si="350"/>
        <v>Gastos_Gerais</v>
      </c>
      <c r="S2331" s="605" t="s">
        <v>310</v>
      </c>
      <c r="T2331" s="605" t="s">
        <v>310</v>
      </c>
    </row>
    <row r="2332" spans="1:20" s="88" customFormat="1" ht="36" x14ac:dyDescent="0.2">
      <c r="A2332" s="510">
        <f>IF(B2332="","",COUNT('Diário 1º PA'!$A$4:$A$2635)+ROW()-3)</f>
        <v>4065</v>
      </c>
      <c r="B2332" s="414">
        <v>44736</v>
      </c>
      <c r="C2332" s="466">
        <v>44713</v>
      </c>
      <c r="D2332" s="415" t="s">
        <v>271</v>
      </c>
      <c r="E2332" s="415" t="s">
        <v>71</v>
      </c>
      <c r="F2332" s="425">
        <v>11</v>
      </c>
      <c r="G2332" s="427" t="s">
        <v>5089</v>
      </c>
      <c r="H2332" s="419" t="s">
        <v>752</v>
      </c>
      <c r="I2332" s="639" t="s">
        <v>881</v>
      </c>
      <c r="J2332" s="418" t="s">
        <v>882</v>
      </c>
      <c r="K2332" s="418" t="s">
        <v>883</v>
      </c>
      <c r="L2332" s="399" t="s">
        <v>798</v>
      </c>
      <c r="M2332" s="544" t="s">
        <v>310</v>
      </c>
      <c r="N2332" s="414">
        <v>44736</v>
      </c>
      <c r="O2332" s="414" t="s">
        <v>400</v>
      </c>
      <c r="P2332" s="603">
        <f t="shared" si="348"/>
        <v>6</v>
      </c>
      <c r="Q2332" s="603">
        <f t="shared" si="349"/>
        <v>6</v>
      </c>
      <c r="R2332" s="604" t="str">
        <f t="shared" si="350"/>
        <v>Gastos_Gerais</v>
      </c>
      <c r="S2332" s="605" t="s">
        <v>310</v>
      </c>
      <c r="T2332" s="605" t="s">
        <v>310</v>
      </c>
    </row>
    <row r="2333" spans="1:20" s="88" customFormat="1" ht="48" x14ac:dyDescent="0.2">
      <c r="A2333" s="510">
        <f>IF(B2333="","",COUNT('Diário 1º PA'!$A$4:$A$2635)+ROW()-3)</f>
        <v>4066</v>
      </c>
      <c r="B2333" s="414">
        <v>44736</v>
      </c>
      <c r="C2333" s="466">
        <v>44713</v>
      </c>
      <c r="D2333" s="415" t="s">
        <v>271</v>
      </c>
      <c r="E2333" s="415" t="s">
        <v>71</v>
      </c>
      <c r="F2333" s="425">
        <v>11</v>
      </c>
      <c r="G2333" s="427" t="s">
        <v>5090</v>
      </c>
      <c r="H2333" s="419" t="s">
        <v>751</v>
      </c>
      <c r="I2333" s="639" t="s">
        <v>881</v>
      </c>
      <c r="J2333" s="418" t="s">
        <v>882</v>
      </c>
      <c r="K2333" s="418" t="s">
        <v>883</v>
      </c>
      <c r="L2333" s="399" t="s">
        <v>798</v>
      </c>
      <c r="M2333" s="544" t="s">
        <v>310</v>
      </c>
      <c r="N2333" s="414">
        <v>44736</v>
      </c>
      <c r="O2333" s="414" t="s">
        <v>400</v>
      </c>
      <c r="P2333" s="603">
        <f t="shared" si="348"/>
        <v>6</v>
      </c>
      <c r="Q2333" s="603">
        <f t="shared" si="349"/>
        <v>6</v>
      </c>
      <c r="R2333" s="604" t="str">
        <f t="shared" si="350"/>
        <v>Gastos_Gerais</v>
      </c>
      <c r="S2333" s="605" t="s">
        <v>310</v>
      </c>
      <c r="T2333" s="605" t="s">
        <v>310</v>
      </c>
    </row>
    <row r="2334" spans="1:20" s="88" customFormat="1" ht="36" x14ac:dyDescent="0.2">
      <c r="A2334" s="510">
        <f>IF(B2334="","",COUNT('Diário 1º PA'!$A$4:$A$2635)+ROW()-3)</f>
        <v>4067</v>
      </c>
      <c r="B2334" s="414">
        <v>44736</v>
      </c>
      <c r="C2334" s="466">
        <v>44682</v>
      </c>
      <c r="D2334" s="415" t="s">
        <v>468</v>
      </c>
      <c r="E2334" s="415" t="s">
        <v>468</v>
      </c>
      <c r="F2334" s="425">
        <v>5585.43</v>
      </c>
      <c r="G2334" s="427" t="s">
        <v>4099</v>
      </c>
      <c r="H2334" s="419" t="s">
        <v>468</v>
      </c>
      <c r="I2334" s="639" t="s">
        <v>5619</v>
      </c>
      <c r="J2334" s="418" t="s">
        <v>4103</v>
      </c>
      <c r="K2334" s="418" t="s">
        <v>830</v>
      </c>
      <c r="L2334" s="399" t="s">
        <v>807</v>
      </c>
      <c r="M2334" s="544">
        <v>20224</v>
      </c>
      <c r="N2334" s="414">
        <v>44732</v>
      </c>
      <c r="O2334" s="414" t="s">
        <v>408</v>
      </c>
      <c r="P2334" s="603">
        <f t="shared" si="348"/>
        <v>6</v>
      </c>
      <c r="Q2334" s="603">
        <f t="shared" si="349"/>
        <v>5</v>
      </c>
      <c r="R2334" s="604" t="str">
        <f t="shared" si="350"/>
        <v>Gastos_custeados_por_captação</v>
      </c>
      <c r="S2334" s="605" t="s">
        <v>1000</v>
      </c>
      <c r="T2334" s="605">
        <v>3698</v>
      </c>
    </row>
    <row r="2335" spans="1:20" s="88" customFormat="1" ht="36" x14ac:dyDescent="0.2">
      <c r="A2335" s="510">
        <f>IF(B2335="","",COUNT('Diário 1º PA'!$A$4:$A$2635)+ROW()-3)</f>
        <v>4068</v>
      </c>
      <c r="B2335" s="414">
        <v>44736</v>
      </c>
      <c r="C2335" s="466">
        <v>44713</v>
      </c>
      <c r="D2335" s="415" t="s">
        <v>468</v>
      </c>
      <c r="E2335" s="415" t="s">
        <v>468</v>
      </c>
      <c r="F2335" s="425">
        <v>11</v>
      </c>
      <c r="G2335" s="427" t="s">
        <v>4799</v>
      </c>
      <c r="H2335" s="419" t="s">
        <v>468</v>
      </c>
      <c r="I2335" s="639" t="s">
        <v>881</v>
      </c>
      <c r="J2335" s="418" t="s">
        <v>882</v>
      </c>
      <c r="K2335" s="418" t="s">
        <v>883</v>
      </c>
      <c r="L2335" s="399" t="s">
        <v>798</v>
      </c>
      <c r="M2335" s="544" t="s">
        <v>310</v>
      </c>
      <c r="N2335" s="455">
        <v>44736</v>
      </c>
      <c r="O2335" s="414" t="s">
        <v>408</v>
      </c>
      <c r="P2335" s="603">
        <f t="shared" si="348"/>
        <v>6</v>
      </c>
      <c r="Q2335" s="603">
        <f t="shared" si="349"/>
        <v>6</v>
      </c>
      <c r="R2335" s="604" t="str">
        <f t="shared" si="350"/>
        <v>Gastos_custeados_por_captação</v>
      </c>
      <c r="S2335" s="605" t="s">
        <v>310</v>
      </c>
      <c r="T2335" s="605" t="s">
        <v>310</v>
      </c>
    </row>
    <row r="2336" spans="1:20" s="88" customFormat="1" ht="72" x14ac:dyDescent="0.2">
      <c r="A2336" s="510">
        <f>IF(B2336="","",COUNT('Diário 1º PA'!$A$4:$A$2635)+ROW()-3)</f>
        <v>4069</v>
      </c>
      <c r="B2336" s="414">
        <v>44736</v>
      </c>
      <c r="C2336" s="431">
        <v>44682</v>
      </c>
      <c r="D2336" s="415" t="s">
        <v>468</v>
      </c>
      <c r="E2336" s="415" t="s">
        <v>468</v>
      </c>
      <c r="F2336" s="425">
        <v>87.29</v>
      </c>
      <c r="G2336" s="427" t="s">
        <v>5629</v>
      </c>
      <c r="H2336" s="419" t="s">
        <v>468</v>
      </c>
      <c r="I2336" s="639" t="s">
        <v>881</v>
      </c>
      <c r="J2336" s="418" t="s">
        <v>882</v>
      </c>
      <c r="K2336" s="418" t="s">
        <v>883</v>
      </c>
      <c r="L2336" s="399" t="s">
        <v>798</v>
      </c>
      <c r="M2336" s="544" t="s">
        <v>310</v>
      </c>
      <c r="N2336" s="455">
        <v>44736</v>
      </c>
      <c r="O2336" s="414" t="s">
        <v>402</v>
      </c>
      <c r="P2336" s="603">
        <f t="shared" si="348"/>
        <v>6</v>
      </c>
      <c r="Q2336" s="603">
        <f t="shared" si="349"/>
        <v>5</v>
      </c>
      <c r="R2336" s="604" t="str">
        <f t="shared" si="350"/>
        <v>Gastos_custeados_por_captação</v>
      </c>
      <c r="S2336" s="605" t="s">
        <v>310</v>
      </c>
      <c r="T2336" s="605" t="s">
        <v>310</v>
      </c>
    </row>
    <row r="2337" spans="1:20" s="88" customFormat="1" ht="60" x14ac:dyDescent="0.2">
      <c r="A2337" s="510">
        <f>IF(B2337="","",COUNT('Diário 1º PA'!$A$4:$A$2635)+ROW()-3)</f>
        <v>4070</v>
      </c>
      <c r="B2337" s="414">
        <v>44736</v>
      </c>
      <c r="C2337" s="466">
        <v>44713</v>
      </c>
      <c r="D2337" s="415" t="s">
        <v>468</v>
      </c>
      <c r="E2337" s="415" t="s">
        <v>468</v>
      </c>
      <c r="F2337" s="425">
        <v>475.51</v>
      </c>
      <c r="G2337" s="427" t="s">
        <v>5630</v>
      </c>
      <c r="H2337" s="419" t="s">
        <v>468</v>
      </c>
      <c r="I2337" s="639" t="s">
        <v>881</v>
      </c>
      <c r="J2337" s="418" t="s">
        <v>882</v>
      </c>
      <c r="K2337" s="418" t="s">
        <v>883</v>
      </c>
      <c r="L2337" s="399" t="s">
        <v>798</v>
      </c>
      <c r="M2337" s="544" t="s">
        <v>310</v>
      </c>
      <c r="N2337" s="455">
        <v>44736</v>
      </c>
      <c r="O2337" s="414" t="s">
        <v>404</v>
      </c>
      <c r="P2337" s="603">
        <f t="shared" si="348"/>
        <v>6</v>
      </c>
      <c r="Q2337" s="603">
        <f t="shared" si="349"/>
        <v>6</v>
      </c>
      <c r="R2337" s="604" t="str">
        <f t="shared" si="350"/>
        <v>Gastos_custeados_por_captação</v>
      </c>
      <c r="S2337" s="605" t="s">
        <v>310</v>
      </c>
      <c r="T2337" s="605" t="s">
        <v>310</v>
      </c>
    </row>
    <row r="2338" spans="1:20" s="88" customFormat="1" ht="60" x14ac:dyDescent="0.2">
      <c r="A2338" s="510">
        <f>IF(B2338="","",COUNT('Diário 1º PA'!$A$4:$A$2635)+ROW()-3)</f>
        <v>4071</v>
      </c>
      <c r="B2338" s="414">
        <v>44736</v>
      </c>
      <c r="C2338" s="466">
        <v>44682</v>
      </c>
      <c r="D2338" s="415" t="s">
        <v>468</v>
      </c>
      <c r="E2338" s="415" t="s">
        <v>468</v>
      </c>
      <c r="F2338" s="425">
        <v>407.69</v>
      </c>
      <c r="G2338" s="427" t="s">
        <v>5638</v>
      </c>
      <c r="H2338" s="419" t="s">
        <v>468</v>
      </c>
      <c r="I2338" s="639" t="s">
        <v>1461</v>
      </c>
      <c r="J2338" s="418" t="s">
        <v>310</v>
      </c>
      <c r="K2338" s="418" t="s">
        <v>1220</v>
      </c>
      <c r="L2338" s="399" t="s">
        <v>1368</v>
      </c>
      <c r="M2338" s="544" t="s">
        <v>310</v>
      </c>
      <c r="N2338" s="455">
        <v>44736</v>
      </c>
      <c r="O2338" s="414" t="s">
        <v>405</v>
      </c>
      <c r="P2338" s="603">
        <f t="shared" si="348"/>
        <v>6</v>
      </c>
      <c r="Q2338" s="603">
        <f t="shared" si="349"/>
        <v>5</v>
      </c>
      <c r="R2338" s="604" t="str">
        <f t="shared" si="350"/>
        <v>Gastos_custeados_por_captação</v>
      </c>
      <c r="S2338" s="605" t="s">
        <v>310</v>
      </c>
      <c r="T2338" s="605" t="s">
        <v>310</v>
      </c>
    </row>
    <row r="2339" spans="1:20" s="88" customFormat="1" ht="108.75" customHeight="1" x14ac:dyDescent="0.2">
      <c r="A2339" s="510">
        <f>IF(B2339="","",COUNT('Diário 1º PA'!$A$4:$A$2635)+ROW()-3)</f>
        <v>4072</v>
      </c>
      <c r="B2339" s="414">
        <v>44736</v>
      </c>
      <c r="C2339" s="466">
        <v>44713</v>
      </c>
      <c r="D2339" s="415" t="s">
        <v>468</v>
      </c>
      <c r="E2339" s="415" t="s">
        <v>468</v>
      </c>
      <c r="F2339" s="425">
        <v>1500</v>
      </c>
      <c r="G2339" s="427" t="s">
        <v>4726</v>
      </c>
      <c r="H2339" s="419" t="s">
        <v>468</v>
      </c>
      <c r="I2339" s="639" t="s">
        <v>5639</v>
      </c>
      <c r="J2339" s="418" t="s">
        <v>4727</v>
      </c>
      <c r="K2339" s="418" t="s">
        <v>830</v>
      </c>
      <c r="L2339" s="399" t="s">
        <v>1305</v>
      </c>
      <c r="M2339" s="544" t="s">
        <v>310</v>
      </c>
      <c r="N2339" s="455">
        <v>44736</v>
      </c>
      <c r="O2339" s="414" t="s">
        <v>405</v>
      </c>
      <c r="P2339" s="603">
        <f t="shared" si="348"/>
        <v>6</v>
      </c>
      <c r="Q2339" s="603">
        <f t="shared" si="349"/>
        <v>6</v>
      </c>
      <c r="R2339" s="604" t="str">
        <f t="shared" si="350"/>
        <v>Gastos_custeados_por_captação</v>
      </c>
      <c r="S2339" s="605" t="s">
        <v>998</v>
      </c>
      <c r="T2339" s="605">
        <v>3915</v>
      </c>
    </row>
    <row r="2340" spans="1:20" s="88" customFormat="1" ht="48" x14ac:dyDescent="0.2">
      <c r="A2340" s="510">
        <f>IF(B2340="","",COUNT('Diário 1º PA'!$A$4:$A$2635)+ROW()-3)</f>
        <v>4073</v>
      </c>
      <c r="B2340" s="414">
        <v>44736</v>
      </c>
      <c r="C2340" s="466">
        <v>44682</v>
      </c>
      <c r="D2340" s="415" t="s">
        <v>468</v>
      </c>
      <c r="E2340" s="415" t="s">
        <v>468</v>
      </c>
      <c r="F2340" s="425">
        <v>67.73</v>
      </c>
      <c r="G2340" s="427" t="s">
        <v>5642</v>
      </c>
      <c r="H2340" s="419" t="s">
        <v>468</v>
      </c>
      <c r="I2340" s="639" t="s">
        <v>1461</v>
      </c>
      <c r="J2340" s="418" t="s">
        <v>310</v>
      </c>
      <c r="K2340" s="418" t="s">
        <v>1220</v>
      </c>
      <c r="L2340" s="399" t="s">
        <v>1368</v>
      </c>
      <c r="M2340" s="544" t="s">
        <v>310</v>
      </c>
      <c r="N2340" s="455">
        <v>44736</v>
      </c>
      <c r="O2340" s="414" t="s">
        <v>3762</v>
      </c>
      <c r="P2340" s="603">
        <f t="shared" si="348"/>
        <v>6</v>
      </c>
      <c r="Q2340" s="603">
        <f t="shared" si="349"/>
        <v>5</v>
      </c>
      <c r="R2340" s="604" t="str">
        <f t="shared" si="350"/>
        <v>Gastos_custeados_por_captação</v>
      </c>
      <c r="S2340" s="605" t="s">
        <v>310</v>
      </c>
      <c r="T2340" s="605" t="s">
        <v>310</v>
      </c>
    </row>
    <row r="2341" spans="1:20" s="88" customFormat="1" ht="36" x14ac:dyDescent="0.2">
      <c r="A2341" s="510">
        <f>IF(B2341="","",COUNT('Diário 1º PA'!$A$4:$A$2635)+ROW()-3)</f>
        <v>4074</v>
      </c>
      <c r="B2341" s="414">
        <v>44739</v>
      </c>
      <c r="C2341" s="431">
        <v>44713</v>
      </c>
      <c r="D2341" s="415" t="s">
        <v>34</v>
      </c>
      <c r="E2341" s="415" t="s">
        <v>167</v>
      </c>
      <c r="F2341" s="425">
        <v>552</v>
      </c>
      <c r="G2341" s="427" t="s">
        <v>5165</v>
      </c>
      <c r="H2341" s="415" t="s">
        <v>310</v>
      </c>
      <c r="I2341" s="427" t="s">
        <v>795</v>
      </c>
      <c r="J2341" s="415" t="s">
        <v>796</v>
      </c>
      <c r="K2341" s="415" t="s">
        <v>797</v>
      </c>
      <c r="L2341" s="415" t="s">
        <v>798</v>
      </c>
      <c r="M2341" s="415" t="s">
        <v>310</v>
      </c>
      <c r="N2341" s="414">
        <v>44739</v>
      </c>
      <c r="O2341" s="414" t="s">
        <v>400</v>
      </c>
      <c r="P2341" s="603">
        <f t="shared" si="348"/>
        <v>6</v>
      </c>
      <c r="Q2341" s="603">
        <f t="shared" si="349"/>
        <v>6</v>
      </c>
      <c r="R2341" s="604" t="str">
        <f t="shared" si="350"/>
        <v>Receitas</v>
      </c>
      <c r="S2341" s="605" t="s">
        <v>310</v>
      </c>
      <c r="T2341" s="605" t="s">
        <v>310</v>
      </c>
    </row>
    <row r="2342" spans="1:20" s="88" customFormat="1" ht="72" customHeight="1" x14ac:dyDescent="0.2">
      <c r="A2342" s="510">
        <f>IF(B2342="","",COUNT('Diário 1º PA'!$A$4:$A$2635)+ROW()-3)</f>
        <v>4075</v>
      </c>
      <c r="B2342" s="414">
        <v>44739</v>
      </c>
      <c r="C2342" s="431">
        <v>44593</v>
      </c>
      <c r="D2342" s="415" t="s">
        <v>271</v>
      </c>
      <c r="E2342" s="415" t="s">
        <v>453</v>
      </c>
      <c r="F2342" s="425">
        <v>1200</v>
      </c>
      <c r="G2342" s="427" t="s">
        <v>1828</v>
      </c>
      <c r="H2342" s="419" t="s">
        <v>749</v>
      </c>
      <c r="I2342" s="427" t="s">
        <v>1474</v>
      </c>
      <c r="J2342" s="415" t="s">
        <v>1475</v>
      </c>
      <c r="K2342" s="415" t="s">
        <v>830</v>
      </c>
      <c r="L2342" s="415" t="s">
        <v>807</v>
      </c>
      <c r="M2342" s="415" t="s">
        <v>1786</v>
      </c>
      <c r="N2342" s="414">
        <v>44736</v>
      </c>
      <c r="O2342" s="414" t="s">
        <v>400</v>
      </c>
      <c r="P2342" s="603">
        <f t="shared" si="348"/>
        <v>6</v>
      </c>
      <c r="Q2342" s="603">
        <f t="shared" si="349"/>
        <v>2</v>
      </c>
      <c r="R2342" s="604" t="str">
        <f t="shared" si="350"/>
        <v>Gastos_Gerais</v>
      </c>
      <c r="S2342" s="605" t="s">
        <v>998</v>
      </c>
      <c r="T2342" s="605">
        <v>2930</v>
      </c>
    </row>
    <row r="2343" spans="1:20" s="88" customFormat="1" ht="24" x14ac:dyDescent="0.2">
      <c r="A2343" s="510">
        <f>IF(B2343="","",COUNT('Diário 1º PA'!$A$4:$A$2635)+ROW()-3)</f>
        <v>4076</v>
      </c>
      <c r="B2343" s="414">
        <v>44739</v>
      </c>
      <c r="C2343" s="466">
        <v>44713</v>
      </c>
      <c r="D2343" s="415" t="s">
        <v>271</v>
      </c>
      <c r="E2343" s="415" t="s">
        <v>297</v>
      </c>
      <c r="F2343" s="435">
        <v>342</v>
      </c>
      <c r="G2343" s="437" t="s">
        <v>1484</v>
      </c>
      <c r="H2343" s="434" t="s">
        <v>309</v>
      </c>
      <c r="I2343" s="437" t="s">
        <v>1485</v>
      </c>
      <c r="J2343" s="434" t="s">
        <v>1483</v>
      </c>
      <c r="K2343" s="418" t="s">
        <v>812</v>
      </c>
      <c r="L2343" s="434" t="s">
        <v>807</v>
      </c>
      <c r="M2343" s="415">
        <v>6438936</v>
      </c>
      <c r="N2343" s="414">
        <v>44741</v>
      </c>
      <c r="O2343" s="414" t="s">
        <v>400</v>
      </c>
      <c r="P2343" s="603">
        <f t="shared" si="348"/>
        <v>6</v>
      </c>
      <c r="Q2343" s="603">
        <f t="shared" si="349"/>
        <v>6</v>
      </c>
      <c r="R2343" s="604" t="str">
        <f t="shared" si="350"/>
        <v>Gastos_Gerais</v>
      </c>
      <c r="S2343" s="605" t="s">
        <v>998</v>
      </c>
      <c r="T2343" s="605">
        <v>1551</v>
      </c>
    </row>
    <row r="2344" spans="1:20" s="88" customFormat="1" ht="24" x14ac:dyDescent="0.2">
      <c r="A2344" s="510">
        <f>IF(B2344="","",COUNT('Diário 1º PA'!$A$4:$A$2635)+ROW()-3)</f>
        <v>4077</v>
      </c>
      <c r="B2344" s="414">
        <v>44739</v>
      </c>
      <c r="C2344" s="466">
        <v>44713</v>
      </c>
      <c r="D2344" s="415" t="s">
        <v>182</v>
      </c>
      <c r="E2344" s="415" t="s">
        <v>161</v>
      </c>
      <c r="F2344" s="425">
        <v>937.39</v>
      </c>
      <c r="G2344" s="427" t="s">
        <v>1495</v>
      </c>
      <c r="H2344" s="415" t="s">
        <v>310</v>
      </c>
      <c r="I2344" s="427" t="s">
        <v>1496</v>
      </c>
      <c r="J2344" s="548" t="s">
        <v>1497</v>
      </c>
      <c r="K2344" s="415" t="s">
        <v>812</v>
      </c>
      <c r="L2344" s="415" t="s">
        <v>807</v>
      </c>
      <c r="M2344" s="415" t="s">
        <v>5575</v>
      </c>
      <c r="N2344" s="414">
        <v>44739</v>
      </c>
      <c r="O2344" s="414" t="s">
        <v>400</v>
      </c>
      <c r="P2344" s="603">
        <f t="shared" si="348"/>
        <v>6</v>
      </c>
      <c r="Q2344" s="603">
        <f t="shared" si="349"/>
        <v>6</v>
      </c>
      <c r="R2344" s="604" t="str">
        <f t="shared" si="350"/>
        <v>Gastos_com_Pessoal</v>
      </c>
      <c r="S2344" s="605" t="s">
        <v>310</v>
      </c>
      <c r="T2344" s="605" t="s">
        <v>310</v>
      </c>
    </row>
    <row r="2345" spans="1:20" s="88" customFormat="1" ht="24" x14ac:dyDescent="0.2">
      <c r="A2345" s="510">
        <f>IF(B2345="","",COUNT('Diário 1º PA'!$A$4:$A$2635)+ROW()-3)</f>
        <v>4078</v>
      </c>
      <c r="B2345" s="414">
        <v>44739</v>
      </c>
      <c r="C2345" s="466">
        <v>44713</v>
      </c>
      <c r="D2345" s="415" t="s">
        <v>182</v>
      </c>
      <c r="E2345" s="415" t="s">
        <v>161</v>
      </c>
      <c r="F2345" s="425">
        <v>2042.86</v>
      </c>
      <c r="G2345" s="427" t="s">
        <v>1495</v>
      </c>
      <c r="H2345" s="415" t="s">
        <v>310</v>
      </c>
      <c r="I2345" s="427" t="s">
        <v>2008</v>
      </c>
      <c r="J2345" s="548" t="s">
        <v>2009</v>
      </c>
      <c r="K2345" s="415" t="s">
        <v>812</v>
      </c>
      <c r="L2345" s="415" t="s">
        <v>807</v>
      </c>
      <c r="M2345" s="415" t="s">
        <v>5573</v>
      </c>
      <c r="N2345" s="414">
        <v>44740</v>
      </c>
      <c r="O2345" s="414" t="s">
        <v>400</v>
      </c>
      <c r="P2345" s="603">
        <f t="shared" si="348"/>
        <v>6</v>
      </c>
      <c r="Q2345" s="603">
        <f t="shared" si="349"/>
        <v>6</v>
      </c>
      <c r="R2345" s="604" t="str">
        <f t="shared" si="350"/>
        <v>Gastos_com_Pessoal</v>
      </c>
      <c r="S2345" s="605" t="s">
        <v>310</v>
      </c>
      <c r="T2345" s="605" t="s">
        <v>310</v>
      </c>
    </row>
    <row r="2346" spans="1:20" s="88" customFormat="1" ht="120" customHeight="1" x14ac:dyDescent="0.2">
      <c r="A2346" s="510">
        <f>IF(B2346="","",COUNT('Diário 1º PA'!$A$4:$A$2635)+ROW()-3)</f>
        <v>4079</v>
      </c>
      <c r="B2346" s="414">
        <v>44739</v>
      </c>
      <c r="C2346" s="466">
        <v>44682</v>
      </c>
      <c r="D2346" s="415" t="s">
        <v>468</v>
      </c>
      <c r="E2346" s="415" t="s">
        <v>468</v>
      </c>
      <c r="F2346" s="628">
        <v>1000</v>
      </c>
      <c r="G2346" s="427" t="s">
        <v>4012</v>
      </c>
      <c r="H2346" s="415" t="s">
        <v>468</v>
      </c>
      <c r="I2346" s="427" t="s">
        <v>5640</v>
      </c>
      <c r="J2346" s="548" t="s">
        <v>4013</v>
      </c>
      <c r="K2346" s="415" t="s">
        <v>830</v>
      </c>
      <c r="L2346" s="415" t="s">
        <v>1305</v>
      </c>
      <c r="M2346" s="415" t="s">
        <v>310</v>
      </c>
      <c r="N2346" s="414">
        <v>44739</v>
      </c>
      <c r="O2346" s="414" t="s">
        <v>405</v>
      </c>
      <c r="P2346" s="603">
        <f t="shared" si="348"/>
        <v>6</v>
      </c>
      <c r="Q2346" s="603">
        <f t="shared" si="349"/>
        <v>5</v>
      </c>
      <c r="R2346" s="604" t="str">
        <f t="shared" si="350"/>
        <v>Gastos_custeados_por_captação</v>
      </c>
      <c r="S2346" s="605" t="s">
        <v>998</v>
      </c>
      <c r="T2346" s="605">
        <v>3579</v>
      </c>
    </row>
    <row r="2347" spans="1:20" s="88" customFormat="1" ht="108" customHeight="1" x14ac:dyDescent="0.2">
      <c r="A2347" s="510">
        <f>IF(B2347="","",COUNT('Diário 1º PA'!$A$4:$A$2635)+ROW()-3)</f>
        <v>4080</v>
      </c>
      <c r="B2347" s="414">
        <v>44739</v>
      </c>
      <c r="C2347" s="466">
        <v>44713</v>
      </c>
      <c r="D2347" s="415" t="s">
        <v>468</v>
      </c>
      <c r="E2347" s="415" t="s">
        <v>468</v>
      </c>
      <c r="F2347" s="658">
        <v>1500</v>
      </c>
      <c r="G2347" s="427" t="s">
        <v>4753</v>
      </c>
      <c r="H2347" s="415" t="s">
        <v>468</v>
      </c>
      <c r="I2347" s="427" t="s">
        <v>5641</v>
      </c>
      <c r="J2347" s="548" t="s">
        <v>4754</v>
      </c>
      <c r="K2347" s="415" t="s">
        <v>830</v>
      </c>
      <c r="L2347" s="415" t="s">
        <v>1305</v>
      </c>
      <c r="M2347" s="415" t="s">
        <v>310</v>
      </c>
      <c r="N2347" s="414">
        <v>44739</v>
      </c>
      <c r="O2347" s="414" t="s">
        <v>405</v>
      </c>
      <c r="P2347" s="603">
        <f t="shared" si="348"/>
        <v>6</v>
      </c>
      <c r="Q2347" s="603">
        <f t="shared" si="349"/>
        <v>6</v>
      </c>
      <c r="R2347" s="604" t="str">
        <f t="shared" si="350"/>
        <v>Gastos_custeados_por_captação</v>
      </c>
      <c r="S2347" s="605" t="s">
        <v>998</v>
      </c>
      <c r="T2347" s="605">
        <v>3918</v>
      </c>
    </row>
    <row r="2348" spans="1:20" s="88" customFormat="1" ht="48" x14ac:dyDescent="0.2">
      <c r="A2348" s="510">
        <f>IF(B2348="","",COUNT('Diário 1º PA'!$A$4:$A$2635)+ROW()-3)</f>
        <v>4081</v>
      </c>
      <c r="B2348" s="414">
        <v>44739</v>
      </c>
      <c r="C2348" s="466">
        <v>44713</v>
      </c>
      <c r="D2348" s="415" t="s">
        <v>34</v>
      </c>
      <c r="E2348" s="415" t="s">
        <v>331</v>
      </c>
      <c r="F2348" s="459">
        <v>83000</v>
      </c>
      <c r="G2348" s="702" t="s">
        <v>5659</v>
      </c>
      <c r="H2348" s="415" t="s">
        <v>310</v>
      </c>
      <c r="I2348" s="427" t="s">
        <v>2437</v>
      </c>
      <c r="J2348" s="415" t="s">
        <v>796</v>
      </c>
      <c r="K2348" s="415" t="s">
        <v>797</v>
      </c>
      <c r="L2348" s="415" t="s">
        <v>798</v>
      </c>
      <c r="M2348" s="415" t="s">
        <v>310</v>
      </c>
      <c r="N2348" s="414">
        <v>44739</v>
      </c>
      <c r="O2348" s="414" t="s">
        <v>3762</v>
      </c>
      <c r="P2348" s="603">
        <f t="shared" si="348"/>
        <v>6</v>
      </c>
      <c r="Q2348" s="603">
        <f t="shared" si="349"/>
        <v>6</v>
      </c>
      <c r="R2348" s="604" t="str">
        <f t="shared" si="350"/>
        <v>Receitas</v>
      </c>
      <c r="S2348" s="605" t="s">
        <v>310</v>
      </c>
      <c r="T2348" s="605" t="s">
        <v>310</v>
      </c>
    </row>
    <row r="2349" spans="1:20" s="88" customFormat="1" ht="24" x14ac:dyDescent="0.2">
      <c r="A2349" s="510">
        <f>IF(B2349="","",COUNT('Diário 1º PA'!$A$4:$A$2635)+ROW()-3)</f>
        <v>4082</v>
      </c>
      <c r="B2349" s="414">
        <v>44741</v>
      </c>
      <c r="C2349" s="431">
        <v>44713</v>
      </c>
      <c r="D2349" s="415" t="s">
        <v>34</v>
      </c>
      <c r="E2349" s="415" t="s">
        <v>167</v>
      </c>
      <c r="F2349" s="425">
        <v>150</v>
      </c>
      <c r="G2349" s="427" t="s">
        <v>5398</v>
      </c>
      <c r="H2349" s="415" t="s">
        <v>310</v>
      </c>
      <c r="I2349" s="427" t="s">
        <v>795</v>
      </c>
      <c r="J2349" s="415" t="s">
        <v>796</v>
      </c>
      <c r="K2349" s="415" t="s">
        <v>797</v>
      </c>
      <c r="L2349" s="415" t="s">
        <v>798</v>
      </c>
      <c r="M2349" s="415" t="s">
        <v>310</v>
      </c>
      <c r="N2349" s="414">
        <v>44739</v>
      </c>
      <c r="O2349" s="414" t="s">
        <v>400</v>
      </c>
      <c r="P2349" s="603">
        <f t="shared" si="348"/>
        <v>6</v>
      </c>
      <c r="Q2349" s="603">
        <f t="shared" si="349"/>
        <v>6</v>
      </c>
      <c r="R2349" s="604" t="str">
        <f t="shared" ref="R2349:R2356" si="351">SUBSTITUTE(D2349," ","_")</f>
        <v>Receitas</v>
      </c>
      <c r="S2349" s="605" t="s">
        <v>310</v>
      </c>
      <c r="T2349" s="605" t="s">
        <v>310</v>
      </c>
    </row>
    <row r="2350" spans="1:20" s="88" customFormat="1" ht="24" x14ac:dyDescent="0.2">
      <c r="A2350" s="510">
        <f>IF(B2350="","",COUNT('Diário 1º PA'!$A$4:$A$2635)+ROW()-3)</f>
        <v>4083</v>
      </c>
      <c r="B2350" s="414">
        <v>44741</v>
      </c>
      <c r="C2350" s="433">
        <v>44713</v>
      </c>
      <c r="D2350" s="415" t="s">
        <v>182</v>
      </c>
      <c r="E2350" s="415" t="s">
        <v>6</v>
      </c>
      <c r="F2350" s="425">
        <v>558.30999999999995</v>
      </c>
      <c r="G2350" s="440" t="s">
        <v>5394</v>
      </c>
      <c r="H2350" s="415" t="s">
        <v>310</v>
      </c>
      <c r="I2350" s="437" t="s">
        <v>1486</v>
      </c>
      <c r="J2350" s="418" t="s">
        <v>1487</v>
      </c>
      <c r="K2350" s="418" t="s">
        <v>812</v>
      </c>
      <c r="L2350" s="399" t="s">
        <v>807</v>
      </c>
      <c r="M2350" s="544">
        <v>298503</v>
      </c>
      <c r="N2350" s="414">
        <v>44746</v>
      </c>
      <c r="O2350" s="414" t="s">
        <v>400</v>
      </c>
      <c r="P2350" s="603">
        <f t="shared" ref="P2350:P2356" si="352">IF(B2350=0,0,IF(YEAR(B2350)=$Q$1,MONTH(B2350)-$P$1+1,(YEAR(B2350)-$Q$1)*12-$P$1+1+MONTH(B2350)))</f>
        <v>6</v>
      </c>
      <c r="Q2350" s="603">
        <f t="shared" ref="Q2350:Q2356" si="353">IF(C2350=0,0,IF(YEAR(C2350)=$Q$1,MONTH(C2350)-$P$1+1,(YEAR(C2350)-$Q$1)*12-$P$1+1+MONTH(C2350)))</f>
        <v>6</v>
      </c>
      <c r="R2350" s="607" t="str">
        <f t="shared" si="351"/>
        <v>Gastos_com_Pessoal</v>
      </c>
      <c r="S2350" s="605" t="s">
        <v>310</v>
      </c>
      <c r="T2350" s="605" t="s">
        <v>310</v>
      </c>
    </row>
    <row r="2351" spans="1:20" s="88" customFormat="1" ht="60" x14ac:dyDescent="0.2">
      <c r="A2351" s="510">
        <f>IF(B2351="","",COUNT('Diário 1º PA'!$A$4:$A$2635)+ROW()-3)</f>
        <v>4084</v>
      </c>
      <c r="B2351" s="455">
        <v>44742</v>
      </c>
      <c r="C2351" s="592">
        <v>44713</v>
      </c>
      <c r="D2351" s="415" t="s">
        <v>271</v>
      </c>
      <c r="E2351" s="415" t="s">
        <v>297</v>
      </c>
      <c r="F2351" s="425">
        <v>241.92</v>
      </c>
      <c r="G2351" s="427" t="s">
        <v>475</v>
      </c>
      <c r="H2351" s="415" t="s">
        <v>309</v>
      </c>
      <c r="I2351" s="427" t="s">
        <v>1517</v>
      </c>
      <c r="J2351" s="415" t="s">
        <v>3749</v>
      </c>
      <c r="K2351" s="415" t="s">
        <v>812</v>
      </c>
      <c r="L2351" s="415" t="s">
        <v>807</v>
      </c>
      <c r="M2351" s="415">
        <v>36378</v>
      </c>
      <c r="N2351" s="414">
        <v>44714</v>
      </c>
      <c r="O2351" s="414" t="s">
        <v>400</v>
      </c>
      <c r="P2351" s="603">
        <f t="shared" si="352"/>
        <v>6</v>
      </c>
      <c r="Q2351" s="603">
        <f t="shared" si="353"/>
        <v>6</v>
      </c>
      <c r="R2351" s="604" t="str">
        <f t="shared" si="351"/>
        <v>Gastos_Gerais</v>
      </c>
      <c r="S2351" s="605" t="s">
        <v>1000</v>
      </c>
      <c r="T2351" s="605">
        <v>1672</v>
      </c>
    </row>
    <row r="2352" spans="1:20" s="88" customFormat="1" ht="24" x14ac:dyDescent="0.2">
      <c r="A2352" s="510">
        <f>IF(B2352="","",COUNT('Diário 1º PA'!$A$4:$A$2635)+ROW()-3)</f>
        <v>4085</v>
      </c>
      <c r="B2352" s="455">
        <v>44742</v>
      </c>
      <c r="C2352" s="466">
        <v>44713</v>
      </c>
      <c r="D2352" s="415" t="s">
        <v>182</v>
      </c>
      <c r="E2352" s="415" t="s">
        <v>161</v>
      </c>
      <c r="F2352" s="425">
        <v>136.28</v>
      </c>
      <c r="G2352" s="427" t="s">
        <v>1495</v>
      </c>
      <c r="H2352" s="415" t="s">
        <v>310</v>
      </c>
      <c r="I2352" s="427" t="s">
        <v>2008</v>
      </c>
      <c r="J2352" s="548" t="s">
        <v>2009</v>
      </c>
      <c r="K2352" s="415" t="s">
        <v>812</v>
      </c>
      <c r="L2352" s="415" t="s">
        <v>807</v>
      </c>
      <c r="M2352" s="415" t="s">
        <v>5643</v>
      </c>
      <c r="N2352" s="414">
        <v>44747</v>
      </c>
      <c r="O2352" s="414" t="s">
        <v>400</v>
      </c>
      <c r="P2352" s="603">
        <f t="shared" si="352"/>
        <v>6</v>
      </c>
      <c r="Q2352" s="603">
        <f t="shared" si="353"/>
        <v>6</v>
      </c>
      <c r="R2352" s="604" t="str">
        <f t="shared" si="351"/>
        <v>Gastos_com_Pessoal</v>
      </c>
      <c r="S2352" s="605" t="s">
        <v>310</v>
      </c>
      <c r="T2352" s="605" t="s">
        <v>310</v>
      </c>
    </row>
    <row r="2353" spans="1:20" s="88" customFormat="1" ht="24" x14ac:dyDescent="0.2">
      <c r="A2353" s="510">
        <f>IF(B2353="","",COUNT('Diário 1º PA'!$A$4:$A$2635)+ROW()-3)</f>
        <v>4086</v>
      </c>
      <c r="B2353" s="455">
        <v>44742</v>
      </c>
      <c r="C2353" s="466">
        <v>44713</v>
      </c>
      <c r="D2353" s="415" t="s">
        <v>271</v>
      </c>
      <c r="E2353" s="415" t="s">
        <v>71</v>
      </c>
      <c r="F2353" s="425">
        <v>11</v>
      </c>
      <c r="G2353" s="427" t="s">
        <v>5404</v>
      </c>
      <c r="H2353" s="419" t="s">
        <v>309</v>
      </c>
      <c r="I2353" s="639" t="s">
        <v>881</v>
      </c>
      <c r="J2353" s="418" t="s">
        <v>882</v>
      </c>
      <c r="K2353" s="418" t="s">
        <v>883</v>
      </c>
      <c r="L2353" s="399" t="s">
        <v>798</v>
      </c>
      <c r="M2353" s="544" t="s">
        <v>310</v>
      </c>
      <c r="N2353" s="455">
        <v>44742</v>
      </c>
      <c r="O2353" s="414" t="s">
        <v>400</v>
      </c>
      <c r="P2353" s="603">
        <f t="shared" si="352"/>
        <v>6</v>
      </c>
      <c r="Q2353" s="603">
        <f t="shared" si="353"/>
        <v>6</v>
      </c>
      <c r="R2353" s="604" t="str">
        <f t="shared" si="351"/>
        <v>Gastos_Gerais</v>
      </c>
      <c r="S2353" s="605" t="s">
        <v>310</v>
      </c>
      <c r="T2353" s="605" t="s">
        <v>310</v>
      </c>
    </row>
    <row r="2354" spans="1:20" s="88" customFormat="1" ht="24" x14ac:dyDescent="0.2">
      <c r="A2354" s="510">
        <f>IF(B2354="","",COUNT('Diário 1º PA'!$A$4:$A$2635)+ROW()-3)</f>
        <v>4087</v>
      </c>
      <c r="B2354" s="455">
        <v>44742</v>
      </c>
      <c r="C2354" s="466">
        <v>44713</v>
      </c>
      <c r="D2354" s="415" t="s">
        <v>271</v>
      </c>
      <c r="E2354" s="415" t="s">
        <v>71</v>
      </c>
      <c r="F2354" s="425">
        <v>11</v>
      </c>
      <c r="G2354" s="427" t="s">
        <v>4799</v>
      </c>
      <c r="H2354" s="419" t="s">
        <v>309</v>
      </c>
      <c r="I2354" s="639" t="s">
        <v>881</v>
      </c>
      <c r="J2354" s="418" t="s">
        <v>882</v>
      </c>
      <c r="K2354" s="418" t="s">
        <v>883</v>
      </c>
      <c r="L2354" s="399" t="s">
        <v>798</v>
      </c>
      <c r="M2354" s="544" t="s">
        <v>310</v>
      </c>
      <c r="N2354" s="455">
        <v>44742</v>
      </c>
      <c r="O2354" s="414" t="s">
        <v>400</v>
      </c>
      <c r="P2354" s="603">
        <f t="shared" si="352"/>
        <v>6</v>
      </c>
      <c r="Q2354" s="603">
        <f t="shared" si="353"/>
        <v>6</v>
      </c>
      <c r="R2354" s="604" t="str">
        <f t="shared" si="351"/>
        <v>Gastos_Gerais</v>
      </c>
      <c r="S2354" s="605" t="s">
        <v>310</v>
      </c>
      <c r="T2354" s="605" t="s">
        <v>310</v>
      </c>
    </row>
    <row r="2355" spans="1:20" s="88" customFormat="1" ht="36" x14ac:dyDescent="0.2">
      <c r="A2355" s="510">
        <f>IF(B2355="","",COUNT('Diário 1º PA'!$A$4:$A$2635)+ROW()-3)</f>
        <v>4088</v>
      </c>
      <c r="B2355" s="455">
        <v>44742</v>
      </c>
      <c r="C2355" s="466">
        <v>44713</v>
      </c>
      <c r="D2355" s="415" t="s">
        <v>295</v>
      </c>
      <c r="E2355" s="415" t="s">
        <v>295</v>
      </c>
      <c r="F2355" s="425">
        <v>25292.35</v>
      </c>
      <c r="G2355" s="427" t="s">
        <v>5436</v>
      </c>
      <c r="H2355" s="415" t="s">
        <v>310</v>
      </c>
      <c r="I2355" s="427" t="s">
        <v>1520</v>
      </c>
      <c r="J2355" s="415" t="s">
        <v>796</v>
      </c>
      <c r="K2355" s="415" t="s">
        <v>797</v>
      </c>
      <c r="L2355" s="415" t="s">
        <v>798</v>
      </c>
      <c r="M2355" s="415" t="s">
        <v>310</v>
      </c>
      <c r="N2355" s="455">
        <v>44742</v>
      </c>
      <c r="O2355" s="414" t="s">
        <v>400</v>
      </c>
      <c r="P2355" s="603">
        <f t="shared" si="352"/>
        <v>6</v>
      </c>
      <c r="Q2355" s="603">
        <f t="shared" si="353"/>
        <v>6</v>
      </c>
      <c r="R2355" s="604" t="str">
        <f t="shared" si="351"/>
        <v>Rendimentos_de_Aplicações_Fin.</v>
      </c>
      <c r="S2355" s="605" t="s">
        <v>310</v>
      </c>
      <c r="T2355" s="605" t="s">
        <v>310</v>
      </c>
    </row>
    <row r="2356" spans="1:20" s="88" customFormat="1" ht="24" x14ac:dyDescent="0.2">
      <c r="A2356" s="510">
        <f>IF(B2356="","",COUNT('Diário 1º PA'!$A$4:$A$2635)+ROW()-3)</f>
        <v>4089</v>
      </c>
      <c r="B2356" s="455">
        <v>44742</v>
      </c>
      <c r="C2356" s="466">
        <v>44713</v>
      </c>
      <c r="D2356" s="415" t="s">
        <v>271</v>
      </c>
      <c r="E2356" s="415" t="s">
        <v>78</v>
      </c>
      <c r="F2356" s="425">
        <v>827.15</v>
      </c>
      <c r="G2356" s="427" t="s">
        <v>5437</v>
      </c>
      <c r="H2356" s="415" t="s">
        <v>310</v>
      </c>
      <c r="I2356" s="427" t="s">
        <v>1461</v>
      </c>
      <c r="J2356" s="415" t="s">
        <v>310</v>
      </c>
      <c r="K2356" s="415" t="s">
        <v>1220</v>
      </c>
      <c r="L2356" s="415" t="s">
        <v>1368</v>
      </c>
      <c r="M2356" s="415" t="s">
        <v>310</v>
      </c>
      <c r="N2356" s="455">
        <v>44742</v>
      </c>
      <c r="O2356" s="414" t="s">
        <v>400</v>
      </c>
      <c r="P2356" s="603">
        <f t="shared" si="352"/>
        <v>6</v>
      </c>
      <c r="Q2356" s="603">
        <f t="shared" si="353"/>
        <v>6</v>
      </c>
      <c r="R2356" s="604" t="str">
        <f t="shared" si="351"/>
        <v>Gastos_Gerais</v>
      </c>
      <c r="S2356" s="605" t="s">
        <v>310</v>
      </c>
      <c r="T2356" s="605" t="s">
        <v>310</v>
      </c>
    </row>
    <row r="2357" spans="1:20" s="88" customFormat="1" ht="24" x14ac:dyDescent="0.2">
      <c r="A2357" s="510">
        <f>IF(B2357="","",COUNT('Diário 1º PA'!$A$4:$A$2635)+ROW()-3)</f>
        <v>4090</v>
      </c>
      <c r="B2357" s="455">
        <v>44742</v>
      </c>
      <c r="C2357" s="466">
        <v>44713</v>
      </c>
      <c r="D2357" s="415" t="s">
        <v>271</v>
      </c>
      <c r="E2357" s="415" t="s">
        <v>68</v>
      </c>
      <c r="F2357" s="425">
        <v>111.41</v>
      </c>
      <c r="G2357" s="427" t="s">
        <v>5438</v>
      </c>
      <c r="H2357" s="415" t="s">
        <v>310</v>
      </c>
      <c r="I2357" s="427" t="s">
        <v>1461</v>
      </c>
      <c r="J2357" s="415" t="s">
        <v>310</v>
      </c>
      <c r="K2357" s="415" t="s">
        <v>1220</v>
      </c>
      <c r="L2357" s="415" t="s">
        <v>1368</v>
      </c>
      <c r="M2357" s="415" t="s">
        <v>310</v>
      </c>
      <c r="N2357" s="455">
        <v>44742</v>
      </c>
      <c r="O2357" s="414" t="s">
        <v>400</v>
      </c>
      <c r="P2357" s="603">
        <f t="shared" ref="P2357:P2363" si="354">IF(B2357=0,0,IF(YEAR(B2357)=$Q$1,MONTH(B2357)-$P$1+1,(YEAR(B2357)-$Q$1)*12-$P$1+1+MONTH(B2357)))</f>
        <v>6</v>
      </c>
      <c r="Q2357" s="603">
        <f t="shared" ref="Q2357:Q2363" si="355">IF(C2357=0,0,IF(YEAR(C2357)=$Q$1,MONTH(C2357)-$P$1+1,(YEAR(C2357)-$Q$1)*12-$P$1+1+MONTH(C2357)))</f>
        <v>6</v>
      </c>
      <c r="R2357" s="604" t="str">
        <f t="shared" ref="R2357:R2363" si="356">SUBSTITUTE(D2357," ","_")</f>
        <v>Gastos_Gerais</v>
      </c>
      <c r="S2357" s="605" t="s">
        <v>310</v>
      </c>
      <c r="T2357" s="605" t="s">
        <v>310</v>
      </c>
    </row>
    <row r="2358" spans="1:20" s="88" customFormat="1" ht="36" x14ac:dyDescent="0.2">
      <c r="A2358" s="510">
        <f>IF(B2358="","",COUNT('Diário 1º PA'!$A$4:$A$2635)+ROW()-3)</f>
        <v>4091</v>
      </c>
      <c r="B2358" s="455">
        <v>44742</v>
      </c>
      <c r="C2358" s="466">
        <v>44713</v>
      </c>
      <c r="D2358" s="415" t="s">
        <v>468</v>
      </c>
      <c r="E2358" s="415" t="s">
        <v>468</v>
      </c>
      <c r="F2358" s="425">
        <v>11</v>
      </c>
      <c r="G2358" s="427" t="s">
        <v>4799</v>
      </c>
      <c r="H2358" s="419" t="s">
        <v>468</v>
      </c>
      <c r="I2358" s="639" t="s">
        <v>881</v>
      </c>
      <c r="J2358" s="418" t="s">
        <v>882</v>
      </c>
      <c r="K2358" s="418" t="s">
        <v>883</v>
      </c>
      <c r="L2358" s="399" t="s">
        <v>798</v>
      </c>
      <c r="M2358" s="544" t="s">
        <v>310</v>
      </c>
      <c r="N2358" s="455">
        <v>44742</v>
      </c>
      <c r="O2358" s="414" t="s">
        <v>408</v>
      </c>
      <c r="P2358" s="603">
        <f t="shared" si="354"/>
        <v>6</v>
      </c>
      <c r="Q2358" s="603">
        <f t="shared" si="355"/>
        <v>6</v>
      </c>
      <c r="R2358" s="604" t="str">
        <f t="shared" si="356"/>
        <v>Gastos_custeados_por_captação</v>
      </c>
      <c r="S2358" s="605" t="s">
        <v>310</v>
      </c>
      <c r="T2358" s="605" t="s">
        <v>310</v>
      </c>
    </row>
    <row r="2359" spans="1:20" s="88" customFormat="1" ht="36" x14ac:dyDescent="0.2">
      <c r="A2359" s="510">
        <f>IF(B2359="","",COUNT('Diário 1º PA'!$A$4:$A$2635)+ROW()-3)</f>
        <v>4092</v>
      </c>
      <c r="B2359" s="455">
        <v>44742</v>
      </c>
      <c r="C2359" s="466">
        <v>44713</v>
      </c>
      <c r="D2359" s="415" t="s">
        <v>468</v>
      </c>
      <c r="E2359" s="415" t="s">
        <v>468</v>
      </c>
      <c r="F2359" s="425">
        <v>11</v>
      </c>
      <c r="G2359" s="427" t="s">
        <v>4799</v>
      </c>
      <c r="H2359" s="419" t="s">
        <v>468</v>
      </c>
      <c r="I2359" s="639" t="s">
        <v>881</v>
      </c>
      <c r="J2359" s="418" t="s">
        <v>882</v>
      </c>
      <c r="K2359" s="418" t="s">
        <v>883</v>
      </c>
      <c r="L2359" s="399" t="s">
        <v>798</v>
      </c>
      <c r="M2359" s="544" t="s">
        <v>310</v>
      </c>
      <c r="N2359" s="455">
        <v>44742</v>
      </c>
      <c r="O2359" s="414" t="s">
        <v>408</v>
      </c>
      <c r="P2359" s="603">
        <f t="shared" si="354"/>
        <v>6</v>
      </c>
      <c r="Q2359" s="603">
        <f t="shared" si="355"/>
        <v>6</v>
      </c>
      <c r="R2359" s="604" t="str">
        <f t="shared" si="356"/>
        <v>Gastos_custeados_por_captação</v>
      </c>
      <c r="S2359" s="605" t="s">
        <v>310</v>
      </c>
      <c r="T2359" s="605" t="s">
        <v>310</v>
      </c>
    </row>
    <row r="2360" spans="1:20" s="88" customFormat="1" ht="36" x14ac:dyDescent="0.2">
      <c r="A2360" s="510">
        <f>IF(B2360="","",COUNT('Diário 1º PA'!$A$4:$A$2635)+ROW()-3)</f>
        <v>4093</v>
      </c>
      <c r="B2360" s="455">
        <v>44742</v>
      </c>
      <c r="C2360" s="466">
        <v>44713</v>
      </c>
      <c r="D2360" s="415" t="s">
        <v>468</v>
      </c>
      <c r="E2360" s="415" t="s">
        <v>468</v>
      </c>
      <c r="F2360" s="425">
        <v>11</v>
      </c>
      <c r="G2360" s="427" t="s">
        <v>4799</v>
      </c>
      <c r="H2360" s="419" t="s">
        <v>468</v>
      </c>
      <c r="I2360" s="639" t="s">
        <v>881</v>
      </c>
      <c r="J2360" s="418" t="s">
        <v>882</v>
      </c>
      <c r="K2360" s="418" t="s">
        <v>883</v>
      </c>
      <c r="L2360" s="399" t="s">
        <v>798</v>
      </c>
      <c r="M2360" s="544" t="s">
        <v>310</v>
      </c>
      <c r="N2360" s="455">
        <v>44742</v>
      </c>
      <c r="O2360" s="414" t="s">
        <v>408</v>
      </c>
      <c r="P2360" s="603">
        <f t="shared" si="354"/>
        <v>6</v>
      </c>
      <c r="Q2360" s="603">
        <f t="shared" si="355"/>
        <v>6</v>
      </c>
      <c r="R2360" s="604" t="str">
        <f t="shared" si="356"/>
        <v>Gastos_custeados_por_captação</v>
      </c>
      <c r="S2360" s="605" t="s">
        <v>310</v>
      </c>
      <c r="T2360" s="605" t="s">
        <v>310</v>
      </c>
    </row>
    <row r="2361" spans="1:20" s="88" customFormat="1" ht="36" x14ac:dyDescent="0.2">
      <c r="A2361" s="510">
        <f>IF(B2361="","",COUNT('Diário 1º PA'!$A$4:$A$2635)+ROW()-3)</f>
        <v>4094</v>
      </c>
      <c r="B2361" s="455">
        <v>44742</v>
      </c>
      <c r="C2361" s="466">
        <v>44713</v>
      </c>
      <c r="D2361" s="415" t="s">
        <v>468</v>
      </c>
      <c r="E2361" s="415" t="s">
        <v>468</v>
      </c>
      <c r="F2361" s="425">
        <v>11</v>
      </c>
      <c r="G2361" s="427" t="s">
        <v>4799</v>
      </c>
      <c r="H2361" s="419" t="s">
        <v>468</v>
      </c>
      <c r="I2361" s="639" t="s">
        <v>881</v>
      </c>
      <c r="J2361" s="418" t="s">
        <v>882</v>
      </c>
      <c r="K2361" s="418" t="s">
        <v>883</v>
      </c>
      <c r="L2361" s="399" t="s">
        <v>798</v>
      </c>
      <c r="M2361" s="544" t="s">
        <v>310</v>
      </c>
      <c r="N2361" s="455">
        <v>44742</v>
      </c>
      <c r="O2361" s="414" t="s">
        <v>408</v>
      </c>
      <c r="P2361" s="603">
        <f t="shared" si="354"/>
        <v>6</v>
      </c>
      <c r="Q2361" s="603">
        <f t="shared" si="355"/>
        <v>6</v>
      </c>
      <c r="R2361" s="604" t="str">
        <f t="shared" si="356"/>
        <v>Gastos_custeados_por_captação</v>
      </c>
      <c r="S2361" s="605" t="s">
        <v>310</v>
      </c>
      <c r="T2361" s="605" t="s">
        <v>310</v>
      </c>
    </row>
    <row r="2362" spans="1:20" s="88" customFormat="1" ht="36" x14ac:dyDescent="0.2">
      <c r="A2362" s="510">
        <f>IF(B2362="","",COUNT('Diário 1º PA'!$A$4:$A$2635)+ROW()-3)</f>
        <v>4095</v>
      </c>
      <c r="B2362" s="455">
        <v>44742</v>
      </c>
      <c r="C2362" s="466">
        <v>44713</v>
      </c>
      <c r="D2362" s="415" t="s">
        <v>468</v>
      </c>
      <c r="E2362" s="415" t="s">
        <v>468</v>
      </c>
      <c r="F2362" s="425">
        <v>11</v>
      </c>
      <c r="G2362" s="427" t="s">
        <v>4799</v>
      </c>
      <c r="H2362" s="419" t="s">
        <v>468</v>
      </c>
      <c r="I2362" s="639" t="s">
        <v>881</v>
      </c>
      <c r="J2362" s="418" t="s">
        <v>882</v>
      </c>
      <c r="K2362" s="418" t="s">
        <v>883</v>
      </c>
      <c r="L2362" s="399" t="s">
        <v>798</v>
      </c>
      <c r="M2362" s="544" t="s">
        <v>310</v>
      </c>
      <c r="N2362" s="455">
        <v>44742</v>
      </c>
      <c r="O2362" s="414" t="s">
        <v>408</v>
      </c>
      <c r="P2362" s="603">
        <f t="shared" si="354"/>
        <v>6</v>
      </c>
      <c r="Q2362" s="603">
        <f t="shared" si="355"/>
        <v>6</v>
      </c>
      <c r="R2362" s="604" t="str">
        <f t="shared" si="356"/>
        <v>Gastos_custeados_por_captação</v>
      </c>
      <c r="S2362" s="605" t="s">
        <v>310</v>
      </c>
      <c r="T2362" s="605" t="s">
        <v>310</v>
      </c>
    </row>
    <row r="2363" spans="1:20" s="88" customFormat="1" ht="36" x14ac:dyDescent="0.2">
      <c r="A2363" s="510">
        <f>IF(B2363="","",COUNT('Diário 1º PA'!$A$4:$A$2635)+ROW()-3)</f>
        <v>4096</v>
      </c>
      <c r="B2363" s="455">
        <v>44742</v>
      </c>
      <c r="C2363" s="466">
        <v>44713</v>
      </c>
      <c r="D2363" s="415" t="s">
        <v>468</v>
      </c>
      <c r="E2363" s="415" t="s">
        <v>468</v>
      </c>
      <c r="F2363" s="425">
        <v>11</v>
      </c>
      <c r="G2363" s="427" t="s">
        <v>4799</v>
      </c>
      <c r="H2363" s="419" t="s">
        <v>468</v>
      </c>
      <c r="I2363" s="639" t="s">
        <v>881</v>
      </c>
      <c r="J2363" s="418" t="s">
        <v>882</v>
      </c>
      <c r="K2363" s="418" t="s">
        <v>883</v>
      </c>
      <c r="L2363" s="399" t="s">
        <v>798</v>
      </c>
      <c r="M2363" s="544" t="s">
        <v>310</v>
      </c>
      <c r="N2363" s="455">
        <v>44742</v>
      </c>
      <c r="O2363" s="414" t="s">
        <v>408</v>
      </c>
      <c r="P2363" s="603">
        <f t="shared" si="354"/>
        <v>6</v>
      </c>
      <c r="Q2363" s="603">
        <f t="shared" si="355"/>
        <v>6</v>
      </c>
      <c r="R2363" s="604" t="str">
        <f t="shared" si="356"/>
        <v>Gastos_custeados_por_captação</v>
      </c>
      <c r="S2363" s="605" t="s">
        <v>310</v>
      </c>
      <c r="T2363" s="605" t="s">
        <v>310</v>
      </c>
    </row>
    <row r="2364" spans="1:20" s="88" customFormat="1" ht="72" x14ac:dyDescent="0.2">
      <c r="A2364" s="510">
        <f>IF(B2364="","",COUNT('Diário 1º PA'!$A$4:$A$2635)+ROW()-3)</f>
        <v>4097</v>
      </c>
      <c r="B2364" s="455">
        <v>44742</v>
      </c>
      <c r="C2364" s="466">
        <v>44713</v>
      </c>
      <c r="D2364" s="415" t="s">
        <v>468</v>
      </c>
      <c r="E2364" s="415" t="s">
        <v>468</v>
      </c>
      <c r="F2364" s="425">
        <v>11</v>
      </c>
      <c r="G2364" s="427" t="s">
        <v>4799</v>
      </c>
      <c r="H2364" s="419" t="s">
        <v>468</v>
      </c>
      <c r="I2364" s="639" t="s">
        <v>881</v>
      </c>
      <c r="J2364" s="418" t="s">
        <v>882</v>
      </c>
      <c r="K2364" s="418" t="s">
        <v>883</v>
      </c>
      <c r="L2364" s="399" t="s">
        <v>798</v>
      </c>
      <c r="M2364" s="544" t="s">
        <v>310</v>
      </c>
      <c r="N2364" s="455">
        <v>44742</v>
      </c>
      <c r="O2364" s="414" t="s">
        <v>402</v>
      </c>
      <c r="P2364" s="603">
        <f>IF(B2364=0,0,IF(YEAR(B2364)=$Q$1,MONTH(B2364)-$P$1+1,(YEAR(B2364)-$Q$1)*12-$P$1+1+MONTH(B2364)))</f>
        <v>6</v>
      </c>
      <c r="Q2364" s="603">
        <f>IF(C2364=0,0,IF(YEAR(C2364)=$Q$1,MONTH(C2364)-$P$1+1,(YEAR(C2364)-$Q$1)*12-$P$1+1+MONTH(C2364)))</f>
        <v>6</v>
      </c>
      <c r="R2364" s="604" t="str">
        <f>SUBSTITUTE(D2364," ","_")</f>
        <v>Gastos_custeados_por_captação</v>
      </c>
      <c r="S2364" s="605" t="s">
        <v>310</v>
      </c>
      <c r="T2364" s="605" t="s">
        <v>310</v>
      </c>
    </row>
    <row r="2365" spans="1:20" s="88" customFormat="1" ht="72" x14ac:dyDescent="0.2">
      <c r="A2365" s="510">
        <f>IF(B2365="","",COUNT('Diário 1º PA'!$A$4:$A$2635)+ROW()-3)</f>
        <v>4098</v>
      </c>
      <c r="B2365" s="455">
        <v>44742</v>
      </c>
      <c r="C2365" s="466">
        <v>44713</v>
      </c>
      <c r="D2365" s="415" t="s">
        <v>468</v>
      </c>
      <c r="E2365" s="415" t="s">
        <v>468</v>
      </c>
      <c r="F2365" s="425">
        <v>11</v>
      </c>
      <c r="G2365" s="427" t="s">
        <v>4799</v>
      </c>
      <c r="H2365" s="419" t="s">
        <v>468</v>
      </c>
      <c r="I2365" s="639" t="s">
        <v>881</v>
      </c>
      <c r="J2365" s="418" t="s">
        <v>882</v>
      </c>
      <c r="K2365" s="418" t="s">
        <v>883</v>
      </c>
      <c r="L2365" s="399" t="s">
        <v>798</v>
      </c>
      <c r="M2365" s="544" t="s">
        <v>310</v>
      </c>
      <c r="N2365" s="455">
        <v>44742</v>
      </c>
      <c r="O2365" s="414" t="s">
        <v>402</v>
      </c>
      <c r="P2365" s="603">
        <f>IF(B2365=0,0,IF(YEAR(B2365)=$Q$1,MONTH(B2365)-$P$1+1,(YEAR(B2365)-$Q$1)*12-$P$1+1+MONTH(B2365)))</f>
        <v>6</v>
      </c>
      <c r="Q2365" s="603">
        <f>IF(C2365=0,0,IF(YEAR(C2365)=$Q$1,MONTH(C2365)-$P$1+1,(YEAR(C2365)-$Q$1)*12-$P$1+1+MONTH(C2365)))</f>
        <v>6</v>
      </c>
      <c r="R2365" s="604" t="str">
        <f>SUBSTITUTE(D2365," ","_")</f>
        <v>Gastos_custeados_por_captação</v>
      </c>
      <c r="S2365" s="605" t="s">
        <v>310</v>
      </c>
      <c r="T2365" s="605" t="s">
        <v>310</v>
      </c>
    </row>
    <row r="2366" spans="1:20" s="88" customFormat="1" ht="68.25" customHeight="1" x14ac:dyDescent="0.2">
      <c r="A2366" s="510">
        <f>IF(B2366="","",COUNT('Diário 1º PA'!$A$4:$A$2635)+ROW()-3)</f>
        <v>4099</v>
      </c>
      <c r="B2366" s="455">
        <v>44742</v>
      </c>
      <c r="C2366" s="592">
        <v>44713</v>
      </c>
      <c r="D2366" s="415" t="s">
        <v>468</v>
      </c>
      <c r="E2366" s="415" t="s">
        <v>468</v>
      </c>
      <c r="F2366" s="425">
        <v>167.75</v>
      </c>
      <c r="G2366" s="427" t="s">
        <v>5477</v>
      </c>
      <c r="H2366" s="419" t="s">
        <v>468</v>
      </c>
      <c r="I2366" s="427" t="s">
        <v>5631</v>
      </c>
      <c r="J2366" s="415" t="s">
        <v>5476</v>
      </c>
      <c r="K2366" s="415" t="s">
        <v>830</v>
      </c>
      <c r="L2366" s="415" t="s">
        <v>807</v>
      </c>
      <c r="M2366" s="415">
        <v>1246</v>
      </c>
      <c r="N2366" s="414">
        <v>44742</v>
      </c>
      <c r="O2366" s="414" t="s">
        <v>404</v>
      </c>
      <c r="P2366" s="603">
        <f t="shared" ref="P2366:P2413" si="357">IF(B2366=0,0,IF(YEAR(B2366)=$Q$1,MONTH(B2366)-$P$1+1,(YEAR(B2366)-$Q$1)*12-$P$1+1+MONTH(B2366)))</f>
        <v>6</v>
      </c>
      <c r="Q2366" s="603">
        <f t="shared" ref="Q2366:Q2413" si="358">IF(C2366=0,0,IF(YEAR(C2366)=$Q$1,MONTH(C2366)-$P$1+1,(YEAR(C2366)-$Q$1)*12-$P$1+1+MONTH(C2366)))</f>
        <v>6</v>
      </c>
      <c r="R2366" s="604" t="str">
        <f t="shared" ref="R2366:R2412" si="359">SUBSTITUTE(D2366," ","_")</f>
        <v>Gastos_custeados_por_captação</v>
      </c>
      <c r="S2366" s="605" t="s">
        <v>999</v>
      </c>
      <c r="T2366" s="605">
        <v>4020</v>
      </c>
    </row>
    <row r="2367" spans="1:20" s="88" customFormat="1" ht="12.75" hidden="1" x14ac:dyDescent="0.2">
      <c r="A2367" s="510" t="str">
        <f>IF(B2367="","",COUNT('Diário 1º PA'!$A$4:$A$2635)+ROW()-3)</f>
        <v/>
      </c>
      <c r="B2367" s="414"/>
      <c r="C2367" s="592"/>
      <c r="D2367" s="415"/>
      <c r="E2367" s="415"/>
      <c r="F2367" s="425"/>
      <c r="G2367" s="427"/>
      <c r="H2367" s="415"/>
      <c r="I2367" s="427"/>
      <c r="J2367" s="415"/>
      <c r="K2367" s="415"/>
      <c r="L2367" s="415"/>
      <c r="M2367" s="415"/>
      <c r="N2367" s="414"/>
      <c r="O2367" s="414"/>
      <c r="P2367" s="603">
        <f t="shared" si="357"/>
        <v>0</v>
      </c>
      <c r="Q2367" s="603">
        <f t="shared" si="358"/>
        <v>0</v>
      </c>
      <c r="R2367" s="604" t="str">
        <f t="shared" si="359"/>
        <v/>
      </c>
      <c r="S2367" s="605"/>
      <c r="T2367" s="605"/>
    </row>
    <row r="2368" spans="1:20" s="88" customFormat="1" ht="12.75" hidden="1" x14ac:dyDescent="0.2">
      <c r="A2368" s="510" t="str">
        <f>IF(B2368="","",COUNT('Diário 1º PA'!$A$4:$A$2635)+ROW()-3)</f>
        <v/>
      </c>
      <c r="B2368" s="414"/>
      <c r="C2368" s="592"/>
      <c r="D2368" s="415"/>
      <c r="E2368" s="415"/>
      <c r="F2368" s="425"/>
      <c r="G2368" s="427"/>
      <c r="H2368" s="415"/>
      <c r="I2368" s="427"/>
      <c r="J2368" s="415"/>
      <c r="K2368" s="415"/>
      <c r="L2368" s="415"/>
      <c r="M2368" s="415"/>
      <c r="N2368" s="414"/>
      <c r="O2368" s="414"/>
      <c r="P2368" s="603">
        <f t="shared" si="357"/>
        <v>0</v>
      </c>
      <c r="Q2368" s="603">
        <f t="shared" si="358"/>
        <v>0</v>
      </c>
      <c r="R2368" s="604" t="str">
        <f t="shared" si="359"/>
        <v/>
      </c>
      <c r="S2368" s="605"/>
      <c r="T2368" s="605"/>
    </row>
    <row r="2369" spans="1:20" s="88" customFormat="1" ht="12.75" hidden="1" x14ac:dyDescent="0.2">
      <c r="A2369" s="510" t="str">
        <f>IF(B2369="","",COUNT('Diário 1º PA'!$A$4:$A$2635)+ROW()-3)</f>
        <v/>
      </c>
      <c r="B2369" s="414"/>
      <c r="C2369" s="592"/>
      <c r="D2369" s="415"/>
      <c r="E2369" s="415"/>
      <c r="F2369" s="425"/>
      <c r="G2369" s="427"/>
      <c r="H2369" s="415"/>
      <c r="I2369" s="427"/>
      <c r="J2369" s="415"/>
      <c r="K2369" s="415"/>
      <c r="L2369" s="415"/>
      <c r="M2369" s="415"/>
      <c r="N2369" s="414"/>
      <c r="O2369" s="414"/>
      <c r="P2369" s="603">
        <f t="shared" si="357"/>
        <v>0</v>
      </c>
      <c r="Q2369" s="603">
        <f t="shared" si="358"/>
        <v>0</v>
      </c>
      <c r="R2369" s="604" t="str">
        <f t="shared" si="359"/>
        <v/>
      </c>
      <c r="S2369" s="605"/>
      <c r="T2369" s="605"/>
    </row>
    <row r="2370" spans="1:20" s="88" customFormat="1" ht="12.75" hidden="1" x14ac:dyDescent="0.2">
      <c r="A2370" s="510" t="str">
        <f>IF(B2370="","",COUNT('Diário 1º PA'!$A$4:$A$2635)+ROW()-3)</f>
        <v/>
      </c>
      <c r="B2370" s="414"/>
      <c r="C2370" s="592"/>
      <c r="D2370" s="415"/>
      <c r="E2370" s="415"/>
      <c r="F2370" s="425"/>
      <c r="G2370" s="427"/>
      <c r="H2370" s="415"/>
      <c r="I2370" s="427"/>
      <c r="J2370" s="415"/>
      <c r="K2370" s="415"/>
      <c r="L2370" s="415"/>
      <c r="M2370" s="415"/>
      <c r="N2370" s="414"/>
      <c r="O2370" s="414"/>
      <c r="P2370" s="603">
        <f t="shared" si="357"/>
        <v>0</v>
      </c>
      <c r="Q2370" s="603">
        <f t="shared" si="358"/>
        <v>0</v>
      </c>
      <c r="R2370" s="604" t="str">
        <f t="shared" si="359"/>
        <v/>
      </c>
      <c r="S2370" s="605"/>
      <c r="T2370" s="605"/>
    </row>
    <row r="2371" spans="1:20" s="88" customFormat="1" ht="12.75" hidden="1" x14ac:dyDescent="0.2">
      <c r="A2371" s="510" t="str">
        <f>IF(B2371="","",COUNT('Diário 1º PA'!$A$4:$A$2635)+ROW()-3)</f>
        <v/>
      </c>
      <c r="B2371" s="414"/>
      <c r="C2371" s="592"/>
      <c r="D2371" s="415"/>
      <c r="E2371" s="415"/>
      <c r="F2371" s="425"/>
      <c r="G2371" s="427"/>
      <c r="H2371" s="415"/>
      <c r="I2371" s="427"/>
      <c r="J2371" s="415"/>
      <c r="K2371" s="415"/>
      <c r="L2371" s="415"/>
      <c r="M2371" s="415"/>
      <c r="N2371" s="414"/>
      <c r="O2371" s="414"/>
      <c r="P2371" s="603">
        <f t="shared" si="357"/>
        <v>0</v>
      </c>
      <c r="Q2371" s="603">
        <f t="shared" si="358"/>
        <v>0</v>
      </c>
      <c r="R2371" s="604" t="str">
        <f t="shared" si="359"/>
        <v/>
      </c>
      <c r="S2371" s="605"/>
      <c r="T2371" s="605"/>
    </row>
    <row r="2372" spans="1:20" s="88" customFormat="1" ht="12.75" hidden="1" x14ac:dyDescent="0.2">
      <c r="A2372" s="510" t="str">
        <f>IF(B2372="","",COUNT('Diário 1º PA'!$A$4:$A$2635)+ROW()-3)</f>
        <v/>
      </c>
      <c r="B2372" s="414"/>
      <c r="C2372" s="592"/>
      <c r="D2372" s="415"/>
      <c r="E2372" s="415"/>
      <c r="F2372" s="425"/>
      <c r="G2372" s="427"/>
      <c r="H2372" s="415"/>
      <c r="I2372" s="427"/>
      <c r="J2372" s="415"/>
      <c r="K2372" s="415"/>
      <c r="L2372" s="415"/>
      <c r="M2372" s="415"/>
      <c r="N2372" s="414"/>
      <c r="O2372" s="414"/>
      <c r="P2372" s="603">
        <f t="shared" si="357"/>
        <v>0</v>
      </c>
      <c r="Q2372" s="603">
        <f t="shared" si="358"/>
        <v>0</v>
      </c>
      <c r="R2372" s="604" t="str">
        <f t="shared" si="359"/>
        <v/>
      </c>
      <c r="S2372" s="605"/>
      <c r="T2372" s="605"/>
    </row>
    <row r="2373" spans="1:20" s="88" customFormat="1" ht="12.75" hidden="1" x14ac:dyDescent="0.2">
      <c r="A2373" s="510" t="str">
        <f>IF(B2373="","",COUNT('Diário 1º PA'!$A$4:$A$2635)+ROW()-3)</f>
        <v/>
      </c>
      <c r="B2373" s="414"/>
      <c r="C2373" s="592"/>
      <c r="D2373" s="415"/>
      <c r="E2373" s="415"/>
      <c r="F2373" s="425"/>
      <c r="G2373" s="427"/>
      <c r="H2373" s="415"/>
      <c r="I2373" s="427"/>
      <c r="J2373" s="415"/>
      <c r="K2373" s="415"/>
      <c r="L2373" s="415"/>
      <c r="M2373" s="415"/>
      <c r="N2373" s="414"/>
      <c r="O2373" s="414"/>
      <c r="P2373" s="603">
        <f t="shared" si="357"/>
        <v>0</v>
      </c>
      <c r="Q2373" s="603">
        <f t="shared" si="358"/>
        <v>0</v>
      </c>
      <c r="R2373" s="604" t="str">
        <f t="shared" si="359"/>
        <v/>
      </c>
      <c r="S2373" s="605"/>
      <c r="T2373" s="605"/>
    </row>
    <row r="2374" spans="1:20" s="88" customFormat="1" ht="12.75" hidden="1" x14ac:dyDescent="0.2">
      <c r="A2374" s="510" t="str">
        <f>IF(B2374="","",COUNT('Diário 1º PA'!$A$4:$A$2635)+ROW()-3)</f>
        <v/>
      </c>
      <c r="B2374" s="414"/>
      <c r="C2374" s="592"/>
      <c r="D2374" s="415"/>
      <c r="E2374" s="415"/>
      <c r="F2374" s="425"/>
      <c r="G2374" s="427"/>
      <c r="H2374" s="415"/>
      <c r="I2374" s="427"/>
      <c r="J2374" s="415"/>
      <c r="K2374" s="415"/>
      <c r="L2374" s="415"/>
      <c r="M2374" s="415"/>
      <c r="N2374" s="414"/>
      <c r="O2374" s="414"/>
      <c r="P2374" s="603">
        <f t="shared" si="357"/>
        <v>0</v>
      </c>
      <c r="Q2374" s="603">
        <f t="shared" si="358"/>
        <v>0</v>
      </c>
      <c r="R2374" s="604" t="str">
        <f t="shared" si="359"/>
        <v/>
      </c>
      <c r="S2374" s="605"/>
      <c r="T2374" s="605"/>
    </row>
    <row r="2375" spans="1:20" s="88" customFormat="1" ht="12.75" hidden="1" x14ac:dyDescent="0.2">
      <c r="A2375" s="510" t="str">
        <f>IF(B2375="","",COUNT('Diário 1º PA'!$A$4:$A$2635)+ROW()-3)</f>
        <v/>
      </c>
      <c r="B2375" s="414"/>
      <c r="C2375" s="592"/>
      <c r="D2375" s="415"/>
      <c r="E2375" s="415"/>
      <c r="F2375" s="425"/>
      <c r="G2375" s="427"/>
      <c r="H2375" s="415"/>
      <c r="I2375" s="427"/>
      <c r="J2375" s="415"/>
      <c r="K2375" s="415"/>
      <c r="L2375" s="415"/>
      <c r="M2375" s="415"/>
      <c r="N2375" s="414"/>
      <c r="O2375" s="414"/>
      <c r="P2375" s="603">
        <f t="shared" si="357"/>
        <v>0</v>
      </c>
      <c r="Q2375" s="603">
        <f t="shared" si="358"/>
        <v>0</v>
      </c>
      <c r="R2375" s="604" t="str">
        <f t="shared" si="359"/>
        <v/>
      </c>
      <c r="S2375" s="605"/>
      <c r="T2375" s="605"/>
    </row>
    <row r="2376" spans="1:20" s="88" customFormat="1" ht="12.75" hidden="1" x14ac:dyDescent="0.2">
      <c r="A2376" s="510" t="str">
        <f>IF(B2376="","",COUNT('Diário 1º PA'!$A$4:$A$2635)+ROW()-3)</f>
        <v/>
      </c>
      <c r="B2376" s="414"/>
      <c r="C2376" s="592"/>
      <c r="D2376" s="415"/>
      <c r="E2376" s="415"/>
      <c r="F2376" s="425"/>
      <c r="G2376" s="427"/>
      <c r="H2376" s="415"/>
      <c r="I2376" s="427"/>
      <c r="J2376" s="415"/>
      <c r="K2376" s="415"/>
      <c r="L2376" s="415"/>
      <c r="M2376" s="415"/>
      <c r="N2376" s="414"/>
      <c r="O2376" s="414"/>
      <c r="P2376" s="603">
        <f t="shared" si="357"/>
        <v>0</v>
      </c>
      <c r="Q2376" s="603">
        <f t="shared" si="358"/>
        <v>0</v>
      </c>
      <c r="R2376" s="604" t="str">
        <f t="shared" si="359"/>
        <v/>
      </c>
      <c r="S2376" s="605"/>
      <c r="T2376" s="605"/>
    </row>
    <row r="2377" spans="1:20" s="88" customFormat="1" ht="12.75" hidden="1" x14ac:dyDescent="0.2">
      <c r="A2377" s="510" t="str">
        <f>IF(B2377="","",COUNT('Diário 1º PA'!$A$4:$A$2635)+ROW()-3)</f>
        <v/>
      </c>
      <c r="B2377" s="414"/>
      <c r="C2377" s="592"/>
      <c r="D2377" s="415"/>
      <c r="E2377" s="415"/>
      <c r="F2377" s="425"/>
      <c r="G2377" s="427"/>
      <c r="H2377" s="415"/>
      <c r="I2377" s="427"/>
      <c r="J2377" s="415"/>
      <c r="K2377" s="415"/>
      <c r="L2377" s="415"/>
      <c r="M2377" s="415"/>
      <c r="N2377" s="414"/>
      <c r="O2377" s="414"/>
      <c r="P2377" s="603">
        <f t="shared" si="357"/>
        <v>0</v>
      </c>
      <c r="Q2377" s="603">
        <f t="shared" si="358"/>
        <v>0</v>
      </c>
      <c r="R2377" s="604" t="str">
        <f t="shared" si="359"/>
        <v/>
      </c>
      <c r="S2377" s="605"/>
      <c r="T2377" s="605"/>
    </row>
    <row r="2378" spans="1:20" s="88" customFormat="1" ht="12.75" hidden="1" x14ac:dyDescent="0.2">
      <c r="A2378" s="510" t="str">
        <f>IF(B2378="","",COUNT('Diário 1º PA'!$A$4:$A$2635)+ROW()-3)</f>
        <v/>
      </c>
      <c r="B2378" s="414"/>
      <c r="C2378" s="592"/>
      <c r="D2378" s="415"/>
      <c r="E2378" s="415"/>
      <c r="F2378" s="425"/>
      <c r="G2378" s="427"/>
      <c r="H2378" s="415"/>
      <c r="I2378" s="427"/>
      <c r="J2378" s="415"/>
      <c r="K2378" s="415"/>
      <c r="L2378" s="415"/>
      <c r="M2378" s="415"/>
      <c r="N2378" s="414"/>
      <c r="O2378" s="414"/>
      <c r="P2378" s="603">
        <f t="shared" si="357"/>
        <v>0</v>
      </c>
      <c r="Q2378" s="603">
        <f t="shared" si="358"/>
        <v>0</v>
      </c>
      <c r="R2378" s="604" t="str">
        <f t="shared" si="359"/>
        <v/>
      </c>
      <c r="S2378" s="605"/>
      <c r="T2378" s="605"/>
    </row>
    <row r="2379" spans="1:20" s="88" customFormat="1" ht="12.75" hidden="1" x14ac:dyDescent="0.2">
      <c r="A2379" s="510" t="str">
        <f>IF(B2379="","",COUNT('Diário 1º PA'!$A$4:$A$2635)+ROW()-3)</f>
        <v/>
      </c>
      <c r="B2379" s="414"/>
      <c r="C2379" s="592"/>
      <c r="D2379" s="415"/>
      <c r="E2379" s="415"/>
      <c r="F2379" s="425"/>
      <c r="G2379" s="427"/>
      <c r="H2379" s="415"/>
      <c r="I2379" s="427"/>
      <c r="J2379" s="415"/>
      <c r="K2379" s="415"/>
      <c r="L2379" s="415"/>
      <c r="M2379" s="415"/>
      <c r="N2379" s="414"/>
      <c r="O2379" s="414"/>
      <c r="P2379" s="603">
        <f t="shared" si="357"/>
        <v>0</v>
      </c>
      <c r="Q2379" s="603">
        <f t="shared" si="358"/>
        <v>0</v>
      </c>
      <c r="R2379" s="604" t="str">
        <f t="shared" si="359"/>
        <v/>
      </c>
      <c r="S2379" s="605"/>
      <c r="T2379" s="605"/>
    </row>
    <row r="2380" spans="1:20" s="88" customFormat="1" ht="12.75" hidden="1" x14ac:dyDescent="0.2">
      <c r="A2380" s="510" t="str">
        <f>IF(B2380="","",COUNT('Diário 1º PA'!$A$4:$A$2635)+ROW()-3)</f>
        <v/>
      </c>
      <c r="B2380" s="414"/>
      <c r="C2380" s="592"/>
      <c r="D2380" s="415"/>
      <c r="E2380" s="415"/>
      <c r="F2380" s="425"/>
      <c r="G2380" s="427"/>
      <c r="H2380" s="415"/>
      <c r="I2380" s="427"/>
      <c r="J2380" s="415"/>
      <c r="K2380" s="415"/>
      <c r="L2380" s="415"/>
      <c r="M2380" s="415"/>
      <c r="N2380" s="414"/>
      <c r="O2380" s="414"/>
      <c r="P2380" s="603">
        <f t="shared" si="357"/>
        <v>0</v>
      </c>
      <c r="Q2380" s="603">
        <f t="shared" si="358"/>
        <v>0</v>
      </c>
      <c r="R2380" s="604" t="str">
        <f t="shared" si="359"/>
        <v/>
      </c>
      <c r="S2380" s="605"/>
      <c r="T2380" s="605"/>
    </row>
    <row r="2381" spans="1:20" s="88" customFormat="1" ht="12.75" hidden="1" x14ac:dyDescent="0.2">
      <c r="A2381" s="510" t="str">
        <f>IF(B2381="","",COUNT('Diário 1º PA'!$A$4:$A$2635)+ROW()-3)</f>
        <v/>
      </c>
      <c r="B2381" s="414"/>
      <c r="C2381" s="592"/>
      <c r="D2381" s="415"/>
      <c r="E2381" s="415"/>
      <c r="F2381" s="425"/>
      <c r="G2381" s="427"/>
      <c r="H2381" s="415"/>
      <c r="I2381" s="427"/>
      <c r="J2381" s="415"/>
      <c r="K2381" s="415"/>
      <c r="L2381" s="415"/>
      <c r="M2381" s="415"/>
      <c r="N2381" s="414"/>
      <c r="O2381" s="414"/>
      <c r="P2381" s="603">
        <f t="shared" si="357"/>
        <v>0</v>
      </c>
      <c r="Q2381" s="603">
        <f t="shared" si="358"/>
        <v>0</v>
      </c>
      <c r="R2381" s="604" t="str">
        <f t="shared" si="359"/>
        <v/>
      </c>
      <c r="S2381" s="605"/>
      <c r="T2381" s="605"/>
    </row>
    <row r="2382" spans="1:20" s="88" customFormat="1" ht="12.75" hidden="1" x14ac:dyDescent="0.2">
      <c r="A2382" s="510" t="str">
        <f>IF(B2382="","",COUNT('Diário 1º PA'!$A$4:$A$2635)+ROW()-3)</f>
        <v/>
      </c>
      <c r="B2382" s="414"/>
      <c r="C2382" s="592"/>
      <c r="D2382" s="415"/>
      <c r="E2382" s="415"/>
      <c r="F2382" s="425"/>
      <c r="G2382" s="427"/>
      <c r="H2382" s="415"/>
      <c r="I2382" s="427"/>
      <c r="J2382" s="415"/>
      <c r="K2382" s="415"/>
      <c r="L2382" s="415"/>
      <c r="M2382" s="415"/>
      <c r="N2382" s="414"/>
      <c r="O2382" s="414"/>
      <c r="P2382" s="603">
        <f t="shared" si="357"/>
        <v>0</v>
      </c>
      <c r="Q2382" s="603">
        <f t="shared" si="358"/>
        <v>0</v>
      </c>
      <c r="R2382" s="604" t="str">
        <f t="shared" si="359"/>
        <v/>
      </c>
      <c r="S2382" s="605"/>
      <c r="T2382" s="605"/>
    </row>
    <row r="2383" spans="1:20" s="88" customFormat="1" ht="12.75" hidden="1" x14ac:dyDescent="0.2">
      <c r="A2383" s="510" t="str">
        <f>IF(B2383="","",COUNT('Diário 1º PA'!$A$4:$A$2635)+ROW()-3)</f>
        <v/>
      </c>
      <c r="B2383" s="414"/>
      <c r="C2383" s="592"/>
      <c r="D2383" s="415"/>
      <c r="E2383" s="415"/>
      <c r="F2383" s="425"/>
      <c r="G2383" s="427"/>
      <c r="H2383" s="415"/>
      <c r="I2383" s="427"/>
      <c r="J2383" s="415"/>
      <c r="K2383" s="415"/>
      <c r="L2383" s="415"/>
      <c r="M2383" s="415"/>
      <c r="N2383" s="414"/>
      <c r="O2383" s="414"/>
      <c r="P2383" s="603">
        <f t="shared" si="357"/>
        <v>0</v>
      </c>
      <c r="Q2383" s="603">
        <f t="shared" si="358"/>
        <v>0</v>
      </c>
      <c r="R2383" s="604" t="str">
        <f t="shared" si="359"/>
        <v/>
      </c>
      <c r="S2383" s="605"/>
      <c r="T2383" s="605"/>
    </row>
    <row r="2384" spans="1:20" s="88" customFormat="1" ht="12.75" hidden="1" x14ac:dyDescent="0.2">
      <c r="A2384" s="510" t="str">
        <f>IF(B2384="","",COUNT('Diário 1º PA'!$A$4:$A$2635)+ROW()-3)</f>
        <v/>
      </c>
      <c r="B2384" s="414"/>
      <c r="C2384" s="592"/>
      <c r="D2384" s="415"/>
      <c r="E2384" s="415"/>
      <c r="F2384" s="425"/>
      <c r="G2384" s="427"/>
      <c r="H2384" s="415"/>
      <c r="I2384" s="427"/>
      <c r="J2384" s="415"/>
      <c r="K2384" s="415"/>
      <c r="L2384" s="415"/>
      <c r="M2384" s="415"/>
      <c r="N2384" s="414"/>
      <c r="O2384" s="414"/>
      <c r="P2384" s="603">
        <f t="shared" si="357"/>
        <v>0</v>
      </c>
      <c r="Q2384" s="603">
        <f t="shared" si="358"/>
        <v>0</v>
      </c>
      <c r="R2384" s="604" t="str">
        <f t="shared" si="359"/>
        <v/>
      </c>
      <c r="S2384" s="605"/>
      <c r="T2384" s="605"/>
    </row>
    <row r="2385" spans="1:20" s="88" customFormat="1" ht="12.75" hidden="1" x14ac:dyDescent="0.2">
      <c r="A2385" s="510" t="str">
        <f>IF(B2385="","",COUNT('Diário 1º PA'!$A$4:$A$2635)+ROW()-3)</f>
        <v/>
      </c>
      <c r="B2385" s="414"/>
      <c r="C2385" s="592"/>
      <c r="D2385" s="415"/>
      <c r="E2385" s="415"/>
      <c r="F2385" s="425"/>
      <c r="G2385" s="427"/>
      <c r="H2385" s="415"/>
      <c r="I2385" s="427"/>
      <c r="J2385" s="415"/>
      <c r="K2385" s="415"/>
      <c r="L2385" s="415"/>
      <c r="M2385" s="415"/>
      <c r="N2385" s="414"/>
      <c r="O2385" s="414"/>
      <c r="P2385" s="603">
        <f t="shared" si="357"/>
        <v>0</v>
      </c>
      <c r="Q2385" s="603">
        <f t="shared" si="358"/>
        <v>0</v>
      </c>
      <c r="R2385" s="604" t="str">
        <f t="shared" si="359"/>
        <v/>
      </c>
      <c r="S2385" s="605"/>
      <c r="T2385" s="605"/>
    </row>
    <row r="2386" spans="1:20" s="88" customFormat="1" ht="12.75" hidden="1" x14ac:dyDescent="0.2">
      <c r="A2386" s="510" t="str">
        <f>IF(B2386="","",COUNT('Diário 1º PA'!$A$4:$A$2635)+ROW()-3)</f>
        <v/>
      </c>
      <c r="B2386" s="414"/>
      <c r="C2386" s="592"/>
      <c r="D2386" s="415"/>
      <c r="E2386" s="415"/>
      <c r="F2386" s="425"/>
      <c r="G2386" s="427"/>
      <c r="H2386" s="415"/>
      <c r="I2386" s="427"/>
      <c r="J2386" s="415"/>
      <c r="K2386" s="415"/>
      <c r="L2386" s="415"/>
      <c r="M2386" s="415"/>
      <c r="N2386" s="414"/>
      <c r="O2386" s="414"/>
      <c r="P2386" s="603">
        <f t="shared" si="357"/>
        <v>0</v>
      </c>
      <c r="Q2386" s="603">
        <f t="shared" si="358"/>
        <v>0</v>
      </c>
      <c r="R2386" s="604" t="str">
        <f t="shared" si="359"/>
        <v/>
      </c>
      <c r="S2386" s="605"/>
      <c r="T2386" s="605"/>
    </row>
    <row r="2387" spans="1:20" s="88" customFormat="1" ht="12.75" hidden="1" x14ac:dyDescent="0.2">
      <c r="A2387" s="510" t="str">
        <f>IF(B2387="","",COUNT('Diário 1º PA'!$A$4:$A$2635)+ROW()-3)</f>
        <v/>
      </c>
      <c r="B2387" s="414"/>
      <c r="C2387" s="592"/>
      <c r="D2387" s="415"/>
      <c r="E2387" s="415"/>
      <c r="F2387" s="425"/>
      <c r="G2387" s="427"/>
      <c r="H2387" s="415"/>
      <c r="I2387" s="427"/>
      <c r="J2387" s="415"/>
      <c r="K2387" s="415"/>
      <c r="L2387" s="415"/>
      <c r="M2387" s="415"/>
      <c r="N2387" s="414"/>
      <c r="O2387" s="414"/>
      <c r="P2387" s="603">
        <f t="shared" si="357"/>
        <v>0</v>
      </c>
      <c r="Q2387" s="603">
        <f t="shared" si="358"/>
        <v>0</v>
      </c>
      <c r="R2387" s="604" t="str">
        <f t="shared" si="359"/>
        <v/>
      </c>
      <c r="S2387" s="605"/>
      <c r="T2387" s="605"/>
    </row>
    <row r="2388" spans="1:20" s="88" customFormat="1" ht="12.75" hidden="1" x14ac:dyDescent="0.2">
      <c r="A2388" s="510" t="str">
        <f>IF(B2388="","",COUNT('Diário 1º PA'!$A$4:$A$2635)+ROW()-3)</f>
        <v/>
      </c>
      <c r="B2388" s="414"/>
      <c r="C2388" s="592"/>
      <c r="D2388" s="415"/>
      <c r="E2388" s="415"/>
      <c r="F2388" s="425"/>
      <c r="G2388" s="427"/>
      <c r="H2388" s="415"/>
      <c r="I2388" s="427"/>
      <c r="J2388" s="415"/>
      <c r="K2388" s="415"/>
      <c r="L2388" s="415"/>
      <c r="M2388" s="415"/>
      <c r="N2388" s="414"/>
      <c r="O2388" s="414"/>
      <c r="P2388" s="603">
        <f t="shared" si="357"/>
        <v>0</v>
      </c>
      <c r="Q2388" s="603">
        <f t="shared" si="358"/>
        <v>0</v>
      </c>
      <c r="R2388" s="604" t="str">
        <f t="shared" si="359"/>
        <v/>
      </c>
      <c r="S2388" s="605"/>
      <c r="T2388" s="605"/>
    </row>
    <row r="2389" spans="1:20" s="88" customFormat="1" ht="12.75" hidden="1" x14ac:dyDescent="0.2">
      <c r="A2389" s="510" t="str">
        <f>IF(B2389="","",COUNT('Diário 1º PA'!$A$4:$A$2635)+ROW()-3)</f>
        <v/>
      </c>
      <c r="B2389" s="414"/>
      <c r="C2389" s="592"/>
      <c r="D2389" s="415"/>
      <c r="E2389" s="415"/>
      <c r="F2389" s="425"/>
      <c r="G2389" s="427"/>
      <c r="H2389" s="415"/>
      <c r="I2389" s="427"/>
      <c r="J2389" s="415"/>
      <c r="K2389" s="415"/>
      <c r="L2389" s="415"/>
      <c r="M2389" s="415"/>
      <c r="N2389" s="414"/>
      <c r="O2389" s="414"/>
      <c r="P2389" s="603">
        <f t="shared" si="357"/>
        <v>0</v>
      </c>
      <c r="Q2389" s="603">
        <f t="shared" si="358"/>
        <v>0</v>
      </c>
      <c r="R2389" s="604" t="str">
        <f t="shared" si="359"/>
        <v/>
      </c>
      <c r="S2389" s="605"/>
      <c r="T2389" s="605"/>
    </row>
    <row r="2390" spans="1:20" s="88" customFormat="1" ht="12.75" hidden="1" x14ac:dyDescent="0.2">
      <c r="A2390" s="510" t="str">
        <f>IF(B2390="","",COUNT('Diário 1º PA'!$A$4:$A$2635)+ROW()-3)</f>
        <v/>
      </c>
      <c r="B2390" s="414"/>
      <c r="C2390" s="592"/>
      <c r="D2390" s="415"/>
      <c r="E2390" s="415"/>
      <c r="F2390" s="425"/>
      <c r="G2390" s="427"/>
      <c r="H2390" s="415"/>
      <c r="I2390" s="427"/>
      <c r="J2390" s="415"/>
      <c r="K2390" s="415"/>
      <c r="L2390" s="415"/>
      <c r="M2390" s="415"/>
      <c r="N2390" s="414"/>
      <c r="O2390" s="414"/>
      <c r="P2390" s="603">
        <f t="shared" si="357"/>
        <v>0</v>
      </c>
      <c r="Q2390" s="603">
        <f t="shared" si="358"/>
        <v>0</v>
      </c>
      <c r="R2390" s="604" t="str">
        <f t="shared" si="359"/>
        <v/>
      </c>
      <c r="S2390" s="605"/>
      <c r="T2390" s="605"/>
    </row>
    <row r="2391" spans="1:20" s="88" customFormat="1" ht="12.75" hidden="1" x14ac:dyDescent="0.2">
      <c r="A2391" s="510" t="str">
        <f>IF(B2391="","",COUNT('Diário 1º PA'!$A$4:$A$2635)+ROW()-3)</f>
        <v/>
      </c>
      <c r="B2391" s="414"/>
      <c r="C2391" s="592"/>
      <c r="D2391" s="415"/>
      <c r="E2391" s="415"/>
      <c r="F2391" s="425"/>
      <c r="G2391" s="427"/>
      <c r="H2391" s="415"/>
      <c r="I2391" s="427"/>
      <c r="J2391" s="415"/>
      <c r="K2391" s="415"/>
      <c r="L2391" s="415"/>
      <c r="M2391" s="415"/>
      <c r="N2391" s="414"/>
      <c r="O2391" s="414"/>
      <c r="P2391" s="603">
        <f t="shared" si="357"/>
        <v>0</v>
      </c>
      <c r="Q2391" s="603">
        <f t="shared" si="358"/>
        <v>0</v>
      </c>
      <c r="R2391" s="604" t="str">
        <f t="shared" si="359"/>
        <v/>
      </c>
      <c r="S2391" s="605"/>
      <c r="T2391" s="605"/>
    </row>
    <row r="2392" spans="1:20" s="88" customFormat="1" ht="12.75" hidden="1" x14ac:dyDescent="0.2">
      <c r="A2392" s="510" t="str">
        <f>IF(B2392="","",COUNT('Diário 1º PA'!$A$4:$A$2635)+ROW()-3)</f>
        <v/>
      </c>
      <c r="B2392" s="414"/>
      <c r="C2392" s="592"/>
      <c r="D2392" s="415"/>
      <c r="E2392" s="415"/>
      <c r="F2392" s="425"/>
      <c r="G2392" s="427"/>
      <c r="H2392" s="415"/>
      <c r="I2392" s="427"/>
      <c r="J2392" s="415"/>
      <c r="K2392" s="415"/>
      <c r="L2392" s="415"/>
      <c r="M2392" s="415"/>
      <c r="N2392" s="414"/>
      <c r="O2392" s="414"/>
      <c r="P2392" s="603">
        <f t="shared" si="357"/>
        <v>0</v>
      </c>
      <c r="Q2392" s="603">
        <f t="shared" si="358"/>
        <v>0</v>
      </c>
      <c r="R2392" s="604" t="str">
        <f t="shared" si="359"/>
        <v/>
      </c>
      <c r="S2392" s="605"/>
      <c r="T2392" s="605"/>
    </row>
    <row r="2393" spans="1:20" s="88" customFormat="1" ht="12.75" hidden="1" x14ac:dyDescent="0.2">
      <c r="A2393" s="510" t="str">
        <f>IF(B2393="","",COUNT('Diário 1º PA'!$A$4:$A$2635)+ROW()-3)</f>
        <v/>
      </c>
      <c r="B2393" s="414"/>
      <c r="C2393" s="592"/>
      <c r="D2393" s="415"/>
      <c r="E2393" s="415"/>
      <c r="F2393" s="425"/>
      <c r="G2393" s="427"/>
      <c r="H2393" s="415"/>
      <c r="I2393" s="427"/>
      <c r="J2393" s="415"/>
      <c r="K2393" s="415"/>
      <c r="L2393" s="415"/>
      <c r="M2393" s="415"/>
      <c r="N2393" s="414"/>
      <c r="O2393" s="414"/>
      <c r="P2393" s="603">
        <f t="shared" si="357"/>
        <v>0</v>
      </c>
      <c r="Q2393" s="603">
        <f t="shared" si="358"/>
        <v>0</v>
      </c>
      <c r="R2393" s="604" t="str">
        <f t="shared" si="359"/>
        <v/>
      </c>
      <c r="S2393" s="605"/>
      <c r="T2393" s="605"/>
    </row>
    <row r="2394" spans="1:20" s="88" customFormat="1" ht="12.75" hidden="1" x14ac:dyDescent="0.2">
      <c r="A2394" s="510" t="str">
        <f>IF(B2394="","",COUNT('Diário 1º PA'!$A$4:$A$2635)+ROW()-3)</f>
        <v/>
      </c>
      <c r="B2394" s="414"/>
      <c r="C2394" s="592"/>
      <c r="D2394" s="415"/>
      <c r="E2394" s="415"/>
      <c r="F2394" s="425"/>
      <c r="G2394" s="427"/>
      <c r="H2394" s="415"/>
      <c r="I2394" s="427"/>
      <c r="J2394" s="415"/>
      <c r="K2394" s="415"/>
      <c r="L2394" s="415"/>
      <c r="M2394" s="415"/>
      <c r="N2394" s="414"/>
      <c r="O2394" s="414"/>
      <c r="P2394" s="603">
        <f t="shared" si="357"/>
        <v>0</v>
      </c>
      <c r="Q2394" s="603">
        <f t="shared" si="358"/>
        <v>0</v>
      </c>
      <c r="R2394" s="604" t="str">
        <f t="shared" si="359"/>
        <v/>
      </c>
      <c r="S2394" s="605"/>
      <c r="T2394" s="605"/>
    </row>
    <row r="2395" spans="1:20" s="88" customFormat="1" ht="12.75" hidden="1" x14ac:dyDescent="0.2">
      <c r="A2395" s="510" t="str">
        <f>IF(B2395="","",COUNT('Diário 1º PA'!$A$4:$A$2635)+ROW()-3)</f>
        <v/>
      </c>
      <c r="B2395" s="414"/>
      <c r="C2395" s="592"/>
      <c r="D2395" s="415"/>
      <c r="E2395" s="415"/>
      <c r="F2395" s="425"/>
      <c r="G2395" s="427"/>
      <c r="H2395" s="415"/>
      <c r="I2395" s="427"/>
      <c r="J2395" s="415"/>
      <c r="K2395" s="415"/>
      <c r="L2395" s="415"/>
      <c r="M2395" s="415"/>
      <c r="N2395" s="414"/>
      <c r="O2395" s="414"/>
      <c r="P2395" s="603">
        <f t="shared" si="357"/>
        <v>0</v>
      </c>
      <c r="Q2395" s="603">
        <f t="shared" si="358"/>
        <v>0</v>
      </c>
      <c r="R2395" s="604" t="str">
        <f t="shared" si="359"/>
        <v/>
      </c>
      <c r="S2395" s="605"/>
      <c r="T2395" s="605"/>
    </row>
    <row r="2396" spans="1:20" s="88" customFormat="1" ht="12.75" hidden="1" x14ac:dyDescent="0.2">
      <c r="A2396" s="510" t="str">
        <f>IF(B2396="","",COUNT('Diário 1º PA'!$A$4:$A$2635)+ROW()-3)</f>
        <v/>
      </c>
      <c r="B2396" s="414"/>
      <c r="C2396" s="592"/>
      <c r="D2396" s="415"/>
      <c r="E2396" s="415"/>
      <c r="F2396" s="425"/>
      <c r="G2396" s="427"/>
      <c r="H2396" s="415"/>
      <c r="I2396" s="427"/>
      <c r="J2396" s="415"/>
      <c r="K2396" s="415"/>
      <c r="L2396" s="415"/>
      <c r="M2396" s="415"/>
      <c r="N2396" s="414"/>
      <c r="O2396" s="414"/>
      <c r="P2396" s="603">
        <f t="shared" si="357"/>
        <v>0</v>
      </c>
      <c r="Q2396" s="603">
        <f t="shared" si="358"/>
        <v>0</v>
      </c>
      <c r="R2396" s="604" t="str">
        <f t="shared" si="359"/>
        <v/>
      </c>
      <c r="S2396" s="605"/>
      <c r="T2396" s="605"/>
    </row>
    <row r="2397" spans="1:20" s="88" customFormat="1" ht="12.75" hidden="1" x14ac:dyDescent="0.2">
      <c r="A2397" s="510" t="str">
        <f>IF(B2397="","",COUNT('Diário 1º PA'!$A$4:$A$2635)+ROW()-3)</f>
        <v/>
      </c>
      <c r="B2397" s="414"/>
      <c r="C2397" s="592"/>
      <c r="D2397" s="415"/>
      <c r="E2397" s="415"/>
      <c r="F2397" s="425"/>
      <c r="G2397" s="427"/>
      <c r="H2397" s="415"/>
      <c r="I2397" s="427"/>
      <c r="J2397" s="415"/>
      <c r="K2397" s="415"/>
      <c r="L2397" s="415"/>
      <c r="M2397" s="415"/>
      <c r="N2397" s="414"/>
      <c r="O2397" s="414"/>
      <c r="P2397" s="603">
        <f t="shared" si="357"/>
        <v>0</v>
      </c>
      <c r="Q2397" s="603">
        <f t="shared" si="358"/>
        <v>0</v>
      </c>
      <c r="R2397" s="604" t="str">
        <f t="shared" si="359"/>
        <v/>
      </c>
      <c r="S2397" s="605"/>
      <c r="T2397" s="605"/>
    </row>
    <row r="2398" spans="1:20" s="88" customFormat="1" ht="12.75" hidden="1" x14ac:dyDescent="0.2">
      <c r="A2398" s="510" t="str">
        <f>IF(B2398="","",COUNT('Diário 1º PA'!$A$4:$A$2635)+ROW()-3)</f>
        <v/>
      </c>
      <c r="B2398" s="414"/>
      <c r="C2398" s="592"/>
      <c r="D2398" s="415"/>
      <c r="E2398" s="415"/>
      <c r="F2398" s="425"/>
      <c r="G2398" s="427"/>
      <c r="H2398" s="415"/>
      <c r="I2398" s="427"/>
      <c r="J2398" s="415"/>
      <c r="K2398" s="415"/>
      <c r="L2398" s="415"/>
      <c r="M2398" s="415"/>
      <c r="N2398" s="414"/>
      <c r="O2398" s="414"/>
      <c r="P2398" s="603">
        <f t="shared" si="357"/>
        <v>0</v>
      </c>
      <c r="Q2398" s="603">
        <f t="shared" si="358"/>
        <v>0</v>
      </c>
      <c r="R2398" s="604" t="str">
        <f t="shared" si="359"/>
        <v/>
      </c>
      <c r="S2398" s="605"/>
      <c r="T2398" s="605"/>
    </row>
    <row r="2399" spans="1:20" s="88" customFormat="1" ht="12.75" hidden="1" x14ac:dyDescent="0.2">
      <c r="A2399" s="510" t="str">
        <f>IF(B2399="","",COUNT('Diário 1º PA'!$A$4:$A$2635)+ROW()-3)</f>
        <v/>
      </c>
      <c r="B2399" s="414"/>
      <c r="C2399" s="592"/>
      <c r="D2399" s="415"/>
      <c r="E2399" s="415"/>
      <c r="F2399" s="425"/>
      <c r="G2399" s="427"/>
      <c r="H2399" s="415"/>
      <c r="I2399" s="427"/>
      <c r="J2399" s="415"/>
      <c r="K2399" s="415"/>
      <c r="L2399" s="415"/>
      <c r="M2399" s="415"/>
      <c r="N2399" s="414"/>
      <c r="O2399" s="414"/>
      <c r="P2399" s="603">
        <f t="shared" si="357"/>
        <v>0</v>
      </c>
      <c r="Q2399" s="603">
        <f t="shared" si="358"/>
        <v>0</v>
      </c>
      <c r="R2399" s="604" t="str">
        <f t="shared" si="359"/>
        <v/>
      </c>
      <c r="S2399" s="605"/>
      <c r="T2399" s="605"/>
    </row>
    <row r="2400" spans="1:20" s="88" customFormat="1" ht="12.75" hidden="1" x14ac:dyDescent="0.2">
      <c r="A2400" s="510" t="str">
        <f>IF(B2400="","",COUNT('Diário 1º PA'!$A$4:$A$2635)+ROW()-3)</f>
        <v/>
      </c>
      <c r="B2400" s="414"/>
      <c r="C2400" s="592"/>
      <c r="D2400" s="415"/>
      <c r="E2400" s="415"/>
      <c r="F2400" s="425"/>
      <c r="G2400" s="427"/>
      <c r="H2400" s="415"/>
      <c r="I2400" s="427"/>
      <c r="J2400" s="415"/>
      <c r="K2400" s="415"/>
      <c r="L2400" s="415"/>
      <c r="M2400" s="415"/>
      <c r="N2400" s="414"/>
      <c r="O2400" s="414"/>
      <c r="P2400" s="603">
        <f t="shared" si="357"/>
        <v>0</v>
      </c>
      <c r="Q2400" s="603">
        <f t="shared" si="358"/>
        <v>0</v>
      </c>
      <c r="R2400" s="604" t="str">
        <f t="shared" si="359"/>
        <v/>
      </c>
      <c r="S2400" s="605"/>
      <c r="T2400" s="605"/>
    </row>
    <row r="2401" spans="1:20" s="88" customFormat="1" ht="12.75" hidden="1" x14ac:dyDescent="0.2">
      <c r="A2401" s="510" t="str">
        <f>IF(B2401="","",COUNT('Diário 1º PA'!$A$4:$A$2635)+ROW()-3)</f>
        <v/>
      </c>
      <c r="B2401" s="414"/>
      <c r="C2401" s="592"/>
      <c r="D2401" s="415"/>
      <c r="E2401" s="415"/>
      <c r="F2401" s="425"/>
      <c r="G2401" s="427"/>
      <c r="H2401" s="415"/>
      <c r="I2401" s="427"/>
      <c r="J2401" s="415"/>
      <c r="K2401" s="415"/>
      <c r="L2401" s="415"/>
      <c r="M2401" s="415"/>
      <c r="N2401" s="414"/>
      <c r="O2401" s="414"/>
      <c r="P2401" s="603">
        <f t="shared" si="357"/>
        <v>0</v>
      </c>
      <c r="Q2401" s="603">
        <f t="shared" si="358"/>
        <v>0</v>
      </c>
      <c r="R2401" s="604" t="str">
        <f t="shared" si="359"/>
        <v/>
      </c>
      <c r="S2401" s="605"/>
      <c r="T2401" s="605"/>
    </row>
    <row r="2402" spans="1:20" s="88" customFormat="1" ht="12.75" hidden="1" x14ac:dyDescent="0.2">
      <c r="A2402" s="510" t="str">
        <f>IF(B2402="","",COUNT('Diário 1º PA'!$A$4:$A$2635)+ROW()-3)</f>
        <v/>
      </c>
      <c r="B2402" s="414"/>
      <c r="C2402" s="592"/>
      <c r="D2402" s="415"/>
      <c r="E2402" s="415"/>
      <c r="F2402" s="425"/>
      <c r="G2402" s="427"/>
      <c r="H2402" s="415"/>
      <c r="I2402" s="427"/>
      <c r="J2402" s="415"/>
      <c r="K2402" s="415"/>
      <c r="L2402" s="415"/>
      <c r="M2402" s="415"/>
      <c r="N2402" s="414"/>
      <c r="O2402" s="414"/>
      <c r="P2402" s="603">
        <f t="shared" si="357"/>
        <v>0</v>
      </c>
      <c r="Q2402" s="603">
        <f t="shared" si="358"/>
        <v>0</v>
      </c>
      <c r="R2402" s="604" t="str">
        <f t="shared" si="359"/>
        <v/>
      </c>
      <c r="S2402" s="605"/>
      <c r="T2402" s="605"/>
    </row>
    <row r="2403" spans="1:20" s="88" customFormat="1" ht="12.75" hidden="1" x14ac:dyDescent="0.2">
      <c r="A2403" s="510" t="str">
        <f>IF(B2403="","",COUNT('Diário 1º PA'!$A$4:$A$2635)+ROW()-3)</f>
        <v/>
      </c>
      <c r="B2403" s="414"/>
      <c r="C2403" s="592"/>
      <c r="D2403" s="415"/>
      <c r="E2403" s="415"/>
      <c r="F2403" s="425"/>
      <c r="G2403" s="427"/>
      <c r="H2403" s="415"/>
      <c r="I2403" s="427"/>
      <c r="J2403" s="415"/>
      <c r="K2403" s="415"/>
      <c r="L2403" s="415"/>
      <c r="M2403" s="415"/>
      <c r="N2403" s="414"/>
      <c r="O2403" s="414"/>
      <c r="P2403" s="603">
        <f t="shared" si="357"/>
        <v>0</v>
      </c>
      <c r="Q2403" s="603">
        <f t="shared" si="358"/>
        <v>0</v>
      </c>
      <c r="R2403" s="604" t="str">
        <f t="shared" si="359"/>
        <v/>
      </c>
      <c r="S2403" s="605"/>
      <c r="T2403" s="605"/>
    </row>
    <row r="2404" spans="1:20" s="88" customFormat="1" ht="12.75" hidden="1" x14ac:dyDescent="0.2">
      <c r="A2404" s="510" t="str">
        <f>IF(B2404="","",COUNT('Diário 1º PA'!$A$4:$A$2635)+ROW()-3)</f>
        <v/>
      </c>
      <c r="B2404" s="414"/>
      <c r="C2404" s="592"/>
      <c r="D2404" s="415"/>
      <c r="E2404" s="415"/>
      <c r="F2404" s="425"/>
      <c r="G2404" s="427"/>
      <c r="H2404" s="415"/>
      <c r="I2404" s="427"/>
      <c r="J2404" s="415"/>
      <c r="K2404" s="415"/>
      <c r="L2404" s="415"/>
      <c r="M2404" s="415"/>
      <c r="N2404" s="414"/>
      <c r="O2404" s="414"/>
      <c r="P2404" s="603">
        <f t="shared" si="357"/>
        <v>0</v>
      </c>
      <c r="Q2404" s="603">
        <f t="shared" si="358"/>
        <v>0</v>
      </c>
      <c r="R2404" s="604" t="str">
        <f t="shared" si="359"/>
        <v/>
      </c>
      <c r="S2404" s="605"/>
      <c r="T2404" s="605"/>
    </row>
    <row r="2405" spans="1:20" s="88" customFormat="1" ht="12.75" hidden="1" x14ac:dyDescent="0.2">
      <c r="A2405" s="510" t="str">
        <f>IF(B2405="","",COUNT('Diário 1º PA'!$A$4:$A$2635)+ROW()-3)</f>
        <v/>
      </c>
      <c r="B2405" s="414"/>
      <c r="C2405" s="592"/>
      <c r="D2405" s="415"/>
      <c r="E2405" s="415"/>
      <c r="F2405" s="425"/>
      <c r="G2405" s="427"/>
      <c r="H2405" s="415"/>
      <c r="I2405" s="427"/>
      <c r="J2405" s="415"/>
      <c r="K2405" s="415"/>
      <c r="L2405" s="415"/>
      <c r="M2405" s="415"/>
      <c r="N2405" s="414"/>
      <c r="O2405" s="414"/>
      <c r="P2405" s="603">
        <f t="shared" si="357"/>
        <v>0</v>
      </c>
      <c r="Q2405" s="603">
        <f t="shared" si="358"/>
        <v>0</v>
      </c>
      <c r="R2405" s="604" t="str">
        <f t="shared" si="359"/>
        <v/>
      </c>
      <c r="S2405" s="605"/>
      <c r="T2405" s="605"/>
    </row>
    <row r="2406" spans="1:20" s="88" customFormat="1" ht="12.75" hidden="1" x14ac:dyDescent="0.2">
      <c r="A2406" s="510" t="str">
        <f>IF(B2406="","",COUNT('Diário 1º PA'!$A$4:$A$2635)+ROW()-3)</f>
        <v/>
      </c>
      <c r="B2406" s="414"/>
      <c r="C2406" s="592"/>
      <c r="D2406" s="415"/>
      <c r="E2406" s="415"/>
      <c r="F2406" s="425"/>
      <c r="G2406" s="427"/>
      <c r="H2406" s="415"/>
      <c r="I2406" s="427"/>
      <c r="J2406" s="415"/>
      <c r="K2406" s="415"/>
      <c r="L2406" s="415"/>
      <c r="M2406" s="415"/>
      <c r="N2406" s="414"/>
      <c r="O2406" s="414"/>
      <c r="P2406" s="603">
        <f t="shared" si="357"/>
        <v>0</v>
      </c>
      <c r="Q2406" s="603">
        <f t="shared" si="358"/>
        <v>0</v>
      </c>
      <c r="R2406" s="604" t="str">
        <f t="shared" si="359"/>
        <v/>
      </c>
      <c r="S2406" s="605"/>
      <c r="T2406" s="605"/>
    </row>
    <row r="2407" spans="1:20" s="88" customFormat="1" ht="12.75" hidden="1" x14ac:dyDescent="0.2">
      <c r="A2407" s="510" t="str">
        <f>IF(B2407="","",COUNT('Diário 1º PA'!$A$4:$A$2635)+ROW()-3)</f>
        <v/>
      </c>
      <c r="B2407" s="414"/>
      <c r="C2407" s="592"/>
      <c r="D2407" s="415"/>
      <c r="E2407" s="415"/>
      <c r="F2407" s="425"/>
      <c r="G2407" s="427"/>
      <c r="H2407" s="415"/>
      <c r="I2407" s="427"/>
      <c r="J2407" s="415"/>
      <c r="K2407" s="415"/>
      <c r="L2407" s="415"/>
      <c r="M2407" s="415"/>
      <c r="N2407" s="414"/>
      <c r="O2407" s="414"/>
      <c r="P2407" s="603">
        <f t="shared" si="357"/>
        <v>0</v>
      </c>
      <c r="Q2407" s="603">
        <f t="shared" si="358"/>
        <v>0</v>
      </c>
      <c r="R2407" s="604" t="str">
        <f t="shared" si="359"/>
        <v/>
      </c>
      <c r="S2407" s="605"/>
      <c r="T2407" s="605"/>
    </row>
    <row r="2408" spans="1:20" s="88" customFormat="1" ht="12.75" hidden="1" x14ac:dyDescent="0.2">
      <c r="A2408" s="510" t="str">
        <f>IF(B2408="","",COUNT('Diário 1º PA'!$A$4:$A$2635)+ROW()-3)</f>
        <v/>
      </c>
      <c r="B2408" s="414"/>
      <c r="C2408" s="592"/>
      <c r="D2408" s="415"/>
      <c r="E2408" s="415"/>
      <c r="F2408" s="425"/>
      <c r="G2408" s="427"/>
      <c r="H2408" s="415"/>
      <c r="I2408" s="427"/>
      <c r="J2408" s="415"/>
      <c r="K2408" s="415"/>
      <c r="L2408" s="415"/>
      <c r="M2408" s="415"/>
      <c r="N2408" s="414"/>
      <c r="O2408" s="414"/>
      <c r="P2408" s="603">
        <f t="shared" si="357"/>
        <v>0</v>
      </c>
      <c r="Q2408" s="603">
        <f t="shared" si="358"/>
        <v>0</v>
      </c>
      <c r="R2408" s="604" t="str">
        <f t="shared" si="359"/>
        <v/>
      </c>
      <c r="S2408" s="605"/>
      <c r="T2408" s="605"/>
    </row>
    <row r="2409" spans="1:20" s="88" customFormat="1" ht="12.75" hidden="1" x14ac:dyDescent="0.2">
      <c r="A2409" s="510" t="str">
        <f>IF(B2409="","",COUNT('Diário 1º PA'!$A$4:$A$2635)+ROW()-3)</f>
        <v/>
      </c>
      <c r="B2409" s="414"/>
      <c r="C2409" s="592"/>
      <c r="D2409" s="415"/>
      <c r="E2409" s="415"/>
      <c r="F2409" s="425"/>
      <c r="G2409" s="427"/>
      <c r="H2409" s="415"/>
      <c r="I2409" s="427"/>
      <c r="J2409" s="415"/>
      <c r="K2409" s="415"/>
      <c r="L2409" s="415"/>
      <c r="M2409" s="415"/>
      <c r="N2409" s="414"/>
      <c r="O2409" s="414"/>
      <c r="P2409" s="603">
        <f t="shared" si="357"/>
        <v>0</v>
      </c>
      <c r="Q2409" s="603">
        <f t="shared" si="358"/>
        <v>0</v>
      </c>
      <c r="R2409" s="604" t="str">
        <f t="shared" si="359"/>
        <v/>
      </c>
      <c r="S2409" s="605"/>
      <c r="T2409" s="605"/>
    </row>
    <row r="2410" spans="1:20" s="88" customFormat="1" ht="12.75" hidden="1" x14ac:dyDescent="0.2">
      <c r="A2410" s="510" t="str">
        <f>IF(B2410="","",COUNT('Diário 1º PA'!$A$4:$A$2635)+ROW()-3)</f>
        <v/>
      </c>
      <c r="B2410" s="414"/>
      <c r="C2410" s="592"/>
      <c r="D2410" s="415"/>
      <c r="E2410" s="415"/>
      <c r="F2410" s="425"/>
      <c r="G2410" s="427"/>
      <c r="H2410" s="415"/>
      <c r="I2410" s="427"/>
      <c r="J2410" s="415"/>
      <c r="K2410" s="415"/>
      <c r="L2410" s="415"/>
      <c r="M2410" s="415"/>
      <c r="N2410" s="414"/>
      <c r="O2410" s="414"/>
      <c r="P2410" s="603">
        <f t="shared" si="357"/>
        <v>0</v>
      </c>
      <c r="Q2410" s="603">
        <f t="shared" si="358"/>
        <v>0</v>
      </c>
      <c r="R2410" s="604" t="str">
        <f t="shared" si="359"/>
        <v/>
      </c>
      <c r="S2410" s="605"/>
      <c r="T2410" s="605"/>
    </row>
    <row r="2411" spans="1:20" s="88" customFormat="1" ht="12.75" hidden="1" x14ac:dyDescent="0.2">
      <c r="A2411" s="510" t="str">
        <f>IF(B2411="","",COUNT('Diário 1º PA'!$A$4:$A$2635)+ROW()-3)</f>
        <v/>
      </c>
      <c r="B2411" s="414"/>
      <c r="C2411" s="592"/>
      <c r="D2411" s="415"/>
      <c r="E2411" s="415"/>
      <c r="F2411" s="425"/>
      <c r="G2411" s="427"/>
      <c r="H2411" s="415"/>
      <c r="I2411" s="427"/>
      <c r="J2411" s="415"/>
      <c r="K2411" s="415"/>
      <c r="L2411" s="415"/>
      <c r="M2411" s="415"/>
      <c r="N2411" s="414"/>
      <c r="O2411" s="414"/>
      <c r="P2411" s="603">
        <f t="shared" si="357"/>
        <v>0</v>
      </c>
      <c r="Q2411" s="603">
        <f t="shared" si="358"/>
        <v>0</v>
      </c>
      <c r="R2411" s="604" t="str">
        <f t="shared" si="359"/>
        <v/>
      </c>
      <c r="S2411" s="605"/>
      <c r="T2411" s="605"/>
    </row>
    <row r="2412" spans="1:20" s="88" customFormat="1" ht="12.75" hidden="1" x14ac:dyDescent="0.2">
      <c r="A2412" s="510" t="str">
        <f>IF(B2412="","",COUNT('Diário 1º PA'!$A$4:$A$2635)+ROW()-3)</f>
        <v/>
      </c>
      <c r="B2412" s="414"/>
      <c r="C2412" s="592"/>
      <c r="D2412" s="415"/>
      <c r="E2412" s="415"/>
      <c r="F2412" s="425"/>
      <c r="G2412" s="427"/>
      <c r="H2412" s="415"/>
      <c r="I2412" s="427"/>
      <c r="J2412" s="415"/>
      <c r="K2412" s="415"/>
      <c r="L2412" s="415"/>
      <c r="M2412" s="415"/>
      <c r="N2412" s="414"/>
      <c r="O2412" s="414"/>
      <c r="P2412" s="603">
        <f t="shared" si="357"/>
        <v>0</v>
      </c>
      <c r="Q2412" s="603">
        <f t="shared" si="358"/>
        <v>0</v>
      </c>
      <c r="R2412" s="604" t="str">
        <f t="shared" si="359"/>
        <v/>
      </c>
      <c r="S2412" s="605"/>
      <c r="T2412" s="605"/>
    </row>
    <row r="2413" spans="1:20" s="88" customFormat="1" ht="12.75" hidden="1" x14ac:dyDescent="0.2">
      <c r="A2413" s="510" t="str">
        <f>IF(B2413="","",COUNT('Diário 1º PA'!$A$4:$A$2635)+ROW()-3)</f>
        <v/>
      </c>
      <c r="B2413" s="414"/>
      <c r="C2413" s="592"/>
      <c r="D2413" s="415"/>
      <c r="E2413" s="415"/>
      <c r="F2413" s="425"/>
      <c r="G2413" s="427"/>
      <c r="H2413" s="415"/>
      <c r="I2413" s="427"/>
      <c r="J2413" s="415"/>
      <c r="K2413" s="415"/>
      <c r="L2413" s="415"/>
      <c r="M2413" s="415"/>
      <c r="N2413" s="414"/>
      <c r="O2413" s="414"/>
      <c r="P2413" s="603">
        <f t="shared" si="357"/>
        <v>0</v>
      </c>
      <c r="Q2413" s="603">
        <f t="shared" si="358"/>
        <v>0</v>
      </c>
      <c r="R2413" s="604" t="str">
        <f t="shared" ref="R2413:R2476" si="360">SUBSTITUTE(D2413," ","_")</f>
        <v/>
      </c>
      <c r="S2413" s="605"/>
      <c r="T2413" s="605"/>
    </row>
    <row r="2414" spans="1:20" s="88" customFormat="1" ht="12.75" hidden="1" x14ac:dyDescent="0.2">
      <c r="A2414" s="510" t="str">
        <f>IF(B2414="","",COUNT('Diário 1º PA'!$A$4:$A$2635)+ROW()-3)</f>
        <v/>
      </c>
      <c r="B2414" s="414"/>
      <c r="C2414" s="592"/>
      <c r="D2414" s="415"/>
      <c r="E2414" s="415"/>
      <c r="F2414" s="425"/>
      <c r="G2414" s="427"/>
      <c r="H2414" s="415"/>
      <c r="I2414" s="427"/>
      <c r="J2414" s="415"/>
      <c r="K2414" s="415"/>
      <c r="L2414" s="415"/>
      <c r="M2414" s="415"/>
      <c r="N2414" s="414"/>
      <c r="O2414" s="414"/>
      <c r="P2414" s="603">
        <f t="shared" ref="P2414:P2477" si="361">IF(B2414=0,0,IF(YEAR(B2414)=$Q$1,MONTH(B2414)-$P$1+1,(YEAR(B2414)-$Q$1)*12-$P$1+1+MONTH(B2414)))</f>
        <v>0</v>
      </c>
      <c r="Q2414" s="603">
        <f t="shared" ref="Q2414:Q2477" si="362">IF(C2414=0,0,IF(YEAR(C2414)=$Q$1,MONTH(C2414)-$P$1+1,(YEAR(C2414)-$Q$1)*12-$P$1+1+MONTH(C2414)))</f>
        <v>0</v>
      </c>
      <c r="R2414" s="604" t="str">
        <f t="shared" si="360"/>
        <v/>
      </c>
      <c r="S2414" s="605"/>
      <c r="T2414" s="605"/>
    </row>
    <row r="2415" spans="1:20" s="88" customFormat="1" ht="12.75" hidden="1" x14ac:dyDescent="0.2">
      <c r="A2415" s="510" t="str">
        <f>IF(B2415="","",COUNT('Diário 1º PA'!$A$4:$A$2635)+ROW()-3)</f>
        <v/>
      </c>
      <c r="B2415" s="414"/>
      <c r="C2415" s="592"/>
      <c r="D2415" s="415"/>
      <c r="E2415" s="415"/>
      <c r="F2415" s="425"/>
      <c r="G2415" s="427"/>
      <c r="H2415" s="415"/>
      <c r="I2415" s="427"/>
      <c r="J2415" s="415"/>
      <c r="K2415" s="415"/>
      <c r="L2415" s="415"/>
      <c r="M2415" s="415"/>
      <c r="N2415" s="414"/>
      <c r="O2415" s="414"/>
      <c r="P2415" s="603">
        <f t="shared" si="361"/>
        <v>0</v>
      </c>
      <c r="Q2415" s="603">
        <f t="shared" si="362"/>
        <v>0</v>
      </c>
      <c r="R2415" s="604" t="str">
        <f t="shared" si="360"/>
        <v/>
      </c>
      <c r="S2415" s="605"/>
      <c r="T2415" s="605"/>
    </row>
    <row r="2416" spans="1:20" s="88" customFormat="1" ht="12.75" hidden="1" x14ac:dyDescent="0.2">
      <c r="A2416" s="510" t="str">
        <f>IF(B2416="","",COUNT('Diário 1º PA'!$A$4:$A$2635)+ROW()-3)</f>
        <v/>
      </c>
      <c r="B2416" s="414"/>
      <c r="C2416" s="592"/>
      <c r="D2416" s="415"/>
      <c r="E2416" s="415"/>
      <c r="F2416" s="425"/>
      <c r="G2416" s="427"/>
      <c r="H2416" s="415"/>
      <c r="I2416" s="427"/>
      <c r="J2416" s="415"/>
      <c r="K2416" s="415"/>
      <c r="L2416" s="415"/>
      <c r="M2416" s="415"/>
      <c r="N2416" s="414"/>
      <c r="O2416" s="414"/>
      <c r="P2416" s="603">
        <f t="shared" si="361"/>
        <v>0</v>
      </c>
      <c r="Q2416" s="603">
        <f t="shared" si="362"/>
        <v>0</v>
      </c>
      <c r="R2416" s="604" t="str">
        <f t="shared" si="360"/>
        <v/>
      </c>
      <c r="S2416" s="605"/>
      <c r="T2416" s="605"/>
    </row>
    <row r="2417" spans="1:20" s="88" customFormat="1" ht="12.75" hidden="1" x14ac:dyDescent="0.2">
      <c r="A2417" s="510" t="str">
        <f>IF(B2417="","",COUNT('Diário 1º PA'!$A$4:$A$2635)+ROW()-3)</f>
        <v/>
      </c>
      <c r="B2417" s="414"/>
      <c r="C2417" s="592"/>
      <c r="D2417" s="415"/>
      <c r="E2417" s="415"/>
      <c r="F2417" s="425"/>
      <c r="G2417" s="427"/>
      <c r="H2417" s="415"/>
      <c r="I2417" s="427"/>
      <c r="J2417" s="415"/>
      <c r="K2417" s="415"/>
      <c r="L2417" s="415"/>
      <c r="M2417" s="415"/>
      <c r="N2417" s="414"/>
      <c r="O2417" s="414"/>
      <c r="P2417" s="603">
        <f t="shared" si="361"/>
        <v>0</v>
      </c>
      <c r="Q2417" s="603">
        <f t="shared" si="362"/>
        <v>0</v>
      </c>
      <c r="R2417" s="604" t="str">
        <f t="shared" si="360"/>
        <v/>
      </c>
      <c r="S2417" s="605"/>
      <c r="T2417" s="605"/>
    </row>
    <row r="2418" spans="1:20" s="88" customFormat="1" ht="12.75" hidden="1" x14ac:dyDescent="0.2">
      <c r="A2418" s="510" t="str">
        <f>IF(B2418="","",COUNT('Diário 1º PA'!$A$4:$A$2635)+ROW()-3)</f>
        <v/>
      </c>
      <c r="B2418" s="414"/>
      <c r="C2418" s="592"/>
      <c r="D2418" s="415"/>
      <c r="E2418" s="415"/>
      <c r="F2418" s="425"/>
      <c r="G2418" s="427"/>
      <c r="H2418" s="415"/>
      <c r="I2418" s="427"/>
      <c r="J2418" s="415"/>
      <c r="K2418" s="415"/>
      <c r="L2418" s="415"/>
      <c r="M2418" s="415"/>
      <c r="N2418" s="414"/>
      <c r="O2418" s="414"/>
      <c r="P2418" s="603">
        <f t="shared" si="361"/>
        <v>0</v>
      </c>
      <c r="Q2418" s="603">
        <f t="shared" si="362"/>
        <v>0</v>
      </c>
      <c r="R2418" s="604" t="str">
        <f t="shared" si="360"/>
        <v/>
      </c>
      <c r="S2418" s="605"/>
      <c r="T2418" s="605"/>
    </row>
    <row r="2419" spans="1:20" s="88" customFormat="1" ht="12.75" hidden="1" x14ac:dyDescent="0.2">
      <c r="A2419" s="510" t="str">
        <f>IF(B2419="","",COUNT('Diário 1º PA'!$A$4:$A$2635)+ROW()-3)</f>
        <v/>
      </c>
      <c r="B2419" s="414"/>
      <c r="C2419" s="592"/>
      <c r="D2419" s="415"/>
      <c r="E2419" s="415"/>
      <c r="F2419" s="425"/>
      <c r="G2419" s="427"/>
      <c r="H2419" s="415"/>
      <c r="I2419" s="427"/>
      <c r="J2419" s="415"/>
      <c r="K2419" s="415"/>
      <c r="L2419" s="415"/>
      <c r="M2419" s="415"/>
      <c r="N2419" s="414"/>
      <c r="O2419" s="414"/>
      <c r="P2419" s="603">
        <f t="shared" si="361"/>
        <v>0</v>
      </c>
      <c r="Q2419" s="603">
        <f t="shared" si="362"/>
        <v>0</v>
      </c>
      <c r="R2419" s="604" t="str">
        <f t="shared" si="360"/>
        <v/>
      </c>
      <c r="S2419" s="605"/>
      <c r="T2419" s="605"/>
    </row>
    <row r="2420" spans="1:20" s="88" customFormat="1" ht="12.75" hidden="1" x14ac:dyDescent="0.2">
      <c r="A2420" s="510" t="str">
        <f>IF(B2420="","",COUNT('Diário 1º PA'!$A$4:$A$2635)+ROW()-3)</f>
        <v/>
      </c>
      <c r="B2420" s="414"/>
      <c r="C2420" s="592"/>
      <c r="D2420" s="415"/>
      <c r="E2420" s="415"/>
      <c r="F2420" s="425"/>
      <c r="G2420" s="427"/>
      <c r="H2420" s="415"/>
      <c r="I2420" s="427"/>
      <c r="J2420" s="415"/>
      <c r="K2420" s="415"/>
      <c r="L2420" s="415"/>
      <c r="M2420" s="415"/>
      <c r="N2420" s="414"/>
      <c r="O2420" s="414"/>
      <c r="P2420" s="603">
        <f t="shared" si="361"/>
        <v>0</v>
      </c>
      <c r="Q2420" s="603">
        <f t="shared" si="362"/>
        <v>0</v>
      </c>
      <c r="R2420" s="604" t="str">
        <f t="shared" si="360"/>
        <v/>
      </c>
      <c r="S2420" s="605"/>
      <c r="T2420" s="605"/>
    </row>
    <row r="2421" spans="1:20" s="88" customFormat="1" ht="12.75" hidden="1" x14ac:dyDescent="0.2">
      <c r="A2421" s="510" t="str">
        <f>IF(B2421="","",COUNT('Diário 1º PA'!$A$4:$A$2635)+ROW()-3)</f>
        <v/>
      </c>
      <c r="B2421" s="414"/>
      <c r="C2421" s="592"/>
      <c r="D2421" s="415"/>
      <c r="E2421" s="415"/>
      <c r="F2421" s="425"/>
      <c r="G2421" s="427"/>
      <c r="H2421" s="415"/>
      <c r="I2421" s="427"/>
      <c r="J2421" s="415"/>
      <c r="K2421" s="415"/>
      <c r="L2421" s="415"/>
      <c r="M2421" s="415"/>
      <c r="N2421" s="414"/>
      <c r="O2421" s="414"/>
      <c r="P2421" s="603">
        <f t="shared" si="361"/>
        <v>0</v>
      </c>
      <c r="Q2421" s="603">
        <f t="shared" si="362"/>
        <v>0</v>
      </c>
      <c r="R2421" s="604" t="str">
        <f t="shared" si="360"/>
        <v/>
      </c>
      <c r="S2421" s="605"/>
      <c r="T2421" s="605"/>
    </row>
    <row r="2422" spans="1:20" s="88" customFormat="1" ht="12.75" hidden="1" x14ac:dyDescent="0.2">
      <c r="A2422" s="510" t="str">
        <f>IF(B2422="","",COUNT('Diário 1º PA'!$A$4:$A$2635)+ROW()-3)</f>
        <v/>
      </c>
      <c r="B2422" s="414"/>
      <c r="C2422" s="592"/>
      <c r="D2422" s="415"/>
      <c r="E2422" s="415"/>
      <c r="F2422" s="425"/>
      <c r="G2422" s="427"/>
      <c r="H2422" s="415"/>
      <c r="I2422" s="427"/>
      <c r="J2422" s="415"/>
      <c r="K2422" s="415"/>
      <c r="L2422" s="415"/>
      <c r="M2422" s="415"/>
      <c r="N2422" s="414"/>
      <c r="O2422" s="414"/>
      <c r="P2422" s="603">
        <f t="shared" si="361"/>
        <v>0</v>
      </c>
      <c r="Q2422" s="603">
        <f t="shared" si="362"/>
        <v>0</v>
      </c>
      <c r="R2422" s="604" t="str">
        <f t="shared" si="360"/>
        <v/>
      </c>
      <c r="S2422" s="605"/>
      <c r="T2422" s="605"/>
    </row>
    <row r="2423" spans="1:20" s="88" customFormat="1" ht="12.75" hidden="1" x14ac:dyDescent="0.2">
      <c r="A2423" s="510" t="str">
        <f>IF(B2423="","",COUNT('Diário 1º PA'!$A$4:$A$2635)+ROW()-3)</f>
        <v/>
      </c>
      <c r="B2423" s="414"/>
      <c r="C2423" s="592"/>
      <c r="D2423" s="415"/>
      <c r="E2423" s="415"/>
      <c r="F2423" s="425"/>
      <c r="G2423" s="427"/>
      <c r="H2423" s="415"/>
      <c r="I2423" s="427"/>
      <c r="J2423" s="415"/>
      <c r="K2423" s="415"/>
      <c r="L2423" s="415"/>
      <c r="M2423" s="415"/>
      <c r="N2423" s="414"/>
      <c r="O2423" s="414"/>
      <c r="P2423" s="603">
        <f t="shared" si="361"/>
        <v>0</v>
      </c>
      <c r="Q2423" s="603">
        <f t="shared" si="362"/>
        <v>0</v>
      </c>
      <c r="R2423" s="604" t="str">
        <f t="shared" si="360"/>
        <v/>
      </c>
      <c r="S2423" s="605"/>
      <c r="T2423" s="605"/>
    </row>
    <row r="2424" spans="1:20" s="88" customFormat="1" ht="12.75" hidden="1" x14ac:dyDescent="0.2">
      <c r="A2424" s="510" t="str">
        <f>IF(B2424="","",COUNT('Diário 1º PA'!$A$4:$A$2635)+ROW()-3)</f>
        <v/>
      </c>
      <c r="B2424" s="414"/>
      <c r="C2424" s="592"/>
      <c r="D2424" s="415"/>
      <c r="E2424" s="415"/>
      <c r="F2424" s="425"/>
      <c r="G2424" s="427"/>
      <c r="H2424" s="415"/>
      <c r="I2424" s="427"/>
      <c r="J2424" s="415"/>
      <c r="K2424" s="415"/>
      <c r="L2424" s="415"/>
      <c r="M2424" s="415"/>
      <c r="N2424" s="414"/>
      <c r="O2424" s="414"/>
      <c r="P2424" s="603">
        <f t="shared" si="361"/>
        <v>0</v>
      </c>
      <c r="Q2424" s="603">
        <f t="shared" si="362"/>
        <v>0</v>
      </c>
      <c r="R2424" s="604" t="str">
        <f t="shared" si="360"/>
        <v/>
      </c>
      <c r="S2424" s="605"/>
      <c r="T2424" s="605"/>
    </row>
    <row r="2425" spans="1:20" s="88" customFormat="1" ht="12.75" hidden="1" x14ac:dyDescent="0.2">
      <c r="A2425" s="510" t="str">
        <f>IF(B2425="","",COUNT('Diário 1º PA'!$A$4:$A$2635)+ROW()-3)</f>
        <v/>
      </c>
      <c r="B2425" s="414"/>
      <c r="C2425" s="592"/>
      <c r="D2425" s="415"/>
      <c r="E2425" s="415"/>
      <c r="F2425" s="425"/>
      <c r="G2425" s="427"/>
      <c r="H2425" s="415"/>
      <c r="I2425" s="427"/>
      <c r="J2425" s="415"/>
      <c r="K2425" s="415"/>
      <c r="L2425" s="415"/>
      <c r="M2425" s="415"/>
      <c r="N2425" s="414"/>
      <c r="O2425" s="414"/>
      <c r="P2425" s="603">
        <f t="shared" si="361"/>
        <v>0</v>
      </c>
      <c r="Q2425" s="603">
        <f t="shared" si="362"/>
        <v>0</v>
      </c>
      <c r="R2425" s="604" t="str">
        <f t="shared" si="360"/>
        <v/>
      </c>
      <c r="S2425" s="605"/>
      <c r="T2425" s="605"/>
    </row>
    <row r="2426" spans="1:20" s="88" customFormat="1" ht="12.75" hidden="1" x14ac:dyDescent="0.2">
      <c r="A2426" s="510" t="str">
        <f>IF(B2426="","",COUNT('Diário 1º PA'!$A$4:$A$2635)+ROW()-3)</f>
        <v/>
      </c>
      <c r="B2426" s="414"/>
      <c r="C2426" s="592"/>
      <c r="D2426" s="415"/>
      <c r="E2426" s="415"/>
      <c r="F2426" s="425"/>
      <c r="G2426" s="427"/>
      <c r="H2426" s="415"/>
      <c r="I2426" s="427"/>
      <c r="J2426" s="415"/>
      <c r="K2426" s="415"/>
      <c r="L2426" s="415"/>
      <c r="M2426" s="415"/>
      <c r="N2426" s="414"/>
      <c r="O2426" s="414"/>
      <c r="P2426" s="603">
        <f t="shared" si="361"/>
        <v>0</v>
      </c>
      <c r="Q2426" s="603">
        <f t="shared" si="362"/>
        <v>0</v>
      </c>
      <c r="R2426" s="604" t="str">
        <f t="shared" si="360"/>
        <v/>
      </c>
      <c r="S2426" s="605"/>
      <c r="T2426" s="605"/>
    </row>
    <row r="2427" spans="1:20" s="88" customFormat="1" ht="12.75" hidden="1" x14ac:dyDescent="0.2">
      <c r="A2427" s="510" t="str">
        <f>IF(B2427="","",COUNT('Diário 1º PA'!$A$4:$A$2635)+ROW()-3)</f>
        <v/>
      </c>
      <c r="B2427" s="414"/>
      <c r="C2427" s="592"/>
      <c r="D2427" s="415"/>
      <c r="E2427" s="415"/>
      <c r="F2427" s="595"/>
      <c r="G2427" s="427"/>
      <c r="H2427" s="415"/>
      <c r="I2427" s="427"/>
      <c r="J2427" s="415"/>
      <c r="K2427" s="415"/>
      <c r="L2427" s="415"/>
      <c r="M2427" s="415"/>
      <c r="N2427" s="414"/>
      <c r="O2427" s="414"/>
      <c r="P2427" s="603">
        <f t="shared" si="361"/>
        <v>0</v>
      </c>
      <c r="Q2427" s="603">
        <f t="shared" si="362"/>
        <v>0</v>
      </c>
      <c r="R2427" s="604" t="str">
        <f t="shared" si="360"/>
        <v/>
      </c>
      <c r="S2427" s="605"/>
      <c r="T2427" s="605"/>
    </row>
    <row r="2428" spans="1:20" s="88" customFormat="1" ht="12.75" hidden="1" x14ac:dyDescent="0.2">
      <c r="A2428" s="510" t="str">
        <f>IF(B2428="","",COUNT('Diário 1º PA'!$A$4:$A$2635)+ROW()-3)</f>
        <v/>
      </c>
      <c r="B2428" s="414"/>
      <c r="C2428" s="592"/>
      <c r="D2428" s="415"/>
      <c r="E2428" s="415"/>
      <c r="F2428" s="425"/>
      <c r="G2428" s="427"/>
      <c r="H2428" s="415"/>
      <c r="I2428" s="427"/>
      <c r="J2428" s="415"/>
      <c r="K2428" s="415"/>
      <c r="L2428" s="415"/>
      <c r="M2428" s="415"/>
      <c r="N2428" s="414"/>
      <c r="O2428" s="414"/>
      <c r="P2428" s="603">
        <f t="shared" si="361"/>
        <v>0</v>
      </c>
      <c r="Q2428" s="603">
        <f t="shared" si="362"/>
        <v>0</v>
      </c>
      <c r="R2428" s="604" t="str">
        <f t="shared" si="360"/>
        <v/>
      </c>
      <c r="S2428" s="605"/>
      <c r="T2428" s="605"/>
    </row>
    <row r="2429" spans="1:20" s="88" customFormat="1" ht="12.75" hidden="1" x14ac:dyDescent="0.2">
      <c r="A2429" s="510" t="str">
        <f>IF(B2429="","",COUNT('Diário 1º PA'!$A$4:$A$2635)+ROW()-3)</f>
        <v/>
      </c>
      <c r="B2429" s="414"/>
      <c r="C2429" s="592"/>
      <c r="D2429" s="415"/>
      <c r="E2429" s="415"/>
      <c r="F2429" s="425"/>
      <c r="G2429" s="427"/>
      <c r="H2429" s="415"/>
      <c r="I2429" s="427"/>
      <c r="J2429" s="415"/>
      <c r="K2429" s="415"/>
      <c r="L2429" s="415"/>
      <c r="M2429" s="415"/>
      <c r="N2429" s="414"/>
      <c r="O2429" s="414"/>
      <c r="P2429" s="603">
        <f t="shared" si="361"/>
        <v>0</v>
      </c>
      <c r="Q2429" s="603">
        <f t="shared" si="362"/>
        <v>0</v>
      </c>
      <c r="R2429" s="604" t="str">
        <f t="shared" si="360"/>
        <v/>
      </c>
      <c r="S2429" s="605"/>
      <c r="T2429" s="605"/>
    </row>
    <row r="2430" spans="1:20" s="88" customFormat="1" ht="12.75" hidden="1" x14ac:dyDescent="0.2">
      <c r="A2430" s="510" t="str">
        <f>IF(B2430="","",COUNT('Diário 1º PA'!$A$4:$A$2635)+ROW()-3)</f>
        <v/>
      </c>
      <c r="B2430" s="414"/>
      <c r="C2430" s="592"/>
      <c r="D2430" s="415"/>
      <c r="E2430" s="415"/>
      <c r="F2430" s="425"/>
      <c r="G2430" s="427"/>
      <c r="H2430" s="415"/>
      <c r="I2430" s="427"/>
      <c r="J2430" s="415"/>
      <c r="K2430" s="415"/>
      <c r="L2430" s="415"/>
      <c r="M2430" s="415"/>
      <c r="N2430" s="414"/>
      <c r="O2430" s="414"/>
      <c r="P2430" s="603">
        <f t="shared" si="361"/>
        <v>0</v>
      </c>
      <c r="Q2430" s="603">
        <f t="shared" si="362"/>
        <v>0</v>
      </c>
      <c r="R2430" s="604" t="str">
        <f t="shared" si="360"/>
        <v/>
      </c>
      <c r="S2430" s="605"/>
      <c r="T2430" s="605"/>
    </row>
    <row r="2431" spans="1:20" s="88" customFormat="1" ht="12.75" hidden="1" x14ac:dyDescent="0.2">
      <c r="A2431" s="510" t="str">
        <f>IF(B2431="","",COUNT('Diário 1º PA'!$A$4:$A$2635)+ROW()-3)</f>
        <v/>
      </c>
      <c r="B2431" s="414"/>
      <c r="C2431" s="592"/>
      <c r="D2431" s="415"/>
      <c r="E2431" s="415"/>
      <c r="F2431" s="425"/>
      <c r="G2431" s="427"/>
      <c r="H2431" s="415"/>
      <c r="I2431" s="427"/>
      <c r="J2431" s="415"/>
      <c r="K2431" s="415"/>
      <c r="L2431" s="415"/>
      <c r="M2431" s="415"/>
      <c r="N2431" s="414"/>
      <c r="O2431" s="414"/>
      <c r="P2431" s="603">
        <f t="shared" si="361"/>
        <v>0</v>
      </c>
      <c r="Q2431" s="603">
        <f t="shared" si="362"/>
        <v>0</v>
      </c>
      <c r="R2431" s="604" t="str">
        <f t="shared" si="360"/>
        <v/>
      </c>
      <c r="S2431" s="605"/>
      <c r="T2431" s="605"/>
    </row>
    <row r="2432" spans="1:20" s="88" customFormat="1" ht="12.75" hidden="1" x14ac:dyDescent="0.2">
      <c r="A2432" s="510" t="str">
        <f>IF(B2432="","",COUNT('Diário 1º PA'!$A$4:$A$2635)+ROW()-3)</f>
        <v/>
      </c>
      <c r="B2432" s="414"/>
      <c r="C2432" s="592"/>
      <c r="D2432" s="415"/>
      <c r="E2432" s="415"/>
      <c r="F2432" s="425"/>
      <c r="G2432" s="427"/>
      <c r="H2432" s="415"/>
      <c r="I2432" s="427"/>
      <c r="J2432" s="415"/>
      <c r="K2432" s="415"/>
      <c r="L2432" s="415"/>
      <c r="M2432" s="415"/>
      <c r="N2432" s="414"/>
      <c r="O2432" s="414"/>
      <c r="P2432" s="603">
        <f t="shared" si="361"/>
        <v>0</v>
      </c>
      <c r="Q2432" s="603">
        <f t="shared" si="362"/>
        <v>0</v>
      </c>
      <c r="R2432" s="604" t="str">
        <f t="shared" si="360"/>
        <v/>
      </c>
      <c r="S2432" s="605"/>
      <c r="T2432" s="605"/>
    </row>
    <row r="2433" spans="1:20" s="88" customFormat="1" ht="12.75" hidden="1" x14ac:dyDescent="0.2">
      <c r="A2433" s="510" t="str">
        <f>IF(B2433="","",COUNT('Diário 1º PA'!$A$4:$A$2635)+ROW()-3)</f>
        <v/>
      </c>
      <c r="B2433" s="414"/>
      <c r="C2433" s="592"/>
      <c r="D2433" s="415"/>
      <c r="E2433" s="415"/>
      <c r="F2433" s="425"/>
      <c r="G2433" s="427"/>
      <c r="H2433" s="415"/>
      <c r="I2433" s="427"/>
      <c r="J2433" s="415"/>
      <c r="K2433" s="415"/>
      <c r="L2433" s="415"/>
      <c r="M2433" s="415"/>
      <c r="N2433" s="414"/>
      <c r="O2433" s="414"/>
      <c r="P2433" s="603">
        <f t="shared" si="361"/>
        <v>0</v>
      </c>
      <c r="Q2433" s="603">
        <f t="shared" si="362"/>
        <v>0</v>
      </c>
      <c r="R2433" s="604" t="str">
        <f t="shared" si="360"/>
        <v/>
      </c>
      <c r="S2433" s="605"/>
      <c r="T2433" s="605"/>
    </row>
    <row r="2434" spans="1:20" s="88" customFormat="1" ht="12.75" hidden="1" x14ac:dyDescent="0.2">
      <c r="A2434" s="510" t="str">
        <f>IF(B2434="","",COUNT('Diário 1º PA'!$A$4:$A$2635)+ROW()-3)</f>
        <v/>
      </c>
      <c r="B2434" s="414"/>
      <c r="C2434" s="592"/>
      <c r="D2434" s="415"/>
      <c r="E2434" s="415"/>
      <c r="F2434" s="425"/>
      <c r="G2434" s="427"/>
      <c r="H2434" s="415"/>
      <c r="I2434" s="427"/>
      <c r="J2434" s="415"/>
      <c r="K2434" s="415"/>
      <c r="L2434" s="415"/>
      <c r="M2434" s="415"/>
      <c r="N2434" s="414"/>
      <c r="O2434" s="414"/>
      <c r="P2434" s="603">
        <f t="shared" si="361"/>
        <v>0</v>
      </c>
      <c r="Q2434" s="603">
        <f t="shared" si="362"/>
        <v>0</v>
      </c>
      <c r="R2434" s="604" t="str">
        <f t="shared" si="360"/>
        <v/>
      </c>
      <c r="S2434" s="605"/>
      <c r="T2434" s="605"/>
    </row>
    <row r="2435" spans="1:20" s="88" customFormat="1" ht="12.75" hidden="1" x14ac:dyDescent="0.2">
      <c r="A2435" s="510" t="str">
        <f>IF(B2435="","",COUNT('Diário 1º PA'!$A$4:$A$2635)+ROW()-3)</f>
        <v/>
      </c>
      <c r="B2435" s="414"/>
      <c r="C2435" s="592"/>
      <c r="D2435" s="415"/>
      <c r="E2435" s="415"/>
      <c r="F2435" s="425"/>
      <c r="G2435" s="427"/>
      <c r="H2435" s="415"/>
      <c r="I2435" s="427"/>
      <c r="J2435" s="415"/>
      <c r="K2435" s="415"/>
      <c r="L2435" s="415"/>
      <c r="M2435" s="415"/>
      <c r="N2435" s="414"/>
      <c r="O2435" s="414"/>
      <c r="P2435" s="603">
        <f t="shared" si="361"/>
        <v>0</v>
      </c>
      <c r="Q2435" s="603">
        <f t="shared" si="362"/>
        <v>0</v>
      </c>
      <c r="R2435" s="604" t="str">
        <f t="shared" si="360"/>
        <v/>
      </c>
      <c r="S2435" s="605"/>
      <c r="T2435" s="605"/>
    </row>
    <row r="2436" spans="1:20" s="88" customFormat="1" ht="12.75" hidden="1" x14ac:dyDescent="0.2">
      <c r="A2436" s="510" t="str">
        <f>IF(B2436="","",COUNT('Diário 1º PA'!$A$4:$A$2635)+ROW()-3)</f>
        <v/>
      </c>
      <c r="B2436" s="414"/>
      <c r="C2436" s="592"/>
      <c r="D2436" s="415"/>
      <c r="E2436" s="415"/>
      <c r="F2436" s="425"/>
      <c r="G2436" s="427"/>
      <c r="H2436" s="415"/>
      <c r="I2436" s="427"/>
      <c r="J2436" s="415"/>
      <c r="K2436" s="415"/>
      <c r="L2436" s="415"/>
      <c r="M2436" s="415"/>
      <c r="N2436" s="414"/>
      <c r="O2436" s="414"/>
      <c r="P2436" s="603">
        <f t="shared" si="361"/>
        <v>0</v>
      </c>
      <c r="Q2436" s="603">
        <f t="shared" si="362"/>
        <v>0</v>
      </c>
      <c r="R2436" s="604" t="str">
        <f t="shared" si="360"/>
        <v/>
      </c>
      <c r="S2436" s="605"/>
      <c r="T2436" s="605"/>
    </row>
    <row r="2437" spans="1:20" s="88" customFormat="1" ht="12.75" hidden="1" x14ac:dyDescent="0.2">
      <c r="A2437" s="510" t="str">
        <f>IF(B2437="","",COUNT('Diário 1º PA'!$A$4:$A$2635)+ROW()-3)</f>
        <v/>
      </c>
      <c r="B2437" s="414"/>
      <c r="C2437" s="592"/>
      <c r="D2437" s="415"/>
      <c r="E2437" s="415"/>
      <c r="F2437" s="425"/>
      <c r="G2437" s="427"/>
      <c r="H2437" s="415"/>
      <c r="I2437" s="427"/>
      <c r="J2437" s="415"/>
      <c r="K2437" s="415"/>
      <c r="L2437" s="415"/>
      <c r="M2437" s="415"/>
      <c r="N2437" s="414"/>
      <c r="O2437" s="414"/>
      <c r="P2437" s="603">
        <f t="shared" si="361"/>
        <v>0</v>
      </c>
      <c r="Q2437" s="603">
        <f t="shared" si="362"/>
        <v>0</v>
      </c>
      <c r="R2437" s="604" t="str">
        <f t="shared" si="360"/>
        <v/>
      </c>
      <c r="S2437" s="605"/>
      <c r="T2437" s="605"/>
    </row>
    <row r="2438" spans="1:20" s="88" customFormat="1" ht="12.75" hidden="1" x14ac:dyDescent="0.2">
      <c r="A2438" s="510" t="str">
        <f>IF(B2438="","",COUNT('Diário 1º PA'!$A$4:$A$2635)+ROW()-3)</f>
        <v/>
      </c>
      <c r="B2438" s="414"/>
      <c r="C2438" s="592"/>
      <c r="D2438" s="415"/>
      <c r="E2438" s="415"/>
      <c r="F2438" s="425"/>
      <c r="G2438" s="427"/>
      <c r="H2438" s="415"/>
      <c r="I2438" s="427"/>
      <c r="J2438" s="415"/>
      <c r="K2438" s="415"/>
      <c r="L2438" s="415"/>
      <c r="M2438" s="415"/>
      <c r="N2438" s="414"/>
      <c r="O2438" s="414"/>
      <c r="P2438" s="603">
        <f t="shared" si="361"/>
        <v>0</v>
      </c>
      <c r="Q2438" s="603">
        <f t="shared" si="362"/>
        <v>0</v>
      </c>
      <c r="R2438" s="604" t="str">
        <f t="shared" si="360"/>
        <v/>
      </c>
      <c r="S2438" s="605"/>
      <c r="T2438" s="605"/>
    </row>
    <row r="2439" spans="1:20" s="88" customFormat="1" ht="12.75" hidden="1" x14ac:dyDescent="0.2">
      <c r="A2439" s="510" t="str">
        <f>IF(B2439="","",COUNT('Diário 1º PA'!$A$4:$A$2635)+ROW()-3)</f>
        <v/>
      </c>
      <c r="B2439" s="414"/>
      <c r="C2439" s="592"/>
      <c r="D2439" s="415"/>
      <c r="E2439" s="415"/>
      <c r="F2439" s="425"/>
      <c r="G2439" s="427"/>
      <c r="H2439" s="415"/>
      <c r="I2439" s="427"/>
      <c r="J2439" s="415"/>
      <c r="K2439" s="415"/>
      <c r="L2439" s="415"/>
      <c r="M2439" s="415"/>
      <c r="N2439" s="414"/>
      <c r="O2439" s="414"/>
      <c r="P2439" s="603">
        <f t="shared" si="361"/>
        <v>0</v>
      </c>
      <c r="Q2439" s="603">
        <f t="shared" si="362"/>
        <v>0</v>
      </c>
      <c r="R2439" s="604" t="str">
        <f t="shared" si="360"/>
        <v/>
      </c>
      <c r="S2439" s="605"/>
      <c r="T2439" s="605"/>
    </row>
    <row r="2440" spans="1:20" s="88" customFormat="1" ht="12.75" hidden="1" x14ac:dyDescent="0.2">
      <c r="A2440" s="510" t="str">
        <f>IF(B2440="","",COUNT('Diário 1º PA'!$A$4:$A$2635)+ROW()-3)</f>
        <v/>
      </c>
      <c r="B2440" s="414"/>
      <c r="C2440" s="592"/>
      <c r="D2440" s="415"/>
      <c r="E2440" s="415"/>
      <c r="F2440" s="425"/>
      <c r="G2440" s="427"/>
      <c r="H2440" s="415"/>
      <c r="I2440" s="427"/>
      <c r="J2440" s="415"/>
      <c r="K2440" s="415"/>
      <c r="L2440" s="415"/>
      <c r="M2440" s="415"/>
      <c r="N2440" s="414"/>
      <c r="O2440" s="414"/>
      <c r="P2440" s="603">
        <f t="shared" si="361"/>
        <v>0</v>
      </c>
      <c r="Q2440" s="603">
        <f t="shared" si="362"/>
        <v>0</v>
      </c>
      <c r="R2440" s="604" t="str">
        <f t="shared" si="360"/>
        <v/>
      </c>
      <c r="S2440" s="605"/>
      <c r="T2440" s="605"/>
    </row>
    <row r="2441" spans="1:20" s="88" customFormat="1" ht="12.75" hidden="1" x14ac:dyDescent="0.2">
      <c r="A2441" s="510" t="str">
        <f>IF(B2441="","",COUNT('Diário 1º PA'!$A$4:$A$2635)+ROW()-3)</f>
        <v/>
      </c>
      <c r="B2441" s="414"/>
      <c r="C2441" s="592"/>
      <c r="D2441" s="415"/>
      <c r="E2441" s="415"/>
      <c r="F2441" s="425"/>
      <c r="G2441" s="427"/>
      <c r="H2441" s="415"/>
      <c r="I2441" s="427"/>
      <c r="J2441" s="415"/>
      <c r="K2441" s="415"/>
      <c r="L2441" s="415"/>
      <c r="M2441" s="415"/>
      <c r="N2441" s="414"/>
      <c r="O2441" s="414"/>
      <c r="P2441" s="603">
        <f t="shared" si="361"/>
        <v>0</v>
      </c>
      <c r="Q2441" s="603">
        <f t="shared" si="362"/>
        <v>0</v>
      </c>
      <c r="R2441" s="604" t="str">
        <f t="shared" si="360"/>
        <v/>
      </c>
      <c r="S2441" s="605"/>
      <c r="T2441" s="605"/>
    </row>
    <row r="2442" spans="1:20" s="88" customFormat="1" ht="12.75" hidden="1" x14ac:dyDescent="0.2">
      <c r="A2442" s="510" t="str">
        <f>IF(B2442="","",COUNT('Diário 1º PA'!$A$4:$A$2635)+ROW()-3)</f>
        <v/>
      </c>
      <c r="B2442" s="414"/>
      <c r="C2442" s="592"/>
      <c r="D2442" s="415"/>
      <c r="E2442" s="415"/>
      <c r="F2442" s="425"/>
      <c r="G2442" s="427"/>
      <c r="H2442" s="415"/>
      <c r="I2442" s="427"/>
      <c r="J2442" s="415"/>
      <c r="K2442" s="415"/>
      <c r="L2442" s="415"/>
      <c r="M2442" s="415"/>
      <c r="N2442" s="414"/>
      <c r="O2442" s="414"/>
      <c r="P2442" s="603">
        <f t="shared" si="361"/>
        <v>0</v>
      </c>
      <c r="Q2442" s="603">
        <f t="shared" si="362"/>
        <v>0</v>
      </c>
      <c r="R2442" s="604" t="str">
        <f t="shared" si="360"/>
        <v/>
      </c>
      <c r="S2442" s="605"/>
      <c r="T2442" s="605"/>
    </row>
    <row r="2443" spans="1:20" s="88" customFormat="1" ht="12.75" hidden="1" x14ac:dyDescent="0.2">
      <c r="A2443" s="510" t="str">
        <f>IF(B2443="","",COUNT('Diário 1º PA'!$A$4:$A$2635)+ROW()-3)</f>
        <v/>
      </c>
      <c r="B2443" s="414"/>
      <c r="C2443" s="592"/>
      <c r="D2443" s="415"/>
      <c r="E2443" s="415"/>
      <c r="F2443" s="425"/>
      <c r="G2443" s="427"/>
      <c r="H2443" s="415"/>
      <c r="I2443" s="427"/>
      <c r="J2443" s="415"/>
      <c r="K2443" s="415"/>
      <c r="L2443" s="415"/>
      <c r="M2443" s="415"/>
      <c r="N2443" s="414"/>
      <c r="O2443" s="414"/>
      <c r="P2443" s="603">
        <f t="shared" si="361"/>
        <v>0</v>
      </c>
      <c r="Q2443" s="603">
        <f t="shared" si="362"/>
        <v>0</v>
      </c>
      <c r="R2443" s="604" t="str">
        <f t="shared" si="360"/>
        <v/>
      </c>
      <c r="S2443" s="605"/>
      <c r="T2443" s="605"/>
    </row>
    <row r="2444" spans="1:20" s="88" customFormat="1" ht="12.75" hidden="1" x14ac:dyDescent="0.2">
      <c r="A2444" s="510" t="str">
        <f>IF(B2444="","",COUNT('Diário 1º PA'!$A$4:$A$2635)+ROW()-3)</f>
        <v/>
      </c>
      <c r="B2444" s="414"/>
      <c r="C2444" s="592"/>
      <c r="D2444" s="415"/>
      <c r="E2444" s="415"/>
      <c r="F2444" s="425"/>
      <c r="G2444" s="427"/>
      <c r="H2444" s="415"/>
      <c r="I2444" s="427"/>
      <c r="J2444" s="415"/>
      <c r="K2444" s="415"/>
      <c r="L2444" s="415"/>
      <c r="M2444" s="415"/>
      <c r="N2444" s="414"/>
      <c r="O2444" s="414"/>
      <c r="P2444" s="603">
        <f t="shared" si="361"/>
        <v>0</v>
      </c>
      <c r="Q2444" s="603">
        <f t="shared" si="362"/>
        <v>0</v>
      </c>
      <c r="R2444" s="604" t="str">
        <f t="shared" si="360"/>
        <v/>
      </c>
      <c r="S2444" s="605"/>
      <c r="T2444" s="605"/>
    </row>
    <row r="2445" spans="1:20" s="88" customFormat="1" ht="12.75" hidden="1" x14ac:dyDescent="0.2">
      <c r="A2445" s="510" t="str">
        <f>IF(B2445="","",COUNT('Diário 1º PA'!$A$4:$A$2635)+ROW()-3)</f>
        <v/>
      </c>
      <c r="B2445" s="414"/>
      <c r="C2445" s="592"/>
      <c r="D2445" s="415"/>
      <c r="E2445" s="415"/>
      <c r="F2445" s="425"/>
      <c r="G2445" s="427"/>
      <c r="H2445" s="415"/>
      <c r="I2445" s="427"/>
      <c r="J2445" s="415"/>
      <c r="K2445" s="415"/>
      <c r="L2445" s="415"/>
      <c r="M2445" s="415"/>
      <c r="N2445" s="414"/>
      <c r="O2445" s="414"/>
      <c r="P2445" s="603">
        <f t="shared" si="361"/>
        <v>0</v>
      </c>
      <c r="Q2445" s="603">
        <f t="shared" si="362"/>
        <v>0</v>
      </c>
      <c r="R2445" s="604" t="str">
        <f t="shared" si="360"/>
        <v/>
      </c>
      <c r="S2445" s="605"/>
      <c r="T2445" s="605"/>
    </row>
    <row r="2446" spans="1:20" s="88" customFormat="1" ht="12.75" hidden="1" x14ac:dyDescent="0.2">
      <c r="A2446" s="510" t="str">
        <f>IF(B2446="","",COUNT('Diário 1º PA'!$A$4:$A$2635)+ROW()-3)</f>
        <v/>
      </c>
      <c r="B2446" s="414"/>
      <c r="C2446" s="592"/>
      <c r="D2446" s="415"/>
      <c r="E2446" s="415"/>
      <c r="F2446" s="425"/>
      <c r="G2446" s="427"/>
      <c r="H2446" s="415"/>
      <c r="I2446" s="427"/>
      <c r="J2446" s="415"/>
      <c r="K2446" s="415"/>
      <c r="L2446" s="415"/>
      <c r="M2446" s="415"/>
      <c r="N2446" s="414"/>
      <c r="O2446" s="414"/>
      <c r="P2446" s="603">
        <f t="shared" si="361"/>
        <v>0</v>
      </c>
      <c r="Q2446" s="603">
        <f t="shared" si="362"/>
        <v>0</v>
      </c>
      <c r="R2446" s="604" t="str">
        <f t="shared" si="360"/>
        <v/>
      </c>
      <c r="S2446" s="605"/>
      <c r="T2446" s="605"/>
    </row>
    <row r="2447" spans="1:20" s="88" customFormat="1" ht="12.75" hidden="1" x14ac:dyDescent="0.2">
      <c r="A2447" s="510" t="str">
        <f>IF(B2447="","",COUNT('Diário 1º PA'!$A$4:$A$2635)+ROW()-3)</f>
        <v/>
      </c>
      <c r="B2447" s="414"/>
      <c r="C2447" s="592"/>
      <c r="D2447" s="415"/>
      <c r="E2447" s="415"/>
      <c r="F2447" s="425"/>
      <c r="G2447" s="427"/>
      <c r="H2447" s="415"/>
      <c r="I2447" s="427"/>
      <c r="J2447" s="415"/>
      <c r="K2447" s="415"/>
      <c r="L2447" s="415"/>
      <c r="M2447" s="415"/>
      <c r="N2447" s="414"/>
      <c r="O2447" s="414"/>
      <c r="P2447" s="603">
        <f t="shared" si="361"/>
        <v>0</v>
      </c>
      <c r="Q2447" s="603">
        <f t="shared" si="362"/>
        <v>0</v>
      </c>
      <c r="R2447" s="604" t="str">
        <f t="shared" si="360"/>
        <v/>
      </c>
      <c r="S2447" s="605"/>
      <c r="T2447" s="605"/>
    </row>
    <row r="2448" spans="1:20" s="88" customFormat="1" ht="12.75" hidden="1" x14ac:dyDescent="0.2">
      <c r="A2448" s="510" t="str">
        <f>IF(B2448="","",COUNT('Diário 1º PA'!$A$4:$A$2635)+ROW()-3)</f>
        <v/>
      </c>
      <c r="B2448" s="414"/>
      <c r="C2448" s="592"/>
      <c r="D2448" s="415"/>
      <c r="E2448" s="415"/>
      <c r="F2448" s="425"/>
      <c r="G2448" s="427"/>
      <c r="H2448" s="415"/>
      <c r="I2448" s="427"/>
      <c r="J2448" s="415"/>
      <c r="K2448" s="415"/>
      <c r="L2448" s="415"/>
      <c r="M2448" s="415"/>
      <c r="N2448" s="414"/>
      <c r="O2448" s="414"/>
      <c r="P2448" s="603">
        <f t="shared" si="361"/>
        <v>0</v>
      </c>
      <c r="Q2448" s="603">
        <f t="shared" si="362"/>
        <v>0</v>
      </c>
      <c r="R2448" s="604" t="str">
        <f t="shared" si="360"/>
        <v/>
      </c>
      <c r="S2448" s="605"/>
      <c r="T2448" s="605"/>
    </row>
    <row r="2449" spans="1:20" s="88" customFormat="1" ht="12.75" hidden="1" x14ac:dyDescent="0.2">
      <c r="A2449" s="510" t="str">
        <f>IF(B2449="","",COUNT('Diário 1º PA'!$A$4:$A$2635)+ROW()-3)</f>
        <v/>
      </c>
      <c r="B2449" s="414"/>
      <c r="C2449" s="592"/>
      <c r="D2449" s="415"/>
      <c r="E2449" s="415"/>
      <c r="F2449" s="425"/>
      <c r="G2449" s="427"/>
      <c r="H2449" s="415"/>
      <c r="I2449" s="427"/>
      <c r="J2449" s="415"/>
      <c r="K2449" s="415"/>
      <c r="L2449" s="415"/>
      <c r="M2449" s="415"/>
      <c r="N2449" s="414"/>
      <c r="O2449" s="414"/>
      <c r="P2449" s="603">
        <f t="shared" si="361"/>
        <v>0</v>
      </c>
      <c r="Q2449" s="603">
        <f t="shared" si="362"/>
        <v>0</v>
      </c>
      <c r="R2449" s="604" t="str">
        <f t="shared" si="360"/>
        <v/>
      </c>
      <c r="S2449" s="605"/>
      <c r="T2449" s="605"/>
    </row>
    <row r="2450" spans="1:20" s="88" customFormat="1" ht="12.75" hidden="1" x14ac:dyDescent="0.2">
      <c r="A2450" s="510" t="str">
        <f>IF(B2450="","",COUNT('Diário 1º PA'!$A$4:$A$2635)+ROW()-3)</f>
        <v/>
      </c>
      <c r="B2450" s="414"/>
      <c r="C2450" s="592"/>
      <c r="D2450" s="415"/>
      <c r="E2450" s="415"/>
      <c r="F2450" s="425"/>
      <c r="G2450" s="427"/>
      <c r="H2450" s="415"/>
      <c r="I2450" s="427"/>
      <c r="J2450" s="415"/>
      <c r="K2450" s="415"/>
      <c r="L2450" s="415"/>
      <c r="M2450" s="415"/>
      <c r="N2450" s="414"/>
      <c r="O2450" s="414"/>
      <c r="P2450" s="603">
        <f t="shared" si="361"/>
        <v>0</v>
      </c>
      <c r="Q2450" s="603">
        <f t="shared" si="362"/>
        <v>0</v>
      </c>
      <c r="R2450" s="604" t="str">
        <f t="shared" si="360"/>
        <v/>
      </c>
      <c r="S2450" s="605"/>
      <c r="T2450" s="605"/>
    </row>
    <row r="2451" spans="1:20" s="88" customFormat="1" ht="12.75" hidden="1" x14ac:dyDescent="0.2">
      <c r="A2451" s="510" t="str">
        <f>IF(B2451="","",COUNT('Diário 1º PA'!$A$4:$A$2635)+ROW()-3)</f>
        <v/>
      </c>
      <c r="B2451" s="414"/>
      <c r="C2451" s="592"/>
      <c r="D2451" s="415"/>
      <c r="E2451" s="415"/>
      <c r="F2451" s="425"/>
      <c r="G2451" s="427"/>
      <c r="H2451" s="415"/>
      <c r="I2451" s="427"/>
      <c r="J2451" s="415"/>
      <c r="K2451" s="415"/>
      <c r="L2451" s="415"/>
      <c r="M2451" s="415"/>
      <c r="N2451" s="414"/>
      <c r="O2451" s="414"/>
      <c r="P2451" s="603">
        <f t="shared" si="361"/>
        <v>0</v>
      </c>
      <c r="Q2451" s="603">
        <f t="shared" si="362"/>
        <v>0</v>
      </c>
      <c r="R2451" s="604" t="str">
        <f t="shared" si="360"/>
        <v/>
      </c>
      <c r="S2451" s="605"/>
      <c r="T2451" s="605"/>
    </row>
    <row r="2452" spans="1:20" s="88" customFormat="1" ht="12.75" hidden="1" x14ac:dyDescent="0.2">
      <c r="A2452" s="510" t="str">
        <f>IF(B2452="","",COUNT('Diário 1º PA'!$A$4:$A$2635)+ROW()-3)</f>
        <v/>
      </c>
      <c r="B2452" s="414"/>
      <c r="C2452" s="592"/>
      <c r="D2452" s="415"/>
      <c r="E2452" s="415"/>
      <c r="F2452" s="425"/>
      <c r="G2452" s="427"/>
      <c r="H2452" s="415"/>
      <c r="I2452" s="427"/>
      <c r="J2452" s="415"/>
      <c r="K2452" s="415"/>
      <c r="L2452" s="415"/>
      <c r="M2452" s="415"/>
      <c r="N2452" s="414"/>
      <c r="O2452" s="414"/>
      <c r="P2452" s="603">
        <f t="shared" si="361"/>
        <v>0</v>
      </c>
      <c r="Q2452" s="603">
        <f t="shared" si="362"/>
        <v>0</v>
      </c>
      <c r="R2452" s="604" t="str">
        <f t="shared" si="360"/>
        <v/>
      </c>
      <c r="S2452" s="605"/>
      <c r="T2452" s="605"/>
    </row>
    <row r="2453" spans="1:20" s="88" customFormat="1" ht="12.75" hidden="1" x14ac:dyDescent="0.2">
      <c r="A2453" s="510" t="str">
        <f>IF(B2453="","",COUNT('Diário 1º PA'!$A$4:$A$2635)+ROW()-3)</f>
        <v/>
      </c>
      <c r="B2453" s="414"/>
      <c r="C2453" s="592"/>
      <c r="D2453" s="415"/>
      <c r="E2453" s="415"/>
      <c r="F2453" s="425"/>
      <c r="G2453" s="427"/>
      <c r="H2453" s="415"/>
      <c r="I2453" s="427"/>
      <c r="J2453" s="415"/>
      <c r="K2453" s="415"/>
      <c r="L2453" s="415"/>
      <c r="M2453" s="415"/>
      <c r="N2453" s="414"/>
      <c r="O2453" s="414"/>
      <c r="P2453" s="603">
        <f t="shared" si="361"/>
        <v>0</v>
      </c>
      <c r="Q2453" s="603">
        <f t="shared" si="362"/>
        <v>0</v>
      </c>
      <c r="R2453" s="604" t="str">
        <f t="shared" si="360"/>
        <v/>
      </c>
      <c r="S2453" s="605"/>
      <c r="T2453" s="605"/>
    </row>
    <row r="2454" spans="1:20" s="88" customFormat="1" ht="12.75" hidden="1" x14ac:dyDescent="0.2">
      <c r="A2454" s="510" t="str">
        <f>IF(B2454="","",COUNT('Diário 1º PA'!$A$4:$A$2635)+ROW()-3)</f>
        <v/>
      </c>
      <c r="B2454" s="414"/>
      <c r="C2454" s="592"/>
      <c r="D2454" s="415"/>
      <c r="E2454" s="415"/>
      <c r="F2454" s="425"/>
      <c r="G2454" s="427"/>
      <c r="H2454" s="415"/>
      <c r="I2454" s="427"/>
      <c r="J2454" s="415"/>
      <c r="K2454" s="415"/>
      <c r="L2454" s="415"/>
      <c r="M2454" s="415"/>
      <c r="N2454" s="414"/>
      <c r="O2454" s="414"/>
      <c r="P2454" s="603">
        <f t="shared" si="361"/>
        <v>0</v>
      </c>
      <c r="Q2454" s="603">
        <f t="shared" si="362"/>
        <v>0</v>
      </c>
      <c r="R2454" s="604" t="str">
        <f t="shared" si="360"/>
        <v/>
      </c>
      <c r="S2454" s="605"/>
      <c r="T2454" s="605"/>
    </row>
    <row r="2455" spans="1:20" s="88" customFormat="1" ht="12.75" hidden="1" x14ac:dyDescent="0.2">
      <c r="A2455" s="510" t="str">
        <f>IF(B2455="","",COUNT('Diário 1º PA'!$A$4:$A$2635)+ROW()-3)</f>
        <v/>
      </c>
      <c r="B2455" s="414"/>
      <c r="C2455" s="592"/>
      <c r="D2455" s="415"/>
      <c r="E2455" s="415"/>
      <c r="F2455" s="425"/>
      <c r="G2455" s="427"/>
      <c r="H2455" s="415"/>
      <c r="I2455" s="427"/>
      <c r="J2455" s="415"/>
      <c r="K2455" s="415"/>
      <c r="L2455" s="415"/>
      <c r="M2455" s="415"/>
      <c r="N2455" s="414"/>
      <c r="O2455" s="414"/>
      <c r="P2455" s="603">
        <f t="shared" si="361"/>
        <v>0</v>
      </c>
      <c r="Q2455" s="603">
        <f t="shared" si="362"/>
        <v>0</v>
      </c>
      <c r="R2455" s="604" t="str">
        <f t="shared" si="360"/>
        <v/>
      </c>
      <c r="S2455" s="605"/>
      <c r="T2455" s="605"/>
    </row>
    <row r="2456" spans="1:20" s="88" customFormat="1" ht="12.75" hidden="1" x14ac:dyDescent="0.2">
      <c r="A2456" s="510" t="str">
        <f>IF(B2456="","",COUNT('Diário 1º PA'!$A$4:$A$2635)+ROW()-3)</f>
        <v/>
      </c>
      <c r="B2456" s="414"/>
      <c r="C2456" s="592"/>
      <c r="D2456" s="415"/>
      <c r="E2456" s="415"/>
      <c r="F2456" s="425"/>
      <c r="G2456" s="427"/>
      <c r="H2456" s="415"/>
      <c r="I2456" s="427"/>
      <c r="J2456" s="415"/>
      <c r="K2456" s="415"/>
      <c r="L2456" s="415"/>
      <c r="M2456" s="415"/>
      <c r="N2456" s="414"/>
      <c r="O2456" s="414"/>
      <c r="P2456" s="603">
        <f t="shared" si="361"/>
        <v>0</v>
      </c>
      <c r="Q2456" s="603">
        <f t="shared" si="362"/>
        <v>0</v>
      </c>
      <c r="R2456" s="604" t="str">
        <f t="shared" si="360"/>
        <v/>
      </c>
      <c r="S2456" s="605"/>
      <c r="T2456" s="605"/>
    </row>
    <row r="2457" spans="1:20" s="88" customFormat="1" ht="12.75" hidden="1" x14ac:dyDescent="0.2">
      <c r="A2457" s="510" t="str">
        <f>IF(B2457="","",COUNT('Diário 1º PA'!$A$4:$A$2635)+ROW()-3)</f>
        <v/>
      </c>
      <c r="B2457" s="414"/>
      <c r="C2457" s="592"/>
      <c r="D2457" s="415"/>
      <c r="E2457" s="415"/>
      <c r="F2457" s="425"/>
      <c r="G2457" s="427"/>
      <c r="H2457" s="415"/>
      <c r="I2457" s="427"/>
      <c r="J2457" s="415"/>
      <c r="K2457" s="415"/>
      <c r="L2457" s="415"/>
      <c r="M2457" s="415"/>
      <c r="N2457" s="414"/>
      <c r="O2457" s="414"/>
      <c r="P2457" s="603">
        <f t="shared" si="361"/>
        <v>0</v>
      </c>
      <c r="Q2457" s="603">
        <f t="shared" si="362"/>
        <v>0</v>
      </c>
      <c r="R2457" s="604" t="str">
        <f t="shared" si="360"/>
        <v/>
      </c>
      <c r="S2457" s="605"/>
      <c r="T2457" s="605"/>
    </row>
    <row r="2458" spans="1:20" s="88" customFormat="1" ht="12.75" hidden="1" x14ac:dyDescent="0.2">
      <c r="A2458" s="510" t="str">
        <f>IF(B2458="","",COUNT('Diário 1º PA'!$A$4:$A$2635)+ROW()-3)</f>
        <v/>
      </c>
      <c r="B2458" s="414"/>
      <c r="C2458" s="592"/>
      <c r="D2458" s="415"/>
      <c r="E2458" s="415"/>
      <c r="F2458" s="425"/>
      <c r="G2458" s="427"/>
      <c r="H2458" s="415"/>
      <c r="I2458" s="427"/>
      <c r="J2458" s="415"/>
      <c r="K2458" s="415"/>
      <c r="L2458" s="415"/>
      <c r="M2458" s="415"/>
      <c r="N2458" s="414"/>
      <c r="O2458" s="414"/>
      <c r="P2458" s="603">
        <f t="shared" si="361"/>
        <v>0</v>
      </c>
      <c r="Q2458" s="603">
        <f t="shared" si="362"/>
        <v>0</v>
      </c>
      <c r="R2458" s="604" t="str">
        <f t="shared" si="360"/>
        <v/>
      </c>
      <c r="S2458" s="605"/>
      <c r="T2458" s="605"/>
    </row>
    <row r="2459" spans="1:20" s="88" customFormat="1" ht="12.75" hidden="1" x14ac:dyDescent="0.2">
      <c r="A2459" s="510" t="str">
        <f>IF(B2459="","",COUNT('Diário 1º PA'!$A$4:$A$2635)+ROW()-3)</f>
        <v/>
      </c>
      <c r="B2459" s="414"/>
      <c r="C2459" s="592"/>
      <c r="D2459" s="415"/>
      <c r="E2459" s="415"/>
      <c r="F2459" s="425"/>
      <c r="G2459" s="427"/>
      <c r="H2459" s="415"/>
      <c r="I2459" s="427"/>
      <c r="J2459" s="415"/>
      <c r="K2459" s="415"/>
      <c r="L2459" s="415"/>
      <c r="M2459" s="415"/>
      <c r="N2459" s="414"/>
      <c r="O2459" s="414"/>
      <c r="P2459" s="603">
        <f t="shared" si="361"/>
        <v>0</v>
      </c>
      <c r="Q2459" s="603">
        <f t="shared" si="362"/>
        <v>0</v>
      </c>
      <c r="R2459" s="604" t="str">
        <f t="shared" si="360"/>
        <v/>
      </c>
      <c r="S2459" s="605"/>
      <c r="T2459" s="605"/>
    </row>
    <row r="2460" spans="1:20" s="88" customFormat="1" ht="12.75" hidden="1" x14ac:dyDescent="0.2">
      <c r="A2460" s="510" t="str">
        <f>IF(B2460="","",COUNT('Diário 1º PA'!$A$4:$A$2635)+ROW()-3)</f>
        <v/>
      </c>
      <c r="B2460" s="414"/>
      <c r="C2460" s="592"/>
      <c r="D2460" s="415"/>
      <c r="E2460" s="415"/>
      <c r="F2460" s="425"/>
      <c r="G2460" s="427"/>
      <c r="H2460" s="415"/>
      <c r="I2460" s="427"/>
      <c r="J2460" s="415"/>
      <c r="K2460" s="415"/>
      <c r="L2460" s="415"/>
      <c r="M2460" s="415"/>
      <c r="N2460" s="414"/>
      <c r="O2460" s="414"/>
      <c r="P2460" s="603">
        <f t="shared" si="361"/>
        <v>0</v>
      </c>
      <c r="Q2460" s="603">
        <f t="shared" si="362"/>
        <v>0</v>
      </c>
      <c r="R2460" s="604" t="str">
        <f t="shared" si="360"/>
        <v/>
      </c>
      <c r="S2460" s="605"/>
      <c r="T2460" s="605"/>
    </row>
    <row r="2461" spans="1:20" s="88" customFormat="1" ht="12.75" hidden="1" x14ac:dyDescent="0.2">
      <c r="A2461" s="510" t="str">
        <f>IF(B2461="","",COUNT('Diário 1º PA'!$A$4:$A$2635)+ROW()-3)</f>
        <v/>
      </c>
      <c r="B2461" s="414"/>
      <c r="C2461" s="592"/>
      <c r="D2461" s="415"/>
      <c r="E2461" s="415"/>
      <c r="F2461" s="425"/>
      <c r="G2461" s="427"/>
      <c r="H2461" s="415"/>
      <c r="I2461" s="427"/>
      <c r="J2461" s="415"/>
      <c r="K2461" s="415"/>
      <c r="L2461" s="415"/>
      <c r="M2461" s="415"/>
      <c r="N2461" s="414"/>
      <c r="O2461" s="414"/>
      <c r="P2461" s="603">
        <f t="shared" si="361"/>
        <v>0</v>
      </c>
      <c r="Q2461" s="603">
        <f t="shared" si="362"/>
        <v>0</v>
      </c>
      <c r="R2461" s="604" t="str">
        <f t="shared" si="360"/>
        <v/>
      </c>
      <c r="S2461" s="605"/>
      <c r="T2461" s="605"/>
    </row>
    <row r="2462" spans="1:20" s="88" customFormat="1" ht="12.75" hidden="1" x14ac:dyDescent="0.2">
      <c r="A2462" s="510" t="str">
        <f>IF(B2462="","",COUNT('Diário 1º PA'!$A$4:$A$2635)+ROW()-3)</f>
        <v/>
      </c>
      <c r="B2462" s="414"/>
      <c r="C2462" s="592"/>
      <c r="D2462" s="415"/>
      <c r="E2462" s="415"/>
      <c r="F2462" s="425"/>
      <c r="G2462" s="427"/>
      <c r="H2462" s="415"/>
      <c r="I2462" s="427"/>
      <c r="J2462" s="415"/>
      <c r="K2462" s="415"/>
      <c r="L2462" s="415"/>
      <c r="M2462" s="415"/>
      <c r="N2462" s="414"/>
      <c r="O2462" s="414"/>
      <c r="P2462" s="603">
        <f t="shared" si="361"/>
        <v>0</v>
      </c>
      <c r="Q2462" s="603">
        <f t="shared" si="362"/>
        <v>0</v>
      </c>
      <c r="R2462" s="604" t="str">
        <f t="shared" si="360"/>
        <v/>
      </c>
      <c r="S2462" s="605"/>
      <c r="T2462" s="605"/>
    </row>
    <row r="2463" spans="1:20" s="88" customFormat="1" ht="12.75" hidden="1" x14ac:dyDescent="0.2">
      <c r="A2463" s="510" t="str">
        <f>IF(B2463="","",COUNT('Diário 1º PA'!$A$4:$A$2635)+ROW()-3)</f>
        <v/>
      </c>
      <c r="B2463" s="414"/>
      <c r="C2463" s="592"/>
      <c r="D2463" s="415"/>
      <c r="E2463" s="415"/>
      <c r="F2463" s="425"/>
      <c r="G2463" s="427"/>
      <c r="H2463" s="415"/>
      <c r="I2463" s="427"/>
      <c r="J2463" s="415"/>
      <c r="K2463" s="415"/>
      <c r="L2463" s="415"/>
      <c r="M2463" s="415"/>
      <c r="N2463" s="414"/>
      <c r="O2463" s="414"/>
      <c r="P2463" s="603">
        <f t="shared" si="361"/>
        <v>0</v>
      </c>
      <c r="Q2463" s="603">
        <f t="shared" si="362"/>
        <v>0</v>
      </c>
      <c r="R2463" s="604" t="str">
        <f t="shared" si="360"/>
        <v/>
      </c>
      <c r="S2463" s="605"/>
      <c r="T2463" s="605"/>
    </row>
    <row r="2464" spans="1:20" s="88" customFormat="1" ht="12.75" hidden="1" x14ac:dyDescent="0.2">
      <c r="A2464" s="510" t="str">
        <f>IF(B2464="","",COUNT('Diário 1º PA'!$A$4:$A$2635)+ROW()-3)</f>
        <v/>
      </c>
      <c r="B2464" s="414"/>
      <c r="C2464" s="592"/>
      <c r="D2464" s="415"/>
      <c r="E2464" s="415"/>
      <c r="F2464" s="425"/>
      <c r="G2464" s="427"/>
      <c r="H2464" s="415"/>
      <c r="I2464" s="427"/>
      <c r="J2464" s="415"/>
      <c r="K2464" s="415"/>
      <c r="L2464" s="415"/>
      <c r="M2464" s="415"/>
      <c r="N2464" s="414"/>
      <c r="O2464" s="414"/>
      <c r="P2464" s="603">
        <f t="shared" si="361"/>
        <v>0</v>
      </c>
      <c r="Q2464" s="603">
        <f t="shared" si="362"/>
        <v>0</v>
      </c>
      <c r="R2464" s="604" t="str">
        <f t="shared" si="360"/>
        <v/>
      </c>
      <c r="S2464" s="605"/>
      <c r="T2464" s="605"/>
    </row>
    <row r="2465" spans="1:20" s="88" customFormat="1" ht="12.75" hidden="1" x14ac:dyDescent="0.2">
      <c r="A2465" s="510" t="str">
        <f>IF(B2465="","",COUNT('Diário 1º PA'!$A$4:$A$2635)+ROW()-3)</f>
        <v/>
      </c>
      <c r="B2465" s="414"/>
      <c r="C2465" s="592"/>
      <c r="D2465" s="415"/>
      <c r="E2465" s="415"/>
      <c r="F2465" s="425"/>
      <c r="G2465" s="427"/>
      <c r="H2465" s="415"/>
      <c r="I2465" s="427"/>
      <c r="J2465" s="415"/>
      <c r="K2465" s="415"/>
      <c r="L2465" s="415"/>
      <c r="M2465" s="415"/>
      <c r="N2465" s="414"/>
      <c r="O2465" s="414"/>
      <c r="P2465" s="603">
        <f t="shared" si="361"/>
        <v>0</v>
      </c>
      <c r="Q2465" s="603">
        <f t="shared" si="362"/>
        <v>0</v>
      </c>
      <c r="R2465" s="604" t="str">
        <f t="shared" si="360"/>
        <v/>
      </c>
      <c r="S2465" s="605"/>
      <c r="T2465" s="605"/>
    </row>
    <row r="2466" spans="1:20" s="88" customFormat="1" ht="12.75" hidden="1" x14ac:dyDescent="0.2">
      <c r="A2466" s="510" t="str">
        <f>IF(B2466="","",COUNT('Diário 1º PA'!$A$4:$A$2635)+ROW()-3)</f>
        <v/>
      </c>
      <c r="B2466" s="414"/>
      <c r="C2466" s="592"/>
      <c r="D2466" s="415"/>
      <c r="E2466" s="415"/>
      <c r="F2466" s="425"/>
      <c r="G2466" s="427"/>
      <c r="H2466" s="415"/>
      <c r="I2466" s="427"/>
      <c r="J2466" s="415"/>
      <c r="K2466" s="415"/>
      <c r="L2466" s="415"/>
      <c r="M2466" s="415"/>
      <c r="N2466" s="414"/>
      <c r="O2466" s="414"/>
      <c r="P2466" s="603">
        <f t="shared" si="361"/>
        <v>0</v>
      </c>
      <c r="Q2466" s="603">
        <f t="shared" si="362"/>
        <v>0</v>
      </c>
      <c r="R2466" s="604" t="str">
        <f t="shared" si="360"/>
        <v/>
      </c>
      <c r="S2466" s="605"/>
      <c r="T2466" s="605"/>
    </row>
    <row r="2467" spans="1:20" s="88" customFormat="1" ht="12.75" hidden="1" x14ac:dyDescent="0.2">
      <c r="A2467" s="510" t="str">
        <f>IF(B2467="","",COUNT('Diário 1º PA'!$A$4:$A$2635)+ROW()-3)</f>
        <v/>
      </c>
      <c r="B2467" s="414"/>
      <c r="C2467" s="592"/>
      <c r="D2467" s="415"/>
      <c r="E2467" s="415"/>
      <c r="F2467" s="425"/>
      <c r="G2467" s="427"/>
      <c r="H2467" s="415"/>
      <c r="I2467" s="427"/>
      <c r="J2467" s="415"/>
      <c r="K2467" s="415"/>
      <c r="L2467" s="415"/>
      <c r="M2467" s="415"/>
      <c r="N2467" s="414"/>
      <c r="O2467" s="414"/>
      <c r="P2467" s="603">
        <f t="shared" si="361"/>
        <v>0</v>
      </c>
      <c r="Q2467" s="603">
        <f t="shared" si="362"/>
        <v>0</v>
      </c>
      <c r="R2467" s="604" t="str">
        <f t="shared" si="360"/>
        <v/>
      </c>
      <c r="S2467" s="605"/>
      <c r="T2467" s="605"/>
    </row>
    <row r="2468" spans="1:20" s="88" customFormat="1" ht="12.75" hidden="1" x14ac:dyDescent="0.2">
      <c r="A2468" s="510" t="str">
        <f>IF(B2468="","",COUNT('Diário 1º PA'!$A$4:$A$2635)+ROW()-3)</f>
        <v/>
      </c>
      <c r="B2468" s="414"/>
      <c r="C2468" s="592"/>
      <c r="D2468" s="415"/>
      <c r="E2468" s="415"/>
      <c r="F2468" s="425"/>
      <c r="G2468" s="427"/>
      <c r="H2468" s="415"/>
      <c r="I2468" s="427"/>
      <c r="J2468" s="415"/>
      <c r="K2468" s="415"/>
      <c r="L2468" s="415"/>
      <c r="M2468" s="415"/>
      <c r="N2468" s="414"/>
      <c r="O2468" s="414"/>
      <c r="P2468" s="603">
        <f t="shared" si="361"/>
        <v>0</v>
      </c>
      <c r="Q2468" s="603">
        <f t="shared" si="362"/>
        <v>0</v>
      </c>
      <c r="R2468" s="604" t="str">
        <f t="shared" si="360"/>
        <v/>
      </c>
      <c r="S2468" s="605"/>
      <c r="T2468" s="605"/>
    </row>
    <row r="2469" spans="1:20" s="88" customFormat="1" ht="12.75" hidden="1" x14ac:dyDescent="0.2">
      <c r="A2469" s="510" t="str">
        <f>IF(B2469="","",COUNT('Diário 1º PA'!$A$4:$A$2635)+ROW()-3)</f>
        <v/>
      </c>
      <c r="B2469" s="414"/>
      <c r="C2469" s="592"/>
      <c r="D2469" s="415"/>
      <c r="E2469" s="415"/>
      <c r="F2469" s="425"/>
      <c r="G2469" s="427"/>
      <c r="H2469" s="415"/>
      <c r="I2469" s="427"/>
      <c r="J2469" s="415"/>
      <c r="K2469" s="415"/>
      <c r="L2469" s="415"/>
      <c r="M2469" s="415"/>
      <c r="N2469" s="414"/>
      <c r="O2469" s="414"/>
      <c r="P2469" s="603">
        <f t="shared" si="361"/>
        <v>0</v>
      </c>
      <c r="Q2469" s="603">
        <f t="shared" si="362"/>
        <v>0</v>
      </c>
      <c r="R2469" s="604" t="str">
        <f t="shared" si="360"/>
        <v/>
      </c>
      <c r="S2469" s="605"/>
      <c r="T2469" s="605"/>
    </row>
    <row r="2470" spans="1:20" s="88" customFormat="1" ht="12.75" hidden="1" x14ac:dyDescent="0.2">
      <c r="A2470" s="510" t="str">
        <f>IF(B2470="","",COUNT('Diário 1º PA'!$A$4:$A$2635)+ROW()-3)</f>
        <v/>
      </c>
      <c r="B2470" s="414"/>
      <c r="C2470" s="592"/>
      <c r="D2470" s="415"/>
      <c r="E2470" s="415"/>
      <c r="F2470" s="425"/>
      <c r="G2470" s="427"/>
      <c r="H2470" s="415"/>
      <c r="I2470" s="427"/>
      <c r="J2470" s="415"/>
      <c r="K2470" s="415"/>
      <c r="L2470" s="415"/>
      <c r="M2470" s="415"/>
      <c r="N2470" s="414"/>
      <c r="O2470" s="414"/>
      <c r="P2470" s="603">
        <f t="shared" si="361"/>
        <v>0</v>
      </c>
      <c r="Q2470" s="603">
        <f t="shared" si="362"/>
        <v>0</v>
      </c>
      <c r="R2470" s="604" t="str">
        <f t="shared" si="360"/>
        <v/>
      </c>
      <c r="S2470" s="605"/>
      <c r="T2470" s="605"/>
    </row>
    <row r="2471" spans="1:20" s="88" customFormat="1" ht="12.75" hidden="1" x14ac:dyDescent="0.2">
      <c r="A2471" s="510" t="str">
        <f>IF(B2471="","",COUNT('Diário 1º PA'!$A$4:$A$2635)+ROW()-3)</f>
        <v/>
      </c>
      <c r="B2471" s="414"/>
      <c r="C2471" s="592"/>
      <c r="D2471" s="415"/>
      <c r="E2471" s="415"/>
      <c r="F2471" s="425"/>
      <c r="G2471" s="427"/>
      <c r="H2471" s="415"/>
      <c r="I2471" s="427"/>
      <c r="J2471" s="415"/>
      <c r="K2471" s="415"/>
      <c r="L2471" s="415"/>
      <c r="M2471" s="415"/>
      <c r="N2471" s="414"/>
      <c r="O2471" s="414"/>
      <c r="P2471" s="603">
        <f t="shared" si="361"/>
        <v>0</v>
      </c>
      <c r="Q2471" s="603">
        <f t="shared" si="362"/>
        <v>0</v>
      </c>
      <c r="R2471" s="604" t="str">
        <f t="shared" si="360"/>
        <v/>
      </c>
      <c r="S2471" s="605"/>
      <c r="T2471" s="605"/>
    </row>
    <row r="2472" spans="1:20" s="88" customFormat="1" ht="12.75" hidden="1" x14ac:dyDescent="0.2">
      <c r="A2472" s="510" t="str">
        <f>IF(B2472="","",COUNT('Diário 1º PA'!$A$4:$A$2635)+ROW()-3)</f>
        <v/>
      </c>
      <c r="B2472" s="414"/>
      <c r="C2472" s="592"/>
      <c r="D2472" s="415"/>
      <c r="E2472" s="415"/>
      <c r="F2472" s="425"/>
      <c r="G2472" s="427"/>
      <c r="H2472" s="415"/>
      <c r="I2472" s="427"/>
      <c r="J2472" s="415"/>
      <c r="K2472" s="415"/>
      <c r="L2472" s="415"/>
      <c r="M2472" s="415"/>
      <c r="N2472" s="414"/>
      <c r="O2472" s="414"/>
      <c r="P2472" s="603">
        <f t="shared" si="361"/>
        <v>0</v>
      </c>
      <c r="Q2472" s="603">
        <f t="shared" si="362"/>
        <v>0</v>
      </c>
      <c r="R2472" s="604" t="str">
        <f t="shared" si="360"/>
        <v/>
      </c>
      <c r="S2472" s="605"/>
      <c r="T2472" s="605"/>
    </row>
    <row r="2473" spans="1:20" s="88" customFormat="1" ht="12.75" hidden="1" x14ac:dyDescent="0.2">
      <c r="A2473" s="510" t="str">
        <f>IF(B2473="","",COUNT('Diário 1º PA'!$A$4:$A$2635)+ROW()-3)</f>
        <v/>
      </c>
      <c r="B2473" s="414"/>
      <c r="C2473" s="592"/>
      <c r="D2473" s="415"/>
      <c r="E2473" s="415"/>
      <c r="F2473" s="425"/>
      <c r="G2473" s="427"/>
      <c r="H2473" s="415"/>
      <c r="I2473" s="427"/>
      <c r="J2473" s="415"/>
      <c r="K2473" s="415"/>
      <c r="L2473" s="415"/>
      <c r="M2473" s="415"/>
      <c r="N2473" s="414"/>
      <c r="O2473" s="414"/>
      <c r="P2473" s="603">
        <f t="shared" si="361"/>
        <v>0</v>
      </c>
      <c r="Q2473" s="603">
        <f t="shared" si="362"/>
        <v>0</v>
      </c>
      <c r="R2473" s="604" t="str">
        <f t="shared" si="360"/>
        <v/>
      </c>
      <c r="S2473" s="605"/>
      <c r="T2473" s="605"/>
    </row>
    <row r="2474" spans="1:20" s="88" customFormat="1" ht="12.75" hidden="1" x14ac:dyDescent="0.2">
      <c r="A2474" s="510" t="str">
        <f>IF(B2474="","",COUNT('Diário 1º PA'!$A$4:$A$2635)+ROW()-3)</f>
        <v/>
      </c>
      <c r="B2474" s="414"/>
      <c r="C2474" s="592"/>
      <c r="D2474" s="415"/>
      <c r="E2474" s="415"/>
      <c r="F2474" s="425"/>
      <c r="G2474" s="427"/>
      <c r="H2474" s="415"/>
      <c r="I2474" s="427"/>
      <c r="J2474" s="415"/>
      <c r="K2474" s="415"/>
      <c r="L2474" s="415"/>
      <c r="M2474" s="415"/>
      <c r="N2474" s="414"/>
      <c r="O2474" s="414"/>
      <c r="P2474" s="603">
        <f t="shared" si="361"/>
        <v>0</v>
      </c>
      <c r="Q2474" s="603">
        <f t="shared" si="362"/>
        <v>0</v>
      </c>
      <c r="R2474" s="604" t="str">
        <f t="shared" si="360"/>
        <v/>
      </c>
      <c r="S2474" s="605"/>
      <c r="T2474" s="605"/>
    </row>
    <row r="2475" spans="1:20" s="88" customFormat="1" ht="12.75" hidden="1" x14ac:dyDescent="0.2">
      <c r="A2475" s="510" t="str">
        <f>IF(B2475="","",COUNT('Diário 1º PA'!$A$4:$A$2635)+ROW()-3)</f>
        <v/>
      </c>
      <c r="B2475" s="414"/>
      <c r="C2475" s="592"/>
      <c r="D2475" s="415"/>
      <c r="E2475" s="415"/>
      <c r="F2475" s="425"/>
      <c r="G2475" s="427"/>
      <c r="H2475" s="415"/>
      <c r="I2475" s="427"/>
      <c r="J2475" s="415"/>
      <c r="K2475" s="415"/>
      <c r="L2475" s="415"/>
      <c r="M2475" s="415"/>
      <c r="N2475" s="414"/>
      <c r="O2475" s="414"/>
      <c r="P2475" s="603">
        <f t="shared" si="361"/>
        <v>0</v>
      </c>
      <c r="Q2475" s="603">
        <f t="shared" si="362"/>
        <v>0</v>
      </c>
      <c r="R2475" s="604" t="str">
        <f t="shared" si="360"/>
        <v/>
      </c>
      <c r="S2475" s="605"/>
      <c r="T2475" s="605"/>
    </row>
    <row r="2476" spans="1:20" s="88" customFormat="1" ht="12.75" hidden="1" x14ac:dyDescent="0.2">
      <c r="A2476" s="510" t="str">
        <f>IF(B2476="","",COUNT('Diário 1º PA'!$A$4:$A$2635)+ROW()-3)</f>
        <v/>
      </c>
      <c r="B2476" s="414"/>
      <c r="C2476" s="592"/>
      <c r="D2476" s="415"/>
      <c r="E2476" s="415"/>
      <c r="F2476" s="425"/>
      <c r="G2476" s="427"/>
      <c r="H2476" s="415"/>
      <c r="I2476" s="427"/>
      <c r="J2476" s="415"/>
      <c r="K2476" s="415"/>
      <c r="L2476" s="415"/>
      <c r="M2476" s="415"/>
      <c r="N2476" s="414"/>
      <c r="O2476" s="414"/>
      <c r="P2476" s="603">
        <f t="shared" si="361"/>
        <v>0</v>
      </c>
      <c r="Q2476" s="603">
        <f t="shared" si="362"/>
        <v>0</v>
      </c>
      <c r="R2476" s="604" t="str">
        <f t="shared" si="360"/>
        <v/>
      </c>
      <c r="S2476" s="605"/>
      <c r="T2476" s="605"/>
    </row>
    <row r="2477" spans="1:20" s="88" customFormat="1" ht="12.75" hidden="1" x14ac:dyDescent="0.2">
      <c r="A2477" s="510" t="str">
        <f>IF(B2477="","",COUNT('Diário 1º PA'!$A$4:$A$2635)+ROW()-3)</f>
        <v/>
      </c>
      <c r="B2477" s="414"/>
      <c r="C2477" s="592"/>
      <c r="D2477" s="415"/>
      <c r="E2477" s="415"/>
      <c r="F2477" s="425"/>
      <c r="G2477" s="427"/>
      <c r="H2477" s="415"/>
      <c r="I2477" s="427"/>
      <c r="J2477" s="415"/>
      <c r="K2477" s="415"/>
      <c r="L2477" s="415"/>
      <c r="M2477" s="415"/>
      <c r="N2477" s="414"/>
      <c r="O2477" s="414"/>
      <c r="P2477" s="603">
        <f t="shared" si="361"/>
        <v>0</v>
      </c>
      <c r="Q2477" s="603">
        <f t="shared" si="362"/>
        <v>0</v>
      </c>
      <c r="R2477" s="604" t="str">
        <f t="shared" ref="R2477:R2540" si="363">SUBSTITUTE(D2477," ","_")</f>
        <v/>
      </c>
      <c r="S2477" s="605"/>
      <c r="T2477" s="605"/>
    </row>
    <row r="2478" spans="1:20" s="88" customFormat="1" ht="12.75" hidden="1" x14ac:dyDescent="0.2">
      <c r="A2478" s="510" t="str">
        <f>IF(B2478="","",COUNT('Diário 1º PA'!$A$4:$A$2635)+ROW()-3)</f>
        <v/>
      </c>
      <c r="B2478" s="414"/>
      <c r="C2478" s="592"/>
      <c r="D2478" s="415"/>
      <c r="E2478" s="415"/>
      <c r="F2478" s="425"/>
      <c r="G2478" s="427"/>
      <c r="H2478" s="415"/>
      <c r="I2478" s="427"/>
      <c r="J2478" s="415"/>
      <c r="K2478" s="415"/>
      <c r="L2478" s="415"/>
      <c r="M2478" s="415"/>
      <c r="N2478" s="414"/>
      <c r="O2478" s="414"/>
      <c r="P2478" s="603">
        <f t="shared" ref="P2478:P2541" si="364">IF(B2478=0,0,IF(YEAR(B2478)=$Q$1,MONTH(B2478)-$P$1+1,(YEAR(B2478)-$Q$1)*12-$P$1+1+MONTH(B2478)))</f>
        <v>0</v>
      </c>
      <c r="Q2478" s="603">
        <f t="shared" ref="Q2478:Q2541" si="365">IF(C2478=0,0,IF(YEAR(C2478)=$Q$1,MONTH(C2478)-$P$1+1,(YEAR(C2478)-$Q$1)*12-$P$1+1+MONTH(C2478)))</f>
        <v>0</v>
      </c>
      <c r="R2478" s="604" t="str">
        <f t="shared" si="363"/>
        <v/>
      </c>
      <c r="S2478" s="605"/>
      <c r="T2478" s="605"/>
    </row>
    <row r="2479" spans="1:20" s="88" customFormat="1" ht="12.75" hidden="1" x14ac:dyDescent="0.2">
      <c r="A2479" s="510" t="str">
        <f>IF(B2479="","",COUNT('Diário 1º PA'!$A$4:$A$2635)+ROW()-3)</f>
        <v/>
      </c>
      <c r="B2479" s="414"/>
      <c r="C2479" s="592"/>
      <c r="D2479" s="415"/>
      <c r="E2479" s="415"/>
      <c r="F2479" s="425"/>
      <c r="G2479" s="427"/>
      <c r="H2479" s="415"/>
      <c r="I2479" s="427"/>
      <c r="J2479" s="415"/>
      <c r="K2479" s="415"/>
      <c r="L2479" s="415"/>
      <c r="M2479" s="415"/>
      <c r="N2479" s="414"/>
      <c r="O2479" s="414"/>
      <c r="P2479" s="603">
        <f t="shared" si="364"/>
        <v>0</v>
      </c>
      <c r="Q2479" s="603">
        <f t="shared" si="365"/>
        <v>0</v>
      </c>
      <c r="R2479" s="604" t="str">
        <f t="shared" si="363"/>
        <v/>
      </c>
      <c r="S2479" s="605"/>
      <c r="T2479" s="605"/>
    </row>
    <row r="2480" spans="1:20" s="88" customFormat="1" ht="12.75" hidden="1" x14ac:dyDescent="0.2">
      <c r="A2480" s="510" t="str">
        <f>IF(B2480="","",COUNT('Diário 1º PA'!$A$4:$A$2635)+ROW()-3)</f>
        <v/>
      </c>
      <c r="B2480" s="414"/>
      <c r="C2480" s="592"/>
      <c r="D2480" s="415"/>
      <c r="E2480" s="415"/>
      <c r="F2480" s="425"/>
      <c r="G2480" s="427"/>
      <c r="H2480" s="415"/>
      <c r="I2480" s="427"/>
      <c r="J2480" s="415"/>
      <c r="K2480" s="415"/>
      <c r="L2480" s="415"/>
      <c r="M2480" s="415"/>
      <c r="N2480" s="414"/>
      <c r="O2480" s="414"/>
      <c r="P2480" s="603">
        <f t="shared" si="364"/>
        <v>0</v>
      </c>
      <c r="Q2480" s="603">
        <f t="shared" si="365"/>
        <v>0</v>
      </c>
      <c r="R2480" s="604" t="str">
        <f t="shared" si="363"/>
        <v/>
      </c>
      <c r="S2480" s="605"/>
      <c r="T2480" s="605"/>
    </row>
    <row r="2481" spans="1:20" s="88" customFormat="1" ht="12.75" hidden="1" x14ac:dyDescent="0.2">
      <c r="A2481" s="510" t="str">
        <f>IF(B2481="","",COUNT('Diário 1º PA'!$A$4:$A$2635)+ROW()-3)</f>
        <v/>
      </c>
      <c r="B2481" s="414"/>
      <c r="C2481" s="592"/>
      <c r="D2481" s="415"/>
      <c r="E2481" s="415"/>
      <c r="F2481" s="425"/>
      <c r="G2481" s="427"/>
      <c r="H2481" s="415"/>
      <c r="I2481" s="427"/>
      <c r="J2481" s="415"/>
      <c r="K2481" s="415"/>
      <c r="L2481" s="415"/>
      <c r="M2481" s="415"/>
      <c r="N2481" s="414"/>
      <c r="O2481" s="414"/>
      <c r="P2481" s="603">
        <f t="shared" si="364"/>
        <v>0</v>
      </c>
      <c r="Q2481" s="603">
        <f t="shared" si="365"/>
        <v>0</v>
      </c>
      <c r="R2481" s="604" t="str">
        <f t="shared" si="363"/>
        <v/>
      </c>
      <c r="S2481" s="605"/>
      <c r="T2481" s="605"/>
    </row>
    <row r="2482" spans="1:20" s="88" customFormat="1" ht="12.75" hidden="1" x14ac:dyDescent="0.2">
      <c r="A2482" s="510" t="str">
        <f>IF(B2482="","",COUNT('Diário 1º PA'!$A$4:$A$2635)+ROW()-3)</f>
        <v/>
      </c>
      <c r="B2482" s="414"/>
      <c r="C2482" s="592"/>
      <c r="D2482" s="415"/>
      <c r="E2482" s="415"/>
      <c r="F2482" s="425"/>
      <c r="G2482" s="427"/>
      <c r="H2482" s="415"/>
      <c r="I2482" s="427"/>
      <c r="J2482" s="415"/>
      <c r="K2482" s="415"/>
      <c r="L2482" s="415"/>
      <c r="M2482" s="415"/>
      <c r="N2482" s="414"/>
      <c r="O2482" s="414"/>
      <c r="P2482" s="603">
        <f t="shared" si="364"/>
        <v>0</v>
      </c>
      <c r="Q2482" s="603">
        <f t="shared" si="365"/>
        <v>0</v>
      </c>
      <c r="R2482" s="604" t="str">
        <f t="shared" si="363"/>
        <v/>
      </c>
      <c r="S2482" s="605"/>
      <c r="T2482" s="605"/>
    </row>
    <row r="2483" spans="1:20" s="88" customFormat="1" ht="12.75" hidden="1" x14ac:dyDescent="0.2">
      <c r="A2483" s="510" t="str">
        <f>IF(B2483="","",COUNT('Diário 1º PA'!$A$4:$A$2635)+ROW()-3)</f>
        <v/>
      </c>
      <c r="B2483" s="414"/>
      <c r="C2483" s="592"/>
      <c r="D2483" s="415"/>
      <c r="E2483" s="415"/>
      <c r="F2483" s="425"/>
      <c r="G2483" s="427"/>
      <c r="H2483" s="415"/>
      <c r="I2483" s="427"/>
      <c r="J2483" s="415"/>
      <c r="K2483" s="415"/>
      <c r="L2483" s="415"/>
      <c r="M2483" s="415"/>
      <c r="N2483" s="414"/>
      <c r="O2483" s="414"/>
      <c r="P2483" s="603">
        <f t="shared" si="364"/>
        <v>0</v>
      </c>
      <c r="Q2483" s="603">
        <f t="shared" si="365"/>
        <v>0</v>
      </c>
      <c r="R2483" s="604" t="str">
        <f t="shared" si="363"/>
        <v/>
      </c>
      <c r="S2483" s="605"/>
      <c r="T2483" s="605"/>
    </row>
    <row r="2484" spans="1:20" s="88" customFormat="1" ht="12.75" hidden="1" x14ac:dyDescent="0.2">
      <c r="A2484" s="510" t="str">
        <f>IF(B2484="","",COUNT('Diário 1º PA'!$A$4:$A$2635)+ROW()-3)</f>
        <v/>
      </c>
      <c r="B2484" s="414"/>
      <c r="C2484" s="592"/>
      <c r="D2484" s="415"/>
      <c r="E2484" s="415"/>
      <c r="F2484" s="425"/>
      <c r="G2484" s="427"/>
      <c r="H2484" s="415"/>
      <c r="I2484" s="427"/>
      <c r="J2484" s="415"/>
      <c r="K2484" s="415"/>
      <c r="L2484" s="415"/>
      <c r="M2484" s="415"/>
      <c r="N2484" s="414"/>
      <c r="O2484" s="414"/>
      <c r="P2484" s="603">
        <f t="shared" si="364"/>
        <v>0</v>
      </c>
      <c r="Q2484" s="603">
        <f t="shared" si="365"/>
        <v>0</v>
      </c>
      <c r="R2484" s="604" t="str">
        <f t="shared" si="363"/>
        <v/>
      </c>
      <c r="S2484" s="605"/>
      <c r="T2484" s="605"/>
    </row>
    <row r="2485" spans="1:20" s="88" customFormat="1" ht="12.75" hidden="1" x14ac:dyDescent="0.2">
      <c r="A2485" s="510" t="str">
        <f>IF(B2485="","",COUNT('Diário 1º PA'!$A$4:$A$2635)+ROW()-3)</f>
        <v/>
      </c>
      <c r="B2485" s="414"/>
      <c r="C2485" s="592"/>
      <c r="D2485" s="415"/>
      <c r="E2485" s="415"/>
      <c r="F2485" s="425"/>
      <c r="G2485" s="427"/>
      <c r="H2485" s="415"/>
      <c r="I2485" s="427"/>
      <c r="J2485" s="415"/>
      <c r="K2485" s="415"/>
      <c r="L2485" s="415"/>
      <c r="M2485" s="415"/>
      <c r="N2485" s="414"/>
      <c r="O2485" s="414"/>
      <c r="P2485" s="603">
        <f t="shared" si="364"/>
        <v>0</v>
      </c>
      <c r="Q2485" s="603">
        <f t="shared" si="365"/>
        <v>0</v>
      </c>
      <c r="R2485" s="604" t="str">
        <f t="shared" si="363"/>
        <v/>
      </c>
      <c r="S2485" s="605"/>
      <c r="T2485" s="605"/>
    </row>
    <row r="2486" spans="1:20" s="88" customFormat="1" ht="12.75" hidden="1" x14ac:dyDescent="0.2">
      <c r="A2486" s="510" t="str">
        <f>IF(B2486="","",COUNT('Diário 1º PA'!$A$4:$A$2635)+ROW()-3)</f>
        <v/>
      </c>
      <c r="B2486" s="414"/>
      <c r="C2486" s="592"/>
      <c r="D2486" s="415"/>
      <c r="E2486" s="415"/>
      <c r="F2486" s="425"/>
      <c r="G2486" s="427"/>
      <c r="H2486" s="415"/>
      <c r="I2486" s="427"/>
      <c r="J2486" s="415"/>
      <c r="K2486" s="415"/>
      <c r="L2486" s="415"/>
      <c r="M2486" s="415"/>
      <c r="N2486" s="414"/>
      <c r="O2486" s="414"/>
      <c r="P2486" s="603">
        <f t="shared" si="364"/>
        <v>0</v>
      </c>
      <c r="Q2486" s="603">
        <f t="shared" si="365"/>
        <v>0</v>
      </c>
      <c r="R2486" s="604" t="str">
        <f t="shared" si="363"/>
        <v/>
      </c>
      <c r="S2486" s="605"/>
      <c r="T2486" s="605"/>
    </row>
    <row r="2487" spans="1:20" s="88" customFormat="1" ht="12.75" hidden="1" x14ac:dyDescent="0.2">
      <c r="A2487" s="510" t="str">
        <f>IF(B2487="","",COUNT('Diário 1º PA'!$A$4:$A$2635)+ROW()-3)</f>
        <v/>
      </c>
      <c r="B2487" s="414"/>
      <c r="C2487" s="592"/>
      <c r="D2487" s="415"/>
      <c r="E2487" s="415"/>
      <c r="F2487" s="425"/>
      <c r="G2487" s="427"/>
      <c r="H2487" s="415"/>
      <c r="I2487" s="427"/>
      <c r="J2487" s="415"/>
      <c r="K2487" s="415"/>
      <c r="L2487" s="415"/>
      <c r="M2487" s="415"/>
      <c r="N2487" s="414"/>
      <c r="O2487" s="414"/>
      <c r="P2487" s="603">
        <f t="shared" si="364"/>
        <v>0</v>
      </c>
      <c r="Q2487" s="603">
        <f t="shared" si="365"/>
        <v>0</v>
      </c>
      <c r="R2487" s="604" t="str">
        <f t="shared" si="363"/>
        <v/>
      </c>
      <c r="S2487" s="605"/>
      <c r="T2487" s="605"/>
    </row>
    <row r="2488" spans="1:20" s="88" customFormat="1" ht="12.75" hidden="1" x14ac:dyDescent="0.2">
      <c r="A2488" s="510" t="str">
        <f>IF(B2488="","",COUNT('Diário 1º PA'!$A$4:$A$2635)+ROW()-3)</f>
        <v/>
      </c>
      <c r="B2488" s="414"/>
      <c r="C2488" s="592"/>
      <c r="D2488" s="415"/>
      <c r="E2488" s="415"/>
      <c r="F2488" s="425"/>
      <c r="G2488" s="427"/>
      <c r="H2488" s="415"/>
      <c r="I2488" s="427"/>
      <c r="J2488" s="415"/>
      <c r="K2488" s="415"/>
      <c r="L2488" s="415"/>
      <c r="M2488" s="415"/>
      <c r="N2488" s="414"/>
      <c r="O2488" s="414"/>
      <c r="P2488" s="603">
        <f t="shared" si="364"/>
        <v>0</v>
      </c>
      <c r="Q2488" s="603">
        <f t="shared" si="365"/>
        <v>0</v>
      </c>
      <c r="R2488" s="604" t="str">
        <f t="shared" si="363"/>
        <v/>
      </c>
      <c r="S2488" s="605"/>
      <c r="T2488" s="605"/>
    </row>
    <row r="2489" spans="1:20" s="88" customFormat="1" ht="12.75" hidden="1" x14ac:dyDescent="0.2">
      <c r="A2489" s="510" t="str">
        <f>IF(B2489="","",COUNT('Diário 1º PA'!$A$4:$A$2635)+ROW()-3)</f>
        <v/>
      </c>
      <c r="B2489" s="414"/>
      <c r="C2489" s="592"/>
      <c r="D2489" s="415"/>
      <c r="E2489" s="415"/>
      <c r="F2489" s="425"/>
      <c r="G2489" s="427"/>
      <c r="H2489" s="415"/>
      <c r="I2489" s="427"/>
      <c r="J2489" s="415"/>
      <c r="K2489" s="415"/>
      <c r="L2489" s="415"/>
      <c r="M2489" s="415"/>
      <c r="N2489" s="414"/>
      <c r="O2489" s="414"/>
      <c r="P2489" s="603">
        <f t="shared" si="364"/>
        <v>0</v>
      </c>
      <c r="Q2489" s="603">
        <f t="shared" si="365"/>
        <v>0</v>
      </c>
      <c r="R2489" s="604" t="str">
        <f t="shared" si="363"/>
        <v/>
      </c>
      <c r="S2489" s="605"/>
      <c r="T2489" s="605"/>
    </row>
    <row r="2490" spans="1:20" s="88" customFormat="1" ht="12.75" hidden="1" x14ac:dyDescent="0.2">
      <c r="A2490" s="510" t="str">
        <f>IF(B2490="","",COUNT('Diário 1º PA'!$A$4:$A$2635)+ROW()-3)</f>
        <v/>
      </c>
      <c r="B2490" s="414"/>
      <c r="C2490" s="592"/>
      <c r="D2490" s="415"/>
      <c r="E2490" s="415"/>
      <c r="F2490" s="425"/>
      <c r="G2490" s="427"/>
      <c r="H2490" s="415"/>
      <c r="I2490" s="427"/>
      <c r="J2490" s="415"/>
      <c r="K2490" s="415"/>
      <c r="L2490" s="415"/>
      <c r="M2490" s="415"/>
      <c r="N2490" s="414"/>
      <c r="O2490" s="414"/>
      <c r="P2490" s="603">
        <f t="shared" si="364"/>
        <v>0</v>
      </c>
      <c r="Q2490" s="603">
        <f t="shared" si="365"/>
        <v>0</v>
      </c>
      <c r="R2490" s="604" t="str">
        <f t="shared" si="363"/>
        <v/>
      </c>
      <c r="S2490" s="605"/>
      <c r="T2490" s="605"/>
    </row>
    <row r="2491" spans="1:20" s="88" customFormat="1" ht="12.75" hidden="1" x14ac:dyDescent="0.2">
      <c r="A2491" s="510" t="str">
        <f>IF(B2491="","",COUNT('Diário 1º PA'!$A$4:$A$2635)+ROW()-3)</f>
        <v/>
      </c>
      <c r="B2491" s="414"/>
      <c r="C2491" s="592"/>
      <c r="D2491" s="415"/>
      <c r="E2491" s="415"/>
      <c r="F2491" s="425"/>
      <c r="G2491" s="427"/>
      <c r="H2491" s="415"/>
      <c r="I2491" s="427"/>
      <c r="J2491" s="415"/>
      <c r="K2491" s="415"/>
      <c r="L2491" s="415"/>
      <c r="M2491" s="415"/>
      <c r="N2491" s="414"/>
      <c r="O2491" s="414"/>
      <c r="P2491" s="603">
        <f t="shared" si="364"/>
        <v>0</v>
      </c>
      <c r="Q2491" s="603">
        <f t="shared" si="365"/>
        <v>0</v>
      </c>
      <c r="R2491" s="604" t="str">
        <f t="shared" si="363"/>
        <v/>
      </c>
      <c r="S2491" s="605"/>
      <c r="T2491" s="605"/>
    </row>
    <row r="2492" spans="1:20" s="88" customFormat="1" ht="12.75" hidden="1" x14ac:dyDescent="0.2">
      <c r="A2492" s="510" t="str">
        <f>IF(B2492="","",COUNT('Diário 1º PA'!$A$4:$A$2635)+ROW()-3)</f>
        <v/>
      </c>
      <c r="B2492" s="414"/>
      <c r="C2492" s="592"/>
      <c r="D2492" s="415"/>
      <c r="E2492" s="415"/>
      <c r="F2492" s="425"/>
      <c r="G2492" s="427"/>
      <c r="H2492" s="415"/>
      <c r="I2492" s="427"/>
      <c r="J2492" s="415"/>
      <c r="K2492" s="415"/>
      <c r="L2492" s="415"/>
      <c r="M2492" s="415"/>
      <c r="N2492" s="414"/>
      <c r="O2492" s="414"/>
      <c r="P2492" s="603">
        <f t="shared" si="364"/>
        <v>0</v>
      </c>
      <c r="Q2492" s="603">
        <f t="shared" si="365"/>
        <v>0</v>
      </c>
      <c r="R2492" s="604" t="str">
        <f t="shared" si="363"/>
        <v/>
      </c>
      <c r="S2492" s="605"/>
      <c r="T2492" s="605"/>
    </row>
    <row r="2493" spans="1:20" s="88" customFormat="1" ht="12.75" hidden="1" x14ac:dyDescent="0.2">
      <c r="A2493" s="510" t="str">
        <f>IF(B2493="","",COUNT('Diário 1º PA'!$A$4:$A$2635)+ROW()-3)</f>
        <v/>
      </c>
      <c r="B2493" s="414"/>
      <c r="C2493" s="592"/>
      <c r="D2493" s="415"/>
      <c r="E2493" s="415"/>
      <c r="F2493" s="425"/>
      <c r="G2493" s="427"/>
      <c r="H2493" s="415"/>
      <c r="I2493" s="427"/>
      <c r="J2493" s="415"/>
      <c r="K2493" s="415"/>
      <c r="L2493" s="415"/>
      <c r="M2493" s="576"/>
      <c r="N2493" s="414"/>
      <c r="O2493" s="414"/>
      <c r="P2493" s="603">
        <f t="shared" si="364"/>
        <v>0</v>
      </c>
      <c r="Q2493" s="603">
        <f t="shared" si="365"/>
        <v>0</v>
      </c>
      <c r="R2493" s="604" t="str">
        <f t="shared" si="363"/>
        <v/>
      </c>
      <c r="S2493" s="605"/>
      <c r="T2493" s="605"/>
    </row>
    <row r="2494" spans="1:20" s="88" customFormat="1" ht="12.75" hidden="1" x14ac:dyDescent="0.2">
      <c r="A2494" s="510" t="str">
        <f>IF(B2494="","",COUNT('Diário 1º PA'!$A$4:$A$2635)+ROW()-3)</f>
        <v/>
      </c>
      <c r="B2494" s="414"/>
      <c r="C2494" s="592"/>
      <c r="D2494" s="415"/>
      <c r="E2494" s="415"/>
      <c r="F2494" s="425"/>
      <c r="G2494" s="427"/>
      <c r="H2494" s="415"/>
      <c r="I2494" s="427"/>
      <c r="J2494" s="415"/>
      <c r="K2494" s="415"/>
      <c r="L2494" s="415"/>
      <c r="M2494" s="415"/>
      <c r="N2494" s="414"/>
      <c r="O2494" s="414"/>
      <c r="P2494" s="603">
        <f t="shared" si="364"/>
        <v>0</v>
      </c>
      <c r="Q2494" s="603">
        <f t="shared" si="365"/>
        <v>0</v>
      </c>
      <c r="R2494" s="604" t="str">
        <f t="shared" si="363"/>
        <v/>
      </c>
      <c r="S2494" s="605"/>
      <c r="T2494" s="605"/>
    </row>
    <row r="2495" spans="1:20" s="88" customFormat="1" ht="12.75" hidden="1" x14ac:dyDescent="0.2">
      <c r="A2495" s="510" t="str">
        <f>IF(B2495="","",COUNT('Diário 1º PA'!$A$4:$A$2635)+ROW()-3)</f>
        <v/>
      </c>
      <c r="B2495" s="414"/>
      <c r="C2495" s="592"/>
      <c r="D2495" s="415"/>
      <c r="E2495" s="415"/>
      <c r="F2495" s="425"/>
      <c r="G2495" s="427"/>
      <c r="H2495" s="415"/>
      <c r="I2495" s="427"/>
      <c r="J2495" s="415"/>
      <c r="K2495" s="415"/>
      <c r="L2495" s="415"/>
      <c r="M2495" s="415"/>
      <c r="N2495" s="414"/>
      <c r="O2495" s="414"/>
      <c r="P2495" s="603">
        <f t="shared" si="364"/>
        <v>0</v>
      </c>
      <c r="Q2495" s="603">
        <f t="shared" si="365"/>
        <v>0</v>
      </c>
      <c r="R2495" s="604" t="str">
        <f t="shared" si="363"/>
        <v/>
      </c>
      <c r="S2495" s="605"/>
      <c r="T2495" s="605"/>
    </row>
    <row r="2496" spans="1:20" s="88" customFormat="1" ht="12.75" hidden="1" x14ac:dyDescent="0.2">
      <c r="A2496" s="510" t="str">
        <f>IF(B2496="","",COUNT('Diário 1º PA'!$A$4:$A$2635)+ROW()-3)</f>
        <v/>
      </c>
      <c r="B2496" s="414"/>
      <c r="C2496" s="592"/>
      <c r="D2496" s="415"/>
      <c r="E2496" s="415"/>
      <c r="F2496" s="425"/>
      <c r="G2496" s="427"/>
      <c r="H2496" s="415"/>
      <c r="I2496" s="427"/>
      <c r="J2496" s="415"/>
      <c r="K2496" s="415"/>
      <c r="L2496" s="415"/>
      <c r="M2496" s="415"/>
      <c r="N2496" s="414"/>
      <c r="O2496" s="414"/>
      <c r="P2496" s="603">
        <f t="shared" si="364"/>
        <v>0</v>
      </c>
      <c r="Q2496" s="603">
        <f t="shared" si="365"/>
        <v>0</v>
      </c>
      <c r="R2496" s="604" t="str">
        <f t="shared" si="363"/>
        <v/>
      </c>
      <c r="S2496" s="605"/>
      <c r="T2496" s="605"/>
    </row>
    <row r="2497" spans="1:20" s="88" customFormat="1" ht="12.75" hidden="1" x14ac:dyDescent="0.2">
      <c r="A2497" s="510" t="str">
        <f>IF(B2497="","",COUNT('Diário 1º PA'!$A$4:$A$2635)+ROW()-3)</f>
        <v/>
      </c>
      <c r="B2497" s="414"/>
      <c r="C2497" s="592"/>
      <c r="D2497" s="415"/>
      <c r="E2497" s="415"/>
      <c r="F2497" s="425"/>
      <c r="G2497" s="427"/>
      <c r="H2497" s="415"/>
      <c r="I2497" s="427"/>
      <c r="J2497" s="415"/>
      <c r="K2497" s="415"/>
      <c r="L2497" s="415"/>
      <c r="M2497" s="415"/>
      <c r="N2497" s="414"/>
      <c r="O2497" s="414"/>
      <c r="P2497" s="603">
        <f t="shared" si="364"/>
        <v>0</v>
      </c>
      <c r="Q2497" s="603">
        <f t="shared" si="365"/>
        <v>0</v>
      </c>
      <c r="R2497" s="604" t="str">
        <f t="shared" si="363"/>
        <v/>
      </c>
      <c r="S2497" s="605"/>
      <c r="T2497" s="605"/>
    </row>
    <row r="2498" spans="1:20" s="88" customFormat="1" ht="12.75" hidden="1" x14ac:dyDescent="0.2">
      <c r="A2498" s="510" t="str">
        <f>IF(B2498="","",COUNT('Diário 1º PA'!$A$4:$A$2635)+ROW()-3)</f>
        <v/>
      </c>
      <c r="B2498" s="414"/>
      <c r="C2498" s="592"/>
      <c r="D2498" s="415"/>
      <c r="E2498" s="415"/>
      <c r="F2498" s="425"/>
      <c r="G2498" s="427"/>
      <c r="H2498" s="415"/>
      <c r="I2498" s="427"/>
      <c r="J2498" s="415"/>
      <c r="K2498" s="415"/>
      <c r="L2498" s="415"/>
      <c r="M2498" s="415"/>
      <c r="N2498" s="414"/>
      <c r="O2498" s="414"/>
      <c r="P2498" s="603">
        <f t="shared" si="364"/>
        <v>0</v>
      </c>
      <c r="Q2498" s="603">
        <f t="shared" si="365"/>
        <v>0</v>
      </c>
      <c r="R2498" s="604" t="str">
        <f t="shared" si="363"/>
        <v/>
      </c>
      <c r="S2498" s="605"/>
      <c r="T2498" s="605"/>
    </row>
    <row r="2499" spans="1:20" s="88" customFormat="1" ht="12.75" hidden="1" x14ac:dyDescent="0.2">
      <c r="A2499" s="510" t="str">
        <f>IF(B2499="","",COUNT('Diário 1º PA'!$A$4:$A$2635)+ROW()-3)</f>
        <v/>
      </c>
      <c r="B2499" s="414"/>
      <c r="C2499" s="592"/>
      <c r="D2499" s="415"/>
      <c r="E2499" s="415"/>
      <c r="F2499" s="425"/>
      <c r="G2499" s="427"/>
      <c r="H2499" s="415"/>
      <c r="I2499" s="427"/>
      <c r="J2499" s="415"/>
      <c r="K2499" s="415"/>
      <c r="L2499" s="415"/>
      <c r="M2499" s="415"/>
      <c r="N2499" s="414"/>
      <c r="O2499" s="414"/>
      <c r="P2499" s="603">
        <f t="shared" si="364"/>
        <v>0</v>
      </c>
      <c r="Q2499" s="603">
        <f t="shared" si="365"/>
        <v>0</v>
      </c>
      <c r="R2499" s="604" t="str">
        <f t="shared" si="363"/>
        <v/>
      </c>
      <c r="S2499" s="605"/>
      <c r="T2499" s="605"/>
    </row>
    <row r="2500" spans="1:20" s="88" customFormat="1" ht="12.75" hidden="1" x14ac:dyDescent="0.2">
      <c r="A2500" s="510" t="str">
        <f>IF(B2500="","",COUNT('Diário 1º PA'!$A$4:$A$2635)+ROW()-3)</f>
        <v/>
      </c>
      <c r="B2500" s="414"/>
      <c r="C2500" s="592"/>
      <c r="D2500" s="415"/>
      <c r="E2500" s="415"/>
      <c r="F2500" s="425"/>
      <c r="G2500" s="427"/>
      <c r="H2500" s="415"/>
      <c r="I2500" s="427"/>
      <c r="J2500" s="415"/>
      <c r="K2500" s="415"/>
      <c r="L2500" s="415"/>
      <c r="M2500" s="415"/>
      <c r="N2500" s="414"/>
      <c r="O2500" s="414"/>
      <c r="P2500" s="603">
        <f t="shared" si="364"/>
        <v>0</v>
      </c>
      <c r="Q2500" s="603">
        <f t="shared" si="365"/>
        <v>0</v>
      </c>
      <c r="R2500" s="604" t="str">
        <f t="shared" si="363"/>
        <v/>
      </c>
      <c r="S2500" s="605"/>
      <c r="T2500" s="605"/>
    </row>
    <row r="2501" spans="1:20" s="88" customFormat="1" ht="12.75" hidden="1" x14ac:dyDescent="0.2">
      <c r="A2501" s="510" t="str">
        <f>IF(B2501="","",COUNT('Diário 1º PA'!$A$4:$A$2635)+ROW()-3)</f>
        <v/>
      </c>
      <c r="B2501" s="414"/>
      <c r="C2501" s="592"/>
      <c r="D2501" s="415"/>
      <c r="E2501" s="415"/>
      <c r="F2501" s="425"/>
      <c r="G2501" s="427"/>
      <c r="H2501" s="415"/>
      <c r="I2501" s="427"/>
      <c r="J2501" s="415"/>
      <c r="K2501" s="415"/>
      <c r="L2501" s="415"/>
      <c r="M2501" s="415"/>
      <c r="N2501" s="414"/>
      <c r="O2501" s="414"/>
      <c r="P2501" s="603">
        <f t="shared" si="364"/>
        <v>0</v>
      </c>
      <c r="Q2501" s="603">
        <f t="shared" si="365"/>
        <v>0</v>
      </c>
      <c r="R2501" s="604" t="str">
        <f t="shared" si="363"/>
        <v/>
      </c>
      <c r="S2501" s="605"/>
      <c r="T2501" s="605"/>
    </row>
    <row r="2502" spans="1:20" s="88" customFormat="1" ht="12.75" hidden="1" x14ac:dyDescent="0.2">
      <c r="A2502" s="510" t="str">
        <f>IF(B2502="","",COUNT('Diário 1º PA'!$A$4:$A$2635)+ROW()-3)</f>
        <v/>
      </c>
      <c r="B2502" s="414"/>
      <c r="C2502" s="592"/>
      <c r="D2502" s="415"/>
      <c r="E2502" s="415"/>
      <c r="F2502" s="425"/>
      <c r="G2502" s="427"/>
      <c r="H2502" s="415"/>
      <c r="I2502" s="427"/>
      <c r="J2502" s="415"/>
      <c r="K2502" s="415"/>
      <c r="L2502" s="415"/>
      <c r="M2502" s="576"/>
      <c r="N2502" s="414"/>
      <c r="O2502" s="414"/>
      <c r="P2502" s="603">
        <f t="shared" si="364"/>
        <v>0</v>
      </c>
      <c r="Q2502" s="603">
        <f t="shared" si="365"/>
        <v>0</v>
      </c>
      <c r="R2502" s="604" t="str">
        <f t="shared" si="363"/>
        <v/>
      </c>
      <c r="S2502" s="605"/>
      <c r="T2502" s="605"/>
    </row>
    <row r="2503" spans="1:20" s="88" customFormat="1" ht="12.75" hidden="1" x14ac:dyDescent="0.2">
      <c r="A2503" s="510" t="str">
        <f>IF(B2503="","",COUNT('Diário 1º PA'!$A$4:$A$2635)+ROW()-3)</f>
        <v/>
      </c>
      <c r="B2503" s="414"/>
      <c r="C2503" s="592"/>
      <c r="D2503" s="415"/>
      <c r="E2503" s="415"/>
      <c r="F2503" s="425"/>
      <c r="G2503" s="427"/>
      <c r="H2503" s="415"/>
      <c r="I2503" s="427"/>
      <c r="J2503" s="415"/>
      <c r="K2503" s="415"/>
      <c r="L2503" s="415"/>
      <c r="M2503" s="576"/>
      <c r="N2503" s="414"/>
      <c r="O2503" s="414"/>
      <c r="P2503" s="603">
        <f t="shared" si="364"/>
        <v>0</v>
      </c>
      <c r="Q2503" s="603">
        <f t="shared" si="365"/>
        <v>0</v>
      </c>
      <c r="R2503" s="604" t="str">
        <f t="shared" si="363"/>
        <v/>
      </c>
      <c r="S2503" s="605"/>
      <c r="T2503" s="605"/>
    </row>
    <row r="2504" spans="1:20" s="88" customFormat="1" ht="12.75" hidden="1" x14ac:dyDescent="0.2">
      <c r="A2504" s="510" t="str">
        <f>IF(B2504="","",COUNT('Diário 1º PA'!$A$4:$A$2635)+ROW()-3)</f>
        <v/>
      </c>
      <c r="B2504" s="414"/>
      <c r="C2504" s="592"/>
      <c r="D2504" s="415"/>
      <c r="E2504" s="415"/>
      <c r="F2504" s="425"/>
      <c r="G2504" s="427"/>
      <c r="H2504" s="415"/>
      <c r="I2504" s="427"/>
      <c r="J2504" s="415"/>
      <c r="K2504" s="415"/>
      <c r="L2504" s="415"/>
      <c r="M2504" s="415"/>
      <c r="N2504" s="414"/>
      <c r="O2504" s="414"/>
      <c r="P2504" s="603">
        <f t="shared" si="364"/>
        <v>0</v>
      </c>
      <c r="Q2504" s="603">
        <f t="shared" si="365"/>
        <v>0</v>
      </c>
      <c r="R2504" s="604" t="str">
        <f t="shared" si="363"/>
        <v/>
      </c>
      <c r="S2504" s="605"/>
      <c r="T2504" s="605"/>
    </row>
    <row r="2505" spans="1:20" s="88" customFormat="1" ht="12.75" hidden="1" x14ac:dyDescent="0.2">
      <c r="A2505" s="510" t="str">
        <f>IF(B2505="","",COUNT('Diário 1º PA'!$A$4:$A$2635)+ROW()-3)</f>
        <v/>
      </c>
      <c r="B2505" s="414"/>
      <c r="C2505" s="592"/>
      <c r="D2505" s="415"/>
      <c r="E2505" s="415"/>
      <c r="F2505" s="425"/>
      <c r="G2505" s="427"/>
      <c r="H2505" s="415"/>
      <c r="I2505" s="427"/>
      <c r="J2505" s="415"/>
      <c r="K2505" s="415"/>
      <c r="L2505" s="415"/>
      <c r="M2505" s="415"/>
      <c r="N2505" s="414"/>
      <c r="O2505" s="414"/>
      <c r="P2505" s="603">
        <f t="shared" si="364"/>
        <v>0</v>
      </c>
      <c r="Q2505" s="603">
        <f t="shared" si="365"/>
        <v>0</v>
      </c>
      <c r="R2505" s="604" t="str">
        <f t="shared" si="363"/>
        <v/>
      </c>
      <c r="S2505" s="605"/>
      <c r="T2505" s="605"/>
    </row>
    <row r="2506" spans="1:20" s="88" customFormat="1" ht="12.75" hidden="1" x14ac:dyDescent="0.2">
      <c r="A2506" s="510" t="str">
        <f>IF(B2506="","",COUNT('Diário 1º PA'!$A$4:$A$2635)+ROW()-3)</f>
        <v/>
      </c>
      <c r="B2506" s="414"/>
      <c r="C2506" s="592"/>
      <c r="D2506" s="415"/>
      <c r="E2506" s="415"/>
      <c r="F2506" s="425"/>
      <c r="G2506" s="427"/>
      <c r="H2506" s="415"/>
      <c r="I2506" s="427"/>
      <c r="J2506" s="415"/>
      <c r="K2506" s="415"/>
      <c r="L2506" s="415"/>
      <c r="M2506" s="415"/>
      <c r="N2506" s="414"/>
      <c r="O2506" s="414"/>
      <c r="P2506" s="603">
        <f t="shared" si="364"/>
        <v>0</v>
      </c>
      <c r="Q2506" s="603">
        <f t="shared" si="365"/>
        <v>0</v>
      </c>
      <c r="R2506" s="604" t="str">
        <f t="shared" si="363"/>
        <v/>
      </c>
      <c r="S2506" s="605"/>
      <c r="T2506" s="605"/>
    </row>
    <row r="2507" spans="1:20" s="88" customFormat="1" ht="12.75" hidden="1" x14ac:dyDescent="0.2">
      <c r="A2507" s="510" t="str">
        <f>IF(B2507="","",COUNT('Diário 1º PA'!$A$4:$A$2635)+ROW()-3)</f>
        <v/>
      </c>
      <c r="B2507" s="414"/>
      <c r="C2507" s="592"/>
      <c r="D2507" s="415"/>
      <c r="E2507" s="415"/>
      <c r="F2507" s="425"/>
      <c r="G2507" s="427"/>
      <c r="H2507" s="415"/>
      <c r="I2507" s="427"/>
      <c r="J2507" s="415"/>
      <c r="K2507" s="415"/>
      <c r="L2507" s="415"/>
      <c r="M2507" s="415"/>
      <c r="N2507" s="414"/>
      <c r="O2507" s="414"/>
      <c r="P2507" s="603">
        <f t="shared" si="364"/>
        <v>0</v>
      </c>
      <c r="Q2507" s="603">
        <f t="shared" si="365"/>
        <v>0</v>
      </c>
      <c r="R2507" s="604" t="str">
        <f t="shared" si="363"/>
        <v/>
      </c>
      <c r="S2507" s="605"/>
      <c r="T2507" s="605"/>
    </row>
    <row r="2508" spans="1:20" s="88" customFormat="1" ht="12.75" hidden="1" x14ac:dyDescent="0.2">
      <c r="A2508" s="510" t="str">
        <f>IF(B2508="","",COUNT('Diário 1º PA'!$A$4:$A$2635)+ROW()-3)</f>
        <v/>
      </c>
      <c r="B2508" s="414"/>
      <c r="C2508" s="592"/>
      <c r="D2508" s="415"/>
      <c r="E2508" s="415"/>
      <c r="F2508" s="425"/>
      <c r="G2508" s="427"/>
      <c r="H2508" s="415"/>
      <c r="I2508" s="427"/>
      <c r="J2508" s="415"/>
      <c r="K2508" s="415"/>
      <c r="L2508" s="415"/>
      <c r="M2508" s="576"/>
      <c r="N2508" s="414"/>
      <c r="O2508" s="414"/>
      <c r="P2508" s="603">
        <f t="shared" si="364"/>
        <v>0</v>
      </c>
      <c r="Q2508" s="603">
        <f t="shared" si="365"/>
        <v>0</v>
      </c>
      <c r="R2508" s="604" t="str">
        <f t="shared" si="363"/>
        <v/>
      </c>
      <c r="S2508" s="605"/>
      <c r="T2508" s="605"/>
    </row>
    <row r="2509" spans="1:20" s="88" customFormat="1" ht="12.75" hidden="1" x14ac:dyDescent="0.2">
      <c r="A2509" s="510" t="str">
        <f>IF(B2509="","",COUNT('Diário 1º PA'!$A$4:$A$2635)+ROW()-3)</f>
        <v/>
      </c>
      <c r="B2509" s="414"/>
      <c r="C2509" s="592"/>
      <c r="D2509" s="415"/>
      <c r="E2509" s="415"/>
      <c r="F2509" s="425"/>
      <c r="G2509" s="427"/>
      <c r="H2509" s="415"/>
      <c r="I2509" s="427"/>
      <c r="J2509" s="415"/>
      <c r="K2509" s="415"/>
      <c r="L2509" s="415"/>
      <c r="M2509" s="415"/>
      <c r="N2509" s="414"/>
      <c r="O2509" s="414"/>
      <c r="P2509" s="603">
        <f t="shared" si="364"/>
        <v>0</v>
      </c>
      <c r="Q2509" s="603">
        <f t="shared" si="365"/>
        <v>0</v>
      </c>
      <c r="R2509" s="604" t="str">
        <f t="shared" si="363"/>
        <v/>
      </c>
      <c r="S2509" s="605"/>
      <c r="T2509" s="605"/>
    </row>
    <row r="2510" spans="1:20" s="88" customFormat="1" ht="12.75" hidden="1" x14ac:dyDescent="0.2">
      <c r="A2510" s="510" t="str">
        <f>IF(B2510="","",COUNT('Diário 1º PA'!$A$4:$A$2635)+ROW()-3)</f>
        <v/>
      </c>
      <c r="B2510" s="414"/>
      <c r="C2510" s="592"/>
      <c r="D2510" s="415"/>
      <c r="E2510" s="415"/>
      <c r="F2510" s="425"/>
      <c r="G2510" s="427"/>
      <c r="H2510" s="415"/>
      <c r="I2510" s="427"/>
      <c r="J2510" s="415"/>
      <c r="K2510" s="415"/>
      <c r="L2510" s="415"/>
      <c r="M2510" s="415"/>
      <c r="N2510" s="414"/>
      <c r="O2510" s="414"/>
      <c r="P2510" s="603">
        <f t="shared" si="364"/>
        <v>0</v>
      </c>
      <c r="Q2510" s="603">
        <f t="shared" si="365"/>
        <v>0</v>
      </c>
      <c r="R2510" s="604" t="str">
        <f t="shared" si="363"/>
        <v/>
      </c>
      <c r="S2510" s="605"/>
      <c r="T2510" s="605"/>
    </row>
    <row r="2511" spans="1:20" s="88" customFormat="1" ht="12.75" hidden="1" x14ac:dyDescent="0.2">
      <c r="A2511" s="510" t="str">
        <f>IF(B2511="","",COUNT('Diário 1º PA'!$A$4:$A$2635)+ROW()-3)</f>
        <v/>
      </c>
      <c r="B2511" s="414"/>
      <c r="C2511" s="592"/>
      <c r="D2511" s="415"/>
      <c r="E2511" s="415"/>
      <c r="F2511" s="425"/>
      <c r="G2511" s="427"/>
      <c r="H2511" s="415"/>
      <c r="I2511" s="427"/>
      <c r="J2511" s="415"/>
      <c r="K2511" s="415"/>
      <c r="L2511" s="415"/>
      <c r="M2511" s="415"/>
      <c r="N2511" s="414"/>
      <c r="O2511" s="414"/>
      <c r="P2511" s="603">
        <f t="shared" si="364"/>
        <v>0</v>
      </c>
      <c r="Q2511" s="603">
        <f t="shared" si="365"/>
        <v>0</v>
      </c>
      <c r="R2511" s="604" t="str">
        <f t="shared" si="363"/>
        <v/>
      </c>
      <c r="S2511" s="605"/>
      <c r="T2511" s="605"/>
    </row>
    <row r="2512" spans="1:20" s="88" customFormat="1" ht="12.75" hidden="1" x14ac:dyDescent="0.2">
      <c r="A2512" s="510" t="str">
        <f>IF(B2512="","",COUNT('Diário 1º PA'!$A$4:$A$2635)+ROW()-3)</f>
        <v/>
      </c>
      <c r="B2512" s="414"/>
      <c r="C2512" s="592"/>
      <c r="D2512" s="415"/>
      <c r="E2512" s="415"/>
      <c r="F2512" s="425"/>
      <c r="G2512" s="427"/>
      <c r="H2512" s="415"/>
      <c r="I2512" s="427"/>
      <c r="J2512" s="415"/>
      <c r="K2512" s="415"/>
      <c r="L2512" s="415"/>
      <c r="M2512" s="415"/>
      <c r="N2512" s="414"/>
      <c r="O2512" s="414"/>
      <c r="P2512" s="603">
        <f t="shared" si="364"/>
        <v>0</v>
      </c>
      <c r="Q2512" s="603">
        <f t="shared" si="365"/>
        <v>0</v>
      </c>
      <c r="R2512" s="604" t="str">
        <f t="shared" si="363"/>
        <v/>
      </c>
      <c r="S2512" s="605"/>
      <c r="T2512" s="605"/>
    </row>
    <row r="2513" spans="1:20" s="88" customFormat="1" ht="12.75" hidden="1" x14ac:dyDescent="0.2">
      <c r="A2513" s="510" t="str">
        <f>IF(B2513="","",COUNT('Diário 1º PA'!$A$4:$A$2635)+ROW()-3)</f>
        <v/>
      </c>
      <c r="B2513" s="414"/>
      <c r="C2513" s="592"/>
      <c r="D2513" s="415"/>
      <c r="E2513" s="415"/>
      <c r="F2513" s="425"/>
      <c r="G2513" s="427"/>
      <c r="H2513" s="415"/>
      <c r="I2513" s="427"/>
      <c r="J2513" s="415"/>
      <c r="K2513" s="415"/>
      <c r="L2513" s="415"/>
      <c r="M2513" s="576"/>
      <c r="N2513" s="414"/>
      <c r="O2513" s="414"/>
      <c r="P2513" s="603">
        <f t="shared" si="364"/>
        <v>0</v>
      </c>
      <c r="Q2513" s="603">
        <f t="shared" si="365"/>
        <v>0</v>
      </c>
      <c r="R2513" s="604" t="str">
        <f t="shared" si="363"/>
        <v/>
      </c>
      <c r="S2513" s="605"/>
      <c r="T2513" s="605"/>
    </row>
    <row r="2514" spans="1:20" s="88" customFormat="1" ht="12.75" hidden="1" x14ac:dyDescent="0.2">
      <c r="A2514" s="510" t="str">
        <f>IF(B2514="","",COUNT('Diário 1º PA'!$A$4:$A$2635)+ROW()-3)</f>
        <v/>
      </c>
      <c r="B2514" s="414"/>
      <c r="C2514" s="592"/>
      <c r="D2514" s="415"/>
      <c r="E2514" s="415"/>
      <c r="F2514" s="425"/>
      <c r="G2514" s="427"/>
      <c r="H2514" s="415"/>
      <c r="I2514" s="427"/>
      <c r="J2514" s="415"/>
      <c r="K2514" s="415"/>
      <c r="L2514" s="415"/>
      <c r="M2514" s="415"/>
      <c r="N2514" s="414"/>
      <c r="O2514" s="414"/>
      <c r="P2514" s="603">
        <f t="shared" si="364"/>
        <v>0</v>
      </c>
      <c r="Q2514" s="603">
        <f t="shared" si="365"/>
        <v>0</v>
      </c>
      <c r="R2514" s="604" t="str">
        <f t="shared" si="363"/>
        <v/>
      </c>
      <c r="S2514" s="605"/>
      <c r="T2514" s="605"/>
    </row>
    <row r="2515" spans="1:20" s="88" customFormat="1" ht="12.75" hidden="1" x14ac:dyDescent="0.2">
      <c r="A2515" s="510" t="str">
        <f>IF(B2515="","",COUNT('Diário 1º PA'!$A$4:$A$2635)+ROW()-3)</f>
        <v/>
      </c>
      <c r="B2515" s="414"/>
      <c r="C2515" s="592"/>
      <c r="D2515" s="415"/>
      <c r="E2515" s="415"/>
      <c r="F2515" s="425"/>
      <c r="G2515" s="427"/>
      <c r="H2515" s="415"/>
      <c r="I2515" s="427"/>
      <c r="J2515" s="415"/>
      <c r="K2515" s="415"/>
      <c r="L2515" s="415"/>
      <c r="M2515" s="415"/>
      <c r="N2515" s="414"/>
      <c r="O2515" s="414"/>
      <c r="P2515" s="603">
        <f t="shared" si="364"/>
        <v>0</v>
      </c>
      <c r="Q2515" s="603">
        <f t="shared" si="365"/>
        <v>0</v>
      </c>
      <c r="R2515" s="604" t="str">
        <f t="shared" si="363"/>
        <v/>
      </c>
      <c r="S2515" s="605"/>
      <c r="T2515" s="605"/>
    </row>
    <row r="2516" spans="1:20" s="88" customFormat="1" ht="12.75" hidden="1" x14ac:dyDescent="0.2">
      <c r="A2516" s="510" t="str">
        <f>IF(B2516="","",COUNT('Diário 1º PA'!$A$4:$A$2635)+ROW()-3)</f>
        <v/>
      </c>
      <c r="B2516" s="414"/>
      <c r="C2516" s="592"/>
      <c r="D2516" s="415"/>
      <c r="E2516" s="415"/>
      <c r="F2516" s="425"/>
      <c r="G2516" s="427"/>
      <c r="H2516" s="415"/>
      <c r="I2516" s="427"/>
      <c r="J2516" s="415"/>
      <c r="K2516" s="415"/>
      <c r="L2516" s="415"/>
      <c r="M2516" s="415"/>
      <c r="N2516" s="414"/>
      <c r="O2516" s="414"/>
      <c r="P2516" s="603">
        <f t="shared" si="364"/>
        <v>0</v>
      </c>
      <c r="Q2516" s="603">
        <f t="shared" si="365"/>
        <v>0</v>
      </c>
      <c r="R2516" s="604" t="str">
        <f t="shared" si="363"/>
        <v/>
      </c>
      <c r="S2516" s="605"/>
      <c r="T2516" s="605"/>
    </row>
    <row r="2517" spans="1:20" s="88" customFormat="1" ht="12.75" hidden="1" x14ac:dyDescent="0.2">
      <c r="A2517" s="510" t="str">
        <f>IF(B2517="","",COUNT('Diário 1º PA'!$A$4:$A$2635)+ROW()-3)</f>
        <v/>
      </c>
      <c r="B2517" s="414"/>
      <c r="C2517" s="592"/>
      <c r="D2517" s="415"/>
      <c r="E2517" s="415"/>
      <c r="F2517" s="425"/>
      <c r="G2517" s="427"/>
      <c r="H2517" s="415"/>
      <c r="I2517" s="427"/>
      <c r="J2517" s="415"/>
      <c r="K2517" s="415"/>
      <c r="L2517" s="415"/>
      <c r="M2517" s="415"/>
      <c r="N2517" s="414"/>
      <c r="O2517" s="414"/>
      <c r="P2517" s="603">
        <f t="shared" si="364"/>
        <v>0</v>
      </c>
      <c r="Q2517" s="603">
        <f t="shared" si="365"/>
        <v>0</v>
      </c>
      <c r="R2517" s="604" t="str">
        <f t="shared" si="363"/>
        <v/>
      </c>
      <c r="S2517" s="605"/>
      <c r="T2517" s="605"/>
    </row>
    <row r="2518" spans="1:20" s="88" customFormat="1" ht="12.75" hidden="1" x14ac:dyDescent="0.2">
      <c r="A2518" s="510" t="str">
        <f>IF(B2518="","",COUNT('Diário 1º PA'!$A$4:$A$2635)+ROW()-3)</f>
        <v/>
      </c>
      <c r="B2518" s="414"/>
      <c r="C2518" s="592"/>
      <c r="D2518" s="415"/>
      <c r="E2518" s="415"/>
      <c r="F2518" s="425"/>
      <c r="G2518" s="427"/>
      <c r="H2518" s="415"/>
      <c r="I2518" s="427"/>
      <c r="J2518" s="415"/>
      <c r="K2518" s="415"/>
      <c r="L2518" s="415"/>
      <c r="M2518" s="415"/>
      <c r="N2518" s="414"/>
      <c r="O2518" s="414"/>
      <c r="P2518" s="603">
        <f t="shared" si="364"/>
        <v>0</v>
      </c>
      <c r="Q2518" s="603">
        <f t="shared" si="365"/>
        <v>0</v>
      </c>
      <c r="R2518" s="604" t="str">
        <f t="shared" si="363"/>
        <v/>
      </c>
      <c r="S2518" s="605"/>
      <c r="T2518" s="605"/>
    </row>
    <row r="2519" spans="1:20" s="88" customFormat="1" ht="12.75" hidden="1" x14ac:dyDescent="0.2">
      <c r="A2519" s="510" t="str">
        <f>IF(B2519="","",COUNT('Diário 1º PA'!$A$4:$A$2635)+ROW()-3)</f>
        <v/>
      </c>
      <c r="B2519" s="414"/>
      <c r="C2519" s="592"/>
      <c r="D2519" s="415"/>
      <c r="E2519" s="415"/>
      <c r="F2519" s="425"/>
      <c r="G2519" s="427"/>
      <c r="H2519" s="415"/>
      <c r="I2519" s="427"/>
      <c r="J2519" s="415"/>
      <c r="K2519" s="415"/>
      <c r="L2519" s="415"/>
      <c r="M2519" s="415"/>
      <c r="N2519" s="414"/>
      <c r="O2519" s="414"/>
      <c r="P2519" s="603">
        <f t="shared" si="364"/>
        <v>0</v>
      </c>
      <c r="Q2519" s="603">
        <f t="shared" si="365"/>
        <v>0</v>
      </c>
      <c r="R2519" s="604" t="str">
        <f t="shared" si="363"/>
        <v/>
      </c>
      <c r="S2519" s="605"/>
      <c r="T2519" s="605"/>
    </row>
    <row r="2520" spans="1:20" s="88" customFormat="1" ht="12.75" hidden="1" x14ac:dyDescent="0.2">
      <c r="A2520" s="510" t="str">
        <f>IF(B2520="","",COUNT('Diário 1º PA'!$A$4:$A$2635)+ROW()-3)</f>
        <v/>
      </c>
      <c r="B2520" s="414"/>
      <c r="C2520" s="592"/>
      <c r="D2520" s="415"/>
      <c r="E2520" s="415"/>
      <c r="F2520" s="425"/>
      <c r="G2520" s="427"/>
      <c r="H2520" s="415"/>
      <c r="I2520" s="427"/>
      <c r="J2520" s="415"/>
      <c r="K2520" s="415"/>
      <c r="L2520" s="415"/>
      <c r="M2520" s="415"/>
      <c r="N2520" s="414"/>
      <c r="O2520" s="414"/>
      <c r="P2520" s="603">
        <f t="shared" si="364"/>
        <v>0</v>
      </c>
      <c r="Q2520" s="603">
        <f t="shared" si="365"/>
        <v>0</v>
      </c>
      <c r="R2520" s="604" t="str">
        <f t="shared" si="363"/>
        <v/>
      </c>
      <c r="S2520" s="605"/>
      <c r="T2520" s="605"/>
    </row>
    <row r="2521" spans="1:20" s="88" customFormat="1" ht="12.75" hidden="1" x14ac:dyDescent="0.2">
      <c r="A2521" s="510" t="str">
        <f>IF(B2521="","",COUNT('Diário 1º PA'!$A$4:$A$2635)+ROW()-3)</f>
        <v/>
      </c>
      <c r="B2521" s="414"/>
      <c r="C2521" s="592"/>
      <c r="D2521" s="415"/>
      <c r="E2521" s="415"/>
      <c r="F2521" s="425"/>
      <c r="G2521" s="427"/>
      <c r="H2521" s="415"/>
      <c r="I2521" s="427"/>
      <c r="J2521" s="415"/>
      <c r="K2521" s="415"/>
      <c r="L2521" s="415"/>
      <c r="M2521" s="415"/>
      <c r="N2521" s="414"/>
      <c r="O2521" s="414"/>
      <c r="P2521" s="603">
        <f t="shared" si="364"/>
        <v>0</v>
      </c>
      <c r="Q2521" s="603">
        <f t="shared" si="365"/>
        <v>0</v>
      </c>
      <c r="R2521" s="604" t="str">
        <f t="shared" si="363"/>
        <v/>
      </c>
      <c r="S2521" s="605"/>
      <c r="T2521" s="605"/>
    </row>
    <row r="2522" spans="1:20" s="88" customFormat="1" ht="12.75" hidden="1" x14ac:dyDescent="0.2">
      <c r="A2522" s="510" t="str">
        <f>IF(B2522="","",COUNT('Diário 1º PA'!$A$4:$A$2635)+ROW()-3)</f>
        <v/>
      </c>
      <c r="B2522" s="414"/>
      <c r="C2522" s="592"/>
      <c r="D2522" s="415"/>
      <c r="E2522" s="415"/>
      <c r="F2522" s="425"/>
      <c r="G2522" s="427"/>
      <c r="H2522" s="415"/>
      <c r="I2522" s="427"/>
      <c r="J2522" s="415"/>
      <c r="K2522" s="415"/>
      <c r="L2522" s="415"/>
      <c r="M2522" s="415"/>
      <c r="N2522" s="414"/>
      <c r="O2522" s="414"/>
      <c r="P2522" s="603">
        <f t="shared" si="364"/>
        <v>0</v>
      </c>
      <c r="Q2522" s="603">
        <f t="shared" si="365"/>
        <v>0</v>
      </c>
      <c r="R2522" s="604" t="str">
        <f t="shared" si="363"/>
        <v/>
      </c>
      <c r="S2522" s="605"/>
      <c r="T2522" s="605"/>
    </row>
    <row r="2523" spans="1:20" s="88" customFormat="1" ht="12.75" hidden="1" x14ac:dyDescent="0.2">
      <c r="A2523" s="510" t="str">
        <f>IF(B2523="","",COUNT('Diário 1º PA'!$A$4:$A$2635)+ROW()-3)</f>
        <v/>
      </c>
      <c r="B2523" s="414"/>
      <c r="C2523" s="592"/>
      <c r="D2523" s="415"/>
      <c r="E2523" s="415"/>
      <c r="F2523" s="425"/>
      <c r="G2523" s="427"/>
      <c r="H2523" s="415"/>
      <c r="I2523" s="427"/>
      <c r="J2523" s="415"/>
      <c r="K2523" s="415"/>
      <c r="L2523" s="415"/>
      <c r="M2523" s="415"/>
      <c r="N2523" s="414"/>
      <c r="O2523" s="414"/>
      <c r="P2523" s="603">
        <f t="shared" si="364"/>
        <v>0</v>
      </c>
      <c r="Q2523" s="603">
        <f t="shared" si="365"/>
        <v>0</v>
      </c>
      <c r="R2523" s="604" t="str">
        <f t="shared" si="363"/>
        <v/>
      </c>
      <c r="S2523" s="605"/>
      <c r="T2523" s="605"/>
    </row>
    <row r="2524" spans="1:20" s="88" customFormat="1" ht="12.75" hidden="1" x14ac:dyDescent="0.2">
      <c r="A2524" s="510" t="str">
        <f>IF(B2524="","",COUNT('Diário 1º PA'!$A$4:$A$2635)+ROW()-3)</f>
        <v/>
      </c>
      <c r="B2524" s="414"/>
      <c r="C2524" s="592"/>
      <c r="D2524" s="415"/>
      <c r="E2524" s="415"/>
      <c r="F2524" s="425"/>
      <c r="G2524" s="427"/>
      <c r="H2524" s="415"/>
      <c r="I2524" s="427"/>
      <c r="J2524" s="415"/>
      <c r="K2524" s="415"/>
      <c r="L2524" s="415"/>
      <c r="M2524" s="415"/>
      <c r="N2524" s="414"/>
      <c r="O2524" s="414"/>
      <c r="P2524" s="603">
        <f t="shared" si="364"/>
        <v>0</v>
      </c>
      <c r="Q2524" s="603">
        <f t="shared" si="365"/>
        <v>0</v>
      </c>
      <c r="R2524" s="604" t="str">
        <f t="shared" si="363"/>
        <v/>
      </c>
      <c r="S2524" s="605"/>
      <c r="T2524" s="605"/>
    </row>
    <row r="2525" spans="1:20" s="88" customFormat="1" ht="12.75" hidden="1" x14ac:dyDescent="0.2">
      <c r="A2525" s="510" t="str">
        <f>IF(B2525="","",COUNT('Diário 1º PA'!$A$4:$A$2635)+ROW()-3)</f>
        <v/>
      </c>
      <c r="B2525" s="414"/>
      <c r="C2525" s="592"/>
      <c r="D2525" s="415"/>
      <c r="E2525" s="415"/>
      <c r="F2525" s="425"/>
      <c r="G2525" s="427"/>
      <c r="H2525" s="415"/>
      <c r="I2525" s="427"/>
      <c r="J2525" s="415"/>
      <c r="K2525" s="415"/>
      <c r="L2525" s="415"/>
      <c r="M2525" s="415"/>
      <c r="N2525" s="414"/>
      <c r="O2525" s="414"/>
      <c r="P2525" s="603">
        <f t="shared" si="364"/>
        <v>0</v>
      </c>
      <c r="Q2525" s="603">
        <f t="shared" si="365"/>
        <v>0</v>
      </c>
      <c r="R2525" s="604" t="str">
        <f t="shared" si="363"/>
        <v/>
      </c>
      <c r="S2525" s="605"/>
      <c r="T2525" s="605"/>
    </row>
    <row r="2526" spans="1:20" s="88" customFormat="1" ht="12.75" hidden="1" x14ac:dyDescent="0.2">
      <c r="A2526" s="510" t="str">
        <f>IF(B2526="","",COUNT('Diário 1º PA'!$A$4:$A$2635)+ROW()-3)</f>
        <v/>
      </c>
      <c r="B2526" s="414"/>
      <c r="C2526" s="592"/>
      <c r="D2526" s="415"/>
      <c r="E2526" s="415"/>
      <c r="F2526" s="425"/>
      <c r="G2526" s="427"/>
      <c r="H2526" s="415"/>
      <c r="I2526" s="427"/>
      <c r="J2526" s="415"/>
      <c r="K2526" s="415"/>
      <c r="L2526" s="415"/>
      <c r="M2526" s="415"/>
      <c r="N2526" s="414"/>
      <c r="O2526" s="414"/>
      <c r="P2526" s="603">
        <f t="shared" si="364"/>
        <v>0</v>
      </c>
      <c r="Q2526" s="603">
        <f t="shared" si="365"/>
        <v>0</v>
      </c>
      <c r="R2526" s="604" t="str">
        <f t="shared" si="363"/>
        <v/>
      </c>
      <c r="S2526" s="605"/>
      <c r="T2526" s="605"/>
    </row>
    <row r="2527" spans="1:20" s="88" customFormat="1" ht="12.75" hidden="1" x14ac:dyDescent="0.2">
      <c r="A2527" s="510" t="str">
        <f>IF(B2527="","",COUNT('Diário 1º PA'!$A$4:$A$2635)+ROW()-3)</f>
        <v/>
      </c>
      <c r="B2527" s="414"/>
      <c r="C2527" s="592"/>
      <c r="D2527" s="415"/>
      <c r="E2527" s="415"/>
      <c r="F2527" s="425"/>
      <c r="G2527" s="427"/>
      <c r="H2527" s="415"/>
      <c r="I2527" s="427"/>
      <c r="J2527" s="415"/>
      <c r="K2527" s="415"/>
      <c r="L2527" s="415"/>
      <c r="M2527" s="415"/>
      <c r="N2527" s="414"/>
      <c r="O2527" s="414"/>
      <c r="P2527" s="603">
        <f t="shared" si="364"/>
        <v>0</v>
      </c>
      <c r="Q2527" s="603">
        <f t="shared" si="365"/>
        <v>0</v>
      </c>
      <c r="R2527" s="604" t="str">
        <f t="shared" si="363"/>
        <v/>
      </c>
      <c r="S2527" s="605"/>
      <c r="T2527" s="605"/>
    </row>
    <row r="2528" spans="1:20" s="88" customFormat="1" ht="12.75" hidden="1" x14ac:dyDescent="0.2">
      <c r="A2528" s="510" t="str">
        <f>IF(B2528="","",COUNT('Diário 1º PA'!$A$4:$A$2635)+ROW()-3)</f>
        <v/>
      </c>
      <c r="B2528" s="414"/>
      <c r="C2528" s="592"/>
      <c r="D2528" s="415"/>
      <c r="E2528" s="415"/>
      <c r="F2528" s="425"/>
      <c r="G2528" s="427"/>
      <c r="H2528" s="415"/>
      <c r="I2528" s="427"/>
      <c r="J2528" s="415"/>
      <c r="K2528" s="415"/>
      <c r="L2528" s="415"/>
      <c r="M2528" s="415"/>
      <c r="N2528" s="414"/>
      <c r="O2528" s="414"/>
      <c r="P2528" s="603">
        <f t="shared" si="364"/>
        <v>0</v>
      </c>
      <c r="Q2528" s="603">
        <f t="shared" si="365"/>
        <v>0</v>
      </c>
      <c r="R2528" s="604" t="str">
        <f t="shared" si="363"/>
        <v/>
      </c>
      <c r="S2528" s="605"/>
      <c r="T2528" s="605"/>
    </row>
    <row r="2529" spans="1:20" s="88" customFormat="1" ht="12.75" hidden="1" x14ac:dyDescent="0.2">
      <c r="A2529" s="510" t="str">
        <f>IF(B2529="","",COUNT('Diário 1º PA'!$A$4:$A$2635)+ROW()-3)</f>
        <v/>
      </c>
      <c r="B2529" s="414"/>
      <c r="C2529" s="592"/>
      <c r="D2529" s="415"/>
      <c r="E2529" s="415"/>
      <c r="F2529" s="425"/>
      <c r="G2529" s="427"/>
      <c r="H2529" s="415"/>
      <c r="I2529" s="427"/>
      <c r="J2529" s="415"/>
      <c r="K2529" s="415"/>
      <c r="L2529" s="415"/>
      <c r="M2529" s="415"/>
      <c r="N2529" s="414"/>
      <c r="O2529" s="414"/>
      <c r="P2529" s="603">
        <f t="shared" si="364"/>
        <v>0</v>
      </c>
      <c r="Q2529" s="603">
        <f t="shared" si="365"/>
        <v>0</v>
      </c>
      <c r="R2529" s="604" t="str">
        <f t="shared" si="363"/>
        <v/>
      </c>
      <c r="S2529" s="605"/>
      <c r="T2529" s="605"/>
    </row>
    <row r="2530" spans="1:20" s="88" customFormat="1" ht="12.75" hidden="1" x14ac:dyDescent="0.2">
      <c r="A2530" s="510" t="str">
        <f>IF(B2530="","",COUNT('Diário 1º PA'!$A$4:$A$2635)+ROW()-3)</f>
        <v/>
      </c>
      <c r="B2530" s="414"/>
      <c r="C2530" s="592"/>
      <c r="D2530" s="415"/>
      <c r="E2530" s="415"/>
      <c r="F2530" s="425"/>
      <c r="G2530" s="427"/>
      <c r="H2530" s="415"/>
      <c r="I2530" s="427"/>
      <c r="J2530" s="415"/>
      <c r="K2530" s="415"/>
      <c r="L2530" s="415"/>
      <c r="M2530" s="415"/>
      <c r="N2530" s="414"/>
      <c r="O2530" s="414"/>
      <c r="P2530" s="603">
        <f t="shared" si="364"/>
        <v>0</v>
      </c>
      <c r="Q2530" s="603">
        <f t="shared" si="365"/>
        <v>0</v>
      </c>
      <c r="R2530" s="604" t="str">
        <f t="shared" si="363"/>
        <v/>
      </c>
      <c r="S2530" s="605"/>
      <c r="T2530" s="605"/>
    </row>
    <row r="2531" spans="1:20" s="88" customFormat="1" ht="12.75" hidden="1" x14ac:dyDescent="0.2">
      <c r="A2531" s="510" t="str">
        <f>IF(B2531="","",COUNT('Diário 1º PA'!$A$4:$A$2635)+ROW()-3)</f>
        <v/>
      </c>
      <c r="B2531" s="414"/>
      <c r="C2531" s="592"/>
      <c r="D2531" s="415"/>
      <c r="E2531" s="415"/>
      <c r="F2531" s="425"/>
      <c r="G2531" s="427"/>
      <c r="H2531" s="415"/>
      <c r="I2531" s="427"/>
      <c r="J2531" s="415"/>
      <c r="K2531" s="415"/>
      <c r="L2531" s="415"/>
      <c r="M2531" s="415"/>
      <c r="N2531" s="414"/>
      <c r="O2531" s="414"/>
      <c r="P2531" s="603">
        <f t="shared" si="364"/>
        <v>0</v>
      </c>
      <c r="Q2531" s="603">
        <f t="shared" si="365"/>
        <v>0</v>
      </c>
      <c r="R2531" s="604" t="str">
        <f t="shared" si="363"/>
        <v/>
      </c>
      <c r="S2531" s="605"/>
      <c r="T2531" s="605"/>
    </row>
    <row r="2532" spans="1:20" s="88" customFormat="1" ht="12.75" hidden="1" x14ac:dyDescent="0.2">
      <c r="A2532" s="510" t="str">
        <f>IF(B2532="","",COUNT('Diário 1º PA'!$A$4:$A$2635)+ROW()-3)</f>
        <v/>
      </c>
      <c r="B2532" s="414"/>
      <c r="C2532" s="592"/>
      <c r="D2532" s="415"/>
      <c r="E2532" s="415"/>
      <c r="F2532" s="425"/>
      <c r="G2532" s="427"/>
      <c r="H2532" s="415"/>
      <c r="I2532" s="427"/>
      <c r="J2532" s="415"/>
      <c r="K2532" s="415"/>
      <c r="L2532" s="415"/>
      <c r="M2532" s="415"/>
      <c r="N2532" s="414"/>
      <c r="O2532" s="414"/>
      <c r="P2532" s="603">
        <f t="shared" si="364"/>
        <v>0</v>
      </c>
      <c r="Q2532" s="603">
        <f t="shared" si="365"/>
        <v>0</v>
      </c>
      <c r="R2532" s="604" t="str">
        <f t="shared" si="363"/>
        <v/>
      </c>
      <c r="S2532" s="605"/>
      <c r="T2532" s="605"/>
    </row>
    <row r="2533" spans="1:20" s="88" customFormat="1" ht="12.75" hidden="1" x14ac:dyDescent="0.2">
      <c r="A2533" s="510" t="str">
        <f>IF(B2533="","",COUNT('Diário 1º PA'!$A$4:$A$2635)+ROW()-3)</f>
        <v/>
      </c>
      <c r="B2533" s="414"/>
      <c r="C2533" s="592"/>
      <c r="D2533" s="415"/>
      <c r="E2533" s="415"/>
      <c r="F2533" s="425"/>
      <c r="G2533" s="427"/>
      <c r="H2533" s="415"/>
      <c r="I2533" s="427"/>
      <c r="J2533" s="415"/>
      <c r="K2533" s="415"/>
      <c r="L2533" s="415"/>
      <c r="M2533" s="415"/>
      <c r="N2533" s="414"/>
      <c r="O2533" s="414"/>
      <c r="P2533" s="603">
        <f t="shared" si="364"/>
        <v>0</v>
      </c>
      <c r="Q2533" s="603">
        <f t="shared" si="365"/>
        <v>0</v>
      </c>
      <c r="R2533" s="604" t="str">
        <f t="shared" si="363"/>
        <v/>
      </c>
      <c r="S2533" s="605"/>
      <c r="T2533" s="605"/>
    </row>
    <row r="2534" spans="1:20" s="88" customFormat="1" ht="12.75" hidden="1" x14ac:dyDescent="0.2">
      <c r="A2534" s="510" t="str">
        <f>IF(B2534="","",COUNT('Diário 1º PA'!$A$4:$A$2635)+ROW()-3)</f>
        <v/>
      </c>
      <c r="B2534" s="414"/>
      <c r="C2534" s="592"/>
      <c r="D2534" s="415"/>
      <c r="E2534" s="415"/>
      <c r="F2534" s="425"/>
      <c r="G2534" s="427"/>
      <c r="H2534" s="415"/>
      <c r="I2534" s="427"/>
      <c r="J2534" s="415"/>
      <c r="K2534" s="415"/>
      <c r="L2534" s="415"/>
      <c r="M2534" s="415"/>
      <c r="N2534" s="414"/>
      <c r="O2534" s="414"/>
      <c r="P2534" s="603">
        <f t="shared" si="364"/>
        <v>0</v>
      </c>
      <c r="Q2534" s="603">
        <f t="shared" si="365"/>
        <v>0</v>
      </c>
      <c r="R2534" s="604" t="str">
        <f t="shared" si="363"/>
        <v/>
      </c>
      <c r="S2534" s="605"/>
      <c r="T2534" s="605"/>
    </row>
    <row r="2535" spans="1:20" s="88" customFormat="1" ht="12.75" hidden="1" x14ac:dyDescent="0.2">
      <c r="A2535" s="510" t="str">
        <f>IF(B2535="","",COUNT('Diário 1º PA'!$A$4:$A$2635)+ROW()-3)</f>
        <v/>
      </c>
      <c r="B2535" s="414"/>
      <c r="C2535" s="592"/>
      <c r="D2535" s="415"/>
      <c r="E2535" s="415"/>
      <c r="F2535" s="425"/>
      <c r="G2535" s="427"/>
      <c r="H2535" s="415"/>
      <c r="I2535" s="427"/>
      <c r="J2535" s="415"/>
      <c r="K2535" s="415"/>
      <c r="L2535" s="415"/>
      <c r="M2535" s="415"/>
      <c r="N2535" s="414"/>
      <c r="O2535" s="414"/>
      <c r="P2535" s="603">
        <f t="shared" si="364"/>
        <v>0</v>
      </c>
      <c r="Q2535" s="603">
        <f t="shared" si="365"/>
        <v>0</v>
      </c>
      <c r="R2535" s="604" t="str">
        <f t="shared" si="363"/>
        <v/>
      </c>
      <c r="S2535" s="605"/>
      <c r="T2535" s="605"/>
    </row>
    <row r="2536" spans="1:20" s="88" customFormat="1" ht="12.75" hidden="1" x14ac:dyDescent="0.2">
      <c r="A2536" s="510" t="str">
        <f>IF(B2536="","",COUNT('Diário 1º PA'!$A$4:$A$2635)+ROW()-3)</f>
        <v/>
      </c>
      <c r="B2536" s="414"/>
      <c r="C2536" s="592"/>
      <c r="D2536" s="415"/>
      <c r="E2536" s="415"/>
      <c r="F2536" s="425"/>
      <c r="G2536" s="427"/>
      <c r="H2536" s="415"/>
      <c r="I2536" s="427"/>
      <c r="J2536" s="415"/>
      <c r="K2536" s="415"/>
      <c r="L2536" s="415"/>
      <c r="M2536" s="415"/>
      <c r="N2536" s="414"/>
      <c r="O2536" s="414"/>
      <c r="P2536" s="603">
        <f t="shared" si="364"/>
        <v>0</v>
      </c>
      <c r="Q2536" s="603">
        <f t="shared" si="365"/>
        <v>0</v>
      </c>
      <c r="R2536" s="604" t="str">
        <f t="shared" si="363"/>
        <v/>
      </c>
      <c r="S2536" s="605"/>
      <c r="T2536" s="605"/>
    </row>
    <row r="2537" spans="1:20" s="88" customFormat="1" ht="12.75" hidden="1" x14ac:dyDescent="0.2">
      <c r="A2537" s="510" t="str">
        <f>IF(B2537="","",COUNT('Diário 1º PA'!$A$4:$A$2635)+ROW()-3)</f>
        <v/>
      </c>
      <c r="B2537" s="414"/>
      <c r="C2537" s="592"/>
      <c r="D2537" s="415"/>
      <c r="E2537" s="415"/>
      <c r="F2537" s="425"/>
      <c r="G2537" s="427"/>
      <c r="H2537" s="415"/>
      <c r="I2537" s="427"/>
      <c r="J2537" s="415"/>
      <c r="K2537" s="415"/>
      <c r="L2537" s="415"/>
      <c r="M2537" s="415"/>
      <c r="N2537" s="414"/>
      <c r="O2537" s="414"/>
      <c r="P2537" s="603">
        <f t="shared" si="364"/>
        <v>0</v>
      </c>
      <c r="Q2537" s="603">
        <f t="shared" si="365"/>
        <v>0</v>
      </c>
      <c r="R2537" s="604" t="str">
        <f t="shared" si="363"/>
        <v/>
      </c>
      <c r="S2537" s="605"/>
      <c r="T2537" s="605"/>
    </row>
    <row r="2538" spans="1:20" s="88" customFormat="1" ht="12.75" hidden="1" x14ac:dyDescent="0.2">
      <c r="A2538" s="510" t="str">
        <f>IF(B2538="","",COUNT('Diário 1º PA'!$A$4:$A$2635)+ROW()-3)</f>
        <v/>
      </c>
      <c r="B2538" s="414"/>
      <c r="C2538" s="592"/>
      <c r="D2538" s="415"/>
      <c r="E2538" s="415"/>
      <c r="F2538" s="425"/>
      <c r="G2538" s="427"/>
      <c r="H2538" s="415"/>
      <c r="I2538" s="427"/>
      <c r="J2538" s="415"/>
      <c r="K2538" s="415"/>
      <c r="L2538" s="415"/>
      <c r="M2538" s="415"/>
      <c r="N2538" s="414"/>
      <c r="O2538" s="414"/>
      <c r="P2538" s="603">
        <f t="shared" si="364"/>
        <v>0</v>
      </c>
      <c r="Q2538" s="603">
        <f t="shared" si="365"/>
        <v>0</v>
      </c>
      <c r="R2538" s="604" t="str">
        <f t="shared" si="363"/>
        <v/>
      </c>
      <c r="S2538" s="605"/>
      <c r="T2538" s="605"/>
    </row>
    <row r="2539" spans="1:20" s="88" customFormat="1" ht="12.75" hidden="1" x14ac:dyDescent="0.2">
      <c r="A2539" s="510" t="str">
        <f>IF(B2539="","",COUNT('Diário 1º PA'!$A$4:$A$2635)+ROW()-3)</f>
        <v/>
      </c>
      <c r="B2539" s="414"/>
      <c r="C2539" s="592"/>
      <c r="D2539" s="415"/>
      <c r="E2539" s="415"/>
      <c r="F2539" s="425"/>
      <c r="G2539" s="427"/>
      <c r="H2539" s="415"/>
      <c r="I2539" s="427"/>
      <c r="J2539" s="415"/>
      <c r="K2539" s="415"/>
      <c r="L2539" s="415"/>
      <c r="M2539" s="415"/>
      <c r="N2539" s="414"/>
      <c r="O2539" s="414"/>
      <c r="P2539" s="603">
        <f t="shared" si="364"/>
        <v>0</v>
      </c>
      <c r="Q2539" s="603">
        <f t="shared" si="365"/>
        <v>0</v>
      </c>
      <c r="R2539" s="604" t="str">
        <f t="shared" si="363"/>
        <v/>
      </c>
      <c r="S2539" s="605"/>
      <c r="T2539" s="605"/>
    </row>
    <row r="2540" spans="1:20" s="88" customFormat="1" ht="12.75" hidden="1" x14ac:dyDescent="0.2">
      <c r="A2540" s="510" t="str">
        <f>IF(B2540="","",COUNT('Diário 1º PA'!$A$4:$A$2635)+ROW()-3)</f>
        <v/>
      </c>
      <c r="B2540" s="414"/>
      <c r="C2540" s="592"/>
      <c r="D2540" s="415"/>
      <c r="E2540" s="415"/>
      <c r="F2540" s="425"/>
      <c r="G2540" s="427"/>
      <c r="H2540" s="415"/>
      <c r="I2540" s="427"/>
      <c r="J2540" s="415"/>
      <c r="K2540" s="415"/>
      <c r="L2540" s="415"/>
      <c r="M2540" s="415"/>
      <c r="N2540" s="414"/>
      <c r="O2540" s="414"/>
      <c r="P2540" s="603">
        <f t="shared" si="364"/>
        <v>0</v>
      </c>
      <c r="Q2540" s="603">
        <f t="shared" si="365"/>
        <v>0</v>
      </c>
      <c r="R2540" s="604" t="str">
        <f t="shared" si="363"/>
        <v/>
      </c>
      <c r="S2540" s="605"/>
      <c r="T2540" s="605"/>
    </row>
    <row r="2541" spans="1:20" s="88" customFormat="1" ht="12.75" hidden="1" x14ac:dyDescent="0.2">
      <c r="A2541" s="510" t="str">
        <f>IF(B2541="","",COUNT('Diário 1º PA'!$A$4:$A$2635)+ROW()-3)</f>
        <v/>
      </c>
      <c r="B2541" s="414"/>
      <c r="C2541" s="592"/>
      <c r="D2541" s="415"/>
      <c r="E2541" s="415"/>
      <c r="F2541" s="425"/>
      <c r="G2541" s="427"/>
      <c r="H2541" s="415"/>
      <c r="I2541" s="427"/>
      <c r="J2541" s="415"/>
      <c r="K2541" s="415"/>
      <c r="L2541" s="415"/>
      <c r="M2541" s="415"/>
      <c r="N2541" s="414"/>
      <c r="O2541" s="414"/>
      <c r="P2541" s="603">
        <f t="shared" si="364"/>
        <v>0</v>
      </c>
      <c r="Q2541" s="603">
        <f t="shared" si="365"/>
        <v>0</v>
      </c>
      <c r="R2541" s="604" t="str">
        <f t="shared" ref="R2541:R2604" si="366">SUBSTITUTE(D2541," ","_")</f>
        <v/>
      </c>
      <c r="S2541" s="605"/>
      <c r="T2541" s="605"/>
    </row>
    <row r="2542" spans="1:20" s="88" customFormat="1" ht="12.75" hidden="1" x14ac:dyDescent="0.2">
      <c r="A2542" s="510" t="str">
        <f>IF(B2542="","",COUNT('Diário 1º PA'!$A$4:$A$2635)+ROW()-3)</f>
        <v/>
      </c>
      <c r="B2542" s="414"/>
      <c r="C2542" s="592"/>
      <c r="D2542" s="415"/>
      <c r="E2542" s="415"/>
      <c r="F2542" s="425"/>
      <c r="G2542" s="427"/>
      <c r="H2542" s="415"/>
      <c r="I2542" s="427"/>
      <c r="J2542" s="415"/>
      <c r="K2542" s="415"/>
      <c r="L2542" s="415"/>
      <c r="M2542" s="415"/>
      <c r="N2542" s="414"/>
      <c r="O2542" s="414"/>
      <c r="P2542" s="603">
        <f t="shared" ref="P2542:P2605" si="367">IF(B2542=0,0,IF(YEAR(B2542)=$Q$1,MONTH(B2542)-$P$1+1,(YEAR(B2542)-$Q$1)*12-$P$1+1+MONTH(B2542)))</f>
        <v>0</v>
      </c>
      <c r="Q2542" s="603">
        <f t="shared" ref="Q2542:Q2605" si="368">IF(C2542=0,0,IF(YEAR(C2542)=$Q$1,MONTH(C2542)-$P$1+1,(YEAR(C2542)-$Q$1)*12-$P$1+1+MONTH(C2542)))</f>
        <v>0</v>
      </c>
      <c r="R2542" s="604" t="str">
        <f t="shared" si="366"/>
        <v/>
      </c>
      <c r="S2542" s="605"/>
      <c r="T2542" s="605"/>
    </row>
    <row r="2543" spans="1:20" s="88" customFormat="1" ht="12.75" hidden="1" x14ac:dyDescent="0.2">
      <c r="A2543" s="510" t="str">
        <f>IF(B2543="","",COUNT('Diário 1º PA'!$A$4:$A$2635)+ROW()-3)</f>
        <v/>
      </c>
      <c r="B2543" s="414"/>
      <c r="C2543" s="592"/>
      <c r="D2543" s="415"/>
      <c r="E2543" s="415"/>
      <c r="F2543" s="425"/>
      <c r="G2543" s="427"/>
      <c r="H2543" s="415"/>
      <c r="I2543" s="427"/>
      <c r="J2543" s="415"/>
      <c r="K2543" s="415"/>
      <c r="L2543" s="415"/>
      <c r="M2543" s="415"/>
      <c r="N2543" s="414"/>
      <c r="O2543" s="414"/>
      <c r="P2543" s="603">
        <f t="shared" si="367"/>
        <v>0</v>
      </c>
      <c r="Q2543" s="603">
        <f t="shared" si="368"/>
        <v>0</v>
      </c>
      <c r="R2543" s="604" t="str">
        <f t="shared" si="366"/>
        <v/>
      </c>
      <c r="S2543" s="605"/>
      <c r="T2543" s="605"/>
    </row>
    <row r="2544" spans="1:20" s="88" customFormat="1" ht="12.75" hidden="1" x14ac:dyDescent="0.2">
      <c r="A2544" s="510" t="str">
        <f>IF(B2544="","",COUNT('Diário 1º PA'!$A$4:$A$2635)+ROW()-3)</f>
        <v/>
      </c>
      <c r="B2544" s="414"/>
      <c r="C2544" s="592"/>
      <c r="D2544" s="415"/>
      <c r="E2544" s="415"/>
      <c r="F2544" s="425"/>
      <c r="G2544" s="427"/>
      <c r="H2544" s="415"/>
      <c r="I2544" s="427"/>
      <c r="J2544" s="415"/>
      <c r="K2544" s="415"/>
      <c r="L2544" s="415"/>
      <c r="M2544" s="415"/>
      <c r="N2544" s="414"/>
      <c r="O2544" s="414"/>
      <c r="P2544" s="603">
        <f t="shared" si="367"/>
        <v>0</v>
      </c>
      <c r="Q2544" s="603">
        <f t="shared" si="368"/>
        <v>0</v>
      </c>
      <c r="R2544" s="604" t="str">
        <f t="shared" si="366"/>
        <v/>
      </c>
      <c r="S2544" s="605"/>
      <c r="T2544" s="605"/>
    </row>
    <row r="2545" spans="1:20" s="88" customFormat="1" ht="12.75" hidden="1" x14ac:dyDescent="0.2">
      <c r="A2545" s="510" t="str">
        <f>IF(B2545="","",COUNT('Diário 1º PA'!$A$4:$A$2635)+ROW()-3)</f>
        <v/>
      </c>
      <c r="B2545" s="414"/>
      <c r="C2545" s="592"/>
      <c r="D2545" s="415"/>
      <c r="E2545" s="415"/>
      <c r="F2545" s="425"/>
      <c r="G2545" s="427"/>
      <c r="H2545" s="415"/>
      <c r="I2545" s="427"/>
      <c r="J2545" s="415"/>
      <c r="K2545" s="415"/>
      <c r="L2545" s="415"/>
      <c r="M2545" s="415"/>
      <c r="N2545" s="414"/>
      <c r="O2545" s="414"/>
      <c r="P2545" s="603">
        <f t="shared" si="367"/>
        <v>0</v>
      </c>
      <c r="Q2545" s="603">
        <f t="shared" si="368"/>
        <v>0</v>
      </c>
      <c r="R2545" s="604" t="str">
        <f t="shared" si="366"/>
        <v/>
      </c>
      <c r="S2545" s="605"/>
      <c r="T2545" s="605"/>
    </row>
    <row r="2546" spans="1:20" s="88" customFormat="1" ht="12.75" hidden="1" x14ac:dyDescent="0.2">
      <c r="A2546" s="510" t="str">
        <f>IF(B2546="","",COUNT('Diário 1º PA'!$A$4:$A$2635)+ROW()-3)</f>
        <v/>
      </c>
      <c r="B2546" s="414"/>
      <c r="C2546" s="592"/>
      <c r="D2546" s="415"/>
      <c r="E2546" s="415"/>
      <c r="F2546" s="425"/>
      <c r="G2546" s="427"/>
      <c r="H2546" s="415"/>
      <c r="I2546" s="427"/>
      <c r="J2546" s="415"/>
      <c r="K2546" s="415"/>
      <c r="L2546" s="415"/>
      <c r="M2546" s="415"/>
      <c r="N2546" s="414"/>
      <c r="O2546" s="414"/>
      <c r="P2546" s="603">
        <f t="shared" si="367"/>
        <v>0</v>
      </c>
      <c r="Q2546" s="603">
        <f t="shared" si="368"/>
        <v>0</v>
      </c>
      <c r="R2546" s="604" t="str">
        <f t="shared" si="366"/>
        <v/>
      </c>
      <c r="S2546" s="605"/>
      <c r="T2546" s="605"/>
    </row>
    <row r="2547" spans="1:20" s="88" customFormat="1" ht="12.75" hidden="1" x14ac:dyDescent="0.2">
      <c r="A2547" s="510" t="str">
        <f>IF(B2547="","",COUNT('Diário 1º PA'!$A$4:$A$2635)+ROW()-3)</f>
        <v/>
      </c>
      <c r="B2547" s="414"/>
      <c r="C2547" s="592"/>
      <c r="D2547" s="415"/>
      <c r="E2547" s="415"/>
      <c r="F2547" s="425"/>
      <c r="G2547" s="427"/>
      <c r="H2547" s="415"/>
      <c r="I2547" s="427"/>
      <c r="J2547" s="415"/>
      <c r="K2547" s="415"/>
      <c r="L2547" s="415"/>
      <c r="M2547" s="415"/>
      <c r="N2547" s="414"/>
      <c r="O2547" s="414"/>
      <c r="P2547" s="603">
        <f t="shared" si="367"/>
        <v>0</v>
      </c>
      <c r="Q2547" s="603">
        <f t="shared" si="368"/>
        <v>0</v>
      </c>
      <c r="R2547" s="604" t="str">
        <f t="shared" si="366"/>
        <v/>
      </c>
      <c r="S2547" s="605"/>
      <c r="T2547" s="605"/>
    </row>
    <row r="2548" spans="1:20" s="88" customFormat="1" ht="12.75" hidden="1" x14ac:dyDescent="0.2">
      <c r="A2548" s="510" t="str">
        <f>IF(B2548="","",COUNT('Diário 1º PA'!$A$4:$A$2635)+ROW()-3)</f>
        <v/>
      </c>
      <c r="B2548" s="414"/>
      <c r="C2548" s="592"/>
      <c r="D2548" s="415"/>
      <c r="E2548" s="415"/>
      <c r="F2548" s="425"/>
      <c r="G2548" s="427"/>
      <c r="H2548" s="415"/>
      <c r="I2548" s="427"/>
      <c r="J2548" s="415"/>
      <c r="K2548" s="415"/>
      <c r="L2548" s="415"/>
      <c r="M2548" s="415"/>
      <c r="N2548" s="414"/>
      <c r="O2548" s="414"/>
      <c r="P2548" s="603">
        <f t="shared" si="367"/>
        <v>0</v>
      </c>
      <c r="Q2548" s="603">
        <f t="shared" si="368"/>
        <v>0</v>
      </c>
      <c r="R2548" s="604" t="str">
        <f t="shared" si="366"/>
        <v/>
      </c>
      <c r="S2548" s="605"/>
      <c r="T2548" s="605"/>
    </row>
    <row r="2549" spans="1:20" s="88" customFormat="1" ht="12.75" hidden="1" x14ac:dyDescent="0.2">
      <c r="A2549" s="510" t="str">
        <f>IF(B2549="","",COUNT('Diário 1º PA'!$A$4:$A$2635)+ROW()-3)</f>
        <v/>
      </c>
      <c r="B2549" s="414"/>
      <c r="C2549" s="592"/>
      <c r="D2549" s="415"/>
      <c r="E2549" s="415"/>
      <c r="F2549" s="425"/>
      <c r="G2549" s="427"/>
      <c r="H2549" s="415"/>
      <c r="I2549" s="427"/>
      <c r="J2549" s="415"/>
      <c r="K2549" s="415"/>
      <c r="L2549" s="415"/>
      <c r="M2549" s="415"/>
      <c r="N2549" s="414"/>
      <c r="O2549" s="414"/>
      <c r="P2549" s="603">
        <f t="shared" si="367"/>
        <v>0</v>
      </c>
      <c r="Q2549" s="603">
        <f t="shared" si="368"/>
        <v>0</v>
      </c>
      <c r="R2549" s="604" t="str">
        <f t="shared" si="366"/>
        <v/>
      </c>
      <c r="S2549" s="605"/>
      <c r="T2549" s="605"/>
    </row>
    <row r="2550" spans="1:20" s="88" customFormat="1" ht="12.75" hidden="1" x14ac:dyDescent="0.2">
      <c r="A2550" s="510" t="str">
        <f>IF(B2550="","",COUNT('Diário 1º PA'!$A$4:$A$2635)+ROW()-3)</f>
        <v/>
      </c>
      <c r="B2550" s="414"/>
      <c r="C2550" s="592"/>
      <c r="D2550" s="415"/>
      <c r="E2550" s="415"/>
      <c r="F2550" s="425"/>
      <c r="G2550" s="427"/>
      <c r="H2550" s="415"/>
      <c r="I2550" s="427"/>
      <c r="J2550" s="415"/>
      <c r="K2550" s="415"/>
      <c r="L2550" s="415"/>
      <c r="M2550" s="415"/>
      <c r="N2550" s="414"/>
      <c r="O2550" s="414"/>
      <c r="P2550" s="603">
        <f t="shared" si="367"/>
        <v>0</v>
      </c>
      <c r="Q2550" s="603">
        <f t="shared" si="368"/>
        <v>0</v>
      </c>
      <c r="R2550" s="604" t="str">
        <f t="shared" si="366"/>
        <v/>
      </c>
      <c r="S2550" s="605"/>
      <c r="T2550" s="605"/>
    </row>
    <row r="2551" spans="1:20" s="88" customFormat="1" ht="12.75" hidden="1" x14ac:dyDescent="0.2">
      <c r="A2551" s="510" t="str">
        <f>IF(B2551="","",COUNT('Diário 1º PA'!$A$4:$A$2635)+ROW()-3)</f>
        <v/>
      </c>
      <c r="B2551" s="414"/>
      <c r="C2551" s="592"/>
      <c r="D2551" s="415"/>
      <c r="E2551" s="415"/>
      <c r="F2551" s="425"/>
      <c r="G2551" s="427"/>
      <c r="H2551" s="415"/>
      <c r="I2551" s="427"/>
      <c r="J2551" s="415"/>
      <c r="K2551" s="415"/>
      <c r="L2551" s="415"/>
      <c r="M2551" s="415"/>
      <c r="N2551" s="414"/>
      <c r="O2551" s="414"/>
      <c r="P2551" s="603">
        <f t="shared" si="367"/>
        <v>0</v>
      </c>
      <c r="Q2551" s="603">
        <f t="shared" si="368"/>
        <v>0</v>
      </c>
      <c r="R2551" s="604" t="str">
        <f t="shared" si="366"/>
        <v/>
      </c>
      <c r="S2551" s="605"/>
      <c r="T2551" s="605"/>
    </row>
    <row r="2552" spans="1:20" s="88" customFormat="1" ht="12.75" hidden="1" x14ac:dyDescent="0.2">
      <c r="A2552" s="510" t="str">
        <f>IF(B2552="","",COUNT('Diário 1º PA'!$A$4:$A$2635)+ROW()-3)</f>
        <v/>
      </c>
      <c r="B2552" s="414"/>
      <c r="C2552" s="592"/>
      <c r="D2552" s="415"/>
      <c r="E2552" s="415"/>
      <c r="F2552" s="425"/>
      <c r="G2552" s="427"/>
      <c r="H2552" s="415"/>
      <c r="I2552" s="427"/>
      <c r="J2552" s="415"/>
      <c r="K2552" s="415"/>
      <c r="L2552" s="415"/>
      <c r="M2552" s="415"/>
      <c r="N2552" s="414"/>
      <c r="O2552" s="414"/>
      <c r="P2552" s="603">
        <f t="shared" si="367"/>
        <v>0</v>
      </c>
      <c r="Q2552" s="603">
        <f t="shared" si="368"/>
        <v>0</v>
      </c>
      <c r="R2552" s="604" t="str">
        <f t="shared" si="366"/>
        <v/>
      </c>
      <c r="S2552" s="605"/>
      <c r="T2552" s="605"/>
    </row>
    <row r="2553" spans="1:20" s="88" customFormat="1" ht="12.75" hidden="1" x14ac:dyDescent="0.2">
      <c r="A2553" s="510" t="str">
        <f>IF(B2553="","",COUNT('Diário 1º PA'!$A$4:$A$2635)+ROW()-3)</f>
        <v/>
      </c>
      <c r="B2553" s="414"/>
      <c r="C2553" s="592"/>
      <c r="D2553" s="415"/>
      <c r="E2553" s="415"/>
      <c r="F2553" s="425"/>
      <c r="G2553" s="427"/>
      <c r="H2553" s="415"/>
      <c r="I2553" s="427"/>
      <c r="J2553" s="415"/>
      <c r="K2553" s="415"/>
      <c r="L2553" s="415"/>
      <c r="M2553" s="415"/>
      <c r="N2553" s="414"/>
      <c r="O2553" s="414"/>
      <c r="P2553" s="603">
        <f t="shared" si="367"/>
        <v>0</v>
      </c>
      <c r="Q2553" s="603">
        <f t="shared" si="368"/>
        <v>0</v>
      </c>
      <c r="R2553" s="604" t="str">
        <f t="shared" si="366"/>
        <v/>
      </c>
      <c r="S2553" s="605"/>
      <c r="T2553" s="605"/>
    </row>
    <row r="2554" spans="1:20" s="88" customFormat="1" ht="12.75" hidden="1" x14ac:dyDescent="0.2">
      <c r="A2554" s="510" t="str">
        <f>IF(B2554="","",COUNT('Diário 1º PA'!$A$4:$A$2635)+ROW()-3)</f>
        <v/>
      </c>
      <c r="B2554" s="414"/>
      <c r="C2554" s="592"/>
      <c r="D2554" s="415"/>
      <c r="E2554" s="415"/>
      <c r="F2554" s="425"/>
      <c r="G2554" s="427"/>
      <c r="H2554" s="415"/>
      <c r="I2554" s="427"/>
      <c r="J2554" s="415"/>
      <c r="K2554" s="415"/>
      <c r="L2554" s="415"/>
      <c r="M2554" s="415"/>
      <c r="N2554" s="414"/>
      <c r="O2554" s="414"/>
      <c r="P2554" s="603">
        <f t="shared" si="367"/>
        <v>0</v>
      </c>
      <c r="Q2554" s="603">
        <f t="shared" si="368"/>
        <v>0</v>
      </c>
      <c r="R2554" s="604" t="str">
        <f t="shared" si="366"/>
        <v/>
      </c>
      <c r="S2554" s="605"/>
      <c r="T2554" s="605"/>
    </row>
    <row r="2555" spans="1:20" s="88" customFormat="1" ht="12.75" hidden="1" x14ac:dyDescent="0.2">
      <c r="A2555" s="510" t="str">
        <f>IF(B2555="","",COUNT('Diário 1º PA'!$A$4:$A$2635)+ROW()-3)</f>
        <v/>
      </c>
      <c r="B2555" s="414"/>
      <c r="C2555" s="592"/>
      <c r="D2555" s="415"/>
      <c r="E2555" s="415"/>
      <c r="F2555" s="425"/>
      <c r="G2555" s="427"/>
      <c r="H2555" s="415"/>
      <c r="I2555" s="427"/>
      <c r="J2555" s="415"/>
      <c r="K2555" s="415"/>
      <c r="L2555" s="415"/>
      <c r="M2555" s="415"/>
      <c r="N2555" s="414"/>
      <c r="O2555" s="414"/>
      <c r="P2555" s="603">
        <f t="shared" si="367"/>
        <v>0</v>
      </c>
      <c r="Q2555" s="603">
        <f t="shared" si="368"/>
        <v>0</v>
      </c>
      <c r="R2555" s="604" t="str">
        <f t="shared" si="366"/>
        <v/>
      </c>
      <c r="S2555" s="605"/>
      <c r="T2555" s="605"/>
    </row>
    <row r="2556" spans="1:20" s="88" customFormat="1" ht="12.75" hidden="1" x14ac:dyDescent="0.2">
      <c r="A2556" s="510" t="str">
        <f>IF(B2556="","",COUNT('Diário 1º PA'!$A$4:$A$2635)+ROW()-3)</f>
        <v/>
      </c>
      <c r="B2556" s="414"/>
      <c r="C2556" s="592"/>
      <c r="D2556" s="415"/>
      <c r="E2556" s="415"/>
      <c r="F2556" s="425"/>
      <c r="G2556" s="427"/>
      <c r="H2556" s="415"/>
      <c r="I2556" s="427"/>
      <c r="J2556" s="415"/>
      <c r="K2556" s="415"/>
      <c r="L2556" s="415"/>
      <c r="M2556" s="415"/>
      <c r="N2556" s="414"/>
      <c r="O2556" s="414"/>
      <c r="P2556" s="603">
        <f t="shared" si="367"/>
        <v>0</v>
      </c>
      <c r="Q2556" s="603">
        <f t="shared" si="368"/>
        <v>0</v>
      </c>
      <c r="R2556" s="604" t="str">
        <f t="shared" si="366"/>
        <v/>
      </c>
      <c r="S2556" s="605"/>
      <c r="T2556" s="605"/>
    </row>
    <row r="2557" spans="1:20" s="88" customFormat="1" ht="12.75" hidden="1" x14ac:dyDescent="0.2">
      <c r="A2557" s="510" t="str">
        <f>IF(B2557="","",COUNT('Diário 1º PA'!$A$4:$A$2635)+ROW()-3)</f>
        <v/>
      </c>
      <c r="B2557" s="414"/>
      <c r="C2557" s="592"/>
      <c r="D2557" s="415"/>
      <c r="E2557" s="415"/>
      <c r="F2557" s="425"/>
      <c r="G2557" s="427"/>
      <c r="H2557" s="415"/>
      <c r="I2557" s="427"/>
      <c r="J2557" s="415"/>
      <c r="K2557" s="415"/>
      <c r="L2557" s="415"/>
      <c r="M2557" s="415"/>
      <c r="N2557" s="414"/>
      <c r="O2557" s="414"/>
      <c r="P2557" s="603">
        <f t="shared" si="367"/>
        <v>0</v>
      </c>
      <c r="Q2557" s="603">
        <f t="shared" si="368"/>
        <v>0</v>
      </c>
      <c r="R2557" s="610" t="str">
        <f t="shared" si="366"/>
        <v/>
      </c>
      <c r="S2557" s="611"/>
      <c r="T2557" s="611"/>
    </row>
    <row r="2558" spans="1:20" s="88" customFormat="1" ht="12.75" hidden="1" x14ac:dyDescent="0.2">
      <c r="A2558" s="510" t="str">
        <f>IF(B2558="","",COUNT('Diário 1º PA'!$A$4:$A$2635)+ROW()-3)</f>
        <v/>
      </c>
      <c r="B2558" s="414"/>
      <c r="C2558" s="592"/>
      <c r="D2558" s="415"/>
      <c r="E2558" s="415"/>
      <c r="F2558" s="425"/>
      <c r="G2558" s="427"/>
      <c r="H2558" s="415"/>
      <c r="I2558" s="427"/>
      <c r="J2558" s="415"/>
      <c r="K2558" s="415"/>
      <c r="L2558" s="415"/>
      <c r="M2558" s="415"/>
      <c r="N2558" s="414"/>
      <c r="O2558" s="414"/>
      <c r="P2558" s="603">
        <f t="shared" si="367"/>
        <v>0</v>
      </c>
      <c r="Q2558" s="603">
        <f t="shared" si="368"/>
        <v>0</v>
      </c>
      <c r="R2558" s="610" t="str">
        <f t="shared" si="366"/>
        <v/>
      </c>
      <c r="S2558" s="611"/>
      <c r="T2558" s="611"/>
    </row>
    <row r="2559" spans="1:20" s="88" customFormat="1" ht="12.75" hidden="1" x14ac:dyDescent="0.2">
      <c r="A2559" s="510" t="str">
        <f>IF(B2559="","",COUNT('Diário 1º PA'!$A$4:$A$2635)+ROW()-3)</f>
        <v/>
      </c>
      <c r="B2559" s="414"/>
      <c r="C2559" s="592"/>
      <c r="D2559" s="415"/>
      <c r="E2559" s="415"/>
      <c r="F2559" s="425"/>
      <c r="G2559" s="427"/>
      <c r="H2559" s="415"/>
      <c r="I2559" s="427"/>
      <c r="J2559" s="415"/>
      <c r="K2559" s="415"/>
      <c r="L2559" s="415"/>
      <c r="M2559" s="415"/>
      <c r="N2559" s="414"/>
      <c r="O2559" s="414"/>
      <c r="P2559" s="603">
        <f t="shared" si="367"/>
        <v>0</v>
      </c>
      <c r="Q2559" s="603">
        <f t="shared" si="368"/>
        <v>0</v>
      </c>
      <c r="R2559" s="610" t="str">
        <f t="shared" si="366"/>
        <v/>
      </c>
      <c r="S2559" s="611"/>
      <c r="T2559" s="611"/>
    </row>
    <row r="2560" spans="1:20" s="88" customFormat="1" ht="12.75" hidden="1" x14ac:dyDescent="0.2">
      <c r="A2560" s="510" t="str">
        <f>IF(B2560="","",COUNT('Diário 1º PA'!$A$4:$A$2635)+ROW()-3)</f>
        <v/>
      </c>
      <c r="B2560" s="414"/>
      <c r="C2560" s="592"/>
      <c r="D2560" s="415"/>
      <c r="E2560" s="415"/>
      <c r="F2560" s="425"/>
      <c r="G2560" s="427"/>
      <c r="H2560" s="415"/>
      <c r="I2560" s="427"/>
      <c r="J2560" s="415"/>
      <c r="K2560" s="415"/>
      <c r="L2560" s="415"/>
      <c r="M2560" s="415"/>
      <c r="N2560" s="414"/>
      <c r="O2560" s="414"/>
      <c r="P2560" s="603">
        <f t="shared" si="367"/>
        <v>0</v>
      </c>
      <c r="Q2560" s="603">
        <f t="shared" si="368"/>
        <v>0</v>
      </c>
      <c r="R2560" s="610" t="str">
        <f t="shared" si="366"/>
        <v/>
      </c>
      <c r="S2560" s="611"/>
      <c r="T2560" s="611"/>
    </row>
    <row r="2561" spans="1:20" s="88" customFormat="1" ht="12.75" hidden="1" x14ac:dyDescent="0.2">
      <c r="A2561" s="510" t="str">
        <f>IF(B2561="","",COUNT('Diário 1º PA'!$A$4:$A$2635)+ROW()-3)</f>
        <v/>
      </c>
      <c r="B2561" s="414"/>
      <c r="C2561" s="592"/>
      <c r="D2561" s="415"/>
      <c r="E2561" s="415"/>
      <c r="F2561" s="425"/>
      <c r="G2561" s="427"/>
      <c r="H2561" s="415"/>
      <c r="I2561" s="427"/>
      <c r="J2561" s="415"/>
      <c r="K2561" s="415"/>
      <c r="L2561" s="415"/>
      <c r="M2561" s="415"/>
      <c r="N2561" s="414"/>
      <c r="O2561" s="414"/>
      <c r="P2561" s="603">
        <f t="shared" si="367"/>
        <v>0</v>
      </c>
      <c r="Q2561" s="603">
        <f t="shared" si="368"/>
        <v>0</v>
      </c>
      <c r="R2561" s="610" t="str">
        <f t="shared" si="366"/>
        <v/>
      </c>
      <c r="S2561" s="611"/>
      <c r="T2561" s="611"/>
    </row>
    <row r="2562" spans="1:20" s="88" customFormat="1" ht="12.75" hidden="1" x14ac:dyDescent="0.2">
      <c r="A2562" s="510" t="str">
        <f>IF(B2562="","",COUNT('Diário 1º PA'!$A$4:$A$2635)+ROW()-3)</f>
        <v/>
      </c>
      <c r="B2562" s="414"/>
      <c r="C2562" s="592"/>
      <c r="D2562" s="415"/>
      <c r="E2562" s="415"/>
      <c r="F2562" s="425"/>
      <c r="G2562" s="427"/>
      <c r="H2562" s="415"/>
      <c r="I2562" s="427"/>
      <c r="J2562" s="415"/>
      <c r="K2562" s="415"/>
      <c r="L2562" s="415"/>
      <c r="M2562" s="415"/>
      <c r="N2562" s="414"/>
      <c r="O2562" s="414"/>
      <c r="P2562" s="603">
        <f t="shared" si="367"/>
        <v>0</v>
      </c>
      <c r="Q2562" s="603">
        <f t="shared" si="368"/>
        <v>0</v>
      </c>
      <c r="R2562" s="610" t="str">
        <f t="shared" si="366"/>
        <v/>
      </c>
      <c r="S2562" s="611"/>
      <c r="T2562" s="611"/>
    </row>
    <row r="2563" spans="1:20" s="88" customFormat="1" ht="12.75" hidden="1" x14ac:dyDescent="0.2">
      <c r="A2563" s="510" t="str">
        <f>IF(B2563="","",COUNT('Diário 1º PA'!$A$4:$A$2635)+ROW()-3)</f>
        <v/>
      </c>
      <c r="B2563" s="414"/>
      <c r="C2563" s="592"/>
      <c r="D2563" s="415"/>
      <c r="E2563" s="415"/>
      <c r="F2563" s="425"/>
      <c r="G2563" s="427"/>
      <c r="H2563" s="415"/>
      <c r="I2563" s="427"/>
      <c r="J2563" s="415"/>
      <c r="K2563" s="415"/>
      <c r="L2563" s="415"/>
      <c r="M2563" s="415"/>
      <c r="N2563" s="414"/>
      <c r="O2563" s="414"/>
      <c r="P2563" s="603">
        <f t="shared" si="367"/>
        <v>0</v>
      </c>
      <c r="Q2563" s="603">
        <f t="shared" si="368"/>
        <v>0</v>
      </c>
      <c r="R2563" s="610" t="str">
        <f t="shared" si="366"/>
        <v/>
      </c>
      <c r="S2563" s="611"/>
      <c r="T2563" s="611"/>
    </row>
    <row r="2564" spans="1:20" s="88" customFormat="1" ht="12.75" hidden="1" x14ac:dyDescent="0.2">
      <c r="A2564" s="510" t="str">
        <f>IF(B2564="","",COUNT('Diário 1º PA'!$A$4:$A$2635)+ROW()-3)</f>
        <v/>
      </c>
      <c r="B2564" s="414"/>
      <c r="C2564" s="592"/>
      <c r="D2564" s="415"/>
      <c r="E2564" s="415"/>
      <c r="F2564" s="425"/>
      <c r="G2564" s="427"/>
      <c r="H2564" s="415"/>
      <c r="I2564" s="427"/>
      <c r="J2564" s="415"/>
      <c r="K2564" s="415"/>
      <c r="L2564" s="415"/>
      <c r="M2564" s="415"/>
      <c r="N2564" s="414"/>
      <c r="O2564" s="414"/>
      <c r="P2564" s="603">
        <f t="shared" si="367"/>
        <v>0</v>
      </c>
      <c r="Q2564" s="603">
        <f t="shared" si="368"/>
        <v>0</v>
      </c>
      <c r="R2564" s="610" t="str">
        <f t="shared" si="366"/>
        <v/>
      </c>
      <c r="S2564" s="611"/>
      <c r="T2564" s="611"/>
    </row>
    <row r="2565" spans="1:20" s="88" customFormat="1" ht="12.75" hidden="1" x14ac:dyDescent="0.2">
      <c r="A2565" s="510" t="str">
        <f>IF(B2565="","",COUNT('Diário 1º PA'!$A$4:$A$2635)+ROW()-3)</f>
        <v/>
      </c>
      <c r="B2565" s="414"/>
      <c r="C2565" s="592"/>
      <c r="D2565" s="415"/>
      <c r="E2565" s="415"/>
      <c r="F2565" s="425"/>
      <c r="G2565" s="427"/>
      <c r="H2565" s="415"/>
      <c r="I2565" s="427"/>
      <c r="J2565" s="415"/>
      <c r="K2565" s="415"/>
      <c r="L2565" s="415"/>
      <c r="M2565" s="415"/>
      <c r="N2565" s="414"/>
      <c r="O2565" s="414"/>
      <c r="P2565" s="603">
        <f t="shared" si="367"/>
        <v>0</v>
      </c>
      <c r="Q2565" s="603">
        <f t="shared" si="368"/>
        <v>0</v>
      </c>
      <c r="R2565" s="610" t="str">
        <f t="shared" si="366"/>
        <v/>
      </c>
      <c r="S2565" s="611"/>
      <c r="T2565" s="611"/>
    </row>
    <row r="2566" spans="1:20" s="88" customFormat="1" ht="12.75" hidden="1" x14ac:dyDescent="0.2">
      <c r="A2566" s="510" t="str">
        <f>IF(B2566="","",COUNT('Diário 1º PA'!$A$4:$A$2635)+ROW()-3)</f>
        <v/>
      </c>
      <c r="B2566" s="414"/>
      <c r="C2566" s="592"/>
      <c r="D2566" s="415"/>
      <c r="E2566" s="415"/>
      <c r="F2566" s="425"/>
      <c r="G2566" s="427"/>
      <c r="H2566" s="415"/>
      <c r="I2566" s="427"/>
      <c r="J2566" s="415"/>
      <c r="K2566" s="415"/>
      <c r="L2566" s="415"/>
      <c r="M2566" s="415"/>
      <c r="N2566" s="414"/>
      <c r="O2566" s="414"/>
      <c r="P2566" s="603">
        <f t="shared" si="367"/>
        <v>0</v>
      </c>
      <c r="Q2566" s="603">
        <f t="shared" si="368"/>
        <v>0</v>
      </c>
      <c r="R2566" s="610" t="str">
        <f t="shared" si="366"/>
        <v/>
      </c>
      <c r="S2566" s="611"/>
      <c r="T2566" s="611"/>
    </row>
    <row r="2567" spans="1:20" s="88" customFormat="1" ht="12.75" hidden="1" x14ac:dyDescent="0.2">
      <c r="A2567" s="510" t="str">
        <f>IF(B2567="","",COUNT('Diário 1º PA'!$A$4:$A$2635)+ROW()-3)</f>
        <v/>
      </c>
      <c r="B2567" s="414"/>
      <c r="C2567" s="592"/>
      <c r="D2567" s="415"/>
      <c r="E2567" s="415"/>
      <c r="F2567" s="425"/>
      <c r="G2567" s="427"/>
      <c r="H2567" s="415"/>
      <c r="I2567" s="427"/>
      <c r="J2567" s="415"/>
      <c r="K2567" s="415"/>
      <c r="L2567" s="415"/>
      <c r="M2567" s="415"/>
      <c r="N2567" s="414"/>
      <c r="O2567" s="414"/>
      <c r="P2567" s="603">
        <f t="shared" si="367"/>
        <v>0</v>
      </c>
      <c r="Q2567" s="603">
        <f t="shared" si="368"/>
        <v>0</v>
      </c>
      <c r="R2567" s="610" t="str">
        <f t="shared" si="366"/>
        <v/>
      </c>
      <c r="S2567" s="611"/>
      <c r="T2567" s="611"/>
    </row>
    <row r="2568" spans="1:20" s="88" customFormat="1" ht="12.75" hidden="1" x14ac:dyDescent="0.2">
      <c r="A2568" s="510" t="str">
        <f>IF(B2568="","",COUNT('Diário 1º PA'!$A$4:$A$2635)+ROW()-3)</f>
        <v/>
      </c>
      <c r="B2568" s="414"/>
      <c r="C2568" s="592"/>
      <c r="D2568" s="415"/>
      <c r="E2568" s="415"/>
      <c r="F2568" s="425"/>
      <c r="G2568" s="427"/>
      <c r="H2568" s="415"/>
      <c r="I2568" s="427"/>
      <c r="J2568" s="415"/>
      <c r="K2568" s="415"/>
      <c r="L2568" s="415"/>
      <c r="M2568" s="415"/>
      <c r="N2568" s="414"/>
      <c r="O2568" s="414"/>
      <c r="P2568" s="603">
        <f t="shared" si="367"/>
        <v>0</v>
      </c>
      <c r="Q2568" s="603">
        <f t="shared" si="368"/>
        <v>0</v>
      </c>
      <c r="R2568" s="610" t="str">
        <f t="shared" si="366"/>
        <v/>
      </c>
      <c r="S2568" s="611"/>
      <c r="T2568" s="611"/>
    </row>
    <row r="2569" spans="1:20" s="88" customFormat="1" ht="12.75" hidden="1" x14ac:dyDescent="0.2">
      <c r="A2569" s="510" t="str">
        <f>IF(B2569="","",COUNT('Diário 1º PA'!$A$4:$A$2635)+ROW()-3)</f>
        <v/>
      </c>
      <c r="B2569" s="414"/>
      <c r="C2569" s="592"/>
      <c r="D2569" s="415"/>
      <c r="E2569" s="415"/>
      <c r="F2569" s="425"/>
      <c r="G2569" s="427"/>
      <c r="H2569" s="415"/>
      <c r="I2569" s="427"/>
      <c r="J2569" s="415"/>
      <c r="K2569" s="415"/>
      <c r="L2569" s="415"/>
      <c r="M2569" s="415"/>
      <c r="N2569" s="414"/>
      <c r="O2569" s="414"/>
      <c r="P2569" s="603">
        <f t="shared" si="367"/>
        <v>0</v>
      </c>
      <c r="Q2569" s="603">
        <f t="shared" si="368"/>
        <v>0</v>
      </c>
      <c r="R2569" s="610" t="str">
        <f t="shared" si="366"/>
        <v/>
      </c>
      <c r="S2569" s="611"/>
      <c r="T2569" s="611"/>
    </row>
    <row r="2570" spans="1:20" s="88" customFormat="1" ht="12.75" hidden="1" x14ac:dyDescent="0.2">
      <c r="A2570" s="510" t="str">
        <f>IF(B2570="","",COUNT('Diário 1º PA'!$A$4:$A$2635)+ROW()-3)</f>
        <v/>
      </c>
      <c r="B2570" s="414"/>
      <c r="C2570" s="592"/>
      <c r="D2570" s="415"/>
      <c r="E2570" s="415"/>
      <c r="F2570" s="425"/>
      <c r="G2570" s="427"/>
      <c r="H2570" s="415"/>
      <c r="I2570" s="427"/>
      <c r="J2570" s="415"/>
      <c r="K2570" s="415"/>
      <c r="L2570" s="415"/>
      <c r="M2570" s="415"/>
      <c r="N2570" s="414"/>
      <c r="O2570" s="414"/>
      <c r="P2570" s="603">
        <f t="shared" si="367"/>
        <v>0</v>
      </c>
      <c r="Q2570" s="603">
        <f t="shared" si="368"/>
        <v>0</v>
      </c>
      <c r="R2570" s="610" t="str">
        <f t="shared" si="366"/>
        <v/>
      </c>
      <c r="S2570" s="611"/>
      <c r="T2570" s="611"/>
    </row>
    <row r="2571" spans="1:20" s="88" customFormat="1" ht="12.75" hidden="1" x14ac:dyDescent="0.2">
      <c r="A2571" s="510" t="str">
        <f>IF(B2571="","",COUNT('Diário 1º PA'!$A$4:$A$2635)+ROW()-3)</f>
        <v/>
      </c>
      <c r="B2571" s="414"/>
      <c r="C2571" s="592"/>
      <c r="D2571" s="415"/>
      <c r="E2571" s="415"/>
      <c r="F2571" s="425"/>
      <c r="G2571" s="427"/>
      <c r="H2571" s="415"/>
      <c r="I2571" s="427"/>
      <c r="J2571" s="415"/>
      <c r="K2571" s="415"/>
      <c r="L2571" s="415"/>
      <c r="M2571" s="415"/>
      <c r="N2571" s="414"/>
      <c r="O2571" s="414"/>
      <c r="P2571" s="603">
        <f t="shared" si="367"/>
        <v>0</v>
      </c>
      <c r="Q2571" s="603">
        <f t="shared" si="368"/>
        <v>0</v>
      </c>
      <c r="R2571" s="610" t="str">
        <f t="shared" si="366"/>
        <v/>
      </c>
      <c r="S2571" s="611"/>
      <c r="T2571" s="611"/>
    </row>
    <row r="2572" spans="1:20" s="88" customFormat="1" ht="12.75" hidden="1" x14ac:dyDescent="0.2">
      <c r="A2572" s="510" t="str">
        <f>IF(B2572="","",COUNT('Diário 1º PA'!$A$4:$A$2635)+ROW()-3)</f>
        <v/>
      </c>
      <c r="B2572" s="414"/>
      <c r="C2572" s="592"/>
      <c r="D2572" s="415"/>
      <c r="E2572" s="415"/>
      <c r="F2572" s="425"/>
      <c r="G2572" s="427"/>
      <c r="H2572" s="415"/>
      <c r="I2572" s="427"/>
      <c r="J2572" s="415"/>
      <c r="K2572" s="415"/>
      <c r="L2572" s="415"/>
      <c r="M2572" s="415"/>
      <c r="N2572" s="414"/>
      <c r="O2572" s="414"/>
      <c r="P2572" s="603">
        <f t="shared" si="367"/>
        <v>0</v>
      </c>
      <c r="Q2572" s="603">
        <f t="shared" si="368"/>
        <v>0</v>
      </c>
      <c r="R2572" s="610" t="str">
        <f t="shared" si="366"/>
        <v/>
      </c>
      <c r="S2572" s="611"/>
      <c r="T2572" s="611"/>
    </row>
    <row r="2573" spans="1:20" s="88" customFormat="1" ht="12.75" hidden="1" x14ac:dyDescent="0.2">
      <c r="A2573" s="510" t="str">
        <f>IF(B2573="","",COUNT('Diário 1º PA'!$A$4:$A$2635)+ROW()-3)</f>
        <v/>
      </c>
      <c r="B2573" s="414"/>
      <c r="C2573" s="592"/>
      <c r="D2573" s="415"/>
      <c r="E2573" s="415"/>
      <c r="F2573" s="425"/>
      <c r="G2573" s="427"/>
      <c r="H2573" s="415"/>
      <c r="I2573" s="427"/>
      <c r="J2573" s="415"/>
      <c r="K2573" s="415"/>
      <c r="L2573" s="415"/>
      <c r="M2573" s="415"/>
      <c r="N2573" s="414"/>
      <c r="O2573" s="414"/>
      <c r="P2573" s="603">
        <f t="shared" si="367"/>
        <v>0</v>
      </c>
      <c r="Q2573" s="603">
        <f t="shared" si="368"/>
        <v>0</v>
      </c>
      <c r="R2573" s="610" t="str">
        <f t="shared" si="366"/>
        <v/>
      </c>
      <c r="S2573" s="611"/>
      <c r="T2573" s="611"/>
    </row>
    <row r="2574" spans="1:20" s="88" customFormat="1" ht="12.75" hidden="1" x14ac:dyDescent="0.2">
      <c r="A2574" s="510" t="str">
        <f>IF(B2574="","",COUNT('Diário 1º PA'!$A$4:$A$2635)+ROW()-3)</f>
        <v/>
      </c>
      <c r="B2574" s="414"/>
      <c r="C2574" s="592"/>
      <c r="D2574" s="415"/>
      <c r="E2574" s="415"/>
      <c r="F2574" s="425"/>
      <c r="G2574" s="427"/>
      <c r="H2574" s="415"/>
      <c r="I2574" s="427"/>
      <c r="J2574" s="415"/>
      <c r="K2574" s="415"/>
      <c r="L2574" s="415"/>
      <c r="M2574" s="415"/>
      <c r="N2574" s="414"/>
      <c r="O2574" s="414"/>
      <c r="P2574" s="603">
        <f t="shared" si="367"/>
        <v>0</v>
      </c>
      <c r="Q2574" s="603">
        <f t="shared" si="368"/>
        <v>0</v>
      </c>
      <c r="R2574" s="610" t="str">
        <f t="shared" si="366"/>
        <v/>
      </c>
      <c r="S2574" s="611"/>
      <c r="T2574" s="611"/>
    </row>
    <row r="2575" spans="1:20" s="88" customFormat="1" ht="12.75" hidden="1" x14ac:dyDescent="0.2">
      <c r="A2575" s="510" t="str">
        <f>IF(B2575="","",COUNT('Diário 1º PA'!$A$4:$A$2635)+ROW()-3)</f>
        <v/>
      </c>
      <c r="B2575" s="414"/>
      <c r="C2575" s="592"/>
      <c r="D2575" s="415"/>
      <c r="E2575" s="415"/>
      <c r="F2575" s="425"/>
      <c r="G2575" s="427"/>
      <c r="H2575" s="415"/>
      <c r="I2575" s="427"/>
      <c r="J2575" s="415"/>
      <c r="K2575" s="415"/>
      <c r="L2575" s="415"/>
      <c r="M2575" s="415"/>
      <c r="N2575" s="414"/>
      <c r="O2575" s="414"/>
      <c r="P2575" s="603">
        <f t="shared" si="367"/>
        <v>0</v>
      </c>
      <c r="Q2575" s="603">
        <f t="shared" si="368"/>
        <v>0</v>
      </c>
      <c r="R2575" s="610" t="str">
        <f t="shared" si="366"/>
        <v/>
      </c>
      <c r="S2575" s="611"/>
      <c r="T2575" s="611"/>
    </row>
    <row r="2576" spans="1:20" s="88" customFormat="1" ht="12.75" hidden="1" x14ac:dyDescent="0.2">
      <c r="A2576" s="510" t="str">
        <f>IF(B2576="","",COUNT('Diário 1º PA'!$A$4:$A$2635)+ROW()-3)</f>
        <v/>
      </c>
      <c r="B2576" s="414"/>
      <c r="C2576" s="592"/>
      <c r="D2576" s="415"/>
      <c r="E2576" s="415"/>
      <c r="F2576" s="425"/>
      <c r="G2576" s="427"/>
      <c r="H2576" s="415"/>
      <c r="I2576" s="427"/>
      <c r="J2576" s="415"/>
      <c r="K2576" s="415"/>
      <c r="L2576" s="415"/>
      <c r="M2576" s="415"/>
      <c r="N2576" s="414"/>
      <c r="O2576" s="414"/>
      <c r="P2576" s="603">
        <f t="shared" si="367"/>
        <v>0</v>
      </c>
      <c r="Q2576" s="603">
        <f t="shared" si="368"/>
        <v>0</v>
      </c>
      <c r="R2576" s="610" t="str">
        <f t="shared" si="366"/>
        <v/>
      </c>
      <c r="S2576" s="611"/>
      <c r="T2576" s="611"/>
    </row>
    <row r="2577" spans="1:20" s="88" customFormat="1" ht="12.75" hidden="1" x14ac:dyDescent="0.2">
      <c r="A2577" s="510" t="str">
        <f>IF(B2577="","",COUNT('Diário 1º PA'!$A$4:$A$2635)+ROW()-3)</f>
        <v/>
      </c>
      <c r="B2577" s="414"/>
      <c r="C2577" s="592"/>
      <c r="D2577" s="415"/>
      <c r="E2577" s="415"/>
      <c r="F2577" s="425"/>
      <c r="G2577" s="427"/>
      <c r="H2577" s="415"/>
      <c r="I2577" s="427"/>
      <c r="J2577" s="415"/>
      <c r="K2577" s="415"/>
      <c r="L2577" s="415"/>
      <c r="M2577" s="415"/>
      <c r="N2577" s="414"/>
      <c r="O2577" s="414"/>
      <c r="P2577" s="603">
        <f t="shared" si="367"/>
        <v>0</v>
      </c>
      <c r="Q2577" s="603">
        <f t="shared" si="368"/>
        <v>0</v>
      </c>
      <c r="R2577" s="610" t="str">
        <f t="shared" si="366"/>
        <v/>
      </c>
      <c r="S2577" s="611"/>
      <c r="T2577" s="611"/>
    </row>
    <row r="2578" spans="1:20" s="88" customFormat="1" ht="12.75" hidden="1" x14ac:dyDescent="0.2">
      <c r="A2578" s="510" t="str">
        <f>IF(B2578="","",COUNT('Diário 1º PA'!$A$4:$A$2635)+ROW()-3)</f>
        <v/>
      </c>
      <c r="B2578" s="414"/>
      <c r="C2578" s="592"/>
      <c r="D2578" s="415"/>
      <c r="E2578" s="415"/>
      <c r="F2578" s="425"/>
      <c r="G2578" s="427"/>
      <c r="H2578" s="415"/>
      <c r="I2578" s="427"/>
      <c r="J2578" s="415"/>
      <c r="K2578" s="415"/>
      <c r="L2578" s="415"/>
      <c r="M2578" s="415"/>
      <c r="N2578" s="414"/>
      <c r="O2578" s="414"/>
      <c r="P2578" s="603">
        <f t="shared" si="367"/>
        <v>0</v>
      </c>
      <c r="Q2578" s="603">
        <f t="shared" si="368"/>
        <v>0</v>
      </c>
      <c r="R2578" s="610" t="str">
        <f t="shared" si="366"/>
        <v/>
      </c>
      <c r="S2578" s="611"/>
      <c r="T2578" s="611"/>
    </row>
    <row r="2579" spans="1:20" s="88" customFormat="1" ht="12.75" hidden="1" x14ac:dyDescent="0.2">
      <c r="A2579" s="510" t="str">
        <f>IF(B2579="","",COUNT('Diário 1º PA'!$A$4:$A$2635)+ROW()-3)</f>
        <v/>
      </c>
      <c r="B2579" s="414"/>
      <c r="C2579" s="592"/>
      <c r="D2579" s="415"/>
      <c r="E2579" s="415"/>
      <c r="F2579" s="425"/>
      <c r="G2579" s="427"/>
      <c r="H2579" s="415"/>
      <c r="I2579" s="427"/>
      <c r="J2579" s="415"/>
      <c r="K2579" s="415"/>
      <c r="L2579" s="415"/>
      <c r="M2579" s="415"/>
      <c r="N2579" s="414"/>
      <c r="O2579" s="414"/>
      <c r="P2579" s="603">
        <f t="shared" si="367"/>
        <v>0</v>
      </c>
      <c r="Q2579" s="603">
        <f t="shared" si="368"/>
        <v>0</v>
      </c>
      <c r="R2579" s="610" t="str">
        <f t="shared" si="366"/>
        <v/>
      </c>
      <c r="S2579" s="611"/>
      <c r="T2579" s="611"/>
    </row>
    <row r="2580" spans="1:20" s="88" customFormat="1" ht="12.75" hidden="1" x14ac:dyDescent="0.2">
      <c r="A2580" s="510" t="str">
        <f>IF(B2580="","",COUNT('Diário 1º PA'!$A$4:$A$2635)+ROW()-3)</f>
        <v/>
      </c>
      <c r="B2580" s="414"/>
      <c r="C2580" s="592"/>
      <c r="D2580" s="415"/>
      <c r="E2580" s="415"/>
      <c r="F2580" s="425"/>
      <c r="G2580" s="427"/>
      <c r="H2580" s="415"/>
      <c r="I2580" s="427"/>
      <c r="J2580" s="415"/>
      <c r="K2580" s="415"/>
      <c r="L2580" s="415"/>
      <c r="M2580" s="415"/>
      <c r="N2580" s="414"/>
      <c r="O2580" s="414"/>
      <c r="P2580" s="603">
        <f t="shared" si="367"/>
        <v>0</v>
      </c>
      <c r="Q2580" s="603">
        <f t="shared" si="368"/>
        <v>0</v>
      </c>
      <c r="R2580" s="610" t="str">
        <f t="shared" si="366"/>
        <v/>
      </c>
      <c r="S2580" s="611"/>
      <c r="T2580" s="611"/>
    </row>
    <row r="2581" spans="1:20" s="88" customFormat="1" ht="12.75" hidden="1" x14ac:dyDescent="0.2">
      <c r="A2581" s="510" t="str">
        <f>IF(B2581="","",COUNT('Diário 1º PA'!$A$4:$A$2635)+ROW()-3)</f>
        <v/>
      </c>
      <c r="B2581" s="414"/>
      <c r="C2581" s="592"/>
      <c r="D2581" s="415"/>
      <c r="E2581" s="415"/>
      <c r="F2581" s="425"/>
      <c r="G2581" s="427"/>
      <c r="H2581" s="415"/>
      <c r="I2581" s="427"/>
      <c r="J2581" s="415"/>
      <c r="K2581" s="415"/>
      <c r="L2581" s="415"/>
      <c r="M2581" s="415"/>
      <c r="N2581" s="414"/>
      <c r="O2581" s="414"/>
      <c r="P2581" s="603">
        <f t="shared" si="367"/>
        <v>0</v>
      </c>
      <c r="Q2581" s="603">
        <f t="shared" si="368"/>
        <v>0</v>
      </c>
      <c r="R2581" s="610" t="str">
        <f t="shared" si="366"/>
        <v/>
      </c>
      <c r="S2581" s="611"/>
      <c r="T2581" s="611"/>
    </row>
    <row r="2582" spans="1:20" s="88" customFormat="1" ht="12.75" hidden="1" x14ac:dyDescent="0.2">
      <c r="A2582" s="510" t="str">
        <f>IF(B2582="","",COUNT('Diário 1º PA'!$A$4:$A$2635)+ROW()-3)</f>
        <v/>
      </c>
      <c r="B2582" s="414"/>
      <c r="C2582" s="592"/>
      <c r="D2582" s="415"/>
      <c r="E2582" s="415"/>
      <c r="F2582" s="425"/>
      <c r="G2582" s="427"/>
      <c r="H2582" s="415"/>
      <c r="I2582" s="427"/>
      <c r="J2582" s="415"/>
      <c r="K2582" s="415"/>
      <c r="L2582" s="415"/>
      <c r="M2582" s="415"/>
      <c r="N2582" s="414"/>
      <c r="O2582" s="414"/>
      <c r="P2582" s="603">
        <f t="shared" si="367"/>
        <v>0</v>
      </c>
      <c r="Q2582" s="603">
        <f t="shared" si="368"/>
        <v>0</v>
      </c>
      <c r="R2582" s="610" t="str">
        <f t="shared" si="366"/>
        <v/>
      </c>
      <c r="S2582" s="611"/>
      <c r="T2582" s="611"/>
    </row>
    <row r="2583" spans="1:20" s="88" customFormat="1" ht="12.75" hidden="1" x14ac:dyDescent="0.2">
      <c r="A2583" s="510" t="str">
        <f>IF(B2583="","",COUNT('Diário 1º PA'!$A$4:$A$2635)+ROW()-3)</f>
        <v/>
      </c>
      <c r="B2583" s="414"/>
      <c r="C2583" s="592"/>
      <c r="D2583" s="415"/>
      <c r="E2583" s="415"/>
      <c r="F2583" s="425"/>
      <c r="G2583" s="427"/>
      <c r="H2583" s="415"/>
      <c r="I2583" s="427"/>
      <c r="J2583" s="415"/>
      <c r="K2583" s="415"/>
      <c r="L2583" s="415"/>
      <c r="M2583" s="415"/>
      <c r="N2583" s="414"/>
      <c r="O2583" s="414"/>
      <c r="P2583" s="603">
        <f t="shared" si="367"/>
        <v>0</v>
      </c>
      <c r="Q2583" s="603">
        <f t="shared" si="368"/>
        <v>0</v>
      </c>
      <c r="R2583" s="610" t="str">
        <f t="shared" si="366"/>
        <v/>
      </c>
      <c r="S2583" s="611"/>
      <c r="T2583" s="611"/>
    </row>
    <row r="2584" spans="1:20" s="88" customFormat="1" ht="12.75" hidden="1" x14ac:dyDescent="0.2">
      <c r="A2584" s="510" t="str">
        <f>IF(B2584="","",COUNT('Diário 1º PA'!$A$4:$A$2635)+ROW()-3)</f>
        <v/>
      </c>
      <c r="B2584" s="414"/>
      <c r="C2584" s="592"/>
      <c r="D2584" s="415"/>
      <c r="E2584" s="415"/>
      <c r="F2584" s="425"/>
      <c r="G2584" s="427"/>
      <c r="H2584" s="415"/>
      <c r="I2584" s="427"/>
      <c r="J2584" s="415"/>
      <c r="K2584" s="415"/>
      <c r="L2584" s="415"/>
      <c r="M2584" s="415"/>
      <c r="N2584" s="414"/>
      <c r="O2584" s="414"/>
      <c r="P2584" s="603">
        <f t="shared" si="367"/>
        <v>0</v>
      </c>
      <c r="Q2584" s="603">
        <f t="shared" si="368"/>
        <v>0</v>
      </c>
      <c r="R2584" s="610" t="str">
        <f t="shared" si="366"/>
        <v/>
      </c>
      <c r="S2584" s="611"/>
      <c r="T2584" s="611"/>
    </row>
    <row r="2585" spans="1:20" s="88" customFormat="1" ht="12.75" hidden="1" x14ac:dyDescent="0.2">
      <c r="A2585" s="510" t="str">
        <f>IF(B2585="","",COUNT('Diário 1º PA'!$A$4:$A$2635)+ROW()-3)</f>
        <v/>
      </c>
      <c r="B2585" s="414"/>
      <c r="C2585" s="592"/>
      <c r="D2585" s="415"/>
      <c r="E2585" s="415"/>
      <c r="F2585" s="425"/>
      <c r="G2585" s="427"/>
      <c r="H2585" s="415"/>
      <c r="I2585" s="427"/>
      <c r="J2585" s="415"/>
      <c r="K2585" s="415"/>
      <c r="L2585" s="415"/>
      <c r="M2585" s="415"/>
      <c r="N2585" s="414"/>
      <c r="O2585" s="414"/>
      <c r="P2585" s="603">
        <f t="shared" si="367"/>
        <v>0</v>
      </c>
      <c r="Q2585" s="603">
        <f t="shared" si="368"/>
        <v>0</v>
      </c>
      <c r="R2585" s="610" t="str">
        <f t="shared" si="366"/>
        <v/>
      </c>
      <c r="S2585" s="611"/>
      <c r="T2585" s="611"/>
    </row>
    <row r="2586" spans="1:20" s="88" customFormat="1" ht="12.75" hidden="1" x14ac:dyDescent="0.2">
      <c r="A2586" s="510" t="str">
        <f>IF(B2586="","",COUNT('Diário 1º PA'!$A$4:$A$2635)+ROW()-3)</f>
        <v/>
      </c>
      <c r="B2586" s="414"/>
      <c r="C2586" s="592"/>
      <c r="D2586" s="415"/>
      <c r="E2586" s="415"/>
      <c r="F2586" s="425"/>
      <c r="G2586" s="427"/>
      <c r="H2586" s="415"/>
      <c r="I2586" s="427"/>
      <c r="J2586" s="415"/>
      <c r="K2586" s="415"/>
      <c r="L2586" s="415"/>
      <c r="M2586" s="415"/>
      <c r="N2586" s="414"/>
      <c r="O2586" s="414"/>
      <c r="P2586" s="603">
        <f t="shared" si="367"/>
        <v>0</v>
      </c>
      <c r="Q2586" s="603">
        <f t="shared" si="368"/>
        <v>0</v>
      </c>
      <c r="R2586" s="610" t="str">
        <f t="shared" si="366"/>
        <v/>
      </c>
      <c r="S2586" s="611"/>
      <c r="T2586" s="611"/>
    </row>
    <row r="2587" spans="1:20" s="88" customFormat="1" ht="12.75" hidden="1" x14ac:dyDescent="0.2">
      <c r="A2587" s="510" t="str">
        <f>IF(B2587="","",COUNT('Diário 1º PA'!$A$4:$A$2635)+ROW()-3)</f>
        <v/>
      </c>
      <c r="B2587" s="414"/>
      <c r="C2587" s="592"/>
      <c r="D2587" s="415"/>
      <c r="E2587" s="415"/>
      <c r="F2587" s="425"/>
      <c r="G2587" s="427"/>
      <c r="H2587" s="415"/>
      <c r="I2587" s="427"/>
      <c r="J2587" s="415"/>
      <c r="K2587" s="415"/>
      <c r="L2587" s="415"/>
      <c r="M2587" s="415"/>
      <c r="N2587" s="414"/>
      <c r="O2587" s="414"/>
      <c r="P2587" s="603">
        <f t="shared" si="367"/>
        <v>0</v>
      </c>
      <c r="Q2587" s="603">
        <f t="shared" si="368"/>
        <v>0</v>
      </c>
      <c r="R2587" s="610" t="str">
        <f t="shared" si="366"/>
        <v/>
      </c>
      <c r="S2587" s="611"/>
      <c r="T2587" s="611"/>
    </row>
    <row r="2588" spans="1:20" s="88" customFormat="1" ht="12.75" hidden="1" x14ac:dyDescent="0.2">
      <c r="A2588" s="510" t="str">
        <f>IF(B2588="","",COUNT('Diário 1º PA'!$A$4:$A$2635)+ROW()-3)</f>
        <v/>
      </c>
      <c r="B2588" s="414"/>
      <c r="C2588" s="592"/>
      <c r="D2588" s="415"/>
      <c r="E2588" s="415"/>
      <c r="F2588" s="425"/>
      <c r="G2588" s="427"/>
      <c r="H2588" s="415"/>
      <c r="I2588" s="427"/>
      <c r="J2588" s="415"/>
      <c r="K2588" s="415"/>
      <c r="L2588" s="415"/>
      <c r="M2588" s="415"/>
      <c r="N2588" s="414"/>
      <c r="O2588" s="414"/>
      <c r="P2588" s="603">
        <f t="shared" si="367"/>
        <v>0</v>
      </c>
      <c r="Q2588" s="603">
        <f t="shared" si="368"/>
        <v>0</v>
      </c>
      <c r="R2588" s="610" t="str">
        <f t="shared" si="366"/>
        <v/>
      </c>
      <c r="S2588" s="611"/>
      <c r="T2588" s="611"/>
    </row>
    <row r="2589" spans="1:20" s="88" customFormat="1" ht="12.75" hidden="1" x14ac:dyDescent="0.2">
      <c r="A2589" s="510" t="str">
        <f>IF(B2589="","",COUNT('Diário 1º PA'!$A$4:$A$2635)+ROW()-3)</f>
        <v/>
      </c>
      <c r="B2589" s="414"/>
      <c r="C2589" s="592"/>
      <c r="D2589" s="415"/>
      <c r="E2589" s="415"/>
      <c r="F2589" s="425"/>
      <c r="G2589" s="427"/>
      <c r="H2589" s="415"/>
      <c r="I2589" s="427"/>
      <c r="J2589" s="415"/>
      <c r="K2589" s="415"/>
      <c r="L2589" s="415"/>
      <c r="M2589" s="415"/>
      <c r="N2589" s="414"/>
      <c r="O2589" s="414"/>
      <c r="P2589" s="603">
        <f t="shared" si="367"/>
        <v>0</v>
      </c>
      <c r="Q2589" s="603">
        <f t="shared" si="368"/>
        <v>0</v>
      </c>
      <c r="R2589" s="610" t="str">
        <f t="shared" si="366"/>
        <v/>
      </c>
      <c r="S2589" s="611"/>
      <c r="T2589" s="611"/>
    </row>
    <row r="2590" spans="1:20" s="88" customFormat="1" ht="12.75" hidden="1" x14ac:dyDescent="0.2">
      <c r="A2590" s="510" t="str">
        <f>IF(B2590="","",COUNT('Diário 1º PA'!$A$4:$A$2635)+ROW()-3)</f>
        <v/>
      </c>
      <c r="B2590" s="414"/>
      <c r="C2590" s="592"/>
      <c r="D2590" s="415"/>
      <c r="E2590" s="415"/>
      <c r="F2590" s="425"/>
      <c r="G2590" s="427"/>
      <c r="H2590" s="415"/>
      <c r="I2590" s="427"/>
      <c r="J2590" s="415"/>
      <c r="K2590" s="415"/>
      <c r="L2590" s="415"/>
      <c r="M2590" s="415"/>
      <c r="N2590" s="414"/>
      <c r="O2590" s="414"/>
      <c r="P2590" s="603">
        <f t="shared" si="367"/>
        <v>0</v>
      </c>
      <c r="Q2590" s="603">
        <f t="shared" si="368"/>
        <v>0</v>
      </c>
      <c r="R2590" s="610" t="str">
        <f t="shared" si="366"/>
        <v/>
      </c>
      <c r="S2590" s="611"/>
      <c r="T2590" s="611"/>
    </row>
    <row r="2591" spans="1:20" s="88" customFormat="1" ht="12.75" hidden="1" x14ac:dyDescent="0.2">
      <c r="A2591" s="510" t="str">
        <f>IF(B2591="","",COUNT('Diário 1º PA'!$A$4:$A$2635)+ROW()-3)</f>
        <v/>
      </c>
      <c r="B2591" s="414"/>
      <c r="C2591" s="592"/>
      <c r="D2591" s="415"/>
      <c r="E2591" s="415"/>
      <c r="F2591" s="425"/>
      <c r="G2591" s="427"/>
      <c r="H2591" s="415"/>
      <c r="I2591" s="427"/>
      <c r="J2591" s="415"/>
      <c r="K2591" s="415"/>
      <c r="L2591" s="415"/>
      <c r="M2591" s="415"/>
      <c r="N2591" s="414"/>
      <c r="O2591" s="414"/>
      <c r="P2591" s="603">
        <f t="shared" si="367"/>
        <v>0</v>
      </c>
      <c r="Q2591" s="603">
        <f t="shared" si="368"/>
        <v>0</v>
      </c>
      <c r="R2591" s="610" t="str">
        <f t="shared" si="366"/>
        <v/>
      </c>
      <c r="S2591" s="611"/>
      <c r="T2591" s="611"/>
    </row>
    <row r="2592" spans="1:20" s="88" customFormat="1" ht="12.75" hidden="1" x14ac:dyDescent="0.2">
      <c r="A2592" s="510" t="str">
        <f>IF(B2592="","",COUNT('Diário 1º PA'!$A$4:$A$2635)+ROW()-3)</f>
        <v/>
      </c>
      <c r="B2592" s="414"/>
      <c r="C2592" s="592"/>
      <c r="D2592" s="415"/>
      <c r="E2592" s="415"/>
      <c r="F2592" s="425"/>
      <c r="G2592" s="427"/>
      <c r="H2592" s="415"/>
      <c r="I2592" s="427"/>
      <c r="J2592" s="415"/>
      <c r="K2592" s="415"/>
      <c r="L2592" s="415"/>
      <c r="M2592" s="415"/>
      <c r="N2592" s="414"/>
      <c r="O2592" s="414"/>
      <c r="P2592" s="603">
        <f t="shared" si="367"/>
        <v>0</v>
      </c>
      <c r="Q2592" s="603">
        <f t="shared" si="368"/>
        <v>0</v>
      </c>
      <c r="R2592" s="610" t="str">
        <f t="shared" si="366"/>
        <v/>
      </c>
      <c r="S2592" s="611"/>
      <c r="T2592" s="611"/>
    </row>
    <row r="2593" spans="1:20" s="88" customFormat="1" ht="12.75" hidden="1" x14ac:dyDescent="0.2">
      <c r="A2593" s="510" t="str">
        <f>IF(B2593="","",COUNT('Diário 1º PA'!$A$4:$A$2635)+ROW()-3)</f>
        <v/>
      </c>
      <c r="B2593" s="414"/>
      <c r="C2593" s="592"/>
      <c r="D2593" s="415"/>
      <c r="E2593" s="415"/>
      <c r="F2593" s="425"/>
      <c r="G2593" s="427"/>
      <c r="H2593" s="415"/>
      <c r="I2593" s="427"/>
      <c r="J2593" s="415"/>
      <c r="K2593" s="415"/>
      <c r="L2593" s="415"/>
      <c r="M2593" s="415"/>
      <c r="N2593" s="414"/>
      <c r="O2593" s="414"/>
      <c r="P2593" s="603">
        <f t="shared" si="367"/>
        <v>0</v>
      </c>
      <c r="Q2593" s="603">
        <f t="shared" si="368"/>
        <v>0</v>
      </c>
      <c r="R2593" s="610" t="str">
        <f t="shared" si="366"/>
        <v/>
      </c>
      <c r="S2593" s="611"/>
      <c r="T2593" s="611"/>
    </row>
    <row r="2594" spans="1:20" s="88" customFormat="1" ht="12.75" hidden="1" x14ac:dyDescent="0.2">
      <c r="A2594" s="510" t="str">
        <f>IF(B2594="","",COUNT('Diário 1º PA'!$A$4:$A$2635)+ROW()-3)</f>
        <v/>
      </c>
      <c r="B2594" s="414"/>
      <c r="C2594" s="592"/>
      <c r="D2594" s="415"/>
      <c r="E2594" s="415"/>
      <c r="F2594" s="425"/>
      <c r="G2594" s="427"/>
      <c r="H2594" s="415"/>
      <c r="I2594" s="427"/>
      <c r="J2594" s="415"/>
      <c r="K2594" s="415"/>
      <c r="L2594" s="415"/>
      <c r="M2594" s="415"/>
      <c r="N2594" s="414"/>
      <c r="O2594" s="414"/>
      <c r="P2594" s="603">
        <f t="shared" si="367"/>
        <v>0</v>
      </c>
      <c r="Q2594" s="603">
        <f t="shared" si="368"/>
        <v>0</v>
      </c>
      <c r="R2594" s="610" t="str">
        <f t="shared" si="366"/>
        <v/>
      </c>
      <c r="S2594" s="611"/>
      <c r="T2594" s="611"/>
    </row>
    <row r="2595" spans="1:20" s="88" customFormat="1" ht="12.75" hidden="1" x14ac:dyDescent="0.2">
      <c r="A2595" s="510" t="str">
        <f>IF(B2595="","",COUNT('Diário 1º PA'!$A$4:$A$2635)+ROW()-3)</f>
        <v/>
      </c>
      <c r="B2595" s="414"/>
      <c r="C2595" s="592"/>
      <c r="D2595" s="415"/>
      <c r="E2595" s="415"/>
      <c r="F2595" s="425"/>
      <c r="G2595" s="427"/>
      <c r="H2595" s="415"/>
      <c r="I2595" s="427"/>
      <c r="J2595" s="415"/>
      <c r="K2595" s="415"/>
      <c r="L2595" s="415"/>
      <c r="M2595" s="415"/>
      <c r="N2595" s="414"/>
      <c r="O2595" s="414"/>
      <c r="P2595" s="603">
        <f t="shared" si="367"/>
        <v>0</v>
      </c>
      <c r="Q2595" s="603">
        <f t="shared" si="368"/>
        <v>0</v>
      </c>
      <c r="R2595" s="610" t="str">
        <f t="shared" si="366"/>
        <v/>
      </c>
      <c r="S2595" s="611"/>
      <c r="T2595" s="611"/>
    </row>
    <row r="2596" spans="1:20" s="88" customFormat="1" ht="12.75" hidden="1" x14ac:dyDescent="0.2">
      <c r="A2596" s="510" t="str">
        <f>IF(B2596="","",COUNT('Diário 1º PA'!$A$4:$A$2635)+ROW()-3)</f>
        <v/>
      </c>
      <c r="B2596" s="414"/>
      <c r="C2596" s="592"/>
      <c r="D2596" s="415"/>
      <c r="E2596" s="415"/>
      <c r="F2596" s="425"/>
      <c r="G2596" s="427"/>
      <c r="H2596" s="415"/>
      <c r="I2596" s="427"/>
      <c r="J2596" s="415"/>
      <c r="K2596" s="415"/>
      <c r="L2596" s="415"/>
      <c r="M2596" s="415"/>
      <c r="N2596" s="414"/>
      <c r="O2596" s="414"/>
      <c r="P2596" s="603">
        <f t="shared" si="367"/>
        <v>0</v>
      </c>
      <c r="Q2596" s="603">
        <f t="shared" si="368"/>
        <v>0</v>
      </c>
      <c r="R2596" s="610" t="str">
        <f t="shared" si="366"/>
        <v/>
      </c>
      <c r="S2596" s="611"/>
      <c r="T2596" s="611"/>
    </row>
    <row r="2597" spans="1:20" s="88" customFormat="1" ht="12.75" hidden="1" x14ac:dyDescent="0.2">
      <c r="A2597" s="510" t="str">
        <f>IF(B2597="","",COUNT('Diário 1º PA'!$A$4:$A$2635)+ROW()-3)</f>
        <v/>
      </c>
      <c r="B2597" s="414"/>
      <c r="C2597" s="592"/>
      <c r="D2597" s="415"/>
      <c r="E2597" s="415"/>
      <c r="F2597" s="425"/>
      <c r="G2597" s="427"/>
      <c r="H2597" s="415"/>
      <c r="I2597" s="427"/>
      <c r="J2597" s="415"/>
      <c r="K2597" s="415"/>
      <c r="L2597" s="415"/>
      <c r="M2597" s="415"/>
      <c r="N2597" s="414"/>
      <c r="O2597" s="414"/>
      <c r="P2597" s="603">
        <f t="shared" si="367"/>
        <v>0</v>
      </c>
      <c r="Q2597" s="603">
        <f t="shared" si="368"/>
        <v>0</v>
      </c>
      <c r="R2597" s="610" t="str">
        <f t="shared" si="366"/>
        <v/>
      </c>
      <c r="S2597" s="611"/>
      <c r="T2597" s="611"/>
    </row>
    <row r="2598" spans="1:20" s="88" customFormat="1" ht="12.75" hidden="1" x14ac:dyDescent="0.2">
      <c r="A2598" s="510" t="str">
        <f>IF(B2598="","",COUNT('Diário 1º PA'!$A$4:$A$2635)+ROW()-3)</f>
        <v/>
      </c>
      <c r="B2598" s="414"/>
      <c r="C2598" s="592"/>
      <c r="D2598" s="415"/>
      <c r="E2598" s="415"/>
      <c r="F2598" s="425"/>
      <c r="G2598" s="427"/>
      <c r="H2598" s="415"/>
      <c r="I2598" s="427"/>
      <c r="J2598" s="415"/>
      <c r="K2598" s="415"/>
      <c r="L2598" s="415"/>
      <c r="M2598" s="415"/>
      <c r="N2598" s="414"/>
      <c r="O2598" s="414"/>
      <c r="P2598" s="603">
        <f t="shared" si="367"/>
        <v>0</v>
      </c>
      <c r="Q2598" s="603">
        <f t="shared" si="368"/>
        <v>0</v>
      </c>
      <c r="R2598" s="610" t="str">
        <f t="shared" si="366"/>
        <v/>
      </c>
      <c r="S2598" s="611"/>
      <c r="T2598" s="611"/>
    </row>
    <row r="2599" spans="1:20" s="88" customFormat="1" ht="12.75" hidden="1" x14ac:dyDescent="0.2">
      <c r="A2599" s="510" t="str">
        <f>IF(B2599="","",COUNT('Diário 1º PA'!$A$4:$A$2635)+ROW()-3)</f>
        <v/>
      </c>
      <c r="B2599" s="414"/>
      <c r="C2599" s="592"/>
      <c r="D2599" s="415"/>
      <c r="E2599" s="415"/>
      <c r="F2599" s="425"/>
      <c r="G2599" s="427"/>
      <c r="H2599" s="415"/>
      <c r="I2599" s="427"/>
      <c r="J2599" s="415"/>
      <c r="K2599" s="415"/>
      <c r="L2599" s="415"/>
      <c r="M2599" s="415"/>
      <c r="N2599" s="414"/>
      <c r="O2599" s="414"/>
      <c r="P2599" s="603">
        <f t="shared" si="367"/>
        <v>0</v>
      </c>
      <c r="Q2599" s="603">
        <f t="shared" si="368"/>
        <v>0</v>
      </c>
      <c r="R2599" s="610" t="str">
        <f t="shared" si="366"/>
        <v/>
      </c>
      <c r="S2599" s="611"/>
      <c r="T2599" s="611"/>
    </row>
    <row r="2600" spans="1:20" s="88" customFormat="1" ht="12.75" hidden="1" x14ac:dyDescent="0.2">
      <c r="A2600" s="510" t="str">
        <f>IF(B2600="","",COUNT('Diário 1º PA'!$A$4:$A$2635)+ROW()-3)</f>
        <v/>
      </c>
      <c r="B2600" s="414"/>
      <c r="C2600" s="592"/>
      <c r="D2600" s="415"/>
      <c r="E2600" s="415"/>
      <c r="F2600" s="425"/>
      <c r="G2600" s="427"/>
      <c r="H2600" s="415"/>
      <c r="I2600" s="427"/>
      <c r="J2600" s="415"/>
      <c r="K2600" s="415"/>
      <c r="L2600" s="415"/>
      <c r="M2600" s="415"/>
      <c r="N2600" s="414"/>
      <c r="O2600" s="414"/>
      <c r="P2600" s="603">
        <f t="shared" si="367"/>
        <v>0</v>
      </c>
      <c r="Q2600" s="603">
        <f t="shared" si="368"/>
        <v>0</v>
      </c>
      <c r="R2600" s="610" t="str">
        <f t="shared" si="366"/>
        <v/>
      </c>
      <c r="S2600" s="611"/>
      <c r="T2600" s="611"/>
    </row>
    <row r="2601" spans="1:20" s="88" customFormat="1" ht="12.75" hidden="1" x14ac:dyDescent="0.2">
      <c r="A2601" s="510" t="str">
        <f>IF(B2601="","",COUNT('Diário 1º PA'!$A$4:$A$2635)+ROW()-3)</f>
        <v/>
      </c>
      <c r="B2601" s="414"/>
      <c r="C2601" s="592"/>
      <c r="D2601" s="415"/>
      <c r="E2601" s="415"/>
      <c r="F2601" s="425"/>
      <c r="G2601" s="427"/>
      <c r="H2601" s="415"/>
      <c r="I2601" s="427"/>
      <c r="J2601" s="415"/>
      <c r="K2601" s="415"/>
      <c r="L2601" s="415"/>
      <c r="M2601" s="415"/>
      <c r="N2601" s="414"/>
      <c r="O2601" s="414"/>
      <c r="P2601" s="603">
        <f t="shared" si="367"/>
        <v>0</v>
      </c>
      <c r="Q2601" s="603">
        <f t="shared" si="368"/>
        <v>0</v>
      </c>
      <c r="R2601" s="610" t="str">
        <f t="shared" si="366"/>
        <v/>
      </c>
      <c r="S2601" s="611"/>
      <c r="T2601" s="611"/>
    </row>
    <row r="2602" spans="1:20" s="88" customFormat="1" ht="12.75" hidden="1" x14ac:dyDescent="0.2">
      <c r="A2602" s="510" t="str">
        <f>IF(B2602="","",COUNT('Diário 1º PA'!$A$4:$A$2635)+ROW()-3)</f>
        <v/>
      </c>
      <c r="B2602" s="414"/>
      <c r="C2602" s="592"/>
      <c r="D2602" s="415"/>
      <c r="E2602" s="415"/>
      <c r="F2602" s="425"/>
      <c r="G2602" s="427"/>
      <c r="H2602" s="415"/>
      <c r="I2602" s="427"/>
      <c r="J2602" s="415"/>
      <c r="K2602" s="415"/>
      <c r="L2602" s="415"/>
      <c r="M2602" s="415"/>
      <c r="N2602" s="414"/>
      <c r="O2602" s="414"/>
      <c r="P2602" s="603">
        <f t="shared" si="367"/>
        <v>0</v>
      </c>
      <c r="Q2602" s="603">
        <f t="shared" si="368"/>
        <v>0</v>
      </c>
      <c r="R2602" s="610" t="str">
        <f t="shared" si="366"/>
        <v/>
      </c>
      <c r="S2602" s="611"/>
      <c r="T2602" s="611"/>
    </row>
    <row r="2603" spans="1:20" s="88" customFormat="1" ht="12.75" hidden="1" x14ac:dyDescent="0.2">
      <c r="A2603" s="510" t="str">
        <f>IF(B2603="","",COUNT('Diário 1º PA'!$A$4:$A$2635)+ROW()-3)</f>
        <v/>
      </c>
      <c r="B2603" s="414"/>
      <c r="C2603" s="592"/>
      <c r="D2603" s="415"/>
      <c r="E2603" s="415"/>
      <c r="F2603" s="425"/>
      <c r="G2603" s="427"/>
      <c r="H2603" s="415"/>
      <c r="I2603" s="427"/>
      <c r="J2603" s="415"/>
      <c r="K2603" s="415"/>
      <c r="L2603" s="415"/>
      <c r="M2603" s="415"/>
      <c r="N2603" s="414"/>
      <c r="O2603" s="414"/>
      <c r="P2603" s="603">
        <f t="shared" si="367"/>
        <v>0</v>
      </c>
      <c r="Q2603" s="603">
        <f t="shared" si="368"/>
        <v>0</v>
      </c>
      <c r="R2603" s="610" t="str">
        <f t="shared" si="366"/>
        <v/>
      </c>
      <c r="S2603" s="611"/>
      <c r="T2603" s="611"/>
    </row>
    <row r="2604" spans="1:20" s="88" customFormat="1" ht="12.75" hidden="1" x14ac:dyDescent="0.2">
      <c r="A2604" s="510" t="str">
        <f>IF(B2604="","",COUNT('Diário 1º PA'!$A$4:$A$2635)+ROW()-3)</f>
        <v/>
      </c>
      <c r="B2604" s="414"/>
      <c r="C2604" s="592"/>
      <c r="D2604" s="415"/>
      <c r="E2604" s="415"/>
      <c r="F2604" s="425"/>
      <c r="G2604" s="427"/>
      <c r="H2604" s="415"/>
      <c r="I2604" s="427"/>
      <c r="J2604" s="415"/>
      <c r="K2604" s="415"/>
      <c r="L2604" s="415"/>
      <c r="M2604" s="415"/>
      <c r="N2604" s="414"/>
      <c r="O2604" s="414"/>
      <c r="P2604" s="603">
        <f t="shared" si="367"/>
        <v>0</v>
      </c>
      <c r="Q2604" s="603">
        <f t="shared" si="368"/>
        <v>0</v>
      </c>
      <c r="R2604" s="610" t="str">
        <f t="shared" si="366"/>
        <v/>
      </c>
      <c r="S2604" s="611"/>
      <c r="T2604" s="611"/>
    </row>
    <row r="2605" spans="1:20" s="88" customFormat="1" ht="12.75" hidden="1" x14ac:dyDescent="0.2">
      <c r="A2605" s="510" t="str">
        <f>IF(B2605="","",COUNT('Diário 1º PA'!$A$4:$A$2635)+ROW()-3)</f>
        <v/>
      </c>
      <c r="B2605" s="414"/>
      <c r="C2605" s="592"/>
      <c r="D2605" s="415"/>
      <c r="E2605" s="415"/>
      <c r="F2605" s="425"/>
      <c r="G2605" s="427"/>
      <c r="H2605" s="415"/>
      <c r="I2605" s="427"/>
      <c r="J2605" s="415"/>
      <c r="K2605" s="415"/>
      <c r="L2605" s="415"/>
      <c r="M2605" s="415"/>
      <c r="N2605" s="414"/>
      <c r="O2605" s="414"/>
      <c r="P2605" s="603">
        <f t="shared" si="367"/>
        <v>0</v>
      </c>
      <c r="Q2605" s="603">
        <f t="shared" si="368"/>
        <v>0</v>
      </c>
      <c r="R2605" s="610" t="str">
        <f t="shared" ref="R2605:R2668" si="369">SUBSTITUTE(D2605," ","_")</f>
        <v/>
      </c>
      <c r="S2605" s="611"/>
      <c r="T2605" s="611"/>
    </row>
    <row r="2606" spans="1:20" s="88" customFormat="1" ht="12.75" hidden="1" x14ac:dyDescent="0.2">
      <c r="A2606" s="510" t="str">
        <f>IF(B2606="","",COUNT('Diário 1º PA'!$A$4:$A$2635)+ROW()-3)</f>
        <v/>
      </c>
      <c r="B2606" s="414"/>
      <c r="C2606" s="592"/>
      <c r="D2606" s="415"/>
      <c r="E2606" s="415"/>
      <c r="F2606" s="425"/>
      <c r="G2606" s="427"/>
      <c r="H2606" s="415"/>
      <c r="I2606" s="427"/>
      <c r="J2606" s="415"/>
      <c r="K2606" s="415"/>
      <c r="L2606" s="415"/>
      <c r="M2606" s="415"/>
      <c r="N2606" s="414"/>
      <c r="O2606" s="414"/>
      <c r="P2606" s="603">
        <f t="shared" ref="P2606:P2669" si="370">IF(B2606=0,0,IF(YEAR(B2606)=$Q$1,MONTH(B2606)-$P$1+1,(YEAR(B2606)-$Q$1)*12-$P$1+1+MONTH(B2606)))</f>
        <v>0</v>
      </c>
      <c r="Q2606" s="603">
        <f t="shared" ref="Q2606:Q2669" si="371">IF(C2606=0,0,IF(YEAR(C2606)=$Q$1,MONTH(C2606)-$P$1+1,(YEAR(C2606)-$Q$1)*12-$P$1+1+MONTH(C2606)))</f>
        <v>0</v>
      </c>
      <c r="R2606" s="610" t="str">
        <f t="shared" si="369"/>
        <v/>
      </c>
      <c r="S2606" s="611"/>
      <c r="T2606" s="611"/>
    </row>
    <row r="2607" spans="1:20" s="88" customFormat="1" ht="12.75" hidden="1" x14ac:dyDescent="0.2">
      <c r="A2607" s="510" t="str">
        <f>IF(B2607="","",COUNT('Diário 1º PA'!$A$4:$A$2635)+ROW()-3)</f>
        <v/>
      </c>
      <c r="B2607" s="414"/>
      <c r="C2607" s="592"/>
      <c r="D2607" s="415"/>
      <c r="E2607" s="415"/>
      <c r="F2607" s="425"/>
      <c r="G2607" s="427"/>
      <c r="H2607" s="415"/>
      <c r="I2607" s="427"/>
      <c r="J2607" s="415"/>
      <c r="K2607" s="415"/>
      <c r="L2607" s="415"/>
      <c r="M2607" s="548"/>
      <c r="N2607" s="414"/>
      <c r="O2607" s="414"/>
      <c r="P2607" s="603">
        <f t="shared" si="370"/>
        <v>0</v>
      </c>
      <c r="Q2607" s="603">
        <f t="shared" si="371"/>
        <v>0</v>
      </c>
      <c r="R2607" s="610" t="str">
        <f t="shared" si="369"/>
        <v/>
      </c>
      <c r="S2607" s="611"/>
      <c r="T2607" s="611"/>
    </row>
    <row r="2608" spans="1:20" s="88" customFormat="1" ht="12.75" hidden="1" x14ac:dyDescent="0.2">
      <c r="A2608" s="510" t="str">
        <f>IF(B2608="","",COUNT('Diário 1º PA'!$A$4:$A$2635)+ROW()-3)</f>
        <v/>
      </c>
      <c r="B2608" s="414"/>
      <c r="C2608" s="592"/>
      <c r="D2608" s="415"/>
      <c r="E2608" s="415"/>
      <c r="F2608" s="425"/>
      <c r="G2608" s="427"/>
      <c r="H2608" s="415"/>
      <c r="I2608" s="427"/>
      <c r="J2608" s="415"/>
      <c r="K2608" s="415"/>
      <c r="L2608" s="415"/>
      <c r="M2608" s="415"/>
      <c r="N2608" s="414"/>
      <c r="O2608" s="414"/>
      <c r="P2608" s="603">
        <f t="shared" si="370"/>
        <v>0</v>
      </c>
      <c r="Q2608" s="603">
        <f t="shared" si="371"/>
        <v>0</v>
      </c>
      <c r="R2608" s="610" t="str">
        <f t="shared" si="369"/>
        <v/>
      </c>
      <c r="S2608" s="611"/>
      <c r="T2608" s="611"/>
    </row>
    <row r="2609" spans="1:20" s="88" customFormat="1" ht="12.75" hidden="1" x14ac:dyDescent="0.2">
      <c r="A2609" s="510" t="str">
        <f>IF(B2609="","",COUNT('Diário 1º PA'!$A$4:$A$2635)+ROW()-3)</f>
        <v/>
      </c>
      <c r="B2609" s="414"/>
      <c r="C2609" s="592"/>
      <c r="D2609" s="415"/>
      <c r="E2609" s="415"/>
      <c r="F2609" s="425"/>
      <c r="G2609" s="427"/>
      <c r="H2609" s="415"/>
      <c r="I2609" s="427"/>
      <c r="J2609" s="415"/>
      <c r="K2609" s="415"/>
      <c r="L2609" s="415"/>
      <c r="M2609" s="576"/>
      <c r="N2609" s="414"/>
      <c r="O2609" s="414"/>
      <c r="P2609" s="603">
        <f t="shared" si="370"/>
        <v>0</v>
      </c>
      <c r="Q2609" s="603">
        <f t="shared" si="371"/>
        <v>0</v>
      </c>
      <c r="R2609" s="610" t="str">
        <f t="shared" si="369"/>
        <v/>
      </c>
      <c r="S2609" s="611"/>
      <c r="T2609" s="611"/>
    </row>
    <row r="2610" spans="1:20" s="88" customFormat="1" ht="12.75" hidden="1" x14ac:dyDescent="0.2">
      <c r="A2610" s="510" t="str">
        <f>IF(B2610="","",COUNT('Diário 1º PA'!$A$4:$A$2635)+ROW()-3)</f>
        <v/>
      </c>
      <c r="B2610" s="414"/>
      <c r="C2610" s="592"/>
      <c r="D2610" s="415"/>
      <c r="E2610" s="415"/>
      <c r="F2610" s="425"/>
      <c r="G2610" s="427"/>
      <c r="H2610" s="415"/>
      <c r="I2610" s="427"/>
      <c r="J2610" s="415"/>
      <c r="K2610" s="415"/>
      <c r="L2610" s="415"/>
      <c r="M2610" s="415"/>
      <c r="N2610" s="414"/>
      <c r="O2610" s="414"/>
      <c r="P2610" s="603">
        <f t="shared" si="370"/>
        <v>0</v>
      </c>
      <c r="Q2610" s="603">
        <f t="shared" si="371"/>
        <v>0</v>
      </c>
      <c r="R2610" s="610" t="str">
        <f t="shared" si="369"/>
        <v/>
      </c>
      <c r="S2610" s="611"/>
      <c r="T2610" s="611"/>
    </row>
    <row r="2611" spans="1:20" s="88" customFormat="1" ht="12.75" hidden="1" x14ac:dyDescent="0.2">
      <c r="A2611" s="510" t="str">
        <f>IF(B2611="","",COUNT('Diário 1º PA'!$A$4:$A$2635)+ROW()-3)</f>
        <v/>
      </c>
      <c r="B2611" s="414"/>
      <c r="C2611" s="592"/>
      <c r="D2611" s="415"/>
      <c r="E2611" s="415"/>
      <c r="F2611" s="425"/>
      <c r="G2611" s="427"/>
      <c r="H2611" s="415"/>
      <c r="I2611" s="427"/>
      <c r="J2611" s="415"/>
      <c r="K2611" s="415"/>
      <c r="L2611" s="415"/>
      <c r="M2611" s="415"/>
      <c r="N2611" s="414"/>
      <c r="O2611" s="414"/>
      <c r="P2611" s="603">
        <f t="shared" si="370"/>
        <v>0</v>
      </c>
      <c r="Q2611" s="603">
        <f t="shared" si="371"/>
        <v>0</v>
      </c>
      <c r="R2611" s="610" t="str">
        <f t="shared" si="369"/>
        <v/>
      </c>
      <c r="S2611" s="611"/>
      <c r="T2611" s="611"/>
    </row>
    <row r="2612" spans="1:20" s="88" customFormat="1" ht="12.75" hidden="1" x14ac:dyDescent="0.2">
      <c r="A2612" s="510" t="str">
        <f>IF(B2612="","",COUNT('Diário 1º PA'!$A$4:$A$2635)+ROW()-3)</f>
        <v/>
      </c>
      <c r="B2612" s="414"/>
      <c r="C2612" s="592"/>
      <c r="D2612" s="415"/>
      <c r="E2612" s="415"/>
      <c r="F2612" s="425"/>
      <c r="G2612" s="427"/>
      <c r="H2612" s="415"/>
      <c r="I2612" s="427"/>
      <c r="J2612" s="415"/>
      <c r="K2612" s="415"/>
      <c r="L2612" s="415"/>
      <c r="M2612" s="415"/>
      <c r="N2612" s="414"/>
      <c r="O2612" s="414"/>
      <c r="P2612" s="603">
        <f t="shared" si="370"/>
        <v>0</v>
      </c>
      <c r="Q2612" s="603">
        <f t="shared" si="371"/>
        <v>0</v>
      </c>
      <c r="R2612" s="610" t="str">
        <f t="shared" si="369"/>
        <v/>
      </c>
      <c r="S2612" s="611"/>
      <c r="T2612" s="611"/>
    </row>
    <row r="2613" spans="1:20" s="88" customFormat="1" ht="12.75" hidden="1" x14ac:dyDescent="0.2">
      <c r="A2613" s="510" t="str">
        <f>IF(B2613="","",COUNT('Diário 1º PA'!$A$4:$A$2635)+ROW()-3)</f>
        <v/>
      </c>
      <c r="B2613" s="414"/>
      <c r="C2613" s="592"/>
      <c r="D2613" s="415"/>
      <c r="E2613" s="415"/>
      <c r="F2613" s="425"/>
      <c r="G2613" s="427"/>
      <c r="H2613" s="415"/>
      <c r="I2613" s="427"/>
      <c r="J2613" s="415"/>
      <c r="K2613" s="415"/>
      <c r="L2613" s="415"/>
      <c r="M2613" s="415"/>
      <c r="N2613" s="414"/>
      <c r="O2613" s="414"/>
      <c r="P2613" s="603">
        <f t="shared" si="370"/>
        <v>0</v>
      </c>
      <c r="Q2613" s="603">
        <f t="shared" si="371"/>
        <v>0</v>
      </c>
      <c r="R2613" s="610" t="str">
        <f t="shared" si="369"/>
        <v/>
      </c>
      <c r="S2613" s="611"/>
      <c r="T2613" s="611"/>
    </row>
    <row r="2614" spans="1:20" s="88" customFormat="1" ht="12.75" hidden="1" x14ac:dyDescent="0.2">
      <c r="A2614" s="510" t="str">
        <f>IF(B2614="","",COUNT('Diário 1º PA'!$A$4:$A$2635)+ROW()-3)</f>
        <v/>
      </c>
      <c r="B2614" s="414"/>
      <c r="C2614" s="592"/>
      <c r="D2614" s="415"/>
      <c r="E2614" s="415"/>
      <c r="F2614" s="425"/>
      <c r="G2614" s="427"/>
      <c r="H2614" s="415"/>
      <c r="I2614" s="427"/>
      <c r="J2614" s="415"/>
      <c r="K2614" s="415"/>
      <c r="L2614" s="415"/>
      <c r="M2614" s="415"/>
      <c r="N2614" s="414"/>
      <c r="O2614" s="414"/>
      <c r="P2614" s="603">
        <f t="shared" si="370"/>
        <v>0</v>
      </c>
      <c r="Q2614" s="603">
        <f t="shared" si="371"/>
        <v>0</v>
      </c>
      <c r="R2614" s="610" t="str">
        <f t="shared" si="369"/>
        <v/>
      </c>
      <c r="S2614" s="611"/>
      <c r="T2614" s="611"/>
    </row>
    <row r="2615" spans="1:20" s="88" customFormat="1" ht="12.75" hidden="1" x14ac:dyDescent="0.2">
      <c r="A2615" s="510" t="str">
        <f>IF(B2615="","",COUNT('Diário 1º PA'!$A$4:$A$2635)+ROW()-3)</f>
        <v/>
      </c>
      <c r="B2615" s="414"/>
      <c r="C2615" s="592"/>
      <c r="D2615" s="415"/>
      <c r="E2615" s="415"/>
      <c r="F2615" s="425"/>
      <c r="G2615" s="427"/>
      <c r="H2615" s="415"/>
      <c r="I2615" s="427"/>
      <c r="J2615" s="415"/>
      <c r="K2615" s="415"/>
      <c r="L2615" s="415"/>
      <c r="M2615" s="415"/>
      <c r="N2615" s="414"/>
      <c r="O2615" s="414"/>
      <c r="P2615" s="603">
        <f t="shared" si="370"/>
        <v>0</v>
      </c>
      <c r="Q2615" s="603">
        <f t="shared" si="371"/>
        <v>0</v>
      </c>
      <c r="R2615" s="610" t="str">
        <f t="shared" si="369"/>
        <v/>
      </c>
      <c r="S2615" s="611"/>
      <c r="T2615" s="611"/>
    </row>
    <row r="2616" spans="1:20" s="88" customFormat="1" ht="12.75" hidden="1" x14ac:dyDescent="0.2">
      <c r="A2616" s="510" t="str">
        <f>IF(B2616="","",COUNT('Diário 1º PA'!$A$4:$A$2635)+ROW()-3)</f>
        <v/>
      </c>
      <c r="B2616" s="414"/>
      <c r="C2616" s="592"/>
      <c r="D2616" s="415"/>
      <c r="E2616" s="415"/>
      <c r="F2616" s="425"/>
      <c r="G2616" s="427"/>
      <c r="H2616" s="415"/>
      <c r="I2616" s="427"/>
      <c r="J2616" s="415"/>
      <c r="K2616" s="415"/>
      <c r="L2616" s="415"/>
      <c r="M2616" s="415"/>
      <c r="N2616" s="414"/>
      <c r="O2616" s="414"/>
      <c r="P2616" s="603">
        <f t="shared" si="370"/>
        <v>0</v>
      </c>
      <c r="Q2616" s="603">
        <f t="shared" si="371"/>
        <v>0</v>
      </c>
      <c r="R2616" s="610" t="str">
        <f t="shared" si="369"/>
        <v/>
      </c>
      <c r="S2616" s="611"/>
      <c r="T2616" s="611"/>
    </row>
    <row r="2617" spans="1:20" s="88" customFormat="1" ht="12.75" hidden="1" x14ac:dyDescent="0.2">
      <c r="A2617" s="510" t="str">
        <f>IF(B2617="","",COUNT('Diário 1º PA'!$A$4:$A$2635)+ROW()-3)</f>
        <v/>
      </c>
      <c r="B2617" s="414"/>
      <c r="C2617" s="592"/>
      <c r="D2617" s="415"/>
      <c r="E2617" s="415"/>
      <c r="F2617" s="425"/>
      <c r="G2617" s="427"/>
      <c r="H2617" s="415"/>
      <c r="I2617" s="427"/>
      <c r="J2617" s="415"/>
      <c r="K2617" s="415"/>
      <c r="L2617" s="415"/>
      <c r="M2617" s="415"/>
      <c r="N2617" s="414"/>
      <c r="O2617" s="414"/>
      <c r="P2617" s="603">
        <f t="shared" si="370"/>
        <v>0</v>
      </c>
      <c r="Q2617" s="603">
        <f t="shared" si="371"/>
        <v>0</v>
      </c>
      <c r="R2617" s="610" t="str">
        <f t="shared" si="369"/>
        <v/>
      </c>
      <c r="S2617" s="611"/>
      <c r="T2617" s="611"/>
    </row>
    <row r="2618" spans="1:20" s="88" customFormat="1" ht="12.75" hidden="1" x14ac:dyDescent="0.2">
      <c r="A2618" s="510" t="str">
        <f>IF(B2618="","",COUNT('Diário 1º PA'!$A$4:$A$2635)+ROW()-3)</f>
        <v/>
      </c>
      <c r="B2618" s="414"/>
      <c r="C2618" s="592"/>
      <c r="D2618" s="415"/>
      <c r="E2618" s="415"/>
      <c r="F2618" s="425"/>
      <c r="G2618" s="427"/>
      <c r="H2618" s="415"/>
      <c r="I2618" s="427"/>
      <c r="J2618" s="415"/>
      <c r="K2618" s="415"/>
      <c r="L2618" s="415"/>
      <c r="M2618" s="415"/>
      <c r="N2618" s="414"/>
      <c r="O2618" s="414"/>
      <c r="P2618" s="603">
        <f t="shared" si="370"/>
        <v>0</v>
      </c>
      <c r="Q2618" s="603">
        <f t="shared" si="371"/>
        <v>0</v>
      </c>
      <c r="R2618" s="610" t="str">
        <f t="shared" si="369"/>
        <v/>
      </c>
      <c r="S2618" s="611"/>
      <c r="T2618" s="611"/>
    </row>
    <row r="2619" spans="1:20" s="88" customFormat="1" ht="12.75" hidden="1" x14ac:dyDescent="0.2">
      <c r="A2619" s="510" t="str">
        <f>IF(B2619="","",COUNT('Diário 1º PA'!$A$4:$A$2635)+ROW()-3)</f>
        <v/>
      </c>
      <c r="B2619" s="414"/>
      <c r="C2619" s="592"/>
      <c r="D2619" s="415"/>
      <c r="E2619" s="415"/>
      <c r="F2619" s="425"/>
      <c r="G2619" s="427"/>
      <c r="H2619" s="415"/>
      <c r="I2619" s="427"/>
      <c r="J2619" s="415"/>
      <c r="K2619" s="415"/>
      <c r="L2619" s="415"/>
      <c r="M2619" s="415"/>
      <c r="N2619" s="414"/>
      <c r="O2619" s="414"/>
      <c r="P2619" s="603">
        <f t="shared" si="370"/>
        <v>0</v>
      </c>
      <c r="Q2619" s="603">
        <f t="shared" si="371"/>
        <v>0</v>
      </c>
      <c r="R2619" s="610" t="str">
        <f t="shared" si="369"/>
        <v/>
      </c>
      <c r="S2619" s="611"/>
      <c r="T2619" s="611"/>
    </row>
    <row r="2620" spans="1:20" s="88" customFormat="1" ht="12.75" hidden="1" x14ac:dyDescent="0.2">
      <c r="A2620" s="510" t="str">
        <f>IF(B2620="","",COUNT('Diário 1º PA'!$A$4:$A$2635)+ROW()-3)</f>
        <v/>
      </c>
      <c r="B2620" s="414"/>
      <c r="C2620" s="592"/>
      <c r="D2620" s="415"/>
      <c r="E2620" s="415"/>
      <c r="F2620" s="425"/>
      <c r="G2620" s="427"/>
      <c r="H2620" s="415"/>
      <c r="I2620" s="427"/>
      <c r="J2620" s="415"/>
      <c r="K2620" s="415"/>
      <c r="L2620" s="415"/>
      <c r="M2620" s="415"/>
      <c r="N2620" s="414"/>
      <c r="O2620" s="414"/>
      <c r="P2620" s="603">
        <f t="shared" si="370"/>
        <v>0</v>
      </c>
      <c r="Q2620" s="603">
        <f t="shared" si="371"/>
        <v>0</v>
      </c>
      <c r="R2620" s="610" t="str">
        <f t="shared" si="369"/>
        <v/>
      </c>
      <c r="S2620" s="611"/>
      <c r="T2620" s="611"/>
    </row>
    <row r="2621" spans="1:20" s="88" customFormat="1" ht="12.75" hidden="1" x14ac:dyDescent="0.2">
      <c r="A2621" s="510" t="str">
        <f>IF(B2621="","",COUNT('Diário 1º PA'!$A$4:$A$2635)+ROW()-3)</f>
        <v/>
      </c>
      <c r="B2621" s="414"/>
      <c r="C2621" s="592"/>
      <c r="D2621" s="415"/>
      <c r="E2621" s="415"/>
      <c r="F2621" s="425"/>
      <c r="G2621" s="427"/>
      <c r="H2621" s="415"/>
      <c r="I2621" s="427"/>
      <c r="J2621" s="415"/>
      <c r="K2621" s="415"/>
      <c r="L2621" s="415"/>
      <c r="M2621" s="415"/>
      <c r="N2621" s="414"/>
      <c r="O2621" s="414"/>
      <c r="P2621" s="603">
        <f t="shared" si="370"/>
        <v>0</v>
      </c>
      <c r="Q2621" s="603">
        <f t="shared" si="371"/>
        <v>0</v>
      </c>
      <c r="R2621" s="610" t="str">
        <f t="shared" si="369"/>
        <v/>
      </c>
      <c r="S2621" s="611"/>
      <c r="T2621" s="611"/>
    </row>
    <row r="2622" spans="1:20" s="88" customFormat="1" ht="12.75" hidden="1" x14ac:dyDescent="0.2">
      <c r="A2622" s="510" t="str">
        <f>IF(B2622="","",COUNT('Diário 1º PA'!$A$4:$A$2635)+ROW()-3)</f>
        <v/>
      </c>
      <c r="B2622" s="414"/>
      <c r="C2622" s="592"/>
      <c r="D2622" s="415"/>
      <c r="E2622" s="415"/>
      <c r="F2622" s="425"/>
      <c r="G2622" s="427"/>
      <c r="H2622" s="415"/>
      <c r="I2622" s="427"/>
      <c r="J2622" s="415"/>
      <c r="K2622" s="415"/>
      <c r="L2622" s="415"/>
      <c r="M2622" s="415"/>
      <c r="N2622" s="414"/>
      <c r="O2622" s="414"/>
      <c r="P2622" s="603">
        <f t="shared" si="370"/>
        <v>0</v>
      </c>
      <c r="Q2622" s="603">
        <f t="shared" si="371"/>
        <v>0</v>
      </c>
      <c r="R2622" s="610" t="str">
        <f t="shared" si="369"/>
        <v/>
      </c>
      <c r="S2622" s="611"/>
      <c r="T2622" s="611"/>
    </row>
    <row r="2623" spans="1:20" s="88" customFormat="1" ht="12.75" hidden="1" x14ac:dyDescent="0.2">
      <c r="A2623" s="510" t="str">
        <f>IF(B2623="","",COUNT('Diário 1º PA'!$A$4:$A$2635)+ROW()-3)</f>
        <v/>
      </c>
      <c r="B2623" s="414"/>
      <c r="C2623" s="592"/>
      <c r="D2623" s="415"/>
      <c r="E2623" s="415"/>
      <c r="F2623" s="425"/>
      <c r="G2623" s="427"/>
      <c r="H2623" s="415"/>
      <c r="I2623" s="427"/>
      <c r="J2623" s="415"/>
      <c r="K2623" s="415"/>
      <c r="L2623" s="415"/>
      <c r="M2623" s="415"/>
      <c r="N2623" s="414"/>
      <c r="O2623" s="414"/>
      <c r="P2623" s="603">
        <f t="shared" si="370"/>
        <v>0</v>
      </c>
      <c r="Q2623" s="603">
        <f t="shared" si="371"/>
        <v>0</v>
      </c>
      <c r="R2623" s="610" t="str">
        <f t="shared" si="369"/>
        <v/>
      </c>
      <c r="S2623" s="611"/>
      <c r="T2623" s="611"/>
    </row>
    <row r="2624" spans="1:20" s="88" customFormat="1" ht="12.75" hidden="1" x14ac:dyDescent="0.2">
      <c r="A2624" s="510" t="str">
        <f>IF(B2624="","",COUNT('Diário 1º PA'!$A$4:$A$2635)+ROW()-3)</f>
        <v/>
      </c>
      <c r="B2624" s="414"/>
      <c r="C2624" s="592"/>
      <c r="D2624" s="415"/>
      <c r="E2624" s="415"/>
      <c r="F2624" s="425"/>
      <c r="G2624" s="427"/>
      <c r="H2624" s="415"/>
      <c r="I2624" s="427"/>
      <c r="J2624" s="415"/>
      <c r="K2624" s="415"/>
      <c r="L2624" s="415"/>
      <c r="M2624" s="415"/>
      <c r="N2624" s="414"/>
      <c r="O2624" s="414"/>
      <c r="P2624" s="603">
        <f t="shared" si="370"/>
        <v>0</v>
      </c>
      <c r="Q2624" s="603">
        <f t="shared" si="371"/>
        <v>0</v>
      </c>
      <c r="R2624" s="610" t="str">
        <f t="shared" si="369"/>
        <v/>
      </c>
      <c r="S2624" s="611"/>
      <c r="T2624" s="611"/>
    </row>
    <row r="2625" spans="1:20" s="88" customFormat="1" ht="12.75" hidden="1" x14ac:dyDescent="0.2">
      <c r="A2625" s="510" t="str">
        <f>IF(B2625="","",COUNT('Diário 1º PA'!$A$4:$A$2635)+ROW()-3)</f>
        <v/>
      </c>
      <c r="B2625" s="414"/>
      <c r="C2625" s="592"/>
      <c r="D2625" s="415"/>
      <c r="E2625" s="415"/>
      <c r="F2625" s="425"/>
      <c r="G2625" s="427"/>
      <c r="H2625" s="415"/>
      <c r="I2625" s="427"/>
      <c r="J2625" s="415"/>
      <c r="K2625" s="415"/>
      <c r="L2625" s="415"/>
      <c r="M2625" s="415"/>
      <c r="N2625" s="414"/>
      <c r="O2625" s="414"/>
      <c r="P2625" s="603">
        <f t="shared" si="370"/>
        <v>0</v>
      </c>
      <c r="Q2625" s="603">
        <f t="shared" si="371"/>
        <v>0</v>
      </c>
      <c r="R2625" s="610" t="str">
        <f t="shared" si="369"/>
        <v/>
      </c>
      <c r="S2625" s="611"/>
      <c r="T2625" s="611"/>
    </row>
    <row r="2626" spans="1:20" s="88" customFormat="1" ht="12.75" hidden="1" x14ac:dyDescent="0.2">
      <c r="A2626" s="510" t="str">
        <f>IF(B2626="","",COUNT('Diário 1º PA'!$A$4:$A$2635)+ROW()-3)</f>
        <v/>
      </c>
      <c r="B2626" s="414"/>
      <c r="C2626" s="592"/>
      <c r="D2626" s="415"/>
      <c r="E2626" s="415"/>
      <c r="F2626" s="425"/>
      <c r="G2626" s="427"/>
      <c r="H2626" s="415"/>
      <c r="I2626" s="427"/>
      <c r="J2626" s="415"/>
      <c r="K2626" s="415"/>
      <c r="L2626" s="415"/>
      <c r="M2626" s="415"/>
      <c r="N2626" s="414"/>
      <c r="O2626" s="414"/>
      <c r="P2626" s="603">
        <f t="shared" si="370"/>
        <v>0</v>
      </c>
      <c r="Q2626" s="603">
        <f t="shared" si="371"/>
        <v>0</v>
      </c>
      <c r="R2626" s="610" t="str">
        <f t="shared" si="369"/>
        <v/>
      </c>
      <c r="S2626" s="611"/>
      <c r="T2626" s="611"/>
    </row>
    <row r="2627" spans="1:20" s="88" customFormat="1" ht="12.75" hidden="1" x14ac:dyDescent="0.2">
      <c r="A2627" s="510" t="str">
        <f>IF(B2627="","",COUNT('Diário 1º PA'!$A$4:$A$2635)+ROW()-3)</f>
        <v/>
      </c>
      <c r="B2627" s="414"/>
      <c r="C2627" s="592"/>
      <c r="D2627" s="415"/>
      <c r="E2627" s="415"/>
      <c r="F2627" s="425"/>
      <c r="G2627" s="427"/>
      <c r="H2627" s="415"/>
      <c r="I2627" s="427"/>
      <c r="J2627" s="415"/>
      <c r="K2627" s="415"/>
      <c r="L2627" s="415"/>
      <c r="M2627" s="415"/>
      <c r="N2627" s="414"/>
      <c r="O2627" s="414"/>
      <c r="P2627" s="603">
        <f t="shared" si="370"/>
        <v>0</v>
      </c>
      <c r="Q2627" s="603">
        <f t="shared" si="371"/>
        <v>0</v>
      </c>
      <c r="R2627" s="610" t="str">
        <f t="shared" si="369"/>
        <v/>
      </c>
      <c r="S2627" s="611"/>
      <c r="T2627" s="611"/>
    </row>
    <row r="2628" spans="1:20" s="88" customFormat="1" ht="12.75" hidden="1" x14ac:dyDescent="0.2">
      <c r="A2628" s="510" t="str">
        <f>IF(B2628="","",COUNT('Diário 1º PA'!$A$4:$A$2635)+ROW()-3)</f>
        <v/>
      </c>
      <c r="B2628" s="414"/>
      <c r="C2628" s="592"/>
      <c r="D2628" s="415"/>
      <c r="E2628" s="415"/>
      <c r="F2628" s="425"/>
      <c r="G2628" s="427"/>
      <c r="H2628" s="415"/>
      <c r="I2628" s="427"/>
      <c r="J2628" s="415"/>
      <c r="K2628" s="415"/>
      <c r="L2628" s="415"/>
      <c r="M2628" s="415"/>
      <c r="N2628" s="414"/>
      <c r="O2628" s="414"/>
      <c r="P2628" s="603">
        <f t="shared" si="370"/>
        <v>0</v>
      </c>
      <c r="Q2628" s="603">
        <f t="shared" si="371"/>
        <v>0</v>
      </c>
      <c r="R2628" s="610" t="str">
        <f t="shared" si="369"/>
        <v/>
      </c>
      <c r="S2628" s="611"/>
      <c r="T2628" s="611"/>
    </row>
    <row r="2629" spans="1:20" s="88" customFormat="1" ht="12.75" hidden="1" x14ac:dyDescent="0.2">
      <c r="A2629" s="510" t="str">
        <f>IF(B2629="","",COUNT('Diário 1º PA'!$A$4:$A$2635)+ROW()-3)</f>
        <v/>
      </c>
      <c r="B2629" s="414"/>
      <c r="C2629" s="592"/>
      <c r="D2629" s="415"/>
      <c r="E2629" s="415"/>
      <c r="F2629" s="425"/>
      <c r="G2629" s="427"/>
      <c r="H2629" s="415"/>
      <c r="I2629" s="427"/>
      <c r="J2629" s="415"/>
      <c r="K2629" s="415"/>
      <c r="L2629" s="415"/>
      <c r="M2629" s="415"/>
      <c r="N2629" s="414"/>
      <c r="O2629" s="414"/>
      <c r="P2629" s="603">
        <f t="shared" si="370"/>
        <v>0</v>
      </c>
      <c r="Q2629" s="603">
        <f t="shared" si="371"/>
        <v>0</v>
      </c>
      <c r="R2629" s="610" t="str">
        <f t="shared" si="369"/>
        <v/>
      </c>
      <c r="S2629" s="611"/>
      <c r="T2629" s="611"/>
    </row>
    <row r="2630" spans="1:20" s="88" customFormat="1" ht="12.75" hidden="1" x14ac:dyDescent="0.2">
      <c r="A2630" s="510" t="str">
        <f>IF(B2630="","",COUNT('Diário 1º PA'!$A$4:$A$2635)+ROW()-3)</f>
        <v/>
      </c>
      <c r="B2630" s="414"/>
      <c r="C2630" s="592"/>
      <c r="D2630" s="415"/>
      <c r="E2630" s="415"/>
      <c r="F2630" s="425"/>
      <c r="G2630" s="427"/>
      <c r="H2630" s="415"/>
      <c r="I2630" s="427"/>
      <c r="J2630" s="415"/>
      <c r="K2630" s="415"/>
      <c r="L2630" s="415"/>
      <c r="M2630" s="415"/>
      <c r="N2630" s="414"/>
      <c r="O2630" s="414"/>
      <c r="P2630" s="603">
        <f t="shared" si="370"/>
        <v>0</v>
      </c>
      <c r="Q2630" s="603">
        <f t="shared" si="371"/>
        <v>0</v>
      </c>
      <c r="R2630" s="610" t="str">
        <f t="shared" si="369"/>
        <v/>
      </c>
      <c r="S2630" s="611"/>
      <c r="T2630" s="611"/>
    </row>
    <row r="2631" spans="1:20" s="88" customFormat="1" ht="12.75" hidden="1" x14ac:dyDescent="0.2">
      <c r="A2631" s="510" t="str">
        <f>IF(B2631="","",COUNT('Diário 1º PA'!$A$4:$A$2635)+ROW()-3)</f>
        <v/>
      </c>
      <c r="B2631" s="414"/>
      <c r="C2631" s="592"/>
      <c r="D2631" s="415"/>
      <c r="E2631" s="415"/>
      <c r="F2631" s="425"/>
      <c r="G2631" s="427"/>
      <c r="H2631" s="415"/>
      <c r="I2631" s="427"/>
      <c r="J2631" s="415"/>
      <c r="K2631" s="415"/>
      <c r="L2631" s="415"/>
      <c r="M2631" s="415"/>
      <c r="N2631" s="414"/>
      <c r="O2631" s="414"/>
      <c r="P2631" s="603">
        <f t="shared" si="370"/>
        <v>0</v>
      </c>
      <c r="Q2631" s="603">
        <f t="shared" si="371"/>
        <v>0</v>
      </c>
      <c r="R2631" s="610" t="str">
        <f t="shared" si="369"/>
        <v/>
      </c>
      <c r="S2631" s="611"/>
      <c r="T2631" s="611"/>
    </row>
    <row r="2632" spans="1:20" s="88" customFormat="1" ht="12.75" hidden="1" x14ac:dyDescent="0.2">
      <c r="A2632" s="510" t="str">
        <f>IF(B2632="","",COUNT('Diário 1º PA'!$A$4:$A$2635)+ROW()-3)</f>
        <v/>
      </c>
      <c r="B2632" s="414"/>
      <c r="C2632" s="592"/>
      <c r="D2632" s="415"/>
      <c r="E2632" s="415"/>
      <c r="F2632" s="425"/>
      <c r="G2632" s="427"/>
      <c r="H2632" s="415"/>
      <c r="I2632" s="427"/>
      <c r="J2632" s="415"/>
      <c r="K2632" s="415"/>
      <c r="L2632" s="415"/>
      <c r="M2632" s="415"/>
      <c r="N2632" s="414"/>
      <c r="O2632" s="414"/>
      <c r="P2632" s="603">
        <f t="shared" si="370"/>
        <v>0</v>
      </c>
      <c r="Q2632" s="603">
        <f t="shared" si="371"/>
        <v>0</v>
      </c>
      <c r="R2632" s="610" t="str">
        <f t="shared" si="369"/>
        <v/>
      </c>
      <c r="S2632" s="611"/>
      <c r="T2632" s="611"/>
    </row>
    <row r="2633" spans="1:20" s="88" customFormat="1" ht="12.75" hidden="1" x14ac:dyDescent="0.2">
      <c r="A2633" s="510" t="str">
        <f>IF(B2633="","",COUNT('Diário 1º PA'!$A$4:$A$2635)+ROW()-3)</f>
        <v/>
      </c>
      <c r="B2633" s="414"/>
      <c r="C2633" s="592"/>
      <c r="D2633" s="415"/>
      <c r="E2633" s="415"/>
      <c r="F2633" s="425"/>
      <c r="G2633" s="427"/>
      <c r="H2633" s="415"/>
      <c r="I2633" s="427"/>
      <c r="J2633" s="415"/>
      <c r="K2633" s="415"/>
      <c r="L2633" s="415"/>
      <c r="M2633" s="415"/>
      <c r="N2633" s="414"/>
      <c r="O2633" s="414"/>
      <c r="P2633" s="603">
        <f t="shared" si="370"/>
        <v>0</v>
      </c>
      <c r="Q2633" s="603">
        <f t="shared" si="371"/>
        <v>0</v>
      </c>
      <c r="R2633" s="610" t="str">
        <f t="shared" si="369"/>
        <v/>
      </c>
      <c r="S2633" s="611"/>
      <c r="T2633" s="611"/>
    </row>
    <row r="2634" spans="1:20" s="88" customFormat="1" ht="12.75" hidden="1" x14ac:dyDescent="0.2">
      <c r="A2634" s="510" t="str">
        <f>IF(B2634="","",COUNT('Diário 1º PA'!$A$4:$A$2635)+ROW()-3)</f>
        <v/>
      </c>
      <c r="B2634" s="414"/>
      <c r="C2634" s="592"/>
      <c r="D2634" s="415"/>
      <c r="E2634" s="415"/>
      <c r="F2634" s="425"/>
      <c r="G2634" s="427"/>
      <c r="H2634" s="415"/>
      <c r="I2634" s="427"/>
      <c r="J2634" s="415"/>
      <c r="K2634" s="415"/>
      <c r="L2634" s="415"/>
      <c r="M2634" s="415"/>
      <c r="N2634" s="414"/>
      <c r="O2634" s="414"/>
      <c r="P2634" s="603">
        <f t="shared" si="370"/>
        <v>0</v>
      </c>
      <c r="Q2634" s="603">
        <f t="shared" si="371"/>
        <v>0</v>
      </c>
      <c r="R2634" s="610" t="str">
        <f t="shared" si="369"/>
        <v/>
      </c>
      <c r="S2634" s="611"/>
      <c r="T2634" s="611"/>
    </row>
    <row r="2635" spans="1:20" s="88" customFormat="1" ht="12.75" hidden="1" x14ac:dyDescent="0.2">
      <c r="A2635" s="510" t="str">
        <f>IF(B2635="","",COUNT('Diário 1º PA'!$A$4:$A$2635)+ROW()-3)</f>
        <v/>
      </c>
      <c r="B2635" s="414"/>
      <c r="C2635" s="592"/>
      <c r="D2635" s="415"/>
      <c r="E2635" s="415"/>
      <c r="F2635" s="425"/>
      <c r="G2635" s="427"/>
      <c r="H2635" s="415"/>
      <c r="I2635" s="427"/>
      <c r="J2635" s="415"/>
      <c r="K2635" s="415"/>
      <c r="L2635" s="415"/>
      <c r="M2635" s="415"/>
      <c r="N2635" s="414"/>
      <c r="O2635" s="414"/>
      <c r="P2635" s="603">
        <f t="shared" si="370"/>
        <v>0</v>
      </c>
      <c r="Q2635" s="603">
        <f t="shared" si="371"/>
        <v>0</v>
      </c>
      <c r="R2635" s="610" t="str">
        <f t="shared" si="369"/>
        <v/>
      </c>
      <c r="S2635" s="611"/>
      <c r="T2635" s="611"/>
    </row>
    <row r="2636" spans="1:20" s="88" customFormat="1" ht="12.75" hidden="1" x14ac:dyDescent="0.2">
      <c r="A2636" s="510" t="str">
        <f>IF(B2636="","",COUNT('Diário 1º PA'!$A$4:$A$2635)+ROW()-3)</f>
        <v/>
      </c>
      <c r="B2636" s="414"/>
      <c r="C2636" s="592"/>
      <c r="D2636" s="415"/>
      <c r="E2636" s="415"/>
      <c r="F2636" s="425"/>
      <c r="G2636" s="427"/>
      <c r="H2636" s="415"/>
      <c r="I2636" s="427"/>
      <c r="J2636" s="415"/>
      <c r="K2636" s="415"/>
      <c r="L2636" s="415"/>
      <c r="M2636" s="415"/>
      <c r="N2636" s="414"/>
      <c r="O2636" s="414"/>
      <c r="P2636" s="603">
        <f t="shared" si="370"/>
        <v>0</v>
      </c>
      <c r="Q2636" s="603">
        <f t="shared" si="371"/>
        <v>0</v>
      </c>
      <c r="R2636" s="610" t="str">
        <f t="shared" si="369"/>
        <v/>
      </c>
      <c r="S2636" s="611"/>
      <c r="T2636" s="611"/>
    </row>
    <row r="2637" spans="1:20" s="88" customFormat="1" ht="12.75" hidden="1" x14ac:dyDescent="0.2">
      <c r="A2637" s="510" t="str">
        <f>IF(B2637="","",COUNT('Diário 1º PA'!$A$4:$A$2635)+ROW()-3)</f>
        <v/>
      </c>
      <c r="B2637" s="414"/>
      <c r="C2637" s="592"/>
      <c r="D2637" s="415"/>
      <c r="E2637" s="415"/>
      <c r="F2637" s="425"/>
      <c r="G2637" s="427"/>
      <c r="H2637" s="415"/>
      <c r="I2637" s="427"/>
      <c r="J2637" s="415"/>
      <c r="K2637" s="415"/>
      <c r="L2637" s="415"/>
      <c r="M2637" s="415"/>
      <c r="N2637" s="414"/>
      <c r="O2637" s="414"/>
      <c r="P2637" s="603">
        <f t="shared" si="370"/>
        <v>0</v>
      </c>
      <c r="Q2637" s="603">
        <f t="shared" si="371"/>
        <v>0</v>
      </c>
      <c r="R2637" s="610" t="str">
        <f t="shared" si="369"/>
        <v/>
      </c>
      <c r="S2637" s="611"/>
      <c r="T2637" s="611"/>
    </row>
    <row r="2638" spans="1:20" s="88" customFormat="1" ht="12.75" hidden="1" x14ac:dyDescent="0.2">
      <c r="A2638" s="510" t="str">
        <f>IF(B2638="","",COUNT('Diário 1º PA'!$A$4:$A$2635)+ROW()-3)</f>
        <v/>
      </c>
      <c r="B2638" s="414"/>
      <c r="C2638" s="592"/>
      <c r="D2638" s="415"/>
      <c r="E2638" s="415"/>
      <c r="F2638" s="425"/>
      <c r="G2638" s="427"/>
      <c r="H2638" s="415"/>
      <c r="I2638" s="427"/>
      <c r="J2638" s="415"/>
      <c r="K2638" s="415"/>
      <c r="L2638" s="415"/>
      <c r="M2638" s="415"/>
      <c r="N2638" s="414"/>
      <c r="O2638" s="414"/>
      <c r="P2638" s="603">
        <f t="shared" si="370"/>
        <v>0</v>
      </c>
      <c r="Q2638" s="603">
        <f t="shared" si="371"/>
        <v>0</v>
      </c>
      <c r="R2638" s="610" t="str">
        <f t="shared" si="369"/>
        <v/>
      </c>
      <c r="S2638" s="611"/>
      <c r="T2638" s="611"/>
    </row>
    <row r="2639" spans="1:20" s="88" customFormat="1" ht="12.75" hidden="1" x14ac:dyDescent="0.2">
      <c r="A2639" s="510" t="str">
        <f>IF(B2639="","",COUNT('Diário 1º PA'!$A$4:$A$2635)+ROW()-3)</f>
        <v/>
      </c>
      <c r="B2639" s="414"/>
      <c r="C2639" s="592"/>
      <c r="D2639" s="415"/>
      <c r="E2639" s="415"/>
      <c r="F2639" s="425"/>
      <c r="G2639" s="427"/>
      <c r="H2639" s="415"/>
      <c r="I2639" s="427"/>
      <c r="J2639" s="415"/>
      <c r="K2639" s="415"/>
      <c r="L2639" s="415"/>
      <c r="M2639" s="415"/>
      <c r="N2639" s="414"/>
      <c r="O2639" s="414"/>
      <c r="P2639" s="603">
        <f t="shared" si="370"/>
        <v>0</v>
      </c>
      <c r="Q2639" s="603">
        <f t="shared" si="371"/>
        <v>0</v>
      </c>
      <c r="R2639" s="610" t="str">
        <f t="shared" si="369"/>
        <v/>
      </c>
      <c r="S2639" s="611"/>
      <c r="T2639" s="611"/>
    </row>
    <row r="2640" spans="1:20" s="88" customFormat="1" ht="12.75" hidden="1" x14ac:dyDescent="0.2">
      <c r="A2640" s="510" t="str">
        <f>IF(B2640="","",COUNT('Diário 1º PA'!$A$4:$A$2635)+ROW()-3)</f>
        <v/>
      </c>
      <c r="B2640" s="414"/>
      <c r="C2640" s="592"/>
      <c r="D2640" s="415"/>
      <c r="E2640" s="415"/>
      <c r="F2640" s="425"/>
      <c r="G2640" s="427"/>
      <c r="H2640" s="415"/>
      <c r="I2640" s="427"/>
      <c r="J2640" s="415"/>
      <c r="K2640" s="415"/>
      <c r="L2640" s="415"/>
      <c r="M2640" s="415"/>
      <c r="N2640" s="414"/>
      <c r="O2640" s="414"/>
      <c r="P2640" s="603">
        <f t="shared" si="370"/>
        <v>0</v>
      </c>
      <c r="Q2640" s="603">
        <f t="shared" si="371"/>
        <v>0</v>
      </c>
      <c r="R2640" s="610" t="str">
        <f t="shared" si="369"/>
        <v/>
      </c>
      <c r="S2640" s="611"/>
      <c r="T2640" s="611"/>
    </row>
    <row r="2641" spans="1:20" s="88" customFormat="1" ht="12.75" hidden="1" x14ac:dyDescent="0.2">
      <c r="A2641" s="510" t="str">
        <f>IF(B2641="","",COUNT('Diário 1º PA'!$A$4:$A$2635)+ROW()-3)</f>
        <v/>
      </c>
      <c r="B2641" s="414"/>
      <c r="C2641" s="592"/>
      <c r="D2641" s="415"/>
      <c r="E2641" s="415"/>
      <c r="F2641" s="425"/>
      <c r="G2641" s="427"/>
      <c r="H2641" s="415"/>
      <c r="I2641" s="427"/>
      <c r="J2641" s="415"/>
      <c r="K2641" s="415"/>
      <c r="L2641" s="415"/>
      <c r="M2641" s="415"/>
      <c r="N2641" s="414"/>
      <c r="O2641" s="414"/>
      <c r="P2641" s="603">
        <f t="shared" si="370"/>
        <v>0</v>
      </c>
      <c r="Q2641" s="603">
        <f t="shared" si="371"/>
        <v>0</v>
      </c>
      <c r="R2641" s="610" t="str">
        <f t="shared" si="369"/>
        <v/>
      </c>
      <c r="S2641" s="611"/>
      <c r="T2641" s="611"/>
    </row>
    <row r="2642" spans="1:20" s="88" customFormat="1" ht="12.75" hidden="1" x14ac:dyDescent="0.2">
      <c r="A2642" s="510" t="str">
        <f>IF(B2642="","",COUNT('Diário 1º PA'!$A$4:$A$2635)+ROW()-3)</f>
        <v/>
      </c>
      <c r="B2642" s="414"/>
      <c r="C2642" s="592"/>
      <c r="D2642" s="415"/>
      <c r="E2642" s="415"/>
      <c r="F2642" s="425"/>
      <c r="G2642" s="427"/>
      <c r="H2642" s="415"/>
      <c r="I2642" s="427"/>
      <c r="J2642" s="415"/>
      <c r="K2642" s="415"/>
      <c r="L2642" s="415"/>
      <c r="M2642" s="415"/>
      <c r="N2642" s="414"/>
      <c r="O2642" s="414"/>
      <c r="P2642" s="603">
        <f t="shared" si="370"/>
        <v>0</v>
      </c>
      <c r="Q2642" s="603">
        <f t="shared" si="371"/>
        <v>0</v>
      </c>
      <c r="R2642" s="610" t="str">
        <f t="shared" si="369"/>
        <v/>
      </c>
      <c r="S2642" s="611"/>
      <c r="T2642" s="611"/>
    </row>
    <row r="2643" spans="1:20" s="88" customFormat="1" ht="12.75" hidden="1" x14ac:dyDescent="0.2">
      <c r="A2643" s="510" t="str">
        <f>IF(B2643="","",COUNT('Diário 1º PA'!$A$4:$A$2635)+ROW()-3)</f>
        <v/>
      </c>
      <c r="B2643" s="414"/>
      <c r="C2643" s="592"/>
      <c r="D2643" s="415"/>
      <c r="E2643" s="415"/>
      <c r="F2643" s="425"/>
      <c r="G2643" s="427"/>
      <c r="H2643" s="415"/>
      <c r="I2643" s="427"/>
      <c r="J2643" s="415"/>
      <c r="K2643" s="415"/>
      <c r="L2643" s="415"/>
      <c r="M2643" s="415"/>
      <c r="N2643" s="414"/>
      <c r="O2643" s="414"/>
      <c r="P2643" s="603">
        <f t="shared" si="370"/>
        <v>0</v>
      </c>
      <c r="Q2643" s="603">
        <f t="shared" si="371"/>
        <v>0</v>
      </c>
      <c r="R2643" s="610" t="str">
        <f t="shared" si="369"/>
        <v/>
      </c>
      <c r="S2643" s="611"/>
      <c r="T2643" s="611"/>
    </row>
    <row r="2644" spans="1:20" s="88" customFormat="1" ht="12.75" hidden="1" x14ac:dyDescent="0.2">
      <c r="A2644" s="510" t="str">
        <f>IF(B2644="","",COUNT('Diário 1º PA'!$A$4:$A$2635)+ROW()-3)</f>
        <v/>
      </c>
      <c r="B2644" s="414"/>
      <c r="C2644" s="592"/>
      <c r="D2644" s="415"/>
      <c r="E2644" s="415"/>
      <c r="F2644" s="425"/>
      <c r="G2644" s="427"/>
      <c r="H2644" s="415"/>
      <c r="I2644" s="427"/>
      <c r="J2644" s="415"/>
      <c r="K2644" s="415"/>
      <c r="L2644" s="415"/>
      <c r="M2644" s="415"/>
      <c r="N2644" s="414"/>
      <c r="O2644" s="414"/>
      <c r="P2644" s="603">
        <f t="shared" si="370"/>
        <v>0</v>
      </c>
      <c r="Q2644" s="603">
        <f t="shared" si="371"/>
        <v>0</v>
      </c>
      <c r="R2644" s="610" t="str">
        <f t="shared" si="369"/>
        <v/>
      </c>
      <c r="S2644" s="611"/>
      <c r="T2644" s="611"/>
    </row>
    <row r="2645" spans="1:20" s="88" customFormat="1" ht="12.75" hidden="1" x14ac:dyDescent="0.2">
      <c r="A2645" s="510" t="str">
        <f>IF(B2645="","",COUNT('Diário 1º PA'!$A$4:$A$2635)+ROW()-3)</f>
        <v/>
      </c>
      <c r="B2645" s="414"/>
      <c r="C2645" s="592"/>
      <c r="D2645" s="415"/>
      <c r="E2645" s="415"/>
      <c r="F2645" s="425"/>
      <c r="G2645" s="427"/>
      <c r="H2645" s="415"/>
      <c r="I2645" s="427"/>
      <c r="J2645" s="415"/>
      <c r="K2645" s="415"/>
      <c r="L2645" s="415"/>
      <c r="M2645" s="415"/>
      <c r="N2645" s="414"/>
      <c r="O2645" s="414"/>
      <c r="P2645" s="603">
        <f t="shared" si="370"/>
        <v>0</v>
      </c>
      <c r="Q2645" s="603">
        <f t="shared" si="371"/>
        <v>0</v>
      </c>
      <c r="R2645" s="610" t="str">
        <f t="shared" si="369"/>
        <v/>
      </c>
      <c r="S2645" s="611"/>
      <c r="T2645" s="611"/>
    </row>
    <row r="2646" spans="1:20" s="88" customFormat="1" ht="12.75" hidden="1" x14ac:dyDescent="0.2">
      <c r="A2646" s="510" t="str">
        <f>IF(B2646="","",COUNT('Diário 1º PA'!$A$4:$A$2635)+ROW()-3)</f>
        <v/>
      </c>
      <c r="B2646" s="414"/>
      <c r="C2646" s="592"/>
      <c r="D2646" s="415"/>
      <c r="E2646" s="415"/>
      <c r="F2646" s="425"/>
      <c r="G2646" s="427"/>
      <c r="H2646" s="415"/>
      <c r="I2646" s="427"/>
      <c r="J2646" s="415"/>
      <c r="K2646" s="415"/>
      <c r="L2646" s="415"/>
      <c r="M2646" s="576"/>
      <c r="N2646" s="414"/>
      <c r="O2646" s="414"/>
      <c r="P2646" s="603">
        <f t="shared" si="370"/>
        <v>0</v>
      </c>
      <c r="Q2646" s="603">
        <f t="shared" si="371"/>
        <v>0</v>
      </c>
      <c r="R2646" s="610" t="str">
        <f t="shared" si="369"/>
        <v/>
      </c>
      <c r="S2646" s="611"/>
      <c r="T2646" s="611"/>
    </row>
    <row r="2647" spans="1:20" s="88" customFormat="1" ht="12.75" hidden="1" x14ac:dyDescent="0.2">
      <c r="A2647" s="510" t="str">
        <f>IF(B2647="","",COUNT('Diário 1º PA'!$A$4:$A$2635)+ROW()-3)</f>
        <v/>
      </c>
      <c r="B2647" s="414"/>
      <c r="C2647" s="592"/>
      <c r="D2647" s="415"/>
      <c r="E2647" s="415"/>
      <c r="F2647" s="425"/>
      <c r="G2647" s="427"/>
      <c r="H2647" s="415"/>
      <c r="I2647" s="427"/>
      <c r="J2647" s="415"/>
      <c r="K2647" s="415"/>
      <c r="L2647" s="415"/>
      <c r="M2647" s="415"/>
      <c r="N2647" s="414"/>
      <c r="O2647" s="414"/>
      <c r="P2647" s="603">
        <f t="shared" si="370"/>
        <v>0</v>
      </c>
      <c r="Q2647" s="603">
        <f t="shared" si="371"/>
        <v>0</v>
      </c>
      <c r="R2647" s="610" t="str">
        <f t="shared" si="369"/>
        <v/>
      </c>
      <c r="S2647" s="611"/>
      <c r="T2647" s="611"/>
    </row>
    <row r="2648" spans="1:20" s="88" customFormat="1" ht="12.75" hidden="1" x14ac:dyDescent="0.2">
      <c r="A2648" s="510" t="str">
        <f>IF(B2648="","",COUNT('Diário 1º PA'!$A$4:$A$2635)+ROW()-3)</f>
        <v/>
      </c>
      <c r="B2648" s="414"/>
      <c r="C2648" s="592"/>
      <c r="D2648" s="415"/>
      <c r="E2648" s="415"/>
      <c r="F2648" s="425"/>
      <c r="G2648" s="427"/>
      <c r="H2648" s="415"/>
      <c r="I2648" s="427"/>
      <c r="J2648" s="415"/>
      <c r="K2648" s="415"/>
      <c r="L2648" s="415"/>
      <c r="M2648" s="415"/>
      <c r="N2648" s="414"/>
      <c r="O2648" s="414"/>
      <c r="P2648" s="603">
        <f t="shared" si="370"/>
        <v>0</v>
      </c>
      <c r="Q2648" s="603">
        <f t="shared" si="371"/>
        <v>0</v>
      </c>
      <c r="R2648" s="610" t="str">
        <f t="shared" si="369"/>
        <v/>
      </c>
      <c r="S2648" s="611"/>
      <c r="T2648" s="611"/>
    </row>
    <row r="2649" spans="1:20" s="88" customFormat="1" ht="12.75" hidden="1" x14ac:dyDescent="0.2">
      <c r="A2649" s="510" t="str">
        <f>IF(B2649="","",COUNT('Diário 1º PA'!$A$4:$A$2635)+ROW()-3)</f>
        <v/>
      </c>
      <c r="B2649" s="414"/>
      <c r="C2649" s="592"/>
      <c r="D2649" s="415"/>
      <c r="E2649" s="415"/>
      <c r="F2649" s="425"/>
      <c r="G2649" s="427"/>
      <c r="H2649" s="415"/>
      <c r="I2649" s="427"/>
      <c r="J2649" s="415"/>
      <c r="K2649" s="415"/>
      <c r="L2649" s="415"/>
      <c r="M2649" s="415"/>
      <c r="N2649" s="414"/>
      <c r="O2649" s="414"/>
      <c r="P2649" s="603">
        <f t="shared" si="370"/>
        <v>0</v>
      </c>
      <c r="Q2649" s="603">
        <f t="shared" si="371"/>
        <v>0</v>
      </c>
      <c r="R2649" s="610" t="str">
        <f t="shared" si="369"/>
        <v/>
      </c>
      <c r="S2649" s="611"/>
      <c r="T2649" s="611"/>
    </row>
    <row r="2650" spans="1:20" s="88" customFormat="1" ht="12.75" hidden="1" x14ac:dyDescent="0.2">
      <c r="A2650" s="510" t="str">
        <f>IF(B2650="","",COUNT('Diário 1º PA'!$A$4:$A$2635)+ROW()-3)</f>
        <v/>
      </c>
      <c r="B2650" s="414"/>
      <c r="C2650" s="592"/>
      <c r="D2650" s="415"/>
      <c r="E2650" s="415"/>
      <c r="F2650" s="425"/>
      <c r="G2650" s="427"/>
      <c r="H2650" s="415"/>
      <c r="I2650" s="427"/>
      <c r="J2650" s="415"/>
      <c r="K2650" s="415"/>
      <c r="L2650" s="415"/>
      <c r="M2650" s="415"/>
      <c r="N2650" s="414"/>
      <c r="O2650" s="414"/>
      <c r="P2650" s="603">
        <f t="shared" si="370"/>
        <v>0</v>
      </c>
      <c r="Q2650" s="603">
        <f t="shared" si="371"/>
        <v>0</v>
      </c>
      <c r="R2650" s="610" t="str">
        <f t="shared" si="369"/>
        <v/>
      </c>
      <c r="S2650" s="611"/>
      <c r="T2650" s="611"/>
    </row>
    <row r="2651" spans="1:20" s="88" customFormat="1" ht="12.75" hidden="1" x14ac:dyDescent="0.2">
      <c r="A2651" s="510" t="str">
        <f>IF(B2651="","",COUNT('Diário 1º PA'!$A$4:$A$2635)+ROW()-3)</f>
        <v/>
      </c>
      <c r="B2651" s="414"/>
      <c r="C2651" s="592"/>
      <c r="D2651" s="415"/>
      <c r="E2651" s="415"/>
      <c r="F2651" s="425"/>
      <c r="G2651" s="427"/>
      <c r="H2651" s="415"/>
      <c r="I2651" s="427"/>
      <c r="J2651" s="415"/>
      <c r="K2651" s="415"/>
      <c r="L2651" s="415"/>
      <c r="M2651" s="415"/>
      <c r="N2651" s="414"/>
      <c r="O2651" s="414"/>
      <c r="P2651" s="603">
        <f t="shared" si="370"/>
        <v>0</v>
      </c>
      <c r="Q2651" s="603">
        <f t="shared" si="371"/>
        <v>0</v>
      </c>
      <c r="R2651" s="610" t="str">
        <f t="shared" si="369"/>
        <v/>
      </c>
      <c r="S2651" s="611"/>
      <c r="T2651" s="611"/>
    </row>
    <row r="2652" spans="1:20" s="88" customFormat="1" ht="12.75" hidden="1" x14ac:dyDescent="0.2">
      <c r="A2652" s="510" t="str">
        <f>IF(B2652="","",COUNT('Diário 1º PA'!$A$4:$A$2635)+ROW()-3)</f>
        <v/>
      </c>
      <c r="B2652" s="414"/>
      <c r="C2652" s="592"/>
      <c r="D2652" s="415"/>
      <c r="E2652" s="415"/>
      <c r="F2652" s="425"/>
      <c r="G2652" s="427"/>
      <c r="H2652" s="415"/>
      <c r="I2652" s="427"/>
      <c r="J2652" s="415"/>
      <c r="K2652" s="415"/>
      <c r="L2652" s="415"/>
      <c r="M2652" s="415"/>
      <c r="N2652" s="414"/>
      <c r="O2652" s="414"/>
      <c r="P2652" s="603">
        <f t="shared" si="370"/>
        <v>0</v>
      </c>
      <c r="Q2652" s="603">
        <f t="shared" si="371"/>
        <v>0</v>
      </c>
      <c r="R2652" s="610" t="str">
        <f t="shared" si="369"/>
        <v/>
      </c>
      <c r="S2652" s="611"/>
      <c r="T2652" s="611"/>
    </row>
    <row r="2653" spans="1:20" s="88" customFormat="1" ht="12.75" hidden="1" x14ac:dyDescent="0.2">
      <c r="A2653" s="510" t="str">
        <f>IF(B2653="","",COUNT('Diário 1º PA'!$A$4:$A$2635)+ROW()-3)</f>
        <v/>
      </c>
      <c r="B2653" s="414"/>
      <c r="C2653" s="592"/>
      <c r="D2653" s="415"/>
      <c r="E2653" s="415"/>
      <c r="F2653" s="425"/>
      <c r="G2653" s="427"/>
      <c r="H2653" s="415"/>
      <c r="I2653" s="427"/>
      <c r="J2653" s="415"/>
      <c r="K2653" s="415"/>
      <c r="L2653" s="415"/>
      <c r="M2653" s="415"/>
      <c r="N2653" s="414"/>
      <c r="O2653" s="414"/>
      <c r="P2653" s="603">
        <f t="shared" si="370"/>
        <v>0</v>
      </c>
      <c r="Q2653" s="603">
        <f t="shared" si="371"/>
        <v>0</v>
      </c>
      <c r="R2653" s="610" t="str">
        <f t="shared" si="369"/>
        <v/>
      </c>
      <c r="S2653" s="611"/>
      <c r="T2653" s="611"/>
    </row>
    <row r="2654" spans="1:20" s="88" customFormat="1" ht="12.75" hidden="1" x14ac:dyDescent="0.2">
      <c r="A2654" s="510" t="str">
        <f>IF(B2654="","",COUNT('Diário 1º PA'!$A$4:$A$2635)+ROW()-3)</f>
        <v/>
      </c>
      <c r="B2654" s="414"/>
      <c r="C2654" s="592"/>
      <c r="D2654" s="415"/>
      <c r="E2654" s="415"/>
      <c r="F2654" s="425"/>
      <c r="G2654" s="427"/>
      <c r="H2654" s="415"/>
      <c r="I2654" s="427"/>
      <c r="J2654" s="415"/>
      <c r="K2654" s="415"/>
      <c r="L2654" s="415"/>
      <c r="M2654" s="415"/>
      <c r="N2654" s="414"/>
      <c r="O2654" s="414"/>
      <c r="P2654" s="603">
        <f t="shared" si="370"/>
        <v>0</v>
      </c>
      <c r="Q2654" s="603">
        <f t="shared" si="371"/>
        <v>0</v>
      </c>
      <c r="R2654" s="610" t="str">
        <f t="shared" si="369"/>
        <v/>
      </c>
      <c r="S2654" s="611"/>
      <c r="T2654" s="611"/>
    </row>
    <row r="2655" spans="1:20" s="88" customFormat="1" ht="12.75" hidden="1" x14ac:dyDescent="0.2">
      <c r="A2655" s="510" t="str">
        <f>IF(B2655="","",COUNT('Diário 1º PA'!$A$4:$A$2635)+ROW()-3)</f>
        <v/>
      </c>
      <c r="B2655" s="414"/>
      <c r="C2655" s="592"/>
      <c r="D2655" s="415"/>
      <c r="E2655" s="415"/>
      <c r="F2655" s="425"/>
      <c r="G2655" s="427"/>
      <c r="H2655" s="415"/>
      <c r="I2655" s="427"/>
      <c r="J2655" s="415"/>
      <c r="K2655" s="415"/>
      <c r="L2655" s="415"/>
      <c r="M2655" s="415"/>
      <c r="N2655" s="414"/>
      <c r="O2655" s="414"/>
      <c r="P2655" s="603">
        <f t="shared" si="370"/>
        <v>0</v>
      </c>
      <c r="Q2655" s="603">
        <f t="shared" si="371"/>
        <v>0</v>
      </c>
      <c r="R2655" s="610" t="str">
        <f t="shared" si="369"/>
        <v/>
      </c>
      <c r="S2655" s="611"/>
      <c r="T2655" s="611"/>
    </row>
    <row r="2656" spans="1:20" s="88" customFormat="1" ht="12.75" hidden="1" x14ac:dyDescent="0.2">
      <c r="A2656" s="510" t="str">
        <f>IF(B2656="","",COUNT('Diário 1º PA'!$A$4:$A$2635)+ROW()-3)</f>
        <v/>
      </c>
      <c r="B2656" s="414"/>
      <c r="C2656" s="592"/>
      <c r="D2656" s="415"/>
      <c r="E2656" s="415"/>
      <c r="F2656" s="425"/>
      <c r="G2656" s="427"/>
      <c r="H2656" s="415"/>
      <c r="I2656" s="427"/>
      <c r="J2656" s="415"/>
      <c r="K2656" s="415"/>
      <c r="L2656" s="415"/>
      <c r="M2656" s="415"/>
      <c r="N2656" s="414"/>
      <c r="O2656" s="414"/>
      <c r="P2656" s="603">
        <f t="shared" si="370"/>
        <v>0</v>
      </c>
      <c r="Q2656" s="603">
        <f t="shared" si="371"/>
        <v>0</v>
      </c>
      <c r="R2656" s="610" t="str">
        <f t="shared" si="369"/>
        <v/>
      </c>
      <c r="S2656" s="611"/>
      <c r="T2656" s="611"/>
    </row>
    <row r="2657" spans="1:20" s="88" customFormat="1" ht="12.75" hidden="1" x14ac:dyDescent="0.2">
      <c r="A2657" s="510" t="str">
        <f>IF(B2657="","",COUNT('Diário 1º PA'!$A$4:$A$2635)+ROW()-3)</f>
        <v/>
      </c>
      <c r="B2657" s="414"/>
      <c r="C2657" s="592"/>
      <c r="D2657" s="415"/>
      <c r="E2657" s="415"/>
      <c r="F2657" s="425"/>
      <c r="G2657" s="427"/>
      <c r="H2657" s="415"/>
      <c r="I2657" s="427"/>
      <c r="J2657" s="415"/>
      <c r="K2657" s="415"/>
      <c r="L2657" s="415"/>
      <c r="M2657" s="415"/>
      <c r="N2657" s="414"/>
      <c r="O2657" s="414"/>
      <c r="P2657" s="603">
        <f t="shared" si="370"/>
        <v>0</v>
      </c>
      <c r="Q2657" s="603">
        <f t="shared" si="371"/>
        <v>0</v>
      </c>
      <c r="R2657" s="610" t="str">
        <f t="shared" si="369"/>
        <v/>
      </c>
      <c r="S2657" s="611"/>
      <c r="T2657" s="611"/>
    </row>
    <row r="2658" spans="1:20" s="88" customFormat="1" ht="12.75" hidden="1" x14ac:dyDescent="0.2">
      <c r="A2658" s="510" t="str">
        <f>IF(B2658="","",COUNT('Diário 1º PA'!$A$4:$A$2635)+ROW()-3)</f>
        <v/>
      </c>
      <c r="B2658" s="414"/>
      <c r="C2658" s="592"/>
      <c r="D2658" s="415"/>
      <c r="E2658" s="415"/>
      <c r="F2658" s="425"/>
      <c r="G2658" s="427"/>
      <c r="H2658" s="415"/>
      <c r="I2658" s="427"/>
      <c r="J2658" s="415"/>
      <c r="K2658" s="415"/>
      <c r="L2658" s="415"/>
      <c r="M2658" s="415"/>
      <c r="N2658" s="414"/>
      <c r="O2658" s="414"/>
      <c r="P2658" s="603">
        <f t="shared" si="370"/>
        <v>0</v>
      </c>
      <c r="Q2658" s="603">
        <f t="shared" si="371"/>
        <v>0</v>
      </c>
      <c r="R2658" s="610" t="str">
        <f t="shared" si="369"/>
        <v/>
      </c>
      <c r="S2658" s="611"/>
      <c r="T2658" s="611"/>
    </row>
    <row r="2659" spans="1:20" s="88" customFormat="1" ht="12.75" hidden="1" x14ac:dyDescent="0.2">
      <c r="A2659" s="510" t="str">
        <f>IF(B2659="","",COUNT('Diário 1º PA'!$A$4:$A$2635)+ROW()-3)</f>
        <v/>
      </c>
      <c r="B2659" s="414"/>
      <c r="C2659" s="592"/>
      <c r="D2659" s="415"/>
      <c r="E2659" s="415"/>
      <c r="F2659" s="425"/>
      <c r="G2659" s="427"/>
      <c r="H2659" s="415"/>
      <c r="I2659" s="427"/>
      <c r="J2659" s="415"/>
      <c r="K2659" s="415"/>
      <c r="L2659" s="415"/>
      <c r="M2659" s="415"/>
      <c r="N2659" s="414"/>
      <c r="O2659" s="414"/>
      <c r="P2659" s="603">
        <f t="shared" si="370"/>
        <v>0</v>
      </c>
      <c r="Q2659" s="603">
        <f t="shared" si="371"/>
        <v>0</v>
      </c>
      <c r="R2659" s="610" t="str">
        <f t="shared" si="369"/>
        <v/>
      </c>
      <c r="S2659" s="611"/>
      <c r="T2659" s="611"/>
    </row>
    <row r="2660" spans="1:20" s="88" customFormat="1" ht="12.75" hidden="1" x14ac:dyDescent="0.2">
      <c r="A2660" s="510" t="str">
        <f>IF(B2660="","",COUNT('Diário 1º PA'!$A$4:$A$2635)+ROW()-3)</f>
        <v/>
      </c>
      <c r="B2660" s="414"/>
      <c r="C2660" s="592"/>
      <c r="D2660" s="415"/>
      <c r="E2660" s="415"/>
      <c r="F2660" s="425"/>
      <c r="G2660" s="427"/>
      <c r="H2660" s="415"/>
      <c r="I2660" s="427"/>
      <c r="J2660" s="415"/>
      <c r="K2660" s="415"/>
      <c r="L2660" s="415"/>
      <c r="M2660" s="415"/>
      <c r="N2660" s="414"/>
      <c r="O2660" s="414"/>
      <c r="P2660" s="603">
        <f t="shared" si="370"/>
        <v>0</v>
      </c>
      <c r="Q2660" s="603">
        <f t="shared" si="371"/>
        <v>0</v>
      </c>
      <c r="R2660" s="610" t="str">
        <f t="shared" si="369"/>
        <v/>
      </c>
      <c r="S2660" s="611"/>
      <c r="T2660" s="611"/>
    </row>
    <row r="2661" spans="1:20" s="88" customFormat="1" ht="12.75" hidden="1" x14ac:dyDescent="0.2">
      <c r="A2661" s="510" t="str">
        <f>IF(B2661="","",COUNT('Diário 1º PA'!$A$4:$A$2635)+ROW()-3)</f>
        <v/>
      </c>
      <c r="B2661" s="414"/>
      <c r="C2661" s="592"/>
      <c r="D2661" s="415"/>
      <c r="E2661" s="415"/>
      <c r="F2661" s="425"/>
      <c r="G2661" s="427"/>
      <c r="H2661" s="415"/>
      <c r="I2661" s="427"/>
      <c r="J2661" s="415"/>
      <c r="K2661" s="415"/>
      <c r="L2661" s="415"/>
      <c r="M2661" s="415"/>
      <c r="N2661" s="414"/>
      <c r="O2661" s="414"/>
      <c r="P2661" s="603">
        <f t="shared" si="370"/>
        <v>0</v>
      </c>
      <c r="Q2661" s="603">
        <f t="shared" si="371"/>
        <v>0</v>
      </c>
      <c r="R2661" s="610" t="str">
        <f t="shared" si="369"/>
        <v/>
      </c>
      <c r="S2661" s="611"/>
      <c r="T2661" s="611"/>
    </row>
    <row r="2662" spans="1:20" s="88" customFormat="1" ht="12.75" hidden="1" x14ac:dyDescent="0.2">
      <c r="A2662" s="510" t="str">
        <f>IF(B2662="","",COUNT('Diário 1º PA'!$A$4:$A$2635)+ROW()-3)</f>
        <v/>
      </c>
      <c r="B2662" s="414"/>
      <c r="C2662" s="592"/>
      <c r="D2662" s="415"/>
      <c r="E2662" s="415"/>
      <c r="F2662" s="425"/>
      <c r="G2662" s="427"/>
      <c r="H2662" s="415"/>
      <c r="I2662" s="427"/>
      <c r="J2662" s="415"/>
      <c r="K2662" s="415"/>
      <c r="L2662" s="415"/>
      <c r="M2662" s="415"/>
      <c r="N2662" s="414"/>
      <c r="O2662" s="414"/>
      <c r="P2662" s="603">
        <f t="shared" si="370"/>
        <v>0</v>
      </c>
      <c r="Q2662" s="603">
        <f t="shared" si="371"/>
        <v>0</v>
      </c>
      <c r="R2662" s="610" t="str">
        <f t="shared" si="369"/>
        <v/>
      </c>
      <c r="S2662" s="611"/>
      <c r="T2662" s="611"/>
    </row>
    <row r="2663" spans="1:20" s="88" customFormat="1" ht="12.75" hidden="1" x14ac:dyDescent="0.2">
      <c r="A2663" s="510" t="str">
        <f>IF(B2663="","",COUNT('Diário 1º PA'!$A$4:$A$2635)+ROW()-3)</f>
        <v/>
      </c>
      <c r="B2663" s="414"/>
      <c r="C2663" s="592"/>
      <c r="D2663" s="415"/>
      <c r="E2663" s="415"/>
      <c r="F2663" s="425"/>
      <c r="G2663" s="427"/>
      <c r="H2663" s="415"/>
      <c r="I2663" s="427"/>
      <c r="J2663" s="415"/>
      <c r="K2663" s="415"/>
      <c r="L2663" s="415"/>
      <c r="M2663" s="415"/>
      <c r="N2663" s="414"/>
      <c r="O2663" s="414"/>
      <c r="P2663" s="603">
        <f t="shared" si="370"/>
        <v>0</v>
      </c>
      <c r="Q2663" s="603">
        <f t="shared" si="371"/>
        <v>0</v>
      </c>
      <c r="R2663" s="610" t="str">
        <f t="shared" si="369"/>
        <v/>
      </c>
      <c r="S2663" s="611"/>
      <c r="T2663" s="611"/>
    </row>
    <row r="2664" spans="1:20" s="88" customFormat="1" ht="12.75" hidden="1" x14ac:dyDescent="0.2">
      <c r="A2664" s="510" t="str">
        <f>IF(B2664="","",COUNT('Diário 1º PA'!$A$4:$A$2635)+ROW()-3)</f>
        <v/>
      </c>
      <c r="B2664" s="414"/>
      <c r="C2664" s="592"/>
      <c r="D2664" s="415"/>
      <c r="E2664" s="415"/>
      <c r="F2664" s="425"/>
      <c r="G2664" s="427"/>
      <c r="H2664" s="415"/>
      <c r="I2664" s="427"/>
      <c r="J2664" s="415"/>
      <c r="K2664" s="415"/>
      <c r="L2664" s="415"/>
      <c r="M2664" s="415"/>
      <c r="N2664" s="414"/>
      <c r="O2664" s="414"/>
      <c r="P2664" s="603">
        <f t="shared" si="370"/>
        <v>0</v>
      </c>
      <c r="Q2664" s="603">
        <f t="shared" si="371"/>
        <v>0</v>
      </c>
      <c r="R2664" s="610" t="str">
        <f t="shared" si="369"/>
        <v/>
      </c>
      <c r="S2664" s="611"/>
      <c r="T2664" s="611"/>
    </row>
    <row r="2665" spans="1:20" s="88" customFormat="1" ht="12.75" hidden="1" x14ac:dyDescent="0.2">
      <c r="A2665" s="510" t="str">
        <f>IF(B2665="","",COUNT('Diário 1º PA'!$A$4:$A$2635)+ROW()-3)</f>
        <v/>
      </c>
      <c r="B2665" s="414"/>
      <c r="C2665" s="592"/>
      <c r="D2665" s="415"/>
      <c r="E2665" s="415"/>
      <c r="F2665" s="425"/>
      <c r="G2665" s="427"/>
      <c r="H2665" s="415"/>
      <c r="I2665" s="427"/>
      <c r="J2665" s="415"/>
      <c r="K2665" s="415"/>
      <c r="L2665" s="415"/>
      <c r="M2665" s="415"/>
      <c r="N2665" s="414"/>
      <c r="O2665" s="414"/>
      <c r="P2665" s="603">
        <f t="shared" si="370"/>
        <v>0</v>
      </c>
      <c r="Q2665" s="603">
        <f t="shared" si="371"/>
        <v>0</v>
      </c>
      <c r="R2665" s="610" t="str">
        <f t="shared" si="369"/>
        <v/>
      </c>
      <c r="S2665" s="611"/>
      <c r="T2665" s="611"/>
    </row>
    <row r="2666" spans="1:20" s="88" customFormat="1" ht="12.75" hidden="1" x14ac:dyDescent="0.2">
      <c r="A2666" s="510" t="str">
        <f>IF(B2666="","",COUNT('Diário 1º PA'!$A$4:$A$2635)+ROW()-3)</f>
        <v/>
      </c>
      <c r="B2666" s="414"/>
      <c r="C2666" s="592"/>
      <c r="D2666" s="415"/>
      <c r="E2666" s="415"/>
      <c r="F2666" s="425"/>
      <c r="G2666" s="427"/>
      <c r="H2666" s="415"/>
      <c r="I2666" s="427"/>
      <c r="J2666" s="415"/>
      <c r="K2666" s="415"/>
      <c r="L2666" s="415"/>
      <c r="M2666" s="415"/>
      <c r="N2666" s="414"/>
      <c r="O2666" s="414"/>
      <c r="P2666" s="603">
        <f t="shared" si="370"/>
        <v>0</v>
      </c>
      <c r="Q2666" s="603">
        <f t="shared" si="371"/>
        <v>0</v>
      </c>
      <c r="R2666" s="610" t="str">
        <f t="shared" si="369"/>
        <v/>
      </c>
      <c r="S2666" s="611"/>
      <c r="T2666" s="611"/>
    </row>
    <row r="2667" spans="1:20" s="88" customFormat="1" ht="12.75" hidden="1" x14ac:dyDescent="0.2">
      <c r="A2667" s="510" t="str">
        <f>IF(B2667="","",COUNT('Diário 1º PA'!$A$4:$A$2635)+ROW()-3)</f>
        <v/>
      </c>
      <c r="B2667" s="414"/>
      <c r="C2667" s="592"/>
      <c r="D2667" s="415"/>
      <c r="E2667" s="415"/>
      <c r="F2667" s="425"/>
      <c r="G2667" s="427"/>
      <c r="H2667" s="415"/>
      <c r="I2667" s="427"/>
      <c r="J2667" s="415"/>
      <c r="K2667" s="415"/>
      <c r="L2667" s="415"/>
      <c r="M2667" s="415"/>
      <c r="N2667" s="414"/>
      <c r="O2667" s="414"/>
      <c r="P2667" s="603">
        <f t="shared" si="370"/>
        <v>0</v>
      </c>
      <c r="Q2667" s="603">
        <f t="shared" si="371"/>
        <v>0</v>
      </c>
      <c r="R2667" s="610" t="str">
        <f t="shared" si="369"/>
        <v/>
      </c>
      <c r="S2667" s="611"/>
      <c r="T2667" s="611"/>
    </row>
    <row r="2668" spans="1:20" s="88" customFormat="1" ht="12.75" hidden="1" x14ac:dyDescent="0.2">
      <c r="A2668" s="510" t="str">
        <f>IF(B2668="","",COUNT('Diário 1º PA'!$A$4:$A$2635)+ROW()-3)</f>
        <v/>
      </c>
      <c r="B2668" s="414"/>
      <c r="C2668" s="592"/>
      <c r="D2668" s="415"/>
      <c r="E2668" s="415"/>
      <c r="F2668" s="425"/>
      <c r="G2668" s="427"/>
      <c r="H2668" s="415"/>
      <c r="I2668" s="427"/>
      <c r="J2668" s="415"/>
      <c r="K2668" s="415"/>
      <c r="L2668" s="415"/>
      <c r="M2668" s="415"/>
      <c r="N2668" s="414"/>
      <c r="O2668" s="414"/>
      <c r="P2668" s="603">
        <f t="shared" si="370"/>
        <v>0</v>
      </c>
      <c r="Q2668" s="603">
        <f t="shared" si="371"/>
        <v>0</v>
      </c>
      <c r="R2668" s="610" t="str">
        <f t="shared" si="369"/>
        <v/>
      </c>
      <c r="S2668" s="611"/>
      <c r="T2668" s="611"/>
    </row>
    <row r="2669" spans="1:20" s="88" customFormat="1" ht="12.75" hidden="1" x14ac:dyDescent="0.2">
      <c r="A2669" s="510" t="str">
        <f>IF(B2669="","",COUNT('Diário 1º PA'!$A$4:$A$2635)+ROW()-3)</f>
        <v/>
      </c>
      <c r="B2669" s="414"/>
      <c r="C2669" s="592"/>
      <c r="D2669" s="415"/>
      <c r="E2669" s="415"/>
      <c r="F2669" s="425"/>
      <c r="G2669" s="427"/>
      <c r="H2669" s="415"/>
      <c r="I2669" s="427"/>
      <c r="J2669" s="415"/>
      <c r="K2669" s="415"/>
      <c r="L2669" s="415"/>
      <c r="M2669" s="415"/>
      <c r="N2669" s="414"/>
      <c r="O2669" s="414"/>
      <c r="P2669" s="603">
        <f t="shared" si="370"/>
        <v>0</v>
      </c>
      <c r="Q2669" s="603">
        <f t="shared" si="371"/>
        <v>0</v>
      </c>
      <c r="R2669" s="610" t="str">
        <f t="shared" ref="R2669:R2732" si="372">SUBSTITUTE(D2669," ","_")</f>
        <v/>
      </c>
      <c r="S2669" s="611"/>
      <c r="T2669" s="611"/>
    </row>
    <row r="2670" spans="1:20" s="88" customFormat="1" ht="12.75" hidden="1" x14ac:dyDescent="0.2">
      <c r="A2670" s="510" t="str">
        <f>IF(B2670="","",COUNT('Diário 1º PA'!$A$4:$A$2635)+ROW()-3)</f>
        <v/>
      </c>
      <c r="B2670" s="414"/>
      <c r="C2670" s="592"/>
      <c r="D2670" s="415"/>
      <c r="E2670" s="415"/>
      <c r="F2670" s="425"/>
      <c r="G2670" s="427"/>
      <c r="H2670" s="415"/>
      <c r="I2670" s="427"/>
      <c r="J2670" s="415"/>
      <c r="K2670" s="415"/>
      <c r="L2670" s="415"/>
      <c r="M2670" s="415"/>
      <c r="N2670" s="414"/>
      <c r="O2670" s="414"/>
      <c r="P2670" s="603">
        <f t="shared" ref="P2670:P2733" si="373">IF(B2670=0,0,IF(YEAR(B2670)=$Q$1,MONTH(B2670)-$P$1+1,(YEAR(B2670)-$Q$1)*12-$P$1+1+MONTH(B2670)))</f>
        <v>0</v>
      </c>
      <c r="Q2670" s="603">
        <f t="shared" ref="Q2670:Q2733" si="374">IF(C2670=0,0,IF(YEAR(C2670)=$Q$1,MONTH(C2670)-$P$1+1,(YEAR(C2670)-$Q$1)*12-$P$1+1+MONTH(C2670)))</f>
        <v>0</v>
      </c>
      <c r="R2670" s="610" t="str">
        <f t="shared" si="372"/>
        <v/>
      </c>
      <c r="S2670" s="611"/>
      <c r="T2670" s="611"/>
    </row>
    <row r="2671" spans="1:20" s="88" customFormat="1" ht="12.75" hidden="1" x14ac:dyDescent="0.2">
      <c r="A2671" s="510" t="str">
        <f>IF(B2671="","",COUNT('Diário 1º PA'!$A$4:$A$2635)+ROW()-3)</f>
        <v/>
      </c>
      <c r="B2671" s="414"/>
      <c r="C2671" s="592"/>
      <c r="D2671" s="415"/>
      <c r="E2671" s="415"/>
      <c r="F2671" s="425"/>
      <c r="G2671" s="427"/>
      <c r="H2671" s="415"/>
      <c r="I2671" s="427"/>
      <c r="J2671" s="415"/>
      <c r="K2671" s="415"/>
      <c r="L2671" s="415"/>
      <c r="M2671" s="415"/>
      <c r="N2671" s="414"/>
      <c r="O2671" s="414"/>
      <c r="P2671" s="603">
        <f t="shared" si="373"/>
        <v>0</v>
      </c>
      <c r="Q2671" s="603">
        <f t="shared" si="374"/>
        <v>0</v>
      </c>
      <c r="R2671" s="610" t="str">
        <f t="shared" si="372"/>
        <v/>
      </c>
      <c r="S2671" s="611"/>
      <c r="T2671" s="611"/>
    </row>
    <row r="2672" spans="1:20" s="88" customFormat="1" ht="12.75" hidden="1" x14ac:dyDescent="0.2">
      <c r="A2672" s="510" t="str">
        <f>IF(B2672="","",COUNT('Diário 1º PA'!$A$4:$A$2635)+ROW()-3)</f>
        <v/>
      </c>
      <c r="B2672" s="414"/>
      <c r="C2672" s="592"/>
      <c r="D2672" s="415"/>
      <c r="E2672" s="415"/>
      <c r="F2672" s="425"/>
      <c r="G2672" s="427"/>
      <c r="H2672" s="415"/>
      <c r="I2672" s="427"/>
      <c r="J2672" s="415"/>
      <c r="K2672" s="415"/>
      <c r="L2672" s="415"/>
      <c r="M2672" s="415"/>
      <c r="N2672" s="414"/>
      <c r="O2672" s="414"/>
      <c r="P2672" s="603">
        <f t="shared" si="373"/>
        <v>0</v>
      </c>
      <c r="Q2672" s="603">
        <f t="shared" si="374"/>
        <v>0</v>
      </c>
      <c r="R2672" s="610" t="str">
        <f t="shared" si="372"/>
        <v/>
      </c>
      <c r="S2672" s="611"/>
      <c r="T2672" s="611"/>
    </row>
    <row r="2673" spans="1:20" s="88" customFormat="1" ht="12.75" hidden="1" x14ac:dyDescent="0.2">
      <c r="A2673" s="510" t="str">
        <f>IF(B2673="","",COUNT('Diário 1º PA'!$A$4:$A$2635)+ROW()-3)</f>
        <v/>
      </c>
      <c r="B2673" s="414"/>
      <c r="C2673" s="592"/>
      <c r="D2673" s="415"/>
      <c r="E2673" s="415"/>
      <c r="F2673" s="425"/>
      <c r="G2673" s="427"/>
      <c r="H2673" s="415"/>
      <c r="I2673" s="427"/>
      <c r="J2673" s="415"/>
      <c r="K2673" s="415"/>
      <c r="L2673" s="415"/>
      <c r="M2673" s="415"/>
      <c r="N2673" s="414"/>
      <c r="O2673" s="414"/>
      <c r="P2673" s="603">
        <f t="shared" si="373"/>
        <v>0</v>
      </c>
      <c r="Q2673" s="603">
        <f t="shared" si="374"/>
        <v>0</v>
      </c>
      <c r="R2673" s="610" t="str">
        <f t="shared" si="372"/>
        <v/>
      </c>
      <c r="S2673" s="611"/>
      <c r="T2673" s="611"/>
    </row>
    <row r="2674" spans="1:20" s="88" customFormat="1" ht="12.75" hidden="1" x14ac:dyDescent="0.2">
      <c r="A2674" s="510" t="str">
        <f>IF(B2674="","",COUNT('Diário 1º PA'!$A$4:$A$2635)+ROW()-3)</f>
        <v/>
      </c>
      <c r="B2674" s="414"/>
      <c r="C2674" s="592"/>
      <c r="D2674" s="415"/>
      <c r="E2674" s="415"/>
      <c r="F2674" s="425"/>
      <c r="G2674" s="427"/>
      <c r="H2674" s="415"/>
      <c r="I2674" s="427"/>
      <c r="J2674" s="415"/>
      <c r="K2674" s="415"/>
      <c r="L2674" s="415"/>
      <c r="M2674" s="415"/>
      <c r="N2674" s="414"/>
      <c r="O2674" s="414"/>
      <c r="P2674" s="603">
        <f t="shared" si="373"/>
        <v>0</v>
      </c>
      <c r="Q2674" s="603">
        <f t="shared" si="374"/>
        <v>0</v>
      </c>
      <c r="R2674" s="610" t="str">
        <f t="shared" si="372"/>
        <v/>
      </c>
      <c r="S2674" s="611"/>
      <c r="T2674" s="611"/>
    </row>
    <row r="2675" spans="1:20" s="88" customFormat="1" ht="12.75" hidden="1" x14ac:dyDescent="0.2">
      <c r="A2675" s="510" t="str">
        <f>IF(B2675="","",COUNT('Diário 1º PA'!$A$4:$A$2635)+ROW()-3)</f>
        <v/>
      </c>
      <c r="B2675" s="414"/>
      <c r="C2675" s="592"/>
      <c r="D2675" s="415"/>
      <c r="E2675" s="415"/>
      <c r="F2675" s="425"/>
      <c r="G2675" s="427"/>
      <c r="H2675" s="415"/>
      <c r="I2675" s="427"/>
      <c r="J2675" s="415"/>
      <c r="K2675" s="415"/>
      <c r="L2675" s="415"/>
      <c r="M2675" s="415"/>
      <c r="N2675" s="414"/>
      <c r="O2675" s="414"/>
      <c r="P2675" s="603">
        <f t="shared" si="373"/>
        <v>0</v>
      </c>
      <c r="Q2675" s="603">
        <f t="shared" si="374"/>
        <v>0</v>
      </c>
      <c r="R2675" s="610" t="str">
        <f t="shared" si="372"/>
        <v/>
      </c>
      <c r="S2675" s="611"/>
      <c r="T2675" s="611"/>
    </row>
    <row r="2676" spans="1:20" s="88" customFormat="1" ht="12.75" hidden="1" x14ac:dyDescent="0.2">
      <c r="A2676" s="510" t="str">
        <f>IF(B2676="","",COUNT('Diário 1º PA'!$A$4:$A$2635)+ROW()-3)</f>
        <v/>
      </c>
      <c r="B2676" s="414"/>
      <c r="C2676" s="592"/>
      <c r="D2676" s="415"/>
      <c r="E2676" s="415"/>
      <c r="F2676" s="425"/>
      <c r="G2676" s="427"/>
      <c r="H2676" s="415"/>
      <c r="I2676" s="427"/>
      <c r="J2676" s="415"/>
      <c r="K2676" s="415"/>
      <c r="L2676" s="415"/>
      <c r="M2676" s="415"/>
      <c r="N2676" s="414"/>
      <c r="O2676" s="414"/>
      <c r="P2676" s="603">
        <f t="shared" si="373"/>
        <v>0</v>
      </c>
      <c r="Q2676" s="603">
        <f t="shared" si="374"/>
        <v>0</v>
      </c>
      <c r="R2676" s="610" t="str">
        <f t="shared" si="372"/>
        <v/>
      </c>
      <c r="S2676" s="611"/>
      <c r="T2676" s="611"/>
    </row>
    <row r="2677" spans="1:20" s="88" customFormat="1" ht="12.75" hidden="1" x14ac:dyDescent="0.2">
      <c r="A2677" s="510" t="str">
        <f>IF(B2677="","",COUNT('Diário 1º PA'!$A$4:$A$2635)+ROW()-3)</f>
        <v/>
      </c>
      <c r="B2677" s="414"/>
      <c r="C2677" s="592"/>
      <c r="D2677" s="415"/>
      <c r="E2677" s="415"/>
      <c r="F2677" s="425"/>
      <c r="G2677" s="427"/>
      <c r="H2677" s="415"/>
      <c r="I2677" s="427"/>
      <c r="J2677" s="415"/>
      <c r="K2677" s="415"/>
      <c r="L2677" s="415"/>
      <c r="M2677" s="415"/>
      <c r="N2677" s="414"/>
      <c r="O2677" s="414"/>
      <c r="P2677" s="603">
        <f t="shared" si="373"/>
        <v>0</v>
      </c>
      <c r="Q2677" s="603">
        <f t="shared" si="374"/>
        <v>0</v>
      </c>
      <c r="R2677" s="610" t="str">
        <f t="shared" si="372"/>
        <v/>
      </c>
      <c r="S2677" s="611"/>
      <c r="T2677" s="611"/>
    </row>
    <row r="2678" spans="1:20" s="88" customFormat="1" ht="12.75" hidden="1" x14ac:dyDescent="0.2">
      <c r="A2678" s="510" t="str">
        <f>IF(B2678="","",COUNT('Diário 1º PA'!$A$4:$A$2635)+ROW()-3)</f>
        <v/>
      </c>
      <c r="B2678" s="414"/>
      <c r="C2678" s="592"/>
      <c r="D2678" s="415"/>
      <c r="E2678" s="415"/>
      <c r="F2678" s="425"/>
      <c r="G2678" s="427"/>
      <c r="H2678" s="415"/>
      <c r="I2678" s="427"/>
      <c r="J2678" s="415"/>
      <c r="K2678" s="415"/>
      <c r="L2678" s="415"/>
      <c r="M2678" s="415"/>
      <c r="N2678" s="414"/>
      <c r="O2678" s="414"/>
      <c r="P2678" s="603">
        <f t="shared" si="373"/>
        <v>0</v>
      </c>
      <c r="Q2678" s="603">
        <f t="shared" si="374"/>
        <v>0</v>
      </c>
      <c r="R2678" s="610" t="str">
        <f t="shared" si="372"/>
        <v/>
      </c>
      <c r="S2678" s="611"/>
      <c r="T2678" s="611"/>
    </row>
    <row r="2679" spans="1:20" s="88" customFormat="1" ht="12.75" hidden="1" x14ac:dyDescent="0.2">
      <c r="A2679" s="510" t="str">
        <f>IF(B2679="","",COUNT('Diário 1º PA'!$A$4:$A$2635)+ROW()-3)</f>
        <v/>
      </c>
      <c r="B2679" s="414"/>
      <c r="C2679" s="592"/>
      <c r="D2679" s="415"/>
      <c r="E2679" s="415"/>
      <c r="F2679" s="425"/>
      <c r="G2679" s="427"/>
      <c r="H2679" s="415"/>
      <c r="I2679" s="427"/>
      <c r="J2679" s="415"/>
      <c r="K2679" s="415"/>
      <c r="L2679" s="415"/>
      <c r="M2679" s="415"/>
      <c r="N2679" s="414"/>
      <c r="O2679" s="414"/>
      <c r="P2679" s="603">
        <f t="shared" si="373"/>
        <v>0</v>
      </c>
      <c r="Q2679" s="603">
        <f t="shared" si="374"/>
        <v>0</v>
      </c>
      <c r="R2679" s="610" t="str">
        <f t="shared" si="372"/>
        <v/>
      </c>
      <c r="S2679" s="611"/>
      <c r="T2679" s="611"/>
    </row>
    <row r="2680" spans="1:20" s="88" customFormat="1" ht="12.75" hidden="1" x14ac:dyDescent="0.2">
      <c r="A2680" s="510" t="str">
        <f>IF(B2680="","",COUNT('Diário 1º PA'!$A$4:$A$2635)+ROW()-3)</f>
        <v/>
      </c>
      <c r="B2680" s="414"/>
      <c r="C2680" s="592"/>
      <c r="D2680" s="415"/>
      <c r="E2680" s="415"/>
      <c r="F2680" s="425"/>
      <c r="G2680" s="427"/>
      <c r="H2680" s="415"/>
      <c r="I2680" s="427"/>
      <c r="J2680" s="415"/>
      <c r="K2680" s="415"/>
      <c r="L2680" s="415"/>
      <c r="M2680" s="415"/>
      <c r="N2680" s="414"/>
      <c r="O2680" s="414"/>
      <c r="P2680" s="603">
        <f t="shared" si="373"/>
        <v>0</v>
      </c>
      <c r="Q2680" s="603">
        <f t="shared" si="374"/>
        <v>0</v>
      </c>
      <c r="R2680" s="610" t="str">
        <f t="shared" si="372"/>
        <v/>
      </c>
      <c r="S2680" s="611"/>
      <c r="T2680" s="611"/>
    </row>
    <row r="2681" spans="1:20" s="88" customFormat="1" ht="12.75" hidden="1" x14ac:dyDescent="0.2">
      <c r="A2681" s="432" t="str">
        <f>IF(B2681="","",COUNT('Diário 1º PA'!$A$4:$A$2635)+ROW()-3)</f>
        <v/>
      </c>
      <c r="B2681" s="413"/>
      <c r="C2681" s="626"/>
      <c r="D2681" s="419"/>
      <c r="E2681" s="419"/>
      <c r="F2681" s="422"/>
      <c r="G2681" s="423"/>
      <c r="H2681" s="419"/>
      <c r="I2681" s="427"/>
      <c r="J2681" s="419"/>
      <c r="K2681" s="419"/>
      <c r="L2681" s="415"/>
      <c r="M2681" s="419"/>
      <c r="N2681" s="413"/>
      <c r="O2681" s="414"/>
      <c r="P2681" s="603">
        <f t="shared" si="373"/>
        <v>0</v>
      </c>
      <c r="Q2681" s="603">
        <f t="shared" si="374"/>
        <v>0</v>
      </c>
      <c r="R2681" s="610" t="str">
        <f t="shared" si="372"/>
        <v/>
      </c>
      <c r="S2681" s="611"/>
      <c r="T2681" s="611"/>
    </row>
    <row r="2682" spans="1:20" s="88" customFormat="1" ht="12.75" hidden="1" x14ac:dyDescent="0.2">
      <c r="A2682" s="432" t="str">
        <f>IF(B2682="","",COUNT('Diário 1º PA'!$A$4:$A$2635)+ROW()-3)</f>
        <v/>
      </c>
      <c r="B2682" s="413"/>
      <c r="C2682" s="626"/>
      <c r="D2682" s="419"/>
      <c r="E2682" s="419"/>
      <c r="F2682" s="422"/>
      <c r="G2682" s="423"/>
      <c r="H2682" s="419"/>
      <c r="I2682" s="427"/>
      <c r="J2682" s="419"/>
      <c r="K2682" s="419"/>
      <c r="L2682" s="415"/>
      <c r="M2682" s="419"/>
      <c r="N2682" s="413"/>
      <c r="O2682" s="414"/>
      <c r="P2682" s="603">
        <f t="shared" si="373"/>
        <v>0</v>
      </c>
      <c r="Q2682" s="603">
        <f t="shared" si="374"/>
        <v>0</v>
      </c>
      <c r="R2682" s="610" t="str">
        <f t="shared" si="372"/>
        <v/>
      </c>
      <c r="S2682" s="611"/>
      <c r="T2682" s="611"/>
    </row>
    <row r="2683" spans="1:20" s="88" customFormat="1" ht="12.75" hidden="1" x14ac:dyDescent="0.2">
      <c r="A2683" s="432" t="str">
        <f>IF(B2683="","",COUNT('Diário 1º PA'!$A$4:$A$2635)+ROW()-3)</f>
        <v/>
      </c>
      <c r="B2683" s="413"/>
      <c r="C2683" s="626"/>
      <c r="D2683" s="419"/>
      <c r="E2683" s="419"/>
      <c r="F2683" s="422"/>
      <c r="G2683" s="423"/>
      <c r="H2683" s="419"/>
      <c r="I2683" s="427"/>
      <c r="J2683" s="419"/>
      <c r="K2683" s="419"/>
      <c r="L2683" s="415"/>
      <c r="M2683" s="419"/>
      <c r="N2683" s="413"/>
      <c r="O2683" s="414"/>
      <c r="P2683" s="603">
        <f t="shared" si="373"/>
        <v>0</v>
      </c>
      <c r="Q2683" s="603">
        <f t="shared" si="374"/>
        <v>0</v>
      </c>
      <c r="R2683" s="610" t="str">
        <f t="shared" si="372"/>
        <v/>
      </c>
      <c r="S2683" s="611"/>
      <c r="T2683" s="611"/>
    </row>
    <row r="2684" spans="1:20" s="88" customFormat="1" ht="12.75" hidden="1" x14ac:dyDescent="0.2">
      <c r="A2684" s="432" t="str">
        <f>IF(B2684="","",COUNT('Diário 1º PA'!$A$4:$A$2635)+ROW()-3)</f>
        <v/>
      </c>
      <c r="B2684" s="413"/>
      <c r="C2684" s="626"/>
      <c r="D2684" s="419"/>
      <c r="E2684" s="419"/>
      <c r="F2684" s="422"/>
      <c r="G2684" s="423"/>
      <c r="H2684" s="419"/>
      <c r="I2684" s="427"/>
      <c r="J2684" s="419"/>
      <c r="K2684" s="419"/>
      <c r="L2684" s="415"/>
      <c r="M2684" s="419"/>
      <c r="N2684" s="413"/>
      <c r="O2684" s="414"/>
      <c r="P2684" s="603">
        <f t="shared" si="373"/>
        <v>0</v>
      </c>
      <c r="Q2684" s="603">
        <f t="shared" si="374"/>
        <v>0</v>
      </c>
      <c r="R2684" s="610" t="str">
        <f t="shared" si="372"/>
        <v/>
      </c>
      <c r="S2684" s="611"/>
      <c r="T2684" s="611"/>
    </row>
    <row r="2685" spans="1:20" s="88" customFormat="1" ht="12.75" hidden="1" x14ac:dyDescent="0.2">
      <c r="A2685" s="432" t="str">
        <f>IF(B2685="","",COUNT('Diário 1º PA'!$A$4:$A$2635)+ROW()-3)</f>
        <v/>
      </c>
      <c r="B2685" s="413"/>
      <c r="C2685" s="626"/>
      <c r="D2685" s="419"/>
      <c r="E2685" s="419"/>
      <c r="F2685" s="422"/>
      <c r="G2685" s="423"/>
      <c r="H2685" s="419"/>
      <c r="I2685" s="427"/>
      <c r="J2685" s="419"/>
      <c r="K2685" s="419"/>
      <c r="L2685" s="415"/>
      <c r="M2685" s="419"/>
      <c r="N2685" s="413"/>
      <c r="O2685" s="414"/>
      <c r="P2685" s="603">
        <f t="shared" si="373"/>
        <v>0</v>
      </c>
      <c r="Q2685" s="603">
        <f t="shared" si="374"/>
        <v>0</v>
      </c>
      <c r="R2685" s="610" t="str">
        <f t="shared" si="372"/>
        <v/>
      </c>
      <c r="S2685" s="611"/>
      <c r="T2685" s="611"/>
    </row>
    <row r="2686" spans="1:20" s="88" customFormat="1" ht="12.75" hidden="1" x14ac:dyDescent="0.2">
      <c r="A2686" s="432" t="str">
        <f>IF(B2686="","",COUNT('Diário 1º PA'!$A$4:$A$2635)+ROW()-3)</f>
        <v/>
      </c>
      <c r="B2686" s="413"/>
      <c r="C2686" s="626"/>
      <c r="D2686" s="419"/>
      <c r="E2686" s="419"/>
      <c r="F2686" s="422"/>
      <c r="G2686" s="423"/>
      <c r="H2686" s="419"/>
      <c r="I2686" s="427"/>
      <c r="J2686" s="419"/>
      <c r="K2686" s="419"/>
      <c r="L2686" s="415"/>
      <c r="M2686" s="419"/>
      <c r="N2686" s="413"/>
      <c r="O2686" s="414"/>
      <c r="P2686" s="603">
        <f t="shared" si="373"/>
        <v>0</v>
      </c>
      <c r="Q2686" s="603">
        <f t="shared" si="374"/>
        <v>0</v>
      </c>
      <c r="R2686" s="610" t="str">
        <f t="shared" si="372"/>
        <v/>
      </c>
      <c r="S2686" s="611"/>
      <c r="T2686" s="611"/>
    </row>
    <row r="2687" spans="1:20" s="88" customFormat="1" ht="12.75" hidden="1" x14ac:dyDescent="0.2">
      <c r="A2687" s="432" t="str">
        <f>IF(B2687="","",COUNT('Diário 1º PA'!$A$4:$A$2635)+ROW()-3)</f>
        <v/>
      </c>
      <c r="B2687" s="413"/>
      <c r="C2687" s="626"/>
      <c r="D2687" s="419"/>
      <c r="E2687" s="419"/>
      <c r="F2687" s="422"/>
      <c r="G2687" s="423"/>
      <c r="H2687" s="419"/>
      <c r="I2687" s="427"/>
      <c r="J2687" s="419"/>
      <c r="K2687" s="419"/>
      <c r="L2687" s="415"/>
      <c r="M2687" s="419"/>
      <c r="N2687" s="413"/>
      <c r="O2687" s="414"/>
      <c r="P2687" s="603">
        <f t="shared" si="373"/>
        <v>0</v>
      </c>
      <c r="Q2687" s="603">
        <f t="shared" si="374"/>
        <v>0</v>
      </c>
      <c r="R2687" s="610" t="str">
        <f t="shared" si="372"/>
        <v/>
      </c>
      <c r="S2687" s="611"/>
      <c r="T2687" s="611"/>
    </row>
    <row r="2688" spans="1:20" s="88" customFormat="1" ht="12.75" hidden="1" x14ac:dyDescent="0.2">
      <c r="A2688" s="432" t="str">
        <f>IF(B2688="","",COUNT('Diário 1º PA'!$A$4:$A$2635)+ROW()-3)</f>
        <v/>
      </c>
      <c r="B2688" s="413"/>
      <c r="C2688" s="626"/>
      <c r="D2688" s="419"/>
      <c r="E2688" s="419"/>
      <c r="F2688" s="422"/>
      <c r="G2688" s="423"/>
      <c r="H2688" s="419"/>
      <c r="I2688" s="427"/>
      <c r="J2688" s="419"/>
      <c r="K2688" s="419"/>
      <c r="L2688" s="415"/>
      <c r="M2688" s="419"/>
      <c r="N2688" s="413"/>
      <c r="O2688" s="414"/>
      <c r="P2688" s="603">
        <f t="shared" si="373"/>
        <v>0</v>
      </c>
      <c r="Q2688" s="603">
        <f t="shared" si="374"/>
        <v>0</v>
      </c>
      <c r="R2688" s="610" t="str">
        <f t="shared" si="372"/>
        <v/>
      </c>
      <c r="S2688" s="611"/>
      <c r="T2688" s="611"/>
    </row>
    <row r="2689" spans="1:20" s="88" customFormat="1" ht="12.75" hidden="1" x14ac:dyDescent="0.2">
      <c r="A2689" s="432" t="str">
        <f>IF(B2689="","",COUNT('Diário 1º PA'!$A$4:$A$2635)+ROW()-3)</f>
        <v/>
      </c>
      <c r="B2689" s="413"/>
      <c r="C2689" s="626"/>
      <c r="D2689" s="419"/>
      <c r="E2689" s="419"/>
      <c r="F2689" s="422"/>
      <c r="G2689" s="423"/>
      <c r="H2689" s="419"/>
      <c r="I2689" s="427"/>
      <c r="J2689" s="419"/>
      <c r="K2689" s="419"/>
      <c r="L2689" s="415"/>
      <c r="M2689" s="419"/>
      <c r="N2689" s="413"/>
      <c r="O2689" s="414"/>
      <c r="P2689" s="603">
        <f t="shared" si="373"/>
        <v>0</v>
      </c>
      <c r="Q2689" s="603">
        <f t="shared" si="374"/>
        <v>0</v>
      </c>
      <c r="R2689" s="610" t="str">
        <f t="shared" si="372"/>
        <v/>
      </c>
      <c r="S2689" s="611"/>
      <c r="T2689" s="611"/>
    </row>
    <row r="2690" spans="1:20" s="88" customFormat="1" ht="12.75" hidden="1" x14ac:dyDescent="0.2">
      <c r="A2690" s="432" t="str">
        <f>IF(B2690="","",COUNT('Diário 1º PA'!$A$4:$A$2635)+ROW()-3)</f>
        <v/>
      </c>
      <c r="B2690" s="413"/>
      <c r="C2690" s="626"/>
      <c r="D2690" s="419"/>
      <c r="E2690" s="419"/>
      <c r="F2690" s="422"/>
      <c r="G2690" s="423"/>
      <c r="H2690" s="419"/>
      <c r="I2690" s="427"/>
      <c r="J2690" s="419"/>
      <c r="K2690" s="419"/>
      <c r="L2690" s="415"/>
      <c r="M2690" s="419"/>
      <c r="N2690" s="413"/>
      <c r="O2690" s="414"/>
      <c r="P2690" s="603">
        <f t="shared" si="373"/>
        <v>0</v>
      </c>
      <c r="Q2690" s="603">
        <f t="shared" si="374"/>
        <v>0</v>
      </c>
      <c r="R2690" s="610" t="str">
        <f t="shared" si="372"/>
        <v/>
      </c>
      <c r="S2690" s="611"/>
      <c r="T2690" s="611"/>
    </row>
    <row r="2691" spans="1:20" s="88" customFormat="1" ht="12.75" hidden="1" x14ac:dyDescent="0.2">
      <c r="A2691" s="432" t="str">
        <f>IF(B2691="","",COUNT('Diário 1º PA'!$A$4:$A$2635)+ROW()-3)</f>
        <v/>
      </c>
      <c r="B2691" s="413"/>
      <c r="C2691" s="626"/>
      <c r="D2691" s="419"/>
      <c r="E2691" s="419"/>
      <c r="F2691" s="422"/>
      <c r="G2691" s="423"/>
      <c r="H2691" s="419"/>
      <c r="I2691" s="427"/>
      <c r="J2691" s="419"/>
      <c r="K2691" s="419"/>
      <c r="L2691" s="415"/>
      <c r="M2691" s="419"/>
      <c r="N2691" s="413"/>
      <c r="O2691" s="414"/>
      <c r="P2691" s="603">
        <f t="shared" si="373"/>
        <v>0</v>
      </c>
      <c r="Q2691" s="603">
        <f t="shared" si="374"/>
        <v>0</v>
      </c>
      <c r="R2691" s="610" t="str">
        <f t="shared" si="372"/>
        <v/>
      </c>
      <c r="S2691" s="611"/>
      <c r="T2691" s="611"/>
    </row>
    <row r="2692" spans="1:20" s="88" customFormat="1" ht="12.75" hidden="1" x14ac:dyDescent="0.2">
      <c r="A2692" s="432" t="str">
        <f>IF(B2692="","",COUNT('Diário 1º PA'!$A$4:$A$2635)+ROW()-3)</f>
        <v/>
      </c>
      <c r="B2692" s="413"/>
      <c r="C2692" s="626"/>
      <c r="D2692" s="419"/>
      <c r="E2692" s="419"/>
      <c r="F2692" s="422"/>
      <c r="G2692" s="423"/>
      <c r="H2692" s="419"/>
      <c r="I2692" s="427"/>
      <c r="J2692" s="419"/>
      <c r="K2692" s="419"/>
      <c r="L2692" s="415"/>
      <c r="M2692" s="419"/>
      <c r="N2692" s="413"/>
      <c r="O2692" s="414"/>
      <c r="P2692" s="603">
        <f t="shared" si="373"/>
        <v>0</v>
      </c>
      <c r="Q2692" s="603">
        <f t="shared" si="374"/>
        <v>0</v>
      </c>
      <c r="R2692" s="610" t="str">
        <f t="shared" si="372"/>
        <v/>
      </c>
      <c r="S2692" s="611"/>
      <c r="T2692" s="611"/>
    </row>
    <row r="2693" spans="1:20" s="88" customFormat="1" ht="12.75" hidden="1" x14ac:dyDescent="0.2">
      <c r="A2693" s="432" t="str">
        <f>IF(B2693="","",COUNT('Diário 1º PA'!$A$4:$A$2635)+ROW()-3)</f>
        <v/>
      </c>
      <c r="B2693" s="413"/>
      <c r="C2693" s="626"/>
      <c r="D2693" s="419"/>
      <c r="E2693" s="419"/>
      <c r="F2693" s="422"/>
      <c r="G2693" s="423"/>
      <c r="H2693" s="419"/>
      <c r="I2693" s="427"/>
      <c r="J2693" s="419"/>
      <c r="K2693" s="419"/>
      <c r="L2693" s="415"/>
      <c r="M2693" s="419"/>
      <c r="N2693" s="413"/>
      <c r="O2693" s="414"/>
      <c r="P2693" s="603">
        <f t="shared" si="373"/>
        <v>0</v>
      </c>
      <c r="Q2693" s="603">
        <f t="shared" si="374"/>
        <v>0</v>
      </c>
      <c r="R2693" s="610" t="str">
        <f t="shared" si="372"/>
        <v/>
      </c>
      <c r="S2693" s="611"/>
      <c r="T2693" s="611"/>
    </row>
    <row r="2694" spans="1:20" s="88" customFormat="1" ht="12.75" hidden="1" x14ac:dyDescent="0.2">
      <c r="A2694" s="432" t="str">
        <f>IF(B2694="","",COUNT('Diário 1º PA'!$A$4:$A$2635)+ROW()-3)</f>
        <v/>
      </c>
      <c r="B2694" s="413"/>
      <c r="C2694" s="626"/>
      <c r="D2694" s="419"/>
      <c r="E2694" s="419"/>
      <c r="F2694" s="422"/>
      <c r="G2694" s="423"/>
      <c r="H2694" s="419"/>
      <c r="I2694" s="427"/>
      <c r="J2694" s="419"/>
      <c r="K2694" s="419"/>
      <c r="L2694" s="415"/>
      <c r="M2694" s="419"/>
      <c r="N2694" s="413"/>
      <c r="O2694" s="414"/>
      <c r="P2694" s="603">
        <f t="shared" si="373"/>
        <v>0</v>
      </c>
      <c r="Q2694" s="603">
        <f t="shared" si="374"/>
        <v>0</v>
      </c>
      <c r="R2694" s="610" t="str">
        <f t="shared" si="372"/>
        <v/>
      </c>
      <c r="S2694" s="611"/>
      <c r="T2694" s="611"/>
    </row>
    <row r="2695" spans="1:20" s="88" customFormat="1" ht="12.75" hidden="1" x14ac:dyDescent="0.2">
      <c r="A2695" s="432" t="str">
        <f>IF(B2695="","",COUNT('Diário 1º PA'!$A$4:$A$2635)+ROW()-3)</f>
        <v/>
      </c>
      <c r="B2695" s="413"/>
      <c r="C2695" s="626"/>
      <c r="D2695" s="419"/>
      <c r="E2695" s="419"/>
      <c r="F2695" s="422"/>
      <c r="G2695" s="423"/>
      <c r="H2695" s="419"/>
      <c r="I2695" s="427"/>
      <c r="J2695" s="419"/>
      <c r="K2695" s="419"/>
      <c r="L2695" s="415"/>
      <c r="M2695" s="419"/>
      <c r="N2695" s="413"/>
      <c r="O2695" s="414"/>
      <c r="P2695" s="603">
        <f t="shared" si="373"/>
        <v>0</v>
      </c>
      <c r="Q2695" s="603">
        <f t="shared" si="374"/>
        <v>0</v>
      </c>
      <c r="R2695" s="610" t="str">
        <f t="shared" si="372"/>
        <v/>
      </c>
      <c r="S2695" s="611"/>
      <c r="T2695" s="611"/>
    </row>
    <row r="2696" spans="1:20" s="88" customFormat="1" ht="12.75" hidden="1" x14ac:dyDescent="0.2">
      <c r="A2696" s="432" t="str">
        <f>IF(B2696="","",COUNT('Diário 1º PA'!$A$4:$A$2635)+ROW()-3)</f>
        <v/>
      </c>
      <c r="B2696" s="413"/>
      <c r="C2696" s="626"/>
      <c r="D2696" s="419"/>
      <c r="E2696" s="419"/>
      <c r="F2696" s="422"/>
      <c r="G2696" s="423"/>
      <c r="H2696" s="419"/>
      <c r="I2696" s="427"/>
      <c r="J2696" s="419"/>
      <c r="K2696" s="419"/>
      <c r="L2696" s="415"/>
      <c r="M2696" s="419"/>
      <c r="N2696" s="413"/>
      <c r="O2696" s="414"/>
      <c r="P2696" s="603">
        <f t="shared" si="373"/>
        <v>0</v>
      </c>
      <c r="Q2696" s="603">
        <f t="shared" si="374"/>
        <v>0</v>
      </c>
      <c r="R2696" s="610" t="str">
        <f t="shared" si="372"/>
        <v/>
      </c>
      <c r="S2696" s="611"/>
      <c r="T2696" s="611"/>
    </row>
    <row r="2697" spans="1:20" s="88" customFormat="1" ht="12.75" hidden="1" x14ac:dyDescent="0.2">
      <c r="A2697" s="432" t="str">
        <f>IF(B2697="","",COUNT('Diário 1º PA'!$A$4:$A$2635)+ROW()-3)</f>
        <v/>
      </c>
      <c r="B2697" s="413"/>
      <c r="C2697" s="626"/>
      <c r="D2697" s="419"/>
      <c r="E2697" s="419"/>
      <c r="F2697" s="422"/>
      <c r="G2697" s="423"/>
      <c r="H2697" s="419"/>
      <c r="I2697" s="427"/>
      <c r="J2697" s="419"/>
      <c r="K2697" s="419"/>
      <c r="L2697" s="415"/>
      <c r="M2697" s="419"/>
      <c r="N2697" s="413"/>
      <c r="O2697" s="414"/>
      <c r="P2697" s="603">
        <f t="shared" si="373"/>
        <v>0</v>
      </c>
      <c r="Q2697" s="603">
        <f t="shared" si="374"/>
        <v>0</v>
      </c>
      <c r="R2697" s="610" t="str">
        <f t="shared" si="372"/>
        <v/>
      </c>
      <c r="S2697" s="611"/>
      <c r="T2697" s="611"/>
    </row>
    <row r="2698" spans="1:20" s="88" customFormat="1" ht="12.75" hidden="1" x14ac:dyDescent="0.2">
      <c r="A2698" s="432" t="str">
        <f>IF(B2698="","",COUNT('Diário 1º PA'!$A$4:$A$2635)+ROW()-3)</f>
        <v/>
      </c>
      <c r="B2698" s="413"/>
      <c r="C2698" s="626"/>
      <c r="D2698" s="419"/>
      <c r="E2698" s="419"/>
      <c r="F2698" s="422"/>
      <c r="G2698" s="423"/>
      <c r="H2698" s="419"/>
      <c r="I2698" s="427"/>
      <c r="J2698" s="419"/>
      <c r="K2698" s="419"/>
      <c r="L2698" s="415"/>
      <c r="M2698" s="419"/>
      <c r="N2698" s="413"/>
      <c r="O2698" s="414"/>
      <c r="P2698" s="603">
        <f t="shared" si="373"/>
        <v>0</v>
      </c>
      <c r="Q2698" s="603">
        <f t="shared" si="374"/>
        <v>0</v>
      </c>
      <c r="R2698" s="610" t="str">
        <f t="shared" si="372"/>
        <v/>
      </c>
      <c r="S2698" s="611"/>
      <c r="T2698" s="611"/>
    </row>
    <row r="2699" spans="1:20" s="88" customFormat="1" ht="12.75" hidden="1" x14ac:dyDescent="0.2">
      <c r="A2699" s="432" t="str">
        <f>IF(B2699="","",COUNT('Diário 1º PA'!$A$4:$A$2635)+ROW()-3)</f>
        <v/>
      </c>
      <c r="B2699" s="413"/>
      <c r="C2699" s="626"/>
      <c r="D2699" s="419"/>
      <c r="E2699" s="419"/>
      <c r="F2699" s="422"/>
      <c r="G2699" s="423"/>
      <c r="H2699" s="419"/>
      <c r="I2699" s="427"/>
      <c r="J2699" s="419"/>
      <c r="K2699" s="419"/>
      <c r="L2699" s="415"/>
      <c r="M2699" s="419"/>
      <c r="N2699" s="413"/>
      <c r="O2699" s="414"/>
      <c r="P2699" s="603">
        <f t="shared" si="373"/>
        <v>0</v>
      </c>
      <c r="Q2699" s="603">
        <f t="shared" si="374"/>
        <v>0</v>
      </c>
      <c r="R2699" s="610" t="str">
        <f t="shared" si="372"/>
        <v/>
      </c>
      <c r="S2699" s="611"/>
      <c r="T2699" s="611"/>
    </row>
    <row r="2700" spans="1:20" s="88" customFormat="1" ht="12.75" hidden="1" x14ac:dyDescent="0.2">
      <c r="A2700" s="432" t="str">
        <f>IF(B2700="","",COUNT('Diário 1º PA'!$A$4:$A$2635)+ROW()-3)</f>
        <v/>
      </c>
      <c r="B2700" s="413"/>
      <c r="C2700" s="626"/>
      <c r="D2700" s="419"/>
      <c r="E2700" s="419"/>
      <c r="F2700" s="422"/>
      <c r="G2700" s="423"/>
      <c r="H2700" s="419"/>
      <c r="I2700" s="427"/>
      <c r="J2700" s="419"/>
      <c r="K2700" s="419"/>
      <c r="L2700" s="415"/>
      <c r="M2700" s="419"/>
      <c r="N2700" s="413"/>
      <c r="O2700" s="414"/>
      <c r="P2700" s="603">
        <f t="shared" si="373"/>
        <v>0</v>
      </c>
      <c r="Q2700" s="603">
        <f t="shared" si="374"/>
        <v>0</v>
      </c>
      <c r="R2700" s="610" t="str">
        <f t="shared" si="372"/>
        <v/>
      </c>
      <c r="S2700" s="611"/>
      <c r="T2700" s="611"/>
    </row>
    <row r="2701" spans="1:20" s="88" customFormat="1" ht="12.75" hidden="1" x14ac:dyDescent="0.2">
      <c r="A2701" s="432" t="str">
        <f>IF(B2701="","",COUNT('Diário 1º PA'!$A$4:$A$2635)+ROW()-3)</f>
        <v/>
      </c>
      <c r="B2701" s="413"/>
      <c r="C2701" s="626"/>
      <c r="D2701" s="419"/>
      <c r="E2701" s="419"/>
      <c r="F2701" s="422"/>
      <c r="G2701" s="423"/>
      <c r="H2701" s="419"/>
      <c r="I2701" s="427"/>
      <c r="J2701" s="419"/>
      <c r="K2701" s="419"/>
      <c r="L2701" s="415"/>
      <c r="M2701" s="419"/>
      <c r="N2701" s="413"/>
      <c r="O2701" s="414"/>
      <c r="P2701" s="603">
        <f t="shared" si="373"/>
        <v>0</v>
      </c>
      <c r="Q2701" s="603">
        <f t="shared" si="374"/>
        <v>0</v>
      </c>
      <c r="R2701" s="610" t="str">
        <f t="shared" si="372"/>
        <v/>
      </c>
      <c r="S2701" s="611"/>
      <c r="T2701" s="611"/>
    </row>
    <row r="2702" spans="1:20" s="88" customFormat="1" ht="12.75" hidden="1" x14ac:dyDescent="0.2">
      <c r="A2702" s="432" t="str">
        <f>IF(B2702="","",COUNT('Diário 1º PA'!$A$4:$A$2635)+ROW()-3)</f>
        <v/>
      </c>
      <c r="B2702" s="413"/>
      <c r="C2702" s="626"/>
      <c r="D2702" s="419"/>
      <c r="E2702" s="419"/>
      <c r="F2702" s="422"/>
      <c r="G2702" s="423"/>
      <c r="H2702" s="419"/>
      <c r="I2702" s="427"/>
      <c r="J2702" s="419"/>
      <c r="K2702" s="419"/>
      <c r="L2702" s="415"/>
      <c r="M2702" s="419"/>
      <c r="N2702" s="413"/>
      <c r="O2702" s="414"/>
      <c r="P2702" s="603">
        <f t="shared" si="373"/>
        <v>0</v>
      </c>
      <c r="Q2702" s="603">
        <f t="shared" si="374"/>
        <v>0</v>
      </c>
      <c r="R2702" s="610" t="str">
        <f t="shared" si="372"/>
        <v/>
      </c>
      <c r="S2702" s="611"/>
      <c r="T2702" s="611"/>
    </row>
    <row r="2703" spans="1:20" s="88" customFormat="1" ht="12.75" hidden="1" x14ac:dyDescent="0.2">
      <c r="A2703" s="432" t="str">
        <f>IF(B2703="","",COUNT('Diário 1º PA'!$A$4:$A$2635)+ROW()-3)</f>
        <v/>
      </c>
      <c r="B2703" s="413"/>
      <c r="C2703" s="626"/>
      <c r="D2703" s="419"/>
      <c r="E2703" s="419"/>
      <c r="F2703" s="422"/>
      <c r="G2703" s="423"/>
      <c r="H2703" s="419"/>
      <c r="I2703" s="427"/>
      <c r="J2703" s="419"/>
      <c r="K2703" s="419"/>
      <c r="L2703" s="415"/>
      <c r="M2703" s="419"/>
      <c r="N2703" s="413"/>
      <c r="O2703" s="414"/>
      <c r="P2703" s="603">
        <f t="shared" si="373"/>
        <v>0</v>
      </c>
      <c r="Q2703" s="603">
        <f t="shared" si="374"/>
        <v>0</v>
      </c>
      <c r="R2703" s="610" t="str">
        <f t="shared" si="372"/>
        <v/>
      </c>
      <c r="S2703" s="611"/>
      <c r="T2703" s="611"/>
    </row>
    <row r="2704" spans="1:20" s="88" customFormat="1" ht="12.75" hidden="1" x14ac:dyDescent="0.2">
      <c r="A2704" s="432" t="str">
        <f>IF(B2704="","",COUNT('Diário 1º PA'!$A$4:$A$2635)+ROW()-3)</f>
        <v/>
      </c>
      <c r="B2704" s="413"/>
      <c r="C2704" s="626"/>
      <c r="D2704" s="419"/>
      <c r="E2704" s="419"/>
      <c r="F2704" s="422"/>
      <c r="G2704" s="423"/>
      <c r="H2704" s="419"/>
      <c r="I2704" s="427"/>
      <c r="J2704" s="419"/>
      <c r="K2704" s="419"/>
      <c r="L2704" s="415"/>
      <c r="M2704" s="419"/>
      <c r="N2704" s="413"/>
      <c r="O2704" s="414"/>
      <c r="P2704" s="603">
        <f t="shared" si="373"/>
        <v>0</v>
      </c>
      <c r="Q2704" s="603">
        <f t="shared" si="374"/>
        <v>0</v>
      </c>
      <c r="R2704" s="610" t="str">
        <f t="shared" si="372"/>
        <v/>
      </c>
      <c r="S2704" s="611"/>
      <c r="T2704" s="611"/>
    </row>
    <row r="2705" spans="1:20" s="88" customFormat="1" ht="12.75" hidden="1" x14ac:dyDescent="0.2">
      <c r="A2705" s="432" t="str">
        <f>IF(B2705="","",COUNT('Diário 1º PA'!$A$4:$A$2635)+ROW()-3)</f>
        <v/>
      </c>
      <c r="B2705" s="413"/>
      <c r="C2705" s="626"/>
      <c r="D2705" s="419"/>
      <c r="E2705" s="419"/>
      <c r="F2705" s="422"/>
      <c r="G2705" s="423"/>
      <c r="H2705" s="419"/>
      <c r="I2705" s="427"/>
      <c r="J2705" s="419"/>
      <c r="K2705" s="419"/>
      <c r="L2705" s="415"/>
      <c r="M2705" s="419"/>
      <c r="N2705" s="413"/>
      <c r="O2705" s="414"/>
      <c r="P2705" s="603">
        <f t="shared" si="373"/>
        <v>0</v>
      </c>
      <c r="Q2705" s="603">
        <f t="shared" si="374"/>
        <v>0</v>
      </c>
      <c r="R2705" s="610" t="str">
        <f t="shared" si="372"/>
        <v/>
      </c>
      <c r="S2705" s="611"/>
      <c r="T2705" s="611"/>
    </row>
    <row r="2706" spans="1:20" s="88" customFormat="1" ht="12.75" hidden="1" x14ac:dyDescent="0.2">
      <c r="A2706" s="432" t="str">
        <f>IF(B2706="","",COUNT('Diário 1º PA'!$A$4:$A$2635)+ROW()-3)</f>
        <v/>
      </c>
      <c r="B2706" s="413"/>
      <c r="C2706" s="626"/>
      <c r="D2706" s="419"/>
      <c r="E2706" s="419"/>
      <c r="F2706" s="422"/>
      <c r="G2706" s="423"/>
      <c r="H2706" s="419"/>
      <c r="I2706" s="427"/>
      <c r="J2706" s="419"/>
      <c r="K2706" s="419"/>
      <c r="L2706" s="415"/>
      <c r="M2706" s="419"/>
      <c r="N2706" s="413"/>
      <c r="O2706" s="414"/>
      <c r="P2706" s="603">
        <f t="shared" si="373"/>
        <v>0</v>
      </c>
      <c r="Q2706" s="603">
        <f t="shared" si="374"/>
        <v>0</v>
      </c>
      <c r="R2706" s="610" t="str">
        <f t="shared" si="372"/>
        <v/>
      </c>
      <c r="S2706" s="611"/>
      <c r="T2706" s="611"/>
    </row>
    <row r="2707" spans="1:20" s="88" customFormat="1" ht="12.75" hidden="1" x14ac:dyDescent="0.2">
      <c r="A2707" s="432" t="str">
        <f>IF(B2707="","",COUNT('Diário 1º PA'!$A$4:$A$2635)+ROW()-3)</f>
        <v/>
      </c>
      <c r="B2707" s="413"/>
      <c r="C2707" s="626"/>
      <c r="D2707" s="419"/>
      <c r="E2707" s="419"/>
      <c r="F2707" s="422"/>
      <c r="G2707" s="423"/>
      <c r="H2707" s="419"/>
      <c r="I2707" s="427"/>
      <c r="J2707" s="419"/>
      <c r="K2707" s="419"/>
      <c r="L2707" s="415"/>
      <c r="M2707" s="419"/>
      <c r="N2707" s="413"/>
      <c r="O2707" s="414"/>
      <c r="P2707" s="603">
        <f t="shared" si="373"/>
        <v>0</v>
      </c>
      <c r="Q2707" s="603">
        <f t="shared" si="374"/>
        <v>0</v>
      </c>
      <c r="R2707" s="610" t="str">
        <f t="shared" si="372"/>
        <v/>
      </c>
      <c r="S2707" s="611"/>
      <c r="T2707" s="611"/>
    </row>
    <row r="2708" spans="1:20" s="88" customFormat="1" ht="12.75" hidden="1" x14ac:dyDescent="0.2">
      <c r="A2708" s="432" t="str">
        <f>IF(B2708="","",COUNT('Diário 1º PA'!$A$4:$A$2635)+ROW()-3)</f>
        <v/>
      </c>
      <c r="B2708" s="413"/>
      <c r="C2708" s="626"/>
      <c r="D2708" s="419"/>
      <c r="E2708" s="419"/>
      <c r="F2708" s="422"/>
      <c r="G2708" s="423"/>
      <c r="H2708" s="419"/>
      <c r="I2708" s="427"/>
      <c r="J2708" s="419"/>
      <c r="K2708" s="419"/>
      <c r="L2708" s="415"/>
      <c r="M2708" s="419"/>
      <c r="N2708" s="413"/>
      <c r="O2708" s="414"/>
      <c r="P2708" s="603">
        <f t="shared" si="373"/>
        <v>0</v>
      </c>
      <c r="Q2708" s="603">
        <f t="shared" si="374"/>
        <v>0</v>
      </c>
      <c r="R2708" s="610" t="str">
        <f t="shared" si="372"/>
        <v/>
      </c>
      <c r="S2708" s="611"/>
      <c r="T2708" s="611"/>
    </row>
    <row r="2709" spans="1:20" s="88" customFormat="1" ht="12.75" hidden="1" x14ac:dyDescent="0.2">
      <c r="A2709" s="432" t="str">
        <f>IF(B2709="","",COUNT('Diário 1º PA'!$A$4:$A$2635)+ROW()-3)</f>
        <v/>
      </c>
      <c r="B2709" s="413"/>
      <c r="C2709" s="626"/>
      <c r="D2709" s="419"/>
      <c r="E2709" s="419"/>
      <c r="F2709" s="422"/>
      <c r="G2709" s="423"/>
      <c r="H2709" s="419"/>
      <c r="I2709" s="427"/>
      <c r="J2709" s="419"/>
      <c r="K2709" s="419"/>
      <c r="L2709" s="415"/>
      <c r="M2709" s="419"/>
      <c r="N2709" s="413"/>
      <c r="O2709" s="414"/>
      <c r="P2709" s="603">
        <f t="shared" si="373"/>
        <v>0</v>
      </c>
      <c r="Q2709" s="603">
        <f t="shared" si="374"/>
        <v>0</v>
      </c>
      <c r="R2709" s="610" t="str">
        <f t="shared" si="372"/>
        <v/>
      </c>
      <c r="S2709" s="611"/>
      <c r="T2709" s="611"/>
    </row>
    <row r="2710" spans="1:20" s="88" customFormat="1" ht="12.75" hidden="1" x14ac:dyDescent="0.2">
      <c r="A2710" s="432" t="str">
        <f>IF(B2710="","",COUNT('Diário 1º PA'!$A$4:$A$2635)+ROW()-3)</f>
        <v/>
      </c>
      <c r="B2710" s="413"/>
      <c r="C2710" s="626"/>
      <c r="D2710" s="419"/>
      <c r="E2710" s="419"/>
      <c r="F2710" s="422"/>
      <c r="G2710" s="423"/>
      <c r="H2710" s="419"/>
      <c r="I2710" s="427"/>
      <c r="J2710" s="419"/>
      <c r="K2710" s="419"/>
      <c r="L2710" s="415"/>
      <c r="M2710" s="419"/>
      <c r="N2710" s="413"/>
      <c r="O2710" s="414"/>
      <c r="P2710" s="603">
        <f t="shared" si="373"/>
        <v>0</v>
      </c>
      <c r="Q2710" s="603">
        <f t="shared" si="374"/>
        <v>0</v>
      </c>
      <c r="R2710" s="610" t="str">
        <f t="shared" si="372"/>
        <v/>
      </c>
      <c r="S2710" s="611"/>
      <c r="T2710" s="611"/>
    </row>
    <row r="2711" spans="1:20" s="88" customFormat="1" ht="12.75" hidden="1" x14ac:dyDescent="0.2">
      <c r="A2711" s="432" t="str">
        <f>IF(B2711="","",COUNT('Diário 1º PA'!$A$4:$A$2635)+ROW()-3)</f>
        <v/>
      </c>
      <c r="B2711" s="413"/>
      <c r="C2711" s="626"/>
      <c r="D2711" s="419"/>
      <c r="E2711" s="419"/>
      <c r="F2711" s="422"/>
      <c r="G2711" s="423"/>
      <c r="H2711" s="419"/>
      <c r="I2711" s="427"/>
      <c r="J2711" s="419"/>
      <c r="K2711" s="419"/>
      <c r="L2711" s="415"/>
      <c r="M2711" s="419"/>
      <c r="N2711" s="413"/>
      <c r="O2711" s="414"/>
      <c r="P2711" s="603">
        <f t="shared" si="373"/>
        <v>0</v>
      </c>
      <c r="Q2711" s="603">
        <f t="shared" si="374"/>
        <v>0</v>
      </c>
      <c r="R2711" s="610" t="str">
        <f t="shared" si="372"/>
        <v/>
      </c>
      <c r="S2711" s="611"/>
      <c r="T2711" s="611"/>
    </row>
    <row r="2712" spans="1:20" s="88" customFormat="1" ht="12.75" hidden="1" x14ac:dyDescent="0.2">
      <c r="A2712" s="432" t="str">
        <f>IF(B2712="","",COUNT('Diário 1º PA'!$A$4:$A$2635)+ROW()-3)</f>
        <v/>
      </c>
      <c r="B2712" s="413"/>
      <c r="C2712" s="626"/>
      <c r="D2712" s="419"/>
      <c r="E2712" s="419"/>
      <c r="F2712" s="422"/>
      <c r="G2712" s="423"/>
      <c r="H2712" s="419"/>
      <c r="I2712" s="427"/>
      <c r="J2712" s="419"/>
      <c r="K2712" s="419"/>
      <c r="L2712" s="415"/>
      <c r="M2712" s="419"/>
      <c r="N2712" s="413"/>
      <c r="O2712" s="414"/>
      <c r="P2712" s="603">
        <f t="shared" si="373"/>
        <v>0</v>
      </c>
      <c r="Q2712" s="603">
        <f t="shared" si="374"/>
        <v>0</v>
      </c>
      <c r="R2712" s="610" t="str">
        <f t="shared" si="372"/>
        <v/>
      </c>
      <c r="S2712" s="611"/>
      <c r="T2712" s="611"/>
    </row>
    <row r="2713" spans="1:20" s="88" customFormat="1" ht="12.75" hidden="1" x14ac:dyDescent="0.2">
      <c r="A2713" s="432" t="str">
        <f>IF(B2713="","",COUNT('Diário 1º PA'!$A$4:$A$2635)+ROW()-3)</f>
        <v/>
      </c>
      <c r="B2713" s="413"/>
      <c r="C2713" s="626"/>
      <c r="D2713" s="419"/>
      <c r="E2713" s="419"/>
      <c r="F2713" s="422"/>
      <c r="G2713" s="423"/>
      <c r="H2713" s="419"/>
      <c r="I2713" s="427"/>
      <c r="J2713" s="419"/>
      <c r="K2713" s="419"/>
      <c r="L2713" s="415"/>
      <c r="M2713" s="419"/>
      <c r="N2713" s="413"/>
      <c r="O2713" s="414"/>
      <c r="P2713" s="603">
        <f t="shared" si="373"/>
        <v>0</v>
      </c>
      <c r="Q2713" s="603">
        <f t="shared" si="374"/>
        <v>0</v>
      </c>
      <c r="R2713" s="610" t="str">
        <f t="shared" si="372"/>
        <v/>
      </c>
      <c r="S2713" s="611"/>
      <c r="T2713" s="611"/>
    </row>
    <row r="2714" spans="1:20" s="88" customFormat="1" ht="12.75" hidden="1" x14ac:dyDescent="0.2">
      <c r="A2714" s="432" t="str">
        <f>IF(B2714="","",COUNT('Diário 1º PA'!$A$4:$A$2635)+ROW()-3)</f>
        <v/>
      </c>
      <c r="B2714" s="413"/>
      <c r="C2714" s="626"/>
      <c r="D2714" s="419"/>
      <c r="E2714" s="419"/>
      <c r="F2714" s="422"/>
      <c r="G2714" s="423"/>
      <c r="H2714" s="419"/>
      <c r="I2714" s="427"/>
      <c r="J2714" s="419"/>
      <c r="K2714" s="419"/>
      <c r="L2714" s="415"/>
      <c r="M2714" s="419"/>
      <c r="N2714" s="413"/>
      <c r="O2714" s="414"/>
      <c r="P2714" s="603">
        <f t="shared" si="373"/>
        <v>0</v>
      </c>
      <c r="Q2714" s="603">
        <f t="shared" si="374"/>
        <v>0</v>
      </c>
      <c r="R2714" s="610" t="str">
        <f t="shared" si="372"/>
        <v/>
      </c>
      <c r="S2714" s="611"/>
      <c r="T2714" s="611"/>
    </row>
    <row r="2715" spans="1:20" s="88" customFormat="1" ht="12.75" hidden="1" x14ac:dyDescent="0.2">
      <c r="A2715" s="432" t="str">
        <f>IF(B2715="","",COUNT('Diário 1º PA'!$A$4:$A$2635)+ROW()-3)</f>
        <v/>
      </c>
      <c r="B2715" s="413"/>
      <c r="C2715" s="626"/>
      <c r="D2715" s="419"/>
      <c r="E2715" s="419"/>
      <c r="F2715" s="422"/>
      <c r="G2715" s="423"/>
      <c r="H2715" s="419"/>
      <c r="I2715" s="427"/>
      <c r="J2715" s="419"/>
      <c r="K2715" s="419"/>
      <c r="L2715" s="415"/>
      <c r="M2715" s="419"/>
      <c r="N2715" s="413"/>
      <c r="O2715" s="414"/>
      <c r="P2715" s="603">
        <f t="shared" si="373"/>
        <v>0</v>
      </c>
      <c r="Q2715" s="603">
        <f t="shared" si="374"/>
        <v>0</v>
      </c>
      <c r="R2715" s="610" t="str">
        <f t="shared" si="372"/>
        <v/>
      </c>
      <c r="S2715" s="611"/>
      <c r="T2715" s="611"/>
    </row>
    <row r="2716" spans="1:20" s="88" customFormat="1" ht="12.75" hidden="1" x14ac:dyDescent="0.2">
      <c r="A2716" s="432" t="str">
        <f>IF(B2716="","",COUNT('Diário 1º PA'!$A$4:$A$2635)+ROW()-3)</f>
        <v/>
      </c>
      <c r="B2716" s="413"/>
      <c r="C2716" s="626"/>
      <c r="D2716" s="419"/>
      <c r="E2716" s="419"/>
      <c r="F2716" s="422"/>
      <c r="G2716" s="423"/>
      <c r="H2716" s="419"/>
      <c r="I2716" s="427"/>
      <c r="J2716" s="419"/>
      <c r="K2716" s="419"/>
      <c r="L2716" s="415"/>
      <c r="M2716" s="419"/>
      <c r="N2716" s="413"/>
      <c r="O2716" s="414"/>
      <c r="P2716" s="603">
        <f t="shared" si="373"/>
        <v>0</v>
      </c>
      <c r="Q2716" s="603">
        <f t="shared" si="374"/>
        <v>0</v>
      </c>
      <c r="R2716" s="610" t="str">
        <f t="shared" si="372"/>
        <v/>
      </c>
      <c r="S2716" s="611"/>
      <c r="T2716" s="611"/>
    </row>
    <row r="2717" spans="1:20" s="88" customFormat="1" ht="12.75" hidden="1" x14ac:dyDescent="0.2">
      <c r="A2717" s="432" t="str">
        <f>IF(B2717="","",COUNT('Diário 1º PA'!$A$4:$A$2635)+ROW()-3)</f>
        <v/>
      </c>
      <c r="B2717" s="413"/>
      <c r="C2717" s="626"/>
      <c r="D2717" s="419"/>
      <c r="E2717" s="419"/>
      <c r="F2717" s="422"/>
      <c r="G2717" s="423"/>
      <c r="H2717" s="419"/>
      <c r="I2717" s="427"/>
      <c r="J2717" s="419"/>
      <c r="K2717" s="419"/>
      <c r="L2717" s="415"/>
      <c r="M2717" s="419"/>
      <c r="N2717" s="413"/>
      <c r="O2717" s="414"/>
      <c r="P2717" s="603">
        <f t="shared" si="373"/>
        <v>0</v>
      </c>
      <c r="Q2717" s="603">
        <f t="shared" si="374"/>
        <v>0</v>
      </c>
      <c r="R2717" s="610" t="str">
        <f t="shared" si="372"/>
        <v/>
      </c>
      <c r="S2717" s="611"/>
      <c r="T2717" s="611"/>
    </row>
    <row r="2718" spans="1:20" s="88" customFormat="1" ht="12.75" hidden="1" x14ac:dyDescent="0.2">
      <c r="A2718" s="432" t="str">
        <f>IF(B2718="","",COUNT('Diário 1º PA'!$A$4:$A$2635)+ROW()-3)</f>
        <v/>
      </c>
      <c r="B2718" s="413"/>
      <c r="C2718" s="626"/>
      <c r="D2718" s="419"/>
      <c r="E2718" s="419"/>
      <c r="F2718" s="422"/>
      <c r="G2718" s="423"/>
      <c r="H2718" s="419"/>
      <c r="I2718" s="427"/>
      <c r="J2718" s="419"/>
      <c r="K2718" s="419"/>
      <c r="L2718" s="415"/>
      <c r="M2718" s="419"/>
      <c r="N2718" s="413"/>
      <c r="O2718" s="414"/>
      <c r="P2718" s="603">
        <f t="shared" si="373"/>
        <v>0</v>
      </c>
      <c r="Q2718" s="603">
        <f t="shared" si="374"/>
        <v>0</v>
      </c>
      <c r="R2718" s="610" t="str">
        <f t="shared" si="372"/>
        <v/>
      </c>
      <c r="S2718" s="611"/>
      <c r="T2718" s="611"/>
    </row>
    <row r="2719" spans="1:20" s="88" customFormat="1" ht="12.75" hidden="1" x14ac:dyDescent="0.2">
      <c r="A2719" s="432" t="str">
        <f>IF(B2719="","",COUNT('Diário 1º PA'!$A$4:$A$2635)+ROW()-3)</f>
        <v/>
      </c>
      <c r="B2719" s="413"/>
      <c r="C2719" s="626"/>
      <c r="D2719" s="419"/>
      <c r="E2719" s="419"/>
      <c r="F2719" s="422"/>
      <c r="G2719" s="423"/>
      <c r="H2719" s="419"/>
      <c r="I2719" s="427"/>
      <c r="J2719" s="419"/>
      <c r="K2719" s="419"/>
      <c r="L2719" s="415"/>
      <c r="M2719" s="419"/>
      <c r="N2719" s="413"/>
      <c r="O2719" s="414"/>
      <c r="P2719" s="603">
        <f t="shared" si="373"/>
        <v>0</v>
      </c>
      <c r="Q2719" s="603">
        <f t="shared" si="374"/>
        <v>0</v>
      </c>
      <c r="R2719" s="610" t="str">
        <f t="shared" si="372"/>
        <v/>
      </c>
      <c r="S2719" s="611"/>
      <c r="T2719" s="611"/>
    </row>
    <row r="2720" spans="1:20" s="88" customFormat="1" ht="12.75" hidden="1" x14ac:dyDescent="0.2">
      <c r="A2720" s="432" t="str">
        <f>IF(B2720="","",COUNT('Diário 1º PA'!$A$4:$A$2635)+ROW()-3)</f>
        <v/>
      </c>
      <c r="B2720" s="413"/>
      <c r="C2720" s="626"/>
      <c r="D2720" s="419"/>
      <c r="E2720" s="419"/>
      <c r="F2720" s="422"/>
      <c r="G2720" s="423"/>
      <c r="H2720" s="419"/>
      <c r="I2720" s="427"/>
      <c r="J2720" s="419"/>
      <c r="K2720" s="419"/>
      <c r="L2720" s="415"/>
      <c r="M2720" s="419"/>
      <c r="N2720" s="413"/>
      <c r="O2720" s="414"/>
      <c r="P2720" s="603">
        <f t="shared" si="373"/>
        <v>0</v>
      </c>
      <c r="Q2720" s="603">
        <f t="shared" si="374"/>
        <v>0</v>
      </c>
      <c r="R2720" s="610" t="str">
        <f t="shared" si="372"/>
        <v/>
      </c>
      <c r="S2720" s="611"/>
      <c r="T2720" s="611"/>
    </row>
    <row r="2721" spans="1:20" s="88" customFormat="1" ht="12.75" hidden="1" x14ac:dyDescent="0.2">
      <c r="A2721" s="432" t="str">
        <f>IF(B2721="","",COUNT('Diário 1º PA'!$A$4:$A$2635)+ROW()-3)</f>
        <v/>
      </c>
      <c r="B2721" s="413"/>
      <c r="C2721" s="626"/>
      <c r="D2721" s="419"/>
      <c r="E2721" s="419"/>
      <c r="F2721" s="422"/>
      <c r="G2721" s="423"/>
      <c r="H2721" s="419"/>
      <c r="I2721" s="427"/>
      <c r="J2721" s="419"/>
      <c r="K2721" s="419"/>
      <c r="L2721" s="415"/>
      <c r="M2721" s="419"/>
      <c r="N2721" s="413"/>
      <c r="O2721" s="414"/>
      <c r="P2721" s="603">
        <f t="shared" si="373"/>
        <v>0</v>
      </c>
      <c r="Q2721" s="603">
        <f t="shared" si="374"/>
        <v>0</v>
      </c>
      <c r="R2721" s="610" t="str">
        <f t="shared" si="372"/>
        <v/>
      </c>
      <c r="S2721" s="611"/>
      <c r="T2721" s="611"/>
    </row>
    <row r="2722" spans="1:20" s="88" customFormat="1" ht="12.75" hidden="1" x14ac:dyDescent="0.2">
      <c r="A2722" s="432" t="str">
        <f>IF(B2722="","",COUNT('Diário 1º PA'!$A$4:$A$2635)+ROW()-3)</f>
        <v/>
      </c>
      <c r="B2722" s="413"/>
      <c r="C2722" s="626"/>
      <c r="D2722" s="419"/>
      <c r="E2722" s="419"/>
      <c r="F2722" s="422"/>
      <c r="G2722" s="423"/>
      <c r="H2722" s="419"/>
      <c r="I2722" s="427"/>
      <c r="J2722" s="419"/>
      <c r="K2722" s="419"/>
      <c r="L2722" s="415"/>
      <c r="M2722" s="419"/>
      <c r="N2722" s="413"/>
      <c r="O2722" s="414"/>
      <c r="P2722" s="603">
        <f t="shared" si="373"/>
        <v>0</v>
      </c>
      <c r="Q2722" s="603">
        <f t="shared" si="374"/>
        <v>0</v>
      </c>
      <c r="R2722" s="610" t="str">
        <f t="shared" si="372"/>
        <v/>
      </c>
      <c r="S2722" s="611"/>
      <c r="T2722" s="611"/>
    </row>
    <row r="2723" spans="1:20" s="88" customFormat="1" ht="12.75" hidden="1" x14ac:dyDescent="0.2">
      <c r="A2723" s="432" t="str">
        <f>IF(B2723="","",COUNT('Diário 1º PA'!$A$4:$A$2635)+ROW()-3)</f>
        <v/>
      </c>
      <c r="B2723" s="413"/>
      <c r="C2723" s="626"/>
      <c r="D2723" s="419"/>
      <c r="E2723" s="419"/>
      <c r="F2723" s="422"/>
      <c r="G2723" s="423"/>
      <c r="H2723" s="419"/>
      <c r="I2723" s="427"/>
      <c r="J2723" s="419"/>
      <c r="K2723" s="419"/>
      <c r="L2723" s="415"/>
      <c r="M2723" s="419"/>
      <c r="N2723" s="413"/>
      <c r="O2723" s="414"/>
      <c r="P2723" s="603">
        <f t="shared" si="373"/>
        <v>0</v>
      </c>
      <c r="Q2723" s="603">
        <f t="shared" si="374"/>
        <v>0</v>
      </c>
      <c r="R2723" s="610" t="str">
        <f t="shared" si="372"/>
        <v/>
      </c>
      <c r="S2723" s="611"/>
      <c r="T2723" s="611"/>
    </row>
    <row r="2724" spans="1:20" s="88" customFormat="1" ht="12.75" hidden="1" x14ac:dyDescent="0.2">
      <c r="A2724" s="432" t="str">
        <f>IF(B2724="","",COUNT('Diário 1º PA'!$A$4:$A$2635)+ROW()-3)</f>
        <v/>
      </c>
      <c r="B2724" s="413"/>
      <c r="C2724" s="626"/>
      <c r="D2724" s="419"/>
      <c r="E2724" s="419"/>
      <c r="F2724" s="422"/>
      <c r="G2724" s="423"/>
      <c r="H2724" s="419"/>
      <c r="I2724" s="427"/>
      <c r="J2724" s="419"/>
      <c r="K2724" s="419"/>
      <c r="L2724" s="415"/>
      <c r="M2724" s="419"/>
      <c r="N2724" s="413"/>
      <c r="O2724" s="414"/>
      <c r="P2724" s="603">
        <f t="shared" si="373"/>
        <v>0</v>
      </c>
      <c r="Q2724" s="603">
        <f t="shared" si="374"/>
        <v>0</v>
      </c>
      <c r="R2724" s="610" t="str">
        <f t="shared" si="372"/>
        <v/>
      </c>
      <c r="S2724" s="611"/>
      <c r="T2724" s="611"/>
    </row>
    <row r="2725" spans="1:20" s="88" customFormat="1" ht="12.75" hidden="1" x14ac:dyDescent="0.2">
      <c r="A2725" s="432" t="str">
        <f>IF(B2725="","",COUNT('Diário 1º PA'!$A$4:$A$2635)+ROW()-3)</f>
        <v/>
      </c>
      <c r="B2725" s="413"/>
      <c r="C2725" s="626"/>
      <c r="D2725" s="419"/>
      <c r="E2725" s="419"/>
      <c r="F2725" s="422"/>
      <c r="G2725" s="423"/>
      <c r="H2725" s="419"/>
      <c r="I2725" s="427"/>
      <c r="J2725" s="419"/>
      <c r="K2725" s="419"/>
      <c r="L2725" s="415"/>
      <c r="M2725" s="419"/>
      <c r="N2725" s="413"/>
      <c r="O2725" s="414"/>
      <c r="P2725" s="603">
        <f t="shared" si="373"/>
        <v>0</v>
      </c>
      <c r="Q2725" s="603">
        <f t="shared" si="374"/>
        <v>0</v>
      </c>
      <c r="R2725" s="610" t="str">
        <f t="shared" si="372"/>
        <v/>
      </c>
      <c r="S2725" s="611"/>
      <c r="T2725" s="611"/>
    </row>
    <row r="2726" spans="1:20" s="88" customFormat="1" ht="12.75" hidden="1" x14ac:dyDescent="0.2">
      <c r="A2726" s="432" t="str">
        <f>IF(B2726="","",COUNT('Diário 1º PA'!$A$4:$A$2635)+ROW()-3)</f>
        <v/>
      </c>
      <c r="B2726" s="413"/>
      <c r="C2726" s="626"/>
      <c r="D2726" s="419"/>
      <c r="E2726" s="419"/>
      <c r="F2726" s="422"/>
      <c r="G2726" s="423"/>
      <c r="H2726" s="419"/>
      <c r="I2726" s="427"/>
      <c r="J2726" s="419"/>
      <c r="K2726" s="419"/>
      <c r="L2726" s="415"/>
      <c r="M2726" s="419"/>
      <c r="N2726" s="413"/>
      <c r="O2726" s="414"/>
      <c r="P2726" s="603">
        <f t="shared" si="373"/>
        <v>0</v>
      </c>
      <c r="Q2726" s="603">
        <f t="shared" si="374"/>
        <v>0</v>
      </c>
      <c r="R2726" s="610" t="str">
        <f t="shared" si="372"/>
        <v/>
      </c>
      <c r="S2726" s="611"/>
      <c r="T2726" s="611"/>
    </row>
    <row r="2727" spans="1:20" s="88" customFormat="1" ht="12.75" hidden="1" x14ac:dyDescent="0.2">
      <c r="A2727" s="432" t="str">
        <f>IF(B2727="","",COUNT('Diário 1º PA'!$A$4:$A$2635)+ROW()-3)</f>
        <v/>
      </c>
      <c r="B2727" s="413"/>
      <c r="C2727" s="626"/>
      <c r="D2727" s="419"/>
      <c r="E2727" s="419"/>
      <c r="F2727" s="422"/>
      <c r="G2727" s="423"/>
      <c r="H2727" s="419"/>
      <c r="I2727" s="427"/>
      <c r="J2727" s="419"/>
      <c r="K2727" s="419"/>
      <c r="L2727" s="415"/>
      <c r="M2727" s="419"/>
      <c r="N2727" s="413"/>
      <c r="O2727" s="414"/>
      <c r="P2727" s="603">
        <f t="shared" si="373"/>
        <v>0</v>
      </c>
      <c r="Q2727" s="603">
        <f t="shared" si="374"/>
        <v>0</v>
      </c>
      <c r="R2727" s="610" t="str">
        <f t="shared" si="372"/>
        <v/>
      </c>
      <c r="S2727" s="611"/>
      <c r="T2727" s="611"/>
    </row>
    <row r="2728" spans="1:20" s="88" customFormat="1" ht="12.75" hidden="1" x14ac:dyDescent="0.2">
      <c r="A2728" s="432" t="str">
        <f>IF(B2728="","",COUNT('Diário 1º PA'!$A$4:$A$2635)+ROW()-3)</f>
        <v/>
      </c>
      <c r="B2728" s="413"/>
      <c r="C2728" s="626"/>
      <c r="D2728" s="419"/>
      <c r="E2728" s="419"/>
      <c r="F2728" s="422"/>
      <c r="G2728" s="423"/>
      <c r="H2728" s="419"/>
      <c r="I2728" s="427"/>
      <c r="J2728" s="419"/>
      <c r="K2728" s="419"/>
      <c r="L2728" s="415"/>
      <c r="M2728" s="419"/>
      <c r="N2728" s="413"/>
      <c r="O2728" s="414"/>
      <c r="P2728" s="603">
        <f t="shared" si="373"/>
        <v>0</v>
      </c>
      <c r="Q2728" s="603">
        <f t="shared" si="374"/>
        <v>0</v>
      </c>
      <c r="R2728" s="610" t="str">
        <f t="shared" si="372"/>
        <v/>
      </c>
      <c r="S2728" s="611"/>
      <c r="T2728" s="611"/>
    </row>
    <row r="2729" spans="1:20" s="88" customFormat="1" ht="12.75" hidden="1" x14ac:dyDescent="0.2">
      <c r="A2729" s="432" t="str">
        <f>IF(B2729="","",COUNT('Diário 1º PA'!$A$4:$A$2635)+ROW()-3)</f>
        <v/>
      </c>
      <c r="B2729" s="413"/>
      <c r="C2729" s="626"/>
      <c r="D2729" s="419"/>
      <c r="E2729" s="419"/>
      <c r="F2729" s="422"/>
      <c r="G2729" s="423"/>
      <c r="H2729" s="419"/>
      <c r="I2729" s="427"/>
      <c r="J2729" s="419"/>
      <c r="K2729" s="419"/>
      <c r="L2729" s="415"/>
      <c r="M2729" s="419"/>
      <c r="N2729" s="413"/>
      <c r="O2729" s="414"/>
      <c r="P2729" s="603">
        <f t="shared" si="373"/>
        <v>0</v>
      </c>
      <c r="Q2729" s="603">
        <f t="shared" si="374"/>
        <v>0</v>
      </c>
      <c r="R2729" s="610" t="str">
        <f t="shared" si="372"/>
        <v/>
      </c>
      <c r="S2729" s="611"/>
      <c r="T2729" s="611"/>
    </row>
    <row r="2730" spans="1:20" s="88" customFormat="1" ht="12.75" hidden="1" x14ac:dyDescent="0.2">
      <c r="A2730" s="432" t="str">
        <f>IF(B2730="","",COUNT('Diário 1º PA'!$A$4:$A$2635)+ROW()-3)</f>
        <v/>
      </c>
      <c r="B2730" s="413"/>
      <c r="C2730" s="626"/>
      <c r="D2730" s="419"/>
      <c r="E2730" s="419"/>
      <c r="F2730" s="422"/>
      <c r="G2730" s="423"/>
      <c r="H2730" s="419"/>
      <c r="I2730" s="427"/>
      <c r="J2730" s="419"/>
      <c r="K2730" s="419"/>
      <c r="L2730" s="415"/>
      <c r="M2730" s="419"/>
      <c r="N2730" s="413"/>
      <c r="O2730" s="414"/>
      <c r="P2730" s="603">
        <f t="shared" si="373"/>
        <v>0</v>
      </c>
      <c r="Q2730" s="603">
        <f t="shared" si="374"/>
        <v>0</v>
      </c>
      <c r="R2730" s="610" t="str">
        <f t="shared" si="372"/>
        <v/>
      </c>
      <c r="S2730" s="611"/>
      <c r="T2730" s="611"/>
    </row>
    <row r="2731" spans="1:20" s="88" customFormat="1" ht="12.75" hidden="1" x14ac:dyDescent="0.2">
      <c r="A2731" s="432" t="str">
        <f>IF(B2731="","",COUNT('Diário 1º PA'!$A$4:$A$2635)+ROW()-3)</f>
        <v/>
      </c>
      <c r="B2731" s="413"/>
      <c r="C2731" s="626"/>
      <c r="D2731" s="419"/>
      <c r="E2731" s="419"/>
      <c r="F2731" s="422"/>
      <c r="G2731" s="423"/>
      <c r="H2731" s="419"/>
      <c r="I2731" s="427"/>
      <c r="J2731" s="419"/>
      <c r="K2731" s="419"/>
      <c r="L2731" s="415"/>
      <c r="M2731" s="419"/>
      <c r="N2731" s="413"/>
      <c r="O2731" s="414"/>
      <c r="P2731" s="603">
        <f t="shared" si="373"/>
        <v>0</v>
      </c>
      <c r="Q2731" s="603">
        <f t="shared" si="374"/>
        <v>0</v>
      </c>
      <c r="R2731" s="610" t="str">
        <f t="shared" si="372"/>
        <v/>
      </c>
      <c r="S2731" s="611"/>
      <c r="T2731" s="611"/>
    </row>
    <row r="2732" spans="1:20" s="88" customFormat="1" ht="12.75" hidden="1" x14ac:dyDescent="0.2">
      <c r="A2732" s="432" t="str">
        <f>IF(B2732="","",COUNT('Diário 1º PA'!$A$4:$A$2635)+ROW()-3)</f>
        <v/>
      </c>
      <c r="B2732" s="413"/>
      <c r="C2732" s="626"/>
      <c r="D2732" s="419"/>
      <c r="E2732" s="419"/>
      <c r="F2732" s="422"/>
      <c r="G2732" s="423"/>
      <c r="H2732" s="419"/>
      <c r="I2732" s="427"/>
      <c r="J2732" s="419"/>
      <c r="K2732" s="419"/>
      <c r="L2732" s="415"/>
      <c r="M2732" s="419"/>
      <c r="N2732" s="413"/>
      <c r="O2732" s="414"/>
      <c r="P2732" s="603">
        <f t="shared" si="373"/>
        <v>0</v>
      </c>
      <c r="Q2732" s="603">
        <f t="shared" si="374"/>
        <v>0</v>
      </c>
      <c r="R2732" s="610" t="str">
        <f t="shared" si="372"/>
        <v/>
      </c>
      <c r="S2732" s="611"/>
      <c r="T2732" s="611"/>
    </row>
    <row r="2733" spans="1:20" s="88" customFormat="1" ht="12.75" hidden="1" x14ac:dyDescent="0.2">
      <c r="A2733" s="432" t="str">
        <f>IF(B2733="","",COUNT('Diário 1º PA'!$A$4:$A$2635)+ROW()-3)</f>
        <v/>
      </c>
      <c r="B2733" s="413"/>
      <c r="C2733" s="626"/>
      <c r="D2733" s="419"/>
      <c r="E2733" s="419"/>
      <c r="F2733" s="422"/>
      <c r="G2733" s="423"/>
      <c r="H2733" s="419"/>
      <c r="I2733" s="427"/>
      <c r="J2733" s="419"/>
      <c r="K2733" s="419"/>
      <c r="L2733" s="415"/>
      <c r="M2733" s="419"/>
      <c r="N2733" s="413"/>
      <c r="O2733" s="414"/>
      <c r="P2733" s="603">
        <f t="shared" si="373"/>
        <v>0</v>
      </c>
      <c r="Q2733" s="603">
        <f t="shared" si="374"/>
        <v>0</v>
      </c>
      <c r="R2733" s="610" t="str">
        <f t="shared" ref="R2733:R2796" si="375">SUBSTITUTE(D2733," ","_")</f>
        <v/>
      </c>
      <c r="S2733" s="611"/>
      <c r="T2733" s="611"/>
    </row>
    <row r="2734" spans="1:20" s="88" customFormat="1" ht="12.75" hidden="1" x14ac:dyDescent="0.2">
      <c r="A2734" s="432" t="str">
        <f>IF(B2734="","",COUNT('Diário 1º PA'!$A$4:$A$2635)+ROW()-3)</f>
        <v/>
      </c>
      <c r="B2734" s="413"/>
      <c r="C2734" s="626"/>
      <c r="D2734" s="419"/>
      <c r="E2734" s="419"/>
      <c r="F2734" s="422"/>
      <c r="G2734" s="423"/>
      <c r="H2734" s="419"/>
      <c r="I2734" s="427"/>
      <c r="J2734" s="419"/>
      <c r="K2734" s="419"/>
      <c r="L2734" s="415"/>
      <c r="M2734" s="419"/>
      <c r="N2734" s="413"/>
      <c r="O2734" s="414"/>
      <c r="P2734" s="603">
        <f t="shared" ref="P2734:P2797" si="376">IF(B2734=0,0,IF(YEAR(B2734)=$Q$1,MONTH(B2734)-$P$1+1,(YEAR(B2734)-$Q$1)*12-$P$1+1+MONTH(B2734)))</f>
        <v>0</v>
      </c>
      <c r="Q2734" s="603">
        <f t="shared" ref="Q2734:Q2797" si="377">IF(C2734=0,0,IF(YEAR(C2734)=$Q$1,MONTH(C2734)-$P$1+1,(YEAR(C2734)-$Q$1)*12-$P$1+1+MONTH(C2734)))</f>
        <v>0</v>
      </c>
      <c r="R2734" s="610" t="str">
        <f t="shared" si="375"/>
        <v/>
      </c>
      <c r="S2734" s="611"/>
      <c r="T2734" s="611"/>
    </row>
    <row r="2735" spans="1:20" s="88" customFormat="1" ht="12.75" hidden="1" x14ac:dyDescent="0.2">
      <c r="A2735" s="432" t="str">
        <f>IF(B2735="","",COUNT('Diário 1º PA'!$A$4:$A$2635)+ROW()-3)</f>
        <v/>
      </c>
      <c r="B2735" s="413"/>
      <c r="C2735" s="626"/>
      <c r="D2735" s="419"/>
      <c r="E2735" s="419"/>
      <c r="F2735" s="422"/>
      <c r="G2735" s="423"/>
      <c r="H2735" s="419"/>
      <c r="I2735" s="427"/>
      <c r="J2735" s="419"/>
      <c r="K2735" s="419"/>
      <c r="L2735" s="415"/>
      <c r="M2735" s="419"/>
      <c r="N2735" s="413"/>
      <c r="O2735" s="414"/>
      <c r="P2735" s="603">
        <f t="shared" si="376"/>
        <v>0</v>
      </c>
      <c r="Q2735" s="603">
        <f t="shared" si="377"/>
        <v>0</v>
      </c>
      <c r="R2735" s="610" t="str">
        <f t="shared" si="375"/>
        <v/>
      </c>
      <c r="S2735" s="611"/>
      <c r="T2735" s="611"/>
    </row>
    <row r="2736" spans="1:20" s="88" customFormat="1" ht="12.75" hidden="1" x14ac:dyDescent="0.2">
      <c r="A2736" s="432" t="str">
        <f>IF(B2736="","",COUNT('Diário 1º PA'!$A$4:$A$2635)+ROW()-3)</f>
        <v/>
      </c>
      <c r="B2736" s="413"/>
      <c r="C2736" s="626"/>
      <c r="D2736" s="419"/>
      <c r="E2736" s="419"/>
      <c r="F2736" s="422"/>
      <c r="G2736" s="423"/>
      <c r="H2736" s="419"/>
      <c r="I2736" s="427"/>
      <c r="J2736" s="419"/>
      <c r="K2736" s="419"/>
      <c r="L2736" s="415"/>
      <c r="M2736" s="419"/>
      <c r="N2736" s="413"/>
      <c r="O2736" s="414"/>
      <c r="P2736" s="603">
        <f t="shared" si="376"/>
        <v>0</v>
      </c>
      <c r="Q2736" s="603">
        <f t="shared" si="377"/>
        <v>0</v>
      </c>
      <c r="R2736" s="610" t="str">
        <f t="shared" si="375"/>
        <v/>
      </c>
      <c r="S2736" s="611"/>
      <c r="T2736" s="611"/>
    </row>
    <row r="2737" spans="1:20" s="88" customFormat="1" ht="12.75" hidden="1" x14ac:dyDescent="0.2">
      <c r="A2737" s="432" t="str">
        <f>IF(B2737="","",COUNT('Diário 1º PA'!$A$4:$A$2635)+ROW()-3)</f>
        <v/>
      </c>
      <c r="B2737" s="413"/>
      <c r="C2737" s="626"/>
      <c r="D2737" s="419"/>
      <c r="E2737" s="419"/>
      <c r="F2737" s="422"/>
      <c r="G2737" s="423"/>
      <c r="H2737" s="419"/>
      <c r="I2737" s="427"/>
      <c r="J2737" s="419"/>
      <c r="K2737" s="419"/>
      <c r="L2737" s="415"/>
      <c r="M2737" s="419"/>
      <c r="N2737" s="413"/>
      <c r="O2737" s="414"/>
      <c r="P2737" s="603">
        <f t="shared" si="376"/>
        <v>0</v>
      </c>
      <c r="Q2737" s="603">
        <f t="shared" si="377"/>
        <v>0</v>
      </c>
      <c r="R2737" s="610" t="str">
        <f t="shared" si="375"/>
        <v/>
      </c>
      <c r="S2737" s="611"/>
      <c r="T2737" s="611"/>
    </row>
    <row r="2738" spans="1:20" s="88" customFormat="1" ht="12.75" hidden="1" x14ac:dyDescent="0.2">
      <c r="A2738" s="432" t="str">
        <f>IF(B2738="","",COUNT('Diário 1º PA'!$A$4:$A$2635)+ROW()-3)</f>
        <v/>
      </c>
      <c r="B2738" s="413"/>
      <c r="C2738" s="626"/>
      <c r="D2738" s="419"/>
      <c r="E2738" s="419"/>
      <c r="F2738" s="422"/>
      <c r="G2738" s="423"/>
      <c r="H2738" s="419"/>
      <c r="I2738" s="427"/>
      <c r="J2738" s="419"/>
      <c r="K2738" s="419"/>
      <c r="L2738" s="415"/>
      <c r="M2738" s="419"/>
      <c r="N2738" s="413"/>
      <c r="O2738" s="414"/>
      <c r="P2738" s="603">
        <f t="shared" si="376"/>
        <v>0</v>
      </c>
      <c r="Q2738" s="603">
        <f t="shared" si="377"/>
        <v>0</v>
      </c>
      <c r="R2738" s="610" t="str">
        <f t="shared" si="375"/>
        <v/>
      </c>
      <c r="S2738" s="611"/>
      <c r="T2738" s="611"/>
    </row>
    <row r="2739" spans="1:20" s="88" customFormat="1" ht="12.75" hidden="1" x14ac:dyDescent="0.2">
      <c r="A2739" s="432" t="str">
        <f>IF(B2739="","",COUNT('Diário 1º PA'!$A$4:$A$2635)+ROW()-3)</f>
        <v/>
      </c>
      <c r="B2739" s="413"/>
      <c r="C2739" s="626"/>
      <c r="D2739" s="419"/>
      <c r="E2739" s="419"/>
      <c r="F2739" s="422"/>
      <c r="G2739" s="423"/>
      <c r="H2739" s="419"/>
      <c r="I2739" s="427"/>
      <c r="J2739" s="419"/>
      <c r="K2739" s="419"/>
      <c r="L2739" s="415"/>
      <c r="M2739" s="419"/>
      <c r="N2739" s="413"/>
      <c r="O2739" s="414"/>
      <c r="P2739" s="603">
        <f t="shared" si="376"/>
        <v>0</v>
      </c>
      <c r="Q2739" s="603">
        <f t="shared" si="377"/>
        <v>0</v>
      </c>
      <c r="R2739" s="610" t="str">
        <f t="shared" si="375"/>
        <v/>
      </c>
      <c r="S2739" s="611"/>
      <c r="T2739" s="611"/>
    </row>
    <row r="2740" spans="1:20" s="88" customFormat="1" ht="12.75" hidden="1" x14ac:dyDescent="0.2">
      <c r="A2740" s="432" t="str">
        <f>IF(B2740="","",COUNT('Diário 1º PA'!$A$4:$A$2635)+ROW()-3)</f>
        <v/>
      </c>
      <c r="B2740" s="413"/>
      <c r="C2740" s="626"/>
      <c r="D2740" s="419"/>
      <c r="E2740" s="419"/>
      <c r="F2740" s="422"/>
      <c r="G2740" s="423"/>
      <c r="H2740" s="419"/>
      <c r="I2740" s="427"/>
      <c r="J2740" s="419"/>
      <c r="K2740" s="419"/>
      <c r="L2740" s="415"/>
      <c r="M2740" s="419"/>
      <c r="N2740" s="413"/>
      <c r="O2740" s="414"/>
      <c r="P2740" s="603">
        <f t="shared" si="376"/>
        <v>0</v>
      </c>
      <c r="Q2740" s="603">
        <f t="shared" si="377"/>
        <v>0</v>
      </c>
      <c r="R2740" s="610" t="str">
        <f t="shared" si="375"/>
        <v/>
      </c>
      <c r="S2740" s="611"/>
      <c r="T2740" s="611"/>
    </row>
    <row r="2741" spans="1:20" s="88" customFormat="1" ht="12.75" hidden="1" x14ac:dyDescent="0.2">
      <c r="A2741" s="432" t="str">
        <f>IF(B2741="","",COUNT('Diário 1º PA'!$A$4:$A$2635)+ROW()-3)</f>
        <v/>
      </c>
      <c r="B2741" s="413"/>
      <c r="C2741" s="626"/>
      <c r="D2741" s="419"/>
      <c r="E2741" s="419"/>
      <c r="F2741" s="422"/>
      <c r="G2741" s="423"/>
      <c r="H2741" s="419"/>
      <c r="I2741" s="427"/>
      <c r="J2741" s="419"/>
      <c r="K2741" s="419"/>
      <c r="L2741" s="415"/>
      <c r="M2741" s="419"/>
      <c r="N2741" s="413"/>
      <c r="O2741" s="414"/>
      <c r="P2741" s="603">
        <f t="shared" si="376"/>
        <v>0</v>
      </c>
      <c r="Q2741" s="603">
        <f t="shared" si="377"/>
        <v>0</v>
      </c>
      <c r="R2741" s="610" t="str">
        <f t="shared" si="375"/>
        <v/>
      </c>
      <c r="S2741" s="611"/>
      <c r="T2741" s="611"/>
    </row>
    <row r="2742" spans="1:20" s="88" customFormat="1" ht="12.75" hidden="1" x14ac:dyDescent="0.2">
      <c r="A2742" s="432" t="str">
        <f>IF(B2742="","",COUNT('Diário 1º PA'!$A$4:$A$2635)+ROW()-3)</f>
        <v/>
      </c>
      <c r="B2742" s="413"/>
      <c r="C2742" s="626"/>
      <c r="D2742" s="419"/>
      <c r="E2742" s="419"/>
      <c r="F2742" s="422"/>
      <c r="G2742" s="423"/>
      <c r="H2742" s="419"/>
      <c r="I2742" s="427"/>
      <c r="J2742" s="419"/>
      <c r="K2742" s="419"/>
      <c r="L2742" s="415"/>
      <c r="M2742" s="419"/>
      <c r="N2742" s="413"/>
      <c r="O2742" s="414"/>
      <c r="P2742" s="603">
        <f t="shared" si="376"/>
        <v>0</v>
      </c>
      <c r="Q2742" s="603">
        <f t="shared" si="377"/>
        <v>0</v>
      </c>
      <c r="R2742" s="610" t="str">
        <f t="shared" si="375"/>
        <v/>
      </c>
      <c r="S2742" s="611"/>
      <c r="T2742" s="611"/>
    </row>
    <row r="2743" spans="1:20" s="88" customFormat="1" ht="12.75" hidden="1" x14ac:dyDescent="0.2">
      <c r="A2743" s="432" t="str">
        <f>IF(B2743="","",COUNT('Diário 1º PA'!$A$4:$A$2635)+ROW()-3)</f>
        <v/>
      </c>
      <c r="B2743" s="413"/>
      <c r="C2743" s="626"/>
      <c r="D2743" s="419"/>
      <c r="E2743" s="419"/>
      <c r="F2743" s="422"/>
      <c r="G2743" s="423"/>
      <c r="H2743" s="419"/>
      <c r="I2743" s="427"/>
      <c r="J2743" s="419"/>
      <c r="K2743" s="419"/>
      <c r="L2743" s="415"/>
      <c r="M2743" s="419"/>
      <c r="N2743" s="413"/>
      <c r="O2743" s="414"/>
      <c r="P2743" s="603">
        <f t="shared" si="376"/>
        <v>0</v>
      </c>
      <c r="Q2743" s="603">
        <f t="shared" si="377"/>
        <v>0</v>
      </c>
      <c r="R2743" s="610" t="str">
        <f t="shared" si="375"/>
        <v/>
      </c>
      <c r="S2743" s="611"/>
      <c r="T2743" s="611"/>
    </row>
    <row r="2744" spans="1:20" s="88" customFormat="1" ht="12.75" hidden="1" x14ac:dyDescent="0.2">
      <c r="A2744" s="432" t="str">
        <f>IF(B2744="","",COUNT('Diário 1º PA'!$A$4:$A$2635)+ROW()-3)</f>
        <v/>
      </c>
      <c r="B2744" s="413"/>
      <c r="C2744" s="626"/>
      <c r="D2744" s="419"/>
      <c r="E2744" s="419"/>
      <c r="F2744" s="422"/>
      <c r="G2744" s="423"/>
      <c r="H2744" s="419"/>
      <c r="I2744" s="427"/>
      <c r="J2744" s="419"/>
      <c r="K2744" s="419"/>
      <c r="L2744" s="415"/>
      <c r="M2744" s="419"/>
      <c r="N2744" s="413"/>
      <c r="O2744" s="414"/>
      <c r="P2744" s="603">
        <f t="shared" si="376"/>
        <v>0</v>
      </c>
      <c r="Q2744" s="603">
        <f t="shared" si="377"/>
        <v>0</v>
      </c>
      <c r="R2744" s="610" t="str">
        <f t="shared" si="375"/>
        <v/>
      </c>
      <c r="S2744" s="611"/>
      <c r="T2744" s="611"/>
    </row>
    <row r="2745" spans="1:20" s="88" customFormat="1" ht="12.75" hidden="1" x14ac:dyDescent="0.2">
      <c r="A2745" s="432" t="str">
        <f>IF(B2745="","",COUNT('Diário 1º PA'!$A$4:$A$2635)+ROW()-3)</f>
        <v/>
      </c>
      <c r="B2745" s="413"/>
      <c r="C2745" s="626"/>
      <c r="D2745" s="419"/>
      <c r="E2745" s="419"/>
      <c r="F2745" s="422"/>
      <c r="G2745" s="423"/>
      <c r="H2745" s="419"/>
      <c r="I2745" s="427"/>
      <c r="J2745" s="419"/>
      <c r="K2745" s="419"/>
      <c r="L2745" s="415"/>
      <c r="M2745" s="419"/>
      <c r="N2745" s="413"/>
      <c r="O2745" s="414"/>
      <c r="P2745" s="603">
        <f t="shared" si="376"/>
        <v>0</v>
      </c>
      <c r="Q2745" s="603">
        <f t="shared" si="377"/>
        <v>0</v>
      </c>
      <c r="R2745" s="610" t="str">
        <f t="shared" si="375"/>
        <v/>
      </c>
      <c r="S2745" s="611"/>
      <c r="T2745" s="611"/>
    </row>
    <row r="2746" spans="1:20" s="88" customFormat="1" ht="12.75" hidden="1" x14ac:dyDescent="0.2">
      <c r="A2746" s="432" t="str">
        <f>IF(B2746="","",COUNT('Diário 1º PA'!$A$4:$A$2635)+ROW()-3)</f>
        <v/>
      </c>
      <c r="B2746" s="413"/>
      <c r="C2746" s="626"/>
      <c r="D2746" s="419"/>
      <c r="E2746" s="419"/>
      <c r="F2746" s="422"/>
      <c r="G2746" s="423"/>
      <c r="H2746" s="419"/>
      <c r="I2746" s="427"/>
      <c r="J2746" s="419"/>
      <c r="K2746" s="419"/>
      <c r="L2746" s="415"/>
      <c r="M2746" s="419"/>
      <c r="N2746" s="413"/>
      <c r="O2746" s="414"/>
      <c r="P2746" s="603">
        <f t="shared" si="376"/>
        <v>0</v>
      </c>
      <c r="Q2746" s="603">
        <f t="shared" si="377"/>
        <v>0</v>
      </c>
      <c r="R2746" s="610" t="str">
        <f t="shared" si="375"/>
        <v/>
      </c>
      <c r="S2746" s="611"/>
      <c r="T2746" s="611"/>
    </row>
    <row r="2747" spans="1:20" s="88" customFormat="1" ht="12.75" hidden="1" x14ac:dyDescent="0.2">
      <c r="A2747" s="432" t="str">
        <f>IF(B2747="","",COUNT('Diário 1º PA'!$A$4:$A$2635)+ROW()-3)</f>
        <v/>
      </c>
      <c r="B2747" s="413"/>
      <c r="C2747" s="626"/>
      <c r="D2747" s="419"/>
      <c r="E2747" s="419"/>
      <c r="F2747" s="422"/>
      <c r="G2747" s="423"/>
      <c r="H2747" s="419"/>
      <c r="I2747" s="427"/>
      <c r="J2747" s="419"/>
      <c r="K2747" s="419"/>
      <c r="L2747" s="415"/>
      <c r="M2747" s="419"/>
      <c r="N2747" s="413"/>
      <c r="O2747" s="414"/>
      <c r="P2747" s="603">
        <f t="shared" si="376"/>
        <v>0</v>
      </c>
      <c r="Q2747" s="603">
        <f t="shared" si="377"/>
        <v>0</v>
      </c>
      <c r="R2747" s="610" t="str">
        <f t="shared" si="375"/>
        <v/>
      </c>
      <c r="S2747" s="611"/>
      <c r="T2747" s="611"/>
    </row>
    <row r="2748" spans="1:20" s="88" customFormat="1" ht="12.75" hidden="1" x14ac:dyDescent="0.2">
      <c r="A2748" s="432" t="str">
        <f>IF(B2748="","",COUNT('Diário 1º PA'!$A$4:$A$2635)+ROW()-3)</f>
        <v/>
      </c>
      <c r="B2748" s="413"/>
      <c r="C2748" s="626"/>
      <c r="D2748" s="419"/>
      <c r="E2748" s="419"/>
      <c r="F2748" s="422"/>
      <c r="G2748" s="423"/>
      <c r="H2748" s="419"/>
      <c r="I2748" s="427"/>
      <c r="J2748" s="419"/>
      <c r="K2748" s="419"/>
      <c r="L2748" s="415"/>
      <c r="M2748" s="419"/>
      <c r="N2748" s="413"/>
      <c r="O2748" s="414"/>
      <c r="P2748" s="603">
        <f t="shared" si="376"/>
        <v>0</v>
      </c>
      <c r="Q2748" s="603">
        <f t="shared" si="377"/>
        <v>0</v>
      </c>
      <c r="R2748" s="610" t="str">
        <f t="shared" si="375"/>
        <v/>
      </c>
      <c r="S2748" s="611"/>
      <c r="T2748" s="611"/>
    </row>
    <row r="2749" spans="1:20" s="88" customFormat="1" ht="12.75" hidden="1" x14ac:dyDescent="0.2">
      <c r="A2749" s="432" t="str">
        <f>IF(B2749="","",COUNT('Diário 1º PA'!$A$4:$A$2635)+ROW()-3)</f>
        <v/>
      </c>
      <c r="B2749" s="413"/>
      <c r="C2749" s="626"/>
      <c r="D2749" s="419"/>
      <c r="E2749" s="419"/>
      <c r="F2749" s="422"/>
      <c r="G2749" s="423"/>
      <c r="H2749" s="419"/>
      <c r="I2749" s="427"/>
      <c r="J2749" s="419"/>
      <c r="K2749" s="419"/>
      <c r="L2749" s="415"/>
      <c r="M2749" s="419"/>
      <c r="N2749" s="413"/>
      <c r="O2749" s="414"/>
      <c r="P2749" s="603">
        <f t="shared" si="376"/>
        <v>0</v>
      </c>
      <c r="Q2749" s="603">
        <f t="shared" si="377"/>
        <v>0</v>
      </c>
      <c r="R2749" s="610" t="str">
        <f t="shared" si="375"/>
        <v/>
      </c>
      <c r="S2749" s="611"/>
      <c r="T2749" s="611"/>
    </row>
    <row r="2750" spans="1:20" s="88" customFormat="1" ht="12.75" hidden="1" x14ac:dyDescent="0.2">
      <c r="A2750" s="432" t="str">
        <f>IF(B2750="","",COUNT('Diário 1º PA'!$A$4:$A$2635)+ROW()-3)</f>
        <v/>
      </c>
      <c r="B2750" s="413"/>
      <c r="C2750" s="626"/>
      <c r="D2750" s="419"/>
      <c r="E2750" s="419"/>
      <c r="F2750" s="422"/>
      <c r="G2750" s="423"/>
      <c r="H2750" s="419"/>
      <c r="I2750" s="427"/>
      <c r="J2750" s="419"/>
      <c r="K2750" s="419"/>
      <c r="L2750" s="415"/>
      <c r="M2750" s="419"/>
      <c r="N2750" s="413"/>
      <c r="O2750" s="414"/>
      <c r="P2750" s="603">
        <f t="shared" si="376"/>
        <v>0</v>
      </c>
      <c r="Q2750" s="603">
        <f t="shared" si="377"/>
        <v>0</v>
      </c>
      <c r="R2750" s="610" t="str">
        <f t="shared" si="375"/>
        <v/>
      </c>
      <c r="S2750" s="611"/>
      <c r="T2750" s="611"/>
    </row>
    <row r="2751" spans="1:20" s="88" customFormat="1" ht="12.75" hidden="1" x14ac:dyDescent="0.2">
      <c r="A2751" s="432" t="str">
        <f>IF(B2751="","",COUNT('Diário 1º PA'!$A$4:$A$2635)+ROW()-3)</f>
        <v/>
      </c>
      <c r="B2751" s="413"/>
      <c r="C2751" s="626"/>
      <c r="D2751" s="419"/>
      <c r="E2751" s="419"/>
      <c r="F2751" s="422"/>
      <c r="G2751" s="423"/>
      <c r="H2751" s="419"/>
      <c r="I2751" s="427"/>
      <c r="J2751" s="419"/>
      <c r="K2751" s="419"/>
      <c r="L2751" s="415"/>
      <c r="M2751" s="419"/>
      <c r="N2751" s="413"/>
      <c r="O2751" s="414"/>
      <c r="P2751" s="603">
        <f t="shared" si="376"/>
        <v>0</v>
      </c>
      <c r="Q2751" s="603">
        <f t="shared" si="377"/>
        <v>0</v>
      </c>
      <c r="R2751" s="610" t="str">
        <f t="shared" si="375"/>
        <v/>
      </c>
      <c r="S2751" s="611"/>
      <c r="T2751" s="611"/>
    </row>
    <row r="2752" spans="1:20" s="88" customFormat="1" ht="12.75" hidden="1" x14ac:dyDescent="0.2">
      <c r="A2752" s="432" t="str">
        <f>IF(B2752="","",COUNT('Diário 1º PA'!$A$4:$A$2635)+ROW()-3)</f>
        <v/>
      </c>
      <c r="B2752" s="413"/>
      <c r="C2752" s="626"/>
      <c r="D2752" s="419"/>
      <c r="E2752" s="419"/>
      <c r="F2752" s="422"/>
      <c r="G2752" s="423"/>
      <c r="H2752" s="419"/>
      <c r="I2752" s="427"/>
      <c r="J2752" s="419"/>
      <c r="K2752" s="419"/>
      <c r="L2752" s="415"/>
      <c r="M2752" s="419"/>
      <c r="N2752" s="413"/>
      <c r="O2752" s="414"/>
      <c r="P2752" s="603">
        <f t="shared" si="376"/>
        <v>0</v>
      </c>
      <c r="Q2752" s="603">
        <f t="shared" si="377"/>
        <v>0</v>
      </c>
      <c r="R2752" s="610" t="str">
        <f t="shared" si="375"/>
        <v/>
      </c>
      <c r="S2752" s="611"/>
      <c r="T2752" s="611"/>
    </row>
    <row r="2753" spans="1:20" s="88" customFormat="1" ht="12.75" hidden="1" x14ac:dyDescent="0.2">
      <c r="A2753" s="432" t="str">
        <f>IF(B2753="","",COUNT('Diário 1º PA'!$A$4:$A$2635)+ROW()-3)</f>
        <v/>
      </c>
      <c r="B2753" s="413"/>
      <c r="C2753" s="626"/>
      <c r="D2753" s="419"/>
      <c r="E2753" s="419"/>
      <c r="F2753" s="422"/>
      <c r="G2753" s="423"/>
      <c r="H2753" s="419"/>
      <c r="I2753" s="427"/>
      <c r="J2753" s="419"/>
      <c r="K2753" s="419"/>
      <c r="L2753" s="415"/>
      <c r="M2753" s="419"/>
      <c r="N2753" s="419"/>
      <c r="O2753" s="414"/>
      <c r="P2753" s="603">
        <f t="shared" si="376"/>
        <v>0</v>
      </c>
      <c r="Q2753" s="603">
        <f t="shared" si="377"/>
        <v>0</v>
      </c>
      <c r="R2753" s="610" t="str">
        <f t="shared" si="375"/>
        <v/>
      </c>
      <c r="S2753" s="611"/>
      <c r="T2753" s="611"/>
    </row>
    <row r="2754" spans="1:20" s="88" customFormat="1" ht="12.75" hidden="1" x14ac:dyDescent="0.2">
      <c r="A2754" s="432" t="str">
        <f>IF(B2754="","",COUNT('Diário 1º PA'!$A$4:$A$2635)+ROW()-3)</f>
        <v/>
      </c>
      <c r="B2754" s="413"/>
      <c r="C2754" s="626"/>
      <c r="D2754" s="419"/>
      <c r="E2754" s="419"/>
      <c r="F2754" s="422"/>
      <c r="G2754" s="423"/>
      <c r="H2754" s="419"/>
      <c r="I2754" s="427"/>
      <c r="J2754" s="419"/>
      <c r="K2754" s="419"/>
      <c r="L2754" s="415"/>
      <c r="M2754" s="419"/>
      <c r="N2754" s="419"/>
      <c r="O2754" s="414"/>
      <c r="P2754" s="603">
        <f t="shared" si="376"/>
        <v>0</v>
      </c>
      <c r="Q2754" s="603">
        <f t="shared" si="377"/>
        <v>0</v>
      </c>
      <c r="R2754" s="610" t="str">
        <f t="shared" si="375"/>
        <v/>
      </c>
      <c r="S2754" s="611"/>
      <c r="T2754" s="611"/>
    </row>
    <row r="2755" spans="1:20" s="88" customFormat="1" ht="12.75" hidden="1" x14ac:dyDescent="0.2">
      <c r="A2755" s="432" t="str">
        <f>IF(B2755="","",COUNT('Diário 1º PA'!$A$4:$A$2635)+ROW()-3)</f>
        <v/>
      </c>
      <c r="B2755" s="413"/>
      <c r="C2755" s="626"/>
      <c r="D2755" s="419"/>
      <c r="E2755" s="419"/>
      <c r="F2755" s="422"/>
      <c r="G2755" s="423"/>
      <c r="H2755" s="419"/>
      <c r="I2755" s="427"/>
      <c r="J2755" s="419"/>
      <c r="K2755" s="419"/>
      <c r="L2755" s="415"/>
      <c r="M2755" s="419"/>
      <c r="N2755" s="419"/>
      <c r="O2755" s="414"/>
      <c r="P2755" s="603">
        <f t="shared" si="376"/>
        <v>0</v>
      </c>
      <c r="Q2755" s="603">
        <f t="shared" si="377"/>
        <v>0</v>
      </c>
      <c r="R2755" s="610" t="str">
        <f t="shared" si="375"/>
        <v/>
      </c>
      <c r="S2755" s="611"/>
      <c r="T2755" s="611"/>
    </row>
    <row r="2756" spans="1:20" s="88" customFormat="1" ht="12.75" hidden="1" x14ac:dyDescent="0.2">
      <c r="A2756" s="432" t="str">
        <f>IF(B2756="","",COUNT('Diário 1º PA'!$A$4:$A$2635)+ROW()-3)</f>
        <v/>
      </c>
      <c r="B2756" s="413"/>
      <c r="C2756" s="626"/>
      <c r="D2756" s="419"/>
      <c r="E2756" s="419"/>
      <c r="F2756" s="422"/>
      <c r="G2756" s="423"/>
      <c r="H2756" s="419"/>
      <c r="I2756" s="427"/>
      <c r="J2756" s="419"/>
      <c r="K2756" s="419"/>
      <c r="L2756" s="415"/>
      <c r="M2756" s="419"/>
      <c r="N2756" s="419"/>
      <c r="O2756" s="414"/>
      <c r="P2756" s="603">
        <f t="shared" si="376"/>
        <v>0</v>
      </c>
      <c r="Q2756" s="603">
        <f t="shared" si="377"/>
        <v>0</v>
      </c>
      <c r="R2756" s="610" t="str">
        <f t="shared" si="375"/>
        <v/>
      </c>
      <c r="S2756" s="611"/>
      <c r="T2756" s="611"/>
    </row>
    <row r="2757" spans="1:20" s="88" customFormat="1" ht="12.75" hidden="1" x14ac:dyDescent="0.2">
      <c r="A2757" s="432" t="str">
        <f>IF(B2757="","",COUNT('Diário 1º PA'!$A$4:$A$2635)+ROW()-3)</f>
        <v/>
      </c>
      <c r="B2757" s="413"/>
      <c r="C2757" s="626"/>
      <c r="D2757" s="419"/>
      <c r="E2757" s="419"/>
      <c r="F2757" s="422"/>
      <c r="G2757" s="423"/>
      <c r="H2757" s="419"/>
      <c r="I2757" s="427"/>
      <c r="J2757" s="419"/>
      <c r="K2757" s="419"/>
      <c r="L2757" s="415"/>
      <c r="M2757" s="419"/>
      <c r="N2757" s="419"/>
      <c r="O2757" s="414"/>
      <c r="P2757" s="603">
        <f t="shared" si="376"/>
        <v>0</v>
      </c>
      <c r="Q2757" s="603">
        <f t="shared" si="377"/>
        <v>0</v>
      </c>
      <c r="R2757" s="610" t="str">
        <f t="shared" si="375"/>
        <v/>
      </c>
      <c r="S2757" s="611"/>
      <c r="T2757" s="611"/>
    </row>
    <row r="2758" spans="1:20" s="88" customFormat="1" ht="12.75" hidden="1" x14ac:dyDescent="0.2">
      <c r="A2758" s="432" t="str">
        <f>IF(B2758="","",COUNT('Diário 1º PA'!$A$4:$A$2635)+ROW()-3)</f>
        <v/>
      </c>
      <c r="B2758" s="413"/>
      <c r="C2758" s="626"/>
      <c r="D2758" s="419"/>
      <c r="E2758" s="419"/>
      <c r="F2758" s="422"/>
      <c r="G2758" s="423"/>
      <c r="H2758" s="419"/>
      <c r="I2758" s="427"/>
      <c r="J2758" s="419"/>
      <c r="K2758" s="419"/>
      <c r="L2758" s="415"/>
      <c r="M2758" s="419"/>
      <c r="N2758" s="419"/>
      <c r="O2758" s="414"/>
      <c r="P2758" s="603">
        <f t="shared" si="376"/>
        <v>0</v>
      </c>
      <c r="Q2758" s="603">
        <f t="shared" si="377"/>
        <v>0</v>
      </c>
      <c r="R2758" s="610" t="str">
        <f t="shared" si="375"/>
        <v/>
      </c>
      <c r="S2758" s="611"/>
      <c r="T2758" s="611"/>
    </row>
    <row r="2759" spans="1:20" s="88" customFormat="1" ht="12.75" hidden="1" x14ac:dyDescent="0.2">
      <c r="A2759" s="432" t="str">
        <f>IF(B2759="","",COUNT('Diário 1º PA'!$A$4:$A$2635)+ROW()-3)</f>
        <v/>
      </c>
      <c r="B2759" s="413"/>
      <c r="C2759" s="626"/>
      <c r="D2759" s="419"/>
      <c r="E2759" s="419"/>
      <c r="F2759" s="422"/>
      <c r="G2759" s="423"/>
      <c r="H2759" s="419"/>
      <c r="I2759" s="427"/>
      <c r="J2759" s="419"/>
      <c r="K2759" s="419"/>
      <c r="L2759" s="415"/>
      <c r="M2759" s="419"/>
      <c r="N2759" s="419"/>
      <c r="O2759" s="414"/>
      <c r="P2759" s="603">
        <f t="shared" si="376"/>
        <v>0</v>
      </c>
      <c r="Q2759" s="603">
        <f t="shared" si="377"/>
        <v>0</v>
      </c>
      <c r="R2759" s="610" t="str">
        <f t="shared" si="375"/>
        <v/>
      </c>
      <c r="S2759" s="611"/>
      <c r="T2759" s="611"/>
    </row>
    <row r="2760" spans="1:20" s="88" customFormat="1" ht="12.75" hidden="1" x14ac:dyDescent="0.2">
      <c r="A2760" s="432" t="str">
        <f>IF(B2760="","",COUNT('Diário 1º PA'!$A$4:$A$2635)+ROW()-3)</f>
        <v/>
      </c>
      <c r="B2760" s="413"/>
      <c r="C2760" s="626"/>
      <c r="D2760" s="419"/>
      <c r="E2760" s="419"/>
      <c r="F2760" s="422"/>
      <c r="G2760" s="423"/>
      <c r="H2760" s="419"/>
      <c r="I2760" s="427"/>
      <c r="J2760" s="419"/>
      <c r="K2760" s="419"/>
      <c r="L2760" s="415"/>
      <c r="M2760" s="419"/>
      <c r="N2760" s="419"/>
      <c r="O2760" s="414"/>
      <c r="P2760" s="603">
        <f t="shared" si="376"/>
        <v>0</v>
      </c>
      <c r="Q2760" s="603">
        <f t="shared" si="377"/>
        <v>0</v>
      </c>
      <c r="R2760" s="610" t="str">
        <f t="shared" si="375"/>
        <v/>
      </c>
      <c r="S2760" s="611"/>
      <c r="T2760" s="611"/>
    </row>
    <row r="2761" spans="1:20" s="88" customFormat="1" ht="12.75" hidden="1" x14ac:dyDescent="0.2">
      <c r="A2761" s="432" t="str">
        <f>IF(B2761="","",COUNT('Diário 1º PA'!$A$4:$A$2635)+ROW()-3)</f>
        <v/>
      </c>
      <c r="B2761" s="413"/>
      <c r="C2761" s="626"/>
      <c r="D2761" s="419"/>
      <c r="E2761" s="419"/>
      <c r="F2761" s="422"/>
      <c r="G2761" s="423"/>
      <c r="H2761" s="419"/>
      <c r="I2761" s="427"/>
      <c r="J2761" s="419"/>
      <c r="K2761" s="419"/>
      <c r="L2761" s="415"/>
      <c r="M2761" s="419"/>
      <c r="N2761" s="419"/>
      <c r="O2761" s="414"/>
      <c r="P2761" s="603">
        <f t="shared" si="376"/>
        <v>0</v>
      </c>
      <c r="Q2761" s="603">
        <f t="shared" si="377"/>
        <v>0</v>
      </c>
      <c r="R2761" s="610" t="str">
        <f t="shared" si="375"/>
        <v/>
      </c>
      <c r="S2761" s="611"/>
      <c r="T2761" s="611"/>
    </row>
    <row r="2762" spans="1:20" s="88" customFormat="1" ht="12.75" hidden="1" x14ac:dyDescent="0.2">
      <c r="A2762" s="432" t="str">
        <f>IF(B2762="","",COUNT('Diário 1º PA'!$A$4:$A$2635)+ROW()-3)</f>
        <v/>
      </c>
      <c r="B2762" s="413"/>
      <c r="C2762" s="626"/>
      <c r="D2762" s="419"/>
      <c r="E2762" s="419"/>
      <c r="F2762" s="422"/>
      <c r="G2762" s="423"/>
      <c r="H2762" s="419"/>
      <c r="I2762" s="427"/>
      <c r="J2762" s="419"/>
      <c r="K2762" s="419"/>
      <c r="L2762" s="415"/>
      <c r="M2762" s="419"/>
      <c r="N2762" s="419"/>
      <c r="O2762" s="414"/>
      <c r="P2762" s="603">
        <f t="shared" si="376"/>
        <v>0</v>
      </c>
      <c r="Q2762" s="603">
        <f t="shared" si="377"/>
        <v>0</v>
      </c>
      <c r="R2762" s="610" t="str">
        <f t="shared" si="375"/>
        <v/>
      </c>
      <c r="S2762" s="611"/>
      <c r="T2762" s="611"/>
    </row>
    <row r="2763" spans="1:20" s="88" customFormat="1" ht="12.75" hidden="1" x14ac:dyDescent="0.2">
      <c r="A2763" s="432" t="str">
        <f>IF(B2763="","",COUNT('Diário 1º PA'!$A$4:$A$2635)+ROW()-3)</f>
        <v/>
      </c>
      <c r="B2763" s="413"/>
      <c r="C2763" s="626"/>
      <c r="D2763" s="419"/>
      <c r="E2763" s="419"/>
      <c r="F2763" s="422"/>
      <c r="G2763" s="423"/>
      <c r="H2763" s="419"/>
      <c r="I2763" s="427"/>
      <c r="J2763" s="419"/>
      <c r="K2763" s="419"/>
      <c r="L2763" s="415"/>
      <c r="M2763" s="419"/>
      <c r="N2763" s="419"/>
      <c r="O2763" s="414"/>
      <c r="P2763" s="603">
        <f t="shared" si="376"/>
        <v>0</v>
      </c>
      <c r="Q2763" s="603">
        <f t="shared" si="377"/>
        <v>0</v>
      </c>
      <c r="R2763" s="610" t="str">
        <f t="shared" si="375"/>
        <v/>
      </c>
      <c r="S2763" s="611"/>
      <c r="T2763" s="611"/>
    </row>
    <row r="2764" spans="1:20" s="88" customFormat="1" ht="12.75" hidden="1" x14ac:dyDescent="0.2">
      <c r="A2764" s="432" t="str">
        <f>IF(B2764="","",COUNT('Diário 1º PA'!$A$4:$A$2635)+ROW()-3)</f>
        <v/>
      </c>
      <c r="B2764" s="413"/>
      <c r="C2764" s="626"/>
      <c r="D2764" s="419"/>
      <c r="E2764" s="419"/>
      <c r="F2764" s="422"/>
      <c r="G2764" s="423"/>
      <c r="H2764" s="419"/>
      <c r="I2764" s="427"/>
      <c r="J2764" s="419"/>
      <c r="K2764" s="419"/>
      <c r="L2764" s="415"/>
      <c r="M2764" s="419"/>
      <c r="N2764" s="419"/>
      <c r="O2764" s="414"/>
      <c r="P2764" s="603">
        <f t="shared" si="376"/>
        <v>0</v>
      </c>
      <c r="Q2764" s="603">
        <f t="shared" si="377"/>
        <v>0</v>
      </c>
      <c r="R2764" s="610" t="str">
        <f t="shared" si="375"/>
        <v/>
      </c>
      <c r="S2764" s="611"/>
      <c r="T2764" s="611"/>
    </row>
    <row r="2765" spans="1:20" s="88" customFormat="1" ht="12.75" hidden="1" x14ac:dyDescent="0.2">
      <c r="A2765" s="432" t="str">
        <f>IF(B2765="","",COUNT('Diário 1º PA'!$A$4:$A$2635)+ROW()-3)</f>
        <v/>
      </c>
      <c r="B2765" s="413"/>
      <c r="C2765" s="626"/>
      <c r="D2765" s="419"/>
      <c r="E2765" s="419"/>
      <c r="F2765" s="422"/>
      <c r="G2765" s="423"/>
      <c r="H2765" s="419"/>
      <c r="I2765" s="427"/>
      <c r="J2765" s="419"/>
      <c r="K2765" s="419"/>
      <c r="L2765" s="415"/>
      <c r="M2765" s="419"/>
      <c r="N2765" s="419"/>
      <c r="O2765" s="414"/>
      <c r="P2765" s="603">
        <f t="shared" si="376"/>
        <v>0</v>
      </c>
      <c r="Q2765" s="603">
        <f t="shared" si="377"/>
        <v>0</v>
      </c>
      <c r="R2765" s="610" t="str">
        <f t="shared" si="375"/>
        <v/>
      </c>
      <c r="S2765" s="611"/>
      <c r="T2765" s="611"/>
    </row>
    <row r="2766" spans="1:20" s="88" customFormat="1" ht="12.75" hidden="1" x14ac:dyDescent="0.2">
      <c r="A2766" s="432" t="str">
        <f>IF(B2766="","",COUNT('Diário 1º PA'!$A$4:$A$2635)+ROW()-3)</f>
        <v/>
      </c>
      <c r="B2766" s="413"/>
      <c r="C2766" s="626"/>
      <c r="D2766" s="419"/>
      <c r="E2766" s="419"/>
      <c r="F2766" s="422"/>
      <c r="G2766" s="423"/>
      <c r="H2766" s="419"/>
      <c r="I2766" s="427"/>
      <c r="J2766" s="419"/>
      <c r="K2766" s="419"/>
      <c r="L2766" s="415"/>
      <c r="M2766" s="419"/>
      <c r="N2766" s="419"/>
      <c r="O2766" s="414"/>
      <c r="P2766" s="603">
        <f t="shared" si="376"/>
        <v>0</v>
      </c>
      <c r="Q2766" s="603">
        <f t="shared" si="377"/>
        <v>0</v>
      </c>
      <c r="R2766" s="610" t="str">
        <f t="shared" si="375"/>
        <v/>
      </c>
      <c r="S2766" s="611"/>
      <c r="T2766" s="611"/>
    </row>
    <row r="2767" spans="1:20" s="88" customFormat="1" ht="12.75" hidden="1" x14ac:dyDescent="0.2">
      <c r="A2767" s="432" t="str">
        <f>IF(B2767="","",COUNT('Diário 1º PA'!$A$4:$A$2635)+ROW()-3)</f>
        <v/>
      </c>
      <c r="B2767" s="413"/>
      <c r="C2767" s="626"/>
      <c r="D2767" s="419"/>
      <c r="E2767" s="419"/>
      <c r="F2767" s="422"/>
      <c r="G2767" s="423"/>
      <c r="H2767" s="419"/>
      <c r="I2767" s="427"/>
      <c r="J2767" s="419"/>
      <c r="K2767" s="419"/>
      <c r="L2767" s="415"/>
      <c r="M2767" s="419"/>
      <c r="N2767" s="419"/>
      <c r="O2767" s="414"/>
      <c r="P2767" s="603">
        <f t="shared" si="376"/>
        <v>0</v>
      </c>
      <c r="Q2767" s="603">
        <f t="shared" si="377"/>
        <v>0</v>
      </c>
      <c r="R2767" s="610" t="str">
        <f t="shared" si="375"/>
        <v/>
      </c>
      <c r="S2767" s="611"/>
      <c r="T2767" s="611"/>
    </row>
    <row r="2768" spans="1:20" s="88" customFormat="1" ht="12.75" hidden="1" x14ac:dyDescent="0.2">
      <c r="A2768" s="432" t="str">
        <f>IF(B2768="","",COUNT('Diário 1º PA'!$A$4:$A$2635)+ROW()-3)</f>
        <v/>
      </c>
      <c r="B2768" s="413"/>
      <c r="C2768" s="626"/>
      <c r="D2768" s="419"/>
      <c r="E2768" s="419"/>
      <c r="F2768" s="422"/>
      <c r="G2768" s="423"/>
      <c r="H2768" s="419"/>
      <c r="I2768" s="427"/>
      <c r="J2768" s="419"/>
      <c r="K2768" s="419"/>
      <c r="L2768" s="415"/>
      <c r="M2768" s="419"/>
      <c r="N2768" s="419"/>
      <c r="O2768" s="414"/>
      <c r="P2768" s="603">
        <f t="shared" si="376"/>
        <v>0</v>
      </c>
      <c r="Q2768" s="603">
        <f t="shared" si="377"/>
        <v>0</v>
      </c>
      <c r="R2768" s="610" t="str">
        <f t="shared" si="375"/>
        <v/>
      </c>
      <c r="S2768" s="611"/>
      <c r="T2768" s="611"/>
    </row>
    <row r="2769" spans="1:20" s="88" customFormat="1" ht="12.75" hidden="1" x14ac:dyDescent="0.2">
      <c r="A2769" s="432" t="str">
        <f>IF(B2769="","",COUNT('Diário 1º PA'!$A$4:$A$2635)+ROW()-3)</f>
        <v/>
      </c>
      <c r="B2769" s="413"/>
      <c r="C2769" s="626"/>
      <c r="D2769" s="419"/>
      <c r="E2769" s="419"/>
      <c r="F2769" s="422"/>
      <c r="G2769" s="423"/>
      <c r="H2769" s="419"/>
      <c r="I2769" s="427"/>
      <c r="J2769" s="419"/>
      <c r="K2769" s="419"/>
      <c r="L2769" s="415"/>
      <c r="M2769" s="419"/>
      <c r="N2769" s="419"/>
      <c r="O2769" s="414"/>
      <c r="P2769" s="603">
        <f t="shared" si="376"/>
        <v>0</v>
      </c>
      <c r="Q2769" s="603">
        <f t="shared" si="377"/>
        <v>0</v>
      </c>
      <c r="R2769" s="610" t="str">
        <f t="shared" si="375"/>
        <v/>
      </c>
      <c r="S2769" s="611"/>
      <c r="T2769" s="611"/>
    </row>
    <row r="2770" spans="1:20" s="88" customFormat="1" ht="12.75" hidden="1" x14ac:dyDescent="0.2">
      <c r="A2770" s="432" t="str">
        <f>IF(B2770="","",COUNT('Diário 1º PA'!$A$4:$A$2635)+ROW()-3)</f>
        <v/>
      </c>
      <c r="B2770" s="413"/>
      <c r="C2770" s="626"/>
      <c r="D2770" s="419"/>
      <c r="E2770" s="419"/>
      <c r="F2770" s="422"/>
      <c r="G2770" s="423"/>
      <c r="H2770" s="419"/>
      <c r="I2770" s="427"/>
      <c r="J2770" s="419"/>
      <c r="K2770" s="419"/>
      <c r="L2770" s="415"/>
      <c r="M2770" s="419"/>
      <c r="N2770" s="419"/>
      <c r="O2770" s="414"/>
      <c r="P2770" s="603">
        <f t="shared" si="376"/>
        <v>0</v>
      </c>
      <c r="Q2770" s="603">
        <f t="shared" si="377"/>
        <v>0</v>
      </c>
      <c r="R2770" s="610" t="str">
        <f t="shared" si="375"/>
        <v/>
      </c>
      <c r="S2770" s="611"/>
      <c r="T2770" s="611"/>
    </row>
    <row r="2771" spans="1:20" s="88" customFormat="1" ht="12.75" hidden="1" x14ac:dyDescent="0.2">
      <c r="A2771" s="432" t="str">
        <f>IF(B2771="","",COUNT('Diário 1º PA'!$A$4:$A$2635)+ROW()-3)</f>
        <v/>
      </c>
      <c r="B2771" s="413"/>
      <c r="C2771" s="626"/>
      <c r="D2771" s="419"/>
      <c r="E2771" s="419"/>
      <c r="F2771" s="422"/>
      <c r="G2771" s="423"/>
      <c r="H2771" s="419"/>
      <c r="I2771" s="427"/>
      <c r="J2771" s="419"/>
      <c r="K2771" s="419"/>
      <c r="L2771" s="415"/>
      <c r="M2771" s="419"/>
      <c r="N2771" s="419"/>
      <c r="O2771" s="414"/>
      <c r="P2771" s="603">
        <f t="shared" si="376"/>
        <v>0</v>
      </c>
      <c r="Q2771" s="603">
        <f t="shared" si="377"/>
        <v>0</v>
      </c>
      <c r="R2771" s="610" t="str">
        <f t="shared" si="375"/>
        <v/>
      </c>
      <c r="S2771" s="611"/>
      <c r="T2771" s="611"/>
    </row>
    <row r="2772" spans="1:20" s="88" customFormat="1" ht="12.75" hidden="1" x14ac:dyDescent="0.2">
      <c r="A2772" s="432" t="str">
        <f>IF(B2772="","",COUNT('Diário 1º PA'!$A$4:$A$2635)+ROW()-3)</f>
        <v/>
      </c>
      <c r="B2772" s="413"/>
      <c r="C2772" s="626"/>
      <c r="D2772" s="419"/>
      <c r="E2772" s="419"/>
      <c r="F2772" s="422"/>
      <c r="G2772" s="423"/>
      <c r="H2772" s="419"/>
      <c r="I2772" s="427"/>
      <c r="J2772" s="419"/>
      <c r="K2772" s="419"/>
      <c r="L2772" s="415"/>
      <c r="M2772" s="419"/>
      <c r="N2772" s="419"/>
      <c r="O2772" s="414"/>
      <c r="P2772" s="603">
        <f t="shared" si="376"/>
        <v>0</v>
      </c>
      <c r="Q2772" s="603">
        <f t="shared" si="377"/>
        <v>0</v>
      </c>
      <c r="R2772" s="610" t="str">
        <f t="shared" si="375"/>
        <v/>
      </c>
      <c r="S2772" s="611"/>
      <c r="T2772" s="611"/>
    </row>
    <row r="2773" spans="1:20" s="88" customFormat="1" ht="12.75" hidden="1" x14ac:dyDescent="0.2">
      <c r="A2773" s="432" t="str">
        <f>IF(B2773="","",COUNT('Diário 1º PA'!$A$4:$A$2635)+ROW()-3)</f>
        <v/>
      </c>
      <c r="B2773" s="413"/>
      <c r="C2773" s="626"/>
      <c r="D2773" s="419"/>
      <c r="E2773" s="419"/>
      <c r="F2773" s="422"/>
      <c r="G2773" s="423"/>
      <c r="H2773" s="419"/>
      <c r="I2773" s="427"/>
      <c r="J2773" s="419"/>
      <c r="K2773" s="419"/>
      <c r="L2773" s="415"/>
      <c r="M2773" s="419"/>
      <c r="N2773" s="419"/>
      <c r="O2773" s="414"/>
      <c r="P2773" s="603">
        <f t="shared" si="376"/>
        <v>0</v>
      </c>
      <c r="Q2773" s="603">
        <f t="shared" si="377"/>
        <v>0</v>
      </c>
      <c r="R2773" s="610" t="str">
        <f t="shared" si="375"/>
        <v/>
      </c>
      <c r="S2773" s="611"/>
      <c r="T2773" s="611"/>
    </row>
    <row r="2774" spans="1:20" s="88" customFormat="1" ht="12.75" hidden="1" x14ac:dyDescent="0.2">
      <c r="A2774" s="432" t="str">
        <f>IF(B2774="","",COUNT('Diário 1º PA'!$A$4:$A$2635)+ROW()-3)</f>
        <v/>
      </c>
      <c r="B2774" s="413"/>
      <c r="C2774" s="626"/>
      <c r="D2774" s="419"/>
      <c r="E2774" s="419"/>
      <c r="F2774" s="422"/>
      <c r="G2774" s="423"/>
      <c r="H2774" s="419"/>
      <c r="I2774" s="427"/>
      <c r="J2774" s="419"/>
      <c r="K2774" s="419"/>
      <c r="L2774" s="415"/>
      <c r="M2774" s="419"/>
      <c r="N2774" s="419"/>
      <c r="O2774" s="414"/>
      <c r="P2774" s="603">
        <f t="shared" si="376"/>
        <v>0</v>
      </c>
      <c r="Q2774" s="603">
        <f t="shared" si="377"/>
        <v>0</v>
      </c>
      <c r="R2774" s="610" t="str">
        <f t="shared" si="375"/>
        <v/>
      </c>
      <c r="S2774" s="611"/>
      <c r="T2774" s="611"/>
    </row>
    <row r="2775" spans="1:20" s="88" customFormat="1" ht="12.75" hidden="1" x14ac:dyDescent="0.2">
      <c r="A2775" s="432" t="str">
        <f>IF(B2775="","",COUNT('Diário 1º PA'!$A$4:$A$2635)+ROW()-3)</f>
        <v/>
      </c>
      <c r="B2775" s="413"/>
      <c r="C2775" s="626"/>
      <c r="D2775" s="419"/>
      <c r="E2775" s="419"/>
      <c r="F2775" s="422"/>
      <c r="G2775" s="423"/>
      <c r="H2775" s="419"/>
      <c r="I2775" s="427"/>
      <c r="J2775" s="419"/>
      <c r="K2775" s="419"/>
      <c r="L2775" s="415"/>
      <c r="M2775" s="419"/>
      <c r="N2775" s="419"/>
      <c r="O2775" s="414"/>
      <c r="P2775" s="603">
        <f t="shared" si="376"/>
        <v>0</v>
      </c>
      <c r="Q2775" s="603">
        <f t="shared" si="377"/>
        <v>0</v>
      </c>
      <c r="R2775" s="610" t="str">
        <f t="shared" si="375"/>
        <v/>
      </c>
      <c r="S2775" s="611"/>
      <c r="T2775" s="611"/>
    </row>
    <row r="2776" spans="1:20" s="88" customFormat="1" ht="12.75" hidden="1" x14ac:dyDescent="0.2">
      <c r="A2776" s="432" t="str">
        <f>IF(B2776="","",COUNT('Diário 1º PA'!$A$4:$A$2635)+ROW()-3)</f>
        <v/>
      </c>
      <c r="B2776" s="413"/>
      <c r="C2776" s="626"/>
      <c r="D2776" s="419"/>
      <c r="E2776" s="419"/>
      <c r="F2776" s="422"/>
      <c r="G2776" s="423"/>
      <c r="H2776" s="419"/>
      <c r="I2776" s="427"/>
      <c r="J2776" s="419"/>
      <c r="K2776" s="419"/>
      <c r="L2776" s="415"/>
      <c r="M2776" s="419"/>
      <c r="N2776" s="419"/>
      <c r="O2776" s="414"/>
      <c r="P2776" s="603">
        <f t="shared" si="376"/>
        <v>0</v>
      </c>
      <c r="Q2776" s="603">
        <f t="shared" si="377"/>
        <v>0</v>
      </c>
      <c r="R2776" s="610" t="str">
        <f t="shared" si="375"/>
        <v/>
      </c>
      <c r="S2776" s="611"/>
      <c r="T2776" s="611"/>
    </row>
    <row r="2777" spans="1:20" s="88" customFormat="1" ht="12.75" hidden="1" x14ac:dyDescent="0.2">
      <c r="A2777" s="432" t="str">
        <f>IF(B2777="","",COUNT('Diário 1º PA'!$A$4:$A$2635)+ROW()-3)</f>
        <v/>
      </c>
      <c r="B2777" s="413"/>
      <c r="C2777" s="626"/>
      <c r="D2777" s="419"/>
      <c r="E2777" s="419"/>
      <c r="F2777" s="422"/>
      <c r="G2777" s="423"/>
      <c r="H2777" s="419"/>
      <c r="I2777" s="427"/>
      <c r="J2777" s="419"/>
      <c r="K2777" s="419"/>
      <c r="L2777" s="415"/>
      <c r="M2777" s="419"/>
      <c r="N2777" s="419"/>
      <c r="O2777" s="414"/>
      <c r="P2777" s="603">
        <f t="shared" si="376"/>
        <v>0</v>
      </c>
      <c r="Q2777" s="603">
        <f t="shared" si="377"/>
        <v>0</v>
      </c>
      <c r="R2777" s="610" t="str">
        <f t="shared" si="375"/>
        <v/>
      </c>
      <c r="S2777" s="611"/>
      <c r="T2777" s="611"/>
    </row>
    <row r="2778" spans="1:20" s="88" customFormat="1" ht="12.75" hidden="1" x14ac:dyDescent="0.2">
      <c r="A2778" s="432" t="str">
        <f>IF(B2778="","",COUNT('Diário 1º PA'!$A$4:$A$2635)+ROW()-3)</f>
        <v/>
      </c>
      <c r="B2778" s="413"/>
      <c r="C2778" s="626"/>
      <c r="D2778" s="419"/>
      <c r="E2778" s="419"/>
      <c r="F2778" s="422"/>
      <c r="G2778" s="423"/>
      <c r="H2778" s="419"/>
      <c r="I2778" s="427"/>
      <c r="J2778" s="419"/>
      <c r="K2778" s="419"/>
      <c r="L2778" s="415"/>
      <c r="M2778" s="419"/>
      <c r="N2778" s="419"/>
      <c r="O2778" s="414"/>
      <c r="P2778" s="603">
        <f t="shared" si="376"/>
        <v>0</v>
      </c>
      <c r="Q2778" s="603">
        <f t="shared" si="377"/>
        <v>0</v>
      </c>
      <c r="R2778" s="610" t="str">
        <f t="shared" si="375"/>
        <v/>
      </c>
      <c r="S2778" s="611"/>
      <c r="T2778" s="611"/>
    </row>
    <row r="2779" spans="1:20" s="88" customFormat="1" ht="12.75" hidden="1" x14ac:dyDescent="0.2">
      <c r="A2779" s="432" t="str">
        <f>IF(B2779="","",COUNT('Diário 1º PA'!$A$4:$A$2635)+ROW()-3)</f>
        <v/>
      </c>
      <c r="B2779" s="413"/>
      <c r="C2779" s="626"/>
      <c r="D2779" s="419"/>
      <c r="E2779" s="419"/>
      <c r="F2779" s="422"/>
      <c r="G2779" s="423"/>
      <c r="H2779" s="419"/>
      <c r="I2779" s="427"/>
      <c r="J2779" s="419"/>
      <c r="K2779" s="419"/>
      <c r="L2779" s="415"/>
      <c r="M2779" s="419"/>
      <c r="N2779" s="419"/>
      <c r="O2779" s="414"/>
      <c r="P2779" s="603">
        <f t="shared" si="376"/>
        <v>0</v>
      </c>
      <c r="Q2779" s="603">
        <f t="shared" si="377"/>
        <v>0</v>
      </c>
      <c r="R2779" s="610" t="str">
        <f t="shared" si="375"/>
        <v/>
      </c>
      <c r="S2779" s="611"/>
      <c r="T2779" s="611"/>
    </row>
    <row r="2780" spans="1:20" s="88" customFormat="1" ht="12.75" hidden="1" x14ac:dyDescent="0.2">
      <c r="A2780" s="432" t="str">
        <f>IF(B2780="","",COUNT('Diário 1º PA'!$A$4:$A$2635)+ROW()-3)</f>
        <v/>
      </c>
      <c r="B2780" s="413"/>
      <c r="C2780" s="626"/>
      <c r="D2780" s="419"/>
      <c r="E2780" s="419"/>
      <c r="F2780" s="422"/>
      <c r="G2780" s="423"/>
      <c r="H2780" s="419"/>
      <c r="I2780" s="427"/>
      <c r="J2780" s="419"/>
      <c r="K2780" s="419"/>
      <c r="L2780" s="415"/>
      <c r="M2780" s="419"/>
      <c r="N2780" s="419"/>
      <c r="O2780" s="414"/>
      <c r="P2780" s="603">
        <f t="shared" si="376"/>
        <v>0</v>
      </c>
      <c r="Q2780" s="603">
        <f t="shared" si="377"/>
        <v>0</v>
      </c>
      <c r="R2780" s="610" t="str">
        <f t="shared" si="375"/>
        <v/>
      </c>
      <c r="S2780" s="611"/>
      <c r="T2780" s="611"/>
    </row>
    <row r="2781" spans="1:20" s="88" customFormat="1" ht="12.75" hidden="1" x14ac:dyDescent="0.2">
      <c r="A2781" s="432" t="str">
        <f>IF(B2781="","",COUNT('Diário 1º PA'!$A$4:$A$2635)+ROW()-3)</f>
        <v/>
      </c>
      <c r="B2781" s="413"/>
      <c r="C2781" s="626"/>
      <c r="D2781" s="419"/>
      <c r="E2781" s="419"/>
      <c r="F2781" s="422"/>
      <c r="G2781" s="423"/>
      <c r="H2781" s="419"/>
      <c r="I2781" s="427"/>
      <c r="J2781" s="419"/>
      <c r="K2781" s="419"/>
      <c r="L2781" s="415"/>
      <c r="M2781" s="419"/>
      <c r="N2781" s="419"/>
      <c r="O2781" s="414"/>
      <c r="P2781" s="603">
        <f t="shared" si="376"/>
        <v>0</v>
      </c>
      <c r="Q2781" s="603">
        <f t="shared" si="377"/>
        <v>0</v>
      </c>
      <c r="R2781" s="610" t="str">
        <f t="shared" si="375"/>
        <v/>
      </c>
      <c r="S2781" s="611"/>
      <c r="T2781" s="611"/>
    </row>
    <row r="2782" spans="1:20" s="88" customFormat="1" ht="12.75" hidden="1" x14ac:dyDescent="0.2">
      <c r="A2782" s="432" t="str">
        <f>IF(B2782="","",COUNT('Diário 1º PA'!$A$4:$A$2635)+ROW()-3)</f>
        <v/>
      </c>
      <c r="B2782" s="413"/>
      <c r="C2782" s="626"/>
      <c r="D2782" s="419"/>
      <c r="E2782" s="419"/>
      <c r="F2782" s="422"/>
      <c r="G2782" s="423"/>
      <c r="H2782" s="419"/>
      <c r="I2782" s="427"/>
      <c r="J2782" s="419"/>
      <c r="K2782" s="419"/>
      <c r="L2782" s="415"/>
      <c r="M2782" s="419"/>
      <c r="N2782" s="419"/>
      <c r="O2782" s="414"/>
      <c r="P2782" s="603">
        <f t="shared" si="376"/>
        <v>0</v>
      </c>
      <c r="Q2782" s="603">
        <f t="shared" si="377"/>
        <v>0</v>
      </c>
      <c r="R2782" s="610" t="str">
        <f t="shared" si="375"/>
        <v/>
      </c>
      <c r="S2782" s="611"/>
      <c r="T2782" s="611"/>
    </row>
    <row r="2783" spans="1:20" s="88" customFormat="1" ht="12.75" hidden="1" x14ac:dyDescent="0.2">
      <c r="A2783" s="432" t="str">
        <f>IF(B2783="","",COUNT('Diário 1º PA'!$A$4:$A$2635)+ROW()-3)</f>
        <v/>
      </c>
      <c r="B2783" s="413"/>
      <c r="C2783" s="626"/>
      <c r="D2783" s="419"/>
      <c r="E2783" s="419"/>
      <c r="F2783" s="422"/>
      <c r="G2783" s="423"/>
      <c r="H2783" s="419"/>
      <c r="I2783" s="427"/>
      <c r="J2783" s="419"/>
      <c r="K2783" s="419"/>
      <c r="L2783" s="415"/>
      <c r="M2783" s="419"/>
      <c r="N2783" s="419"/>
      <c r="O2783" s="414"/>
      <c r="P2783" s="603">
        <f t="shared" si="376"/>
        <v>0</v>
      </c>
      <c r="Q2783" s="603">
        <f t="shared" si="377"/>
        <v>0</v>
      </c>
      <c r="R2783" s="610" t="str">
        <f t="shared" si="375"/>
        <v/>
      </c>
      <c r="S2783" s="611"/>
      <c r="T2783" s="611"/>
    </row>
    <row r="2784" spans="1:20" s="88" customFormat="1" ht="12.75" hidden="1" x14ac:dyDescent="0.2">
      <c r="A2784" s="432" t="str">
        <f>IF(B2784="","",COUNT('Diário 1º PA'!$A$4:$A$2635)+ROW()-3)</f>
        <v/>
      </c>
      <c r="B2784" s="413"/>
      <c r="C2784" s="626"/>
      <c r="D2784" s="419"/>
      <c r="E2784" s="419"/>
      <c r="F2784" s="422"/>
      <c r="G2784" s="423"/>
      <c r="H2784" s="419"/>
      <c r="I2784" s="427"/>
      <c r="J2784" s="419"/>
      <c r="K2784" s="419"/>
      <c r="L2784" s="415"/>
      <c r="M2784" s="419"/>
      <c r="N2784" s="419"/>
      <c r="O2784" s="414"/>
      <c r="P2784" s="603">
        <f t="shared" si="376"/>
        <v>0</v>
      </c>
      <c r="Q2784" s="603">
        <f t="shared" si="377"/>
        <v>0</v>
      </c>
      <c r="R2784" s="610" t="str">
        <f t="shared" si="375"/>
        <v/>
      </c>
      <c r="S2784" s="611"/>
      <c r="T2784" s="611"/>
    </row>
    <row r="2785" spans="1:20" s="88" customFormat="1" ht="12.75" hidden="1" x14ac:dyDescent="0.2">
      <c r="A2785" s="432" t="str">
        <f>IF(B2785="","",COUNT('Diário 1º PA'!$A$4:$A$2635)+ROW()-3)</f>
        <v/>
      </c>
      <c r="B2785" s="413"/>
      <c r="C2785" s="626"/>
      <c r="D2785" s="419"/>
      <c r="E2785" s="419"/>
      <c r="F2785" s="422"/>
      <c r="G2785" s="423"/>
      <c r="H2785" s="419"/>
      <c r="I2785" s="427"/>
      <c r="J2785" s="419"/>
      <c r="K2785" s="419"/>
      <c r="L2785" s="415"/>
      <c r="M2785" s="419"/>
      <c r="N2785" s="419"/>
      <c r="O2785" s="414"/>
      <c r="P2785" s="603">
        <f t="shared" si="376"/>
        <v>0</v>
      </c>
      <c r="Q2785" s="603">
        <f t="shared" si="377"/>
        <v>0</v>
      </c>
      <c r="R2785" s="610" t="str">
        <f t="shared" si="375"/>
        <v/>
      </c>
      <c r="S2785" s="611"/>
      <c r="T2785" s="611"/>
    </row>
    <row r="2786" spans="1:20" s="88" customFormat="1" ht="12.75" hidden="1" x14ac:dyDescent="0.2">
      <c r="A2786" s="432" t="str">
        <f>IF(B2786="","",COUNT('Diário 1º PA'!$A$4:$A$2635)+ROW()-3)</f>
        <v/>
      </c>
      <c r="B2786" s="413"/>
      <c r="C2786" s="626"/>
      <c r="D2786" s="419"/>
      <c r="E2786" s="419"/>
      <c r="F2786" s="422"/>
      <c r="G2786" s="423"/>
      <c r="H2786" s="419"/>
      <c r="I2786" s="427"/>
      <c r="J2786" s="419"/>
      <c r="K2786" s="419"/>
      <c r="L2786" s="415"/>
      <c r="M2786" s="419"/>
      <c r="N2786" s="419"/>
      <c r="O2786" s="414"/>
      <c r="P2786" s="603">
        <f t="shared" si="376"/>
        <v>0</v>
      </c>
      <c r="Q2786" s="603">
        <f t="shared" si="377"/>
        <v>0</v>
      </c>
      <c r="R2786" s="610" t="str">
        <f t="shared" si="375"/>
        <v/>
      </c>
      <c r="S2786" s="611"/>
      <c r="T2786" s="611"/>
    </row>
    <row r="2787" spans="1:20" s="88" customFormat="1" ht="12.75" hidden="1" x14ac:dyDescent="0.2">
      <c r="A2787" s="432" t="str">
        <f>IF(B2787="","",COUNT('Diário 1º PA'!$A$4:$A$2635)+ROW()-3)</f>
        <v/>
      </c>
      <c r="B2787" s="413"/>
      <c r="C2787" s="626"/>
      <c r="D2787" s="419"/>
      <c r="E2787" s="419"/>
      <c r="F2787" s="422"/>
      <c r="G2787" s="423"/>
      <c r="H2787" s="419"/>
      <c r="I2787" s="427"/>
      <c r="J2787" s="419"/>
      <c r="K2787" s="419"/>
      <c r="L2787" s="415"/>
      <c r="M2787" s="419"/>
      <c r="N2787" s="419"/>
      <c r="O2787" s="414"/>
      <c r="P2787" s="603">
        <f t="shared" si="376"/>
        <v>0</v>
      </c>
      <c r="Q2787" s="603">
        <f t="shared" si="377"/>
        <v>0</v>
      </c>
      <c r="R2787" s="610" t="str">
        <f t="shared" si="375"/>
        <v/>
      </c>
      <c r="S2787" s="611"/>
      <c r="T2787" s="611"/>
    </row>
    <row r="2788" spans="1:20" s="88" customFormat="1" ht="12.75" hidden="1" x14ac:dyDescent="0.2">
      <c r="A2788" s="432" t="str">
        <f>IF(B2788="","",COUNT('Diário 1º PA'!$A$4:$A$2635)+ROW()-3)</f>
        <v/>
      </c>
      <c r="B2788" s="413"/>
      <c r="C2788" s="626"/>
      <c r="D2788" s="419"/>
      <c r="E2788" s="419"/>
      <c r="F2788" s="422"/>
      <c r="G2788" s="423"/>
      <c r="H2788" s="419"/>
      <c r="I2788" s="427"/>
      <c r="J2788" s="419"/>
      <c r="K2788" s="419"/>
      <c r="L2788" s="415"/>
      <c r="M2788" s="419"/>
      <c r="N2788" s="419"/>
      <c r="O2788" s="414"/>
      <c r="P2788" s="603">
        <f t="shared" si="376"/>
        <v>0</v>
      </c>
      <c r="Q2788" s="603">
        <f t="shared" si="377"/>
        <v>0</v>
      </c>
      <c r="R2788" s="610" t="str">
        <f t="shared" si="375"/>
        <v/>
      </c>
      <c r="S2788" s="611"/>
      <c r="T2788" s="611"/>
    </row>
    <row r="2789" spans="1:20" s="88" customFormat="1" ht="12.75" hidden="1" x14ac:dyDescent="0.2">
      <c r="A2789" s="432" t="str">
        <f>IF(B2789="","",COUNT('Diário 1º PA'!$A$4:$A$2635)+ROW()-3)</f>
        <v/>
      </c>
      <c r="B2789" s="413"/>
      <c r="C2789" s="626"/>
      <c r="D2789" s="419"/>
      <c r="E2789" s="419"/>
      <c r="F2789" s="422"/>
      <c r="G2789" s="423"/>
      <c r="H2789" s="419"/>
      <c r="I2789" s="427"/>
      <c r="J2789" s="419"/>
      <c r="K2789" s="419"/>
      <c r="L2789" s="415"/>
      <c r="M2789" s="419"/>
      <c r="N2789" s="419"/>
      <c r="O2789" s="414"/>
      <c r="P2789" s="603">
        <f t="shared" si="376"/>
        <v>0</v>
      </c>
      <c r="Q2789" s="603">
        <f t="shared" si="377"/>
        <v>0</v>
      </c>
      <c r="R2789" s="610" t="str">
        <f t="shared" si="375"/>
        <v/>
      </c>
      <c r="S2789" s="611"/>
      <c r="T2789" s="611"/>
    </row>
    <row r="2790" spans="1:20" s="88" customFormat="1" ht="12.75" hidden="1" x14ac:dyDescent="0.2">
      <c r="A2790" s="432" t="str">
        <f>IF(B2790="","",COUNT('Diário 1º PA'!$A$4:$A$2635)+ROW()-3)</f>
        <v/>
      </c>
      <c r="B2790" s="413"/>
      <c r="C2790" s="626"/>
      <c r="D2790" s="419"/>
      <c r="E2790" s="419"/>
      <c r="F2790" s="422"/>
      <c r="G2790" s="423"/>
      <c r="H2790" s="419"/>
      <c r="I2790" s="427"/>
      <c r="J2790" s="419"/>
      <c r="K2790" s="419"/>
      <c r="L2790" s="415"/>
      <c r="M2790" s="419"/>
      <c r="N2790" s="419"/>
      <c r="O2790" s="414"/>
      <c r="P2790" s="603">
        <f t="shared" si="376"/>
        <v>0</v>
      </c>
      <c r="Q2790" s="603">
        <f t="shared" si="377"/>
        <v>0</v>
      </c>
      <c r="R2790" s="610" t="str">
        <f t="shared" si="375"/>
        <v/>
      </c>
      <c r="S2790" s="611"/>
      <c r="T2790" s="611"/>
    </row>
    <row r="2791" spans="1:20" s="88" customFormat="1" ht="12.75" hidden="1" x14ac:dyDescent="0.2">
      <c r="A2791" s="432" t="str">
        <f>IF(B2791="","",COUNT('Diário 1º PA'!$A$4:$A$2635)+ROW()-3)</f>
        <v/>
      </c>
      <c r="B2791" s="413"/>
      <c r="C2791" s="626"/>
      <c r="D2791" s="419"/>
      <c r="E2791" s="419"/>
      <c r="F2791" s="422"/>
      <c r="G2791" s="423"/>
      <c r="H2791" s="419"/>
      <c r="I2791" s="427"/>
      <c r="J2791" s="419"/>
      <c r="K2791" s="419"/>
      <c r="L2791" s="415"/>
      <c r="M2791" s="419"/>
      <c r="N2791" s="419"/>
      <c r="O2791" s="414"/>
      <c r="P2791" s="603">
        <f t="shared" si="376"/>
        <v>0</v>
      </c>
      <c r="Q2791" s="603">
        <f t="shared" si="377"/>
        <v>0</v>
      </c>
      <c r="R2791" s="610" t="str">
        <f t="shared" si="375"/>
        <v/>
      </c>
      <c r="S2791" s="611"/>
      <c r="T2791" s="611"/>
    </row>
    <row r="2792" spans="1:20" s="88" customFormat="1" ht="12.75" hidden="1" x14ac:dyDescent="0.2">
      <c r="A2792" s="432" t="str">
        <f>IF(B2792="","",COUNT('Diário 1º PA'!$A$4:$A$2635)+ROW()-3)</f>
        <v/>
      </c>
      <c r="B2792" s="413"/>
      <c r="C2792" s="626"/>
      <c r="D2792" s="419"/>
      <c r="E2792" s="419"/>
      <c r="F2792" s="422"/>
      <c r="G2792" s="423"/>
      <c r="H2792" s="419"/>
      <c r="I2792" s="427"/>
      <c r="J2792" s="419"/>
      <c r="K2792" s="419"/>
      <c r="L2792" s="415"/>
      <c r="M2792" s="419"/>
      <c r="N2792" s="419"/>
      <c r="O2792" s="414"/>
      <c r="P2792" s="603">
        <f t="shared" si="376"/>
        <v>0</v>
      </c>
      <c r="Q2792" s="603">
        <f t="shared" si="377"/>
        <v>0</v>
      </c>
      <c r="R2792" s="610" t="str">
        <f t="shared" si="375"/>
        <v/>
      </c>
      <c r="S2792" s="611"/>
      <c r="T2792" s="611"/>
    </row>
    <row r="2793" spans="1:20" s="88" customFormat="1" ht="12.75" hidden="1" x14ac:dyDescent="0.2">
      <c r="A2793" s="432" t="str">
        <f>IF(B2793="","",COUNT('Diário 1º PA'!$A$4:$A$2635)+ROW()-3)</f>
        <v/>
      </c>
      <c r="B2793" s="413"/>
      <c r="C2793" s="626"/>
      <c r="D2793" s="419"/>
      <c r="E2793" s="419"/>
      <c r="F2793" s="422"/>
      <c r="G2793" s="423"/>
      <c r="H2793" s="419"/>
      <c r="I2793" s="427"/>
      <c r="J2793" s="419"/>
      <c r="K2793" s="419"/>
      <c r="L2793" s="415"/>
      <c r="M2793" s="419"/>
      <c r="N2793" s="419"/>
      <c r="O2793" s="414"/>
      <c r="P2793" s="603">
        <f t="shared" si="376"/>
        <v>0</v>
      </c>
      <c r="Q2793" s="603">
        <f t="shared" si="377"/>
        <v>0</v>
      </c>
      <c r="R2793" s="610" t="str">
        <f t="shared" si="375"/>
        <v/>
      </c>
      <c r="S2793" s="611"/>
      <c r="T2793" s="611"/>
    </row>
    <row r="2794" spans="1:20" s="88" customFormat="1" ht="12.75" hidden="1" x14ac:dyDescent="0.2">
      <c r="A2794" s="432" t="str">
        <f>IF(B2794="","",COUNT('Diário 1º PA'!$A$4:$A$2635)+ROW()-3)</f>
        <v/>
      </c>
      <c r="B2794" s="413"/>
      <c r="C2794" s="626"/>
      <c r="D2794" s="419"/>
      <c r="E2794" s="419"/>
      <c r="F2794" s="422"/>
      <c r="G2794" s="423"/>
      <c r="H2794" s="419"/>
      <c r="I2794" s="427"/>
      <c r="J2794" s="419"/>
      <c r="K2794" s="419"/>
      <c r="L2794" s="415"/>
      <c r="M2794" s="419"/>
      <c r="N2794" s="419"/>
      <c r="O2794" s="414"/>
      <c r="P2794" s="603">
        <f t="shared" si="376"/>
        <v>0</v>
      </c>
      <c r="Q2794" s="603">
        <f t="shared" si="377"/>
        <v>0</v>
      </c>
      <c r="R2794" s="610" t="str">
        <f t="shared" si="375"/>
        <v/>
      </c>
      <c r="S2794" s="611"/>
      <c r="T2794" s="611"/>
    </row>
    <row r="2795" spans="1:20" s="88" customFormat="1" ht="12.75" hidden="1" x14ac:dyDescent="0.2">
      <c r="A2795" s="432" t="str">
        <f>IF(B2795="","",COUNT('Diário 1º PA'!$A$4:$A$2635)+ROW()-3)</f>
        <v/>
      </c>
      <c r="B2795" s="413"/>
      <c r="C2795" s="626"/>
      <c r="D2795" s="419"/>
      <c r="E2795" s="419"/>
      <c r="F2795" s="422"/>
      <c r="G2795" s="423"/>
      <c r="H2795" s="419"/>
      <c r="I2795" s="427"/>
      <c r="J2795" s="419"/>
      <c r="K2795" s="419"/>
      <c r="L2795" s="415"/>
      <c r="M2795" s="419"/>
      <c r="N2795" s="419"/>
      <c r="O2795" s="414"/>
      <c r="P2795" s="603">
        <f t="shared" si="376"/>
        <v>0</v>
      </c>
      <c r="Q2795" s="603">
        <f t="shared" si="377"/>
        <v>0</v>
      </c>
      <c r="R2795" s="610" t="str">
        <f t="shared" si="375"/>
        <v/>
      </c>
      <c r="S2795" s="611"/>
      <c r="T2795" s="611"/>
    </row>
    <row r="2796" spans="1:20" s="88" customFormat="1" ht="12.75" hidden="1" x14ac:dyDescent="0.2">
      <c r="A2796" s="432" t="str">
        <f>IF(B2796="","",COUNT('Diário 1º PA'!$A$4:$A$2635)+ROW()-3)</f>
        <v/>
      </c>
      <c r="B2796" s="413"/>
      <c r="C2796" s="626"/>
      <c r="D2796" s="419"/>
      <c r="E2796" s="419"/>
      <c r="F2796" s="422"/>
      <c r="G2796" s="423"/>
      <c r="H2796" s="419"/>
      <c r="I2796" s="427"/>
      <c r="J2796" s="419"/>
      <c r="K2796" s="419"/>
      <c r="L2796" s="415"/>
      <c r="M2796" s="419"/>
      <c r="N2796" s="419"/>
      <c r="O2796" s="414"/>
      <c r="P2796" s="603">
        <f t="shared" si="376"/>
        <v>0</v>
      </c>
      <c r="Q2796" s="603">
        <f t="shared" si="377"/>
        <v>0</v>
      </c>
      <c r="R2796" s="610" t="str">
        <f t="shared" si="375"/>
        <v/>
      </c>
      <c r="S2796" s="611"/>
      <c r="T2796" s="611"/>
    </row>
    <row r="2797" spans="1:20" s="88" customFormat="1" ht="12.75" hidden="1" x14ac:dyDescent="0.2">
      <c r="A2797" s="432" t="str">
        <f>IF(B2797="","",COUNT('Diário 1º PA'!$A$4:$A$2635)+ROW()-3)</f>
        <v/>
      </c>
      <c r="B2797" s="413"/>
      <c r="C2797" s="626"/>
      <c r="D2797" s="419"/>
      <c r="E2797" s="419"/>
      <c r="F2797" s="422"/>
      <c r="G2797" s="423"/>
      <c r="H2797" s="419"/>
      <c r="I2797" s="427"/>
      <c r="J2797" s="419"/>
      <c r="K2797" s="419"/>
      <c r="L2797" s="415"/>
      <c r="M2797" s="419"/>
      <c r="N2797" s="419"/>
      <c r="O2797" s="414"/>
      <c r="P2797" s="603">
        <f t="shared" si="376"/>
        <v>0</v>
      </c>
      <c r="Q2797" s="603">
        <f t="shared" si="377"/>
        <v>0</v>
      </c>
      <c r="R2797" s="610" t="str">
        <f t="shared" ref="R2797:R2860" si="378">SUBSTITUTE(D2797," ","_")</f>
        <v/>
      </c>
      <c r="S2797" s="611"/>
      <c r="T2797" s="611"/>
    </row>
    <row r="2798" spans="1:20" s="88" customFormat="1" ht="12.75" hidden="1" x14ac:dyDescent="0.2">
      <c r="A2798" s="432" t="str">
        <f>IF(B2798="","",COUNT('Diário 1º PA'!$A$4:$A$2635)+ROW()-3)</f>
        <v/>
      </c>
      <c r="B2798" s="413"/>
      <c r="C2798" s="626"/>
      <c r="D2798" s="419"/>
      <c r="E2798" s="419"/>
      <c r="F2798" s="422"/>
      <c r="G2798" s="423"/>
      <c r="H2798" s="419"/>
      <c r="I2798" s="427"/>
      <c r="J2798" s="419"/>
      <c r="K2798" s="419"/>
      <c r="L2798" s="415"/>
      <c r="M2798" s="419"/>
      <c r="N2798" s="419"/>
      <c r="O2798" s="414"/>
      <c r="P2798" s="603">
        <f t="shared" ref="P2798:P2861" si="379">IF(B2798=0,0,IF(YEAR(B2798)=$Q$1,MONTH(B2798)-$P$1+1,(YEAR(B2798)-$Q$1)*12-$P$1+1+MONTH(B2798)))</f>
        <v>0</v>
      </c>
      <c r="Q2798" s="603">
        <f t="shared" ref="Q2798:Q2861" si="380">IF(C2798=0,0,IF(YEAR(C2798)=$Q$1,MONTH(C2798)-$P$1+1,(YEAR(C2798)-$Q$1)*12-$P$1+1+MONTH(C2798)))</f>
        <v>0</v>
      </c>
      <c r="R2798" s="610" t="str">
        <f t="shared" si="378"/>
        <v/>
      </c>
      <c r="S2798" s="611"/>
      <c r="T2798" s="611"/>
    </row>
    <row r="2799" spans="1:20" s="88" customFormat="1" ht="12.75" hidden="1" x14ac:dyDescent="0.2">
      <c r="A2799" s="432" t="str">
        <f>IF(B2799="","",COUNT('Diário 1º PA'!$A$4:$A$2635)+ROW()-3)</f>
        <v/>
      </c>
      <c r="B2799" s="413"/>
      <c r="C2799" s="626"/>
      <c r="D2799" s="419"/>
      <c r="E2799" s="419"/>
      <c r="F2799" s="422"/>
      <c r="G2799" s="423"/>
      <c r="H2799" s="419"/>
      <c r="I2799" s="427"/>
      <c r="J2799" s="419"/>
      <c r="K2799" s="419"/>
      <c r="L2799" s="415"/>
      <c r="M2799" s="419"/>
      <c r="N2799" s="419"/>
      <c r="O2799" s="414"/>
      <c r="P2799" s="603">
        <f t="shared" si="379"/>
        <v>0</v>
      </c>
      <c r="Q2799" s="603">
        <f t="shared" si="380"/>
        <v>0</v>
      </c>
      <c r="R2799" s="610" t="str">
        <f t="shared" si="378"/>
        <v/>
      </c>
      <c r="S2799" s="611"/>
      <c r="T2799" s="611"/>
    </row>
    <row r="2800" spans="1:20" s="88" customFormat="1" ht="12.75" hidden="1" x14ac:dyDescent="0.2">
      <c r="A2800" s="432" t="str">
        <f>IF(B2800="","",COUNT('Diário 1º PA'!$A$4:$A$2635)+ROW()-3)</f>
        <v/>
      </c>
      <c r="B2800" s="413"/>
      <c r="C2800" s="626"/>
      <c r="D2800" s="419"/>
      <c r="E2800" s="419"/>
      <c r="F2800" s="422"/>
      <c r="G2800" s="423"/>
      <c r="H2800" s="419"/>
      <c r="I2800" s="427"/>
      <c r="J2800" s="419"/>
      <c r="K2800" s="419"/>
      <c r="L2800" s="415"/>
      <c r="M2800" s="419"/>
      <c r="N2800" s="419"/>
      <c r="O2800" s="414"/>
      <c r="P2800" s="603">
        <f t="shared" si="379"/>
        <v>0</v>
      </c>
      <c r="Q2800" s="603">
        <f t="shared" si="380"/>
        <v>0</v>
      </c>
      <c r="R2800" s="610" t="str">
        <f t="shared" si="378"/>
        <v/>
      </c>
      <c r="S2800" s="611"/>
      <c r="T2800" s="611"/>
    </row>
    <row r="2801" spans="1:20" s="88" customFormat="1" ht="12.75" hidden="1" x14ac:dyDescent="0.2">
      <c r="A2801" s="432" t="str">
        <f>IF(B2801="","",COUNT('Diário 1º PA'!$A$4:$A$2635)+ROW()-3)</f>
        <v/>
      </c>
      <c r="B2801" s="413"/>
      <c r="C2801" s="626"/>
      <c r="D2801" s="419"/>
      <c r="E2801" s="419"/>
      <c r="F2801" s="422"/>
      <c r="G2801" s="423"/>
      <c r="H2801" s="419"/>
      <c r="I2801" s="427"/>
      <c r="J2801" s="419"/>
      <c r="K2801" s="419"/>
      <c r="L2801" s="415"/>
      <c r="M2801" s="419"/>
      <c r="N2801" s="419"/>
      <c r="O2801" s="414"/>
      <c r="P2801" s="603">
        <f t="shared" si="379"/>
        <v>0</v>
      </c>
      <c r="Q2801" s="603">
        <f t="shared" si="380"/>
        <v>0</v>
      </c>
      <c r="R2801" s="610" t="str">
        <f t="shared" si="378"/>
        <v/>
      </c>
      <c r="S2801" s="611"/>
      <c r="T2801" s="611"/>
    </row>
    <row r="2802" spans="1:20" s="88" customFormat="1" ht="12.75" hidden="1" x14ac:dyDescent="0.2">
      <c r="A2802" s="432" t="str">
        <f>IF(B2802="","",COUNT('Diário 1º PA'!$A$4:$A$2635)+ROW()-3)</f>
        <v/>
      </c>
      <c r="B2802" s="413"/>
      <c r="C2802" s="626"/>
      <c r="D2802" s="419"/>
      <c r="E2802" s="419"/>
      <c r="F2802" s="422"/>
      <c r="G2802" s="423"/>
      <c r="H2802" s="419"/>
      <c r="I2802" s="427"/>
      <c r="J2802" s="419"/>
      <c r="K2802" s="419"/>
      <c r="L2802" s="415"/>
      <c r="M2802" s="419"/>
      <c r="N2802" s="419"/>
      <c r="O2802" s="414"/>
      <c r="P2802" s="603">
        <f t="shared" si="379"/>
        <v>0</v>
      </c>
      <c r="Q2802" s="603">
        <f t="shared" si="380"/>
        <v>0</v>
      </c>
      <c r="R2802" s="610" t="str">
        <f t="shared" si="378"/>
        <v/>
      </c>
      <c r="S2802" s="611"/>
      <c r="T2802" s="611"/>
    </row>
    <row r="2803" spans="1:20" s="88" customFormat="1" ht="12.75" hidden="1" x14ac:dyDescent="0.2">
      <c r="A2803" s="432" t="str">
        <f>IF(B2803="","",COUNT('Diário 1º PA'!$A$4:$A$2635)+ROW()-3)</f>
        <v/>
      </c>
      <c r="B2803" s="413"/>
      <c r="C2803" s="626"/>
      <c r="D2803" s="419"/>
      <c r="E2803" s="419"/>
      <c r="F2803" s="422"/>
      <c r="G2803" s="423"/>
      <c r="H2803" s="419"/>
      <c r="I2803" s="427"/>
      <c r="J2803" s="419"/>
      <c r="K2803" s="419"/>
      <c r="L2803" s="415"/>
      <c r="M2803" s="419"/>
      <c r="N2803" s="419"/>
      <c r="O2803" s="414"/>
      <c r="P2803" s="603">
        <f t="shared" si="379"/>
        <v>0</v>
      </c>
      <c r="Q2803" s="603">
        <f t="shared" si="380"/>
        <v>0</v>
      </c>
      <c r="R2803" s="610" t="str">
        <f t="shared" si="378"/>
        <v/>
      </c>
      <c r="S2803" s="611"/>
      <c r="T2803" s="611"/>
    </row>
    <row r="2804" spans="1:20" s="88" customFormat="1" ht="12.75" hidden="1" x14ac:dyDescent="0.2">
      <c r="A2804" s="432" t="str">
        <f>IF(B2804="","",COUNT('Diário 1º PA'!$A$4:$A$2635)+ROW()-3)</f>
        <v/>
      </c>
      <c r="B2804" s="413"/>
      <c r="C2804" s="626"/>
      <c r="D2804" s="419"/>
      <c r="E2804" s="419"/>
      <c r="F2804" s="422"/>
      <c r="G2804" s="423"/>
      <c r="H2804" s="419"/>
      <c r="I2804" s="427"/>
      <c r="J2804" s="419"/>
      <c r="K2804" s="419"/>
      <c r="L2804" s="415"/>
      <c r="M2804" s="419"/>
      <c r="N2804" s="419"/>
      <c r="O2804" s="414"/>
      <c r="P2804" s="603">
        <f t="shared" si="379"/>
        <v>0</v>
      </c>
      <c r="Q2804" s="603">
        <f t="shared" si="380"/>
        <v>0</v>
      </c>
      <c r="R2804" s="610" t="str">
        <f t="shared" si="378"/>
        <v/>
      </c>
      <c r="S2804" s="611"/>
      <c r="T2804" s="611"/>
    </row>
    <row r="2805" spans="1:20" s="88" customFormat="1" ht="12.75" hidden="1" x14ac:dyDescent="0.2">
      <c r="A2805" s="432" t="str">
        <f>IF(B2805="","",COUNT('Diário 1º PA'!$A$4:$A$2635)+ROW()-3)</f>
        <v/>
      </c>
      <c r="B2805" s="413"/>
      <c r="C2805" s="626"/>
      <c r="D2805" s="419"/>
      <c r="E2805" s="419"/>
      <c r="F2805" s="422"/>
      <c r="G2805" s="423"/>
      <c r="H2805" s="419"/>
      <c r="I2805" s="427"/>
      <c r="J2805" s="419"/>
      <c r="K2805" s="419"/>
      <c r="L2805" s="415"/>
      <c r="M2805" s="419"/>
      <c r="N2805" s="419"/>
      <c r="O2805" s="414"/>
      <c r="P2805" s="603">
        <f t="shared" si="379"/>
        <v>0</v>
      </c>
      <c r="Q2805" s="603">
        <f t="shared" si="380"/>
        <v>0</v>
      </c>
      <c r="R2805" s="610" t="str">
        <f t="shared" si="378"/>
        <v/>
      </c>
      <c r="S2805" s="611"/>
      <c r="T2805" s="611"/>
    </row>
    <row r="2806" spans="1:20" s="88" customFormat="1" ht="12.75" hidden="1" x14ac:dyDescent="0.2">
      <c r="A2806" s="432" t="str">
        <f>IF(B2806="","",COUNT('Diário 1º PA'!$A$4:$A$2635)+ROW()-3)</f>
        <v/>
      </c>
      <c r="B2806" s="413"/>
      <c r="C2806" s="626"/>
      <c r="D2806" s="419"/>
      <c r="E2806" s="419"/>
      <c r="F2806" s="422"/>
      <c r="G2806" s="423"/>
      <c r="H2806" s="419"/>
      <c r="I2806" s="427"/>
      <c r="J2806" s="419"/>
      <c r="K2806" s="419"/>
      <c r="L2806" s="415"/>
      <c r="M2806" s="419"/>
      <c r="N2806" s="419"/>
      <c r="O2806" s="414"/>
      <c r="P2806" s="603">
        <f t="shared" si="379"/>
        <v>0</v>
      </c>
      <c r="Q2806" s="603">
        <f t="shared" si="380"/>
        <v>0</v>
      </c>
      <c r="R2806" s="610" t="str">
        <f t="shared" si="378"/>
        <v/>
      </c>
      <c r="S2806" s="611"/>
      <c r="T2806" s="611"/>
    </row>
    <row r="2807" spans="1:20" s="88" customFormat="1" ht="12.75" hidden="1" x14ac:dyDescent="0.2">
      <c r="A2807" s="432" t="str">
        <f>IF(B2807="","",COUNT('Diário 1º PA'!$A$4:$A$2635)+ROW()-3)</f>
        <v/>
      </c>
      <c r="B2807" s="413"/>
      <c r="C2807" s="626"/>
      <c r="D2807" s="419"/>
      <c r="E2807" s="419"/>
      <c r="F2807" s="422"/>
      <c r="G2807" s="423"/>
      <c r="H2807" s="419"/>
      <c r="I2807" s="427"/>
      <c r="J2807" s="419"/>
      <c r="K2807" s="419"/>
      <c r="L2807" s="415"/>
      <c r="M2807" s="419"/>
      <c r="N2807" s="419"/>
      <c r="O2807" s="414"/>
      <c r="P2807" s="603">
        <f t="shared" si="379"/>
        <v>0</v>
      </c>
      <c r="Q2807" s="603">
        <f t="shared" si="380"/>
        <v>0</v>
      </c>
      <c r="R2807" s="610" t="str">
        <f t="shared" si="378"/>
        <v/>
      </c>
      <c r="S2807" s="611"/>
      <c r="T2807" s="611"/>
    </row>
    <row r="2808" spans="1:20" s="88" customFormat="1" ht="12.75" hidden="1" x14ac:dyDescent="0.2">
      <c r="A2808" s="432" t="str">
        <f>IF(B2808="","",COUNT('Diário 1º PA'!$A$4:$A$2635)+ROW()-3)</f>
        <v/>
      </c>
      <c r="B2808" s="413"/>
      <c r="C2808" s="626"/>
      <c r="D2808" s="419"/>
      <c r="E2808" s="419"/>
      <c r="F2808" s="422"/>
      <c r="G2808" s="423"/>
      <c r="H2808" s="419"/>
      <c r="I2808" s="427"/>
      <c r="J2808" s="419"/>
      <c r="K2808" s="419"/>
      <c r="L2808" s="415"/>
      <c r="M2808" s="419"/>
      <c r="N2808" s="419"/>
      <c r="O2808" s="414"/>
      <c r="P2808" s="603">
        <f t="shared" si="379"/>
        <v>0</v>
      </c>
      <c r="Q2808" s="603">
        <f t="shared" si="380"/>
        <v>0</v>
      </c>
      <c r="R2808" s="610" t="str">
        <f t="shared" si="378"/>
        <v/>
      </c>
      <c r="S2808" s="611"/>
      <c r="T2808" s="611"/>
    </row>
    <row r="2809" spans="1:20" s="88" customFormat="1" ht="12.75" hidden="1" x14ac:dyDescent="0.2">
      <c r="A2809" s="432" t="str">
        <f>IF(B2809="","",COUNT('Diário 1º PA'!$A$4:$A$2635)+ROW()-3)</f>
        <v/>
      </c>
      <c r="B2809" s="413"/>
      <c r="C2809" s="626"/>
      <c r="D2809" s="419"/>
      <c r="E2809" s="419"/>
      <c r="F2809" s="422"/>
      <c r="G2809" s="423"/>
      <c r="H2809" s="419"/>
      <c r="I2809" s="427"/>
      <c r="J2809" s="419"/>
      <c r="K2809" s="419"/>
      <c r="L2809" s="415"/>
      <c r="M2809" s="419"/>
      <c r="N2809" s="419"/>
      <c r="O2809" s="414"/>
      <c r="P2809" s="603">
        <f t="shared" si="379"/>
        <v>0</v>
      </c>
      <c r="Q2809" s="603">
        <f t="shared" si="380"/>
        <v>0</v>
      </c>
      <c r="R2809" s="610" t="str">
        <f t="shared" si="378"/>
        <v/>
      </c>
      <c r="S2809" s="611"/>
      <c r="T2809" s="611"/>
    </row>
    <row r="2810" spans="1:20" s="88" customFormat="1" ht="12.75" hidden="1" x14ac:dyDescent="0.2">
      <c r="A2810" s="432" t="str">
        <f>IF(B2810="","",COUNT('Diário 1º PA'!$A$4:$A$2635)+ROW()-3)</f>
        <v/>
      </c>
      <c r="B2810" s="413"/>
      <c r="C2810" s="626"/>
      <c r="D2810" s="419"/>
      <c r="E2810" s="419"/>
      <c r="F2810" s="422"/>
      <c r="G2810" s="423"/>
      <c r="H2810" s="419"/>
      <c r="I2810" s="427"/>
      <c r="J2810" s="419"/>
      <c r="K2810" s="419"/>
      <c r="L2810" s="415"/>
      <c r="M2810" s="419"/>
      <c r="N2810" s="419"/>
      <c r="O2810" s="414"/>
      <c r="P2810" s="603">
        <f t="shared" si="379"/>
        <v>0</v>
      </c>
      <c r="Q2810" s="603">
        <f t="shared" si="380"/>
        <v>0</v>
      </c>
      <c r="R2810" s="610" t="str">
        <f t="shared" si="378"/>
        <v/>
      </c>
      <c r="S2810" s="611"/>
      <c r="T2810" s="611"/>
    </row>
    <row r="2811" spans="1:20" s="88" customFormat="1" ht="12.75" hidden="1" x14ac:dyDescent="0.2">
      <c r="A2811" s="432" t="str">
        <f>IF(B2811="","",COUNT('Diário 1º PA'!$A$4:$A$2635)+ROW()-3)</f>
        <v/>
      </c>
      <c r="B2811" s="413"/>
      <c r="C2811" s="626"/>
      <c r="D2811" s="419"/>
      <c r="E2811" s="419"/>
      <c r="F2811" s="422"/>
      <c r="G2811" s="423"/>
      <c r="H2811" s="419"/>
      <c r="I2811" s="427"/>
      <c r="J2811" s="419"/>
      <c r="K2811" s="419"/>
      <c r="L2811" s="415"/>
      <c r="M2811" s="419"/>
      <c r="N2811" s="419"/>
      <c r="O2811" s="414"/>
      <c r="P2811" s="603">
        <f t="shared" si="379"/>
        <v>0</v>
      </c>
      <c r="Q2811" s="603">
        <f t="shared" si="380"/>
        <v>0</v>
      </c>
      <c r="R2811" s="610" t="str">
        <f t="shared" si="378"/>
        <v/>
      </c>
      <c r="S2811" s="611"/>
      <c r="T2811" s="611"/>
    </row>
    <row r="2812" spans="1:20" s="88" customFormat="1" ht="12.75" hidden="1" x14ac:dyDescent="0.2">
      <c r="A2812" s="432" t="str">
        <f>IF(B2812="","",COUNT('Diário 1º PA'!$A$4:$A$2635)+ROW()-3)</f>
        <v/>
      </c>
      <c r="B2812" s="413"/>
      <c r="C2812" s="626"/>
      <c r="D2812" s="419"/>
      <c r="E2812" s="419"/>
      <c r="F2812" s="422"/>
      <c r="G2812" s="423"/>
      <c r="H2812" s="419"/>
      <c r="I2812" s="427"/>
      <c r="J2812" s="419"/>
      <c r="K2812" s="419"/>
      <c r="L2812" s="415"/>
      <c r="M2812" s="419"/>
      <c r="N2812" s="419"/>
      <c r="O2812" s="414"/>
      <c r="P2812" s="603">
        <f t="shared" si="379"/>
        <v>0</v>
      </c>
      <c r="Q2812" s="603">
        <f t="shared" si="380"/>
        <v>0</v>
      </c>
      <c r="R2812" s="610" t="str">
        <f t="shared" si="378"/>
        <v/>
      </c>
      <c r="S2812" s="611"/>
      <c r="T2812" s="611"/>
    </row>
    <row r="2813" spans="1:20" s="88" customFormat="1" ht="12.75" hidden="1" x14ac:dyDescent="0.2">
      <c r="A2813" s="432" t="str">
        <f>IF(B2813="","",COUNT('Diário 1º PA'!$A$4:$A$2635)+ROW()-3)</f>
        <v/>
      </c>
      <c r="B2813" s="413"/>
      <c r="C2813" s="626"/>
      <c r="D2813" s="419"/>
      <c r="E2813" s="419"/>
      <c r="F2813" s="422"/>
      <c r="G2813" s="423"/>
      <c r="H2813" s="419"/>
      <c r="I2813" s="427"/>
      <c r="J2813" s="419"/>
      <c r="K2813" s="419"/>
      <c r="L2813" s="415"/>
      <c r="M2813" s="419"/>
      <c r="N2813" s="419"/>
      <c r="O2813" s="414"/>
      <c r="P2813" s="603">
        <f t="shared" si="379"/>
        <v>0</v>
      </c>
      <c r="Q2813" s="603">
        <f t="shared" si="380"/>
        <v>0</v>
      </c>
      <c r="R2813" s="610" t="str">
        <f t="shared" si="378"/>
        <v/>
      </c>
      <c r="S2813" s="611"/>
      <c r="T2813" s="611"/>
    </row>
    <row r="2814" spans="1:20" s="88" customFormat="1" ht="12.75" hidden="1" x14ac:dyDescent="0.2">
      <c r="A2814" s="432" t="str">
        <f>IF(B2814="","",COUNT('Diário 1º PA'!$A$4:$A$2635)+ROW()-3)</f>
        <v/>
      </c>
      <c r="B2814" s="413"/>
      <c r="C2814" s="626"/>
      <c r="D2814" s="419"/>
      <c r="E2814" s="419"/>
      <c r="F2814" s="422"/>
      <c r="G2814" s="423"/>
      <c r="H2814" s="419"/>
      <c r="I2814" s="427"/>
      <c r="J2814" s="419"/>
      <c r="K2814" s="419"/>
      <c r="L2814" s="415"/>
      <c r="M2814" s="419"/>
      <c r="N2814" s="419"/>
      <c r="O2814" s="414"/>
      <c r="P2814" s="603">
        <f t="shared" si="379"/>
        <v>0</v>
      </c>
      <c r="Q2814" s="603">
        <f t="shared" si="380"/>
        <v>0</v>
      </c>
      <c r="R2814" s="610" t="str">
        <f t="shared" si="378"/>
        <v/>
      </c>
      <c r="S2814" s="611"/>
      <c r="T2814" s="611"/>
    </row>
    <row r="2815" spans="1:20" s="88" customFormat="1" ht="12.75" hidden="1" x14ac:dyDescent="0.2">
      <c r="A2815" s="432" t="str">
        <f>IF(B2815="","",COUNT('Diário 1º PA'!$A$4:$A$2635)+ROW()-3)</f>
        <v/>
      </c>
      <c r="B2815" s="413"/>
      <c r="C2815" s="626"/>
      <c r="D2815" s="419"/>
      <c r="E2815" s="419"/>
      <c r="F2815" s="422"/>
      <c r="G2815" s="423"/>
      <c r="H2815" s="419"/>
      <c r="I2815" s="427"/>
      <c r="J2815" s="419"/>
      <c r="K2815" s="419"/>
      <c r="L2815" s="415"/>
      <c r="M2815" s="419"/>
      <c r="N2815" s="419"/>
      <c r="O2815" s="414"/>
      <c r="P2815" s="603">
        <f t="shared" si="379"/>
        <v>0</v>
      </c>
      <c r="Q2815" s="603">
        <f t="shared" si="380"/>
        <v>0</v>
      </c>
      <c r="R2815" s="610" t="str">
        <f t="shared" si="378"/>
        <v/>
      </c>
      <c r="S2815" s="611"/>
      <c r="T2815" s="611"/>
    </row>
    <row r="2816" spans="1:20" s="88" customFormat="1" ht="12.75" hidden="1" x14ac:dyDescent="0.2">
      <c r="A2816" s="432" t="str">
        <f>IF(B2816="","",COUNT('Diário 1º PA'!$A$4:$A$2635)+ROW()-3)</f>
        <v/>
      </c>
      <c r="B2816" s="413"/>
      <c r="C2816" s="626"/>
      <c r="D2816" s="419"/>
      <c r="E2816" s="419"/>
      <c r="F2816" s="422"/>
      <c r="G2816" s="423"/>
      <c r="H2816" s="419"/>
      <c r="I2816" s="427"/>
      <c r="J2816" s="419"/>
      <c r="K2816" s="419"/>
      <c r="L2816" s="415"/>
      <c r="M2816" s="419"/>
      <c r="N2816" s="419"/>
      <c r="O2816" s="414"/>
      <c r="P2816" s="603">
        <f t="shared" si="379"/>
        <v>0</v>
      </c>
      <c r="Q2816" s="603">
        <f t="shared" si="380"/>
        <v>0</v>
      </c>
      <c r="R2816" s="610" t="str">
        <f t="shared" si="378"/>
        <v/>
      </c>
      <c r="S2816" s="611"/>
      <c r="T2816" s="611"/>
    </row>
    <row r="2817" spans="1:20" s="88" customFormat="1" ht="12.75" hidden="1" x14ac:dyDescent="0.2">
      <c r="A2817" s="432" t="str">
        <f>IF(B2817="","",COUNT('Diário 1º PA'!$A$4:$A$2635)+ROW()-3)</f>
        <v/>
      </c>
      <c r="B2817" s="413"/>
      <c r="C2817" s="626"/>
      <c r="D2817" s="419"/>
      <c r="E2817" s="419"/>
      <c r="F2817" s="422"/>
      <c r="G2817" s="423"/>
      <c r="H2817" s="419"/>
      <c r="I2817" s="427"/>
      <c r="J2817" s="419"/>
      <c r="K2817" s="419"/>
      <c r="L2817" s="415"/>
      <c r="M2817" s="419"/>
      <c r="N2817" s="419"/>
      <c r="O2817" s="414"/>
      <c r="P2817" s="603">
        <f t="shared" si="379"/>
        <v>0</v>
      </c>
      <c r="Q2817" s="603">
        <f t="shared" si="380"/>
        <v>0</v>
      </c>
      <c r="R2817" s="610" t="str">
        <f t="shared" si="378"/>
        <v/>
      </c>
      <c r="S2817" s="611"/>
      <c r="T2817" s="611"/>
    </row>
    <row r="2818" spans="1:20" s="88" customFormat="1" ht="12.75" hidden="1" x14ac:dyDescent="0.2">
      <c r="A2818" s="432" t="str">
        <f>IF(B2818="","",COUNT('Diário 1º PA'!$A$4:$A$2635)+ROW()-3)</f>
        <v/>
      </c>
      <c r="B2818" s="413"/>
      <c r="C2818" s="626"/>
      <c r="D2818" s="419"/>
      <c r="E2818" s="419"/>
      <c r="F2818" s="422"/>
      <c r="G2818" s="423"/>
      <c r="H2818" s="419"/>
      <c r="I2818" s="427"/>
      <c r="J2818" s="419"/>
      <c r="K2818" s="419"/>
      <c r="L2818" s="415"/>
      <c r="M2818" s="419"/>
      <c r="N2818" s="419"/>
      <c r="O2818" s="414"/>
      <c r="P2818" s="603">
        <f t="shared" si="379"/>
        <v>0</v>
      </c>
      <c r="Q2818" s="603">
        <f t="shared" si="380"/>
        <v>0</v>
      </c>
      <c r="R2818" s="610" t="str">
        <f t="shared" si="378"/>
        <v/>
      </c>
      <c r="S2818" s="611"/>
      <c r="T2818" s="611"/>
    </row>
    <row r="2819" spans="1:20" s="88" customFormat="1" ht="12.75" hidden="1" x14ac:dyDescent="0.2">
      <c r="A2819" s="432" t="str">
        <f>IF(B2819="","",COUNT('Diário 1º PA'!$A$4:$A$2635)+ROW()-3)</f>
        <v/>
      </c>
      <c r="B2819" s="413"/>
      <c r="C2819" s="626"/>
      <c r="D2819" s="419"/>
      <c r="E2819" s="419"/>
      <c r="F2819" s="422"/>
      <c r="G2819" s="423"/>
      <c r="H2819" s="419"/>
      <c r="I2819" s="427"/>
      <c r="J2819" s="419"/>
      <c r="K2819" s="419"/>
      <c r="L2819" s="415"/>
      <c r="M2819" s="419"/>
      <c r="N2819" s="419"/>
      <c r="O2819" s="414"/>
      <c r="P2819" s="603">
        <f t="shared" si="379"/>
        <v>0</v>
      </c>
      <c r="Q2819" s="603">
        <f t="shared" si="380"/>
        <v>0</v>
      </c>
      <c r="R2819" s="610" t="str">
        <f t="shared" si="378"/>
        <v/>
      </c>
      <c r="S2819" s="611"/>
      <c r="T2819" s="611"/>
    </row>
    <row r="2820" spans="1:20" s="88" customFormat="1" ht="12.75" hidden="1" x14ac:dyDescent="0.2">
      <c r="A2820" s="432" t="str">
        <f>IF(B2820="","",COUNT('Diário 1º PA'!$A$4:$A$2635)+ROW()-3)</f>
        <v/>
      </c>
      <c r="B2820" s="413"/>
      <c r="C2820" s="626"/>
      <c r="D2820" s="419"/>
      <c r="E2820" s="419"/>
      <c r="F2820" s="422"/>
      <c r="G2820" s="423"/>
      <c r="H2820" s="419"/>
      <c r="I2820" s="427"/>
      <c r="J2820" s="419"/>
      <c r="K2820" s="419"/>
      <c r="L2820" s="415"/>
      <c r="M2820" s="419"/>
      <c r="N2820" s="419"/>
      <c r="O2820" s="414"/>
      <c r="P2820" s="603">
        <f t="shared" si="379"/>
        <v>0</v>
      </c>
      <c r="Q2820" s="603">
        <f t="shared" si="380"/>
        <v>0</v>
      </c>
      <c r="R2820" s="610" t="str">
        <f t="shared" si="378"/>
        <v/>
      </c>
      <c r="S2820" s="611"/>
      <c r="T2820" s="611"/>
    </row>
    <row r="2821" spans="1:20" s="88" customFormat="1" ht="12.75" hidden="1" x14ac:dyDescent="0.2">
      <c r="A2821" s="432" t="str">
        <f>IF(B2821="","",COUNT('Diário 1º PA'!$A$4:$A$2635)+ROW()-3)</f>
        <v/>
      </c>
      <c r="B2821" s="413"/>
      <c r="C2821" s="626"/>
      <c r="D2821" s="419"/>
      <c r="E2821" s="419"/>
      <c r="F2821" s="422"/>
      <c r="G2821" s="423"/>
      <c r="H2821" s="419"/>
      <c r="I2821" s="427"/>
      <c r="J2821" s="419"/>
      <c r="K2821" s="419"/>
      <c r="L2821" s="415"/>
      <c r="M2821" s="419"/>
      <c r="N2821" s="419"/>
      <c r="O2821" s="414"/>
      <c r="P2821" s="603">
        <f t="shared" si="379"/>
        <v>0</v>
      </c>
      <c r="Q2821" s="603">
        <f t="shared" si="380"/>
        <v>0</v>
      </c>
      <c r="R2821" s="610" t="str">
        <f t="shared" si="378"/>
        <v/>
      </c>
      <c r="S2821" s="611"/>
      <c r="T2821" s="611"/>
    </row>
    <row r="2822" spans="1:20" s="88" customFormat="1" ht="12.75" hidden="1" x14ac:dyDescent="0.2">
      <c r="A2822" s="432" t="str">
        <f>IF(B2822="","",COUNT('Diário 1º PA'!$A$4:$A$2635)+ROW()-3)</f>
        <v/>
      </c>
      <c r="B2822" s="413"/>
      <c r="C2822" s="626"/>
      <c r="D2822" s="419"/>
      <c r="E2822" s="419"/>
      <c r="F2822" s="422"/>
      <c r="G2822" s="423"/>
      <c r="H2822" s="419"/>
      <c r="I2822" s="427"/>
      <c r="J2822" s="419"/>
      <c r="K2822" s="419"/>
      <c r="L2822" s="415"/>
      <c r="M2822" s="419"/>
      <c r="N2822" s="419"/>
      <c r="O2822" s="414"/>
      <c r="P2822" s="603">
        <f t="shared" si="379"/>
        <v>0</v>
      </c>
      <c r="Q2822" s="603">
        <f t="shared" si="380"/>
        <v>0</v>
      </c>
      <c r="R2822" s="610" t="str">
        <f t="shared" si="378"/>
        <v/>
      </c>
      <c r="S2822" s="611"/>
      <c r="T2822" s="611"/>
    </row>
    <row r="2823" spans="1:20" s="88" customFormat="1" ht="12.75" hidden="1" x14ac:dyDescent="0.2">
      <c r="A2823" s="432" t="str">
        <f>IF(B2823="","",COUNT('Diário 1º PA'!$A$4:$A$2635)+ROW()-3)</f>
        <v/>
      </c>
      <c r="B2823" s="413"/>
      <c r="C2823" s="626"/>
      <c r="D2823" s="419"/>
      <c r="E2823" s="419"/>
      <c r="F2823" s="422"/>
      <c r="G2823" s="423"/>
      <c r="H2823" s="419"/>
      <c r="I2823" s="427"/>
      <c r="J2823" s="419"/>
      <c r="K2823" s="419"/>
      <c r="L2823" s="415"/>
      <c r="M2823" s="419"/>
      <c r="N2823" s="419"/>
      <c r="O2823" s="414"/>
      <c r="P2823" s="603">
        <f t="shared" si="379"/>
        <v>0</v>
      </c>
      <c r="Q2823" s="603">
        <f t="shared" si="380"/>
        <v>0</v>
      </c>
      <c r="R2823" s="610" t="str">
        <f t="shared" si="378"/>
        <v/>
      </c>
      <c r="S2823" s="611"/>
      <c r="T2823" s="611"/>
    </row>
    <row r="2824" spans="1:20" s="88" customFormat="1" ht="12.75" hidden="1" x14ac:dyDescent="0.2">
      <c r="A2824" s="432" t="str">
        <f>IF(B2824="","",COUNT('Diário 1º PA'!$A$4:$A$2635)+ROW()-3)</f>
        <v/>
      </c>
      <c r="B2824" s="413"/>
      <c r="C2824" s="626"/>
      <c r="D2824" s="419"/>
      <c r="E2824" s="419"/>
      <c r="F2824" s="422"/>
      <c r="G2824" s="423"/>
      <c r="H2824" s="419"/>
      <c r="I2824" s="427"/>
      <c r="J2824" s="419"/>
      <c r="K2824" s="419"/>
      <c r="L2824" s="415"/>
      <c r="M2824" s="419"/>
      <c r="N2824" s="419"/>
      <c r="O2824" s="414"/>
      <c r="P2824" s="603">
        <f t="shared" si="379"/>
        <v>0</v>
      </c>
      <c r="Q2824" s="603">
        <f t="shared" si="380"/>
        <v>0</v>
      </c>
      <c r="R2824" s="610" t="str">
        <f t="shared" si="378"/>
        <v/>
      </c>
      <c r="S2824" s="611"/>
      <c r="T2824" s="611"/>
    </row>
    <row r="2825" spans="1:20" s="88" customFormat="1" ht="12.75" hidden="1" x14ac:dyDescent="0.2">
      <c r="A2825" s="432" t="str">
        <f>IF(B2825="","",COUNT('Diário 1º PA'!$A$4:$A$2635)+ROW()-3)</f>
        <v/>
      </c>
      <c r="B2825" s="413"/>
      <c r="C2825" s="626"/>
      <c r="D2825" s="419"/>
      <c r="E2825" s="419"/>
      <c r="F2825" s="422"/>
      <c r="G2825" s="423"/>
      <c r="H2825" s="419"/>
      <c r="I2825" s="427"/>
      <c r="J2825" s="419"/>
      <c r="K2825" s="419"/>
      <c r="L2825" s="415"/>
      <c r="M2825" s="419"/>
      <c r="N2825" s="419"/>
      <c r="O2825" s="414"/>
      <c r="P2825" s="603">
        <f t="shared" si="379"/>
        <v>0</v>
      </c>
      <c r="Q2825" s="603">
        <f t="shared" si="380"/>
        <v>0</v>
      </c>
      <c r="R2825" s="610" t="str">
        <f t="shared" si="378"/>
        <v/>
      </c>
      <c r="S2825" s="611"/>
      <c r="T2825" s="611"/>
    </row>
    <row r="2826" spans="1:20" s="88" customFormat="1" ht="12.75" hidden="1" x14ac:dyDescent="0.2">
      <c r="A2826" s="432" t="str">
        <f>IF(B2826="","",COUNT('Diário 1º PA'!$A$4:$A$2635)+ROW()-3)</f>
        <v/>
      </c>
      <c r="B2826" s="413"/>
      <c r="C2826" s="626"/>
      <c r="D2826" s="419"/>
      <c r="E2826" s="419"/>
      <c r="F2826" s="422"/>
      <c r="G2826" s="423"/>
      <c r="H2826" s="419"/>
      <c r="I2826" s="427"/>
      <c r="J2826" s="419"/>
      <c r="K2826" s="419"/>
      <c r="L2826" s="415"/>
      <c r="M2826" s="419"/>
      <c r="N2826" s="419"/>
      <c r="O2826" s="414"/>
      <c r="P2826" s="603">
        <f t="shared" si="379"/>
        <v>0</v>
      </c>
      <c r="Q2826" s="603">
        <f t="shared" si="380"/>
        <v>0</v>
      </c>
      <c r="R2826" s="610" t="str">
        <f t="shared" si="378"/>
        <v/>
      </c>
      <c r="S2826" s="611"/>
      <c r="T2826" s="611"/>
    </row>
    <row r="2827" spans="1:20" s="88" customFormat="1" ht="12.75" hidden="1" x14ac:dyDescent="0.2">
      <c r="A2827" s="432" t="str">
        <f>IF(B2827="","",COUNT('Diário 1º PA'!$A$4:$A$2635)+ROW()-3)</f>
        <v/>
      </c>
      <c r="B2827" s="413"/>
      <c r="C2827" s="626"/>
      <c r="D2827" s="419"/>
      <c r="E2827" s="419"/>
      <c r="F2827" s="422"/>
      <c r="G2827" s="423"/>
      <c r="H2827" s="419"/>
      <c r="I2827" s="427"/>
      <c r="J2827" s="419"/>
      <c r="K2827" s="419"/>
      <c r="L2827" s="415"/>
      <c r="M2827" s="419"/>
      <c r="N2827" s="419"/>
      <c r="O2827" s="414"/>
      <c r="P2827" s="603">
        <f t="shared" si="379"/>
        <v>0</v>
      </c>
      <c r="Q2827" s="603">
        <f t="shared" si="380"/>
        <v>0</v>
      </c>
      <c r="R2827" s="610" t="str">
        <f t="shared" si="378"/>
        <v/>
      </c>
      <c r="S2827" s="611"/>
      <c r="T2827" s="611"/>
    </row>
    <row r="2828" spans="1:20" s="88" customFormat="1" ht="12.75" hidden="1" x14ac:dyDescent="0.2">
      <c r="A2828" s="432" t="str">
        <f>IF(B2828="","",COUNT('Diário 1º PA'!$A$4:$A$2635)+ROW()-3)</f>
        <v/>
      </c>
      <c r="B2828" s="413"/>
      <c r="C2828" s="626"/>
      <c r="D2828" s="419"/>
      <c r="E2828" s="419"/>
      <c r="F2828" s="422"/>
      <c r="G2828" s="423"/>
      <c r="H2828" s="419"/>
      <c r="I2828" s="427"/>
      <c r="J2828" s="419"/>
      <c r="K2828" s="419"/>
      <c r="L2828" s="415"/>
      <c r="M2828" s="419"/>
      <c r="N2828" s="419"/>
      <c r="O2828" s="414"/>
      <c r="P2828" s="603">
        <f t="shared" si="379"/>
        <v>0</v>
      </c>
      <c r="Q2828" s="603">
        <f t="shared" si="380"/>
        <v>0</v>
      </c>
      <c r="R2828" s="610" t="str">
        <f t="shared" si="378"/>
        <v/>
      </c>
      <c r="S2828" s="611"/>
      <c r="T2828" s="611"/>
    </row>
    <row r="2829" spans="1:20" s="88" customFormat="1" ht="12.75" hidden="1" x14ac:dyDescent="0.2">
      <c r="A2829" s="432" t="str">
        <f>IF(B2829="","",COUNT('Diário 1º PA'!$A$4:$A$2635)+ROW()-3)</f>
        <v/>
      </c>
      <c r="B2829" s="413"/>
      <c r="C2829" s="626"/>
      <c r="D2829" s="419"/>
      <c r="E2829" s="419"/>
      <c r="F2829" s="422"/>
      <c r="G2829" s="423"/>
      <c r="H2829" s="419"/>
      <c r="I2829" s="427"/>
      <c r="J2829" s="419"/>
      <c r="K2829" s="419"/>
      <c r="L2829" s="415"/>
      <c r="M2829" s="419"/>
      <c r="N2829" s="419"/>
      <c r="O2829" s="414"/>
      <c r="P2829" s="603">
        <f t="shared" si="379"/>
        <v>0</v>
      </c>
      <c r="Q2829" s="603">
        <f t="shared" si="380"/>
        <v>0</v>
      </c>
      <c r="R2829" s="610" t="str">
        <f t="shared" si="378"/>
        <v/>
      </c>
      <c r="S2829" s="611"/>
      <c r="T2829" s="611"/>
    </row>
    <row r="2830" spans="1:20" s="88" customFormat="1" ht="12.75" hidden="1" x14ac:dyDescent="0.2">
      <c r="A2830" s="432" t="str">
        <f>IF(B2830="","",COUNT('Diário 1º PA'!$A$4:$A$2635)+ROW()-3)</f>
        <v/>
      </c>
      <c r="B2830" s="413"/>
      <c r="C2830" s="626"/>
      <c r="D2830" s="419"/>
      <c r="E2830" s="419"/>
      <c r="F2830" s="422"/>
      <c r="G2830" s="423"/>
      <c r="H2830" s="419"/>
      <c r="I2830" s="427"/>
      <c r="J2830" s="419"/>
      <c r="K2830" s="419"/>
      <c r="L2830" s="415"/>
      <c r="M2830" s="419"/>
      <c r="N2830" s="419"/>
      <c r="O2830" s="414"/>
      <c r="P2830" s="603">
        <f t="shared" si="379"/>
        <v>0</v>
      </c>
      <c r="Q2830" s="603">
        <f t="shared" si="380"/>
        <v>0</v>
      </c>
      <c r="R2830" s="610" t="str">
        <f t="shared" si="378"/>
        <v/>
      </c>
      <c r="S2830" s="611"/>
      <c r="T2830" s="611"/>
    </row>
    <row r="2831" spans="1:20" s="88" customFormat="1" ht="12.75" hidden="1" x14ac:dyDescent="0.2">
      <c r="A2831" s="432" t="str">
        <f>IF(B2831="","",COUNT('Diário 1º PA'!$A$4:$A$2635)+ROW()-3)</f>
        <v/>
      </c>
      <c r="B2831" s="413"/>
      <c r="C2831" s="626"/>
      <c r="D2831" s="419"/>
      <c r="E2831" s="419"/>
      <c r="F2831" s="422"/>
      <c r="G2831" s="423"/>
      <c r="H2831" s="419"/>
      <c r="I2831" s="427"/>
      <c r="J2831" s="419"/>
      <c r="K2831" s="419"/>
      <c r="L2831" s="415"/>
      <c r="M2831" s="419"/>
      <c r="N2831" s="419"/>
      <c r="O2831" s="414"/>
      <c r="P2831" s="603">
        <f t="shared" si="379"/>
        <v>0</v>
      </c>
      <c r="Q2831" s="603">
        <f t="shared" si="380"/>
        <v>0</v>
      </c>
      <c r="R2831" s="610" t="str">
        <f t="shared" si="378"/>
        <v/>
      </c>
      <c r="S2831" s="611"/>
      <c r="T2831" s="611"/>
    </row>
    <row r="2832" spans="1:20" s="88" customFormat="1" ht="12.75" hidden="1" x14ac:dyDescent="0.2">
      <c r="A2832" s="432" t="str">
        <f>IF(B2832="","",COUNT('Diário 1º PA'!$A$4:$A$2635)+ROW()-3)</f>
        <v/>
      </c>
      <c r="B2832" s="413"/>
      <c r="C2832" s="626"/>
      <c r="D2832" s="419"/>
      <c r="E2832" s="419"/>
      <c r="F2832" s="422"/>
      <c r="G2832" s="423"/>
      <c r="H2832" s="419"/>
      <c r="I2832" s="427"/>
      <c r="J2832" s="419"/>
      <c r="K2832" s="419"/>
      <c r="L2832" s="415"/>
      <c r="M2832" s="419"/>
      <c r="N2832" s="419"/>
      <c r="O2832" s="414"/>
      <c r="P2832" s="603">
        <f t="shared" si="379"/>
        <v>0</v>
      </c>
      <c r="Q2832" s="603">
        <f t="shared" si="380"/>
        <v>0</v>
      </c>
      <c r="R2832" s="610" t="str">
        <f t="shared" si="378"/>
        <v/>
      </c>
      <c r="S2832" s="611"/>
      <c r="T2832" s="611"/>
    </row>
    <row r="2833" spans="1:20" s="88" customFormat="1" ht="12.75" hidden="1" x14ac:dyDescent="0.2">
      <c r="A2833" s="432" t="str">
        <f>IF(B2833="","",COUNT('Diário 1º PA'!$A$4:$A$2635)+ROW()-3)</f>
        <v/>
      </c>
      <c r="B2833" s="413"/>
      <c r="C2833" s="626"/>
      <c r="D2833" s="419"/>
      <c r="E2833" s="419"/>
      <c r="F2833" s="422"/>
      <c r="G2833" s="423"/>
      <c r="H2833" s="419"/>
      <c r="I2833" s="427"/>
      <c r="J2833" s="419"/>
      <c r="K2833" s="419"/>
      <c r="L2833" s="415"/>
      <c r="M2833" s="419"/>
      <c r="N2833" s="419"/>
      <c r="O2833" s="414"/>
      <c r="P2833" s="603">
        <f t="shared" si="379"/>
        <v>0</v>
      </c>
      <c r="Q2833" s="603">
        <f t="shared" si="380"/>
        <v>0</v>
      </c>
      <c r="R2833" s="610" t="str">
        <f t="shared" si="378"/>
        <v/>
      </c>
      <c r="S2833" s="611"/>
      <c r="T2833" s="611"/>
    </row>
    <row r="2834" spans="1:20" s="88" customFormat="1" ht="12.75" hidden="1" x14ac:dyDescent="0.2">
      <c r="A2834" s="432" t="str">
        <f>IF(B2834="","",COUNT('Diário 1º PA'!$A$4:$A$2635)+ROW()-3)</f>
        <v/>
      </c>
      <c r="B2834" s="413"/>
      <c r="C2834" s="626"/>
      <c r="D2834" s="419"/>
      <c r="E2834" s="419"/>
      <c r="F2834" s="422"/>
      <c r="G2834" s="423"/>
      <c r="H2834" s="419"/>
      <c r="I2834" s="427"/>
      <c r="J2834" s="419"/>
      <c r="K2834" s="419"/>
      <c r="L2834" s="415"/>
      <c r="M2834" s="419"/>
      <c r="N2834" s="419"/>
      <c r="O2834" s="414"/>
      <c r="P2834" s="603">
        <f t="shared" si="379"/>
        <v>0</v>
      </c>
      <c r="Q2834" s="603">
        <f t="shared" si="380"/>
        <v>0</v>
      </c>
      <c r="R2834" s="610" t="str">
        <f t="shared" si="378"/>
        <v/>
      </c>
      <c r="S2834" s="611"/>
      <c r="T2834" s="611"/>
    </row>
    <row r="2835" spans="1:20" s="88" customFormat="1" ht="12.75" hidden="1" x14ac:dyDescent="0.2">
      <c r="A2835" s="432" t="str">
        <f>IF(B2835="","",COUNT('Diário 1º PA'!$A$4:$A$2635)+ROW()-3)</f>
        <v/>
      </c>
      <c r="B2835" s="413"/>
      <c r="C2835" s="626"/>
      <c r="D2835" s="419"/>
      <c r="E2835" s="419"/>
      <c r="F2835" s="422"/>
      <c r="G2835" s="423"/>
      <c r="H2835" s="419"/>
      <c r="I2835" s="427"/>
      <c r="J2835" s="419"/>
      <c r="K2835" s="419"/>
      <c r="L2835" s="415"/>
      <c r="M2835" s="419"/>
      <c r="N2835" s="419"/>
      <c r="O2835" s="414"/>
      <c r="P2835" s="603">
        <f t="shared" si="379"/>
        <v>0</v>
      </c>
      <c r="Q2835" s="603">
        <f t="shared" si="380"/>
        <v>0</v>
      </c>
      <c r="R2835" s="610" t="str">
        <f t="shared" si="378"/>
        <v/>
      </c>
      <c r="S2835" s="611"/>
      <c r="T2835" s="611"/>
    </row>
    <row r="2836" spans="1:20" s="88" customFormat="1" ht="12.75" hidden="1" x14ac:dyDescent="0.2">
      <c r="A2836" s="432" t="str">
        <f>IF(B2836="","",COUNT('Diário 1º PA'!$A$4:$A$2635)+ROW()-3)</f>
        <v/>
      </c>
      <c r="B2836" s="413"/>
      <c r="C2836" s="626"/>
      <c r="D2836" s="419"/>
      <c r="E2836" s="419"/>
      <c r="F2836" s="422"/>
      <c r="G2836" s="423"/>
      <c r="H2836" s="419"/>
      <c r="I2836" s="427"/>
      <c r="J2836" s="419"/>
      <c r="K2836" s="419"/>
      <c r="L2836" s="415"/>
      <c r="M2836" s="419"/>
      <c r="N2836" s="419"/>
      <c r="O2836" s="414"/>
      <c r="P2836" s="603">
        <f t="shared" si="379"/>
        <v>0</v>
      </c>
      <c r="Q2836" s="603">
        <f t="shared" si="380"/>
        <v>0</v>
      </c>
      <c r="R2836" s="610" t="str">
        <f t="shared" si="378"/>
        <v/>
      </c>
      <c r="S2836" s="611"/>
      <c r="T2836" s="611"/>
    </row>
    <row r="2837" spans="1:20" s="88" customFormat="1" ht="12.75" hidden="1" x14ac:dyDescent="0.2">
      <c r="A2837" s="432" t="str">
        <f>IF(B2837="","",COUNT('Diário 1º PA'!$A$4:$A$2635)+ROW()-3)</f>
        <v/>
      </c>
      <c r="B2837" s="413"/>
      <c r="C2837" s="626"/>
      <c r="D2837" s="419"/>
      <c r="E2837" s="419"/>
      <c r="F2837" s="422"/>
      <c r="G2837" s="423"/>
      <c r="H2837" s="419"/>
      <c r="I2837" s="427"/>
      <c r="J2837" s="419"/>
      <c r="K2837" s="419"/>
      <c r="L2837" s="415"/>
      <c r="M2837" s="419"/>
      <c r="N2837" s="419"/>
      <c r="O2837" s="414"/>
      <c r="P2837" s="603">
        <f t="shared" si="379"/>
        <v>0</v>
      </c>
      <c r="Q2837" s="603">
        <f t="shared" si="380"/>
        <v>0</v>
      </c>
      <c r="R2837" s="610" t="str">
        <f t="shared" si="378"/>
        <v/>
      </c>
      <c r="S2837" s="611"/>
      <c r="T2837" s="611"/>
    </row>
    <row r="2838" spans="1:20" s="88" customFormat="1" ht="12.75" hidden="1" x14ac:dyDescent="0.2">
      <c r="A2838" s="432" t="str">
        <f>IF(B2838="","",COUNT('Diário 1º PA'!$A$4:$A$2635)+ROW()-3)</f>
        <v/>
      </c>
      <c r="B2838" s="413"/>
      <c r="C2838" s="626"/>
      <c r="D2838" s="419"/>
      <c r="E2838" s="419"/>
      <c r="F2838" s="422"/>
      <c r="G2838" s="423"/>
      <c r="H2838" s="419"/>
      <c r="I2838" s="427"/>
      <c r="J2838" s="419"/>
      <c r="K2838" s="419"/>
      <c r="L2838" s="415"/>
      <c r="M2838" s="419"/>
      <c r="N2838" s="419"/>
      <c r="O2838" s="414"/>
      <c r="P2838" s="603">
        <f t="shared" si="379"/>
        <v>0</v>
      </c>
      <c r="Q2838" s="603">
        <f t="shared" si="380"/>
        <v>0</v>
      </c>
      <c r="R2838" s="610" t="str">
        <f t="shared" si="378"/>
        <v/>
      </c>
      <c r="S2838" s="611"/>
      <c r="T2838" s="611"/>
    </row>
    <row r="2839" spans="1:20" s="88" customFormat="1" ht="12.75" hidden="1" x14ac:dyDescent="0.2">
      <c r="A2839" s="432" t="str">
        <f>IF(B2839="","",COUNT('Diário 1º PA'!$A$4:$A$2635)+ROW()-3)</f>
        <v/>
      </c>
      <c r="B2839" s="413"/>
      <c r="C2839" s="626"/>
      <c r="D2839" s="419"/>
      <c r="E2839" s="419"/>
      <c r="F2839" s="422"/>
      <c r="G2839" s="423"/>
      <c r="H2839" s="419"/>
      <c r="I2839" s="427"/>
      <c r="J2839" s="419"/>
      <c r="K2839" s="419"/>
      <c r="L2839" s="415"/>
      <c r="M2839" s="419"/>
      <c r="N2839" s="419"/>
      <c r="O2839" s="414"/>
      <c r="P2839" s="603">
        <f t="shared" si="379"/>
        <v>0</v>
      </c>
      <c r="Q2839" s="603">
        <f t="shared" si="380"/>
        <v>0</v>
      </c>
      <c r="R2839" s="610" t="str">
        <f t="shared" si="378"/>
        <v/>
      </c>
      <c r="S2839" s="611"/>
      <c r="T2839" s="611"/>
    </row>
    <row r="2840" spans="1:20" s="88" customFormat="1" ht="12.75" hidden="1" x14ac:dyDescent="0.2">
      <c r="A2840" s="432" t="str">
        <f>IF(B2840="","",COUNT('Diário 1º PA'!$A$4:$A$2635)+ROW()-3)</f>
        <v/>
      </c>
      <c r="B2840" s="413"/>
      <c r="C2840" s="626"/>
      <c r="D2840" s="419"/>
      <c r="E2840" s="419"/>
      <c r="F2840" s="422"/>
      <c r="G2840" s="423"/>
      <c r="H2840" s="419"/>
      <c r="I2840" s="427"/>
      <c r="J2840" s="419"/>
      <c r="K2840" s="419"/>
      <c r="L2840" s="415"/>
      <c r="M2840" s="419"/>
      <c r="N2840" s="419"/>
      <c r="O2840" s="414"/>
      <c r="P2840" s="603">
        <f t="shared" si="379"/>
        <v>0</v>
      </c>
      <c r="Q2840" s="603">
        <f t="shared" si="380"/>
        <v>0</v>
      </c>
      <c r="R2840" s="610" t="str">
        <f t="shared" si="378"/>
        <v/>
      </c>
      <c r="S2840" s="611"/>
      <c r="T2840" s="611"/>
    </row>
    <row r="2841" spans="1:20" s="88" customFormat="1" ht="12.75" hidden="1" x14ac:dyDescent="0.2">
      <c r="A2841" s="432" t="str">
        <f>IF(B2841="","",COUNT('Diário 1º PA'!$A$4:$A$2635)+ROW()-3)</f>
        <v/>
      </c>
      <c r="B2841" s="413"/>
      <c r="C2841" s="626"/>
      <c r="D2841" s="419"/>
      <c r="E2841" s="419"/>
      <c r="F2841" s="422"/>
      <c r="G2841" s="423"/>
      <c r="H2841" s="419"/>
      <c r="I2841" s="427"/>
      <c r="J2841" s="419"/>
      <c r="K2841" s="419"/>
      <c r="L2841" s="415"/>
      <c r="M2841" s="419"/>
      <c r="N2841" s="419"/>
      <c r="O2841" s="414"/>
      <c r="P2841" s="603">
        <f t="shared" si="379"/>
        <v>0</v>
      </c>
      <c r="Q2841" s="603">
        <f t="shared" si="380"/>
        <v>0</v>
      </c>
      <c r="R2841" s="610" t="str">
        <f t="shared" si="378"/>
        <v/>
      </c>
      <c r="S2841" s="611"/>
      <c r="T2841" s="611"/>
    </row>
    <row r="2842" spans="1:20" s="88" customFormat="1" ht="12.75" hidden="1" x14ac:dyDescent="0.2">
      <c r="A2842" s="432" t="str">
        <f>IF(B2842="","",COUNT('Diário 1º PA'!$A$4:$A$2635)+ROW()-3)</f>
        <v/>
      </c>
      <c r="B2842" s="413"/>
      <c r="C2842" s="626"/>
      <c r="D2842" s="419"/>
      <c r="E2842" s="419"/>
      <c r="F2842" s="422"/>
      <c r="G2842" s="423"/>
      <c r="H2842" s="419"/>
      <c r="I2842" s="427"/>
      <c r="J2842" s="419"/>
      <c r="K2842" s="419"/>
      <c r="L2842" s="415"/>
      <c r="M2842" s="419"/>
      <c r="N2842" s="419"/>
      <c r="O2842" s="414"/>
      <c r="P2842" s="603">
        <f t="shared" si="379"/>
        <v>0</v>
      </c>
      <c r="Q2842" s="603">
        <f t="shared" si="380"/>
        <v>0</v>
      </c>
      <c r="R2842" s="610" t="str">
        <f t="shared" si="378"/>
        <v/>
      </c>
      <c r="S2842" s="611"/>
      <c r="T2842" s="611"/>
    </row>
    <row r="2843" spans="1:20" s="88" customFormat="1" ht="12.75" hidden="1" x14ac:dyDescent="0.2">
      <c r="A2843" s="432" t="str">
        <f>IF(B2843="","",COUNT('Diário 1º PA'!$A$4:$A$2635)+ROW()-3)</f>
        <v/>
      </c>
      <c r="B2843" s="413"/>
      <c r="C2843" s="626"/>
      <c r="D2843" s="419"/>
      <c r="E2843" s="419"/>
      <c r="F2843" s="422"/>
      <c r="G2843" s="423"/>
      <c r="H2843" s="419"/>
      <c r="I2843" s="427"/>
      <c r="J2843" s="419"/>
      <c r="K2843" s="419"/>
      <c r="L2843" s="415"/>
      <c r="M2843" s="419"/>
      <c r="N2843" s="419"/>
      <c r="O2843" s="414"/>
      <c r="P2843" s="603">
        <f t="shared" si="379"/>
        <v>0</v>
      </c>
      <c r="Q2843" s="603">
        <f t="shared" si="380"/>
        <v>0</v>
      </c>
      <c r="R2843" s="610" t="str">
        <f t="shared" si="378"/>
        <v/>
      </c>
      <c r="S2843" s="611"/>
      <c r="T2843" s="611"/>
    </row>
    <row r="2844" spans="1:20" s="88" customFormat="1" ht="12.75" hidden="1" x14ac:dyDescent="0.2">
      <c r="A2844" s="432" t="str">
        <f>IF(B2844="","",COUNT('Diário 1º PA'!$A$4:$A$2635)+ROW()-3)</f>
        <v/>
      </c>
      <c r="B2844" s="413"/>
      <c r="C2844" s="626"/>
      <c r="D2844" s="419"/>
      <c r="E2844" s="419"/>
      <c r="F2844" s="422"/>
      <c r="G2844" s="423"/>
      <c r="H2844" s="419"/>
      <c r="I2844" s="427"/>
      <c r="J2844" s="419"/>
      <c r="K2844" s="419"/>
      <c r="L2844" s="415"/>
      <c r="M2844" s="419"/>
      <c r="N2844" s="419"/>
      <c r="O2844" s="414"/>
      <c r="P2844" s="603">
        <f t="shared" si="379"/>
        <v>0</v>
      </c>
      <c r="Q2844" s="603">
        <f t="shared" si="380"/>
        <v>0</v>
      </c>
      <c r="R2844" s="610" t="str">
        <f t="shared" si="378"/>
        <v/>
      </c>
      <c r="S2844" s="611"/>
      <c r="T2844" s="611"/>
    </row>
    <row r="2845" spans="1:20" s="88" customFormat="1" ht="12.75" hidden="1" x14ac:dyDescent="0.2">
      <c r="A2845" s="432" t="str">
        <f>IF(B2845="","",COUNT('Diário 1º PA'!$A$4:$A$2635)+ROW()-3)</f>
        <v/>
      </c>
      <c r="B2845" s="413"/>
      <c r="C2845" s="626"/>
      <c r="D2845" s="419"/>
      <c r="E2845" s="419"/>
      <c r="F2845" s="422"/>
      <c r="G2845" s="423"/>
      <c r="H2845" s="419"/>
      <c r="I2845" s="427"/>
      <c r="J2845" s="419"/>
      <c r="K2845" s="419"/>
      <c r="L2845" s="415"/>
      <c r="M2845" s="419"/>
      <c r="N2845" s="419"/>
      <c r="O2845" s="414"/>
      <c r="P2845" s="603">
        <f t="shared" si="379"/>
        <v>0</v>
      </c>
      <c r="Q2845" s="603">
        <f t="shared" si="380"/>
        <v>0</v>
      </c>
      <c r="R2845" s="610" t="str">
        <f t="shared" si="378"/>
        <v/>
      </c>
      <c r="S2845" s="611"/>
      <c r="T2845" s="611"/>
    </row>
    <row r="2846" spans="1:20" s="88" customFormat="1" ht="12.75" hidden="1" x14ac:dyDescent="0.2">
      <c r="A2846" s="432" t="str">
        <f>IF(B2846="","",COUNT('Diário 1º PA'!$A$4:$A$2635)+ROW()-3)</f>
        <v/>
      </c>
      <c r="B2846" s="413"/>
      <c r="C2846" s="626"/>
      <c r="D2846" s="419"/>
      <c r="E2846" s="419"/>
      <c r="F2846" s="422"/>
      <c r="G2846" s="423"/>
      <c r="H2846" s="419"/>
      <c r="I2846" s="427"/>
      <c r="J2846" s="419"/>
      <c r="K2846" s="419"/>
      <c r="L2846" s="415"/>
      <c r="M2846" s="419"/>
      <c r="N2846" s="419"/>
      <c r="O2846" s="414"/>
      <c r="P2846" s="603">
        <f t="shared" si="379"/>
        <v>0</v>
      </c>
      <c r="Q2846" s="603">
        <f t="shared" si="380"/>
        <v>0</v>
      </c>
      <c r="R2846" s="610" t="str">
        <f t="shared" si="378"/>
        <v/>
      </c>
      <c r="S2846" s="611"/>
      <c r="T2846" s="611"/>
    </row>
    <row r="2847" spans="1:20" s="88" customFormat="1" ht="12.75" hidden="1" x14ac:dyDescent="0.2">
      <c r="A2847" s="432" t="str">
        <f>IF(B2847="","",COUNT('Diário 1º PA'!$A$4:$A$2635)+ROW()-3)</f>
        <v/>
      </c>
      <c r="B2847" s="413"/>
      <c r="C2847" s="626"/>
      <c r="D2847" s="419"/>
      <c r="E2847" s="419"/>
      <c r="F2847" s="422"/>
      <c r="G2847" s="423"/>
      <c r="H2847" s="419"/>
      <c r="I2847" s="427"/>
      <c r="J2847" s="419"/>
      <c r="K2847" s="419"/>
      <c r="L2847" s="415"/>
      <c r="M2847" s="419"/>
      <c r="N2847" s="419"/>
      <c r="O2847" s="414"/>
      <c r="P2847" s="603">
        <f t="shared" si="379"/>
        <v>0</v>
      </c>
      <c r="Q2847" s="603">
        <f t="shared" si="380"/>
        <v>0</v>
      </c>
      <c r="R2847" s="610" t="str">
        <f t="shared" si="378"/>
        <v/>
      </c>
      <c r="S2847" s="611"/>
      <c r="T2847" s="611"/>
    </row>
    <row r="2848" spans="1:20" s="88" customFormat="1" ht="12.75" hidden="1" x14ac:dyDescent="0.2">
      <c r="A2848" s="432" t="str">
        <f>IF(B2848="","",COUNT('Diário 1º PA'!$A$4:$A$2635)+ROW()-3)</f>
        <v/>
      </c>
      <c r="B2848" s="413"/>
      <c r="C2848" s="626"/>
      <c r="D2848" s="419"/>
      <c r="E2848" s="419"/>
      <c r="F2848" s="422"/>
      <c r="G2848" s="423"/>
      <c r="H2848" s="419"/>
      <c r="I2848" s="427"/>
      <c r="J2848" s="419"/>
      <c r="K2848" s="419"/>
      <c r="L2848" s="415"/>
      <c r="M2848" s="419"/>
      <c r="N2848" s="419"/>
      <c r="O2848" s="414"/>
      <c r="P2848" s="603">
        <f t="shared" si="379"/>
        <v>0</v>
      </c>
      <c r="Q2848" s="603">
        <f t="shared" si="380"/>
        <v>0</v>
      </c>
      <c r="R2848" s="610" t="str">
        <f t="shared" si="378"/>
        <v/>
      </c>
      <c r="S2848" s="611"/>
      <c r="T2848" s="611"/>
    </row>
    <row r="2849" spans="1:20" s="88" customFormat="1" ht="12.75" hidden="1" x14ac:dyDescent="0.2">
      <c r="A2849" s="432" t="str">
        <f>IF(B2849="","",COUNT('Diário 1º PA'!$A$4:$A$2635)+ROW()-3)</f>
        <v/>
      </c>
      <c r="B2849" s="413"/>
      <c r="C2849" s="626"/>
      <c r="D2849" s="419"/>
      <c r="E2849" s="419"/>
      <c r="F2849" s="422"/>
      <c r="G2849" s="423"/>
      <c r="H2849" s="419"/>
      <c r="I2849" s="427"/>
      <c r="J2849" s="419"/>
      <c r="K2849" s="419"/>
      <c r="L2849" s="415"/>
      <c r="M2849" s="419"/>
      <c r="N2849" s="419"/>
      <c r="O2849" s="414"/>
      <c r="P2849" s="603">
        <f t="shared" si="379"/>
        <v>0</v>
      </c>
      <c r="Q2849" s="603">
        <f t="shared" si="380"/>
        <v>0</v>
      </c>
      <c r="R2849" s="610" t="str">
        <f t="shared" si="378"/>
        <v/>
      </c>
      <c r="S2849" s="611"/>
      <c r="T2849" s="611"/>
    </row>
    <row r="2850" spans="1:20" s="88" customFormat="1" ht="12.75" hidden="1" x14ac:dyDescent="0.2">
      <c r="A2850" s="432" t="str">
        <f>IF(B2850="","",COUNT('Diário 1º PA'!$A$4:$A$2635)+ROW()-3)</f>
        <v/>
      </c>
      <c r="B2850" s="413"/>
      <c r="C2850" s="626"/>
      <c r="D2850" s="419"/>
      <c r="E2850" s="419"/>
      <c r="F2850" s="422"/>
      <c r="G2850" s="423"/>
      <c r="H2850" s="419"/>
      <c r="I2850" s="427"/>
      <c r="J2850" s="419"/>
      <c r="K2850" s="419"/>
      <c r="L2850" s="415"/>
      <c r="M2850" s="419"/>
      <c r="N2850" s="419"/>
      <c r="O2850" s="414"/>
      <c r="P2850" s="603">
        <f t="shared" si="379"/>
        <v>0</v>
      </c>
      <c r="Q2850" s="603">
        <f t="shared" si="380"/>
        <v>0</v>
      </c>
      <c r="R2850" s="610" t="str">
        <f t="shared" si="378"/>
        <v/>
      </c>
      <c r="S2850" s="611"/>
      <c r="T2850" s="611"/>
    </row>
    <row r="2851" spans="1:20" s="88" customFormat="1" ht="12.75" hidden="1" x14ac:dyDescent="0.2">
      <c r="A2851" s="432" t="str">
        <f>IF(B2851="","",COUNT('Diário 1º PA'!$A$4:$A$2635)+ROW()-3)</f>
        <v/>
      </c>
      <c r="B2851" s="413"/>
      <c r="C2851" s="626"/>
      <c r="D2851" s="419"/>
      <c r="E2851" s="419"/>
      <c r="F2851" s="422"/>
      <c r="G2851" s="423"/>
      <c r="H2851" s="419"/>
      <c r="I2851" s="427"/>
      <c r="J2851" s="419"/>
      <c r="K2851" s="419"/>
      <c r="L2851" s="415"/>
      <c r="M2851" s="419"/>
      <c r="N2851" s="419"/>
      <c r="O2851" s="414"/>
      <c r="P2851" s="603">
        <f t="shared" si="379"/>
        <v>0</v>
      </c>
      <c r="Q2851" s="603">
        <f t="shared" si="380"/>
        <v>0</v>
      </c>
      <c r="R2851" s="610" t="str">
        <f t="shared" si="378"/>
        <v/>
      </c>
      <c r="S2851" s="611"/>
      <c r="T2851" s="611"/>
    </row>
    <row r="2852" spans="1:20" s="88" customFormat="1" ht="12.75" hidden="1" x14ac:dyDescent="0.2">
      <c r="A2852" s="432" t="str">
        <f>IF(B2852="","",COUNT('Diário 1º PA'!$A$4:$A$2635)+ROW()-3)</f>
        <v/>
      </c>
      <c r="B2852" s="413"/>
      <c r="C2852" s="626"/>
      <c r="D2852" s="419"/>
      <c r="E2852" s="419"/>
      <c r="F2852" s="422"/>
      <c r="G2852" s="423"/>
      <c r="H2852" s="419"/>
      <c r="I2852" s="427"/>
      <c r="J2852" s="419"/>
      <c r="K2852" s="419"/>
      <c r="L2852" s="415"/>
      <c r="M2852" s="419"/>
      <c r="N2852" s="419"/>
      <c r="O2852" s="414"/>
      <c r="P2852" s="603">
        <f t="shared" si="379"/>
        <v>0</v>
      </c>
      <c r="Q2852" s="603">
        <f t="shared" si="380"/>
        <v>0</v>
      </c>
      <c r="R2852" s="610" t="str">
        <f t="shared" si="378"/>
        <v/>
      </c>
      <c r="S2852" s="611"/>
      <c r="T2852" s="611"/>
    </row>
    <row r="2853" spans="1:20" s="88" customFormat="1" ht="12.75" hidden="1" x14ac:dyDescent="0.2">
      <c r="A2853" s="432" t="str">
        <f>IF(B2853="","",COUNT('Diário 1º PA'!$A$4:$A$2635)+ROW()-3)</f>
        <v/>
      </c>
      <c r="B2853" s="413"/>
      <c r="C2853" s="626"/>
      <c r="D2853" s="419"/>
      <c r="E2853" s="419"/>
      <c r="F2853" s="422"/>
      <c r="G2853" s="423"/>
      <c r="H2853" s="419"/>
      <c r="I2853" s="427"/>
      <c r="J2853" s="419"/>
      <c r="K2853" s="419"/>
      <c r="L2853" s="415"/>
      <c r="M2853" s="419"/>
      <c r="N2853" s="419"/>
      <c r="O2853" s="414"/>
      <c r="P2853" s="603">
        <f t="shared" si="379"/>
        <v>0</v>
      </c>
      <c r="Q2853" s="603">
        <f t="shared" si="380"/>
        <v>0</v>
      </c>
      <c r="R2853" s="610" t="str">
        <f t="shared" si="378"/>
        <v/>
      </c>
      <c r="S2853" s="611"/>
      <c r="T2853" s="611"/>
    </row>
    <row r="2854" spans="1:20" s="88" customFormat="1" ht="12.75" hidden="1" x14ac:dyDescent="0.2">
      <c r="A2854" s="432" t="str">
        <f>IF(B2854="","",COUNT('Diário 1º PA'!$A$4:$A$2635)+ROW()-3)</f>
        <v/>
      </c>
      <c r="B2854" s="413"/>
      <c r="C2854" s="626"/>
      <c r="D2854" s="419"/>
      <c r="E2854" s="419"/>
      <c r="F2854" s="422"/>
      <c r="G2854" s="423"/>
      <c r="H2854" s="419"/>
      <c r="I2854" s="427"/>
      <c r="J2854" s="419"/>
      <c r="K2854" s="419"/>
      <c r="L2854" s="415"/>
      <c r="M2854" s="419"/>
      <c r="N2854" s="419"/>
      <c r="O2854" s="414"/>
      <c r="P2854" s="603">
        <f t="shared" si="379"/>
        <v>0</v>
      </c>
      <c r="Q2854" s="603">
        <f t="shared" si="380"/>
        <v>0</v>
      </c>
      <c r="R2854" s="610" t="str">
        <f t="shared" si="378"/>
        <v/>
      </c>
      <c r="S2854" s="611"/>
      <c r="T2854" s="611"/>
    </row>
    <row r="2855" spans="1:20" s="88" customFormat="1" ht="12.75" hidden="1" x14ac:dyDescent="0.2">
      <c r="A2855" s="432" t="str">
        <f>IF(B2855="","",COUNT('Diário 1º PA'!$A$4:$A$2635)+ROW()-3)</f>
        <v/>
      </c>
      <c r="B2855" s="413"/>
      <c r="C2855" s="626"/>
      <c r="D2855" s="419"/>
      <c r="E2855" s="419"/>
      <c r="F2855" s="422"/>
      <c r="G2855" s="423"/>
      <c r="H2855" s="419"/>
      <c r="I2855" s="427"/>
      <c r="J2855" s="419"/>
      <c r="K2855" s="419"/>
      <c r="L2855" s="415"/>
      <c r="M2855" s="419"/>
      <c r="N2855" s="419"/>
      <c r="O2855" s="414"/>
      <c r="P2855" s="603">
        <f t="shared" si="379"/>
        <v>0</v>
      </c>
      <c r="Q2855" s="603">
        <f t="shared" si="380"/>
        <v>0</v>
      </c>
      <c r="R2855" s="610" t="str">
        <f t="shared" si="378"/>
        <v/>
      </c>
      <c r="S2855" s="611"/>
      <c r="T2855" s="611"/>
    </row>
    <row r="2856" spans="1:20" s="88" customFormat="1" ht="12.75" hidden="1" x14ac:dyDescent="0.2">
      <c r="A2856" s="432" t="str">
        <f>IF(B2856="","",COUNT('Diário 1º PA'!$A$4:$A$2635)+ROW()-3)</f>
        <v/>
      </c>
      <c r="B2856" s="413"/>
      <c r="C2856" s="626"/>
      <c r="D2856" s="419"/>
      <c r="E2856" s="419"/>
      <c r="F2856" s="422"/>
      <c r="G2856" s="423"/>
      <c r="H2856" s="419"/>
      <c r="I2856" s="427"/>
      <c r="J2856" s="419"/>
      <c r="K2856" s="419"/>
      <c r="L2856" s="415"/>
      <c r="M2856" s="419"/>
      <c r="N2856" s="419"/>
      <c r="O2856" s="414"/>
      <c r="P2856" s="603">
        <f t="shared" si="379"/>
        <v>0</v>
      </c>
      <c r="Q2856" s="603">
        <f t="shared" si="380"/>
        <v>0</v>
      </c>
      <c r="R2856" s="610" t="str">
        <f t="shared" si="378"/>
        <v/>
      </c>
      <c r="S2856" s="611"/>
      <c r="T2856" s="611"/>
    </row>
    <row r="2857" spans="1:20" s="88" customFormat="1" ht="12.75" hidden="1" x14ac:dyDescent="0.2">
      <c r="A2857" s="432" t="str">
        <f>IF(B2857="","",COUNT('Diário 1º PA'!$A$4:$A$2635)+ROW()-3)</f>
        <v/>
      </c>
      <c r="B2857" s="413"/>
      <c r="C2857" s="626"/>
      <c r="D2857" s="419"/>
      <c r="E2857" s="419"/>
      <c r="F2857" s="422"/>
      <c r="G2857" s="423"/>
      <c r="H2857" s="419"/>
      <c r="I2857" s="427"/>
      <c r="J2857" s="419"/>
      <c r="K2857" s="419"/>
      <c r="L2857" s="415"/>
      <c r="M2857" s="419"/>
      <c r="N2857" s="419"/>
      <c r="O2857" s="414"/>
      <c r="P2857" s="603">
        <f t="shared" si="379"/>
        <v>0</v>
      </c>
      <c r="Q2857" s="603">
        <f t="shared" si="380"/>
        <v>0</v>
      </c>
      <c r="R2857" s="610" t="str">
        <f t="shared" si="378"/>
        <v/>
      </c>
      <c r="S2857" s="611"/>
      <c r="T2857" s="611"/>
    </row>
    <row r="2858" spans="1:20" s="88" customFormat="1" ht="12.75" hidden="1" x14ac:dyDescent="0.2">
      <c r="A2858" s="432" t="str">
        <f>IF(B2858="","",COUNT('Diário 1º PA'!$A$4:$A$2635)+ROW()-3)</f>
        <v/>
      </c>
      <c r="B2858" s="413"/>
      <c r="C2858" s="626"/>
      <c r="D2858" s="419"/>
      <c r="E2858" s="419"/>
      <c r="F2858" s="422"/>
      <c r="G2858" s="423"/>
      <c r="H2858" s="419"/>
      <c r="I2858" s="427"/>
      <c r="J2858" s="419"/>
      <c r="K2858" s="419"/>
      <c r="L2858" s="415"/>
      <c r="M2858" s="419"/>
      <c r="N2858" s="419"/>
      <c r="O2858" s="414"/>
      <c r="P2858" s="603">
        <f t="shared" si="379"/>
        <v>0</v>
      </c>
      <c r="Q2858" s="603">
        <f t="shared" si="380"/>
        <v>0</v>
      </c>
      <c r="R2858" s="610" t="str">
        <f t="shared" si="378"/>
        <v/>
      </c>
      <c r="S2858" s="611"/>
      <c r="T2858" s="611"/>
    </row>
    <row r="2859" spans="1:20" s="88" customFormat="1" ht="12.75" hidden="1" x14ac:dyDescent="0.2">
      <c r="A2859" s="432" t="str">
        <f>IF(B2859="","",COUNT('Diário 1º PA'!$A$4:$A$2635)+ROW()-3)</f>
        <v/>
      </c>
      <c r="B2859" s="413"/>
      <c r="C2859" s="626"/>
      <c r="D2859" s="419"/>
      <c r="E2859" s="419"/>
      <c r="F2859" s="422"/>
      <c r="G2859" s="423"/>
      <c r="H2859" s="419"/>
      <c r="I2859" s="427"/>
      <c r="J2859" s="419"/>
      <c r="K2859" s="419"/>
      <c r="L2859" s="415"/>
      <c r="M2859" s="419"/>
      <c r="N2859" s="419"/>
      <c r="O2859" s="414"/>
      <c r="P2859" s="603">
        <f t="shared" si="379"/>
        <v>0</v>
      </c>
      <c r="Q2859" s="603">
        <f t="shared" si="380"/>
        <v>0</v>
      </c>
      <c r="R2859" s="610" t="str">
        <f t="shared" si="378"/>
        <v/>
      </c>
      <c r="S2859" s="611"/>
      <c r="T2859" s="611"/>
    </row>
    <row r="2860" spans="1:20" s="88" customFormat="1" ht="12.75" hidden="1" x14ac:dyDescent="0.2">
      <c r="A2860" s="432" t="str">
        <f>IF(B2860="","",COUNT('Diário 1º PA'!$A$4:$A$2635)+ROW()-3)</f>
        <v/>
      </c>
      <c r="B2860" s="413"/>
      <c r="C2860" s="626"/>
      <c r="D2860" s="419"/>
      <c r="E2860" s="419"/>
      <c r="F2860" s="422"/>
      <c r="G2860" s="423"/>
      <c r="H2860" s="419"/>
      <c r="I2860" s="427"/>
      <c r="J2860" s="419"/>
      <c r="K2860" s="419"/>
      <c r="L2860" s="415"/>
      <c r="M2860" s="419"/>
      <c r="N2860" s="419"/>
      <c r="O2860" s="414"/>
      <c r="P2860" s="603">
        <f t="shared" si="379"/>
        <v>0</v>
      </c>
      <c r="Q2860" s="603">
        <f t="shared" si="380"/>
        <v>0</v>
      </c>
      <c r="R2860" s="610" t="str">
        <f t="shared" si="378"/>
        <v/>
      </c>
      <c r="S2860" s="611"/>
      <c r="T2860" s="611"/>
    </row>
    <row r="2861" spans="1:20" s="88" customFormat="1" ht="12.75" hidden="1" x14ac:dyDescent="0.2">
      <c r="A2861" s="432" t="str">
        <f>IF(B2861="","",COUNT('Diário 1º PA'!$A$4:$A$2635)+ROW()-3)</f>
        <v/>
      </c>
      <c r="B2861" s="413"/>
      <c r="C2861" s="626"/>
      <c r="D2861" s="419"/>
      <c r="E2861" s="419"/>
      <c r="F2861" s="422"/>
      <c r="G2861" s="423"/>
      <c r="H2861" s="419"/>
      <c r="I2861" s="427"/>
      <c r="J2861" s="419"/>
      <c r="K2861" s="419"/>
      <c r="L2861" s="415"/>
      <c r="M2861" s="419"/>
      <c r="N2861" s="419"/>
      <c r="O2861" s="414"/>
      <c r="P2861" s="603">
        <f t="shared" si="379"/>
        <v>0</v>
      </c>
      <c r="Q2861" s="603">
        <f t="shared" si="380"/>
        <v>0</v>
      </c>
      <c r="R2861" s="610" t="str">
        <f t="shared" ref="R2861:R2924" si="381">SUBSTITUTE(D2861," ","_")</f>
        <v/>
      </c>
      <c r="S2861" s="611"/>
      <c r="T2861" s="611"/>
    </row>
    <row r="2862" spans="1:20" s="88" customFormat="1" ht="12.75" hidden="1" x14ac:dyDescent="0.2">
      <c r="A2862" s="432" t="str">
        <f>IF(B2862="","",COUNT('Diário 1º PA'!$A$4:$A$2635)+ROW()-3)</f>
        <v/>
      </c>
      <c r="B2862" s="413"/>
      <c r="C2862" s="626"/>
      <c r="D2862" s="419"/>
      <c r="E2862" s="419"/>
      <c r="F2862" s="422"/>
      <c r="G2862" s="423"/>
      <c r="H2862" s="419"/>
      <c r="I2862" s="427"/>
      <c r="J2862" s="419"/>
      <c r="K2862" s="419"/>
      <c r="L2862" s="415"/>
      <c r="M2862" s="419"/>
      <c r="N2862" s="419"/>
      <c r="O2862" s="414"/>
      <c r="P2862" s="603">
        <f t="shared" ref="P2862:P2925" si="382">IF(B2862=0,0,IF(YEAR(B2862)=$Q$1,MONTH(B2862)-$P$1+1,(YEAR(B2862)-$Q$1)*12-$P$1+1+MONTH(B2862)))</f>
        <v>0</v>
      </c>
      <c r="Q2862" s="603">
        <f t="shared" ref="Q2862:Q2925" si="383">IF(C2862=0,0,IF(YEAR(C2862)=$Q$1,MONTH(C2862)-$P$1+1,(YEAR(C2862)-$Q$1)*12-$P$1+1+MONTH(C2862)))</f>
        <v>0</v>
      </c>
      <c r="R2862" s="610" t="str">
        <f t="shared" si="381"/>
        <v/>
      </c>
      <c r="S2862" s="611"/>
      <c r="T2862" s="611"/>
    </row>
    <row r="2863" spans="1:20" s="88" customFormat="1" ht="12.75" hidden="1" x14ac:dyDescent="0.2">
      <c r="A2863" s="432" t="str">
        <f>IF(B2863="","",COUNT('Diário 1º PA'!$A$4:$A$2635)+ROW()-3)</f>
        <v/>
      </c>
      <c r="B2863" s="413"/>
      <c r="C2863" s="626"/>
      <c r="D2863" s="419"/>
      <c r="E2863" s="419"/>
      <c r="F2863" s="422"/>
      <c r="G2863" s="423"/>
      <c r="H2863" s="419"/>
      <c r="I2863" s="427"/>
      <c r="J2863" s="419"/>
      <c r="K2863" s="419"/>
      <c r="L2863" s="415"/>
      <c r="M2863" s="419"/>
      <c r="N2863" s="419"/>
      <c r="O2863" s="414"/>
      <c r="P2863" s="603">
        <f t="shared" si="382"/>
        <v>0</v>
      </c>
      <c r="Q2863" s="603">
        <f t="shared" si="383"/>
        <v>0</v>
      </c>
      <c r="R2863" s="610" t="str">
        <f t="shared" si="381"/>
        <v/>
      </c>
      <c r="S2863" s="611"/>
      <c r="T2863" s="611"/>
    </row>
    <row r="2864" spans="1:20" s="88" customFormat="1" ht="12.75" hidden="1" x14ac:dyDescent="0.2">
      <c r="A2864" s="432" t="str">
        <f>IF(B2864="","",COUNT('Diário 1º PA'!$A$4:$A$2635)+ROW()-3)</f>
        <v/>
      </c>
      <c r="B2864" s="413"/>
      <c r="C2864" s="626"/>
      <c r="D2864" s="419"/>
      <c r="E2864" s="419"/>
      <c r="F2864" s="422"/>
      <c r="G2864" s="423"/>
      <c r="H2864" s="419"/>
      <c r="I2864" s="427"/>
      <c r="J2864" s="419"/>
      <c r="K2864" s="419"/>
      <c r="L2864" s="415"/>
      <c r="M2864" s="419"/>
      <c r="N2864" s="419"/>
      <c r="O2864" s="414"/>
      <c r="P2864" s="603">
        <f t="shared" si="382"/>
        <v>0</v>
      </c>
      <c r="Q2864" s="603">
        <f t="shared" si="383"/>
        <v>0</v>
      </c>
      <c r="R2864" s="610" t="str">
        <f t="shared" si="381"/>
        <v/>
      </c>
      <c r="S2864" s="611"/>
      <c r="T2864" s="611"/>
    </row>
    <row r="2865" spans="1:20" s="88" customFormat="1" ht="12.75" hidden="1" x14ac:dyDescent="0.2">
      <c r="A2865" s="432" t="str">
        <f>IF(B2865="","",COUNT('Diário 1º PA'!$A$4:$A$2635)+ROW()-3)</f>
        <v/>
      </c>
      <c r="B2865" s="413"/>
      <c r="C2865" s="626"/>
      <c r="D2865" s="419"/>
      <c r="E2865" s="419"/>
      <c r="F2865" s="422"/>
      <c r="G2865" s="423"/>
      <c r="H2865" s="419"/>
      <c r="I2865" s="427"/>
      <c r="J2865" s="419"/>
      <c r="K2865" s="419"/>
      <c r="L2865" s="415"/>
      <c r="M2865" s="419"/>
      <c r="N2865" s="419"/>
      <c r="O2865" s="414"/>
      <c r="P2865" s="603">
        <f t="shared" si="382"/>
        <v>0</v>
      </c>
      <c r="Q2865" s="603">
        <f t="shared" si="383"/>
        <v>0</v>
      </c>
      <c r="R2865" s="610" t="str">
        <f t="shared" si="381"/>
        <v/>
      </c>
      <c r="S2865" s="611"/>
      <c r="T2865" s="611"/>
    </row>
    <row r="2866" spans="1:20" s="88" customFormat="1" ht="12.75" hidden="1" x14ac:dyDescent="0.2">
      <c r="A2866" s="432" t="str">
        <f>IF(B2866="","",COUNT('Diário 1º PA'!$A$4:$A$2635)+ROW()-3)</f>
        <v/>
      </c>
      <c r="B2866" s="413"/>
      <c r="C2866" s="626"/>
      <c r="D2866" s="419"/>
      <c r="E2866" s="419"/>
      <c r="F2866" s="422"/>
      <c r="G2866" s="423"/>
      <c r="H2866" s="419"/>
      <c r="I2866" s="427"/>
      <c r="J2866" s="419"/>
      <c r="K2866" s="419"/>
      <c r="L2866" s="415"/>
      <c r="M2866" s="419"/>
      <c r="N2866" s="419"/>
      <c r="O2866" s="414"/>
      <c r="P2866" s="603">
        <f t="shared" si="382"/>
        <v>0</v>
      </c>
      <c r="Q2866" s="603">
        <f t="shared" si="383"/>
        <v>0</v>
      </c>
      <c r="R2866" s="610" t="str">
        <f t="shared" si="381"/>
        <v/>
      </c>
      <c r="S2866" s="611"/>
      <c r="T2866" s="611"/>
    </row>
    <row r="2867" spans="1:20" s="88" customFormat="1" ht="12.75" hidden="1" x14ac:dyDescent="0.2">
      <c r="A2867" s="432" t="str">
        <f>IF(B2867="","",COUNT('Diário 1º PA'!$A$4:$A$2635)+ROW()-3)</f>
        <v/>
      </c>
      <c r="B2867" s="413"/>
      <c r="C2867" s="626"/>
      <c r="D2867" s="419"/>
      <c r="E2867" s="419"/>
      <c r="F2867" s="422"/>
      <c r="G2867" s="423"/>
      <c r="H2867" s="419"/>
      <c r="I2867" s="427"/>
      <c r="J2867" s="419"/>
      <c r="K2867" s="419"/>
      <c r="L2867" s="415"/>
      <c r="M2867" s="419"/>
      <c r="N2867" s="419"/>
      <c r="O2867" s="414"/>
      <c r="P2867" s="603">
        <f t="shared" si="382"/>
        <v>0</v>
      </c>
      <c r="Q2867" s="603">
        <f t="shared" si="383"/>
        <v>0</v>
      </c>
      <c r="R2867" s="610" t="str">
        <f t="shared" si="381"/>
        <v/>
      </c>
      <c r="S2867" s="611"/>
      <c r="T2867" s="611"/>
    </row>
    <row r="2868" spans="1:20" s="88" customFormat="1" ht="12.75" hidden="1" x14ac:dyDescent="0.2">
      <c r="A2868" s="432" t="str">
        <f>IF(B2868="","",COUNT('Diário 1º PA'!$A$4:$A$2635)+ROW()-3)</f>
        <v/>
      </c>
      <c r="B2868" s="413"/>
      <c r="C2868" s="626"/>
      <c r="D2868" s="419"/>
      <c r="E2868" s="419"/>
      <c r="F2868" s="422"/>
      <c r="G2868" s="423"/>
      <c r="H2868" s="419"/>
      <c r="I2868" s="427"/>
      <c r="J2868" s="419"/>
      <c r="K2868" s="419"/>
      <c r="L2868" s="415"/>
      <c r="M2868" s="419"/>
      <c r="N2868" s="419"/>
      <c r="O2868" s="414"/>
      <c r="P2868" s="603">
        <f t="shared" si="382"/>
        <v>0</v>
      </c>
      <c r="Q2868" s="603">
        <f t="shared" si="383"/>
        <v>0</v>
      </c>
      <c r="R2868" s="610" t="str">
        <f t="shared" si="381"/>
        <v/>
      </c>
      <c r="S2868" s="611"/>
      <c r="T2868" s="611"/>
    </row>
    <row r="2869" spans="1:20" s="88" customFormat="1" ht="12.75" hidden="1" x14ac:dyDescent="0.2">
      <c r="A2869" s="432" t="str">
        <f>IF(B2869="","",COUNT('Diário 1º PA'!$A$4:$A$2635)+ROW()-3)</f>
        <v/>
      </c>
      <c r="B2869" s="413"/>
      <c r="C2869" s="626"/>
      <c r="D2869" s="419"/>
      <c r="E2869" s="419"/>
      <c r="F2869" s="422"/>
      <c r="G2869" s="423"/>
      <c r="H2869" s="419"/>
      <c r="I2869" s="427"/>
      <c r="J2869" s="419"/>
      <c r="K2869" s="419"/>
      <c r="L2869" s="415"/>
      <c r="M2869" s="419"/>
      <c r="N2869" s="419"/>
      <c r="O2869" s="414"/>
      <c r="P2869" s="603">
        <f t="shared" si="382"/>
        <v>0</v>
      </c>
      <c r="Q2869" s="603">
        <f t="shared" si="383"/>
        <v>0</v>
      </c>
      <c r="R2869" s="610" t="str">
        <f t="shared" si="381"/>
        <v/>
      </c>
      <c r="S2869" s="611"/>
      <c r="T2869" s="611"/>
    </row>
    <row r="2870" spans="1:20" s="88" customFormat="1" ht="12.75" hidden="1" x14ac:dyDescent="0.2">
      <c r="A2870" s="432" t="str">
        <f>IF(B2870="","",COUNT('Diário 1º PA'!$A$4:$A$2635)+ROW()-3)</f>
        <v/>
      </c>
      <c r="B2870" s="413"/>
      <c r="C2870" s="626"/>
      <c r="D2870" s="419"/>
      <c r="E2870" s="419"/>
      <c r="F2870" s="422"/>
      <c r="G2870" s="423"/>
      <c r="H2870" s="419"/>
      <c r="I2870" s="427"/>
      <c r="J2870" s="419"/>
      <c r="K2870" s="419"/>
      <c r="L2870" s="415"/>
      <c r="M2870" s="419"/>
      <c r="N2870" s="419"/>
      <c r="O2870" s="414"/>
      <c r="P2870" s="603">
        <f t="shared" si="382"/>
        <v>0</v>
      </c>
      <c r="Q2870" s="603">
        <f t="shared" si="383"/>
        <v>0</v>
      </c>
      <c r="R2870" s="610" t="str">
        <f t="shared" si="381"/>
        <v/>
      </c>
      <c r="S2870" s="611"/>
      <c r="T2870" s="611"/>
    </row>
    <row r="2871" spans="1:20" s="88" customFormat="1" ht="12.75" hidden="1" x14ac:dyDescent="0.2">
      <c r="A2871" s="432" t="str">
        <f>IF(B2871="","",COUNT('Diário 1º PA'!$A$4:$A$2635)+ROW()-3)</f>
        <v/>
      </c>
      <c r="B2871" s="413"/>
      <c r="C2871" s="626"/>
      <c r="D2871" s="419"/>
      <c r="E2871" s="419"/>
      <c r="F2871" s="422"/>
      <c r="G2871" s="423"/>
      <c r="H2871" s="419"/>
      <c r="I2871" s="427"/>
      <c r="J2871" s="419"/>
      <c r="K2871" s="419"/>
      <c r="L2871" s="415"/>
      <c r="M2871" s="419"/>
      <c r="N2871" s="419"/>
      <c r="O2871" s="414"/>
      <c r="P2871" s="603">
        <f t="shared" si="382"/>
        <v>0</v>
      </c>
      <c r="Q2871" s="603">
        <f t="shared" si="383"/>
        <v>0</v>
      </c>
      <c r="R2871" s="610" t="str">
        <f t="shared" si="381"/>
        <v/>
      </c>
      <c r="S2871" s="611"/>
      <c r="T2871" s="611"/>
    </row>
    <row r="2872" spans="1:20" s="88" customFormat="1" ht="12.75" hidden="1" x14ac:dyDescent="0.2">
      <c r="A2872" s="432" t="str">
        <f>IF(B2872="","",COUNT('Diário 1º PA'!$A$4:$A$2635)+ROW()-3)</f>
        <v/>
      </c>
      <c r="B2872" s="413"/>
      <c r="C2872" s="626"/>
      <c r="D2872" s="419"/>
      <c r="E2872" s="419"/>
      <c r="F2872" s="422"/>
      <c r="G2872" s="423"/>
      <c r="H2872" s="419"/>
      <c r="I2872" s="427"/>
      <c r="J2872" s="419"/>
      <c r="K2872" s="419"/>
      <c r="L2872" s="415"/>
      <c r="M2872" s="419"/>
      <c r="N2872" s="419"/>
      <c r="O2872" s="414"/>
      <c r="P2872" s="603">
        <f t="shared" si="382"/>
        <v>0</v>
      </c>
      <c r="Q2872" s="603">
        <f t="shared" si="383"/>
        <v>0</v>
      </c>
      <c r="R2872" s="610" t="str">
        <f t="shared" si="381"/>
        <v/>
      </c>
      <c r="S2872" s="611"/>
      <c r="T2872" s="611"/>
    </row>
    <row r="2873" spans="1:20" s="88" customFormat="1" ht="12.75" hidden="1" x14ac:dyDescent="0.2">
      <c r="A2873" s="432" t="str">
        <f>IF(B2873="","",COUNT('Diário 1º PA'!$A$4:$A$2635)+ROW()-3)</f>
        <v/>
      </c>
      <c r="B2873" s="413"/>
      <c r="C2873" s="626"/>
      <c r="D2873" s="419"/>
      <c r="E2873" s="419"/>
      <c r="F2873" s="422"/>
      <c r="G2873" s="423"/>
      <c r="H2873" s="419"/>
      <c r="I2873" s="427"/>
      <c r="J2873" s="419"/>
      <c r="K2873" s="419"/>
      <c r="L2873" s="415"/>
      <c r="M2873" s="419"/>
      <c r="N2873" s="419"/>
      <c r="O2873" s="414"/>
      <c r="P2873" s="603">
        <f t="shared" si="382"/>
        <v>0</v>
      </c>
      <c r="Q2873" s="603">
        <f t="shared" si="383"/>
        <v>0</v>
      </c>
      <c r="R2873" s="610" t="str">
        <f t="shared" si="381"/>
        <v/>
      </c>
      <c r="S2873" s="611"/>
      <c r="T2873" s="611"/>
    </row>
    <row r="2874" spans="1:20" s="88" customFormat="1" ht="12.75" hidden="1" x14ac:dyDescent="0.2">
      <c r="A2874" s="432" t="str">
        <f>IF(B2874="","",COUNT('Diário 1º PA'!$A$4:$A$2635)+ROW()-3)</f>
        <v/>
      </c>
      <c r="B2874" s="413"/>
      <c r="C2874" s="626"/>
      <c r="D2874" s="419"/>
      <c r="E2874" s="419"/>
      <c r="F2874" s="422"/>
      <c r="G2874" s="423"/>
      <c r="H2874" s="419"/>
      <c r="I2874" s="427"/>
      <c r="J2874" s="419"/>
      <c r="K2874" s="419"/>
      <c r="L2874" s="415"/>
      <c r="M2874" s="419"/>
      <c r="N2874" s="419"/>
      <c r="O2874" s="414"/>
      <c r="P2874" s="603">
        <f t="shared" si="382"/>
        <v>0</v>
      </c>
      <c r="Q2874" s="603">
        <f t="shared" si="383"/>
        <v>0</v>
      </c>
      <c r="R2874" s="610" t="str">
        <f t="shared" si="381"/>
        <v/>
      </c>
      <c r="S2874" s="611"/>
      <c r="T2874" s="611"/>
    </row>
    <row r="2875" spans="1:20" s="88" customFormat="1" ht="12.75" hidden="1" x14ac:dyDescent="0.2">
      <c r="A2875" s="432" t="str">
        <f>IF(B2875="","",COUNT('Diário 1º PA'!$A$4:$A$2635)+ROW()-3)</f>
        <v/>
      </c>
      <c r="B2875" s="413"/>
      <c r="C2875" s="626"/>
      <c r="D2875" s="419"/>
      <c r="E2875" s="419"/>
      <c r="F2875" s="422"/>
      <c r="G2875" s="423"/>
      <c r="H2875" s="419"/>
      <c r="I2875" s="427"/>
      <c r="J2875" s="419"/>
      <c r="K2875" s="419"/>
      <c r="L2875" s="415"/>
      <c r="M2875" s="419"/>
      <c r="N2875" s="419"/>
      <c r="O2875" s="414"/>
      <c r="P2875" s="603">
        <f t="shared" si="382"/>
        <v>0</v>
      </c>
      <c r="Q2875" s="603">
        <f t="shared" si="383"/>
        <v>0</v>
      </c>
      <c r="R2875" s="610" t="str">
        <f t="shared" si="381"/>
        <v/>
      </c>
      <c r="S2875" s="611"/>
      <c r="T2875" s="611"/>
    </row>
    <row r="2876" spans="1:20" s="88" customFormat="1" ht="12.75" hidden="1" x14ac:dyDescent="0.2">
      <c r="A2876" s="432" t="str">
        <f>IF(B2876="","",COUNT('Diário 1º PA'!$A$4:$A$2635)+ROW()-3)</f>
        <v/>
      </c>
      <c r="B2876" s="413"/>
      <c r="C2876" s="626"/>
      <c r="D2876" s="419"/>
      <c r="E2876" s="419"/>
      <c r="F2876" s="422"/>
      <c r="G2876" s="423"/>
      <c r="H2876" s="419"/>
      <c r="I2876" s="427"/>
      <c r="J2876" s="419"/>
      <c r="K2876" s="419"/>
      <c r="L2876" s="415"/>
      <c r="M2876" s="419"/>
      <c r="N2876" s="419"/>
      <c r="O2876" s="414"/>
      <c r="P2876" s="603">
        <f t="shared" si="382"/>
        <v>0</v>
      </c>
      <c r="Q2876" s="603">
        <f t="shared" si="383"/>
        <v>0</v>
      </c>
      <c r="R2876" s="610" t="str">
        <f t="shared" si="381"/>
        <v/>
      </c>
      <c r="S2876" s="611"/>
      <c r="T2876" s="611"/>
    </row>
    <row r="2877" spans="1:20" s="88" customFormat="1" ht="12.75" hidden="1" x14ac:dyDescent="0.2">
      <c r="A2877" s="432" t="str">
        <f>IF(B2877="","",COUNT('Diário 1º PA'!$A$4:$A$2635)+ROW()-3)</f>
        <v/>
      </c>
      <c r="B2877" s="413"/>
      <c r="C2877" s="626"/>
      <c r="D2877" s="419"/>
      <c r="E2877" s="419"/>
      <c r="F2877" s="422"/>
      <c r="G2877" s="423"/>
      <c r="H2877" s="419"/>
      <c r="I2877" s="427"/>
      <c r="J2877" s="419"/>
      <c r="K2877" s="419"/>
      <c r="L2877" s="415"/>
      <c r="M2877" s="419"/>
      <c r="N2877" s="419"/>
      <c r="O2877" s="414"/>
      <c r="P2877" s="603">
        <f t="shared" si="382"/>
        <v>0</v>
      </c>
      <c r="Q2877" s="603">
        <f t="shared" si="383"/>
        <v>0</v>
      </c>
      <c r="R2877" s="610" t="str">
        <f t="shared" si="381"/>
        <v/>
      </c>
      <c r="S2877" s="611"/>
      <c r="T2877" s="611"/>
    </row>
    <row r="2878" spans="1:20" s="88" customFormat="1" ht="12.75" hidden="1" x14ac:dyDescent="0.2">
      <c r="A2878" s="432" t="str">
        <f>IF(B2878="","",COUNT('Diário 1º PA'!$A$4:$A$2635)+ROW()-3)</f>
        <v/>
      </c>
      <c r="B2878" s="413"/>
      <c r="C2878" s="626"/>
      <c r="D2878" s="419"/>
      <c r="E2878" s="419"/>
      <c r="F2878" s="422"/>
      <c r="G2878" s="423"/>
      <c r="H2878" s="419"/>
      <c r="I2878" s="427"/>
      <c r="J2878" s="419"/>
      <c r="K2878" s="419"/>
      <c r="L2878" s="415"/>
      <c r="M2878" s="419"/>
      <c r="N2878" s="419"/>
      <c r="O2878" s="414"/>
      <c r="P2878" s="603">
        <f t="shared" si="382"/>
        <v>0</v>
      </c>
      <c r="Q2878" s="603">
        <f t="shared" si="383"/>
        <v>0</v>
      </c>
      <c r="R2878" s="610" t="str">
        <f t="shared" si="381"/>
        <v/>
      </c>
      <c r="S2878" s="611"/>
      <c r="T2878" s="611"/>
    </row>
    <row r="2879" spans="1:20" s="88" customFormat="1" ht="12.75" hidden="1" x14ac:dyDescent="0.2">
      <c r="A2879" s="432" t="str">
        <f>IF(B2879="","",COUNT('Diário 1º PA'!$A$4:$A$2635)+ROW()-3)</f>
        <v/>
      </c>
      <c r="B2879" s="413"/>
      <c r="C2879" s="626"/>
      <c r="D2879" s="419"/>
      <c r="E2879" s="419"/>
      <c r="F2879" s="422"/>
      <c r="G2879" s="423"/>
      <c r="H2879" s="419"/>
      <c r="I2879" s="427"/>
      <c r="J2879" s="419"/>
      <c r="K2879" s="419"/>
      <c r="L2879" s="415"/>
      <c r="M2879" s="419"/>
      <c r="N2879" s="419"/>
      <c r="O2879" s="414"/>
      <c r="P2879" s="603">
        <f t="shared" si="382"/>
        <v>0</v>
      </c>
      <c r="Q2879" s="603">
        <f t="shared" si="383"/>
        <v>0</v>
      </c>
      <c r="R2879" s="610" t="str">
        <f t="shared" si="381"/>
        <v/>
      </c>
      <c r="S2879" s="611"/>
      <c r="T2879" s="611"/>
    </row>
    <row r="2880" spans="1:20" s="88" customFormat="1" ht="12.75" hidden="1" x14ac:dyDescent="0.2">
      <c r="A2880" s="432" t="str">
        <f>IF(B2880="","",COUNT('Diário 1º PA'!$A$4:$A$2635)+ROW()-3)</f>
        <v/>
      </c>
      <c r="B2880" s="413"/>
      <c r="C2880" s="626"/>
      <c r="D2880" s="419"/>
      <c r="E2880" s="419"/>
      <c r="F2880" s="422"/>
      <c r="G2880" s="423"/>
      <c r="H2880" s="419"/>
      <c r="I2880" s="427"/>
      <c r="J2880" s="419"/>
      <c r="K2880" s="419"/>
      <c r="L2880" s="415"/>
      <c r="M2880" s="419"/>
      <c r="N2880" s="419"/>
      <c r="O2880" s="414"/>
      <c r="P2880" s="603">
        <f t="shared" si="382"/>
        <v>0</v>
      </c>
      <c r="Q2880" s="603">
        <f t="shared" si="383"/>
        <v>0</v>
      </c>
      <c r="R2880" s="610" t="str">
        <f t="shared" si="381"/>
        <v/>
      </c>
      <c r="S2880" s="611"/>
      <c r="T2880" s="611"/>
    </row>
    <row r="2881" spans="1:20" s="88" customFormat="1" ht="12.75" hidden="1" x14ac:dyDescent="0.2">
      <c r="A2881" s="432" t="str">
        <f>IF(B2881="","",COUNT('Diário 1º PA'!$A$4:$A$2635)+ROW()-3)</f>
        <v/>
      </c>
      <c r="B2881" s="413"/>
      <c r="C2881" s="626"/>
      <c r="D2881" s="419"/>
      <c r="E2881" s="419"/>
      <c r="F2881" s="422"/>
      <c r="G2881" s="423"/>
      <c r="H2881" s="419"/>
      <c r="I2881" s="427"/>
      <c r="J2881" s="419"/>
      <c r="K2881" s="419"/>
      <c r="L2881" s="415"/>
      <c r="M2881" s="419"/>
      <c r="N2881" s="419"/>
      <c r="O2881" s="414"/>
      <c r="P2881" s="603">
        <f t="shared" si="382"/>
        <v>0</v>
      </c>
      <c r="Q2881" s="603">
        <f t="shared" si="383"/>
        <v>0</v>
      </c>
      <c r="R2881" s="610" t="str">
        <f t="shared" si="381"/>
        <v/>
      </c>
      <c r="S2881" s="611"/>
      <c r="T2881" s="611"/>
    </row>
    <row r="2882" spans="1:20" s="88" customFormat="1" ht="12.75" hidden="1" x14ac:dyDescent="0.2">
      <c r="A2882" s="432" t="str">
        <f>IF(B2882="","",COUNT('Diário 1º PA'!$A$4:$A$2635)+ROW()-3)</f>
        <v/>
      </c>
      <c r="B2882" s="413"/>
      <c r="C2882" s="626"/>
      <c r="D2882" s="419"/>
      <c r="E2882" s="419"/>
      <c r="F2882" s="422"/>
      <c r="G2882" s="423"/>
      <c r="H2882" s="419"/>
      <c r="I2882" s="427"/>
      <c r="J2882" s="419"/>
      <c r="K2882" s="419"/>
      <c r="L2882" s="415"/>
      <c r="M2882" s="419"/>
      <c r="N2882" s="419"/>
      <c r="O2882" s="414"/>
      <c r="P2882" s="603">
        <f t="shared" si="382"/>
        <v>0</v>
      </c>
      <c r="Q2882" s="603">
        <f t="shared" si="383"/>
        <v>0</v>
      </c>
      <c r="R2882" s="610" t="str">
        <f t="shared" si="381"/>
        <v/>
      </c>
      <c r="S2882" s="611"/>
      <c r="T2882" s="611"/>
    </row>
    <row r="2883" spans="1:20" s="88" customFormat="1" ht="12.75" hidden="1" x14ac:dyDescent="0.2">
      <c r="A2883" s="432" t="str">
        <f>IF(B2883="","",COUNT('Diário 1º PA'!$A$4:$A$2635)+ROW()-3)</f>
        <v/>
      </c>
      <c r="B2883" s="413"/>
      <c r="C2883" s="626"/>
      <c r="D2883" s="419"/>
      <c r="E2883" s="419"/>
      <c r="F2883" s="422"/>
      <c r="G2883" s="423"/>
      <c r="H2883" s="419"/>
      <c r="I2883" s="427"/>
      <c r="J2883" s="419"/>
      <c r="K2883" s="419"/>
      <c r="L2883" s="415"/>
      <c r="M2883" s="419"/>
      <c r="N2883" s="419"/>
      <c r="O2883" s="414"/>
      <c r="P2883" s="603">
        <f t="shared" si="382"/>
        <v>0</v>
      </c>
      <c r="Q2883" s="603">
        <f t="shared" si="383"/>
        <v>0</v>
      </c>
      <c r="R2883" s="610" t="str">
        <f t="shared" si="381"/>
        <v/>
      </c>
      <c r="S2883" s="611"/>
      <c r="T2883" s="611"/>
    </row>
    <row r="2884" spans="1:20" s="88" customFormat="1" ht="12.75" hidden="1" x14ac:dyDescent="0.2">
      <c r="A2884" s="432" t="str">
        <f>IF(B2884="","",COUNT('Diário 1º PA'!$A$4:$A$2635)+ROW()-3)</f>
        <v/>
      </c>
      <c r="B2884" s="413"/>
      <c r="C2884" s="626"/>
      <c r="D2884" s="419"/>
      <c r="E2884" s="419"/>
      <c r="F2884" s="422"/>
      <c r="G2884" s="423"/>
      <c r="H2884" s="419"/>
      <c r="I2884" s="427"/>
      <c r="J2884" s="419"/>
      <c r="K2884" s="419"/>
      <c r="L2884" s="415"/>
      <c r="M2884" s="419"/>
      <c r="N2884" s="419"/>
      <c r="O2884" s="414"/>
      <c r="P2884" s="603">
        <f t="shared" si="382"/>
        <v>0</v>
      </c>
      <c r="Q2884" s="603">
        <f t="shared" si="383"/>
        <v>0</v>
      </c>
      <c r="R2884" s="610" t="str">
        <f t="shared" si="381"/>
        <v/>
      </c>
      <c r="S2884" s="611"/>
      <c r="T2884" s="611"/>
    </row>
    <row r="2885" spans="1:20" s="88" customFormat="1" ht="12.75" hidden="1" x14ac:dyDescent="0.2">
      <c r="A2885" s="432" t="str">
        <f>IF(B2885="","",COUNT('Diário 1º PA'!$A$4:$A$2635)+ROW()-3)</f>
        <v/>
      </c>
      <c r="B2885" s="413"/>
      <c r="C2885" s="626"/>
      <c r="D2885" s="419"/>
      <c r="E2885" s="419"/>
      <c r="F2885" s="422"/>
      <c r="G2885" s="423"/>
      <c r="H2885" s="419"/>
      <c r="I2885" s="427"/>
      <c r="J2885" s="419"/>
      <c r="K2885" s="419"/>
      <c r="L2885" s="415"/>
      <c r="M2885" s="419"/>
      <c r="N2885" s="419"/>
      <c r="O2885" s="414"/>
      <c r="P2885" s="603">
        <f t="shared" si="382"/>
        <v>0</v>
      </c>
      <c r="Q2885" s="603">
        <f t="shared" si="383"/>
        <v>0</v>
      </c>
      <c r="R2885" s="610" t="str">
        <f t="shared" si="381"/>
        <v/>
      </c>
      <c r="S2885" s="611"/>
      <c r="T2885" s="611"/>
    </row>
    <row r="2886" spans="1:20" s="88" customFormat="1" ht="12.75" hidden="1" x14ac:dyDescent="0.2">
      <c r="A2886" s="432" t="str">
        <f>IF(B2886="","",COUNT('Diário 1º PA'!$A$4:$A$2635)+ROW()-3)</f>
        <v/>
      </c>
      <c r="B2886" s="413"/>
      <c r="C2886" s="626"/>
      <c r="D2886" s="419"/>
      <c r="E2886" s="419"/>
      <c r="F2886" s="422"/>
      <c r="G2886" s="423"/>
      <c r="H2886" s="419"/>
      <c r="I2886" s="427"/>
      <c r="J2886" s="419"/>
      <c r="K2886" s="419"/>
      <c r="L2886" s="415"/>
      <c r="M2886" s="419"/>
      <c r="N2886" s="419"/>
      <c r="O2886" s="414"/>
      <c r="P2886" s="603">
        <f t="shared" si="382"/>
        <v>0</v>
      </c>
      <c r="Q2886" s="603">
        <f t="shared" si="383"/>
        <v>0</v>
      </c>
      <c r="R2886" s="610" t="str">
        <f t="shared" si="381"/>
        <v/>
      </c>
      <c r="S2886" s="611"/>
      <c r="T2886" s="611"/>
    </row>
    <row r="2887" spans="1:20" s="88" customFormat="1" ht="12.75" hidden="1" x14ac:dyDescent="0.2">
      <c r="A2887" s="432" t="str">
        <f>IF(B2887="","",COUNT('Diário 1º PA'!$A$4:$A$2635)+ROW()-3)</f>
        <v/>
      </c>
      <c r="B2887" s="413"/>
      <c r="C2887" s="626"/>
      <c r="D2887" s="419"/>
      <c r="E2887" s="419"/>
      <c r="F2887" s="422"/>
      <c r="G2887" s="423"/>
      <c r="H2887" s="419"/>
      <c r="I2887" s="427"/>
      <c r="J2887" s="419"/>
      <c r="K2887" s="419"/>
      <c r="L2887" s="415"/>
      <c r="M2887" s="419"/>
      <c r="N2887" s="419"/>
      <c r="O2887" s="414"/>
      <c r="P2887" s="603">
        <f t="shared" si="382"/>
        <v>0</v>
      </c>
      <c r="Q2887" s="603">
        <f t="shared" si="383"/>
        <v>0</v>
      </c>
      <c r="R2887" s="610" t="str">
        <f t="shared" si="381"/>
        <v/>
      </c>
      <c r="S2887" s="611"/>
      <c r="T2887" s="611"/>
    </row>
    <row r="2888" spans="1:20" s="88" customFormat="1" ht="12.75" hidden="1" x14ac:dyDescent="0.2">
      <c r="A2888" s="432" t="str">
        <f>IF(B2888="","",COUNT('Diário 1º PA'!$A$4:$A$2635)+ROW()-3)</f>
        <v/>
      </c>
      <c r="B2888" s="413"/>
      <c r="C2888" s="626"/>
      <c r="D2888" s="419"/>
      <c r="E2888" s="419"/>
      <c r="F2888" s="422"/>
      <c r="G2888" s="423"/>
      <c r="H2888" s="419"/>
      <c r="I2888" s="427"/>
      <c r="J2888" s="419"/>
      <c r="K2888" s="419"/>
      <c r="L2888" s="415"/>
      <c r="M2888" s="419"/>
      <c r="N2888" s="419"/>
      <c r="O2888" s="414"/>
      <c r="P2888" s="603">
        <f t="shared" si="382"/>
        <v>0</v>
      </c>
      <c r="Q2888" s="603">
        <f t="shared" si="383"/>
        <v>0</v>
      </c>
      <c r="R2888" s="610" t="str">
        <f t="shared" si="381"/>
        <v/>
      </c>
      <c r="S2888" s="611"/>
      <c r="T2888" s="611"/>
    </row>
    <row r="2889" spans="1:20" s="88" customFormat="1" ht="12.75" hidden="1" x14ac:dyDescent="0.2">
      <c r="A2889" s="432" t="str">
        <f>IF(B2889="","",COUNT('Diário 1º PA'!$A$4:$A$2635)+ROW()-3)</f>
        <v/>
      </c>
      <c r="B2889" s="413"/>
      <c r="C2889" s="626"/>
      <c r="D2889" s="419"/>
      <c r="E2889" s="419"/>
      <c r="F2889" s="422"/>
      <c r="G2889" s="423"/>
      <c r="H2889" s="419"/>
      <c r="I2889" s="427"/>
      <c r="J2889" s="419"/>
      <c r="K2889" s="419"/>
      <c r="L2889" s="415"/>
      <c r="M2889" s="419"/>
      <c r="N2889" s="419"/>
      <c r="O2889" s="414"/>
      <c r="P2889" s="603">
        <f t="shared" si="382"/>
        <v>0</v>
      </c>
      <c r="Q2889" s="603">
        <f t="shared" si="383"/>
        <v>0</v>
      </c>
      <c r="R2889" s="610" t="str">
        <f t="shared" si="381"/>
        <v/>
      </c>
      <c r="S2889" s="611"/>
      <c r="T2889" s="611"/>
    </row>
    <row r="2890" spans="1:20" s="88" customFormat="1" ht="12.75" hidden="1" x14ac:dyDescent="0.2">
      <c r="A2890" s="432" t="str">
        <f>IF(B2890="","",COUNT('Diário 1º PA'!$A$4:$A$2635)+ROW()-3)</f>
        <v/>
      </c>
      <c r="B2890" s="413"/>
      <c r="C2890" s="626"/>
      <c r="D2890" s="419"/>
      <c r="E2890" s="419"/>
      <c r="F2890" s="422"/>
      <c r="G2890" s="423"/>
      <c r="H2890" s="419"/>
      <c r="I2890" s="427"/>
      <c r="J2890" s="419"/>
      <c r="K2890" s="419"/>
      <c r="L2890" s="415"/>
      <c r="M2890" s="419"/>
      <c r="N2890" s="419"/>
      <c r="O2890" s="414"/>
      <c r="P2890" s="603">
        <f t="shared" si="382"/>
        <v>0</v>
      </c>
      <c r="Q2890" s="603">
        <f t="shared" si="383"/>
        <v>0</v>
      </c>
      <c r="R2890" s="610" t="str">
        <f t="shared" si="381"/>
        <v/>
      </c>
      <c r="S2890" s="611"/>
      <c r="T2890" s="611"/>
    </row>
    <row r="2891" spans="1:20" s="88" customFormat="1" ht="12.75" hidden="1" x14ac:dyDescent="0.2">
      <c r="A2891" s="432" t="str">
        <f>IF(B2891="","",COUNT('Diário 1º PA'!$A$4:$A$2635)+ROW()-3)</f>
        <v/>
      </c>
      <c r="B2891" s="413"/>
      <c r="C2891" s="626"/>
      <c r="D2891" s="419"/>
      <c r="E2891" s="419"/>
      <c r="F2891" s="422"/>
      <c r="G2891" s="423"/>
      <c r="H2891" s="419"/>
      <c r="I2891" s="427"/>
      <c r="J2891" s="419"/>
      <c r="K2891" s="419"/>
      <c r="L2891" s="415"/>
      <c r="M2891" s="419"/>
      <c r="N2891" s="419"/>
      <c r="O2891" s="414"/>
      <c r="P2891" s="603">
        <f t="shared" si="382"/>
        <v>0</v>
      </c>
      <c r="Q2891" s="603">
        <f t="shared" si="383"/>
        <v>0</v>
      </c>
      <c r="R2891" s="610" t="str">
        <f t="shared" si="381"/>
        <v/>
      </c>
      <c r="S2891" s="611"/>
      <c r="T2891" s="611"/>
    </row>
    <row r="2892" spans="1:20" s="88" customFormat="1" ht="12.75" hidden="1" x14ac:dyDescent="0.2">
      <c r="A2892" s="432" t="str">
        <f>IF(B2892="","",COUNT('Diário 1º PA'!$A$4:$A$2635)+ROW()-3)</f>
        <v/>
      </c>
      <c r="B2892" s="413"/>
      <c r="C2892" s="626"/>
      <c r="D2892" s="419"/>
      <c r="E2892" s="419"/>
      <c r="F2892" s="422"/>
      <c r="G2892" s="423"/>
      <c r="H2892" s="419"/>
      <c r="I2892" s="427"/>
      <c r="J2892" s="419"/>
      <c r="K2892" s="419"/>
      <c r="L2892" s="415"/>
      <c r="M2892" s="419"/>
      <c r="N2892" s="419"/>
      <c r="O2892" s="414"/>
      <c r="P2892" s="603">
        <f t="shared" si="382"/>
        <v>0</v>
      </c>
      <c r="Q2892" s="603">
        <f t="shared" si="383"/>
        <v>0</v>
      </c>
      <c r="R2892" s="610" t="str">
        <f t="shared" si="381"/>
        <v/>
      </c>
      <c r="S2892" s="611"/>
      <c r="T2892" s="611"/>
    </row>
    <row r="2893" spans="1:20" s="88" customFormat="1" ht="12.75" hidden="1" x14ac:dyDescent="0.2">
      <c r="A2893" s="432" t="str">
        <f>IF(B2893="","",COUNT('Diário 1º PA'!$A$4:$A$2635)+ROW()-3)</f>
        <v/>
      </c>
      <c r="B2893" s="413"/>
      <c r="C2893" s="626"/>
      <c r="D2893" s="419"/>
      <c r="E2893" s="419"/>
      <c r="F2893" s="422"/>
      <c r="G2893" s="423"/>
      <c r="H2893" s="419"/>
      <c r="I2893" s="427"/>
      <c r="J2893" s="419"/>
      <c r="K2893" s="419"/>
      <c r="L2893" s="415"/>
      <c r="M2893" s="419"/>
      <c r="N2893" s="419"/>
      <c r="O2893" s="414"/>
      <c r="P2893" s="603">
        <f t="shared" si="382"/>
        <v>0</v>
      </c>
      <c r="Q2893" s="603">
        <f t="shared" si="383"/>
        <v>0</v>
      </c>
      <c r="R2893" s="610" t="str">
        <f t="shared" si="381"/>
        <v/>
      </c>
      <c r="S2893" s="611"/>
      <c r="T2893" s="611"/>
    </row>
    <row r="2894" spans="1:20" s="88" customFormat="1" ht="12.75" hidden="1" x14ac:dyDescent="0.2">
      <c r="A2894" s="432" t="str">
        <f>IF(B2894="","",COUNT('Diário 1º PA'!$A$4:$A$2635)+ROW()-3)</f>
        <v/>
      </c>
      <c r="B2894" s="413"/>
      <c r="C2894" s="626"/>
      <c r="D2894" s="419"/>
      <c r="E2894" s="419"/>
      <c r="F2894" s="422"/>
      <c r="G2894" s="423"/>
      <c r="H2894" s="419"/>
      <c r="I2894" s="427"/>
      <c r="J2894" s="419"/>
      <c r="K2894" s="419"/>
      <c r="L2894" s="415"/>
      <c r="M2894" s="419"/>
      <c r="N2894" s="419"/>
      <c r="O2894" s="414"/>
      <c r="P2894" s="603">
        <f t="shared" si="382"/>
        <v>0</v>
      </c>
      <c r="Q2894" s="603">
        <f t="shared" si="383"/>
        <v>0</v>
      </c>
      <c r="R2894" s="610" t="str">
        <f t="shared" si="381"/>
        <v/>
      </c>
      <c r="S2894" s="611"/>
      <c r="T2894" s="611"/>
    </row>
    <row r="2895" spans="1:20" s="88" customFormat="1" ht="12.75" hidden="1" x14ac:dyDescent="0.2">
      <c r="A2895" s="432" t="str">
        <f>IF(B2895="","",COUNT('Diário 1º PA'!$A$4:$A$2635)+ROW()-3)</f>
        <v/>
      </c>
      <c r="B2895" s="413"/>
      <c r="C2895" s="626"/>
      <c r="D2895" s="419"/>
      <c r="E2895" s="419"/>
      <c r="F2895" s="422"/>
      <c r="G2895" s="423"/>
      <c r="H2895" s="419"/>
      <c r="I2895" s="427"/>
      <c r="J2895" s="419"/>
      <c r="K2895" s="419"/>
      <c r="L2895" s="415"/>
      <c r="M2895" s="419"/>
      <c r="N2895" s="419"/>
      <c r="O2895" s="414"/>
      <c r="P2895" s="603">
        <f t="shared" si="382"/>
        <v>0</v>
      </c>
      <c r="Q2895" s="603">
        <f t="shared" si="383"/>
        <v>0</v>
      </c>
      <c r="R2895" s="610" t="str">
        <f t="shared" si="381"/>
        <v/>
      </c>
      <c r="S2895" s="611"/>
      <c r="T2895" s="611"/>
    </row>
    <row r="2896" spans="1:20" s="88" customFormat="1" ht="12.75" hidden="1" x14ac:dyDescent="0.2">
      <c r="A2896" s="432" t="str">
        <f>IF(B2896="","",COUNT('Diário 1º PA'!$A$4:$A$2635)+ROW()-3)</f>
        <v/>
      </c>
      <c r="B2896" s="413"/>
      <c r="C2896" s="626"/>
      <c r="D2896" s="419"/>
      <c r="E2896" s="419"/>
      <c r="F2896" s="422"/>
      <c r="G2896" s="423"/>
      <c r="H2896" s="419"/>
      <c r="I2896" s="427"/>
      <c r="J2896" s="419"/>
      <c r="K2896" s="419"/>
      <c r="L2896" s="415"/>
      <c r="M2896" s="419"/>
      <c r="N2896" s="419"/>
      <c r="O2896" s="414"/>
      <c r="P2896" s="603">
        <f t="shared" si="382"/>
        <v>0</v>
      </c>
      <c r="Q2896" s="603">
        <f t="shared" si="383"/>
        <v>0</v>
      </c>
      <c r="R2896" s="610" t="str">
        <f t="shared" si="381"/>
        <v/>
      </c>
      <c r="S2896" s="611"/>
      <c r="T2896" s="611"/>
    </row>
    <row r="2897" spans="1:20" s="88" customFormat="1" ht="12.75" hidden="1" x14ac:dyDescent="0.2">
      <c r="A2897" s="432" t="str">
        <f>IF(B2897="","",COUNT('Diário 1º PA'!$A$4:$A$2635)+ROW()-3)</f>
        <v/>
      </c>
      <c r="B2897" s="413"/>
      <c r="C2897" s="626"/>
      <c r="D2897" s="419"/>
      <c r="E2897" s="419"/>
      <c r="F2897" s="422"/>
      <c r="G2897" s="423"/>
      <c r="H2897" s="419"/>
      <c r="I2897" s="427"/>
      <c r="J2897" s="419"/>
      <c r="K2897" s="419"/>
      <c r="L2897" s="415"/>
      <c r="M2897" s="419"/>
      <c r="N2897" s="419"/>
      <c r="O2897" s="414"/>
      <c r="P2897" s="603">
        <f t="shared" si="382"/>
        <v>0</v>
      </c>
      <c r="Q2897" s="603">
        <f t="shared" si="383"/>
        <v>0</v>
      </c>
      <c r="R2897" s="610" t="str">
        <f t="shared" si="381"/>
        <v/>
      </c>
      <c r="S2897" s="611"/>
      <c r="T2897" s="611"/>
    </row>
    <row r="2898" spans="1:20" s="88" customFormat="1" ht="12.75" hidden="1" x14ac:dyDescent="0.2">
      <c r="A2898" s="432" t="str">
        <f>IF(B2898="","",COUNT('Diário 1º PA'!$A$4:$A$2635)+ROW()-3)</f>
        <v/>
      </c>
      <c r="B2898" s="413"/>
      <c r="C2898" s="626"/>
      <c r="D2898" s="419"/>
      <c r="E2898" s="419"/>
      <c r="F2898" s="422"/>
      <c r="G2898" s="423"/>
      <c r="H2898" s="419"/>
      <c r="I2898" s="427"/>
      <c r="J2898" s="419"/>
      <c r="K2898" s="419"/>
      <c r="L2898" s="415"/>
      <c r="M2898" s="419"/>
      <c r="N2898" s="419"/>
      <c r="O2898" s="414"/>
      <c r="P2898" s="603">
        <f t="shared" si="382"/>
        <v>0</v>
      </c>
      <c r="Q2898" s="603">
        <f t="shared" si="383"/>
        <v>0</v>
      </c>
      <c r="R2898" s="610" t="str">
        <f t="shared" si="381"/>
        <v/>
      </c>
      <c r="S2898" s="611"/>
      <c r="T2898" s="611"/>
    </row>
    <row r="2899" spans="1:20" s="88" customFormat="1" ht="12.75" hidden="1" x14ac:dyDescent="0.2">
      <c r="A2899" s="432" t="str">
        <f>IF(B2899="","",COUNT('Diário 1º PA'!$A$4:$A$2635)+ROW()-3)</f>
        <v/>
      </c>
      <c r="B2899" s="413"/>
      <c r="C2899" s="626"/>
      <c r="D2899" s="419"/>
      <c r="E2899" s="419"/>
      <c r="F2899" s="422"/>
      <c r="G2899" s="423"/>
      <c r="H2899" s="419"/>
      <c r="I2899" s="427"/>
      <c r="J2899" s="419"/>
      <c r="K2899" s="419"/>
      <c r="L2899" s="415"/>
      <c r="M2899" s="419"/>
      <c r="N2899" s="419"/>
      <c r="O2899" s="414"/>
      <c r="P2899" s="603">
        <f t="shared" si="382"/>
        <v>0</v>
      </c>
      <c r="Q2899" s="603">
        <f t="shared" si="383"/>
        <v>0</v>
      </c>
      <c r="R2899" s="610" t="str">
        <f t="shared" si="381"/>
        <v/>
      </c>
      <c r="S2899" s="611"/>
      <c r="T2899" s="611"/>
    </row>
    <row r="2900" spans="1:20" s="88" customFormat="1" ht="12.75" hidden="1" x14ac:dyDescent="0.2">
      <c r="A2900" s="432" t="str">
        <f>IF(B2900="","",COUNT('Diário 1º PA'!$A$4:$A$2635)+ROW()-3)</f>
        <v/>
      </c>
      <c r="B2900" s="413"/>
      <c r="C2900" s="626"/>
      <c r="D2900" s="419"/>
      <c r="E2900" s="419"/>
      <c r="F2900" s="422"/>
      <c r="G2900" s="423"/>
      <c r="H2900" s="419"/>
      <c r="I2900" s="427"/>
      <c r="J2900" s="419"/>
      <c r="K2900" s="419"/>
      <c r="L2900" s="415"/>
      <c r="M2900" s="419"/>
      <c r="N2900" s="419"/>
      <c r="O2900" s="414"/>
      <c r="P2900" s="603">
        <f t="shared" si="382"/>
        <v>0</v>
      </c>
      <c r="Q2900" s="603">
        <f t="shared" si="383"/>
        <v>0</v>
      </c>
      <c r="R2900" s="610" t="str">
        <f t="shared" si="381"/>
        <v/>
      </c>
      <c r="S2900" s="611"/>
      <c r="T2900" s="611"/>
    </row>
    <row r="2901" spans="1:20" s="88" customFormat="1" ht="12.75" hidden="1" x14ac:dyDescent="0.2">
      <c r="A2901" s="432" t="str">
        <f>IF(B2901="","",COUNT('Diário 1º PA'!$A$4:$A$2635)+ROW()-3)</f>
        <v/>
      </c>
      <c r="B2901" s="413"/>
      <c r="C2901" s="626"/>
      <c r="D2901" s="419"/>
      <c r="E2901" s="419"/>
      <c r="F2901" s="422"/>
      <c r="G2901" s="423"/>
      <c r="H2901" s="419"/>
      <c r="I2901" s="427"/>
      <c r="J2901" s="419"/>
      <c r="K2901" s="419"/>
      <c r="L2901" s="415"/>
      <c r="M2901" s="419"/>
      <c r="N2901" s="419"/>
      <c r="O2901" s="414"/>
      <c r="P2901" s="603">
        <f t="shared" si="382"/>
        <v>0</v>
      </c>
      <c r="Q2901" s="603">
        <f t="shared" si="383"/>
        <v>0</v>
      </c>
      <c r="R2901" s="610" t="str">
        <f t="shared" si="381"/>
        <v/>
      </c>
      <c r="S2901" s="611"/>
      <c r="T2901" s="611"/>
    </row>
    <row r="2902" spans="1:20" s="88" customFormat="1" ht="12.75" hidden="1" x14ac:dyDescent="0.2">
      <c r="A2902" s="432" t="str">
        <f>IF(B2902="","",COUNT('Diário 1º PA'!$A$4:$A$2635)+ROW()-3)</f>
        <v/>
      </c>
      <c r="B2902" s="413"/>
      <c r="C2902" s="626"/>
      <c r="D2902" s="419"/>
      <c r="E2902" s="419"/>
      <c r="F2902" s="422"/>
      <c r="G2902" s="423"/>
      <c r="H2902" s="419"/>
      <c r="I2902" s="427"/>
      <c r="J2902" s="419"/>
      <c r="K2902" s="419"/>
      <c r="L2902" s="415"/>
      <c r="M2902" s="419"/>
      <c r="N2902" s="419"/>
      <c r="O2902" s="414"/>
      <c r="P2902" s="603">
        <f t="shared" si="382"/>
        <v>0</v>
      </c>
      <c r="Q2902" s="603">
        <f t="shared" si="383"/>
        <v>0</v>
      </c>
      <c r="R2902" s="610" t="str">
        <f t="shared" si="381"/>
        <v/>
      </c>
      <c r="S2902" s="611"/>
      <c r="T2902" s="611"/>
    </row>
    <row r="2903" spans="1:20" s="88" customFormat="1" ht="12.75" hidden="1" x14ac:dyDescent="0.2">
      <c r="A2903" s="432" t="str">
        <f>IF(B2903="","",COUNT('Diário 1º PA'!$A$4:$A$2635)+ROW()-3)</f>
        <v/>
      </c>
      <c r="B2903" s="413"/>
      <c r="C2903" s="626"/>
      <c r="D2903" s="419"/>
      <c r="E2903" s="419"/>
      <c r="F2903" s="422"/>
      <c r="G2903" s="423"/>
      <c r="H2903" s="419"/>
      <c r="I2903" s="427"/>
      <c r="J2903" s="419"/>
      <c r="K2903" s="419"/>
      <c r="L2903" s="415"/>
      <c r="M2903" s="419"/>
      <c r="N2903" s="419"/>
      <c r="O2903" s="414"/>
      <c r="P2903" s="603">
        <f t="shared" si="382"/>
        <v>0</v>
      </c>
      <c r="Q2903" s="603">
        <f t="shared" si="383"/>
        <v>0</v>
      </c>
      <c r="R2903" s="610" t="str">
        <f t="shared" si="381"/>
        <v/>
      </c>
      <c r="S2903" s="611"/>
      <c r="T2903" s="611"/>
    </row>
    <row r="2904" spans="1:20" s="88" customFormat="1" ht="12.75" hidden="1" x14ac:dyDescent="0.2">
      <c r="A2904" s="432" t="str">
        <f>IF(B2904="","",COUNT('Diário 1º PA'!$A$4:$A$2635)+ROW()-3)</f>
        <v/>
      </c>
      <c r="B2904" s="413"/>
      <c r="C2904" s="626"/>
      <c r="D2904" s="419"/>
      <c r="E2904" s="419"/>
      <c r="F2904" s="422"/>
      <c r="G2904" s="423"/>
      <c r="H2904" s="419"/>
      <c r="I2904" s="427"/>
      <c r="J2904" s="419"/>
      <c r="K2904" s="419"/>
      <c r="L2904" s="415"/>
      <c r="M2904" s="419"/>
      <c r="N2904" s="419"/>
      <c r="O2904" s="414"/>
      <c r="P2904" s="603">
        <f t="shared" si="382"/>
        <v>0</v>
      </c>
      <c r="Q2904" s="603">
        <f t="shared" si="383"/>
        <v>0</v>
      </c>
      <c r="R2904" s="610" t="str">
        <f t="shared" si="381"/>
        <v/>
      </c>
      <c r="S2904" s="611"/>
      <c r="T2904" s="611"/>
    </row>
    <row r="2905" spans="1:20" s="88" customFormat="1" ht="12.75" hidden="1" x14ac:dyDescent="0.2">
      <c r="A2905" s="432" t="str">
        <f>IF(B2905="","",COUNT('Diário 1º PA'!$A$4:$A$2635)+ROW()-3)</f>
        <v/>
      </c>
      <c r="B2905" s="413"/>
      <c r="C2905" s="626"/>
      <c r="D2905" s="419"/>
      <c r="E2905" s="419"/>
      <c r="F2905" s="422"/>
      <c r="G2905" s="423"/>
      <c r="H2905" s="419"/>
      <c r="I2905" s="427"/>
      <c r="J2905" s="419"/>
      <c r="K2905" s="419"/>
      <c r="L2905" s="415"/>
      <c r="M2905" s="419"/>
      <c r="N2905" s="419"/>
      <c r="O2905" s="414"/>
      <c r="P2905" s="603">
        <f t="shared" si="382"/>
        <v>0</v>
      </c>
      <c r="Q2905" s="603">
        <f t="shared" si="383"/>
        <v>0</v>
      </c>
      <c r="R2905" s="610" t="str">
        <f t="shared" si="381"/>
        <v/>
      </c>
      <c r="S2905" s="611"/>
      <c r="T2905" s="611"/>
    </row>
    <row r="2906" spans="1:20" s="88" customFormat="1" ht="12.75" hidden="1" x14ac:dyDescent="0.2">
      <c r="A2906" s="432" t="str">
        <f>IF(B2906="","",COUNT('Diário 1º PA'!$A$4:$A$2635)+ROW()-3)</f>
        <v/>
      </c>
      <c r="B2906" s="413"/>
      <c r="C2906" s="626"/>
      <c r="D2906" s="419"/>
      <c r="E2906" s="419"/>
      <c r="F2906" s="422"/>
      <c r="G2906" s="423"/>
      <c r="H2906" s="419"/>
      <c r="I2906" s="427"/>
      <c r="J2906" s="419"/>
      <c r="K2906" s="419"/>
      <c r="L2906" s="415"/>
      <c r="M2906" s="419"/>
      <c r="N2906" s="419"/>
      <c r="O2906" s="414"/>
      <c r="P2906" s="603">
        <f t="shared" si="382"/>
        <v>0</v>
      </c>
      <c r="Q2906" s="603">
        <f t="shared" si="383"/>
        <v>0</v>
      </c>
      <c r="R2906" s="610" t="str">
        <f t="shared" si="381"/>
        <v/>
      </c>
      <c r="S2906" s="611"/>
      <c r="T2906" s="611"/>
    </row>
    <row r="2907" spans="1:20" s="88" customFormat="1" ht="12.75" hidden="1" x14ac:dyDescent="0.2">
      <c r="A2907" s="432" t="str">
        <f>IF(B2907="","",COUNT('Diário 1º PA'!$A$4:$A$2635)+ROW()-3)</f>
        <v/>
      </c>
      <c r="B2907" s="413"/>
      <c r="C2907" s="626"/>
      <c r="D2907" s="419"/>
      <c r="E2907" s="419"/>
      <c r="F2907" s="422"/>
      <c r="G2907" s="423"/>
      <c r="H2907" s="419"/>
      <c r="I2907" s="427"/>
      <c r="J2907" s="419"/>
      <c r="K2907" s="419"/>
      <c r="L2907" s="415"/>
      <c r="M2907" s="419"/>
      <c r="N2907" s="419"/>
      <c r="O2907" s="414"/>
      <c r="P2907" s="603">
        <f t="shared" si="382"/>
        <v>0</v>
      </c>
      <c r="Q2907" s="603">
        <f t="shared" si="383"/>
        <v>0</v>
      </c>
      <c r="R2907" s="610" t="str">
        <f t="shared" si="381"/>
        <v/>
      </c>
      <c r="S2907" s="611"/>
      <c r="T2907" s="611"/>
    </row>
    <row r="2908" spans="1:20" s="88" customFormat="1" ht="12.75" hidden="1" x14ac:dyDescent="0.2">
      <c r="A2908" s="432" t="str">
        <f>IF(B2908="","",COUNT('Diário 1º PA'!$A$4:$A$2635)+ROW()-3)</f>
        <v/>
      </c>
      <c r="B2908" s="413"/>
      <c r="C2908" s="626"/>
      <c r="D2908" s="419"/>
      <c r="E2908" s="419"/>
      <c r="F2908" s="422"/>
      <c r="G2908" s="423"/>
      <c r="H2908" s="419"/>
      <c r="I2908" s="427"/>
      <c r="J2908" s="419"/>
      <c r="K2908" s="419"/>
      <c r="L2908" s="415"/>
      <c r="M2908" s="419"/>
      <c r="N2908" s="419"/>
      <c r="O2908" s="414"/>
      <c r="P2908" s="603">
        <f t="shared" si="382"/>
        <v>0</v>
      </c>
      <c r="Q2908" s="603">
        <f t="shared" si="383"/>
        <v>0</v>
      </c>
      <c r="R2908" s="610" t="str">
        <f t="shared" si="381"/>
        <v/>
      </c>
      <c r="S2908" s="611"/>
      <c r="T2908" s="611"/>
    </row>
    <row r="2909" spans="1:20" s="88" customFormat="1" ht="12.75" hidden="1" x14ac:dyDescent="0.2">
      <c r="A2909" s="432" t="str">
        <f>IF(B2909="","",COUNT('Diário 1º PA'!$A$4:$A$2635)+ROW()-3)</f>
        <v/>
      </c>
      <c r="B2909" s="413"/>
      <c r="C2909" s="626"/>
      <c r="D2909" s="419"/>
      <c r="E2909" s="419"/>
      <c r="F2909" s="422"/>
      <c r="G2909" s="423"/>
      <c r="H2909" s="419"/>
      <c r="I2909" s="427"/>
      <c r="J2909" s="419"/>
      <c r="K2909" s="419"/>
      <c r="L2909" s="415"/>
      <c r="M2909" s="419"/>
      <c r="N2909" s="419"/>
      <c r="O2909" s="414"/>
      <c r="P2909" s="603">
        <f t="shared" si="382"/>
        <v>0</v>
      </c>
      <c r="Q2909" s="603">
        <f t="shared" si="383"/>
        <v>0</v>
      </c>
      <c r="R2909" s="610" t="str">
        <f t="shared" si="381"/>
        <v/>
      </c>
      <c r="S2909" s="611"/>
      <c r="T2909" s="611"/>
    </row>
    <row r="2910" spans="1:20" s="88" customFormat="1" ht="12.75" hidden="1" x14ac:dyDescent="0.2">
      <c r="A2910" s="432" t="str">
        <f>IF(B2910="","",COUNT('Diário 1º PA'!$A$4:$A$2635)+ROW()-3)</f>
        <v/>
      </c>
      <c r="B2910" s="413"/>
      <c r="C2910" s="626"/>
      <c r="D2910" s="419"/>
      <c r="E2910" s="419"/>
      <c r="F2910" s="422"/>
      <c r="G2910" s="423"/>
      <c r="H2910" s="419"/>
      <c r="I2910" s="427"/>
      <c r="J2910" s="419"/>
      <c r="K2910" s="419"/>
      <c r="L2910" s="415"/>
      <c r="M2910" s="419"/>
      <c r="N2910" s="419"/>
      <c r="O2910" s="414"/>
      <c r="P2910" s="603">
        <f t="shared" si="382"/>
        <v>0</v>
      </c>
      <c r="Q2910" s="603">
        <f t="shared" si="383"/>
        <v>0</v>
      </c>
      <c r="R2910" s="610" t="str">
        <f t="shared" si="381"/>
        <v/>
      </c>
      <c r="S2910" s="611"/>
      <c r="T2910" s="611"/>
    </row>
    <row r="2911" spans="1:20" s="88" customFormat="1" ht="12.75" hidden="1" x14ac:dyDescent="0.2">
      <c r="A2911" s="432" t="str">
        <f>IF(B2911="","",COUNT('Diário 1º PA'!$A$4:$A$2635)+ROW()-3)</f>
        <v/>
      </c>
      <c r="B2911" s="413"/>
      <c r="C2911" s="626"/>
      <c r="D2911" s="419"/>
      <c r="E2911" s="419"/>
      <c r="F2911" s="422"/>
      <c r="G2911" s="423"/>
      <c r="H2911" s="419"/>
      <c r="I2911" s="427"/>
      <c r="J2911" s="419"/>
      <c r="K2911" s="419"/>
      <c r="L2911" s="415"/>
      <c r="M2911" s="419"/>
      <c r="N2911" s="419"/>
      <c r="O2911" s="414"/>
      <c r="P2911" s="603">
        <f t="shared" si="382"/>
        <v>0</v>
      </c>
      <c r="Q2911" s="603">
        <f t="shared" si="383"/>
        <v>0</v>
      </c>
      <c r="R2911" s="610" t="str">
        <f t="shared" si="381"/>
        <v/>
      </c>
      <c r="S2911" s="611"/>
      <c r="T2911" s="611"/>
    </row>
    <row r="2912" spans="1:20" s="88" customFormat="1" ht="12.75" hidden="1" x14ac:dyDescent="0.2">
      <c r="A2912" s="432" t="str">
        <f>IF(B2912="","",COUNT('Diário 1º PA'!$A$4:$A$2635)+ROW()-3)</f>
        <v/>
      </c>
      <c r="B2912" s="413"/>
      <c r="C2912" s="626"/>
      <c r="D2912" s="419"/>
      <c r="E2912" s="419"/>
      <c r="F2912" s="422"/>
      <c r="G2912" s="423"/>
      <c r="H2912" s="419"/>
      <c r="I2912" s="427"/>
      <c r="J2912" s="419"/>
      <c r="K2912" s="419"/>
      <c r="L2912" s="415"/>
      <c r="M2912" s="419"/>
      <c r="N2912" s="419"/>
      <c r="O2912" s="414"/>
      <c r="P2912" s="603">
        <f t="shared" si="382"/>
        <v>0</v>
      </c>
      <c r="Q2912" s="603">
        <f t="shared" si="383"/>
        <v>0</v>
      </c>
      <c r="R2912" s="610" t="str">
        <f t="shared" si="381"/>
        <v/>
      </c>
      <c r="S2912" s="611"/>
      <c r="T2912" s="611"/>
    </row>
    <row r="2913" spans="1:20" s="88" customFormat="1" ht="12.75" hidden="1" x14ac:dyDescent="0.2">
      <c r="A2913" s="432" t="str">
        <f>IF(B2913="","",COUNT('Diário 1º PA'!$A$4:$A$2635)+ROW()-3)</f>
        <v/>
      </c>
      <c r="B2913" s="413"/>
      <c r="C2913" s="626"/>
      <c r="D2913" s="419"/>
      <c r="E2913" s="419"/>
      <c r="F2913" s="422"/>
      <c r="G2913" s="423"/>
      <c r="H2913" s="419"/>
      <c r="I2913" s="427"/>
      <c r="J2913" s="419"/>
      <c r="K2913" s="419"/>
      <c r="L2913" s="415"/>
      <c r="M2913" s="419"/>
      <c r="N2913" s="419"/>
      <c r="O2913" s="414"/>
      <c r="P2913" s="603">
        <f t="shared" si="382"/>
        <v>0</v>
      </c>
      <c r="Q2913" s="603">
        <f t="shared" si="383"/>
        <v>0</v>
      </c>
      <c r="R2913" s="610" t="str">
        <f t="shared" si="381"/>
        <v/>
      </c>
      <c r="S2913" s="611"/>
      <c r="T2913" s="611"/>
    </row>
    <row r="2914" spans="1:20" s="88" customFormat="1" ht="12.75" hidden="1" x14ac:dyDescent="0.2">
      <c r="A2914" s="432" t="str">
        <f>IF(B2914="","",COUNT('Diário 1º PA'!$A$4:$A$2635)+ROW()-3)</f>
        <v/>
      </c>
      <c r="B2914" s="413"/>
      <c r="C2914" s="626"/>
      <c r="D2914" s="419"/>
      <c r="E2914" s="419"/>
      <c r="F2914" s="422"/>
      <c r="G2914" s="423"/>
      <c r="H2914" s="419"/>
      <c r="I2914" s="427"/>
      <c r="J2914" s="419"/>
      <c r="K2914" s="419"/>
      <c r="L2914" s="415"/>
      <c r="M2914" s="419"/>
      <c r="N2914" s="419"/>
      <c r="O2914" s="414"/>
      <c r="P2914" s="603">
        <f t="shared" si="382"/>
        <v>0</v>
      </c>
      <c r="Q2914" s="603">
        <f t="shared" si="383"/>
        <v>0</v>
      </c>
      <c r="R2914" s="610" t="str">
        <f t="shared" si="381"/>
        <v/>
      </c>
      <c r="S2914" s="611"/>
      <c r="T2914" s="611"/>
    </row>
    <row r="2915" spans="1:20" s="88" customFormat="1" ht="12.75" hidden="1" x14ac:dyDescent="0.2">
      <c r="A2915" s="432" t="str">
        <f>IF(B2915="","",COUNT('Diário 1º PA'!$A$4:$A$2635)+ROW()-3)</f>
        <v/>
      </c>
      <c r="B2915" s="413"/>
      <c r="C2915" s="626"/>
      <c r="D2915" s="419"/>
      <c r="E2915" s="419"/>
      <c r="F2915" s="422"/>
      <c r="G2915" s="423"/>
      <c r="H2915" s="419"/>
      <c r="I2915" s="427"/>
      <c r="J2915" s="419"/>
      <c r="K2915" s="419"/>
      <c r="L2915" s="415"/>
      <c r="M2915" s="419"/>
      <c r="N2915" s="419"/>
      <c r="O2915" s="414"/>
      <c r="P2915" s="603">
        <f t="shared" si="382"/>
        <v>0</v>
      </c>
      <c r="Q2915" s="603">
        <f t="shared" si="383"/>
        <v>0</v>
      </c>
      <c r="R2915" s="610" t="str">
        <f t="shared" si="381"/>
        <v/>
      </c>
      <c r="S2915" s="611"/>
      <c r="T2915" s="611"/>
    </row>
    <row r="2916" spans="1:20" s="88" customFormat="1" ht="12.75" hidden="1" x14ac:dyDescent="0.2">
      <c r="A2916" s="432" t="str">
        <f>IF(B2916="","",COUNT('Diário 1º PA'!$A$4:$A$2635)+ROW()-3)</f>
        <v/>
      </c>
      <c r="B2916" s="413"/>
      <c r="C2916" s="626"/>
      <c r="D2916" s="419"/>
      <c r="E2916" s="419"/>
      <c r="F2916" s="422"/>
      <c r="G2916" s="423"/>
      <c r="H2916" s="419"/>
      <c r="I2916" s="427"/>
      <c r="J2916" s="419"/>
      <c r="K2916" s="419"/>
      <c r="L2916" s="415"/>
      <c r="M2916" s="419"/>
      <c r="N2916" s="419"/>
      <c r="O2916" s="414"/>
      <c r="P2916" s="603">
        <f t="shared" si="382"/>
        <v>0</v>
      </c>
      <c r="Q2916" s="603">
        <f t="shared" si="383"/>
        <v>0</v>
      </c>
      <c r="R2916" s="610" t="str">
        <f t="shared" si="381"/>
        <v/>
      </c>
      <c r="S2916" s="611"/>
      <c r="T2916" s="611"/>
    </row>
    <row r="2917" spans="1:20" s="88" customFormat="1" ht="12.75" hidden="1" x14ac:dyDescent="0.2">
      <c r="A2917" s="432" t="str">
        <f>IF(B2917="","",COUNT('Diário 1º PA'!$A$4:$A$2635)+ROW()-3)</f>
        <v/>
      </c>
      <c r="B2917" s="413"/>
      <c r="C2917" s="626"/>
      <c r="D2917" s="419"/>
      <c r="E2917" s="419"/>
      <c r="F2917" s="422"/>
      <c r="G2917" s="423"/>
      <c r="H2917" s="419"/>
      <c r="I2917" s="427"/>
      <c r="J2917" s="419"/>
      <c r="K2917" s="419"/>
      <c r="L2917" s="415"/>
      <c r="M2917" s="419"/>
      <c r="N2917" s="419"/>
      <c r="O2917" s="414"/>
      <c r="P2917" s="603">
        <f t="shared" si="382"/>
        <v>0</v>
      </c>
      <c r="Q2917" s="603">
        <f t="shared" si="383"/>
        <v>0</v>
      </c>
      <c r="R2917" s="610" t="str">
        <f t="shared" si="381"/>
        <v/>
      </c>
      <c r="S2917" s="611"/>
      <c r="T2917" s="611"/>
    </row>
    <row r="2918" spans="1:20" s="88" customFormat="1" ht="12.75" hidden="1" x14ac:dyDescent="0.2">
      <c r="A2918" s="432" t="str">
        <f>IF(B2918="","",COUNT('Diário 1º PA'!$A$4:$A$2635)+ROW()-3)</f>
        <v/>
      </c>
      <c r="B2918" s="413"/>
      <c r="C2918" s="626"/>
      <c r="D2918" s="419"/>
      <c r="E2918" s="419"/>
      <c r="F2918" s="422"/>
      <c r="G2918" s="423"/>
      <c r="H2918" s="419"/>
      <c r="I2918" s="427"/>
      <c r="J2918" s="419"/>
      <c r="K2918" s="419"/>
      <c r="L2918" s="415"/>
      <c r="M2918" s="419"/>
      <c r="N2918" s="419"/>
      <c r="O2918" s="414"/>
      <c r="P2918" s="603">
        <f t="shared" si="382"/>
        <v>0</v>
      </c>
      <c r="Q2918" s="603">
        <f t="shared" si="383"/>
        <v>0</v>
      </c>
      <c r="R2918" s="610" t="str">
        <f t="shared" si="381"/>
        <v/>
      </c>
      <c r="S2918" s="611"/>
      <c r="T2918" s="611"/>
    </row>
    <row r="2919" spans="1:20" s="88" customFormat="1" ht="12.75" hidden="1" x14ac:dyDescent="0.2">
      <c r="A2919" s="432" t="str">
        <f>IF(B2919="","",COUNT('Diário 1º PA'!$A$4:$A$2635)+ROW()-3)</f>
        <v/>
      </c>
      <c r="B2919" s="413"/>
      <c r="C2919" s="626"/>
      <c r="D2919" s="419"/>
      <c r="E2919" s="419"/>
      <c r="F2919" s="422"/>
      <c r="G2919" s="423"/>
      <c r="H2919" s="419"/>
      <c r="I2919" s="427"/>
      <c r="J2919" s="419"/>
      <c r="K2919" s="419"/>
      <c r="L2919" s="415"/>
      <c r="M2919" s="419"/>
      <c r="N2919" s="419"/>
      <c r="O2919" s="414"/>
      <c r="P2919" s="603">
        <f t="shared" si="382"/>
        <v>0</v>
      </c>
      <c r="Q2919" s="603">
        <f t="shared" si="383"/>
        <v>0</v>
      </c>
      <c r="R2919" s="610" t="str">
        <f t="shared" si="381"/>
        <v/>
      </c>
      <c r="S2919" s="611"/>
      <c r="T2919" s="611"/>
    </row>
    <row r="2920" spans="1:20" s="88" customFormat="1" ht="12.75" hidden="1" x14ac:dyDescent="0.2">
      <c r="A2920" s="432" t="str">
        <f>IF(B2920="","",COUNT('Diário 1º PA'!$A$4:$A$2635)+ROW()-3)</f>
        <v/>
      </c>
      <c r="B2920" s="413"/>
      <c r="C2920" s="626"/>
      <c r="D2920" s="419"/>
      <c r="E2920" s="419"/>
      <c r="F2920" s="422"/>
      <c r="G2920" s="423"/>
      <c r="H2920" s="419"/>
      <c r="I2920" s="427"/>
      <c r="J2920" s="419"/>
      <c r="K2920" s="419"/>
      <c r="L2920" s="415"/>
      <c r="M2920" s="419"/>
      <c r="N2920" s="419"/>
      <c r="O2920" s="414"/>
      <c r="P2920" s="603">
        <f t="shared" si="382"/>
        <v>0</v>
      </c>
      <c r="Q2920" s="603">
        <f t="shared" si="383"/>
        <v>0</v>
      </c>
      <c r="R2920" s="610" t="str">
        <f t="shared" si="381"/>
        <v/>
      </c>
      <c r="S2920" s="611"/>
      <c r="T2920" s="611"/>
    </row>
    <row r="2921" spans="1:20" s="88" customFormat="1" ht="12.75" hidden="1" x14ac:dyDescent="0.2">
      <c r="A2921" s="432" t="str">
        <f>IF(B2921="","",COUNT('Diário 1º PA'!$A$4:$A$2635)+ROW()-3)</f>
        <v/>
      </c>
      <c r="B2921" s="413"/>
      <c r="C2921" s="626"/>
      <c r="D2921" s="419"/>
      <c r="E2921" s="419"/>
      <c r="F2921" s="422"/>
      <c r="G2921" s="423"/>
      <c r="H2921" s="419"/>
      <c r="I2921" s="427"/>
      <c r="J2921" s="419"/>
      <c r="K2921" s="419"/>
      <c r="L2921" s="415"/>
      <c r="M2921" s="419"/>
      <c r="N2921" s="419"/>
      <c r="O2921" s="414"/>
      <c r="P2921" s="603">
        <f t="shared" si="382"/>
        <v>0</v>
      </c>
      <c r="Q2921" s="603">
        <f t="shared" si="383"/>
        <v>0</v>
      </c>
      <c r="R2921" s="610" t="str">
        <f t="shared" si="381"/>
        <v/>
      </c>
      <c r="S2921" s="611"/>
      <c r="T2921" s="611"/>
    </row>
    <row r="2922" spans="1:20" s="88" customFormat="1" ht="12.75" hidden="1" x14ac:dyDescent="0.2">
      <c r="A2922" s="432" t="str">
        <f>IF(B2922="","",COUNT('Diário 1º PA'!$A$4:$A$2635)+ROW()-3)</f>
        <v/>
      </c>
      <c r="B2922" s="413"/>
      <c r="C2922" s="626"/>
      <c r="D2922" s="419"/>
      <c r="E2922" s="419"/>
      <c r="F2922" s="422"/>
      <c r="G2922" s="423"/>
      <c r="H2922" s="419"/>
      <c r="I2922" s="427"/>
      <c r="J2922" s="419"/>
      <c r="K2922" s="419"/>
      <c r="L2922" s="415"/>
      <c r="M2922" s="419"/>
      <c r="N2922" s="419"/>
      <c r="O2922" s="414"/>
      <c r="P2922" s="603">
        <f t="shared" si="382"/>
        <v>0</v>
      </c>
      <c r="Q2922" s="603">
        <f t="shared" si="383"/>
        <v>0</v>
      </c>
      <c r="R2922" s="610" t="str">
        <f t="shared" si="381"/>
        <v/>
      </c>
      <c r="S2922" s="611"/>
      <c r="T2922" s="611"/>
    </row>
    <row r="2923" spans="1:20" s="88" customFormat="1" ht="12.75" hidden="1" x14ac:dyDescent="0.2">
      <c r="A2923" s="432" t="str">
        <f>IF(B2923="","",COUNT('Diário 1º PA'!$A$4:$A$2635)+ROW()-3)</f>
        <v/>
      </c>
      <c r="B2923" s="413"/>
      <c r="C2923" s="626"/>
      <c r="D2923" s="419"/>
      <c r="E2923" s="419"/>
      <c r="F2923" s="422"/>
      <c r="G2923" s="423"/>
      <c r="H2923" s="419"/>
      <c r="I2923" s="427"/>
      <c r="J2923" s="419"/>
      <c r="K2923" s="419"/>
      <c r="L2923" s="415"/>
      <c r="M2923" s="419"/>
      <c r="N2923" s="419"/>
      <c r="O2923" s="414"/>
      <c r="P2923" s="603">
        <f t="shared" si="382"/>
        <v>0</v>
      </c>
      <c r="Q2923" s="603">
        <f t="shared" si="383"/>
        <v>0</v>
      </c>
      <c r="R2923" s="610" t="str">
        <f t="shared" si="381"/>
        <v/>
      </c>
      <c r="S2923" s="611"/>
      <c r="T2923" s="611"/>
    </row>
    <row r="2924" spans="1:20" s="88" customFormat="1" ht="12.75" hidden="1" x14ac:dyDescent="0.2">
      <c r="A2924" s="432" t="str">
        <f>IF(B2924="","",COUNT('Diário 1º PA'!$A$4:$A$2635)+ROW()-3)</f>
        <v/>
      </c>
      <c r="B2924" s="413"/>
      <c r="C2924" s="626"/>
      <c r="D2924" s="419"/>
      <c r="E2924" s="419"/>
      <c r="F2924" s="422"/>
      <c r="G2924" s="423"/>
      <c r="H2924" s="419"/>
      <c r="I2924" s="427"/>
      <c r="J2924" s="419"/>
      <c r="K2924" s="419"/>
      <c r="L2924" s="415"/>
      <c r="M2924" s="419"/>
      <c r="N2924" s="419"/>
      <c r="O2924" s="414"/>
      <c r="P2924" s="603">
        <f t="shared" si="382"/>
        <v>0</v>
      </c>
      <c r="Q2924" s="603">
        <f t="shared" si="383"/>
        <v>0</v>
      </c>
      <c r="R2924" s="610" t="str">
        <f t="shared" si="381"/>
        <v/>
      </c>
      <c r="S2924" s="611"/>
      <c r="T2924" s="611"/>
    </row>
    <row r="2925" spans="1:20" s="88" customFormat="1" ht="12.75" hidden="1" x14ac:dyDescent="0.2">
      <c r="A2925" s="432" t="str">
        <f>IF(B2925="","",COUNT('Diário 1º PA'!$A$4:$A$2635)+ROW()-3)</f>
        <v/>
      </c>
      <c r="B2925" s="413"/>
      <c r="C2925" s="626"/>
      <c r="D2925" s="419"/>
      <c r="E2925" s="419"/>
      <c r="F2925" s="422"/>
      <c r="G2925" s="423"/>
      <c r="H2925" s="419"/>
      <c r="I2925" s="427"/>
      <c r="J2925" s="419"/>
      <c r="K2925" s="419"/>
      <c r="L2925" s="415"/>
      <c r="M2925" s="419"/>
      <c r="N2925" s="419"/>
      <c r="O2925" s="414"/>
      <c r="P2925" s="603">
        <f t="shared" si="382"/>
        <v>0</v>
      </c>
      <c r="Q2925" s="603">
        <f t="shared" si="383"/>
        <v>0</v>
      </c>
      <c r="R2925" s="610" t="str">
        <f t="shared" ref="R2925:R2943" si="384">SUBSTITUTE(D2925," ","_")</f>
        <v/>
      </c>
      <c r="S2925" s="611"/>
      <c r="T2925" s="611"/>
    </row>
    <row r="2926" spans="1:20" s="88" customFormat="1" ht="12.75" hidden="1" x14ac:dyDescent="0.2">
      <c r="A2926" s="432" t="str">
        <f>IF(B2926="","",COUNT('Diário 1º PA'!$A$4:$A$2635)+ROW()-3)</f>
        <v/>
      </c>
      <c r="B2926" s="413"/>
      <c r="C2926" s="626"/>
      <c r="D2926" s="419"/>
      <c r="E2926" s="419"/>
      <c r="F2926" s="422"/>
      <c r="G2926" s="423"/>
      <c r="H2926" s="419"/>
      <c r="I2926" s="427"/>
      <c r="J2926" s="419"/>
      <c r="K2926" s="419"/>
      <c r="L2926" s="415"/>
      <c r="M2926" s="419"/>
      <c r="N2926" s="419"/>
      <c r="O2926" s="414"/>
      <c r="P2926" s="603">
        <f t="shared" ref="P2926:P2943" si="385">IF(B2926=0,0,IF(YEAR(B2926)=$Q$1,MONTH(B2926)-$P$1+1,(YEAR(B2926)-$Q$1)*12-$P$1+1+MONTH(B2926)))</f>
        <v>0</v>
      </c>
      <c r="Q2926" s="603">
        <f t="shared" ref="Q2926:Q2943" si="386">IF(C2926=0,0,IF(YEAR(C2926)=$Q$1,MONTH(C2926)-$P$1+1,(YEAR(C2926)-$Q$1)*12-$P$1+1+MONTH(C2926)))</f>
        <v>0</v>
      </c>
      <c r="R2926" s="610" t="str">
        <f t="shared" si="384"/>
        <v/>
      </c>
      <c r="S2926" s="611"/>
      <c r="T2926" s="611"/>
    </row>
    <row r="2927" spans="1:20" s="88" customFormat="1" ht="12.75" hidden="1" x14ac:dyDescent="0.2">
      <c r="A2927" s="432" t="str">
        <f>IF(B2927="","",COUNT('Diário 1º PA'!$A$4:$A$2635)+ROW()-3)</f>
        <v/>
      </c>
      <c r="B2927" s="413"/>
      <c r="C2927" s="626"/>
      <c r="D2927" s="419"/>
      <c r="E2927" s="419"/>
      <c r="F2927" s="422"/>
      <c r="G2927" s="423"/>
      <c r="H2927" s="419"/>
      <c r="I2927" s="427"/>
      <c r="J2927" s="419"/>
      <c r="K2927" s="419"/>
      <c r="L2927" s="415"/>
      <c r="M2927" s="419"/>
      <c r="N2927" s="419"/>
      <c r="O2927" s="414"/>
      <c r="P2927" s="603">
        <f t="shared" si="385"/>
        <v>0</v>
      </c>
      <c r="Q2927" s="603">
        <f t="shared" si="386"/>
        <v>0</v>
      </c>
      <c r="R2927" s="610" t="str">
        <f t="shared" si="384"/>
        <v/>
      </c>
      <c r="S2927" s="611"/>
      <c r="T2927" s="611"/>
    </row>
    <row r="2928" spans="1:20" s="88" customFormat="1" ht="12.75" hidden="1" x14ac:dyDescent="0.2">
      <c r="A2928" s="432" t="str">
        <f>IF(B2928="","",COUNT('Diário 1º PA'!$A$4:$A$2635)+ROW()-3)</f>
        <v/>
      </c>
      <c r="B2928" s="413"/>
      <c r="C2928" s="626"/>
      <c r="D2928" s="419"/>
      <c r="E2928" s="419"/>
      <c r="F2928" s="422"/>
      <c r="G2928" s="423"/>
      <c r="H2928" s="419"/>
      <c r="I2928" s="427"/>
      <c r="J2928" s="419"/>
      <c r="K2928" s="419"/>
      <c r="L2928" s="415"/>
      <c r="M2928" s="419"/>
      <c r="N2928" s="419"/>
      <c r="O2928" s="414"/>
      <c r="P2928" s="603">
        <f t="shared" si="385"/>
        <v>0</v>
      </c>
      <c r="Q2928" s="603">
        <f t="shared" si="386"/>
        <v>0</v>
      </c>
      <c r="R2928" s="610" t="str">
        <f t="shared" si="384"/>
        <v/>
      </c>
      <c r="S2928" s="611"/>
      <c r="T2928" s="611"/>
    </row>
    <row r="2929" spans="1:20" s="88" customFormat="1" ht="12.75" hidden="1" x14ac:dyDescent="0.2">
      <c r="A2929" s="432" t="str">
        <f>IF(B2929="","",COUNT('Diário 1º PA'!$A$4:$A$2635)+ROW()-3)</f>
        <v/>
      </c>
      <c r="B2929" s="413"/>
      <c r="C2929" s="626"/>
      <c r="D2929" s="419"/>
      <c r="E2929" s="419"/>
      <c r="F2929" s="422"/>
      <c r="G2929" s="423"/>
      <c r="H2929" s="419"/>
      <c r="I2929" s="427"/>
      <c r="J2929" s="419"/>
      <c r="K2929" s="419"/>
      <c r="L2929" s="415"/>
      <c r="M2929" s="419"/>
      <c r="N2929" s="419"/>
      <c r="O2929" s="414"/>
      <c r="P2929" s="603">
        <f t="shared" si="385"/>
        <v>0</v>
      </c>
      <c r="Q2929" s="603">
        <f t="shared" si="386"/>
        <v>0</v>
      </c>
      <c r="R2929" s="610" t="str">
        <f t="shared" si="384"/>
        <v/>
      </c>
      <c r="S2929" s="611"/>
      <c r="T2929" s="611"/>
    </row>
    <row r="2930" spans="1:20" s="88" customFormat="1" ht="12.75" hidden="1" x14ac:dyDescent="0.2">
      <c r="A2930" s="432" t="str">
        <f>IF(B2930="","",COUNT('Diário 1º PA'!$A$4:$A$2635)+ROW()-3)</f>
        <v/>
      </c>
      <c r="B2930" s="413"/>
      <c r="C2930" s="626"/>
      <c r="D2930" s="419"/>
      <c r="E2930" s="419"/>
      <c r="F2930" s="422"/>
      <c r="G2930" s="423"/>
      <c r="H2930" s="419"/>
      <c r="I2930" s="427"/>
      <c r="J2930" s="419"/>
      <c r="K2930" s="419"/>
      <c r="L2930" s="415"/>
      <c r="M2930" s="419"/>
      <c r="N2930" s="419"/>
      <c r="O2930" s="414"/>
      <c r="P2930" s="603">
        <f t="shared" si="385"/>
        <v>0</v>
      </c>
      <c r="Q2930" s="603">
        <f t="shared" si="386"/>
        <v>0</v>
      </c>
      <c r="R2930" s="610" t="str">
        <f t="shared" si="384"/>
        <v/>
      </c>
      <c r="S2930" s="611"/>
      <c r="T2930" s="611"/>
    </row>
    <row r="2931" spans="1:20" s="88" customFormat="1" ht="12.75" hidden="1" x14ac:dyDescent="0.2">
      <c r="A2931" s="432" t="str">
        <f>IF(B2931="","",COUNT('Diário 1º PA'!$A$4:$A$2635)+ROW()-3)</f>
        <v/>
      </c>
      <c r="B2931" s="413"/>
      <c r="C2931" s="626"/>
      <c r="D2931" s="419"/>
      <c r="E2931" s="419"/>
      <c r="F2931" s="422"/>
      <c r="G2931" s="423"/>
      <c r="H2931" s="419"/>
      <c r="I2931" s="427"/>
      <c r="J2931" s="419"/>
      <c r="K2931" s="419"/>
      <c r="L2931" s="415"/>
      <c r="M2931" s="419"/>
      <c r="N2931" s="419"/>
      <c r="O2931" s="414"/>
      <c r="P2931" s="603">
        <f t="shared" si="385"/>
        <v>0</v>
      </c>
      <c r="Q2931" s="603">
        <f t="shared" si="386"/>
        <v>0</v>
      </c>
      <c r="R2931" s="610" t="str">
        <f t="shared" si="384"/>
        <v/>
      </c>
      <c r="S2931" s="611"/>
      <c r="T2931" s="611"/>
    </row>
    <row r="2932" spans="1:20" s="88" customFormat="1" ht="12.75" hidden="1" x14ac:dyDescent="0.2">
      <c r="A2932" s="432" t="str">
        <f>IF(B2932="","",COUNT('Diário 1º PA'!$A$4:$A$2635)+ROW()-3)</f>
        <v/>
      </c>
      <c r="B2932" s="413"/>
      <c r="C2932" s="626"/>
      <c r="D2932" s="419"/>
      <c r="E2932" s="419"/>
      <c r="F2932" s="422"/>
      <c r="G2932" s="423"/>
      <c r="H2932" s="419"/>
      <c r="I2932" s="427"/>
      <c r="J2932" s="419"/>
      <c r="K2932" s="419"/>
      <c r="L2932" s="415"/>
      <c r="M2932" s="419"/>
      <c r="N2932" s="419"/>
      <c r="O2932" s="414"/>
      <c r="P2932" s="603">
        <f t="shared" si="385"/>
        <v>0</v>
      </c>
      <c r="Q2932" s="603">
        <f t="shared" si="386"/>
        <v>0</v>
      </c>
      <c r="R2932" s="610" t="str">
        <f t="shared" si="384"/>
        <v/>
      </c>
      <c r="S2932" s="611"/>
      <c r="T2932" s="611"/>
    </row>
    <row r="2933" spans="1:20" s="88" customFormat="1" ht="12.75" hidden="1" x14ac:dyDescent="0.2">
      <c r="A2933" s="432" t="str">
        <f>IF(B2933="","",COUNT('Diário 1º PA'!$A$4:$A$2635)+ROW()-3)</f>
        <v/>
      </c>
      <c r="B2933" s="413"/>
      <c r="C2933" s="626"/>
      <c r="D2933" s="419"/>
      <c r="E2933" s="419"/>
      <c r="F2933" s="422"/>
      <c r="G2933" s="423"/>
      <c r="H2933" s="419"/>
      <c r="I2933" s="427"/>
      <c r="J2933" s="419"/>
      <c r="K2933" s="419"/>
      <c r="L2933" s="415"/>
      <c r="M2933" s="419"/>
      <c r="N2933" s="419"/>
      <c r="O2933" s="414"/>
      <c r="P2933" s="603">
        <f t="shared" si="385"/>
        <v>0</v>
      </c>
      <c r="Q2933" s="603">
        <f t="shared" si="386"/>
        <v>0</v>
      </c>
      <c r="R2933" s="610" t="str">
        <f t="shared" si="384"/>
        <v/>
      </c>
      <c r="S2933" s="611"/>
      <c r="T2933" s="611"/>
    </row>
    <row r="2934" spans="1:20" s="88" customFormat="1" ht="12.75" hidden="1" x14ac:dyDescent="0.2">
      <c r="A2934" s="432" t="str">
        <f>IF(B2934="","",COUNT('Diário 1º PA'!$A$4:$A$2635)+ROW()-3)</f>
        <v/>
      </c>
      <c r="B2934" s="413"/>
      <c r="C2934" s="626"/>
      <c r="D2934" s="419"/>
      <c r="E2934" s="419"/>
      <c r="F2934" s="422"/>
      <c r="G2934" s="423"/>
      <c r="H2934" s="419"/>
      <c r="I2934" s="427"/>
      <c r="J2934" s="419"/>
      <c r="K2934" s="419"/>
      <c r="L2934" s="415"/>
      <c r="M2934" s="419"/>
      <c r="N2934" s="419"/>
      <c r="O2934" s="414"/>
      <c r="P2934" s="603">
        <f t="shared" si="385"/>
        <v>0</v>
      </c>
      <c r="Q2934" s="603">
        <f t="shared" si="386"/>
        <v>0</v>
      </c>
      <c r="R2934" s="610" t="str">
        <f t="shared" si="384"/>
        <v/>
      </c>
      <c r="S2934" s="611"/>
      <c r="T2934" s="611"/>
    </row>
    <row r="2935" spans="1:20" s="88" customFormat="1" ht="12.75" hidden="1" x14ac:dyDescent="0.2">
      <c r="A2935" s="432" t="str">
        <f>IF(B2935="","",COUNT('Diário 1º PA'!$A$4:$A$2635)+ROW()-3)</f>
        <v/>
      </c>
      <c r="B2935" s="413"/>
      <c r="C2935" s="626"/>
      <c r="D2935" s="419"/>
      <c r="E2935" s="419"/>
      <c r="F2935" s="422"/>
      <c r="G2935" s="423"/>
      <c r="H2935" s="419"/>
      <c r="I2935" s="427"/>
      <c r="J2935" s="419"/>
      <c r="K2935" s="419"/>
      <c r="L2935" s="415"/>
      <c r="M2935" s="419"/>
      <c r="N2935" s="419"/>
      <c r="O2935" s="414"/>
      <c r="P2935" s="603">
        <f t="shared" si="385"/>
        <v>0</v>
      </c>
      <c r="Q2935" s="603">
        <f t="shared" si="386"/>
        <v>0</v>
      </c>
      <c r="R2935" s="610" t="str">
        <f t="shared" si="384"/>
        <v/>
      </c>
      <c r="S2935" s="611"/>
      <c r="T2935" s="611"/>
    </row>
    <row r="2936" spans="1:20" s="88" customFormat="1" ht="12.75" hidden="1" x14ac:dyDescent="0.2">
      <c r="A2936" s="432" t="str">
        <f>IF(B2936="","",COUNT('Diário 1º PA'!$A$4:$A$2635)+ROW()-3)</f>
        <v/>
      </c>
      <c r="B2936" s="413"/>
      <c r="C2936" s="626"/>
      <c r="D2936" s="419"/>
      <c r="E2936" s="419"/>
      <c r="F2936" s="422"/>
      <c r="G2936" s="423"/>
      <c r="H2936" s="419"/>
      <c r="I2936" s="427"/>
      <c r="J2936" s="419"/>
      <c r="K2936" s="419"/>
      <c r="L2936" s="415"/>
      <c r="M2936" s="419"/>
      <c r="N2936" s="419"/>
      <c r="O2936" s="414"/>
      <c r="P2936" s="603">
        <f t="shared" si="385"/>
        <v>0</v>
      </c>
      <c r="Q2936" s="603">
        <f t="shared" si="386"/>
        <v>0</v>
      </c>
      <c r="R2936" s="610" t="str">
        <f t="shared" si="384"/>
        <v/>
      </c>
      <c r="S2936" s="611"/>
      <c r="T2936" s="611"/>
    </row>
    <row r="2937" spans="1:20" s="88" customFormat="1" ht="12.75" hidden="1" x14ac:dyDescent="0.2">
      <c r="A2937" s="432" t="str">
        <f>IF(B2937="","",COUNT('Diário 1º PA'!$A$4:$A$2635)+ROW()-3)</f>
        <v/>
      </c>
      <c r="B2937" s="413"/>
      <c r="C2937" s="626"/>
      <c r="D2937" s="419"/>
      <c r="E2937" s="419"/>
      <c r="F2937" s="422"/>
      <c r="G2937" s="423"/>
      <c r="H2937" s="419"/>
      <c r="I2937" s="427"/>
      <c r="J2937" s="419"/>
      <c r="K2937" s="419"/>
      <c r="L2937" s="415"/>
      <c r="M2937" s="419"/>
      <c r="N2937" s="419"/>
      <c r="O2937" s="414"/>
      <c r="P2937" s="603">
        <f t="shared" si="385"/>
        <v>0</v>
      </c>
      <c r="Q2937" s="603">
        <f t="shared" si="386"/>
        <v>0</v>
      </c>
      <c r="R2937" s="610" t="str">
        <f t="shared" si="384"/>
        <v/>
      </c>
      <c r="S2937" s="611"/>
      <c r="T2937" s="611"/>
    </row>
    <row r="2938" spans="1:20" s="88" customFormat="1" ht="12.75" hidden="1" x14ac:dyDescent="0.2">
      <c r="A2938" s="432" t="str">
        <f>IF(B2938="","",COUNT('Diário 1º PA'!$A$4:$A$2635)+ROW()-3)</f>
        <v/>
      </c>
      <c r="B2938" s="413"/>
      <c r="C2938" s="626"/>
      <c r="D2938" s="419"/>
      <c r="E2938" s="419"/>
      <c r="F2938" s="422"/>
      <c r="G2938" s="423"/>
      <c r="H2938" s="419"/>
      <c r="I2938" s="427"/>
      <c r="J2938" s="419"/>
      <c r="K2938" s="419"/>
      <c r="L2938" s="415"/>
      <c r="M2938" s="419"/>
      <c r="N2938" s="419"/>
      <c r="O2938" s="414"/>
      <c r="P2938" s="603">
        <f t="shared" si="385"/>
        <v>0</v>
      </c>
      <c r="Q2938" s="603">
        <f t="shared" si="386"/>
        <v>0</v>
      </c>
      <c r="R2938" s="610" t="str">
        <f t="shared" si="384"/>
        <v/>
      </c>
      <c r="S2938" s="611"/>
      <c r="T2938" s="611"/>
    </row>
    <row r="2939" spans="1:20" s="88" customFormat="1" ht="12.75" hidden="1" x14ac:dyDescent="0.2">
      <c r="A2939" s="432" t="str">
        <f>IF(B2939="","",COUNT('Diário 1º PA'!$A$4:$A$2635)+ROW()-3)</f>
        <v/>
      </c>
      <c r="B2939" s="413"/>
      <c r="C2939" s="626"/>
      <c r="D2939" s="419"/>
      <c r="E2939" s="419"/>
      <c r="F2939" s="422"/>
      <c r="G2939" s="423"/>
      <c r="H2939" s="419"/>
      <c r="I2939" s="427"/>
      <c r="J2939" s="419"/>
      <c r="K2939" s="419"/>
      <c r="L2939" s="415"/>
      <c r="M2939" s="419"/>
      <c r="N2939" s="419"/>
      <c r="O2939" s="414"/>
      <c r="P2939" s="603">
        <f t="shared" si="385"/>
        <v>0</v>
      </c>
      <c r="Q2939" s="603">
        <f t="shared" si="386"/>
        <v>0</v>
      </c>
      <c r="R2939" s="610" t="str">
        <f t="shared" si="384"/>
        <v/>
      </c>
      <c r="S2939" s="611"/>
      <c r="T2939" s="611"/>
    </row>
    <row r="2940" spans="1:20" s="88" customFormat="1" ht="12.75" hidden="1" x14ac:dyDescent="0.2">
      <c r="A2940" s="432" t="str">
        <f>IF(B2940="","",COUNT('Diário 1º PA'!$A$4:$A$2635)+ROW()-3)</f>
        <v/>
      </c>
      <c r="B2940" s="413"/>
      <c r="C2940" s="626"/>
      <c r="D2940" s="419"/>
      <c r="E2940" s="419"/>
      <c r="F2940" s="422"/>
      <c r="G2940" s="423"/>
      <c r="H2940" s="419"/>
      <c r="I2940" s="427"/>
      <c r="J2940" s="419"/>
      <c r="K2940" s="419"/>
      <c r="L2940" s="415"/>
      <c r="M2940" s="419"/>
      <c r="N2940" s="419"/>
      <c r="O2940" s="414"/>
      <c r="P2940" s="603">
        <f t="shared" si="385"/>
        <v>0</v>
      </c>
      <c r="Q2940" s="603">
        <f t="shared" si="386"/>
        <v>0</v>
      </c>
      <c r="R2940" s="610" t="str">
        <f t="shared" si="384"/>
        <v/>
      </c>
      <c r="S2940" s="611"/>
      <c r="T2940" s="611"/>
    </row>
    <row r="2941" spans="1:20" s="88" customFormat="1" ht="12.75" hidden="1" x14ac:dyDescent="0.2">
      <c r="A2941" s="432" t="str">
        <f>IF(B2941="","",COUNT('Diário 1º PA'!$A$4:$A$2635)+ROW()-3)</f>
        <v/>
      </c>
      <c r="B2941" s="413"/>
      <c r="C2941" s="626"/>
      <c r="D2941" s="419"/>
      <c r="E2941" s="419"/>
      <c r="F2941" s="422"/>
      <c r="G2941" s="423"/>
      <c r="H2941" s="419"/>
      <c r="I2941" s="427"/>
      <c r="J2941" s="419"/>
      <c r="K2941" s="419"/>
      <c r="L2941" s="415"/>
      <c r="M2941" s="419"/>
      <c r="N2941" s="419"/>
      <c r="O2941" s="414"/>
      <c r="P2941" s="603">
        <f t="shared" si="385"/>
        <v>0</v>
      </c>
      <c r="Q2941" s="603">
        <f t="shared" si="386"/>
        <v>0</v>
      </c>
      <c r="R2941" s="610" t="str">
        <f t="shared" si="384"/>
        <v/>
      </c>
      <c r="S2941" s="611"/>
      <c r="T2941" s="611"/>
    </row>
    <row r="2942" spans="1:20" s="88" customFormat="1" ht="12.75" hidden="1" x14ac:dyDescent="0.2">
      <c r="A2942" s="432" t="str">
        <f>IF(B2942="","",COUNT('Diário 1º PA'!$A$4:$A$2635)+ROW()-3)</f>
        <v/>
      </c>
      <c r="B2942" s="413"/>
      <c r="C2942" s="626"/>
      <c r="D2942" s="419"/>
      <c r="E2942" s="419"/>
      <c r="F2942" s="422"/>
      <c r="G2942" s="423"/>
      <c r="H2942" s="419"/>
      <c r="I2942" s="427"/>
      <c r="J2942" s="419"/>
      <c r="K2942" s="419"/>
      <c r="L2942" s="415"/>
      <c r="M2942" s="419"/>
      <c r="N2942" s="419"/>
      <c r="O2942" s="414"/>
      <c r="P2942" s="603">
        <f t="shared" si="385"/>
        <v>0</v>
      </c>
      <c r="Q2942" s="603">
        <f t="shared" si="386"/>
        <v>0</v>
      </c>
      <c r="R2942" s="610" t="str">
        <f t="shared" si="384"/>
        <v/>
      </c>
      <c r="S2942" s="611"/>
      <c r="T2942" s="611"/>
    </row>
    <row r="2943" spans="1:20" s="88" customFormat="1" ht="12.75" hidden="1" x14ac:dyDescent="0.2">
      <c r="A2943" s="432" t="str">
        <f>IF(B2943="","",COUNT('Diário 1º PA'!$A$4:$A$2635)+ROW()-3)</f>
        <v/>
      </c>
      <c r="B2943" s="413"/>
      <c r="C2943" s="626"/>
      <c r="D2943" s="419"/>
      <c r="E2943" s="419"/>
      <c r="F2943" s="422"/>
      <c r="G2943" s="423"/>
      <c r="H2943" s="419"/>
      <c r="I2943" s="427"/>
      <c r="J2943" s="419"/>
      <c r="K2943" s="419"/>
      <c r="L2943" s="415"/>
      <c r="M2943" s="419"/>
      <c r="N2943" s="419"/>
      <c r="O2943" s="414"/>
      <c r="P2943" s="603">
        <f t="shared" si="385"/>
        <v>0</v>
      </c>
      <c r="Q2943" s="603">
        <f t="shared" si="386"/>
        <v>0</v>
      </c>
      <c r="R2943" s="610" t="str">
        <f t="shared" si="384"/>
        <v/>
      </c>
      <c r="S2943" s="611"/>
      <c r="T2943" s="611"/>
    </row>
    <row r="2944" spans="1:20" s="88" customFormat="1" ht="12.75" hidden="1" x14ac:dyDescent="0.2">
      <c r="A2944" s="432" t="str">
        <f>IF(B2944="","",COUNT('Diário 1º PA'!$A$4:$A$2635)+ROW()-3)</f>
        <v/>
      </c>
      <c r="B2944" s="413"/>
      <c r="C2944" s="626"/>
      <c r="D2944" s="419"/>
      <c r="E2944" s="419"/>
      <c r="F2944" s="422"/>
      <c r="G2944" s="423"/>
      <c r="H2944" s="419"/>
      <c r="I2944" s="427"/>
      <c r="J2944" s="419"/>
      <c r="K2944" s="419"/>
      <c r="L2944" s="415"/>
      <c r="M2944" s="419"/>
      <c r="N2944" s="419"/>
      <c r="O2944" s="414"/>
      <c r="P2944" s="603">
        <f t="shared" ref="P2944:Q2986" si="387">IF(B2944=0,0,IF(YEAR(B2944)=$Q$1,MONTH(B2944)-$P$1+1,(YEAR(B2944)-$Q$1)*12-$P$1+1+MONTH(B2944)))</f>
        <v>0</v>
      </c>
      <c r="Q2944" s="603">
        <f t="shared" si="387"/>
        <v>0</v>
      </c>
      <c r="R2944" s="610" t="str">
        <f t="shared" ref="R2944:R2985" si="388">SUBSTITUTE(D2944," ","_")</f>
        <v/>
      </c>
      <c r="S2944" s="611"/>
      <c r="T2944" s="611"/>
    </row>
    <row r="2945" spans="1:20" s="88" customFormat="1" ht="12.75" hidden="1" x14ac:dyDescent="0.2">
      <c r="A2945" s="432" t="str">
        <f>IF(B2945="","",COUNT('Diário 1º PA'!$A$4:$A$2635)+ROW()-3)</f>
        <v/>
      </c>
      <c r="B2945" s="413"/>
      <c r="C2945" s="626"/>
      <c r="D2945" s="419"/>
      <c r="E2945" s="419"/>
      <c r="F2945" s="422"/>
      <c r="G2945" s="423"/>
      <c r="H2945" s="419"/>
      <c r="I2945" s="427"/>
      <c r="J2945" s="419"/>
      <c r="K2945" s="419"/>
      <c r="L2945" s="415"/>
      <c r="M2945" s="419"/>
      <c r="N2945" s="419"/>
      <c r="O2945" s="414"/>
      <c r="P2945" s="603">
        <f t="shared" si="387"/>
        <v>0</v>
      </c>
      <c r="Q2945" s="603">
        <f t="shared" si="387"/>
        <v>0</v>
      </c>
      <c r="R2945" s="610" t="str">
        <f t="shared" si="388"/>
        <v/>
      </c>
      <c r="S2945" s="611"/>
      <c r="T2945" s="611"/>
    </row>
    <row r="2946" spans="1:20" s="88" customFormat="1" ht="12.75" hidden="1" x14ac:dyDescent="0.2">
      <c r="A2946" s="432" t="str">
        <f>IF(B2946="","",COUNT('Diário 1º PA'!$A$4:$A$2635)+ROW()-3)</f>
        <v/>
      </c>
      <c r="B2946" s="413"/>
      <c r="C2946" s="626"/>
      <c r="D2946" s="419"/>
      <c r="E2946" s="419"/>
      <c r="F2946" s="422"/>
      <c r="G2946" s="423"/>
      <c r="H2946" s="419"/>
      <c r="I2946" s="427"/>
      <c r="J2946" s="419"/>
      <c r="K2946" s="419"/>
      <c r="L2946" s="415"/>
      <c r="M2946" s="419"/>
      <c r="N2946" s="419"/>
      <c r="O2946" s="414"/>
      <c r="P2946" s="603">
        <f t="shared" si="387"/>
        <v>0</v>
      </c>
      <c r="Q2946" s="603">
        <f t="shared" si="387"/>
        <v>0</v>
      </c>
      <c r="R2946" s="610" t="str">
        <f t="shared" si="388"/>
        <v/>
      </c>
      <c r="S2946" s="611"/>
      <c r="T2946" s="611"/>
    </row>
    <row r="2947" spans="1:20" s="88" customFormat="1" ht="12.75" hidden="1" x14ac:dyDescent="0.2">
      <c r="A2947" s="432" t="str">
        <f>IF(B2947="","",COUNT('Diário 1º PA'!$A$4:$A$2635)+ROW()-3)</f>
        <v/>
      </c>
      <c r="B2947" s="413"/>
      <c r="C2947" s="626"/>
      <c r="D2947" s="419"/>
      <c r="E2947" s="419"/>
      <c r="F2947" s="422"/>
      <c r="G2947" s="423"/>
      <c r="H2947" s="419"/>
      <c r="I2947" s="427"/>
      <c r="J2947" s="419"/>
      <c r="K2947" s="419"/>
      <c r="L2947" s="415"/>
      <c r="M2947" s="419"/>
      <c r="N2947" s="419"/>
      <c r="O2947" s="414"/>
      <c r="P2947" s="603">
        <f t="shared" si="387"/>
        <v>0</v>
      </c>
      <c r="Q2947" s="603">
        <f t="shared" si="387"/>
        <v>0</v>
      </c>
      <c r="R2947" s="610" t="str">
        <f t="shared" si="388"/>
        <v/>
      </c>
      <c r="S2947" s="611"/>
      <c r="T2947" s="611"/>
    </row>
    <row r="2948" spans="1:20" s="88" customFormat="1" ht="12.75" hidden="1" x14ac:dyDescent="0.2">
      <c r="A2948" s="432" t="str">
        <f>IF(B2948="","",COUNT('Diário 1º PA'!$A$4:$A$2635)+ROW()-3)</f>
        <v/>
      </c>
      <c r="B2948" s="413"/>
      <c r="C2948" s="626"/>
      <c r="D2948" s="419"/>
      <c r="E2948" s="419"/>
      <c r="F2948" s="422"/>
      <c r="G2948" s="423"/>
      <c r="H2948" s="419"/>
      <c r="I2948" s="427"/>
      <c r="J2948" s="419"/>
      <c r="K2948" s="419"/>
      <c r="L2948" s="415"/>
      <c r="M2948" s="419"/>
      <c r="N2948" s="419"/>
      <c r="O2948" s="414"/>
      <c r="P2948" s="603">
        <f t="shared" si="387"/>
        <v>0</v>
      </c>
      <c r="Q2948" s="603">
        <f t="shared" si="387"/>
        <v>0</v>
      </c>
      <c r="R2948" s="610" t="str">
        <f t="shared" si="388"/>
        <v/>
      </c>
      <c r="S2948" s="611"/>
      <c r="T2948" s="611"/>
    </row>
    <row r="2949" spans="1:20" s="88" customFormat="1" ht="12.75" hidden="1" x14ac:dyDescent="0.2">
      <c r="A2949" s="432" t="str">
        <f>IF(B2949="","",COUNT('Diário 1º PA'!$A$4:$A$2635)+ROW()-3)</f>
        <v/>
      </c>
      <c r="B2949" s="413"/>
      <c r="C2949" s="626"/>
      <c r="D2949" s="419"/>
      <c r="E2949" s="419"/>
      <c r="F2949" s="422"/>
      <c r="G2949" s="423"/>
      <c r="H2949" s="419"/>
      <c r="I2949" s="427"/>
      <c r="J2949" s="419"/>
      <c r="K2949" s="419"/>
      <c r="L2949" s="415"/>
      <c r="M2949" s="419"/>
      <c r="N2949" s="419"/>
      <c r="O2949" s="414"/>
      <c r="P2949" s="603">
        <f t="shared" si="387"/>
        <v>0</v>
      </c>
      <c r="Q2949" s="603">
        <f t="shared" si="387"/>
        <v>0</v>
      </c>
      <c r="R2949" s="610" t="str">
        <f t="shared" si="388"/>
        <v/>
      </c>
      <c r="S2949" s="611"/>
      <c r="T2949" s="611"/>
    </row>
    <row r="2950" spans="1:20" s="88" customFormat="1" ht="12.75" hidden="1" x14ac:dyDescent="0.2">
      <c r="A2950" s="432" t="str">
        <f>IF(B2950="","",COUNT('Diário 1º PA'!$A$4:$A$2635)+ROW()-3)</f>
        <v/>
      </c>
      <c r="B2950" s="413"/>
      <c r="C2950" s="626"/>
      <c r="D2950" s="419"/>
      <c r="E2950" s="419"/>
      <c r="F2950" s="422"/>
      <c r="G2950" s="423"/>
      <c r="H2950" s="419"/>
      <c r="I2950" s="427"/>
      <c r="J2950" s="419"/>
      <c r="K2950" s="419"/>
      <c r="L2950" s="415"/>
      <c r="M2950" s="419"/>
      <c r="N2950" s="419"/>
      <c r="O2950" s="414"/>
      <c r="P2950" s="603">
        <f t="shared" si="387"/>
        <v>0</v>
      </c>
      <c r="Q2950" s="603">
        <f t="shared" si="387"/>
        <v>0</v>
      </c>
      <c r="R2950" s="610" t="str">
        <f t="shared" si="388"/>
        <v/>
      </c>
      <c r="S2950" s="611"/>
      <c r="T2950" s="611"/>
    </row>
    <row r="2951" spans="1:20" s="88" customFormat="1" ht="12.75" hidden="1" x14ac:dyDescent="0.2">
      <c r="A2951" s="432" t="str">
        <f>IF(B2951="","",COUNT('Diário 1º PA'!$A$4:$A$2635)+ROW()-3)</f>
        <v/>
      </c>
      <c r="B2951" s="413"/>
      <c r="C2951" s="626"/>
      <c r="D2951" s="419"/>
      <c r="E2951" s="419"/>
      <c r="F2951" s="422"/>
      <c r="G2951" s="423"/>
      <c r="H2951" s="419"/>
      <c r="I2951" s="427"/>
      <c r="J2951" s="419"/>
      <c r="K2951" s="419"/>
      <c r="L2951" s="415"/>
      <c r="M2951" s="419"/>
      <c r="N2951" s="419"/>
      <c r="O2951" s="414"/>
      <c r="P2951" s="603">
        <f t="shared" si="387"/>
        <v>0</v>
      </c>
      <c r="Q2951" s="603">
        <f t="shared" si="387"/>
        <v>0</v>
      </c>
      <c r="R2951" s="610" t="str">
        <f t="shared" si="388"/>
        <v/>
      </c>
      <c r="S2951" s="611"/>
      <c r="T2951" s="611"/>
    </row>
    <row r="2952" spans="1:20" s="88" customFormat="1" ht="12.75" hidden="1" x14ac:dyDescent="0.2">
      <c r="A2952" s="432" t="str">
        <f>IF(B2952="","",COUNT('Diário 1º PA'!$A$4:$A$2635)+ROW()-3)</f>
        <v/>
      </c>
      <c r="B2952" s="413"/>
      <c r="C2952" s="626"/>
      <c r="D2952" s="419"/>
      <c r="E2952" s="419"/>
      <c r="F2952" s="422"/>
      <c r="G2952" s="423"/>
      <c r="H2952" s="419"/>
      <c r="I2952" s="427"/>
      <c r="J2952" s="419"/>
      <c r="K2952" s="419"/>
      <c r="L2952" s="415"/>
      <c r="M2952" s="419"/>
      <c r="N2952" s="419"/>
      <c r="O2952" s="414"/>
      <c r="P2952" s="603">
        <f t="shared" si="387"/>
        <v>0</v>
      </c>
      <c r="Q2952" s="603">
        <f t="shared" si="387"/>
        <v>0</v>
      </c>
      <c r="R2952" s="610" t="str">
        <f t="shared" si="388"/>
        <v/>
      </c>
      <c r="S2952" s="611"/>
      <c r="T2952" s="611"/>
    </row>
    <row r="2953" spans="1:20" s="88" customFormat="1" ht="12.75" hidden="1" x14ac:dyDescent="0.2">
      <c r="A2953" s="432" t="str">
        <f>IF(B2953="","",COUNT('Diário 1º PA'!$A$4:$A$2635)+ROW()-3)</f>
        <v/>
      </c>
      <c r="B2953" s="413"/>
      <c r="C2953" s="626"/>
      <c r="D2953" s="419"/>
      <c r="E2953" s="419"/>
      <c r="F2953" s="422"/>
      <c r="G2953" s="423"/>
      <c r="H2953" s="419"/>
      <c r="I2953" s="427"/>
      <c r="J2953" s="419"/>
      <c r="K2953" s="419"/>
      <c r="L2953" s="415"/>
      <c r="M2953" s="419"/>
      <c r="N2953" s="419"/>
      <c r="O2953" s="414"/>
      <c r="P2953" s="603">
        <f t="shared" si="387"/>
        <v>0</v>
      </c>
      <c r="Q2953" s="603">
        <f t="shared" si="387"/>
        <v>0</v>
      </c>
      <c r="R2953" s="610" t="str">
        <f t="shared" si="388"/>
        <v/>
      </c>
      <c r="S2953" s="611"/>
      <c r="T2953" s="611"/>
    </row>
    <row r="2954" spans="1:20" s="88" customFormat="1" ht="12.75" hidden="1" x14ac:dyDescent="0.2">
      <c r="A2954" s="432" t="str">
        <f>IF(B2954="","",COUNT('Diário 1º PA'!$A$4:$A$2635)+ROW()-3)</f>
        <v/>
      </c>
      <c r="B2954" s="413"/>
      <c r="C2954" s="626"/>
      <c r="D2954" s="419"/>
      <c r="E2954" s="419"/>
      <c r="F2954" s="422"/>
      <c r="G2954" s="423"/>
      <c r="H2954" s="419"/>
      <c r="I2954" s="427"/>
      <c r="J2954" s="419"/>
      <c r="K2954" s="419"/>
      <c r="L2954" s="415"/>
      <c r="M2954" s="419"/>
      <c r="N2954" s="419"/>
      <c r="O2954" s="414"/>
      <c r="P2954" s="603">
        <f t="shared" si="387"/>
        <v>0</v>
      </c>
      <c r="Q2954" s="603">
        <f t="shared" si="387"/>
        <v>0</v>
      </c>
      <c r="R2954" s="610" t="str">
        <f t="shared" si="388"/>
        <v/>
      </c>
      <c r="S2954" s="611"/>
      <c r="T2954" s="611"/>
    </row>
    <row r="2955" spans="1:20" s="88" customFormat="1" ht="12.75" hidden="1" x14ac:dyDescent="0.2">
      <c r="A2955" s="432" t="str">
        <f>IF(B2955="","",COUNT('Diário 1º PA'!$A$4:$A$2635)+ROW()-3)</f>
        <v/>
      </c>
      <c r="B2955" s="413"/>
      <c r="C2955" s="626"/>
      <c r="D2955" s="419"/>
      <c r="E2955" s="419"/>
      <c r="F2955" s="422"/>
      <c r="G2955" s="423"/>
      <c r="H2955" s="419"/>
      <c r="I2955" s="427"/>
      <c r="J2955" s="419"/>
      <c r="K2955" s="419"/>
      <c r="L2955" s="415"/>
      <c r="M2955" s="419"/>
      <c r="N2955" s="419"/>
      <c r="O2955" s="414"/>
      <c r="P2955" s="603">
        <f t="shared" si="387"/>
        <v>0</v>
      </c>
      <c r="Q2955" s="603">
        <f t="shared" si="387"/>
        <v>0</v>
      </c>
      <c r="R2955" s="610" t="str">
        <f t="shared" si="388"/>
        <v/>
      </c>
      <c r="S2955" s="611"/>
      <c r="T2955" s="611"/>
    </row>
    <row r="2956" spans="1:20" s="88" customFormat="1" ht="12.75" hidden="1" x14ac:dyDescent="0.2">
      <c r="A2956" s="432" t="str">
        <f>IF(B2956="","",COUNT('Diário 1º PA'!$A$4:$A$2635)+ROW()-3)</f>
        <v/>
      </c>
      <c r="B2956" s="413"/>
      <c r="C2956" s="626"/>
      <c r="D2956" s="419"/>
      <c r="E2956" s="419"/>
      <c r="F2956" s="422"/>
      <c r="G2956" s="423"/>
      <c r="H2956" s="419"/>
      <c r="I2956" s="427"/>
      <c r="J2956" s="419"/>
      <c r="K2956" s="419"/>
      <c r="L2956" s="415"/>
      <c r="M2956" s="419"/>
      <c r="N2956" s="419"/>
      <c r="O2956" s="414"/>
      <c r="P2956" s="603">
        <f t="shared" si="387"/>
        <v>0</v>
      </c>
      <c r="Q2956" s="603">
        <f t="shared" si="387"/>
        <v>0</v>
      </c>
      <c r="R2956" s="610" t="str">
        <f t="shared" si="388"/>
        <v/>
      </c>
      <c r="S2956" s="611"/>
      <c r="T2956" s="611"/>
    </row>
    <row r="2957" spans="1:20" s="88" customFormat="1" ht="12.75" hidden="1" x14ac:dyDescent="0.2">
      <c r="A2957" s="432" t="str">
        <f>IF(B2957="","",COUNT('Diário 1º PA'!$A$4:$A$2635)+ROW()-3)</f>
        <v/>
      </c>
      <c r="B2957" s="413"/>
      <c r="C2957" s="626"/>
      <c r="D2957" s="419"/>
      <c r="E2957" s="419"/>
      <c r="F2957" s="422"/>
      <c r="G2957" s="423"/>
      <c r="H2957" s="419"/>
      <c r="I2957" s="427"/>
      <c r="J2957" s="419"/>
      <c r="K2957" s="419"/>
      <c r="L2957" s="415"/>
      <c r="M2957" s="419"/>
      <c r="N2957" s="419"/>
      <c r="O2957" s="414"/>
      <c r="P2957" s="603">
        <f t="shared" si="387"/>
        <v>0</v>
      </c>
      <c r="Q2957" s="603">
        <f t="shared" si="387"/>
        <v>0</v>
      </c>
      <c r="R2957" s="610" t="str">
        <f t="shared" si="388"/>
        <v/>
      </c>
      <c r="S2957" s="611"/>
      <c r="T2957" s="611"/>
    </row>
    <row r="2958" spans="1:20" s="88" customFormat="1" ht="12.75" hidden="1" x14ac:dyDescent="0.2">
      <c r="A2958" s="432" t="str">
        <f>IF(B2958="","",COUNT('Diário 1º PA'!$A$4:$A$2635)+ROW()-3)</f>
        <v/>
      </c>
      <c r="B2958" s="413"/>
      <c r="C2958" s="626"/>
      <c r="D2958" s="419"/>
      <c r="E2958" s="419"/>
      <c r="F2958" s="422"/>
      <c r="G2958" s="423"/>
      <c r="H2958" s="419"/>
      <c r="I2958" s="427"/>
      <c r="J2958" s="419"/>
      <c r="K2958" s="419"/>
      <c r="L2958" s="415"/>
      <c r="M2958" s="419"/>
      <c r="N2958" s="419"/>
      <c r="O2958" s="414"/>
      <c r="P2958" s="603">
        <f t="shared" si="387"/>
        <v>0</v>
      </c>
      <c r="Q2958" s="603">
        <f t="shared" si="387"/>
        <v>0</v>
      </c>
      <c r="R2958" s="610" t="str">
        <f t="shared" si="388"/>
        <v/>
      </c>
      <c r="S2958" s="611"/>
      <c r="T2958" s="611"/>
    </row>
    <row r="2959" spans="1:20" s="88" customFormat="1" ht="12.75" hidden="1" x14ac:dyDescent="0.2">
      <c r="A2959" s="432" t="str">
        <f>IF(B2959="","",COUNT('Diário 1º PA'!$A$4:$A$2635)+ROW()-3)</f>
        <v/>
      </c>
      <c r="B2959" s="413"/>
      <c r="C2959" s="626"/>
      <c r="D2959" s="419"/>
      <c r="E2959" s="419"/>
      <c r="F2959" s="422"/>
      <c r="G2959" s="423"/>
      <c r="H2959" s="419"/>
      <c r="I2959" s="427"/>
      <c r="J2959" s="419"/>
      <c r="K2959" s="419"/>
      <c r="L2959" s="415"/>
      <c r="M2959" s="419"/>
      <c r="N2959" s="419"/>
      <c r="O2959" s="414"/>
      <c r="P2959" s="603">
        <f t="shared" si="387"/>
        <v>0</v>
      </c>
      <c r="Q2959" s="603">
        <f t="shared" si="387"/>
        <v>0</v>
      </c>
      <c r="R2959" s="610" t="str">
        <f t="shared" si="388"/>
        <v/>
      </c>
      <c r="S2959" s="611"/>
      <c r="T2959" s="611"/>
    </row>
    <row r="2960" spans="1:20" s="88" customFormat="1" ht="12.75" hidden="1" x14ac:dyDescent="0.2">
      <c r="A2960" s="432" t="str">
        <f>IF(B2960="","",COUNT('Diário 1º PA'!$A$4:$A$2635)+ROW()-3)</f>
        <v/>
      </c>
      <c r="B2960" s="413"/>
      <c r="C2960" s="626"/>
      <c r="D2960" s="419"/>
      <c r="E2960" s="419"/>
      <c r="F2960" s="422"/>
      <c r="G2960" s="423"/>
      <c r="H2960" s="419"/>
      <c r="I2960" s="427"/>
      <c r="J2960" s="419"/>
      <c r="K2960" s="419"/>
      <c r="L2960" s="415"/>
      <c r="M2960" s="419"/>
      <c r="N2960" s="419"/>
      <c r="O2960" s="414"/>
      <c r="P2960" s="603">
        <f t="shared" si="387"/>
        <v>0</v>
      </c>
      <c r="Q2960" s="603">
        <f t="shared" si="387"/>
        <v>0</v>
      </c>
      <c r="R2960" s="610" t="str">
        <f t="shared" si="388"/>
        <v/>
      </c>
      <c r="S2960" s="611"/>
      <c r="T2960" s="611"/>
    </row>
    <row r="2961" spans="1:20" s="88" customFormat="1" ht="12.75" hidden="1" x14ac:dyDescent="0.2">
      <c r="A2961" s="432" t="str">
        <f>IF(B2961="","",COUNT('Diário 1º PA'!$A$4:$A$2635)+ROW()-3)</f>
        <v/>
      </c>
      <c r="B2961" s="413"/>
      <c r="C2961" s="626"/>
      <c r="D2961" s="419"/>
      <c r="E2961" s="419"/>
      <c r="F2961" s="422"/>
      <c r="G2961" s="423"/>
      <c r="H2961" s="419"/>
      <c r="I2961" s="427"/>
      <c r="J2961" s="419"/>
      <c r="K2961" s="419"/>
      <c r="L2961" s="415"/>
      <c r="M2961" s="419"/>
      <c r="N2961" s="419"/>
      <c r="O2961" s="414"/>
      <c r="P2961" s="603">
        <f t="shared" si="387"/>
        <v>0</v>
      </c>
      <c r="Q2961" s="603">
        <f t="shared" si="387"/>
        <v>0</v>
      </c>
      <c r="R2961" s="610" t="str">
        <f t="shared" si="388"/>
        <v/>
      </c>
      <c r="S2961" s="611"/>
      <c r="T2961" s="611"/>
    </row>
    <row r="2962" spans="1:20" s="88" customFormat="1" ht="12.75" hidden="1" x14ac:dyDescent="0.2">
      <c r="A2962" s="432" t="str">
        <f>IF(B2962="","",COUNT('Diário 1º PA'!$A$4:$A$2635)+ROW()-3)</f>
        <v/>
      </c>
      <c r="B2962" s="413"/>
      <c r="C2962" s="626"/>
      <c r="D2962" s="419"/>
      <c r="E2962" s="419"/>
      <c r="F2962" s="422"/>
      <c r="G2962" s="423"/>
      <c r="H2962" s="419"/>
      <c r="I2962" s="427"/>
      <c r="J2962" s="419"/>
      <c r="K2962" s="419"/>
      <c r="L2962" s="415"/>
      <c r="M2962" s="419"/>
      <c r="N2962" s="419"/>
      <c r="O2962" s="414"/>
      <c r="P2962" s="603">
        <f t="shared" si="387"/>
        <v>0</v>
      </c>
      <c r="Q2962" s="603">
        <f t="shared" si="387"/>
        <v>0</v>
      </c>
      <c r="R2962" s="610" t="str">
        <f t="shared" si="388"/>
        <v/>
      </c>
      <c r="S2962" s="611"/>
      <c r="T2962" s="611"/>
    </row>
    <row r="2963" spans="1:20" s="88" customFormat="1" ht="12.75" hidden="1" x14ac:dyDescent="0.2">
      <c r="A2963" s="432" t="str">
        <f>IF(B2963="","",COUNT('Diário 1º PA'!$A$4:$A$2635)+ROW()-3)</f>
        <v/>
      </c>
      <c r="B2963" s="413"/>
      <c r="C2963" s="626"/>
      <c r="D2963" s="419"/>
      <c r="E2963" s="419"/>
      <c r="F2963" s="422"/>
      <c r="G2963" s="423"/>
      <c r="H2963" s="419"/>
      <c r="I2963" s="427"/>
      <c r="J2963" s="419"/>
      <c r="K2963" s="419"/>
      <c r="L2963" s="415"/>
      <c r="M2963" s="419"/>
      <c r="N2963" s="419"/>
      <c r="O2963" s="414"/>
      <c r="P2963" s="603">
        <f t="shared" si="387"/>
        <v>0</v>
      </c>
      <c r="Q2963" s="603">
        <f t="shared" si="387"/>
        <v>0</v>
      </c>
      <c r="R2963" s="610" t="str">
        <f t="shared" si="388"/>
        <v/>
      </c>
      <c r="S2963" s="611"/>
      <c r="T2963" s="611"/>
    </row>
    <row r="2964" spans="1:20" s="88" customFormat="1" ht="12.75" hidden="1" x14ac:dyDescent="0.2">
      <c r="A2964" s="432" t="str">
        <f>IF(B2964="","",COUNT('Diário 1º PA'!$A$4:$A$2635)+ROW()-3)</f>
        <v/>
      </c>
      <c r="B2964" s="413"/>
      <c r="C2964" s="626"/>
      <c r="D2964" s="419"/>
      <c r="E2964" s="419"/>
      <c r="F2964" s="422"/>
      <c r="G2964" s="423"/>
      <c r="H2964" s="419"/>
      <c r="I2964" s="427"/>
      <c r="J2964" s="419"/>
      <c r="K2964" s="419"/>
      <c r="L2964" s="415"/>
      <c r="M2964" s="419"/>
      <c r="N2964" s="419"/>
      <c r="O2964" s="414"/>
      <c r="P2964" s="603">
        <f t="shared" si="387"/>
        <v>0</v>
      </c>
      <c r="Q2964" s="603">
        <f t="shared" si="387"/>
        <v>0</v>
      </c>
      <c r="R2964" s="610" t="str">
        <f t="shared" si="388"/>
        <v/>
      </c>
      <c r="S2964" s="611"/>
      <c r="T2964" s="611"/>
    </row>
    <row r="2965" spans="1:20" s="88" customFormat="1" ht="12.75" hidden="1" x14ac:dyDescent="0.2">
      <c r="A2965" s="432" t="str">
        <f>IF(B2965="","",COUNT('Diário 1º PA'!$A$4:$A$2635)+ROW()-3)</f>
        <v/>
      </c>
      <c r="B2965" s="413"/>
      <c r="C2965" s="626"/>
      <c r="D2965" s="419"/>
      <c r="E2965" s="419"/>
      <c r="F2965" s="422"/>
      <c r="G2965" s="423"/>
      <c r="H2965" s="419"/>
      <c r="I2965" s="427"/>
      <c r="J2965" s="419"/>
      <c r="K2965" s="419"/>
      <c r="L2965" s="415"/>
      <c r="M2965" s="419"/>
      <c r="N2965" s="419"/>
      <c r="O2965" s="414"/>
      <c r="P2965" s="603">
        <f t="shared" si="387"/>
        <v>0</v>
      </c>
      <c r="Q2965" s="603">
        <f t="shared" si="387"/>
        <v>0</v>
      </c>
      <c r="R2965" s="610" t="str">
        <f t="shared" si="388"/>
        <v/>
      </c>
      <c r="S2965" s="611"/>
      <c r="T2965" s="611"/>
    </row>
    <row r="2966" spans="1:20" s="88" customFormat="1" ht="12.75" hidden="1" x14ac:dyDescent="0.2">
      <c r="A2966" s="432" t="str">
        <f>IF(B2966="","",COUNT('Diário 1º PA'!$A$4:$A$2635)+ROW()-3)</f>
        <v/>
      </c>
      <c r="B2966" s="413"/>
      <c r="C2966" s="626"/>
      <c r="D2966" s="419"/>
      <c r="E2966" s="419"/>
      <c r="F2966" s="422"/>
      <c r="G2966" s="423"/>
      <c r="H2966" s="419"/>
      <c r="I2966" s="427"/>
      <c r="J2966" s="419"/>
      <c r="K2966" s="419"/>
      <c r="L2966" s="415"/>
      <c r="M2966" s="419"/>
      <c r="N2966" s="419"/>
      <c r="O2966" s="414"/>
      <c r="P2966" s="603">
        <f t="shared" si="387"/>
        <v>0</v>
      </c>
      <c r="Q2966" s="603">
        <f t="shared" si="387"/>
        <v>0</v>
      </c>
      <c r="R2966" s="610" t="str">
        <f t="shared" si="388"/>
        <v/>
      </c>
      <c r="S2966" s="611"/>
      <c r="T2966" s="611"/>
    </row>
    <row r="2967" spans="1:20" s="88" customFormat="1" ht="12.75" hidden="1" x14ac:dyDescent="0.2">
      <c r="A2967" s="432" t="str">
        <f>IF(B2967="","",COUNT('Diário 1º PA'!$A$4:$A$2635)+ROW()-3)</f>
        <v/>
      </c>
      <c r="B2967" s="413"/>
      <c r="C2967" s="626"/>
      <c r="D2967" s="419"/>
      <c r="E2967" s="419"/>
      <c r="F2967" s="422"/>
      <c r="G2967" s="423"/>
      <c r="H2967" s="419"/>
      <c r="I2967" s="427"/>
      <c r="J2967" s="419"/>
      <c r="K2967" s="419"/>
      <c r="L2967" s="415"/>
      <c r="M2967" s="419"/>
      <c r="N2967" s="419"/>
      <c r="O2967" s="414"/>
      <c r="P2967" s="603">
        <f t="shared" si="387"/>
        <v>0</v>
      </c>
      <c r="Q2967" s="603">
        <f t="shared" si="387"/>
        <v>0</v>
      </c>
      <c r="R2967" s="610" t="str">
        <f t="shared" si="388"/>
        <v/>
      </c>
      <c r="S2967" s="611"/>
      <c r="T2967" s="611"/>
    </row>
    <row r="2968" spans="1:20" s="88" customFormat="1" ht="12.75" hidden="1" x14ac:dyDescent="0.2">
      <c r="A2968" s="432" t="str">
        <f>IF(B2968="","",COUNT('Diário 1º PA'!$A$4:$A$2635)+ROW()-3)</f>
        <v/>
      </c>
      <c r="B2968" s="413"/>
      <c r="C2968" s="626"/>
      <c r="D2968" s="419"/>
      <c r="E2968" s="419"/>
      <c r="F2968" s="422"/>
      <c r="G2968" s="423"/>
      <c r="H2968" s="419"/>
      <c r="I2968" s="427"/>
      <c r="J2968" s="419"/>
      <c r="K2968" s="419"/>
      <c r="L2968" s="415"/>
      <c r="M2968" s="419"/>
      <c r="N2968" s="419"/>
      <c r="O2968" s="414"/>
      <c r="P2968" s="603">
        <f t="shared" si="387"/>
        <v>0</v>
      </c>
      <c r="Q2968" s="603">
        <f t="shared" si="387"/>
        <v>0</v>
      </c>
      <c r="R2968" s="610" t="str">
        <f t="shared" si="388"/>
        <v/>
      </c>
      <c r="S2968" s="611"/>
      <c r="T2968" s="611"/>
    </row>
    <row r="2969" spans="1:20" s="88" customFormat="1" ht="12.75" hidden="1" x14ac:dyDescent="0.2">
      <c r="A2969" s="432" t="str">
        <f>IF(B2969="","",COUNT('Diário 1º PA'!$A$4:$A$2635)+ROW()-3)</f>
        <v/>
      </c>
      <c r="B2969" s="413"/>
      <c r="C2969" s="626"/>
      <c r="D2969" s="419"/>
      <c r="E2969" s="419"/>
      <c r="F2969" s="422"/>
      <c r="G2969" s="423"/>
      <c r="H2969" s="419"/>
      <c r="I2969" s="427"/>
      <c r="J2969" s="419"/>
      <c r="K2969" s="419"/>
      <c r="L2969" s="415"/>
      <c r="M2969" s="419"/>
      <c r="N2969" s="419"/>
      <c r="O2969" s="414"/>
      <c r="P2969" s="603">
        <f t="shared" si="387"/>
        <v>0</v>
      </c>
      <c r="Q2969" s="603">
        <f t="shared" si="387"/>
        <v>0</v>
      </c>
      <c r="R2969" s="610" t="str">
        <f t="shared" si="388"/>
        <v/>
      </c>
      <c r="S2969" s="611"/>
      <c r="T2969" s="611"/>
    </row>
    <row r="2970" spans="1:20" s="88" customFormat="1" ht="12.75" hidden="1" x14ac:dyDescent="0.2">
      <c r="A2970" s="432" t="str">
        <f>IF(B2970="","",COUNT('Diário 1º PA'!$A$4:$A$2635)+ROW()-3)</f>
        <v/>
      </c>
      <c r="B2970" s="413"/>
      <c r="C2970" s="626"/>
      <c r="D2970" s="419"/>
      <c r="E2970" s="419"/>
      <c r="F2970" s="422"/>
      <c r="G2970" s="423"/>
      <c r="H2970" s="419"/>
      <c r="I2970" s="427"/>
      <c r="J2970" s="419"/>
      <c r="K2970" s="419"/>
      <c r="L2970" s="415"/>
      <c r="M2970" s="419"/>
      <c r="N2970" s="419"/>
      <c r="O2970" s="414"/>
      <c r="P2970" s="603">
        <f t="shared" si="387"/>
        <v>0</v>
      </c>
      <c r="Q2970" s="603">
        <f t="shared" si="387"/>
        <v>0</v>
      </c>
      <c r="R2970" s="610" t="str">
        <f t="shared" si="388"/>
        <v/>
      </c>
      <c r="S2970" s="611"/>
      <c r="T2970" s="611"/>
    </row>
    <row r="2971" spans="1:20" s="88" customFormat="1" ht="12.75" hidden="1" x14ac:dyDescent="0.2">
      <c r="A2971" s="432" t="str">
        <f>IF(B2971="","",COUNT('Diário 1º PA'!$A$4:$A$2635)+ROW()-3)</f>
        <v/>
      </c>
      <c r="B2971" s="413"/>
      <c r="C2971" s="626"/>
      <c r="D2971" s="419"/>
      <c r="E2971" s="419"/>
      <c r="F2971" s="422"/>
      <c r="G2971" s="423"/>
      <c r="H2971" s="419"/>
      <c r="I2971" s="427"/>
      <c r="J2971" s="419"/>
      <c r="K2971" s="419"/>
      <c r="L2971" s="415"/>
      <c r="M2971" s="419"/>
      <c r="N2971" s="419"/>
      <c r="O2971" s="414"/>
      <c r="P2971" s="603">
        <f t="shared" si="387"/>
        <v>0</v>
      </c>
      <c r="Q2971" s="603">
        <f t="shared" si="387"/>
        <v>0</v>
      </c>
      <c r="R2971" s="610" t="str">
        <f t="shared" si="388"/>
        <v/>
      </c>
      <c r="S2971" s="611"/>
      <c r="T2971" s="611"/>
    </row>
    <row r="2972" spans="1:20" s="88" customFormat="1" ht="12.75" hidden="1" x14ac:dyDescent="0.2">
      <c r="A2972" s="432" t="str">
        <f>IF(B2972="","",COUNT('Diário 1º PA'!$A$4:$A$2635)+ROW()-3)</f>
        <v/>
      </c>
      <c r="B2972" s="413"/>
      <c r="C2972" s="626"/>
      <c r="D2972" s="419"/>
      <c r="E2972" s="419"/>
      <c r="F2972" s="422"/>
      <c r="G2972" s="423"/>
      <c r="H2972" s="419"/>
      <c r="I2972" s="427"/>
      <c r="J2972" s="419"/>
      <c r="K2972" s="419"/>
      <c r="L2972" s="415"/>
      <c r="M2972" s="419"/>
      <c r="N2972" s="419"/>
      <c r="O2972" s="414"/>
      <c r="P2972" s="603">
        <f t="shared" si="387"/>
        <v>0</v>
      </c>
      <c r="Q2972" s="603">
        <f t="shared" si="387"/>
        <v>0</v>
      </c>
      <c r="R2972" s="610" t="str">
        <f t="shared" si="388"/>
        <v/>
      </c>
      <c r="S2972" s="611"/>
      <c r="T2972" s="611"/>
    </row>
    <row r="2973" spans="1:20" s="88" customFormat="1" ht="12.75" hidden="1" x14ac:dyDescent="0.2">
      <c r="A2973" s="432" t="str">
        <f>IF(B2973="","",COUNT('Diário 1º PA'!$A$4:$A$2635)+ROW()-3)</f>
        <v/>
      </c>
      <c r="B2973" s="413"/>
      <c r="C2973" s="626"/>
      <c r="D2973" s="419"/>
      <c r="E2973" s="419"/>
      <c r="F2973" s="422"/>
      <c r="G2973" s="423"/>
      <c r="H2973" s="419"/>
      <c r="I2973" s="427"/>
      <c r="J2973" s="419"/>
      <c r="K2973" s="419"/>
      <c r="L2973" s="415"/>
      <c r="M2973" s="419"/>
      <c r="N2973" s="419"/>
      <c r="O2973" s="414"/>
      <c r="P2973" s="603">
        <f t="shared" si="387"/>
        <v>0</v>
      </c>
      <c r="Q2973" s="603">
        <f t="shared" si="387"/>
        <v>0</v>
      </c>
      <c r="R2973" s="610" t="str">
        <f t="shared" si="388"/>
        <v/>
      </c>
      <c r="S2973" s="611"/>
      <c r="T2973" s="611"/>
    </row>
    <row r="2974" spans="1:20" s="88" customFormat="1" ht="12.75" hidden="1" x14ac:dyDescent="0.2">
      <c r="A2974" s="432" t="str">
        <f>IF(B2974="","",COUNT('Diário 1º PA'!$A$4:$A$2635)+ROW()-3)</f>
        <v/>
      </c>
      <c r="B2974" s="413"/>
      <c r="C2974" s="626"/>
      <c r="D2974" s="419"/>
      <c r="E2974" s="419"/>
      <c r="F2974" s="422"/>
      <c r="G2974" s="423"/>
      <c r="H2974" s="419"/>
      <c r="I2974" s="427"/>
      <c r="J2974" s="419"/>
      <c r="K2974" s="419"/>
      <c r="L2974" s="415"/>
      <c r="M2974" s="419"/>
      <c r="N2974" s="419"/>
      <c r="O2974" s="414"/>
      <c r="P2974" s="603">
        <f t="shared" si="387"/>
        <v>0</v>
      </c>
      <c r="Q2974" s="603">
        <f t="shared" si="387"/>
        <v>0</v>
      </c>
      <c r="R2974" s="610" t="str">
        <f t="shared" si="388"/>
        <v/>
      </c>
      <c r="S2974" s="611"/>
      <c r="T2974" s="611"/>
    </row>
    <row r="2975" spans="1:20" s="88" customFormat="1" ht="12.75" hidden="1" x14ac:dyDescent="0.2">
      <c r="A2975" s="432" t="str">
        <f>IF(B2975="","",COUNT('Diário 1º PA'!$A$4:$A$2635)+ROW()-3)</f>
        <v/>
      </c>
      <c r="B2975" s="413"/>
      <c r="C2975" s="626"/>
      <c r="D2975" s="419"/>
      <c r="E2975" s="419"/>
      <c r="F2975" s="422"/>
      <c r="G2975" s="423"/>
      <c r="H2975" s="419"/>
      <c r="I2975" s="427"/>
      <c r="J2975" s="419"/>
      <c r="K2975" s="419"/>
      <c r="L2975" s="415"/>
      <c r="M2975" s="419"/>
      <c r="N2975" s="419"/>
      <c r="O2975" s="414"/>
      <c r="P2975" s="603">
        <f t="shared" si="387"/>
        <v>0</v>
      </c>
      <c r="Q2975" s="603">
        <f t="shared" si="387"/>
        <v>0</v>
      </c>
      <c r="R2975" s="610" t="str">
        <f t="shared" si="388"/>
        <v/>
      </c>
      <c r="S2975" s="611"/>
      <c r="T2975" s="611"/>
    </row>
    <row r="2976" spans="1:20" s="88" customFormat="1" ht="12.75" hidden="1" x14ac:dyDescent="0.2">
      <c r="A2976" s="432" t="str">
        <f>IF(B2976="","",COUNT('Diário 1º PA'!$A$4:$A$2635)+ROW()-3)</f>
        <v/>
      </c>
      <c r="B2976" s="413"/>
      <c r="C2976" s="626"/>
      <c r="D2976" s="419"/>
      <c r="E2976" s="419"/>
      <c r="F2976" s="422"/>
      <c r="G2976" s="423"/>
      <c r="H2976" s="419"/>
      <c r="I2976" s="427"/>
      <c r="J2976" s="419"/>
      <c r="K2976" s="419"/>
      <c r="L2976" s="415"/>
      <c r="M2976" s="419"/>
      <c r="N2976" s="419"/>
      <c r="O2976" s="414"/>
      <c r="P2976" s="603">
        <f t="shared" si="387"/>
        <v>0</v>
      </c>
      <c r="Q2976" s="603">
        <f t="shared" si="387"/>
        <v>0</v>
      </c>
      <c r="R2976" s="610" t="str">
        <f t="shared" si="388"/>
        <v/>
      </c>
      <c r="S2976" s="611"/>
      <c r="T2976" s="611"/>
    </row>
    <row r="2977" spans="1:20" s="88" customFormat="1" ht="12.75" hidden="1" x14ac:dyDescent="0.2">
      <c r="A2977" s="432" t="str">
        <f>IF(B2977="","",COUNT('Diário 1º PA'!$A$4:$A$2635)+ROW()-3)</f>
        <v/>
      </c>
      <c r="B2977" s="413"/>
      <c r="C2977" s="626"/>
      <c r="D2977" s="419"/>
      <c r="E2977" s="419"/>
      <c r="F2977" s="422"/>
      <c r="G2977" s="423"/>
      <c r="H2977" s="419"/>
      <c r="I2977" s="427"/>
      <c r="J2977" s="419"/>
      <c r="K2977" s="419"/>
      <c r="L2977" s="415"/>
      <c r="M2977" s="419"/>
      <c r="N2977" s="419"/>
      <c r="O2977" s="414"/>
      <c r="P2977" s="603">
        <f t="shared" si="387"/>
        <v>0</v>
      </c>
      <c r="Q2977" s="603">
        <f t="shared" si="387"/>
        <v>0</v>
      </c>
      <c r="R2977" s="610" t="str">
        <f t="shared" si="388"/>
        <v/>
      </c>
      <c r="S2977" s="611"/>
      <c r="T2977" s="611"/>
    </row>
    <row r="2978" spans="1:20" s="88" customFormat="1" ht="12.75" hidden="1" x14ac:dyDescent="0.2">
      <c r="A2978" s="432" t="str">
        <f>IF(B2978="","",COUNT('Diário 1º PA'!$A$4:$A$2635)+ROW()-3)</f>
        <v/>
      </c>
      <c r="B2978" s="413"/>
      <c r="C2978" s="626"/>
      <c r="D2978" s="419"/>
      <c r="E2978" s="419"/>
      <c r="F2978" s="422"/>
      <c r="G2978" s="423"/>
      <c r="H2978" s="419"/>
      <c r="I2978" s="427"/>
      <c r="J2978" s="419"/>
      <c r="K2978" s="419"/>
      <c r="L2978" s="415"/>
      <c r="M2978" s="419"/>
      <c r="N2978" s="419"/>
      <c r="O2978" s="414"/>
      <c r="P2978" s="603">
        <f t="shared" si="387"/>
        <v>0</v>
      </c>
      <c r="Q2978" s="603">
        <f t="shared" si="387"/>
        <v>0</v>
      </c>
      <c r="R2978" s="610" t="str">
        <f t="shared" si="388"/>
        <v/>
      </c>
      <c r="S2978" s="611"/>
      <c r="T2978" s="611"/>
    </row>
    <row r="2979" spans="1:20" s="88" customFormat="1" ht="12.75" hidden="1" x14ac:dyDescent="0.2">
      <c r="A2979" s="432" t="str">
        <f>IF(B2979="","",COUNT('Diário 1º PA'!$A$4:$A$2635)+ROW()-3)</f>
        <v/>
      </c>
      <c r="B2979" s="413"/>
      <c r="C2979" s="626"/>
      <c r="D2979" s="419"/>
      <c r="E2979" s="419"/>
      <c r="F2979" s="422"/>
      <c r="G2979" s="423"/>
      <c r="H2979" s="419"/>
      <c r="I2979" s="427"/>
      <c r="J2979" s="419"/>
      <c r="K2979" s="419"/>
      <c r="L2979" s="415"/>
      <c r="M2979" s="419"/>
      <c r="N2979" s="419"/>
      <c r="O2979" s="414"/>
      <c r="P2979" s="603">
        <f t="shared" si="387"/>
        <v>0</v>
      </c>
      <c r="Q2979" s="603">
        <f t="shared" si="387"/>
        <v>0</v>
      </c>
      <c r="R2979" s="610" t="str">
        <f t="shared" si="388"/>
        <v/>
      </c>
      <c r="S2979" s="611"/>
      <c r="T2979" s="611"/>
    </row>
    <row r="2980" spans="1:20" s="88" customFormat="1" ht="12.75" hidden="1" x14ac:dyDescent="0.2">
      <c r="A2980" s="432" t="str">
        <f>IF(B2980="","",COUNT('Diário 1º PA'!$A$4:$A$2635)+ROW()-3)</f>
        <v/>
      </c>
      <c r="B2980" s="413"/>
      <c r="C2980" s="626"/>
      <c r="D2980" s="419"/>
      <c r="E2980" s="419"/>
      <c r="F2980" s="422"/>
      <c r="G2980" s="423"/>
      <c r="H2980" s="419"/>
      <c r="I2980" s="427"/>
      <c r="J2980" s="419"/>
      <c r="K2980" s="419"/>
      <c r="L2980" s="415"/>
      <c r="M2980" s="419"/>
      <c r="N2980" s="419"/>
      <c r="O2980" s="414"/>
      <c r="P2980" s="603">
        <f t="shared" si="387"/>
        <v>0</v>
      </c>
      <c r="Q2980" s="603">
        <f t="shared" si="387"/>
        <v>0</v>
      </c>
      <c r="R2980" s="610" t="str">
        <f t="shared" si="388"/>
        <v/>
      </c>
      <c r="S2980" s="611"/>
      <c r="T2980" s="611"/>
    </row>
    <row r="2981" spans="1:20" s="88" customFormat="1" ht="12.75" hidden="1" x14ac:dyDescent="0.2">
      <c r="A2981" s="432" t="str">
        <f>IF(B2981="","",COUNT('Diário 1º PA'!$A$4:$A$2635)+ROW()-3)</f>
        <v/>
      </c>
      <c r="B2981" s="413"/>
      <c r="C2981" s="626"/>
      <c r="D2981" s="419"/>
      <c r="E2981" s="419"/>
      <c r="F2981" s="422"/>
      <c r="G2981" s="423"/>
      <c r="H2981" s="419"/>
      <c r="I2981" s="427"/>
      <c r="J2981" s="419"/>
      <c r="K2981" s="419"/>
      <c r="L2981" s="415"/>
      <c r="M2981" s="419"/>
      <c r="N2981" s="419"/>
      <c r="O2981" s="414"/>
      <c r="P2981" s="603">
        <f t="shared" si="387"/>
        <v>0</v>
      </c>
      <c r="Q2981" s="603">
        <f t="shared" si="387"/>
        <v>0</v>
      </c>
      <c r="R2981" s="610" t="str">
        <f t="shared" si="388"/>
        <v/>
      </c>
      <c r="S2981" s="611"/>
      <c r="T2981" s="611"/>
    </row>
    <row r="2982" spans="1:20" s="88" customFormat="1" ht="12.75" hidden="1" x14ac:dyDescent="0.2">
      <c r="A2982" s="432" t="str">
        <f>IF(B2982="","",COUNT('Diário 1º PA'!$A$4:$A$2635)+ROW()-3)</f>
        <v/>
      </c>
      <c r="B2982" s="413"/>
      <c r="C2982" s="626"/>
      <c r="D2982" s="419"/>
      <c r="E2982" s="419"/>
      <c r="F2982" s="422"/>
      <c r="G2982" s="423"/>
      <c r="H2982" s="419"/>
      <c r="I2982" s="427"/>
      <c r="J2982" s="419"/>
      <c r="K2982" s="419"/>
      <c r="L2982" s="415"/>
      <c r="M2982" s="419"/>
      <c r="N2982" s="419"/>
      <c r="O2982" s="414"/>
      <c r="P2982" s="603">
        <f t="shared" si="387"/>
        <v>0</v>
      </c>
      <c r="Q2982" s="603">
        <f t="shared" si="387"/>
        <v>0</v>
      </c>
      <c r="R2982" s="610" t="str">
        <f t="shared" si="388"/>
        <v/>
      </c>
      <c r="S2982" s="611"/>
      <c r="T2982" s="611"/>
    </row>
    <row r="2983" spans="1:20" s="88" customFormat="1" ht="12.75" hidden="1" x14ac:dyDescent="0.2">
      <c r="A2983" s="432" t="str">
        <f>IF(B2983="","",COUNT('Diário 1º PA'!$A$4:$A$2635)+ROW()-3)</f>
        <v/>
      </c>
      <c r="B2983" s="413"/>
      <c r="C2983" s="626"/>
      <c r="D2983" s="419"/>
      <c r="E2983" s="419"/>
      <c r="F2983" s="422"/>
      <c r="G2983" s="423"/>
      <c r="H2983" s="419"/>
      <c r="I2983" s="427"/>
      <c r="J2983" s="419"/>
      <c r="K2983" s="419"/>
      <c r="L2983" s="415"/>
      <c r="M2983" s="419"/>
      <c r="N2983" s="419"/>
      <c r="O2983" s="414"/>
      <c r="P2983" s="603">
        <f t="shared" si="387"/>
        <v>0</v>
      </c>
      <c r="Q2983" s="603">
        <f t="shared" si="387"/>
        <v>0</v>
      </c>
      <c r="R2983" s="610" t="str">
        <f t="shared" si="388"/>
        <v/>
      </c>
      <c r="S2983" s="611"/>
      <c r="T2983" s="611"/>
    </row>
    <row r="2984" spans="1:20" s="88" customFormat="1" ht="12.75" hidden="1" x14ac:dyDescent="0.2">
      <c r="A2984" s="432" t="str">
        <f>IF(B2984="","",COUNT('Diário 1º PA'!$A$4:$A$2635)+ROW()-3)</f>
        <v/>
      </c>
      <c r="B2984" s="413"/>
      <c r="C2984" s="626"/>
      <c r="D2984" s="419"/>
      <c r="E2984" s="419"/>
      <c r="F2984" s="422"/>
      <c r="G2984" s="423"/>
      <c r="H2984" s="419"/>
      <c r="I2984" s="427"/>
      <c r="J2984" s="419"/>
      <c r="K2984" s="419"/>
      <c r="L2984" s="415"/>
      <c r="M2984" s="419"/>
      <c r="N2984" s="419"/>
      <c r="O2984" s="414"/>
      <c r="P2984" s="603">
        <f t="shared" si="387"/>
        <v>0</v>
      </c>
      <c r="Q2984" s="603">
        <f t="shared" si="387"/>
        <v>0</v>
      </c>
      <c r="R2984" s="610" t="str">
        <f t="shared" si="388"/>
        <v/>
      </c>
      <c r="S2984" s="611"/>
      <c r="T2984" s="611"/>
    </row>
    <row r="2985" spans="1:20" s="88" customFormat="1" ht="12.75" hidden="1" x14ac:dyDescent="0.2">
      <c r="A2985" s="432" t="str">
        <f>IF(B2985="","",COUNT('Diário 1º PA'!$A$4:$A$2635)+ROW()-3)</f>
        <v/>
      </c>
      <c r="B2985" s="413"/>
      <c r="C2985" s="626"/>
      <c r="D2985" s="419"/>
      <c r="E2985" s="419"/>
      <c r="F2985" s="422"/>
      <c r="G2985" s="423"/>
      <c r="H2985" s="419"/>
      <c r="I2985" s="427"/>
      <c r="J2985" s="419"/>
      <c r="K2985" s="419"/>
      <c r="L2985" s="415"/>
      <c r="M2985" s="419"/>
      <c r="N2985" s="419"/>
      <c r="O2985" s="414"/>
      <c r="P2985" s="603">
        <f t="shared" si="387"/>
        <v>0</v>
      </c>
      <c r="Q2985" s="603">
        <f t="shared" si="387"/>
        <v>0</v>
      </c>
      <c r="R2985" s="610" t="str">
        <f t="shared" si="388"/>
        <v/>
      </c>
      <c r="S2985" s="611"/>
      <c r="T2985" s="611"/>
    </row>
    <row r="2986" spans="1:20" s="88" customFormat="1" ht="12.75" hidden="1" x14ac:dyDescent="0.2">
      <c r="A2986" s="432" t="str">
        <f>IF(B2986="","",COUNT('Diário 1º PA'!$A$4:$A$2635)+ROW()-3)</f>
        <v/>
      </c>
      <c r="B2986" s="413"/>
      <c r="C2986" s="626"/>
      <c r="D2986" s="419"/>
      <c r="E2986" s="419"/>
      <c r="F2986" s="422"/>
      <c r="G2986" s="423"/>
      <c r="H2986" s="419"/>
      <c r="I2986" s="427"/>
      <c r="J2986" s="419"/>
      <c r="K2986" s="419"/>
      <c r="L2986" s="415"/>
      <c r="M2986" s="419"/>
      <c r="N2986" s="419"/>
      <c r="O2986" s="414"/>
      <c r="P2986" s="603">
        <f t="shared" si="387"/>
        <v>0</v>
      </c>
      <c r="Q2986" s="603">
        <f t="shared" si="387"/>
        <v>0</v>
      </c>
      <c r="R2986" s="610" t="str">
        <f t="shared" ref="R2986:R3040" si="389">SUBSTITUTE(D2986," ","_")</f>
        <v/>
      </c>
      <c r="S2986" s="611"/>
      <c r="T2986" s="611"/>
    </row>
    <row r="2987" spans="1:20" s="88" customFormat="1" ht="12.75" hidden="1" x14ac:dyDescent="0.2">
      <c r="A2987" s="432" t="str">
        <f>IF(B2987="","",COUNT('Diário 1º PA'!$A$4:$A$2635)+ROW()-3)</f>
        <v/>
      </c>
      <c r="B2987" s="413"/>
      <c r="C2987" s="626"/>
      <c r="D2987" s="419"/>
      <c r="E2987" s="419"/>
      <c r="F2987" s="422"/>
      <c r="G2987" s="423"/>
      <c r="H2987" s="419"/>
      <c r="I2987" s="427"/>
      <c r="J2987" s="419"/>
      <c r="K2987" s="419"/>
      <c r="L2987" s="415"/>
      <c r="M2987" s="419"/>
      <c r="N2987" s="419"/>
      <c r="O2987" s="414"/>
      <c r="P2987" s="603">
        <f t="shared" ref="P2987:Q3040" si="390">IF(B2987=0,0,IF(YEAR(B2987)=$Q$1,MONTH(B2987)-$P$1+1,(YEAR(B2987)-$Q$1)*12-$P$1+1+MONTH(B2987)))</f>
        <v>0</v>
      </c>
      <c r="Q2987" s="603">
        <f t="shared" si="390"/>
        <v>0</v>
      </c>
      <c r="R2987" s="610" t="str">
        <f t="shared" si="389"/>
        <v/>
      </c>
      <c r="S2987" s="611"/>
      <c r="T2987" s="611"/>
    </row>
    <row r="2988" spans="1:20" s="88" customFormat="1" ht="12.75" hidden="1" x14ac:dyDescent="0.2">
      <c r="A2988" s="432" t="str">
        <f>IF(B2988="","",COUNT('Diário 1º PA'!$A$4:$A$2635)+ROW()-3)</f>
        <v/>
      </c>
      <c r="B2988" s="413"/>
      <c r="C2988" s="626"/>
      <c r="D2988" s="419"/>
      <c r="E2988" s="419"/>
      <c r="F2988" s="422"/>
      <c r="G2988" s="423"/>
      <c r="H2988" s="419"/>
      <c r="I2988" s="427"/>
      <c r="J2988" s="419"/>
      <c r="K2988" s="419"/>
      <c r="L2988" s="415"/>
      <c r="M2988" s="419"/>
      <c r="N2988" s="419"/>
      <c r="O2988" s="414"/>
      <c r="P2988" s="603">
        <f t="shared" si="390"/>
        <v>0</v>
      </c>
      <c r="Q2988" s="603">
        <f t="shared" si="390"/>
        <v>0</v>
      </c>
      <c r="R2988" s="610" t="str">
        <f t="shared" si="389"/>
        <v/>
      </c>
      <c r="S2988" s="611"/>
      <c r="T2988" s="611"/>
    </row>
    <row r="2989" spans="1:20" s="88" customFormat="1" ht="12.75" hidden="1" x14ac:dyDescent="0.2">
      <c r="A2989" s="432" t="str">
        <f>IF(B2989="","",COUNT('Diário 1º PA'!$A$4:$A$2635)+ROW()-3)</f>
        <v/>
      </c>
      <c r="B2989" s="413"/>
      <c r="C2989" s="626"/>
      <c r="D2989" s="419"/>
      <c r="E2989" s="419"/>
      <c r="F2989" s="422"/>
      <c r="G2989" s="423"/>
      <c r="H2989" s="419"/>
      <c r="I2989" s="427"/>
      <c r="J2989" s="419"/>
      <c r="K2989" s="419"/>
      <c r="L2989" s="415"/>
      <c r="M2989" s="419"/>
      <c r="N2989" s="419"/>
      <c r="O2989" s="414"/>
      <c r="P2989" s="603">
        <f t="shared" si="390"/>
        <v>0</v>
      </c>
      <c r="Q2989" s="603">
        <f t="shared" si="390"/>
        <v>0</v>
      </c>
      <c r="R2989" s="610" t="str">
        <f t="shared" si="389"/>
        <v/>
      </c>
      <c r="S2989" s="611"/>
      <c r="T2989" s="611"/>
    </row>
    <row r="2990" spans="1:20" s="88" customFormat="1" ht="12.75" hidden="1" x14ac:dyDescent="0.2">
      <c r="A2990" s="432" t="str">
        <f>IF(B2990="","",COUNT('Diário 1º PA'!$A$4:$A$2635)+ROW()-3)</f>
        <v/>
      </c>
      <c r="B2990" s="413"/>
      <c r="C2990" s="626"/>
      <c r="D2990" s="419"/>
      <c r="E2990" s="419"/>
      <c r="F2990" s="422"/>
      <c r="G2990" s="423"/>
      <c r="H2990" s="419"/>
      <c r="I2990" s="427"/>
      <c r="J2990" s="419"/>
      <c r="K2990" s="419"/>
      <c r="L2990" s="415"/>
      <c r="M2990" s="419"/>
      <c r="N2990" s="419"/>
      <c r="O2990" s="414"/>
      <c r="P2990" s="603">
        <f t="shared" si="390"/>
        <v>0</v>
      </c>
      <c r="Q2990" s="603">
        <f t="shared" si="390"/>
        <v>0</v>
      </c>
      <c r="R2990" s="610" t="str">
        <f t="shared" si="389"/>
        <v/>
      </c>
      <c r="S2990" s="611"/>
      <c r="T2990" s="611"/>
    </row>
    <row r="2991" spans="1:20" s="88" customFormat="1" ht="12.75" hidden="1" x14ac:dyDescent="0.2">
      <c r="A2991" s="432" t="str">
        <f>IF(B2991="","",COUNT('Diário 1º PA'!$A$4:$A$2635)+ROW()-3)</f>
        <v/>
      </c>
      <c r="B2991" s="413"/>
      <c r="C2991" s="626"/>
      <c r="D2991" s="419"/>
      <c r="E2991" s="419"/>
      <c r="F2991" s="422"/>
      <c r="G2991" s="423"/>
      <c r="H2991" s="419"/>
      <c r="I2991" s="427"/>
      <c r="J2991" s="419"/>
      <c r="K2991" s="419"/>
      <c r="L2991" s="415"/>
      <c r="M2991" s="419"/>
      <c r="N2991" s="419"/>
      <c r="O2991" s="414"/>
      <c r="P2991" s="603">
        <f t="shared" si="390"/>
        <v>0</v>
      </c>
      <c r="Q2991" s="603">
        <f t="shared" si="390"/>
        <v>0</v>
      </c>
      <c r="R2991" s="610" t="str">
        <f t="shared" si="389"/>
        <v/>
      </c>
      <c r="S2991" s="611"/>
      <c r="T2991" s="611"/>
    </row>
    <row r="2992" spans="1:20" s="88" customFormat="1" ht="12.75" hidden="1" x14ac:dyDescent="0.2">
      <c r="A2992" s="432" t="str">
        <f>IF(B2992="","",COUNT('Diário 1º PA'!$A$4:$A$2635)+ROW()-3)</f>
        <v/>
      </c>
      <c r="B2992" s="413"/>
      <c r="C2992" s="626"/>
      <c r="D2992" s="419"/>
      <c r="E2992" s="419"/>
      <c r="F2992" s="422"/>
      <c r="G2992" s="423"/>
      <c r="H2992" s="419"/>
      <c r="I2992" s="427"/>
      <c r="J2992" s="419"/>
      <c r="K2992" s="419"/>
      <c r="L2992" s="415"/>
      <c r="M2992" s="419"/>
      <c r="N2992" s="419"/>
      <c r="O2992" s="414"/>
      <c r="P2992" s="603">
        <f t="shared" si="390"/>
        <v>0</v>
      </c>
      <c r="Q2992" s="603">
        <f t="shared" si="390"/>
        <v>0</v>
      </c>
      <c r="R2992" s="610" t="str">
        <f t="shared" si="389"/>
        <v/>
      </c>
      <c r="S2992" s="611"/>
      <c r="T2992" s="611"/>
    </row>
    <row r="2993" spans="1:20" s="88" customFormat="1" ht="12.75" hidden="1" x14ac:dyDescent="0.2">
      <c r="A2993" s="432" t="str">
        <f>IF(B2993="","",COUNT('Diário 1º PA'!$A$4:$A$2635)+ROW()-3)</f>
        <v/>
      </c>
      <c r="B2993" s="413"/>
      <c r="C2993" s="626"/>
      <c r="D2993" s="419"/>
      <c r="E2993" s="419"/>
      <c r="F2993" s="422"/>
      <c r="G2993" s="423"/>
      <c r="H2993" s="419"/>
      <c r="I2993" s="427"/>
      <c r="J2993" s="419"/>
      <c r="K2993" s="419"/>
      <c r="L2993" s="415"/>
      <c r="M2993" s="419"/>
      <c r="N2993" s="419"/>
      <c r="O2993" s="414"/>
      <c r="P2993" s="603">
        <f t="shared" si="390"/>
        <v>0</v>
      </c>
      <c r="Q2993" s="603">
        <f t="shared" si="390"/>
        <v>0</v>
      </c>
      <c r="R2993" s="610" t="str">
        <f t="shared" si="389"/>
        <v/>
      </c>
      <c r="S2993" s="611"/>
      <c r="T2993" s="611"/>
    </row>
    <row r="2994" spans="1:20" s="88" customFormat="1" ht="12.75" hidden="1" x14ac:dyDescent="0.2">
      <c r="A2994" s="432" t="str">
        <f>IF(B2994="","",COUNT('Diário 1º PA'!$A$4:$A$2635)+ROW()-3)</f>
        <v/>
      </c>
      <c r="B2994" s="413"/>
      <c r="C2994" s="626"/>
      <c r="D2994" s="419"/>
      <c r="E2994" s="419"/>
      <c r="F2994" s="422"/>
      <c r="G2994" s="423"/>
      <c r="H2994" s="419"/>
      <c r="I2994" s="427"/>
      <c r="J2994" s="419"/>
      <c r="K2994" s="419"/>
      <c r="L2994" s="415"/>
      <c r="M2994" s="419"/>
      <c r="N2994" s="419"/>
      <c r="O2994" s="414"/>
      <c r="P2994" s="603">
        <f t="shared" si="390"/>
        <v>0</v>
      </c>
      <c r="Q2994" s="603">
        <f t="shared" si="390"/>
        <v>0</v>
      </c>
      <c r="R2994" s="610" t="str">
        <f t="shared" si="389"/>
        <v/>
      </c>
      <c r="S2994" s="611"/>
      <c r="T2994" s="611"/>
    </row>
    <row r="2995" spans="1:20" s="88" customFormat="1" ht="12.75" hidden="1" x14ac:dyDescent="0.2">
      <c r="A2995" s="432" t="str">
        <f>IF(B2995="","",COUNT('Diário 1º PA'!$A$4:$A$2635)+ROW()-3)</f>
        <v/>
      </c>
      <c r="B2995" s="413"/>
      <c r="C2995" s="626"/>
      <c r="D2995" s="419"/>
      <c r="E2995" s="419"/>
      <c r="F2995" s="422"/>
      <c r="G2995" s="423"/>
      <c r="H2995" s="419"/>
      <c r="I2995" s="427"/>
      <c r="J2995" s="419"/>
      <c r="K2995" s="419"/>
      <c r="L2995" s="415"/>
      <c r="M2995" s="419"/>
      <c r="N2995" s="419"/>
      <c r="O2995" s="414"/>
      <c r="P2995" s="603">
        <f t="shared" si="390"/>
        <v>0</v>
      </c>
      <c r="Q2995" s="603">
        <f t="shared" si="390"/>
        <v>0</v>
      </c>
      <c r="R2995" s="610" t="str">
        <f t="shared" si="389"/>
        <v/>
      </c>
      <c r="S2995" s="611"/>
      <c r="T2995" s="611"/>
    </row>
    <row r="2996" spans="1:20" s="88" customFormat="1" ht="12.75" hidden="1" x14ac:dyDescent="0.2">
      <c r="A2996" s="432" t="str">
        <f>IF(B2996="","",COUNT('Diário 1º PA'!$A$4:$A$2635)+ROW()-3)</f>
        <v/>
      </c>
      <c r="B2996" s="413"/>
      <c r="C2996" s="626"/>
      <c r="D2996" s="419"/>
      <c r="E2996" s="419"/>
      <c r="F2996" s="422"/>
      <c r="G2996" s="423"/>
      <c r="H2996" s="419"/>
      <c r="I2996" s="427"/>
      <c r="J2996" s="419"/>
      <c r="K2996" s="419"/>
      <c r="L2996" s="415"/>
      <c r="M2996" s="419"/>
      <c r="N2996" s="419"/>
      <c r="O2996" s="414"/>
      <c r="P2996" s="603">
        <f t="shared" si="390"/>
        <v>0</v>
      </c>
      <c r="Q2996" s="603">
        <f t="shared" si="390"/>
        <v>0</v>
      </c>
      <c r="R2996" s="610" t="str">
        <f t="shared" si="389"/>
        <v/>
      </c>
      <c r="S2996" s="611"/>
      <c r="T2996" s="611"/>
    </row>
    <row r="2997" spans="1:20" s="88" customFormat="1" ht="12.75" hidden="1" x14ac:dyDescent="0.2">
      <c r="A2997" s="432" t="str">
        <f>IF(B2997="","",COUNT('Diário 1º PA'!$A$4:$A$2635)+ROW()-3)</f>
        <v/>
      </c>
      <c r="B2997" s="413"/>
      <c r="C2997" s="626"/>
      <c r="D2997" s="419"/>
      <c r="E2997" s="419"/>
      <c r="F2997" s="422"/>
      <c r="G2997" s="423"/>
      <c r="H2997" s="419"/>
      <c r="I2997" s="427"/>
      <c r="J2997" s="419"/>
      <c r="K2997" s="419"/>
      <c r="L2997" s="415"/>
      <c r="M2997" s="419"/>
      <c r="N2997" s="419"/>
      <c r="O2997" s="414"/>
      <c r="P2997" s="603">
        <f t="shared" si="390"/>
        <v>0</v>
      </c>
      <c r="Q2997" s="603">
        <f t="shared" si="390"/>
        <v>0</v>
      </c>
      <c r="R2997" s="610" t="str">
        <f t="shared" si="389"/>
        <v/>
      </c>
      <c r="S2997" s="611"/>
      <c r="T2997" s="611"/>
    </row>
    <row r="2998" spans="1:20" s="88" customFormat="1" ht="12.75" hidden="1" x14ac:dyDescent="0.2">
      <c r="A2998" s="432" t="str">
        <f>IF(B2998="","",COUNT('Diário 1º PA'!$A$4:$A$2635)+ROW()-3)</f>
        <v/>
      </c>
      <c r="B2998" s="413"/>
      <c r="C2998" s="626"/>
      <c r="D2998" s="419"/>
      <c r="E2998" s="419"/>
      <c r="F2998" s="422"/>
      <c r="G2998" s="423"/>
      <c r="H2998" s="419"/>
      <c r="I2998" s="427"/>
      <c r="J2998" s="419"/>
      <c r="K2998" s="419"/>
      <c r="L2998" s="415"/>
      <c r="M2998" s="419"/>
      <c r="N2998" s="419"/>
      <c r="O2998" s="414"/>
      <c r="P2998" s="603">
        <f t="shared" si="390"/>
        <v>0</v>
      </c>
      <c r="Q2998" s="603">
        <f t="shared" si="390"/>
        <v>0</v>
      </c>
      <c r="R2998" s="610" t="str">
        <f t="shared" si="389"/>
        <v/>
      </c>
      <c r="S2998" s="611"/>
      <c r="T2998" s="611"/>
    </row>
    <row r="2999" spans="1:20" s="88" customFormat="1" ht="12.75" hidden="1" x14ac:dyDescent="0.2">
      <c r="A2999" s="432" t="str">
        <f>IF(B2999="","",COUNT('Diário 1º PA'!$A$4:$A$2635)+ROW()-3)</f>
        <v/>
      </c>
      <c r="B2999" s="413"/>
      <c r="C2999" s="626"/>
      <c r="D2999" s="419"/>
      <c r="E2999" s="419"/>
      <c r="F2999" s="422"/>
      <c r="G2999" s="423"/>
      <c r="H2999" s="419"/>
      <c r="I2999" s="427"/>
      <c r="J2999" s="419"/>
      <c r="K2999" s="419"/>
      <c r="L2999" s="415"/>
      <c r="M2999" s="419"/>
      <c r="N2999" s="419"/>
      <c r="O2999" s="414"/>
      <c r="P2999" s="603">
        <f t="shared" si="390"/>
        <v>0</v>
      </c>
      <c r="Q2999" s="603">
        <f t="shared" si="390"/>
        <v>0</v>
      </c>
      <c r="R2999" s="610" t="str">
        <f t="shared" si="389"/>
        <v/>
      </c>
      <c r="S2999" s="611"/>
      <c r="T2999" s="611"/>
    </row>
    <row r="3000" spans="1:20" s="88" customFormat="1" ht="12.75" hidden="1" x14ac:dyDescent="0.2">
      <c r="A3000" s="432" t="str">
        <f>IF(B3000="","",COUNT('Diário 1º PA'!$A$4:$A$2635)+ROW()-3)</f>
        <v/>
      </c>
      <c r="B3000" s="413"/>
      <c r="C3000" s="626"/>
      <c r="D3000" s="419"/>
      <c r="E3000" s="419"/>
      <c r="F3000" s="422"/>
      <c r="G3000" s="423"/>
      <c r="H3000" s="419"/>
      <c r="I3000" s="427"/>
      <c r="J3000" s="419"/>
      <c r="K3000" s="419"/>
      <c r="L3000" s="415"/>
      <c r="M3000" s="419"/>
      <c r="N3000" s="419"/>
      <c r="O3000" s="414"/>
      <c r="P3000" s="603">
        <f t="shared" si="390"/>
        <v>0</v>
      </c>
      <c r="Q3000" s="603">
        <f t="shared" si="390"/>
        <v>0</v>
      </c>
      <c r="R3000" s="610" t="str">
        <f t="shared" si="389"/>
        <v/>
      </c>
      <c r="S3000" s="611"/>
      <c r="T3000" s="611"/>
    </row>
    <row r="3001" spans="1:20" s="88" customFormat="1" ht="12.75" hidden="1" x14ac:dyDescent="0.2">
      <c r="A3001" s="432" t="str">
        <f>IF(B3001="","",COUNT('Diário 1º PA'!$A$4:$A$2635)+ROW()-3)</f>
        <v/>
      </c>
      <c r="B3001" s="413"/>
      <c r="C3001" s="626"/>
      <c r="D3001" s="419"/>
      <c r="E3001" s="419"/>
      <c r="F3001" s="422"/>
      <c r="G3001" s="423"/>
      <c r="H3001" s="419"/>
      <c r="I3001" s="427"/>
      <c r="J3001" s="419"/>
      <c r="K3001" s="419"/>
      <c r="L3001" s="415"/>
      <c r="M3001" s="419"/>
      <c r="N3001" s="419"/>
      <c r="O3001" s="414"/>
      <c r="P3001" s="603">
        <f t="shared" si="390"/>
        <v>0</v>
      </c>
      <c r="Q3001" s="603">
        <f t="shared" si="390"/>
        <v>0</v>
      </c>
      <c r="R3001" s="610" t="str">
        <f t="shared" si="389"/>
        <v/>
      </c>
      <c r="S3001" s="611"/>
      <c r="T3001" s="611"/>
    </row>
    <row r="3002" spans="1:20" s="88" customFormat="1" ht="12.75" hidden="1" x14ac:dyDescent="0.2">
      <c r="A3002" s="432" t="str">
        <f>IF(B3002="","",COUNT('Diário 1º PA'!$A$4:$A$2635)+ROW()-3)</f>
        <v/>
      </c>
      <c r="B3002" s="413"/>
      <c r="C3002" s="626"/>
      <c r="D3002" s="419"/>
      <c r="E3002" s="419"/>
      <c r="F3002" s="422"/>
      <c r="G3002" s="423"/>
      <c r="H3002" s="419"/>
      <c r="I3002" s="427"/>
      <c r="J3002" s="419"/>
      <c r="K3002" s="419"/>
      <c r="L3002" s="415"/>
      <c r="M3002" s="419"/>
      <c r="N3002" s="419"/>
      <c r="O3002" s="414"/>
      <c r="P3002" s="603">
        <f t="shared" si="390"/>
        <v>0</v>
      </c>
      <c r="Q3002" s="603">
        <f t="shared" si="390"/>
        <v>0</v>
      </c>
      <c r="R3002" s="610" t="str">
        <f t="shared" si="389"/>
        <v/>
      </c>
      <c r="S3002" s="611"/>
      <c r="T3002" s="611"/>
    </row>
    <row r="3003" spans="1:20" s="88" customFormat="1" ht="12.75" hidden="1" x14ac:dyDescent="0.2">
      <c r="A3003" s="432" t="str">
        <f>IF(B3003="","",COUNT('Diário 1º PA'!$A$4:$A$2635)+ROW()-3)</f>
        <v/>
      </c>
      <c r="B3003" s="413"/>
      <c r="C3003" s="626"/>
      <c r="D3003" s="419"/>
      <c r="E3003" s="419"/>
      <c r="F3003" s="422"/>
      <c r="G3003" s="423"/>
      <c r="H3003" s="419"/>
      <c r="I3003" s="427"/>
      <c r="J3003" s="419"/>
      <c r="K3003" s="419"/>
      <c r="L3003" s="415"/>
      <c r="M3003" s="419"/>
      <c r="N3003" s="419"/>
      <c r="O3003" s="414"/>
      <c r="P3003" s="603">
        <f t="shared" si="390"/>
        <v>0</v>
      </c>
      <c r="Q3003" s="603">
        <f t="shared" si="390"/>
        <v>0</v>
      </c>
      <c r="R3003" s="610" t="str">
        <f t="shared" si="389"/>
        <v/>
      </c>
      <c r="S3003" s="611"/>
      <c r="T3003" s="611"/>
    </row>
    <row r="3004" spans="1:20" s="88" customFormat="1" ht="12.75" hidden="1" x14ac:dyDescent="0.2">
      <c r="A3004" s="432" t="str">
        <f>IF(B3004="","",COUNT('Diário 1º PA'!$A$4:$A$2635)+ROW()-3)</f>
        <v/>
      </c>
      <c r="B3004" s="413"/>
      <c r="C3004" s="626"/>
      <c r="D3004" s="419"/>
      <c r="E3004" s="419"/>
      <c r="F3004" s="422"/>
      <c r="G3004" s="423"/>
      <c r="H3004" s="419"/>
      <c r="I3004" s="427"/>
      <c r="J3004" s="419"/>
      <c r="K3004" s="419"/>
      <c r="L3004" s="415"/>
      <c r="M3004" s="419"/>
      <c r="N3004" s="419"/>
      <c r="O3004" s="414"/>
      <c r="P3004" s="603">
        <f t="shared" si="390"/>
        <v>0</v>
      </c>
      <c r="Q3004" s="603">
        <f t="shared" si="390"/>
        <v>0</v>
      </c>
      <c r="R3004" s="610" t="str">
        <f t="shared" si="389"/>
        <v/>
      </c>
      <c r="S3004" s="611"/>
      <c r="T3004" s="611"/>
    </row>
    <row r="3005" spans="1:20" s="88" customFormat="1" ht="12.75" hidden="1" x14ac:dyDescent="0.2">
      <c r="A3005" s="432" t="str">
        <f>IF(B3005="","",COUNT('Diário 1º PA'!$A$4:$A$2635)+ROW()-3)</f>
        <v/>
      </c>
      <c r="B3005" s="413"/>
      <c r="C3005" s="626"/>
      <c r="D3005" s="419"/>
      <c r="E3005" s="419"/>
      <c r="F3005" s="422"/>
      <c r="G3005" s="423"/>
      <c r="H3005" s="419"/>
      <c r="I3005" s="427"/>
      <c r="J3005" s="419"/>
      <c r="K3005" s="419"/>
      <c r="L3005" s="415"/>
      <c r="M3005" s="419"/>
      <c r="N3005" s="419"/>
      <c r="O3005" s="414"/>
      <c r="P3005" s="603">
        <f t="shared" si="390"/>
        <v>0</v>
      </c>
      <c r="Q3005" s="603">
        <f t="shared" si="390"/>
        <v>0</v>
      </c>
      <c r="R3005" s="610" t="str">
        <f t="shared" si="389"/>
        <v/>
      </c>
      <c r="S3005" s="611"/>
      <c r="T3005" s="611"/>
    </row>
    <row r="3006" spans="1:20" s="88" customFormat="1" ht="12.75" hidden="1" x14ac:dyDescent="0.2">
      <c r="A3006" s="432" t="str">
        <f>IF(B3006="","",COUNT('Diário 1º PA'!$A$4:$A$2635)+ROW()-3)</f>
        <v/>
      </c>
      <c r="B3006" s="413"/>
      <c r="C3006" s="626"/>
      <c r="D3006" s="419"/>
      <c r="E3006" s="419"/>
      <c r="F3006" s="422"/>
      <c r="G3006" s="423"/>
      <c r="H3006" s="419"/>
      <c r="I3006" s="427"/>
      <c r="J3006" s="419"/>
      <c r="K3006" s="419"/>
      <c r="L3006" s="415"/>
      <c r="M3006" s="419"/>
      <c r="N3006" s="419"/>
      <c r="O3006" s="414"/>
      <c r="P3006" s="603">
        <f t="shared" si="390"/>
        <v>0</v>
      </c>
      <c r="Q3006" s="603">
        <f t="shared" si="390"/>
        <v>0</v>
      </c>
      <c r="R3006" s="610" t="str">
        <f t="shared" si="389"/>
        <v/>
      </c>
      <c r="S3006" s="611"/>
      <c r="T3006" s="611"/>
    </row>
    <row r="3007" spans="1:20" s="88" customFormat="1" ht="12.75" hidden="1" x14ac:dyDescent="0.2">
      <c r="A3007" s="432" t="str">
        <f>IF(B3007="","",COUNT('Diário 1º PA'!$A$4:$A$2635)+ROW()-3)</f>
        <v/>
      </c>
      <c r="B3007" s="413"/>
      <c r="C3007" s="626"/>
      <c r="D3007" s="419"/>
      <c r="E3007" s="419"/>
      <c r="F3007" s="422"/>
      <c r="G3007" s="423"/>
      <c r="H3007" s="419"/>
      <c r="I3007" s="427"/>
      <c r="J3007" s="419"/>
      <c r="K3007" s="419"/>
      <c r="L3007" s="415"/>
      <c r="M3007" s="419"/>
      <c r="N3007" s="419"/>
      <c r="O3007" s="414"/>
      <c r="P3007" s="603">
        <f t="shared" si="390"/>
        <v>0</v>
      </c>
      <c r="Q3007" s="603">
        <f t="shared" si="390"/>
        <v>0</v>
      </c>
      <c r="R3007" s="610" t="str">
        <f t="shared" si="389"/>
        <v/>
      </c>
      <c r="S3007" s="611"/>
      <c r="T3007" s="611"/>
    </row>
    <row r="3008" spans="1:20" s="88" customFormat="1" ht="12.75" hidden="1" x14ac:dyDescent="0.2">
      <c r="A3008" s="432" t="str">
        <f>IF(B3008="","",COUNT('Diário 1º PA'!$A$4:$A$2635)+ROW()-3)</f>
        <v/>
      </c>
      <c r="B3008" s="413"/>
      <c r="C3008" s="626"/>
      <c r="D3008" s="419"/>
      <c r="E3008" s="419"/>
      <c r="F3008" s="422"/>
      <c r="G3008" s="423"/>
      <c r="H3008" s="419"/>
      <c r="I3008" s="427"/>
      <c r="J3008" s="419"/>
      <c r="K3008" s="419"/>
      <c r="L3008" s="415"/>
      <c r="M3008" s="419"/>
      <c r="N3008" s="419"/>
      <c r="O3008" s="414"/>
      <c r="P3008" s="603">
        <f t="shared" si="390"/>
        <v>0</v>
      </c>
      <c r="Q3008" s="603">
        <f t="shared" si="390"/>
        <v>0</v>
      </c>
      <c r="R3008" s="610" t="str">
        <f t="shared" si="389"/>
        <v/>
      </c>
      <c r="S3008" s="611"/>
      <c r="T3008" s="611"/>
    </row>
    <row r="3009" spans="1:20" s="88" customFormat="1" ht="12.75" hidden="1" x14ac:dyDescent="0.2">
      <c r="A3009" s="432" t="str">
        <f>IF(B3009="","",COUNT('Diário 1º PA'!$A$4:$A$2635)+ROW()-3)</f>
        <v/>
      </c>
      <c r="B3009" s="413"/>
      <c r="C3009" s="626"/>
      <c r="D3009" s="419"/>
      <c r="E3009" s="419"/>
      <c r="F3009" s="422"/>
      <c r="G3009" s="423"/>
      <c r="H3009" s="419"/>
      <c r="I3009" s="427"/>
      <c r="J3009" s="419"/>
      <c r="K3009" s="419"/>
      <c r="L3009" s="415"/>
      <c r="M3009" s="419"/>
      <c r="N3009" s="419"/>
      <c r="O3009" s="414"/>
      <c r="P3009" s="603">
        <f t="shared" si="390"/>
        <v>0</v>
      </c>
      <c r="Q3009" s="603">
        <f t="shared" si="390"/>
        <v>0</v>
      </c>
      <c r="R3009" s="610" t="str">
        <f t="shared" si="389"/>
        <v/>
      </c>
      <c r="S3009" s="611"/>
      <c r="T3009" s="611"/>
    </row>
    <row r="3010" spans="1:20" s="88" customFormat="1" ht="12.75" hidden="1" x14ac:dyDescent="0.2">
      <c r="A3010" s="432" t="str">
        <f>IF(B3010="","",COUNT('Diário 1º PA'!$A$4:$A$2635)+ROW()-3)</f>
        <v/>
      </c>
      <c r="B3010" s="413"/>
      <c r="C3010" s="626"/>
      <c r="D3010" s="419"/>
      <c r="E3010" s="419"/>
      <c r="F3010" s="422"/>
      <c r="G3010" s="423"/>
      <c r="H3010" s="419"/>
      <c r="I3010" s="427"/>
      <c r="J3010" s="419"/>
      <c r="K3010" s="419"/>
      <c r="L3010" s="415"/>
      <c r="M3010" s="419"/>
      <c r="N3010" s="419"/>
      <c r="O3010" s="414"/>
      <c r="P3010" s="603">
        <f t="shared" si="390"/>
        <v>0</v>
      </c>
      <c r="Q3010" s="603">
        <f t="shared" si="390"/>
        <v>0</v>
      </c>
      <c r="R3010" s="610" t="str">
        <f t="shared" si="389"/>
        <v/>
      </c>
      <c r="S3010" s="611"/>
      <c r="T3010" s="611"/>
    </row>
    <row r="3011" spans="1:20" s="88" customFormat="1" ht="12.75" hidden="1" x14ac:dyDescent="0.2">
      <c r="A3011" s="432" t="str">
        <f>IF(B3011="","",COUNT('Diário 1º PA'!$A$4:$A$2635)+ROW()-3)</f>
        <v/>
      </c>
      <c r="B3011" s="413"/>
      <c r="C3011" s="626"/>
      <c r="D3011" s="419"/>
      <c r="E3011" s="419"/>
      <c r="F3011" s="422"/>
      <c r="G3011" s="423"/>
      <c r="H3011" s="419"/>
      <c r="I3011" s="427"/>
      <c r="J3011" s="419"/>
      <c r="K3011" s="419"/>
      <c r="L3011" s="415"/>
      <c r="M3011" s="419"/>
      <c r="N3011" s="419"/>
      <c r="O3011" s="414"/>
      <c r="P3011" s="603">
        <f t="shared" si="390"/>
        <v>0</v>
      </c>
      <c r="Q3011" s="603">
        <f t="shared" si="390"/>
        <v>0</v>
      </c>
      <c r="R3011" s="610" t="str">
        <f t="shared" si="389"/>
        <v/>
      </c>
      <c r="S3011" s="611"/>
      <c r="T3011" s="611"/>
    </row>
    <row r="3012" spans="1:20" s="88" customFormat="1" ht="12.75" hidden="1" x14ac:dyDescent="0.2">
      <c r="A3012" s="432" t="str">
        <f>IF(B3012="","",COUNT('Diário 1º PA'!$A$4:$A$2635)+ROW()-3)</f>
        <v/>
      </c>
      <c r="B3012" s="413"/>
      <c r="C3012" s="626"/>
      <c r="D3012" s="419"/>
      <c r="E3012" s="419"/>
      <c r="F3012" s="422"/>
      <c r="G3012" s="423"/>
      <c r="H3012" s="419"/>
      <c r="I3012" s="427"/>
      <c r="J3012" s="419"/>
      <c r="K3012" s="419"/>
      <c r="L3012" s="415"/>
      <c r="M3012" s="419"/>
      <c r="N3012" s="419"/>
      <c r="O3012" s="414"/>
      <c r="P3012" s="603">
        <f t="shared" si="390"/>
        <v>0</v>
      </c>
      <c r="Q3012" s="603">
        <f t="shared" si="390"/>
        <v>0</v>
      </c>
      <c r="R3012" s="610" t="str">
        <f t="shared" si="389"/>
        <v/>
      </c>
      <c r="S3012" s="611"/>
      <c r="T3012" s="611"/>
    </row>
    <row r="3013" spans="1:20" s="88" customFormat="1" ht="12.75" hidden="1" x14ac:dyDescent="0.2">
      <c r="A3013" s="432" t="str">
        <f>IF(B3013="","",COUNT('Diário 1º PA'!$A$4:$A$2635)+ROW()-3)</f>
        <v/>
      </c>
      <c r="B3013" s="413"/>
      <c r="C3013" s="626"/>
      <c r="D3013" s="419"/>
      <c r="E3013" s="419"/>
      <c r="F3013" s="422"/>
      <c r="G3013" s="423"/>
      <c r="H3013" s="419"/>
      <c r="I3013" s="427"/>
      <c r="J3013" s="419"/>
      <c r="K3013" s="419"/>
      <c r="L3013" s="415"/>
      <c r="M3013" s="419"/>
      <c r="N3013" s="419"/>
      <c r="O3013" s="414"/>
      <c r="P3013" s="603">
        <f t="shared" si="390"/>
        <v>0</v>
      </c>
      <c r="Q3013" s="603">
        <f t="shared" si="390"/>
        <v>0</v>
      </c>
      <c r="R3013" s="610" t="str">
        <f t="shared" si="389"/>
        <v/>
      </c>
      <c r="S3013" s="611"/>
      <c r="T3013" s="611"/>
    </row>
    <row r="3014" spans="1:20" s="88" customFormat="1" ht="12.75" hidden="1" x14ac:dyDescent="0.2">
      <c r="A3014" s="432" t="str">
        <f>IF(B3014="","",COUNT('Diário 1º PA'!$A$4:$A$2635)+ROW()-3)</f>
        <v/>
      </c>
      <c r="B3014" s="413"/>
      <c r="C3014" s="626"/>
      <c r="D3014" s="419"/>
      <c r="E3014" s="419"/>
      <c r="F3014" s="422"/>
      <c r="G3014" s="423"/>
      <c r="H3014" s="419"/>
      <c r="I3014" s="427"/>
      <c r="J3014" s="419"/>
      <c r="K3014" s="419"/>
      <c r="L3014" s="415"/>
      <c r="M3014" s="419"/>
      <c r="N3014" s="419"/>
      <c r="O3014" s="414"/>
      <c r="P3014" s="603">
        <f t="shared" si="390"/>
        <v>0</v>
      </c>
      <c r="Q3014" s="603">
        <f t="shared" si="390"/>
        <v>0</v>
      </c>
      <c r="R3014" s="610" t="str">
        <f t="shared" si="389"/>
        <v/>
      </c>
      <c r="S3014" s="611"/>
      <c r="T3014" s="611"/>
    </row>
    <row r="3015" spans="1:20" s="88" customFormat="1" ht="12.75" hidden="1" x14ac:dyDescent="0.2">
      <c r="A3015" s="432" t="str">
        <f>IF(B3015="","",COUNT('Diário 1º PA'!$A$4:$A$2635)+ROW()-3)</f>
        <v/>
      </c>
      <c r="B3015" s="413"/>
      <c r="C3015" s="626"/>
      <c r="D3015" s="419"/>
      <c r="E3015" s="419"/>
      <c r="F3015" s="422"/>
      <c r="G3015" s="423"/>
      <c r="H3015" s="419"/>
      <c r="I3015" s="427"/>
      <c r="J3015" s="419"/>
      <c r="K3015" s="419"/>
      <c r="L3015" s="415"/>
      <c r="M3015" s="419"/>
      <c r="N3015" s="419"/>
      <c r="O3015" s="414"/>
      <c r="P3015" s="603">
        <f t="shared" si="390"/>
        <v>0</v>
      </c>
      <c r="Q3015" s="603">
        <f t="shared" si="390"/>
        <v>0</v>
      </c>
      <c r="R3015" s="610" t="str">
        <f t="shared" si="389"/>
        <v/>
      </c>
      <c r="S3015" s="611"/>
      <c r="T3015" s="611"/>
    </row>
    <row r="3016" spans="1:20" s="88" customFormat="1" ht="12.75" hidden="1" x14ac:dyDescent="0.2">
      <c r="A3016" s="432" t="str">
        <f>IF(B3016="","",COUNT('Diário 1º PA'!$A$4:$A$2635)+ROW()-3)</f>
        <v/>
      </c>
      <c r="B3016" s="413"/>
      <c r="C3016" s="626"/>
      <c r="D3016" s="419"/>
      <c r="E3016" s="419"/>
      <c r="F3016" s="422"/>
      <c r="G3016" s="423"/>
      <c r="H3016" s="419"/>
      <c r="I3016" s="427"/>
      <c r="J3016" s="419"/>
      <c r="K3016" s="419"/>
      <c r="L3016" s="415"/>
      <c r="M3016" s="419"/>
      <c r="N3016" s="419"/>
      <c r="O3016" s="414"/>
      <c r="P3016" s="603">
        <f t="shared" si="390"/>
        <v>0</v>
      </c>
      <c r="Q3016" s="603">
        <f t="shared" si="390"/>
        <v>0</v>
      </c>
      <c r="R3016" s="610" t="str">
        <f t="shared" si="389"/>
        <v/>
      </c>
      <c r="S3016" s="611"/>
      <c r="T3016" s="611"/>
    </row>
    <row r="3017" spans="1:20" s="88" customFormat="1" ht="12.75" hidden="1" x14ac:dyDescent="0.2">
      <c r="A3017" s="432" t="str">
        <f>IF(B3017="","",COUNT('Diário 1º PA'!$A$4:$A$2635)+ROW()-3)</f>
        <v/>
      </c>
      <c r="B3017" s="413"/>
      <c r="C3017" s="626"/>
      <c r="D3017" s="419"/>
      <c r="E3017" s="419"/>
      <c r="F3017" s="422"/>
      <c r="G3017" s="423"/>
      <c r="H3017" s="419"/>
      <c r="I3017" s="427"/>
      <c r="J3017" s="419"/>
      <c r="K3017" s="419"/>
      <c r="L3017" s="415"/>
      <c r="M3017" s="419"/>
      <c r="N3017" s="419"/>
      <c r="O3017" s="414"/>
      <c r="P3017" s="603">
        <f t="shared" si="390"/>
        <v>0</v>
      </c>
      <c r="Q3017" s="603">
        <f t="shared" si="390"/>
        <v>0</v>
      </c>
      <c r="R3017" s="610" t="str">
        <f t="shared" si="389"/>
        <v/>
      </c>
      <c r="S3017" s="611"/>
      <c r="T3017" s="611"/>
    </row>
    <row r="3018" spans="1:20" s="88" customFormat="1" ht="12.75" hidden="1" x14ac:dyDescent="0.2">
      <c r="A3018" s="432" t="str">
        <f>IF(B3018="","",COUNT('Diário 1º PA'!$A$4:$A$2635)+ROW()-3)</f>
        <v/>
      </c>
      <c r="B3018" s="413"/>
      <c r="C3018" s="626"/>
      <c r="D3018" s="419"/>
      <c r="E3018" s="419"/>
      <c r="F3018" s="422"/>
      <c r="G3018" s="423"/>
      <c r="H3018" s="419"/>
      <c r="I3018" s="427"/>
      <c r="J3018" s="419"/>
      <c r="K3018" s="419"/>
      <c r="L3018" s="415"/>
      <c r="M3018" s="419"/>
      <c r="N3018" s="419"/>
      <c r="O3018" s="414"/>
      <c r="P3018" s="603">
        <f t="shared" si="390"/>
        <v>0</v>
      </c>
      <c r="Q3018" s="603">
        <f t="shared" si="390"/>
        <v>0</v>
      </c>
      <c r="R3018" s="610" t="str">
        <f t="shared" si="389"/>
        <v/>
      </c>
      <c r="S3018" s="611"/>
      <c r="T3018" s="611"/>
    </row>
    <row r="3019" spans="1:20" s="88" customFormat="1" ht="12.75" hidden="1" x14ac:dyDescent="0.2">
      <c r="A3019" s="432" t="str">
        <f>IF(B3019="","",COUNT('Diário 1º PA'!$A$4:$A$2635)+ROW()-3)</f>
        <v/>
      </c>
      <c r="B3019" s="413"/>
      <c r="C3019" s="626"/>
      <c r="D3019" s="419"/>
      <c r="E3019" s="419"/>
      <c r="F3019" s="422"/>
      <c r="G3019" s="423"/>
      <c r="H3019" s="419"/>
      <c r="I3019" s="427"/>
      <c r="J3019" s="419"/>
      <c r="K3019" s="419"/>
      <c r="L3019" s="415"/>
      <c r="M3019" s="419"/>
      <c r="N3019" s="419"/>
      <c r="O3019" s="414"/>
      <c r="P3019" s="603">
        <f t="shared" si="390"/>
        <v>0</v>
      </c>
      <c r="Q3019" s="603">
        <f t="shared" si="390"/>
        <v>0</v>
      </c>
      <c r="R3019" s="610" t="str">
        <f t="shared" si="389"/>
        <v/>
      </c>
      <c r="S3019" s="611"/>
      <c r="T3019" s="611"/>
    </row>
    <row r="3020" spans="1:20" s="88" customFormat="1" ht="12.75" hidden="1" x14ac:dyDescent="0.2">
      <c r="A3020" s="432" t="str">
        <f>IF(B3020="","",COUNT('Diário 1º PA'!$A$4:$A$2635)+ROW()-3)</f>
        <v/>
      </c>
      <c r="B3020" s="413"/>
      <c r="C3020" s="626"/>
      <c r="D3020" s="419"/>
      <c r="E3020" s="419"/>
      <c r="F3020" s="422"/>
      <c r="G3020" s="423"/>
      <c r="H3020" s="419"/>
      <c r="I3020" s="427"/>
      <c r="J3020" s="419"/>
      <c r="K3020" s="419"/>
      <c r="L3020" s="415"/>
      <c r="M3020" s="419"/>
      <c r="N3020" s="419"/>
      <c r="O3020" s="414"/>
      <c r="P3020" s="603">
        <f t="shared" si="390"/>
        <v>0</v>
      </c>
      <c r="Q3020" s="603">
        <f t="shared" si="390"/>
        <v>0</v>
      </c>
      <c r="R3020" s="610" t="str">
        <f t="shared" si="389"/>
        <v/>
      </c>
      <c r="S3020" s="611"/>
      <c r="T3020" s="611"/>
    </row>
    <row r="3021" spans="1:20" s="88" customFormat="1" ht="12.75" hidden="1" x14ac:dyDescent="0.2">
      <c r="A3021" s="432" t="str">
        <f>IF(B3021="","",COUNT('Diário 1º PA'!$A$4:$A$2635)+ROW()-3)</f>
        <v/>
      </c>
      <c r="B3021" s="413"/>
      <c r="C3021" s="626"/>
      <c r="D3021" s="419"/>
      <c r="E3021" s="419"/>
      <c r="F3021" s="422"/>
      <c r="G3021" s="423"/>
      <c r="H3021" s="419"/>
      <c r="I3021" s="427"/>
      <c r="J3021" s="419"/>
      <c r="K3021" s="419"/>
      <c r="L3021" s="415"/>
      <c r="M3021" s="419"/>
      <c r="N3021" s="419"/>
      <c r="O3021" s="414"/>
      <c r="P3021" s="603">
        <f t="shared" si="390"/>
        <v>0</v>
      </c>
      <c r="Q3021" s="603">
        <f t="shared" si="390"/>
        <v>0</v>
      </c>
      <c r="R3021" s="610" t="str">
        <f t="shared" si="389"/>
        <v/>
      </c>
      <c r="S3021" s="611"/>
      <c r="T3021" s="611"/>
    </row>
    <row r="3022" spans="1:20" s="88" customFormat="1" ht="12.75" hidden="1" x14ac:dyDescent="0.2">
      <c r="A3022" s="432" t="str">
        <f>IF(B3022="","",COUNT('Diário 1º PA'!$A$4:$A$2635)+ROW()-3)</f>
        <v/>
      </c>
      <c r="B3022" s="413"/>
      <c r="C3022" s="626"/>
      <c r="D3022" s="419"/>
      <c r="E3022" s="419"/>
      <c r="F3022" s="422"/>
      <c r="G3022" s="423"/>
      <c r="H3022" s="419"/>
      <c r="I3022" s="427"/>
      <c r="J3022" s="419"/>
      <c r="K3022" s="419"/>
      <c r="L3022" s="415"/>
      <c r="M3022" s="419"/>
      <c r="N3022" s="419"/>
      <c r="O3022" s="414"/>
      <c r="P3022" s="603">
        <f t="shared" si="390"/>
        <v>0</v>
      </c>
      <c r="Q3022" s="603">
        <f t="shared" si="390"/>
        <v>0</v>
      </c>
      <c r="R3022" s="610" t="str">
        <f t="shared" si="389"/>
        <v/>
      </c>
      <c r="S3022" s="611"/>
      <c r="T3022" s="611"/>
    </row>
    <row r="3023" spans="1:20" s="88" customFormat="1" ht="12.75" hidden="1" x14ac:dyDescent="0.2">
      <c r="A3023" s="432" t="str">
        <f>IF(B3023="","",COUNT('Diário 1º PA'!$A$4:$A$2635)+ROW()-3)</f>
        <v/>
      </c>
      <c r="B3023" s="413"/>
      <c r="C3023" s="626"/>
      <c r="D3023" s="419"/>
      <c r="E3023" s="419"/>
      <c r="F3023" s="422"/>
      <c r="G3023" s="423"/>
      <c r="H3023" s="419"/>
      <c r="I3023" s="427"/>
      <c r="J3023" s="419"/>
      <c r="K3023" s="419"/>
      <c r="L3023" s="415"/>
      <c r="M3023" s="419"/>
      <c r="N3023" s="419"/>
      <c r="O3023" s="414"/>
      <c r="P3023" s="603">
        <f t="shared" si="390"/>
        <v>0</v>
      </c>
      <c r="Q3023" s="603">
        <f t="shared" si="390"/>
        <v>0</v>
      </c>
      <c r="R3023" s="610" t="str">
        <f t="shared" si="389"/>
        <v/>
      </c>
      <c r="S3023" s="611"/>
      <c r="T3023" s="611"/>
    </row>
    <row r="3024" spans="1:20" s="88" customFormat="1" ht="12.75" hidden="1" x14ac:dyDescent="0.2">
      <c r="A3024" s="432" t="str">
        <f>IF(B3024="","",COUNT('Diário 1º PA'!$A$4:$A$2635)+ROW()-3)</f>
        <v/>
      </c>
      <c r="B3024" s="413"/>
      <c r="C3024" s="626"/>
      <c r="D3024" s="419"/>
      <c r="E3024" s="419"/>
      <c r="F3024" s="422"/>
      <c r="G3024" s="423"/>
      <c r="H3024" s="419"/>
      <c r="I3024" s="427"/>
      <c r="J3024" s="419"/>
      <c r="K3024" s="419"/>
      <c r="L3024" s="415"/>
      <c r="M3024" s="419"/>
      <c r="N3024" s="419"/>
      <c r="O3024" s="414"/>
      <c r="P3024" s="603">
        <f t="shared" si="390"/>
        <v>0</v>
      </c>
      <c r="Q3024" s="603">
        <f t="shared" si="390"/>
        <v>0</v>
      </c>
      <c r="R3024" s="610" t="str">
        <f t="shared" si="389"/>
        <v/>
      </c>
      <c r="S3024" s="611"/>
      <c r="T3024" s="611"/>
    </row>
    <row r="3025" spans="1:20" s="88" customFormat="1" ht="12.75" hidden="1" x14ac:dyDescent="0.2">
      <c r="A3025" s="432" t="str">
        <f>IF(B3025="","",COUNT('Diário 1º PA'!$A$4:$A$2635)+ROW()-3)</f>
        <v/>
      </c>
      <c r="B3025" s="413"/>
      <c r="C3025" s="626"/>
      <c r="D3025" s="419"/>
      <c r="E3025" s="419"/>
      <c r="F3025" s="422"/>
      <c r="G3025" s="423"/>
      <c r="H3025" s="419"/>
      <c r="I3025" s="427"/>
      <c r="J3025" s="419"/>
      <c r="K3025" s="419"/>
      <c r="L3025" s="415"/>
      <c r="M3025" s="419"/>
      <c r="N3025" s="419"/>
      <c r="O3025" s="414"/>
      <c r="P3025" s="603">
        <f t="shared" si="390"/>
        <v>0</v>
      </c>
      <c r="Q3025" s="603">
        <f t="shared" si="390"/>
        <v>0</v>
      </c>
      <c r="R3025" s="610" t="str">
        <f t="shared" si="389"/>
        <v/>
      </c>
      <c r="S3025" s="611"/>
      <c r="T3025" s="611"/>
    </row>
    <row r="3026" spans="1:20" s="88" customFormat="1" ht="12.75" hidden="1" x14ac:dyDescent="0.2">
      <c r="A3026" s="432" t="str">
        <f>IF(B3026="","",COUNT('Diário 1º PA'!$A$4:$A$2635)+ROW()-3)</f>
        <v/>
      </c>
      <c r="B3026" s="413"/>
      <c r="C3026" s="626"/>
      <c r="D3026" s="419"/>
      <c r="E3026" s="419"/>
      <c r="F3026" s="422"/>
      <c r="G3026" s="423"/>
      <c r="H3026" s="419"/>
      <c r="I3026" s="427"/>
      <c r="J3026" s="419"/>
      <c r="K3026" s="419"/>
      <c r="L3026" s="415"/>
      <c r="M3026" s="419"/>
      <c r="N3026" s="419"/>
      <c r="O3026" s="414"/>
      <c r="P3026" s="603">
        <f t="shared" si="390"/>
        <v>0</v>
      </c>
      <c r="Q3026" s="603">
        <f t="shared" si="390"/>
        <v>0</v>
      </c>
      <c r="R3026" s="610" t="str">
        <f t="shared" si="389"/>
        <v/>
      </c>
      <c r="S3026" s="611"/>
      <c r="T3026" s="611"/>
    </row>
    <row r="3027" spans="1:20" s="88" customFormat="1" ht="12.75" hidden="1" x14ac:dyDescent="0.2">
      <c r="A3027" s="432" t="str">
        <f>IF(B3027="","",COUNT('Diário 1º PA'!$A$4:$A$2635)+ROW()-3)</f>
        <v/>
      </c>
      <c r="B3027" s="413"/>
      <c r="C3027" s="626"/>
      <c r="D3027" s="419"/>
      <c r="E3027" s="419"/>
      <c r="F3027" s="422"/>
      <c r="G3027" s="423"/>
      <c r="H3027" s="419"/>
      <c r="I3027" s="427"/>
      <c r="J3027" s="419"/>
      <c r="K3027" s="419"/>
      <c r="L3027" s="415"/>
      <c r="M3027" s="419"/>
      <c r="N3027" s="419"/>
      <c r="O3027" s="414"/>
      <c r="P3027" s="603">
        <f t="shared" si="390"/>
        <v>0</v>
      </c>
      <c r="Q3027" s="603">
        <f t="shared" si="390"/>
        <v>0</v>
      </c>
      <c r="R3027" s="610" t="str">
        <f t="shared" si="389"/>
        <v/>
      </c>
      <c r="S3027" s="611"/>
      <c r="T3027" s="611"/>
    </row>
    <row r="3028" spans="1:20" s="88" customFormat="1" ht="12.75" hidden="1" x14ac:dyDescent="0.2">
      <c r="A3028" s="432" t="str">
        <f>IF(B3028="","",COUNT('Diário 1º PA'!$A$4:$A$2635)+ROW()-3)</f>
        <v/>
      </c>
      <c r="B3028" s="413"/>
      <c r="C3028" s="626"/>
      <c r="D3028" s="419"/>
      <c r="E3028" s="419"/>
      <c r="F3028" s="422"/>
      <c r="G3028" s="423"/>
      <c r="H3028" s="419"/>
      <c r="I3028" s="427"/>
      <c r="J3028" s="419"/>
      <c r="K3028" s="419"/>
      <c r="L3028" s="415"/>
      <c r="M3028" s="419"/>
      <c r="N3028" s="419"/>
      <c r="O3028" s="414"/>
      <c r="P3028" s="603">
        <f t="shared" si="390"/>
        <v>0</v>
      </c>
      <c r="Q3028" s="603">
        <f t="shared" si="390"/>
        <v>0</v>
      </c>
      <c r="R3028" s="610" t="str">
        <f t="shared" si="389"/>
        <v/>
      </c>
      <c r="S3028" s="611"/>
      <c r="T3028" s="611"/>
    </row>
    <row r="3029" spans="1:20" s="88" customFormat="1" ht="12.75" hidden="1" x14ac:dyDescent="0.2">
      <c r="A3029" s="432" t="str">
        <f>IF(B3029="","",COUNT('Diário 1º PA'!$A$4:$A$2635)+ROW()-3)</f>
        <v/>
      </c>
      <c r="B3029" s="413"/>
      <c r="C3029" s="626"/>
      <c r="D3029" s="419"/>
      <c r="E3029" s="419"/>
      <c r="F3029" s="422"/>
      <c r="G3029" s="423"/>
      <c r="H3029" s="419"/>
      <c r="I3029" s="427"/>
      <c r="J3029" s="419"/>
      <c r="K3029" s="419"/>
      <c r="L3029" s="415"/>
      <c r="M3029" s="419"/>
      <c r="N3029" s="419"/>
      <c r="O3029" s="414"/>
      <c r="P3029" s="603">
        <f t="shared" si="390"/>
        <v>0</v>
      </c>
      <c r="Q3029" s="603">
        <f t="shared" si="390"/>
        <v>0</v>
      </c>
      <c r="R3029" s="610" t="str">
        <f t="shared" si="389"/>
        <v/>
      </c>
      <c r="S3029" s="611"/>
      <c r="T3029" s="611"/>
    </row>
    <row r="3030" spans="1:20" s="88" customFormat="1" ht="12.75" hidden="1" x14ac:dyDescent="0.2">
      <c r="A3030" s="432" t="str">
        <f>IF(B3030="","",COUNT('Diário 1º PA'!$A$4:$A$2635)+ROW()-3)</f>
        <v/>
      </c>
      <c r="B3030" s="413"/>
      <c r="C3030" s="626"/>
      <c r="D3030" s="419"/>
      <c r="E3030" s="419"/>
      <c r="F3030" s="422"/>
      <c r="G3030" s="423"/>
      <c r="H3030" s="419"/>
      <c r="I3030" s="427"/>
      <c r="J3030" s="419"/>
      <c r="K3030" s="419"/>
      <c r="L3030" s="415"/>
      <c r="M3030" s="419"/>
      <c r="N3030" s="419"/>
      <c r="O3030" s="414"/>
      <c r="P3030" s="603">
        <f t="shared" si="390"/>
        <v>0</v>
      </c>
      <c r="Q3030" s="603">
        <f t="shared" si="390"/>
        <v>0</v>
      </c>
      <c r="R3030" s="610" t="str">
        <f t="shared" si="389"/>
        <v/>
      </c>
      <c r="S3030" s="611"/>
      <c r="T3030" s="611"/>
    </row>
    <row r="3031" spans="1:20" s="88" customFormat="1" ht="12.75" hidden="1" x14ac:dyDescent="0.2">
      <c r="A3031" s="432" t="str">
        <f>IF(B3031="","",COUNT('Diário 1º PA'!$A$4:$A$2635)+ROW()-3)</f>
        <v/>
      </c>
      <c r="B3031" s="413"/>
      <c r="C3031" s="626"/>
      <c r="D3031" s="419"/>
      <c r="E3031" s="419"/>
      <c r="F3031" s="422"/>
      <c r="G3031" s="423"/>
      <c r="H3031" s="419"/>
      <c r="I3031" s="427"/>
      <c r="J3031" s="419"/>
      <c r="K3031" s="419"/>
      <c r="L3031" s="415"/>
      <c r="M3031" s="419"/>
      <c r="N3031" s="419"/>
      <c r="O3031" s="414"/>
      <c r="P3031" s="603">
        <f t="shared" si="390"/>
        <v>0</v>
      </c>
      <c r="Q3031" s="603">
        <f t="shared" si="390"/>
        <v>0</v>
      </c>
      <c r="R3031" s="610" t="str">
        <f t="shared" si="389"/>
        <v/>
      </c>
      <c r="S3031" s="611"/>
      <c r="T3031" s="611"/>
    </row>
    <row r="3032" spans="1:20" s="88" customFormat="1" ht="12.75" hidden="1" x14ac:dyDescent="0.2">
      <c r="A3032" s="432" t="str">
        <f>IF(B3032="","",COUNT('Diário 1º PA'!$A$4:$A$2635)+ROW()-3)</f>
        <v/>
      </c>
      <c r="B3032" s="413"/>
      <c r="C3032" s="626"/>
      <c r="D3032" s="419"/>
      <c r="E3032" s="419"/>
      <c r="F3032" s="422"/>
      <c r="G3032" s="423"/>
      <c r="H3032" s="419"/>
      <c r="I3032" s="427"/>
      <c r="J3032" s="419"/>
      <c r="K3032" s="419"/>
      <c r="L3032" s="415"/>
      <c r="M3032" s="419"/>
      <c r="N3032" s="419"/>
      <c r="O3032" s="414"/>
      <c r="P3032" s="603">
        <f t="shared" si="390"/>
        <v>0</v>
      </c>
      <c r="Q3032" s="603">
        <f t="shared" si="390"/>
        <v>0</v>
      </c>
      <c r="R3032" s="610" t="str">
        <f t="shared" si="389"/>
        <v/>
      </c>
      <c r="S3032" s="611"/>
      <c r="T3032" s="611"/>
    </row>
    <row r="3033" spans="1:20" s="88" customFormat="1" ht="12.75" hidden="1" x14ac:dyDescent="0.2">
      <c r="A3033" s="432" t="str">
        <f>IF(B3033="","",COUNT('Diário 1º PA'!$A$4:$A$2635)+ROW()-3)</f>
        <v/>
      </c>
      <c r="B3033" s="413"/>
      <c r="C3033" s="626"/>
      <c r="D3033" s="419"/>
      <c r="E3033" s="419"/>
      <c r="F3033" s="422"/>
      <c r="G3033" s="423"/>
      <c r="H3033" s="419"/>
      <c r="I3033" s="427"/>
      <c r="J3033" s="419"/>
      <c r="K3033" s="419"/>
      <c r="L3033" s="415"/>
      <c r="M3033" s="419"/>
      <c r="N3033" s="419"/>
      <c r="O3033" s="414"/>
      <c r="P3033" s="603">
        <f t="shared" si="390"/>
        <v>0</v>
      </c>
      <c r="Q3033" s="603">
        <f t="shared" si="390"/>
        <v>0</v>
      </c>
      <c r="R3033" s="610" t="str">
        <f t="shared" si="389"/>
        <v/>
      </c>
      <c r="S3033" s="611"/>
      <c r="T3033" s="611"/>
    </row>
    <row r="3034" spans="1:20" s="88" customFormat="1" ht="12.75" hidden="1" x14ac:dyDescent="0.2">
      <c r="A3034" s="432" t="str">
        <f>IF(B3034="","",COUNT('Diário 1º PA'!$A$4:$A$2635)+ROW()-3)</f>
        <v/>
      </c>
      <c r="B3034" s="413"/>
      <c r="C3034" s="626"/>
      <c r="D3034" s="419"/>
      <c r="E3034" s="419"/>
      <c r="F3034" s="422"/>
      <c r="G3034" s="423"/>
      <c r="H3034" s="419"/>
      <c r="I3034" s="427"/>
      <c r="J3034" s="419"/>
      <c r="K3034" s="419"/>
      <c r="L3034" s="415"/>
      <c r="M3034" s="419"/>
      <c r="N3034" s="419"/>
      <c r="O3034" s="414"/>
      <c r="P3034" s="603">
        <f t="shared" si="390"/>
        <v>0</v>
      </c>
      <c r="Q3034" s="603">
        <f t="shared" si="390"/>
        <v>0</v>
      </c>
      <c r="R3034" s="610" t="str">
        <f t="shared" si="389"/>
        <v/>
      </c>
      <c r="S3034" s="611"/>
      <c r="T3034" s="611"/>
    </row>
    <row r="3035" spans="1:20" s="88" customFormat="1" ht="12.75" hidden="1" x14ac:dyDescent="0.2">
      <c r="A3035" s="432" t="str">
        <f>IF(B3035="","",COUNT('Diário 1º PA'!$A$4:$A$2635)+ROW()-3)</f>
        <v/>
      </c>
      <c r="B3035" s="413"/>
      <c r="C3035" s="626"/>
      <c r="D3035" s="419"/>
      <c r="E3035" s="419"/>
      <c r="F3035" s="422"/>
      <c r="G3035" s="423"/>
      <c r="H3035" s="419"/>
      <c r="I3035" s="427"/>
      <c r="J3035" s="419"/>
      <c r="K3035" s="419"/>
      <c r="L3035" s="415"/>
      <c r="M3035" s="419"/>
      <c r="N3035" s="419"/>
      <c r="O3035" s="414"/>
      <c r="P3035" s="603">
        <f t="shared" si="390"/>
        <v>0</v>
      </c>
      <c r="Q3035" s="603">
        <f t="shared" si="390"/>
        <v>0</v>
      </c>
      <c r="R3035" s="610" t="str">
        <f t="shared" si="389"/>
        <v/>
      </c>
      <c r="S3035" s="611"/>
      <c r="T3035" s="611"/>
    </row>
    <row r="3036" spans="1:20" s="88" customFormat="1" ht="12.75" hidden="1" x14ac:dyDescent="0.2">
      <c r="A3036" s="617" t="str">
        <f>IF(B3036="","",COUNT('Diário 1º PA'!$A$4:$A$2635)+ROW()-3)</f>
        <v/>
      </c>
      <c r="B3036" s="618"/>
      <c r="C3036" s="619"/>
      <c r="D3036" s="620"/>
      <c r="E3036" s="620"/>
      <c r="F3036" s="621"/>
      <c r="G3036" s="647"/>
      <c r="H3036" s="620"/>
      <c r="I3036" s="704"/>
      <c r="J3036" s="620"/>
      <c r="K3036" s="620"/>
      <c r="L3036" s="462"/>
      <c r="M3036" s="620"/>
      <c r="N3036" s="622"/>
      <c r="O3036" s="581"/>
      <c r="P3036" s="608">
        <f t="shared" si="390"/>
        <v>0</v>
      </c>
      <c r="Q3036" s="608">
        <f t="shared" si="390"/>
        <v>0</v>
      </c>
      <c r="R3036" s="609" t="str">
        <f t="shared" si="389"/>
        <v/>
      </c>
      <c r="S3036" s="602"/>
      <c r="T3036" s="602"/>
    </row>
    <row r="3037" spans="1:20" s="88" customFormat="1" ht="12.75" hidden="1" x14ac:dyDescent="0.2">
      <c r="A3037" s="352" t="str">
        <f>IF(B3037="","",COUNT('Diário 1º PA'!$A$4:$A$2635)+ROW()-3)</f>
        <v/>
      </c>
      <c r="B3037" s="600"/>
      <c r="C3037" s="356"/>
      <c r="D3037" s="343"/>
      <c r="E3037" s="343"/>
      <c r="F3037" s="344"/>
      <c r="G3037" s="648"/>
      <c r="H3037" s="343"/>
      <c r="I3037" s="705"/>
      <c r="J3037" s="343"/>
      <c r="K3037" s="343"/>
      <c r="L3037" s="345"/>
      <c r="M3037" s="343"/>
      <c r="N3037" s="598"/>
      <c r="O3037" s="585"/>
      <c r="P3037" s="603">
        <f t="shared" si="390"/>
        <v>0</v>
      </c>
      <c r="Q3037" s="608">
        <f t="shared" si="390"/>
        <v>0</v>
      </c>
      <c r="R3037" s="610" t="str">
        <f t="shared" si="389"/>
        <v/>
      </c>
      <c r="S3037" s="602"/>
      <c r="T3037" s="602"/>
    </row>
    <row r="3038" spans="1:20" s="88" customFormat="1" ht="12.75" hidden="1" x14ac:dyDescent="0.2">
      <c r="A3038" s="352" t="str">
        <f>IF(B3038="","",COUNT('Diário 1º PA'!$A$4:$A$2635)+ROW()-3)</f>
        <v/>
      </c>
      <c r="B3038" s="600"/>
      <c r="C3038" s="356"/>
      <c r="D3038" s="343"/>
      <c r="E3038" s="343"/>
      <c r="F3038" s="344"/>
      <c r="G3038" s="648"/>
      <c r="H3038" s="343"/>
      <c r="I3038" s="705"/>
      <c r="J3038" s="343"/>
      <c r="K3038" s="343"/>
      <c r="L3038" s="345"/>
      <c r="M3038" s="343"/>
      <c r="N3038" s="598"/>
      <c r="O3038" s="585"/>
      <c r="P3038" s="603">
        <f t="shared" si="390"/>
        <v>0</v>
      </c>
      <c r="Q3038" s="608">
        <f t="shared" si="390"/>
        <v>0</v>
      </c>
      <c r="R3038" s="610" t="str">
        <f t="shared" si="389"/>
        <v/>
      </c>
      <c r="S3038" s="602"/>
      <c r="T3038" s="602"/>
    </row>
    <row r="3039" spans="1:20" s="88" customFormat="1" ht="12.75" hidden="1" x14ac:dyDescent="0.2">
      <c r="A3039" s="352" t="str">
        <f>IF(B3039="","",COUNT('Diário 1º PA'!$A$4:$A$2635)+ROW()-3)</f>
        <v/>
      </c>
      <c r="B3039" s="600"/>
      <c r="C3039" s="356"/>
      <c r="D3039" s="343"/>
      <c r="E3039" s="343"/>
      <c r="F3039" s="344"/>
      <c r="G3039" s="648"/>
      <c r="H3039" s="343"/>
      <c r="I3039" s="705"/>
      <c r="J3039" s="343"/>
      <c r="K3039" s="343"/>
      <c r="L3039" s="345"/>
      <c r="M3039" s="343"/>
      <c r="N3039" s="598"/>
      <c r="O3039" s="585"/>
      <c r="P3039" s="603">
        <f t="shared" si="390"/>
        <v>0</v>
      </c>
      <c r="Q3039" s="608">
        <f t="shared" si="390"/>
        <v>0</v>
      </c>
      <c r="R3039" s="610" t="str">
        <f t="shared" si="389"/>
        <v/>
      </c>
      <c r="S3039" s="602"/>
      <c r="T3039" s="602"/>
    </row>
    <row r="3040" spans="1:20" s="88" customFormat="1" ht="12.75" hidden="1" x14ac:dyDescent="0.2">
      <c r="A3040" s="352" t="str">
        <f>IF(B3040="","",COUNT('Diário 1º PA'!$A$4:$A$2635)+ROW()-3)</f>
        <v/>
      </c>
      <c r="B3040" s="600"/>
      <c r="C3040" s="356"/>
      <c r="D3040" s="343"/>
      <c r="E3040" s="343"/>
      <c r="F3040" s="344"/>
      <c r="G3040" s="648"/>
      <c r="H3040" s="343"/>
      <c r="I3040" s="705"/>
      <c r="J3040" s="343"/>
      <c r="K3040" s="343"/>
      <c r="L3040" s="345"/>
      <c r="M3040" s="343"/>
      <c r="N3040" s="598"/>
      <c r="O3040" s="585"/>
      <c r="P3040" s="603">
        <f t="shared" si="390"/>
        <v>0</v>
      </c>
      <c r="Q3040" s="608">
        <f t="shared" si="390"/>
        <v>0</v>
      </c>
      <c r="R3040" s="610" t="str">
        <f t="shared" si="389"/>
        <v/>
      </c>
      <c r="S3040" s="602"/>
      <c r="T3040" s="602"/>
    </row>
  </sheetData>
  <sheetProtection formatColumns="0" formatRows="0" insertColumns="0" insertRows="0" deleteRows="0" autoFilter="0"/>
  <autoFilter ref="A3:T3040" xr:uid="{00000000-0009-0000-0000-00000B000000}"/>
  <mergeCells count="2">
    <mergeCell ref="A1:N1"/>
    <mergeCell ref="A2:N2"/>
  </mergeCells>
  <phoneticPr fontId="14" type="noConversion"/>
  <dataValidations count="5">
    <dataValidation type="list" allowBlank="1" showInputMessage="1" showErrorMessage="1" sqref="H199:I199 H512:H792 H387:H466 H48:H198 H470:H476 H478:H504 G511:H511 H507:H510 H794:H817 H819:H1242 H200:H385 H1244:H1410 H4:H46 H1412:H1737 H1739:H3040" xr:uid="{00000000-0002-0000-0B00-000000000000}">
      <formula1>VinculoPT</formula1>
    </dataValidation>
    <dataValidation type="list" allowBlank="1" showInputMessage="1" showErrorMessage="1" sqref="E13:E18 E197:E221 E323:E330 E313:E321 E1297:E1333 E388 E390:E393 E395 E397:E400 E402:E411 E384:E386 E477 E490 E496:E510 E420:E471 E565:E566 E586:E587 E589:E593 E571:E584 E693:E694 E678:E680 E708:E711 E799 E818 E821:E856 E972 E977:E979 E984 E986 E997 E1005 E1011 E2244 E1120 E1123 E803:E813 E1180 E2050:E2057 E1130:E1150 E1247 E73:E170 E340 E527:E528 E532 E21:E36 E52:E54 E777:E793 E1271:E1272 E1274:E1291 E1294 E1188:E1206 E1262:E1269 E39 E60:E71 E356:E377 E43:E47 E57 E175:E193 E1340:E1348 E1392:E1393 E1411 E1415 E1417:E1428 E1023:E1117 E1501 E1498:E1499 E1527:E1531 E1824:E1842 E1545 E223:E252 E255 E2073:E2239 E1565:E1583 E267:E280 E283 E287 E1363:E1389 E1636:E1639 E1669:E1670 E307 E309:E310 E1692:E1736 E1738 E1653:E1666 E1822 E343:E349 E337 E1846 E1863:E1864 E1892:E1893 E1895 E1681:E1690 E2046 E379 E381:E382 E1746:E1820 E1899:E2019 E536:E554 E556:E560 E562:E563 E568:E569 E697:E701 E673:E674 E595:E664 E716:E718 E723 E2026:E2043 E2266 E2271:E2282 E2284:E2285 E966:E970 E2288:E2327 E1254:E1260 E1160:E1176 E1217:E1245 E1534:E1536 E1561 E1621:E1634 E1644 E1646:E1651 E729:E773 E1674:E1679 E1515:E1525 E1249:E1250 E1602:E1619 E858:E959 E1446:E1496 E4:E10 E1503:E1512 E2330:E2341 E2343:E3040 E2062:E2069 E291:E305 E691 E1585:E1598 E2249:E2262" xr:uid="{00000000-0002-0000-0B00-000001000000}">
      <formula1>INDIRECT($R4)</formula1>
    </dataValidation>
    <dataValidation type="list" allowBlank="1" showInputMessage="1" showErrorMessage="1" sqref="E11:E12 E19:E20 E48:E51 E72 E222 E322 E341:E342 E387 E389 E394 E396 E401 E412:E419 E472:E476 E478:E489 E491:E495 E511:E526 E567 E585 E588 E594 E675:E677 E695:E696 E712:E715 E2286:E2287 E794:E798 E819:E820 E814:E817 E774:E776 E857 E971 E973:E976 E980:E983 E985 E987:E996 E998:E1004 E1006:E1010 E1207:E1216 E1118:E1119 E1121:E1122 E1151:E1159 E1177:E1179 E1181:E1187 E1012:E1022 E1246 E1248 E306 E378 E1334:E1339 E533:E535 E37:E38 E55:E56 E1270 E1273 E1292:E1293 E1124:E1129 E529:E531 E40:E42 E800:E802 E194:E196 E1390:E1391 E1394:E1410 E1412:E1414 E1416 E1429:E1445 E1500 E1502 E1526 E1532:E1533 E1295:E1296 E1562:E1564 E1584 E58:E59 E253:E254 E256:E266 E1599:E1601 E288:E290 E281:E282 E284:E286 E1620 E1635 E1551 E1667:E1668 E1652 E308 E311:E312 E1691 E1737 E1739:E1745 E1821 E1823 E350:E355 E338:E339 E1843:E1845 E1847:E1862 E1865:E1891 E1894 E1896:E1898 E2020:E2025 E2044:E2045 E2047:E2049 E380 E383 E2058:E2061 E1251:E1253 E555 E561 E564 E570 E702:E707 E331:E336 E665:E672 E719:E722 E2245:E2248 E724:E728 E2263:E2265 E2267:E2270 E2283 E171:E174 E2328:E2329 E1261 E2342 E1497 E1549 E1640:E1643 E1645 E1671:E1673 E1680 E1349:E1362 E960:E965 E1513:E1514 E2240:E2243 E2070:E2072 E681:E690 E692" xr:uid="{00000000-0002-0000-0B00-000002000000}">
      <formula1>INDIRECT($J11)</formula1>
    </dataValidation>
    <dataValidation type="list" allowBlank="1" showInputMessage="1" showErrorMessage="1" sqref="D1401:D1411 E1537:E1544 E1546:E1548 E1550 E1552:E1560 D196:D593 D984:D1399 D595:D982 D4:D194 D1413:D3040" xr:uid="{00000000-0002-0000-0B00-000003000000}">
      <formula1>Categorias</formula1>
    </dataValidation>
    <dataValidation type="list" allowBlank="1" showInputMessage="1" showErrorMessage="1" sqref="O4:O3040" xr:uid="{00000000-0002-0000-0B00-000004000000}">
      <formula1>Conta</formula1>
    </dataValidation>
  </dataValidations>
  <pageMargins left="0.59055118110236227" right="0.59055118110236227" top="0.59055118110236227" bottom="0.59055118110236227" header="0" footer="0"/>
  <pageSetup paperSize="9" scale="45" fitToHeight="0" pageOrder="overThenDown" orientation="landscape" r:id="rId1"/>
  <headerFooter>
    <oddFooter>Página &amp;P de &amp;N</oddFooter>
  </headerFooter>
  <rowBreaks count="6" manualBreakCount="6">
    <brk id="984" max="14" man="1"/>
    <brk id="1023" max="16383" man="1"/>
    <brk id="1641" max="16383" man="1"/>
    <brk id="1852" max="16383" man="1"/>
    <brk id="2142" max="14" man="1"/>
    <brk id="2176" max="16383" man="1"/>
  </rowBreaks>
  <colBreaks count="1" manualBreakCount="1">
    <brk id="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5000000}">
          <x14:formula1>
            <xm:f>Plano!$C$1:$G$1</xm:f>
          </x14:formula1>
          <xm:sqref>D594 D983 D195 D1400 D1412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4.9989318521683403E-2"/>
    <pageSetUpPr fitToPage="1"/>
  </sheetPr>
  <dimension ref="A1:T2732"/>
  <sheetViews>
    <sheetView view="pageBreakPreview" zoomScaleSheetLayoutView="100" workbookViewId="0">
      <pane xSplit="6" ySplit="3" topLeftCell="N1654" activePane="bottomRight" state="frozen"/>
      <selection activeCell="G4" sqref="G4"/>
      <selection pane="topRight" activeCell="G4" sqref="G4"/>
      <selection pane="bottomLeft" activeCell="G4" sqref="G4"/>
      <selection pane="bottomRight" sqref="A1:O156"/>
    </sheetView>
  </sheetViews>
  <sheetFormatPr defaultColWidth="9.140625" defaultRowHeight="12.75" x14ac:dyDescent="0.2"/>
  <cols>
    <col min="1" max="1" width="7.5703125" style="106" customWidth="1"/>
    <col min="2" max="2" width="10.5703125" style="57" bestFit="1" customWidth="1"/>
    <col min="3" max="3" width="7.5703125" style="89" customWidth="1"/>
    <col min="4" max="4" width="15.42578125" style="57" customWidth="1"/>
    <col min="5" max="5" width="23.5703125" style="57" customWidth="1"/>
    <col min="6" max="6" width="12.85546875" style="56" customWidth="1"/>
    <col min="7" max="7" width="41.7109375" style="55" customWidth="1"/>
    <col min="8" max="8" width="25.28515625" style="55" customWidth="1"/>
    <col min="9" max="9" width="25.5703125" style="98" customWidth="1"/>
    <col min="10" max="10" width="19.7109375" style="55" customWidth="1"/>
    <col min="11" max="11" width="17.28515625" style="55" customWidth="1"/>
    <col min="12" max="12" width="14.7109375" style="98" customWidth="1"/>
    <col min="13" max="13" width="20.42578125" style="55" customWidth="1"/>
    <col min="14" max="14" width="13.7109375" style="55" customWidth="1"/>
    <col min="15" max="15" width="19.5703125" style="55" customWidth="1"/>
    <col min="16" max="17" width="7.42578125" style="92" customWidth="1"/>
    <col min="18" max="18" width="23.7109375" style="88" customWidth="1"/>
    <col min="19" max="19" width="10.85546875" style="305" customWidth="1"/>
    <col min="20" max="20" width="11.28515625" style="305" customWidth="1"/>
    <col min="21" max="16384" width="9.140625" style="88"/>
  </cols>
  <sheetData>
    <row r="1" spans="1:20" ht="18" customHeight="1" x14ac:dyDescent="0.2">
      <c r="A1" s="776" t="str">
        <f>Capa!A1</f>
        <v>Contrato de Gestão nº. 05/20 celebrado entre a Fundação Clóvis Salgado e a Associação Pró-Cultura e Promoção das Artes</v>
      </c>
      <c r="B1" s="776"/>
      <c r="C1" s="776"/>
      <c r="D1" s="776"/>
      <c r="E1" s="776"/>
      <c r="F1" s="776"/>
      <c r="G1" s="776"/>
      <c r="H1" s="776"/>
      <c r="I1" s="776"/>
      <c r="J1" s="776"/>
      <c r="K1" s="776"/>
      <c r="L1" s="776"/>
      <c r="M1" s="776"/>
      <c r="N1" s="776"/>
      <c r="O1" s="683"/>
      <c r="P1" s="89">
        <f>MONTH(Resumo!$C$5)</f>
        <v>1</v>
      </c>
      <c r="Q1" s="89">
        <f>YEAR(Resumo!$C$5)</f>
        <v>2022</v>
      </c>
    </row>
    <row r="2" spans="1:20" ht="18" customHeight="1" x14ac:dyDescent="0.2">
      <c r="A2" s="813" t="str">
        <f>"Tabela 9 - Diário de Entradas e Saídas do Contrato de Gestão - "&amp;LEFT(Capa!A14,1)+2&amp;"º Período Avaliatório"</f>
        <v>Tabela 9 - Diário de Entradas e Saídas do Contrato de Gestão - 3º Período Avaliatório</v>
      </c>
      <c r="B2" s="813"/>
      <c r="C2" s="813"/>
      <c r="D2" s="813"/>
      <c r="E2" s="813"/>
      <c r="F2" s="813"/>
      <c r="G2" s="813"/>
      <c r="H2" s="813"/>
      <c r="I2" s="813"/>
      <c r="J2" s="813"/>
      <c r="K2" s="813"/>
      <c r="L2" s="813"/>
      <c r="M2" s="813"/>
      <c r="N2" s="813"/>
      <c r="O2" s="684"/>
      <c r="P2" s="90"/>
      <c r="Q2" s="90"/>
    </row>
    <row r="3" spans="1:20" s="91" customFormat="1" ht="50.25" customHeight="1" x14ac:dyDescent="0.2">
      <c r="A3" s="499" t="s">
        <v>97</v>
      </c>
      <c r="B3" s="689" t="s">
        <v>280</v>
      </c>
      <c r="C3" s="690" t="s">
        <v>283</v>
      </c>
      <c r="D3" s="499" t="s">
        <v>35</v>
      </c>
      <c r="E3" s="500" t="s">
        <v>44</v>
      </c>
      <c r="F3" s="500" t="s">
        <v>272</v>
      </c>
      <c r="G3" s="500" t="s">
        <v>55</v>
      </c>
      <c r="H3" s="500" t="s">
        <v>305</v>
      </c>
      <c r="I3" s="501" t="s">
        <v>54</v>
      </c>
      <c r="J3" s="691" t="s">
        <v>56</v>
      </c>
      <c r="K3" s="691" t="s">
        <v>76</v>
      </c>
      <c r="L3" s="692" t="s">
        <v>52</v>
      </c>
      <c r="M3" s="691" t="s">
        <v>75</v>
      </c>
      <c r="N3" s="691" t="s">
        <v>165</v>
      </c>
      <c r="O3" s="691" t="s">
        <v>1222</v>
      </c>
      <c r="P3" s="693" t="s">
        <v>281</v>
      </c>
      <c r="Q3" s="693" t="s">
        <v>282</v>
      </c>
      <c r="R3" s="693" t="s">
        <v>35</v>
      </c>
      <c r="S3" s="694" t="s">
        <v>3340</v>
      </c>
      <c r="T3" s="694" t="s">
        <v>1002</v>
      </c>
    </row>
    <row r="4" spans="1:20" ht="36" x14ac:dyDescent="0.2">
      <c r="A4" s="432">
        <f>IF(B4="","",COUNT('Diário 1º PA'!$A$4:$A$2635)+COUNT('Diário 2º PA'!$A$4:$A$3040)+ROW()-3)</f>
        <v>4100</v>
      </c>
      <c r="B4" s="413">
        <v>44743</v>
      </c>
      <c r="C4" s="424">
        <v>44743</v>
      </c>
      <c r="D4" s="419" t="s">
        <v>34</v>
      </c>
      <c r="E4" s="419" t="s">
        <v>167</v>
      </c>
      <c r="F4" s="422">
        <v>100</v>
      </c>
      <c r="G4" s="427" t="s">
        <v>5723</v>
      </c>
      <c r="H4" s="419" t="s">
        <v>310</v>
      </c>
      <c r="I4" s="415" t="s">
        <v>795</v>
      </c>
      <c r="J4" s="419" t="s">
        <v>796</v>
      </c>
      <c r="K4" s="419" t="s">
        <v>797</v>
      </c>
      <c r="L4" s="415" t="s">
        <v>798</v>
      </c>
      <c r="M4" s="419" t="s">
        <v>310</v>
      </c>
      <c r="N4" s="413">
        <v>44743</v>
      </c>
      <c r="O4" s="413" t="s">
        <v>400</v>
      </c>
      <c r="P4" s="655">
        <f t="shared" ref="P4:P68" si="0">IF(B4=0,0,IF(YEAR(B4)=$Q$1,MONTH(B4)-$P$1+1,(YEAR(B4)-$Q$1)*12-$P$1+1+MONTH(B4)))</f>
        <v>7</v>
      </c>
      <c r="Q4" s="655">
        <f t="shared" ref="Q4:Q68" si="1">IF(C4=0,0,IF(YEAR(C4)=$Q$1,MONTH(C4)-$P$1+1,(YEAR(C4)-$Q$1)*12-$P$1+1+MONTH(C4)))</f>
        <v>7</v>
      </c>
      <c r="R4" s="695" t="str">
        <f t="shared" ref="R4:R68" si="2">SUBSTITUTE(D4," ","_")</f>
        <v>Receitas</v>
      </c>
      <c r="S4" s="696" t="s">
        <v>310</v>
      </c>
      <c r="T4" s="696" t="s">
        <v>310</v>
      </c>
    </row>
    <row r="5" spans="1:20" ht="36" x14ac:dyDescent="0.2">
      <c r="A5" s="432">
        <f>IF(B5="","",COUNT('Diário 1º PA'!$A$4:$A$2635)+COUNT('Diário 2º PA'!$A$4:$A$3040)+ROW()-3)</f>
        <v>4101</v>
      </c>
      <c r="B5" s="685">
        <v>44743</v>
      </c>
      <c r="C5" s="466">
        <v>44713</v>
      </c>
      <c r="D5" s="426" t="s">
        <v>182</v>
      </c>
      <c r="E5" s="426" t="s">
        <v>179</v>
      </c>
      <c r="F5" s="686">
        <v>-15.12</v>
      </c>
      <c r="G5" s="427" t="s">
        <v>6200</v>
      </c>
      <c r="H5" s="426" t="s">
        <v>310</v>
      </c>
      <c r="I5" s="434" t="s">
        <v>795</v>
      </c>
      <c r="J5" s="426" t="s">
        <v>796</v>
      </c>
      <c r="K5" s="426" t="s">
        <v>797</v>
      </c>
      <c r="L5" s="434" t="s">
        <v>798</v>
      </c>
      <c r="M5" s="426" t="s">
        <v>310</v>
      </c>
      <c r="N5" s="685">
        <v>44743</v>
      </c>
      <c r="O5" s="414" t="s">
        <v>400</v>
      </c>
      <c r="P5" s="655">
        <f t="shared" si="0"/>
        <v>7</v>
      </c>
      <c r="Q5" s="655">
        <f t="shared" si="1"/>
        <v>6</v>
      </c>
      <c r="R5" s="695" t="str">
        <f t="shared" si="2"/>
        <v>Gastos_com_Pessoal</v>
      </c>
      <c r="S5" s="696" t="s">
        <v>310</v>
      </c>
      <c r="T5" s="696" t="s">
        <v>310</v>
      </c>
    </row>
    <row r="6" spans="1:20" ht="36" x14ac:dyDescent="0.2">
      <c r="A6" s="432">
        <f>IF(B6="","",COUNT('Diário 1º PA'!$A$4:$A$2635)+COUNT('Diário 2º PA'!$A$4:$A$3040)+ROW()-3)</f>
        <v>4102</v>
      </c>
      <c r="B6" s="685">
        <v>44743</v>
      </c>
      <c r="C6" s="466">
        <v>44713</v>
      </c>
      <c r="D6" s="426" t="s">
        <v>182</v>
      </c>
      <c r="E6" s="426" t="s">
        <v>179</v>
      </c>
      <c r="F6" s="686">
        <v>-105.84</v>
      </c>
      <c r="G6" s="427" t="s">
        <v>5724</v>
      </c>
      <c r="H6" s="426" t="s">
        <v>310</v>
      </c>
      <c r="I6" s="434" t="s">
        <v>795</v>
      </c>
      <c r="J6" s="426" t="s">
        <v>796</v>
      </c>
      <c r="K6" s="426" t="s">
        <v>797</v>
      </c>
      <c r="L6" s="434" t="s">
        <v>798</v>
      </c>
      <c r="M6" s="426" t="s">
        <v>310</v>
      </c>
      <c r="N6" s="685">
        <v>44743</v>
      </c>
      <c r="O6" s="414" t="s">
        <v>400</v>
      </c>
      <c r="P6" s="655">
        <f t="shared" si="0"/>
        <v>7</v>
      </c>
      <c r="Q6" s="655">
        <f t="shared" si="1"/>
        <v>6</v>
      </c>
      <c r="R6" s="695" t="str">
        <f t="shared" si="2"/>
        <v>Gastos_com_Pessoal</v>
      </c>
      <c r="S6" s="696" t="s">
        <v>310</v>
      </c>
      <c r="T6" s="696" t="s">
        <v>310</v>
      </c>
    </row>
    <row r="7" spans="1:20" ht="24" x14ac:dyDescent="0.2">
      <c r="A7" s="432">
        <f>IF(B7="","",COUNT('Diário 1º PA'!$A$4:$A$2635)+COUNT('Diário 2º PA'!$A$4:$A$3040)+ROW()-3)</f>
        <v>4103</v>
      </c>
      <c r="B7" s="413">
        <v>44743</v>
      </c>
      <c r="C7" s="424">
        <v>44713</v>
      </c>
      <c r="D7" s="419" t="s">
        <v>182</v>
      </c>
      <c r="E7" s="419" t="s">
        <v>179</v>
      </c>
      <c r="F7" s="422">
        <v>570.94000000000005</v>
      </c>
      <c r="G7" s="415" t="s">
        <v>5725</v>
      </c>
      <c r="H7" s="419" t="s">
        <v>310</v>
      </c>
      <c r="I7" s="415" t="s">
        <v>771</v>
      </c>
      <c r="J7" s="419" t="s">
        <v>819</v>
      </c>
      <c r="K7" s="419" t="s">
        <v>812</v>
      </c>
      <c r="L7" s="415" t="s">
        <v>807</v>
      </c>
      <c r="M7" s="419" t="s">
        <v>5735</v>
      </c>
      <c r="N7" s="413">
        <v>44733</v>
      </c>
      <c r="O7" s="414" t="s">
        <v>400</v>
      </c>
      <c r="P7" s="655">
        <f t="shared" si="0"/>
        <v>7</v>
      </c>
      <c r="Q7" s="655">
        <f t="shared" si="1"/>
        <v>6</v>
      </c>
      <c r="R7" s="695" t="str">
        <f t="shared" si="2"/>
        <v>Gastos_com_Pessoal</v>
      </c>
      <c r="S7" s="696" t="s">
        <v>310</v>
      </c>
      <c r="T7" s="696" t="s">
        <v>310</v>
      </c>
    </row>
    <row r="8" spans="1:20" ht="24" x14ac:dyDescent="0.2">
      <c r="A8" s="432">
        <f>IF(B8="","",COUNT('Diário 1º PA'!$A$4:$A$2635)+COUNT('Diário 2º PA'!$A$4:$A$3040)+ROW()-3)</f>
        <v>4104</v>
      </c>
      <c r="B8" s="413">
        <v>44743</v>
      </c>
      <c r="C8" s="424">
        <v>44713</v>
      </c>
      <c r="D8" s="419" t="s">
        <v>182</v>
      </c>
      <c r="E8" s="419" t="s">
        <v>179</v>
      </c>
      <c r="F8" s="422">
        <v>394.65</v>
      </c>
      <c r="G8" s="415" t="s">
        <v>5726</v>
      </c>
      <c r="H8" s="419" t="s">
        <v>310</v>
      </c>
      <c r="I8" s="415" t="s">
        <v>771</v>
      </c>
      <c r="J8" s="419" t="s">
        <v>819</v>
      </c>
      <c r="K8" s="419" t="s">
        <v>812</v>
      </c>
      <c r="L8" s="415" t="s">
        <v>807</v>
      </c>
      <c r="M8" s="419" t="s">
        <v>5736</v>
      </c>
      <c r="N8" s="413">
        <v>44733</v>
      </c>
      <c r="O8" s="414" t="s">
        <v>400</v>
      </c>
      <c r="P8" s="655">
        <f t="shared" si="0"/>
        <v>7</v>
      </c>
      <c r="Q8" s="655">
        <f t="shared" si="1"/>
        <v>6</v>
      </c>
      <c r="R8" s="695" t="str">
        <f t="shared" si="2"/>
        <v>Gastos_com_Pessoal</v>
      </c>
      <c r="S8" s="696" t="s">
        <v>310</v>
      </c>
      <c r="T8" s="696" t="s">
        <v>310</v>
      </c>
    </row>
    <row r="9" spans="1:20" ht="36" x14ac:dyDescent="0.2">
      <c r="A9" s="432">
        <f>IF(B9="","",COUNT('Diário 1º PA'!$A$4:$A$2635)+COUNT('Diário 2º PA'!$A$4:$A$3040)+ROW()-3)</f>
        <v>4105</v>
      </c>
      <c r="B9" s="413">
        <v>44743</v>
      </c>
      <c r="C9" s="424">
        <v>44743</v>
      </c>
      <c r="D9" s="419" t="s">
        <v>182</v>
      </c>
      <c r="E9" s="419" t="s">
        <v>287</v>
      </c>
      <c r="F9" s="422">
        <v>702.41</v>
      </c>
      <c r="G9" s="440" t="s">
        <v>5727</v>
      </c>
      <c r="H9" s="419" t="s">
        <v>310</v>
      </c>
      <c r="I9" s="415" t="s">
        <v>1194</v>
      </c>
      <c r="J9" s="419" t="s">
        <v>1193</v>
      </c>
      <c r="K9" s="419" t="s">
        <v>830</v>
      </c>
      <c r="L9" s="415" t="s">
        <v>925</v>
      </c>
      <c r="M9" s="419" t="s">
        <v>310</v>
      </c>
      <c r="N9" s="413">
        <v>44743</v>
      </c>
      <c r="O9" s="414" t="s">
        <v>400</v>
      </c>
      <c r="P9" s="655">
        <f t="shared" si="0"/>
        <v>7</v>
      </c>
      <c r="Q9" s="655">
        <f t="shared" si="1"/>
        <v>7</v>
      </c>
      <c r="R9" s="695" t="str">
        <f t="shared" si="2"/>
        <v>Gastos_com_Pessoal</v>
      </c>
      <c r="S9" s="696" t="s">
        <v>310</v>
      </c>
      <c r="T9" s="696" t="s">
        <v>310</v>
      </c>
    </row>
    <row r="10" spans="1:20" ht="36" x14ac:dyDescent="0.2">
      <c r="A10" s="432">
        <f>IF(B10="","",COUNT('Diário 1º PA'!$A$4:$A$2635)+COUNT('Diário 2º PA'!$A$4:$A$3040)+ROW()-3)</f>
        <v>4106</v>
      </c>
      <c r="B10" s="413">
        <v>44743</v>
      </c>
      <c r="C10" s="424">
        <v>44713</v>
      </c>
      <c r="D10" s="419" t="s">
        <v>271</v>
      </c>
      <c r="E10" s="419" t="s">
        <v>456</v>
      </c>
      <c r="F10" s="422">
        <v>96</v>
      </c>
      <c r="G10" s="427" t="s">
        <v>4584</v>
      </c>
      <c r="H10" s="419" t="s">
        <v>760</v>
      </c>
      <c r="I10" s="415" t="s">
        <v>5749</v>
      </c>
      <c r="J10" s="419" t="s">
        <v>3571</v>
      </c>
      <c r="K10" s="419" t="s">
        <v>812</v>
      </c>
      <c r="L10" s="415" t="s">
        <v>807</v>
      </c>
      <c r="M10" s="419">
        <v>195483</v>
      </c>
      <c r="N10" s="413">
        <v>44745</v>
      </c>
      <c r="O10" s="414" t="s">
        <v>400</v>
      </c>
      <c r="P10" s="655">
        <f t="shared" si="0"/>
        <v>7</v>
      </c>
      <c r="Q10" s="655">
        <f t="shared" si="1"/>
        <v>6</v>
      </c>
      <c r="R10" s="695" t="str">
        <f t="shared" si="2"/>
        <v>Gastos_Gerais</v>
      </c>
      <c r="S10" s="696" t="s">
        <v>998</v>
      </c>
      <c r="T10" s="696">
        <v>3558</v>
      </c>
    </row>
    <row r="11" spans="1:20" ht="48" x14ac:dyDescent="0.2">
      <c r="A11" s="432">
        <f>IF(B11="","",COUNT('Diário 1º PA'!$A$4:$A$2635)+COUNT('Diário 2º PA'!$A$4:$A$3040)+ROW()-3)</f>
        <v>4107</v>
      </c>
      <c r="B11" s="413">
        <v>44743</v>
      </c>
      <c r="C11" s="431">
        <v>44713</v>
      </c>
      <c r="D11" s="419" t="s">
        <v>468</v>
      </c>
      <c r="E11" s="419" t="s">
        <v>468</v>
      </c>
      <c r="F11" s="422">
        <v>2750</v>
      </c>
      <c r="G11" s="427" t="s">
        <v>694</v>
      </c>
      <c r="H11" s="419" t="s">
        <v>468</v>
      </c>
      <c r="I11" s="415" t="s">
        <v>6370</v>
      </c>
      <c r="J11" s="415" t="s">
        <v>1148</v>
      </c>
      <c r="K11" s="419" t="s">
        <v>830</v>
      </c>
      <c r="L11" s="415" t="s">
        <v>807</v>
      </c>
      <c r="M11" s="419" t="s">
        <v>3763</v>
      </c>
      <c r="N11" s="413">
        <v>44743</v>
      </c>
      <c r="O11" s="414" t="s">
        <v>408</v>
      </c>
      <c r="P11" s="655">
        <f t="shared" si="0"/>
        <v>7</v>
      </c>
      <c r="Q11" s="655">
        <f t="shared" si="1"/>
        <v>6</v>
      </c>
      <c r="R11" s="695" t="str">
        <f t="shared" si="2"/>
        <v>Gastos_custeados_por_captação</v>
      </c>
      <c r="S11" s="698" t="s">
        <v>1000</v>
      </c>
      <c r="T11" s="696">
        <v>2662</v>
      </c>
    </row>
    <row r="12" spans="1:20" ht="60" x14ac:dyDescent="0.2">
      <c r="A12" s="432">
        <f>IF(B12="","",COUNT('Diário 1º PA'!$A$4:$A$2635)+COUNT('Diário 2º PA'!$A$4:$A$3040)+ROW()-3)</f>
        <v>4108</v>
      </c>
      <c r="B12" s="413">
        <v>44743</v>
      </c>
      <c r="C12" s="431">
        <v>44682</v>
      </c>
      <c r="D12" s="419" t="s">
        <v>468</v>
      </c>
      <c r="E12" s="419" t="s">
        <v>468</v>
      </c>
      <c r="F12" s="422">
        <v>3225.8</v>
      </c>
      <c r="G12" s="427" t="s">
        <v>4311</v>
      </c>
      <c r="H12" s="419" t="s">
        <v>468</v>
      </c>
      <c r="I12" s="415" t="s">
        <v>6371</v>
      </c>
      <c r="J12" s="415" t="s">
        <v>4312</v>
      </c>
      <c r="K12" s="419" t="s">
        <v>830</v>
      </c>
      <c r="L12" s="415" t="s">
        <v>807</v>
      </c>
      <c r="M12" s="419" t="s">
        <v>848</v>
      </c>
      <c r="N12" s="413">
        <v>44743</v>
      </c>
      <c r="O12" s="414" t="s">
        <v>408</v>
      </c>
      <c r="P12" s="655">
        <f t="shared" si="0"/>
        <v>7</v>
      </c>
      <c r="Q12" s="655">
        <f t="shared" si="1"/>
        <v>5</v>
      </c>
      <c r="R12" s="695" t="str">
        <f t="shared" si="2"/>
        <v>Gastos_custeados_por_captação</v>
      </c>
      <c r="S12" s="698" t="s">
        <v>1000</v>
      </c>
      <c r="T12" s="696">
        <v>3688</v>
      </c>
    </row>
    <row r="13" spans="1:20" ht="48" x14ac:dyDescent="0.2">
      <c r="A13" s="432">
        <f>IF(B13="","",COUNT('Diário 1º PA'!$A$4:$A$2635)+COUNT('Diário 2º PA'!$A$4:$A$3040)+ROW()-3)</f>
        <v>4109</v>
      </c>
      <c r="B13" s="413">
        <v>44743</v>
      </c>
      <c r="C13" s="431">
        <v>44713</v>
      </c>
      <c r="D13" s="419" t="s">
        <v>468</v>
      </c>
      <c r="E13" s="419" t="s">
        <v>468</v>
      </c>
      <c r="F13" s="422">
        <v>4400</v>
      </c>
      <c r="G13" s="427" t="s">
        <v>691</v>
      </c>
      <c r="H13" s="419" t="s">
        <v>468</v>
      </c>
      <c r="I13" s="415" t="s">
        <v>6372</v>
      </c>
      <c r="J13" s="415" t="s">
        <v>1122</v>
      </c>
      <c r="K13" s="419" t="s">
        <v>830</v>
      </c>
      <c r="L13" s="415" t="s">
        <v>32</v>
      </c>
      <c r="M13" s="419">
        <v>20228</v>
      </c>
      <c r="N13" s="413">
        <v>44743</v>
      </c>
      <c r="O13" s="414" t="s">
        <v>408</v>
      </c>
      <c r="P13" s="655">
        <f t="shared" si="0"/>
        <v>7</v>
      </c>
      <c r="Q13" s="655">
        <f t="shared" si="1"/>
        <v>6</v>
      </c>
      <c r="R13" s="695" t="str">
        <f t="shared" si="2"/>
        <v>Gastos_custeados_por_captação</v>
      </c>
      <c r="S13" s="698" t="s">
        <v>1000</v>
      </c>
      <c r="T13" s="696">
        <v>2640</v>
      </c>
    </row>
    <row r="14" spans="1:20" ht="72" x14ac:dyDescent="0.2">
      <c r="A14" s="432">
        <f>IF(B14="","",COUNT('Diário 1º PA'!$A$4:$A$2635)+COUNT('Diário 2º PA'!$A$4:$A$3040)+ROW()-3)</f>
        <v>4110</v>
      </c>
      <c r="B14" s="413">
        <v>44743</v>
      </c>
      <c r="C14" s="431">
        <v>44743</v>
      </c>
      <c r="D14" s="415" t="s">
        <v>468</v>
      </c>
      <c r="E14" s="415" t="s">
        <v>468</v>
      </c>
      <c r="F14" s="425">
        <v>90.42</v>
      </c>
      <c r="G14" s="440" t="s">
        <v>7445</v>
      </c>
      <c r="H14" s="415" t="s">
        <v>468</v>
      </c>
      <c r="I14" s="398" t="s">
        <v>310</v>
      </c>
      <c r="J14" s="398" t="s">
        <v>310</v>
      </c>
      <c r="K14" s="398" t="s">
        <v>310</v>
      </c>
      <c r="L14" s="398" t="s">
        <v>310</v>
      </c>
      <c r="M14" s="398" t="s">
        <v>310</v>
      </c>
      <c r="N14" s="398" t="s">
        <v>310</v>
      </c>
      <c r="O14" s="414" t="s">
        <v>401</v>
      </c>
      <c r="P14" s="655">
        <f t="shared" si="0"/>
        <v>7</v>
      </c>
      <c r="Q14" s="655">
        <f t="shared" si="1"/>
        <v>7</v>
      </c>
      <c r="R14" s="695" t="str">
        <f t="shared" si="2"/>
        <v>Gastos_custeados_por_captação</v>
      </c>
      <c r="S14" s="697" t="s">
        <v>310</v>
      </c>
      <c r="T14" s="697" t="s">
        <v>310</v>
      </c>
    </row>
    <row r="15" spans="1:20" ht="48" x14ac:dyDescent="0.2">
      <c r="A15" s="432">
        <f>IF(B15="","",COUNT('Diário 1º PA'!$A$4:$A$2635)+COUNT('Diário 2º PA'!$A$4:$A$3040)+ROW()-3)</f>
        <v>4111</v>
      </c>
      <c r="B15" s="413">
        <v>44743</v>
      </c>
      <c r="C15" s="431">
        <v>44743</v>
      </c>
      <c r="D15" s="415" t="s">
        <v>468</v>
      </c>
      <c r="E15" s="415" t="s">
        <v>468</v>
      </c>
      <c r="F15" s="425">
        <v>153</v>
      </c>
      <c r="G15" s="440" t="s">
        <v>7450</v>
      </c>
      <c r="H15" s="415" t="s">
        <v>468</v>
      </c>
      <c r="I15" s="639" t="s">
        <v>881</v>
      </c>
      <c r="J15" s="418" t="s">
        <v>882</v>
      </c>
      <c r="K15" s="418" t="s">
        <v>883</v>
      </c>
      <c r="L15" s="399" t="s">
        <v>798</v>
      </c>
      <c r="M15" s="544" t="s">
        <v>310</v>
      </c>
      <c r="N15" s="413">
        <v>44743</v>
      </c>
      <c r="O15" s="414" t="s">
        <v>3762</v>
      </c>
      <c r="P15" s="655">
        <f>IF(B15=0,0,IF(YEAR(B15)=$Q$1,MONTH(B15)-$P$1+1,(YEAR(B15)-$Q$1)*12-$P$1+1+MONTH(B15)))</f>
        <v>7</v>
      </c>
      <c r="Q15" s="655">
        <f>IF(C15=0,0,IF(YEAR(C15)=$Q$1,MONTH(C15)-$P$1+1,(YEAR(C15)-$Q$1)*12-$P$1+1+MONTH(C15)))</f>
        <v>7</v>
      </c>
      <c r="R15" s="695" t="str">
        <f>SUBSTITUTE(D15," ","_")</f>
        <v>Gastos_custeados_por_captação</v>
      </c>
      <c r="S15" s="697" t="s">
        <v>310</v>
      </c>
      <c r="T15" s="697" t="s">
        <v>310</v>
      </c>
    </row>
    <row r="16" spans="1:20" ht="72" x14ac:dyDescent="0.2">
      <c r="A16" s="432">
        <f>IF(B16="","",COUNT('Diário 1º PA'!$A$4:$A$2635)+COUNT('Diário 2º PA'!$A$4:$A$3040)+ROW()-3)</f>
        <v>4112</v>
      </c>
      <c r="B16" s="413">
        <v>44746</v>
      </c>
      <c r="C16" s="424">
        <v>44713</v>
      </c>
      <c r="D16" s="419" t="s">
        <v>271</v>
      </c>
      <c r="E16" s="419" t="s">
        <v>90</v>
      </c>
      <c r="F16" s="422">
        <v>-1980.75</v>
      </c>
      <c r="G16" s="427" t="s">
        <v>5728</v>
      </c>
      <c r="H16" s="419" t="s">
        <v>309</v>
      </c>
      <c r="I16" s="415" t="s">
        <v>795</v>
      </c>
      <c r="J16" s="419" t="s">
        <v>796</v>
      </c>
      <c r="K16" s="419" t="s">
        <v>797</v>
      </c>
      <c r="L16" s="415" t="s">
        <v>798</v>
      </c>
      <c r="M16" s="419" t="s">
        <v>310</v>
      </c>
      <c r="N16" s="413">
        <v>44746</v>
      </c>
      <c r="O16" s="414" t="s">
        <v>400</v>
      </c>
      <c r="P16" s="655">
        <f t="shared" si="0"/>
        <v>7</v>
      </c>
      <c r="Q16" s="655">
        <f t="shared" si="1"/>
        <v>6</v>
      </c>
      <c r="R16" s="695" t="str">
        <f t="shared" si="2"/>
        <v>Gastos_Gerais</v>
      </c>
      <c r="S16" s="696" t="s">
        <v>310</v>
      </c>
      <c r="T16" s="696" t="s">
        <v>310</v>
      </c>
    </row>
    <row r="17" spans="1:20" ht="36" x14ac:dyDescent="0.2">
      <c r="A17" s="432">
        <f>IF(B17="","",COUNT('Diário 1º PA'!$A$4:$A$2635)+COUNT('Diário 2º PA'!$A$4:$A$3040)+ROW()-3)</f>
        <v>4113</v>
      </c>
      <c r="B17" s="413">
        <v>44746</v>
      </c>
      <c r="C17" s="424">
        <v>44743</v>
      </c>
      <c r="D17" s="419" t="s">
        <v>34</v>
      </c>
      <c r="E17" s="419" t="s">
        <v>167</v>
      </c>
      <c r="F17" s="422">
        <v>10</v>
      </c>
      <c r="G17" s="427" t="s">
        <v>5729</v>
      </c>
      <c r="H17" s="419" t="s">
        <v>310</v>
      </c>
      <c r="I17" s="415" t="s">
        <v>795</v>
      </c>
      <c r="J17" s="419" t="s">
        <v>796</v>
      </c>
      <c r="K17" s="419" t="s">
        <v>5737</v>
      </c>
      <c r="L17" s="415" t="s">
        <v>798</v>
      </c>
      <c r="M17" s="419" t="s">
        <v>310</v>
      </c>
      <c r="N17" s="413">
        <v>44746</v>
      </c>
      <c r="O17" s="414" t="s">
        <v>400</v>
      </c>
      <c r="P17" s="655">
        <f t="shared" si="0"/>
        <v>7</v>
      </c>
      <c r="Q17" s="655">
        <f t="shared" si="1"/>
        <v>7</v>
      </c>
      <c r="R17" s="695" t="str">
        <f t="shared" si="2"/>
        <v>Receitas</v>
      </c>
      <c r="S17" s="696" t="s">
        <v>310</v>
      </c>
      <c r="T17" s="696" t="s">
        <v>310</v>
      </c>
    </row>
    <row r="18" spans="1:20" ht="48" x14ac:dyDescent="0.2">
      <c r="A18" s="432">
        <f>IF(B18="","",COUNT('Diário 1º PA'!$A$4:$A$2635)+COUNT('Diário 2º PA'!$A$4:$A$3040)+ROW()-3)</f>
        <v>4114</v>
      </c>
      <c r="B18" s="413">
        <v>44746</v>
      </c>
      <c r="C18" s="424">
        <v>44713</v>
      </c>
      <c r="D18" s="419" t="s">
        <v>271</v>
      </c>
      <c r="E18" s="419" t="s">
        <v>449</v>
      </c>
      <c r="F18" s="425">
        <v>500</v>
      </c>
      <c r="G18" s="427" t="s">
        <v>5158</v>
      </c>
      <c r="H18" s="419" t="s">
        <v>756</v>
      </c>
      <c r="I18" s="415" t="s">
        <v>5738</v>
      </c>
      <c r="J18" s="419" t="s">
        <v>5159</v>
      </c>
      <c r="K18" s="419" t="s">
        <v>806</v>
      </c>
      <c r="L18" s="415" t="s">
        <v>1305</v>
      </c>
      <c r="M18" s="419" t="s">
        <v>310</v>
      </c>
      <c r="N18" s="413">
        <v>44746</v>
      </c>
      <c r="O18" s="414" t="s">
        <v>400</v>
      </c>
      <c r="P18" s="655">
        <f t="shared" si="0"/>
        <v>7</v>
      </c>
      <c r="Q18" s="655">
        <f t="shared" si="1"/>
        <v>6</v>
      </c>
      <c r="R18" s="695" t="str">
        <f t="shared" si="2"/>
        <v>Gastos_Gerais</v>
      </c>
      <c r="S18" s="696" t="s">
        <v>998</v>
      </c>
      <c r="T18" s="696">
        <v>3971</v>
      </c>
    </row>
    <row r="19" spans="1:20" ht="108" x14ac:dyDescent="0.2">
      <c r="A19" s="432">
        <f>IF(B19="","",COUNT('Diário 1º PA'!$A$4:$A$2635)+COUNT('Diário 2º PA'!$A$4:$A$3040)+ROW()-3)</f>
        <v>4115</v>
      </c>
      <c r="B19" s="413">
        <v>44746</v>
      </c>
      <c r="C19" s="424">
        <v>44682</v>
      </c>
      <c r="D19" s="419" t="s">
        <v>271</v>
      </c>
      <c r="E19" s="419" t="s">
        <v>456</v>
      </c>
      <c r="F19" s="422">
        <v>1000</v>
      </c>
      <c r="G19" s="415" t="s">
        <v>5730</v>
      </c>
      <c r="H19" s="419" t="s">
        <v>760</v>
      </c>
      <c r="I19" s="415" t="s">
        <v>1230</v>
      </c>
      <c r="J19" s="419" t="s">
        <v>1039</v>
      </c>
      <c r="K19" s="419" t="s">
        <v>830</v>
      </c>
      <c r="L19" s="415" t="s">
        <v>807</v>
      </c>
      <c r="M19" s="419" t="s">
        <v>1892</v>
      </c>
      <c r="N19" s="413">
        <v>44743</v>
      </c>
      <c r="O19" s="414" t="s">
        <v>400</v>
      </c>
      <c r="P19" s="655">
        <f t="shared" si="0"/>
        <v>7</v>
      </c>
      <c r="Q19" s="655">
        <f t="shared" si="1"/>
        <v>5</v>
      </c>
      <c r="R19" s="695" t="str">
        <f t="shared" si="2"/>
        <v>Gastos_Gerais</v>
      </c>
      <c r="S19" s="696" t="s">
        <v>1000</v>
      </c>
      <c r="T19" s="696">
        <v>3520</v>
      </c>
    </row>
    <row r="20" spans="1:20" ht="72" x14ac:dyDescent="0.2">
      <c r="A20" s="432">
        <f>IF(B20="","",COUNT('Diário 1º PA'!$A$4:$A$2635)+COUNT('Diário 2º PA'!$A$4:$A$3040)+ROW()-3)</f>
        <v>4116</v>
      </c>
      <c r="B20" s="413">
        <v>44746</v>
      </c>
      <c r="C20" s="424">
        <v>44682</v>
      </c>
      <c r="D20" s="419" t="s">
        <v>271</v>
      </c>
      <c r="E20" s="419" t="s">
        <v>186</v>
      </c>
      <c r="F20" s="422">
        <v>2952.47</v>
      </c>
      <c r="G20" s="415" t="s">
        <v>3151</v>
      </c>
      <c r="H20" s="419" t="s">
        <v>751</v>
      </c>
      <c r="I20" s="415" t="s">
        <v>3740</v>
      </c>
      <c r="J20" s="419" t="s">
        <v>1029</v>
      </c>
      <c r="K20" s="419" t="s">
        <v>812</v>
      </c>
      <c r="L20" s="415" t="s">
        <v>807</v>
      </c>
      <c r="M20" s="419" t="s">
        <v>5739</v>
      </c>
      <c r="N20" s="413">
        <v>44717</v>
      </c>
      <c r="O20" s="414" t="s">
        <v>400</v>
      </c>
      <c r="P20" s="655">
        <f t="shared" si="0"/>
        <v>7</v>
      </c>
      <c r="Q20" s="655">
        <f t="shared" si="1"/>
        <v>5</v>
      </c>
      <c r="R20" s="695" t="str">
        <f t="shared" si="2"/>
        <v>Gastos_Gerais</v>
      </c>
      <c r="S20" s="696" t="s">
        <v>1000</v>
      </c>
      <c r="T20" s="696">
        <v>1501</v>
      </c>
    </row>
    <row r="21" spans="1:20" ht="96" x14ac:dyDescent="0.2">
      <c r="A21" s="432">
        <f>IF(B21="","",COUNT('Diário 1º PA'!$A$4:$A$2635)+COUNT('Diário 2º PA'!$A$4:$A$3040)+ROW()-3)</f>
        <v>4117</v>
      </c>
      <c r="B21" s="413">
        <v>44746</v>
      </c>
      <c r="C21" s="424">
        <v>44652</v>
      </c>
      <c r="D21" s="419" t="s">
        <v>271</v>
      </c>
      <c r="E21" s="419" t="s">
        <v>456</v>
      </c>
      <c r="F21" s="422">
        <v>2600</v>
      </c>
      <c r="G21" s="427" t="s">
        <v>3817</v>
      </c>
      <c r="H21" s="419" t="s">
        <v>755</v>
      </c>
      <c r="I21" s="415" t="s">
        <v>5740</v>
      </c>
      <c r="J21" s="419" t="s">
        <v>3818</v>
      </c>
      <c r="K21" s="419" t="s">
        <v>830</v>
      </c>
      <c r="L21" s="415" t="s">
        <v>807</v>
      </c>
      <c r="M21" s="419">
        <v>684</v>
      </c>
      <c r="N21" s="413">
        <v>44739</v>
      </c>
      <c r="O21" s="414" t="s">
        <v>400</v>
      </c>
      <c r="P21" s="655">
        <f t="shared" si="0"/>
        <v>7</v>
      </c>
      <c r="Q21" s="655">
        <f t="shared" si="1"/>
        <v>4</v>
      </c>
      <c r="R21" s="695" t="str">
        <f t="shared" si="2"/>
        <v>Gastos_Gerais</v>
      </c>
      <c r="S21" s="696" t="s">
        <v>998</v>
      </c>
      <c r="T21" s="696">
        <v>3551</v>
      </c>
    </row>
    <row r="22" spans="1:20" ht="48" x14ac:dyDescent="0.2">
      <c r="A22" s="432">
        <f>IF(B22="","",COUNT('Diário 1º PA'!$A$4:$A$2635)+COUNT('Diário 2º PA'!$A$4:$A$3040)+ROW()-3)</f>
        <v>4118</v>
      </c>
      <c r="B22" s="413">
        <v>44746</v>
      </c>
      <c r="C22" s="424">
        <v>44713</v>
      </c>
      <c r="D22" s="419" t="s">
        <v>271</v>
      </c>
      <c r="E22" s="419" t="s">
        <v>456</v>
      </c>
      <c r="F22" s="422">
        <v>337.12</v>
      </c>
      <c r="G22" s="427" t="s">
        <v>4896</v>
      </c>
      <c r="H22" s="419" t="s">
        <v>758</v>
      </c>
      <c r="I22" s="415" t="s">
        <v>2144</v>
      </c>
      <c r="J22" s="419" t="s">
        <v>1093</v>
      </c>
      <c r="K22" s="419" t="s">
        <v>830</v>
      </c>
      <c r="L22" s="415" t="s">
        <v>807</v>
      </c>
      <c r="M22" s="419" t="s">
        <v>3763</v>
      </c>
      <c r="N22" s="413">
        <v>44736</v>
      </c>
      <c r="O22" s="414" t="s">
        <v>400</v>
      </c>
      <c r="P22" s="655">
        <f t="shared" si="0"/>
        <v>7</v>
      </c>
      <c r="Q22" s="655">
        <f t="shared" si="1"/>
        <v>6</v>
      </c>
      <c r="R22" s="695" t="str">
        <f t="shared" si="2"/>
        <v>Gastos_Gerais</v>
      </c>
      <c r="S22" s="696" t="s">
        <v>998</v>
      </c>
      <c r="T22" s="696">
        <v>3932</v>
      </c>
    </row>
    <row r="23" spans="1:20" ht="120" x14ac:dyDescent="0.2">
      <c r="A23" s="432">
        <f>IF(B23="","",COUNT('Diário 1º PA'!$A$4:$A$2635)+COUNT('Diário 2º PA'!$A$4:$A$3040)+ROW()-3)</f>
        <v>4119</v>
      </c>
      <c r="B23" s="413">
        <v>44746</v>
      </c>
      <c r="C23" s="424">
        <v>44713</v>
      </c>
      <c r="D23" s="419" t="s">
        <v>271</v>
      </c>
      <c r="E23" s="419" t="s">
        <v>90</v>
      </c>
      <c r="F23" s="422">
        <v>7328.25</v>
      </c>
      <c r="G23" s="427" t="s">
        <v>862</v>
      </c>
      <c r="H23" s="419" t="s">
        <v>309</v>
      </c>
      <c r="I23" s="415" t="s">
        <v>850</v>
      </c>
      <c r="J23" s="415" t="s">
        <v>863</v>
      </c>
      <c r="K23" s="415" t="s">
        <v>830</v>
      </c>
      <c r="L23" s="415" t="s">
        <v>807</v>
      </c>
      <c r="M23" s="419" t="s">
        <v>5185</v>
      </c>
      <c r="N23" s="413">
        <v>44746</v>
      </c>
      <c r="O23" s="414" t="s">
        <v>400</v>
      </c>
      <c r="P23" s="655">
        <f t="shared" si="0"/>
        <v>7</v>
      </c>
      <c r="Q23" s="655">
        <f t="shared" si="1"/>
        <v>6</v>
      </c>
      <c r="R23" s="695" t="str">
        <f t="shared" si="2"/>
        <v>Gastos_Gerais</v>
      </c>
      <c r="S23" s="696" t="s">
        <v>1000</v>
      </c>
      <c r="T23" s="696">
        <v>1134</v>
      </c>
    </row>
    <row r="24" spans="1:20" ht="60" x14ac:dyDescent="0.2">
      <c r="A24" s="432">
        <f>IF(B24="","",COUNT('Diário 1º PA'!$A$4:$A$2635)+COUNT('Diário 2º PA'!$A$4:$A$3040)+ROW()-3)</f>
        <v>4120</v>
      </c>
      <c r="B24" s="413">
        <v>44746</v>
      </c>
      <c r="C24" s="431">
        <v>44713</v>
      </c>
      <c r="D24" s="419" t="s">
        <v>468</v>
      </c>
      <c r="E24" s="419" t="s">
        <v>468</v>
      </c>
      <c r="F24" s="422">
        <v>4400</v>
      </c>
      <c r="G24" s="427" t="s">
        <v>701</v>
      </c>
      <c r="H24" s="419" t="s">
        <v>468</v>
      </c>
      <c r="I24" s="415" t="s">
        <v>2465</v>
      </c>
      <c r="J24" s="415" t="s">
        <v>1131</v>
      </c>
      <c r="K24" s="415" t="s">
        <v>830</v>
      </c>
      <c r="L24" s="415" t="s">
        <v>32</v>
      </c>
      <c r="M24" s="419" t="s">
        <v>1540</v>
      </c>
      <c r="N24" s="413">
        <v>44746</v>
      </c>
      <c r="O24" s="414" t="s">
        <v>408</v>
      </c>
      <c r="P24" s="655">
        <f t="shared" si="0"/>
        <v>7</v>
      </c>
      <c r="Q24" s="655">
        <f t="shared" si="1"/>
        <v>6</v>
      </c>
      <c r="R24" s="695" t="str">
        <f t="shared" si="2"/>
        <v>Gastos_custeados_por_captação</v>
      </c>
      <c r="S24" s="698" t="s">
        <v>1000</v>
      </c>
      <c r="T24" s="696">
        <v>2641</v>
      </c>
    </row>
    <row r="25" spans="1:20" ht="108" x14ac:dyDescent="0.2">
      <c r="A25" s="432">
        <f>IF(B25="","",COUNT('Diário 1º PA'!$A$4:$A$2635)+COUNT('Diário 2º PA'!$A$4:$A$3040)+ROW()-3)</f>
        <v>4121</v>
      </c>
      <c r="B25" s="413">
        <v>44746</v>
      </c>
      <c r="C25" s="431">
        <v>44743</v>
      </c>
      <c r="D25" s="419" t="s">
        <v>468</v>
      </c>
      <c r="E25" s="419" t="s">
        <v>468</v>
      </c>
      <c r="F25" s="422">
        <v>90000</v>
      </c>
      <c r="G25" s="427" t="s">
        <v>6543</v>
      </c>
      <c r="H25" s="419" t="s">
        <v>468</v>
      </c>
      <c r="I25" s="427" t="s">
        <v>795</v>
      </c>
      <c r="J25" s="415" t="s">
        <v>796</v>
      </c>
      <c r="K25" s="419" t="s">
        <v>806</v>
      </c>
      <c r="L25" s="415" t="s">
        <v>798</v>
      </c>
      <c r="M25" s="419" t="s">
        <v>310</v>
      </c>
      <c r="N25" s="413">
        <v>44746</v>
      </c>
      <c r="O25" s="414" t="s">
        <v>404</v>
      </c>
      <c r="P25" s="655">
        <f t="shared" si="0"/>
        <v>7</v>
      </c>
      <c r="Q25" s="655">
        <f t="shared" si="1"/>
        <v>7</v>
      </c>
      <c r="R25" s="695" t="str">
        <f t="shared" si="2"/>
        <v>Gastos_custeados_por_captação</v>
      </c>
      <c r="S25" s="698" t="s">
        <v>998</v>
      </c>
      <c r="T25" s="696">
        <v>1727</v>
      </c>
    </row>
    <row r="26" spans="1:20" ht="60" x14ac:dyDescent="0.2">
      <c r="A26" s="432">
        <f>IF(B26="","",COUNT('Diário 1º PA'!$A$4:$A$2635)+COUNT('Diário 2º PA'!$A$4:$A$3040)+ROW()-3)</f>
        <v>4122</v>
      </c>
      <c r="B26" s="413">
        <v>44746</v>
      </c>
      <c r="C26" s="431">
        <v>44682</v>
      </c>
      <c r="D26" s="419" t="s">
        <v>468</v>
      </c>
      <c r="E26" s="419" t="s">
        <v>468</v>
      </c>
      <c r="F26" s="422">
        <v>1998.6</v>
      </c>
      <c r="G26" s="427" t="s">
        <v>4426</v>
      </c>
      <c r="H26" s="419" t="s">
        <v>468</v>
      </c>
      <c r="I26" s="415" t="s">
        <v>2691</v>
      </c>
      <c r="J26" s="415" t="s">
        <v>1163</v>
      </c>
      <c r="K26" s="415" t="s">
        <v>830</v>
      </c>
      <c r="L26" s="415" t="s">
        <v>839</v>
      </c>
      <c r="M26" s="419">
        <v>1849</v>
      </c>
      <c r="N26" s="413">
        <v>44743</v>
      </c>
      <c r="O26" s="414" t="s">
        <v>404</v>
      </c>
      <c r="P26" s="655">
        <f t="shared" si="0"/>
        <v>7</v>
      </c>
      <c r="Q26" s="655">
        <f t="shared" si="1"/>
        <v>5</v>
      </c>
      <c r="R26" s="695" t="str">
        <f t="shared" si="2"/>
        <v>Gastos_custeados_por_captação</v>
      </c>
      <c r="S26" s="698" t="s">
        <v>1000</v>
      </c>
      <c r="T26" s="696">
        <v>3810</v>
      </c>
    </row>
    <row r="27" spans="1:20" ht="72" x14ac:dyDescent="0.2">
      <c r="A27" s="432">
        <f>IF(B27="","",COUNT('Diário 1º PA'!$A$4:$A$2635)+COUNT('Diário 2º PA'!$A$4:$A$3040)+ROW()-3)</f>
        <v>4123</v>
      </c>
      <c r="B27" s="413">
        <v>44746</v>
      </c>
      <c r="C27" s="431">
        <v>44713</v>
      </c>
      <c r="D27" s="419" t="s">
        <v>468</v>
      </c>
      <c r="E27" s="419" t="s">
        <v>468</v>
      </c>
      <c r="F27" s="422">
        <v>1998.6</v>
      </c>
      <c r="G27" s="427" t="s">
        <v>4475</v>
      </c>
      <c r="H27" s="419" t="s">
        <v>468</v>
      </c>
      <c r="I27" s="415" t="s">
        <v>6547</v>
      </c>
      <c r="J27" s="415" t="s">
        <v>4476</v>
      </c>
      <c r="K27" s="415" t="s">
        <v>830</v>
      </c>
      <c r="L27" s="415" t="s">
        <v>839</v>
      </c>
      <c r="M27" s="419">
        <v>1850</v>
      </c>
      <c r="N27" s="413">
        <v>44743</v>
      </c>
      <c r="O27" s="414" t="s">
        <v>404</v>
      </c>
      <c r="P27" s="655">
        <f t="shared" si="0"/>
        <v>7</v>
      </c>
      <c r="Q27" s="655">
        <f t="shared" si="1"/>
        <v>6</v>
      </c>
      <c r="R27" s="695" t="str">
        <f t="shared" si="2"/>
        <v>Gastos_custeados_por_captação</v>
      </c>
      <c r="S27" s="698" t="s">
        <v>1000</v>
      </c>
      <c r="T27" s="696">
        <v>3806</v>
      </c>
    </row>
    <row r="28" spans="1:20" ht="60" x14ac:dyDescent="0.2">
      <c r="A28" s="432">
        <f>IF(B28="","",COUNT('Diário 1º PA'!$A$4:$A$2635)+COUNT('Diário 2º PA'!$A$4:$A$3040)+ROW()-3)</f>
        <v>4124</v>
      </c>
      <c r="B28" s="413">
        <v>44746</v>
      </c>
      <c r="C28" s="431">
        <v>44713</v>
      </c>
      <c r="D28" s="419" t="s">
        <v>468</v>
      </c>
      <c r="E28" s="419" t="s">
        <v>468</v>
      </c>
      <c r="F28" s="422">
        <v>1500</v>
      </c>
      <c r="G28" s="427" t="s">
        <v>4952</v>
      </c>
      <c r="H28" s="419" t="s">
        <v>468</v>
      </c>
      <c r="I28" s="415" t="s">
        <v>6578</v>
      </c>
      <c r="J28" s="415" t="s">
        <v>4953</v>
      </c>
      <c r="K28" s="419" t="s">
        <v>806</v>
      </c>
      <c r="L28" s="415" t="s">
        <v>1305</v>
      </c>
      <c r="M28" s="419" t="s">
        <v>310</v>
      </c>
      <c r="N28" s="413">
        <v>44743</v>
      </c>
      <c r="O28" s="414" t="s">
        <v>405</v>
      </c>
      <c r="P28" s="655">
        <f t="shared" si="0"/>
        <v>7</v>
      </c>
      <c r="Q28" s="655">
        <f t="shared" si="1"/>
        <v>6</v>
      </c>
      <c r="R28" s="695" t="str">
        <f t="shared" si="2"/>
        <v>Gastos_custeados_por_captação</v>
      </c>
      <c r="S28" s="698" t="s">
        <v>998</v>
      </c>
      <c r="T28" s="696">
        <v>3954</v>
      </c>
    </row>
    <row r="29" spans="1:20" ht="60" x14ac:dyDescent="0.2">
      <c r="A29" s="432">
        <f>IF(B29="","",COUNT('Diário 1º PA'!$A$4:$A$2635)+COUNT('Diário 2º PA'!$A$4:$A$3040)+ROW()-3)</f>
        <v>4125</v>
      </c>
      <c r="B29" s="413">
        <v>44746</v>
      </c>
      <c r="C29" s="431">
        <v>44713</v>
      </c>
      <c r="D29" s="419" t="s">
        <v>468</v>
      </c>
      <c r="E29" s="419" t="s">
        <v>468</v>
      </c>
      <c r="F29" s="422">
        <v>3736.13</v>
      </c>
      <c r="G29" s="427" t="s">
        <v>4940</v>
      </c>
      <c r="H29" s="419" t="s">
        <v>468</v>
      </c>
      <c r="I29" s="415" t="s">
        <v>6579</v>
      </c>
      <c r="J29" s="415" t="s">
        <v>4941</v>
      </c>
      <c r="K29" s="419" t="s">
        <v>806</v>
      </c>
      <c r="L29" s="415" t="s">
        <v>1305</v>
      </c>
      <c r="M29" s="419" t="s">
        <v>310</v>
      </c>
      <c r="N29" s="413">
        <v>44743</v>
      </c>
      <c r="O29" s="414" t="s">
        <v>405</v>
      </c>
      <c r="P29" s="655">
        <f t="shared" si="0"/>
        <v>7</v>
      </c>
      <c r="Q29" s="655">
        <f t="shared" si="1"/>
        <v>6</v>
      </c>
      <c r="R29" s="695" t="str">
        <f t="shared" si="2"/>
        <v>Gastos_custeados_por_captação</v>
      </c>
      <c r="S29" s="698" t="s">
        <v>998</v>
      </c>
      <c r="T29" s="696">
        <v>3924</v>
      </c>
    </row>
    <row r="30" spans="1:20" ht="60" x14ac:dyDescent="0.2">
      <c r="A30" s="432">
        <f>IF(B30="","",COUNT('Diário 1º PA'!$A$4:$A$2635)+COUNT('Diário 2º PA'!$A$4:$A$3040)+ROW()-3)</f>
        <v>4126</v>
      </c>
      <c r="B30" s="413">
        <v>44746</v>
      </c>
      <c r="C30" s="431">
        <v>44713</v>
      </c>
      <c r="D30" s="419" t="s">
        <v>468</v>
      </c>
      <c r="E30" s="419" t="s">
        <v>468</v>
      </c>
      <c r="F30" s="422">
        <v>2000</v>
      </c>
      <c r="G30" s="427" t="s">
        <v>4939</v>
      </c>
      <c r="H30" s="419" t="s">
        <v>468</v>
      </c>
      <c r="I30" s="415" t="s">
        <v>6581</v>
      </c>
      <c r="J30" s="415" t="s">
        <v>4938</v>
      </c>
      <c r="K30" s="415" t="s">
        <v>830</v>
      </c>
      <c r="L30" s="415" t="s">
        <v>1305</v>
      </c>
      <c r="M30" s="419" t="s">
        <v>310</v>
      </c>
      <c r="N30" s="413">
        <v>44743</v>
      </c>
      <c r="O30" s="414" t="s">
        <v>405</v>
      </c>
      <c r="P30" s="655">
        <f t="shared" si="0"/>
        <v>7</v>
      </c>
      <c r="Q30" s="655">
        <f t="shared" si="1"/>
        <v>6</v>
      </c>
      <c r="R30" s="695" t="str">
        <f t="shared" si="2"/>
        <v>Gastos_custeados_por_captação</v>
      </c>
      <c r="S30" s="698" t="s">
        <v>998</v>
      </c>
      <c r="T30" s="696">
        <v>3923</v>
      </c>
    </row>
    <row r="31" spans="1:20" ht="60" x14ac:dyDescent="0.2">
      <c r="A31" s="432">
        <f>IF(B31="","",COUNT('Diário 1º PA'!$A$4:$A$2635)+COUNT('Diário 2º PA'!$A$4:$A$3040)+ROW()-3)</f>
        <v>4127</v>
      </c>
      <c r="B31" s="413">
        <v>44746</v>
      </c>
      <c r="C31" s="431">
        <v>44713</v>
      </c>
      <c r="D31" s="419" t="s">
        <v>468</v>
      </c>
      <c r="E31" s="419" t="s">
        <v>468</v>
      </c>
      <c r="F31" s="422">
        <v>4000</v>
      </c>
      <c r="G31" s="427" t="s">
        <v>4755</v>
      </c>
      <c r="H31" s="419" t="s">
        <v>468</v>
      </c>
      <c r="I31" s="415" t="s">
        <v>6582</v>
      </c>
      <c r="J31" s="415" t="s">
        <v>4756</v>
      </c>
      <c r="K31" s="415" t="s">
        <v>830</v>
      </c>
      <c r="L31" s="415" t="s">
        <v>1305</v>
      </c>
      <c r="M31" s="419" t="s">
        <v>310</v>
      </c>
      <c r="N31" s="413">
        <v>44740</v>
      </c>
      <c r="O31" s="414" t="s">
        <v>405</v>
      </c>
      <c r="P31" s="655">
        <f t="shared" si="0"/>
        <v>7</v>
      </c>
      <c r="Q31" s="655">
        <f t="shared" si="1"/>
        <v>6</v>
      </c>
      <c r="R31" s="695" t="str">
        <f t="shared" si="2"/>
        <v>Gastos_custeados_por_captação</v>
      </c>
      <c r="S31" s="698" t="s">
        <v>998</v>
      </c>
      <c r="T31" s="696">
        <v>3920</v>
      </c>
    </row>
    <row r="32" spans="1:20" ht="72" x14ac:dyDescent="0.2">
      <c r="A32" s="432">
        <f>IF(B32="","",COUNT('Diário 1º PA'!$A$4:$A$2635)+COUNT('Diário 2º PA'!$A$4:$A$3040)+ROW()-3)</f>
        <v>4128</v>
      </c>
      <c r="B32" s="413">
        <v>44746</v>
      </c>
      <c r="C32" s="431">
        <v>44713</v>
      </c>
      <c r="D32" s="419" t="s">
        <v>468</v>
      </c>
      <c r="E32" s="419" t="s">
        <v>468</v>
      </c>
      <c r="F32" s="422">
        <v>2200</v>
      </c>
      <c r="G32" s="427" t="s">
        <v>4494</v>
      </c>
      <c r="H32" s="419" t="s">
        <v>468</v>
      </c>
      <c r="I32" s="415" t="s">
        <v>5740</v>
      </c>
      <c r="J32" s="415" t="s">
        <v>3818</v>
      </c>
      <c r="K32" s="415" t="s">
        <v>830</v>
      </c>
      <c r="L32" s="415" t="s">
        <v>32</v>
      </c>
      <c r="M32" s="419">
        <v>685</v>
      </c>
      <c r="N32" s="413">
        <v>44739</v>
      </c>
      <c r="O32" s="414" t="s">
        <v>402</v>
      </c>
      <c r="P32" s="655">
        <f t="shared" si="0"/>
        <v>7</v>
      </c>
      <c r="Q32" s="655">
        <f t="shared" si="1"/>
        <v>6</v>
      </c>
      <c r="R32" s="695" t="str">
        <f t="shared" si="2"/>
        <v>Gastos_custeados_por_captação</v>
      </c>
      <c r="S32" s="698" t="s">
        <v>998</v>
      </c>
      <c r="T32" s="696">
        <v>3849</v>
      </c>
    </row>
    <row r="33" spans="1:20" ht="60" x14ac:dyDescent="0.2">
      <c r="A33" s="432">
        <f>IF(B33="","",COUNT('Diário 1º PA'!$A$4:$A$2635)+COUNT('Diário 2º PA'!$A$4:$A$3040)+ROW()-3)</f>
        <v>4129</v>
      </c>
      <c r="B33" s="413">
        <v>44747</v>
      </c>
      <c r="C33" s="424">
        <v>44713</v>
      </c>
      <c r="D33" s="419" t="s">
        <v>271</v>
      </c>
      <c r="E33" s="419" t="s">
        <v>59</v>
      </c>
      <c r="F33" s="422">
        <v>-2244.85</v>
      </c>
      <c r="G33" s="427" t="s">
        <v>5731</v>
      </c>
      <c r="H33" s="419" t="s">
        <v>309</v>
      </c>
      <c r="I33" s="415" t="s">
        <v>795</v>
      </c>
      <c r="J33" s="415" t="s">
        <v>796</v>
      </c>
      <c r="K33" s="415" t="s">
        <v>797</v>
      </c>
      <c r="L33" s="415" t="s">
        <v>798</v>
      </c>
      <c r="M33" s="419" t="s">
        <v>310</v>
      </c>
      <c r="N33" s="413">
        <v>44747</v>
      </c>
      <c r="O33" s="414" t="s">
        <v>400</v>
      </c>
      <c r="P33" s="655">
        <f t="shared" si="0"/>
        <v>7</v>
      </c>
      <c r="Q33" s="655">
        <f t="shared" si="1"/>
        <v>6</v>
      </c>
      <c r="R33" s="695" t="str">
        <f t="shared" si="2"/>
        <v>Gastos_Gerais</v>
      </c>
      <c r="S33" s="696" t="s">
        <v>310</v>
      </c>
      <c r="T33" s="696" t="s">
        <v>310</v>
      </c>
    </row>
    <row r="34" spans="1:20" ht="36" x14ac:dyDescent="0.2">
      <c r="A34" s="432">
        <f>IF(B34="","",COUNT('Diário 1º PA'!$A$4:$A$2635)+COUNT('Diário 2º PA'!$A$4:$A$3040)+ROW()-3)</f>
        <v>4130</v>
      </c>
      <c r="B34" s="413">
        <v>44747</v>
      </c>
      <c r="C34" s="424">
        <v>44743</v>
      </c>
      <c r="D34" s="419" t="s">
        <v>34</v>
      </c>
      <c r="E34" s="419" t="s">
        <v>167</v>
      </c>
      <c r="F34" s="422">
        <v>15</v>
      </c>
      <c r="G34" s="427" t="s">
        <v>5732</v>
      </c>
      <c r="H34" s="419" t="s">
        <v>310</v>
      </c>
      <c r="I34" s="415" t="s">
        <v>795</v>
      </c>
      <c r="J34" s="419" t="s">
        <v>796</v>
      </c>
      <c r="K34" s="419" t="s">
        <v>5737</v>
      </c>
      <c r="L34" s="415" t="s">
        <v>798</v>
      </c>
      <c r="M34" s="419" t="s">
        <v>310</v>
      </c>
      <c r="N34" s="413">
        <v>44747</v>
      </c>
      <c r="O34" s="414" t="s">
        <v>400</v>
      </c>
      <c r="P34" s="655">
        <f t="shared" si="0"/>
        <v>7</v>
      </c>
      <c r="Q34" s="655">
        <f t="shared" si="1"/>
        <v>7</v>
      </c>
      <c r="R34" s="695" t="str">
        <f t="shared" si="2"/>
        <v>Receitas</v>
      </c>
      <c r="S34" s="696" t="s">
        <v>310</v>
      </c>
      <c r="T34" s="696" t="s">
        <v>310</v>
      </c>
    </row>
    <row r="35" spans="1:20" ht="36" x14ac:dyDescent="0.2">
      <c r="A35" s="432">
        <f>IF(B35="","",COUNT('Diário 1º PA'!$A$4:$A$2635)+COUNT('Diário 2º PA'!$A$4:$A$3040)+ROW()-3)</f>
        <v>4131</v>
      </c>
      <c r="B35" s="413">
        <v>44747</v>
      </c>
      <c r="C35" s="424">
        <v>44743</v>
      </c>
      <c r="D35" s="419" t="s">
        <v>34</v>
      </c>
      <c r="E35" s="419" t="s">
        <v>167</v>
      </c>
      <c r="F35" s="422">
        <v>30</v>
      </c>
      <c r="G35" s="427" t="s">
        <v>5733</v>
      </c>
      <c r="H35" s="419" t="s">
        <v>310</v>
      </c>
      <c r="I35" s="415" t="s">
        <v>795</v>
      </c>
      <c r="J35" s="419" t="s">
        <v>796</v>
      </c>
      <c r="K35" s="419" t="s">
        <v>5737</v>
      </c>
      <c r="L35" s="415" t="s">
        <v>798</v>
      </c>
      <c r="M35" s="419" t="s">
        <v>310</v>
      </c>
      <c r="N35" s="413">
        <v>44747</v>
      </c>
      <c r="O35" s="414" t="s">
        <v>400</v>
      </c>
      <c r="P35" s="655">
        <f t="shared" si="0"/>
        <v>7</v>
      </c>
      <c r="Q35" s="655">
        <f t="shared" si="1"/>
        <v>7</v>
      </c>
      <c r="R35" s="695" t="str">
        <f t="shared" si="2"/>
        <v>Receitas</v>
      </c>
      <c r="S35" s="696" t="s">
        <v>310</v>
      </c>
      <c r="T35" s="696" t="s">
        <v>310</v>
      </c>
    </row>
    <row r="36" spans="1:20" ht="36" x14ac:dyDescent="0.2">
      <c r="A36" s="432">
        <f>IF(B36="","",COUNT('Diário 1º PA'!$A$4:$A$2635)+COUNT('Diário 2º PA'!$A$4:$A$3040)+ROW()-3)</f>
        <v>4132</v>
      </c>
      <c r="B36" s="413">
        <v>44747</v>
      </c>
      <c r="C36" s="424">
        <v>44743</v>
      </c>
      <c r="D36" s="419" t="s">
        <v>34</v>
      </c>
      <c r="E36" s="419" t="s">
        <v>167</v>
      </c>
      <c r="F36" s="422">
        <v>215</v>
      </c>
      <c r="G36" s="427" t="s">
        <v>5734</v>
      </c>
      <c r="H36" s="419" t="s">
        <v>310</v>
      </c>
      <c r="I36" s="415" t="s">
        <v>795</v>
      </c>
      <c r="J36" s="419" t="s">
        <v>796</v>
      </c>
      <c r="K36" s="419" t="s">
        <v>5737</v>
      </c>
      <c r="L36" s="415" t="s">
        <v>798</v>
      </c>
      <c r="M36" s="419" t="s">
        <v>310</v>
      </c>
      <c r="N36" s="413">
        <v>44747</v>
      </c>
      <c r="O36" s="414" t="s">
        <v>400</v>
      </c>
      <c r="P36" s="655">
        <f t="shared" si="0"/>
        <v>7</v>
      </c>
      <c r="Q36" s="655">
        <f t="shared" si="1"/>
        <v>7</v>
      </c>
      <c r="R36" s="695" t="str">
        <f t="shared" si="2"/>
        <v>Receitas</v>
      </c>
      <c r="S36" s="696" t="s">
        <v>310</v>
      </c>
      <c r="T36" s="696" t="s">
        <v>310</v>
      </c>
    </row>
    <row r="37" spans="1:20" ht="60" x14ac:dyDescent="0.2">
      <c r="A37" s="432">
        <f>IF(B37="","",COUNT('Diário 1º PA'!$A$4:$A$2635)+COUNT('Diário 2º PA'!$A$4:$A$3040)+ROW()-3)</f>
        <v>4133</v>
      </c>
      <c r="B37" s="413">
        <v>44747</v>
      </c>
      <c r="C37" s="424">
        <v>44713</v>
      </c>
      <c r="D37" s="419" t="s">
        <v>271</v>
      </c>
      <c r="E37" s="419" t="s">
        <v>90</v>
      </c>
      <c r="F37" s="422">
        <v>3000</v>
      </c>
      <c r="G37" s="427" t="s">
        <v>3964</v>
      </c>
      <c r="H37" s="419" t="s">
        <v>750</v>
      </c>
      <c r="I37" s="415" t="s">
        <v>5741</v>
      </c>
      <c r="J37" s="419" t="s">
        <v>1126</v>
      </c>
      <c r="K37" s="419" t="s">
        <v>806</v>
      </c>
      <c r="L37" s="415" t="s">
        <v>807</v>
      </c>
      <c r="M37" s="419" t="s">
        <v>1890</v>
      </c>
      <c r="N37" s="413">
        <v>44746</v>
      </c>
      <c r="O37" s="414" t="s">
        <v>400</v>
      </c>
      <c r="P37" s="655">
        <f t="shared" si="0"/>
        <v>7</v>
      </c>
      <c r="Q37" s="655">
        <f t="shared" si="1"/>
        <v>6</v>
      </c>
      <c r="R37" s="695" t="str">
        <f t="shared" si="2"/>
        <v>Gastos_Gerais</v>
      </c>
      <c r="S37" s="696" t="s">
        <v>1000</v>
      </c>
      <c r="T37" s="696">
        <v>3528</v>
      </c>
    </row>
    <row r="38" spans="1:20" ht="24" x14ac:dyDescent="0.2">
      <c r="A38" s="432">
        <f>IF(B38="","",COUNT('Diário 1º PA'!$A$4:$A$2635)+COUNT('Diário 2º PA'!$A$4:$A$3040)+ROW()-3)</f>
        <v>4134</v>
      </c>
      <c r="B38" s="413">
        <v>44747</v>
      </c>
      <c r="C38" s="424">
        <v>44713</v>
      </c>
      <c r="D38" s="419" t="s">
        <v>271</v>
      </c>
      <c r="E38" s="419" t="s">
        <v>297</v>
      </c>
      <c r="F38" s="422">
        <v>21908.73</v>
      </c>
      <c r="G38" s="427" t="s">
        <v>1688</v>
      </c>
      <c r="H38" s="419" t="s">
        <v>750</v>
      </c>
      <c r="I38" s="415" t="s">
        <v>774</v>
      </c>
      <c r="J38" s="419" t="s">
        <v>844</v>
      </c>
      <c r="K38" s="419" t="s">
        <v>812</v>
      </c>
      <c r="L38" s="415" t="s">
        <v>310</v>
      </c>
      <c r="M38" s="419" t="s">
        <v>310</v>
      </c>
      <c r="N38" s="413">
        <v>44747</v>
      </c>
      <c r="O38" s="414" t="s">
        <v>400</v>
      </c>
      <c r="P38" s="655">
        <f t="shared" si="0"/>
        <v>7</v>
      </c>
      <c r="Q38" s="655">
        <f t="shared" si="1"/>
        <v>6</v>
      </c>
      <c r="R38" s="695" t="str">
        <f t="shared" si="2"/>
        <v>Gastos_Gerais</v>
      </c>
      <c r="S38" s="696" t="s">
        <v>310</v>
      </c>
      <c r="T38" s="696" t="s">
        <v>310</v>
      </c>
    </row>
    <row r="39" spans="1:20" ht="60" x14ac:dyDescent="0.2">
      <c r="A39" s="432">
        <f>IF(B39="","",COUNT('Diário 1º PA'!$A$4:$A$2635)+COUNT('Diário 2º PA'!$A$4:$A$3040)+ROW()-3)</f>
        <v>4135</v>
      </c>
      <c r="B39" s="413">
        <v>44747</v>
      </c>
      <c r="C39" s="424">
        <v>44713</v>
      </c>
      <c r="D39" s="419" t="s">
        <v>271</v>
      </c>
      <c r="E39" s="419" t="s">
        <v>90</v>
      </c>
      <c r="F39" s="422">
        <v>3000</v>
      </c>
      <c r="G39" s="427" t="s">
        <v>3964</v>
      </c>
      <c r="H39" s="419" t="s">
        <v>750</v>
      </c>
      <c r="I39" s="415" t="s">
        <v>856</v>
      </c>
      <c r="J39" s="419" t="s">
        <v>1077</v>
      </c>
      <c r="K39" s="419" t="s">
        <v>830</v>
      </c>
      <c r="L39" s="415" t="s">
        <v>807</v>
      </c>
      <c r="M39" s="419">
        <v>146</v>
      </c>
      <c r="N39" s="413">
        <v>44746</v>
      </c>
      <c r="O39" s="414" t="s">
        <v>400</v>
      </c>
      <c r="P39" s="655">
        <f t="shared" si="0"/>
        <v>7</v>
      </c>
      <c r="Q39" s="655">
        <f t="shared" si="1"/>
        <v>6</v>
      </c>
      <c r="R39" s="695" t="str">
        <f t="shared" si="2"/>
        <v>Gastos_Gerais</v>
      </c>
      <c r="S39" s="696" t="s">
        <v>1000</v>
      </c>
      <c r="T39" s="696">
        <v>3527</v>
      </c>
    </row>
    <row r="40" spans="1:20" ht="48" x14ac:dyDescent="0.2">
      <c r="A40" s="432">
        <f>IF(B40="","",COUNT('Diário 1º PA'!$A$4:$A$2635)+COUNT('Diário 2º PA'!$A$4:$A$3040)+ROW()-3)</f>
        <v>4136</v>
      </c>
      <c r="B40" s="413">
        <v>44747</v>
      </c>
      <c r="C40" s="424">
        <v>44713</v>
      </c>
      <c r="D40" s="419" t="s">
        <v>271</v>
      </c>
      <c r="E40" s="419" t="s">
        <v>449</v>
      </c>
      <c r="F40" s="422">
        <v>500</v>
      </c>
      <c r="G40" s="427" t="s">
        <v>5160</v>
      </c>
      <c r="H40" s="419" t="s">
        <v>756</v>
      </c>
      <c r="I40" s="415" t="s">
        <v>5742</v>
      </c>
      <c r="J40" s="419" t="s">
        <v>4614</v>
      </c>
      <c r="K40" s="419" t="s">
        <v>830</v>
      </c>
      <c r="L40" s="415" t="s">
        <v>5743</v>
      </c>
      <c r="M40" s="419" t="s">
        <v>310</v>
      </c>
      <c r="N40" s="413">
        <v>44747</v>
      </c>
      <c r="O40" s="414" t="s">
        <v>400</v>
      </c>
      <c r="P40" s="655">
        <f t="shared" si="0"/>
        <v>7</v>
      </c>
      <c r="Q40" s="655">
        <f t="shared" si="1"/>
        <v>6</v>
      </c>
      <c r="R40" s="695" t="str">
        <f t="shared" si="2"/>
        <v>Gastos_Gerais</v>
      </c>
      <c r="S40" s="696" t="s">
        <v>998</v>
      </c>
      <c r="T40" s="696">
        <v>3972</v>
      </c>
    </row>
    <row r="41" spans="1:20" ht="84" x14ac:dyDescent="0.2">
      <c r="A41" s="432">
        <f>IF(B41="","",COUNT('Diário 1º PA'!$A$4:$A$2635)+COUNT('Diário 2º PA'!$A$4:$A$3040)+ROW()-3)</f>
        <v>4137</v>
      </c>
      <c r="B41" s="413">
        <v>44747</v>
      </c>
      <c r="C41" s="424">
        <v>44713</v>
      </c>
      <c r="D41" s="419" t="s">
        <v>271</v>
      </c>
      <c r="E41" s="419" t="s">
        <v>59</v>
      </c>
      <c r="F41" s="422">
        <v>7977.25</v>
      </c>
      <c r="G41" s="427" t="s">
        <v>1615</v>
      </c>
      <c r="H41" s="419" t="s">
        <v>309</v>
      </c>
      <c r="I41" s="415" t="s">
        <v>5246</v>
      </c>
      <c r="J41" s="419" t="s">
        <v>860</v>
      </c>
      <c r="K41" s="419" t="s">
        <v>830</v>
      </c>
      <c r="L41" s="415" t="s">
        <v>807</v>
      </c>
      <c r="M41" s="419" t="s">
        <v>5744</v>
      </c>
      <c r="N41" s="413">
        <v>44732</v>
      </c>
      <c r="O41" s="414" t="s">
        <v>400</v>
      </c>
      <c r="P41" s="655">
        <f t="shared" si="0"/>
        <v>7</v>
      </c>
      <c r="Q41" s="655">
        <f t="shared" si="1"/>
        <v>6</v>
      </c>
      <c r="R41" s="695" t="str">
        <f t="shared" si="2"/>
        <v>Gastos_Gerais</v>
      </c>
      <c r="S41" s="696" t="s">
        <v>1000</v>
      </c>
      <c r="T41" s="696">
        <v>1114</v>
      </c>
    </row>
    <row r="42" spans="1:20" ht="36" x14ac:dyDescent="0.2">
      <c r="A42" s="432">
        <f>IF(B42="","",COUNT('Diário 1º PA'!$A$4:$A$2635)+COUNT('Diário 2º PA'!$A$4:$A$3040)+ROW()-3)</f>
        <v>4138</v>
      </c>
      <c r="B42" s="413">
        <v>44747</v>
      </c>
      <c r="C42" s="431">
        <v>44713</v>
      </c>
      <c r="D42" s="419" t="s">
        <v>468</v>
      </c>
      <c r="E42" s="419" t="s">
        <v>468</v>
      </c>
      <c r="F42" s="422">
        <v>-4500</v>
      </c>
      <c r="G42" s="427" t="s">
        <v>2440</v>
      </c>
      <c r="H42" s="419" t="s">
        <v>468</v>
      </c>
      <c r="I42" s="427" t="s">
        <v>2437</v>
      </c>
      <c r="J42" s="415" t="s">
        <v>796</v>
      </c>
      <c r="K42" s="415" t="s">
        <v>797</v>
      </c>
      <c r="L42" s="415" t="s">
        <v>798</v>
      </c>
      <c r="M42" s="415" t="s">
        <v>310</v>
      </c>
      <c r="N42" s="413">
        <v>44747</v>
      </c>
      <c r="O42" s="414" t="s">
        <v>408</v>
      </c>
      <c r="P42" s="655">
        <f t="shared" si="0"/>
        <v>7</v>
      </c>
      <c r="Q42" s="655">
        <f t="shared" si="1"/>
        <v>6</v>
      </c>
      <c r="R42" s="695" t="str">
        <f t="shared" si="2"/>
        <v>Gastos_custeados_por_captação</v>
      </c>
      <c r="S42" s="696" t="s">
        <v>310</v>
      </c>
      <c r="T42" s="696" t="s">
        <v>310</v>
      </c>
    </row>
    <row r="43" spans="1:20" ht="36" x14ac:dyDescent="0.2">
      <c r="A43" s="432">
        <f>IF(B43="","",COUNT('Diário 1º PA'!$A$4:$A$2635)+COUNT('Diário 2º PA'!$A$4:$A$3040)+ROW()-3)</f>
        <v>4139</v>
      </c>
      <c r="B43" s="413">
        <v>44747</v>
      </c>
      <c r="C43" s="431">
        <v>44713</v>
      </c>
      <c r="D43" s="419" t="s">
        <v>468</v>
      </c>
      <c r="E43" s="419" t="s">
        <v>468</v>
      </c>
      <c r="F43" s="422">
        <v>-4350</v>
      </c>
      <c r="G43" s="646" t="s">
        <v>5646</v>
      </c>
      <c r="H43" s="419" t="s">
        <v>468</v>
      </c>
      <c r="I43" s="427" t="s">
        <v>2437</v>
      </c>
      <c r="J43" s="415" t="s">
        <v>796</v>
      </c>
      <c r="K43" s="415" t="s">
        <v>797</v>
      </c>
      <c r="L43" s="415" t="s">
        <v>798</v>
      </c>
      <c r="M43" s="415" t="s">
        <v>310</v>
      </c>
      <c r="N43" s="413">
        <v>44747</v>
      </c>
      <c r="O43" s="414" t="s">
        <v>408</v>
      </c>
      <c r="P43" s="655">
        <f t="shared" si="0"/>
        <v>7</v>
      </c>
      <c r="Q43" s="655">
        <f t="shared" si="1"/>
        <v>6</v>
      </c>
      <c r="R43" s="695" t="str">
        <f t="shared" si="2"/>
        <v>Gastos_custeados_por_captação</v>
      </c>
      <c r="S43" s="696" t="s">
        <v>310</v>
      </c>
      <c r="T43" s="696" t="s">
        <v>310</v>
      </c>
    </row>
    <row r="44" spans="1:20" ht="36" x14ac:dyDescent="0.2">
      <c r="A44" s="432">
        <f>IF(B44="","",COUNT('Diário 1º PA'!$A$4:$A$2635)+COUNT('Diário 2º PA'!$A$4:$A$3040)+ROW()-3)</f>
        <v>4140</v>
      </c>
      <c r="B44" s="413">
        <v>44747</v>
      </c>
      <c r="C44" s="431">
        <v>44713</v>
      </c>
      <c r="D44" s="419" t="s">
        <v>468</v>
      </c>
      <c r="E44" s="419" t="s">
        <v>468</v>
      </c>
      <c r="F44" s="422">
        <v>-5000</v>
      </c>
      <c r="G44" s="646" t="s">
        <v>2438</v>
      </c>
      <c r="H44" s="419" t="s">
        <v>468</v>
      </c>
      <c r="I44" s="427" t="s">
        <v>2437</v>
      </c>
      <c r="J44" s="415" t="s">
        <v>796</v>
      </c>
      <c r="K44" s="415" t="s">
        <v>797</v>
      </c>
      <c r="L44" s="415" t="s">
        <v>798</v>
      </c>
      <c r="M44" s="415" t="s">
        <v>310</v>
      </c>
      <c r="N44" s="413">
        <v>44747</v>
      </c>
      <c r="O44" s="414" t="s">
        <v>408</v>
      </c>
      <c r="P44" s="655">
        <f t="shared" si="0"/>
        <v>7</v>
      </c>
      <c r="Q44" s="655">
        <f t="shared" si="1"/>
        <v>6</v>
      </c>
      <c r="R44" s="695" t="str">
        <f t="shared" si="2"/>
        <v>Gastos_custeados_por_captação</v>
      </c>
      <c r="S44" s="696" t="s">
        <v>310</v>
      </c>
      <c r="T44" s="696" t="s">
        <v>310</v>
      </c>
    </row>
    <row r="45" spans="1:20" ht="36" x14ac:dyDescent="0.2">
      <c r="A45" s="432">
        <f>IF(B45="","",COUNT('Diário 1º PA'!$A$4:$A$2635)+COUNT('Diário 2º PA'!$A$4:$A$3040)+ROW()-3)</f>
        <v>4141</v>
      </c>
      <c r="B45" s="413">
        <v>44747</v>
      </c>
      <c r="C45" s="431">
        <v>44713</v>
      </c>
      <c r="D45" s="419" t="s">
        <v>468</v>
      </c>
      <c r="E45" s="419" t="s">
        <v>468</v>
      </c>
      <c r="F45" s="422">
        <v>-100.76</v>
      </c>
      <c r="G45" s="646" t="s">
        <v>6373</v>
      </c>
      <c r="H45" s="419" t="s">
        <v>468</v>
      </c>
      <c r="I45" s="427" t="s">
        <v>2437</v>
      </c>
      <c r="J45" s="415" t="s">
        <v>796</v>
      </c>
      <c r="K45" s="415" t="s">
        <v>797</v>
      </c>
      <c r="L45" s="415" t="s">
        <v>798</v>
      </c>
      <c r="M45" s="415" t="s">
        <v>310</v>
      </c>
      <c r="N45" s="413">
        <v>44747</v>
      </c>
      <c r="O45" s="414" t="s">
        <v>408</v>
      </c>
      <c r="P45" s="655">
        <f t="shared" si="0"/>
        <v>7</v>
      </c>
      <c r="Q45" s="655">
        <f t="shared" si="1"/>
        <v>6</v>
      </c>
      <c r="R45" s="695" t="str">
        <f t="shared" si="2"/>
        <v>Gastos_custeados_por_captação</v>
      </c>
      <c r="S45" s="696" t="s">
        <v>310</v>
      </c>
      <c r="T45" s="696" t="s">
        <v>310</v>
      </c>
    </row>
    <row r="46" spans="1:20" ht="48" x14ac:dyDescent="0.2">
      <c r="A46" s="432">
        <f>IF(B46="","",COUNT('Diário 1º PA'!$A$4:$A$2635)+COUNT('Diário 2º PA'!$A$4:$A$3040)+ROW()-3)</f>
        <v>4142</v>
      </c>
      <c r="B46" s="413">
        <v>44747</v>
      </c>
      <c r="C46" s="431">
        <v>44713</v>
      </c>
      <c r="D46" s="419" t="s">
        <v>468</v>
      </c>
      <c r="E46" s="419" t="s">
        <v>468</v>
      </c>
      <c r="F46" s="422">
        <v>2522.5500000000002</v>
      </c>
      <c r="G46" s="427" t="s">
        <v>702</v>
      </c>
      <c r="H46" s="419" t="s">
        <v>468</v>
      </c>
      <c r="I46" s="415" t="s">
        <v>2404</v>
      </c>
      <c r="J46" s="415" t="s">
        <v>1014</v>
      </c>
      <c r="K46" s="419" t="s">
        <v>830</v>
      </c>
      <c r="L46" s="415" t="s">
        <v>839</v>
      </c>
      <c r="M46" s="419">
        <v>1854</v>
      </c>
      <c r="N46" s="413">
        <v>44743</v>
      </c>
      <c r="O46" s="414" t="s">
        <v>408</v>
      </c>
      <c r="P46" s="655">
        <f t="shared" si="0"/>
        <v>7</v>
      </c>
      <c r="Q46" s="655">
        <f t="shared" si="1"/>
        <v>6</v>
      </c>
      <c r="R46" s="695" t="str">
        <f t="shared" si="2"/>
        <v>Gastos_custeados_por_captação</v>
      </c>
      <c r="S46" s="698" t="s">
        <v>998</v>
      </c>
      <c r="T46" s="696">
        <v>2672</v>
      </c>
    </row>
    <row r="47" spans="1:20" ht="48" x14ac:dyDescent="0.2">
      <c r="A47" s="432">
        <f>IF(B47="","",COUNT('Diário 1º PA'!$A$4:$A$2635)+COUNT('Diário 2º PA'!$A$4:$A$3040)+ROW()-3)</f>
        <v>4143</v>
      </c>
      <c r="B47" s="413">
        <v>44747</v>
      </c>
      <c r="C47" s="431">
        <v>44713</v>
      </c>
      <c r="D47" s="419" t="s">
        <v>468</v>
      </c>
      <c r="E47" s="419" t="s">
        <v>468</v>
      </c>
      <c r="F47" s="422">
        <v>2750</v>
      </c>
      <c r="G47" s="427" t="s">
        <v>694</v>
      </c>
      <c r="H47" s="419" t="s">
        <v>468</v>
      </c>
      <c r="I47" s="415" t="s">
        <v>2476</v>
      </c>
      <c r="J47" s="415" t="s">
        <v>1133</v>
      </c>
      <c r="K47" s="419" t="s">
        <v>830</v>
      </c>
      <c r="L47" s="415" t="s">
        <v>32</v>
      </c>
      <c r="M47" s="419" t="s">
        <v>1890</v>
      </c>
      <c r="N47" s="413">
        <v>44746</v>
      </c>
      <c r="O47" s="414" t="s">
        <v>408</v>
      </c>
      <c r="P47" s="655">
        <f t="shared" si="0"/>
        <v>7</v>
      </c>
      <c r="Q47" s="655">
        <f t="shared" si="1"/>
        <v>6</v>
      </c>
      <c r="R47" s="695" t="str">
        <f t="shared" si="2"/>
        <v>Gastos_custeados_por_captação</v>
      </c>
      <c r="S47" s="698" t="s">
        <v>1000</v>
      </c>
      <c r="T47" s="696">
        <v>2740</v>
      </c>
    </row>
    <row r="48" spans="1:20" ht="48" x14ac:dyDescent="0.2">
      <c r="A48" s="432">
        <f>IF(B48="","",COUNT('Diário 1º PA'!$A$4:$A$2635)+COUNT('Diário 2º PA'!$A$4:$A$3040)+ROW()-3)</f>
        <v>4144</v>
      </c>
      <c r="B48" s="413">
        <v>44747</v>
      </c>
      <c r="C48" s="431">
        <v>44713</v>
      </c>
      <c r="D48" s="419" t="s">
        <v>468</v>
      </c>
      <c r="E48" s="419" t="s">
        <v>468</v>
      </c>
      <c r="F48" s="422">
        <v>4000</v>
      </c>
      <c r="G48" s="427" t="s">
        <v>710</v>
      </c>
      <c r="H48" s="419" t="s">
        <v>468</v>
      </c>
      <c r="I48" s="415" t="s">
        <v>6377</v>
      </c>
      <c r="J48" s="415" t="s">
        <v>1135</v>
      </c>
      <c r="K48" s="419" t="s">
        <v>830</v>
      </c>
      <c r="L48" s="415" t="s">
        <v>32</v>
      </c>
      <c r="M48" s="419" t="s">
        <v>1890</v>
      </c>
      <c r="N48" s="413">
        <v>44745</v>
      </c>
      <c r="O48" s="414" t="s">
        <v>408</v>
      </c>
      <c r="P48" s="655">
        <f t="shared" si="0"/>
        <v>7</v>
      </c>
      <c r="Q48" s="655">
        <f t="shared" si="1"/>
        <v>6</v>
      </c>
      <c r="R48" s="695" t="str">
        <f t="shared" si="2"/>
        <v>Gastos_custeados_por_captação</v>
      </c>
      <c r="S48" s="698" t="s">
        <v>1000</v>
      </c>
      <c r="T48" s="696">
        <v>2757</v>
      </c>
    </row>
    <row r="49" spans="1:20" ht="36" x14ac:dyDescent="0.2">
      <c r="A49" s="432">
        <f>IF(B49="","",COUNT('Diário 1º PA'!$A$4:$A$2635)+COUNT('Diário 2º PA'!$A$4:$A$3040)+ROW()-3)</f>
        <v>4145</v>
      </c>
      <c r="B49" s="413">
        <v>44747</v>
      </c>
      <c r="C49" s="431">
        <v>44713</v>
      </c>
      <c r="D49" s="419" t="s">
        <v>468</v>
      </c>
      <c r="E49" s="419" t="s">
        <v>468</v>
      </c>
      <c r="F49" s="422">
        <v>4311.5600000000004</v>
      </c>
      <c r="G49" s="427" t="s">
        <v>693</v>
      </c>
      <c r="H49" s="419" t="s">
        <v>468</v>
      </c>
      <c r="I49" s="415" t="s">
        <v>6392</v>
      </c>
      <c r="J49" s="415" t="s">
        <v>1124</v>
      </c>
      <c r="K49" s="419" t="s">
        <v>830</v>
      </c>
      <c r="L49" s="415" t="s">
        <v>807</v>
      </c>
      <c r="M49" s="419" t="s">
        <v>1540</v>
      </c>
      <c r="N49" s="413">
        <v>44745</v>
      </c>
      <c r="O49" s="414" t="s">
        <v>408</v>
      </c>
      <c r="P49" s="655">
        <f t="shared" si="0"/>
        <v>7</v>
      </c>
      <c r="Q49" s="655">
        <f t="shared" si="1"/>
        <v>6</v>
      </c>
      <c r="R49" s="695" t="str">
        <f t="shared" si="2"/>
        <v>Gastos_custeados_por_captação</v>
      </c>
      <c r="S49" s="698" t="s">
        <v>1000</v>
      </c>
      <c r="T49" s="696">
        <v>2642</v>
      </c>
    </row>
    <row r="50" spans="1:20" ht="48" x14ac:dyDescent="0.2">
      <c r="A50" s="432">
        <f>IF(B50="","",COUNT('Diário 1º PA'!$A$4:$A$2635)+COUNT('Diário 2º PA'!$A$4:$A$3040)+ROW()-3)</f>
        <v>4146</v>
      </c>
      <c r="B50" s="413">
        <v>44747</v>
      </c>
      <c r="C50" s="424">
        <v>44713</v>
      </c>
      <c r="D50" s="419" t="s">
        <v>468</v>
      </c>
      <c r="E50" s="419" t="s">
        <v>468</v>
      </c>
      <c r="F50" s="422">
        <v>2694.72</v>
      </c>
      <c r="G50" s="427" t="s">
        <v>694</v>
      </c>
      <c r="H50" s="419" t="s">
        <v>468</v>
      </c>
      <c r="I50" s="415" t="s">
        <v>6394</v>
      </c>
      <c r="J50" s="415" t="s">
        <v>1120</v>
      </c>
      <c r="K50" s="419" t="s">
        <v>830</v>
      </c>
      <c r="L50" s="415" t="s">
        <v>807</v>
      </c>
      <c r="M50" s="419" t="s">
        <v>1700</v>
      </c>
      <c r="N50" s="413">
        <v>44746</v>
      </c>
      <c r="O50" s="414" t="s">
        <v>408</v>
      </c>
      <c r="P50" s="655">
        <f t="shared" si="0"/>
        <v>7</v>
      </c>
      <c r="Q50" s="655">
        <f t="shared" si="1"/>
        <v>6</v>
      </c>
      <c r="R50" s="695" t="str">
        <f t="shared" si="2"/>
        <v>Gastos_custeados_por_captação</v>
      </c>
      <c r="S50" s="698" t="s">
        <v>1000</v>
      </c>
      <c r="T50" s="696">
        <v>2663</v>
      </c>
    </row>
    <row r="51" spans="1:20" ht="48" x14ac:dyDescent="0.2">
      <c r="A51" s="432">
        <f>IF(B51="","",COUNT('Diário 1º PA'!$A$4:$A$2635)+COUNT('Diário 2º PA'!$A$4:$A$3040)+ROW()-3)</f>
        <v>4147</v>
      </c>
      <c r="B51" s="413">
        <v>44747</v>
      </c>
      <c r="C51" s="431">
        <v>44713</v>
      </c>
      <c r="D51" s="419" t="s">
        <v>468</v>
      </c>
      <c r="E51" s="419" t="s">
        <v>468</v>
      </c>
      <c r="F51" s="422">
        <v>2650</v>
      </c>
      <c r="G51" s="427" t="s">
        <v>697</v>
      </c>
      <c r="H51" s="419" t="s">
        <v>468</v>
      </c>
      <c r="I51" s="415" t="s">
        <v>6396</v>
      </c>
      <c r="J51" s="415" t="s">
        <v>1128</v>
      </c>
      <c r="K51" s="419" t="s">
        <v>830</v>
      </c>
      <c r="L51" s="415" t="s">
        <v>807</v>
      </c>
      <c r="M51" s="419" t="s">
        <v>1724</v>
      </c>
      <c r="N51" s="413">
        <v>44746</v>
      </c>
      <c r="O51" s="414" t="s">
        <v>408</v>
      </c>
      <c r="P51" s="655">
        <f t="shared" si="0"/>
        <v>7</v>
      </c>
      <c r="Q51" s="655">
        <f t="shared" si="1"/>
        <v>6</v>
      </c>
      <c r="R51" s="695" t="str">
        <f t="shared" si="2"/>
        <v>Gastos_custeados_por_captação</v>
      </c>
      <c r="S51" s="698" t="s">
        <v>1000</v>
      </c>
      <c r="T51" s="696">
        <v>2687</v>
      </c>
    </row>
    <row r="52" spans="1:20" ht="36" x14ac:dyDescent="0.2">
      <c r="A52" s="432">
        <f>IF(B52="","",COUNT('Diário 1º PA'!$A$4:$A$2635)+COUNT('Diário 2º PA'!$A$4:$A$3040)+ROW()-3)</f>
        <v>4148</v>
      </c>
      <c r="B52" s="413">
        <v>44747</v>
      </c>
      <c r="C52" s="431">
        <v>44713</v>
      </c>
      <c r="D52" s="419" t="s">
        <v>468</v>
      </c>
      <c r="E52" s="419" t="s">
        <v>468</v>
      </c>
      <c r="F52" s="422">
        <v>2750</v>
      </c>
      <c r="G52" s="427" t="s">
        <v>4429</v>
      </c>
      <c r="H52" s="419" t="s">
        <v>468</v>
      </c>
      <c r="I52" s="415" t="s">
        <v>6397</v>
      </c>
      <c r="J52" s="415" t="s">
        <v>2456</v>
      </c>
      <c r="K52" s="419" t="s">
        <v>830</v>
      </c>
      <c r="L52" s="415" t="s">
        <v>807</v>
      </c>
      <c r="M52" s="419" t="s">
        <v>1793</v>
      </c>
      <c r="N52" s="413">
        <v>44746</v>
      </c>
      <c r="O52" s="414" t="s">
        <v>408</v>
      </c>
      <c r="P52" s="655">
        <f t="shared" si="0"/>
        <v>7</v>
      </c>
      <c r="Q52" s="655">
        <f t="shared" si="1"/>
        <v>6</v>
      </c>
      <c r="R52" s="695" t="str">
        <f t="shared" si="2"/>
        <v>Gastos_custeados_por_captação</v>
      </c>
      <c r="S52" s="698" t="s">
        <v>1000</v>
      </c>
      <c r="T52" s="696">
        <v>3804</v>
      </c>
    </row>
    <row r="53" spans="1:20" ht="36" x14ac:dyDescent="0.2">
      <c r="A53" s="432">
        <f>IF(B53="","",COUNT('Diário 1º PA'!$A$4:$A$2635)+COUNT('Diário 2º PA'!$A$4:$A$3040)+ROW()-3)</f>
        <v>4149</v>
      </c>
      <c r="B53" s="413">
        <v>44747</v>
      </c>
      <c r="C53" s="433">
        <v>44713</v>
      </c>
      <c r="D53" s="419" t="s">
        <v>468</v>
      </c>
      <c r="E53" s="419" t="s">
        <v>468</v>
      </c>
      <c r="F53" s="422">
        <v>4400</v>
      </c>
      <c r="G53" s="437" t="s">
        <v>719</v>
      </c>
      <c r="H53" s="419" t="s">
        <v>468</v>
      </c>
      <c r="I53" s="415" t="s">
        <v>6398</v>
      </c>
      <c r="J53" s="434" t="s">
        <v>863</v>
      </c>
      <c r="K53" s="419" t="s">
        <v>830</v>
      </c>
      <c r="L53" s="415" t="s">
        <v>807</v>
      </c>
      <c r="M53" s="419" t="s">
        <v>5210</v>
      </c>
      <c r="N53" s="413">
        <v>44746</v>
      </c>
      <c r="O53" s="414" t="s">
        <v>408</v>
      </c>
      <c r="P53" s="655">
        <f t="shared" si="0"/>
        <v>7</v>
      </c>
      <c r="Q53" s="655">
        <f t="shared" si="1"/>
        <v>6</v>
      </c>
      <c r="R53" s="695" t="str">
        <f t="shared" si="2"/>
        <v>Gastos_custeados_por_captação</v>
      </c>
      <c r="S53" s="698" t="s">
        <v>1000</v>
      </c>
      <c r="T53" s="696">
        <v>2776</v>
      </c>
    </row>
    <row r="54" spans="1:20" ht="48" x14ac:dyDescent="0.2">
      <c r="A54" s="432">
        <f>IF(B54="","",COUNT('Diário 1º PA'!$A$4:$A$2635)+COUNT('Diário 2º PA'!$A$4:$A$3040)+ROW()-3)</f>
        <v>4150</v>
      </c>
      <c r="B54" s="413">
        <v>44747</v>
      </c>
      <c r="C54" s="431">
        <v>44713</v>
      </c>
      <c r="D54" s="419" t="s">
        <v>468</v>
      </c>
      <c r="E54" s="419" t="s">
        <v>468</v>
      </c>
      <c r="F54" s="422">
        <v>2750</v>
      </c>
      <c r="G54" s="427" t="s">
        <v>694</v>
      </c>
      <c r="H54" s="419" t="s">
        <v>468</v>
      </c>
      <c r="I54" s="415" t="s">
        <v>6400</v>
      </c>
      <c r="J54" s="415" t="s">
        <v>1127</v>
      </c>
      <c r="K54" s="419" t="s">
        <v>830</v>
      </c>
      <c r="L54" s="415" t="s">
        <v>807</v>
      </c>
      <c r="M54" s="419" t="s">
        <v>1793</v>
      </c>
      <c r="N54" s="413">
        <v>44747</v>
      </c>
      <c r="O54" s="414" t="s">
        <v>408</v>
      </c>
      <c r="P54" s="655">
        <f t="shared" si="0"/>
        <v>7</v>
      </c>
      <c r="Q54" s="655">
        <f t="shared" si="1"/>
        <v>6</v>
      </c>
      <c r="R54" s="695" t="str">
        <f t="shared" si="2"/>
        <v>Gastos_custeados_por_captação</v>
      </c>
      <c r="S54" s="698" t="s">
        <v>1000</v>
      </c>
      <c r="T54" s="696">
        <v>2661</v>
      </c>
    </row>
    <row r="55" spans="1:20" ht="36" x14ac:dyDescent="0.2">
      <c r="A55" s="432">
        <f>IF(B55="","",COUNT('Diário 1º PA'!$A$4:$A$2635)+COUNT('Diário 2º PA'!$A$4:$A$3040)+ROW()-3)</f>
        <v>4151</v>
      </c>
      <c r="B55" s="413">
        <v>44747</v>
      </c>
      <c r="C55" s="424">
        <v>44774</v>
      </c>
      <c r="D55" s="419" t="s">
        <v>468</v>
      </c>
      <c r="E55" s="419" t="s">
        <v>468</v>
      </c>
      <c r="F55" s="422">
        <v>11</v>
      </c>
      <c r="G55" s="427" t="s">
        <v>2469</v>
      </c>
      <c r="H55" s="419" t="s">
        <v>468</v>
      </c>
      <c r="I55" s="639" t="s">
        <v>881</v>
      </c>
      <c r="J55" s="418" t="s">
        <v>882</v>
      </c>
      <c r="K55" s="418" t="s">
        <v>883</v>
      </c>
      <c r="L55" s="399" t="s">
        <v>798</v>
      </c>
      <c r="M55" s="544" t="s">
        <v>310</v>
      </c>
      <c r="N55" s="413">
        <v>44747</v>
      </c>
      <c r="O55" s="414" t="s">
        <v>408</v>
      </c>
      <c r="P55" s="655">
        <f t="shared" si="0"/>
        <v>7</v>
      </c>
      <c r="Q55" s="655">
        <f t="shared" si="1"/>
        <v>8</v>
      </c>
      <c r="R55" s="695" t="str">
        <f t="shared" si="2"/>
        <v>Gastos_custeados_por_captação</v>
      </c>
      <c r="S55" s="698" t="s">
        <v>310</v>
      </c>
      <c r="T55" s="698" t="s">
        <v>310</v>
      </c>
    </row>
    <row r="56" spans="1:20" ht="36" x14ac:dyDescent="0.2">
      <c r="A56" s="432">
        <f>IF(B56="","",COUNT('Diário 1º PA'!$A$4:$A$2635)+COUNT('Diário 2º PA'!$A$4:$A$3040)+ROW()-3)</f>
        <v>4152</v>
      </c>
      <c r="B56" s="413">
        <v>44747</v>
      </c>
      <c r="C56" s="424">
        <v>44774</v>
      </c>
      <c r="D56" s="419" t="s">
        <v>468</v>
      </c>
      <c r="E56" s="419" t="s">
        <v>468</v>
      </c>
      <c r="F56" s="422">
        <v>11</v>
      </c>
      <c r="G56" s="427" t="s">
        <v>2469</v>
      </c>
      <c r="H56" s="419" t="s">
        <v>468</v>
      </c>
      <c r="I56" s="639" t="s">
        <v>881</v>
      </c>
      <c r="J56" s="418" t="s">
        <v>882</v>
      </c>
      <c r="K56" s="418" t="s">
        <v>883</v>
      </c>
      <c r="L56" s="399" t="s">
        <v>798</v>
      </c>
      <c r="M56" s="544" t="s">
        <v>310</v>
      </c>
      <c r="N56" s="413">
        <v>44747</v>
      </c>
      <c r="O56" s="414" t="s">
        <v>408</v>
      </c>
      <c r="P56" s="655">
        <f t="shared" si="0"/>
        <v>7</v>
      </c>
      <c r="Q56" s="655">
        <f t="shared" si="1"/>
        <v>8</v>
      </c>
      <c r="R56" s="695" t="str">
        <f t="shared" si="2"/>
        <v>Gastos_custeados_por_captação</v>
      </c>
      <c r="S56" s="698" t="s">
        <v>310</v>
      </c>
      <c r="T56" s="698" t="s">
        <v>310</v>
      </c>
    </row>
    <row r="57" spans="1:20" ht="36" x14ac:dyDescent="0.2">
      <c r="A57" s="432">
        <f>IF(B57="","",COUNT('Diário 1º PA'!$A$4:$A$2635)+COUNT('Diário 2º PA'!$A$4:$A$3040)+ROW()-3)</f>
        <v>4153</v>
      </c>
      <c r="B57" s="413">
        <v>44747</v>
      </c>
      <c r="C57" s="424">
        <v>44774</v>
      </c>
      <c r="D57" s="419" t="s">
        <v>468</v>
      </c>
      <c r="E57" s="419" t="s">
        <v>468</v>
      </c>
      <c r="F57" s="422">
        <v>11</v>
      </c>
      <c r="G57" s="427" t="s">
        <v>2469</v>
      </c>
      <c r="H57" s="419" t="s">
        <v>468</v>
      </c>
      <c r="I57" s="639" t="s">
        <v>881</v>
      </c>
      <c r="J57" s="418" t="s">
        <v>882</v>
      </c>
      <c r="K57" s="418" t="s">
        <v>883</v>
      </c>
      <c r="L57" s="399" t="s">
        <v>798</v>
      </c>
      <c r="M57" s="544" t="s">
        <v>310</v>
      </c>
      <c r="N57" s="413">
        <v>44747</v>
      </c>
      <c r="O57" s="414" t="s">
        <v>408</v>
      </c>
      <c r="P57" s="655">
        <f t="shared" si="0"/>
        <v>7</v>
      </c>
      <c r="Q57" s="655">
        <f t="shared" si="1"/>
        <v>8</v>
      </c>
      <c r="R57" s="695" t="str">
        <f t="shared" si="2"/>
        <v>Gastos_custeados_por_captação</v>
      </c>
      <c r="S57" s="698" t="s">
        <v>310</v>
      </c>
      <c r="T57" s="698" t="s">
        <v>310</v>
      </c>
    </row>
    <row r="58" spans="1:20" ht="72" x14ac:dyDescent="0.2">
      <c r="A58" s="432">
        <f>IF(B58="","",COUNT('Diário 1º PA'!$A$4:$A$2635)+COUNT('Diário 2º PA'!$A$4:$A$3040)+ROW()-3)</f>
        <v>4154</v>
      </c>
      <c r="B58" s="413">
        <v>44747</v>
      </c>
      <c r="C58" s="431">
        <v>44743</v>
      </c>
      <c r="D58" s="419" t="s">
        <v>468</v>
      </c>
      <c r="E58" s="419" t="s">
        <v>468</v>
      </c>
      <c r="F58" s="422">
        <v>309.89999999999998</v>
      </c>
      <c r="G58" s="427" t="s">
        <v>5684</v>
      </c>
      <c r="H58" s="419" t="s">
        <v>468</v>
      </c>
      <c r="I58" s="415" t="s">
        <v>6432</v>
      </c>
      <c r="J58" s="415" t="s">
        <v>3234</v>
      </c>
      <c r="K58" s="419" t="s">
        <v>812</v>
      </c>
      <c r="L58" s="415" t="s">
        <v>32</v>
      </c>
      <c r="M58" s="419">
        <v>4512842</v>
      </c>
      <c r="N58" s="413">
        <v>44747</v>
      </c>
      <c r="O58" s="414" t="s">
        <v>3762</v>
      </c>
      <c r="P58" s="655">
        <f t="shared" si="0"/>
        <v>7</v>
      </c>
      <c r="Q58" s="655">
        <f t="shared" si="1"/>
        <v>7</v>
      </c>
      <c r="R58" s="695" t="str">
        <f t="shared" si="2"/>
        <v>Gastos_custeados_por_captação</v>
      </c>
      <c r="S58" s="698" t="s">
        <v>999</v>
      </c>
      <c r="T58" s="696">
        <v>4046</v>
      </c>
    </row>
    <row r="59" spans="1:20" ht="96" x14ac:dyDescent="0.2">
      <c r="A59" s="432">
        <f>IF(B59="","",COUNT('Diário 1º PA'!$A$4:$A$2635)+COUNT('Diário 2º PA'!$A$4:$A$3040)+ROW()-3)</f>
        <v>4155</v>
      </c>
      <c r="B59" s="413">
        <v>44747</v>
      </c>
      <c r="C59" s="431">
        <v>44682</v>
      </c>
      <c r="D59" s="419" t="s">
        <v>468</v>
      </c>
      <c r="E59" s="419" t="s">
        <v>468</v>
      </c>
      <c r="F59" s="422">
        <v>3500</v>
      </c>
      <c r="G59" s="427" t="s">
        <v>4185</v>
      </c>
      <c r="H59" s="419" t="s">
        <v>468</v>
      </c>
      <c r="I59" s="415" t="s">
        <v>6551</v>
      </c>
      <c r="J59" s="415" t="s">
        <v>4186</v>
      </c>
      <c r="K59" s="419" t="s">
        <v>830</v>
      </c>
      <c r="L59" s="415" t="s">
        <v>32</v>
      </c>
      <c r="M59" s="419" t="s">
        <v>1503</v>
      </c>
      <c r="N59" s="413">
        <v>44736</v>
      </c>
      <c r="O59" s="414" t="s">
        <v>404</v>
      </c>
      <c r="P59" s="655">
        <f t="shared" si="0"/>
        <v>7</v>
      </c>
      <c r="Q59" s="655">
        <f t="shared" si="1"/>
        <v>5</v>
      </c>
      <c r="R59" s="695" t="str">
        <f t="shared" si="2"/>
        <v>Gastos_custeados_por_captação</v>
      </c>
      <c r="S59" s="698" t="s">
        <v>5937</v>
      </c>
      <c r="T59" s="696">
        <v>3727</v>
      </c>
    </row>
    <row r="60" spans="1:20" ht="60" x14ac:dyDescent="0.2">
      <c r="A60" s="432">
        <f>IF(B60="","",COUNT('Diário 1º PA'!$A$4:$A$2635)+COUNT('Diário 2º PA'!$A$4:$A$3040)+ROW()-3)</f>
        <v>4156</v>
      </c>
      <c r="B60" s="413">
        <v>44747</v>
      </c>
      <c r="C60" s="431">
        <v>44713</v>
      </c>
      <c r="D60" s="419" t="s">
        <v>468</v>
      </c>
      <c r="E60" s="419" t="s">
        <v>468</v>
      </c>
      <c r="F60" s="422">
        <v>420</v>
      </c>
      <c r="G60" s="427" t="s">
        <v>4956</v>
      </c>
      <c r="H60" s="419" t="s">
        <v>468</v>
      </c>
      <c r="I60" s="415" t="s">
        <v>5866</v>
      </c>
      <c r="J60" s="415" t="s">
        <v>4957</v>
      </c>
      <c r="K60" s="419" t="s">
        <v>830</v>
      </c>
      <c r="L60" s="415" t="s">
        <v>839</v>
      </c>
      <c r="M60" s="419">
        <v>1853</v>
      </c>
      <c r="N60" s="413">
        <v>44743</v>
      </c>
      <c r="O60" s="414" t="s">
        <v>405</v>
      </c>
      <c r="P60" s="655">
        <f t="shared" si="0"/>
        <v>7</v>
      </c>
      <c r="Q60" s="655">
        <f t="shared" si="1"/>
        <v>6</v>
      </c>
      <c r="R60" s="695" t="str">
        <f t="shared" si="2"/>
        <v>Gastos_custeados_por_captação</v>
      </c>
      <c r="S60" s="698" t="s">
        <v>998</v>
      </c>
      <c r="T60" s="696">
        <v>3948</v>
      </c>
    </row>
    <row r="61" spans="1:20" ht="72" x14ac:dyDescent="0.2">
      <c r="A61" s="432">
        <f>IF(B61="","",COUNT('Diário 1º PA'!$A$4:$A$2635)+COUNT('Diário 2º PA'!$A$4:$A$3040)+ROW()-3)</f>
        <v>4157</v>
      </c>
      <c r="B61" s="413">
        <v>44747</v>
      </c>
      <c r="C61" s="431">
        <v>44713</v>
      </c>
      <c r="D61" s="419" t="s">
        <v>468</v>
      </c>
      <c r="E61" s="419" t="s">
        <v>468</v>
      </c>
      <c r="F61" s="422">
        <v>4500</v>
      </c>
      <c r="G61" s="646" t="s">
        <v>5655</v>
      </c>
      <c r="H61" s="419" t="s">
        <v>468</v>
      </c>
      <c r="I61" s="427" t="s">
        <v>2437</v>
      </c>
      <c r="J61" s="415" t="s">
        <v>796</v>
      </c>
      <c r="K61" s="415" t="s">
        <v>797</v>
      </c>
      <c r="L61" s="415" t="s">
        <v>798</v>
      </c>
      <c r="M61" s="415" t="s">
        <v>310</v>
      </c>
      <c r="N61" s="413">
        <v>44747</v>
      </c>
      <c r="O61" s="414" t="s">
        <v>402</v>
      </c>
      <c r="P61" s="655">
        <f t="shared" si="0"/>
        <v>7</v>
      </c>
      <c r="Q61" s="655">
        <f t="shared" si="1"/>
        <v>6</v>
      </c>
      <c r="R61" s="695" t="str">
        <f t="shared" si="2"/>
        <v>Gastos_custeados_por_captação</v>
      </c>
      <c r="S61" s="698" t="s">
        <v>310</v>
      </c>
      <c r="T61" s="696" t="s">
        <v>310</v>
      </c>
    </row>
    <row r="62" spans="1:20" ht="72" x14ac:dyDescent="0.2">
      <c r="A62" s="432">
        <f>IF(B62="","",COUNT('Diário 1º PA'!$A$4:$A$2635)+COUNT('Diário 2º PA'!$A$4:$A$3040)+ROW()-3)</f>
        <v>4158</v>
      </c>
      <c r="B62" s="413">
        <v>44747</v>
      </c>
      <c r="C62" s="431">
        <v>44713</v>
      </c>
      <c r="D62" s="419" t="s">
        <v>468</v>
      </c>
      <c r="E62" s="419" t="s">
        <v>468</v>
      </c>
      <c r="F62" s="422">
        <v>4350</v>
      </c>
      <c r="G62" s="646" t="s">
        <v>5646</v>
      </c>
      <c r="H62" s="419" t="s">
        <v>468</v>
      </c>
      <c r="I62" s="427" t="s">
        <v>2437</v>
      </c>
      <c r="J62" s="415" t="s">
        <v>796</v>
      </c>
      <c r="K62" s="415" t="s">
        <v>797</v>
      </c>
      <c r="L62" s="415" t="s">
        <v>798</v>
      </c>
      <c r="M62" s="415" t="s">
        <v>310</v>
      </c>
      <c r="N62" s="413">
        <v>44747</v>
      </c>
      <c r="O62" s="414" t="s">
        <v>402</v>
      </c>
      <c r="P62" s="655">
        <f t="shared" si="0"/>
        <v>7</v>
      </c>
      <c r="Q62" s="655">
        <f t="shared" si="1"/>
        <v>6</v>
      </c>
      <c r="R62" s="695" t="str">
        <f t="shared" si="2"/>
        <v>Gastos_custeados_por_captação</v>
      </c>
      <c r="S62" s="698" t="s">
        <v>310</v>
      </c>
      <c r="T62" s="696" t="s">
        <v>310</v>
      </c>
    </row>
    <row r="63" spans="1:20" ht="36" x14ac:dyDescent="0.2">
      <c r="A63" s="432">
        <f>IF(B63="","",COUNT('Diário 1º PA'!$A$4:$A$2635)+COUNT('Diário 2º PA'!$A$4:$A$3040)+ROW()-3)</f>
        <v>4159</v>
      </c>
      <c r="B63" s="414">
        <v>44748</v>
      </c>
      <c r="C63" s="431">
        <v>44743</v>
      </c>
      <c r="D63" s="415" t="s">
        <v>34</v>
      </c>
      <c r="E63" s="415" t="s">
        <v>167</v>
      </c>
      <c r="F63" s="425">
        <v>20</v>
      </c>
      <c r="G63" s="427" t="s">
        <v>6018</v>
      </c>
      <c r="H63" s="415" t="s">
        <v>310</v>
      </c>
      <c r="I63" s="473" t="s">
        <v>795</v>
      </c>
      <c r="J63" s="415" t="s">
        <v>796</v>
      </c>
      <c r="K63" s="415" t="s">
        <v>797</v>
      </c>
      <c r="L63" s="415" t="s">
        <v>798</v>
      </c>
      <c r="M63" s="415" t="s">
        <v>310</v>
      </c>
      <c r="N63" s="414">
        <v>44748</v>
      </c>
      <c r="O63" s="414" t="s">
        <v>400</v>
      </c>
      <c r="P63" s="655">
        <f t="shared" si="0"/>
        <v>7</v>
      </c>
      <c r="Q63" s="655">
        <f t="shared" si="1"/>
        <v>7</v>
      </c>
      <c r="R63" s="695" t="str">
        <f t="shared" si="2"/>
        <v>Receitas</v>
      </c>
      <c r="S63" s="697" t="s">
        <v>310</v>
      </c>
      <c r="T63" s="697" t="s">
        <v>310</v>
      </c>
    </row>
    <row r="64" spans="1:20" ht="99.95" customHeight="1" x14ac:dyDescent="0.2">
      <c r="A64" s="432">
        <f>IF(B64="","",COUNT('Diário 1º PA'!$A$4:$A$2635)+COUNT('Diário 2º PA'!$A$4:$A$3040)+ROW()-3)</f>
        <v>4160</v>
      </c>
      <c r="B64" s="414">
        <v>44748</v>
      </c>
      <c r="C64" s="431">
        <v>44713</v>
      </c>
      <c r="D64" s="415" t="s">
        <v>182</v>
      </c>
      <c r="E64" s="415" t="s">
        <v>1</v>
      </c>
      <c r="F64" s="425">
        <v>4562.1499999999996</v>
      </c>
      <c r="G64" s="427" t="s">
        <v>6268</v>
      </c>
      <c r="H64" s="415" t="s">
        <v>310</v>
      </c>
      <c r="I64" s="473" t="s">
        <v>907</v>
      </c>
      <c r="J64" s="415" t="s">
        <v>908</v>
      </c>
      <c r="K64" s="419" t="s">
        <v>806</v>
      </c>
      <c r="L64" s="415" t="s">
        <v>909</v>
      </c>
      <c r="M64" s="415" t="s">
        <v>310</v>
      </c>
      <c r="N64" s="414">
        <v>44748</v>
      </c>
      <c r="O64" s="414" t="s">
        <v>400</v>
      </c>
      <c r="P64" s="655">
        <f t="shared" si="0"/>
        <v>7</v>
      </c>
      <c r="Q64" s="655">
        <f t="shared" si="1"/>
        <v>6</v>
      </c>
      <c r="R64" s="695" t="str">
        <f t="shared" si="2"/>
        <v>Gastos_com_Pessoal</v>
      </c>
      <c r="S64" s="697" t="s">
        <v>310</v>
      </c>
      <c r="T64" s="697" t="s">
        <v>310</v>
      </c>
    </row>
    <row r="65" spans="1:20" ht="99.95" customHeight="1" x14ac:dyDescent="0.2">
      <c r="A65" s="432">
        <f>IF(B65="","",COUNT('Diário 1º PA'!$A$4:$A$2635)+COUNT('Diário 2º PA'!$A$4:$A$3040)+ROW()-3)</f>
        <v>4161</v>
      </c>
      <c r="B65" s="414">
        <v>44748</v>
      </c>
      <c r="C65" s="431">
        <v>44713</v>
      </c>
      <c r="D65" s="415" t="s">
        <v>182</v>
      </c>
      <c r="E65" s="415" t="s">
        <v>1</v>
      </c>
      <c r="F65" s="425">
        <v>1939.66</v>
      </c>
      <c r="G65" s="427" t="s">
        <v>5833</v>
      </c>
      <c r="H65" s="415" t="s">
        <v>310</v>
      </c>
      <c r="I65" s="473" t="s">
        <v>911</v>
      </c>
      <c r="J65" s="415" t="s">
        <v>912</v>
      </c>
      <c r="K65" s="419" t="s">
        <v>806</v>
      </c>
      <c r="L65" s="415" t="s">
        <v>909</v>
      </c>
      <c r="M65" s="415" t="s">
        <v>310</v>
      </c>
      <c r="N65" s="414">
        <v>44748</v>
      </c>
      <c r="O65" s="414" t="s">
        <v>400</v>
      </c>
      <c r="P65" s="655">
        <f t="shared" si="0"/>
        <v>7</v>
      </c>
      <c r="Q65" s="655">
        <f t="shared" si="1"/>
        <v>6</v>
      </c>
      <c r="R65" s="695" t="str">
        <f t="shared" si="2"/>
        <v>Gastos_com_Pessoal</v>
      </c>
      <c r="S65" s="697" t="s">
        <v>310</v>
      </c>
      <c r="T65" s="697" t="s">
        <v>310</v>
      </c>
    </row>
    <row r="66" spans="1:20" ht="99.95" customHeight="1" x14ac:dyDescent="0.2">
      <c r="A66" s="432">
        <f>IF(B66="","",COUNT('Diário 1º PA'!$A$4:$A$2635)+COUNT('Diário 2º PA'!$A$4:$A$3040)+ROW()-3)</f>
        <v>4162</v>
      </c>
      <c r="B66" s="414">
        <v>44748</v>
      </c>
      <c r="C66" s="431">
        <v>44713</v>
      </c>
      <c r="D66" s="415" t="s">
        <v>182</v>
      </c>
      <c r="E66" s="415" t="s">
        <v>1</v>
      </c>
      <c r="F66" s="425">
        <v>2261.98</v>
      </c>
      <c r="G66" s="427" t="s">
        <v>5834</v>
      </c>
      <c r="H66" s="415" t="s">
        <v>310</v>
      </c>
      <c r="I66" s="473" t="s">
        <v>914</v>
      </c>
      <c r="J66" s="415" t="s">
        <v>915</v>
      </c>
      <c r="K66" s="419" t="s">
        <v>806</v>
      </c>
      <c r="L66" s="415" t="s">
        <v>909</v>
      </c>
      <c r="M66" s="415" t="s">
        <v>310</v>
      </c>
      <c r="N66" s="414">
        <v>44748</v>
      </c>
      <c r="O66" s="414" t="s">
        <v>400</v>
      </c>
      <c r="P66" s="655">
        <f t="shared" si="0"/>
        <v>7</v>
      </c>
      <c r="Q66" s="655">
        <f t="shared" si="1"/>
        <v>6</v>
      </c>
      <c r="R66" s="695" t="str">
        <f t="shared" si="2"/>
        <v>Gastos_com_Pessoal</v>
      </c>
      <c r="S66" s="697" t="s">
        <v>310</v>
      </c>
      <c r="T66" s="697" t="s">
        <v>310</v>
      </c>
    </row>
    <row r="67" spans="1:20" ht="99.95" customHeight="1" x14ac:dyDescent="0.2">
      <c r="A67" s="432">
        <f>IF(B67="","",COUNT('Diário 1º PA'!$A$4:$A$2635)+COUNT('Diário 2º PA'!$A$4:$A$3040)+ROW()-3)</f>
        <v>4163</v>
      </c>
      <c r="B67" s="414">
        <v>44748</v>
      </c>
      <c r="C67" s="431">
        <v>44713</v>
      </c>
      <c r="D67" s="415" t="s">
        <v>182</v>
      </c>
      <c r="E67" s="415" t="s">
        <v>1</v>
      </c>
      <c r="F67" s="425">
        <v>2095.64</v>
      </c>
      <c r="G67" s="427" t="s">
        <v>5833</v>
      </c>
      <c r="H67" s="415" t="s">
        <v>310</v>
      </c>
      <c r="I67" s="473" t="s">
        <v>916</v>
      </c>
      <c r="J67" s="415" t="s">
        <v>917</v>
      </c>
      <c r="K67" s="419" t="s">
        <v>806</v>
      </c>
      <c r="L67" s="415" t="s">
        <v>909</v>
      </c>
      <c r="M67" s="415" t="s">
        <v>310</v>
      </c>
      <c r="N67" s="414">
        <v>44748</v>
      </c>
      <c r="O67" s="414" t="s">
        <v>400</v>
      </c>
      <c r="P67" s="655">
        <f t="shared" si="0"/>
        <v>7</v>
      </c>
      <c r="Q67" s="655">
        <f t="shared" si="1"/>
        <v>6</v>
      </c>
      <c r="R67" s="695" t="str">
        <f t="shared" si="2"/>
        <v>Gastos_com_Pessoal</v>
      </c>
      <c r="S67" s="697" t="s">
        <v>310</v>
      </c>
      <c r="T67" s="697" t="s">
        <v>310</v>
      </c>
    </row>
    <row r="68" spans="1:20" ht="99.95" customHeight="1" x14ac:dyDescent="0.2">
      <c r="A68" s="432">
        <f>IF(B68="","",COUNT('Diário 1º PA'!$A$4:$A$2635)+COUNT('Diário 2º PA'!$A$4:$A$3040)+ROW()-3)</f>
        <v>4164</v>
      </c>
      <c r="B68" s="414">
        <v>44748</v>
      </c>
      <c r="C68" s="431">
        <v>44713</v>
      </c>
      <c r="D68" s="415" t="s">
        <v>182</v>
      </c>
      <c r="E68" s="415" t="s">
        <v>1</v>
      </c>
      <c r="F68" s="425">
        <v>2095.64</v>
      </c>
      <c r="G68" s="427" t="s">
        <v>5833</v>
      </c>
      <c r="H68" s="415" t="s">
        <v>310</v>
      </c>
      <c r="I68" s="473" t="s">
        <v>920</v>
      </c>
      <c r="J68" s="415" t="s">
        <v>921</v>
      </c>
      <c r="K68" s="419" t="s">
        <v>806</v>
      </c>
      <c r="L68" s="415" t="s">
        <v>909</v>
      </c>
      <c r="M68" s="415" t="s">
        <v>310</v>
      </c>
      <c r="N68" s="414">
        <v>44748</v>
      </c>
      <c r="O68" s="414" t="s">
        <v>400</v>
      </c>
      <c r="P68" s="655">
        <f t="shared" si="0"/>
        <v>7</v>
      </c>
      <c r="Q68" s="655">
        <f t="shared" si="1"/>
        <v>6</v>
      </c>
      <c r="R68" s="695" t="str">
        <f t="shared" si="2"/>
        <v>Gastos_com_Pessoal</v>
      </c>
      <c r="S68" s="697" t="s">
        <v>310</v>
      </c>
      <c r="T68" s="697" t="s">
        <v>310</v>
      </c>
    </row>
    <row r="69" spans="1:20" ht="99.95" customHeight="1" x14ac:dyDescent="0.2">
      <c r="A69" s="432">
        <f>IF(B69="","",COUNT('Diário 1º PA'!$A$4:$A$2635)+COUNT('Diário 2º PA'!$A$4:$A$3040)+ROW()-3)</f>
        <v>4165</v>
      </c>
      <c r="B69" s="414">
        <v>44748</v>
      </c>
      <c r="C69" s="431">
        <v>44713</v>
      </c>
      <c r="D69" s="415" t="s">
        <v>182</v>
      </c>
      <c r="E69" s="415" t="s">
        <v>1</v>
      </c>
      <c r="F69" s="425">
        <v>4544.17</v>
      </c>
      <c r="G69" s="427" t="s">
        <v>5835</v>
      </c>
      <c r="H69" s="415" t="s">
        <v>310</v>
      </c>
      <c r="I69" s="473" t="s">
        <v>923</v>
      </c>
      <c r="J69" s="415" t="s">
        <v>924</v>
      </c>
      <c r="K69" s="419" t="s">
        <v>806</v>
      </c>
      <c r="L69" s="415" t="s">
        <v>909</v>
      </c>
      <c r="M69" s="415" t="s">
        <v>310</v>
      </c>
      <c r="N69" s="414">
        <v>44748</v>
      </c>
      <c r="O69" s="414" t="s">
        <v>400</v>
      </c>
      <c r="P69" s="655">
        <f t="shared" ref="P69:P132" si="3">IF(B69=0,0,IF(YEAR(B69)=$Q$1,MONTH(B69)-$P$1+1,(YEAR(B69)-$Q$1)*12-$P$1+1+MONTH(B69)))</f>
        <v>7</v>
      </c>
      <c r="Q69" s="655">
        <f t="shared" ref="Q69:Q132" si="4">IF(C69=0,0,IF(YEAR(C69)=$Q$1,MONTH(C69)-$P$1+1,(YEAR(C69)-$Q$1)*12-$P$1+1+MONTH(C69)))</f>
        <v>6</v>
      </c>
      <c r="R69" s="695" t="str">
        <f t="shared" ref="R69:R132" si="5">SUBSTITUTE(D69," ","_")</f>
        <v>Gastos_com_Pessoal</v>
      </c>
      <c r="S69" s="697" t="s">
        <v>310</v>
      </c>
      <c r="T69" s="697" t="s">
        <v>310</v>
      </c>
    </row>
    <row r="70" spans="1:20" ht="99.95" customHeight="1" x14ac:dyDescent="0.2">
      <c r="A70" s="432">
        <f>IF(B70="","",COUNT('Diário 1º PA'!$A$4:$A$2635)+COUNT('Diário 2º PA'!$A$4:$A$3040)+ROW()-3)</f>
        <v>4166</v>
      </c>
      <c r="B70" s="414">
        <v>44748</v>
      </c>
      <c r="C70" s="431">
        <v>44713</v>
      </c>
      <c r="D70" s="415" t="s">
        <v>182</v>
      </c>
      <c r="E70" s="415" t="s">
        <v>1</v>
      </c>
      <c r="F70" s="425">
        <v>2077.66</v>
      </c>
      <c r="G70" s="427" t="s">
        <v>5833</v>
      </c>
      <c r="H70" s="415" t="s">
        <v>310</v>
      </c>
      <c r="I70" s="473" t="s">
        <v>926</v>
      </c>
      <c r="J70" s="415" t="s">
        <v>927</v>
      </c>
      <c r="K70" s="419" t="s">
        <v>806</v>
      </c>
      <c r="L70" s="415" t="s">
        <v>909</v>
      </c>
      <c r="M70" s="415" t="s">
        <v>310</v>
      </c>
      <c r="N70" s="414">
        <v>44748</v>
      </c>
      <c r="O70" s="414" t="s">
        <v>400</v>
      </c>
      <c r="P70" s="655">
        <f t="shared" si="3"/>
        <v>7</v>
      </c>
      <c r="Q70" s="655">
        <f t="shared" si="4"/>
        <v>6</v>
      </c>
      <c r="R70" s="695" t="str">
        <f t="shared" si="5"/>
        <v>Gastos_com_Pessoal</v>
      </c>
      <c r="S70" s="697" t="s">
        <v>310</v>
      </c>
      <c r="T70" s="697" t="s">
        <v>310</v>
      </c>
    </row>
    <row r="71" spans="1:20" ht="99.95" customHeight="1" x14ac:dyDescent="0.2">
      <c r="A71" s="432">
        <f>IF(B71="","",COUNT('Diário 1º PA'!$A$4:$A$2635)+COUNT('Diário 2º PA'!$A$4:$A$3040)+ROW()-3)</f>
        <v>4167</v>
      </c>
      <c r="B71" s="414">
        <v>44748</v>
      </c>
      <c r="C71" s="431">
        <v>44713</v>
      </c>
      <c r="D71" s="415" t="s">
        <v>182</v>
      </c>
      <c r="E71" s="415" t="s">
        <v>1</v>
      </c>
      <c r="F71" s="425">
        <v>1362.47</v>
      </c>
      <c r="G71" s="427" t="s">
        <v>5836</v>
      </c>
      <c r="H71" s="415" t="s">
        <v>310</v>
      </c>
      <c r="I71" s="473" t="s">
        <v>929</v>
      </c>
      <c r="J71" s="415" t="s">
        <v>930</v>
      </c>
      <c r="K71" s="419" t="s">
        <v>806</v>
      </c>
      <c r="L71" s="415" t="s">
        <v>909</v>
      </c>
      <c r="M71" s="415" t="s">
        <v>310</v>
      </c>
      <c r="N71" s="414">
        <v>44748</v>
      </c>
      <c r="O71" s="414" t="s">
        <v>400</v>
      </c>
      <c r="P71" s="655">
        <f t="shared" si="3"/>
        <v>7</v>
      </c>
      <c r="Q71" s="655">
        <f t="shared" si="4"/>
        <v>6</v>
      </c>
      <c r="R71" s="695" t="str">
        <f t="shared" si="5"/>
        <v>Gastos_com_Pessoal</v>
      </c>
      <c r="S71" s="697" t="s">
        <v>310</v>
      </c>
      <c r="T71" s="697" t="s">
        <v>310</v>
      </c>
    </row>
    <row r="72" spans="1:20" ht="99.95" customHeight="1" x14ac:dyDescent="0.2">
      <c r="A72" s="432">
        <f>IF(B72="","",COUNT('Diário 1º PA'!$A$4:$A$2635)+COUNT('Diário 2º PA'!$A$4:$A$3040)+ROW()-3)</f>
        <v>4168</v>
      </c>
      <c r="B72" s="414">
        <v>44748</v>
      </c>
      <c r="C72" s="431">
        <v>44713</v>
      </c>
      <c r="D72" s="415" t="s">
        <v>182</v>
      </c>
      <c r="E72" s="415" t="s">
        <v>1</v>
      </c>
      <c r="F72" s="425">
        <v>2075.56</v>
      </c>
      <c r="G72" s="427" t="s">
        <v>5837</v>
      </c>
      <c r="H72" s="415" t="s">
        <v>310</v>
      </c>
      <c r="I72" s="473" t="s">
        <v>932</v>
      </c>
      <c r="J72" s="415" t="s">
        <v>933</v>
      </c>
      <c r="K72" s="419" t="s">
        <v>806</v>
      </c>
      <c r="L72" s="415" t="s">
        <v>909</v>
      </c>
      <c r="M72" s="415" t="s">
        <v>310</v>
      </c>
      <c r="N72" s="414">
        <v>44748</v>
      </c>
      <c r="O72" s="414" t="s">
        <v>400</v>
      </c>
      <c r="P72" s="655">
        <f t="shared" si="3"/>
        <v>7</v>
      </c>
      <c r="Q72" s="655">
        <f t="shared" si="4"/>
        <v>6</v>
      </c>
      <c r="R72" s="695" t="str">
        <f t="shared" si="5"/>
        <v>Gastos_com_Pessoal</v>
      </c>
      <c r="S72" s="697" t="s">
        <v>310</v>
      </c>
      <c r="T72" s="697" t="s">
        <v>310</v>
      </c>
    </row>
    <row r="73" spans="1:20" ht="36" x14ac:dyDescent="0.2">
      <c r="A73" s="432">
        <f>IF(B73="","",COUNT('Diário 1º PA'!$A$4:$A$2635)+COUNT('Diário 2º PA'!$A$4:$A$3040)+ROW()-3)</f>
        <v>4169</v>
      </c>
      <c r="B73" s="414">
        <v>44748</v>
      </c>
      <c r="C73" s="431">
        <v>44713</v>
      </c>
      <c r="D73" s="415" t="s">
        <v>182</v>
      </c>
      <c r="E73" s="415" t="s">
        <v>1</v>
      </c>
      <c r="F73" s="425">
        <v>2095.64</v>
      </c>
      <c r="G73" s="427" t="s">
        <v>5833</v>
      </c>
      <c r="H73" s="415" t="s">
        <v>310</v>
      </c>
      <c r="I73" s="473" t="s">
        <v>935</v>
      </c>
      <c r="J73" s="415" t="s">
        <v>936</v>
      </c>
      <c r="K73" s="419" t="s">
        <v>806</v>
      </c>
      <c r="L73" s="415" t="s">
        <v>909</v>
      </c>
      <c r="M73" s="415" t="s">
        <v>310</v>
      </c>
      <c r="N73" s="414">
        <v>44748</v>
      </c>
      <c r="O73" s="414" t="s">
        <v>400</v>
      </c>
      <c r="P73" s="655">
        <f t="shared" si="3"/>
        <v>7</v>
      </c>
      <c r="Q73" s="655">
        <f t="shared" si="4"/>
        <v>6</v>
      </c>
      <c r="R73" s="695" t="str">
        <f t="shared" si="5"/>
        <v>Gastos_com_Pessoal</v>
      </c>
      <c r="S73" s="697" t="s">
        <v>310</v>
      </c>
      <c r="T73" s="697" t="s">
        <v>310</v>
      </c>
    </row>
    <row r="74" spans="1:20" ht="36" x14ac:dyDescent="0.2">
      <c r="A74" s="432">
        <f>IF(B74="","",COUNT('Diário 1º PA'!$A$4:$A$2635)+COUNT('Diário 2º PA'!$A$4:$A$3040)+ROW()-3)</f>
        <v>4170</v>
      </c>
      <c r="B74" s="414">
        <v>44748</v>
      </c>
      <c r="C74" s="431">
        <v>44713</v>
      </c>
      <c r="D74" s="415" t="s">
        <v>182</v>
      </c>
      <c r="E74" s="415" t="s">
        <v>1</v>
      </c>
      <c r="F74" s="425">
        <v>2900.56</v>
      </c>
      <c r="G74" s="427" t="s">
        <v>5838</v>
      </c>
      <c r="H74" s="415" t="s">
        <v>310</v>
      </c>
      <c r="I74" s="473" t="s">
        <v>938</v>
      </c>
      <c r="J74" s="415" t="s">
        <v>939</v>
      </c>
      <c r="K74" s="419" t="s">
        <v>806</v>
      </c>
      <c r="L74" s="415" t="s">
        <v>909</v>
      </c>
      <c r="M74" s="415" t="s">
        <v>310</v>
      </c>
      <c r="N74" s="414">
        <v>44748</v>
      </c>
      <c r="O74" s="414" t="s">
        <v>400</v>
      </c>
      <c r="P74" s="655">
        <f t="shared" si="3"/>
        <v>7</v>
      </c>
      <c r="Q74" s="655">
        <f t="shared" si="4"/>
        <v>6</v>
      </c>
      <c r="R74" s="695" t="str">
        <f t="shared" si="5"/>
        <v>Gastos_com_Pessoal</v>
      </c>
      <c r="S74" s="697" t="s">
        <v>310</v>
      </c>
      <c r="T74" s="697" t="s">
        <v>310</v>
      </c>
    </row>
    <row r="75" spans="1:20" ht="36" x14ac:dyDescent="0.2">
      <c r="A75" s="432">
        <f>IF(B75="","",COUNT('Diário 1º PA'!$A$4:$A$2635)+COUNT('Diário 2º PA'!$A$4:$A$3040)+ROW()-3)</f>
        <v>4171</v>
      </c>
      <c r="B75" s="414">
        <v>44748</v>
      </c>
      <c r="C75" s="431">
        <v>44713</v>
      </c>
      <c r="D75" s="415" t="s">
        <v>182</v>
      </c>
      <c r="E75" s="415" t="s">
        <v>1</v>
      </c>
      <c r="F75" s="425">
        <v>12412.9</v>
      </c>
      <c r="G75" s="427" t="s">
        <v>5839</v>
      </c>
      <c r="H75" s="415" t="s">
        <v>310</v>
      </c>
      <c r="I75" s="473" t="s">
        <v>941</v>
      </c>
      <c r="J75" s="415" t="s">
        <v>942</v>
      </c>
      <c r="K75" s="419" t="s">
        <v>806</v>
      </c>
      <c r="L75" s="415" t="s">
        <v>909</v>
      </c>
      <c r="M75" s="415" t="s">
        <v>310</v>
      </c>
      <c r="N75" s="414">
        <v>44748</v>
      </c>
      <c r="O75" s="414" t="s">
        <v>400</v>
      </c>
      <c r="P75" s="655">
        <f t="shared" si="3"/>
        <v>7</v>
      </c>
      <c r="Q75" s="655">
        <f t="shared" si="4"/>
        <v>6</v>
      </c>
      <c r="R75" s="695" t="str">
        <f t="shared" si="5"/>
        <v>Gastos_com_Pessoal</v>
      </c>
      <c r="S75" s="697" t="s">
        <v>310</v>
      </c>
      <c r="T75" s="697" t="s">
        <v>310</v>
      </c>
    </row>
    <row r="76" spans="1:20" ht="36" x14ac:dyDescent="0.2">
      <c r="A76" s="432">
        <f>IF(B76="","",COUNT('Diário 1º PA'!$A$4:$A$2635)+COUNT('Diário 2º PA'!$A$4:$A$3040)+ROW()-3)</f>
        <v>4172</v>
      </c>
      <c r="B76" s="414">
        <v>44748</v>
      </c>
      <c r="C76" s="431">
        <v>44713</v>
      </c>
      <c r="D76" s="415" t="s">
        <v>182</v>
      </c>
      <c r="E76" s="415" t="s">
        <v>1</v>
      </c>
      <c r="F76" s="425">
        <v>2095.64</v>
      </c>
      <c r="G76" s="427" t="s">
        <v>5833</v>
      </c>
      <c r="H76" s="415" t="s">
        <v>310</v>
      </c>
      <c r="I76" s="473" t="s">
        <v>943</v>
      </c>
      <c r="J76" s="415" t="s">
        <v>1553</v>
      </c>
      <c r="K76" s="419" t="s">
        <v>806</v>
      </c>
      <c r="L76" s="415" t="s">
        <v>909</v>
      </c>
      <c r="M76" s="415" t="s">
        <v>310</v>
      </c>
      <c r="N76" s="414">
        <v>44748</v>
      </c>
      <c r="O76" s="414" t="s">
        <v>400</v>
      </c>
      <c r="P76" s="655">
        <f t="shared" si="3"/>
        <v>7</v>
      </c>
      <c r="Q76" s="655">
        <f t="shared" si="4"/>
        <v>6</v>
      </c>
      <c r="R76" s="695" t="str">
        <f t="shared" si="5"/>
        <v>Gastos_com_Pessoal</v>
      </c>
      <c r="S76" s="697" t="s">
        <v>310</v>
      </c>
      <c r="T76" s="697" t="s">
        <v>310</v>
      </c>
    </row>
    <row r="77" spans="1:20" ht="36" x14ac:dyDescent="0.2">
      <c r="A77" s="432">
        <f>IF(B77="","",COUNT('Diário 1º PA'!$A$4:$A$2635)+COUNT('Diário 2º PA'!$A$4:$A$3040)+ROW()-3)</f>
        <v>4173</v>
      </c>
      <c r="B77" s="414">
        <v>44748</v>
      </c>
      <c r="C77" s="431">
        <v>44713</v>
      </c>
      <c r="D77" s="415" t="s">
        <v>182</v>
      </c>
      <c r="E77" s="415" t="s">
        <v>1</v>
      </c>
      <c r="F77" s="425">
        <v>2857.49</v>
      </c>
      <c r="G77" s="427" t="s">
        <v>5840</v>
      </c>
      <c r="H77" s="415" t="s">
        <v>310</v>
      </c>
      <c r="I77" s="473" t="s">
        <v>946</v>
      </c>
      <c r="J77" s="415" t="s">
        <v>947</v>
      </c>
      <c r="K77" s="419" t="s">
        <v>806</v>
      </c>
      <c r="L77" s="415" t="s">
        <v>909</v>
      </c>
      <c r="M77" s="415" t="s">
        <v>310</v>
      </c>
      <c r="N77" s="414">
        <v>44748</v>
      </c>
      <c r="O77" s="414" t="s">
        <v>400</v>
      </c>
      <c r="P77" s="655">
        <f t="shared" si="3"/>
        <v>7</v>
      </c>
      <c r="Q77" s="655">
        <f t="shared" si="4"/>
        <v>6</v>
      </c>
      <c r="R77" s="695" t="str">
        <f t="shared" si="5"/>
        <v>Gastos_com_Pessoal</v>
      </c>
      <c r="S77" s="697" t="s">
        <v>310</v>
      </c>
      <c r="T77" s="697" t="s">
        <v>310</v>
      </c>
    </row>
    <row r="78" spans="1:20" ht="36" x14ac:dyDescent="0.2">
      <c r="A78" s="432">
        <f>IF(B78="","",COUNT('Diário 1º PA'!$A$4:$A$2635)+COUNT('Diário 2º PA'!$A$4:$A$3040)+ROW()-3)</f>
        <v>4174</v>
      </c>
      <c r="B78" s="414">
        <v>44748</v>
      </c>
      <c r="C78" s="431">
        <v>44713</v>
      </c>
      <c r="D78" s="415" t="s">
        <v>182</v>
      </c>
      <c r="E78" s="415" t="s">
        <v>1</v>
      </c>
      <c r="F78" s="425">
        <v>4531.08</v>
      </c>
      <c r="G78" s="427" t="s">
        <v>5841</v>
      </c>
      <c r="H78" s="415" t="s">
        <v>310</v>
      </c>
      <c r="I78" s="473" t="s">
        <v>949</v>
      </c>
      <c r="J78" s="415" t="s">
        <v>950</v>
      </c>
      <c r="K78" s="419" t="s">
        <v>806</v>
      </c>
      <c r="L78" s="415" t="s">
        <v>909</v>
      </c>
      <c r="M78" s="415" t="s">
        <v>310</v>
      </c>
      <c r="N78" s="414">
        <v>44748</v>
      </c>
      <c r="O78" s="414" t="s">
        <v>400</v>
      </c>
      <c r="P78" s="655">
        <f t="shared" si="3"/>
        <v>7</v>
      </c>
      <c r="Q78" s="655">
        <f t="shared" si="4"/>
        <v>6</v>
      </c>
      <c r="R78" s="695" t="str">
        <f t="shared" si="5"/>
        <v>Gastos_com_Pessoal</v>
      </c>
      <c r="S78" s="697" t="s">
        <v>310</v>
      </c>
      <c r="T78" s="697" t="s">
        <v>310</v>
      </c>
    </row>
    <row r="79" spans="1:20" ht="36" x14ac:dyDescent="0.2">
      <c r="A79" s="432">
        <f>IF(B79="","",COUNT('Diário 1º PA'!$A$4:$A$2635)+COUNT('Diário 2º PA'!$A$4:$A$3040)+ROW()-3)</f>
        <v>4175</v>
      </c>
      <c r="B79" s="414">
        <v>44748</v>
      </c>
      <c r="C79" s="431">
        <v>44713</v>
      </c>
      <c r="D79" s="415" t="s">
        <v>182</v>
      </c>
      <c r="E79" s="415" t="s">
        <v>1</v>
      </c>
      <c r="F79" s="425">
        <v>9016.5300000000007</v>
      </c>
      <c r="G79" s="427" t="s">
        <v>5842</v>
      </c>
      <c r="H79" s="415" t="s">
        <v>310</v>
      </c>
      <c r="I79" s="473" t="s">
        <v>952</v>
      </c>
      <c r="J79" s="415" t="s">
        <v>953</v>
      </c>
      <c r="K79" s="415" t="s">
        <v>830</v>
      </c>
      <c r="L79" s="415" t="s">
        <v>909</v>
      </c>
      <c r="M79" s="415" t="s">
        <v>310</v>
      </c>
      <c r="N79" s="414">
        <v>44748</v>
      </c>
      <c r="O79" s="414" t="s">
        <v>400</v>
      </c>
      <c r="P79" s="655">
        <f t="shared" si="3"/>
        <v>7</v>
      </c>
      <c r="Q79" s="655">
        <f t="shared" si="4"/>
        <v>6</v>
      </c>
      <c r="R79" s="695" t="str">
        <f t="shared" si="5"/>
        <v>Gastos_com_Pessoal</v>
      </c>
      <c r="S79" s="697" t="s">
        <v>310</v>
      </c>
      <c r="T79" s="697" t="s">
        <v>310</v>
      </c>
    </row>
    <row r="80" spans="1:20" ht="36" x14ac:dyDescent="0.2">
      <c r="A80" s="432">
        <f>IF(B80="","",COUNT('Diário 1º PA'!$A$4:$A$2635)+COUNT('Diário 2º PA'!$A$4:$A$3040)+ROW()-3)</f>
        <v>4176</v>
      </c>
      <c r="B80" s="414">
        <v>44748</v>
      </c>
      <c r="C80" s="431">
        <v>44713</v>
      </c>
      <c r="D80" s="415" t="s">
        <v>182</v>
      </c>
      <c r="E80" s="415" t="s">
        <v>1</v>
      </c>
      <c r="F80" s="425">
        <v>2077.66</v>
      </c>
      <c r="G80" s="427" t="s">
        <v>5833</v>
      </c>
      <c r="H80" s="415" t="s">
        <v>310</v>
      </c>
      <c r="I80" s="473" t="s">
        <v>954</v>
      </c>
      <c r="J80" s="415" t="s">
        <v>955</v>
      </c>
      <c r="K80" s="415" t="s">
        <v>830</v>
      </c>
      <c r="L80" s="415" t="s">
        <v>909</v>
      </c>
      <c r="M80" s="415" t="s">
        <v>310</v>
      </c>
      <c r="N80" s="414">
        <v>44748</v>
      </c>
      <c r="O80" s="414" t="s">
        <v>400</v>
      </c>
      <c r="P80" s="655">
        <f t="shared" si="3"/>
        <v>7</v>
      </c>
      <c r="Q80" s="655">
        <f t="shared" si="4"/>
        <v>6</v>
      </c>
      <c r="R80" s="695" t="str">
        <f t="shared" si="5"/>
        <v>Gastos_com_Pessoal</v>
      </c>
      <c r="S80" s="697" t="s">
        <v>310</v>
      </c>
      <c r="T80" s="697" t="s">
        <v>310</v>
      </c>
    </row>
    <row r="81" spans="1:20" ht="36" x14ac:dyDescent="0.2">
      <c r="A81" s="432">
        <f>IF(B81="","",COUNT('Diário 1º PA'!$A$4:$A$2635)+COUNT('Diário 2º PA'!$A$4:$A$3040)+ROW()-3)</f>
        <v>4177</v>
      </c>
      <c r="B81" s="414">
        <v>44748</v>
      </c>
      <c r="C81" s="431">
        <v>44713</v>
      </c>
      <c r="D81" s="415" t="s">
        <v>182</v>
      </c>
      <c r="E81" s="415" t="s">
        <v>1</v>
      </c>
      <c r="F81" s="425">
        <v>2753.39</v>
      </c>
      <c r="G81" s="427" t="s">
        <v>5843</v>
      </c>
      <c r="H81" s="415" t="s">
        <v>310</v>
      </c>
      <c r="I81" s="473" t="s">
        <v>959</v>
      </c>
      <c r="J81" s="415" t="s">
        <v>960</v>
      </c>
      <c r="K81" s="415" t="s">
        <v>830</v>
      </c>
      <c r="L81" s="415" t="s">
        <v>909</v>
      </c>
      <c r="M81" s="415" t="s">
        <v>310</v>
      </c>
      <c r="N81" s="414">
        <v>44748</v>
      </c>
      <c r="O81" s="414" t="s">
        <v>400</v>
      </c>
      <c r="P81" s="655">
        <f t="shared" si="3"/>
        <v>7</v>
      </c>
      <c r="Q81" s="655">
        <f t="shared" si="4"/>
        <v>6</v>
      </c>
      <c r="R81" s="695" t="str">
        <f t="shared" si="5"/>
        <v>Gastos_com_Pessoal</v>
      </c>
      <c r="S81" s="697" t="s">
        <v>310</v>
      </c>
      <c r="T81" s="697" t="s">
        <v>310</v>
      </c>
    </row>
    <row r="82" spans="1:20" ht="36" x14ac:dyDescent="0.2">
      <c r="A82" s="432">
        <f>IF(B82="","",COUNT('Diário 1º PA'!$A$4:$A$2635)+COUNT('Diário 2º PA'!$A$4:$A$3040)+ROW()-3)</f>
        <v>4178</v>
      </c>
      <c r="B82" s="414">
        <v>44748</v>
      </c>
      <c r="C82" s="431">
        <v>44713</v>
      </c>
      <c r="D82" s="415" t="s">
        <v>182</v>
      </c>
      <c r="E82" s="415" t="s">
        <v>1</v>
      </c>
      <c r="F82" s="425">
        <v>2077.66</v>
      </c>
      <c r="G82" s="427" t="s">
        <v>5844</v>
      </c>
      <c r="H82" s="415" t="s">
        <v>310</v>
      </c>
      <c r="I82" s="473" t="s">
        <v>961</v>
      </c>
      <c r="J82" s="415" t="s">
        <v>962</v>
      </c>
      <c r="K82" s="415" t="s">
        <v>830</v>
      </c>
      <c r="L82" s="415" t="s">
        <v>909</v>
      </c>
      <c r="M82" s="415" t="s">
        <v>310</v>
      </c>
      <c r="N82" s="414">
        <v>44748</v>
      </c>
      <c r="O82" s="414" t="s">
        <v>400</v>
      </c>
      <c r="P82" s="655">
        <f t="shared" si="3"/>
        <v>7</v>
      </c>
      <c r="Q82" s="655">
        <f t="shared" si="4"/>
        <v>6</v>
      </c>
      <c r="R82" s="695" t="str">
        <f t="shared" si="5"/>
        <v>Gastos_com_Pessoal</v>
      </c>
      <c r="S82" s="697" t="s">
        <v>310</v>
      </c>
      <c r="T82" s="697" t="s">
        <v>310</v>
      </c>
    </row>
    <row r="83" spans="1:20" ht="36" x14ac:dyDescent="0.2">
      <c r="A83" s="432">
        <f>IF(B83="","",COUNT('Diário 1º PA'!$A$4:$A$2635)+COUNT('Diário 2º PA'!$A$4:$A$3040)+ROW()-3)</f>
        <v>4179</v>
      </c>
      <c r="B83" s="414">
        <v>44748</v>
      </c>
      <c r="C83" s="431">
        <v>44713</v>
      </c>
      <c r="D83" s="415" t="s">
        <v>182</v>
      </c>
      <c r="E83" s="415" t="s">
        <v>1</v>
      </c>
      <c r="F83" s="425">
        <v>3226.72</v>
      </c>
      <c r="G83" s="427" t="s">
        <v>5845</v>
      </c>
      <c r="H83" s="415" t="s">
        <v>310</v>
      </c>
      <c r="I83" s="473" t="s">
        <v>963</v>
      </c>
      <c r="J83" s="415" t="s">
        <v>964</v>
      </c>
      <c r="K83" s="415" t="s">
        <v>830</v>
      </c>
      <c r="L83" s="415" t="s">
        <v>909</v>
      </c>
      <c r="M83" s="415" t="s">
        <v>310</v>
      </c>
      <c r="N83" s="414">
        <v>44748</v>
      </c>
      <c r="O83" s="414" t="s">
        <v>400</v>
      </c>
      <c r="P83" s="655">
        <f t="shared" si="3"/>
        <v>7</v>
      </c>
      <c r="Q83" s="655">
        <f t="shared" si="4"/>
        <v>6</v>
      </c>
      <c r="R83" s="695" t="str">
        <f t="shared" si="5"/>
        <v>Gastos_com_Pessoal</v>
      </c>
      <c r="S83" s="697" t="s">
        <v>310</v>
      </c>
      <c r="T83" s="697" t="s">
        <v>310</v>
      </c>
    </row>
    <row r="84" spans="1:20" ht="36" x14ac:dyDescent="0.2">
      <c r="A84" s="432">
        <f>IF(B84="","",COUNT('Diário 1º PA'!$A$4:$A$2635)+COUNT('Diário 2º PA'!$A$4:$A$3040)+ROW()-3)</f>
        <v>4180</v>
      </c>
      <c r="B84" s="414">
        <v>44748</v>
      </c>
      <c r="C84" s="431">
        <v>44713</v>
      </c>
      <c r="D84" s="415" t="s">
        <v>182</v>
      </c>
      <c r="E84" s="415" t="s">
        <v>1</v>
      </c>
      <c r="F84" s="425">
        <v>1890.97</v>
      </c>
      <c r="G84" s="427" t="s">
        <v>5846</v>
      </c>
      <c r="H84" s="415" t="s">
        <v>310</v>
      </c>
      <c r="I84" s="473" t="s">
        <v>969</v>
      </c>
      <c r="J84" s="415" t="s">
        <v>970</v>
      </c>
      <c r="K84" s="415" t="s">
        <v>830</v>
      </c>
      <c r="L84" s="415" t="s">
        <v>909</v>
      </c>
      <c r="M84" s="415" t="s">
        <v>310</v>
      </c>
      <c r="N84" s="414">
        <v>44748</v>
      </c>
      <c r="O84" s="414" t="s">
        <v>400</v>
      </c>
      <c r="P84" s="655">
        <f t="shared" si="3"/>
        <v>7</v>
      </c>
      <c r="Q84" s="655">
        <f t="shared" si="4"/>
        <v>6</v>
      </c>
      <c r="R84" s="695" t="str">
        <f t="shared" si="5"/>
        <v>Gastos_com_Pessoal</v>
      </c>
      <c r="S84" s="697" t="s">
        <v>310</v>
      </c>
      <c r="T84" s="697" t="s">
        <v>310</v>
      </c>
    </row>
    <row r="85" spans="1:20" ht="36" x14ac:dyDescent="0.2">
      <c r="A85" s="432">
        <f>IF(B85="","",COUNT('Diário 1º PA'!$A$4:$A$2635)+COUNT('Diário 2º PA'!$A$4:$A$3040)+ROW()-3)</f>
        <v>4181</v>
      </c>
      <c r="B85" s="414">
        <v>44748</v>
      </c>
      <c r="C85" s="431">
        <v>44713</v>
      </c>
      <c r="D85" s="415" t="s">
        <v>182</v>
      </c>
      <c r="E85" s="415" t="s">
        <v>1</v>
      </c>
      <c r="F85" s="425">
        <v>2261.98</v>
      </c>
      <c r="G85" s="427" t="s">
        <v>5847</v>
      </c>
      <c r="H85" s="415" t="s">
        <v>310</v>
      </c>
      <c r="I85" s="473" t="s">
        <v>972</v>
      </c>
      <c r="J85" s="415" t="s">
        <v>973</v>
      </c>
      <c r="K85" s="415" t="s">
        <v>830</v>
      </c>
      <c r="L85" s="415" t="s">
        <v>909</v>
      </c>
      <c r="M85" s="415" t="s">
        <v>310</v>
      </c>
      <c r="N85" s="414">
        <v>44748</v>
      </c>
      <c r="O85" s="414" t="s">
        <v>400</v>
      </c>
      <c r="P85" s="655">
        <f t="shared" si="3"/>
        <v>7</v>
      </c>
      <c r="Q85" s="655">
        <f t="shared" si="4"/>
        <v>6</v>
      </c>
      <c r="R85" s="695" t="str">
        <f t="shared" si="5"/>
        <v>Gastos_com_Pessoal</v>
      </c>
      <c r="S85" s="697" t="s">
        <v>310</v>
      </c>
      <c r="T85" s="697" t="s">
        <v>310</v>
      </c>
    </row>
    <row r="86" spans="1:20" ht="36" x14ac:dyDescent="0.2">
      <c r="A86" s="432">
        <f>IF(B86="","",COUNT('Diário 1º PA'!$A$4:$A$2635)+COUNT('Diário 2º PA'!$A$4:$A$3040)+ROW()-3)</f>
        <v>4182</v>
      </c>
      <c r="B86" s="414">
        <v>44748</v>
      </c>
      <c r="C86" s="431">
        <v>44713</v>
      </c>
      <c r="D86" s="415" t="s">
        <v>182</v>
      </c>
      <c r="E86" s="415" t="s">
        <v>1</v>
      </c>
      <c r="F86" s="425">
        <v>2023.64</v>
      </c>
      <c r="G86" s="427" t="s">
        <v>5837</v>
      </c>
      <c r="H86" s="415" t="s">
        <v>310</v>
      </c>
      <c r="I86" s="473" t="s">
        <v>975</v>
      </c>
      <c r="J86" s="415" t="s">
        <v>1565</v>
      </c>
      <c r="K86" s="415" t="s">
        <v>830</v>
      </c>
      <c r="L86" s="415" t="s">
        <v>909</v>
      </c>
      <c r="M86" s="415" t="s">
        <v>310</v>
      </c>
      <c r="N86" s="414">
        <v>44748</v>
      </c>
      <c r="O86" s="414" t="s">
        <v>400</v>
      </c>
      <c r="P86" s="655">
        <f t="shared" si="3"/>
        <v>7</v>
      </c>
      <c r="Q86" s="655">
        <f t="shared" si="4"/>
        <v>6</v>
      </c>
      <c r="R86" s="695" t="str">
        <f t="shared" si="5"/>
        <v>Gastos_com_Pessoal</v>
      </c>
      <c r="S86" s="697" t="s">
        <v>310</v>
      </c>
      <c r="T86" s="697" t="s">
        <v>310</v>
      </c>
    </row>
    <row r="87" spans="1:20" ht="36" x14ac:dyDescent="0.2">
      <c r="A87" s="432">
        <f>IF(B87="","",COUNT('Diário 1º PA'!$A$4:$A$2635)+COUNT('Diário 2º PA'!$A$4:$A$3040)+ROW()-3)</f>
        <v>4183</v>
      </c>
      <c r="B87" s="414">
        <v>44748</v>
      </c>
      <c r="C87" s="431">
        <v>44713</v>
      </c>
      <c r="D87" s="415" t="s">
        <v>182</v>
      </c>
      <c r="E87" s="415" t="s">
        <v>1</v>
      </c>
      <c r="F87" s="425">
        <v>2900.56</v>
      </c>
      <c r="G87" s="427" t="s">
        <v>5848</v>
      </c>
      <c r="H87" s="415" t="s">
        <v>310</v>
      </c>
      <c r="I87" s="473" t="s">
        <v>3665</v>
      </c>
      <c r="J87" s="415" t="s">
        <v>3193</v>
      </c>
      <c r="K87" s="415" t="s">
        <v>830</v>
      </c>
      <c r="L87" s="415" t="s">
        <v>909</v>
      </c>
      <c r="M87" s="415" t="s">
        <v>310</v>
      </c>
      <c r="N87" s="414">
        <v>44748</v>
      </c>
      <c r="O87" s="414" t="s">
        <v>400</v>
      </c>
      <c r="P87" s="655">
        <f t="shared" si="3"/>
        <v>7</v>
      </c>
      <c r="Q87" s="655">
        <f t="shared" si="4"/>
        <v>6</v>
      </c>
      <c r="R87" s="695" t="str">
        <f t="shared" si="5"/>
        <v>Gastos_com_Pessoal</v>
      </c>
      <c r="S87" s="697" t="s">
        <v>310</v>
      </c>
      <c r="T87" s="697" t="s">
        <v>310</v>
      </c>
    </row>
    <row r="88" spans="1:20" ht="36" x14ac:dyDescent="0.2">
      <c r="A88" s="432">
        <f>IF(B88="","",COUNT('Diário 1º PA'!$A$4:$A$2635)+COUNT('Diário 2º PA'!$A$4:$A$3040)+ROW()-3)</f>
        <v>4184</v>
      </c>
      <c r="B88" s="414">
        <v>44748</v>
      </c>
      <c r="C88" s="431">
        <v>44713</v>
      </c>
      <c r="D88" s="415" t="s">
        <v>182</v>
      </c>
      <c r="E88" s="415" t="s">
        <v>1</v>
      </c>
      <c r="F88" s="425">
        <v>1474.11</v>
      </c>
      <c r="G88" s="427" t="s">
        <v>5836</v>
      </c>
      <c r="H88" s="415" t="s">
        <v>310</v>
      </c>
      <c r="I88" s="473" t="s">
        <v>828</v>
      </c>
      <c r="J88" s="415" t="s">
        <v>829</v>
      </c>
      <c r="K88" s="415" t="s">
        <v>830</v>
      </c>
      <c r="L88" s="415" t="s">
        <v>909</v>
      </c>
      <c r="M88" s="415" t="s">
        <v>310</v>
      </c>
      <c r="N88" s="414">
        <v>44748</v>
      </c>
      <c r="O88" s="414" t="s">
        <v>400</v>
      </c>
      <c r="P88" s="655">
        <f t="shared" si="3"/>
        <v>7</v>
      </c>
      <c r="Q88" s="655">
        <f t="shared" si="4"/>
        <v>6</v>
      </c>
      <c r="R88" s="695" t="str">
        <f t="shared" si="5"/>
        <v>Gastos_com_Pessoal</v>
      </c>
      <c r="S88" s="697" t="s">
        <v>310</v>
      </c>
      <c r="T88" s="697" t="s">
        <v>310</v>
      </c>
    </row>
    <row r="89" spans="1:20" ht="36" x14ac:dyDescent="0.2">
      <c r="A89" s="432">
        <f>IF(B89="","",COUNT('Diário 1º PA'!$A$4:$A$2635)+COUNT('Diário 2º PA'!$A$4:$A$3040)+ROW()-3)</f>
        <v>4185</v>
      </c>
      <c r="B89" s="414">
        <v>44748</v>
      </c>
      <c r="C89" s="431">
        <v>44713</v>
      </c>
      <c r="D89" s="415" t="s">
        <v>182</v>
      </c>
      <c r="E89" s="415" t="s">
        <v>1</v>
      </c>
      <c r="F89" s="425">
        <v>2882.58</v>
      </c>
      <c r="G89" s="427" t="s">
        <v>5849</v>
      </c>
      <c r="H89" s="415" t="s">
        <v>310</v>
      </c>
      <c r="I89" s="473" t="s">
        <v>977</v>
      </c>
      <c r="J89" s="415" t="s">
        <v>978</v>
      </c>
      <c r="K89" s="415" t="s">
        <v>830</v>
      </c>
      <c r="L89" s="415" t="s">
        <v>909</v>
      </c>
      <c r="M89" s="415" t="s">
        <v>310</v>
      </c>
      <c r="N89" s="414">
        <v>44748</v>
      </c>
      <c r="O89" s="414" t="s">
        <v>400</v>
      </c>
      <c r="P89" s="655">
        <f t="shared" si="3"/>
        <v>7</v>
      </c>
      <c r="Q89" s="655">
        <f t="shared" si="4"/>
        <v>6</v>
      </c>
      <c r="R89" s="695" t="str">
        <f t="shared" si="5"/>
        <v>Gastos_com_Pessoal</v>
      </c>
      <c r="S89" s="697" t="s">
        <v>310</v>
      </c>
      <c r="T89" s="697" t="s">
        <v>310</v>
      </c>
    </row>
    <row r="90" spans="1:20" ht="36" x14ac:dyDescent="0.2">
      <c r="A90" s="432">
        <f>IF(B90="","",COUNT('Diário 1º PA'!$A$4:$A$2635)+COUNT('Diário 2º PA'!$A$4:$A$3040)+ROW()-3)</f>
        <v>4186</v>
      </c>
      <c r="B90" s="414">
        <v>44748</v>
      </c>
      <c r="C90" s="431">
        <v>44713</v>
      </c>
      <c r="D90" s="415" t="s">
        <v>182</v>
      </c>
      <c r="E90" s="415" t="s">
        <v>1</v>
      </c>
      <c r="F90" s="425">
        <v>2077.66</v>
      </c>
      <c r="G90" s="427" t="s">
        <v>5850</v>
      </c>
      <c r="H90" s="415" t="s">
        <v>310</v>
      </c>
      <c r="I90" s="473" t="s">
        <v>980</v>
      </c>
      <c r="J90" s="415" t="s">
        <v>981</v>
      </c>
      <c r="K90" s="415" t="s">
        <v>830</v>
      </c>
      <c r="L90" s="415" t="s">
        <v>909</v>
      </c>
      <c r="M90" s="415" t="s">
        <v>310</v>
      </c>
      <c r="N90" s="414">
        <v>44748</v>
      </c>
      <c r="O90" s="414" t="s">
        <v>400</v>
      </c>
      <c r="P90" s="655">
        <f t="shared" si="3"/>
        <v>7</v>
      </c>
      <c r="Q90" s="655">
        <f t="shared" si="4"/>
        <v>6</v>
      </c>
      <c r="R90" s="695" t="str">
        <f t="shared" si="5"/>
        <v>Gastos_com_Pessoal</v>
      </c>
      <c r="S90" s="697" t="s">
        <v>310</v>
      </c>
      <c r="T90" s="697" t="s">
        <v>310</v>
      </c>
    </row>
    <row r="91" spans="1:20" ht="36" x14ac:dyDescent="0.2">
      <c r="A91" s="432">
        <f>IF(B91="","",COUNT('Diário 1º PA'!$A$4:$A$2635)+COUNT('Diário 2º PA'!$A$4:$A$3040)+ROW()-3)</f>
        <v>4187</v>
      </c>
      <c r="B91" s="414">
        <v>44748</v>
      </c>
      <c r="C91" s="431">
        <v>44713</v>
      </c>
      <c r="D91" s="415" t="s">
        <v>182</v>
      </c>
      <c r="E91" s="415" t="s">
        <v>1</v>
      </c>
      <c r="F91" s="425">
        <v>1939.66</v>
      </c>
      <c r="G91" s="427" t="s">
        <v>5850</v>
      </c>
      <c r="H91" s="415" t="s">
        <v>310</v>
      </c>
      <c r="I91" s="473" t="s">
        <v>982</v>
      </c>
      <c r="J91" s="415" t="s">
        <v>983</v>
      </c>
      <c r="K91" s="415" t="s">
        <v>830</v>
      </c>
      <c r="L91" s="415" t="s">
        <v>909</v>
      </c>
      <c r="M91" s="415" t="s">
        <v>310</v>
      </c>
      <c r="N91" s="414">
        <v>44748</v>
      </c>
      <c r="O91" s="414" t="s">
        <v>400</v>
      </c>
      <c r="P91" s="655">
        <f t="shared" si="3"/>
        <v>7</v>
      </c>
      <c r="Q91" s="655">
        <f t="shared" si="4"/>
        <v>6</v>
      </c>
      <c r="R91" s="695" t="str">
        <f t="shared" si="5"/>
        <v>Gastos_com_Pessoal</v>
      </c>
      <c r="S91" s="697" t="s">
        <v>310</v>
      </c>
      <c r="T91" s="697" t="s">
        <v>310</v>
      </c>
    </row>
    <row r="92" spans="1:20" ht="36" x14ac:dyDescent="0.2">
      <c r="A92" s="432">
        <f>IF(B92="","",COUNT('Diário 1º PA'!$A$4:$A$2635)+COUNT('Diário 2º PA'!$A$4:$A$3040)+ROW()-3)</f>
        <v>4188</v>
      </c>
      <c r="B92" s="414">
        <v>44748</v>
      </c>
      <c r="C92" s="431">
        <v>44713</v>
      </c>
      <c r="D92" s="415" t="s">
        <v>182</v>
      </c>
      <c r="E92" s="415" t="s">
        <v>1</v>
      </c>
      <c r="F92" s="425">
        <v>2813.69</v>
      </c>
      <c r="G92" s="427" t="s">
        <v>5851</v>
      </c>
      <c r="H92" s="415" t="s">
        <v>310</v>
      </c>
      <c r="I92" s="473" t="s">
        <v>985</v>
      </c>
      <c r="J92" s="415" t="s">
        <v>986</v>
      </c>
      <c r="K92" s="415" t="s">
        <v>830</v>
      </c>
      <c r="L92" s="415" t="s">
        <v>909</v>
      </c>
      <c r="M92" s="415" t="s">
        <v>310</v>
      </c>
      <c r="N92" s="414">
        <v>44748</v>
      </c>
      <c r="O92" s="414" t="s">
        <v>400</v>
      </c>
      <c r="P92" s="655">
        <f t="shared" si="3"/>
        <v>7</v>
      </c>
      <c r="Q92" s="655">
        <f t="shared" si="4"/>
        <v>6</v>
      </c>
      <c r="R92" s="695" t="str">
        <f t="shared" si="5"/>
        <v>Gastos_com_Pessoal</v>
      </c>
      <c r="S92" s="697" t="s">
        <v>310</v>
      </c>
      <c r="T92" s="697" t="s">
        <v>310</v>
      </c>
    </row>
    <row r="93" spans="1:20" ht="36" x14ac:dyDescent="0.2">
      <c r="A93" s="432">
        <f>IF(B93="","",COUNT('Diário 1º PA'!$A$4:$A$2635)+COUNT('Diário 2º PA'!$A$4:$A$3040)+ROW()-3)</f>
        <v>4189</v>
      </c>
      <c r="B93" s="414">
        <v>44748</v>
      </c>
      <c r="C93" s="431">
        <v>44713</v>
      </c>
      <c r="D93" s="415" t="s">
        <v>182</v>
      </c>
      <c r="E93" s="415" t="s">
        <v>1</v>
      </c>
      <c r="F93" s="425">
        <v>2056.2199999999998</v>
      </c>
      <c r="G93" s="440" t="s">
        <v>5852</v>
      </c>
      <c r="H93" s="415" t="s">
        <v>310</v>
      </c>
      <c r="I93" s="473" t="s">
        <v>3519</v>
      </c>
      <c r="J93" s="415" t="s">
        <v>988</v>
      </c>
      <c r="K93" s="415" t="s">
        <v>830</v>
      </c>
      <c r="L93" s="415" t="s">
        <v>909</v>
      </c>
      <c r="M93" s="415" t="s">
        <v>310</v>
      </c>
      <c r="N93" s="414">
        <v>44748</v>
      </c>
      <c r="O93" s="414" t="s">
        <v>400</v>
      </c>
      <c r="P93" s="655">
        <f t="shared" si="3"/>
        <v>7</v>
      </c>
      <c r="Q93" s="655">
        <f t="shared" si="4"/>
        <v>6</v>
      </c>
      <c r="R93" s="695" t="str">
        <f t="shared" si="5"/>
        <v>Gastos_com_Pessoal</v>
      </c>
      <c r="S93" s="697" t="s">
        <v>310</v>
      </c>
      <c r="T93" s="697" t="s">
        <v>310</v>
      </c>
    </row>
    <row r="94" spans="1:20" ht="36" x14ac:dyDescent="0.2">
      <c r="A94" s="432">
        <f>IF(B94="","",COUNT('Diário 1º PA'!$A$4:$A$2635)+COUNT('Diário 2º PA'!$A$4:$A$3040)+ROW()-3)</f>
        <v>4190</v>
      </c>
      <c r="B94" s="414">
        <v>44748</v>
      </c>
      <c r="C94" s="431">
        <v>44713</v>
      </c>
      <c r="D94" s="415" t="s">
        <v>182</v>
      </c>
      <c r="E94" s="415" t="s">
        <v>1</v>
      </c>
      <c r="F94" s="425">
        <v>9206.76</v>
      </c>
      <c r="G94" s="427" t="s">
        <v>5853</v>
      </c>
      <c r="H94" s="415" t="s">
        <v>310</v>
      </c>
      <c r="I94" s="473" t="s">
        <v>990</v>
      </c>
      <c r="J94" s="415" t="s">
        <v>991</v>
      </c>
      <c r="K94" s="415" t="s">
        <v>830</v>
      </c>
      <c r="L94" s="415" t="s">
        <v>909</v>
      </c>
      <c r="M94" s="415" t="s">
        <v>310</v>
      </c>
      <c r="N94" s="414">
        <v>44748</v>
      </c>
      <c r="O94" s="414" t="s">
        <v>400</v>
      </c>
      <c r="P94" s="655">
        <f t="shared" si="3"/>
        <v>7</v>
      </c>
      <c r="Q94" s="655">
        <f t="shared" si="4"/>
        <v>6</v>
      </c>
      <c r="R94" s="695" t="str">
        <f t="shared" si="5"/>
        <v>Gastos_com_Pessoal</v>
      </c>
      <c r="S94" s="697" t="s">
        <v>310</v>
      </c>
      <c r="T94" s="697" t="s">
        <v>310</v>
      </c>
    </row>
    <row r="95" spans="1:20" ht="36" x14ac:dyDescent="0.2">
      <c r="A95" s="432">
        <f>IF(B95="","",COUNT('Diário 1º PA'!$A$4:$A$2635)+COUNT('Diário 2º PA'!$A$4:$A$3040)+ROW()-3)</f>
        <v>4191</v>
      </c>
      <c r="B95" s="414">
        <v>44748</v>
      </c>
      <c r="C95" s="431">
        <v>44713</v>
      </c>
      <c r="D95" s="415" t="s">
        <v>182</v>
      </c>
      <c r="E95" s="415" t="s">
        <v>1</v>
      </c>
      <c r="F95" s="425">
        <v>1960.36</v>
      </c>
      <c r="G95" s="427" t="s">
        <v>5833</v>
      </c>
      <c r="H95" s="415" t="s">
        <v>310</v>
      </c>
      <c r="I95" s="473" t="s">
        <v>992</v>
      </c>
      <c r="J95" s="415" t="s">
        <v>993</v>
      </c>
      <c r="K95" s="415" t="s">
        <v>830</v>
      </c>
      <c r="L95" s="415" t="s">
        <v>909</v>
      </c>
      <c r="M95" s="415" t="s">
        <v>310</v>
      </c>
      <c r="N95" s="414">
        <v>44748</v>
      </c>
      <c r="O95" s="414" t="s">
        <v>400</v>
      </c>
      <c r="P95" s="655">
        <f t="shared" si="3"/>
        <v>7</v>
      </c>
      <c r="Q95" s="655">
        <f t="shared" si="4"/>
        <v>6</v>
      </c>
      <c r="R95" s="695" t="str">
        <f t="shared" si="5"/>
        <v>Gastos_com_Pessoal</v>
      </c>
      <c r="S95" s="697" t="s">
        <v>310</v>
      </c>
      <c r="T95" s="697" t="s">
        <v>310</v>
      </c>
    </row>
    <row r="96" spans="1:20" ht="36" x14ac:dyDescent="0.2">
      <c r="A96" s="432">
        <f>IF(B96="","",COUNT('Diário 1º PA'!$A$4:$A$2635)+COUNT('Diário 2º PA'!$A$4:$A$3040)+ROW()-3)</f>
        <v>4192</v>
      </c>
      <c r="B96" s="414">
        <v>44748</v>
      </c>
      <c r="C96" s="431">
        <v>44713</v>
      </c>
      <c r="D96" s="415" t="s">
        <v>182</v>
      </c>
      <c r="E96" s="415" t="s">
        <v>1</v>
      </c>
      <c r="F96" s="425">
        <v>2111.1799999999998</v>
      </c>
      <c r="G96" s="427" t="s">
        <v>5837</v>
      </c>
      <c r="H96" s="415" t="s">
        <v>310</v>
      </c>
      <c r="I96" s="473" t="s">
        <v>994</v>
      </c>
      <c r="J96" s="415" t="s">
        <v>995</v>
      </c>
      <c r="K96" s="415" t="s">
        <v>830</v>
      </c>
      <c r="L96" s="415" t="s">
        <v>909</v>
      </c>
      <c r="M96" s="415" t="s">
        <v>310</v>
      </c>
      <c r="N96" s="414">
        <v>44748</v>
      </c>
      <c r="O96" s="414" t="s">
        <v>400</v>
      </c>
      <c r="P96" s="655">
        <f t="shared" si="3"/>
        <v>7</v>
      </c>
      <c r="Q96" s="655">
        <f t="shared" si="4"/>
        <v>6</v>
      </c>
      <c r="R96" s="695" t="str">
        <f t="shared" si="5"/>
        <v>Gastos_com_Pessoal</v>
      </c>
      <c r="S96" s="697" t="s">
        <v>310</v>
      </c>
      <c r="T96" s="697" t="s">
        <v>310</v>
      </c>
    </row>
    <row r="97" spans="1:20" ht="36" x14ac:dyDescent="0.2">
      <c r="A97" s="432">
        <f>IF(B97="","",COUNT('Diário 1º PA'!$A$4:$A$2635)+COUNT('Diário 2º PA'!$A$4:$A$3040)+ROW()-3)</f>
        <v>4193</v>
      </c>
      <c r="B97" s="414">
        <v>44748</v>
      </c>
      <c r="C97" s="431">
        <v>44713</v>
      </c>
      <c r="D97" s="415" t="s">
        <v>182</v>
      </c>
      <c r="E97" s="415" t="s">
        <v>1</v>
      </c>
      <c r="F97" s="425">
        <v>1957.64</v>
      </c>
      <c r="G97" s="440" t="s">
        <v>5833</v>
      </c>
      <c r="H97" s="415" t="s">
        <v>310</v>
      </c>
      <c r="I97" s="473" t="s">
        <v>6019</v>
      </c>
      <c r="J97" s="415" t="s">
        <v>1178</v>
      </c>
      <c r="K97" s="415" t="s">
        <v>830</v>
      </c>
      <c r="L97" s="415" t="s">
        <v>909</v>
      </c>
      <c r="M97" s="415" t="s">
        <v>310</v>
      </c>
      <c r="N97" s="414">
        <v>44748</v>
      </c>
      <c r="O97" s="414" t="s">
        <v>400</v>
      </c>
      <c r="P97" s="655">
        <f t="shared" si="3"/>
        <v>7</v>
      </c>
      <c r="Q97" s="655">
        <f t="shared" si="4"/>
        <v>6</v>
      </c>
      <c r="R97" s="695" t="str">
        <f t="shared" si="5"/>
        <v>Gastos_com_Pessoal</v>
      </c>
      <c r="S97" s="697" t="s">
        <v>310</v>
      </c>
      <c r="T97" s="697" t="s">
        <v>310</v>
      </c>
    </row>
    <row r="98" spans="1:20" ht="36" x14ac:dyDescent="0.2">
      <c r="A98" s="432">
        <f>IF(B98="","",COUNT('Diário 1º PA'!$A$4:$A$2635)+COUNT('Diário 2º PA'!$A$4:$A$3040)+ROW()-3)</f>
        <v>4194</v>
      </c>
      <c r="B98" s="414">
        <v>44748</v>
      </c>
      <c r="C98" s="431">
        <v>44713</v>
      </c>
      <c r="D98" s="415" t="s">
        <v>182</v>
      </c>
      <c r="E98" s="415" t="s">
        <v>1</v>
      </c>
      <c r="F98" s="425">
        <v>2851.51</v>
      </c>
      <c r="G98" s="427" t="s">
        <v>5848</v>
      </c>
      <c r="H98" s="415" t="s">
        <v>310</v>
      </c>
      <c r="I98" s="473" t="s">
        <v>996</v>
      </c>
      <c r="J98" s="415" t="s">
        <v>997</v>
      </c>
      <c r="K98" s="415" t="s">
        <v>830</v>
      </c>
      <c r="L98" s="415" t="s">
        <v>909</v>
      </c>
      <c r="M98" s="415" t="s">
        <v>310</v>
      </c>
      <c r="N98" s="414">
        <v>44748</v>
      </c>
      <c r="O98" s="414" t="s">
        <v>400</v>
      </c>
      <c r="P98" s="655">
        <f t="shared" si="3"/>
        <v>7</v>
      </c>
      <c r="Q98" s="655">
        <f t="shared" si="4"/>
        <v>6</v>
      </c>
      <c r="R98" s="695" t="str">
        <f t="shared" si="5"/>
        <v>Gastos_com_Pessoal</v>
      </c>
      <c r="S98" s="697" t="s">
        <v>310</v>
      </c>
      <c r="T98" s="697" t="s">
        <v>310</v>
      </c>
    </row>
    <row r="99" spans="1:20" ht="36" x14ac:dyDescent="0.2">
      <c r="A99" s="432">
        <f>IF(B99="","",COUNT('Diário 1º PA'!$A$4:$A$2635)+COUNT('Diário 2º PA'!$A$4:$A$3040)+ROW()-3)</f>
        <v>4195</v>
      </c>
      <c r="B99" s="414">
        <v>44748</v>
      </c>
      <c r="C99" s="431">
        <v>44713</v>
      </c>
      <c r="D99" s="415" t="s">
        <v>182</v>
      </c>
      <c r="E99" s="415" t="s">
        <v>1</v>
      </c>
      <c r="F99" s="435">
        <v>1966.13</v>
      </c>
      <c r="G99" s="440" t="s">
        <v>5837</v>
      </c>
      <c r="H99" s="415" t="s">
        <v>310</v>
      </c>
      <c r="I99" s="474" t="s">
        <v>1167</v>
      </c>
      <c r="J99" s="434" t="s">
        <v>1168</v>
      </c>
      <c r="K99" s="415" t="s">
        <v>830</v>
      </c>
      <c r="L99" s="434" t="s">
        <v>909</v>
      </c>
      <c r="M99" s="415" t="s">
        <v>310</v>
      </c>
      <c r="N99" s="414">
        <v>44748</v>
      </c>
      <c r="O99" s="414" t="s">
        <v>400</v>
      </c>
      <c r="P99" s="655">
        <f t="shared" si="3"/>
        <v>7</v>
      </c>
      <c r="Q99" s="655">
        <f t="shared" si="4"/>
        <v>6</v>
      </c>
      <c r="R99" s="695" t="str">
        <f t="shared" si="5"/>
        <v>Gastos_com_Pessoal</v>
      </c>
      <c r="S99" s="697" t="s">
        <v>310</v>
      </c>
      <c r="T99" s="697" t="s">
        <v>310</v>
      </c>
    </row>
    <row r="100" spans="1:20" ht="36" x14ac:dyDescent="0.2">
      <c r="A100" s="432">
        <f>IF(B100="","",COUNT('Diário 1º PA'!$A$4:$A$2635)+COUNT('Diário 2º PA'!$A$4:$A$3040)+ROW()-3)</f>
        <v>4196</v>
      </c>
      <c r="B100" s="414">
        <v>44748</v>
      </c>
      <c r="C100" s="431">
        <v>44713</v>
      </c>
      <c r="D100" s="415" t="s">
        <v>182</v>
      </c>
      <c r="E100" s="415" t="s">
        <v>1</v>
      </c>
      <c r="F100" s="425">
        <v>2812.64</v>
      </c>
      <c r="G100" s="440" t="s">
        <v>5854</v>
      </c>
      <c r="H100" s="415" t="s">
        <v>310</v>
      </c>
      <c r="I100" s="473" t="s">
        <v>1169</v>
      </c>
      <c r="J100" s="415" t="s">
        <v>1170</v>
      </c>
      <c r="K100" s="415" t="s">
        <v>830</v>
      </c>
      <c r="L100" s="415" t="s">
        <v>909</v>
      </c>
      <c r="M100" s="415" t="s">
        <v>310</v>
      </c>
      <c r="N100" s="414">
        <v>44748</v>
      </c>
      <c r="O100" s="414" t="s">
        <v>400</v>
      </c>
      <c r="P100" s="655">
        <f t="shared" si="3"/>
        <v>7</v>
      </c>
      <c r="Q100" s="655">
        <f t="shared" si="4"/>
        <v>6</v>
      </c>
      <c r="R100" s="695" t="str">
        <f t="shared" si="5"/>
        <v>Gastos_com_Pessoal</v>
      </c>
      <c r="S100" s="697" t="s">
        <v>310</v>
      </c>
      <c r="T100" s="697" t="s">
        <v>310</v>
      </c>
    </row>
    <row r="101" spans="1:20" ht="36" x14ac:dyDescent="0.2">
      <c r="A101" s="432">
        <f>IF(B101="","",COUNT('Diário 1º PA'!$A$4:$A$2635)+COUNT('Diário 2º PA'!$A$4:$A$3040)+ROW()-3)</f>
        <v>4197</v>
      </c>
      <c r="B101" s="414">
        <v>44748</v>
      </c>
      <c r="C101" s="431">
        <v>44713</v>
      </c>
      <c r="D101" s="415" t="s">
        <v>182</v>
      </c>
      <c r="E101" s="415" t="s">
        <v>1</v>
      </c>
      <c r="F101" s="425">
        <v>2027.16</v>
      </c>
      <c r="G101" s="440" t="s">
        <v>5833</v>
      </c>
      <c r="H101" s="415" t="s">
        <v>310</v>
      </c>
      <c r="I101" s="473" t="s">
        <v>1171</v>
      </c>
      <c r="J101" s="415" t="s">
        <v>1172</v>
      </c>
      <c r="K101" s="415" t="s">
        <v>830</v>
      </c>
      <c r="L101" s="415" t="s">
        <v>909</v>
      </c>
      <c r="M101" s="415" t="s">
        <v>310</v>
      </c>
      <c r="N101" s="414">
        <v>44748</v>
      </c>
      <c r="O101" s="414" t="s">
        <v>400</v>
      </c>
      <c r="P101" s="655">
        <f t="shared" si="3"/>
        <v>7</v>
      </c>
      <c r="Q101" s="655">
        <f t="shared" si="4"/>
        <v>6</v>
      </c>
      <c r="R101" s="695" t="str">
        <f t="shared" si="5"/>
        <v>Gastos_com_Pessoal</v>
      </c>
      <c r="S101" s="697" t="s">
        <v>310</v>
      </c>
      <c r="T101" s="697" t="s">
        <v>310</v>
      </c>
    </row>
    <row r="102" spans="1:20" ht="36" x14ac:dyDescent="0.2">
      <c r="A102" s="432">
        <f>IF(B102="","",COUNT('Diário 1º PA'!$A$4:$A$2635)+COUNT('Diário 2º PA'!$A$4:$A$3040)+ROW()-3)</f>
        <v>4198</v>
      </c>
      <c r="B102" s="414">
        <v>44748</v>
      </c>
      <c r="C102" s="431">
        <v>44713</v>
      </c>
      <c r="D102" s="415" t="s">
        <v>182</v>
      </c>
      <c r="E102" s="415" t="s">
        <v>1</v>
      </c>
      <c r="F102" s="425">
        <v>1687.9</v>
      </c>
      <c r="G102" s="440" t="s">
        <v>5833</v>
      </c>
      <c r="H102" s="415" t="s">
        <v>310</v>
      </c>
      <c r="I102" s="473" t="s">
        <v>1173</v>
      </c>
      <c r="J102" s="415" t="s">
        <v>1174</v>
      </c>
      <c r="K102" s="415" t="s">
        <v>830</v>
      </c>
      <c r="L102" s="415" t="s">
        <v>909</v>
      </c>
      <c r="M102" s="415" t="s">
        <v>310</v>
      </c>
      <c r="N102" s="414">
        <v>44748</v>
      </c>
      <c r="O102" s="414" t="s">
        <v>400</v>
      </c>
      <c r="P102" s="655">
        <f t="shared" si="3"/>
        <v>7</v>
      </c>
      <c r="Q102" s="655">
        <f t="shared" si="4"/>
        <v>6</v>
      </c>
      <c r="R102" s="695" t="str">
        <f t="shared" si="5"/>
        <v>Gastos_com_Pessoal</v>
      </c>
      <c r="S102" s="697" t="s">
        <v>310</v>
      </c>
      <c r="T102" s="697" t="s">
        <v>310</v>
      </c>
    </row>
    <row r="103" spans="1:20" ht="36" x14ac:dyDescent="0.2">
      <c r="A103" s="432">
        <f>IF(B103="","",COUNT('Diário 1º PA'!$A$4:$A$2635)+COUNT('Diário 2º PA'!$A$4:$A$3040)+ROW()-3)</f>
        <v>4199</v>
      </c>
      <c r="B103" s="414">
        <v>44748</v>
      </c>
      <c r="C103" s="431">
        <v>44713</v>
      </c>
      <c r="D103" s="415" t="s">
        <v>182</v>
      </c>
      <c r="E103" s="415" t="s">
        <v>1</v>
      </c>
      <c r="F103" s="425">
        <v>1978.54</v>
      </c>
      <c r="G103" s="440" t="s">
        <v>5833</v>
      </c>
      <c r="H103" s="415" t="s">
        <v>310</v>
      </c>
      <c r="I103" s="473" t="s">
        <v>1175</v>
      </c>
      <c r="J103" s="415" t="s">
        <v>1176</v>
      </c>
      <c r="K103" s="415" t="s">
        <v>830</v>
      </c>
      <c r="L103" s="415" t="s">
        <v>909</v>
      </c>
      <c r="M103" s="415" t="s">
        <v>310</v>
      </c>
      <c r="N103" s="414">
        <v>44748</v>
      </c>
      <c r="O103" s="414" t="s">
        <v>400</v>
      </c>
      <c r="P103" s="655">
        <f t="shared" si="3"/>
        <v>7</v>
      </c>
      <c r="Q103" s="655">
        <f t="shared" si="4"/>
        <v>6</v>
      </c>
      <c r="R103" s="695" t="str">
        <f t="shared" si="5"/>
        <v>Gastos_com_Pessoal</v>
      </c>
      <c r="S103" s="697" t="s">
        <v>310</v>
      </c>
      <c r="T103" s="697" t="s">
        <v>310</v>
      </c>
    </row>
    <row r="104" spans="1:20" ht="36" x14ac:dyDescent="0.2">
      <c r="A104" s="432">
        <f>IF(B104="","",COUNT('Diário 1º PA'!$A$4:$A$2635)+COUNT('Diário 2º PA'!$A$4:$A$3040)+ROW()-3)</f>
        <v>4200</v>
      </c>
      <c r="B104" s="414">
        <v>44748</v>
      </c>
      <c r="C104" s="431">
        <v>44713</v>
      </c>
      <c r="D104" s="415" t="s">
        <v>182</v>
      </c>
      <c r="E104" s="415" t="s">
        <v>1</v>
      </c>
      <c r="F104" s="425">
        <v>2900.56</v>
      </c>
      <c r="G104" s="440" t="s">
        <v>5848</v>
      </c>
      <c r="H104" s="415" t="s">
        <v>310</v>
      </c>
      <c r="I104" s="473" t="s">
        <v>3195</v>
      </c>
      <c r="J104" s="415" t="s">
        <v>3518</v>
      </c>
      <c r="K104" s="415" t="s">
        <v>830</v>
      </c>
      <c r="L104" s="415" t="s">
        <v>909</v>
      </c>
      <c r="M104" s="415" t="s">
        <v>310</v>
      </c>
      <c r="N104" s="414">
        <v>44748</v>
      </c>
      <c r="O104" s="414" t="s">
        <v>400</v>
      </c>
      <c r="P104" s="655">
        <f t="shared" si="3"/>
        <v>7</v>
      </c>
      <c r="Q104" s="655">
        <f t="shared" si="4"/>
        <v>6</v>
      </c>
      <c r="R104" s="695" t="str">
        <f t="shared" si="5"/>
        <v>Gastos_com_Pessoal</v>
      </c>
      <c r="S104" s="697" t="s">
        <v>310</v>
      </c>
      <c r="T104" s="697" t="s">
        <v>310</v>
      </c>
    </row>
    <row r="105" spans="1:20" ht="36" x14ac:dyDescent="0.2">
      <c r="A105" s="432">
        <f>IF(B105="","",COUNT('Diário 1º PA'!$A$4:$A$2635)+COUNT('Diário 2º PA'!$A$4:$A$3040)+ROW()-3)</f>
        <v>4201</v>
      </c>
      <c r="B105" s="414">
        <v>44748</v>
      </c>
      <c r="C105" s="431">
        <v>44713</v>
      </c>
      <c r="D105" s="415" t="s">
        <v>182</v>
      </c>
      <c r="E105" s="415" t="s">
        <v>1</v>
      </c>
      <c r="F105" s="425">
        <v>2576.66</v>
      </c>
      <c r="G105" s="440" t="s">
        <v>5855</v>
      </c>
      <c r="H105" s="415" t="s">
        <v>310</v>
      </c>
      <c r="I105" s="473" t="s">
        <v>1179</v>
      </c>
      <c r="J105" s="415" t="s">
        <v>1180</v>
      </c>
      <c r="K105" s="415" t="s">
        <v>830</v>
      </c>
      <c r="L105" s="415" t="s">
        <v>909</v>
      </c>
      <c r="M105" s="415" t="s">
        <v>310</v>
      </c>
      <c r="N105" s="414">
        <v>44748</v>
      </c>
      <c r="O105" s="414" t="s">
        <v>400</v>
      </c>
      <c r="P105" s="655">
        <f t="shared" si="3"/>
        <v>7</v>
      </c>
      <c r="Q105" s="655">
        <f t="shared" si="4"/>
        <v>6</v>
      </c>
      <c r="R105" s="695" t="str">
        <f t="shared" si="5"/>
        <v>Gastos_com_Pessoal</v>
      </c>
      <c r="S105" s="697" t="s">
        <v>310</v>
      </c>
      <c r="T105" s="697" t="s">
        <v>310</v>
      </c>
    </row>
    <row r="106" spans="1:20" ht="36" x14ac:dyDescent="0.2">
      <c r="A106" s="432">
        <f>IF(B106="","",COUNT('Diário 1º PA'!$A$4:$A$2635)+COUNT('Diário 2º PA'!$A$4:$A$3040)+ROW()-3)</f>
        <v>4202</v>
      </c>
      <c r="B106" s="414">
        <v>44748</v>
      </c>
      <c r="C106" s="431">
        <v>44713</v>
      </c>
      <c r="D106" s="415" t="s">
        <v>182</v>
      </c>
      <c r="E106" s="415" t="s">
        <v>1</v>
      </c>
      <c r="F106" s="435">
        <v>2882.58</v>
      </c>
      <c r="G106" s="440" t="s">
        <v>5848</v>
      </c>
      <c r="H106" s="415" t="s">
        <v>310</v>
      </c>
      <c r="I106" s="474" t="s">
        <v>1181</v>
      </c>
      <c r="J106" s="434" t="s">
        <v>933</v>
      </c>
      <c r="K106" s="415" t="s">
        <v>830</v>
      </c>
      <c r="L106" s="434" t="s">
        <v>909</v>
      </c>
      <c r="M106" s="415" t="s">
        <v>310</v>
      </c>
      <c r="N106" s="414">
        <v>44748</v>
      </c>
      <c r="O106" s="414" t="s">
        <v>400</v>
      </c>
      <c r="P106" s="655">
        <f t="shared" si="3"/>
        <v>7</v>
      </c>
      <c r="Q106" s="655">
        <f t="shared" si="4"/>
        <v>6</v>
      </c>
      <c r="R106" s="695" t="str">
        <f t="shared" si="5"/>
        <v>Gastos_com_Pessoal</v>
      </c>
      <c r="S106" s="697" t="s">
        <v>310</v>
      </c>
      <c r="T106" s="697" t="s">
        <v>310</v>
      </c>
    </row>
    <row r="107" spans="1:20" ht="36" x14ac:dyDescent="0.2">
      <c r="A107" s="432">
        <f>IF(B107="","",COUNT('Diário 1º PA'!$A$4:$A$2635)+COUNT('Diário 2º PA'!$A$4:$A$3040)+ROW()-3)</f>
        <v>4203</v>
      </c>
      <c r="B107" s="414">
        <v>44748</v>
      </c>
      <c r="C107" s="431">
        <v>44713</v>
      </c>
      <c r="D107" s="415" t="s">
        <v>182</v>
      </c>
      <c r="E107" s="415" t="s">
        <v>1</v>
      </c>
      <c r="F107" s="425">
        <v>2095.64</v>
      </c>
      <c r="G107" s="440" t="s">
        <v>5856</v>
      </c>
      <c r="H107" s="415" t="s">
        <v>310</v>
      </c>
      <c r="I107" s="473" t="s">
        <v>1182</v>
      </c>
      <c r="J107" s="415" t="s">
        <v>1183</v>
      </c>
      <c r="K107" s="415" t="s">
        <v>830</v>
      </c>
      <c r="L107" s="415" t="s">
        <v>909</v>
      </c>
      <c r="M107" s="415" t="s">
        <v>310</v>
      </c>
      <c r="N107" s="414">
        <v>44748</v>
      </c>
      <c r="O107" s="414" t="s">
        <v>400</v>
      </c>
      <c r="P107" s="655">
        <f t="shared" si="3"/>
        <v>7</v>
      </c>
      <c r="Q107" s="655">
        <f t="shared" si="4"/>
        <v>6</v>
      </c>
      <c r="R107" s="695" t="str">
        <f t="shared" si="5"/>
        <v>Gastos_com_Pessoal</v>
      </c>
      <c r="S107" s="697" t="s">
        <v>310</v>
      </c>
      <c r="T107" s="697" t="s">
        <v>310</v>
      </c>
    </row>
    <row r="108" spans="1:20" ht="36" x14ac:dyDescent="0.2">
      <c r="A108" s="432">
        <f>IF(B108="","",COUNT('Diário 1º PA'!$A$4:$A$2635)+COUNT('Diário 2º PA'!$A$4:$A$3040)+ROW()-3)</f>
        <v>4204</v>
      </c>
      <c r="B108" s="414">
        <v>44748</v>
      </c>
      <c r="C108" s="431">
        <v>44713</v>
      </c>
      <c r="D108" s="415" t="s">
        <v>182</v>
      </c>
      <c r="E108" s="415" t="s">
        <v>1</v>
      </c>
      <c r="F108" s="435">
        <v>2900.56</v>
      </c>
      <c r="G108" s="440" t="s">
        <v>5849</v>
      </c>
      <c r="H108" s="415" t="s">
        <v>310</v>
      </c>
      <c r="I108" s="474" t="s">
        <v>1184</v>
      </c>
      <c r="J108" s="434" t="s">
        <v>1185</v>
      </c>
      <c r="K108" s="415" t="s">
        <v>830</v>
      </c>
      <c r="L108" s="434" t="s">
        <v>909</v>
      </c>
      <c r="M108" s="415" t="s">
        <v>310</v>
      </c>
      <c r="N108" s="414">
        <v>44748</v>
      </c>
      <c r="O108" s="414" t="s">
        <v>400</v>
      </c>
      <c r="P108" s="655">
        <f t="shared" si="3"/>
        <v>7</v>
      </c>
      <c r="Q108" s="655">
        <f t="shared" si="4"/>
        <v>6</v>
      </c>
      <c r="R108" s="695" t="str">
        <f t="shared" si="5"/>
        <v>Gastos_com_Pessoal</v>
      </c>
      <c r="S108" s="697" t="s">
        <v>310</v>
      </c>
      <c r="T108" s="697" t="s">
        <v>310</v>
      </c>
    </row>
    <row r="109" spans="1:20" ht="36" x14ac:dyDescent="0.2">
      <c r="A109" s="432">
        <f>IF(B109="","",COUNT('Diário 1º PA'!$A$4:$A$2635)+COUNT('Diário 2º PA'!$A$4:$A$3040)+ROW()-3)</f>
        <v>4205</v>
      </c>
      <c r="B109" s="414">
        <v>44748</v>
      </c>
      <c r="C109" s="431">
        <v>44713</v>
      </c>
      <c r="D109" s="415" t="s">
        <v>182</v>
      </c>
      <c r="E109" s="415" t="s">
        <v>1</v>
      </c>
      <c r="F109" s="425">
        <v>1902.1</v>
      </c>
      <c r="G109" s="440" t="s">
        <v>5849</v>
      </c>
      <c r="H109" s="415" t="s">
        <v>310</v>
      </c>
      <c r="I109" s="473" t="s">
        <v>1186</v>
      </c>
      <c r="J109" s="415" t="s">
        <v>1187</v>
      </c>
      <c r="K109" s="415" t="s">
        <v>830</v>
      </c>
      <c r="L109" s="415" t="s">
        <v>909</v>
      </c>
      <c r="M109" s="415" t="s">
        <v>310</v>
      </c>
      <c r="N109" s="414">
        <v>44748</v>
      </c>
      <c r="O109" s="414" t="s">
        <v>400</v>
      </c>
      <c r="P109" s="655">
        <f t="shared" si="3"/>
        <v>7</v>
      </c>
      <c r="Q109" s="655">
        <f t="shared" si="4"/>
        <v>6</v>
      </c>
      <c r="R109" s="695" t="str">
        <f t="shared" si="5"/>
        <v>Gastos_com_Pessoal</v>
      </c>
      <c r="S109" s="697" t="s">
        <v>310</v>
      </c>
      <c r="T109" s="697" t="s">
        <v>310</v>
      </c>
    </row>
    <row r="110" spans="1:20" ht="36" x14ac:dyDescent="0.2">
      <c r="A110" s="432">
        <f>IF(B110="","",COUNT('Diário 1º PA'!$A$4:$A$2635)+COUNT('Diário 2º PA'!$A$4:$A$3040)+ROW()-3)</f>
        <v>4206</v>
      </c>
      <c r="B110" s="414">
        <v>44748</v>
      </c>
      <c r="C110" s="431">
        <v>44713</v>
      </c>
      <c r="D110" s="415" t="s">
        <v>182</v>
      </c>
      <c r="E110" s="415" t="s">
        <v>1</v>
      </c>
      <c r="F110" s="425">
        <v>2576.85</v>
      </c>
      <c r="G110" s="440" t="s">
        <v>5849</v>
      </c>
      <c r="H110" s="415" t="s">
        <v>310</v>
      </c>
      <c r="I110" s="473" t="s">
        <v>1188</v>
      </c>
      <c r="J110" s="415" t="s">
        <v>1189</v>
      </c>
      <c r="K110" s="415" t="s">
        <v>830</v>
      </c>
      <c r="L110" s="415" t="s">
        <v>909</v>
      </c>
      <c r="M110" s="415" t="s">
        <v>310</v>
      </c>
      <c r="N110" s="414">
        <v>44748</v>
      </c>
      <c r="O110" s="414" t="s">
        <v>400</v>
      </c>
      <c r="P110" s="655">
        <f t="shared" si="3"/>
        <v>7</v>
      </c>
      <c r="Q110" s="655">
        <f t="shared" si="4"/>
        <v>6</v>
      </c>
      <c r="R110" s="695" t="str">
        <f t="shared" si="5"/>
        <v>Gastos_com_Pessoal</v>
      </c>
      <c r="S110" s="697" t="s">
        <v>310</v>
      </c>
      <c r="T110" s="697" t="s">
        <v>310</v>
      </c>
    </row>
    <row r="111" spans="1:20" ht="36" x14ac:dyDescent="0.2">
      <c r="A111" s="432">
        <f>IF(B111="","",COUNT('Diário 1º PA'!$A$4:$A$2635)+COUNT('Diário 2º PA'!$A$4:$A$3040)+ROW()-3)</f>
        <v>4207</v>
      </c>
      <c r="B111" s="414">
        <v>44748</v>
      </c>
      <c r="C111" s="431">
        <v>44713</v>
      </c>
      <c r="D111" s="415" t="s">
        <v>182</v>
      </c>
      <c r="E111" s="415" t="s">
        <v>1</v>
      </c>
      <c r="F111" s="425">
        <v>2077.66</v>
      </c>
      <c r="G111" s="440" t="s">
        <v>5833</v>
      </c>
      <c r="H111" s="415" t="s">
        <v>310</v>
      </c>
      <c r="I111" s="398" t="s">
        <v>1190</v>
      </c>
      <c r="J111" s="399" t="s">
        <v>1191</v>
      </c>
      <c r="K111" s="415" t="s">
        <v>830</v>
      </c>
      <c r="L111" s="415" t="s">
        <v>909</v>
      </c>
      <c r="M111" s="415" t="s">
        <v>310</v>
      </c>
      <c r="N111" s="414">
        <v>44748</v>
      </c>
      <c r="O111" s="414" t="s">
        <v>400</v>
      </c>
      <c r="P111" s="655">
        <f t="shared" si="3"/>
        <v>7</v>
      </c>
      <c r="Q111" s="655">
        <f t="shared" si="4"/>
        <v>6</v>
      </c>
      <c r="R111" s="695" t="str">
        <f t="shared" si="5"/>
        <v>Gastos_com_Pessoal</v>
      </c>
      <c r="S111" s="697" t="s">
        <v>310</v>
      </c>
      <c r="T111" s="697" t="s">
        <v>310</v>
      </c>
    </row>
    <row r="112" spans="1:20" ht="36" x14ac:dyDescent="0.2">
      <c r="A112" s="432">
        <f>IF(B112="","",COUNT('Diário 1º PA'!$A$4:$A$2635)+COUNT('Diário 2º PA'!$A$4:$A$3040)+ROW()-3)</f>
        <v>4208</v>
      </c>
      <c r="B112" s="414">
        <v>44748</v>
      </c>
      <c r="C112" s="431">
        <v>44713</v>
      </c>
      <c r="D112" s="415" t="s">
        <v>182</v>
      </c>
      <c r="E112" s="415" t="s">
        <v>1</v>
      </c>
      <c r="F112" s="435">
        <v>3530</v>
      </c>
      <c r="G112" s="440" t="s">
        <v>5857</v>
      </c>
      <c r="H112" s="415" t="s">
        <v>310</v>
      </c>
      <c r="I112" s="474" t="s">
        <v>2061</v>
      </c>
      <c r="J112" s="434" t="s">
        <v>2062</v>
      </c>
      <c r="K112" s="415" t="s">
        <v>830</v>
      </c>
      <c r="L112" s="434" t="s">
        <v>909</v>
      </c>
      <c r="M112" s="415" t="s">
        <v>310</v>
      </c>
      <c r="N112" s="414">
        <v>44748</v>
      </c>
      <c r="O112" s="414" t="s">
        <v>400</v>
      </c>
      <c r="P112" s="655">
        <f t="shared" si="3"/>
        <v>7</v>
      </c>
      <c r="Q112" s="655">
        <f t="shared" si="4"/>
        <v>6</v>
      </c>
      <c r="R112" s="695" t="str">
        <f t="shared" si="5"/>
        <v>Gastos_com_Pessoal</v>
      </c>
      <c r="S112" s="697" t="s">
        <v>310</v>
      </c>
      <c r="T112" s="697" t="s">
        <v>310</v>
      </c>
    </row>
    <row r="113" spans="1:20" ht="36" x14ac:dyDescent="0.2">
      <c r="A113" s="432">
        <f>IF(B113="","",COUNT('Diário 1º PA'!$A$4:$A$2635)+COUNT('Diário 2º PA'!$A$4:$A$3040)+ROW()-3)</f>
        <v>4209</v>
      </c>
      <c r="B113" s="414">
        <v>44748</v>
      </c>
      <c r="C113" s="431">
        <v>44713</v>
      </c>
      <c r="D113" s="415" t="s">
        <v>182</v>
      </c>
      <c r="E113" s="415" t="s">
        <v>1</v>
      </c>
      <c r="F113" s="425">
        <v>2684.58</v>
      </c>
      <c r="G113" s="440" t="s">
        <v>5849</v>
      </c>
      <c r="H113" s="415" t="s">
        <v>310</v>
      </c>
      <c r="I113" s="473" t="s">
        <v>1192</v>
      </c>
      <c r="J113" s="434" t="s">
        <v>1191</v>
      </c>
      <c r="K113" s="415" t="s">
        <v>830</v>
      </c>
      <c r="L113" s="415" t="s">
        <v>909</v>
      </c>
      <c r="M113" s="415" t="s">
        <v>310</v>
      </c>
      <c r="N113" s="414">
        <v>44748</v>
      </c>
      <c r="O113" s="414" t="s">
        <v>400</v>
      </c>
      <c r="P113" s="655">
        <f t="shared" si="3"/>
        <v>7</v>
      </c>
      <c r="Q113" s="655">
        <f t="shared" si="4"/>
        <v>6</v>
      </c>
      <c r="R113" s="695" t="str">
        <f t="shared" si="5"/>
        <v>Gastos_com_Pessoal</v>
      </c>
      <c r="S113" s="697" t="s">
        <v>310</v>
      </c>
      <c r="T113" s="697" t="s">
        <v>310</v>
      </c>
    </row>
    <row r="114" spans="1:20" ht="36" x14ac:dyDescent="0.2">
      <c r="A114" s="432">
        <f>IF(B114="","",COUNT('Diário 1º PA'!$A$4:$A$2635)+COUNT('Diário 2º PA'!$A$4:$A$3040)+ROW()-3)</f>
        <v>4210</v>
      </c>
      <c r="B114" s="414">
        <v>44748</v>
      </c>
      <c r="C114" s="431">
        <v>44713</v>
      </c>
      <c r="D114" s="415" t="s">
        <v>182</v>
      </c>
      <c r="E114" s="415" t="s">
        <v>1</v>
      </c>
      <c r="F114" s="425">
        <v>1056.5999999999999</v>
      </c>
      <c r="G114" s="440" t="s">
        <v>5858</v>
      </c>
      <c r="H114" s="415" t="s">
        <v>310</v>
      </c>
      <c r="I114" s="473" t="s">
        <v>1194</v>
      </c>
      <c r="J114" s="415" t="s">
        <v>1193</v>
      </c>
      <c r="K114" s="415" t="s">
        <v>830</v>
      </c>
      <c r="L114" s="415" t="s">
        <v>909</v>
      </c>
      <c r="M114" s="415" t="s">
        <v>310</v>
      </c>
      <c r="N114" s="414">
        <v>44748</v>
      </c>
      <c r="O114" s="414" t="s">
        <v>400</v>
      </c>
      <c r="P114" s="655">
        <f t="shared" si="3"/>
        <v>7</v>
      </c>
      <c r="Q114" s="655">
        <f t="shared" si="4"/>
        <v>6</v>
      </c>
      <c r="R114" s="695" t="str">
        <f t="shared" si="5"/>
        <v>Gastos_com_Pessoal</v>
      </c>
      <c r="S114" s="697" t="s">
        <v>310</v>
      </c>
      <c r="T114" s="697" t="s">
        <v>310</v>
      </c>
    </row>
    <row r="115" spans="1:20" ht="36" x14ac:dyDescent="0.2">
      <c r="A115" s="432">
        <f>IF(B115="","",COUNT('Diário 1º PA'!$A$4:$A$2635)+COUNT('Diário 2º PA'!$A$4:$A$3040)+ROW()-3)</f>
        <v>4211</v>
      </c>
      <c r="B115" s="414">
        <v>44748</v>
      </c>
      <c r="C115" s="431">
        <v>44713</v>
      </c>
      <c r="D115" s="415" t="s">
        <v>182</v>
      </c>
      <c r="E115" s="415" t="s">
        <v>1</v>
      </c>
      <c r="F115" s="425">
        <v>2093.1999999999998</v>
      </c>
      <c r="G115" s="440" t="s">
        <v>5833</v>
      </c>
      <c r="H115" s="415" t="s">
        <v>310</v>
      </c>
      <c r="I115" s="473" t="s">
        <v>3197</v>
      </c>
      <c r="J115" s="415" t="s">
        <v>3198</v>
      </c>
      <c r="K115" s="415" t="s">
        <v>830</v>
      </c>
      <c r="L115" s="415" t="s">
        <v>909</v>
      </c>
      <c r="M115" s="415" t="s">
        <v>310</v>
      </c>
      <c r="N115" s="414">
        <v>44748</v>
      </c>
      <c r="O115" s="414" t="s">
        <v>400</v>
      </c>
      <c r="P115" s="655">
        <f t="shared" si="3"/>
        <v>7</v>
      </c>
      <c r="Q115" s="655">
        <f t="shared" si="4"/>
        <v>6</v>
      </c>
      <c r="R115" s="695" t="str">
        <f t="shared" si="5"/>
        <v>Gastos_com_Pessoal</v>
      </c>
      <c r="S115" s="697" t="s">
        <v>310</v>
      </c>
      <c r="T115" s="697" t="s">
        <v>310</v>
      </c>
    </row>
    <row r="116" spans="1:20" ht="36" x14ac:dyDescent="0.2">
      <c r="A116" s="432">
        <f>IF(B116="","",COUNT('Diário 1º PA'!$A$4:$A$2635)+COUNT('Diário 2º PA'!$A$4:$A$3040)+ROW()-3)</f>
        <v>4212</v>
      </c>
      <c r="B116" s="414">
        <v>44748</v>
      </c>
      <c r="C116" s="431">
        <v>44713</v>
      </c>
      <c r="D116" s="415" t="s">
        <v>182</v>
      </c>
      <c r="E116" s="415" t="s">
        <v>1</v>
      </c>
      <c r="F116" s="425">
        <v>1401.33</v>
      </c>
      <c r="G116" s="440" t="s">
        <v>5859</v>
      </c>
      <c r="H116" s="415" t="s">
        <v>310</v>
      </c>
      <c r="I116" s="473" t="s">
        <v>1196</v>
      </c>
      <c r="J116" s="415" t="s">
        <v>1195</v>
      </c>
      <c r="K116" s="415" t="s">
        <v>830</v>
      </c>
      <c r="L116" s="415" t="s">
        <v>909</v>
      </c>
      <c r="M116" s="415" t="s">
        <v>310</v>
      </c>
      <c r="N116" s="414">
        <v>44748</v>
      </c>
      <c r="O116" s="414" t="s">
        <v>400</v>
      </c>
      <c r="P116" s="655">
        <f t="shared" si="3"/>
        <v>7</v>
      </c>
      <c r="Q116" s="655">
        <f t="shared" si="4"/>
        <v>6</v>
      </c>
      <c r="R116" s="695" t="str">
        <f t="shared" si="5"/>
        <v>Gastos_com_Pessoal</v>
      </c>
      <c r="S116" s="697" t="s">
        <v>310</v>
      </c>
      <c r="T116" s="697" t="s">
        <v>310</v>
      </c>
    </row>
    <row r="117" spans="1:20" ht="36" x14ac:dyDescent="0.2">
      <c r="A117" s="432">
        <f>IF(B117="","",COUNT('Diário 1º PA'!$A$4:$A$2635)+COUNT('Diário 2º PA'!$A$4:$A$3040)+ROW()-3)</f>
        <v>4213</v>
      </c>
      <c r="B117" s="414">
        <v>44748</v>
      </c>
      <c r="C117" s="431">
        <v>44713</v>
      </c>
      <c r="D117" s="415" t="s">
        <v>182</v>
      </c>
      <c r="E117" s="415" t="s">
        <v>1</v>
      </c>
      <c r="F117" s="425">
        <v>1939.66</v>
      </c>
      <c r="G117" s="440" t="s">
        <v>5861</v>
      </c>
      <c r="H117" s="415" t="s">
        <v>310</v>
      </c>
      <c r="I117" s="473" t="s">
        <v>1198</v>
      </c>
      <c r="J117" s="415" t="s">
        <v>1197</v>
      </c>
      <c r="K117" s="415" t="s">
        <v>830</v>
      </c>
      <c r="L117" s="415" t="s">
        <v>909</v>
      </c>
      <c r="M117" s="415" t="s">
        <v>310</v>
      </c>
      <c r="N117" s="414">
        <v>44748</v>
      </c>
      <c r="O117" s="414" t="s">
        <v>400</v>
      </c>
      <c r="P117" s="655">
        <f t="shared" si="3"/>
        <v>7</v>
      </c>
      <c r="Q117" s="655">
        <f t="shared" si="4"/>
        <v>6</v>
      </c>
      <c r="R117" s="695" t="str">
        <f t="shared" si="5"/>
        <v>Gastos_com_Pessoal</v>
      </c>
      <c r="S117" s="697" t="s">
        <v>310</v>
      </c>
      <c r="T117" s="697" t="s">
        <v>310</v>
      </c>
    </row>
    <row r="118" spans="1:20" ht="36" x14ac:dyDescent="0.2">
      <c r="A118" s="432">
        <f>IF(B118="","",COUNT('Diário 1º PA'!$A$4:$A$2635)+COUNT('Diário 2º PA'!$A$4:$A$3040)+ROW()-3)</f>
        <v>4214</v>
      </c>
      <c r="B118" s="414">
        <v>44748</v>
      </c>
      <c r="C118" s="431">
        <v>44713</v>
      </c>
      <c r="D118" s="415" t="s">
        <v>182</v>
      </c>
      <c r="E118" s="415" t="s">
        <v>1</v>
      </c>
      <c r="F118" s="425">
        <v>1463.49</v>
      </c>
      <c r="G118" s="440" t="s">
        <v>5833</v>
      </c>
      <c r="H118" s="415" t="s">
        <v>310</v>
      </c>
      <c r="I118" s="473" t="s">
        <v>1200</v>
      </c>
      <c r="J118" s="415" t="s">
        <v>1201</v>
      </c>
      <c r="K118" s="415" t="s">
        <v>830</v>
      </c>
      <c r="L118" s="415" t="s">
        <v>909</v>
      </c>
      <c r="M118" s="415" t="s">
        <v>310</v>
      </c>
      <c r="N118" s="414">
        <v>44748</v>
      </c>
      <c r="O118" s="414" t="s">
        <v>400</v>
      </c>
      <c r="P118" s="655">
        <f t="shared" si="3"/>
        <v>7</v>
      </c>
      <c r="Q118" s="655">
        <f t="shared" si="4"/>
        <v>6</v>
      </c>
      <c r="R118" s="695" t="str">
        <f t="shared" si="5"/>
        <v>Gastos_com_Pessoal</v>
      </c>
      <c r="S118" s="697" t="s">
        <v>310</v>
      </c>
      <c r="T118" s="697" t="s">
        <v>310</v>
      </c>
    </row>
    <row r="119" spans="1:20" ht="36" x14ac:dyDescent="0.2">
      <c r="A119" s="432">
        <f>IF(B119="","",COUNT('Diário 1º PA'!$A$4:$A$2635)+COUNT('Diário 2º PA'!$A$4:$A$3040)+ROW()-3)</f>
        <v>4215</v>
      </c>
      <c r="B119" s="414">
        <v>44748</v>
      </c>
      <c r="C119" s="431">
        <v>44713</v>
      </c>
      <c r="D119" s="415" t="s">
        <v>182</v>
      </c>
      <c r="E119" s="415" t="s">
        <v>1</v>
      </c>
      <c r="F119" s="425">
        <v>2095.64</v>
      </c>
      <c r="G119" s="440" t="s">
        <v>5852</v>
      </c>
      <c r="H119" s="415" t="s">
        <v>310</v>
      </c>
      <c r="I119" s="473" t="s">
        <v>1202</v>
      </c>
      <c r="J119" s="415" t="s">
        <v>1201</v>
      </c>
      <c r="K119" s="415" t="s">
        <v>830</v>
      </c>
      <c r="L119" s="415" t="s">
        <v>909</v>
      </c>
      <c r="M119" s="415" t="s">
        <v>310</v>
      </c>
      <c r="N119" s="414">
        <v>44748</v>
      </c>
      <c r="O119" s="414" t="s">
        <v>400</v>
      </c>
      <c r="P119" s="655">
        <f t="shared" si="3"/>
        <v>7</v>
      </c>
      <c r="Q119" s="655">
        <f t="shared" si="4"/>
        <v>6</v>
      </c>
      <c r="R119" s="695" t="str">
        <f t="shared" si="5"/>
        <v>Gastos_com_Pessoal</v>
      </c>
      <c r="S119" s="697" t="s">
        <v>310</v>
      </c>
      <c r="T119" s="697" t="s">
        <v>310</v>
      </c>
    </row>
    <row r="120" spans="1:20" ht="36" x14ac:dyDescent="0.2">
      <c r="A120" s="432">
        <f>IF(B120="","",COUNT('Diário 1º PA'!$A$4:$A$2635)+COUNT('Diário 2º PA'!$A$4:$A$3040)+ROW()-3)</f>
        <v>4216</v>
      </c>
      <c r="B120" s="414">
        <v>44748</v>
      </c>
      <c r="C120" s="431">
        <v>44713</v>
      </c>
      <c r="D120" s="415" t="s">
        <v>182</v>
      </c>
      <c r="E120" s="415" t="s">
        <v>1</v>
      </c>
      <c r="F120" s="425">
        <v>2050.64</v>
      </c>
      <c r="G120" s="440" t="s">
        <v>5860</v>
      </c>
      <c r="H120" s="415" t="s">
        <v>310</v>
      </c>
      <c r="I120" s="473" t="s">
        <v>1203</v>
      </c>
      <c r="J120" s="415" t="s">
        <v>1201</v>
      </c>
      <c r="K120" s="415" t="s">
        <v>830</v>
      </c>
      <c r="L120" s="415" t="s">
        <v>909</v>
      </c>
      <c r="M120" s="415" t="s">
        <v>310</v>
      </c>
      <c r="N120" s="414">
        <v>44748</v>
      </c>
      <c r="O120" s="414" t="s">
        <v>400</v>
      </c>
      <c r="P120" s="655">
        <f t="shared" si="3"/>
        <v>7</v>
      </c>
      <c r="Q120" s="655">
        <f t="shared" si="4"/>
        <v>6</v>
      </c>
      <c r="R120" s="695" t="str">
        <f t="shared" si="5"/>
        <v>Gastos_com_Pessoal</v>
      </c>
      <c r="S120" s="697" t="s">
        <v>310</v>
      </c>
      <c r="T120" s="697" t="s">
        <v>310</v>
      </c>
    </row>
    <row r="121" spans="1:20" ht="36" x14ac:dyDescent="0.2">
      <c r="A121" s="432">
        <f>IF(B121="","",COUNT('Diário 1º PA'!$A$4:$A$2635)+COUNT('Diário 2º PA'!$A$4:$A$3040)+ROW()-3)</f>
        <v>4217</v>
      </c>
      <c r="B121" s="414">
        <v>44748</v>
      </c>
      <c r="C121" s="431">
        <v>44713</v>
      </c>
      <c r="D121" s="415" t="s">
        <v>182</v>
      </c>
      <c r="E121" s="415" t="s">
        <v>1</v>
      </c>
      <c r="F121" s="425">
        <v>2095.64</v>
      </c>
      <c r="G121" s="440" t="s">
        <v>5852</v>
      </c>
      <c r="H121" s="415" t="s">
        <v>310</v>
      </c>
      <c r="I121" s="473" t="s">
        <v>1205</v>
      </c>
      <c r="J121" s="415" t="s">
        <v>1204</v>
      </c>
      <c r="K121" s="415" t="s">
        <v>830</v>
      </c>
      <c r="L121" s="415" t="s">
        <v>909</v>
      </c>
      <c r="M121" s="415" t="s">
        <v>310</v>
      </c>
      <c r="N121" s="414">
        <v>44748</v>
      </c>
      <c r="O121" s="414" t="s">
        <v>400</v>
      </c>
      <c r="P121" s="655">
        <f t="shared" si="3"/>
        <v>7</v>
      </c>
      <c r="Q121" s="655">
        <f t="shared" si="4"/>
        <v>6</v>
      </c>
      <c r="R121" s="695" t="str">
        <f t="shared" si="5"/>
        <v>Gastos_com_Pessoal</v>
      </c>
      <c r="S121" s="697" t="s">
        <v>310</v>
      </c>
      <c r="T121" s="697" t="s">
        <v>310</v>
      </c>
    </row>
    <row r="122" spans="1:20" ht="36" x14ac:dyDescent="0.2">
      <c r="A122" s="432">
        <f>IF(B122="","",COUNT('Diário 1º PA'!$A$4:$A$2635)+COUNT('Diário 2º PA'!$A$4:$A$3040)+ROW()-3)</f>
        <v>4218</v>
      </c>
      <c r="B122" s="414">
        <v>44748</v>
      </c>
      <c r="C122" s="431">
        <v>44713</v>
      </c>
      <c r="D122" s="415" t="s">
        <v>182</v>
      </c>
      <c r="E122" s="415" t="s">
        <v>1</v>
      </c>
      <c r="F122" s="425">
        <v>1456.13</v>
      </c>
      <c r="G122" s="440" t="s">
        <v>5863</v>
      </c>
      <c r="H122" s="415" t="s">
        <v>310</v>
      </c>
      <c r="I122" s="473" t="s">
        <v>1207</v>
      </c>
      <c r="J122" s="415" t="s">
        <v>1206</v>
      </c>
      <c r="K122" s="415" t="s">
        <v>830</v>
      </c>
      <c r="L122" s="415" t="s">
        <v>909</v>
      </c>
      <c r="M122" s="415" t="s">
        <v>310</v>
      </c>
      <c r="N122" s="414">
        <v>44748</v>
      </c>
      <c r="O122" s="414" t="s">
        <v>400</v>
      </c>
      <c r="P122" s="655">
        <f t="shared" si="3"/>
        <v>7</v>
      </c>
      <c r="Q122" s="655">
        <f t="shared" si="4"/>
        <v>6</v>
      </c>
      <c r="R122" s="695" t="str">
        <f t="shared" si="5"/>
        <v>Gastos_com_Pessoal</v>
      </c>
      <c r="S122" s="697" t="s">
        <v>310</v>
      </c>
      <c r="T122" s="697" t="s">
        <v>310</v>
      </c>
    </row>
    <row r="123" spans="1:20" ht="36" x14ac:dyDescent="0.2">
      <c r="A123" s="432">
        <f>IF(B123="","",COUNT('Diário 1º PA'!$A$4:$A$2635)+COUNT('Diário 2º PA'!$A$4:$A$3040)+ROW()-3)</f>
        <v>4219</v>
      </c>
      <c r="B123" s="414">
        <v>44748</v>
      </c>
      <c r="C123" s="431">
        <v>44713</v>
      </c>
      <c r="D123" s="415" t="s">
        <v>182</v>
      </c>
      <c r="E123" s="415" t="s">
        <v>1</v>
      </c>
      <c r="F123" s="422">
        <v>419.34</v>
      </c>
      <c r="G123" s="440" t="s">
        <v>5893</v>
      </c>
      <c r="H123" s="415" t="s">
        <v>310</v>
      </c>
      <c r="I123" s="415" t="s">
        <v>5864</v>
      </c>
      <c r="J123" s="419" t="s">
        <v>5865</v>
      </c>
      <c r="K123" s="415" t="s">
        <v>830</v>
      </c>
      <c r="L123" s="415" t="s">
        <v>909</v>
      </c>
      <c r="M123" s="415" t="s">
        <v>310</v>
      </c>
      <c r="N123" s="414">
        <v>44748</v>
      </c>
      <c r="O123" s="414" t="s">
        <v>400</v>
      </c>
      <c r="P123" s="655">
        <f t="shared" si="3"/>
        <v>7</v>
      </c>
      <c r="Q123" s="655">
        <f t="shared" si="4"/>
        <v>6</v>
      </c>
      <c r="R123" s="695" t="str">
        <f t="shared" si="5"/>
        <v>Gastos_com_Pessoal</v>
      </c>
      <c r="S123" s="697" t="s">
        <v>310</v>
      </c>
      <c r="T123" s="697" t="s">
        <v>310</v>
      </c>
    </row>
    <row r="124" spans="1:20" ht="25.5" x14ac:dyDescent="0.2">
      <c r="A124" s="432">
        <f>IF(B124="","",COUNT('Diário 1º PA'!$A$4:$A$2635)+COUNT('Diário 2º PA'!$A$4:$A$3040)+ROW()-3)</f>
        <v>4220</v>
      </c>
      <c r="B124" s="414">
        <v>44748</v>
      </c>
      <c r="C124" s="431">
        <v>44713</v>
      </c>
      <c r="D124" s="415" t="s">
        <v>271</v>
      </c>
      <c r="E124" s="415" t="s">
        <v>449</v>
      </c>
      <c r="F124" s="422">
        <v>500</v>
      </c>
      <c r="G124" s="427" t="s">
        <v>4974</v>
      </c>
      <c r="H124" s="415" t="s">
        <v>756</v>
      </c>
      <c r="I124" s="415" t="s">
        <v>5866</v>
      </c>
      <c r="J124" s="415" t="s">
        <v>4957</v>
      </c>
      <c r="K124" s="415" t="s">
        <v>830</v>
      </c>
      <c r="L124" s="415" t="s">
        <v>1305</v>
      </c>
      <c r="M124" s="419" t="s">
        <v>310</v>
      </c>
      <c r="N124" s="413">
        <v>44743</v>
      </c>
      <c r="O124" s="393" t="s">
        <v>400</v>
      </c>
      <c r="P124" s="655">
        <f t="shared" si="3"/>
        <v>7</v>
      </c>
      <c r="Q124" s="655">
        <f t="shared" si="4"/>
        <v>6</v>
      </c>
      <c r="R124" s="695" t="str">
        <f t="shared" si="5"/>
        <v>Gastos_Gerais</v>
      </c>
      <c r="S124" s="696" t="s">
        <v>998</v>
      </c>
      <c r="T124" s="696">
        <v>3950</v>
      </c>
    </row>
    <row r="125" spans="1:20" ht="48" x14ac:dyDescent="0.2">
      <c r="A125" s="432">
        <f>IF(B125="","",COUNT('Diário 1º PA'!$A$4:$A$2635)+COUNT('Diário 2º PA'!$A$4:$A$3040)+ROW()-3)</f>
        <v>4221</v>
      </c>
      <c r="B125" s="413">
        <v>44748</v>
      </c>
      <c r="C125" s="431">
        <v>44713</v>
      </c>
      <c r="D125" s="415" t="s">
        <v>271</v>
      </c>
      <c r="E125" s="415" t="s">
        <v>90</v>
      </c>
      <c r="F125" s="422">
        <v>2750</v>
      </c>
      <c r="G125" s="427" t="s">
        <v>4338</v>
      </c>
      <c r="H125" s="415" t="s">
        <v>309</v>
      </c>
      <c r="I125" s="415" t="s">
        <v>5867</v>
      </c>
      <c r="J125" s="415" t="s">
        <v>4337</v>
      </c>
      <c r="K125" s="415" t="s">
        <v>830</v>
      </c>
      <c r="L125" s="415" t="s">
        <v>807</v>
      </c>
      <c r="M125" s="419">
        <v>63</v>
      </c>
      <c r="N125" s="413">
        <v>44747</v>
      </c>
      <c r="O125" s="393" t="s">
        <v>400</v>
      </c>
      <c r="P125" s="655">
        <f t="shared" si="3"/>
        <v>7</v>
      </c>
      <c r="Q125" s="655">
        <f t="shared" si="4"/>
        <v>6</v>
      </c>
      <c r="R125" s="695" t="str">
        <f t="shared" si="5"/>
        <v>Gastos_Gerais</v>
      </c>
      <c r="S125" s="696" t="s">
        <v>1000</v>
      </c>
      <c r="T125" s="696">
        <v>3767</v>
      </c>
    </row>
    <row r="126" spans="1:20" ht="36" x14ac:dyDescent="0.2">
      <c r="A126" s="432">
        <f>IF(B126="","",COUNT('Diário 1º PA'!$A$4:$A$2635)+COUNT('Diário 2º PA'!$A$4:$A$3040)+ROW()-3)</f>
        <v>4222</v>
      </c>
      <c r="B126" s="413">
        <v>44748</v>
      </c>
      <c r="C126" s="431">
        <v>44713</v>
      </c>
      <c r="D126" s="415" t="s">
        <v>271</v>
      </c>
      <c r="E126" s="415" t="s">
        <v>90</v>
      </c>
      <c r="F126" s="422">
        <v>5389.45</v>
      </c>
      <c r="G126" s="427" t="s">
        <v>4060</v>
      </c>
      <c r="H126" s="415" t="s">
        <v>793</v>
      </c>
      <c r="I126" s="415" t="s">
        <v>2628</v>
      </c>
      <c r="J126" s="415" t="s">
        <v>4061</v>
      </c>
      <c r="K126" s="415" t="s">
        <v>830</v>
      </c>
      <c r="L126" s="415" t="s">
        <v>807</v>
      </c>
      <c r="M126" s="419" t="s">
        <v>1700</v>
      </c>
      <c r="N126" s="413">
        <v>44747</v>
      </c>
      <c r="O126" s="393" t="s">
        <v>400</v>
      </c>
      <c r="P126" s="655">
        <f t="shared" si="3"/>
        <v>7</v>
      </c>
      <c r="Q126" s="655">
        <f t="shared" si="4"/>
        <v>6</v>
      </c>
      <c r="R126" s="695" t="str">
        <f t="shared" si="5"/>
        <v>Gastos_Gerais</v>
      </c>
      <c r="S126" s="696" t="s">
        <v>1000</v>
      </c>
      <c r="T126" s="696">
        <v>3568</v>
      </c>
    </row>
    <row r="127" spans="1:20" ht="24" x14ac:dyDescent="0.2">
      <c r="A127" s="432">
        <f>IF(B127="","",COUNT('Diário 1º PA'!$A$4:$A$2635)+COUNT('Diário 2º PA'!$A$4:$A$3040)+ROW()-3)</f>
        <v>4223</v>
      </c>
      <c r="B127" s="413">
        <v>44748</v>
      </c>
      <c r="C127" s="431">
        <v>44743</v>
      </c>
      <c r="D127" s="415" t="s">
        <v>271</v>
      </c>
      <c r="E127" s="415" t="s">
        <v>71</v>
      </c>
      <c r="F127" s="425">
        <v>153</v>
      </c>
      <c r="G127" s="427" t="s">
        <v>880</v>
      </c>
      <c r="H127" s="415" t="s">
        <v>309</v>
      </c>
      <c r="I127" s="473" t="s">
        <v>881</v>
      </c>
      <c r="J127" s="415" t="s">
        <v>882</v>
      </c>
      <c r="K127" s="415" t="s">
        <v>883</v>
      </c>
      <c r="L127" s="415" t="s">
        <v>798</v>
      </c>
      <c r="M127" s="415" t="s">
        <v>310</v>
      </c>
      <c r="N127" s="413">
        <v>44748</v>
      </c>
      <c r="O127" s="414" t="s">
        <v>400</v>
      </c>
      <c r="P127" s="655">
        <f t="shared" si="3"/>
        <v>7</v>
      </c>
      <c r="Q127" s="655">
        <f t="shared" si="4"/>
        <v>7</v>
      </c>
      <c r="R127" s="695" t="str">
        <f t="shared" si="5"/>
        <v>Gastos_Gerais</v>
      </c>
      <c r="S127" s="697" t="s">
        <v>310</v>
      </c>
      <c r="T127" s="697" t="s">
        <v>310</v>
      </c>
    </row>
    <row r="128" spans="1:20" ht="24" x14ac:dyDescent="0.2">
      <c r="A128" s="432">
        <f>IF(B128="","",COUNT('Diário 1º PA'!$A$4:$A$2635)+COUNT('Diário 2º PA'!$A$4:$A$3040)+ROW()-3)</f>
        <v>4224</v>
      </c>
      <c r="B128" s="413">
        <v>44748</v>
      </c>
      <c r="C128" s="431">
        <v>44743</v>
      </c>
      <c r="D128" s="415" t="s">
        <v>271</v>
      </c>
      <c r="E128" s="415" t="s">
        <v>71</v>
      </c>
      <c r="F128" s="425">
        <v>11</v>
      </c>
      <c r="G128" s="427" t="s">
        <v>1232</v>
      </c>
      <c r="H128" s="415" t="s">
        <v>310</v>
      </c>
      <c r="I128" s="398" t="s">
        <v>881</v>
      </c>
      <c r="J128" s="418" t="s">
        <v>882</v>
      </c>
      <c r="K128" s="418" t="s">
        <v>883</v>
      </c>
      <c r="L128" s="399" t="s">
        <v>798</v>
      </c>
      <c r="M128" s="544" t="s">
        <v>310</v>
      </c>
      <c r="N128" s="413">
        <v>44748</v>
      </c>
      <c r="O128" s="414" t="s">
        <v>400</v>
      </c>
      <c r="P128" s="655">
        <f t="shared" si="3"/>
        <v>7</v>
      </c>
      <c r="Q128" s="655">
        <f t="shared" si="4"/>
        <v>7</v>
      </c>
      <c r="R128" s="695" t="str">
        <f t="shared" si="5"/>
        <v>Gastos_Gerais</v>
      </c>
      <c r="S128" s="697" t="s">
        <v>310</v>
      </c>
      <c r="T128" s="697" t="s">
        <v>310</v>
      </c>
    </row>
    <row r="129" spans="1:20" ht="24" x14ac:dyDescent="0.2">
      <c r="A129" s="432">
        <f>IF(B129="","",COUNT('Diário 1º PA'!$A$4:$A$2635)+COUNT('Diário 2º PA'!$A$4:$A$3040)+ROW()-3)</f>
        <v>4225</v>
      </c>
      <c r="B129" s="413">
        <v>44748</v>
      </c>
      <c r="C129" s="431">
        <v>44743</v>
      </c>
      <c r="D129" s="415" t="s">
        <v>271</v>
      </c>
      <c r="E129" s="415" t="s">
        <v>71</v>
      </c>
      <c r="F129" s="425">
        <v>11</v>
      </c>
      <c r="G129" s="427" t="s">
        <v>5833</v>
      </c>
      <c r="H129" s="415" t="s">
        <v>310</v>
      </c>
      <c r="I129" s="398" t="s">
        <v>881</v>
      </c>
      <c r="J129" s="418" t="s">
        <v>882</v>
      </c>
      <c r="K129" s="418" t="s">
        <v>883</v>
      </c>
      <c r="L129" s="399" t="s">
        <v>798</v>
      </c>
      <c r="M129" s="544" t="s">
        <v>310</v>
      </c>
      <c r="N129" s="413">
        <v>44748</v>
      </c>
      <c r="O129" s="414" t="s">
        <v>400</v>
      </c>
      <c r="P129" s="655">
        <f t="shared" si="3"/>
        <v>7</v>
      </c>
      <c r="Q129" s="655">
        <f t="shared" si="4"/>
        <v>7</v>
      </c>
      <c r="R129" s="695" t="str">
        <f t="shared" si="5"/>
        <v>Gastos_Gerais</v>
      </c>
      <c r="S129" s="697" t="s">
        <v>310</v>
      </c>
      <c r="T129" s="697" t="s">
        <v>310</v>
      </c>
    </row>
    <row r="130" spans="1:20" ht="24" x14ac:dyDescent="0.2">
      <c r="A130" s="432">
        <f>IF(B130="","",COUNT('Diário 1º PA'!$A$4:$A$2635)+COUNT('Diário 2º PA'!$A$4:$A$3040)+ROW()-3)</f>
        <v>4226</v>
      </c>
      <c r="B130" s="413">
        <v>44748</v>
      </c>
      <c r="C130" s="431">
        <v>44743</v>
      </c>
      <c r="D130" s="415" t="s">
        <v>271</v>
      </c>
      <c r="E130" s="415" t="s">
        <v>71</v>
      </c>
      <c r="F130" s="425">
        <v>11</v>
      </c>
      <c r="G130" s="427" t="s">
        <v>5869</v>
      </c>
      <c r="H130" s="415" t="s">
        <v>310</v>
      </c>
      <c r="I130" s="398" t="s">
        <v>881</v>
      </c>
      <c r="J130" s="418" t="s">
        <v>882</v>
      </c>
      <c r="K130" s="418" t="s">
        <v>883</v>
      </c>
      <c r="L130" s="399" t="s">
        <v>798</v>
      </c>
      <c r="M130" s="544" t="s">
        <v>310</v>
      </c>
      <c r="N130" s="413">
        <v>44748</v>
      </c>
      <c r="O130" s="414" t="s">
        <v>400</v>
      </c>
      <c r="P130" s="655">
        <f t="shared" si="3"/>
        <v>7</v>
      </c>
      <c r="Q130" s="655">
        <f t="shared" si="4"/>
        <v>7</v>
      </c>
      <c r="R130" s="695" t="str">
        <f t="shared" si="5"/>
        <v>Gastos_Gerais</v>
      </c>
      <c r="S130" s="697" t="s">
        <v>310</v>
      </c>
      <c r="T130" s="697" t="s">
        <v>310</v>
      </c>
    </row>
    <row r="131" spans="1:20" ht="24" x14ac:dyDescent="0.2">
      <c r="A131" s="432">
        <f>IF(B131="","",COUNT('Diário 1º PA'!$A$4:$A$2635)+COUNT('Diário 2º PA'!$A$4:$A$3040)+ROW()-3)</f>
        <v>4227</v>
      </c>
      <c r="B131" s="413">
        <v>44748</v>
      </c>
      <c r="C131" s="431">
        <v>44743</v>
      </c>
      <c r="D131" s="415" t="s">
        <v>271</v>
      </c>
      <c r="E131" s="415" t="s">
        <v>71</v>
      </c>
      <c r="F131" s="425">
        <v>11</v>
      </c>
      <c r="G131" s="427" t="s">
        <v>5870</v>
      </c>
      <c r="H131" s="415" t="s">
        <v>310</v>
      </c>
      <c r="I131" s="398" t="s">
        <v>881</v>
      </c>
      <c r="J131" s="418" t="s">
        <v>882</v>
      </c>
      <c r="K131" s="418" t="s">
        <v>883</v>
      </c>
      <c r="L131" s="399" t="s">
        <v>798</v>
      </c>
      <c r="M131" s="544" t="s">
        <v>310</v>
      </c>
      <c r="N131" s="413">
        <v>44748</v>
      </c>
      <c r="O131" s="414" t="s">
        <v>400</v>
      </c>
      <c r="P131" s="655">
        <f t="shared" si="3"/>
        <v>7</v>
      </c>
      <c r="Q131" s="655">
        <f t="shared" si="4"/>
        <v>7</v>
      </c>
      <c r="R131" s="695" t="str">
        <f t="shared" si="5"/>
        <v>Gastos_Gerais</v>
      </c>
      <c r="S131" s="697" t="s">
        <v>310</v>
      </c>
      <c r="T131" s="697" t="s">
        <v>310</v>
      </c>
    </row>
    <row r="132" spans="1:20" ht="24" x14ac:dyDescent="0.2">
      <c r="A132" s="432">
        <f>IF(B132="","",COUNT('Diário 1º PA'!$A$4:$A$2635)+COUNT('Diário 2º PA'!$A$4:$A$3040)+ROW()-3)</f>
        <v>4228</v>
      </c>
      <c r="B132" s="413">
        <v>44748</v>
      </c>
      <c r="C132" s="431">
        <v>44743</v>
      </c>
      <c r="D132" s="415" t="s">
        <v>271</v>
      </c>
      <c r="E132" s="415" t="s">
        <v>71</v>
      </c>
      <c r="F132" s="425">
        <v>11</v>
      </c>
      <c r="G132" s="427" t="s">
        <v>5871</v>
      </c>
      <c r="H132" s="415" t="s">
        <v>310</v>
      </c>
      <c r="I132" s="398" t="s">
        <v>881</v>
      </c>
      <c r="J132" s="418" t="s">
        <v>882</v>
      </c>
      <c r="K132" s="418" t="s">
        <v>883</v>
      </c>
      <c r="L132" s="399" t="s">
        <v>798</v>
      </c>
      <c r="M132" s="544" t="s">
        <v>310</v>
      </c>
      <c r="N132" s="413">
        <v>44748</v>
      </c>
      <c r="O132" s="414" t="s">
        <v>400</v>
      </c>
      <c r="P132" s="655">
        <f t="shared" si="3"/>
        <v>7</v>
      </c>
      <c r="Q132" s="655">
        <f t="shared" si="4"/>
        <v>7</v>
      </c>
      <c r="R132" s="695" t="str">
        <f t="shared" si="5"/>
        <v>Gastos_Gerais</v>
      </c>
      <c r="S132" s="697" t="s">
        <v>310</v>
      </c>
      <c r="T132" s="697" t="s">
        <v>310</v>
      </c>
    </row>
    <row r="133" spans="1:20" ht="24" x14ac:dyDescent="0.2">
      <c r="A133" s="432">
        <f>IF(B133="","",COUNT('Diário 1º PA'!$A$4:$A$2635)+COUNT('Diário 2º PA'!$A$4:$A$3040)+ROW()-3)</f>
        <v>4229</v>
      </c>
      <c r="B133" s="413">
        <v>44748</v>
      </c>
      <c r="C133" s="431">
        <v>44743</v>
      </c>
      <c r="D133" s="415" t="s">
        <v>271</v>
      </c>
      <c r="E133" s="415" t="s">
        <v>71</v>
      </c>
      <c r="F133" s="425">
        <v>11</v>
      </c>
      <c r="G133" s="427" t="s">
        <v>5872</v>
      </c>
      <c r="H133" s="415" t="s">
        <v>310</v>
      </c>
      <c r="I133" s="398" t="s">
        <v>881</v>
      </c>
      <c r="J133" s="418" t="s">
        <v>882</v>
      </c>
      <c r="K133" s="418" t="s">
        <v>883</v>
      </c>
      <c r="L133" s="399" t="s">
        <v>798</v>
      </c>
      <c r="M133" s="544" t="s">
        <v>310</v>
      </c>
      <c r="N133" s="413">
        <v>44748</v>
      </c>
      <c r="O133" s="414" t="s">
        <v>400</v>
      </c>
      <c r="P133" s="655">
        <f t="shared" ref="P133:P196" si="6">IF(B133=0,0,IF(YEAR(B133)=$Q$1,MONTH(B133)-$P$1+1,(YEAR(B133)-$Q$1)*12-$P$1+1+MONTH(B133)))</f>
        <v>7</v>
      </c>
      <c r="Q133" s="655">
        <f t="shared" ref="Q133:Q196" si="7">IF(C133=0,0,IF(YEAR(C133)=$Q$1,MONTH(C133)-$P$1+1,(YEAR(C133)-$Q$1)*12-$P$1+1+MONTH(C133)))</f>
        <v>7</v>
      </c>
      <c r="R133" s="695" t="str">
        <f t="shared" ref="R133:R196" si="8">SUBSTITUTE(D133," ","_")</f>
        <v>Gastos_Gerais</v>
      </c>
      <c r="S133" s="697" t="s">
        <v>310</v>
      </c>
      <c r="T133" s="697" t="s">
        <v>310</v>
      </c>
    </row>
    <row r="134" spans="1:20" ht="24" x14ac:dyDescent="0.2">
      <c r="A134" s="432">
        <f>IF(B134="","",COUNT('Diário 1º PA'!$A$4:$A$2635)+COUNT('Diário 2º PA'!$A$4:$A$3040)+ROW()-3)</f>
        <v>4230</v>
      </c>
      <c r="B134" s="413">
        <v>44748</v>
      </c>
      <c r="C134" s="431">
        <v>44743</v>
      </c>
      <c r="D134" s="415" t="s">
        <v>271</v>
      </c>
      <c r="E134" s="415" t="s">
        <v>71</v>
      </c>
      <c r="F134" s="425">
        <v>11</v>
      </c>
      <c r="G134" s="427" t="s">
        <v>5873</v>
      </c>
      <c r="H134" s="415" t="s">
        <v>310</v>
      </c>
      <c r="I134" s="398" t="s">
        <v>881</v>
      </c>
      <c r="J134" s="418" t="s">
        <v>882</v>
      </c>
      <c r="K134" s="418" t="s">
        <v>883</v>
      </c>
      <c r="L134" s="399" t="s">
        <v>798</v>
      </c>
      <c r="M134" s="544" t="s">
        <v>310</v>
      </c>
      <c r="N134" s="413">
        <v>44748</v>
      </c>
      <c r="O134" s="414" t="s">
        <v>400</v>
      </c>
      <c r="P134" s="655">
        <f t="shared" si="6"/>
        <v>7</v>
      </c>
      <c r="Q134" s="655">
        <f t="shared" si="7"/>
        <v>7</v>
      </c>
      <c r="R134" s="695" t="str">
        <f t="shared" si="8"/>
        <v>Gastos_Gerais</v>
      </c>
      <c r="S134" s="697" t="s">
        <v>310</v>
      </c>
      <c r="T134" s="697" t="s">
        <v>310</v>
      </c>
    </row>
    <row r="135" spans="1:20" ht="24" x14ac:dyDescent="0.2">
      <c r="A135" s="432">
        <f>IF(B135="","",COUNT('Diário 1º PA'!$A$4:$A$2635)+COUNT('Diário 2º PA'!$A$4:$A$3040)+ROW()-3)</f>
        <v>4231</v>
      </c>
      <c r="B135" s="413">
        <v>44748</v>
      </c>
      <c r="C135" s="431">
        <v>44743</v>
      </c>
      <c r="D135" s="415" t="s">
        <v>271</v>
      </c>
      <c r="E135" s="415" t="s">
        <v>71</v>
      </c>
      <c r="F135" s="425">
        <v>11</v>
      </c>
      <c r="G135" s="427" t="s">
        <v>5874</v>
      </c>
      <c r="H135" s="415" t="s">
        <v>310</v>
      </c>
      <c r="I135" s="398" t="s">
        <v>881</v>
      </c>
      <c r="J135" s="418" t="s">
        <v>882</v>
      </c>
      <c r="K135" s="418" t="s">
        <v>883</v>
      </c>
      <c r="L135" s="399" t="s">
        <v>798</v>
      </c>
      <c r="M135" s="544" t="s">
        <v>310</v>
      </c>
      <c r="N135" s="413">
        <v>44748</v>
      </c>
      <c r="O135" s="414" t="s">
        <v>400</v>
      </c>
      <c r="P135" s="655">
        <f t="shared" si="6"/>
        <v>7</v>
      </c>
      <c r="Q135" s="655">
        <f t="shared" si="7"/>
        <v>7</v>
      </c>
      <c r="R135" s="695" t="str">
        <f t="shared" si="8"/>
        <v>Gastos_Gerais</v>
      </c>
      <c r="S135" s="697" t="s">
        <v>310</v>
      </c>
      <c r="T135" s="697" t="s">
        <v>310</v>
      </c>
    </row>
    <row r="136" spans="1:20" ht="24" x14ac:dyDescent="0.2">
      <c r="A136" s="432">
        <f>IF(B136="","",COUNT('Diário 1º PA'!$A$4:$A$2635)+COUNT('Diário 2º PA'!$A$4:$A$3040)+ROW()-3)</f>
        <v>4232</v>
      </c>
      <c r="B136" s="413">
        <v>44748</v>
      </c>
      <c r="C136" s="431">
        <v>44743</v>
      </c>
      <c r="D136" s="415" t="s">
        <v>271</v>
      </c>
      <c r="E136" s="415" t="s">
        <v>71</v>
      </c>
      <c r="F136" s="425">
        <v>11</v>
      </c>
      <c r="G136" s="427" t="s">
        <v>5875</v>
      </c>
      <c r="H136" s="415" t="s">
        <v>310</v>
      </c>
      <c r="I136" s="398" t="s">
        <v>881</v>
      </c>
      <c r="J136" s="418" t="s">
        <v>882</v>
      </c>
      <c r="K136" s="418" t="s">
        <v>883</v>
      </c>
      <c r="L136" s="399" t="s">
        <v>798</v>
      </c>
      <c r="M136" s="544" t="s">
        <v>310</v>
      </c>
      <c r="N136" s="413">
        <v>44748</v>
      </c>
      <c r="O136" s="414" t="s">
        <v>400</v>
      </c>
      <c r="P136" s="655">
        <f t="shared" si="6"/>
        <v>7</v>
      </c>
      <c r="Q136" s="655">
        <f t="shared" si="7"/>
        <v>7</v>
      </c>
      <c r="R136" s="695" t="str">
        <f t="shared" si="8"/>
        <v>Gastos_Gerais</v>
      </c>
      <c r="S136" s="697" t="s">
        <v>310</v>
      </c>
      <c r="T136" s="697" t="s">
        <v>310</v>
      </c>
    </row>
    <row r="137" spans="1:20" ht="24" x14ac:dyDescent="0.2">
      <c r="A137" s="432">
        <f>IF(B137="","",COUNT('Diário 1º PA'!$A$4:$A$2635)+COUNT('Diário 2º PA'!$A$4:$A$3040)+ROW()-3)</f>
        <v>4233</v>
      </c>
      <c r="B137" s="413">
        <v>44748</v>
      </c>
      <c r="C137" s="431">
        <v>44743</v>
      </c>
      <c r="D137" s="415" t="s">
        <v>271</v>
      </c>
      <c r="E137" s="415" t="s">
        <v>71</v>
      </c>
      <c r="F137" s="425">
        <v>11</v>
      </c>
      <c r="G137" s="427" t="s">
        <v>5876</v>
      </c>
      <c r="H137" s="415" t="s">
        <v>310</v>
      </c>
      <c r="I137" s="398" t="s">
        <v>881</v>
      </c>
      <c r="J137" s="418" t="s">
        <v>882</v>
      </c>
      <c r="K137" s="418" t="s">
        <v>883</v>
      </c>
      <c r="L137" s="399" t="s">
        <v>798</v>
      </c>
      <c r="M137" s="544" t="s">
        <v>310</v>
      </c>
      <c r="N137" s="413">
        <v>44748</v>
      </c>
      <c r="O137" s="414" t="s">
        <v>400</v>
      </c>
      <c r="P137" s="655">
        <f t="shared" si="6"/>
        <v>7</v>
      </c>
      <c r="Q137" s="655">
        <f t="shared" si="7"/>
        <v>7</v>
      </c>
      <c r="R137" s="695" t="str">
        <f t="shared" si="8"/>
        <v>Gastos_Gerais</v>
      </c>
      <c r="S137" s="697" t="s">
        <v>310</v>
      </c>
      <c r="T137" s="697" t="s">
        <v>310</v>
      </c>
    </row>
    <row r="138" spans="1:20" ht="24" x14ac:dyDescent="0.2">
      <c r="A138" s="432">
        <f>IF(B138="","",COUNT('Diário 1º PA'!$A$4:$A$2635)+COUNT('Diário 2º PA'!$A$4:$A$3040)+ROW()-3)</f>
        <v>4234</v>
      </c>
      <c r="B138" s="413">
        <v>44748</v>
      </c>
      <c r="C138" s="431">
        <v>44743</v>
      </c>
      <c r="D138" s="415" t="s">
        <v>271</v>
      </c>
      <c r="E138" s="415" t="s">
        <v>71</v>
      </c>
      <c r="F138" s="425">
        <v>11</v>
      </c>
      <c r="G138" s="427" t="s">
        <v>5877</v>
      </c>
      <c r="H138" s="415" t="s">
        <v>310</v>
      </c>
      <c r="I138" s="398" t="s">
        <v>881</v>
      </c>
      <c r="J138" s="418" t="s">
        <v>882</v>
      </c>
      <c r="K138" s="418" t="s">
        <v>883</v>
      </c>
      <c r="L138" s="399" t="s">
        <v>798</v>
      </c>
      <c r="M138" s="544" t="s">
        <v>310</v>
      </c>
      <c r="N138" s="413">
        <v>44748</v>
      </c>
      <c r="O138" s="414" t="s">
        <v>400</v>
      </c>
      <c r="P138" s="655">
        <f t="shared" si="6"/>
        <v>7</v>
      </c>
      <c r="Q138" s="655">
        <f t="shared" si="7"/>
        <v>7</v>
      </c>
      <c r="R138" s="695" t="str">
        <f t="shared" si="8"/>
        <v>Gastos_Gerais</v>
      </c>
      <c r="S138" s="697" t="s">
        <v>310</v>
      </c>
      <c r="T138" s="697" t="s">
        <v>310</v>
      </c>
    </row>
    <row r="139" spans="1:20" ht="24" x14ac:dyDescent="0.2">
      <c r="A139" s="432">
        <f>IF(B139="","",COUNT('Diário 1º PA'!$A$4:$A$2635)+COUNT('Diário 2º PA'!$A$4:$A$3040)+ROW()-3)</f>
        <v>4235</v>
      </c>
      <c r="B139" s="413">
        <v>44748</v>
      </c>
      <c r="C139" s="431">
        <v>44743</v>
      </c>
      <c r="D139" s="415" t="s">
        <v>271</v>
      </c>
      <c r="E139" s="415" t="s">
        <v>71</v>
      </c>
      <c r="F139" s="425">
        <v>11</v>
      </c>
      <c r="G139" s="427" t="s">
        <v>5878</v>
      </c>
      <c r="H139" s="415" t="s">
        <v>310</v>
      </c>
      <c r="I139" s="398" t="s">
        <v>881</v>
      </c>
      <c r="J139" s="418" t="s">
        <v>882</v>
      </c>
      <c r="K139" s="418" t="s">
        <v>883</v>
      </c>
      <c r="L139" s="399" t="s">
        <v>798</v>
      </c>
      <c r="M139" s="544" t="s">
        <v>310</v>
      </c>
      <c r="N139" s="413">
        <v>44748</v>
      </c>
      <c r="O139" s="414" t="s">
        <v>400</v>
      </c>
      <c r="P139" s="655">
        <f t="shared" si="6"/>
        <v>7</v>
      </c>
      <c r="Q139" s="655">
        <f t="shared" si="7"/>
        <v>7</v>
      </c>
      <c r="R139" s="695" t="str">
        <f t="shared" si="8"/>
        <v>Gastos_Gerais</v>
      </c>
      <c r="S139" s="697" t="s">
        <v>310</v>
      </c>
      <c r="T139" s="697" t="s">
        <v>310</v>
      </c>
    </row>
    <row r="140" spans="1:20" ht="24" x14ac:dyDescent="0.2">
      <c r="A140" s="432">
        <f>IF(B140="","",COUNT('Diário 1º PA'!$A$4:$A$2635)+COUNT('Diário 2º PA'!$A$4:$A$3040)+ROW()-3)</f>
        <v>4236</v>
      </c>
      <c r="B140" s="413">
        <v>44748</v>
      </c>
      <c r="C140" s="431">
        <v>44743</v>
      </c>
      <c r="D140" s="415" t="s">
        <v>271</v>
      </c>
      <c r="E140" s="415" t="s">
        <v>71</v>
      </c>
      <c r="F140" s="425">
        <v>11</v>
      </c>
      <c r="G140" s="427" t="s">
        <v>5878</v>
      </c>
      <c r="H140" s="415" t="s">
        <v>310</v>
      </c>
      <c r="I140" s="398" t="s">
        <v>881</v>
      </c>
      <c r="J140" s="418" t="s">
        <v>882</v>
      </c>
      <c r="K140" s="418" t="s">
        <v>883</v>
      </c>
      <c r="L140" s="399" t="s">
        <v>798</v>
      </c>
      <c r="M140" s="544" t="s">
        <v>310</v>
      </c>
      <c r="N140" s="413">
        <v>44748</v>
      </c>
      <c r="O140" s="414" t="s">
        <v>400</v>
      </c>
      <c r="P140" s="655">
        <f t="shared" si="6"/>
        <v>7</v>
      </c>
      <c r="Q140" s="655">
        <f t="shared" si="7"/>
        <v>7</v>
      </c>
      <c r="R140" s="695" t="str">
        <f t="shared" si="8"/>
        <v>Gastos_Gerais</v>
      </c>
      <c r="S140" s="697" t="s">
        <v>310</v>
      </c>
      <c r="T140" s="697" t="s">
        <v>310</v>
      </c>
    </row>
    <row r="141" spans="1:20" ht="24" x14ac:dyDescent="0.2">
      <c r="A141" s="432">
        <f>IF(B141="","",COUNT('Diário 1º PA'!$A$4:$A$2635)+COUNT('Diário 2º PA'!$A$4:$A$3040)+ROW()-3)</f>
        <v>4237</v>
      </c>
      <c r="B141" s="413">
        <v>44748</v>
      </c>
      <c r="C141" s="431">
        <v>44743</v>
      </c>
      <c r="D141" s="415" t="s">
        <v>271</v>
      </c>
      <c r="E141" s="415" t="s">
        <v>71</v>
      </c>
      <c r="F141" s="425">
        <v>11</v>
      </c>
      <c r="G141" s="427" t="s">
        <v>5879</v>
      </c>
      <c r="H141" s="415" t="s">
        <v>310</v>
      </c>
      <c r="I141" s="398" t="s">
        <v>881</v>
      </c>
      <c r="J141" s="418" t="s">
        <v>882</v>
      </c>
      <c r="K141" s="418" t="s">
        <v>883</v>
      </c>
      <c r="L141" s="399" t="s">
        <v>798</v>
      </c>
      <c r="M141" s="544" t="s">
        <v>310</v>
      </c>
      <c r="N141" s="413">
        <v>44748</v>
      </c>
      <c r="O141" s="414" t="s">
        <v>400</v>
      </c>
      <c r="P141" s="655">
        <f t="shared" si="6"/>
        <v>7</v>
      </c>
      <c r="Q141" s="655">
        <f t="shared" si="7"/>
        <v>7</v>
      </c>
      <c r="R141" s="695" t="str">
        <f t="shared" si="8"/>
        <v>Gastos_Gerais</v>
      </c>
      <c r="S141" s="697" t="s">
        <v>310</v>
      </c>
      <c r="T141" s="697" t="s">
        <v>310</v>
      </c>
    </row>
    <row r="142" spans="1:20" ht="24" x14ac:dyDescent="0.2">
      <c r="A142" s="432">
        <f>IF(B142="","",COUNT('Diário 1º PA'!$A$4:$A$2635)+COUNT('Diário 2º PA'!$A$4:$A$3040)+ROW()-3)</f>
        <v>4238</v>
      </c>
      <c r="B142" s="413">
        <v>44748</v>
      </c>
      <c r="C142" s="431">
        <v>44743</v>
      </c>
      <c r="D142" s="415" t="s">
        <v>271</v>
      </c>
      <c r="E142" s="415" t="s">
        <v>71</v>
      </c>
      <c r="F142" s="425">
        <v>11</v>
      </c>
      <c r="G142" s="440" t="s">
        <v>5880</v>
      </c>
      <c r="H142" s="415" t="s">
        <v>310</v>
      </c>
      <c r="I142" s="398" t="s">
        <v>881</v>
      </c>
      <c r="J142" s="418" t="s">
        <v>882</v>
      </c>
      <c r="K142" s="418" t="s">
        <v>883</v>
      </c>
      <c r="L142" s="399" t="s">
        <v>798</v>
      </c>
      <c r="M142" s="544" t="s">
        <v>310</v>
      </c>
      <c r="N142" s="413">
        <v>44748</v>
      </c>
      <c r="O142" s="414" t="s">
        <v>400</v>
      </c>
      <c r="P142" s="655">
        <f t="shared" si="6"/>
        <v>7</v>
      </c>
      <c r="Q142" s="655">
        <f t="shared" si="7"/>
        <v>7</v>
      </c>
      <c r="R142" s="695" t="str">
        <f t="shared" si="8"/>
        <v>Gastos_Gerais</v>
      </c>
      <c r="S142" s="697" t="s">
        <v>310</v>
      </c>
      <c r="T142" s="697" t="s">
        <v>310</v>
      </c>
    </row>
    <row r="143" spans="1:20" ht="24" x14ac:dyDescent="0.2">
      <c r="A143" s="432">
        <f>IF(B143="","",COUNT('Diário 1º PA'!$A$4:$A$2635)+COUNT('Diário 2º PA'!$A$4:$A$3040)+ROW()-3)</f>
        <v>4239</v>
      </c>
      <c r="B143" s="413">
        <v>44748</v>
      </c>
      <c r="C143" s="431">
        <v>44743</v>
      </c>
      <c r="D143" s="415" t="s">
        <v>271</v>
      </c>
      <c r="E143" s="415" t="s">
        <v>71</v>
      </c>
      <c r="F143" s="425">
        <v>11</v>
      </c>
      <c r="G143" s="427" t="s">
        <v>5881</v>
      </c>
      <c r="H143" s="415" t="s">
        <v>310</v>
      </c>
      <c r="I143" s="398" t="s">
        <v>881</v>
      </c>
      <c r="J143" s="418" t="s">
        <v>882</v>
      </c>
      <c r="K143" s="418" t="s">
        <v>883</v>
      </c>
      <c r="L143" s="399" t="s">
        <v>798</v>
      </c>
      <c r="M143" s="544" t="s">
        <v>310</v>
      </c>
      <c r="N143" s="413">
        <v>44748</v>
      </c>
      <c r="O143" s="414" t="s">
        <v>400</v>
      </c>
      <c r="P143" s="655">
        <f t="shared" si="6"/>
        <v>7</v>
      </c>
      <c r="Q143" s="655">
        <f t="shared" si="7"/>
        <v>7</v>
      </c>
      <c r="R143" s="695" t="str">
        <f t="shared" si="8"/>
        <v>Gastos_Gerais</v>
      </c>
      <c r="S143" s="697" t="s">
        <v>310</v>
      </c>
      <c r="T143" s="697" t="s">
        <v>310</v>
      </c>
    </row>
    <row r="144" spans="1:20" ht="24" x14ac:dyDescent="0.2">
      <c r="A144" s="432">
        <f>IF(B144="","",COUNT('Diário 1º PA'!$A$4:$A$2635)+COUNT('Diário 2º PA'!$A$4:$A$3040)+ROW()-3)</f>
        <v>4240</v>
      </c>
      <c r="B144" s="413">
        <v>44748</v>
      </c>
      <c r="C144" s="431">
        <v>44743</v>
      </c>
      <c r="D144" s="415" t="s">
        <v>271</v>
      </c>
      <c r="E144" s="415" t="s">
        <v>71</v>
      </c>
      <c r="F144" s="425">
        <v>11</v>
      </c>
      <c r="G144" s="427" t="s">
        <v>5882</v>
      </c>
      <c r="H144" s="415" t="s">
        <v>310</v>
      </c>
      <c r="I144" s="398" t="s">
        <v>881</v>
      </c>
      <c r="J144" s="418" t="s">
        <v>882</v>
      </c>
      <c r="K144" s="418" t="s">
        <v>883</v>
      </c>
      <c r="L144" s="399" t="s">
        <v>798</v>
      </c>
      <c r="M144" s="544" t="s">
        <v>310</v>
      </c>
      <c r="N144" s="413">
        <v>44748</v>
      </c>
      <c r="O144" s="414" t="s">
        <v>400</v>
      </c>
      <c r="P144" s="655">
        <f t="shared" si="6"/>
        <v>7</v>
      </c>
      <c r="Q144" s="655">
        <f t="shared" si="7"/>
        <v>7</v>
      </c>
      <c r="R144" s="695" t="str">
        <f t="shared" si="8"/>
        <v>Gastos_Gerais</v>
      </c>
      <c r="S144" s="697" t="s">
        <v>310</v>
      </c>
      <c r="T144" s="697" t="s">
        <v>310</v>
      </c>
    </row>
    <row r="145" spans="1:20" ht="24" x14ac:dyDescent="0.2">
      <c r="A145" s="432">
        <f>IF(B145="","",COUNT('Diário 1º PA'!$A$4:$A$2635)+COUNT('Diário 2º PA'!$A$4:$A$3040)+ROW()-3)</f>
        <v>4241</v>
      </c>
      <c r="B145" s="413">
        <v>44748</v>
      </c>
      <c r="C145" s="431">
        <v>44743</v>
      </c>
      <c r="D145" s="415" t="s">
        <v>271</v>
      </c>
      <c r="E145" s="415" t="s">
        <v>71</v>
      </c>
      <c r="F145" s="425">
        <v>11</v>
      </c>
      <c r="G145" s="427" t="s">
        <v>5874</v>
      </c>
      <c r="H145" s="415" t="s">
        <v>310</v>
      </c>
      <c r="I145" s="398" t="s">
        <v>881</v>
      </c>
      <c r="J145" s="418" t="s">
        <v>882</v>
      </c>
      <c r="K145" s="418" t="s">
        <v>883</v>
      </c>
      <c r="L145" s="399" t="s">
        <v>798</v>
      </c>
      <c r="M145" s="544" t="s">
        <v>310</v>
      </c>
      <c r="N145" s="413">
        <v>44748</v>
      </c>
      <c r="O145" s="414" t="s">
        <v>400</v>
      </c>
      <c r="P145" s="655">
        <f t="shared" si="6"/>
        <v>7</v>
      </c>
      <c r="Q145" s="655">
        <f t="shared" si="7"/>
        <v>7</v>
      </c>
      <c r="R145" s="695" t="str">
        <f t="shared" si="8"/>
        <v>Gastos_Gerais</v>
      </c>
      <c r="S145" s="697" t="s">
        <v>310</v>
      </c>
      <c r="T145" s="697" t="s">
        <v>310</v>
      </c>
    </row>
    <row r="146" spans="1:20" ht="24" x14ac:dyDescent="0.2">
      <c r="A146" s="432">
        <f>IF(B146="","",COUNT('Diário 1º PA'!$A$4:$A$2635)+COUNT('Diário 2º PA'!$A$4:$A$3040)+ROW()-3)</f>
        <v>4242</v>
      </c>
      <c r="B146" s="413">
        <v>44748</v>
      </c>
      <c r="C146" s="431">
        <v>44743</v>
      </c>
      <c r="D146" s="415" t="s">
        <v>271</v>
      </c>
      <c r="E146" s="415" t="s">
        <v>71</v>
      </c>
      <c r="F146" s="425">
        <v>11</v>
      </c>
      <c r="G146" s="427" t="s">
        <v>5875</v>
      </c>
      <c r="H146" s="415" t="s">
        <v>310</v>
      </c>
      <c r="I146" s="398" t="s">
        <v>881</v>
      </c>
      <c r="J146" s="418" t="s">
        <v>882</v>
      </c>
      <c r="K146" s="418" t="s">
        <v>883</v>
      </c>
      <c r="L146" s="399" t="s">
        <v>798</v>
      </c>
      <c r="M146" s="544" t="s">
        <v>310</v>
      </c>
      <c r="N146" s="413">
        <v>44748</v>
      </c>
      <c r="O146" s="414" t="s">
        <v>400</v>
      </c>
      <c r="P146" s="655">
        <f t="shared" si="6"/>
        <v>7</v>
      </c>
      <c r="Q146" s="655">
        <f t="shared" si="7"/>
        <v>7</v>
      </c>
      <c r="R146" s="695" t="str">
        <f t="shared" si="8"/>
        <v>Gastos_Gerais</v>
      </c>
      <c r="S146" s="697" t="s">
        <v>310</v>
      </c>
      <c r="T146" s="697" t="s">
        <v>310</v>
      </c>
    </row>
    <row r="147" spans="1:20" ht="24" x14ac:dyDescent="0.2">
      <c r="A147" s="432">
        <f>IF(B147="","",COUNT('Diário 1º PA'!$A$4:$A$2635)+COUNT('Diário 2º PA'!$A$4:$A$3040)+ROW()-3)</f>
        <v>4243</v>
      </c>
      <c r="B147" s="413">
        <v>44748</v>
      </c>
      <c r="C147" s="431">
        <v>44743</v>
      </c>
      <c r="D147" s="415" t="s">
        <v>271</v>
      </c>
      <c r="E147" s="415" t="s">
        <v>71</v>
      </c>
      <c r="F147" s="425">
        <v>11</v>
      </c>
      <c r="G147" s="440" t="s">
        <v>5874</v>
      </c>
      <c r="H147" s="415" t="s">
        <v>310</v>
      </c>
      <c r="I147" s="398" t="s">
        <v>881</v>
      </c>
      <c r="J147" s="418" t="s">
        <v>882</v>
      </c>
      <c r="K147" s="418" t="s">
        <v>883</v>
      </c>
      <c r="L147" s="399" t="s">
        <v>798</v>
      </c>
      <c r="M147" s="544" t="s">
        <v>310</v>
      </c>
      <c r="N147" s="413">
        <v>44748</v>
      </c>
      <c r="O147" s="414" t="s">
        <v>400</v>
      </c>
      <c r="P147" s="655">
        <f t="shared" si="6"/>
        <v>7</v>
      </c>
      <c r="Q147" s="655">
        <f t="shared" si="7"/>
        <v>7</v>
      </c>
      <c r="R147" s="695" t="str">
        <f t="shared" si="8"/>
        <v>Gastos_Gerais</v>
      </c>
      <c r="S147" s="697" t="s">
        <v>310</v>
      </c>
      <c r="T147" s="697" t="s">
        <v>310</v>
      </c>
    </row>
    <row r="148" spans="1:20" ht="24" x14ac:dyDescent="0.2">
      <c r="A148" s="432">
        <f>IF(B148="","",COUNT('Diário 1º PA'!$A$4:$A$2635)+COUNT('Diário 2º PA'!$A$4:$A$3040)+ROW()-3)</f>
        <v>4244</v>
      </c>
      <c r="B148" s="413">
        <v>44748</v>
      </c>
      <c r="C148" s="431">
        <v>44743</v>
      </c>
      <c r="D148" s="415" t="s">
        <v>271</v>
      </c>
      <c r="E148" s="415" t="s">
        <v>71</v>
      </c>
      <c r="F148" s="425">
        <v>11</v>
      </c>
      <c r="G148" s="440" t="s">
        <v>5883</v>
      </c>
      <c r="H148" s="415" t="s">
        <v>310</v>
      </c>
      <c r="I148" s="398" t="s">
        <v>881</v>
      </c>
      <c r="J148" s="418" t="s">
        <v>882</v>
      </c>
      <c r="K148" s="418" t="s">
        <v>883</v>
      </c>
      <c r="L148" s="399" t="s">
        <v>798</v>
      </c>
      <c r="M148" s="544" t="s">
        <v>310</v>
      </c>
      <c r="N148" s="413">
        <v>44748</v>
      </c>
      <c r="O148" s="414" t="s">
        <v>400</v>
      </c>
      <c r="P148" s="655">
        <f t="shared" si="6"/>
        <v>7</v>
      </c>
      <c r="Q148" s="655">
        <f t="shared" si="7"/>
        <v>7</v>
      </c>
      <c r="R148" s="695" t="str">
        <f t="shared" si="8"/>
        <v>Gastos_Gerais</v>
      </c>
      <c r="S148" s="697" t="s">
        <v>310</v>
      </c>
      <c r="T148" s="697" t="s">
        <v>310</v>
      </c>
    </row>
    <row r="149" spans="1:20" ht="24" x14ac:dyDescent="0.2">
      <c r="A149" s="432">
        <f>IF(B149="","",COUNT('Diário 1º PA'!$A$4:$A$2635)+COUNT('Diário 2º PA'!$A$4:$A$3040)+ROW()-3)</f>
        <v>4245</v>
      </c>
      <c r="B149" s="413">
        <v>44748</v>
      </c>
      <c r="C149" s="431">
        <v>44743</v>
      </c>
      <c r="D149" s="415" t="s">
        <v>271</v>
      </c>
      <c r="E149" s="415" t="s">
        <v>71</v>
      </c>
      <c r="F149" s="425">
        <v>11</v>
      </c>
      <c r="G149" s="440" t="s">
        <v>5833</v>
      </c>
      <c r="H149" s="415" t="s">
        <v>310</v>
      </c>
      <c r="I149" s="398" t="s">
        <v>881</v>
      </c>
      <c r="J149" s="418" t="s">
        <v>882</v>
      </c>
      <c r="K149" s="418" t="s">
        <v>883</v>
      </c>
      <c r="L149" s="399" t="s">
        <v>798</v>
      </c>
      <c r="M149" s="544" t="s">
        <v>310</v>
      </c>
      <c r="N149" s="413">
        <v>44748</v>
      </c>
      <c r="O149" s="414" t="s">
        <v>400</v>
      </c>
      <c r="P149" s="655">
        <f t="shared" si="6"/>
        <v>7</v>
      </c>
      <c r="Q149" s="655">
        <f t="shared" si="7"/>
        <v>7</v>
      </c>
      <c r="R149" s="695" t="str">
        <f t="shared" si="8"/>
        <v>Gastos_Gerais</v>
      </c>
      <c r="S149" s="697" t="s">
        <v>310</v>
      </c>
      <c r="T149" s="697" t="s">
        <v>310</v>
      </c>
    </row>
    <row r="150" spans="1:20" ht="24" x14ac:dyDescent="0.2">
      <c r="A150" s="432">
        <f>IF(B150="","",COUNT('Diário 1º PA'!$A$4:$A$2635)+COUNT('Diário 2º PA'!$A$4:$A$3040)+ROW()-3)</f>
        <v>4246</v>
      </c>
      <c r="B150" s="413">
        <v>44748</v>
      </c>
      <c r="C150" s="431">
        <v>44743</v>
      </c>
      <c r="D150" s="415" t="s">
        <v>271</v>
      </c>
      <c r="E150" s="415" t="s">
        <v>71</v>
      </c>
      <c r="F150" s="425">
        <v>11</v>
      </c>
      <c r="G150" s="440" t="s">
        <v>5833</v>
      </c>
      <c r="H150" s="415" t="s">
        <v>310</v>
      </c>
      <c r="I150" s="398" t="s">
        <v>881</v>
      </c>
      <c r="J150" s="418" t="s">
        <v>882</v>
      </c>
      <c r="K150" s="418" t="s">
        <v>883</v>
      </c>
      <c r="L150" s="399" t="s">
        <v>798</v>
      </c>
      <c r="M150" s="544" t="s">
        <v>310</v>
      </c>
      <c r="N150" s="413">
        <v>44748</v>
      </c>
      <c r="O150" s="414" t="s">
        <v>400</v>
      </c>
      <c r="P150" s="655">
        <f t="shared" si="6"/>
        <v>7</v>
      </c>
      <c r="Q150" s="655">
        <f t="shared" si="7"/>
        <v>7</v>
      </c>
      <c r="R150" s="695" t="str">
        <f t="shared" si="8"/>
        <v>Gastos_Gerais</v>
      </c>
      <c r="S150" s="697" t="s">
        <v>310</v>
      </c>
      <c r="T150" s="697" t="s">
        <v>310</v>
      </c>
    </row>
    <row r="151" spans="1:20" ht="24" x14ac:dyDescent="0.2">
      <c r="A151" s="432">
        <f>IF(B151="","",COUNT('Diário 1º PA'!$A$4:$A$2635)+COUNT('Diário 2º PA'!$A$4:$A$3040)+ROW()-3)</f>
        <v>4247</v>
      </c>
      <c r="B151" s="413">
        <v>44748</v>
      </c>
      <c r="C151" s="431">
        <v>44743</v>
      </c>
      <c r="D151" s="415" t="s">
        <v>271</v>
      </c>
      <c r="E151" s="415" t="s">
        <v>71</v>
      </c>
      <c r="F151" s="425">
        <v>11</v>
      </c>
      <c r="G151" s="440" t="s">
        <v>5833</v>
      </c>
      <c r="H151" s="415" t="s">
        <v>310</v>
      </c>
      <c r="I151" s="398" t="s">
        <v>881</v>
      </c>
      <c r="J151" s="418" t="s">
        <v>882</v>
      </c>
      <c r="K151" s="418" t="s">
        <v>883</v>
      </c>
      <c r="L151" s="399" t="s">
        <v>798</v>
      </c>
      <c r="M151" s="544" t="s">
        <v>310</v>
      </c>
      <c r="N151" s="413">
        <v>44748</v>
      </c>
      <c r="O151" s="414" t="s">
        <v>400</v>
      </c>
      <c r="P151" s="655">
        <f t="shared" si="6"/>
        <v>7</v>
      </c>
      <c r="Q151" s="655">
        <f t="shared" si="7"/>
        <v>7</v>
      </c>
      <c r="R151" s="695" t="str">
        <f t="shared" si="8"/>
        <v>Gastos_Gerais</v>
      </c>
      <c r="S151" s="697" t="s">
        <v>310</v>
      </c>
      <c r="T151" s="697" t="s">
        <v>310</v>
      </c>
    </row>
    <row r="152" spans="1:20" ht="24" x14ac:dyDescent="0.2">
      <c r="A152" s="432">
        <f>IF(B152="","",COUNT('Diário 1º PA'!$A$4:$A$2635)+COUNT('Diário 2º PA'!$A$4:$A$3040)+ROW()-3)</f>
        <v>4248</v>
      </c>
      <c r="B152" s="413">
        <v>44748</v>
      </c>
      <c r="C152" s="431">
        <v>44743</v>
      </c>
      <c r="D152" s="415" t="s">
        <v>271</v>
      </c>
      <c r="E152" s="415" t="s">
        <v>71</v>
      </c>
      <c r="F152" s="425">
        <v>11</v>
      </c>
      <c r="G152" s="440" t="s">
        <v>5875</v>
      </c>
      <c r="H152" s="415" t="s">
        <v>310</v>
      </c>
      <c r="I152" s="398" t="s">
        <v>881</v>
      </c>
      <c r="J152" s="418" t="s">
        <v>882</v>
      </c>
      <c r="K152" s="418" t="s">
        <v>883</v>
      </c>
      <c r="L152" s="399" t="s">
        <v>798</v>
      </c>
      <c r="M152" s="544" t="s">
        <v>310</v>
      </c>
      <c r="N152" s="413">
        <v>44748</v>
      </c>
      <c r="O152" s="414" t="s">
        <v>400</v>
      </c>
      <c r="P152" s="655">
        <f t="shared" si="6"/>
        <v>7</v>
      </c>
      <c r="Q152" s="655">
        <f t="shared" si="7"/>
        <v>7</v>
      </c>
      <c r="R152" s="695" t="str">
        <f t="shared" si="8"/>
        <v>Gastos_Gerais</v>
      </c>
      <c r="S152" s="697" t="s">
        <v>310</v>
      </c>
      <c r="T152" s="697" t="s">
        <v>310</v>
      </c>
    </row>
    <row r="153" spans="1:20" ht="24" x14ac:dyDescent="0.2">
      <c r="A153" s="432">
        <f>IF(B153="","",COUNT('Diário 1º PA'!$A$4:$A$2635)+COUNT('Diário 2º PA'!$A$4:$A$3040)+ROW()-3)</f>
        <v>4249</v>
      </c>
      <c r="B153" s="413">
        <v>44748</v>
      </c>
      <c r="C153" s="431">
        <v>44743</v>
      </c>
      <c r="D153" s="415" t="s">
        <v>271</v>
      </c>
      <c r="E153" s="415" t="s">
        <v>71</v>
      </c>
      <c r="F153" s="425">
        <v>11</v>
      </c>
      <c r="G153" s="440" t="s">
        <v>5884</v>
      </c>
      <c r="H153" s="415" t="s">
        <v>310</v>
      </c>
      <c r="I153" s="398" t="s">
        <v>881</v>
      </c>
      <c r="J153" s="418" t="s">
        <v>882</v>
      </c>
      <c r="K153" s="418" t="s">
        <v>883</v>
      </c>
      <c r="L153" s="399" t="s">
        <v>798</v>
      </c>
      <c r="M153" s="544" t="s">
        <v>310</v>
      </c>
      <c r="N153" s="413">
        <v>44748</v>
      </c>
      <c r="O153" s="414" t="s">
        <v>400</v>
      </c>
      <c r="P153" s="655">
        <f t="shared" si="6"/>
        <v>7</v>
      </c>
      <c r="Q153" s="655">
        <f t="shared" si="7"/>
        <v>7</v>
      </c>
      <c r="R153" s="695" t="str">
        <f t="shared" si="8"/>
        <v>Gastos_Gerais</v>
      </c>
      <c r="S153" s="697" t="s">
        <v>310</v>
      </c>
      <c r="T153" s="697" t="s">
        <v>310</v>
      </c>
    </row>
    <row r="154" spans="1:20" ht="24" x14ac:dyDescent="0.2">
      <c r="A154" s="432">
        <f>IF(B154="","",COUNT('Diário 1º PA'!$A$4:$A$2635)+COUNT('Diário 2º PA'!$A$4:$A$3040)+ROW()-3)</f>
        <v>4250</v>
      </c>
      <c r="B154" s="413">
        <v>44748</v>
      </c>
      <c r="C154" s="431">
        <v>44743</v>
      </c>
      <c r="D154" s="415" t="s">
        <v>271</v>
      </c>
      <c r="E154" s="415" t="s">
        <v>71</v>
      </c>
      <c r="F154" s="425">
        <v>11</v>
      </c>
      <c r="G154" s="440" t="s">
        <v>5875</v>
      </c>
      <c r="H154" s="415" t="s">
        <v>310</v>
      </c>
      <c r="I154" s="398" t="s">
        <v>881</v>
      </c>
      <c r="J154" s="418" t="s">
        <v>882</v>
      </c>
      <c r="K154" s="418" t="s">
        <v>883</v>
      </c>
      <c r="L154" s="399" t="s">
        <v>798</v>
      </c>
      <c r="M154" s="544" t="s">
        <v>310</v>
      </c>
      <c r="N154" s="413">
        <v>44748</v>
      </c>
      <c r="O154" s="414" t="s">
        <v>400</v>
      </c>
      <c r="P154" s="655">
        <f t="shared" si="6"/>
        <v>7</v>
      </c>
      <c r="Q154" s="655">
        <f t="shared" si="7"/>
        <v>7</v>
      </c>
      <c r="R154" s="695" t="str">
        <f t="shared" si="8"/>
        <v>Gastos_Gerais</v>
      </c>
      <c r="S154" s="697" t="s">
        <v>310</v>
      </c>
      <c r="T154" s="697" t="s">
        <v>310</v>
      </c>
    </row>
    <row r="155" spans="1:20" ht="24" x14ac:dyDescent="0.2">
      <c r="A155" s="432">
        <f>IF(B155="","",COUNT('Diário 1º PA'!$A$4:$A$2635)+COUNT('Diário 2º PA'!$A$4:$A$3040)+ROW()-3)</f>
        <v>4251</v>
      </c>
      <c r="B155" s="413">
        <v>44748</v>
      </c>
      <c r="C155" s="431">
        <v>44743</v>
      </c>
      <c r="D155" s="415" t="s">
        <v>271</v>
      </c>
      <c r="E155" s="415" t="s">
        <v>71</v>
      </c>
      <c r="F155" s="425">
        <v>11</v>
      </c>
      <c r="G155" s="440" t="s">
        <v>5885</v>
      </c>
      <c r="H155" s="415" t="s">
        <v>310</v>
      </c>
      <c r="I155" s="398" t="s">
        <v>881</v>
      </c>
      <c r="J155" s="418" t="s">
        <v>882</v>
      </c>
      <c r="K155" s="418" t="s">
        <v>883</v>
      </c>
      <c r="L155" s="399" t="s">
        <v>798</v>
      </c>
      <c r="M155" s="544" t="s">
        <v>310</v>
      </c>
      <c r="N155" s="413">
        <v>44748</v>
      </c>
      <c r="O155" s="414" t="s">
        <v>400</v>
      </c>
      <c r="P155" s="655">
        <f t="shared" si="6"/>
        <v>7</v>
      </c>
      <c r="Q155" s="655">
        <f t="shared" si="7"/>
        <v>7</v>
      </c>
      <c r="R155" s="695" t="str">
        <f t="shared" si="8"/>
        <v>Gastos_Gerais</v>
      </c>
      <c r="S155" s="697" t="s">
        <v>310</v>
      </c>
      <c r="T155" s="697" t="s">
        <v>310</v>
      </c>
    </row>
    <row r="156" spans="1:20" ht="24" x14ac:dyDescent="0.2">
      <c r="A156" s="432">
        <f>IF(B156="","",COUNT('Diário 1º PA'!$A$4:$A$2635)+COUNT('Diário 2º PA'!$A$4:$A$3040)+ROW()-3)</f>
        <v>4252</v>
      </c>
      <c r="B156" s="413">
        <v>44748</v>
      </c>
      <c r="C156" s="431">
        <v>44743</v>
      </c>
      <c r="D156" s="415" t="s">
        <v>271</v>
      </c>
      <c r="E156" s="415" t="s">
        <v>71</v>
      </c>
      <c r="F156" s="425">
        <v>11</v>
      </c>
      <c r="G156" s="440" t="s">
        <v>5877</v>
      </c>
      <c r="H156" s="415" t="s">
        <v>310</v>
      </c>
      <c r="I156" s="398" t="s">
        <v>881</v>
      </c>
      <c r="J156" s="418" t="s">
        <v>882</v>
      </c>
      <c r="K156" s="418" t="s">
        <v>883</v>
      </c>
      <c r="L156" s="399" t="s">
        <v>798</v>
      </c>
      <c r="M156" s="544" t="s">
        <v>310</v>
      </c>
      <c r="N156" s="413">
        <v>44748</v>
      </c>
      <c r="O156" s="414" t="s">
        <v>400</v>
      </c>
      <c r="P156" s="655">
        <f t="shared" si="6"/>
        <v>7</v>
      </c>
      <c r="Q156" s="655">
        <f t="shared" si="7"/>
        <v>7</v>
      </c>
      <c r="R156" s="695" t="str">
        <f t="shared" si="8"/>
        <v>Gastos_Gerais</v>
      </c>
      <c r="S156" s="697" t="s">
        <v>310</v>
      </c>
      <c r="T156" s="697" t="s">
        <v>310</v>
      </c>
    </row>
    <row r="157" spans="1:20" ht="24" x14ac:dyDescent="0.2">
      <c r="A157" s="432">
        <f>IF(B157="","",COUNT('Diário 1º PA'!$A$4:$A$2635)+COUNT('Diário 2º PA'!$A$4:$A$3040)+ROW()-3)</f>
        <v>4253</v>
      </c>
      <c r="B157" s="413">
        <v>44748</v>
      </c>
      <c r="C157" s="431">
        <v>44743</v>
      </c>
      <c r="D157" s="415" t="s">
        <v>271</v>
      </c>
      <c r="E157" s="415" t="s">
        <v>71</v>
      </c>
      <c r="F157" s="425">
        <v>11</v>
      </c>
      <c r="G157" s="440" t="s">
        <v>5877</v>
      </c>
      <c r="H157" s="415" t="s">
        <v>310</v>
      </c>
      <c r="I157" s="398" t="s">
        <v>881</v>
      </c>
      <c r="J157" s="418" t="s">
        <v>882</v>
      </c>
      <c r="K157" s="418" t="s">
        <v>883</v>
      </c>
      <c r="L157" s="399" t="s">
        <v>798</v>
      </c>
      <c r="M157" s="544" t="s">
        <v>310</v>
      </c>
      <c r="N157" s="413">
        <v>44748</v>
      </c>
      <c r="O157" s="414" t="s">
        <v>400</v>
      </c>
      <c r="P157" s="655">
        <f t="shared" si="6"/>
        <v>7</v>
      </c>
      <c r="Q157" s="655">
        <f t="shared" si="7"/>
        <v>7</v>
      </c>
      <c r="R157" s="695" t="str">
        <f t="shared" si="8"/>
        <v>Gastos_Gerais</v>
      </c>
      <c r="S157" s="697" t="s">
        <v>310</v>
      </c>
      <c r="T157" s="697" t="s">
        <v>310</v>
      </c>
    </row>
    <row r="158" spans="1:20" ht="24" x14ac:dyDescent="0.2">
      <c r="A158" s="432">
        <f>IF(B158="","",COUNT('Diário 1º PA'!$A$4:$A$2635)+COUNT('Diário 2º PA'!$A$4:$A$3040)+ROW()-3)</f>
        <v>4254</v>
      </c>
      <c r="B158" s="413">
        <v>44748</v>
      </c>
      <c r="C158" s="431">
        <v>44743</v>
      </c>
      <c r="D158" s="415" t="s">
        <v>271</v>
      </c>
      <c r="E158" s="415" t="s">
        <v>71</v>
      </c>
      <c r="F158" s="425">
        <v>11</v>
      </c>
      <c r="G158" s="440" t="s">
        <v>5877</v>
      </c>
      <c r="H158" s="415" t="s">
        <v>310</v>
      </c>
      <c r="I158" s="398" t="s">
        <v>881</v>
      </c>
      <c r="J158" s="418" t="s">
        <v>882</v>
      </c>
      <c r="K158" s="418" t="s">
        <v>883</v>
      </c>
      <c r="L158" s="399" t="s">
        <v>798</v>
      </c>
      <c r="M158" s="544" t="s">
        <v>310</v>
      </c>
      <c r="N158" s="413">
        <v>44748</v>
      </c>
      <c r="O158" s="414" t="s">
        <v>400</v>
      </c>
      <c r="P158" s="655">
        <f t="shared" si="6"/>
        <v>7</v>
      </c>
      <c r="Q158" s="655">
        <f t="shared" si="7"/>
        <v>7</v>
      </c>
      <c r="R158" s="695" t="str">
        <f t="shared" si="8"/>
        <v>Gastos_Gerais</v>
      </c>
      <c r="S158" s="697" t="s">
        <v>310</v>
      </c>
      <c r="T158" s="697" t="s">
        <v>310</v>
      </c>
    </row>
    <row r="159" spans="1:20" ht="24" x14ac:dyDescent="0.2">
      <c r="A159" s="432">
        <f>IF(B159="","",COUNT('Diário 1º PA'!$A$4:$A$2635)+COUNT('Diário 2º PA'!$A$4:$A$3040)+ROW()-3)</f>
        <v>4255</v>
      </c>
      <c r="B159" s="413">
        <v>44748</v>
      </c>
      <c r="C159" s="431">
        <v>44743</v>
      </c>
      <c r="D159" s="415" t="s">
        <v>271</v>
      </c>
      <c r="E159" s="415" t="s">
        <v>71</v>
      </c>
      <c r="F159" s="425">
        <v>11</v>
      </c>
      <c r="G159" s="440" t="s">
        <v>5882</v>
      </c>
      <c r="H159" s="415" t="s">
        <v>310</v>
      </c>
      <c r="I159" s="398" t="s">
        <v>881</v>
      </c>
      <c r="J159" s="418" t="s">
        <v>882</v>
      </c>
      <c r="K159" s="418" t="s">
        <v>883</v>
      </c>
      <c r="L159" s="399" t="s">
        <v>798</v>
      </c>
      <c r="M159" s="544" t="s">
        <v>310</v>
      </c>
      <c r="N159" s="413">
        <v>44748</v>
      </c>
      <c r="O159" s="414" t="s">
        <v>400</v>
      </c>
      <c r="P159" s="655">
        <f t="shared" si="6"/>
        <v>7</v>
      </c>
      <c r="Q159" s="655">
        <f t="shared" si="7"/>
        <v>7</v>
      </c>
      <c r="R159" s="695" t="str">
        <f t="shared" si="8"/>
        <v>Gastos_Gerais</v>
      </c>
      <c r="S159" s="697" t="s">
        <v>310</v>
      </c>
      <c r="T159" s="697" t="s">
        <v>310</v>
      </c>
    </row>
    <row r="160" spans="1:20" ht="24" x14ac:dyDescent="0.2">
      <c r="A160" s="432">
        <f>IF(B160="","",COUNT('Diário 1º PA'!$A$4:$A$2635)+COUNT('Diário 2º PA'!$A$4:$A$3040)+ROW()-3)</f>
        <v>4256</v>
      </c>
      <c r="B160" s="413">
        <v>44748</v>
      </c>
      <c r="C160" s="431">
        <v>44743</v>
      </c>
      <c r="D160" s="415" t="s">
        <v>271</v>
      </c>
      <c r="E160" s="415" t="s">
        <v>71</v>
      </c>
      <c r="F160" s="425">
        <v>11</v>
      </c>
      <c r="G160" s="440" t="s">
        <v>6020</v>
      </c>
      <c r="H160" s="415" t="s">
        <v>310</v>
      </c>
      <c r="I160" s="398" t="s">
        <v>881</v>
      </c>
      <c r="J160" s="418" t="s">
        <v>882</v>
      </c>
      <c r="K160" s="418" t="s">
        <v>883</v>
      </c>
      <c r="L160" s="399" t="s">
        <v>798</v>
      </c>
      <c r="M160" s="544" t="s">
        <v>310</v>
      </c>
      <c r="N160" s="413">
        <v>44748</v>
      </c>
      <c r="O160" s="414" t="s">
        <v>400</v>
      </c>
      <c r="P160" s="655">
        <f t="shared" si="6"/>
        <v>7</v>
      </c>
      <c r="Q160" s="655">
        <f t="shared" si="7"/>
        <v>7</v>
      </c>
      <c r="R160" s="695" t="str">
        <f t="shared" si="8"/>
        <v>Gastos_Gerais</v>
      </c>
      <c r="S160" s="697" t="s">
        <v>310</v>
      </c>
      <c r="T160" s="697" t="s">
        <v>310</v>
      </c>
    </row>
    <row r="161" spans="1:20" ht="24" x14ac:dyDescent="0.2">
      <c r="A161" s="432">
        <f>IF(B161="","",COUNT('Diário 1º PA'!$A$4:$A$2635)+COUNT('Diário 2º PA'!$A$4:$A$3040)+ROW()-3)</f>
        <v>4257</v>
      </c>
      <c r="B161" s="413">
        <v>44748</v>
      </c>
      <c r="C161" s="431">
        <v>44743</v>
      </c>
      <c r="D161" s="415" t="s">
        <v>271</v>
      </c>
      <c r="E161" s="415" t="s">
        <v>71</v>
      </c>
      <c r="F161" s="425">
        <v>11</v>
      </c>
      <c r="G161" s="440" t="s">
        <v>5877</v>
      </c>
      <c r="H161" s="415" t="s">
        <v>310</v>
      </c>
      <c r="I161" s="398" t="s">
        <v>881</v>
      </c>
      <c r="J161" s="418" t="s">
        <v>882</v>
      </c>
      <c r="K161" s="418" t="s">
        <v>883</v>
      </c>
      <c r="L161" s="399" t="s">
        <v>798</v>
      </c>
      <c r="M161" s="544" t="s">
        <v>310</v>
      </c>
      <c r="N161" s="413">
        <v>44748</v>
      </c>
      <c r="O161" s="414" t="s">
        <v>400</v>
      </c>
      <c r="P161" s="655">
        <f t="shared" si="6"/>
        <v>7</v>
      </c>
      <c r="Q161" s="655">
        <f t="shared" si="7"/>
        <v>7</v>
      </c>
      <c r="R161" s="695" t="str">
        <f t="shared" si="8"/>
        <v>Gastos_Gerais</v>
      </c>
      <c r="S161" s="697" t="s">
        <v>310</v>
      </c>
      <c r="T161" s="697" t="s">
        <v>310</v>
      </c>
    </row>
    <row r="162" spans="1:20" ht="24" x14ac:dyDescent="0.2">
      <c r="A162" s="432">
        <f>IF(B162="","",COUNT('Diário 1º PA'!$A$4:$A$2635)+COUNT('Diário 2º PA'!$A$4:$A$3040)+ROW()-3)</f>
        <v>4258</v>
      </c>
      <c r="B162" s="413">
        <v>44748</v>
      </c>
      <c r="C162" s="431">
        <v>44743</v>
      </c>
      <c r="D162" s="415" t="s">
        <v>271</v>
      </c>
      <c r="E162" s="415" t="s">
        <v>71</v>
      </c>
      <c r="F162" s="425">
        <v>11</v>
      </c>
      <c r="G162" s="440" t="s">
        <v>5886</v>
      </c>
      <c r="H162" s="415" t="s">
        <v>310</v>
      </c>
      <c r="I162" s="398" t="s">
        <v>881</v>
      </c>
      <c r="J162" s="418" t="s">
        <v>882</v>
      </c>
      <c r="K162" s="418" t="s">
        <v>883</v>
      </c>
      <c r="L162" s="399" t="s">
        <v>798</v>
      </c>
      <c r="M162" s="544" t="s">
        <v>310</v>
      </c>
      <c r="N162" s="413">
        <v>44748</v>
      </c>
      <c r="O162" s="414" t="s">
        <v>400</v>
      </c>
      <c r="P162" s="655">
        <f t="shared" si="6"/>
        <v>7</v>
      </c>
      <c r="Q162" s="655">
        <f t="shared" si="7"/>
        <v>7</v>
      </c>
      <c r="R162" s="695" t="str">
        <f t="shared" si="8"/>
        <v>Gastos_Gerais</v>
      </c>
      <c r="S162" s="697" t="s">
        <v>310</v>
      </c>
      <c r="T162" s="697" t="s">
        <v>310</v>
      </c>
    </row>
    <row r="163" spans="1:20" ht="24" x14ac:dyDescent="0.2">
      <c r="A163" s="432">
        <f>IF(B163="","",COUNT('Diário 1º PA'!$A$4:$A$2635)+COUNT('Diário 2º PA'!$A$4:$A$3040)+ROW()-3)</f>
        <v>4259</v>
      </c>
      <c r="B163" s="413">
        <v>44748</v>
      </c>
      <c r="C163" s="431">
        <v>44743</v>
      </c>
      <c r="D163" s="415" t="s">
        <v>271</v>
      </c>
      <c r="E163" s="415" t="s">
        <v>71</v>
      </c>
      <c r="F163" s="425">
        <v>11</v>
      </c>
      <c r="G163" s="440" t="s">
        <v>5882</v>
      </c>
      <c r="H163" s="415" t="s">
        <v>310</v>
      </c>
      <c r="I163" s="398" t="s">
        <v>881</v>
      </c>
      <c r="J163" s="418" t="s">
        <v>882</v>
      </c>
      <c r="K163" s="418" t="s">
        <v>883</v>
      </c>
      <c r="L163" s="399" t="s">
        <v>798</v>
      </c>
      <c r="M163" s="544" t="s">
        <v>310</v>
      </c>
      <c r="N163" s="413">
        <v>44748</v>
      </c>
      <c r="O163" s="414" t="s">
        <v>400</v>
      </c>
      <c r="P163" s="655">
        <f t="shared" si="6"/>
        <v>7</v>
      </c>
      <c r="Q163" s="655">
        <f t="shared" si="7"/>
        <v>7</v>
      </c>
      <c r="R163" s="695" t="str">
        <f t="shared" si="8"/>
        <v>Gastos_Gerais</v>
      </c>
      <c r="S163" s="697" t="s">
        <v>310</v>
      </c>
      <c r="T163" s="697" t="s">
        <v>310</v>
      </c>
    </row>
    <row r="164" spans="1:20" ht="24" x14ac:dyDescent="0.2">
      <c r="A164" s="432">
        <f>IF(B164="","",COUNT('Diário 1º PA'!$A$4:$A$2635)+COUNT('Diário 2º PA'!$A$4:$A$3040)+ROW()-3)</f>
        <v>4260</v>
      </c>
      <c r="B164" s="413">
        <v>44748</v>
      </c>
      <c r="C164" s="431">
        <v>44743</v>
      </c>
      <c r="D164" s="415" t="s">
        <v>271</v>
      </c>
      <c r="E164" s="415" t="s">
        <v>71</v>
      </c>
      <c r="F164" s="425">
        <v>11</v>
      </c>
      <c r="G164" s="440" t="s">
        <v>5887</v>
      </c>
      <c r="H164" s="415" t="s">
        <v>310</v>
      </c>
      <c r="I164" s="398" t="s">
        <v>881</v>
      </c>
      <c r="J164" s="418" t="s">
        <v>882</v>
      </c>
      <c r="K164" s="418" t="s">
        <v>883</v>
      </c>
      <c r="L164" s="399" t="s">
        <v>798</v>
      </c>
      <c r="M164" s="544" t="s">
        <v>310</v>
      </c>
      <c r="N164" s="413">
        <v>44748</v>
      </c>
      <c r="O164" s="414" t="s">
        <v>400</v>
      </c>
      <c r="P164" s="655">
        <f t="shared" si="6"/>
        <v>7</v>
      </c>
      <c r="Q164" s="655">
        <f t="shared" si="7"/>
        <v>7</v>
      </c>
      <c r="R164" s="695" t="str">
        <f t="shared" si="8"/>
        <v>Gastos_Gerais</v>
      </c>
      <c r="S164" s="697" t="s">
        <v>310</v>
      </c>
      <c r="T164" s="697" t="s">
        <v>310</v>
      </c>
    </row>
    <row r="165" spans="1:20" ht="24" x14ac:dyDescent="0.2">
      <c r="A165" s="432">
        <f>IF(B165="","",COUNT('Diário 1º PA'!$A$4:$A$2635)+COUNT('Diário 2º PA'!$A$4:$A$3040)+ROW()-3)</f>
        <v>4261</v>
      </c>
      <c r="B165" s="413">
        <v>44748</v>
      </c>
      <c r="C165" s="431">
        <v>44743</v>
      </c>
      <c r="D165" s="415" t="s">
        <v>271</v>
      </c>
      <c r="E165" s="415" t="s">
        <v>71</v>
      </c>
      <c r="F165" s="425">
        <v>11</v>
      </c>
      <c r="G165" s="440" t="s">
        <v>5888</v>
      </c>
      <c r="H165" s="415" t="s">
        <v>310</v>
      </c>
      <c r="I165" s="398" t="s">
        <v>881</v>
      </c>
      <c r="J165" s="418" t="s">
        <v>882</v>
      </c>
      <c r="K165" s="418" t="s">
        <v>883</v>
      </c>
      <c r="L165" s="399" t="s">
        <v>798</v>
      </c>
      <c r="M165" s="544" t="s">
        <v>310</v>
      </c>
      <c r="N165" s="413">
        <v>44748</v>
      </c>
      <c r="O165" s="414" t="s">
        <v>400</v>
      </c>
      <c r="P165" s="655">
        <f t="shared" si="6"/>
        <v>7</v>
      </c>
      <c r="Q165" s="655">
        <f t="shared" si="7"/>
        <v>7</v>
      </c>
      <c r="R165" s="695" t="str">
        <f t="shared" si="8"/>
        <v>Gastos_Gerais</v>
      </c>
      <c r="S165" s="697" t="s">
        <v>310</v>
      </c>
      <c r="T165" s="697" t="s">
        <v>310</v>
      </c>
    </row>
    <row r="166" spans="1:20" ht="24" x14ac:dyDescent="0.2">
      <c r="A166" s="432">
        <f>IF(B166="","",COUNT('Diário 1º PA'!$A$4:$A$2635)+COUNT('Diário 2º PA'!$A$4:$A$3040)+ROW()-3)</f>
        <v>4262</v>
      </c>
      <c r="B166" s="413">
        <v>44748</v>
      </c>
      <c r="C166" s="431">
        <v>44743</v>
      </c>
      <c r="D166" s="415" t="s">
        <v>271</v>
      </c>
      <c r="E166" s="415" t="s">
        <v>71</v>
      </c>
      <c r="F166" s="425">
        <v>11</v>
      </c>
      <c r="G166" s="440" t="s">
        <v>5882</v>
      </c>
      <c r="H166" s="415" t="s">
        <v>310</v>
      </c>
      <c r="I166" s="398" t="s">
        <v>881</v>
      </c>
      <c r="J166" s="418" t="s">
        <v>882</v>
      </c>
      <c r="K166" s="418" t="s">
        <v>883</v>
      </c>
      <c r="L166" s="399" t="s">
        <v>798</v>
      </c>
      <c r="M166" s="544" t="s">
        <v>310</v>
      </c>
      <c r="N166" s="413">
        <v>44748</v>
      </c>
      <c r="O166" s="414" t="s">
        <v>400</v>
      </c>
      <c r="P166" s="655">
        <f t="shared" si="6"/>
        <v>7</v>
      </c>
      <c r="Q166" s="655">
        <f t="shared" si="7"/>
        <v>7</v>
      </c>
      <c r="R166" s="695" t="str">
        <f t="shared" si="8"/>
        <v>Gastos_Gerais</v>
      </c>
      <c r="S166" s="697" t="s">
        <v>310</v>
      </c>
      <c r="T166" s="697" t="s">
        <v>310</v>
      </c>
    </row>
    <row r="167" spans="1:20" ht="24" x14ac:dyDescent="0.2">
      <c r="A167" s="432">
        <f>IF(B167="","",COUNT('Diário 1º PA'!$A$4:$A$2635)+COUNT('Diário 2º PA'!$A$4:$A$3040)+ROW()-3)</f>
        <v>4263</v>
      </c>
      <c r="B167" s="413">
        <v>44748</v>
      </c>
      <c r="C167" s="431">
        <v>44743</v>
      </c>
      <c r="D167" s="415" t="s">
        <v>271</v>
      </c>
      <c r="E167" s="415" t="s">
        <v>71</v>
      </c>
      <c r="F167" s="425">
        <v>11</v>
      </c>
      <c r="G167" s="440" t="s">
        <v>5880</v>
      </c>
      <c r="H167" s="415" t="s">
        <v>310</v>
      </c>
      <c r="I167" s="398" t="s">
        <v>881</v>
      </c>
      <c r="J167" s="418" t="s">
        <v>882</v>
      </c>
      <c r="K167" s="418" t="s">
        <v>883</v>
      </c>
      <c r="L167" s="399" t="s">
        <v>798</v>
      </c>
      <c r="M167" s="544" t="s">
        <v>310</v>
      </c>
      <c r="N167" s="413">
        <v>44748</v>
      </c>
      <c r="O167" s="414" t="s">
        <v>400</v>
      </c>
      <c r="P167" s="655">
        <f t="shared" si="6"/>
        <v>7</v>
      </c>
      <c r="Q167" s="655">
        <f t="shared" si="7"/>
        <v>7</v>
      </c>
      <c r="R167" s="695" t="str">
        <f t="shared" si="8"/>
        <v>Gastos_Gerais</v>
      </c>
      <c r="S167" s="697" t="s">
        <v>310</v>
      </c>
      <c r="T167" s="697" t="s">
        <v>310</v>
      </c>
    </row>
    <row r="168" spans="1:20" ht="24" x14ac:dyDescent="0.2">
      <c r="A168" s="432">
        <f>IF(B168="","",COUNT('Diário 1º PA'!$A$4:$A$2635)+COUNT('Diário 2º PA'!$A$4:$A$3040)+ROW()-3)</f>
        <v>4264</v>
      </c>
      <c r="B168" s="413">
        <v>44748</v>
      </c>
      <c r="C168" s="431">
        <v>44743</v>
      </c>
      <c r="D168" s="415" t="s">
        <v>271</v>
      </c>
      <c r="E168" s="415" t="s">
        <v>71</v>
      </c>
      <c r="F168" s="425">
        <v>11</v>
      </c>
      <c r="G168" s="440" t="s">
        <v>5889</v>
      </c>
      <c r="H168" s="415" t="s">
        <v>310</v>
      </c>
      <c r="I168" s="398" t="s">
        <v>881</v>
      </c>
      <c r="J168" s="418" t="s">
        <v>882</v>
      </c>
      <c r="K168" s="418" t="s">
        <v>883</v>
      </c>
      <c r="L168" s="399" t="s">
        <v>798</v>
      </c>
      <c r="M168" s="544" t="s">
        <v>310</v>
      </c>
      <c r="N168" s="413">
        <v>44748</v>
      </c>
      <c r="O168" s="414" t="s">
        <v>400</v>
      </c>
      <c r="P168" s="655">
        <f t="shared" si="6"/>
        <v>7</v>
      </c>
      <c r="Q168" s="655">
        <f t="shared" si="7"/>
        <v>7</v>
      </c>
      <c r="R168" s="695" t="str">
        <f t="shared" si="8"/>
        <v>Gastos_Gerais</v>
      </c>
      <c r="S168" s="697" t="s">
        <v>310</v>
      </c>
      <c r="T168" s="697" t="s">
        <v>310</v>
      </c>
    </row>
    <row r="169" spans="1:20" ht="24" x14ac:dyDescent="0.2">
      <c r="A169" s="432">
        <f>IF(B169="","",COUNT('Diário 1º PA'!$A$4:$A$2635)+COUNT('Diário 2º PA'!$A$4:$A$3040)+ROW()-3)</f>
        <v>4265</v>
      </c>
      <c r="B169" s="413">
        <v>44748</v>
      </c>
      <c r="C169" s="431">
        <v>44743</v>
      </c>
      <c r="D169" s="415" t="s">
        <v>271</v>
      </c>
      <c r="E169" s="415" t="s">
        <v>71</v>
      </c>
      <c r="F169" s="425">
        <v>11</v>
      </c>
      <c r="G169" s="440" t="s">
        <v>5880</v>
      </c>
      <c r="H169" s="415" t="s">
        <v>310</v>
      </c>
      <c r="I169" s="398" t="s">
        <v>881</v>
      </c>
      <c r="J169" s="418" t="s">
        <v>882</v>
      </c>
      <c r="K169" s="418" t="s">
        <v>883</v>
      </c>
      <c r="L169" s="399" t="s">
        <v>798</v>
      </c>
      <c r="M169" s="544" t="s">
        <v>310</v>
      </c>
      <c r="N169" s="413">
        <v>44748</v>
      </c>
      <c r="O169" s="414" t="s">
        <v>400</v>
      </c>
      <c r="P169" s="655">
        <f t="shared" si="6"/>
        <v>7</v>
      </c>
      <c r="Q169" s="655">
        <f t="shared" si="7"/>
        <v>7</v>
      </c>
      <c r="R169" s="695" t="str">
        <f t="shared" si="8"/>
        <v>Gastos_Gerais</v>
      </c>
      <c r="S169" s="697" t="s">
        <v>310</v>
      </c>
      <c r="T169" s="697" t="s">
        <v>310</v>
      </c>
    </row>
    <row r="170" spans="1:20" ht="24" x14ac:dyDescent="0.2">
      <c r="A170" s="432">
        <f>IF(B170="","",COUNT('Diário 1º PA'!$A$4:$A$2635)+COUNT('Diário 2º PA'!$A$4:$A$3040)+ROW()-3)</f>
        <v>4266</v>
      </c>
      <c r="B170" s="413">
        <v>44748</v>
      </c>
      <c r="C170" s="431">
        <v>44743</v>
      </c>
      <c r="D170" s="415" t="s">
        <v>271</v>
      </c>
      <c r="E170" s="415" t="s">
        <v>71</v>
      </c>
      <c r="F170" s="425">
        <v>11</v>
      </c>
      <c r="G170" s="440" t="s">
        <v>1244</v>
      </c>
      <c r="H170" s="415" t="s">
        <v>310</v>
      </c>
      <c r="I170" s="398" t="s">
        <v>881</v>
      </c>
      <c r="J170" s="418" t="s">
        <v>882</v>
      </c>
      <c r="K170" s="418" t="s">
        <v>883</v>
      </c>
      <c r="L170" s="399" t="s">
        <v>798</v>
      </c>
      <c r="M170" s="544" t="s">
        <v>310</v>
      </c>
      <c r="N170" s="413">
        <v>44748</v>
      </c>
      <c r="O170" s="414" t="s">
        <v>400</v>
      </c>
      <c r="P170" s="655">
        <f t="shared" si="6"/>
        <v>7</v>
      </c>
      <c r="Q170" s="655">
        <f t="shared" si="7"/>
        <v>7</v>
      </c>
      <c r="R170" s="695" t="str">
        <f t="shared" si="8"/>
        <v>Gastos_Gerais</v>
      </c>
      <c r="S170" s="697" t="s">
        <v>310</v>
      </c>
      <c r="T170" s="697" t="s">
        <v>310</v>
      </c>
    </row>
    <row r="171" spans="1:20" ht="24" x14ac:dyDescent="0.2">
      <c r="A171" s="432">
        <f>IF(B171="","",COUNT('Diário 1º PA'!$A$4:$A$2635)+COUNT('Diário 2º PA'!$A$4:$A$3040)+ROW()-3)</f>
        <v>4267</v>
      </c>
      <c r="B171" s="413">
        <v>44748</v>
      </c>
      <c r="C171" s="431">
        <v>44743</v>
      </c>
      <c r="D171" s="415" t="s">
        <v>271</v>
      </c>
      <c r="E171" s="415" t="s">
        <v>71</v>
      </c>
      <c r="F171" s="425">
        <v>11</v>
      </c>
      <c r="G171" s="440" t="s">
        <v>1235</v>
      </c>
      <c r="H171" s="415" t="s">
        <v>310</v>
      </c>
      <c r="I171" s="398" t="s">
        <v>881</v>
      </c>
      <c r="J171" s="418" t="s">
        <v>882</v>
      </c>
      <c r="K171" s="418" t="s">
        <v>883</v>
      </c>
      <c r="L171" s="399" t="s">
        <v>798</v>
      </c>
      <c r="M171" s="544" t="s">
        <v>310</v>
      </c>
      <c r="N171" s="413">
        <v>44748</v>
      </c>
      <c r="O171" s="414" t="s">
        <v>400</v>
      </c>
      <c r="P171" s="655">
        <f t="shared" si="6"/>
        <v>7</v>
      </c>
      <c r="Q171" s="655">
        <f t="shared" si="7"/>
        <v>7</v>
      </c>
      <c r="R171" s="695" t="str">
        <f t="shared" si="8"/>
        <v>Gastos_Gerais</v>
      </c>
      <c r="S171" s="697" t="s">
        <v>310</v>
      </c>
      <c r="T171" s="697" t="s">
        <v>310</v>
      </c>
    </row>
    <row r="172" spans="1:20" ht="36" x14ac:dyDescent="0.2">
      <c r="A172" s="432">
        <f>IF(B172="","",COUNT('Diário 1º PA'!$A$4:$A$2635)+COUNT('Diário 2º PA'!$A$4:$A$3040)+ROW()-3)</f>
        <v>4268</v>
      </c>
      <c r="B172" s="413">
        <v>44748</v>
      </c>
      <c r="C172" s="431">
        <v>44743</v>
      </c>
      <c r="D172" s="415" t="s">
        <v>271</v>
      </c>
      <c r="E172" s="415" t="s">
        <v>71</v>
      </c>
      <c r="F172" s="425">
        <v>11</v>
      </c>
      <c r="G172" s="427" t="s">
        <v>5890</v>
      </c>
      <c r="H172" s="415" t="s">
        <v>310</v>
      </c>
      <c r="I172" s="398" t="s">
        <v>881</v>
      </c>
      <c r="J172" s="418" t="s">
        <v>882</v>
      </c>
      <c r="K172" s="418" t="s">
        <v>883</v>
      </c>
      <c r="L172" s="399" t="s">
        <v>798</v>
      </c>
      <c r="M172" s="544" t="s">
        <v>310</v>
      </c>
      <c r="N172" s="413">
        <v>44748</v>
      </c>
      <c r="O172" s="414" t="s">
        <v>400</v>
      </c>
      <c r="P172" s="655">
        <f t="shared" si="6"/>
        <v>7</v>
      </c>
      <c r="Q172" s="655">
        <f t="shared" si="7"/>
        <v>7</v>
      </c>
      <c r="R172" s="695" t="str">
        <f t="shared" si="8"/>
        <v>Gastos_Gerais</v>
      </c>
      <c r="S172" s="697" t="s">
        <v>310</v>
      </c>
      <c r="T172" s="697" t="s">
        <v>310</v>
      </c>
    </row>
    <row r="173" spans="1:20" ht="36" x14ac:dyDescent="0.2">
      <c r="A173" s="432">
        <f>IF(B173="","",COUNT('Diário 1º PA'!$A$4:$A$2635)+COUNT('Diário 2º PA'!$A$4:$A$3040)+ROW()-3)</f>
        <v>4269</v>
      </c>
      <c r="B173" s="413">
        <v>44748</v>
      </c>
      <c r="C173" s="431">
        <v>44743</v>
      </c>
      <c r="D173" s="415" t="s">
        <v>271</v>
      </c>
      <c r="E173" s="415" t="s">
        <v>71</v>
      </c>
      <c r="F173" s="425">
        <v>11</v>
      </c>
      <c r="G173" s="427" t="s">
        <v>5891</v>
      </c>
      <c r="H173" s="415" t="s">
        <v>310</v>
      </c>
      <c r="I173" s="398" t="s">
        <v>881</v>
      </c>
      <c r="J173" s="418" t="s">
        <v>882</v>
      </c>
      <c r="K173" s="418" t="s">
        <v>883</v>
      </c>
      <c r="L173" s="399" t="s">
        <v>798</v>
      </c>
      <c r="M173" s="544" t="s">
        <v>310</v>
      </c>
      <c r="N173" s="413">
        <v>44748</v>
      </c>
      <c r="O173" s="414" t="s">
        <v>400</v>
      </c>
      <c r="P173" s="655">
        <f t="shared" si="6"/>
        <v>7</v>
      </c>
      <c r="Q173" s="655">
        <f t="shared" si="7"/>
        <v>7</v>
      </c>
      <c r="R173" s="695" t="str">
        <f t="shared" si="8"/>
        <v>Gastos_Gerais</v>
      </c>
      <c r="S173" s="697" t="s">
        <v>310</v>
      </c>
      <c r="T173" s="697" t="s">
        <v>310</v>
      </c>
    </row>
    <row r="174" spans="1:20" ht="36" x14ac:dyDescent="0.2">
      <c r="A174" s="432">
        <f>IF(B174="","",COUNT('Diário 1º PA'!$A$4:$A$2635)+COUNT('Diário 2º PA'!$A$4:$A$3040)+ROW()-3)</f>
        <v>4270</v>
      </c>
      <c r="B174" s="413">
        <v>44748</v>
      </c>
      <c r="C174" s="431">
        <v>44743</v>
      </c>
      <c r="D174" s="415" t="s">
        <v>271</v>
      </c>
      <c r="E174" s="415" t="s">
        <v>71</v>
      </c>
      <c r="F174" s="425">
        <v>11</v>
      </c>
      <c r="G174" s="427" t="s">
        <v>5892</v>
      </c>
      <c r="H174" s="415" t="s">
        <v>310</v>
      </c>
      <c r="I174" s="398" t="s">
        <v>881</v>
      </c>
      <c r="J174" s="418" t="s">
        <v>882</v>
      </c>
      <c r="K174" s="418" t="s">
        <v>883</v>
      </c>
      <c r="L174" s="399" t="s">
        <v>798</v>
      </c>
      <c r="M174" s="544" t="s">
        <v>310</v>
      </c>
      <c r="N174" s="413">
        <v>44748</v>
      </c>
      <c r="O174" s="414" t="s">
        <v>400</v>
      </c>
      <c r="P174" s="655">
        <f t="shared" si="6"/>
        <v>7</v>
      </c>
      <c r="Q174" s="655">
        <f t="shared" si="7"/>
        <v>7</v>
      </c>
      <c r="R174" s="695" t="str">
        <f t="shared" si="8"/>
        <v>Gastos_Gerais</v>
      </c>
      <c r="S174" s="697" t="s">
        <v>310</v>
      </c>
      <c r="T174" s="697" t="s">
        <v>310</v>
      </c>
    </row>
    <row r="175" spans="1:20" ht="60" x14ac:dyDescent="0.2">
      <c r="A175" s="432">
        <f>IF(B175="","",COUNT('Diário 1º PA'!$A$4:$A$2635)+COUNT('Diário 2º PA'!$A$4:$A$3040)+ROW()-3)</f>
        <v>4271</v>
      </c>
      <c r="B175" s="413">
        <v>44748</v>
      </c>
      <c r="C175" s="431">
        <v>44713</v>
      </c>
      <c r="D175" s="415" t="s">
        <v>468</v>
      </c>
      <c r="E175" s="415" t="s">
        <v>468</v>
      </c>
      <c r="F175" s="425">
        <v>2200</v>
      </c>
      <c r="G175" s="427" t="s">
        <v>4477</v>
      </c>
      <c r="H175" s="415" t="s">
        <v>468</v>
      </c>
      <c r="I175" s="398" t="s">
        <v>6401</v>
      </c>
      <c r="J175" s="415" t="s">
        <v>4478</v>
      </c>
      <c r="K175" s="418" t="s">
        <v>830</v>
      </c>
      <c r="L175" s="399" t="s">
        <v>32</v>
      </c>
      <c r="M175" s="419" t="s">
        <v>848</v>
      </c>
      <c r="N175" s="413">
        <v>44747</v>
      </c>
      <c r="O175" s="414" t="s">
        <v>408</v>
      </c>
      <c r="P175" s="655">
        <f t="shared" si="6"/>
        <v>7</v>
      </c>
      <c r="Q175" s="655">
        <f t="shared" si="7"/>
        <v>6</v>
      </c>
      <c r="R175" s="695" t="str">
        <f t="shared" si="8"/>
        <v>Gastos_custeados_por_captação</v>
      </c>
      <c r="S175" s="697" t="s">
        <v>1000</v>
      </c>
      <c r="T175" s="697">
        <v>3829</v>
      </c>
    </row>
    <row r="176" spans="1:20" ht="36" x14ac:dyDescent="0.2">
      <c r="A176" s="432">
        <f>IF(B176="","",COUNT('Diário 1º PA'!$A$4:$A$2635)+COUNT('Diário 2º PA'!$A$4:$A$3040)+ROW()-3)</f>
        <v>4272</v>
      </c>
      <c r="B176" s="413">
        <v>44748</v>
      </c>
      <c r="C176" s="431">
        <v>44713</v>
      </c>
      <c r="D176" s="415" t="s">
        <v>468</v>
      </c>
      <c r="E176" s="415" t="s">
        <v>468</v>
      </c>
      <c r="F176" s="425">
        <v>3820</v>
      </c>
      <c r="G176" s="427" t="s">
        <v>695</v>
      </c>
      <c r="H176" s="415" t="s">
        <v>468</v>
      </c>
      <c r="I176" s="398" t="s">
        <v>6402</v>
      </c>
      <c r="J176" s="415" t="s">
        <v>1125</v>
      </c>
      <c r="K176" s="418" t="s">
        <v>830</v>
      </c>
      <c r="L176" s="399" t="s">
        <v>32</v>
      </c>
      <c r="M176" s="419" t="s">
        <v>1540</v>
      </c>
      <c r="N176" s="413">
        <v>44746</v>
      </c>
      <c r="O176" s="414" t="s">
        <v>408</v>
      </c>
      <c r="P176" s="655">
        <f t="shared" si="6"/>
        <v>7</v>
      </c>
      <c r="Q176" s="655">
        <f t="shared" si="7"/>
        <v>6</v>
      </c>
      <c r="R176" s="695" t="str">
        <f t="shared" si="8"/>
        <v>Gastos_custeados_por_captação</v>
      </c>
      <c r="S176" s="697" t="s">
        <v>1000</v>
      </c>
      <c r="T176" s="697">
        <v>2631</v>
      </c>
    </row>
    <row r="177" spans="1:20" ht="36" x14ac:dyDescent="0.2">
      <c r="A177" s="432">
        <f>IF(B177="","",COUNT('Diário 1º PA'!$A$4:$A$2635)+COUNT('Diário 2º PA'!$A$4:$A$3040)+ROW()-3)</f>
        <v>4273</v>
      </c>
      <c r="B177" s="413">
        <v>44748</v>
      </c>
      <c r="C177" s="424">
        <v>44774</v>
      </c>
      <c r="D177" s="415" t="s">
        <v>468</v>
      </c>
      <c r="E177" s="415" t="s">
        <v>468</v>
      </c>
      <c r="F177" s="425">
        <v>11</v>
      </c>
      <c r="G177" s="427" t="s">
        <v>2469</v>
      </c>
      <c r="H177" s="415" t="s">
        <v>468</v>
      </c>
      <c r="I177" s="639" t="s">
        <v>881</v>
      </c>
      <c r="J177" s="418" t="s">
        <v>882</v>
      </c>
      <c r="K177" s="418" t="s">
        <v>883</v>
      </c>
      <c r="L177" s="399" t="s">
        <v>798</v>
      </c>
      <c r="M177" s="544" t="s">
        <v>310</v>
      </c>
      <c r="N177" s="413">
        <v>44748</v>
      </c>
      <c r="O177" s="414" t="s">
        <v>408</v>
      </c>
      <c r="P177" s="655">
        <f t="shared" si="6"/>
        <v>7</v>
      </c>
      <c r="Q177" s="655">
        <f t="shared" si="7"/>
        <v>8</v>
      </c>
      <c r="R177" s="695" t="str">
        <f t="shared" si="8"/>
        <v>Gastos_custeados_por_captação</v>
      </c>
      <c r="S177" s="698" t="s">
        <v>310</v>
      </c>
      <c r="T177" s="698" t="s">
        <v>310</v>
      </c>
    </row>
    <row r="178" spans="1:20" ht="36" x14ac:dyDescent="0.2">
      <c r="A178" s="432">
        <f>IF(B178="","",COUNT('Diário 1º PA'!$A$4:$A$2635)+COUNT('Diário 2º PA'!$A$4:$A$3040)+ROW()-3)</f>
        <v>4274</v>
      </c>
      <c r="B178" s="413">
        <v>44748</v>
      </c>
      <c r="C178" s="424">
        <v>44774</v>
      </c>
      <c r="D178" s="415" t="s">
        <v>468</v>
      </c>
      <c r="E178" s="415" t="s">
        <v>468</v>
      </c>
      <c r="F178" s="425">
        <v>11</v>
      </c>
      <c r="G178" s="427" t="s">
        <v>2469</v>
      </c>
      <c r="H178" s="415" t="s">
        <v>468</v>
      </c>
      <c r="I178" s="639" t="s">
        <v>881</v>
      </c>
      <c r="J178" s="418" t="s">
        <v>882</v>
      </c>
      <c r="K178" s="418" t="s">
        <v>883</v>
      </c>
      <c r="L178" s="399" t="s">
        <v>798</v>
      </c>
      <c r="M178" s="544" t="s">
        <v>310</v>
      </c>
      <c r="N178" s="413">
        <v>44748</v>
      </c>
      <c r="O178" s="414" t="s">
        <v>408</v>
      </c>
      <c r="P178" s="655">
        <f t="shared" si="6"/>
        <v>7</v>
      </c>
      <c r="Q178" s="655">
        <f t="shared" si="7"/>
        <v>8</v>
      </c>
      <c r="R178" s="695" t="str">
        <f t="shared" si="8"/>
        <v>Gastos_custeados_por_captação</v>
      </c>
      <c r="S178" s="698" t="s">
        <v>310</v>
      </c>
      <c r="T178" s="698" t="s">
        <v>310</v>
      </c>
    </row>
    <row r="179" spans="1:20" ht="48" x14ac:dyDescent="0.2">
      <c r="A179" s="432">
        <f>IF(B179="","",COUNT('Diário 1º PA'!$A$4:$A$2635)+COUNT('Diário 2º PA'!$A$4:$A$3040)+ROW()-3)</f>
        <v>4275</v>
      </c>
      <c r="B179" s="413">
        <v>44748</v>
      </c>
      <c r="C179" s="431">
        <v>44682</v>
      </c>
      <c r="D179" s="415" t="s">
        <v>468</v>
      </c>
      <c r="E179" s="415" t="s">
        <v>468</v>
      </c>
      <c r="F179" s="425">
        <v>5176.1099999999997</v>
      </c>
      <c r="G179" s="427" t="s">
        <v>4317</v>
      </c>
      <c r="H179" s="415" t="s">
        <v>468</v>
      </c>
      <c r="I179" s="398" t="s">
        <v>6433</v>
      </c>
      <c r="J179" s="415" t="s">
        <v>4316</v>
      </c>
      <c r="K179" s="418" t="s">
        <v>830</v>
      </c>
      <c r="L179" s="399" t="s">
        <v>839</v>
      </c>
      <c r="M179" s="544">
        <v>1865</v>
      </c>
      <c r="N179" s="413">
        <v>44747</v>
      </c>
      <c r="O179" s="414" t="s">
        <v>3762</v>
      </c>
      <c r="P179" s="655">
        <f t="shared" si="6"/>
        <v>7</v>
      </c>
      <c r="Q179" s="655">
        <f t="shared" si="7"/>
        <v>5</v>
      </c>
      <c r="R179" s="695" t="str">
        <f t="shared" si="8"/>
        <v>Gastos_custeados_por_captação</v>
      </c>
      <c r="S179" s="697" t="s">
        <v>998</v>
      </c>
      <c r="T179" s="697">
        <v>3752</v>
      </c>
    </row>
    <row r="180" spans="1:20" ht="120" x14ac:dyDescent="0.2">
      <c r="A180" s="432">
        <f>IF(B180="","",COUNT('Diário 1º PA'!$A$4:$A$2635)+COUNT('Diário 2º PA'!$A$4:$A$3040)+ROW()-3)</f>
        <v>4276</v>
      </c>
      <c r="B180" s="413">
        <v>44748</v>
      </c>
      <c r="C180" s="431">
        <v>44713</v>
      </c>
      <c r="D180" s="415" t="s">
        <v>468</v>
      </c>
      <c r="E180" s="415" t="s">
        <v>468</v>
      </c>
      <c r="F180" s="425">
        <v>1680</v>
      </c>
      <c r="G180" s="427" t="s">
        <v>675</v>
      </c>
      <c r="H180" s="415" t="s">
        <v>468</v>
      </c>
      <c r="I180" s="398" t="s">
        <v>3918</v>
      </c>
      <c r="J180" s="415" t="s">
        <v>1109</v>
      </c>
      <c r="K180" s="418" t="s">
        <v>830</v>
      </c>
      <c r="L180" s="399" t="s">
        <v>839</v>
      </c>
      <c r="M180" s="544">
        <v>1871</v>
      </c>
      <c r="N180" s="413">
        <v>44747</v>
      </c>
      <c r="O180" s="414" t="s">
        <v>3762</v>
      </c>
      <c r="P180" s="655">
        <f t="shared" si="6"/>
        <v>7</v>
      </c>
      <c r="Q180" s="655">
        <f t="shared" si="7"/>
        <v>6</v>
      </c>
      <c r="R180" s="695" t="str">
        <f t="shared" si="8"/>
        <v>Gastos_custeados_por_captação</v>
      </c>
      <c r="S180" s="697" t="s">
        <v>1000</v>
      </c>
      <c r="T180" s="697">
        <v>3613</v>
      </c>
    </row>
    <row r="181" spans="1:20" ht="48" x14ac:dyDescent="0.2">
      <c r="A181" s="432">
        <f>IF(B181="","",COUNT('Diário 1º PA'!$A$4:$A$2635)+COUNT('Diário 2º PA'!$A$4:$A$3040)+ROW()-3)</f>
        <v>4277</v>
      </c>
      <c r="B181" s="413">
        <v>44748</v>
      </c>
      <c r="C181" s="431">
        <v>44743</v>
      </c>
      <c r="D181" s="415" t="s">
        <v>468</v>
      </c>
      <c r="E181" s="415" t="s">
        <v>468</v>
      </c>
      <c r="F181" s="425">
        <v>153</v>
      </c>
      <c r="G181" s="440" t="s">
        <v>880</v>
      </c>
      <c r="H181" s="415" t="s">
        <v>468</v>
      </c>
      <c r="I181" s="639" t="s">
        <v>881</v>
      </c>
      <c r="J181" s="418" t="s">
        <v>882</v>
      </c>
      <c r="K181" s="418" t="s">
        <v>883</v>
      </c>
      <c r="L181" s="399" t="s">
        <v>798</v>
      </c>
      <c r="M181" s="544" t="s">
        <v>310</v>
      </c>
      <c r="N181" s="413">
        <v>44748</v>
      </c>
      <c r="O181" s="414" t="s">
        <v>3762</v>
      </c>
      <c r="P181" s="655">
        <f t="shared" si="6"/>
        <v>7</v>
      </c>
      <c r="Q181" s="655">
        <f t="shared" si="7"/>
        <v>7</v>
      </c>
      <c r="R181" s="695" t="str">
        <f t="shared" si="8"/>
        <v>Gastos_custeados_por_captação</v>
      </c>
      <c r="S181" s="697" t="s">
        <v>310</v>
      </c>
      <c r="T181" s="697" t="s">
        <v>310</v>
      </c>
    </row>
    <row r="182" spans="1:20" ht="60" x14ac:dyDescent="0.2">
      <c r="A182" s="432">
        <f>IF(B182="","",COUNT('Diário 1º PA'!$A$4:$A$2635)+COUNT('Diário 2º PA'!$A$4:$A$3040)+ROW()-3)</f>
        <v>4278</v>
      </c>
      <c r="B182" s="413">
        <v>44748</v>
      </c>
      <c r="C182" s="431">
        <v>44682</v>
      </c>
      <c r="D182" s="415" t="s">
        <v>468</v>
      </c>
      <c r="E182" s="415" t="s">
        <v>468</v>
      </c>
      <c r="F182" s="425">
        <v>2462.5500000000002</v>
      </c>
      <c r="G182" s="427" t="s">
        <v>4479</v>
      </c>
      <c r="H182" s="415" t="s">
        <v>468</v>
      </c>
      <c r="I182" s="639" t="s">
        <v>4808</v>
      </c>
      <c r="J182" s="418" t="s">
        <v>1129</v>
      </c>
      <c r="K182" s="418" t="s">
        <v>830</v>
      </c>
      <c r="L182" s="399" t="s">
        <v>839</v>
      </c>
      <c r="M182" s="544">
        <v>1864</v>
      </c>
      <c r="N182" s="413">
        <v>44747</v>
      </c>
      <c r="O182" s="414" t="s">
        <v>404</v>
      </c>
      <c r="P182" s="655">
        <f t="shared" si="6"/>
        <v>7</v>
      </c>
      <c r="Q182" s="655">
        <f t="shared" si="7"/>
        <v>5</v>
      </c>
      <c r="R182" s="695" t="str">
        <f t="shared" si="8"/>
        <v>Gastos_custeados_por_captação</v>
      </c>
      <c r="S182" s="697" t="s">
        <v>1000</v>
      </c>
      <c r="T182" s="697">
        <v>3834</v>
      </c>
    </row>
    <row r="183" spans="1:20" ht="60" x14ac:dyDescent="0.2">
      <c r="A183" s="432">
        <f>IF(B183="","",COUNT('Diário 1º PA'!$A$4:$A$2635)+COUNT('Diário 2º PA'!$A$4:$A$3040)+ROW()-3)</f>
        <v>4279</v>
      </c>
      <c r="B183" s="413">
        <v>44748</v>
      </c>
      <c r="C183" s="431">
        <v>44713</v>
      </c>
      <c r="D183" s="415" t="s">
        <v>468</v>
      </c>
      <c r="E183" s="415" t="s">
        <v>468</v>
      </c>
      <c r="F183" s="425">
        <v>571.02</v>
      </c>
      <c r="G183" s="427" t="s">
        <v>4472</v>
      </c>
      <c r="H183" s="415" t="s">
        <v>468</v>
      </c>
      <c r="I183" s="639" t="s">
        <v>6555</v>
      </c>
      <c r="J183" s="415" t="s">
        <v>4473</v>
      </c>
      <c r="K183" s="418" t="s">
        <v>812</v>
      </c>
      <c r="L183" s="399" t="s">
        <v>32</v>
      </c>
      <c r="M183" s="418" t="s">
        <v>6556</v>
      </c>
      <c r="N183" s="413">
        <v>44727</v>
      </c>
      <c r="O183" s="414" t="s">
        <v>404</v>
      </c>
      <c r="P183" s="655">
        <f t="shared" si="6"/>
        <v>7</v>
      </c>
      <c r="Q183" s="655">
        <f t="shared" si="7"/>
        <v>6</v>
      </c>
      <c r="R183" s="695" t="str">
        <f t="shared" si="8"/>
        <v>Gastos_custeados_por_captação</v>
      </c>
      <c r="S183" s="697" t="s">
        <v>998</v>
      </c>
      <c r="T183" s="697">
        <v>3840</v>
      </c>
    </row>
    <row r="184" spans="1:20" ht="60" x14ac:dyDescent="0.2">
      <c r="A184" s="432">
        <f>IF(B184="","",COUNT('Diário 1º PA'!$A$4:$A$2635)+COUNT('Diário 2º PA'!$A$4:$A$3040)+ROW()-3)</f>
        <v>4280</v>
      </c>
      <c r="B184" s="413">
        <v>44748</v>
      </c>
      <c r="C184" s="431">
        <v>44713</v>
      </c>
      <c r="D184" s="415" t="s">
        <v>468</v>
      </c>
      <c r="E184" s="415" t="s">
        <v>468</v>
      </c>
      <c r="F184" s="425">
        <v>2269.2399999999998</v>
      </c>
      <c r="G184" s="427" t="s">
        <v>3898</v>
      </c>
      <c r="H184" s="415" t="s">
        <v>468</v>
      </c>
      <c r="I184" s="639" t="s">
        <v>5494</v>
      </c>
      <c r="J184" s="415" t="s">
        <v>3899</v>
      </c>
      <c r="K184" s="418" t="s">
        <v>830</v>
      </c>
      <c r="L184" s="399" t="s">
        <v>839</v>
      </c>
      <c r="M184" s="544">
        <v>1866</v>
      </c>
      <c r="N184" s="413">
        <v>44747</v>
      </c>
      <c r="O184" s="414" t="s">
        <v>405</v>
      </c>
      <c r="P184" s="655">
        <f t="shared" si="6"/>
        <v>7</v>
      </c>
      <c r="Q184" s="655">
        <f t="shared" si="7"/>
        <v>6</v>
      </c>
      <c r="R184" s="695" t="str">
        <f t="shared" si="8"/>
        <v>Gastos_custeados_por_captação</v>
      </c>
      <c r="S184" s="697" t="s">
        <v>1000</v>
      </c>
      <c r="T184" s="697">
        <v>3617</v>
      </c>
    </row>
    <row r="185" spans="1:20" ht="60" x14ac:dyDescent="0.2">
      <c r="A185" s="432">
        <f>IF(B185="","",COUNT('Diário 1º PA'!$A$4:$A$2635)+COUNT('Diário 2º PA'!$A$4:$A$3040)+ROW()-3)</f>
        <v>4281</v>
      </c>
      <c r="B185" s="413">
        <v>44748</v>
      </c>
      <c r="C185" s="431">
        <v>44713</v>
      </c>
      <c r="D185" s="415" t="s">
        <v>468</v>
      </c>
      <c r="E185" s="415" t="s">
        <v>468</v>
      </c>
      <c r="F185" s="425">
        <v>3002.55</v>
      </c>
      <c r="G185" s="427" t="s">
        <v>4613</v>
      </c>
      <c r="H185" s="415" t="s">
        <v>468</v>
      </c>
      <c r="I185" s="639" t="s">
        <v>5742</v>
      </c>
      <c r="J185" s="415" t="s">
        <v>4614</v>
      </c>
      <c r="K185" s="418" t="s">
        <v>830</v>
      </c>
      <c r="L185" s="399" t="s">
        <v>839</v>
      </c>
      <c r="M185" s="544">
        <v>1863</v>
      </c>
      <c r="N185" s="413">
        <v>44746</v>
      </c>
      <c r="O185" s="414" t="s">
        <v>405</v>
      </c>
      <c r="P185" s="655">
        <f t="shared" si="6"/>
        <v>7</v>
      </c>
      <c r="Q185" s="655">
        <f t="shared" si="7"/>
        <v>6</v>
      </c>
      <c r="R185" s="695" t="str">
        <f t="shared" si="8"/>
        <v>Gastos_custeados_por_captação</v>
      </c>
      <c r="S185" s="697" t="s">
        <v>998</v>
      </c>
      <c r="T185" s="697">
        <v>3877</v>
      </c>
    </row>
    <row r="186" spans="1:20" ht="60" x14ac:dyDescent="0.2">
      <c r="A186" s="432">
        <f>IF(B186="","",COUNT('Diário 1º PA'!$A$4:$A$2635)+COUNT('Diário 2º PA'!$A$4:$A$3040)+ROW()-3)</f>
        <v>4282</v>
      </c>
      <c r="B186" s="413">
        <v>44748</v>
      </c>
      <c r="C186" s="431">
        <v>44713</v>
      </c>
      <c r="D186" s="415" t="s">
        <v>468</v>
      </c>
      <c r="E186" s="415" t="s">
        <v>468</v>
      </c>
      <c r="F186" s="425">
        <v>2522.5500000000002</v>
      </c>
      <c r="G186" s="427" t="s">
        <v>670</v>
      </c>
      <c r="H186" s="415" t="s">
        <v>468</v>
      </c>
      <c r="I186" s="639" t="s">
        <v>2358</v>
      </c>
      <c r="J186" s="415" t="s">
        <v>1132</v>
      </c>
      <c r="K186" s="418" t="s">
        <v>830</v>
      </c>
      <c r="L186" s="399" t="s">
        <v>839</v>
      </c>
      <c r="M186" s="544">
        <v>1867</v>
      </c>
      <c r="N186" s="413">
        <v>44747</v>
      </c>
      <c r="O186" s="414" t="s">
        <v>405</v>
      </c>
      <c r="P186" s="655">
        <f t="shared" si="6"/>
        <v>7</v>
      </c>
      <c r="Q186" s="655">
        <f t="shared" si="7"/>
        <v>6</v>
      </c>
      <c r="R186" s="695" t="str">
        <f t="shared" si="8"/>
        <v>Gastos_custeados_por_captação</v>
      </c>
      <c r="S186" s="697" t="s">
        <v>1000</v>
      </c>
      <c r="T186" s="697">
        <v>3724</v>
      </c>
    </row>
    <row r="187" spans="1:20" ht="60" x14ac:dyDescent="0.2">
      <c r="A187" s="432">
        <f>IF(B187="","",COUNT('Diário 1º PA'!$A$4:$A$2635)+COUNT('Diário 2º PA'!$A$4:$A$3040)+ROW()-3)</f>
        <v>4283</v>
      </c>
      <c r="B187" s="413">
        <v>44748</v>
      </c>
      <c r="C187" s="431">
        <v>44713</v>
      </c>
      <c r="D187" s="415" t="s">
        <v>468</v>
      </c>
      <c r="E187" s="415" t="s">
        <v>468</v>
      </c>
      <c r="F187" s="425">
        <v>1500</v>
      </c>
      <c r="G187" s="427" t="s">
        <v>4758</v>
      </c>
      <c r="H187" s="415" t="s">
        <v>468</v>
      </c>
      <c r="I187" s="639" t="s">
        <v>6592</v>
      </c>
      <c r="J187" s="415" t="s">
        <v>4759</v>
      </c>
      <c r="K187" s="418" t="s">
        <v>830</v>
      </c>
      <c r="L187" s="399" t="s">
        <v>1305</v>
      </c>
      <c r="M187" s="544" t="s">
        <v>310</v>
      </c>
      <c r="N187" s="413">
        <v>44746</v>
      </c>
      <c r="O187" s="414" t="s">
        <v>405</v>
      </c>
      <c r="P187" s="655">
        <f t="shared" si="6"/>
        <v>7</v>
      </c>
      <c r="Q187" s="655">
        <f t="shared" si="7"/>
        <v>6</v>
      </c>
      <c r="R187" s="695" t="str">
        <f t="shared" si="8"/>
        <v>Gastos_custeados_por_captação</v>
      </c>
      <c r="S187" s="697" t="s">
        <v>998</v>
      </c>
      <c r="T187" s="697">
        <v>3919</v>
      </c>
    </row>
    <row r="188" spans="1:20" ht="60" x14ac:dyDescent="0.2">
      <c r="A188" s="432">
        <f>IF(B188="","",COUNT('Diário 1º PA'!$A$4:$A$2635)+COUNT('Diário 2º PA'!$A$4:$A$3040)+ROW()-3)</f>
        <v>4284</v>
      </c>
      <c r="B188" s="414">
        <v>44749</v>
      </c>
      <c r="C188" s="424">
        <v>44713</v>
      </c>
      <c r="D188" s="415" t="s">
        <v>182</v>
      </c>
      <c r="E188" s="415" t="s">
        <v>4</v>
      </c>
      <c r="F188" s="425">
        <v>-2527.0300000000002</v>
      </c>
      <c r="G188" s="427" t="s">
        <v>5910</v>
      </c>
      <c r="H188" s="415" t="s">
        <v>310</v>
      </c>
      <c r="I188" s="473" t="s">
        <v>795</v>
      </c>
      <c r="J188" s="415" t="s">
        <v>796</v>
      </c>
      <c r="K188" s="415" t="s">
        <v>797</v>
      </c>
      <c r="L188" s="415" t="s">
        <v>798</v>
      </c>
      <c r="M188" s="415" t="s">
        <v>310</v>
      </c>
      <c r="N188" s="414">
        <v>44749</v>
      </c>
      <c r="O188" s="414" t="s">
        <v>400</v>
      </c>
      <c r="P188" s="655">
        <f t="shared" si="6"/>
        <v>7</v>
      </c>
      <c r="Q188" s="655">
        <f t="shared" si="7"/>
        <v>6</v>
      </c>
      <c r="R188" s="695" t="str">
        <f t="shared" si="8"/>
        <v>Gastos_com_Pessoal</v>
      </c>
      <c r="S188" s="697" t="s">
        <v>310</v>
      </c>
      <c r="T188" s="697" t="s">
        <v>310</v>
      </c>
    </row>
    <row r="189" spans="1:20" ht="48" x14ac:dyDescent="0.2">
      <c r="A189" s="432">
        <f>IF(B189="","",COUNT('Diário 1º PA'!$A$4:$A$2635)+COUNT('Diário 2º PA'!$A$4:$A$3040)+ROW()-3)</f>
        <v>4285</v>
      </c>
      <c r="B189" s="414">
        <v>44749</v>
      </c>
      <c r="C189" s="431">
        <v>44713</v>
      </c>
      <c r="D189" s="415" t="s">
        <v>271</v>
      </c>
      <c r="E189" s="415" t="s">
        <v>9</v>
      </c>
      <c r="F189" s="435">
        <v>-1741.71</v>
      </c>
      <c r="G189" s="437" t="s">
        <v>1622</v>
      </c>
      <c r="H189" s="415" t="s">
        <v>309</v>
      </c>
      <c r="I189" s="474" t="s">
        <v>795</v>
      </c>
      <c r="J189" s="434" t="s">
        <v>796</v>
      </c>
      <c r="K189" s="434" t="s">
        <v>797</v>
      </c>
      <c r="L189" s="434" t="s">
        <v>798</v>
      </c>
      <c r="M189" s="436" t="s">
        <v>310</v>
      </c>
      <c r="N189" s="414">
        <v>44749</v>
      </c>
      <c r="O189" s="414" t="s">
        <v>400</v>
      </c>
      <c r="P189" s="655">
        <f t="shared" si="6"/>
        <v>7</v>
      </c>
      <c r="Q189" s="655">
        <f t="shared" si="7"/>
        <v>6</v>
      </c>
      <c r="R189" s="695" t="str">
        <f t="shared" si="8"/>
        <v>Gastos_Gerais</v>
      </c>
      <c r="S189" s="697" t="s">
        <v>310</v>
      </c>
      <c r="T189" s="697" t="s">
        <v>310</v>
      </c>
    </row>
    <row r="190" spans="1:20" ht="84" x14ac:dyDescent="0.2">
      <c r="A190" s="432">
        <f>IF(B190="","",COUNT('Diário 1º PA'!$A$4:$A$2635)+COUNT('Diário 2º PA'!$A$4:$A$3040)+ROW()-3)</f>
        <v>4286</v>
      </c>
      <c r="B190" s="414">
        <v>44749</v>
      </c>
      <c r="C190" s="431">
        <v>44713</v>
      </c>
      <c r="D190" s="415" t="s">
        <v>271</v>
      </c>
      <c r="E190" s="415" t="s">
        <v>186</v>
      </c>
      <c r="F190" s="435">
        <v>-1901.52</v>
      </c>
      <c r="G190" s="437" t="s">
        <v>3362</v>
      </c>
      <c r="H190" s="434" t="s">
        <v>309</v>
      </c>
      <c r="I190" s="474" t="s">
        <v>795</v>
      </c>
      <c r="J190" s="434" t="s">
        <v>796</v>
      </c>
      <c r="K190" s="434" t="s">
        <v>797</v>
      </c>
      <c r="L190" s="434" t="s">
        <v>798</v>
      </c>
      <c r="M190" s="436" t="s">
        <v>310</v>
      </c>
      <c r="N190" s="414">
        <v>44749</v>
      </c>
      <c r="O190" s="414" t="s">
        <v>400</v>
      </c>
      <c r="P190" s="655">
        <f t="shared" si="6"/>
        <v>7</v>
      </c>
      <c r="Q190" s="655">
        <f t="shared" si="7"/>
        <v>6</v>
      </c>
      <c r="R190" s="695" t="str">
        <f t="shared" si="8"/>
        <v>Gastos_Gerais</v>
      </c>
      <c r="S190" s="697" t="s">
        <v>310</v>
      </c>
      <c r="T190" s="697" t="s">
        <v>310</v>
      </c>
    </row>
    <row r="191" spans="1:20" ht="99.95" customHeight="1" x14ac:dyDescent="0.2">
      <c r="A191" s="432">
        <f>IF(B191="","",COUNT('Diário 1º PA'!$A$4:$A$2635)+COUNT('Diário 2º PA'!$A$4:$A$3040)+ROW()-3)</f>
        <v>4287</v>
      </c>
      <c r="B191" s="414">
        <v>44749</v>
      </c>
      <c r="C191" s="431">
        <v>44713</v>
      </c>
      <c r="D191" s="415" t="s">
        <v>182</v>
      </c>
      <c r="E191" s="415" t="s">
        <v>4</v>
      </c>
      <c r="F191" s="425">
        <v>-120</v>
      </c>
      <c r="G191" s="427" t="s">
        <v>5911</v>
      </c>
      <c r="H191" s="415" t="s">
        <v>310</v>
      </c>
      <c r="I191" s="473" t="s">
        <v>795</v>
      </c>
      <c r="J191" s="415" t="s">
        <v>796</v>
      </c>
      <c r="K191" s="415" t="s">
        <v>797</v>
      </c>
      <c r="L191" s="415" t="s">
        <v>798</v>
      </c>
      <c r="M191" s="415" t="s">
        <v>310</v>
      </c>
      <c r="N191" s="414">
        <v>44749</v>
      </c>
      <c r="O191" s="414" t="s">
        <v>400</v>
      </c>
      <c r="P191" s="655">
        <f t="shared" si="6"/>
        <v>7</v>
      </c>
      <c r="Q191" s="655">
        <f t="shared" si="7"/>
        <v>6</v>
      </c>
      <c r="R191" s="695" t="str">
        <f t="shared" si="8"/>
        <v>Gastos_com_Pessoal</v>
      </c>
      <c r="S191" s="697" t="s">
        <v>310</v>
      </c>
      <c r="T191" s="697" t="s">
        <v>310</v>
      </c>
    </row>
    <row r="192" spans="1:20" ht="24" x14ac:dyDescent="0.2">
      <c r="A192" s="432">
        <f>IF(B192="","",COUNT('Diário 1º PA'!$A$4:$A$2635)+COUNT('Diário 2º PA'!$A$4:$A$3040)+ROW()-3)</f>
        <v>4288</v>
      </c>
      <c r="B192" s="414">
        <v>44749</v>
      </c>
      <c r="C192" s="431">
        <v>44713</v>
      </c>
      <c r="D192" s="415" t="s">
        <v>271</v>
      </c>
      <c r="E192" s="415" t="s">
        <v>9</v>
      </c>
      <c r="F192" s="425">
        <v>6309.32</v>
      </c>
      <c r="G192" s="427" t="s">
        <v>729</v>
      </c>
      <c r="H192" s="415" t="s">
        <v>309</v>
      </c>
      <c r="I192" s="415" t="s">
        <v>1620</v>
      </c>
      <c r="J192" s="419" t="s">
        <v>841</v>
      </c>
      <c r="K192" s="419" t="s">
        <v>806</v>
      </c>
      <c r="L192" s="415" t="s">
        <v>807</v>
      </c>
      <c r="M192" s="419" t="s">
        <v>5912</v>
      </c>
      <c r="N192" s="413">
        <v>44748</v>
      </c>
      <c r="O192" s="414" t="s">
        <v>400</v>
      </c>
      <c r="P192" s="655">
        <f t="shared" si="6"/>
        <v>7</v>
      </c>
      <c r="Q192" s="655">
        <f t="shared" si="7"/>
        <v>6</v>
      </c>
      <c r="R192" s="695" t="str">
        <f t="shared" si="8"/>
        <v>Gastos_Gerais</v>
      </c>
      <c r="S192" s="697" t="s">
        <v>1000</v>
      </c>
      <c r="T192" s="697">
        <v>2780</v>
      </c>
    </row>
    <row r="193" spans="1:20" ht="120" x14ac:dyDescent="0.2">
      <c r="A193" s="432">
        <f>IF(B193="","",COUNT('Diário 1º PA'!$A$4:$A$2635)+COUNT('Diário 2º PA'!$A$4:$A$3040)+ROW()-3)</f>
        <v>4289</v>
      </c>
      <c r="B193" s="414">
        <v>44749</v>
      </c>
      <c r="C193" s="431">
        <v>44713</v>
      </c>
      <c r="D193" s="594" t="s">
        <v>271</v>
      </c>
      <c r="E193" s="415" t="s">
        <v>456</v>
      </c>
      <c r="F193" s="425">
        <v>900</v>
      </c>
      <c r="G193" s="437" t="s">
        <v>5914</v>
      </c>
      <c r="H193" s="426" t="s">
        <v>752</v>
      </c>
      <c r="I193" s="473" t="s">
        <v>1389</v>
      </c>
      <c r="J193" s="415" t="s">
        <v>805</v>
      </c>
      <c r="K193" s="419" t="s">
        <v>806</v>
      </c>
      <c r="L193" s="415" t="s">
        <v>807</v>
      </c>
      <c r="M193" s="415" t="s">
        <v>1892</v>
      </c>
      <c r="N193" s="414">
        <v>44748</v>
      </c>
      <c r="O193" s="414" t="s">
        <v>400</v>
      </c>
      <c r="P193" s="655">
        <f t="shared" si="6"/>
        <v>7</v>
      </c>
      <c r="Q193" s="655">
        <f t="shared" si="7"/>
        <v>6</v>
      </c>
      <c r="R193" s="695" t="str">
        <f t="shared" si="8"/>
        <v>Gastos_Gerais</v>
      </c>
      <c r="S193" s="697" t="s">
        <v>1000</v>
      </c>
      <c r="T193" s="697">
        <v>3329</v>
      </c>
    </row>
    <row r="194" spans="1:20" ht="24" x14ac:dyDescent="0.2">
      <c r="A194" s="432">
        <f>IF(B194="","",COUNT('Diário 1º PA'!$A$4:$A$2635)+COUNT('Diário 2º PA'!$A$4:$A$3040)+ROW()-3)</f>
        <v>4290</v>
      </c>
      <c r="B194" s="414">
        <v>44749</v>
      </c>
      <c r="C194" s="424">
        <v>44713</v>
      </c>
      <c r="D194" s="415" t="s">
        <v>271</v>
      </c>
      <c r="E194" s="415" t="s">
        <v>85</v>
      </c>
      <c r="F194" s="425">
        <v>412.54</v>
      </c>
      <c r="G194" s="437" t="s">
        <v>3638</v>
      </c>
      <c r="H194" s="415" t="s">
        <v>750</v>
      </c>
      <c r="I194" s="474" t="s">
        <v>765</v>
      </c>
      <c r="J194" s="434" t="s">
        <v>892</v>
      </c>
      <c r="K194" s="415" t="s">
        <v>893</v>
      </c>
      <c r="L194" s="415" t="s">
        <v>807</v>
      </c>
      <c r="M194" s="415">
        <v>80912237</v>
      </c>
      <c r="N194" s="414">
        <v>44729</v>
      </c>
      <c r="O194" s="414" t="s">
        <v>400</v>
      </c>
      <c r="P194" s="655">
        <f t="shared" si="6"/>
        <v>7</v>
      </c>
      <c r="Q194" s="655">
        <f t="shared" si="7"/>
        <v>6</v>
      </c>
      <c r="R194" s="695" t="str">
        <f t="shared" si="8"/>
        <v>Gastos_Gerais</v>
      </c>
      <c r="S194" s="697" t="s">
        <v>310</v>
      </c>
      <c r="T194" s="697" t="s">
        <v>310</v>
      </c>
    </row>
    <row r="195" spans="1:20" ht="96" x14ac:dyDescent="0.2">
      <c r="A195" s="432">
        <f>IF(B195="","",COUNT('Diário 1º PA'!$A$4:$A$2635)+COUNT('Diário 2º PA'!$A$4:$A$3040)+ROW()-3)</f>
        <v>4291</v>
      </c>
      <c r="B195" s="414">
        <v>44749</v>
      </c>
      <c r="C195" s="431">
        <v>44743</v>
      </c>
      <c r="D195" s="415" t="s">
        <v>144</v>
      </c>
      <c r="E195" s="415" t="s">
        <v>235</v>
      </c>
      <c r="F195" s="425">
        <v>932.14</v>
      </c>
      <c r="G195" s="427" t="s">
        <v>5700</v>
      </c>
      <c r="H195" s="415" t="s">
        <v>310</v>
      </c>
      <c r="I195" s="415" t="s">
        <v>3357</v>
      </c>
      <c r="J195" s="415" t="s">
        <v>1006</v>
      </c>
      <c r="K195" s="415" t="s">
        <v>812</v>
      </c>
      <c r="L195" s="415" t="s">
        <v>310</v>
      </c>
      <c r="M195" s="419">
        <v>368987205</v>
      </c>
      <c r="N195" s="413">
        <v>44749</v>
      </c>
      <c r="O195" s="414" t="s">
        <v>400</v>
      </c>
      <c r="P195" s="655">
        <f t="shared" si="6"/>
        <v>7</v>
      </c>
      <c r="Q195" s="655">
        <f t="shared" si="7"/>
        <v>7</v>
      </c>
      <c r="R195" s="695" t="str">
        <f t="shared" si="8"/>
        <v>Aquisição_de_Bens_Permanentes</v>
      </c>
      <c r="S195" s="697" t="s">
        <v>999</v>
      </c>
      <c r="T195" s="697">
        <v>3771</v>
      </c>
    </row>
    <row r="196" spans="1:20" ht="48" x14ac:dyDescent="0.2">
      <c r="A196" s="432">
        <f>IF(B196="","",COUNT('Diário 1º PA'!$A$4:$A$2635)+COUNT('Diário 2º PA'!$A$4:$A$3040)+ROW()-3)</f>
        <v>4292</v>
      </c>
      <c r="B196" s="414">
        <v>44749</v>
      </c>
      <c r="C196" s="431">
        <v>44743</v>
      </c>
      <c r="D196" s="415" t="s">
        <v>144</v>
      </c>
      <c r="E196" s="415" t="s">
        <v>225</v>
      </c>
      <c r="F196" s="425">
        <v>674.09</v>
      </c>
      <c r="G196" s="427" t="s">
        <v>5782</v>
      </c>
      <c r="H196" s="415" t="s">
        <v>310</v>
      </c>
      <c r="I196" s="415" t="s">
        <v>3357</v>
      </c>
      <c r="J196" s="415" t="s">
        <v>1006</v>
      </c>
      <c r="K196" s="415" t="s">
        <v>812</v>
      </c>
      <c r="L196" s="415" t="s">
        <v>310</v>
      </c>
      <c r="M196" s="419">
        <v>369256884</v>
      </c>
      <c r="N196" s="413">
        <v>44749</v>
      </c>
      <c r="O196" s="414" t="s">
        <v>400</v>
      </c>
      <c r="P196" s="655">
        <f t="shared" si="6"/>
        <v>7</v>
      </c>
      <c r="Q196" s="655">
        <f t="shared" si="7"/>
        <v>7</v>
      </c>
      <c r="R196" s="695" t="str">
        <f t="shared" si="8"/>
        <v>Aquisição_de_Bens_Permanentes</v>
      </c>
      <c r="S196" s="697" t="s">
        <v>999</v>
      </c>
      <c r="T196" s="697">
        <v>4067</v>
      </c>
    </row>
    <row r="197" spans="1:20" ht="120" customHeight="1" x14ac:dyDescent="0.2">
      <c r="A197" s="432">
        <f>IF(B197="","",COUNT('Diário 1º PA'!$A$4:$A$2635)+COUNT('Diário 2º PA'!$A$4:$A$3040)+ROW()-3)</f>
        <v>4293</v>
      </c>
      <c r="B197" s="414">
        <v>44749</v>
      </c>
      <c r="C197" s="424">
        <v>44713</v>
      </c>
      <c r="D197" s="415" t="s">
        <v>182</v>
      </c>
      <c r="E197" s="415" t="s">
        <v>4</v>
      </c>
      <c r="F197" s="425">
        <v>18921.12</v>
      </c>
      <c r="G197" s="440" t="s">
        <v>5915</v>
      </c>
      <c r="H197" s="415" t="s">
        <v>310</v>
      </c>
      <c r="I197" s="398" t="s">
        <v>1219</v>
      </c>
      <c r="J197" s="418" t="s">
        <v>310</v>
      </c>
      <c r="K197" s="418" t="s">
        <v>1220</v>
      </c>
      <c r="L197" s="399" t="s">
        <v>4</v>
      </c>
      <c r="M197" s="543" t="s">
        <v>310</v>
      </c>
      <c r="N197" s="414">
        <v>44749</v>
      </c>
      <c r="O197" s="414" t="s">
        <v>400</v>
      </c>
      <c r="P197" s="655">
        <f t="shared" ref="P197:P260" si="9">IF(B197=0,0,IF(YEAR(B197)=$Q$1,MONTH(B197)-$P$1+1,(YEAR(B197)-$Q$1)*12-$P$1+1+MONTH(B197)))</f>
        <v>7</v>
      </c>
      <c r="Q197" s="655">
        <f t="shared" ref="Q197:Q260" si="10">IF(C197=0,0,IF(YEAR(C197)=$Q$1,MONTH(C197)-$P$1+1,(YEAR(C197)-$Q$1)*12-$P$1+1+MONTH(C197)))</f>
        <v>6</v>
      </c>
      <c r="R197" s="695" t="str">
        <f t="shared" ref="R197:R260" si="11">SUBSTITUTE(D197," ","_")</f>
        <v>Gastos_com_Pessoal</v>
      </c>
      <c r="S197" s="697" t="s">
        <v>310</v>
      </c>
      <c r="T197" s="697" t="s">
        <v>310</v>
      </c>
    </row>
    <row r="198" spans="1:20" ht="99.95" customHeight="1" x14ac:dyDescent="0.2">
      <c r="A198" s="432">
        <f>IF(B198="","",COUNT('Diário 1º PA'!$A$4:$A$2635)+COUNT('Diário 2º PA'!$A$4:$A$3040)+ROW()-3)</f>
        <v>4294</v>
      </c>
      <c r="B198" s="414">
        <v>44749</v>
      </c>
      <c r="C198" s="424">
        <v>44713</v>
      </c>
      <c r="D198" s="415" t="s">
        <v>271</v>
      </c>
      <c r="E198" s="415" t="s">
        <v>186</v>
      </c>
      <c r="F198" s="425">
        <v>7200</v>
      </c>
      <c r="G198" s="427" t="s">
        <v>2347</v>
      </c>
      <c r="H198" s="415" t="s">
        <v>309</v>
      </c>
      <c r="I198" s="473" t="s">
        <v>3366</v>
      </c>
      <c r="J198" s="415" t="s">
        <v>2348</v>
      </c>
      <c r="K198" s="415" t="s">
        <v>830</v>
      </c>
      <c r="L198" s="415" t="s">
        <v>807</v>
      </c>
      <c r="M198" s="415">
        <v>255</v>
      </c>
      <c r="N198" s="414">
        <v>44746</v>
      </c>
      <c r="O198" s="414" t="s">
        <v>400</v>
      </c>
      <c r="P198" s="655">
        <f t="shared" si="9"/>
        <v>7</v>
      </c>
      <c r="Q198" s="655">
        <f t="shared" si="10"/>
        <v>6</v>
      </c>
      <c r="R198" s="695" t="str">
        <f t="shared" si="11"/>
        <v>Gastos_Gerais</v>
      </c>
      <c r="S198" s="697" t="s">
        <v>1000</v>
      </c>
      <c r="T198" s="697">
        <v>3106</v>
      </c>
    </row>
    <row r="199" spans="1:20" ht="48" x14ac:dyDescent="0.2">
      <c r="A199" s="432">
        <f>IF(B199="","",COUNT('Diário 1º PA'!$A$4:$A$2635)+COUNT('Diário 2º PA'!$A$4:$A$3040)+ROW()-3)</f>
        <v>4295</v>
      </c>
      <c r="B199" s="414">
        <v>44749</v>
      </c>
      <c r="C199" s="424">
        <v>44621</v>
      </c>
      <c r="D199" s="415" t="s">
        <v>271</v>
      </c>
      <c r="E199" s="415" t="s">
        <v>456</v>
      </c>
      <c r="F199" s="425">
        <v>1622.71</v>
      </c>
      <c r="G199" s="427" t="s">
        <v>2606</v>
      </c>
      <c r="H199" s="415" t="s">
        <v>790</v>
      </c>
      <c r="I199" s="473" t="s">
        <v>5929</v>
      </c>
      <c r="J199" s="415" t="s">
        <v>1038</v>
      </c>
      <c r="K199" s="415" t="s">
        <v>830</v>
      </c>
      <c r="L199" s="415" t="s">
        <v>807</v>
      </c>
      <c r="M199" s="415" t="s">
        <v>5916</v>
      </c>
      <c r="N199" s="414">
        <v>44749</v>
      </c>
      <c r="O199" s="393" t="s">
        <v>400</v>
      </c>
      <c r="P199" s="655">
        <f t="shared" si="9"/>
        <v>7</v>
      </c>
      <c r="Q199" s="655">
        <f t="shared" si="10"/>
        <v>3</v>
      </c>
      <c r="R199" s="695" t="str">
        <f t="shared" si="11"/>
        <v>Gastos_Gerais</v>
      </c>
      <c r="S199" s="697" t="s">
        <v>1000</v>
      </c>
      <c r="T199" s="697">
        <v>3020</v>
      </c>
    </row>
    <row r="200" spans="1:20" ht="36" x14ac:dyDescent="0.2">
      <c r="A200" s="432">
        <f>IF(B200="","",COUNT('Diário 1º PA'!$A$4:$A$2635)+COUNT('Diário 2º PA'!$A$4:$A$3040)+ROW()-3)</f>
        <v>4296</v>
      </c>
      <c r="B200" s="414">
        <v>44749</v>
      </c>
      <c r="C200" s="431">
        <v>44713</v>
      </c>
      <c r="D200" s="415" t="s">
        <v>271</v>
      </c>
      <c r="E200" s="415" t="s">
        <v>90</v>
      </c>
      <c r="F200" s="422">
        <v>2537.5500000000002</v>
      </c>
      <c r="G200" s="427" t="s">
        <v>760</v>
      </c>
      <c r="H200" s="415" t="s">
        <v>760</v>
      </c>
      <c r="I200" s="473" t="s">
        <v>5918</v>
      </c>
      <c r="J200" s="419" t="s">
        <v>4127</v>
      </c>
      <c r="K200" s="415" t="s">
        <v>830</v>
      </c>
      <c r="L200" s="415" t="s">
        <v>839</v>
      </c>
      <c r="M200" s="419">
        <v>1872</v>
      </c>
      <c r="N200" s="413">
        <v>44748</v>
      </c>
      <c r="O200" s="393" t="s">
        <v>400</v>
      </c>
      <c r="P200" s="655">
        <f t="shared" si="9"/>
        <v>7</v>
      </c>
      <c r="Q200" s="655">
        <f t="shared" si="10"/>
        <v>6</v>
      </c>
      <c r="R200" s="695" t="str">
        <f t="shared" si="11"/>
        <v>Gastos_Gerais</v>
      </c>
      <c r="S200" s="697" t="s">
        <v>1000</v>
      </c>
      <c r="T200" s="697">
        <v>3718</v>
      </c>
    </row>
    <row r="201" spans="1:20" ht="72" x14ac:dyDescent="0.2">
      <c r="A201" s="432">
        <f>IF(B201="","",COUNT('Diário 1º PA'!$A$4:$A$2635)+COUNT('Diário 2º PA'!$A$4:$A$3040)+ROW()-3)</f>
        <v>4297</v>
      </c>
      <c r="B201" s="414">
        <v>44749</v>
      </c>
      <c r="C201" s="431">
        <v>44682</v>
      </c>
      <c r="D201" s="415" t="s">
        <v>271</v>
      </c>
      <c r="E201" s="415" t="s">
        <v>453</v>
      </c>
      <c r="F201" s="422">
        <v>860</v>
      </c>
      <c r="G201" s="427" t="s">
        <v>4308</v>
      </c>
      <c r="H201" s="415" t="s">
        <v>758</v>
      </c>
      <c r="I201" s="415" t="s">
        <v>5922</v>
      </c>
      <c r="J201" s="415" t="s">
        <v>4309</v>
      </c>
      <c r="K201" s="415" t="s">
        <v>830</v>
      </c>
      <c r="L201" s="415" t="s">
        <v>839</v>
      </c>
      <c r="M201" s="419">
        <v>1874</v>
      </c>
      <c r="N201" s="413">
        <v>44748</v>
      </c>
      <c r="O201" s="393" t="s">
        <v>400</v>
      </c>
      <c r="P201" s="655">
        <f t="shared" si="9"/>
        <v>7</v>
      </c>
      <c r="Q201" s="655">
        <f t="shared" si="10"/>
        <v>5</v>
      </c>
      <c r="R201" s="695" t="str">
        <f t="shared" si="11"/>
        <v>Gastos_Gerais</v>
      </c>
      <c r="S201" s="697" t="s">
        <v>998</v>
      </c>
      <c r="T201" s="697">
        <v>3788</v>
      </c>
    </row>
    <row r="202" spans="1:20" ht="48" x14ac:dyDescent="0.2">
      <c r="A202" s="432">
        <f>IF(B202="","",COUNT('Diário 1º PA'!$A$4:$A$2635)+COUNT('Diário 2º PA'!$A$4:$A$3040)+ROW()-3)</f>
        <v>4298</v>
      </c>
      <c r="B202" s="414">
        <v>44749</v>
      </c>
      <c r="C202" s="431">
        <v>44713</v>
      </c>
      <c r="D202" s="415" t="s">
        <v>271</v>
      </c>
      <c r="E202" s="415" t="s">
        <v>62</v>
      </c>
      <c r="F202" s="422">
        <v>789.68</v>
      </c>
      <c r="G202" s="427" t="s">
        <v>4893</v>
      </c>
      <c r="H202" s="415" t="s">
        <v>751</v>
      </c>
      <c r="I202" s="415" t="s">
        <v>5925</v>
      </c>
      <c r="J202" s="415" t="s">
        <v>1119</v>
      </c>
      <c r="K202" s="419" t="s">
        <v>830</v>
      </c>
      <c r="L202" s="415" t="s">
        <v>807</v>
      </c>
      <c r="M202" s="419" t="s">
        <v>1786</v>
      </c>
      <c r="N202" s="413">
        <v>44748</v>
      </c>
      <c r="O202" s="393" t="s">
        <v>400</v>
      </c>
      <c r="P202" s="655">
        <f t="shared" si="9"/>
        <v>7</v>
      </c>
      <c r="Q202" s="655">
        <f t="shared" si="10"/>
        <v>6</v>
      </c>
      <c r="R202" s="695" t="str">
        <f t="shared" si="11"/>
        <v>Gastos_Gerais</v>
      </c>
      <c r="S202" s="697" t="s">
        <v>998</v>
      </c>
      <c r="T202" s="697">
        <v>3929</v>
      </c>
    </row>
    <row r="203" spans="1:20" ht="180" x14ac:dyDescent="0.2">
      <c r="A203" s="432">
        <f>IF(B203="","",COUNT('Diário 1º PA'!$A$4:$A$2635)+COUNT('Diário 2º PA'!$A$4:$A$3040)+ROW()-3)</f>
        <v>4299</v>
      </c>
      <c r="B203" s="414">
        <v>44749</v>
      </c>
      <c r="C203" s="431">
        <v>44713</v>
      </c>
      <c r="D203" s="415" t="s">
        <v>271</v>
      </c>
      <c r="E203" s="415" t="s">
        <v>90</v>
      </c>
      <c r="F203" s="422">
        <v>3920</v>
      </c>
      <c r="G203" s="427" t="s">
        <v>4109</v>
      </c>
      <c r="H203" s="415" t="s">
        <v>758</v>
      </c>
      <c r="I203" s="415" t="s">
        <v>2079</v>
      </c>
      <c r="J203" s="415" t="s">
        <v>866</v>
      </c>
      <c r="K203" s="415" t="s">
        <v>830</v>
      </c>
      <c r="L203" s="415" t="s">
        <v>807</v>
      </c>
      <c r="M203" s="419" t="s">
        <v>5927</v>
      </c>
      <c r="N203" s="413">
        <v>44748</v>
      </c>
      <c r="O203" s="393" t="s">
        <v>400</v>
      </c>
      <c r="P203" s="655">
        <f t="shared" si="9"/>
        <v>7</v>
      </c>
      <c r="Q203" s="655">
        <f t="shared" si="10"/>
        <v>6</v>
      </c>
      <c r="R203" s="695" t="str">
        <f t="shared" si="11"/>
        <v>Gastos_Gerais</v>
      </c>
      <c r="S203" s="698" t="s">
        <v>1000</v>
      </c>
      <c r="T203" s="696">
        <v>3609</v>
      </c>
    </row>
    <row r="204" spans="1:20" ht="36" x14ac:dyDescent="0.2">
      <c r="A204" s="432">
        <f>IF(B204="","",COUNT('Diário 1º PA'!$A$4:$A$2635)+COUNT('Diário 2º PA'!$A$4:$A$3040)+ROW()-3)</f>
        <v>4300</v>
      </c>
      <c r="B204" s="414">
        <v>44749</v>
      </c>
      <c r="C204" s="431">
        <v>44743</v>
      </c>
      <c r="D204" s="415" t="s">
        <v>271</v>
      </c>
      <c r="E204" s="415" t="s">
        <v>71</v>
      </c>
      <c r="F204" s="425">
        <v>11</v>
      </c>
      <c r="G204" s="427" t="s">
        <v>5930</v>
      </c>
      <c r="H204" s="415" t="s">
        <v>310</v>
      </c>
      <c r="I204" s="398" t="s">
        <v>881</v>
      </c>
      <c r="J204" s="418" t="s">
        <v>882</v>
      </c>
      <c r="K204" s="418" t="s">
        <v>883</v>
      </c>
      <c r="L204" s="399" t="s">
        <v>798</v>
      </c>
      <c r="M204" s="544" t="s">
        <v>310</v>
      </c>
      <c r="N204" s="414">
        <v>44749</v>
      </c>
      <c r="O204" s="414" t="s">
        <v>400</v>
      </c>
      <c r="P204" s="655">
        <f t="shared" si="9"/>
        <v>7</v>
      </c>
      <c r="Q204" s="655">
        <f t="shared" si="10"/>
        <v>7</v>
      </c>
      <c r="R204" s="695" t="str">
        <f t="shared" si="11"/>
        <v>Gastos_Gerais</v>
      </c>
      <c r="S204" s="697" t="s">
        <v>310</v>
      </c>
      <c r="T204" s="697" t="s">
        <v>310</v>
      </c>
    </row>
    <row r="205" spans="1:20" ht="48" x14ac:dyDescent="0.2">
      <c r="A205" s="432">
        <f>IF(B205="","",COUNT('Diário 1º PA'!$A$4:$A$2635)+COUNT('Diário 2º PA'!$A$4:$A$3040)+ROW()-3)</f>
        <v>4301</v>
      </c>
      <c r="B205" s="414">
        <v>44749</v>
      </c>
      <c r="C205" s="431">
        <v>44743</v>
      </c>
      <c r="D205" s="415" t="s">
        <v>271</v>
      </c>
      <c r="E205" s="415" t="s">
        <v>71</v>
      </c>
      <c r="F205" s="425">
        <v>11</v>
      </c>
      <c r="G205" s="427" t="s">
        <v>5931</v>
      </c>
      <c r="H205" s="415" t="s">
        <v>790</v>
      </c>
      <c r="I205" s="398" t="s">
        <v>881</v>
      </c>
      <c r="J205" s="418" t="s">
        <v>882</v>
      </c>
      <c r="K205" s="418" t="s">
        <v>883</v>
      </c>
      <c r="L205" s="399" t="s">
        <v>798</v>
      </c>
      <c r="M205" s="544" t="s">
        <v>310</v>
      </c>
      <c r="N205" s="414">
        <v>44749</v>
      </c>
      <c r="O205" s="414" t="s">
        <v>400</v>
      </c>
      <c r="P205" s="655">
        <f t="shared" si="9"/>
        <v>7</v>
      </c>
      <c r="Q205" s="655">
        <f t="shared" si="10"/>
        <v>7</v>
      </c>
      <c r="R205" s="695" t="str">
        <f t="shared" si="11"/>
        <v>Gastos_Gerais</v>
      </c>
      <c r="S205" s="697" t="s">
        <v>310</v>
      </c>
      <c r="T205" s="697" t="s">
        <v>310</v>
      </c>
    </row>
    <row r="206" spans="1:20" ht="36" x14ac:dyDescent="0.2">
      <c r="A206" s="432">
        <f>IF(B206="","",COUNT('Diário 1º PA'!$A$4:$A$2635)+COUNT('Diário 2º PA'!$A$4:$A$3040)+ROW()-3)</f>
        <v>4302</v>
      </c>
      <c r="B206" s="414">
        <v>44749</v>
      </c>
      <c r="C206" s="431">
        <v>44743</v>
      </c>
      <c r="D206" s="415" t="s">
        <v>271</v>
      </c>
      <c r="E206" s="415" t="s">
        <v>71</v>
      </c>
      <c r="F206" s="425">
        <v>11</v>
      </c>
      <c r="G206" s="427" t="s">
        <v>5932</v>
      </c>
      <c r="H206" s="415" t="s">
        <v>760</v>
      </c>
      <c r="I206" s="398" t="s">
        <v>881</v>
      </c>
      <c r="J206" s="418" t="s">
        <v>882</v>
      </c>
      <c r="K206" s="418" t="s">
        <v>883</v>
      </c>
      <c r="L206" s="399" t="s">
        <v>798</v>
      </c>
      <c r="M206" s="544" t="s">
        <v>310</v>
      </c>
      <c r="N206" s="414">
        <v>44749</v>
      </c>
      <c r="O206" s="414" t="s">
        <v>400</v>
      </c>
      <c r="P206" s="655">
        <f t="shared" si="9"/>
        <v>7</v>
      </c>
      <c r="Q206" s="655">
        <f t="shared" si="10"/>
        <v>7</v>
      </c>
      <c r="R206" s="695" t="str">
        <f t="shared" si="11"/>
        <v>Gastos_Gerais</v>
      </c>
      <c r="S206" s="697" t="s">
        <v>310</v>
      </c>
      <c r="T206" s="697" t="s">
        <v>310</v>
      </c>
    </row>
    <row r="207" spans="1:20" ht="36" x14ac:dyDescent="0.2">
      <c r="A207" s="432">
        <f>IF(B207="","",COUNT('Diário 1º PA'!$A$4:$A$2635)+COUNT('Diário 2º PA'!$A$4:$A$3040)+ROW()-3)</f>
        <v>4303</v>
      </c>
      <c r="B207" s="414">
        <v>44749</v>
      </c>
      <c r="C207" s="431">
        <v>44743</v>
      </c>
      <c r="D207" s="415" t="s">
        <v>271</v>
      </c>
      <c r="E207" s="415" t="s">
        <v>71</v>
      </c>
      <c r="F207" s="425">
        <v>11</v>
      </c>
      <c r="G207" s="427" t="s">
        <v>5933</v>
      </c>
      <c r="H207" s="415" t="s">
        <v>758</v>
      </c>
      <c r="I207" s="398" t="s">
        <v>881</v>
      </c>
      <c r="J207" s="418" t="s">
        <v>882</v>
      </c>
      <c r="K207" s="418" t="s">
        <v>883</v>
      </c>
      <c r="L207" s="399" t="s">
        <v>798</v>
      </c>
      <c r="M207" s="544" t="s">
        <v>310</v>
      </c>
      <c r="N207" s="414">
        <v>44749</v>
      </c>
      <c r="O207" s="414" t="s">
        <v>400</v>
      </c>
      <c r="P207" s="655">
        <f t="shared" si="9"/>
        <v>7</v>
      </c>
      <c r="Q207" s="655">
        <f t="shared" si="10"/>
        <v>7</v>
      </c>
      <c r="R207" s="695" t="str">
        <f t="shared" si="11"/>
        <v>Gastos_Gerais</v>
      </c>
      <c r="S207" s="697" t="s">
        <v>310</v>
      </c>
      <c r="T207" s="697" t="s">
        <v>310</v>
      </c>
    </row>
    <row r="208" spans="1:20" ht="36" x14ac:dyDescent="0.2">
      <c r="A208" s="432">
        <f>IF(B208="","",COUNT('Diário 1º PA'!$A$4:$A$2635)+COUNT('Diário 2º PA'!$A$4:$A$3040)+ROW()-3)</f>
        <v>4304</v>
      </c>
      <c r="B208" s="414">
        <v>44749</v>
      </c>
      <c r="C208" s="431">
        <v>44743</v>
      </c>
      <c r="D208" s="415" t="s">
        <v>271</v>
      </c>
      <c r="E208" s="415" t="s">
        <v>71</v>
      </c>
      <c r="F208" s="425">
        <v>11</v>
      </c>
      <c r="G208" s="427" t="s">
        <v>5934</v>
      </c>
      <c r="H208" s="415" t="s">
        <v>751</v>
      </c>
      <c r="I208" s="398" t="s">
        <v>881</v>
      </c>
      <c r="J208" s="418" t="s">
        <v>882</v>
      </c>
      <c r="K208" s="418" t="s">
        <v>883</v>
      </c>
      <c r="L208" s="399" t="s">
        <v>798</v>
      </c>
      <c r="M208" s="544" t="s">
        <v>310</v>
      </c>
      <c r="N208" s="414">
        <v>44749</v>
      </c>
      <c r="O208" s="414" t="s">
        <v>400</v>
      </c>
      <c r="P208" s="655">
        <f t="shared" si="9"/>
        <v>7</v>
      </c>
      <c r="Q208" s="655">
        <f t="shared" si="10"/>
        <v>7</v>
      </c>
      <c r="R208" s="695" t="str">
        <f t="shared" si="11"/>
        <v>Gastos_Gerais</v>
      </c>
      <c r="S208" s="697" t="s">
        <v>310</v>
      </c>
      <c r="T208" s="697" t="s">
        <v>310</v>
      </c>
    </row>
    <row r="209" spans="1:20" ht="36" x14ac:dyDescent="0.2">
      <c r="A209" s="432">
        <f>IF(B209="","",COUNT('Diário 1º PA'!$A$4:$A$2635)+COUNT('Diário 2º PA'!$A$4:$A$3040)+ROW()-3)</f>
        <v>4305</v>
      </c>
      <c r="B209" s="414">
        <v>44749</v>
      </c>
      <c r="C209" s="431">
        <v>44743</v>
      </c>
      <c r="D209" s="415" t="s">
        <v>271</v>
      </c>
      <c r="E209" s="415" t="s">
        <v>71</v>
      </c>
      <c r="F209" s="425">
        <v>11</v>
      </c>
      <c r="G209" s="427" t="s">
        <v>5935</v>
      </c>
      <c r="H209" s="415" t="s">
        <v>758</v>
      </c>
      <c r="I209" s="398" t="s">
        <v>881</v>
      </c>
      <c r="J209" s="418" t="s">
        <v>882</v>
      </c>
      <c r="K209" s="418" t="s">
        <v>883</v>
      </c>
      <c r="L209" s="399" t="s">
        <v>798</v>
      </c>
      <c r="M209" s="544" t="s">
        <v>310</v>
      </c>
      <c r="N209" s="414">
        <v>44749</v>
      </c>
      <c r="O209" s="414" t="s">
        <v>400</v>
      </c>
      <c r="P209" s="655">
        <f t="shared" si="9"/>
        <v>7</v>
      </c>
      <c r="Q209" s="655">
        <f t="shared" si="10"/>
        <v>7</v>
      </c>
      <c r="R209" s="695" t="str">
        <f t="shared" si="11"/>
        <v>Gastos_Gerais</v>
      </c>
      <c r="S209" s="697" t="s">
        <v>310</v>
      </c>
      <c r="T209" s="697" t="s">
        <v>310</v>
      </c>
    </row>
    <row r="210" spans="1:20" ht="99.95" customHeight="1" x14ac:dyDescent="0.2">
      <c r="A210" s="432">
        <f>IF(B210="","",COUNT('Diário 1º PA'!$A$4:$A$2635)+COUNT('Diário 2º PA'!$A$4:$A$3040)+ROW()-3)</f>
        <v>4306</v>
      </c>
      <c r="B210" s="414">
        <v>44749</v>
      </c>
      <c r="C210" s="431">
        <v>44713</v>
      </c>
      <c r="D210" s="415" t="s">
        <v>271</v>
      </c>
      <c r="E210" s="415" t="s">
        <v>297</v>
      </c>
      <c r="F210" s="425">
        <v>-14.47</v>
      </c>
      <c r="G210" s="427" t="s">
        <v>3907</v>
      </c>
      <c r="H210" s="415" t="s">
        <v>309</v>
      </c>
      <c r="I210" s="473" t="s">
        <v>795</v>
      </c>
      <c r="J210" s="415" t="s">
        <v>796</v>
      </c>
      <c r="K210" s="415" t="s">
        <v>797</v>
      </c>
      <c r="L210" s="415" t="s">
        <v>798</v>
      </c>
      <c r="M210" s="415" t="s">
        <v>310</v>
      </c>
      <c r="N210" s="414">
        <v>44749</v>
      </c>
      <c r="O210" s="414" t="s">
        <v>400</v>
      </c>
      <c r="P210" s="655">
        <f t="shared" si="9"/>
        <v>7</v>
      </c>
      <c r="Q210" s="655">
        <f t="shared" si="10"/>
        <v>6</v>
      </c>
      <c r="R210" s="695" t="str">
        <f t="shared" si="11"/>
        <v>Gastos_Gerais</v>
      </c>
      <c r="S210" s="697" t="s">
        <v>310</v>
      </c>
      <c r="T210" s="697" t="s">
        <v>310</v>
      </c>
    </row>
    <row r="211" spans="1:20" ht="36" x14ac:dyDescent="0.2">
      <c r="A211" s="432">
        <f>IF(B211="","",COUNT('Diário 1º PA'!$A$4:$A$2635)+COUNT('Diário 2º PA'!$A$4:$A$3040)+ROW()-3)</f>
        <v>4307</v>
      </c>
      <c r="B211" s="414">
        <v>44749</v>
      </c>
      <c r="C211" s="431">
        <v>44713</v>
      </c>
      <c r="D211" s="415" t="s">
        <v>182</v>
      </c>
      <c r="E211" s="415" t="s">
        <v>8</v>
      </c>
      <c r="F211" s="425">
        <v>-23.2</v>
      </c>
      <c r="G211" s="427" t="s">
        <v>5956</v>
      </c>
      <c r="H211" s="415" t="s">
        <v>310</v>
      </c>
      <c r="I211" s="473" t="s">
        <v>795</v>
      </c>
      <c r="J211" s="415" t="s">
        <v>796</v>
      </c>
      <c r="K211" s="415" t="s">
        <v>797</v>
      </c>
      <c r="L211" s="415" t="s">
        <v>798</v>
      </c>
      <c r="M211" s="415" t="s">
        <v>310</v>
      </c>
      <c r="N211" s="414">
        <v>44749</v>
      </c>
      <c r="O211" s="414" t="s">
        <v>400</v>
      </c>
      <c r="P211" s="655">
        <f t="shared" si="9"/>
        <v>7</v>
      </c>
      <c r="Q211" s="655">
        <f t="shared" si="10"/>
        <v>6</v>
      </c>
      <c r="R211" s="695" t="str">
        <f t="shared" si="11"/>
        <v>Gastos_com_Pessoal</v>
      </c>
      <c r="S211" s="697" t="s">
        <v>310</v>
      </c>
      <c r="T211" s="697" t="s">
        <v>310</v>
      </c>
    </row>
    <row r="212" spans="1:20" ht="99.95" customHeight="1" x14ac:dyDescent="0.2">
      <c r="A212" s="432">
        <f>IF(B212="","",COUNT('Diário 1º PA'!$A$4:$A$2635)+COUNT('Diário 2º PA'!$A$4:$A$3040)+ROW()-3)</f>
        <v>4308</v>
      </c>
      <c r="B212" s="414">
        <v>44749</v>
      </c>
      <c r="C212" s="431">
        <v>44713</v>
      </c>
      <c r="D212" s="415" t="s">
        <v>271</v>
      </c>
      <c r="E212" s="415" t="s">
        <v>297</v>
      </c>
      <c r="F212" s="425">
        <v>-14.47</v>
      </c>
      <c r="G212" s="427" t="s">
        <v>3909</v>
      </c>
      <c r="H212" s="415" t="s">
        <v>309</v>
      </c>
      <c r="I212" s="473" t="s">
        <v>795</v>
      </c>
      <c r="J212" s="415" t="s">
        <v>796</v>
      </c>
      <c r="K212" s="415" t="s">
        <v>797</v>
      </c>
      <c r="L212" s="415" t="s">
        <v>798</v>
      </c>
      <c r="M212" s="415" t="s">
        <v>310</v>
      </c>
      <c r="N212" s="414">
        <v>44749</v>
      </c>
      <c r="O212" s="414" t="s">
        <v>400</v>
      </c>
      <c r="P212" s="655">
        <f t="shared" si="9"/>
        <v>7</v>
      </c>
      <c r="Q212" s="655">
        <f t="shared" si="10"/>
        <v>6</v>
      </c>
      <c r="R212" s="695" t="str">
        <f t="shared" si="11"/>
        <v>Gastos_Gerais</v>
      </c>
      <c r="S212" s="697" t="s">
        <v>310</v>
      </c>
      <c r="T212" s="697" t="s">
        <v>310</v>
      </c>
    </row>
    <row r="213" spans="1:20" ht="36" x14ac:dyDescent="0.2">
      <c r="A213" s="432">
        <f>IF(B213="","",COUNT('Diário 1º PA'!$A$4:$A$2635)+COUNT('Diário 2º PA'!$A$4:$A$3040)+ROW()-3)</f>
        <v>4309</v>
      </c>
      <c r="B213" s="414">
        <v>44749</v>
      </c>
      <c r="C213" s="431">
        <v>44713</v>
      </c>
      <c r="D213" s="415" t="s">
        <v>182</v>
      </c>
      <c r="E213" s="415" t="s">
        <v>8</v>
      </c>
      <c r="F213" s="425">
        <v>-23.2</v>
      </c>
      <c r="G213" s="427" t="s">
        <v>5958</v>
      </c>
      <c r="H213" s="415" t="s">
        <v>310</v>
      </c>
      <c r="I213" s="473" t="s">
        <v>795</v>
      </c>
      <c r="J213" s="415" t="s">
        <v>796</v>
      </c>
      <c r="K213" s="415" t="s">
        <v>797</v>
      </c>
      <c r="L213" s="415" t="s">
        <v>798</v>
      </c>
      <c r="M213" s="415" t="s">
        <v>310</v>
      </c>
      <c r="N213" s="414">
        <v>44713</v>
      </c>
      <c r="O213" s="414" t="s">
        <v>400</v>
      </c>
      <c r="P213" s="655">
        <f t="shared" si="9"/>
        <v>7</v>
      </c>
      <c r="Q213" s="655">
        <f t="shared" si="10"/>
        <v>6</v>
      </c>
      <c r="R213" s="695" t="str">
        <f t="shared" si="11"/>
        <v>Gastos_com_Pessoal</v>
      </c>
      <c r="S213" s="697" t="s">
        <v>310</v>
      </c>
      <c r="T213" s="697" t="s">
        <v>310</v>
      </c>
    </row>
    <row r="214" spans="1:20" ht="99.95" customHeight="1" x14ac:dyDescent="0.2">
      <c r="A214" s="432">
        <f>IF(B214="","",COUNT('Diário 1º PA'!$A$4:$A$2635)+COUNT('Diário 2º PA'!$A$4:$A$3040)+ROW()-3)</f>
        <v>4310</v>
      </c>
      <c r="B214" s="414">
        <v>44749</v>
      </c>
      <c r="C214" s="431">
        <v>44713</v>
      </c>
      <c r="D214" s="415" t="s">
        <v>271</v>
      </c>
      <c r="E214" s="415" t="s">
        <v>297</v>
      </c>
      <c r="F214" s="425">
        <v>-57.88</v>
      </c>
      <c r="G214" s="427" t="s">
        <v>5957</v>
      </c>
      <c r="H214" s="415" t="s">
        <v>309</v>
      </c>
      <c r="I214" s="473" t="s">
        <v>795</v>
      </c>
      <c r="J214" s="415" t="s">
        <v>796</v>
      </c>
      <c r="K214" s="415" t="s">
        <v>797</v>
      </c>
      <c r="L214" s="415" t="s">
        <v>798</v>
      </c>
      <c r="M214" s="415" t="s">
        <v>310</v>
      </c>
      <c r="N214" s="414">
        <v>44749</v>
      </c>
      <c r="O214" s="414" t="s">
        <v>400</v>
      </c>
      <c r="P214" s="655">
        <f t="shared" si="9"/>
        <v>7</v>
      </c>
      <c r="Q214" s="655">
        <f t="shared" si="10"/>
        <v>6</v>
      </c>
      <c r="R214" s="695" t="str">
        <f t="shared" si="11"/>
        <v>Gastos_Gerais</v>
      </c>
      <c r="S214" s="697" t="s">
        <v>310</v>
      </c>
      <c r="T214" s="697" t="s">
        <v>310</v>
      </c>
    </row>
    <row r="215" spans="1:20" ht="36" x14ac:dyDescent="0.2">
      <c r="A215" s="432">
        <f>IF(B215="","",COUNT('Diário 1º PA'!$A$4:$A$2635)+COUNT('Diário 2º PA'!$A$4:$A$3040)+ROW()-3)</f>
        <v>4311</v>
      </c>
      <c r="B215" s="414">
        <v>44749</v>
      </c>
      <c r="C215" s="431">
        <v>44713</v>
      </c>
      <c r="D215" s="415" t="s">
        <v>182</v>
      </c>
      <c r="E215" s="415" t="s">
        <v>8</v>
      </c>
      <c r="F215" s="425">
        <v>-162.4</v>
      </c>
      <c r="G215" s="427" t="s">
        <v>5956</v>
      </c>
      <c r="H215" s="415" t="s">
        <v>310</v>
      </c>
      <c r="I215" s="473" t="s">
        <v>795</v>
      </c>
      <c r="J215" s="415" t="s">
        <v>796</v>
      </c>
      <c r="K215" s="415" t="s">
        <v>797</v>
      </c>
      <c r="L215" s="415" t="s">
        <v>798</v>
      </c>
      <c r="M215" s="415" t="s">
        <v>310</v>
      </c>
      <c r="N215" s="414">
        <v>44749</v>
      </c>
      <c r="O215" s="414" t="s">
        <v>400</v>
      </c>
      <c r="P215" s="655">
        <f t="shared" si="9"/>
        <v>7</v>
      </c>
      <c r="Q215" s="655">
        <f t="shared" si="10"/>
        <v>6</v>
      </c>
      <c r="R215" s="695" t="str">
        <f t="shared" si="11"/>
        <v>Gastos_com_Pessoal</v>
      </c>
      <c r="S215" s="697" t="s">
        <v>310</v>
      </c>
      <c r="T215" s="697" t="s">
        <v>310</v>
      </c>
    </row>
    <row r="216" spans="1:20" ht="48" x14ac:dyDescent="0.2">
      <c r="A216" s="432">
        <f>IF(B216="","",COUNT('Diário 1º PA'!$A$4:$A$2635)+COUNT('Diário 2º PA'!$A$4:$A$3040)+ROW()-3)</f>
        <v>4312</v>
      </c>
      <c r="B216" s="414">
        <v>44749</v>
      </c>
      <c r="C216" s="431">
        <v>44713</v>
      </c>
      <c r="D216" s="415" t="s">
        <v>271</v>
      </c>
      <c r="E216" s="415" t="s">
        <v>297</v>
      </c>
      <c r="F216" s="425">
        <v>-303.87</v>
      </c>
      <c r="G216" s="427" t="s">
        <v>3426</v>
      </c>
      <c r="H216" s="415" t="s">
        <v>309</v>
      </c>
      <c r="I216" s="473" t="s">
        <v>795</v>
      </c>
      <c r="J216" s="415" t="s">
        <v>796</v>
      </c>
      <c r="K216" s="415" t="s">
        <v>797</v>
      </c>
      <c r="L216" s="415" t="s">
        <v>798</v>
      </c>
      <c r="M216" s="415" t="s">
        <v>310</v>
      </c>
      <c r="N216" s="414">
        <v>44749</v>
      </c>
      <c r="O216" s="414" t="s">
        <v>400</v>
      </c>
      <c r="P216" s="655">
        <f t="shared" si="9"/>
        <v>7</v>
      </c>
      <c r="Q216" s="655">
        <f t="shared" si="10"/>
        <v>6</v>
      </c>
      <c r="R216" s="695" t="str">
        <f t="shared" si="11"/>
        <v>Gastos_Gerais</v>
      </c>
      <c r="S216" s="697" t="s">
        <v>310</v>
      </c>
      <c r="T216" s="697" t="s">
        <v>310</v>
      </c>
    </row>
    <row r="217" spans="1:20" ht="36" x14ac:dyDescent="0.2">
      <c r="A217" s="432">
        <f>IF(B217="","",COUNT('Diário 1º PA'!$A$4:$A$2635)+COUNT('Diário 2º PA'!$A$4:$A$3040)+ROW()-3)</f>
        <v>4313</v>
      </c>
      <c r="B217" s="414">
        <v>44749</v>
      </c>
      <c r="C217" s="424">
        <v>44713</v>
      </c>
      <c r="D217" s="415" t="s">
        <v>468</v>
      </c>
      <c r="E217" s="415" t="s">
        <v>468</v>
      </c>
      <c r="F217" s="425">
        <v>1500</v>
      </c>
      <c r="G217" s="427" t="s">
        <v>2947</v>
      </c>
      <c r="H217" s="415" t="s">
        <v>468</v>
      </c>
      <c r="I217" s="427" t="s">
        <v>2948</v>
      </c>
      <c r="J217" s="415" t="s">
        <v>2414</v>
      </c>
      <c r="K217" s="415" t="s">
        <v>830</v>
      </c>
      <c r="L217" s="415" t="s">
        <v>32</v>
      </c>
      <c r="M217" s="415">
        <v>61892</v>
      </c>
      <c r="N217" s="414">
        <v>44720</v>
      </c>
      <c r="O217" s="414" t="s">
        <v>408</v>
      </c>
      <c r="P217" s="655">
        <f t="shared" si="9"/>
        <v>7</v>
      </c>
      <c r="Q217" s="655">
        <f t="shared" si="10"/>
        <v>6</v>
      </c>
      <c r="R217" s="695" t="str">
        <f t="shared" si="11"/>
        <v>Gastos_custeados_por_captação</v>
      </c>
      <c r="S217" s="698" t="s">
        <v>1000</v>
      </c>
      <c r="T217" s="698">
        <v>2456</v>
      </c>
    </row>
    <row r="218" spans="1:20" ht="168" x14ac:dyDescent="0.2">
      <c r="A218" s="432">
        <f>IF(B218="","",COUNT('Diário 1º PA'!$A$4:$A$2635)+COUNT('Diário 2º PA'!$A$4:$A$3040)+ROW()-3)</f>
        <v>4314</v>
      </c>
      <c r="B218" s="414">
        <v>44749</v>
      </c>
      <c r="C218" s="431">
        <v>44713</v>
      </c>
      <c r="D218" s="415" t="s">
        <v>468</v>
      </c>
      <c r="E218" s="415" t="s">
        <v>468</v>
      </c>
      <c r="F218" s="425">
        <v>2000</v>
      </c>
      <c r="G218" s="427" t="s">
        <v>656</v>
      </c>
      <c r="H218" s="415" t="s">
        <v>468</v>
      </c>
      <c r="I218" s="473" t="s">
        <v>1609</v>
      </c>
      <c r="J218" s="415" t="s">
        <v>1016</v>
      </c>
      <c r="K218" s="415" t="s">
        <v>830</v>
      </c>
      <c r="L218" s="415" t="s">
        <v>32</v>
      </c>
      <c r="M218" s="415" t="s">
        <v>1540</v>
      </c>
      <c r="N218" s="414">
        <v>44747</v>
      </c>
      <c r="O218" s="414" t="s">
        <v>3762</v>
      </c>
      <c r="P218" s="655">
        <f t="shared" si="9"/>
        <v>7</v>
      </c>
      <c r="Q218" s="655">
        <f t="shared" si="10"/>
        <v>6</v>
      </c>
      <c r="R218" s="695" t="str">
        <f t="shared" si="11"/>
        <v>Gastos_custeados_por_captação</v>
      </c>
      <c r="S218" s="697" t="s">
        <v>1000</v>
      </c>
      <c r="T218" s="697">
        <v>3610</v>
      </c>
    </row>
    <row r="219" spans="1:20" ht="156" x14ac:dyDescent="0.2">
      <c r="A219" s="432">
        <f>IF(B219="","",COUNT('Diário 1º PA'!$A$4:$A$2635)+COUNT('Diário 2º PA'!$A$4:$A$3040)+ROW()-3)</f>
        <v>4315</v>
      </c>
      <c r="B219" s="414">
        <v>44749</v>
      </c>
      <c r="C219" s="431">
        <v>44713</v>
      </c>
      <c r="D219" s="415" t="s">
        <v>468</v>
      </c>
      <c r="E219" s="415" t="s">
        <v>468</v>
      </c>
      <c r="F219" s="425">
        <v>1950</v>
      </c>
      <c r="G219" s="427" t="s">
        <v>4470</v>
      </c>
      <c r="H219" s="415" t="s">
        <v>468</v>
      </c>
      <c r="I219" s="473" t="s">
        <v>6450</v>
      </c>
      <c r="J219" s="415" t="s">
        <v>4522</v>
      </c>
      <c r="K219" s="415" t="s">
        <v>830</v>
      </c>
      <c r="L219" s="415" t="s">
        <v>32</v>
      </c>
      <c r="M219" s="415" t="s">
        <v>848</v>
      </c>
      <c r="N219" s="414">
        <v>44743</v>
      </c>
      <c r="O219" s="414" t="s">
        <v>3762</v>
      </c>
      <c r="P219" s="655">
        <f t="shared" si="9"/>
        <v>7</v>
      </c>
      <c r="Q219" s="655">
        <f t="shared" si="10"/>
        <v>6</v>
      </c>
      <c r="R219" s="695" t="str">
        <f t="shared" si="11"/>
        <v>Gastos_custeados_por_captação</v>
      </c>
      <c r="S219" s="697" t="s">
        <v>1000</v>
      </c>
      <c r="T219" s="697">
        <v>3766</v>
      </c>
    </row>
    <row r="220" spans="1:20" ht="60" x14ac:dyDescent="0.2">
      <c r="A220" s="432">
        <f>IF(B220="","",COUNT('Diário 1º PA'!$A$4:$A$2635)+COUNT('Diário 2º PA'!$A$4:$A$3040)+ROW()-3)</f>
        <v>4316</v>
      </c>
      <c r="B220" s="414">
        <v>44749</v>
      </c>
      <c r="C220" s="431">
        <v>44713</v>
      </c>
      <c r="D220" s="415" t="s">
        <v>468</v>
      </c>
      <c r="E220" s="415" t="s">
        <v>468</v>
      </c>
      <c r="F220" s="425">
        <v>2000</v>
      </c>
      <c r="G220" s="427" t="s">
        <v>4163</v>
      </c>
      <c r="H220" s="415" t="s">
        <v>468</v>
      </c>
      <c r="I220" s="473" t="s">
        <v>1697</v>
      </c>
      <c r="J220" s="415" t="s">
        <v>1015</v>
      </c>
      <c r="K220" s="415" t="s">
        <v>830</v>
      </c>
      <c r="L220" s="415" t="s">
        <v>32</v>
      </c>
      <c r="M220" s="415" t="s">
        <v>1696</v>
      </c>
      <c r="N220" s="414">
        <v>44748</v>
      </c>
      <c r="O220" s="414" t="s">
        <v>3762</v>
      </c>
      <c r="P220" s="655">
        <f t="shared" si="9"/>
        <v>7</v>
      </c>
      <c r="Q220" s="655">
        <f t="shared" si="10"/>
        <v>6</v>
      </c>
      <c r="R220" s="695" t="str">
        <f t="shared" si="11"/>
        <v>Gastos_custeados_por_captação</v>
      </c>
      <c r="S220" s="697" t="s">
        <v>1000</v>
      </c>
      <c r="T220" s="697">
        <v>3612</v>
      </c>
    </row>
    <row r="221" spans="1:20" ht="48" x14ac:dyDescent="0.2">
      <c r="A221" s="432">
        <f>IF(B221="","",COUNT('Diário 1º PA'!$A$4:$A$2635)+COUNT('Diário 2º PA'!$A$4:$A$3040)+ROW()-3)</f>
        <v>4317</v>
      </c>
      <c r="B221" s="414">
        <v>44749</v>
      </c>
      <c r="C221" s="431">
        <v>44713</v>
      </c>
      <c r="D221" s="415" t="s">
        <v>468</v>
      </c>
      <c r="E221" s="415" t="s">
        <v>468</v>
      </c>
      <c r="F221" s="425">
        <v>2000</v>
      </c>
      <c r="G221" s="427" t="s">
        <v>4162</v>
      </c>
      <c r="H221" s="415" t="s">
        <v>468</v>
      </c>
      <c r="I221" s="473" t="s">
        <v>1656</v>
      </c>
      <c r="J221" s="415" t="s">
        <v>1655</v>
      </c>
      <c r="K221" s="415" t="s">
        <v>830</v>
      </c>
      <c r="L221" s="415" t="s">
        <v>32</v>
      </c>
      <c r="M221" s="415" t="s">
        <v>1890</v>
      </c>
      <c r="N221" s="414">
        <v>44748</v>
      </c>
      <c r="O221" s="414" t="s">
        <v>3762</v>
      </c>
      <c r="P221" s="655">
        <f t="shared" si="9"/>
        <v>7</v>
      </c>
      <c r="Q221" s="655">
        <f t="shared" si="10"/>
        <v>6</v>
      </c>
      <c r="R221" s="695" t="str">
        <f t="shared" si="11"/>
        <v>Gastos_custeados_por_captação</v>
      </c>
      <c r="S221" s="697" t="s">
        <v>1000</v>
      </c>
      <c r="T221" s="697">
        <v>3611</v>
      </c>
    </row>
    <row r="222" spans="1:20" ht="132" x14ac:dyDescent="0.2">
      <c r="A222" s="432">
        <f>IF(B222="","",COUNT('Diário 1º PA'!$A$4:$A$2635)+COUNT('Diário 2º PA'!$A$4:$A$3040)+ROW()-3)</f>
        <v>4318</v>
      </c>
      <c r="B222" s="414">
        <v>44749</v>
      </c>
      <c r="C222" s="431">
        <v>44562</v>
      </c>
      <c r="D222" s="415" t="s">
        <v>468</v>
      </c>
      <c r="E222" s="415" t="s">
        <v>468</v>
      </c>
      <c r="F222" s="425">
        <v>1500</v>
      </c>
      <c r="G222" s="427" t="s">
        <v>709</v>
      </c>
      <c r="H222" s="415" t="s">
        <v>468</v>
      </c>
      <c r="I222" s="473" t="s">
        <v>1389</v>
      </c>
      <c r="J222" s="415" t="s">
        <v>1134</v>
      </c>
      <c r="K222" s="419" t="s">
        <v>806</v>
      </c>
      <c r="L222" s="415" t="s">
        <v>32</v>
      </c>
      <c r="M222" s="415" t="s">
        <v>1428</v>
      </c>
      <c r="N222" s="414">
        <v>44747</v>
      </c>
      <c r="O222" s="414" t="s">
        <v>404</v>
      </c>
      <c r="P222" s="655">
        <f t="shared" si="9"/>
        <v>7</v>
      </c>
      <c r="Q222" s="655">
        <f t="shared" si="10"/>
        <v>1</v>
      </c>
      <c r="R222" s="695" t="str">
        <f t="shared" si="11"/>
        <v>Gastos_custeados_por_captação</v>
      </c>
      <c r="S222" s="697" t="s">
        <v>998</v>
      </c>
      <c r="T222" s="697">
        <v>2771</v>
      </c>
    </row>
    <row r="223" spans="1:20" ht="60" x14ac:dyDescent="0.2">
      <c r="A223" s="432">
        <f>IF(B223="","",COUNT('Diário 1º PA'!$A$4:$A$2635)+COUNT('Diário 2º PA'!$A$4:$A$3040)+ROW()-3)</f>
        <v>4319</v>
      </c>
      <c r="B223" s="414">
        <v>44749</v>
      </c>
      <c r="C223" s="431">
        <v>44713</v>
      </c>
      <c r="D223" s="415" t="s">
        <v>468</v>
      </c>
      <c r="E223" s="415" t="s">
        <v>468</v>
      </c>
      <c r="F223" s="425">
        <v>2500</v>
      </c>
      <c r="G223" s="427" t="s">
        <v>1986</v>
      </c>
      <c r="H223" s="415" t="s">
        <v>468</v>
      </c>
      <c r="I223" s="473" t="s">
        <v>6558</v>
      </c>
      <c r="J223" s="415" t="s">
        <v>1987</v>
      </c>
      <c r="K223" s="415" t="s">
        <v>830</v>
      </c>
      <c r="L223" s="415" t="s">
        <v>32</v>
      </c>
      <c r="M223" s="415" t="s">
        <v>1786</v>
      </c>
      <c r="N223" s="414">
        <v>44747</v>
      </c>
      <c r="O223" s="414" t="s">
        <v>404</v>
      </c>
      <c r="P223" s="655">
        <f t="shared" si="9"/>
        <v>7</v>
      </c>
      <c r="Q223" s="655">
        <f t="shared" si="10"/>
        <v>6</v>
      </c>
      <c r="R223" s="695" t="str">
        <f t="shared" si="11"/>
        <v>Gastos_custeados_por_captação</v>
      </c>
      <c r="S223" s="697" t="s">
        <v>1000</v>
      </c>
      <c r="T223" s="697">
        <v>3045</v>
      </c>
    </row>
    <row r="224" spans="1:20" ht="96" x14ac:dyDescent="0.2">
      <c r="A224" s="432">
        <f>IF(B224="","",COUNT('Diário 1º PA'!$A$4:$A$2635)+COUNT('Diário 2º PA'!$A$4:$A$3040)+ROW()-3)</f>
        <v>4320</v>
      </c>
      <c r="B224" s="414">
        <v>44749</v>
      </c>
      <c r="C224" s="431">
        <v>44713</v>
      </c>
      <c r="D224" s="415" t="s">
        <v>468</v>
      </c>
      <c r="E224" s="415" t="s">
        <v>468</v>
      </c>
      <c r="F224" s="425">
        <v>2939.7</v>
      </c>
      <c r="G224" s="427" t="s">
        <v>2344</v>
      </c>
      <c r="H224" s="415" t="s">
        <v>468</v>
      </c>
      <c r="I224" s="473" t="s">
        <v>5470</v>
      </c>
      <c r="J224" s="415" t="s">
        <v>2345</v>
      </c>
      <c r="K224" s="418" t="s">
        <v>830</v>
      </c>
      <c r="L224" s="415" t="s">
        <v>32</v>
      </c>
      <c r="M224" s="415" t="s">
        <v>1890</v>
      </c>
      <c r="N224" s="414">
        <v>44748</v>
      </c>
      <c r="O224" s="414" t="s">
        <v>405</v>
      </c>
      <c r="P224" s="655">
        <f t="shared" si="9"/>
        <v>7</v>
      </c>
      <c r="Q224" s="655">
        <f t="shared" si="10"/>
        <v>6</v>
      </c>
      <c r="R224" s="695" t="str">
        <f t="shared" si="11"/>
        <v>Gastos_custeados_por_captação</v>
      </c>
      <c r="S224" s="697" t="s">
        <v>1000</v>
      </c>
      <c r="T224" s="697">
        <v>3185</v>
      </c>
    </row>
    <row r="225" spans="1:20" ht="84" x14ac:dyDescent="0.2">
      <c r="A225" s="432">
        <f>IF(B225="","",COUNT('Diário 1º PA'!$A$4:$A$2635)+COUNT('Diário 2º PA'!$A$4:$A$3040)+ROW()-3)</f>
        <v>4321</v>
      </c>
      <c r="B225" s="414">
        <v>44749</v>
      </c>
      <c r="C225" s="431">
        <v>44713</v>
      </c>
      <c r="D225" s="415" t="s">
        <v>468</v>
      </c>
      <c r="E225" s="415" t="s">
        <v>468</v>
      </c>
      <c r="F225" s="425">
        <v>7790.2</v>
      </c>
      <c r="G225" s="427" t="s">
        <v>4468</v>
      </c>
      <c r="H225" s="415" t="s">
        <v>468</v>
      </c>
      <c r="I225" s="473" t="s">
        <v>6594</v>
      </c>
      <c r="J225" s="415" t="s">
        <v>4469</v>
      </c>
      <c r="K225" s="415" t="s">
        <v>830</v>
      </c>
      <c r="L225" s="415" t="s">
        <v>32</v>
      </c>
      <c r="M225" s="415" t="s">
        <v>3074</v>
      </c>
      <c r="N225" s="414">
        <v>44746</v>
      </c>
      <c r="O225" s="414" t="s">
        <v>405</v>
      </c>
      <c r="P225" s="655">
        <f t="shared" si="9"/>
        <v>7</v>
      </c>
      <c r="Q225" s="655">
        <f t="shared" si="10"/>
        <v>6</v>
      </c>
      <c r="R225" s="695" t="str">
        <f t="shared" si="11"/>
        <v>Gastos_custeados_por_captação</v>
      </c>
      <c r="S225" s="697" t="s">
        <v>998</v>
      </c>
      <c r="T225" s="697">
        <v>3819</v>
      </c>
    </row>
    <row r="226" spans="1:20" ht="24" x14ac:dyDescent="0.2">
      <c r="A226" s="432">
        <f>IF(B226="","",COUNT('Diário 1º PA'!$A$4:$A$2635)+COUNT('Diário 2º PA'!$A$4:$A$3040)+ROW()-3)</f>
        <v>4322</v>
      </c>
      <c r="B226" s="413">
        <v>44750</v>
      </c>
      <c r="C226" s="433">
        <v>44743</v>
      </c>
      <c r="D226" s="415" t="s">
        <v>182</v>
      </c>
      <c r="E226" s="415" t="s">
        <v>6</v>
      </c>
      <c r="F226" s="425">
        <v>1054.95</v>
      </c>
      <c r="G226" s="440" t="s">
        <v>1494</v>
      </c>
      <c r="H226" s="415" t="s">
        <v>310</v>
      </c>
      <c r="I226" s="474" t="s">
        <v>1486</v>
      </c>
      <c r="J226" s="418" t="s">
        <v>1487</v>
      </c>
      <c r="K226" s="418" t="s">
        <v>812</v>
      </c>
      <c r="L226" s="399" t="s">
        <v>807</v>
      </c>
      <c r="M226" s="544">
        <v>652122</v>
      </c>
      <c r="N226" s="455">
        <v>44754</v>
      </c>
      <c r="O226" s="414" t="s">
        <v>400</v>
      </c>
      <c r="P226" s="655">
        <f t="shared" si="9"/>
        <v>7</v>
      </c>
      <c r="Q226" s="655">
        <f t="shared" si="10"/>
        <v>7</v>
      </c>
      <c r="R226" s="695" t="str">
        <f t="shared" si="11"/>
        <v>Gastos_com_Pessoal</v>
      </c>
      <c r="S226" s="697" t="s">
        <v>310</v>
      </c>
      <c r="T226" s="697" t="s">
        <v>310</v>
      </c>
    </row>
    <row r="227" spans="1:20" ht="84" x14ac:dyDescent="0.2">
      <c r="A227" s="432">
        <f>IF(B227="","",COUNT('Diário 1º PA'!$A$4:$A$2635)+COUNT('Diário 2º PA'!$A$4:$A$3040)+ROW()-3)</f>
        <v>4323</v>
      </c>
      <c r="B227" s="413">
        <v>44750</v>
      </c>
      <c r="C227" s="431">
        <v>44682</v>
      </c>
      <c r="D227" s="415" t="s">
        <v>271</v>
      </c>
      <c r="E227" s="415" t="s">
        <v>205</v>
      </c>
      <c r="F227" s="425">
        <v>1500</v>
      </c>
      <c r="G227" s="427" t="s">
        <v>4126</v>
      </c>
      <c r="H227" s="415" t="s">
        <v>757</v>
      </c>
      <c r="I227" s="415" t="s">
        <v>2803</v>
      </c>
      <c r="J227" s="415" t="s">
        <v>2426</v>
      </c>
      <c r="K227" s="419" t="s">
        <v>806</v>
      </c>
      <c r="L227" s="415" t="s">
        <v>5936</v>
      </c>
      <c r="M227" s="419">
        <v>33901455</v>
      </c>
      <c r="N227" s="413">
        <v>44749</v>
      </c>
      <c r="O227" s="414" t="s">
        <v>400</v>
      </c>
      <c r="P227" s="655">
        <f t="shared" si="9"/>
        <v>7</v>
      </c>
      <c r="Q227" s="655">
        <f t="shared" si="10"/>
        <v>5</v>
      </c>
      <c r="R227" s="695" t="str">
        <f t="shared" si="11"/>
        <v>Gastos_Gerais</v>
      </c>
      <c r="S227" s="697" t="s">
        <v>5937</v>
      </c>
      <c r="T227" s="697">
        <v>3719</v>
      </c>
    </row>
    <row r="228" spans="1:20" ht="36" x14ac:dyDescent="0.2">
      <c r="A228" s="432">
        <f>IF(B228="","",COUNT('Diário 1º PA'!$A$4:$A$2635)+COUNT('Diário 2º PA'!$A$4:$A$3040)+ROW()-3)</f>
        <v>4324</v>
      </c>
      <c r="B228" s="413">
        <v>44750</v>
      </c>
      <c r="C228" s="431">
        <v>44713</v>
      </c>
      <c r="D228" s="415" t="s">
        <v>271</v>
      </c>
      <c r="E228" s="415" t="s">
        <v>449</v>
      </c>
      <c r="F228" s="425">
        <v>500</v>
      </c>
      <c r="G228" s="427" t="s">
        <v>5161</v>
      </c>
      <c r="H228" s="415" t="s">
        <v>756</v>
      </c>
      <c r="I228" s="415" t="s">
        <v>5938</v>
      </c>
      <c r="J228" s="415" t="s">
        <v>5162</v>
      </c>
      <c r="K228" s="419" t="s">
        <v>806</v>
      </c>
      <c r="L228" s="415" t="s">
        <v>1305</v>
      </c>
      <c r="M228" s="419" t="s">
        <v>310</v>
      </c>
      <c r="N228" s="413">
        <v>44749</v>
      </c>
      <c r="O228" s="414" t="s">
        <v>400</v>
      </c>
      <c r="P228" s="655">
        <f t="shared" si="9"/>
        <v>7</v>
      </c>
      <c r="Q228" s="655">
        <f t="shared" si="10"/>
        <v>6</v>
      </c>
      <c r="R228" s="695" t="str">
        <f t="shared" si="11"/>
        <v>Gastos_Gerais</v>
      </c>
      <c r="S228" s="697" t="s">
        <v>5937</v>
      </c>
      <c r="T228" s="697">
        <v>3975</v>
      </c>
    </row>
    <row r="229" spans="1:20" ht="48" x14ac:dyDescent="0.2">
      <c r="A229" s="432">
        <f>IF(B229="","",COUNT('Diário 1º PA'!$A$4:$A$2635)+COUNT('Diário 2º PA'!$A$4:$A$3040)+ROW()-3)</f>
        <v>4325</v>
      </c>
      <c r="B229" s="413">
        <v>44750</v>
      </c>
      <c r="C229" s="431">
        <v>44682</v>
      </c>
      <c r="D229" s="415" t="s">
        <v>271</v>
      </c>
      <c r="E229" s="415" t="s">
        <v>453</v>
      </c>
      <c r="F229" s="425">
        <v>1100.8</v>
      </c>
      <c r="G229" s="427" t="s">
        <v>4700</v>
      </c>
      <c r="H229" s="415" t="s">
        <v>757</v>
      </c>
      <c r="I229" s="415" t="s">
        <v>5939</v>
      </c>
      <c r="J229" s="415" t="s">
        <v>3594</v>
      </c>
      <c r="K229" s="419" t="s">
        <v>830</v>
      </c>
      <c r="L229" s="415" t="s">
        <v>839</v>
      </c>
      <c r="M229" s="419">
        <v>1881</v>
      </c>
      <c r="N229" s="413">
        <v>44749</v>
      </c>
      <c r="O229" s="414" t="s">
        <v>400</v>
      </c>
      <c r="P229" s="655">
        <f t="shared" si="9"/>
        <v>7</v>
      </c>
      <c r="Q229" s="655">
        <f t="shared" si="10"/>
        <v>5</v>
      </c>
      <c r="R229" s="695" t="str">
        <f t="shared" si="11"/>
        <v>Gastos_Gerais</v>
      </c>
      <c r="S229" s="697" t="s">
        <v>998</v>
      </c>
      <c r="T229" s="697">
        <v>3705</v>
      </c>
    </row>
    <row r="230" spans="1:20" ht="24" x14ac:dyDescent="0.2">
      <c r="A230" s="432">
        <f>IF(B230="","",COUNT('Diário 1º PA'!$A$4:$A$2635)+COUNT('Diário 2º PA'!$A$4:$A$3040)+ROW()-3)</f>
        <v>4326</v>
      </c>
      <c r="B230" s="413">
        <v>44750</v>
      </c>
      <c r="C230" s="433">
        <v>44713</v>
      </c>
      <c r="D230" s="434" t="s">
        <v>182</v>
      </c>
      <c r="E230" s="434" t="s">
        <v>8</v>
      </c>
      <c r="F230" s="425">
        <v>1623.99</v>
      </c>
      <c r="G230" s="437" t="s">
        <v>506</v>
      </c>
      <c r="H230" s="434" t="s">
        <v>310</v>
      </c>
      <c r="I230" s="415" t="s">
        <v>770</v>
      </c>
      <c r="J230" s="419" t="s">
        <v>825</v>
      </c>
      <c r="K230" s="418" t="s">
        <v>812</v>
      </c>
      <c r="L230" s="415" t="s">
        <v>826</v>
      </c>
      <c r="M230" s="419">
        <v>8134322</v>
      </c>
      <c r="N230" s="413">
        <v>44740</v>
      </c>
      <c r="O230" s="414" t="s">
        <v>400</v>
      </c>
      <c r="P230" s="655">
        <f t="shared" si="9"/>
        <v>7</v>
      </c>
      <c r="Q230" s="655">
        <f t="shared" si="10"/>
        <v>6</v>
      </c>
      <c r="R230" s="695" t="str">
        <f t="shared" si="11"/>
        <v>Gastos_com_Pessoal</v>
      </c>
      <c r="S230" s="697" t="s">
        <v>310</v>
      </c>
      <c r="T230" s="697" t="s">
        <v>310</v>
      </c>
    </row>
    <row r="231" spans="1:20" ht="36" x14ac:dyDescent="0.2">
      <c r="A231" s="432">
        <f>IF(B231="","",COUNT('Diário 1º PA'!$A$4:$A$2635)+COUNT('Diário 2º PA'!$A$4:$A$3040)+ROW()-3)</f>
        <v>4327</v>
      </c>
      <c r="B231" s="413">
        <v>44750</v>
      </c>
      <c r="C231" s="431">
        <v>44713</v>
      </c>
      <c r="D231" s="415" t="s">
        <v>271</v>
      </c>
      <c r="E231" s="415" t="s">
        <v>453</v>
      </c>
      <c r="F231" s="422">
        <v>756.5</v>
      </c>
      <c r="G231" s="427" t="s">
        <v>4482</v>
      </c>
      <c r="H231" s="415" t="s">
        <v>748</v>
      </c>
      <c r="I231" s="415" t="s">
        <v>5942</v>
      </c>
      <c r="J231" s="415" t="s">
        <v>4483</v>
      </c>
      <c r="K231" s="419" t="s">
        <v>830</v>
      </c>
      <c r="L231" s="415" t="s">
        <v>839</v>
      </c>
      <c r="M231" s="419">
        <v>1875</v>
      </c>
      <c r="N231" s="413">
        <v>44748</v>
      </c>
      <c r="O231" s="414" t="s">
        <v>400</v>
      </c>
      <c r="P231" s="655">
        <f t="shared" si="9"/>
        <v>7</v>
      </c>
      <c r="Q231" s="655">
        <f t="shared" si="10"/>
        <v>6</v>
      </c>
      <c r="R231" s="695" t="str">
        <f t="shared" si="11"/>
        <v>Gastos_Gerais</v>
      </c>
      <c r="S231" s="697" t="s">
        <v>998</v>
      </c>
      <c r="T231" s="697">
        <v>3841</v>
      </c>
    </row>
    <row r="232" spans="1:20" ht="36" x14ac:dyDescent="0.2">
      <c r="A232" s="432">
        <f>IF(B232="","",COUNT('Diário 1º PA'!$A$4:$A$2635)+COUNT('Diário 2º PA'!$A$4:$A$3040)+ROW()-3)</f>
        <v>4328</v>
      </c>
      <c r="B232" s="413">
        <v>44750</v>
      </c>
      <c r="C232" s="431">
        <v>44713</v>
      </c>
      <c r="D232" s="415" t="s">
        <v>271</v>
      </c>
      <c r="E232" s="415" t="s">
        <v>453</v>
      </c>
      <c r="F232" s="422">
        <v>2934.9</v>
      </c>
      <c r="G232" s="427" t="s">
        <v>1972</v>
      </c>
      <c r="H232" s="415" t="s">
        <v>757</v>
      </c>
      <c r="I232" s="415" t="s">
        <v>5943</v>
      </c>
      <c r="J232" s="415" t="s">
        <v>4757</v>
      </c>
      <c r="K232" s="419" t="s">
        <v>830</v>
      </c>
      <c r="L232" s="415" t="s">
        <v>807</v>
      </c>
      <c r="M232" s="419" t="s">
        <v>1540</v>
      </c>
      <c r="N232" s="413">
        <v>44749</v>
      </c>
      <c r="O232" s="414" t="s">
        <v>400</v>
      </c>
      <c r="P232" s="655">
        <f t="shared" si="9"/>
        <v>7</v>
      </c>
      <c r="Q232" s="655">
        <f t="shared" si="10"/>
        <v>6</v>
      </c>
      <c r="R232" s="695" t="str">
        <f t="shared" si="11"/>
        <v>Gastos_Gerais</v>
      </c>
      <c r="S232" s="697" t="s">
        <v>5937</v>
      </c>
      <c r="T232" s="697">
        <v>3895</v>
      </c>
    </row>
    <row r="233" spans="1:20" ht="84" x14ac:dyDescent="0.2">
      <c r="A233" s="432">
        <f>IF(B233="","",COUNT('Diário 1º PA'!$A$4:$A$2635)+COUNT('Diário 2º PA'!$A$4:$A$3040)+ROW()-3)</f>
        <v>4329</v>
      </c>
      <c r="B233" s="413">
        <v>44750</v>
      </c>
      <c r="C233" s="431">
        <v>44713</v>
      </c>
      <c r="D233" s="415" t="s">
        <v>271</v>
      </c>
      <c r="E233" s="415" t="s">
        <v>461</v>
      </c>
      <c r="F233" s="422">
        <v>889.2</v>
      </c>
      <c r="G233" s="427" t="s">
        <v>5945</v>
      </c>
      <c r="H233" s="415" t="s">
        <v>755</v>
      </c>
      <c r="I233" s="415" t="s">
        <v>5946</v>
      </c>
      <c r="J233" s="415" t="s">
        <v>4603</v>
      </c>
      <c r="K233" s="419" t="s">
        <v>830</v>
      </c>
      <c r="L233" s="415" t="s">
        <v>807</v>
      </c>
      <c r="M233" s="419" t="s">
        <v>5947</v>
      </c>
      <c r="N233" s="413">
        <v>44749</v>
      </c>
      <c r="O233" s="414" t="s">
        <v>400</v>
      </c>
      <c r="P233" s="655">
        <f t="shared" si="9"/>
        <v>7</v>
      </c>
      <c r="Q233" s="655">
        <f t="shared" si="10"/>
        <v>6</v>
      </c>
      <c r="R233" s="695" t="str">
        <f t="shared" si="11"/>
        <v>Gastos_Gerais</v>
      </c>
      <c r="S233" s="697" t="s">
        <v>1000</v>
      </c>
      <c r="T233" s="697">
        <v>3868</v>
      </c>
    </row>
    <row r="234" spans="1:20" ht="72" x14ac:dyDescent="0.2">
      <c r="A234" s="432">
        <f>IF(B234="","",COUNT('Diário 1º PA'!$A$4:$A$2635)+COUNT('Diário 2º PA'!$A$4:$A$3040)+ROW()-3)</f>
        <v>4330</v>
      </c>
      <c r="B234" s="413">
        <v>44750</v>
      </c>
      <c r="C234" s="431">
        <v>44713</v>
      </c>
      <c r="D234" s="419" t="s">
        <v>271</v>
      </c>
      <c r="E234" s="419" t="s">
        <v>297</v>
      </c>
      <c r="F234" s="422">
        <v>97.2</v>
      </c>
      <c r="G234" s="419" t="s">
        <v>5949</v>
      </c>
      <c r="H234" s="419" t="s">
        <v>793</v>
      </c>
      <c r="I234" s="473" t="s">
        <v>1803</v>
      </c>
      <c r="J234" s="415" t="s">
        <v>991</v>
      </c>
      <c r="K234" s="415" t="s">
        <v>830</v>
      </c>
      <c r="L234" s="415" t="s">
        <v>798</v>
      </c>
      <c r="M234" s="415" t="s">
        <v>310</v>
      </c>
      <c r="N234" s="413">
        <v>44750</v>
      </c>
      <c r="O234" s="414" t="s">
        <v>400</v>
      </c>
      <c r="P234" s="655">
        <f t="shared" si="9"/>
        <v>7</v>
      </c>
      <c r="Q234" s="655">
        <f t="shared" si="10"/>
        <v>6</v>
      </c>
      <c r="R234" s="695" t="str">
        <f t="shared" si="11"/>
        <v>Gastos_Gerais</v>
      </c>
      <c r="S234" s="697" t="s">
        <v>1000</v>
      </c>
      <c r="T234" s="697">
        <v>2768</v>
      </c>
    </row>
    <row r="235" spans="1:20" ht="120" x14ac:dyDescent="0.2">
      <c r="A235" s="432">
        <f>IF(B235="","",COUNT('Diário 1º PA'!$A$4:$A$2635)+COUNT('Diário 2º PA'!$A$4:$A$3040)+ROW()-3)</f>
        <v>4331</v>
      </c>
      <c r="B235" s="413">
        <v>44750</v>
      </c>
      <c r="C235" s="431">
        <v>44713</v>
      </c>
      <c r="D235" s="415" t="s">
        <v>271</v>
      </c>
      <c r="E235" s="415" t="s">
        <v>297</v>
      </c>
      <c r="F235" s="422">
        <v>1215.48</v>
      </c>
      <c r="G235" s="427" t="s">
        <v>3925</v>
      </c>
      <c r="H235" s="415" t="s">
        <v>309</v>
      </c>
      <c r="I235" s="415" t="s">
        <v>776</v>
      </c>
      <c r="J235" s="415" t="s">
        <v>1036</v>
      </c>
      <c r="K235" s="419" t="s">
        <v>812</v>
      </c>
      <c r="L235" s="415" t="s">
        <v>807</v>
      </c>
      <c r="M235" s="419">
        <v>47219</v>
      </c>
      <c r="N235" s="413">
        <v>44743</v>
      </c>
      <c r="O235" s="414" t="s">
        <v>400</v>
      </c>
      <c r="P235" s="655">
        <f t="shared" si="9"/>
        <v>7</v>
      </c>
      <c r="Q235" s="655">
        <f t="shared" si="10"/>
        <v>6</v>
      </c>
      <c r="R235" s="695" t="str">
        <f t="shared" si="11"/>
        <v>Gastos_Gerais</v>
      </c>
      <c r="S235" s="697" t="s">
        <v>1000</v>
      </c>
      <c r="T235" s="697">
        <v>1141</v>
      </c>
    </row>
    <row r="236" spans="1:20" ht="48" x14ac:dyDescent="0.2">
      <c r="A236" s="432">
        <f>IF(B236="","",COUNT('Diário 1º PA'!$A$4:$A$2635)+COUNT('Diário 2º PA'!$A$4:$A$3040)+ROW()-3)</f>
        <v>4332</v>
      </c>
      <c r="B236" s="413">
        <v>44750</v>
      </c>
      <c r="C236" s="431">
        <v>44713</v>
      </c>
      <c r="D236" s="419" t="s">
        <v>271</v>
      </c>
      <c r="E236" s="419" t="s">
        <v>297</v>
      </c>
      <c r="F236" s="422">
        <v>318.07</v>
      </c>
      <c r="G236" s="419" t="s">
        <v>5950</v>
      </c>
      <c r="H236" s="419" t="s">
        <v>310</v>
      </c>
      <c r="I236" s="473" t="s">
        <v>1803</v>
      </c>
      <c r="J236" s="415" t="s">
        <v>991</v>
      </c>
      <c r="K236" s="415" t="s">
        <v>830</v>
      </c>
      <c r="L236" s="415" t="s">
        <v>798</v>
      </c>
      <c r="M236" s="415" t="s">
        <v>310</v>
      </c>
      <c r="N236" s="413">
        <v>44750</v>
      </c>
      <c r="O236" s="414" t="s">
        <v>400</v>
      </c>
      <c r="P236" s="655">
        <f t="shared" si="9"/>
        <v>7</v>
      </c>
      <c r="Q236" s="655">
        <f t="shared" si="10"/>
        <v>6</v>
      </c>
      <c r="R236" s="695" t="str">
        <f t="shared" si="11"/>
        <v>Gastos_Gerais</v>
      </c>
      <c r="S236" s="697" t="s">
        <v>998</v>
      </c>
      <c r="T236" s="697">
        <v>4076</v>
      </c>
    </row>
    <row r="237" spans="1:20" ht="36" x14ac:dyDescent="0.2">
      <c r="A237" s="432">
        <f>IF(B237="","",COUNT('Diário 1º PA'!$A$4:$A$2635)+COUNT('Diário 2º PA'!$A$4:$A$3040)+ROW()-3)</f>
        <v>4333</v>
      </c>
      <c r="B237" s="413">
        <v>44750</v>
      </c>
      <c r="C237" s="431">
        <v>44713</v>
      </c>
      <c r="D237" s="415" t="s">
        <v>271</v>
      </c>
      <c r="E237" s="415" t="s">
        <v>456</v>
      </c>
      <c r="F237" s="422">
        <v>1512</v>
      </c>
      <c r="G237" s="427" t="s">
        <v>4448</v>
      </c>
      <c r="H237" s="415" t="s">
        <v>760</v>
      </c>
      <c r="I237" s="415" t="s">
        <v>5951</v>
      </c>
      <c r="J237" s="415" t="s">
        <v>4449</v>
      </c>
      <c r="K237" s="419" t="s">
        <v>830</v>
      </c>
      <c r="L237" s="415" t="s">
        <v>839</v>
      </c>
      <c r="M237" s="687" t="s">
        <v>5952</v>
      </c>
      <c r="N237" s="413">
        <v>44749</v>
      </c>
      <c r="O237" s="414" t="s">
        <v>400</v>
      </c>
      <c r="P237" s="655">
        <f t="shared" si="9"/>
        <v>7</v>
      </c>
      <c r="Q237" s="655">
        <f t="shared" si="10"/>
        <v>6</v>
      </c>
      <c r="R237" s="695" t="str">
        <f t="shared" si="11"/>
        <v>Gastos_Gerais</v>
      </c>
      <c r="S237" s="697" t="s">
        <v>1000</v>
      </c>
      <c r="T237" s="697">
        <v>3824</v>
      </c>
    </row>
    <row r="238" spans="1:20" ht="24" x14ac:dyDescent="0.2">
      <c r="A238" s="432">
        <f>IF(B238="","",COUNT('Diário 1º PA'!$A$4:$A$2635)+COUNT('Diário 2º PA'!$A$4:$A$3040)+ROW()-3)</f>
        <v>4334</v>
      </c>
      <c r="B238" s="413">
        <v>44750</v>
      </c>
      <c r="C238" s="431">
        <v>44682</v>
      </c>
      <c r="D238" s="415" t="s">
        <v>271</v>
      </c>
      <c r="E238" s="415" t="s">
        <v>450</v>
      </c>
      <c r="F238" s="425">
        <v>89.67</v>
      </c>
      <c r="G238" s="427" t="s">
        <v>4967</v>
      </c>
      <c r="H238" s="415" t="s">
        <v>758</v>
      </c>
      <c r="I238" s="415" t="s">
        <v>764</v>
      </c>
      <c r="J238" s="426" t="s">
        <v>310</v>
      </c>
      <c r="K238" s="415" t="s">
        <v>1220</v>
      </c>
      <c r="L238" s="415" t="s">
        <v>3443</v>
      </c>
      <c r="M238" s="688" t="s">
        <v>5955</v>
      </c>
      <c r="N238" s="685">
        <v>44750</v>
      </c>
      <c r="O238" s="414" t="s">
        <v>400</v>
      </c>
      <c r="P238" s="655">
        <f t="shared" si="9"/>
        <v>7</v>
      </c>
      <c r="Q238" s="655">
        <f t="shared" si="10"/>
        <v>5</v>
      </c>
      <c r="R238" s="695" t="str">
        <f t="shared" si="11"/>
        <v>Gastos_Gerais</v>
      </c>
      <c r="S238" s="697" t="s">
        <v>310</v>
      </c>
      <c r="T238" s="697" t="s">
        <v>310</v>
      </c>
    </row>
    <row r="239" spans="1:20" ht="24" x14ac:dyDescent="0.2">
      <c r="A239" s="432">
        <f>IF(B239="","",COUNT('Diário 1º PA'!$A$4:$A$2635)+COUNT('Diário 2º PA'!$A$4:$A$3040)+ROW()-3)</f>
        <v>4335</v>
      </c>
      <c r="B239" s="413">
        <v>44750</v>
      </c>
      <c r="C239" s="431">
        <v>44621</v>
      </c>
      <c r="D239" s="415" t="s">
        <v>271</v>
      </c>
      <c r="E239" s="415" t="s">
        <v>453</v>
      </c>
      <c r="F239" s="422">
        <v>90</v>
      </c>
      <c r="G239" s="427" t="s">
        <v>4651</v>
      </c>
      <c r="H239" s="415" t="s">
        <v>752</v>
      </c>
      <c r="I239" s="415" t="s">
        <v>764</v>
      </c>
      <c r="J239" s="426" t="s">
        <v>310</v>
      </c>
      <c r="K239" s="415" t="s">
        <v>1220</v>
      </c>
      <c r="L239" s="415" t="s">
        <v>3443</v>
      </c>
      <c r="M239" s="688">
        <v>222158704855</v>
      </c>
      <c r="N239" s="685">
        <v>44750</v>
      </c>
      <c r="O239" s="414" t="s">
        <v>400</v>
      </c>
      <c r="P239" s="655">
        <f t="shared" si="9"/>
        <v>7</v>
      </c>
      <c r="Q239" s="655">
        <f t="shared" si="10"/>
        <v>3</v>
      </c>
      <c r="R239" s="695" t="str">
        <f t="shared" si="11"/>
        <v>Gastos_Gerais</v>
      </c>
      <c r="S239" s="697" t="s">
        <v>310</v>
      </c>
      <c r="T239" s="697" t="s">
        <v>310</v>
      </c>
    </row>
    <row r="240" spans="1:20" ht="24" x14ac:dyDescent="0.2">
      <c r="A240" s="432">
        <f>IF(B240="","",COUNT('Diário 1º PA'!$A$4:$A$2635)+COUNT('Diário 2º PA'!$A$4:$A$3040)+ROW()-3)</f>
        <v>4336</v>
      </c>
      <c r="B240" s="413">
        <v>44750</v>
      </c>
      <c r="C240" s="431">
        <v>44713</v>
      </c>
      <c r="D240" s="415" t="s">
        <v>271</v>
      </c>
      <c r="E240" s="415" t="s">
        <v>444</v>
      </c>
      <c r="F240" s="422">
        <v>74.400000000000006</v>
      </c>
      <c r="G240" s="427" t="s">
        <v>4899</v>
      </c>
      <c r="H240" s="415" t="s">
        <v>752</v>
      </c>
      <c r="I240" s="415" t="s">
        <v>764</v>
      </c>
      <c r="J240" s="426" t="s">
        <v>310</v>
      </c>
      <c r="K240" s="415" t="s">
        <v>1220</v>
      </c>
      <c r="L240" s="415" t="s">
        <v>3443</v>
      </c>
      <c r="M240" s="688">
        <v>222158709652</v>
      </c>
      <c r="N240" s="685">
        <v>44750</v>
      </c>
      <c r="O240" s="414" t="s">
        <v>400</v>
      </c>
      <c r="P240" s="655">
        <f t="shared" si="9"/>
        <v>7</v>
      </c>
      <c r="Q240" s="655">
        <f t="shared" si="10"/>
        <v>6</v>
      </c>
      <c r="R240" s="695" t="str">
        <f t="shared" si="11"/>
        <v>Gastos_Gerais</v>
      </c>
      <c r="S240" s="697" t="s">
        <v>310</v>
      </c>
      <c r="T240" s="697" t="s">
        <v>310</v>
      </c>
    </row>
    <row r="241" spans="1:20" ht="36" x14ac:dyDescent="0.2">
      <c r="A241" s="432">
        <f>IF(B241="","",COUNT('Diário 1º PA'!$A$4:$A$2635)+COUNT('Diário 2º PA'!$A$4:$A$3040)+ROW()-3)</f>
        <v>4337</v>
      </c>
      <c r="B241" s="413">
        <v>44750</v>
      </c>
      <c r="C241" s="431">
        <v>44682</v>
      </c>
      <c r="D241" s="415" t="s">
        <v>271</v>
      </c>
      <c r="E241" s="415" t="s">
        <v>453</v>
      </c>
      <c r="F241" s="422">
        <v>38.4</v>
      </c>
      <c r="G241" s="427" t="s">
        <v>4701</v>
      </c>
      <c r="H241" s="415" t="s">
        <v>757</v>
      </c>
      <c r="I241" s="415" t="s">
        <v>764</v>
      </c>
      <c r="J241" s="426" t="s">
        <v>310</v>
      </c>
      <c r="K241" s="415" t="s">
        <v>1220</v>
      </c>
      <c r="L241" s="415" t="s">
        <v>3443</v>
      </c>
      <c r="M241" s="688">
        <v>222158709067</v>
      </c>
      <c r="N241" s="685">
        <v>44750</v>
      </c>
      <c r="O241" s="414" t="s">
        <v>400</v>
      </c>
      <c r="P241" s="655">
        <f t="shared" si="9"/>
        <v>7</v>
      </c>
      <c r="Q241" s="655">
        <f t="shared" si="10"/>
        <v>5</v>
      </c>
      <c r="R241" s="695" t="str">
        <f t="shared" si="11"/>
        <v>Gastos_Gerais</v>
      </c>
      <c r="S241" s="697" t="s">
        <v>310</v>
      </c>
      <c r="T241" s="697" t="s">
        <v>310</v>
      </c>
    </row>
    <row r="242" spans="1:20" ht="36" x14ac:dyDescent="0.2">
      <c r="A242" s="432">
        <f>IF(B242="","",COUNT('Diário 1º PA'!$A$4:$A$2635)+COUNT('Diário 2º PA'!$A$4:$A$3040)+ROW()-3)</f>
        <v>4338</v>
      </c>
      <c r="B242" s="413">
        <v>44750</v>
      </c>
      <c r="C242" s="433">
        <v>44713</v>
      </c>
      <c r="D242" s="434" t="s">
        <v>182</v>
      </c>
      <c r="E242" s="434" t="s">
        <v>325</v>
      </c>
      <c r="F242" s="425">
        <v>213.16</v>
      </c>
      <c r="G242" s="427" t="s">
        <v>5959</v>
      </c>
      <c r="H242" s="415" t="s">
        <v>310</v>
      </c>
      <c r="I242" s="473" t="s">
        <v>764</v>
      </c>
      <c r="J242" s="415" t="s">
        <v>310</v>
      </c>
      <c r="K242" s="415" t="s">
        <v>1220</v>
      </c>
      <c r="L242" s="415" t="s">
        <v>3443</v>
      </c>
      <c r="M242" s="546">
        <v>222158708842</v>
      </c>
      <c r="N242" s="413">
        <v>44750</v>
      </c>
      <c r="O242" s="414" t="s">
        <v>400</v>
      </c>
      <c r="P242" s="655">
        <f t="shared" si="9"/>
        <v>7</v>
      </c>
      <c r="Q242" s="655">
        <f t="shared" si="10"/>
        <v>6</v>
      </c>
      <c r="R242" s="695" t="str">
        <f t="shared" si="11"/>
        <v>Gastos_com_Pessoal</v>
      </c>
      <c r="S242" s="697" t="s">
        <v>310</v>
      </c>
      <c r="T242" s="697" t="s">
        <v>310</v>
      </c>
    </row>
    <row r="243" spans="1:20" ht="24" x14ac:dyDescent="0.2">
      <c r="A243" s="432">
        <f>IF(B243="","",COUNT('Diário 1º PA'!$A$4:$A$2635)+COUNT('Diário 2º PA'!$A$4:$A$3040)+ROW()-3)</f>
        <v>4339</v>
      </c>
      <c r="B243" s="413">
        <v>44750</v>
      </c>
      <c r="C243" s="431">
        <v>44713</v>
      </c>
      <c r="D243" s="415" t="s">
        <v>271</v>
      </c>
      <c r="E243" s="415" t="s">
        <v>444</v>
      </c>
      <c r="F243" s="425">
        <v>825</v>
      </c>
      <c r="G243" s="427" t="s">
        <v>5087</v>
      </c>
      <c r="H243" s="415" t="s">
        <v>752</v>
      </c>
      <c r="I243" s="473" t="s">
        <v>764</v>
      </c>
      <c r="J243" s="415" t="s">
        <v>310</v>
      </c>
      <c r="K243" s="415" t="s">
        <v>1220</v>
      </c>
      <c r="L243" s="415" t="s">
        <v>3443</v>
      </c>
      <c r="M243" s="546">
        <v>222158715032</v>
      </c>
      <c r="N243" s="413">
        <v>44750</v>
      </c>
      <c r="O243" s="414" t="s">
        <v>400</v>
      </c>
      <c r="P243" s="655">
        <f t="shared" si="9"/>
        <v>7</v>
      </c>
      <c r="Q243" s="655">
        <f t="shared" si="10"/>
        <v>6</v>
      </c>
      <c r="R243" s="695" t="str">
        <f t="shared" si="11"/>
        <v>Gastos_Gerais</v>
      </c>
      <c r="S243" s="697" t="s">
        <v>310</v>
      </c>
      <c r="T243" s="697" t="s">
        <v>310</v>
      </c>
    </row>
    <row r="244" spans="1:20" ht="24" x14ac:dyDescent="0.2">
      <c r="A244" s="432">
        <f>IF(B244="","",COUNT('Diário 1º PA'!$A$4:$A$2635)+COUNT('Diário 2º PA'!$A$4:$A$3040)+ROW()-3)</f>
        <v>4340</v>
      </c>
      <c r="B244" s="413">
        <v>44750</v>
      </c>
      <c r="C244" s="431">
        <v>44652</v>
      </c>
      <c r="D244" s="415" t="s">
        <v>271</v>
      </c>
      <c r="E244" s="415" t="s">
        <v>453</v>
      </c>
      <c r="F244" s="422">
        <v>90</v>
      </c>
      <c r="G244" s="427" t="s">
        <v>4524</v>
      </c>
      <c r="H244" s="415" t="s">
        <v>752</v>
      </c>
      <c r="I244" s="473" t="s">
        <v>764</v>
      </c>
      <c r="J244" s="415" t="s">
        <v>310</v>
      </c>
      <c r="K244" s="415" t="s">
        <v>1220</v>
      </c>
      <c r="L244" s="415" t="s">
        <v>3443</v>
      </c>
      <c r="M244" s="546">
        <v>222158704936</v>
      </c>
      <c r="N244" s="413">
        <v>44750</v>
      </c>
      <c r="O244" s="414" t="s">
        <v>400</v>
      </c>
      <c r="P244" s="655">
        <f t="shared" si="9"/>
        <v>7</v>
      </c>
      <c r="Q244" s="655">
        <f t="shared" si="10"/>
        <v>4</v>
      </c>
      <c r="R244" s="695" t="str">
        <f t="shared" si="11"/>
        <v>Gastos_Gerais</v>
      </c>
      <c r="S244" s="697" t="s">
        <v>310</v>
      </c>
      <c r="T244" s="697" t="s">
        <v>310</v>
      </c>
    </row>
    <row r="245" spans="1:20" ht="24" x14ac:dyDescent="0.2">
      <c r="A245" s="432">
        <f>IF(B245="","",COUNT('Diário 1º PA'!$A$4:$A$2635)+COUNT('Diário 2º PA'!$A$4:$A$3040)+ROW()-3)</f>
        <v>4341</v>
      </c>
      <c r="B245" s="413">
        <v>44750</v>
      </c>
      <c r="C245" s="431">
        <v>44531</v>
      </c>
      <c r="D245" s="415" t="s">
        <v>271</v>
      </c>
      <c r="E245" s="415" t="s">
        <v>442</v>
      </c>
      <c r="F245" s="422">
        <v>10.050000000000001</v>
      </c>
      <c r="G245" s="427" t="s">
        <v>4658</v>
      </c>
      <c r="H245" s="415" t="s">
        <v>761</v>
      </c>
      <c r="I245" s="473" t="s">
        <v>764</v>
      </c>
      <c r="J245" s="415" t="s">
        <v>310</v>
      </c>
      <c r="K245" s="415" t="s">
        <v>1220</v>
      </c>
      <c r="L245" s="415" t="s">
        <v>3443</v>
      </c>
      <c r="M245" s="546">
        <v>222158708257</v>
      </c>
      <c r="N245" s="413">
        <v>44750</v>
      </c>
      <c r="O245" s="414" t="s">
        <v>400</v>
      </c>
      <c r="P245" s="655">
        <f t="shared" si="9"/>
        <v>7</v>
      </c>
      <c r="Q245" s="655">
        <f t="shared" si="10"/>
        <v>0</v>
      </c>
      <c r="R245" s="695" t="str">
        <f t="shared" si="11"/>
        <v>Gastos_Gerais</v>
      </c>
      <c r="S245" s="697" t="s">
        <v>310</v>
      </c>
      <c r="T245" s="697" t="s">
        <v>310</v>
      </c>
    </row>
    <row r="246" spans="1:20" ht="24" x14ac:dyDescent="0.2">
      <c r="A246" s="432">
        <f>IF(B246="","",COUNT('Diário 1º PA'!$A$4:$A$2635)+COUNT('Diário 2º PA'!$A$4:$A$3040)+ROW()-3)</f>
        <v>4342</v>
      </c>
      <c r="B246" s="413">
        <v>44750</v>
      </c>
      <c r="C246" s="431">
        <v>44713</v>
      </c>
      <c r="D246" s="415" t="s">
        <v>182</v>
      </c>
      <c r="E246" s="415" t="s">
        <v>161</v>
      </c>
      <c r="F246" s="422">
        <v>1.01</v>
      </c>
      <c r="G246" s="427" t="s">
        <v>5574</v>
      </c>
      <c r="H246" s="415" t="s">
        <v>310</v>
      </c>
      <c r="I246" s="473" t="s">
        <v>764</v>
      </c>
      <c r="J246" s="415" t="s">
        <v>310</v>
      </c>
      <c r="K246" s="415" t="s">
        <v>1220</v>
      </c>
      <c r="L246" s="415" t="s">
        <v>3443</v>
      </c>
      <c r="M246" s="546">
        <v>222158716195</v>
      </c>
      <c r="N246" s="413">
        <v>44750</v>
      </c>
      <c r="O246" s="414" t="s">
        <v>400</v>
      </c>
      <c r="P246" s="655">
        <f t="shared" si="9"/>
        <v>7</v>
      </c>
      <c r="Q246" s="655">
        <f t="shared" si="10"/>
        <v>6</v>
      </c>
      <c r="R246" s="695" t="str">
        <f t="shared" si="11"/>
        <v>Gastos_com_Pessoal</v>
      </c>
      <c r="S246" s="697" t="s">
        <v>310</v>
      </c>
      <c r="T246" s="697" t="s">
        <v>310</v>
      </c>
    </row>
    <row r="247" spans="1:20" ht="36" x14ac:dyDescent="0.2">
      <c r="A247" s="432">
        <f>IF(B247="","",COUNT('Diário 1º PA'!$A$4:$A$2635)+COUNT('Diário 2º PA'!$A$4:$A$3040)+ROW()-3)</f>
        <v>4343</v>
      </c>
      <c r="B247" s="413">
        <v>44750</v>
      </c>
      <c r="C247" s="431">
        <v>44682</v>
      </c>
      <c r="D247" s="415" t="s">
        <v>271</v>
      </c>
      <c r="E247" s="415" t="s">
        <v>453</v>
      </c>
      <c r="F247" s="422">
        <v>17.09</v>
      </c>
      <c r="G247" s="427" t="s">
        <v>4490</v>
      </c>
      <c r="H247" s="415" t="s">
        <v>754</v>
      </c>
      <c r="I247" s="473" t="s">
        <v>764</v>
      </c>
      <c r="J247" s="415" t="s">
        <v>310</v>
      </c>
      <c r="K247" s="415" t="s">
        <v>1220</v>
      </c>
      <c r="L247" s="415" t="s">
        <v>3443</v>
      </c>
      <c r="M247" s="546">
        <v>222158703700</v>
      </c>
      <c r="N247" s="413">
        <v>44750</v>
      </c>
      <c r="O247" s="414" t="s">
        <v>400</v>
      </c>
      <c r="P247" s="655">
        <f t="shared" si="9"/>
        <v>7</v>
      </c>
      <c r="Q247" s="655">
        <f t="shared" si="10"/>
        <v>5</v>
      </c>
      <c r="R247" s="695" t="str">
        <f t="shared" si="11"/>
        <v>Gastos_Gerais</v>
      </c>
      <c r="S247" s="697" t="s">
        <v>310</v>
      </c>
      <c r="T247" s="697" t="s">
        <v>310</v>
      </c>
    </row>
    <row r="248" spans="1:20" ht="99.95" customHeight="1" x14ac:dyDescent="0.2">
      <c r="A248" s="432">
        <f>IF(B248="","",COUNT('Diário 1º PA'!$A$4:$A$2635)+COUNT('Diário 2º PA'!$A$4:$A$3040)+ROW()-3)</f>
        <v>4344</v>
      </c>
      <c r="B248" s="413">
        <v>44750</v>
      </c>
      <c r="C248" s="592">
        <v>44682</v>
      </c>
      <c r="D248" s="415" t="s">
        <v>182</v>
      </c>
      <c r="E248" s="415" t="s">
        <v>1</v>
      </c>
      <c r="F248" s="425">
        <v>18.37</v>
      </c>
      <c r="G248" s="427" t="s">
        <v>5960</v>
      </c>
      <c r="H248" s="415" t="s">
        <v>310</v>
      </c>
      <c r="I248" s="473" t="s">
        <v>764</v>
      </c>
      <c r="J248" s="415" t="s">
        <v>310</v>
      </c>
      <c r="K248" s="415" t="s">
        <v>1220</v>
      </c>
      <c r="L248" s="415" t="s">
        <v>3443</v>
      </c>
      <c r="M248" s="546">
        <v>222158706980</v>
      </c>
      <c r="N248" s="413">
        <v>44750</v>
      </c>
      <c r="O248" s="414" t="s">
        <v>400</v>
      </c>
      <c r="P248" s="655">
        <f t="shared" si="9"/>
        <v>7</v>
      </c>
      <c r="Q248" s="655">
        <f t="shared" si="10"/>
        <v>5</v>
      </c>
      <c r="R248" s="695" t="str">
        <f t="shared" si="11"/>
        <v>Gastos_com_Pessoal</v>
      </c>
      <c r="S248" s="697" t="s">
        <v>310</v>
      </c>
      <c r="T248" s="697" t="s">
        <v>310</v>
      </c>
    </row>
    <row r="249" spans="1:20" ht="24" x14ac:dyDescent="0.2">
      <c r="A249" s="432">
        <f>IF(B249="","",COUNT('Diário 1º PA'!$A$4:$A$2635)+COUNT('Diário 2º PA'!$A$4:$A$3040)+ROW()-3)</f>
        <v>4345</v>
      </c>
      <c r="B249" s="413">
        <v>44750</v>
      </c>
      <c r="C249" s="431">
        <v>44621</v>
      </c>
      <c r="D249" s="415" t="s">
        <v>271</v>
      </c>
      <c r="E249" s="415" t="s">
        <v>453</v>
      </c>
      <c r="F249" s="422">
        <v>90</v>
      </c>
      <c r="G249" s="427" t="s">
        <v>4562</v>
      </c>
      <c r="H249" s="415" t="s">
        <v>752</v>
      </c>
      <c r="I249" s="473" t="s">
        <v>764</v>
      </c>
      <c r="J249" s="415" t="s">
        <v>310</v>
      </c>
      <c r="K249" s="415" t="s">
        <v>1220</v>
      </c>
      <c r="L249" s="415" t="s">
        <v>3443</v>
      </c>
      <c r="M249" s="546">
        <v>222158705312</v>
      </c>
      <c r="N249" s="413">
        <v>44750</v>
      </c>
      <c r="O249" s="414" t="s">
        <v>400</v>
      </c>
      <c r="P249" s="655">
        <f t="shared" si="9"/>
        <v>7</v>
      </c>
      <c r="Q249" s="655">
        <f t="shared" si="10"/>
        <v>3</v>
      </c>
      <c r="R249" s="695" t="str">
        <f t="shared" si="11"/>
        <v>Gastos_Gerais</v>
      </c>
      <c r="S249" s="697" t="s">
        <v>310</v>
      </c>
      <c r="T249" s="697" t="s">
        <v>310</v>
      </c>
    </row>
    <row r="250" spans="1:20" ht="36" x14ac:dyDescent="0.2">
      <c r="A250" s="432">
        <f>IF(B250="","",COUNT('Diário 1º PA'!$A$4:$A$2635)+COUNT('Diário 2º PA'!$A$4:$A$3040)+ROW()-3)</f>
        <v>4346</v>
      </c>
      <c r="B250" s="413">
        <v>44750</v>
      </c>
      <c r="C250" s="431">
        <v>44713</v>
      </c>
      <c r="D250" s="415" t="s">
        <v>271</v>
      </c>
      <c r="E250" s="415" t="s">
        <v>178</v>
      </c>
      <c r="F250" s="425">
        <v>10.07</v>
      </c>
      <c r="G250" s="427" t="s">
        <v>5961</v>
      </c>
      <c r="H250" s="415" t="s">
        <v>309</v>
      </c>
      <c r="I250" s="473" t="s">
        <v>764</v>
      </c>
      <c r="J250" s="415" t="s">
        <v>310</v>
      </c>
      <c r="K250" s="415" t="s">
        <v>1220</v>
      </c>
      <c r="L250" s="415" t="s">
        <v>3443</v>
      </c>
      <c r="M250" s="546">
        <v>222158704502</v>
      </c>
      <c r="N250" s="413">
        <v>44750</v>
      </c>
      <c r="O250" s="414" t="s">
        <v>400</v>
      </c>
      <c r="P250" s="655">
        <f t="shared" si="9"/>
        <v>7</v>
      </c>
      <c r="Q250" s="655">
        <f t="shared" si="10"/>
        <v>6</v>
      </c>
      <c r="R250" s="695" t="str">
        <f t="shared" si="11"/>
        <v>Gastos_Gerais</v>
      </c>
      <c r="S250" s="697" t="s">
        <v>310</v>
      </c>
      <c r="T250" s="697" t="s">
        <v>310</v>
      </c>
    </row>
    <row r="251" spans="1:20" ht="24" x14ac:dyDescent="0.2">
      <c r="A251" s="432">
        <f>IF(B251="","",COUNT('Diário 1º PA'!$A$4:$A$2635)+COUNT('Diário 2º PA'!$A$4:$A$3040)+ROW()-3)</f>
        <v>4347</v>
      </c>
      <c r="B251" s="413">
        <v>44750</v>
      </c>
      <c r="C251" s="433">
        <v>44713</v>
      </c>
      <c r="D251" s="434" t="s">
        <v>182</v>
      </c>
      <c r="E251" s="434" t="s">
        <v>179</v>
      </c>
      <c r="F251" s="422">
        <v>18.55</v>
      </c>
      <c r="G251" s="437" t="s">
        <v>5747</v>
      </c>
      <c r="H251" s="434" t="s">
        <v>310</v>
      </c>
      <c r="I251" s="473" t="s">
        <v>764</v>
      </c>
      <c r="J251" s="415" t="s">
        <v>310</v>
      </c>
      <c r="K251" s="415" t="s">
        <v>1220</v>
      </c>
      <c r="L251" s="415" t="s">
        <v>3443</v>
      </c>
      <c r="M251" s="546">
        <v>222158714656</v>
      </c>
      <c r="N251" s="413">
        <v>44750</v>
      </c>
      <c r="O251" s="414" t="s">
        <v>400</v>
      </c>
      <c r="P251" s="655">
        <f t="shared" si="9"/>
        <v>7</v>
      </c>
      <c r="Q251" s="655">
        <f t="shared" si="10"/>
        <v>6</v>
      </c>
      <c r="R251" s="695" t="str">
        <f t="shared" si="11"/>
        <v>Gastos_com_Pessoal</v>
      </c>
      <c r="S251" s="697" t="s">
        <v>310</v>
      </c>
      <c r="T251" s="697" t="s">
        <v>310</v>
      </c>
    </row>
    <row r="252" spans="1:20" ht="36" x14ac:dyDescent="0.2">
      <c r="A252" s="432">
        <f>IF(B252="","",COUNT('Diário 1º PA'!$A$4:$A$2635)+COUNT('Diário 2º PA'!$A$4:$A$3040)+ROW()-3)</f>
        <v>4348</v>
      </c>
      <c r="B252" s="413">
        <v>44750</v>
      </c>
      <c r="C252" s="431">
        <v>44682</v>
      </c>
      <c r="D252" s="415" t="s">
        <v>271</v>
      </c>
      <c r="E252" s="415" t="s">
        <v>186</v>
      </c>
      <c r="F252" s="422">
        <v>75.7</v>
      </c>
      <c r="G252" s="427" t="s">
        <v>5750</v>
      </c>
      <c r="H252" s="415" t="s">
        <v>751</v>
      </c>
      <c r="I252" s="473" t="s">
        <v>764</v>
      </c>
      <c r="J252" s="415" t="s">
        <v>310</v>
      </c>
      <c r="K252" s="415" t="s">
        <v>1220</v>
      </c>
      <c r="L252" s="415" t="s">
        <v>3443</v>
      </c>
      <c r="M252" s="546">
        <v>222158707102</v>
      </c>
      <c r="N252" s="413">
        <v>44750</v>
      </c>
      <c r="O252" s="414" t="s">
        <v>400</v>
      </c>
      <c r="P252" s="655">
        <f t="shared" si="9"/>
        <v>7</v>
      </c>
      <c r="Q252" s="655">
        <f t="shared" si="10"/>
        <v>5</v>
      </c>
      <c r="R252" s="695" t="str">
        <f t="shared" si="11"/>
        <v>Gastos_Gerais</v>
      </c>
      <c r="S252" s="697" t="s">
        <v>310</v>
      </c>
      <c r="T252" s="697" t="s">
        <v>310</v>
      </c>
    </row>
    <row r="253" spans="1:20" ht="36" x14ac:dyDescent="0.2">
      <c r="A253" s="432">
        <f>IF(B253="","",COUNT('Diário 1º PA'!$A$4:$A$2635)+COUNT('Diário 2º PA'!$A$4:$A$3040)+ROW()-3)</f>
        <v>4349</v>
      </c>
      <c r="B253" s="413">
        <v>44750</v>
      </c>
      <c r="C253" s="431">
        <v>44713</v>
      </c>
      <c r="D253" s="415" t="s">
        <v>271</v>
      </c>
      <c r="E253" s="415" t="s">
        <v>456</v>
      </c>
      <c r="F253" s="422">
        <v>241.2</v>
      </c>
      <c r="G253" s="427" t="s">
        <v>4888</v>
      </c>
      <c r="H253" s="415" t="s">
        <v>755</v>
      </c>
      <c r="I253" s="473" t="s">
        <v>764</v>
      </c>
      <c r="J253" s="415" t="s">
        <v>310</v>
      </c>
      <c r="K253" s="415" t="s">
        <v>1220</v>
      </c>
      <c r="L253" s="415" t="s">
        <v>3443</v>
      </c>
      <c r="M253" s="546">
        <v>222158709300</v>
      </c>
      <c r="N253" s="413">
        <v>44750</v>
      </c>
      <c r="O253" s="414" t="s">
        <v>400</v>
      </c>
      <c r="P253" s="655">
        <f t="shared" si="9"/>
        <v>7</v>
      </c>
      <c r="Q253" s="655">
        <f t="shared" si="10"/>
        <v>6</v>
      </c>
      <c r="R253" s="695" t="str">
        <f t="shared" si="11"/>
        <v>Gastos_Gerais</v>
      </c>
      <c r="S253" s="697" t="s">
        <v>310</v>
      </c>
      <c r="T253" s="697" t="s">
        <v>310</v>
      </c>
    </row>
    <row r="254" spans="1:20" ht="24" x14ac:dyDescent="0.2">
      <c r="A254" s="432">
        <f>IF(B254="","",COUNT('Diário 1º PA'!$A$4:$A$2635)+COUNT('Diário 2º PA'!$A$4:$A$3040)+ROW()-3)</f>
        <v>4350</v>
      </c>
      <c r="B254" s="413">
        <v>44750</v>
      </c>
      <c r="C254" s="431">
        <v>44682</v>
      </c>
      <c r="D254" s="415" t="s">
        <v>271</v>
      </c>
      <c r="E254" s="415" t="s">
        <v>466</v>
      </c>
      <c r="F254" s="686">
        <v>52.5</v>
      </c>
      <c r="G254" s="427" t="s">
        <v>4923</v>
      </c>
      <c r="H254" s="415" t="s">
        <v>758</v>
      </c>
      <c r="I254" s="473" t="s">
        <v>764</v>
      </c>
      <c r="J254" s="415" t="s">
        <v>310</v>
      </c>
      <c r="K254" s="415" t="s">
        <v>1220</v>
      </c>
      <c r="L254" s="415" t="s">
        <v>3443</v>
      </c>
      <c r="M254" s="546">
        <v>222158713684</v>
      </c>
      <c r="N254" s="413">
        <v>44750</v>
      </c>
      <c r="O254" s="414" t="s">
        <v>400</v>
      </c>
      <c r="P254" s="655">
        <f t="shared" si="9"/>
        <v>7</v>
      </c>
      <c r="Q254" s="655">
        <f t="shared" si="10"/>
        <v>5</v>
      </c>
      <c r="R254" s="695" t="str">
        <f t="shared" si="11"/>
        <v>Gastos_Gerais</v>
      </c>
      <c r="S254" s="697" t="s">
        <v>310</v>
      </c>
      <c r="T254" s="697" t="s">
        <v>310</v>
      </c>
    </row>
    <row r="255" spans="1:20" ht="24" x14ac:dyDescent="0.2">
      <c r="A255" s="432">
        <f>IF(B255="","",COUNT('Diário 1º PA'!$A$4:$A$2635)+COUNT('Diário 2º PA'!$A$4:$A$3040)+ROW()-3)</f>
        <v>4351</v>
      </c>
      <c r="B255" s="413">
        <v>44750</v>
      </c>
      <c r="C255" s="431">
        <v>44682</v>
      </c>
      <c r="D255" s="415" t="s">
        <v>271</v>
      </c>
      <c r="E255" s="415" t="s">
        <v>453</v>
      </c>
      <c r="F255" s="422">
        <v>25</v>
      </c>
      <c r="G255" s="427" t="s">
        <v>4901</v>
      </c>
      <c r="H255" s="415" t="s">
        <v>756</v>
      </c>
      <c r="I255" s="473" t="s">
        <v>764</v>
      </c>
      <c r="J255" s="415" t="s">
        <v>310</v>
      </c>
      <c r="K255" s="415" t="s">
        <v>1220</v>
      </c>
      <c r="L255" s="415" t="s">
        <v>3443</v>
      </c>
      <c r="M255" s="546">
        <v>222158707366</v>
      </c>
      <c r="N255" s="413">
        <v>44750</v>
      </c>
      <c r="O255" s="414" t="s">
        <v>400</v>
      </c>
      <c r="P255" s="655">
        <f t="shared" si="9"/>
        <v>7</v>
      </c>
      <c r="Q255" s="655">
        <f t="shared" si="10"/>
        <v>5</v>
      </c>
      <c r="R255" s="695" t="str">
        <f t="shared" si="11"/>
        <v>Gastos_Gerais</v>
      </c>
      <c r="S255" s="697" t="s">
        <v>310</v>
      </c>
      <c r="T255" s="697" t="s">
        <v>310</v>
      </c>
    </row>
    <row r="256" spans="1:20" ht="24" x14ac:dyDescent="0.2">
      <c r="A256" s="432">
        <f>IF(B256="","",COUNT('Diário 1º PA'!$A$4:$A$2635)+COUNT('Diário 2º PA'!$A$4:$A$3040)+ROW()-3)</f>
        <v>4352</v>
      </c>
      <c r="B256" s="413">
        <v>44750</v>
      </c>
      <c r="C256" s="431">
        <v>44682</v>
      </c>
      <c r="D256" s="415" t="s">
        <v>271</v>
      </c>
      <c r="E256" s="415" t="s">
        <v>326</v>
      </c>
      <c r="F256" s="422">
        <v>65.7</v>
      </c>
      <c r="G256" s="427" t="s">
        <v>4887</v>
      </c>
      <c r="H256" s="415" t="s">
        <v>309</v>
      </c>
      <c r="I256" s="473" t="s">
        <v>764</v>
      </c>
      <c r="J256" s="415" t="s">
        <v>310</v>
      </c>
      <c r="K256" s="415" t="s">
        <v>1220</v>
      </c>
      <c r="L256" s="415" t="s">
        <v>3443</v>
      </c>
      <c r="M256" s="546">
        <v>222158708508</v>
      </c>
      <c r="N256" s="413">
        <v>44750</v>
      </c>
      <c r="O256" s="414" t="s">
        <v>400</v>
      </c>
      <c r="P256" s="655">
        <f t="shared" si="9"/>
        <v>7</v>
      </c>
      <c r="Q256" s="655">
        <f t="shared" si="10"/>
        <v>5</v>
      </c>
      <c r="R256" s="695" t="str">
        <f t="shared" si="11"/>
        <v>Gastos_Gerais</v>
      </c>
      <c r="S256" s="697" t="s">
        <v>310</v>
      </c>
      <c r="T256" s="697" t="s">
        <v>310</v>
      </c>
    </row>
    <row r="257" spans="1:20" ht="24" x14ac:dyDescent="0.2">
      <c r="A257" s="432">
        <f>IF(B257="","",COUNT('Diário 1º PA'!$A$4:$A$2635)+COUNT('Diário 2º PA'!$A$4:$A$3040)+ROW()-3)</f>
        <v>4353</v>
      </c>
      <c r="B257" s="413">
        <v>44750</v>
      </c>
      <c r="C257" s="431">
        <v>44652</v>
      </c>
      <c r="D257" s="415" t="s">
        <v>271</v>
      </c>
      <c r="E257" s="415" t="s">
        <v>465</v>
      </c>
      <c r="F257" s="422">
        <v>1160.9000000000001</v>
      </c>
      <c r="G257" s="427" t="s">
        <v>4649</v>
      </c>
      <c r="H257" s="415" t="s">
        <v>752</v>
      </c>
      <c r="I257" s="473" t="s">
        <v>764</v>
      </c>
      <c r="J257" s="415" t="s">
        <v>310</v>
      </c>
      <c r="K257" s="415" t="s">
        <v>1220</v>
      </c>
      <c r="L257" s="415" t="s">
        <v>3443</v>
      </c>
      <c r="M257" s="546">
        <v>222158702216</v>
      </c>
      <c r="N257" s="413">
        <v>44750</v>
      </c>
      <c r="O257" s="414" t="s">
        <v>400</v>
      </c>
      <c r="P257" s="655">
        <f t="shared" si="9"/>
        <v>7</v>
      </c>
      <c r="Q257" s="655">
        <f t="shared" si="10"/>
        <v>4</v>
      </c>
      <c r="R257" s="695" t="str">
        <f t="shared" si="11"/>
        <v>Gastos_Gerais</v>
      </c>
      <c r="S257" s="697" t="s">
        <v>310</v>
      </c>
      <c r="T257" s="697" t="s">
        <v>310</v>
      </c>
    </row>
    <row r="258" spans="1:20" ht="24" x14ac:dyDescent="0.2">
      <c r="A258" s="432">
        <f>IF(B258="","",COUNT('Diário 1º PA'!$A$4:$A$2635)+COUNT('Diário 2º PA'!$A$4:$A$3040)+ROW()-3)</f>
        <v>4354</v>
      </c>
      <c r="B258" s="413">
        <v>44750</v>
      </c>
      <c r="C258" s="431">
        <v>44621</v>
      </c>
      <c r="D258" s="415" t="s">
        <v>271</v>
      </c>
      <c r="E258" s="415" t="s">
        <v>453</v>
      </c>
      <c r="F258" s="686">
        <v>90</v>
      </c>
      <c r="G258" s="427" t="s">
        <v>4577</v>
      </c>
      <c r="H258" s="415" t="s">
        <v>752</v>
      </c>
      <c r="I258" s="473" t="s">
        <v>764</v>
      </c>
      <c r="J258" s="415" t="s">
        <v>310</v>
      </c>
      <c r="K258" s="415" t="s">
        <v>1220</v>
      </c>
      <c r="L258" s="415" t="s">
        <v>3443</v>
      </c>
      <c r="M258" s="546">
        <v>222158705401</v>
      </c>
      <c r="N258" s="413">
        <v>44750</v>
      </c>
      <c r="O258" s="414" t="s">
        <v>400</v>
      </c>
      <c r="P258" s="655">
        <f t="shared" si="9"/>
        <v>7</v>
      </c>
      <c r="Q258" s="655">
        <f t="shared" si="10"/>
        <v>3</v>
      </c>
      <c r="R258" s="695" t="str">
        <f t="shared" si="11"/>
        <v>Gastos_Gerais</v>
      </c>
      <c r="S258" s="697" t="s">
        <v>310</v>
      </c>
      <c r="T258" s="697" t="s">
        <v>310</v>
      </c>
    </row>
    <row r="259" spans="1:20" ht="36" x14ac:dyDescent="0.2">
      <c r="A259" s="432">
        <f>IF(B259="","",COUNT('Diário 1º PA'!$A$4:$A$2635)+COUNT('Diário 2º PA'!$A$4:$A$3040)+ROW()-3)</f>
        <v>4355</v>
      </c>
      <c r="B259" s="413">
        <v>44750</v>
      </c>
      <c r="C259" s="424">
        <v>44713</v>
      </c>
      <c r="D259" s="415" t="s">
        <v>182</v>
      </c>
      <c r="E259" s="415" t="s">
        <v>161</v>
      </c>
      <c r="F259" s="435">
        <v>0.1</v>
      </c>
      <c r="G259" s="437" t="s">
        <v>5962</v>
      </c>
      <c r="H259" s="415" t="s">
        <v>310</v>
      </c>
      <c r="I259" s="473" t="s">
        <v>764</v>
      </c>
      <c r="J259" s="415" t="s">
        <v>310</v>
      </c>
      <c r="K259" s="415" t="s">
        <v>1220</v>
      </c>
      <c r="L259" s="415" t="s">
        <v>3443</v>
      </c>
      <c r="M259" s="546">
        <v>222158707528</v>
      </c>
      <c r="N259" s="413">
        <v>44750</v>
      </c>
      <c r="O259" s="414" t="s">
        <v>400</v>
      </c>
      <c r="P259" s="655">
        <f t="shared" si="9"/>
        <v>7</v>
      </c>
      <c r="Q259" s="655">
        <f t="shared" si="10"/>
        <v>6</v>
      </c>
      <c r="R259" s="695" t="str">
        <f t="shared" si="11"/>
        <v>Gastos_com_Pessoal</v>
      </c>
      <c r="S259" s="697" t="s">
        <v>310</v>
      </c>
      <c r="T259" s="697" t="s">
        <v>310</v>
      </c>
    </row>
    <row r="260" spans="1:20" ht="36" x14ac:dyDescent="0.2">
      <c r="A260" s="432">
        <f>IF(B260="","",COUNT('Diário 1º PA'!$A$4:$A$2635)+COUNT('Diário 2º PA'!$A$4:$A$3040)+ROW()-3)</f>
        <v>4356</v>
      </c>
      <c r="B260" s="413">
        <v>44750</v>
      </c>
      <c r="C260" s="431">
        <v>44682</v>
      </c>
      <c r="D260" s="415" t="s">
        <v>271</v>
      </c>
      <c r="E260" s="415" t="s">
        <v>462</v>
      </c>
      <c r="F260" s="686">
        <v>13.76</v>
      </c>
      <c r="G260" s="427" t="s">
        <v>4927</v>
      </c>
      <c r="H260" s="415" t="s">
        <v>790</v>
      </c>
      <c r="I260" s="473" t="s">
        <v>764</v>
      </c>
      <c r="J260" s="415" t="s">
        <v>310</v>
      </c>
      <c r="K260" s="415" t="s">
        <v>1220</v>
      </c>
      <c r="L260" s="415" t="s">
        <v>3443</v>
      </c>
      <c r="M260" s="546">
        <v>222158714222</v>
      </c>
      <c r="N260" s="413">
        <v>44750</v>
      </c>
      <c r="O260" s="414" t="s">
        <v>400</v>
      </c>
      <c r="P260" s="655">
        <f t="shared" si="9"/>
        <v>7</v>
      </c>
      <c r="Q260" s="655">
        <f t="shared" si="10"/>
        <v>5</v>
      </c>
      <c r="R260" s="695" t="str">
        <f t="shared" si="11"/>
        <v>Gastos_Gerais</v>
      </c>
      <c r="S260" s="697" t="s">
        <v>310</v>
      </c>
      <c r="T260" s="697" t="s">
        <v>310</v>
      </c>
    </row>
    <row r="261" spans="1:20" ht="24" x14ac:dyDescent="0.2">
      <c r="A261" s="432">
        <f>IF(B261="","",COUNT('Diário 1º PA'!$A$4:$A$2635)+COUNT('Diário 2º PA'!$A$4:$A$3040)+ROW()-3)</f>
        <v>4357</v>
      </c>
      <c r="B261" s="413">
        <v>44750</v>
      </c>
      <c r="C261" s="433">
        <v>44713</v>
      </c>
      <c r="D261" s="434" t="s">
        <v>182</v>
      </c>
      <c r="E261" s="434" t="s">
        <v>179</v>
      </c>
      <c r="F261" s="422">
        <v>10.63</v>
      </c>
      <c r="G261" s="437" t="s">
        <v>5745</v>
      </c>
      <c r="H261" s="434" t="s">
        <v>310</v>
      </c>
      <c r="I261" s="473" t="s">
        <v>764</v>
      </c>
      <c r="J261" s="415" t="s">
        <v>310</v>
      </c>
      <c r="K261" s="415" t="s">
        <v>1220</v>
      </c>
      <c r="L261" s="415" t="s">
        <v>3443</v>
      </c>
      <c r="M261" s="546">
        <v>222158714575</v>
      </c>
      <c r="N261" s="413">
        <v>44750</v>
      </c>
      <c r="O261" s="414" t="s">
        <v>400</v>
      </c>
      <c r="P261" s="655">
        <f t="shared" ref="P261:P324" si="12">IF(B261=0,0,IF(YEAR(B261)=$Q$1,MONTH(B261)-$P$1+1,(YEAR(B261)-$Q$1)*12-$P$1+1+MONTH(B261)))</f>
        <v>7</v>
      </c>
      <c r="Q261" s="655">
        <f t="shared" ref="Q261:Q324" si="13">IF(C261=0,0,IF(YEAR(C261)=$Q$1,MONTH(C261)-$P$1+1,(YEAR(C261)-$Q$1)*12-$P$1+1+MONTH(C261)))</f>
        <v>6</v>
      </c>
      <c r="R261" s="695" t="str">
        <f t="shared" ref="R261:R324" si="14">SUBSTITUTE(D261," ","_")</f>
        <v>Gastos_com_Pessoal</v>
      </c>
      <c r="S261" s="697" t="s">
        <v>310</v>
      </c>
      <c r="T261" s="697" t="s">
        <v>310</v>
      </c>
    </row>
    <row r="262" spans="1:20" ht="24" x14ac:dyDescent="0.2">
      <c r="A262" s="432">
        <f>IF(B262="","",COUNT('Diário 1º PA'!$A$4:$A$2635)+COUNT('Diário 2º PA'!$A$4:$A$3040)+ROW()-3)</f>
        <v>4358</v>
      </c>
      <c r="B262" s="413">
        <v>44750</v>
      </c>
      <c r="C262" s="431">
        <v>44682</v>
      </c>
      <c r="D262" s="415" t="s">
        <v>271</v>
      </c>
      <c r="E262" s="415" t="s">
        <v>90</v>
      </c>
      <c r="F262" s="422">
        <v>102.63</v>
      </c>
      <c r="G262" s="427" t="s">
        <v>4549</v>
      </c>
      <c r="H262" s="415" t="s">
        <v>309</v>
      </c>
      <c r="I262" s="473" t="s">
        <v>764</v>
      </c>
      <c r="J262" s="415" t="s">
        <v>310</v>
      </c>
      <c r="K262" s="415" t="s">
        <v>1220</v>
      </c>
      <c r="L262" s="415" t="s">
        <v>3443</v>
      </c>
      <c r="M262" s="546">
        <v>222158703298</v>
      </c>
      <c r="N262" s="413">
        <v>44750</v>
      </c>
      <c r="O262" s="414" t="s">
        <v>400</v>
      </c>
      <c r="P262" s="655">
        <f t="shared" si="12"/>
        <v>7</v>
      </c>
      <c r="Q262" s="655">
        <f t="shared" si="13"/>
        <v>5</v>
      </c>
      <c r="R262" s="695" t="str">
        <f t="shared" si="14"/>
        <v>Gastos_Gerais</v>
      </c>
      <c r="S262" s="697" t="s">
        <v>310</v>
      </c>
      <c r="T262" s="697" t="s">
        <v>310</v>
      </c>
    </row>
    <row r="263" spans="1:20" ht="24" x14ac:dyDescent="0.2">
      <c r="A263" s="432">
        <f>IF(B263="","",COUNT('Diário 1º PA'!$A$4:$A$2635)+COUNT('Diário 2º PA'!$A$4:$A$3040)+ROW()-3)</f>
        <v>4359</v>
      </c>
      <c r="B263" s="413">
        <v>44750</v>
      </c>
      <c r="C263" s="431">
        <v>44682</v>
      </c>
      <c r="D263" s="415" t="s">
        <v>271</v>
      </c>
      <c r="E263" s="415" t="s">
        <v>453</v>
      </c>
      <c r="F263" s="422">
        <v>120</v>
      </c>
      <c r="G263" s="427" t="s">
        <v>4565</v>
      </c>
      <c r="H263" s="415" t="s">
        <v>752</v>
      </c>
      <c r="I263" s="473" t="s">
        <v>764</v>
      </c>
      <c r="J263" s="415" t="s">
        <v>310</v>
      </c>
      <c r="K263" s="415" t="s">
        <v>1220</v>
      </c>
      <c r="L263" s="415" t="s">
        <v>3443</v>
      </c>
      <c r="M263" s="546">
        <v>222158705665</v>
      </c>
      <c r="N263" s="413">
        <v>44750</v>
      </c>
      <c r="O263" s="414" t="s">
        <v>400</v>
      </c>
      <c r="P263" s="655">
        <f t="shared" si="12"/>
        <v>7</v>
      </c>
      <c r="Q263" s="655">
        <f t="shared" si="13"/>
        <v>5</v>
      </c>
      <c r="R263" s="695" t="str">
        <f t="shared" si="14"/>
        <v>Gastos_Gerais</v>
      </c>
      <c r="S263" s="697" t="s">
        <v>310</v>
      </c>
      <c r="T263" s="697" t="s">
        <v>310</v>
      </c>
    </row>
    <row r="264" spans="1:20" ht="24" x14ac:dyDescent="0.2">
      <c r="A264" s="432">
        <f>IF(B264="","",COUNT('Diário 1º PA'!$A$4:$A$2635)+COUNT('Diário 2º PA'!$A$4:$A$3040)+ROW()-3)</f>
        <v>4360</v>
      </c>
      <c r="B264" s="413">
        <v>44750</v>
      </c>
      <c r="C264" s="431">
        <v>44682</v>
      </c>
      <c r="D264" s="415" t="s">
        <v>271</v>
      </c>
      <c r="E264" s="415" t="s">
        <v>453</v>
      </c>
      <c r="F264" s="422">
        <v>120</v>
      </c>
      <c r="G264" s="427" t="s">
        <v>4581</v>
      </c>
      <c r="H264" s="415" t="s">
        <v>752</v>
      </c>
      <c r="I264" s="473" t="s">
        <v>764</v>
      </c>
      <c r="J264" s="415" t="s">
        <v>310</v>
      </c>
      <c r="K264" s="415" t="s">
        <v>1220</v>
      </c>
      <c r="L264" s="415" t="s">
        <v>3443</v>
      </c>
      <c r="M264" s="546">
        <v>222158706394</v>
      </c>
      <c r="N264" s="413">
        <v>44750</v>
      </c>
      <c r="O264" s="414" t="s">
        <v>400</v>
      </c>
      <c r="P264" s="655">
        <f t="shared" si="12"/>
        <v>7</v>
      </c>
      <c r="Q264" s="655">
        <f t="shared" si="13"/>
        <v>5</v>
      </c>
      <c r="R264" s="695" t="str">
        <f t="shared" si="14"/>
        <v>Gastos_Gerais</v>
      </c>
      <c r="S264" s="697" t="s">
        <v>310</v>
      </c>
      <c r="T264" s="697" t="s">
        <v>310</v>
      </c>
    </row>
    <row r="265" spans="1:20" ht="36" x14ac:dyDescent="0.2">
      <c r="A265" s="432">
        <f>IF(B265="","",COUNT('Diário 1º PA'!$A$4:$A$2635)+COUNT('Diário 2º PA'!$A$4:$A$3040)+ROW()-3)</f>
        <v>4361</v>
      </c>
      <c r="B265" s="413">
        <v>44750</v>
      </c>
      <c r="C265" s="431">
        <v>44652</v>
      </c>
      <c r="D265" s="415" t="s">
        <v>271</v>
      </c>
      <c r="E265" s="415" t="s">
        <v>456</v>
      </c>
      <c r="F265" s="686">
        <v>163.5</v>
      </c>
      <c r="G265" s="427" t="s">
        <v>4742</v>
      </c>
      <c r="H265" s="415" t="s">
        <v>762</v>
      </c>
      <c r="I265" s="473" t="s">
        <v>764</v>
      </c>
      <c r="J265" s="415" t="s">
        <v>310</v>
      </c>
      <c r="K265" s="415" t="s">
        <v>1220</v>
      </c>
      <c r="L265" s="415" t="s">
        <v>3443</v>
      </c>
      <c r="M265" s="546">
        <v>222158709229</v>
      </c>
      <c r="N265" s="413">
        <v>44750</v>
      </c>
      <c r="O265" s="414" t="s">
        <v>400</v>
      </c>
      <c r="P265" s="655">
        <f t="shared" si="12"/>
        <v>7</v>
      </c>
      <c r="Q265" s="655">
        <f t="shared" si="13"/>
        <v>4</v>
      </c>
      <c r="R265" s="695" t="str">
        <f t="shared" si="14"/>
        <v>Gastos_Gerais</v>
      </c>
      <c r="S265" s="697" t="s">
        <v>310</v>
      </c>
      <c r="T265" s="697" t="s">
        <v>310</v>
      </c>
    </row>
    <row r="266" spans="1:20" ht="24" x14ac:dyDescent="0.2">
      <c r="A266" s="432">
        <f>IF(B266="","",COUNT('Diário 1º PA'!$A$4:$A$2635)+COUNT('Diário 2º PA'!$A$4:$A$3040)+ROW()-3)</f>
        <v>4362</v>
      </c>
      <c r="B266" s="413">
        <v>44750</v>
      </c>
      <c r="C266" s="431">
        <v>44713</v>
      </c>
      <c r="D266" s="415" t="s">
        <v>271</v>
      </c>
      <c r="E266" s="415" t="s">
        <v>456</v>
      </c>
      <c r="F266" s="422">
        <v>6.88</v>
      </c>
      <c r="G266" s="427" t="s">
        <v>5751</v>
      </c>
      <c r="H266" s="415" t="s">
        <v>758</v>
      </c>
      <c r="I266" s="473" t="s">
        <v>764</v>
      </c>
      <c r="J266" s="415" t="s">
        <v>310</v>
      </c>
      <c r="K266" s="415" t="s">
        <v>1220</v>
      </c>
      <c r="L266" s="415" t="s">
        <v>3443</v>
      </c>
      <c r="M266" s="546">
        <v>222158715202</v>
      </c>
      <c r="N266" s="413">
        <v>44750</v>
      </c>
      <c r="O266" s="414" t="s">
        <v>400</v>
      </c>
      <c r="P266" s="655">
        <f t="shared" si="12"/>
        <v>7</v>
      </c>
      <c r="Q266" s="655">
        <f t="shared" si="13"/>
        <v>6</v>
      </c>
      <c r="R266" s="695" t="str">
        <f t="shared" si="14"/>
        <v>Gastos_Gerais</v>
      </c>
      <c r="S266" s="697" t="s">
        <v>310</v>
      </c>
      <c r="T266" s="697" t="s">
        <v>310</v>
      </c>
    </row>
    <row r="267" spans="1:20" ht="24" x14ac:dyDescent="0.2">
      <c r="A267" s="432">
        <f>IF(B267="","",COUNT('Diário 1º PA'!$A$4:$A$2635)+COUNT('Diário 2º PA'!$A$4:$A$3040)+ROW()-3)</f>
        <v>4363</v>
      </c>
      <c r="B267" s="413">
        <v>44750</v>
      </c>
      <c r="C267" s="431">
        <v>44682</v>
      </c>
      <c r="D267" s="434" t="s">
        <v>271</v>
      </c>
      <c r="E267" s="434" t="s">
        <v>90</v>
      </c>
      <c r="F267" s="422">
        <v>171.75</v>
      </c>
      <c r="G267" s="437" t="s">
        <v>4487</v>
      </c>
      <c r="H267" s="415" t="s">
        <v>309</v>
      </c>
      <c r="I267" s="473" t="s">
        <v>764</v>
      </c>
      <c r="J267" s="415" t="s">
        <v>310</v>
      </c>
      <c r="K267" s="415" t="s">
        <v>1220</v>
      </c>
      <c r="L267" s="415" t="s">
        <v>3443</v>
      </c>
      <c r="M267" s="546">
        <v>222158703964</v>
      </c>
      <c r="N267" s="413">
        <v>44750</v>
      </c>
      <c r="O267" s="414" t="s">
        <v>400</v>
      </c>
      <c r="P267" s="655">
        <f t="shared" si="12"/>
        <v>7</v>
      </c>
      <c r="Q267" s="655">
        <f t="shared" si="13"/>
        <v>5</v>
      </c>
      <c r="R267" s="695" t="str">
        <f t="shared" si="14"/>
        <v>Gastos_Gerais</v>
      </c>
      <c r="S267" s="697" t="s">
        <v>310</v>
      </c>
      <c r="T267" s="697" t="s">
        <v>310</v>
      </c>
    </row>
    <row r="268" spans="1:20" ht="24" x14ac:dyDescent="0.2">
      <c r="A268" s="432">
        <f>IF(B268="","",COUNT('Diário 1º PA'!$A$4:$A$2635)+COUNT('Diário 2º PA'!$A$4:$A$3040)+ROW()-3)</f>
        <v>4364</v>
      </c>
      <c r="B268" s="413">
        <v>44750</v>
      </c>
      <c r="C268" s="431">
        <v>44682</v>
      </c>
      <c r="D268" s="415" t="s">
        <v>271</v>
      </c>
      <c r="E268" s="415" t="s">
        <v>453</v>
      </c>
      <c r="F268" s="422">
        <v>25</v>
      </c>
      <c r="G268" s="427" t="s">
        <v>4904</v>
      </c>
      <c r="H268" s="415" t="s">
        <v>761</v>
      </c>
      <c r="I268" s="473" t="s">
        <v>764</v>
      </c>
      <c r="J268" s="415" t="s">
        <v>310</v>
      </c>
      <c r="K268" s="415" t="s">
        <v>1220</v>
      </c>
      <c r="L268" s="415" t="s">
        <v>3443</v>
      </c>
      <c r="M268" s="546">
        <v>222158709571</v>
      </c>
      <c r="N268" s="413">
        <v>44750</v>
      </c>
      <c r="O268" s="414" t="s">
        <v>400</v>
      </c>
      <c r="P268" s="655">
        <f t="shared" si="12"/>
        <v>7</v>
      </c>
      <c r="Q268" s="655">
        <f t="shared" si="13"/>
        <v>5</v>
      </c>
      <c r="R268" s="695" t="str">
        <f t="shared" si="14"/>
        <v>Gastos_Gerais</v>
      </c>
      <c r="S268" s="697" t="s">
        <v>310</v>
      </c>
      <c r="T268" s="697" t="s">
        <v>310</v>
      </c>
    </row>
    <row r="269" spans="1:20" ht="24" x14ac:dyDescent="0.2">
      <c r="A269" s="432">
        <f>IF(B269="","",COUNT('Diário 1º PA'!$A$4:$A$2635)+COUNT('Diário 2º PA'!$A$4:$A$3040)+ROW()-3)</f>
        <v>4365</v>
      </c>
      <c r="B269" s="413">
        <v>44750</v>
      </c>
      <c r="C269" s="431">
        <v>44652</v>
      </c>
      <c r="D269" s="415" t="s">
        <v>271</v>
      </c>
      <c r="E269" s="415" t="s">
        <v>462</v>
      </c>
      <c r="F269" s="686">
        <v>60</v>
      </c>
      <c r="G269" s="427" t="s">
        <v>4920</v>
      </c>
      <c r="H269" s="415" t="s">
        <v>752</v>
      </c>
      <c r="I269" s="473" t="s">
        <v>764</v>
      </c>
      <c r="J269" s="415" t="s">
        <v>310</v>
      </c>
      <c r="K269" s="415" t="s">
        <v>1220</v>
      </c>
      <c r="L269" s="415" t="s">
        <v>3443</v>
      </c>
      <c r="M269" s="546">
        <v>222158713412</v>
      </c>
      <c r="N269" s="413">
        <v>44750</v>
      </c>
      <c r="O269" s="414" t="s">
        <v>400</v>
      </c>
      <c r="P269" s="655">
        <f t="shared" si="12"/>
        <v>7</v>
      </c>
      <c r="Q269" s="655">
        <f t="shared" si="13"/>
        <v>4</v>
      </c>
      <c r="R269" s="695" t="str">
        <f t="shared" si="14"/>
        <v>Gastos_Gerais</v>
      </c>
      <c r="S269" s="697" t="s">
        <v>310</v>
      </c>
      <c r="T269" s="697" t="s">
        <v>310</v>
      </c>
    </row>
    <row r="270" spans="1:20" ht="24" x14ac:dyDescent="0.2">
      <c r="A270" s="432">
        <f>IF(B270="","",COUNT('Diário 1º PA'!$A$4:$A$2635)+COUNT('Diário 2º PA'!$A$4:$A$3040)+ROW()-3)</f>
        <v>4366</v>
      </c>
      <c r="B270" s="413">
        <v>44750</v>
      </c>
      <c r="C270" s="431">
        <v>44713</v>
      </c>
      <c r="D270" s="415" t="s">
        <v>182</v>
      </c>
      <c r="E270" s="415" t="s">
        <v>161</v>
      </c>
      <c r="F270" s="686">
        <v>0.04</v>
      </c>
      <c r="G270" s="427" t="s">
        <v>5572</v>
      </c>
      <c r="H270" s="415" t="s">
        <v>310</v>
      </c>
      <c r="I270" s="473" t="s">
        <v>764</v>
      </c>
      <c r="J270" s="415" t="s">
        <v>310</v>
      </c>
      <c r="K270" s="415" t="s">
        <v>1220</v>
      </c>
      <c r="L270" s="415" t="s">
        <v>3443</v>
      </c>
      <c r="M270" s="546">
        <v>222158714737</v>
      </c>
      <c r="N270" s="413">
        <v>44750</v>
      </c>
      <c r="O270" s="414" t="s">
        <v>400</v>
      </c>
      <c r="P270" s="655">
        <f t="shared" si="12"/>
        <v>7</v>
      </c>
      <c r="Q270" s="655">
        <f t="shared" si="13"/>
        <v>6</v>
      </c>
      <c r="R270" s="695" t="str">
        <f t="shared" si="14"/>
        <v>Gastos_com_Pessoal</v>
      </c>
      <c r="S270" s="697" t="s">
        <v>310</v>
      </c>
      <c r="T270" s="697" t="s">
        <v>310</v>
      </c>
    </row>
    <row r="271" spans="1:20" ht="24" x14ac:dyDescent="0.2">
      <c r="A271" s="432">
        <f>IF(B271="","",COUNT('Diário 1º PA'!$A$4:$A$2635)+COUNT('Diário 2º PA'!$A$4:$A$3040)+ROW()-3)</f>
        <v>4367</v>
      </c>
      <c r="B271" s="413">
        <v>44750</v>
      </c>
      <c r="C271" s="431">
        <v>44713</v>
      </c>
      <c r="D271" s="415" t="s">
        <v>182</v>
      </c>
      <c r="E271" s="415" t="s">
        <v>161</v>
      </c>
      <c r="F271" s="425">
        <v>0.46</v>
      </c>
      <c r="G271" s="427" t="s">
        <v>5576</v>
      </c>
      <c r="H271" s="415" t="s">
        <v>310</v>
      </c>
      <c r="I271" s="473" t="s">
        <v>764</v>
      </c>
      <c r="J271" s="415" t="s">
        <v>310</v>
      </c>
      <c r="K271" s="415" t="s">
        <v>1220</v>
      </c>
      <c r="L271" s="415" t="s">
        <v>3443</v>
      </c>
      <c r="M271" s="546">
        <v>222158715709</v>
      </c>
      <c r="N271" s="413">
        <v>44750</v>
      </c>
      <c r="O271" s="414" t="s">
        <v>400</v>
      </c>
      <c r="P271" s="655">
        <f t="shared" si="12"/>
        <v>7</v>
      </c>
      <c r="Q271" s="655">
        <f t="shared" si="13"/>
        <v>6</v>
      </c>
      <c r="R271" s="695" t="str">
        <f t="shared" si="14"/>
        <v>Gastos_com_Pessoal</v>
      </c>
      <c r="S271" s="697" t="s">
        <v>310</v>
      </c>
      <c r="T271" s="697" t="s">
        <v>310</v>
      </c>
    </row>
    <row r="272" spans="1:20" ht="36" x14ac:dyDescent="0.2">
      <c r="A272" s="432">
        <f>IF(B272="","",COUNT('Diário 1º PA'!$A$4:$A$2635)+COUNT('Diário 2º PA'!$A$4:$A$3040)+ROW()-3)</f>
        <v>4368</v>
      </c>
      <c r="B272" s="413">
        <v>44750</v>
      </c>
      <c r="C272" s="431">
        <v>44682</v>
      </c>
      <c r="D272" s="415" t="s">
        <v>271</v>
      </c>
      <c r="E272" s="415" t="s">
        <v>453</v>
      </c>
      <c r="F272" s="425">
        <v>17.09</v>
      </c>
      <c r="G272" s="427" t="s">
        <v>4907</v>
      </c>
      <c r="H272" s="415" t="s">
        <v>754</v>
      </c>
      <c r="I272" s="473" t="s">
        <v>764</v>
      </c>
      <c r="J272" s="415" t="s">
        <v>310</v>
      </c>
      <c r="K272" s="415" t="s">
        <v>1220</v>
      </c>
      <c r="L272" s="415" t="s">
        <v>3443</v>
      </c>
      <c r="M272" s="419">
        <v>222158710073</v>
      </c>
      <c r="N272" s="413">
        <v>44750</v>
      </c>
      <c r="O272" s="414" t="s">
        <v>400</v>
      </c>
      <c r="P272" s="655">
        <f t="shared" si="12"/>
        <v>7</v>
      </c>
      <c r="Q272" s="655">
        <f t="shared" si="13"/>
        <v>5</v>
      </c>
      <c r="R272" s="695" t="str">
        <f t="shared" si="14"/>
        <v>Gastos_Gerais</v>
      </c>
      <c r="S272" s="697" t="s">
        <v>310</v>
      </c>
      <c r="T272" s="697" t="s">
        <v>310</v>
      </c>
    </row>
    <row r="273" spans="1:20" ht="36" x14ac:dyDescent="0.2">
      <c r="A273" s="432">
        <f>IF(B273="","",COUNT('Diário 1º PA'!$A$4:$A$2635)+COUNT('Diário 2º PA'!$A$4:$A$3040)+ROW()-3)</f>
        <v>4369</v>
      </c>
      <c r="B273" s="413">
        <v>44750</v>
      </c>
      <c r="C273" s="424">
        <v>44743</v>
      </c>
      <c r="D273" s="415" t="s">
        <v>271</v>
      </c>
      <c r="E273" s="415" t="s">
        <v>71</v>
      </c>
      <c r="F273" s="425">
        <v>11</v>
      </c>
      <c r="G273" s="427" t="s">
        <v>6119</v>
      </c>
      <c r="H273" s="415" t="s">
        <v>757</v>
      </c>
      <c r="I273" s="398" t="s">
        <v>881</v>
      </c>
      <c r="J273" s="418" t="s">
        <v>882</v>
      </c>
      <c r="K273" s="418" t="s">
        <v>883</v>
      </c>
      <c r="L273" s="399" t="s">
        <v>798</v>
      </c>
      <c r="M273" s="544" t="s">
        <v>310</v>
      </c>
      <c r="N273" s="413">
        <v>44750</v>
      </c>
      <c r="O273" s="414" t="s">
        <v>400</v>
      </c>
      <c r="P273" s="655">
        <f t="shared" si="12"/>
        <v>7</v>
      </c>
      <c r="Q273" s="655">
        <f t="shared" si="13"/>
        <v>7</v>
      </c>
      <c r="R273" s="695" t="str">
        <f t="shared" si="14"/>
        <v>Gastos_Gerais</v>
      </c>
      <c r="S273" s="697" t="s">
        <v>310</v>
      </c>
      <c r="T273" s="697" t="s">
        <v>310</v>
      </c>
    </row>
    <row r="274" spans="1:20" ht="36" x14ac:dyDescent="0.2">
      <c r="A274" s="432">
        <f>IF(B274="","",COUNT('Diário 1º PA'!$A$4:$A$2635)+COUNT('Diário 2º PA'!$A$4:$A$3040)+ROW()-3)</f>
        <v>4370</v>
      </c>
      <c r="B274" s="413">
        <v>44750</v>
      </c>
      <c r="C274" s="424">
        <v>44743</v>
      </c>
      <c r="D274" s="415" t="s">
        <v>271</v>
      </c>
      <c r="E274" s="415" t="s">
        <v>71</v>
      </c>
      <c r="F274" s="425">
        <v>11</v>
      </c>
      <c r="G274" s="427" t="s">
        <v>6120</v>
      </c>
      <c r="H274" s="415" t="s">
        <v>748</v>
      </c>
      <c r="I274" s="398" t="s">
        <v>881</v>
      </c>
      <c r="J274" s="418" t="s">
        <v>882</v>
      </c>
      <c r="K274" s="418" t="s">
        <v>883</v>
      </c>
      <c r="L274" s="399" t="s">
        <v>798</v>
      </c>
      <c r="M274" s="544" t="s">
        <v>310</v>
      </c>
      <c r="N274" s="413">
        <v>44750</v>
      </c>
      <c r="O274" s="414" t="s">
        <v>400</v>
      </c>
      <c r="P274" s="655">
        <f t="shared" si="12"/>
        <v>7</v>
      </c>
      <c r="Q274" s="655">
        <f t="shared" si="13"/>
        <v>7</v>
      </c>
      <c r="R274" s="695" t="str">
        <f t="shared" si="14"/>
        <v>Gastos_Gerais</v>
      </c>
      <c r="S274" s="697" t="s">
        <v>310</v>
      </c>
      <c r="T274" s="697" t="s">
        <v>310</v>
      </c>
    </row>
    <row r="275" spans="1:20" ht="36" x14ac:dyDescent="0.2">
      <c r="A275" s="432">
        <f>IF(B275="","",COUNT('Diário 1º PA'!$A$4:$A$2635)+COUNT('Diário 2º PA'!$A$4:$A$3040)+ROW()-3)</f>
        <v>4371</v>
      </c>
      <c r="B275" s="413">
        <v>44750</v>
      </c>
      <c r="C275" s="424">
        <v>44743</v>
      </c>
      <c r="D275" s="415" t="s">
        <v>271</v>
      </c>
      <c r="E275" s="415" t="s">
        <v>71</v>
      </c>
      <c r="F275" s="425">
        <v>11</v>
      </c>
      <c r="G275" s="427" t="s">
        <v>6121</v>
      </c>
      <c r="H275" s="415" t="s">
        <v>757</v>
      </c>
      <c r="I275" s="398" t="s">
        <v>881</v>
      </c>
      <c r="J275" s="418" t="s">
        <v>882</v>
      </c>
      <c r="K275" s="418" t="s">
        <v>883</v>
      </c>
      <c r="L275" s="399" t="s">
        <v>798</v>
      </c>
      <c r="M275" s="544" t="s">
        <v>310</v>
      </c>
      <c r="N275" s="413">
        <v>44750</v>
      </c>
      <c r="O275" s="414" t="s">
        <v>400</v>
      </c>
      <c r="P275" s="655">
        <f t="shared" si="12"/>
        <v>7</v>
      </c>
      <c r="Q275" s="655">
        <f t="shared" si="13"/>
        <v>7</v>
      </c>
      <c r="R275" s="695" t="str">
        <f t="shared" si="14"/>
        <v>Gastos_Gerais</v>
      </c>
      <c r="S275" s="697" t="s">
        <v>310</v>
      </c>
      <c r="T275" s="697" t="s">
        <v>310</v>
      </c>
    </row>
    <row r="276" spans="1:20" ht="36" x14ac:dyDescent="0.2">
      <c r="A276" s="432">
        <f>IF(B276="","",COUNT('Diário 1º PA'!$A$4:$A$2635)+COUNT('Diário 2º PA'!$A$4:$A$3040)+ROW()-3)</f>
        <v>4372</v>
      </c>
      <c r="B276" s="413">
        <v>44750</v>
      </c>
      <c r="C276" s="424">
        <v>44743</v>
      </c>
      <c r="D276" s="415" t="s">
        <v>271</v>
      </c>
      <c r="E276" s="415" t="s">
        <v>71</v>
      </c>
      <c r="F276" s="425">
        <v>11</v>
      </c>
      <c r="G276" s="427" t="s">
        <v>6122</v>
      </c>
      <c r="H276" s="415" t="s">
        <v>755</v>
      </c>
      <c r="I276" s="398" t="s">
        <v>881</v>
      </c>
      <c r="J276" s="418" t="s">
        <v>882</v>
      </c>
      <c r="K276" s="418" t="s">
        <v>883</v>
      </c>
      <c r="L276" s="399" t="s">
        <v>798</v>
      </c>
      <c r="M276" s="544" t="s">
        <v>310</v>
      </c>
      <c r="N276" s="413">
        <v>44750</v>
      </c>
      <c r="O276" s="414" t="s">
        <v>400</v>
      </c>
      <c r="P276" s="655">
        <f t="shared" si="12"/>
        <v>7</v>
      </c>
      <c r="Q276" s="655">
        <f t="shared" si="13"/>
        <v>7</v>
      </c>
      <c r="R276" s="695" t="str">
        <f t="shared" si="14"/>
        <v>Gastos_Gerais</v>
      </c>
      <c r="S276" s="697" t="s">
        <v>310</v>
      </c>
      <c r="T276" s="697" t="s">
        <v>310</v>
      </c>
    </row>
    <row r="277" spans="1:20" ht="36" x14ac:dyDescent="0.2">
      <c r="A277" s="432">
        <f>IF(B277="","",COUNT('Diário 1º PA'!$A$4:$A$2635)+COUNT('Diário 2º PA'!$A$4:$A$3040)+ROW()-3)</f>
        <v>4373</v>
      </c>
      <c r="B277" s="413">
        <v>44750</v>
      </c>
      <c r="C277" s="424">
        <v>44743</v>
      </c>
      <c r="D277" s="415" t="s">
        <v>271</v>
      </c>
      <c r="E277" s="415" t="s">
        <v>71</v>
      </c>
      <c r="F277" s="425">
        <v>11</v>
      </c>
      <c r="G277" s="427" t="s">
        <v>6123</v>
      </c>
      <c r="H277" s="419" t="s">
        <v>793</v>
      </c>
      <c r="I277" s="398" t="s">
        <v>881</v>
      </c>
      <c r="J277" s="418" t="s">
        <v>882</v>
      </c>
      <c r="K277" s="418" t="s">
        <v>883</v>
      </c>
      <c r="L277" s="399" t="s">
        <v>798</v>
      </c>
      <c r="M277" s="544" t="s">
        <v>310</v>
      </c>
      <c r="N277" s="413">
        <v>44750</v>
      </c>
      <c r="O277" s="414" t="s">
        <v>400</v>
      </c>
      <c r="P277" s="655">
        <f t="shared" si="12"/>
        <v>7</v>
      </c>
      <c r="Q277" s="655">
        <f t="shared" si="13"/>
        <v>7</v>
      </c>
      <c r="R277" s="695" t="str">
        <f t="shared" si="14"/>
        <v>Gastos_Gerais</v>
      </c>
      <c r="S277" s="697" t="s">
        <v>310</v>
      </c>
      <c r="T277" s="697" t="s">
        <v>310</v>
      </c>
    </row>
    <row r="278" spans="1:20" ht="36" x14ac:dyDescent="0.2">
      <c r="A278" s="432">
        <f>IF(B278="","",COUNT('Diário 1º PA'!$A$4:$A$2635)+COUNT('Diário 2º PA'!$A$4:$A$3040)+ROW()-3)</f>
        <v>4374</v>
      </c>
      <c r="B278" s="413">
        <v>44750</v>
      </c>
      <c r="C278" s="424">
        <v>44743</v>
      </c>
      <c r="D278" s="415" t="s">
        <v>271</v>
      </c>
      <c r="E278" s="415" t="s">
        <v>71</v>
      </c>
      <c r="F278" s="425">
        <v>11</v>
      </c>
      <c r="G278" s="427" t="s">
        <v>6124</v>
      </c>
      <c r="H278" s="419" t="s">
        <v>310</v>
      </c>
      <c r="I278" s="398" t="s">
        <v>881</v>
      </c>
      <c r="J278" s="418" t="s">
        <v>882</v>
      </c>
      <c r="K278" s="418" t="s">
        <v>883</v>
      </c>
      <c r="L278" s="399" t="s">
        <v>798</v>
      </c>
      <c r="M278" s="544" t="s">
        <v>310</v>
      </c>
      <c r="N278" s="413">
        <v>44750</v>
      </c>
      <c r="O278" s="414" t="s">
        <v>400</v>
      </c>
      <c r="P278" s="655">
        <f t="shared" si="12"/>
        <v>7</v>
      </c>
      <c r="Q278" s="655">
        <f t="shared" si="13"/>
        <v>7</v>
      </c>
      <c r="R278" s="695" t="str">
        <f t="shared" si="14"/>
        <v>Gastos_Gerais</v>
      </c>
      <c r="S278" s="697" t="s">
        <v>310</v>
      </c>
      <c r="T278" s="697" t="s">
        <v>310</v>
      </c>
    </row>
    <row r="279" spans="1:20" ht="36" x14ac:dyDescent="0.2">
      <c r="A279" s="432">
        <f>IF(B279="","",COUNT('Diário 1º PA'!$A$4:$A$2635)+COUNT('Diário 2º PA'!$A$4:$A$3040)+ROW()-3)</f>
        <v>4375</v>
      </c>
      <c r="B279" s="413">
        <v>44750</v>
      </c>
      <c r="C279" s="424">
        <v>44743</v>
      </c>
      <c r="D279" s="415" t="s">
        <v>271</v>
      </c>
      <c r="E279" s="415" t="s">
        <v>71</v>
      </c>
      <c r="F279" s="425">
        <v>11</v>
      </c>
      <c r="G279" s="427" t="s">
        <v>6125</v>
      </c>
      <c r="H279" s="415" t="s">
        <v>760</v>
      </c>
      <c r="I279" s="398" t="s">
        <v>881</v>
      </c>
      <c r="J279" s="418" t="s">
        <v>882</v>
      </c>
      <c r="K279" s="418" t="s">
        <v>883</v>
      </c>
      <c r="L279" s="399" t="s">
        <v>798</v>
      </c>
      <c r="M279" s="544" t="s">
        <v>310</v>
      </c>
      <c r="N279" s="413">
        <v>44750</v>
      </c>
      <c r="O279" s="414" t="s">
        <v>400</v>
      </c>
      <c r="P279" s="655">
        <f t="shared" si="12"/>
        <v>7</v>
      </c>
      <c r="Q279" s="655">
        <f t="shared" si="13"/>
        <v>7</v>
      </c>
      <c r="R279" s="695" t="str">
        <f t="shared" si="14"/>
        <v>Gastos_Gerais</v>
      </c>
      <c r="S279" s="697" t="s">
        <v>310</v>
      </c>
      <c r="T279" s="697" t="s">
        <v>310</v>
      </c>
    </row>
    <row r="280" spans="1:20" ht="36" x14ac:dyDescent="0.2">
      <c r="A280" s="432">
        <f>IF(B280="","",COUNT('Diário 1º PA'!$A$4:$A$2635)+COUNT('Diário 2º PA'!$A$4:$A$3040)+ROW()-3)</f>
        <v>4376</v>
      </c>
      <c r="B280" s="413">
        <v>44750</v>
      </c>
      <c r="C280" s="424">
        <v>44713</v>
      </c>
      <c r="D280" s="415" t="s">
        <v>468</v>
      </c>
      <c r="E280" s="415" t="s">
        <v>468</v>
      </c>
      <c r="F280" s="425">
        <v>134.33000000000001</v>
      </c>
      <c r="G280" s="427" t="s">
        <v>6404</v>
      </c>
      <c r="H280" s="415" t="s">
        <v>468</v>
      </c>
      <c r="I280" s="398" t="s">
        <v>990</v>
      </c>
      <c r="J280" s="415" t="s">
        <v>991</v>
      </c>
      <c r="K280" s="415" t="s">
        <v>830</v>
      </c>
      <c r="L280" s="415" t="s">
        <v>798</v>
      </c>
      <c r="M280" s="415" t="s">
        <v>310</v>
      </c>
      <c r="N280" s="413">
        <v>44750</v>
      </c>
      <c r="O280" s="414" t="s">
        <v>408</v>
      </c>
      <c r="P280" s="655">
        <f t="shared" si="12"/>
        <v>7</v>
      </c>
      <c r="Q280" s="655">
        <f t="shared" si="13"/>
        <v>6</v>
      </c>
      <c r="R280" s="695" t="str">
        <f t="shared" si="14"/>
        <v>Gastos_custeados_por_captação</v>
      </c>
      <c r="S280" s="697" t="s">
        <v>1000</v>
      </c>
      <c r="T280" s="697">
        <v>2859</v>
      </c>
    </row>
    <row r="281" spans="1:20" ht="36" x14ac:dyDescent="0.2">
      <c r="A281" s="432">
        <f>IF(B281="","",COUNT('Diário 1º PA'!$A$4:$A$2635)+COUNT('Diário 2º PA'!$A$4:$A$3040)+ROW()-3)</f>
        <v>4377</v>
      </c>
      <c r="B281" s="413">
        <v>44750</v>
      </c>
      <c r="C281" s="431">
        <v>44682</v>
      </c>
      <c r="D281" s="415" t="s">
        <v>468</v>
      </c>
      <c r="E281" s="415" t="s">
        <v>468</v>
      </c>
      <c r="F281" s="425">
        <v>88.44</v>
      </c>
      <c r="G281" s="427" t="s">
        <v>5385</v>
      </c>
      <c r="H281" s="415" t="s">
        <v>468</v>
      </c>
      <c r="I281" s="415" t="s">
        <v>764</v>
      </c>
      <c r="J281" s="426" t="s">
        <v>310</v>
      </c>
      <c r="K281" s="415" t="s">
        <v>1220</v>
      </c>
      <c r="L281" s="415" t="s">
        <v>3443</v>
      </c>
      <c r="M281" s="544">
        <v>222158654572</v>
      </c>
      <c r="N281" s="413">
        <v>44750</v>
      </c>
      <c r="O281" s="414" t="s">
        <v>408</v>
      </c>
      <c r="P281" s="655">
        <f t="shared" si="12"/>
        <v>7</v>
      </c>
      <c r="Q281" s="655">
        <f t="shared" si="13"/>
        <v>5</v>
      </c>
      <c r="R281" s="695" t="str">
        <f t="shared" si="14"/>
        <v>Gastos_custeados_por_captação</v>
      </c>
      <c r="S281" s="697" t="s">
        <v>310</v>
      </c>
      <c r="T281" s="697" t="s">
        <v>310</v>
      </c>
    </row>
    <row r="282" spans="1:20" ht="36" x14ac:dyDescent="0.2">
      <c r="A282" s="432">
        <f>IF(B282="","",COUNT('Diário 1º PA'!$A$4:$A$2635)+COUNT('Diário 2º PA'!$A$4:$A$3040)+ROW()-3)</f>
        <v>4378</v>
      </c>
      <c r="B282" s="413">
        <v>44750</v>
      </c>
      <c r="C282" s="431">
        <v>44682</v>
      </c>
      <c r="D282" s="415" t="s">
        <v>468</v>
      </c>
      <c r="E282" s="415" t="s">
        <v>468</v>
      </c>
      <c r="F282" s="425">
        <v>180.9</v>
      </c>
      <c r="G282" s="427" t="s">
        <v>6405</v>
      </c>
      <c r="H282" s="415" t="s">
        <v>468</v>
      </c>
      <c r="I282" s="415" t="s">
        <v>764</v>
      </c>
      <c r="J282" s="426" t="s">
        <v>310</v>
      </c>
      <c r="K282" s="415" t="s">
        <v>1220</v>
      </c>
      <c r="L282" s="415" t="s">
        <v>3443</v>
      </c>
      <c r="M282" s="726">
        <v>222158657679</v>
      </c>
      <c r="N282" s="413">
        <v>44750</v>
      </c>
      <c r="O282" s="414" t="s">
        <v>408</v>
      </c>
      <c r="P282" s="655">
        <f t="shared" si="12"/>
        <v>7</v>
      </c>
      <c r="Q282" s="655">
        <f t="shared" si="13"/>
        <v>5</v>
      </c>
      <c r="R282" s="695" t="str">
        <f t="shared" si="14"/>
        <v>Gastos_custeados_por_captação</v>
      </c>
      <c r="S282" s="697" t="s">
        <v>310</v>
      </c>
      <c r="T282" s="697" t="s">
        <v>310</v>
      </c>
    </row>
    <row r="283" spans="1:20" ht="36" x14ac:dyDescent="0.2">
      <c r="A283" s="432">
        <f>IF(B283="","",COUNT('Diário 1º PA'!$A$4:$A$2635)+COUNT('Diário 2º PA'!$A$4:$A$3040)+ROW()-3)</f>
        <v>4379</v>
      </c>
      <c r="B283" s="413">
        <v>44750</v>
      </c>
      <c r="C283" s="431">
        <v>44682</v>
      </c>
      <c r="D283" s="415" t="s">
        <v>468</v>
      </c>
      <c r="E283" s="415" t="s">
        <v>468</v>
      </c>
      <c r="F283" s="425">
        <v>12.06</v>
      </c>
      <c r="G283" s="427" t="s">
        <v>6406</v>
      </c>
      <c r="H283" s="415" t="s">
        <v>468</v>
      </c>
      <c r="I283" s="415" t="s">
        <v>764</v>
      </c>
      <c r="J283" s="426" t="s">
        <v>310</v>
      </c>
      <c r="K283" s="415" t="s">
        <v>1220</v>
      </c>
      <c r="L283" s="415" t="s">
        <v>3443</v>
      </c>
      <c r="M283" s="544">
        <v>222158664101</v>
      </c>
      <c r="N283" s="413">
        <v>44750</v>
      </c>
      <c r="O283" s="414" t="s">
        <v>408</v>
      </c>
      <c r="P283" s="655">
        <f t="shared" si="12"/>
        <v>7</v>
      </c>
      <c r="Q283" s="655">
        <f t="shared" si="13"/>
        <v>5</v>
      </c>
      <c r="R283" s="695" t="str">
        <f t="shared" si="14"/>
        <v>Gastos_custeados_por_captação</v>
      </c>
      <c r="S283" s="697" t="s">
        <v>310</v>
      </c>
      <c r="T283" s="697" t="s">
        <v>310</v>
      </c>
    </row>
    <row r="284" spans="1:20" ht="36" x14ac:dyDescent="0.2">
      <c r="A284" s="432">
        <f>IF(B284="","",COUNT('Diário 1º PA'!$A$4:$A$2635)+COUNT('Diário 2º PA'!$A$4:$A$3040)+ROW()-3)</f>
        <v>4380</v>
      </c>
      <c r="B284" s="413">
        <v>44750</v>
      </c>
      <c r="C284" s="431">
        <v>44682</v>
      </c>
      <c r="D284" s="415" t="s">
        <v>468</v>
      </c>
      <c r="E284" s="415" t="s">
        <v>468</v>
      </c>
      <c r="F284" s="425">
        <v>55.27</v>
      </c>
      <c r="G284" s="427" t="s">
        <v>5595</v>
      </c>
      <c r="H284" s="415" t="s">
        <v>468</v>
      </c>
      <c r="I284" s="415" t="s">
        <v>764</v>
      </c>
      <c r="J284" s="426" t="s">
        <v>310</v>
      </c>
      <c r="K284" s="415" t="s">
        <v>1220</v>
      </c>
      <c r="L284" s="415" t="s">
        <v>3443</v>
      </c>
      <c r="M284" s="544">
        <v>222158655625</v>
      </c>
      <c r="N284" s="413">
        <v>44750</v>
      </c>
      <c r="O284" s="414" t="s">
        <v>408</v>
      </c>
      <c r="P284" s="655">
        <f t="shared" si="12"/>
        <v>7</v>
      </c>
      <c r="Q284" s="655">
        <f t="shared" si="13"/>
        <v>5</v>
      </c>
      <c r="R284" s="695" t="str">
        <f t="shared" si="14"/>
        <v>Gastos_custeados_por_captação</v>
      </c>
      <c r="S284" s="697" t="s">
        <v>310</v>
      </c>
      <c r="T284" s="697" t="s">
        <v>310</v>
      </c>
    </row>
    <row r="285" spans="1:20" ht="36" x14ac:dyDescent="0.2">
      <c r="A285" s="432">
        <f>IF(B285="","",COUNT('Diário 1º PA'!$A$4:$A$2635)+COUNT('Diário 2º PA'!$A$4:$A$3040)+ROW()-3)</f>
        <v>4381</v>
      </c>
      <c r="B285" s="413">
        <v>44750</v>
      </c>
      <c r="C285" s="431">
        <v>44682</v>
      </c>
      <c r="D285" s="415" t="s">
        <v>468</v>
      </c>
      <c r="E285" s="415" t="s">
        <v>468</v>
      </c>
      <c r="F285" s="425">
        <v>200</v>
      </c>
      <c r="G285" s="427" t="s">
        <v>5617</v>
      </c>
      <c r="H285" s="415" t="s">
        <v>468</v>
      </c>
      <c r="I285" s="415" t="s">
        <v>764</v>
      </c>
      <c r="J285" s="426" t="s">
        <v>310</v>
      </c>
      <c r="K285" s="415" t="s">
        <v>1220</v>
      </c>
      <c r="L285" s="415" t="s">
        <v>3443</v>
      </c>
      <c r="M285" s="544">
        <v>222158663482</v>
      </c>
      <c r="N285" s="413">
        <v>44750</v>
      </c>
      <c r="O285" s="414" t="s">
        <v>408</v>
      </c>
      <c r="P285" s="655">
        <f t="shared" si="12"/>
        <v>7</v>
      </c>
      <c r="Q285" s="655">
        <f t="shared" si="13"/>
        <v>5</v>
      </c>
      <c r="R285" s="695" t="str">
        <f t="shared" si="14"/>
        <v>Gastos_custeados_por_captação</v>
      </c>
      <c r="S285" s="697" t="s">
        <v>310</v>
      </c>
      <c r="T285" s="697" t="s">
        <v>310</v>
      </c>
    </row>
    <row r="286" spans="1:20" ht="36" x14ac:dyDescent="0.2">
      <c r="A286" s="432">
        <f>IF(B286="","",COUNT('Diário 1º PA'!$A$4:$A$2635)+COUNT('Diário 2º PA'!$A$4:$A$3040)+ROW()-3)</f>
        <v>4382</v>
      </c>
      <c r="B286" s="413">
        <v>44750</v>
      </c>
      <c r="C286" s="431">
        <v>44682</v>
      </c>
      <c r="D286" s="415" t="s">
        <v>468</v>
      </c>
      <c r="E286" s="415" t="s">
        <v>468</v>
      </c>
      <c r="F286" s="425">
        <v>175</v>
      </c>
      <c r="G286" s="427" t="s">
        <v>5605</v>
      </c>
      <c r="H286" s="415" t="s">
        <v>468</v>
      </c>
      <c r="I286" s="415" t="s">
        <v>764</v>
      </c>
      <c r="J286" s="426" t="s">
        <v>310</v>
      </c>
      <c r="K286" s="415" t="s">
        <v>1220</v>
      </c>
      <c r="L286" s="415" t="s">
        <v>3443</v>
      </c>
      <c r="M286" s="544">
        <v>222158656273</v>
      </c>
      <c r="N286" s="413">
        <v>44750</v>
      </c>
      <c r="O286" s="414" t="s">
        <v>408</v>
      </c>
      <c r="P286" s="655">
        <f t="shared" si="12"/>
        <v>7</v>
      </c>
      <c r="Q286" s="655">
        <f t="shared" si="13"/>
        <v>5</v>
      </c>
      <c r="R286" s="695" t="str">
        <f t="shared" si="14"/>
        <v>Gastos_custeados_por_captação</v>
      </c>
      <c r="S286" s="697" t="s">
        <v>310</v>
      </c>
      <c r="T286" s="697" t="s">
        <v>310</v>
      </c>
    </row>
    <row r="287" spans="1:20" ht="36" x14ac:dyDescent="0.2">
      <c r="A287" s="432">
        <f>IF(B287="","",COUNT('Diário 1º PA'!$A$4:$A$2635)+COUNT('Diário 2º PA'!$A$4:$A$3040)+ROW()-3)</f>
        <v>4383</v>
      </c>
      <c r="B287" s="413">
        <v>44750</v>
      </c>
      <c r="C287" s="431">
        <v>44682</v>
      </c>
      <c r="D287" s="415" t="s">
        <v>468</v>
      </c>
      <c r="E287" s="415" t="s">
        <v>468</v>
      </c>
      <c r="F287" s="425">
        <v>70.349999999999994</v>
      </c>
      <c r="G287" s="427" t="s">
        <v>5609</v>
      </c>
      <c r="H287" s="415" t="s">
        <v>468</v>
      </c>
      <c r="I287" s="415" t="s">
        <v>764</v>
      </c>
      <c r="J287" s="426" t="s">
        <v>310</v>
      </c>
      <c r="K287" s="415" t="s">
        <v>1220</v>
      </c>
      <c r="L287" s="415" t="s">
        <v>3443</v>
      </c>
      <c r="M287" s="544">
        <v>222158662591</v>
      </c>
      <c r="N287" s="413">
        <v>44750</v>
      </c>
      <c r="O287" s="414" t="s">
        <v>408</v>
      </c>
      <c r="P287" s="655">
        <f t="shared" si="12"/>
        <v>7</v>
      </c>
      <c r="Q287" s="655">
        <f t="shared" si="13"/>
        <v>5</v>
      </c>
      <c r="R287" s="695" t="str">
        <f t="shared" si="14"/>
        <v>Gastos_custeados_por_captação</v>
      </c>
      <c r="S287" s="697" t="s">
        <v>310</v>
      </c>
      <c r="T287" s="697" t="s">
        <v>310</v>
      </c>
    </row>
    <row r="288" spans="1:20" ht="36" x14ac:dyDescent="0.2">
      <c r="A288" s="432">
        <f>IF(B288="","",COUNT('Diário 1º PA'!$A$4:$A$2635)+COUNT('Diário 2º PA'!$A$4:$A$3040)+ROW()-3)</f>
        <v>4384</v>
      </c>
      <c r="B288" s="413">
        <v>44750</v>
      </c>
      <c r="C288" s="431">
        <v>44682</v>
      </c>
      <c r="D288" s="415" t="s">
        <v>468</v>
      </c>
      <c r="E288" s="415" t="s">
        <v>468</v>
      </c>
      <c r="F288" s="425">
        <v>90</v>
      </c>
      <c r="G288" s="427" t="s">
        <v>5389</v>
      </c>
      <c r="H288" s="415" t="s">
        <v>468</v>
      </c>
      <c r="I288" s="415" t="s">
        <v>764</v>
      </c>
      <c r="J288" s="426" t="s">
        <v>310</v>
      </c>
      <c r="K288" s="415" t="s">
        <v>1220</v>
      </c>
      <c r="L288" s="415" t="s">
        <v>3443</v>
      </c>
      <c r="M288" s="544">
        <v>222158650313</v>
      </c>
      <c r="N288" s="413">
        <v>44750</v>
      </c>
      <c r="O288" s="414" t="s">
        <v>408</v>
      </c>
      <c r="P288" s="655">
        <f t="shared" si="12"/>
        <v>7</v>
      </c>
      <c r="Q288" s="655">
        <f t="shared" si="13"/>
        <v>5</v>
      </c>
      <c r="R288" s="695" t="str">
        <f t="shared" si="14"/>
        <v>Gastos_custeados_por_captação</v>
      </c>
      <c r="S288" s="697" t="s">
        <v>310</v>
      </c>
      <c r="T288" s="697" t="s">
        <v>310</v>
      </c>
    </row>
    <row r="289" spans="1:20" ht="36" x14ac:dyDescent="0.2">
      <c r="A289" s="432">
        <f>IF(B289="","",COUNT('Diário 1º PA'!$A$4:$A$2635)+COUNT('Diário 2º PA'!$A$4:$A$3040)+ROW()-3)</f>
        <v>4385</v>
      </c>
      <c r="B289" s="413">
        <v>44750</v>
      </c>
      <c r="C289" s="431">
        <v>44682</v>
      </c>
      <c r="D289" s="415" t="s">
        <v>468</v>
      </c>
      <c r="E289" s="415" t="s">
        <v>468</v>
      </c>
      <c r="F289" s="425">
        <v>114.57</v>
      </c>
      <c r="G289" s="427" t="s">
        <v>5620</v>
      </c>
      <c r="H289" s="415" t="s">
        <v>468</v>
      </c>
      <c r="I289" s="415" t="s">
        <v>764</v>
      </c>
      <c r="J289" s="426" t="s">
        <v>310</v>
      </c>
      <c r="K289" s="415" t="s">
        <v>1220</v>
      </c>
      <c r="L289" s="415" t="s">
        <v>3443</v>
      </c>
      <c r="M289" s="544">
        <v>222158657911</v>
      </c>
      <c r="N289" s="413">
        <v>44750</v>
      </c>
      <c r="O289" s="414" t="s">
        <v>408</v>
      </c>
      <c r="P289" s="655">
        <f t="shared" si="12"/>
        <v>7</v>
      </c>
      <c r="Q289" s="655">
        <f t="shared" si="13"/>
        <v>5</v>
      </c>
      <c r="R289" s="695" t="str">
        <f t="shared" si="14"/>
        <v>Gastos_custeados_por_captação</v>
      </c>
      <c r="S289" s="697" t="s">
        <v>310</v>
      </c>
      <c r="T289" s="697" t="s">
        <v>310</v>
      </c>
    </row>
    <row r="290" spans="1:20" ht="36" x14ac:dyDescent="0.2">
      <c r="A290" s="432">
        <f>IF(B290="","",COUNT('Diário 1º PA'!$A$4:$A$2635)+COUNT('Diário 2º PA'!$A$4:$A$3040)+ROW()-3)</f>
        <v>4386</v>
      </c>
      <c r="B290" s="413">
        <v>44750</v>
      </c>
      <c r="C290" s="433">
        <v>44682</v>
      </c>
      <c r="D290" s="415" t="s">
        <v>468</v>
      </c>
      <c r="E290" s="415" t="s">
        <v>468</v>
      </c>
      <c r="F290" s="425">
        <v>100.76</v>
      </c>
      <c r="G290" s="437" t="s">
        <v>5594</v>
      </c>
      <c r="H290" s="415" t="s">
        <v>468</v>
      </c>
      <c r="I290" s="415" t="s">
        <v>764</v>
      </c>
      <c r="J290" s="426" t="s">
        <v>310</v>
      </c>
      <c r="K290" s="415" t="s">
        <v>1220</v>
      </c>
      <c r="L290" s="415" t="s">
        <v>3443</v>
      </c>
      <c r="M290" s="544">
        <v>222158655110</v>
      </c>
      <c r="N290" s="413">
        <v>44750</v>
      </c>
      <c r="O290" s="414" t="s">
        <v>408</v>
      </c>
      <c r="P290" s="655">
        <f t="shared" si="12"/>
        <v>7</v>
      </c>
      <c r="Q290" s="655">
        <f t="shared" si="13"/>
        <v>5</v>
      </c>
      <c r="R290" s="695" t="str">
        <f t="shared" si="14"/>
        <v>Gastos_custeados_por_captação</v>
      </c>
      <c r="S290" s="697" t="s">
        <v>310</v>
      </c>
      <c r="T290" s="697" t="s">
        <v>310</v>
      </c>
    </row>
    <row r="291" spans="1:20" ht="36" x14ac:dyDescent="0.2">
      <c r="A291" s="432">
        <f>IF(B291="","",COUNT('Diário 1º PA'!$A$4:$A$2635)+COUNT('Diário 2º PA'!$A$4:$A$3040)+ROW()-3)</f>
        <v>4387</v>
      </c>
      <c r="B291" s="413">
        <v>44750</v>
      </c>
      <c r="C291" s="431">
        <v>44682</v>
      </c>
      <c r="D291" s="415" t="s">
        <v>468</v>
      </c>
      <c r="E291" s="415" t="s">
        <v>468</v>
      </c>
      <c r="F291" s="425">
        <v>114.57</v>
      </c>
      <c r="G291" s="427" t="s">
        <v>5612</v>
      </c>
      <c r="H291" s="415" t="s">
        <v>468</v>
      </c>
      <c r="I291" s="415" t="s">
        <v>764</v>
      </c>
      <c r="J291" s="426" t="s">
        <v>310</v>
      </c>
      <c r="K291" s="415" t="s">
        <v>1220</v>
      </c>
      <c r="L291" s="415" t="s">
        <v>3443</v>
      </c>
      <c r="M291" s="544">
        <v>222158663059</v>
      </c>
      <c r="N291" s="413">
        <v>44750</v>
      </c>
      <c r="O291" s="414" t="s">
        <v>408</v>
      </c>
      <c r="P291" s="655">
        <f t="shared" si="12"/>
        <v>7</v>
      </c>
      <c r="Q291" s="655">
        <f t="shared" si="13"/>
        <v>5</v>
      </c>
      <c r="R291" s="695" t="str">
        <f t="shared" si="14"/>
        <v>Gastos_custeados_por_captação</v>
      </c>
      <c r="S291" s="697" t="s">
        <v>310</v>
      </c>
      <c r="T291" s="697" t="s">
        <v>310</v>
      </c>
    </row>
    <row r="292" spans="1:20" ht="36" x14ac:dyDescent="0.2">
      <c r="A292" s="432">
        <f>IF(B292="","",COUNT('Diário 1º PA'!$A$4:$A$2635)+COUNT('Diário 2º PA'!$A$4:$A$3040)+ROW()-3)</f>
        <v>4388</v>
      </c>
      <c r="B292" s="413">
        <v>44750</v>
      </c>
      <c r="C292" s="431">
        <v>44682</v>
      </c>
      <c r="D292" s="415" t="s">
        <v>468</v>
      </c>
      <c r="E292" s="415" t="s">
        <v>468</v>
      </c>
      <c r="F292" s="425">
        <v>207.35</v>
      </c>
      <c r="G292" s="427" t="s">
        <v>6407</v>
      </c>
      <c r="H292" s="415" t="s">
        <v>468</v>
      </c>
      <c r="I292" s="415" t="s">
        <v>764</v>
      </c>
      <c r="J292" s="426" t="s">
        <v>310</v>
      </c>
      <c r="K292" s="415" t="s">
        <v>1220</v>
      </c>
      <c r="L292" s="415" t="s">
        <v>3443</v>
      </c>
      <c r="M292" s="544">
        <v>222158663644</v>
      </c>
      <c r="N292" s="413">
        <v>44750</v>
      </c>
      <c r="O292" s="414" t="s">
        <v>408</v>
      </c>
      <c r="P292" s="655">
        <f t="shared" si="12"/>
        <v>7</v>
      </c>
      <c r="Q292" s="655">
        <f t="shared" si="13"/>
        <v>5</v>
      </c>
      <c r="R292" s="695" t="str">
        <f t="shared" si="14"/>
        <v>Gastos_custeados_por_captação</v>
      </c>
      <c r="S292" s="697" t="s">
        <v>310</v>
      </c>
      <c r="T292" s="697" t="s">
        <v>310</v>
      </c>
    </row>
    <row r="293" spans="1:20" ht="36" x14ac:dyDescent="0.2">
      <c r="A293" s="432">
        <f>IF(B293="","",COUNT('Diário 1º PA'!$A$4:$A$2635)+COUNT('Diário 2º PA'!$A$4:$A$3040)+ROW()-3)</f>
        <v>4389</v>
      </c>
      <c r="B293" s="413">
        <v>44750</v>
      </c>
      <c r="C293" s="424">
        <v>44774</v>
      </c>
      <c r="D293" s="415" t="s">
        <v>468</v>
      </c>
      <c r="E293" s="415" t="s">
        <v>468</v>
      </c>
      <c r="F293" s="425">
        <v>11</v>
      </c>
      <c r="G293" s="427" t="s">
        <v>2469</v>
      </c>
      <c r="H293" s="415" t="s">
        <v>468</v>
      </c>
      <c r="I293" s="639" t="s">
        <v>881</v>
      </c>
      <c r="J293" s="418" t="s">
        <v>882</v>
      </c>
      <c r="K293" s="418" t="s">
        <v>883</v>
      </c>
      <c r="L293" s="399" t="s">
        <v>798</v>
      </c>
      <c r="M293" s="544" t="s">
        <v>310</v>
      </c>
      <c r="N293" s="413">
        <v>44750</v>
      </c>
      <c r="O293" s="414" t="s">
        <v>408</v>
      </c>
      <c r="P293" s="655">
        <f t="shared" si="12"/>
        <v>7</v>
      </c>
      <c r="Q293" s="655">
        <f t="shared" si="13"/>
        <v>8</v>
      </c>
      <c r="R293" s="695" t="str">
        <f t="shared" si="14"/>
        <v>Gastos_custeados_por_captação</v>
      </c>
      <c r="S293" s="697" t="s">
        <v>310</v>
      </c>
      <c r="T293" s="697" t="s">
        <v>310</v>
      </c>
    </row>
    <row r="294" spans="1:20" ht="60" x14ac:dyDescent="0.2">
      <c r="A294" s="432">
        <f>IF(B294="","",COUNT('Diário 1º PA'!$A$4:$A$2635)+COUNT('Diário 2º PA'!$A$4:$A$3040)+ROW()-3)</f>
        <v>4390</v>
      </c>
      <c r="B294" s="413">
        <v>44750</v>
      </c>
      <c r="C294" s="431">
        <v>44713</v>
      </c>
      <c r="D294" s="415" t="s">
        <v>468</v>
      </c>
      <c r="E294" s="415" t="s">
        <v>468</v>
      </c>
      <c r="F294" s="425">
        <v>2694.72</v>
      </c>
      <c r="G294" s="427" t="s">
        <v>3897</v>
      </c>
      <c r="H294" s="415" t="s">
        <v>468</v>
      </c>
      <c r="I294" s="398" t="s">
        <v>1811</v>
      </c>
      <c r="J294" s="415" t="s">
        <v>1023</v>
      </c>
      <c r="K294" s="418" t="s">
        <v>830</v>
      </c>
      <c r="L294" s="399" t="s">
        <v>32</v>
      </c>
      <c r="M294" s="415" t="s">
        <v>6518</v>
      </c>
      <c r="N294" s="413">
        <v>44749</v>
      </c>
      <c r="O294" s="414" t="s">
        <v>3762</v>
      </c>
      <c r="P294" s="655">
        <f t="shared" si="12"/>
        <v>7</v>
      </c>
      <c r="Q294" s="655">
        <f t="shared" si="13"/>
        <v>6</v>
      </c>
      <c r="R294" s="695" t="str">
        <f t="shared" si="14"/>
        <v>Gastos_custeados_por_captação</v>
      </c>
      <c r="S294" s="697" t="s">
        <v>1000</v>
      </c>
      <c r="T294" s="697">
        <v>3618</v>
      </c>
    </row>
    <row r="295" spans="1:20" ht="48" x14ac:dyDescent="0.2">
      <c r="A295" s="432">
        <f>IF(B295="","",COUNT('Diário 1º PA'!$A$4:$A$2635)+COUNT('Diário 2º PA'!$A$4:$A$3040)+ROW()-3)</f>
        <v>4391</v>
      </c>
      <c r="B295" s="413">
        <v>44750</v>
      </c>
      <c r="C295" s="431">
        <v>44682</v>
      </c>
      <c r="D295" s="415" t="s">
        <v>468</v>
      </c>
      <c r="E295" s="415" t="s">
        <v>468</v>
      </c>
      <c r="F295" s="425">
        <v>130</v>
      </c>
      <c r="G295" s="427" t="s">
        <v>5416</v>
      </c>
      <c r="H295" s="415" t="s">
        <v>468</v>
      </c>
      <c r="I295" s="427" t="s">
        <v>764</v>
      </c>
      <c r="J295" s="415" t="s">
        <v>310</v>
      </c>
      <c r="K295" s="415" t="s">
        <v>1220</v>
      </c>
      <c r="L295" s="415" t="s">
        <v>3443</v>
      </c>
      <c r="M295" s="544">
        <v>222158665850</v>
      </c>
      <c r="N295" s="413">
        <v>44750</v>
      </c>
      <c r="O295" s="414" t="s">
        <v>3762</v>
      </c>
      <c r="P295" s="655">
        <f t="shared" si="12"/>
        <v>7</v>
      </c>
      <c r="Q295" s="655">
        <f t="shared" si="13"/>
        <v>5</v>
      </c>
      <c r="R295" s="695" t="str">
        <f t="shared" si="14"/>
        <v>Gastos_custeados_por_captação</v>
      </c>
      <c r="S295" s="697" t="s">
        <v>310</v>
      </c>
      <c r="T295" s="697" t="s">
        <v>310</v>
      </c>
    </row>
    <row r="296" spans="1:20" ht="48" x14ac:dyDescent="0.2">
      <c r="A296" s="432">
        <f>IF(B296="","",COUNT('Diário 1º PA'!$A$4:$A$2635)+COUNT('Diário 2º PA'!$A$4:$A$3040)+ROW()-3)</f>
        <v>4392</v>
      </c>
      <c r="B296" s="413">
        <v>44750</v>
      </c>
      <c r="C296" s="431">
        <v>44713</v>
      </c>
      <c r="D296" s="415" t="s">
        <v>468</v>
      </c>
      <c r="E296" s="415" t="s">
        <v>468</v>
      </c>
      <c r="F296" s="425">
        <v>31.85</v>
      </c>
      <c r="G296" s="427" t="s">
        <v>5435</v>
      </c>
      <c r="H296" s="415" t="s">
        <v>468</v>
      </c>
      <c r="I296" s="427" t="s">
        <v>764</v>
      </c>
      <c r="J296" s="415" t="s">
        <v>310</v>
      </c>
      <c r="K296" s="415" t="s">
        <v>1220</v>
      </c>
      <c r="L296" s="415" t="s">
        <v>3443</v>
      </c>
      <c r="M296" s="544">
        <v>222158667712</v>
      </c>
      <c r="N296" s="413">
        <v>44750</v>
      </c>
      <c r="O296" s="414" t="s">
        <v>3762</v>
      </c>
      <c r="P296" s="655">
        <f t="shared" si="12"/>
        <v>7</v>
      </c>
      <c r="Q296" s="655">
        <f t="shared" si="13"/>
        <v>6</v>
      </c>
      <c r="R296" s="695" t="str">
        <f t="shared" si="14"/>
        <v>Gastos_custeados_por_captação</v>
      </c>
      <c r="S296" s="697" t="s">
        <v>310</v>
      </c>
      <c r="T296" s="697" t="s">
        <v>310</v>
      </c>
    </row>
    <row r="297" spans="1:20" ht="48" x14ac:dyDescent="0.2">
      <c r="A297" s="432">
        <f>IF(B297="","",COUNT('Diário 1º PA'!$A$4:$A$2635)+COUNT('Diário 2º PA'!$A$4:$A$3040)+ROW()-3)</f>
        <v>4393</v>
      </c>
      <c r="B297" s="413">
        <v>44750</v>
      </c>
      <c r="C297" s="431">
        <v>44682</v>
      </c>
      <c r="D297" s="415" t="s">
        <v>468</v>
      </c>
      <c r="E297" s="415" t="s">
        <v>468</v>
      </c>
      <c r="F297" s="425">
        <v>55.27</v>
      </c>
      <c r="G297" s="427" t="s">
        <v>5430</v>
      </c>
      <c r="H297" s="415" t="s">
        <v>468</v>
      </c>
      <c r="I297" s="427" t="s">
        <v>764</v>
      </c>
      <c r="J297" s="415" t="s">
        <v>310</v>
      </c>
      <c r="K297" s="415" t="s">
        <v>1220</v>
      </c>
      <c r="L297" s="415" t="s">
        <v>3443</v>
      </c>
      <c r="M297" s="544">
        <v>222158667127</v>
      </c>
      <c r="N297" s="413">
        <v>44750</v>
      </c>
      <c r="O297" s="414" t="s">
        <v>3762</v>
      </c>
      <c r="P297" s="655">
        <f t="shared" si="12"/>
        <v>7</v>
      </c>
      <c r="Q297" s="655">
        <f t="shared" si="13"/>
        <v>5</v>
      </c>
      <c r="R297" s="695" t="str">
        <f t="shared" si="14"/>
        <v>Gastos_custeados_por_captação</v>
      </c>
      <c r="S297" s="697" t="s">
        <v>310</v>
      </c>
      <c r="T297" s="697" t="s">
        <v>310</v>
      </c>
    </row>
    <row r="298" spans="1:20" ht="48" x14ac:dyDescent="0.2">
      <c r="A298" s="432">
        <f>IF(B298="","",COUNT('Diário 1º PA'!$A$4:$A$2635)+COUNT('Diário 2º PA'!$A$4:$A$3040)+ROW()-3)</f>
        <v>4394</v>
      </c>
      <c r="B298" s="413">
        <v>44750</v>
      </c>
      <c r="C298" s="431">
        <v>44652</v>
      </c>
      <c r="D298" s="415" t="s">
        <v>468</v>
      </c>
      <c r="E298" s="415" t="s">
        <v>468</v>
      </c>
      <c r="F298" s="425">
        <v>130</v>
      </c>
      <c r="G298" s="427" t="s">
        <v>5417</v>
      </c>
      <c r="H298" s="415" t="s">
        <v>468</v>
      </c>
      <c r="I298" s="427" t="s">
        <v>764</v>
      </c>
      <c r="J298" s="415" t="s">
        <v>310</v>
      </c>
      <c r="K298" s="415" t="s">
        <v>1220</v>
      </c>
      <c r="L298" s="415" t="s">
        <v>3443</v>
      </c>
      <c r="M298" s="544">
        <v>222158666317</v>
      </c>
      <c r="N298" s="413">
        <v>44750</v>
      </c>
      <c r="O298" s="414" t="s">
        <v>3762</v>
      </c>
      <c r="P298" s="655">
        <f t="shared" si="12"/>
        <v>7</v>
      </c>
      <c r="Q298" s="655">
        <f t="shared" si="13"/>
        <v>4</v>
      </c>
      <c r="R298" s="695" t="str">
        <f t="shared" si="14"/>
        <v>Gastos_custeados_por_captação</v>
      </c>
      <c r="S298" s="697" t="s">
        <v>310</v>
      </c>
      <c r="T298" s="697" t="s">
        <v>310</v>
      </c>
    </row>
    <row r="299" spans="1:20" ht="48" x14ac:dyDescent="0.2">
      <c r="A299" s="432">
        <f>IF(B299="","",COUNT('Diário 1º PA'!$A$4:$A$2635)+COUNT('Diário 2º PA'!$A$4:$A$3040)+ROW()-3)</f>
        <v>4395</v>
      </c>
      <c r="B299" s="413">
        <v>44750</v>
      </c>
      <c r="C299" s="431">
        <v>44652</v>
      </c>
      <c r="D299" s="415" t="s">
        <v>468</v>
      </c>
      <c r="E299" s="415" t="s">
        <v>468</v>
      </c>
      <c r="F299" s="425">
        <v>130</v>
      </c>
      <c r="G299" s="427" t="s">
        <v>5428</v>
      </c>
      <c r="H299" s="415" t="s">
        <v>468</v>
      </c>
      <c r="I299" s="427" t="s">
        <v>764</v>
      </c>
      <c r="J299" s="415" t="s">
        <v>310</v>
      </c>
      <c r="K299" s="415" t="s">
        <v>1220</v>
      </c>
      <c r="L299" s="415" t="s">
        <v>3443</v>
      </c>
      <c r="M299" s="544">
        <v>222158667470</v>
      </c>
      <c r="N299" s="413">
        <v>44750</v>
      </c>
      <c r="O299" s="414" t="s">
        <v>3762</v>
      </c>
      <c r="P299" s="655">
        <f t="shared" si="12"/>
        <v>7</v>
      </c>
      <c r="Q299" s="655">
        <f t="shared" si="13"/>
        <v>4</v>
      </c>
      <c r="R299" s="695" t="str">
        <f t="shared" si="14"/>
        <v>Gastos_custeados_por_captação</v>
      </c>
      <c r="S299" s="697" t="s">
        <v>310</v>
      </c>
      <c r="T299" s="697" t="s">
        <v>310</v>
      </c>
    </row>
    <row r="300" spans="1:20" ht="72" x14ac:dyDescent="0.2">
      <c r="A300" s="432">
        <f>IF(B300="","",COUNT('Diário 1º PA'!$A$4:$A$2635)+COUNT('Diário 2º PA'!$A$4:$A$3040)+ROW()-3)</f>
        <v>4396</v>
      </c>
      <c r="B300" s="413">
        <v>44750</v>
      </c>
      <c r="C300" s="431">
        <v>44682</v>
      </c>
      <c r="D300" s="415" t="s">
        <v>468</v>
      </c>
      <c r="E300" s="415" t="s">
        <v>468</v>
      </c>
      <c r="F300" s="715">
        <v>21.29</v>
      </c>
      <c r="G300" s="427" t="s">
        <v>5234</v>
      </c>
      <c r="H300" s="415" t="s">
        <v>468</v>
      </c>
      <c r="I300" s="427" t="s">
        <v>764</v>
      </c>
      <c r="J300" s="415" t="s">
        <v>310</v>
      </c>
      <c r="K300" s="415" t="s">
        <v>1220</v>
      </c>
      <c r="L300" s="415" t="s">
        <v>3443</v>
      </c>
      <c r="M300" s="546">
        <v>222158806003</v>
      </c>
      <c r="N300" s="413">
        <v>44750</v>
      </c>
      <c r="O300" s="414" t="s">
        <v>407</v>
      </c>
      <c r="P300" s="655">
        <f t="shared" si="12"/>
        <v>7</v>
      </c>
      <c r="Q300" s="655">
        <f t="shared" si="13"/>
        <v>5</v>
      </c>
      <c r="R300" s="695" t="str">
        <f t="shared" si="14"/>
        <v>Gastos_custeados_por_captação</v>
      </c>
      <c r="S300" s="697" t="s">
        <v>310</v>
      </c>
      <c r="T300" s="697" t="s">
        <v>310</v>
      </c>
    </row>
    <row r="301" spans="1:20" ht="72" x14ac:dyDescent="0.2">
      <c r="A301" s="432">
        <f>IF(B301="","",COUNT('Diário 1º PA'!$A$4:$A$2635)+COUNT('Diário 2º PA'!$A$4:$A$3040)+ROW()-3)</f>
        <v>4397</v>
      </c>
      <c r="B301" s="413">
        <v>44750</v>
      </c>
      <c r="C301" s="431">
        <v>44621</v>
      </c>
      <c r="D301" s="415" t="s">
        <v>468</v>
      </c>
      <c r="E301" s="415" t="s">
        <v>468</v>
      </c>
      <c r="F301" s="715">
        <v>116.55</v>
      </c>
      <c r="G301" s="427" t="s">
        <v>6535</v>
      </c>
      <c r="H301" s="415" t="s">
        <v>468</v>
      </c>
      <c r="I301" s="427" t="s">
        <v>764</v>
      </c>
      <c r="J301" s="415" t="s">
        <v>310</v>
      </c>
      <c r="K301" s="415" t="s">
        <v>1220</v>
      </c>
      <c r="L301" s="415" t="s">
        <v>3443</v>
      </c>
      <c r="M301" s="544">
        <v>222158816734</v>
      </c>
      <c r="N301" s="413">
        <v>44750</v>
      </c>
      <c r="O301" s="414" t="s">
        <v>407</v>
      </c>
      <c r="P301" s="655">
        <f t="shared" si="12"/>
        <v>7</v>
      </c>
      <c r="Q301" s="655">
        <f t="shared" si="13"/>
        <v>3</v>
      </c>
      <c r="R301" s="695" t="str">
        <f t="shared" si="14"/>
        <v>Gastos_custeados_por_captação</v>
      </c>
      <c r="S301" s="697" t="s">
        <v>310</v>
      </c>
      <c r="T301" s="697" t="s">
        <v>310</v>
      </c>
    </row>
    <row r="302" spans="1:20" ht="72" x14ac:dyDescent="0.2">
      <c r="A302" s="432">
        <f>IF(B302="","",COUNT('Diário 1º PA'!$A$4:$A$2635)+COUNT('Diário 2º PA'!$A$4:$A$3040)+ROW()-3)</f>
        <v>4398</v>
      </c>
      <c r="B302" s="413">
        <v>44750</v>
      </c>
      <c r="C302" s="431">
        <v>44682</v>
      </c>
      <c r="D302" s="415" t="s">
        <v>468</v>
      </c>
      <c r="E302" s="415" t="s">
        <v>468</v>
      </c>
      <c r="F302" s="715">
        <v>96.48</v>
      </c>
      <c r="G302" s="427" t="s">
        <v>5248</v>
      </c>
      <c r="H302" s="415" t="s">
        <v>468</v>
      </c>
      <c r="I302" s="427" t="s">
        <v>764</v>
      </c>
      <c r="J302" s="415" t="s">
        <v>310</v>
      </c>
      <c r="K302" s="415" t="s">
        <v>1220</v>
      </c>
      <c r="L302" s="415" t="s">
        <v>3443</v>
      </c>
      <c r="M302" s="544">
        <v>222158807743</v>
      </c>
      <c r="N302" s="413">
        <v>44750</v>
      </c>
      <c r="O302" s="414" t="s">
        <v>407</v>
      </c>
      <c r="P302" s="655">
        <f t="shared" si="12"/>
        <v>7</v>
      </c>
      <c r="Q302" s="655">
        <f t="shared" si="13"/>
        <v>5</v>
      </c>
      <c r="R302" s="695" t="str">
        <f t="shared" si="14"/>
        <v>Gastos_custeados_por_captação</v>
      </c>
      <c r="S302" s="697" t="s">
        <v>310</v>
      </c>
      <c r="T302" s="697" t="s">
        <v>310</v>
      </c>
    </row>
    <row r="303" spans="1:20" ht="72" x14ac:dyDescent="0.2">
      <c r="A303" s="432">
        <f>IF(B303="","",COUNT('Diário 1º PA'!$A$4:$A$2635)+COUNT('Diário 2º PA'!$A$4:$A$3040)+ROW()-3)</f>
        <v>4399</v>
      </c>
      <c r="B303" s="413">
        <v>44750</v>
      </c>
      <c r="C303" s="431">
        <v>44682</v>
      </c>
      <c r="D303" s="415" t="s">
        <v>468</v>
      </c>
      <c r="E303" s="415" t="s">
        <v>468</v>
      </c>
      <c r="F303" s="715">
        <v>894</v>
      </c>
      <c r="G303" s="427" t="s">
        <v>5254</v>
      </c>
      <c r="H303" s="415" t="s">
        <v>468</v>
      </c>
      <c r="I303" s="427" t="s">
        <v>764</v>
      </c>
      <c r="J303" s="415" t="s">
        <v>310</v>
      </c>
      <c r="K303" s="415" t="s">
        <v>1220</v>
      </c>
      <c r="L303" s="415" t="s">
        <v>3443</v>
      </c>
      <c r="M303" s="544">
        <v>222158812747</v>
      </c>
      <c r="N303" s="413">
        <v>44750</v>
      </c>
      <c r="O303" s="414" t="s">
        <v>407</v>
      </c>
      <c r="P303" s="655">
        <f t="shared" si="12"/>
        <v>7</v>
      </c>
      <c r="Q303" s="655">
        <f t="shared" si="13"/>
        <v>5</v>
      </c>
      <c r="R303" s="695" t="str">
        <f t="shared" si="14"/>
        <v>Gastos_custeados_por_captação</v>
      </c>
      <c r="S303" s="697" t="s">
        <v>310</v>
      </c>
      <c r="T303" s="697" t="s">
        <v>310</v>
      </c>
    </row>
    <row r="304" spans="1:20" ht="72" x14ac:dyDescent="0.2">
      <c r="A304" s="432">
        <f>IF(B304="","",COUNT('Diário 1º PA'!$A$4:$A$2635)+COUNT('Diário 2º PA'!$A$4:$A$3040)+ROW()-3)</f>
        <v>4400</v>
      </c>
      <c r="B304" s="413">
        <v>44750</v>
      </c>
      <c r="C304" s="431">
        <v>44652</v>
      </c>
      <c r="D304" s="415" t="s">
        <v>468</v>
      </c>
      <c r="E304" s="415" t="s">
        <v>468</v>
      </c>
      <c r="F304" s="715">
        <v>7.2</v>
      </c>
      <c r="G304" s="427" t="s">
        <v>5244</v>
      </c>
      <c r="H304" s="415" t="s">
        <v>468</v>
      </c>
      <c r="I304" s="427" t="s">
        <v>764</v>
      </c>
      <c r="J304" s="415" t="s">
        <v>310</v>
      </c>
      <c r="K304" s="415" t="s">
        <v>1220</v>
      </c>
      <c r="L304" s="415" t="s">
        <v>3443</v>
      </c>
      <c r="M304" s="544">
        <v>222158806348</v>
      </c>
      <c r="N304" s="413">
        <v>44750</v>
      </c>
      <c r="O304" s="414" t="s">
        <v>407</v>
      </c>
      <c r="P304" s="655">
        <f t="shared" si="12"/>
        <v>7</v>
      </c>
      <c r="Q304" s="655">
        <f t="shared" si="13"/>
        <v>4</v>
      </c>
      <c r="R304" s="695" t="str">
        <f t="shared" si="14"/>
        <v>Gastos_custeados_por_captação</v>
      </c>
      <c r="S304" s="697" t="s">
        <v>310</v>
      </c>
      <c r="T304" s="697" t="s">
        <v>310</v>
      </c>
    </row>
    <row r="305" spans="1:20" ht="72" x14ac:dyDescent="0.2">
      <c r="A305" s="432">
        <f>IF(B305="","",COUNT('Diário 1º PA'!$A$4:$A$2635)+COUNT('Diário 2º PA'!$A$4:$A$3040)+ROW()-3)</f>
        <v>4401</v>
      </c>
      <c r="B305" s="413">
        <v>44750</v>
      </c>
      <c r="C305" s="431">
        <v>44652</v>
      </c>
      <c r="D305" s="415" t="s">
        <v>468</v>
      </c>
      <c r="E305" s="415" t="s">
        <v>468</v>
      </c>
      <c r="F305" s="715">
        <v>85.32</v>
      </c>
      <c r="G305" s="427" t="s">
        <v>5225</v>
      </c>
      <c r="H305" s="415" t="s">
        <v>468</v>
      </c>
      <c r="I305" s="427" t="s">
        <v>764</v>
      </c>
      <c r="J305" s="415" t="s">
        <v>310</v>
      </c>
      <c r="K305" s="415" t="s">
        <v>1220</v>
      </c>
      <c r="L305" s="415" t="s">
        <v>3443</v>
      </c>
      <c r="M305" s="544">
        <v>222158806429</v>
      </c>
      <c r="N305" s="413">
        <v>44750</v>
      </c>
      <c r="O305" s="414" t="s">
        <v>407</v>
      </c>
      <c r="P305" s="655">
        <f t="shared" si="12"/>
        <v>7</v>
      </c>
      <c r="Q305" s="655">
        <f t="shared" si="13"/>
        <v>4</v>
      </c>
      <c r="R305" s="695" t="str">
        <f t="shared" si="14"/>
        <v>Gastos_custeados_por_captação</v>
      </c>
      <c r="S305" s="697" t="s">
        <v>310</v>
      </c>
      <c r="T305" s="697" t="s">
        <v>310</v>
      </c>
    </row>
    <row r="306" spans="1:20" ht="72" x14ac:dyDescent="0.2">
      <c r="A306" s="432">
        <f>IF(B306="","",COUNT('Diário 1º PA'!$A$4:$A$2635)+COUNT('Diário 2º PA'!$A$4:$A$3040)+ROW()-3)</f>
        <v>4402</v>
      </c>
      <c r="B306" s="413">
        <v>44750</v>
      </c>
      <c r="C306" s="431">
        <v>44682</v>
      </c>
      <c r="D306" s="415" t="s">
        <v>468</v>
      </c>
      <c r="E306" s="415" t="s">
        <v>468</v>
      </c>
      <c r="F306" s="715">
        <v>135.44999999999999</v>
      </c>
      <c r="G306" s="427" t="s">
        <v>5232</v>
      </c>
      <c r="H306" s="415" t="s">
        <v>468</v>
      </c>
      <c r="I306" s="427" t="s">
        <v>764</v>
      </c>
      <c r="J306" s="415" t="s">
        <v>310</v>
      </c>
      <c r="K306" s="415" t="s">
        <v>1220</v>
      </c>
      <c r="L306" s="415" t="s">
        <v>3443</v>
      </c>
      <c r="M306" s="544">
        <v>222158806771</v>
      </c>
      <c r="N306" s="413">
        <v>44750</v>
      </c>
      <c r="O306" s="414" t="s">
        <v>407</v>
      </c>
      <c r="P306" s="655">
        <f t="shared" si="12"/>
        <v>7</v>
      </c>
      <c r="Q306" s="655">
        <f t="shared" si="13"/>
        <v>5</v>
      </c>
      <c r="R306" s="695" t="str">
        <f t="shared" si="14"/>
        <v>Gastos_custeados_por_captação</v>
      </c>
      <c r="S306" s="697" t="s">
        <v>310</v>
      </c>
      <c r="T306" s="697" t="s">
        <v>310</v>
      </c>
    </row>
    <row r="307" spans="1:20" ht="72" x14ac:dyDescent="0.2">
      <c r="A307" s="432">
        <f>IF(B307="","",COUNT('Diário 1º PA'!$A$4:$A$2635)+COUNT('Diário 2º PA'!$A$4:$A$3040)+ROW()-3)</f>
        <v>4403</v>
      </c>
      <c r="B307" s="413">
        <v>44750</v>
      </c>
      <c r="C307" s="431">
        <v>44652</v>
      </c>
      <c r="D307" s="415" t="s">
        <v>468</v>
      </c>
      <c r="E307" s="415" t="s">
        <v>468</v>
      </c>
      <c r="F307" s="716">
        <v>3720</v>
      </c>
      <c r="G307" s="427" t="s">
        <v>5229</v>
      </c>
      <c r="H307" s="415" t="s">
        <v>468</v>
      </c>
      <c r="I307" s="427" t="s">
        <v>764</v>
      </c>
      <c r="J307" s="415" t="s">
        <v>310</v>
      </c>
      <c r="K307" s="415" t="s">
        <v>1220</v>
      </c>
      <c r="L307" s="415" t="s">
        <v>3443</v>
      </c>
      <c r="M307" s="544">
        <v>222158805376</v>
      </c>
      <c r="N307" s="413">
        <v>44750</v>
      </c>
      <c r="O307" s="414" t="s">
        <v>407</v>
      </c>
      <c r="P307" s="655">
        <f t="shared" si="12"/>
        <v>7</v>
      </c>
      <c r="Q307" s="655">
        <f t="shared" si="13"/>
        <v>4</v>
      </c>
      <c r="R307" s="695" t="str">
        <f t="shared" si="14"/>
        <v>Gastos_custeados_por_captação</v>
      </c>
      <c r="S307" s="697" t="s">
        <v>310</v>
      </c>
      <c r="T307" s="697" t="s">
        <v>310</v>
      </c>
    </row>
    <row r="308" spans="1:20" ht="72" x14ac:dyDescent="0.2">
      <c r="A308" s="432">
        <f>IF(B308="","",COUNT('Diário 1º PA'!$A$4:$A$2635)+COUNT('Diário 2º PA'!$A$4:$A$3040)+ROW()-3)</f>
        <v>4404</v>
      </c>
      <c r="B308" s="413">
        <v>44750</v>
      </c>
      <c r="C308" s="431">
        <v>44682</v>
      </c>
      <c r="D308" s="415" t="s">
        <v>468</v>
      </c>
      <c r="E308" s="415" t="s">
        <v>468</v>
      </c>
      <c r="F308" s="716">
        <v>18.96</v>
      </c>
      <c r="G308" s="427" t="s">
        <v>5227</v>
      </c>
      <c r="H308" s="415" t="s">
        <v>468</v>
      </c>
      <c r="I308" s="427" t="s">
        <v>764</v>
      </c>
      <c r="J308" s="415" t="s">
        <v>310</v>
      </c>
      <c r="K308" s="415" t="s">
        <v>1220</v>
      </c>
      <c r="L308" s="415" t="s">
        <v>3443</v>
      </c>
      <c r="M308" s="544">
        <v>222158805619</v>
      </c>
      <c r="N308" s="413">
        <v>44750</v>
      </c>
      <c r="O308" s="414" t="s">
        <v>407</v>
      </c>
      <c r="P308" s="655">
        <f t="shared" si="12"/>
        <v>7</v>
      </c>
      <c r="Q308" s="655">
        <f t="shared" si="13"/>
        <v>5</v>
      </c>
      <c r="R308" s="695" t="str">
        <f t="shared" si="14"/>
        <v>Gastos_custeados_por_captação</v>
      </c>
      <c r="S308" s="697" t="s">
        <v>310</v>
      </c>
      <c r="T308" s="697" t="s">
        <v>310</v>
      </c>
    </row>
    <row r="309" spans="1:20" ht="72" x14ac:dyDescent="0.2">
      <c r="A309" s="432">
        <f>IF(B309="","",COUNT('Diário 1º PA'!$A$4:$A$2635)+COUNT('Diário 2º PA'!$A$4:$A$3040)+ROW()-3)</f>
        <v>4405</v>
      </c>
      <c r="B309" s="413">
        <v>44750</v>
      </c>
      <c r="C309" s="431">
        <v>44682</v>
      </c>
      <c r="D309" s="415" t="s">
        <v>468</v>
      </c>
      <c r="E309" s="415" t="s">
        <v>468</v>
      </c>
      <c r="F309" s="716">
        <v>30.15</v>
      </c>
      <c r="G309" s="427" t="s">
        <v>5657</v>
      </c>
      <c r="H309" s="415" t="s">
        <v>468</v>
      </c>
      <c r="I309" s="427" t="s">
        <v>764</v>
      </c>
      <c r="J309" s="415" t="s">
        <v>310</v>
      </c>
      <c r="K309" s="415" t="s">
        <v>1220</v>
      </c>
      <c r="L309" s="415" t="s">
        <v>3443</v>
      </c>
      <c r="M309" s="544">
        <v>222158815762</v>
      </c>
      <c r="N309" s="413">
        <v>44750</v>
      </c>
      <c r="O309" s="414" t="s">
        <v>407</v>
      </c>
      <c r="P309" s="655">
        <f t="shared" si="12"/>
        <v>7</v>
      </c>
      <c r="Q309" s="655">
        <f t="shared" si="13"/>
        <v>5</v>
      </c>
      <c r="R309" s="695" t="str">
        <f t="shared" si="14"/>
        <v>Gastos_custeados_por_captação</v>
      </c>
      <c r="S309" s="697" t="s">
        <v>310</v>
      </c>
      <c r="T309" s="697" t="s">
        <v>310</v>
      </c>
    </row>
    <row r="310" spans="1:20" ht="60" x14ac:dyDescent="0.2">
      <c r="A310" s="432">
        <f>IF(B310="","",COUNT('Diário 1º PA'!$A$4:$A$2635)+COUNT('Diário 2º PA'!$A$4:$A$3040)+ROW()-3)</f>
        <v>4406</v>
      </c>
      <c r="B310" s="413">
        <v>44750</v>
      </c>
      <c r="C310" s="431">
        <v>44713</v>
      </c>
      <c r="D310" s="415" t="s">
        <v>468</v>
      </c>
      <c r="E310" s="415" t="s">
        <v>468</v>
      </c>
      <c r="F310" s="716">
        <v>28.98</v>
      </c>
      <c r="G310" s="427" t="s">
        <v>6557</v>
      </c>
      <c r="H310" s="415" t="s">
        <v>468</v>
      </c>
      <c r="I310" s="427" t="s">
        <v>764</v>
      </c>
      <c r="J310" s="415" t="s">
        <v>310</v>
      </c>
      <c r="K310" s="415" t="s">
        <v>1220</v>
      </c>
      <c r="L310" s="415" t="s">
        <v>3443</v>
      </c>
      <c r="M310" s="544">
        <v>222158698863</v>
      </c>
      <c r="N310" s="413">
        <v>44750</v>
      </c>
      <c r="O310" s="414" t="s">
        <v>404</v>
      </c>
      <c r="P310" s="655">
        <f t="shared" si="12"/>
        <v>7</v>
      </c>
      <c r="Q310" s="655">
        <f t="shared" si="13"/>
        <v>6</v>
      </c>
      <c r="R310" s="695" t="str">
        <f t="shared" si="14"/>
        <v>Gastos_custeados_por_captação</v>
      </c>
      <c r="S310" s="697" t="s">
        <v>310</v>
      </c>
      <c r="T310" s="697" t="s">
        <v>310</v>
      </c>
    </row>
    <row r="311" spans="1:20" ht="60" x14ac:dyDescent="0.2">
      <c r="A311" s="432">
        <f>IF(B311="","",COUNT('Diário 1º PA'!$A$4:$A$2635)+COUNT('Diário 2º PA'!$A$4:$A$3040)+ROW()-3)</f>
        <v>4407</v>
      </c>
      <c r="B311" s="413">
        <v>44750</v>
      </c>
      <c r="C311" s="431">
        <v>44652</v>
      </c>
      <c r="D311" s="415" t="s">
        <v>468</v>
      </c>
      <c r="E311" s="415" t="s">
        <v>468</v>
      </c>
      <c r="F311" s="716">
        <v>193.5</v>
      </c>
      <c r="G311" s="427" t="s">
        <v>5462</v>
      </c>
      <c r="H311" s="415" t="s">
        <v>468</v>
      </c>
      <c r="I311" s="427" t="s">
        <v>764</v>
      </c>
      <c r="J311" s="415" t="s">
        <v>310</v>
      </c>
      <c r="K311" s="415" t="s">
        <v>1220</v>
      </c>
      <c r="L311" s="415" t="s">
        <v>3443</v>
      </c>
      <c r="M311" s="544">
        <v>222158697549</v>
      </c>
      <c r="N311" s="413">
        <v>44750</v>
      </c>
      <c r="O311" s="414" t="s">
        <v>404</v>
      </c>
      <c r="P311" s="655">
        <f t="shared" si="12"/>
        <v>7</v>
      </c>
      <c r="Q311" s="655">
        <f t="shared" si="13"/>
        <v>4</v>
      </c>
      <c r="R311" s="695" t="str">
        <f t="shared" si="14"/>
        <v>Gastos_custeados_por_captação</v>
      </c>
      <c r="S311" s="697" t="s">
        <v>310</v>
      </c>
      <c r="T311" s="697" t="s">
        <v>310</v>
      </c>
    </row>
    <row r="312" spans="1:20" ht="60" x14ac:dyDescent="0.2">
      <c r="A312" s="432">
        <f>IF(B312="","",COUNT('Diário 1º PA'!$A$4:$A$2635)+COUNT('Diário 2º PA'!$A$4:$A$3040)+ROW()-3)</f>
        <v>4408</v>
      </c>
      <c r="B312" s="413">
        <v>44750</v>
      </c>
      <c r="C312" s="431">
        <v>44682</v>
      </c>
      <c r="D312" s="415" t="s">
        <v>468</v>
      </c>
      <c r="E312" s="415" t="s">
        <v>468</v>
      </c>
      <c r="F312" s="716">
        <v>137.5</v>
      </c>
      <c r="G312" s="427" t="s">
        <v>5466</v>
      </c>
      <c r="H312" s="415" t="s">
        <v>468</v>
      </c>
      <c r="I312" s="427" t="s">
        <v>764</v>
      </c>
      <c r="J312" s="415" t="s">
        <v>310</v>
      </c>
      <c r="K312" s="415" t="s">
        <v>1220</v>
      </c>
      <c r="L312" s="415" t="s">
        <v>3443</v>
      </c>
      <c r="M312" s="544">
        <v>222158698006</v>
      </c>
      <c r="N312" s="413">
        <v>44750</v>
      </c>
      <c r="O312" s="414" t="s">
        <v>404</v>
      </c>
      <c r="P312" s="655">
        <f t="shared" si="12"/>
        <v>7</v>
      </c>
      <c r="Q312" s="655">
        <f t="shared" si="13"/>
        <v>5</v>
      </c>
      <c r="R312" s="695" t="str">
        <f t="shared" si="14"/>
        <v>Gastos_custeados_por_captação</v>
      </c>
      <c r="S312" s="697" t="s">
        <v>310</v>
      </c>
      <c r="T312" s="697" t="s">
        <v>310</v>
      </c>
    </row>
    <row r="313" spans="1:20" ht="60" x14ac:dyDescent="0.2">
      <c r="A313" s="432">
        <f>IF(B313="","",COUNT('Diário 1º PA'!$A$4:$A$2635)+COUNT('Diário 2º PA'!$A$4:$A$3040)+ROW()-3)</f>
        <v>4409</v>
      </c>
      <c r="B313" s="413">
        <v>44750</v>
      </c>
      <c r="C313" s="431">
        <v>44652</v>
      </c>
      <c r="D313" s="415" t="s">
        <v>468</v>
      </c>
      <c r="E313" s="415" t="s">
        <v>468</v>
      </c>
      <c r="F313" s="716">
        <v>339.21</v>
      </c>
      <c r="G313" s="427" t="s">
        <v>5460</v>
      </c>
      <c r="H313" s="415" t="s">
        <v>468</v>
      </c>
      <c r="I313" s="427" t="s">
        <v>764</v>
      </c>
      <c r="J313" s="415" t="s">
        <v>310</v>
      </c>
      <c r="K313" s="415" t="s">
        <v>1220</v>
      </c>
      <c r="L313" s="415" t="s">
        <v>3443</v>
      </c>
      <c r="M313" s="544">
        <v>222158696810</v>
      </c>
      <c r="N313" s="413">
        <v>44750</v>
      </c>
      <c r="O313" s="414" t="s">
        <v>404</v>
      </c>
      <c r="P313" s="655">
        <f t="shared" si="12"/>
        <v>7</v>
      </c>
      <c r="Q313" s="655">
        <f t="shared" si="13"/>
        <v>4</v>
      </c>
      <c r="R313" s="695" t="str">
        <f t="shared" si="14"/>
        <v>Gastos_custeados_por_captação</v>
      </c>
      <c r="S313" s="697" t="s">
        <v>310</v>
      </c>
      <c r="T313" s="697" t="s">
        <v>310</v>
      </c>
    </row>
    <row r="314" spans="1:20" ht="60" x14ac:dyDescent="0.2">
      <c r="A314" s="432">
        <f>IF(B314="","",COUNT('Diário 1º PA'!$A$4:$A$2635)+COUNT('Diário 2º PA'!$A$4:$A$3040)+ROW()-3)</f>
        <v>4410</v>
      </c>
      <c r="B314" s="413">
        <v>44750</v>
      </c>
      <c r="C314" s="431">
        <v>44713</v>
      </c>
      <c r="D314" s="415" t="s">
        <v>468</v>
      </c>
      <c r="E314" s="415" t="s">
        <v>468</v>
      </c>
      <c r="F314" s="716">
        <v>2694.72</v>
      </c>
      <c r="G314" s="427" t="s">
        <v>3896</v>
      </c>
      <c r="H314" s="415" t="s">
        <v>468</v>
      </c>
      <c r="I314" s="427" t="s">
        <v>1811</v>
      </c>
      <c r="J314" s="415" t="s">
        <v>1023</v>
      </c>
      <c r="K314" s="415" t="s">
        <v>830</v>
      </c>
      <c r="L314" s="415" t="s">
        <v>32</v>
      </c>
      <c r="M314" s="544">
        <v>67.400000000000006</v>
      </c>
      <c r="N314" s="413">
        <v>44749</v>
      </c>
      <c r="O314" s="414" t="s">
        <v>405</v>
      </c>
      <c r="P314" s="655">
        <f t="shared" si="12"/>
        <v>7</v>
      </c>
      <c r="Q314" s="655">
        <f t="shared" si="13"/>
        <v>6</v>
      </c>
      <c r="R314" s="695" t="str">
        <f t="shared" si="14"/>
        <v>Gastos_custeados_por_captação</v>
      </c>
      <c r="S314" s="697" t="s">
        <v>1000</v>
      </c>
      <c r="T314" s="697">
        <v>3620</v>
      </c>
    </row>
    <row r="315" spans="1:20" ht="72" x14ac:dyDescent="0.2">
      <c r="A315" s="432">
        <f>IF(B315="","",COUNT('Diário 1º PA'!$A$4:$A$2635)+COUNT('Diário 2º PA'!$A$4:$A$3040)+ROW()-3)</f>
        <v>4411</v>
      </c>
      <c r="B315" s="413">
        <v>44750</v>
      </c>
      <c r="C315" s="431">
        <v>44713</v>
      </c>
      <c r="D315" s="415" t="s">
        <v>468</v>
      </c>
      <c r="E315" s="415" t="s">
        <v>468</v>
      </c>
      <c r="F315" s="716">
        <v>3736.13</v>
      </c>
      <c r="G315" s="427" t="s">
        <v>4724</v>
      </c>
      <c r="H315" s="415" t="s">
        <v>468</v>
      </c>
      <c r="I315" s="427" t="s">
        <v>6597</v>
      </c>
      <c r="J315" s="415" t="s">
        <v>4725</v>
      </c>
      <c r="K315" s="415" t="s">
        <v>830</v>
      </c>
      <c r="L315" s="415" t="s">
        <v>1305</v>
      </c>
      <c r="M315" s="544" t="s">
        <v>310</v>
      </c>
      <c r="N315" s="413">
        <v>44749</v>
      </c>
      <c r="O315" s="414" t="s">
        <v>405</v>
      </c>
      <c r="P315" s="655">
        <f t="shared" si="12"/>
        <v>7</v>
      </c>
      <c r="Q315" s="655">
        <f t="shared" si="13"/>
        <v>6</v>
      </c>
      <c r="R315" s="695" t="str">
        <f t="shared" si="14"/>
        <v>Gastos_custeados_por_captação</v>
      </c>
      <c r="S315" s="697" t="s">
        <v>998</v>
      </c>
      <c r="T315" s="697">
        <v>3917</v>
      </c>
    </row>
    <row r="316" spans="1:20" ht="60" x14ac:dyDescent="0.2">
      <c r="A316" s="432">
        <f>IF(B316="","",COUNT('Diário 1º PA'!$A$4:$A$2635)+COUNT('Diário 2º PA'!$A$4:$A$3040)+ROW()-3)</f>
        <v>4412</v>
      </c>
      <c r="B316" s="413">
        <v>44750</v>
      </c>
      <c r="C316" s="431">
        <v>44713</v>
      </c>
      <c r="D316" s="415" t="s">
        <v>468</v>
      </c>
      <c r="E316" s="415" t="s">
        <v>468</v>
      </c>
      <c r="F316" s="716">
        <v>60.3</v>
      </c>
      <c r="G316" s="427" t="s">
        <v>5491</v>
      </c>
      <c r="H316" s="415" t="s">
        <v>468</v>
      </c>
      <c r="I316" s="427" t="s">
        <v>764</v>
      </c>
      <c r="J316" s="415" t="s">
        <v>310</v>
      </c>
      <c r="K316" s="415" t="s">
        <v>1220</v>
      </c>
      <c r="L316" s="415" t="s">
        <v>3443</v>
      </c>
      <c r="M316" s="544">
        <v>222158679214</v>
      </c>
      <c r="N316" s="413">
        <v>44750</v>
      </c>
      <c r="O316" s="414" t="s">
        <v>405</v>
      </c>
      <c r="P316" s="655">
        <f t="shared" si="12"/>
        <v>7</v>
      </c>
      <c r="Q316" s="655">
        <f t="shared" si="13"/>
        <v>6</v>
      </c>
      <c r="R316" s="695" t="str">
        <f t="shared" si="14"/>
        <v>Gastos_custeados_por_captação</v>
      </c>
      <c r="S316" s="697" t="s">
        <v>310</v>
      </c>
      <c r="T316" s="697" t="s">
        <v>310</v>
      </c>
    </row>
    <row r="317" spans="1:20" ht="60" x14ac:dyDescent="0.2">
      <c r="A317" s="432">
        <f>IF(B317="","",COUNT('Diário 1º PA'!$A$4:$A$2635)+COUNT('Diário 2º PA'!$A$4:$A$3040)+ROW()-3)</f>
        <v>4413</v>
      </c>
      <c r="B317" s="413">
        <v>44750</v>
      </c>
      <c r="C317" s="431">
        <v>44682</v>
      </c>
      <c r="D317" s="415" t="s">
        <v>468</v>
      </c>
      <c r="E317" s="415" t="s">
        <v>468</v>
      </c>
      <c r="F317" s="716">
        <v>137.5</v>
      </c>
      <c r="G317" s="427" t="s">
        <v>5495</v>
      </c>
      <c r="H317" s="415" t="s">
        <v>468</v>
      </c>
      <c r="I317" s="427" t="s">
        <v>764</v>
      </c>
      <c r="J317" s="415" t="s">
        <v>310</v>
      </c>
      <c r="K317" s="415" t="s">
        <v>1220</v>
      </c>
      <c r="L317" s="415" t="s">
        <v>3443</v>
      </c>
      <c r="M317" s="544">
        <v>222158679303</v>
      </c>
      <c r="N317" s="413">
        <v>44750</v>
      </c>
      <c r="O317" s="414" t="s">
        <v>405</v>
      </c>
      <c r="P317" s="655">
        <f t="shared" si="12"/>
        <v>7</v>
      </c>
      <c r="Q317" s="655">
        <f t="shared" si="13"/>
        <v>5</v>
      </c>
      <c r="R317" s="695" t="str">
        <f t="shared" si="14"/>
        <v>Gastos_custeados_por_captação</v>
      </c>
      <c r="S317" s="697" t="s">
        <v>310</v>
      </c>
      <c r="T317" s="697" t="s">
        <v>310</v>
      </c>
    </row>
    <row r="318" spans="1:20" ht="60" x14ac:dyDescent="0.2">
      <c r="A318" s="432">
        <f>IF(B318="","",COUNT('Diário 1º PA'!$A$4:$A$2635)+COUNT('Diário 2º PA'!$A$4:$A$3040)+ROW()-3)</f>
        <v>4414</v>
      </c>
      <c r="B318" s="413">
        <v>44750</v>
      </c>
      <c r="C318" s="424">
        <v>44682</v>
      </c>
      <c r="D318" s="415" t="s">
        <v>468</v>
      </c>
      <c r="E318" s="415" t="s">
        <v>468</v>
      </c>
      <c r="F318" s="716">
        <v>285.56</v>
      </c>
      <c r="G318" s="427" t="s">
        <v>6599</v>
      </c>
      <c r="H318" s="415" t="s">
        <v>468</v>
      </c>
      <c r="I318" s="427" t="s">
        <v>764</v>
      </c>
      <c r="J318" s="415" t="s">
        <v>310</v>
      </c>
      <c r="K318" s="415" t="s">
        <v>1220</v>
      </c>
      <c r="L318" s="415" t="s">
        <v>3443</v>
      </c>
      <c r="M318" s="544">
        <v>222158678242</v>
      </c>
      <c r="N318" s="413">
        <v>44750</v>
      </c>
      <c r="O318" s="414" t="s">
        <v>405</v>
      </c>
      <c r="P318" s="655">
        <f t="shared" si="12"/>
        <v>7</v>
      </c>
      <c r="Q318" s="655">
        <f t="shared" si="13"/>
        <v>5</v>
      </c>
      <c r="R318" s="695" t="str">
        <f t="shared" si="14"/>
        <v>Gastos_custeados_por_captação</v>
      </c>
      <c r="S318" s="697" t="s">
        <v>310</v>
      </c>
      <c r="T318" s="697" t="s">
        <v>310</v>
      </c>
    </row>
    <row r="319" spans="1:20" ht="60" x14ac:dyDescent="0.2">
      <c r="A319" s="432">
        <f>IF(B319="","",COUNT('Diário 1º PA'!$A$4:$A$2635)+COUNT('Diário 2º PA'!$A$4:$A$3040)+ROW()-3)</f>
        <v>4415</v>
      </c>
      <c r="B319" s="413">
        <v>44750</v>
      </c>
      <c r="C319" s="431">
        <v>44713</v>
      </c>
      <c r="D319" s="415" t="s">
        <v>468</v>
      </c>
      <c r="E319" s="415" t="s">
        <v>468</v>
      </c>
      <c r="F319" s="716">
        <v>70.349999999999994</v>
      </c>
      <c r="G319" s="427" t="s">
        <v>5497</v>
      </c>
      <c r="H319" s="415" t="s">
        <v>468</v>
      </c>
      <c r="I319" s="427" t="s">
        <v>764</v>
      </c>
      <c r="J319" s="415" t="s">
        <v>310</v>
      </c>
      <c r="K319" s="415" t="s">
        <v>1220</v>
      </c>
      <c r="L319" s="415" t="s">
        <v>3443</v>
      </c>
      <c r="M319" s="544">
        <v>222158679648</v>
      </c>
      <c r="N319" s="413">
        <v>44750</v>
      </c>
      <c r="O319" s="414" t="s">
        <v>405</v>
      </c>
      <c r="P319" s="655">
        <f t="shared" si="12"/>
        <v>7</v>
      </c>
      <c r="Q319" s="655">
        <f t="shared" si="13"/>
        <v>6</v>
      </c>
      <c r="R319" s="695" t="str">
        <f t="shared" si="14"/>
        <v>Gastos_custeados_por_captação</v>
      </c>
      <c r="S319" s="697" t="s">
        <v>310</v>
      </c>
      <c r="T319" s="697" t="s">
        <v>310</v>
      </c>
    </row>
    <row r="320" spans="1:20" ht="60" x14ac:dyDescent="0.2">
      <c r="A320" s="432">
        <f>IF(B320="","",COUNT('Diário 1º PA'!$A$4:$A$2635)+COUNT('Diário 2º PA'!$A$4:$A$3040)+ROW()-3)</f>
        <v>4416</v>
      </c>
      <c r="B320" s="413">
        <v>44750</v>
      </c>
      <c r="C320" s="431">
        <v>44562</v>
      </c>
      <c r="D320" s="415" t="s">
        <v>468</v>
      </c>
      <c r="E320" s="415" t="s">
        <v>468</v>
      </c>
      <c r="F320" s="716">
        <v>120.6</v>
      </c>
      <c r="G320" s="427" t="s">
        <v>5498</v>
      </c>
      <c r="H320" s="415" t="s">
        <v>468</v>
      </c>
      <c r="I320" s="427" t="s">
        <v>764</v>
      </c>
      <c r="J320" s="415" t="s">
        <v>310</v>
      </c>
      <c r="K320" s="415" t="s">
        <v>1220</v>
      </c>
      <c r="L320" s="415" t="s">
        <v>3443</v>
      </c>
      <c r="M320" s="544">
        <v>222158679990</v>
      </c>
      <c r="N320" s="413">
        <v>44750</v>
      </c>
      <c r="O320" s="414" t="s">
        <v>405</v>
      </c>
      <c r="P320" s="655">
        <f t="shared" si="12"/>
        <v>7</v>
      </c>
      <c r="Q320" s="655">
        <f t="shared" si="13"/>
        <v>1</v>
      </c>
      <c r="R320" s="695" t="str">
        <f t="shared" si="14"/>
        <v>Gastos_custeados_por_captação</v>
      </c>
      <c r="S320" s="697" t="s">
        <v>310</v>
      </c>
      <c r="T320" s="697" t="s">
        <v>310</v>
      </c>
    </row>
    <row r="321" spans="1:20" ht="60" x14ac:dyDescent="0.2">
      <c r="A321" s="432">
        <f>IF(B321="","",COUNT('Diário 1º PA'!$A$4:$A$2635)+COUNT('Diário 2º PA'!$A$4:$A$3040)+ROW()-3)</f>
        <v>4417</v>
      </c>
      <c r="B321" s="413">
        <v>44750</v>
      </c>
      <c r="C321" s="431">
        <v>44652</v>
      </c>
      <c r="D321" s="415" t="s">
        <v>468</v>
      </c>
      <c r="E321" s="415" t="s">
        <v>468</v>
      </c>
      <c r="F321" s="716">
        <v>125</v>
      </c>
      <c r="G321" s="427" t="s">
        <v>5482</v>
      </c>
      <c r="H321" s="415" t="s">
        <v>468</v>
      </c>
      <c r="I321" s="427" t="s">
        <v>764</v>
      </c>
      <c r="J321" s="415" t="s">
        <v>310</v>
      </c>
      <c r="K321" s="415" t="s">
        <v>1220</v>
      </c>
      <c r="L321" s="415" t="s">
        <v>3443</v>
      </c>
      <c r="M321" s="544">
        <v>222158678404</v>
      </c>
      <c r="N321" s="413">
        <v>44750</v>
      </c>
      <c r="O321" s="414" t="s">
        <v>405</v>
      </c>
      <c r="P321" s="655">
        <f t="shared" si="12"/>
        <v>7</v>
      </c>
      <c r="Q321" s="655">
        <f t="shared" si="13"/>
        <v>4</v>
      </c>
      <c r="R321" s="695" t="str">
        <f t="shared" si="14"/>
        <v>Gastos_custeados_por_captação</v>
      </c>
      <c r="S321" s="697" t="s">
        <v>310</v>
      </c>
      <c r="T321" s="697" t="s">
        <v>310</v>
      </c>
    </row>
    <row r="322" spans="1:20" ht="60" x14ac:dyDescent="0.2">
      <c r="A322" s="432">
        <f>IF(B322="","",COUNT('Diário 1º PA'!$A$4:$A$2635)+COUNT('Diário 2º PA'!$A$4:$A$3040)+ROW()-3)</f>
        <v>4418</v>
      </c>
      <c r="B322" s="413">
        <v>44750</v>
      </c>
      <c r="C322" s="431">
        <v>44682</v>
      </c>
      <c r="D322" s="415" t="s">
        <v>468</v>
      </c>
      <c r="E322" s="415" t="s">
        <v>468</v>
      </c>
      <c r="F322" s="716">
        <v>66.33</v>
      </c>
      <c r="G322" s="427" t="s">
        <v>5499</v>
      </c>
      <c r="H322" s="415" t="s">
        <v>468</v>
      </c>
      <c r="I322" s="427" t="s">
        <v>764</v>
      </c>
      <c r="J322" s="415" t="s">
        <v>310</v>
      </c>
      <c r="K322" s="415" t="s">
        <v>1220</v>
      </c>
      <c r="L322" s="415" t="s">
        <v>3443</v>
      </c>
      <c r="M322" s="544">
        <v>222158680654</v>
      </c>
      <c r="N322" s="413">
        <v>44750</v>
      </c>
      <c r="O322" s="414" t="s">
        <v>405</v>
      </c>
      <c r="P322" s="655">
        <f t="shared" si="12"/>
        <v>7</v>
      </c>
      <c r="Q322" s="655">
        <f t="shared" si="13"/>
        <v>5</v>
      </c>
      <c r="R322" s="695" t="str">
        <f t="shared" si="14"/>
        <v>Gastos_custeados_por_captação</v>
      </c>
      <c r="S322" s="697" t="s">
        <v>310</v>
      </c>
      <c r="T322" s="697" t="s">
        <v>310</v>
      </c>
    </row>
    <row r="323" spans="1:20" ht="60" x14ac:dyDescent="0.2">
      <c r="A323" s="432">
        <f>IF(B323="","",COUNT('Diário 1º PA'!$A$4:$A$2635)+COUNT('Diário 2º PA'!$A$4:$A$3040)+ROW()-3)</f>
        <v>4419</v>
      </c>
      <c r="B323" s="413">
        <v>44750</v>
      </c>
      <c r="C323" s="431">
        <v>44682</v>
      </c>
      <c r="D323" s="415" t="s">
        <v>468</v>
      </c>
      <c r="E323" s="415" t="s">
        <v>468</v>
      </c>
      <c r="F323" s="716">
        <v>55.27</v>
      </c>
      <c r="G323" s="427" t="s">
        <v>5493</v>
      </c>
      <c r="H323" s="415" t="s">
        <v>468</v>
      </c>
      <c r="I323" s="427" t="s">
        <v>764</v>
      </c>
      <c r="J323" s="415" t="s">
        <v>310</v>
      </c>
      <c r="K323" s="415" t="s">
        <v>1220</v>
      </c>
      <c r="L323" s="415" t="s">
        <v>3443</v>
      </c>
      <c r="M323" s="544">
        <v>222158679052</v>
      </c>
      <c r="N323" s="413">
        <v>44750</v>
      </c>
      <c r="O323" s="414" t="s">
        <v>405</v>
      </c>
      <c r="P323" s="655">
        <f t="shared" si="12"/>
        <v>7</v>
      </c>
      <c r="Q323" s="655">
        <f t="shared" si="13"/>
        <v>5</v>
      </c>
      <c r="R323" s="695" t="str">
        <f t="shared" si="14"/>
        <v>Gastos_custeados_por_captação</v>
      </c>
      <c r="S323" s="697" t="s">
        <v>310</v>
      </c>
      <c r="T323" s="697" t="s">
        <v>310</v>
      </c>
    </row>
    <row r="324" spans="1:20" ht="72" x14ac:dyDescent="0.2">
      <c r="A324" s="432">
        <f>IF(B324="","",COUNT('Diário 1º PA'!$A$4:$A$2635)+COUNT('Diário 2º PA'!$A$4:$A$3040)+ROW()-3)</f>
        <v>4420</v>
      </c>
      <c r="B324" s="413">
        <v>44750</v>
      </c>
      <c r="C324" s="431">
        <v>44713</v>
      </c>
      <c r="D324" s="415" t="s">
        <v>468</v>
      </c>
      <c r="E324" s="415" t="s">
        <v>468</v>
      </c>
      <c r="F324" s="716">
        <v>39</v>
      </c>
      <c r="G324" s="427" t="s">
        <v>5567</v>
      </c>
      <c r="H324" s="415" t="s">
        <v>468</v>
      </c>
      <c r="I324" s="427" t="s">
        <v>764</v>
      </c>
      <c r="J324" s="415" t="s">
        <v>310</v>
      </c>
      <c r="K324" s="415" t="s">
        <v>1220</v>
      </c>
      <c r="L324" s="415" t="s">
        <v>3443</v>
      </c>
      <c r="M324" s="544">
        <v>222158723213</v>
      </c>
      <c r="N324" s="413">
        <v>44750</v>
      </c>
      <c r="O324" s="414" t="s">
        <v>402</v>
      </c>
      <c r="P324" s="655">
        <f t="shared" si="12"/>
        <v>7</v>
      </c>
      <c r="Q324" s="655">
        <f t="shared" si="13"/>
        <v>6</v>
      </c>
      <c r="R324" s="695" t="str">
        <f t="shared" si="14"/>
        <v>Gastos_custeados_por_captação</v>
      </c>
      <c r="S324" s="698" t="s">
        <v>310</v>
      </c>
      <c r="T324" s="696" t="s">
        <v>310</v>
      </c>
    </row>
    <row r="325" spans="1:20" ht="72" x14ac:dyDescent="0.2">
      <c r="A325" s="432">
        <f>IF(B325="","",COUNT('Diário 1º PA'!$A$4:$A$2635)+COUNT('Diário 2º PA'!$A$4:$A$3040)+ROW()-3)</f>
        <v>4421</v>
      </c>
      <c r="B325" s="413">
        <v>44750</v>
      </c>
      <c r="C325" s="431">
        <v>44682</v>
      </c>
      <c r="D325" s="415" t="s">
        <v>468</v>
      </c>
      <c r="E325" s="415" t="s">
        <v>468</v>
      </c>
      <c r="F325" s="716">
        <v>180</v>
      </c>
      <c r="G325" s="427" t="s">
        <v>5526</v>
      </c>
      <c r="H325" s="415" t="s">
        <v>468</v>
      </c>
      <c r="I325" s="427" t="s">
        <v>764</v>
      </c>
      <c r="J325" s="415" t="s">
        <v>310</v>
      </c>
      <c r="K325" s="415" t="s">
        <v>1220</v>
      </c>
      <c r="L325" s="415" t="s">
        <v>3443</v>
      </c>
      <c r="M325" s="544">
        <v>222158717752</v>
      </c>
      <c r="N325" s="413">
        <v>44750</v>
      </c>
      <c r="O325" s="414" t="s">
        <v>402</v>
      </c>
      <c r="P325" s="655">
        <f t="shared" ref="P325:P388" si="15">IF(B325=0,0,IF(YEAR(B325)=$Q$1,MONTH(B325)-$P$1+1,(YEAR(B325)-$Q$1)*12-$P$1+1+MONTH(B325)))</f>
        <v>7</v>
      </c>
      <c r="Q325" s="655">
        <f t="shared" ref="Q325:Q388" si="16">IF(C325=0,0,IF(YEAR(C325)=$Q$1,MONTH(C325)-$P$1+1,(YEAR(C325)-$Q$1)*12-$P$1+1+MONTH(C325)))</f>
        <v>5</v>
      </c>
      <c r="R325" s="695" t="str">
        <f t="shared" ref="R325:R388" si="17">SUBSTITUTE(D325," ","_")</f>
        <v>Gastos_custeados_por_captação</v>
      </c>
      <c r="S325" s="698" t="s">
        <v>310</v>
      </c>
      <c r="T325" s="696" t="s">
        <v>310</v>
      </c>
    </row>
    <row r="326" spans="1:20" ht="72" x14ac:dyDescent="0.2">
      <c r="A326" s="432">
        <f>IF(B326="","",COUNT('Diário 1º PA'!$A$4:$A$2635)+COUNT('Diário 2º PA'!$A$4:$A$3040)+ROW()-3)</f>
        <v>4422</v>
      </c>
      <c r="B326" s="413">
        <v>44750</v>
      </c>
      <c r="C326" s="431">
        <v>44682</v>
      </c>
      <c r="D326" s="415" t="s">
        <v>468</v>
      </c>
      <c r="E326" s="415" t="s">
        <v>468</v>
      </c>
      <c r="F326" s="716">
        <v>90</v>
      </c>
      <c r="G326" s="427" t="s">
        <v>5527</v>
      </c>
      <c r="H326" s="415" t="s">
        <v>468</v>
      </c>
      <c r="I326" s="427" t="s">
        <v>764</v>
      </c>
      <c r="J326" s="415" t="s">
        <v>310</v>
      </c>
      <c r="K326" s="415" t="s">
        <v>1220</v>
      </c>
      <c r="L326" s="415" t="s">
        <v>3443</v>
      </c>
      <c r="M326" s="544">
        <v>222158718724</v>
      </c>
      <c r="N326" s="413">
        <v>44750</v>
      </c>
      <c r="O326" s="414" t="s">
        <v>402</v>
      </c>
      <c r="P326" s="655">
        <f t="shared" si="15"/>
        <v>7</v>
      </c>
      <c r="Q326" s="655">
        <f t="shared" si="16"/>
        <v>5</v>
      </c>
      <c r="R326" s="695" t="str">
        <f t="shared" si="17"/>
        <v>Gastos_custeados_por_captação</v>
      </c>
      <c r="S326" s="698" t="s">
        <v>310</v>
      </c>
      <c r="T326" s="696" t="s">
        <v>310</v>
      </c>
    </row>
    <row r="327" spans="1:20" ht="72" x14ac:dyDescent="0.2">
      <c r="A327" s="432">
        <f>IF(B327="","",COUNT('Diário 1º PA'!$A$4:$A$2635)+COUNT('Diário 2º PA'!$A$4:$A$3040)+ROW()-3)</f>
        <v>4423</v>
      </c>
      <c r="B327" s="413">
        <v>44750</v>
      </c>
      <c r="C327" s="431">
        <v>44682</v>
      </c>
      <c r="D327" s="415" t="s">
        <v>468</v>
      </c>
      <c r="E327" s="415" t="s">
        <v>468</v>
      </c>
      <c r="F327" s="716">
        <v>60.3</v>
      </c>
      <c r="G327" s="427" t="s">
        <v>5533</v>
      </c>
      <c r="H327" s="415" t="s">
        <v>468</v>
      </c>
      <c r="I327" s="427" t="s">
        <v>764</v>
      </c>
      <c r="J327" s="415" t="s">
        <v>310</v>
      </c>
      <c r="K327" s="415" t="s">
        <v>1220</v>
      </c>
      <c r="L327" s="415" t="s">
        <v>3443</v>
      </c>
      <c r="M327" s="544">
        <v>222158720460</v>
      </c>
      <c r="N327" s="413">
        <v>44750</v>
      </c>
      <c r="O327" s="414" t="s">
        <v>402</v>
      </c>
      <c r="P327" s="655">
        <f t="shared" si="15"/>
        <v>7</v>
      </c>
      <c r="Q327" s="655">
        <f t="shared" si="16"/>
        <v>5</v>
      </c>
      <c r="R327" s="695" t="str">
        <f t="shared" si="17"/>
        <v>Gastos_custeados_por_captação</v>
      </c>
      <c r="S327" s="698" t="s">
        <v>310</v>
      </c>
      <c r="T327" s="696" t="s">
        <v>310</v>
      </c>
    </row>
    <row r="328" spans="1:20" ht="72" x14ac:dyDescent="0.2">
      <c r="A328" s="432">
        <f>IF(B328="","",COUNT('Diário 1º PA'!$A$4:$A$2635)+COUNT('Diário 2º PA'!$A$4:$A$3040)+ROW()-3)</f>
        <v>4424</v>
      </c>
      <c r="B328" s="413">
        <v>44750</v>
      </c>
      <c r="C328" s="431">
        <v>44682</v>
      </c>
      <c r="D328" s="415" t="s">
        <v>468</v>
      </c>
      <c r="E328" s="415" t="s">
        <v>468</v>
      </c>
      <c r="F328" s="716">
        <v>100</v>
      </c>
      <c r="G328" s="427" t="s">
        <v>5524</v>
      </c>
      <c r="H328" s="415" t="s">
        <v>468</v>
      </c>
      <c r="I328" s="427" t="s">
        <v>764</v>
      </c>
      <c r="J328" s="415" t="s">
        <v>310</v>
      </c>
      <c r="K328" s="415" t="s">
        <v>1220</v>
      </c>
      <c r="L328" s="415" t="s">
        <v>3443</v>
      </c>
      <c r="M328" s="544">
        <v>222158718309</v>
      </c>
      <c r="N328" s="413">
        <v>44750</v>
      </c>
      <c r="O328" s="414" t="s">
        <v>402</v>
      </c>
      <c r="P328" s="655">
        <f t="shared" si="15"/>
        <v>7</v>
      </c>
      <c r="Q328" s="655">
        <f t="shared" si="16"/>
        <v>5</v>
      </c>
      <c r="R328" s="695" t="str">
        <f t="shared" si="17"/>
        <v>Gastos_custeados_por_captação</v>
      </c>
      <c r="S328" s="698" t="s">
        <v>310</v>
      </c>
      <c r="T328" s="696" t="s">
        <v>310</v>
      </c>
    </row>
    <row r="329" spans="1:20" ht="72" x14ac:dyDescent="0.2">
      <c r="A329" s="432">
        <f>IF(B329="","",COUNT('Diário 1º PA'!$A$4:$A$2635)+COUNT('Diário 2º PA'!$A$4:$A$3040)+ROW()-3)</f>
        <v>4425</v>
      </c>
      <c r="B329" s="413">
        <v>44750</v>
      </c>
      <c r="C329" s="431">
        <v>44682</v>
      </c>
      <c r="D329" s="415" t="s">
        <v>468</v>
      </c>
      <c r="E329" s="415" t="s">
        <v>468</v>
      </c>
      <c r="F329" s="716">
        <v>80</v>
      </c>
      <c r="G329" s="427" t="s">
        <v>5530</v>
      </c>
      <c r="H329" s="415" t="s">
        <v>468</v>
      </c>
      <c r="I329" s="427" t="s">
        <v>764</v>
      </c>
      <c r="J329" s="415" t="s">
        <v>310</v>
      </c>
      <c r="K329" s="415" t="s">
        <v>1220</v>
      </c>
      <c r="L329" s="415" t="s">
        <v>3443</v>
      </c>
      <c r="M329" s="544">
        <v>222158719887</v>
      </c>
      <c r="N329" s="413">
        <v>44750</v>
      </c>
      <c r="O329" s="414" t="s">
        <v>402</v>
      </c>
      <c r="P329" s="655">
        <f t="shared" si="15"/>
        <v>7</v>
      </c>
      <c r="Q329" s="655">
        <f t="shared" si="16"/>
        <v>5</v>
      </c>
      <c r="R329" s="695" t="str">
        <f t="shared" si="17"/>
        <v>Gastos_custeados_por_captação</v>
      </c>
      <c r="S329" s="698" t="s">
        <v>310</v>
      </c>
      <c r="T329" s="696" t="s">
        <v>310</v>
      </c>
    </row>
    <row r="330" spans="1:20" ht="72" x14ac:dyDescent="0.2">
      <c r="A330" s="432">
        <f>IF(B330="","",COUNT('Diário 1º PA'!$A$4:$A$2635)+COUNT('Diário 2º PA'!$A$4:$A$3040)+ROW()-3)</f>
        <v>4426</v>
      </c>
      <c r="B330" s="413">
        <v>44750</v>
      </c>
      <c r="C330" s="431">
        <v>44682</v>
      </c>
      <c r="D330" s="415" t="s">
        <v>468</v>
      </c>
      <c r="E330" s="415" t="s">
        <v>468</v>
      </c>
      <c r="F330" s="716">
        <v>120</v>
      </c>
      <c r="G330" s="427" t="s">
        <v>5551</v>
      </c>
      <c r="H330" s="415" t="s">
        <v>468</v>
      </c>
      <c r="I330" s="427" t="s">
        <v>764</v>
      </c>
      <c r="J330" s="415" t="s">
        <v>310</v>
      </c>
      <c r="K330" s="415" t="s">
        <v>1220</v>
      </c>
      <c r="L330" s="415" t="s">
        <v>3443</v>
      </c>
      <c r="M330" s="544">
        <v>222158721199</v>
      </c>
      <c r="N330" s="413">
        <v>44750</v>
      </c>
      <c r="O330" s="414" t="s">
        <v>402</v>
      </c>
      <c r="P330" s="655">
        <f t="shared" si="15"/>
        <v>7</v>
      </c>
      <c r="Q330" s="655">
        <f t="shared" si="16"/>
        <v>5</v>
      </c>
      <c r="R330" s="695" t="str">
        <f t="shared" si="17"/>
        <v>Gastos_custeados_por_captação</v>
      </c>
      <c r="S330" s="698" t="s">
        <v>310</v>
      </c>
      <c r="T330" s="696" t="s">
        <v>310</v>
      </c>
    </row>
    <row r="331" spans="1:20" ht="72" x14ac:dyDescent="0.2">
      <c r="A331" s="432">
        <f>IF(B331="","",COUNT('Diário 1º PA'!$A$4:$A$2635)+COUNT('Diário 2º PA'!$A$4:$A$3040)+ROW()-3)</f>
        <v>4427</v>
      </c>
      <c r="B331" s="413">
        <v>44750</v>
      </c>
      <c r="C331" s="431">
        <v>44682</v>
      </c>
      <c r="D331" s="415" t="s">
        <v>468</v>
      </c>
      <c r="E331" s="415" t="s">
        <v>468</v>
      </c>
      <c r="F331" s="716">
        <v>38.020000000000003</v>
      </c>
      <c r="G331" s="427" t="s">
        <v>5558</v>
      </c>
      <c r="H331" s="415" t="s">
        <v>468</v>
      </c>
      <c r="I331" s="427" t="s">
        <v>764</v>
      </c>
      <c r="J331" s="415" t="s">
        <v>310</v>
      </c>
      <c r="K331" s="415" t="s">
        <v>1220</v>
      </c>
      <c r="L331" s="415" t="s">
        <v>3443</v>
      </c>
      <c r="M331" s="544">
        <v>222158720036</v>
      </c>
      <c r="N331" s="413">
        <v>44750</v>
      </c>
      <c r="O331" s="414" t="s">
        <v>402</v>
      </c>
      <c r="P331" s="655">
        <f t="shared" si="15"/>
        <v>7</v>
      </c>
      <c r="Q331" s="655">
        <f t="shared" si="16"/>
        <v>5</v>
      </c>
      <c r="R331" s="695" t="str">
        <f t="shared" si="17"/>
        <v>Gastos_custeados_por_captação</v>
      </c>
      <c r="S331" s="698" t="s">
        <v>310</v>
      </c>
      <c r="T331" s="696" t="s">
        <v>310</v>
      </c>
    </row>
    <row r="332" spans="1:20" ht="72" x14ac:dyDescent="0.2">
      <c r="A332" s="432">
        <f>IF(B332="","",COUNT('Diário 1º PA'!$A$4:$A$2635)+COUNT('Diário 2º PA'!$A$4:$A$3040)+ROW()-3)</f>
        <v>4428</v>
      </c>
      <c r="B332" s="413">
        <v>44750</v>
      </c>
      <c r="C332" s="431">
        <v>44682</v>
      </c>
      <c r="D332" s="415" t="s">
        <v>468</v>
      </c>
      <c r="E332" s="415" t="s">
        <v>468</v>
      </c>
      <c r="F332" s="716">
        <v>75</v>
      </c>
      <c r="G332" s="427" t="s">
        <v>5555</v>
      </c>
      <c r="H332" s="415" t="s">
        <v>468</v>
      </c>
      <c r="I332" s="427" t="s">
        <v>764</v>
      </c>
      <c r="J332" s="415" t="s">
        <v>310</v>
      </c>
      <c r="K332" s="415" t="s">
        <v>1220</v>
      </c>
      <c r="L332" s="415" t="s">
        <v>3443</v>
      </c>
      <c r="M332" s="544">
        <v>222158721350</v>
      </c>
      <c r="N332" s="413">
        <v>44750</v>
      </c>
      <c r="O332" s="414" t="s">
        <v>402</v>
      </c>
      <c r="P332" s="655">
        <f t="shared" si="15"/>
        <v>7</v>
      </c>
      <c r="Q332" s="655">
        <f t="shared" si="16"/>
        <v>5</v>
      </c>
      <c r="R332" s="695" t="str">
        <f t="shared" si="17"/>
        <v>Gastos_custeados_por_captação</v>
      </c>
      <c r="S332" s="698" t="s">
        <v>310</v>
      </c>
      <c r="T332" s="696" t="s">
        <v>310</v>
      </c>
    </row>
    <row r="333" spans="1:20" ht="72" x14ac:dyDescent="0.2">
      <c r="A333" s="432">
        <f>IF(B333="","",COUNT('Diário 1º PA'!$A$4:$A$2635)+COUNT('Diário 2º PA'!$A$4:$A$3040)+ROW()-3)</f>
        <v>4429</v>
      </c>
      <c r="B333" s="413">
        <v>44750</v>
      </c>
      <c r="C333" s="431">
        <v>44682</v>
      </c>
      <c r="D333" s="415" t="s">
        <v>468</v>
      </c>
      <c r="E333" s="415" t="s">
        <v>468</v>
      </c>
      <c r="F333" s="716">
        <v>60.3</v>
      </c>
      <c r="G333" s="427" t="s">
        <v>5534</v>
      </c>
      <c r="H333" s="415" t="s">
        <v>468</v>
      </c>
      <c r="I333" s="427" t="s">
        <v>764</v>
      </c>
      <c r="J333" s="415" t="s">
        <v>310</v>
      </c>
      <c r="K333" s="415" t="s">
        <v>1220</v>
      </c>
      <c r="L333" s="415" t="s">
        <v>3443</v>
      </c>
      <c r="M333" s="544">
        <v>222158720621</v>
      </c>
      <c r="N333" s="413">
        <v>44750</v>
      </c>
      <c r="O333" s="414" t="s">
        <v>402</v>
      </c>
      <c r="P333" s="655">
        <f t="shared" si="15"/>
        <v>7</v>
      </c>
      <c r="Q333" s="655">
        <f t="shared" si="16"/>
        <v>5</v>
      </c>
      <c r="R333" s="695" t="str">
        <f t="shared" si="17"/>
        <v>Gastos_custeados_por_captação</v>
      </c>
      <c r="S333" s="698" t="s">
        <v>310</v>
      </c>
      <c r="T333" s="696" t="s">
        <v>310</v>
      </c>
    </row>
    <row r="334" spans="1:20" ht="72" x14ac:dyDescent="0.2">
      <c r="A334" s="432">
        <f>IF(B334="","",COUNT('Diário 1º PA'!$A$4:$A$2635)+COUNT('Diário 2º PA'!$A$4:$A$3040)+ROW()-3)</f>
        <v>4430</v>
      </c>
      <c r="B334" s="413">
        <v>44750</v>
      </c>
      <c r="C334" s="431">
        <v>44713</v>
      </c>
      <c r="D334" s="415" t="s">
        <v>468</v>
      </c>
      <c r="E334" s="415" t="s">
        <v>468</v>
      </c>
      <c r="F334" s="716">
        <v>7.6</v>
      </c>
      <c r="G334" s="427" t="s">
        <v>5622</v>
      </c>
      <c r="H334" s="415" t="s">
        <v>468</v>
      </c>
      <c r="I334" s="427" t="s">
        <v>764</v>
      </c>
      <c r="J334" s="415" t="s">
        <v>310</v>
      </c>
      <c r="K334" s="415" t="s">
        <v>1220</v>
      </c>
      <c r="L334" s="415" t="s">
        <v>3443</v>
      </c>
      <c r="M334" s="544">
        <v>222158723566</v>
      </c>
      <c r="N334" s="413">
        <v>44750</v>
      </c>
      <c r="O334" s="414" t="s">
        <v>402</v>
      </c>
      <c r="P334" s="655">
        <f t="shared" si="15"/>
        <v>7</v>
      </c>
      <c r="Q334" s="655">
        <f t="shared" si="16"/>
        <v>6</v>
      </c>
      <c r="R334" s="695" t="str">
        <f t="shared" si="17"/>
        <v>Gastos_custeados_por_captação</v>
      </c>
      <c r="S334" s="698" t="s">
        <v>310</v>
      </c>
      <c r="T334" s="696" t="s">
        <v>310</v>
      </c>
    </row>
    <row r="335" spans="1:20" ht="72" x14ac:dyDescent="0.2">
      <c r="A335" s="432">
        <f>IF(B335="","",COUNT('Diário 1º PA'!$A$4:$A$2635)+COUNT('Diário 2º PA'!$A$4:$A$3040)+ROW()-3)</f>
        <v>4431</v>
      </c>
      <c r="B335" s="413">
        <v>44750</v>
      </c>
      <c r="C335" s="431">
        <v>44682</v>
      </c>
      <c r="D335" s="415" t="s">
        <v>468</v>
      </c>
      <c r="E335" s="415" t="s">
        <v>468</v>
      </c>
      <c r="F335" s="716">
        <v>60.3</v>
      </c>
      <c r="G335" s="427" t="s">
        <v>5532</v>
      </c>
      <c r="H335" s="415" t="s">
        <v>468</v>
      </c>
      <c r="I335" s="427" t="s">
        <v>764</v>
      </c>
      <c r="J335" s="415" t="s">
        <v>310</v>
      </c>
      <c r="K335" s="415" t="s">
        <v>1220</v>
      </c>
      <c r="L335" s="415" t="s">
        <v>3443</v>
      </c>
      <c r="M335" s="544">
        <v>222158720893</v>
      </c>
      <c r="N335" s="413">
        <v>44750</v>
      </c>
      <c r="O335" s="414" t="s">
        <v>402</v>
      </c>
      <c r="P335" s="655">
        <f t="shared" si="15"/>
        <v>7</v>
      </c>
      <c r="Q335" s="655">
        <f t="shared" si="16"/>
        <v>5</v>
      </c>
      <c r="R335" s="695" t="str">
        <f t="shared" si="17"/>
        <v>Gastos_custeados_por_captação</v>
      </c>
      <c r="S335" s="698" t="s">
        <v>310</v>
      </c>
      <c r="T335" s="696" t="s">
        <v>310</v>
      </c>
    </row>
    <row r="336" spans="1:20" ht="72" x14ac:dyDescent="0.2">
      <c r="A336" s="432">
        <f>IF(B336="","",COUNT('Diário 1º PA'!$A$4:$A$2635)+COUNT('Diário 2º PA'!$A$4:$A$3040)+ROW()-3)</f>
        <v>4432</v>
      </c>
      <c r="B336" s="413">
        <v>44750</v>
      </c>
      <c r="C336" s="431">
        <v>44713</v>
      </c>
      <c r="D336" s="415" t="s">
        <v>468</v>
      </c>
      <c r="E336" s="415" t="s">
        <v>468</v>
      </c>
      <c r="F336" s="716">
        <v>71.400000000000006</v>
      </c>
      <c r="G336" s="427" t="s">
        <v>6892</v>
      </c>
      <c r="H336" s="415" t="s">
        <v>468</v>
      </c>
      <c r="I336" s="427" t="s">
        <v>764</v>
      </c>
      <c r="J336" s="415" t="s">
        <v>310</v>
      </c>
      <c r="K336" s="415" t="s">
        <v>1220</v>
      </c>
      <c r="L336" s="415" t="s">
        <v>3443</v>
      </c>
      <c r="M336" s="544">
        <v>222158721784</v>
      </c>
      <c r="N336" s="413">
        <v>44750</v>
      </c>
      <c r="O336" s="414" t="s">
        <v>402</v>
      </c>
      <c r="P336" s="655">
        <f t="shared" si="15"/>
        <v>7</v>
      </c>
      <c r="Q336" s="655">
        <f t="shared" si="16"/>
        <v>6</v>
      </c>
      <c r="R336" s="695" t="str">
        <f t="shared" si="17"/>
        <v>Gastos_custeados_por_captação</v>
      </c>
      <c r="S336" s="698" t="s">
        <v>310</v>
      </c>
      <c r="T336" s="696" t="s">
        <v>310</v>
      </c>
    </row>
    <row r="337" spans="1:20" ht="72" x14ac:dyDescent="0.2">
      <c r="A337" s="432">
        <f>IF(B337="","",COUNT('Diário 1º PA'!$A$4:$A$2635)+COUNT('Diário 2º PA'!$A$4:$A$3040)+ROW()-3)</f>
        <v>4433</v>
      </c>
      <c r="B337" s="413">
        <v>44753</v>
      </c>
      <c r="C337" s="431">
        <v>44743</v>
      </c>
      <c r="D337" s="415" t="s">
        <v>271</v>
      </c>
      <c r="E337" s="415" t="s">
        <v>67</v>
      </c>
      <c r="F337" s="435">
        <v>-99.9</v>
      </c>
      <c r="G337" s="427" t="s">
        <v>5963</v>
      </c>
      <c r="H337" s="415" t="s">
        <v>309</v>
      </c>
      <c r="I337" s="473" t="s">
        <v>795</v>
      </c>
      <c r="J337" s="415" t="s">
        <v>796</v>
      </c>
      <c r="K337" s="415" t="s">
        <v>797</v>
      </c>
      <c r="L337" s="415" t="s">
        <v>798</v>
      </c>
      <c r="M337" s="415" t="s">
        <v>310</v>
      </c>
      <c r="N337" s="414">
        <v>44750</v>
      </c>
      <c r="O337" s="414" t="s">
        <v>400</v>
      </c>
      <c r="P337" s="655">
        <f t="shared" si="15"/>
        <v>7</v>
      </c>
      <c r="Q337" s="655">
        <f t="shared" si="16"/>
        <v>7</v>
      </c>
      <c r="R337" s="695" t="str">
        <f t="shared" si="17"/>
        <v>Gastos_Gerais</v>
      </c>
      <c r="S337" s="697" t="s">
        <v>310</v>
      </c>
      <c r="T337" s="697" t="s">
        <v>310</v>
      </c>
    </row>
    <row r="338" spans="1:20" ht="48" x14ac:dyDescent="0.2">
      <c r="A338" s="432">
        <f>IF(B338="","",COUNT('Diário 1º PA'!$A$4:$A$2635)+COUNT('Diário 2º PA'!$A$4:$A$3040)+ROW()-3)</f>
        <v>4434</v>
      </c>
      <c r="B338" s="413">
        <v>44753</v>
      </c>
      <c r="C338" s="424">
        <v>44713</v>
      </c>
      <c r="D338" s="415" t="s">
        <v>271</v>
      </c>
      <c r="E338" s="415" t="s">
        <v>2</v>
      </c>
      <c r="F338" s="435">
        <v>-2845.94</v>
      </c>
      <c r="G338" s="427" t="s">
        <v>6349</v>
      </c>
      <c r="H338" s="415" t="s">
        <v>309</v>
      </c>
      <c r="I338" s="473" t="s">
        <v>795</v>
      </c>
      <c r="J338" s="415" t="s">
        <v>796</v>
      </c>
      <c r="K338" s="415" t="s">
        <v>797</v>
      </c>
      <c r="L338" s="415" t="s">
        <v>798</v>
      </c>
      <c r="M338" s="415" t="s">
        <v>310</v>
      </c>
      <c r="N338" s="414">
        <v>44753</v>
      </c>
      <c r="O338" s="414" t="s">
        <v>400</v>
      </c>
      <c r="P338" s="655">
        <f t="shared" si="15"/>
        <v>7</v>
      </c>
      <c r="Q338" s="655">
        <f t="shared" si="16"/>
        <v>6</v>
      </c>
      <c r="R338" s="695" t="str">
        <f t="shared" si="17"/>
        <v>Gastos_Gerais</v>
      </c>
      <c r="S338" s="697" t="s">
        <v>310</v>
      </c>
      <c r="T338" s="697" t="s">
        <v>310</v>
      </c>
    </row>
    <row r="339" spans="1:20" ht="36" x14ac:dyDescent="0.2">
      <c r="A339" s="432">
        <f>IF(B339="","",COUNT('Diário 1º PA'!$A$4:$A$2635)+COUNT('Diário 2º PA'!$A$4:$A$3040)+ROW()-3)</f>
        <v>4435</v>
      </c>
      <c r="B339" s="413">
        <v>44753</v>
      </c>
      <c r="C339" s="424">
        <v>44713</v>
      </c>
      <c r="D339" s="415" t="s">
        <v>271</v>
      </c>
      <c r="E339" s="415" t="s">
        <v>3</v>
      </c>
      <c r="F339" s="425">
        <v>-451.27</v>
      </c>
      <c r="G339" s="427" t="s">
        <v>6447</v>
      </c>
      <c r="H339" s="415" t="s">
        <v>309</v>
      </c>
      <c r="I339" s="427" t="s">
        <v>795</v>
      </c>
      <c r="J339" s="415" t="s">
        <v>796</v>
      </c>
      <c r="K339" s="415" t="s">
        <v>797</v>
      </c>
      <c r="L339" s="415" t="s">
        <v>798</v>
      </c>
      <c r="M339" s="415" t="s">
        <v>310</v>
      </c>
      <c r="N339" s="414">
        <v>44753</v>
      </c>
      <c r="O339" s="414" t="s">
        <v>400</v>
      </c>
      <c r="P339" s="655">
        <f t="shared" si="15"/>
        <v>7</v>
      </c>
      <c r="Q339" s="655">
        <f t="shared" si="16"/>
        <v>6</v>
      </c>
      <c r="R339" s="695" t="str">
        <f t="shared" si="17"/>
        <v>Gastos_Gerais</v>
      </c>
      <c r="S339" s="697" t="s">
        <v>310</v>
      </c>
      <c r="T339" s="697" t="s">
        <v>310</v>
      </c>
    </row>
    <row r="340" spans="1:20" ht="84" x14ac:dyDescent="0.2">
      <c r="A340" s="432">
        <f>IF(B340="","",COUNT('Diário 1º PA'!$A$4:$A$2635)+COUNT('Diário 2º PA'!$A$4:$A$3040)+ROW()-3)</f>
        <v>4436</v>
      </c>
      <c r="B340" s="413">
        <v>44753</v>
      </c>
      <c r="C340" s="424">
        <v>44562</v>
      </c>
      <c r="D340" s="415" t="s">
        <v>271</v>
      </c>
      <c r="E340" s="415" t="s">
        <v>297</v>
      </c>
      <c r="F340" s="425">
        <v>-259.01</v>
      </c>
      <c r="G340" s="427" t="s">
        <v>5964</v>
      </c>
      <c r="H340" s="415" t="s">
        <v>309</v>
      </c>
      <c r="I340" s="473" t="s">
        <v>795</v>
      </c>
      <c r="J340" s="415" t="s">
        <v>796</v>
      </c>
      <c r="K340" s="415" t="s">
        <v>797</v>
      </c>
      <c r="L340" s="415" t="s">
        <v>798</v>
      </c>
      <c r="M340" s="415" t="s">
        <v>310</v>
      </c>
      <c r="N340" s="414">
        <v>44750</v>
      </c>
      <c r="O340" s="414" t="s">
        <v>400</v>
      </c>
      <c r="P340" s="655">
        <f t="shared" si="15"/>
        <v>7</v>
      </c>
      <c r="Q340" s="655">
        <f t="shared" si="16"/>
        <v>1</v>
      </c>
      <c r="R340" s="695" t="str">
        <f t="shared" si="17"/>
        <v>Gastos_Gerais</v>
      </c>
      <c r="S340" s="697" t="s">
        <v>310</v>
      </c>
      <c r="T340" s="697" t="s">
        <v>310</v>
      </c>
    </row>
    <row r="341" spans="1:20" ht="48" x14ac:dyDescent="0.2">
      <c r="A341" s="432">
        <f>IF(B341="","",COUNT('Diário 1º PA'!$A$4:$A$2635)+COUNT('Diário 2º PA'!$A$4:$A$3040)+ROW()-3)</f>
        <v>4437</v>
      </c>
      <c r="B341" s="413">
        <v>44753</v>
      </c>
      <c r="C341" s="433">
        <v>44713</v>
      </c>
      <c r="D341" s="415" t="s">
        <v>271</v>
      </c>
      <c r="E341" s="415" t="s">
        <v>92</v>
      </c>
      <c r="F341" s="425">
        <v>-132.05000000000001</v>
      </c>
      <c r="G341" s="427" t="s">
        <v>3568</v>
      </c>
      <c r="H341" s="415" t="s">
        <v>309</v>
      </c>
      <c r="I341" s="473" t="s">
        <v>795</v>
      </c>
      <c r="J341" s="415" t="s">
        <v>796</v>
      </c>
      <c r="K341" s="415" t="s">
        <v>797</v>
      </c>
      <c r="L341" s="399" t="s">
        <v>798</v>
      </c>
      <c r="M341" s="544" t="s">
        <v>310</v>
      </c>
      <c r="N341" s="413">
        <v>44750</v>
      </c>
      <c r="O341" s="414" t="s">
        <v>400</v>
      </c>
      <c r="P341" s="655">
        <f t="shared" si="15"/>
        <v>7</v>
      </c>
      <c r="Q341" s="655">
        <f t="shared" si="16"/>
        <v>6</v>
      </c>
      <c r="R341" s="695" t="str">
        <f t="shared" si="17"/>
        <v>Gastos_Gerais</v>
      </c>
      <c r="S341" s="697" t="s">
        <v>310</v>
      </c>
      <c r="T341" s="697" t="s">
        <v>310</v>
      </c>
    </row>
    <row r="342" spans="1:20" ht="48" x14ac:dyDescent="0.2">
      <c r="A342" s="432">
        <f>IF(B342="","",COUNT('Diário 1º PA'!$A$4:$A$2635)+COUNT('Diário 2º PA'!$A$4:$A$3040)+ROW()-3)</f>
        <v>4438</v>
      </c>
      <c r="B342" s="413">
        <v>44753</v>
      </c>
      <c r="C342" s="431">
        <v>44713</v>
      </c>
      <c r="D342" s="415" t="s">
        <v>271</v>
      </c>
      <c r="E342" s="415" t="s">
        <v>178</v>
      </c>
      <c r="F342" s="425">
        <v>-69.989999999999995</v>
      </c>
      <c r="G342" s="427" t="s">
        <v>5965</v>
      </c>
      <c r="H342" s="415" t="s">
        <v>309</v>
      </c>
      <c r="I342" s="473" t="s">
        <v>795</v>
      </c>
      <c r="J342" s="415" t="s">
        <v>796</v>
      </c>
      <c r="K342" s="415" t="s">
        <v>797</v>
      </c>
      <c r="L342" s="415" t="s">
        <v>798</v>
      </c>
      <c r="M342" s="415" t="s">
        <v>310</v>
      </c>
      <c r="N342" s="413">
        <v>44750</v>
      </c>
      <c r="O342" s="414" t="s">
        <v>400</v>
      </c>
      <c r="P342" s="655">
        <f t="shared" si="15"/>
        <v>7</v>
      </c>
      <c r="Q342" s="655">
        <f t="shared" si="16"/>
        <v>6</v>
      </c>
      <c r="R342" s="695" t="str">
        <f t="shared" si="17"/>
        <v>Gastos_Gerais</v>
      </c>
      <c r="S342" s="697" t="s">
        <v>1000</v>
      </c>
      <c r="T342" s="697">
        <v>2740</v>
      </c>
    </row>
    <row r="343" spans="1:20" ht="36" x14ac:dyDescent="0.2">
      <c r="A343" s="432">
        <f>IF(B343="","",COUNT('Diário 1º PA'!$A$4:$A$2635)+COUNT('Diário 2º PA'!$A$4:$A$3040)+ROW()-3)</f>
        <v>4439</v>
      </c>
      <c r="B343" s="413">
        <v>44753</v>
      </c>
      <c r="C343" s="431">
        <v>44743</v>
      </c>
      <c r="D343" s="415" t="s">
        <v>34</v>
      </c>
      <c r="E343" s="415" t="s">
        <v>167</v>
      </c>
      <c r="F343" s="425">
        <v>20</v>
      </c>
      <c r="G343" s="427" t="s">
        <v>6016</v>
      </c>
      <c r="H343" s="415" t="s">
        <v>310</v>
      </c>
      <c r="I343" s="473" t="s">
        <v>795</v>
      </c>
      <c r="J343" s="415" t="s">
        <v>796</v>
      </c>
      <c r="K343" s="415" t="s">
        <v>797</v>
      </c>
      <c r="L343" s="415" t="s">
        <v>798</v>
      </c>
      <c r="M343" s="415" t="s">
        <v>310</v>
      </c>
      <c r="N343" s="414">
        <v>44753</v>
      </c>
      <c r="O343" s="414" t="s">
        <v>400</v>
      </c>
      <c r="P343" s="655">
        <f t="shared" si="15"/>
        <v>7</v>
      </c>
      <c r="Q343" s="655">
        <f t="shared" si="16"/>
        <v>7</v>
      </c>
      <c r="R343" s="695" t="str">
        <f t="shared" si="17"/>
        <v>Receitas</v>
      </c>
      <c r="S343" s="697" t="s">
        <v>310</v>
      </c>
      <c r="T343" s="697" t="s">
        <v>310</v>
      </c>
    </row>
    <row r="344" spans="1:20" ht="108" x14ac:dyDescent="0.2">
      <c r="A344" s="432">
        <f>IF(B344="","",COUNT('Diário 1º PA'!$A$4:$A$2635)+COUNT('Diário 2º PA'!$A$4:$A$3040)+ROW()-3)</f>
        <v>4440</v>
      </c>
      <c r="B344" s="413">
        <v>44753</v>
      </c>
      <c r="C344" s="431">
        <v>44713</v>
      </c>
      <c r="D344" s="415" t="s">
        <v>271</v>
      </c>
      <c r="E344" s="415" t="s">
        <v>297</v>
      </c>
      <c r="F344" s="425">
        <v>1350</v>
      </c>
      <c r="G344" s="427" t="s">
        <v>4918</v>
      </c>
      <c r="H344" s="415" t="s">
        <v>752</v>
      </c>
      <c r="I344" s="398" t="s">
        <v>5966</v>
      </c>
      <c r="J344" s="415" t="s">
        <v>805</v>
      </c>
      <c r="K344" s="419" t="s">
        <v>806</v>
      </c>
      <c r="L344" s="399" t="s">
        <v>807</v>
      </c>
      <c r="M344" s="544">
        <v>126.375</v>
      </c>
      <c r="N344" s="414">
        <v>44752</v>
      </c>
      <c r="O344" s="414" t="s">
        <v>400</v>
      </c>
      <c r="P344" s="655">
        <f t="shared" si="15"/>
        <v>7</v>
      </c>
      <c r="Q344" s="655">
        <f t="shared" si="16"/>
        <v>6</v>
      </c>
      <c r="R344" s="695" t="str">
        <f t="shared" si="17"/>
        <v>Gastos_Gerais</v>
      </c>
      <c r="S344" s="697" t="s">
        <v>1000</v>
      </c>
      <c r="T344" s="697">
        <v>3936</v>
      </c>
    </row>
    <row r="345" spans="1:20" ht="36" x14ac:dyDescent="0.2">
      <c r="A345" s="432">
        <f>IF(B345="","",COUNT('Diário 1º PA'!$A$4:$A$2635)+COUNT('Diário 2º PA'!$A$4:$A$3040)+ROW()-3)</f>
        <v>4441</v>
      </c>
      <c r="B345" s="413">
        <v>44753</v>
      </c>
      <c r="C345" s="431">
        <v>44562</v>
      </c>
      <c r="D345" s="415" t="s">
        <v>271</v>
      </c>
      <c r="E345" s="415" t="s">
        <v>297</v>
      </c>
      <c r="F345" s="425">
        <v>980.73</v>
      </c>
      <c r="G345" s="427" t="s">
        <v>727</v>
      </c>
      <c r="H345" s="415" t="s">
        <v>309</v>
      </c>
      <c r="I345" s="415" t="s">
        <v>5967</v>
      </c>
      <c r="J345" s="415" t="s">
        <v>1041</v>
      </c>
      <c r="K345" s="419" t="s">
        <v>812</v>
      </c>
      <c r="L345" s="415" t="s">
        <v>807</v>
      </c>
      <c r="M345" s="419">
        <v>4852</v>
      </c>
      <c r="N345" s="413">
        <v>44734</v>
      </c>
      <c r="O345" s="414" t="s">
        <v>400</v>
      </c>
      <c r="P345" s="655">
        <f t="shared" si="15"/>
        <v>7</v>
      </c>
      <c r="Q345" s="655">
        <f t="shared" si="16"/>
        <v>1</v>
      </c>
      <c r="R345" s="695" t="str">
        <f t="shared" si="17"/>
        <v>Gastos_Gerais</v>
      </c>
      <c r="S345" s="697" t="s">
        <v>998</v>
      </c>
      <c r="T345" s="697">
        <v>2779</v>
      </c>
    </row>
    <row r="346" spans="1:20" ht="84" x14ac:dyDescent="0.2">
      <c r="A346" s="432">
        <f>IF(B346="","",COUNT('Diário 1º PA'!$A$4:$A$2635)+COUNT('Diário 2º PA'!$A$4:$A$3040)+ROW()-3)</f>
        <v>4442</v>
      </c>
      <c r="B346" s="413">
        <v>44753</v>
      </c>
      <c r="C346" s="431">
        <v>44713</v>
      </c>
      <c r="D346" s="415" t="s">
        <v>271</v>
      </c>
      <c r="E346" s="415" t="s">
        <v>178</v>
      </c>
      <c r="F346" s="425">
        <v>254.93</v>
      </c>
      <c r="G346" s="427" t="s">
        <v>482</v>
      </c>
      <c r="H346" s="415" t="s">
        <v>309</v>
      </c>
      <c r="I346" s="415" t="s">
        <v>1276</v>
      </c>
      <c r="J346" s="415" t="s">
        <v>1017</v>
      </c>
      <c r="K346" s="419" t="s">
        <v>812</v>
      </c>
      <c r="L346" s="415" t="s">
        <v>807</v>
      </c>
      <c r="M346" s="419" t="s">
        <v>5968</v>
      </c>
      <c r="N346" s="413">
        <v>44714</v>
      </c>
      <c r="O346" s="414" t="s">
        <v>400</v>
      </c>
      <c r="P346" s="655">
        <f t="shared" si="15"/>
        <v>7</v>
      </c>
      <c r="Q346" s="655">
        <f t="shared" si="16"/>
        <v>6</v>
      </c>
      <c r="R346" s="695" t="str">
        <f t="shared" si="17"/>
        <v>Gastos_Gerais</v>
      </c>
      <c r="S346" s="697" t="s">
        <v>1000</v>
      </c>
      <c r="T346" s="697">
        <v>1133</v>
      </c>
    </row>
    <row r="347" spans="1:20" ht="48" x14ac:dyDescent="0.2">
      <c r="A347" s="432">
        <f>IF(B347="","",COUNT('Diário 1º PA'!$A$4:$A$2635)+COUNT('Diário 2º PA'!$A$4:$A$3040)+ROW()-3)</f>
        <v>4443</v>
      </c>
      <c r="B347" s="413">
        <v>44753</v>
      </c>
      <c r="C347" s="431">
        <v>44713</v>
      </c>
      <c r="D347" s="415" t="s">
        <v>271</v>
      </c>
      <c r="E347" s="415" t="s">
        <v>92</v>
      </c>
      <c r="F347" s="422">
        <v>500</v>
      </c>
      <c r="G347" s="427" t="s">
        <v>692</v>
      </c>
      <c r="H347" s="415" t="s">
        <v>309</v>
      </c>
      <c r="I347" s="415" t="s">
        <v>5969</v>
      </c>
      <c r="J347" s="415" t="s">
        <v>1123</v>
      </c>
      <c r="K347" s="419" t="s">
        <v>812</v>
      </c>
      <c r="L347" s="415" t="s">
        <v>1372</v>
      </c>
      <c r="M347" s="419" t="s">
        <v>5970</v>
      </c>
      <c r="N347" s="413">
        <v>44743</v>
      </c>
      <c r="O347" s="414" t="s">
        <v>400</v>
      </c>
      <c r="P347" s="655">
        <f t="shared" si="15"/>
        <v>7</v>
      </c>
      <c r="Q347" s="655">
        <f t="shared" si="16"/>
        <v>6</v>
      </c>
      <c r="R347" s="695" t="str">
        <f t="shared" si="17"/>
        <v>Gastos_Gerais</v>
      </c>
      <c r="S347" s="697" t="s">
        <v>1000</v>
      </c>
      <c r="T347" s="697">
        <v>2665</v>
      </c>
    </row>
    <row r="348" spans="1:20" ht="24" x14ac:dyDescent="0.2">
      <c r="A348" s="432">
        <f>IF(B348="","",COUNT('Diário 1º PA'!$A$4:$A$2635)+COUNT('Diário 2º PA'!$A$4:$A$3040)+ROW()-3)</f>
        <v>4444</v>
      </c>
      <c r="B348" s="413">
        <v>44753</v>
      </c>
      <c r="C348" s="433">
        <v>44713</v>
      </c>
      <c r="D348" s="434" t="s">
        <v>271</v>
      </c>
      <c r="E348" s="434" t="s">
        <v>2</v>
      </c>
      <c r="F348" s="425">
        <v>8491.98</v>
      </c>
      <c r="G348" s="427" t="s">
        <v>3477</v>
      </c>
      <c r="H348" s="434" t="s">
        <v>309</v>
      </c>
      <c r="I348" s="434" t="s">
        <v>767</v>
      </c>
      <c r="J348" s="415" t="s">
        <v>1020</v>
      </c>
      <c r="K348" s="419" t="s">
        <v>812</v>
      </c>
      <c r="L348" s="415" t="s">
        <v>1305</v>
      </c>
      <c r="M348" s="419">
        <v>7</v>
      </c>
      <c r="N348" s="413">
        <v>44734</v>
      </c>
      <c r="O348" s="414" t="s">
        <v>400</v>
      </c>
      <c r="P348" s="655">
        <f t="shared" si="15"/>
        <v>7</v>
      </c>
      <c r="Q348" s="655">
        <f t="shared" si="16"/>
        <v>6</v>
      </c>
      <c r="R348" s="695" t="str">
        <f t="shared" si="17"/>
        <v>Gastos_Gerais</v>
      </c>
      <c r="S348" s="697" t="s">
        <v>310</v>
      </c>
      <c r="T348" s="697" t="s">
        <v>310</v>
      </c>
    </row>
    <row r="349" spans="1:20" ht="84" customHeight="1" x14ac:dyDescent="0.2">
      <c r="A349" s="432">
        <f>IF(B349="","",COUNT('Diário 1º PA'!$A$4:$A$2635)+COUNT('Diário 2º PA'!$A$4:$A$3040)+ROW()-3)</f>
        <v>4445</v>
      </c>
      <c r="B349" s="413">
        <v>44753</v>
      </c>
      <c r="C349" s="433">
        <v>44713</v>
      </c>
      <c r="D349" s="415" t="s">
        <v>271</v>
      </c>
      <c r="E349" s="415" t="s">
        <v>3</v>
      </c>
      <c r="F349" s="425">
        <v>1708.71</v>
      </c>
      <c r="G349" s="437" t="s">
        <v>3478</v>
      </c>
      <c r="H349" s="415" t="s">
        <v>309</v>
      </c>
      <c r="I349" s="474" t="s">
        <v>767</v>
      </c>
      <c r="J349" s="434" t="s">
        <v>1020</v>
      </c>
      <c r="K349" s="415" t="s">
        <v>812</v>
      </c>
      <c r="L349" s="415" t="s">
        <v>1305</v>
      </c>
      <c r="M349" s="419">
        <v>7</v>
      </c>
      <c r="N349" s="413">
        <v>44734</v>
      </c>
      <c r="O349" s="414" t="s">
        <v>400</v>
      </c>
      <c r="P349" s="655">
        <f t="shared" si="15"/>
        <v>7</v>
      </c>
      <c r="Q349" s="655">
        <f t="shared" si="16"/>
        <v>6</v>
      </c>
      <c r="R349" s="695" t="str">
        <f t="shared" si="17"/>
        <v>Gastos_Gerais</v>
      </c>
      <c r="S349" s="697" t="s">
        <v>310</v>
      </c>
      <c r="T349" s="697" t="s">
        <v>310</v>
      </c>
    </row>
    <row r="350" spans="1:20" ht="60" x14ac:dyDescent="0.2">
      <c r="A350" s="432">
        <f>IF(B350="","",COUNT('Diário 1º PA'!$A$4:$A$2635)+COUNT('Diário 2º PA'!$A$4:$A$3040)+ROW()-3)</f>
        <v>4446</v>
      </c>
      <c r="B350" s="413">
        <v>44753</v>
      </c>
      <c r="C350" s="431">
        <v>44713</v>
      </c>
      <c r="D350" s="415" t="s">
        <v>271</v>
      </c>
      <c r="E350" s="415" t="s">
        <v>183</v>
      </c>
      <c r="F350" s="425">
        <v>139.74</v>
      </c>
      <c r="G350" s="427" t="s">
        <v>551</v>
      </c>
      <c r="H350" s="415" t="s">
        <v>753</v>
      </c>
      <c r="I350" s="415" t="s">
        <v>1705</v>
      </c>
      <c r="J350" s="415" t="s">
        <v>1704</v>
      </c>
      <c r="K350" s="415" t="s">
        <v>1404</v>
      </c>
      <c r="L350" s="415" t="s">
        <v>32</v>
      </c>
      <c r="M350" s="546">
        <v>2206953724770</v>
      </c>
      <c r="N350" s="413">
        <v>44728</v>
      </c>
      <c r="O350" s="414" t="s">
        <v>400</v>
      </c>
      <c r="P350" s="655">
        <f t="shared" si="15"/>
        <v>7</v>
      </c>
      <c r="Q350" s="655">
        <f t="shared" si="16"/>
        <v>6</v>
      </c>
      <c r="R350" s="695" t="str">
        <f t="shared" si="17"/>
        <v>Gastos_Gerais</v>
      </c>
      <c r="S350" s="696" t="s">
        <v>1000</v>
      </c>
      <c r="T350" s="697">
        <v>1997</v>
      </c>
    </row>
    <row r="351" spans="1:20" ht="48" x14ac:dyDescent="0.2">
      <c r="A351" s="432">
        <f>IF(B351="","",COUNT('Diário 1º PA'!$A$4:$A$2635)+COUNT('Diário 2º PA'!$A$4:$A$3040)+ROW()-3)</f>
        <v>4447</v>
      </c>
      <c r="B351" s="413">
        <v>44753</v>
      </c>
      <c r="C351" s="431">
        <v>44743</v>
      </c>
      <c r="D351" s="415" t="s">
        <v>271</v>
      </c>
      <c r="E351" s="415" t="s">
        <v>67</v>
      </c>
      <c r="F351" s="425">
        <v>378.25</v>
      </c>
      <c r="G351" s="427" t="s">
        <v>5672</v>
      </c>
      <c r="H351" s="415" t="s">
        <v>309</v>
      </c>
      <c r="I351" s="415" t="s">
        <v>764</v>
      </c>
      <c r="J351" s="415" t="s">
        <v>310</v>
      </c>
      <c r="K351" s="419" t="s">
        <v>1220</v>
      </c>
      <c r="L351" s="415" t="s">
        <v>3973</v>
      </c>
      <c r="M351" s="419" t="s">
        <v>5971</v>
      </c>
      <c r="N351" s="413">
        <v>44753</v>
      </c>
      <c r="O351" s="414" t="s">
        <v>400</v>
      </c>
      <c r="P351" s="655">
        <f t="shared" si="15"/>
        <v>7</v>
      </c>
      <c r="Q351" s="655">
        <f t="shared" si="16"/>
        <v>7</v>
      </c>
      <c r="R351" s="695" t="str">
        <f t="shared" si="17"/>
        <v>Gastos_Gerais</v>
      </c>
      <c r="S351" s="697" t="s">
        <v>310</v>
      </c>
      <c r="T351" s="697" t="s">
        <v>310</v>
      </c>
    </row>
    <row r="352" spans="1:20" ht="60" x14ac:dyDescent="0.2">
      <c r="A352" s="432">
        <f>IF(B352="","",COUNT('Diário 1º PA'!$A$4:$A$2635)+COUNT('Diário 2º PA'!$A$4:$A$3040)+ROW()-3)</f>
        <v>4448</v>
      </c>
      <c r="B352" s="413">
        <v>44753</v>
      </c>
      <c r="C352" s="431">
        <v>44713</v>
      </c>
      <c r="D352" s="415" t="s">
        <v>271</v>
      </c>
      <c r="E352" s="415" t="s">
        <v>456</v>
      </c>
      <c r="F352" s="422">
        <v>1350</v>
      </c>
      <c r="G352" s="427" t="s">
        <v>4975</v>
      </c>
      <c r="H352" s="415" t="s">
        <v>752</v>
      </c>
      <c r="I352" s="415" t="s">
        <v>5972</v>
      </c>
      <c r="J352" s="415" t="s">
        <v>4976</v>
      </c>
      <c r="K352" s="415" t="s">
        <v>830</v>
      </c>
      <c r="L352" s="415" t="s">
        <v>32</v>
      </c>
      <c r="M352" s="419">
        <v>52</v>
      </c>
      <c r="N352" s="413">
        <v>44750</v>
      </c>
      <c r="O352" s="414" t="s">
        <v>400</v>
      </c>
      <c r="P352" s="655">
        <f t="shared" si="15"/>
        <v>7</v>
      </c>
      <c r="Q352" s="655">
        <f t="shared" si="16"/>
        <v>6</v>
      </c>
      <c r="R352" s="695" t="str">
        <f t="shared" si="17"/>
        <v>Gastos_Gerais</v>
      </c>
      <c r="S352" s="697" t="s">
        <v>1000</v>
      </c>
      <c r="T352" s="697">
        <v>3938</v>
      </c>
    </row>
    <row r="353" spans="1:20" ht="36" x14ac:dyDescent="0.2">
      <c r="A353" s="432">
        <f>IF(B353="","",COUNT('Diário 1º PA'!$A$4:$A$2635)+COUNT('Diário 2º PA'!$A$4:$A$3040)+ROW()-3)</f>
        <v>4449</v>
      </c>
      <c r="B353" s="413">
        <v>44753</v>
      </c>
      <c r="C353" s="431">
        <v>44743</v>
      </c>
      <c r="D353" s="415" t="s">
        <v>271</v>
      </c>
      <c r="E353" s="415" t="s">
        <v>453</v>
      </c>
      <c r="F353" s="422">
        <v>1566.4</v>
      </c>
      <c r="G353" s="427" t="s">
        <v>5785</v>
      </c>
      <c r="H353" s="415" t="s">
        <v>757</v>
      </c>
      <c r="I353" s="415" t="s">
        <v>1352</v>
      </c>
      <c r="J353" s="415" t="s">
        <v>1057</v>
      </c>
      <c r="K353" s="419" t="s">
        <v>830</v>
      </c>
      <c r="L353" s="415" t="s">
        <v>839</v>
      </c>
      <c r="M353" s="419">
        <v>1873</v>
      </c>
      <c r="N353" s="413">
        <v>44749</v>
      </c>
      <c r="O353" s="414" t="s">
        <v>400</v>
      </c>
      <c r="P353" s="655">
        <f t="shared" si="15"/>
        <v>7</v>
      </c>
      <c r="Q353" s="655">
        <f t="shared" si="16"/>
        <v>7</v>
      </c>
      <c r="R353" s="695" t="str">
        <f t="shared" si="17"/>
        <v>Gastos_Gerais</v>
      </c>
      <c r="S353" s="697" t="s">
        <v>998</v>
      </c>
      <c r="T353" s="697">
        <v>2837</v>
      </c>
    </row>
    <row r="354" spans="1:20" ht="60" x14ac:dyDescent="0.2">
      <c r="A354" s="432">
        <f>IF(B354="","",COUNT('Diário 1º PA'!$A$4:$A$2635)+COUNT('Diário 2º PA'!$A$4:$A$3040)+ROW()-3)</f>
        <v>4450</v>
      </c>
      <c r="B354" s="413">
        <v>44753</v>
      </c>
      <c r="C354" s="431">
        <v>44743</v>
      </c>
      <c r="D354" s="415" t="s">
        <v>271</v>
      </c>
      <c r="E354" s="415" t="s">
        <v>456</v>
      </c>
      <c r="F354" s="422">
        <v>1000</v>
      </c>
      <c r="G354" s="427" t="s">
        <v>5682</v>
      </c>
      <c r="H354" s="415" t="s">
        <v>749</v>
      </c>
      <c r="I354" s="415" t="s">
        <v>5973</v>
      </c>
      <c r="J354" s="415" t="s">
        <v>5683</v>
      </c>
      <c r="K354" s="419" t="s">
        <v>830</v>
      </c>
      <c r="L354" s="415" t="s">
        <v>32</v>
      </c>
      <c r="M354" s="419" t="s">
        <v>1786</v>
      </c>
      <c r="N354" s="413">
        <v>44750</v>
      </c>
      <c r="O354" s="414" t="s">
        <v>400</v>
      </c>
      <c r="P354" s="655">
        <f t="shared" si="15"/>
        <v>7</v>
      </c>
      <c r="Q354" s="655">
        <f t="shared" si="16"/>
        <v>7</v>
      </c>
      <c r="R354" s="695" t="str">
        <f t="shared" si="17"/>
        <v>Gastos_Gerais</v>
      </c>
      <c r="S354" s="697" t="s">
        <v>998</v>
      </c>
      <c r="T354" s="697">
        <v>4004</v>
      </c>
    </row>
    <row r="355" spans="1:20" ht="24" x14ac:dyDescent="0.2">
      <c r="A355" s="432">
        <f>IF(B355="","",COUNT('Diário 1º PA'!$A$4:$A$2635)+COUNT('Diário 2º PA'!$A$4:$A$3040)+ROW()-3)</f>
        <v>4451</v>
      </c>
      <c r="B355" s="413">
        <v>44753</v>
      </c>
      <c r="C355" s="431">
        <v>44743</v>
      </c>
      <c r="D355" s="415" t="s">
        <v>271</v>
      </c>
      <c r="E355" s="415" t="s">
        <v>449</v>
      </c>
      <c r="F355" s="422">
        <v>500</v>
      </c>
      <c r="G355" s="427" t="s">
        <v>5974</v>
      </c>
      <c r="H355" s="415" t="s">
        <v>756</v>
      </c>
      <c r="I355" s="415" t="s">
        <v>5975</v>
      </c>
      <c r="J355" s="415" t="s">
        <v>5692</v>
      </c>
      <c r="K355" s="419" t="s">
        <v>830</v>
      </c>
      <c r="L355" s="415" t="s">
        <v>1305</v>
      </c>
      <c r="M355" s="419" t="s">
        <v>310</v>
      </c>
      <c r="N355" s="413">
        <v>44751</v>
      </c>
      <c r="O355" s="414" t="s">
        <v>400</v>
      </c>
      <c r="P355" s="655">
        <f t="shared" si="15"/>
        <v>7</v>
      </c>
      <c r="Q355" s="655">
        <f t="shared" si="16"/>
        <v>7</v>
      </c>
      <c r="R355" s="695" t="str">
        <f t="shared" si="17"/>
        <v>Gastos_Gerais</v>
      </c>
      <c r="S355" s="697" t="s">
        <v>998</v>
      </c>
      <c r="T355" s="697">
        <v>4038</v>
      </c>
    </row>
    <row r="356" spans="1:20" ht="60" x14ac:dyDescent="0.2">
      <c r="A356" s="432">
        <f>IF(B356="","",COUNT('Diário 1º PA'!$A$4:$A$2635)+COUNT('Diário 2º PA'!$A$4:$A$3040)+ROW()-3)</f>
        <v>4452</v>
      </c>
      <c r="B356" s="413">
        <v>44753</v>
      </c>
      <c r="C356" s="431">
        <v>44713</v>
      </c>
      <c r="D356" s="415" t="s">
        <v>271</v>
      </c>
      <c r="E356" s="415" t="s">
        <v>90</v>
      </c>
      <c r="F356" s="422">
        <v>25144.35</v>
      </c>
      <c r="G356" s="427" t="s">
        <v>5977</v>
      </c>
      <c r="H356" s="415" t="s">
        <v>309</v>
      </c>
      <c r="I356" s="415" t="s">
        <v>4548</v>
      </c>
      <c r="J356" s="415" t="s">
        <v>4277</v>
      </c>
      <c r="K356" s="419" t="s">
        <v>830</v>
      </c>
      <c r="L356" s="415" t="s">
        <v>32</v>
      </c>
      <c r="M356" s="419" t="s">
        <v>1892</v>
      </c>
      <c r="N356" s="413">
        <v>44750</v>
      </c>
      <c r="O356" s="414" t="s">
        <v>400</v>
      </c>
      <c r="P356" s="655">
        <f t="shared" si="15"/>
        <v>7</v>
      </c>
      <c r="Q356" s="655">
        <f t="shared" si="16"/>
        <v>6</v>
      </c>
      <c r="R356" s="695" t="str">
        <f t="shared" si="17"/>
        <v>Gastos_Gerais</v>
      </c>
      <c r="S356" s="697" t="s">
        <v>1000</v>
      </c>
      <c r="T356" s="697">
        <v>3658</v>
      </c>
    </row>
    <row r="357" spans="1:20" ht="36" x14ac:dyDescent="0.2">
      <c r="A357" s="432">
        <f>IF(B357="","",COUNT('Diário 1º PA'!$A$4:$A$2635)+COUNT('Diário 2º PA'!$A$4:$A$3040)+ROW()-3)</f>
        <v>4453</v>
      </c>
      <c r="B357" s="413">
        <v>44753</v>
      </c>
      <c r="C357" s="424">
        <v>44743</v>
      </c>
      <c r="D357" s="415" t="s">
        <v>271</v>
      </c>
      <c r="E357" s="415" t="s">
        <v>71</v>
      </c>
      <c r="F357" s="425">
        <v>11</v>
      </c>
      <c r="G357" s="427" t="s">
        <v>6126</v>
      </c>
      <c r="H357" s="415" t="s">
        <v>752</v>
      </c>
      <c r="I357" s="398" t="s">
        <v>881</v>
      </c>
      <c r="J357" s="418" t="s">
        <v>882</v>
      </c>
      <c r="K357" s="418" t="s">
        <v>883</v>
      </c>
      <c r="L357" s="399" t="s">
        <v>798</v>
      </c>
      <c r="M357" s="544" t="s">
        <v>310</v>
      </c>
      <c r="N357" s="413">
        <v>44753</v>
      </c>
      <c r="O357" s="414" t="s">
        <v>400</v>
      </c>
      <c r="P357" s="655">
        <f t="shared" si="15"/>
        <v>7</v>
      </c>
      <c r="Q357" s="655">
        <f t="shared" si="16"/>
        <v>7</v>
      </c>
      <c r="R357" s="695" t="str">
        <f t="shared" si="17"/>
        <v>Gastos_Gerais</v>
      </c>
      <c r="S357" s="697" t="s">
        <v>310</v>
      </c>
      <c r="T357" s="697" t="s">
        <v>310</v>
      </c>
    </row>
    <row r="358" spans="1:20" ht="36" x14ac:dyDescent="0.2">
      <c r="A358" s="432">
        <f>IF(B358="","",COUNT('Diário 1º PA'!$A$4:$A$2635)+COUNT('Diário 2º PA'!$A$4:$A$3040)+ROW()-3)</f>
        <v>4454</v>
      </c>
      <c r="B358" s="413">
        <v>44753</v>
      </c>
      <c r="C358" s="424">
        <v>44743</v>
      </c>
      <c r="D358" s="415" t="s">
        <v>271</v>
      </c>
      <c r="E358" s="415" t="s">
        <v>71</v>
      </c>
      <c r="F358" s="425">
        <v>11</v>
      </c>
      <c r="G358" s="427" t="s">
        <v>6127</v>
      </c>
      <c r="H358" s="415" t="s">
        <v>757</v>
      </c>
      <c r="I358" s="398" t="s">
        <v>881</v>
      </c>
      <c r="J358" s="418" t="s">
        <v>882</v>
      </c>
      <c r="K358" s="418" t="s">
        <v>883</v>
      </c>
      <c r="L358" s="399" t="s">
        <v>798</v>
      </c>
      <c r="M358" s="544" t="s">
        <v>310</v>
      </c>
      <c r="N358" s="413">
        <v>44753</v>
      </c>
      <c r="O358" s="414" t="s">
        <v>400</v>
      </c>
      <c r="P358" s="655">
        <f t="shared" si="15"/>
        <v>7</v>
      </c>
      <c r="Q358" s="655">
        <f t="shared" si="16"/>
        <v>7</v>
      </c>
      <c r="R358" s="695" t="str">
        <f t="shared" si="17"/>
        <v>Gastos_Gerais</v>
      </c>
      <c r="S358" s="697" t="s">
        <v>310</v>
      </c>
      <c r="T358" s="697" t="s">
        <v>310</v>
      </c>
    </row>
    <row r="359" spans="1:20" ht="36" x14ac:dyDescent="0.2">
      <c r="A359" s="432">
        <f>IF(B359="","",COUNT('Diário 1º PA'!$A$4:$A$2635)+COUNT('Diário 2º PA'!$A$4:$A$3040)+ROW()-3)</f>
        <v>4455</v>
      </c>
      <c r="B359" s="413">
        <v>44753</v>
      </c>
      <c r="C359" s="424">
        <v>44743</v>
      </c>
      <c r="D359" s="415" t="s">
        <v>271</v>
      </c>
      <c r="E359" s="415" t="s">
        <v>71</v>
      </c>
      <c r="F359" s="425">
        <v>11</v>
      </c>
      <c r="G359" s="427" t="s">
        <v>6128</v>
      </c>
      <c r="H359" s="415" t="s">
        <v>749</v>
      </c>
      <c r="I359" s="398" t="s">
        <v>881</v>
      </c>
      <c r="J359" s="418" t="s">
        <v>882</v>
      </c>
      <c r="K359" s="418" t="s">
        <v>883</v>
      </c>
      <c r="L359" s="399" t="s">
        <v>798</v>
      </c>
      <c r="M359" s="544" t="s">
        <v>310</v>
      </c>
      <c r="N359" s="413">
        <v>44753</v>
      </c>
      <c r="O359" s="414" t="s">
        <v>400</v>
      </c>
      <c r="P359" s="655">
        <f t="shared" si="15"/>
        <v>7</v>
      </c>
      <c r="Q359" s="655">
        <f t="shared" si="16"/>
        <v>7</v>
      </c>
      <c r="R359" s="695" t="str">
        <f t="shared" si="17"/>
        <v>Gastos_Gerais</v>
      </c>
      <c r="S359" s="697" t="s">
        <v>310</v>
      </c>
      <c r="T359" s="697" t="s">
        <v>310</v>
      </c>
    </row>
    <row r="360" spans="1:20" ht="36" x14ac:dyDescent="0.2">
      <c r="A360" s="432">
        <f>IF(B360="","",COUNT('Diário 1º PA'!$A$4:$A$2635)+COUNT('Diário 2º PA'!$A$4:$A$3040)+ROW()-3)</f>
        <v>4456</v>
      </c>
      <c r="B360" s="413">
        <v>44753</v>
      </c>
      <c r="C360" s="424">
        <v>44743</v>
      </c>
      <c r="D360" s="415" t="s">
        <v>271</v>
      </c>
      <c r="E360" s="415" t="s">
        <v>71</v>
      </c>
      <c r="F360" s="425">
        <v>11</v>
      </c>
      <c r="G360" s="427" t="s">
        <v>6129</v>
      </c>
      <c r="H360" s="415" t="s">
        <v>756</v>
      </c>
      <c r="I360" s="398" t="s">
        <v>881</v>
      </c>
      <c r="J360" s="418" t="s">
        <v>882</v>
      </c>
      <c r="K360" s="418" t="s">
        <v>883</v>
      </c>
      <c r="L360" s="399" t="s">
        <v>798</v>
      </c>
      <c r="M360" s="544" t="s">
        <v>310</v>
      </c>
      <c r="N360" s="413">
        <v>44753</v>
      </c>
      <c r="O360" s="414" t="s">
        <v>400</v>
      </c>
      <c r="P360" s="655">
        <f t="shared" si="15"/>
        <v>7</v>
      </c>
      <c r="Q360" s="655">
        <f t="shared" si="16"/>
        <v>7</v>
      </c>
      <c r="R360" s="695" t="str">
        <f t="shared" si="17"/>
        <v>Gastos_Gerais</v>
      </c>
      <c r="S360" s="697" t="s">
        <v>310</v>
      </c>
      <c r="T360" s="697" t="s">
        <v>310</v>
      </c>
    </row>
    <row r="361" spans="1:20" ht="36" x14ac:dyDescent="0.2">
      <c r="A361" s="432">
        <f>IF(B361="","",COUNT('Diário 1º PA'!$A$4:$A$2635)+COUNT('Diário 2º PA'!$A$4:$A$3040)+ROW()-3)</f>
        <v>4457</v>
      </c>
      <c r="B361" s="413">
        <v>44753</v>
      </c>
      <c r="C361" s="424">
        <v>44743</v>
      </c>
      <c r="D361" s="415" t="s">
        <v>271</v>
      </c>
      <c r="E361" s="415" t="s">
        <v>71</v>
      </c>
      <c r="F361" s="425">
        <v>11</v>
      </c>
      <c r="G361" s="427" t="s">
        <v>6130</v>
      </c>
      <c r="H361" s="415" t="s">
        <v>309</v>
      </c>
      <c r="I361" s="398" t="s">
        <v>881</v>
      </c>
      <c r="J361" s="418" t="s">
        <v>882</v>
      </c>
      <c r="K361" s="418" t="s">
        <v>883</v>
      </c>
      <c r="L361" s="399" t="s">
        <v>798</v>
      </c>
      <c r="M361" s="544" t="s">
        <v>310</v>
      </c>
      <c r="N361" s="413">
        <v>44753</v>
      </c>
      <c r="O361" s="414" t="s">
        <v>400</v>
      </c>
      <c r="P361" s="655">
        <f t="shared" si="15"/>
        <v>7</v>
      </c>
      <c r="Q361" s="655">
        <f t="shared" si="16"/>
        <v>7</v>
      </c>
      <c r="R361" s="695" t="str">
        <f t="shared" si="17"/>
        <v>Gastos_Gerais</v>
      </c>
      <c r="S361" s="697" t="s">
        <v>310</v>
      </c>
      <c r="T361" s="697" t="s">
        <v>310</v>
      </c>
    </row>
    <row r="362" spans="1:20" ht="60" x14ac:dyDescent="0.2">
      <c r="A362" s="432">
        <f>IF(B362="","",COUNT('Diário 1º PA'!$A$4:$A$2635)+COUNT('Diário 2º PA'!$A$4:$A$3040)+ROW()-3)</f>
        <v>4458</v>
      </c>
      <c r="B362" s="413">
        <v>44753</v>
      </c>
      <c r="C362" s="431">
        <v>44743</v>
      </c>
      <c r="D362" s="415" t="s">
        <v>468</v>
      </c>
      <c r="E362" s="415" t="s">
        <v>468</v>
      </c>
      <c r="F362" s="425">
        <v>3834.88</v>
      </c>
      <c r="G362" s="427" t="s">
        <v>5396</v>
      </c>
      <c r="H362" s="415" t="s">
        <v>468</v>
      </c>
      <c r="I362" s="398" t="s">
        <v>2376</v>
      </c>
      <c r="J362" s="415" t="s">
        <v>1143</v>
      </c>
      <c r="K362" s="419" t="s">
        <v>806</v>
      </c>
      <c r="L362" s="418" t="s">
        <v>839</v>
      </c>
      <c r="M362" s="399">
        <v>1885</v>
      </c>
      <c r="N362" s="413">
        <v>44750</v>
      </c>
      <c r="O362" s="414" t="s">
        <v>405</v>
      </c>
      <c r="P362" s="655">
        <f t="shared" si="15"/>
        <v>7</v>
      </c>
      <c r="Q362" s="655">
        <f t="shared" si="16"/>
        <v>7</v>
      </c>
      <c r="R362" s="695" t="str">
        <f t="shared" si="17"/>
        <v>Gastos_custeados_por_captação</v>
      </c>
      <c r="S362" s="697" t="s">
        <v>1000</v>
      </c>
      <c r="T362" s="697">
        <v>4008</v>
      </c>
    </row>
    <row r="363" spans="1:20" ht="96" x14ac:dyDescent="0.2">
      <c r="A363" s="432">
        <f>IF(B363="","",COUNT('Diário 1º PA'!$A$4:$A$2635)+COUNT('Diário 2º PA'!$A$4:$A$3040)+ROW()-3)</f>
        <v>4459</v>
      </c>
      <c r="B363" s="413">
        <v>44753</v>
      </c>
      <c r="C363" s="431">
        <v>44743</v>
      </c>
      <c r="D363" s="415" t="s">
        <v>468</v>
      </c>
      <c r="E363" s="415" t="s">
        <v>468</v>
      </c>
      <c r="F363" s="425">
        <v>420</v>
      </c>
      <c r="G363" s="427" t="s">
        <v>5674</v>
      </c>
      <c r="H363" s="415" t="s">
        <v>468</v>
      </c>
      <c r="I363" s="398" t="s">
        <v>6603</v>
      </c>
      <c r="J363" s="415" t="s">
        <v>5675</v>
      </c>
      <c r="K363" s="419" t="s">
        <v>806</v>
      </c>
      <c r="L363" s="418" t="s">
        <v>839</v>
      </c>
      <c r="M363" s="544">
        <v>1882</v>
      </c>
      <c r="N363" s="413">
        <v>44750</v>
      </c>
      <c r="O363" s="414" t="s">
        <v>405</v>
      </c>
      <c r="P363" s="655">
        <f t="shared" si="15"/>
        <v>7</v>
      </c>
      <c r="Q363" s="655">
        <f t="shared" si="16"/>
        <v>7</v>
      </c>
      <c r="R363" s="695" t="str">
        <f t="shared" si="17"/>
        <v>Gastos_custeados_por_captação</v>
      </c>
      <c r="S363" s="697" t="s">
        <v>998</v>
      </c>
      <c r="T363" s="697">
        <v>3997</v>
      </c>
    </row>
    <row r="364" spans="1:20" ht="60" x14ac:dyDescent="0.2">
      <c r="A364" s="432">
        <f>IF(B364="","",COUNT('Diário 1º PA'!$A$4:$A$2635)+COUNT('Diário 2º PA'!$A$4:$A$3040)+ROW()-3)</f>
        <v>4460</v>
      </c>
      <c r="B364" s="413">
        <v>44753</v>
      </c>
      <c r="C364" s="431">
        <v>44713</v>
      </c>
      <c r="D364" s="415" t="s">
        <v>468</v>
      </c>
      <c r="E364" s="415" t="s">
        <v>468</v>
      </c>
      <c r="F364" s="425">
        <v>3736.13</v>
      </c>
      <c r="G364" s="427" t="s">
        <v>5152</v>
      </c>
      <c r="H364" s="415" t="s">
        <v>468</v>
      </c>
      <c r="I364" s="398" t="s">
        <v>6606</v>
      </c>
      <c r="J364" s="415" t="s">
        <v>5153</v>
      </c>
      <c r="K364" s="418" t="s">
        <v>830</v>
      </c>
      <c r="L364" s="399" t="s">
        <v>1305</v>
      </c>
      <c r="M364" s="544" t="s">
        <v>310</v>
      </c>
      <c r="N364" s="413">
        <v>44750</v>
      </c>
      <c r="O364" s="414" t="s">
        <v>405</v>
      </c>
      <c r="P364" s="655">
        <f t="shared" si="15"/>
        <v>7</v>
      </c>
      <c r="Q364" s="655">
        <f t="shared" si="16"/>
        <v>6</v>
      </c>
      <c r="R364" s="695" t="str">
        <f t="shared" si="17"/>
        <v>Gastos_custeados_por_captação</v>
      </c>
      <c r="S364" s="697" t="s">
        <v>998</v>
      </c>
      <c r="T364" s="697">
        <v>3977</v>
      </c>
    </row>
    <row r="365" spans="1:20" ht="60" x14ac:dyDescent="0.2">
      <c r="A365" s="432">
        <f>IF(B365="","",COUNT('Diário 1º PA'!$A$4:$A$2635)+COUNT('Diário 2º PA'!$A$4:$A$3040)+ROW()-3)</f>
        <v>4461</v>
      </c>
      <c r="B365" s="413">
        <v>44753</v>
      </c>
      <c r="C365" s="431">
        <v>44713</v>
      </c>
      <c r="D365" s="415" t="s">
        <v>468</v>
      </c>
      <c r="E365" s="415" t="s">
        <v>468</v>
      </c>
      <c r="F365" s="425">
        <v>3736.13</v>
      </c>
      <c r="G365" s="427" t="s">
        <v>4950</v>
      </c>
      <c r="H365" s="415" t="s">
        <v>468</v>
      </c>
      <c r="I365" s="398" t="s">
        <v>6608</v>
      </c>
      <c r="J365" s="415" t="s">
        <v>4951</v>
      </c>
      <c r="K365" s="418" t="s">
        <v>830</v>
      </c>
      <c r="L365" s="399" t="s">
        <v>1305</v>
      </c>
      <c r="M365" s="544" t="s">
        <v>310</v>
      </c>
      <c r="N365" s="413">
        <v>44753</v>
      </c>
      <c r="O365" s="414" t="s">
        <v>405</v>
      </c>
      <c r="P365" s="655">
        <f t="shared" si="15"/>
        <v>7</v>
      </c>
      <c r="Q365" s="655">
        <f t="shared" si="16"/>
        <v>6</v>
      </c>
      <c r="R365" s="695" t="str">
        <f t="shared" si="17"/>
        <v>Gastos_custeados_por_captação</v>
      </c>
      <c r="S365" s="697" t="s">
        <v>998</v>
      </c>
      <c r="T365" s="697">
        <v>3955</v>
      </c>
    </row>
    <row r="366" spans="1:20" ht="36" x14ac:dyDescent="0.2">
      <c r="A366" s="432">
        <f>IF(B366="","",COUNT('Diário 1º PA'!$A$4:$A$2635)+COUNT('Diário 2º PA'!$A$4:$A$3040)+ROW()-3)</f>
        <v>4462</v>
      </c>
      <c r="B366" s="413">
        <v>44754</v>
      </c>
      <c r="C366" s="431">
        <v>44743</v>
      </c>
      <c r="D366" s="415" t="s">
        <v>34</v>
      </c>
      <c r="E366" s="415" t="s">
        <v>167</v>
      </c>
      <c r="F366" s="425">
        <v>130</v>
      </c>
      <c r="G366" s="427" t="s">
        <v>6017</v>
      </c>
      <c r="H366" s="415" t="s">
        <v>310</v>
      </c>
      <c r="I366" s="473" t="s">
        <v>795</v>
      </c>
      <c r="J366" s="415" t="s">
        <v>796</v>
      </c>
      <c r="K366" s="415" t="s">
        <v>797</v>
      </c>
      <c r="L366" s="415" t="s">
        <v>798</v>
      </c>
      <c r="M366" s="415" t="s">
        <v>310</v>
      </c>
      <c r="N366" s="413">
        <v>44754</v>
      </c>
      <c r="O366" s="414" t="s">
        <v>400</v>
      </c>
      <c r="P366" s="655">
        <f t="shared" si="15"/>
        <v>7</v>
      </c>
      <c r="Q366" s="655">
        <f t="shared" si="16"/>
        <v>7</v>
      </c>
      <c r="R366" s="695" t="str">
        <f t="shared" si="17"/>
        <v>Receitas</v>
      </c>
      <c r="S366" s="697" t="s">
        <v>310</v>
      </c>
      <c r="T366" s="697" t="s">
        <v>310</v>
      </c>
    </row>
    <row r="367" spans="1:20" ht="48" x14ac:dyDescent="0.2">
      <c r="A367" s="432">
        <f>IF(B367="","",COUNT('Diário 1º PA'!$A$4:$A$2635)+COUNT('Diário 2º PA'!$A$4:$A$3040)+ROW()-3)</f>
        <v>4463</v>
      </c>
      <c r="B367" s="413">
        <v>44754</v>
      </c>
      <c r="C367" s="431">
        <v>44713</v>
      </c>
      <c r="D367" s="415" t="s">
        <v>271</v>
      </c>
      <c r="E367" s="415" t="s">
        <v>64</v>
      </c>
      <c r="F367" s="425">
        <v>587.22</v>
      </c>
      <c r="G367" s="427" t="s">
        <v>5593</v>
      </c>
      <c r="H367" s="415" t="s">
        <v>309</v>
      </c>
      <c r="I367" s="415" t="s">
        <v>5592</v>
      </c>
      <c r="J367" s="415" t="s">
        <v>1330</v>
      </c>
      <c r="K367" s="419" t="s">
        <v>812</v>
      </c>
      <c r="L367" s="415" t="s">
        <v>32</v>
      </c>
      <c r="M367" s="419" t="s">
        <v>5978</v>
      </c>
      <c r="N367" s="413">
        <v>44749</v>
      </c>
      <c r="O367" s="414" t="s">
        <v>400</v>
      </c>
      <c r="P367" s="655">
        <f t="shared" si="15"/>
        <v>7</v>
      </c>
      <c r="Q367" s="655">
        <f t="shared" si="16"/>
        <v>6</v>
      </c>
      <c r="R367" s="695" t="str">
        <f t="shared" si="17"/>
        <v>Gastos_Gerais</v>
      </c>
      <c r="S367" s="697" t="s">
        <v>310</v>
      </c>
      <c r="T367" s="697" t="s">
        <v>310</v>
      </c>
    </row>
    <row r="368" spans="1:20" ht="36" x14ac:dyDescent="0.2">
      <c r="A368" s="432">
        <f>IF(B368="","",COUNT('Diário 1º PA'!$A$4:$A$2635)+COUNT('Diário 2º PA'!$A$4:$A$3040)+ROW()-3)</f>
        <v>4464</v>
      </c>
      <c r="B368" s="413">
        <v>44754</v>
      </c>
      <c r="C368" s="424">
        <v>44743</v>
      </c>
      <c r="D368" s="415" t="s">
        <v>182</v>
      </c>
      <c r="E368" s="415" t="s">
        <v>1</v>
      </c>
      <c r="F368" s="425">
        <v>658.29</v>
      </c>
      <c r="G368" s="440" t="s">
        <v>5979</v>
      </c>
      <c r="H368" s="415" t="s">
        <v>310</v>
      </c>
      <c r="I368" s="473" t="s">
        <v>1207</v>
      </c>
      <c r="J368" s="415" t="s">
        <v>1206</v>
      </c>
      <c r="K368" s="415" t="s">
        <v>830</v>
      </c>
      <c r="L368" s="415" t="s">
        <v>909</v>
      </c>
      <c r="M368" s="415" t="s">
        <v>310</v>
      </c>
      <c r="N368" s="414">
        <v>44754</v>
      </c>
      <c r="O368" s="414" t="s">
        <v>400</v>
      </c>
      <c r="P368" s="655">
        <f t="shared" si="15"/>
        <v>7</v>
      </c>
      <c r="Q368" s="655">
        <f t="shared" si="16"/>
        <v>7</v>
      </c>
      <c r="R368" s="695" t="str">
        <f t="shared" si="17"/>
        <v>Gastos_com_Pessoal</v>
      </c>
      <c r="S368" s="697" t="s">
        <v>310</v>
      </c>
      <c r="T368" s="697" t="s">
        <v>310</v>
      </c>
    </row>
    <row r="369" spans="1:20" ht="60" x14ac:dyDescent="0.2">
      <c r="A369" s="432">
        <f>IF(B369="","",COUNT('Diário 1º PA'!$A$4:$A$2635)+COUNT('Diário 2º PA'!$A$4:$A$3040)+ROW()-3)</f>
        <v>4465</v>
      </c>
      <c r="B369" s="413">
        <v>44754</v>
      </c>
      <c r="C369" s="431">
        <v>44713</v>
      </c>
      <c r="D369" s="415" t="s">
        <v>271</v>
      </c>
      <c r="E369" s="415" t="s">
        <v>461</v>
      </c>
      <c r="F369" s="422">
        <v>756</v>
      </c>
      <c r="G369" s="427" t="s">
        <v>4480</v>
      </c>
      <c r="H369" s="415" t="s">
        <v>752</v>
      </c>
      <c r="I369" s="415" t="s">
        <v>5980</v>
      </c>
      <c r="J369" s="415" t="s">
        <v>4481</v>
      </c>
      <c r="K369" s="415" t="s">
        <v>830</v>
      </c>
      <c r="L369" s="415" t="s">
        <v>839</v>
      </c>
      <c r="M369" s="419">
        <v>1884</v>
      </c>
      <c r="N369" s="413">
        <v>44750</v>
      </c>
      <c r="O369" s="414" t="s">
        <v>400</v>
      </c>
      <c r="P369" s="655">
        <f t="shared" si="15"/>
        <v>7</v>
      </c>
      <c r="Q369" s="655">
        <f t="shared" si="16"/>
        <v>6</v>
      </c>
      <c r="R369" s="695" t="str">
        <f t="shared" si="17"/>
        <v>Gastos_Gerais</v>
      </c>
      <c r="S369" s="697" t="s">
        <v>998</v>
      </c>
      <c r="T369" s="697">
        <v>3854</v>
      </c>
    </row>
    <row r="370" spans="1:20" ht="36" x14ac:dyDescent="0.2">
      <c r="A370" s="432">
        <f>IF(B370="","",COUNT('Diário 1º PA'!$A$4:$A$2635)+COUNT('Diário 2º PA'!$A$4:$A$3040)+ROW()-3)</f>
        <v>4466</v>
      </c>
      <c r="B370" s="413">
        <v>44754</v>
      </c>
      <c r="C370" s="431">
        <v>44713</v>
      </c>
      <c r="D370" s="415" t="s">
        <v>271</v>
      </c>
      <c r="E370" s="415" t="s">
        <v>459</v>
      </c>
      <c r="F370" s="422">
        <v>4313</v>
      </c>
      <c r="G370" s="427" t="s">
        <v>4450</v>
      </c>
      <c r="H370" s="415" t="s">
        <v>758</v>
      </c>
      <c r="I370" s="415" t="s">
        <v>5982</v>
      </c>
      <c r="J370" s="415" t="s">
        <v>4451</v>
      </c>
      <c r="K370" s="415" t="s">
        <v>830</v>
      </c>
      <c r="L370" s="415" t="s">
        <v>32</v>
      </c>
      <c r="M370" s="419" t="s">
        <v>1503</v>
      </c>
      <c r="N370" s="413">
        <v>44743</v>
      </c>
      <c r="O370" s="414" t="s">
        <v>400</v>
      </c>
      <c r="P370" s="655">
        <f t="shared" si="15"/>
        <v>7</v>
      </c>
      <c r="Q370" s="655">
        <f t="shared" si="16"/>
        <v>6</v>
      </c>
      <c r="R370" s="695" t="str">
        <f t="shared" si="17"/>
        <v>Gastos_Gerais</v>
      </c>
      <c r="S370" s="697" t="s">
        <v>998</v>
      </c>
      <c r="T370" s="697">
        <v>3772</v>
      </c>
    </row>
    <row r="371" spans="1:20" ht="36" x14ac:dyDescent="0.2">
      <c r="A371" s="432">
        <f>IF(B371="","",COUNT('Diário 1º PA'!$A$4:$A$2635)+COUNT('Diário 2º PA'!$A$4:$A$3040)+ROW()-3)</f>
        <v>4467</v>
      </c>
      <c r="B371" s="413">
        <v>44754</v>
      </c>
      <c r="C371" s="431">
        <v>44743</v>
      </c>
      <c r="D371" s="415" t="s">
        <v>271</v>
      </c>
      <c r="E371" s="415" t="s">
        <v>91</v>
      </c>
      <c r="F371" s="425">
        <v>850</v>
      </c>
      <c r="G371" s="427" t="s">
        <v>5694</v>
      </c>
      <c r="H371" s="415" t="s">
        <v>793</v>
      </c>
      <c r="I371" s="415" t="s">
        <v>5984</v>
      </c>
      <c r="J371" s="415" t="s">
        <v>5695</v>
      </c>
      <c r="K371" s="419" t="s">
        <v>830</v>
      </c>
      <c r="L371" s="415" t="s">
        <v>32</v>
      </c>
      <c r="M371" s="419" t="s">
        <v>3075</v>
      </c>
      <c r="N371" s="413">
        <v>44753</v>
      </c>
      <c r="O371" s="414" t="s">
        <v>400</v>
      </c>
      <c r="P371" s="655">
        <f t="shared" si="15"/>
        <v>7</v>
      </c>
      <c r="Q371" s="655">
        <f t="shared" si="16"/>
        <v>7</v>
      </c>
      <c r="R371" s="695" t="str">
        <f t="shared" si="17"/>
        <v>Gastos_Gerais</v>
      </c>
      <c r="S371" s="697" t="s">
        <v>998</v>
      </c>
      <c r="T371" s="697">
        <v>4036</v>
      </c>
    </row>
    <row r="372" spans="1:20" ht="36" x14ac:dyDescent="0.2">
      <c r="A372" s="432">
        <f>IF(B372="","",COUNT('Diário 1º PA'!$A$4:$A$2635)+COUNT('Diário 2º PA'!$A$4:$A$3040)+ROW()-3)</f>
        <v>4468</v>
      </c>
      <c r="B372" s="413">
        <v>44754</v>
      </c>
      <c r="C372" s="424">
        <v>44743</v>
      </c>
      <c r="D372" s="415" t="s">
        <v>271</v>
      </c>
      <c r="E372" s="415" t="s">
        <v>71</v>
      </c>
      <c r="F372" s="425">
        <v>11</v>
      </c>
      <c r="G372" s="427" t="s">
        <v>6134</v>
      </c>
      <c r="H372" s="415" t="s">
        <v>310</v>
      </c>
      <c r="I372" s="398" t="s">
        <v>6005</v>
      </c>
      <c r="J372" s="418" t="s">
        <v>882</v>
      </c>
      <c r="K372" s="418" t="s">
        <v>883</v>
      </c>
      <c r="L372" s="399" t="s">
        <v>798</v>
      </c>
      <c r="M372" s="544" t="s">
        <v>310</v>
      </c>
      <c r="N372" s="413">
        <v>44754</v>
      </c>
      <c r="O372" s="414" t="s">
        <v>400</v>
      </c>
      <c r="P372" s="655">
        <f t="shared" si="15"/>
        <v>7</v>
      </c>
      <c r="Q372" s="655">
        <f t="shared" si="16"/>
        <v>7</v>
      </c>
      <c r="R372" s="695" t="str">
        <f t="shared" si="17"/>
        <v>Gastos_Gerais</v>
      </c>
      <c r="S372" s="697" t="s">
        <v>310</v>
      </c>
      <c r="T372" s="697" t="s">
        <v>310</v>
      </c>
    </row>
    <row r="373" spans="1:20" ht="36" x14ac:dyDescent="0.2">
      <c r="A373" s="432">
        <f>IF(B373="","",COUNT('Diário 1º PA'!$A$4:$A$2635)+COUNT('Diário 2º PA'!$A$4:$A$3040)+ROW()-3)</f>
        <v>4469</v>
      </c>
      <c r="B373" s="413">
        <v>44754</v>
      </c>
      <c r="C373" s="424">
        <v>44743</v>
      </c>
      <c r="D373" s="415" t="s">
        <v>271</v>
      </c>
      <c r="E373" s="415" t="s">
        <v>71</v>
      </c>
      <c r="F373" s="425">
        <v>11</v>
      </c>
      <c r="G373" s="427" t="s">
        <v>6131</v>
      </c>
      <c r="H373" s="415" t="s">
        <v>752</v>
      </c>
      <c r="I373" s="398" t="s">
        <v>6005</v>
      </c>
      <c r="J373" s="418" t="s">
        <v>882</v>
      </c>
      <c r="K373" s="418" t="s">
        <v>883</v>
      </c>
      <c r="L373" s="399" t="s">
        <v>798</v>
      </c>
      <c r="M373" s="544" t="s">
        <v>310</v>
      </c>
      <c r="N373" s="413">
        <v>44754</v>
      </c>
      <c r="O373" s="414" t="s">
        <v>400</v>
      </c>
      <c r="P373" s="655">
        <f t="shared" si="15"/>
        <v>7</v>
      </c>
      <c r="Q373" s="655">
        <f t="shared" si="16"/>
        <v>7</v>
      </c>
      <c r="R373" s="695" t="str">
        <f t="shared" si="17"/>
        <v>Gastos_Gerais</v>
      </c>
      <c r="S373" s="697" t="s">
        <v>310</v>
      </c>
      <c r="T373" s="697" t="s">
        <v>310</v>
      </c>
    </row>
    <row r="374" spans="1:20" ht="36" x14ac:dyDescent="0.2">
      <c r="A374" s="432">
        <f>IF(B374="","",COUNT('Diário 1º PA'!$A$4:$A$2635)+COUNT('Diário 2º PA'!$A$4:$A$3040)+ROW()-3)</f>
        <v>4470</v>
      </c>
      <c r="B374" s="413">
        <v>44754</v>
      </c>
      <c r="C374" s="424">
        <v>44743</v>
      </c>
      <c r="D374" s="415" t="s">
        <v>271</v>
      </c>
      <c r="E374" s="415" t="s">
        <v>71</v>
      </c>
      <c r="F374" s="425">
        <v>11</v>
      </c>
      <c r="G374" s="427" t="s">
        <v>6132</v>
      </c>
      <c r="H374" s="415" t="s">
        <v>758</v>
      </c>
      <c r="I374" s="398" t="s">
        <v>6005</v>
      </c>
      <c r="J374" s="418" t="s">
        <v>882</v>
      </c>
      <c r="K374" s="418" t="s">
        <v>883</v>
      </c>
      <c r="L374" s="399" t="s">
        <v>798</v>
      </c>
      <c r="M374" s="544" t="s">
        <v>310</v>
      </c>
      <c r="N374" s="413">
        <v>44754</v>
      </c>
      <c r="O374" s="414" t="s">
        <v>400</v>
      </c>
      <c r="P374" s="655">
        <f t="shared" si="15"/>
        <v>7</v>
      </c>
      <c r="Q374" s="655">
        <f t="shared" si="16"/>
        <v>7</v>
      </c>
      <c r="R374" s="695" t="str">
        <f t="shared" si="17"/>
        <v>Gastos_Gerais</v>
      </c>
      <c r="S374" s="697" t="s">
        <v>310</v>
      </c>
      <c r="T374" s="697" t="s">
        <v>310</v>
      </c>
    </row>
    <row r="375" spans="1:20" ht="36" x14ac:dyDescent="0.2">
      <c r="A375" s="432">
        <f>IF(B375="","",COUNT('Diário 1º PA'!$A$4:$A$2635)+COUNT('Diário 2º PA'!$A$4:$A$3040)+ROW()-3)</f>
        <v>4471</v>
      </c>
      <c r="B375" s="413">
        <v>44754</v>
      </c>
      <c r="C375" s="424">
        <v>44743</v>
      </c>
      <c r="D375" s="415" t="s">
        <v>271</v>
      </c>
      <c r="E375" s="415" t="s">
        <v>71</v>
      </c>
      <c r="F375" s="425">
        <v>11</v>
      </c>
      <c r="G375" s="427" t="s">
        <v>6133</v>
      </c>
      <c r="H375" s="415" t="s">
        <v>793</v>
      </c>
      <c r="I375" s="398" t="s">
        <v>6005</v>
      </c>
      <c r="J375" s="418" t="s">
        <v>882</v>
      </c>
      <c r="K375" s="418" t="s">
        <v>883</v>
      </c>
      <c r="L375" s="399" t="s">
        <v>798</v>
      </c>
      <c r="M375" s="544" t="s">
        <v>310</v>
      </c>
      <c r="N375" s="413">
        <v>44754</v>
      </c>
      <c r="O375" s="414" t="s">
        <v>400</v>
      </c>
      <c r="P375" s="655">
        <f t="shared" si="15"/>
        <v>7</v>
      </c>
      <c r="Q375" s="655">
        <f t="shared" si="16"/>
        <v>7</v>
      </c>
      <c r="R375" s="695" t="str">
        <f t="shared" si="17"/>
        <v>Gastos_Gerais</v>
      </c>
      <c r="S375" s="697" t="s">
        <v>310</v>
      </c>
      <c r="T375" s="697" t="s">
        <v>310</v>
      </c>
    </row>
    <row r="376" spans="1:20" ht="48" x14ac:dyDescent="0.2">
      <c r="A376" s="432">
        <f>IF(B376="","",COUNT('Diário 1º PA'!$A$4:$A$2635)+COUNT('Diário 2º PA'!$A$4:$A$3040)+ROW()-3)</f>
        <v>4472</v>
      </c>
      <c r="B376" s="413">
        <v>44754</v>
      </c>
      <c r="C376" s="431">
        <v>44713</v>
      </c>
      <c r="D376" s="415" t="s">
        <v>468</v>
      </c>
      <c r="E376" s="415" t="s">
        <v>468</v>
      </c>
      <c r="F376" s="425">
        <v>640</v>
      </c>
      <c r="G376" s="427" t="s">
        <v>4556</v>
      </c>
      <c r="H376" s="415" t="s">
        <v>468</v>
      </c>
      <c r="I376" s="398" t="s">
        <v>6454</v>
      </c>
      <c r="J376" s="415" t="s">
        <v>4557</v>
      </c>
      <c r="K376" s="418" t="s">
        <v>830</v>
      </c>
      <c r="L376" s="399" t="s">
        <v>32</v>
      </c>
      <c r="M376" s="544">
        <v>181</v>
      </c>
      <c r="N376" s="413">
        <v>44746</v>
      </c>
      <c r="O376" s="414" t="s">
        <v>3762</v>
      </c>
      <c r="P376" s="655">
        <f t="shared" si="15"/>
        <v>7</v>
      </c>
      <c r="Q376" s="655">
        <f t="shared" si="16"/>
        <v>6</v>
      </c>
      <c r="R376" s="695" t="str">
        <f t="shared" si="17"/>
        <v>Gastos_custeados_por_captação</v>
      </c>
      <c r="S376" s="697" t="s">
        <v>5937</v>
      </c>
      <c r="T376" s="697">
        <v>3827</v>
      </c>
    </row>
    <row r="377" spans="1:20" ht="120" x14ac:dyDescent="0.2">
      <c r="A377" s="432">
        <f>IF(B377="","",COUNT('Diário 1º PA'!$A$4:$A$2635)+COUNT('Diário 2º PA'!$A$4:$A$3040)+ROW()-3)</f>
        <v>4473</v>
      </c>
      <c r="B377" s="413">
        <v>44754</v>
      </c>
      <c r="C377" s="431">
        <v>44713</v>
      </c>
      <c r="D377" s="415" t="s">
        <v>468</v>
      </c>
      <c r="E377" s="415" t="s">
        <v>468</v>
      </c>
      <c r="F377" s="425">
        <v>5299.99</v>
      </c>
      <c r="G377" s="427" t="s">
        <v>4723</v>
      </c>
      <c r="H377" s="415" t="s">
        <v>468</v>
      </c>
      <c r="I377" s="398" t="s">
        <v>815</v>
      </c>
      <c r="J377" s="415" t="s">
        <v>816</v>
      </c>
      <c r="K377" s="418" t="s">
        <v>830</v>
      </c>
      <c r="L377" s="399" t="s">
        <v>32</v>
      </c>
      <c r="M377" s="544">
        <v>317487</v>
      </c>
      <c r="N377" s="413">
        <v>44726</v>
      </c>
      <c r="O377" s="414" t="s">
        <v>404</v>
      </c>
      <c r="P377" s="655">
        <f t="shared" si="15"/>
        <v>7</v>
      </c>
      <c r="Q377" s="655">
        <f t="shared" si="16"/>
        <v>6</v>
      </c>
      <c r="R377" s="695" t="str">
        <f t="shared" si="17"/>
        <v>Gastos_custeados_por_captação</v>
      </c>
      <c r="S377" s="697" t="s">
        <v>999</v>
      </c>
      <c r="T377" s="697">
        <v>3903</v>
      </c>
    </row>
    <row r="378" spans="1:20" ht="48" x14ac:dyDescent="0.2">
      <c r="A378" s="432">
        <f>IF(B378="","",COUNT('Diário 1º PA'!$A$4:$A$2635)+COUNT('Diário 2º PA'!$A$4:$A$3040)+ROW()-3)</f>
        <v>4474</v>
      </c>
      <c r="B378" s="455">
        <v>44755</v>
      </c>
      <c r="C378" s="431">
        <v>44682</v>
      </c>
      <c r="D378" s="415" t="s">
        <v>271</v>
      </c>
      <c r="E378" s="415" t="s">
        <v>450</v>
      </c>
      <c r="F378" s="425">
        <v>2307.9</v>
      </c>
      <c r="G378" s="427" t="s">
        <v>4418</v>
      </c>
      <c r="H378" s="415" t="s">
        <v>758</v>
      </c>
      <c r="I378" s="415" t="s">
        <v>5985</v>
      </c>
      <c r="J378" s="415" t="s">
        <v>4417</v>
      </c>
      <c r="K378" s="419" t="s">
        <v>806</v>
      </c>
      <c r="L378" s="419" t="s">
        <v>839</v>
      </c>
      <c r="M378" s="419">
        <v>1888</v>
      </c>
      <c r="N378" s="413">
        <v>44753</v>
      </c>
      <c r="O378" s="414" t="s">
        <v>400</v>
      </c>
      <c r="P378" s="655">
        <f t="shared" si="15"/>
        <v>7</v>
      </c>
      <c r="Q378" s="655">
        <f t="shared" si="16"/>
        <v>5</v>
      </c>
      <c r="R378" s="695" t="str">
        <f t="shared" si="17"/>
        <v>Gastos_Gerais</v>
      </c>
      <c r="S378" s="697" t="s">
        <v>1000</v>
      </c>
      <c r="T378" s="697">
        <v>3589</v>
      </c>
    </row>
    <row r="379" spans="1:20" ht="24" x14ac:dyDescent="0.2">
      <c r="A379" s="432">
        <f>IF(B379="","",COUNT('Diário 1º PA'!$A$4:$A$2635)+COUNT('Diário 2º PA'!$A$4:$A$3040)+ROW()-3)</f>
        <v>4475</v>
      </c>
      <c r="B379" s="455">
        <v>44755</v>
      </c>
      <c r="C379" s="466">
        <v>44743</v>
      </c>
      <c r="D379" s="415" t="s">
        <v>182</v>
      </c>
      <c r="E379" s="415" t="s">
        <v>161</v>
      </c>
      <c r="F379" s="425">
        <v>154.88</v>
      </c>
      <c r="G379" s="427" t="s">
        <v>1495</v>
      </c>
      <c r="H379" s="415" t="s">
        <v>310</v>
      </c>
      <c r="I379" s="473" t="s">
        <v>2008</v>
      </c>
      <c r="J379" s="548" t="s">
        <v>2009</v>
      </c>
      <c r="K379" s="415" t="s">
        <v>812</v>
      </c>
      <c r="L379" s="415" t="s">
        <v>807</v>
      </c>
      <c r="M379" s="415" t="s">
        <v>6235</v>
      </c>
      <c r="N379" s="414">
        <v>44757</v>
      </c>
      <c r="O379" s="414" t="s">
        <v>400</v>
      </c>
      <c r="P379" s="655">
        <f t="shared" si="15"/>
        <v>7</v>
      </c>
      <c r="Q379" s="655">
        <f t="shared" si="16"/>
        <v>7</v>
      </c>
      <c r="R379" s="695" t="str">
        <f t="shared" si="17"/>
        <v>Gastos_com_Pessoal</v>
      </c>
      <c r="S379" s="697" t="s">
        <v>310</v>
      </c>
      <c r="T379" s="697" t="s">
        <v>310</v>
      </c>
    </row>
    <row r="380" spans="1:20" ht="36" x14ac:dyDescent="0.2">
      <c r="A380" s="432">
        <f>IF(B380="","",COUNT('Diário 1º PA'!$A$4:$A$2635)+COUNT('Diário 2º PA'!$A$4:$A$3040)+ROW()-3)</f>
        <v>4476</v>
      </c>
      <c r="B380" s="455">
        <v>44755</v>
      </c>
      <c r="C380" s="431">
        <v>44743</v>
      </c>
      <c r="D380" s="415" t="s">
        <v>271</v>
      </c>
      <c r="E380" s="415" t="s">
        <v>297</v>
      </c>
      <c r="F380" s="425">
        <v>93.63</v>
      </c>
      <c r="G380" s="427" t="s">
        <v>5786</v>
      </c>
      <c r="H380" s="415" t="s">
        <v>752</v>
      </c>
      <c r="I380" s="415" t="s">
        <v>2350</v>
      </c>
      <c r="J380" s="415" t="s">
        <v>2130</v>
      </c>
      <c r="K380" s="419" t="s">
        <v>830</v>
      </c>
      <c r="L380" s="415" t="s">
        <v>5936</v>
      </c>
      <c r="M380" s="419">
        <v>391</v>
      </c>
      <c r="N380" s="413">
        <v>44754</v>
      </c>
      <c r="O380" s="414" t="s">
        <v>400</v>
      </c>
      <c r="P380" s="655">
        <f t="shared" si="15"/>
        <v>7</v>
      </c>
      <c r="Q380" s="655">
        <f t="shared" si="16"/>
        <v>7</v>
      </c>
      <c r="R380" s="695" t="str">
        <f t="shared" si="17"/>
        <v>Gastos_Gerais</v>
      </c>
      <c r="S380" s="697" t="s">
        <v>999</v>
      </c>
      <c r="T380" s="697">
        <v>4078</v>
      </c>
    </row>
    <row r="381" spans="1:20" ht="36" x14ac:dyDescent="0.2">
      <c r="A381" s="432">
        <f>IF(B381="","",COUNT('Diário 1º PA'!$A$4:$A$2635)+COUNT('Diário 2º PA'!$A$4:$A$3040)+ROW()-3)</f>
        <v>4477</v>
      </c>
      <c r="B381" s="413">
        <v>44755</v>
      </c>
      <c r="C381" s="424">
        <v>44743</v>
      </c>
      <c r="D381" s="415" t="s">
        <v>271</v>
      </c>
      <c r="E381" s="415" t="s">
        <v>71</v>
      </c>
      <c r="F381" s="425">
        <v>11</v>
      </c>
      <c r="G381" s="427" t="s">
        <v>6135</v>
      </c>
      <c r="H381" s="415" t="s">
        <v>752</v>
      </c>
      <c r="I381" s="398" t="s">
        <v>881</v>
      </c>
      <c r="J381" s="418" t="s">
        <v>882</v>
      </c>
      <c r="K381" s="418" t="s">
        <v>883</v>
      </c>
      <c r="L381" s="399" t="s">
        <v>798</v>
      </c>
      <c r="M381" s="544" t="s">
        <v>310</v>
      </c>
      <c r="N381" s="413">
        <v>44755</v>
      </c>
      <c r="O381" s="414" t="s">
        <v>400</v>
      </c>
      <c r="P381" s="655">
        <f t="shared" si="15"/>
        <v>7</v>
      </c>
      <c r="Q381" s="655">
        <f t="shared" si="16"/>
        <v>7</v>
      </c>
      <c r="R381" s="695" t="str">
        <f t="shared" si="17"/>
        <v>Gastos_Gerais</v>
      </c>
      <c r="S381" s="697" t="s">
        <v>310</v>
      </c>
      <c r="T381" s="697" t="s">
        <v>310</v>
      </c>
    </row>
    <row r="382" spans="1:20" ht="48" x14ac:dyDescent="0.2">
      <c r="A382" s="432">
        <f>IF(B382="","",COUNT('Diário 1º PA'!$A$4:$A$2635)+COUNT('Diário 2º PA'!$A$4:$A$3040)+ROW()-3)</f>
        <v>4478</v>
      </c>
      <c r="B382" s="413">
        <v>44755</v>
      </c>
      <c r="C382" s="431">
        <v>44743</v>
      </c>
      <c r="D382" s="415" t="s">
        <v>468</v>
      </c>
      <c r="E382" s="415" t="s">
        <v>468</v>
      </c>
      <c r="F382" s="425">
        <v>889.41</v>
      </c>
      <c r="G382" s="427" t="s">
        <v>5757</v>
      </c>
      <c r="H382" s="415" t="s">
        <v>468</v>
      </c>
      <c r="I382" s="398" t="s">
        <v>6408</v>
      </c>
      <c r="J382" s="415" t="s">
        <v>1140</v>
      </c>
      <c r="K382" s="418" t="s">
        <v>830</v>
      </c>
      <c r="L382" s="415" t="s">
        <v>32</v>
      </c>
      <c r="M382" s="415" t="s">
        <v>6410</v>
      </c>
      <c r="N382" s="413">
        <v>44753</v>
      </c>
      <c r="O382" s="414" t="s">
        <v>408</v>
      </c>
      <c r="P382" s="655">
        <f t="shared" si="15"/>
        <v>7</v>
      </c>
      <c r="Q382" s="655">
        <f t="shared" si="16"/>
        <v>7</v>
      </c>
      <c r="R382" s="695" t="str">
        <f t="shared" si="17"/>
        <v>Gastos_custeados_por_captação</v>
      </c>
      <c r="S382" s="697" t="s">
        <v>5937</v>
      </c>
      <c r="T382" s="697">
        <v>4064</v>
      </c>
    </row>
    <row r="383" spans="1:20" ht="60" x14ac:dyDescent="0.2">
      <c r="A383" s="432">
        <f>IF(B383="","",COUNT('Diário 1º PA'!$A$4:$A$2635)+COUNT('Diário 2º PA'!$A$4:$A$3040)+ROW()-3)</f>
        <v>4479</v>
      </c>
      <c r="B383" s="413">
        <v>44755</v>
      </c>
      <c r="C383" s="431">
        <v>44713</v>
      </c>
      <c r="D383" s="415" t="s">
        <v>468</v>
      </c>
      <c r="E383" s="415" t="s">
        <v>468</v>
      </c>
      <c r="F383" s="425">
        <v>3500</v>
      </c>
      <c r="G383" s="427" t="s">
        <v>1974</v>
      </c>
      <c r="H383" s="415" t="s">
        <v>468</v>
      </c>
      <c r="I383" s="398" t="s">
        <v>4122</v>
      </c>
      <c r="J383" s="415" t="s">
        <v>1975</v>
      </c>
      <c r="K383" s="418" t="s">
        <v>830</v>
      </c>
      <c r="L383" s="399" t="s">
        <v>6409</v>
      </c>
      <c r="M383" s="415" t="s">
        <v>1786</v>
      </c>
      <c r="N383" s="413">
        <v>44754</v>
      </c>
      <c r="O383" s="414" t="s">
        <v>408</v>
      </c>
      <c r="P383" s="655">
        <f t="shared" si="15"/>
        <v>7</v>
      </c>
      <c r="Q383" s="655">
        <f t="shared" si="16"/>
        <v>6</v>
      </c>
      <c r="R383" s="695" t="str">
        <f t="shared" si="17"/>
        <v>Gastos_custeados_por_captação</v>
      </c>
      <c r="S383" s="697" t="s">
        <v>1000</v>
      </c>
      <c r="T383" s="697">
        <v>3047</v>
      </c>
    </row>
    <row r="384" spans="1:20" ht="36" x14ac:dyDescent="0.2">
      <c r="A384" s="432">
        <f>IF(B384="","",COUNT('Diário 1º PA'!$A$4:$A$2635)+COUNT('Diário 2º PA'!$A$4:$A$3040)+ROW()-3)</f>
        <v>4480</v>
      </c>
      <c r="B384" s="413">
        <v>44755</v>
      </c>
      <c r="C384" s="431">
        <v>44774</v>
      </c>
      <c r="D384" s="415" t="s">
        <v>468</v>
      </c>
      <c r="E384" s="415" t="s">
        <v>468</v>
      </c>
      <c r="F384" s="425">
        <v>11</v>
      </c>
      <c r="G384" s="427" t="s">
        <v>2469</v>
      </c>
      <c r="H384" s="415" t="s">
        <v>468</v>
      </c>
      <c r="I384" s="639" t="s">
        <v>881</v>
      </c>
      <c r="J384" s="418" t="s">
        <v>882</v>
      </c>
      <c r="K384" s="418" t="s">
        <v>883</v>
      </c>
      <c r="L384" s="399" t="s">
        <v>798</v>
      </c>
      <c r="M384" s="544" t="s">
        <v>310</v>
      </c>
      <c r="N384" s="413">
        <v>44755</v>
      </c>
      <c r="O384" s="414" t="s">
        <v>408</v>
      </c>
      <c r="P384" s="655">
        <f t="shared" si="15"/>
        <v>7</v>
      </c>
      <c r="Q384" s="655">
        <f t="shared" si="16"/>
        <v>8</v>
      </c>
      <c r="R384" s="695" t="str">
        <f t="shared" si="17"/>
        <v>Gastos_custeados_por_captação</v>
      </c>
      <c r="S384" s="697" t="s">
        <v>310</v>
      </c>
      <c r="T384" s="697" t="s">
        <v>310</v>
      </c>
    </row>
    <row r="385" spans="1:20" ht="36" x14ac:dyDescent="0.2">
      <c r="A385" s="432">
        <f>IF(B385="","",COUNT('Diário 1º PA'!$A$4:$A$2635)+COUNT('Diário 2º PA'!$A$4:$A$3040)+ROW()-3)</f>
        <v>4481</v>
      </c>
      <c r="B385" s="413">
        <v>44755</v>
      </c>
      <c r="C385" s="431">
        <v>44774</v>
      </c>
      <c r="D385" s="415" t="s">
        <v>468</v>
      </c>
      <c r="E385" s="415" t="s">
        <v>468</v>
      </c>
      <c r="F385" s="425">
        <v>11</v>
      </c>
      <c r="G385" s="427" t="s">
        <v>2469</v>
      </c>
      <c r="H385" s="415" t="s">
        <v>468</v>
      </c>
      <c r="I385" s="639" t="s">
        <v>881</v>
      </c>
      <c r="J385" s="418" t="s">
        <v>882</v>
      </c>
      <c r="K385" s="418" t="s">
        <v>883</v>
      </c>
      <c r="L385" s="399" t="s">
        <v>798</v>
      </c>
      <c r="M385" s="544" t="s">
        <v>310</v>
      </c>
      <c r="N385" s="413">
        <v>44755</v>
      </c>
      <c r="O385" s="414" t="s">
        <v>408</v>
      </c>
      <c r="P385" s="655">
        <f t="shared" si="15"/>
        <v>7</v>
      </c>
      <c r="Q385" s="655">
        <f t="shared" si="16"/>
        <v>8</v>
      </c>
      <c r="R385" s="695" t="str">
        <f t="shared" si="17"/>
        <v>Gastos_custeados_por_captação</v>
      </c>
      <c r="S385" s="697" t="s">
        <v>310</v>
      </c>
      <c r="T385" s="697" t="s">
        <v>310</v>
      </c>
    </row>
    <row r="386" spans="1:20" ht="36" x14ac:dyDescent="0.2">
      <c r="A386" s="432">
        <f>IF(B386="","",COUNT('Diário 1º PA'!$A$4:$A$2635)+COUNT('Diário 2º PA'!$A$4:$A$3040)+ROW()-3)</f>
        <v>4482</v>
      </c>
      <c r="B386" s="413">
        <v>44755</v>
      </c>
      <c r="C386" s="431">
        <v>44774</v>
      </c>
      <c r="D386" s="415" t="s">
        <v>468</v>
      </c>
      <c r="E386" s="415" t="s">
        <v>468</v>
      </c>
      <c r="F386" s="425">
        <v>153</v>
      </c>
      <c r="G386" s="427" t="s">
        <v>880</v>
      </c>
      <c r="H386" s="415" t="s">
        <v>468</v>
      </c>
      <c r="I386" s="639" t="s">
        <v>881</v>
      </c>
      <c r="J386" s="418" t="s">
        <v>882</v>
      </c>
      <c r="K386" s="418" t="s">
        <v>883</v>
      </c>
      <c r="L386" s="399" t="s">
        <v>798</v>
      </c>
      <c r="M386" s="544" t="s">
        <v>310</v>
      </c>
      <c r="N386" s="413">
        <v>44755</v>
      </c>
      <c r="O386" s="414" t="s">
        <v>408</v>
      </c>
      <c r="P386" s="655">
        <f t="shared" si="15"/>
        <v>7</v>
      </c>
      <c r="Q386" s="655">
        <f t="shared" si="16"/>
        <v>8</v>
      </c>
      <c r="R386" s="695" t="str">
        <f t="shared" si="17"/>
        <v>Gastos_custeados_por_captação</v>
      </c>
      <c r="S386" s="697" t="s">
        <v>310</v>
      </c>
      <c r="T386" s="697" t="s">
        <v>310</v>
      </c>
    </row>
    <row r="387" spans="1:20" ht="24" x14ac:dyDescent="0.2">
      <c r="A387" s="432">
        <f>IF(B387="","",COUNT('Diário 1º PA'!$A$4:$A$2635)+COUNT('Diário 2º PA'!$A$4:$A$3040)+ROW()-3)</f>
        <v>4483</v>
      </c>
      <c r="B387" s="413">
        <v>44756</v>
      </c>
      <c r="C387" s="433">
        <v>44743</v>
      </c>
      <c r="D387" s="415" t="s">
        <v>182</v>
      </c>
      <c r="E387" s="415" t="s">
        <v>6</v>
      </c>
      <c r="F387" s="425">
        <v>283.70999999999998</v>
      </c>
      <c r="G387" s="440" t="s">
        <v>1494</v>
      </c>
      <c r="H387" s="415" t="s">
        <v>310</v>
      </c>
      <c r="I387" s="474" t="s">
        <v>1486</v>
      </c>
      <c r="J387" s="418" t="s">
        <v>1487</v>
      </c>
      <c r="K387" s="418" t="s">
        <v>812</v>
      </c>
      <c r="L387" s="399" t="s">
        <v>807</v>
      </c>
      <c r="M387" s="415">
        <v>797304</v>
      </c>
      <c r="N387" s="414">
        <v>44761</v>
      </c>
      <c r="O387" s="414" t="s">
        <v>400</v>
      </c>
      <c r="P387" s="655">
        <f t="shared" si="15"/>
        <v>7</v>
      </c>
      <c r="Q387" s="655">
        <f t="shared" si="16"/>
        <v>7</v>
      </c>
      <c r="R387" s="695" t="str">
        <f t="shared" si="17"/>
        <v>Gastos_com_Pessoal</v>
      </c>
      <c r="S387" s="697" t="s">
        <v>310</v>
      </c>
      <c r="T387" s="697" t="s">
        <v>310</v>
      </c>
    </row>
    <row r="388" spans="1:20" ht="72" x14ac:dyDescent="0.2">
      <c r="A388" s="432">
        <f>IF(B388="","",COUNT('Diário 1º PA'!$A$4:$A$2635)+COUNT('Diário 2º PA'!$A$4:$A$3040)+ROW()-3)</f>
        <v>4484</v>
      </c>
      <c r="B388" s="413">
        <v>44756</v>
      </c>
      <c r="C388" s="431">
        <v>44713</v>
      </c>
      <c r="D388" s="415" t="s">
        <v>271</v>
      </c>
      <c r="E388" s="415" t="s">
        <v>297</v>
      </c>
      <c r="F388" s="425">
        <v>-2233</v>
      </c>
      <c r="G388" s="427" t="s">
        <v>5991</v>
      </c>
      <c r="H388" s="415" t="s">
        <v>309</v>
      </c>
      <c r="I388" s="473" t="s">
        <v>795</v>
      </c>
      <c r="J388" s="415" t="s">
        <v>796</v>
      </c>
      <c r="K388" s="415" t="s">
        <v>797</v>
      </c>
      <c r="L388" s="415" t="s">
        <v>798</v>
      </c>
      <c r="M388" s="415" t="s">
        <v>310</v>
      </c>
      <c r="N388" s="413">
        <v>44756</v>
      </c>
      <c r="O388" s="414" t="s">
        <v>400</v>
      </c>
      <c r="P388" s="655">
        <f t="shared" si="15"/>
        <v>7</v>
      </c>
      <c r="Q388" s="655">
        <f t="shared" si="16"/>
        <v>6</v>
      </c>
      <c r="R388" s="695" t="str">
        <f t="shared" si="17"/>
        <v>Gastos_Gerais</v>
      </c>
      <c r="S388" s="697" t="s">
        <v>310</v>
      </c>
      <c r="T388" s="697" t="s">
        <v>310</v>
      </c>
    </row>
    <row r="389" spans="1:20" ht="48" x14ac:dyDescent="0.2">
      <c r="A389" s="432">
        <f>IF(B389="","",COUNT('Diário 1º PA'!$A$4:$A$2635)+COUNT('Diário 2º PA'!$A$4:$A$3040)+ROW()-3)</f>
        <v>4485</v>
      </c>
      <c r="B389" s="413">
        <v>44756</v>
      </c>
      <c r="C389" s="431">
        <v>44682</v>
      </c>
      <c r="D389" s="415" t="s">
        <v>271</v>
      </c>
      <c r="E389" s="415" t="s">
        <v>453</v>
      </c>
      <c r="F389" s="422">
        <v>756.5</v>
      </c>
      <c r="G389" s="427" t="s">
        <v>4332</v>
      </c>
      <c r="H389" s="415" t="s">
        <v>760</v>
      </c>
      <c r="I389" s="415" t="s">
        <v>4197</v>
      </c>
      <c r="J389" s="415" t="s">
        <v>1149</v>
      </c>
      <c r="K389" s="419" t="s">
        <v>806</v>
      </c>
      <c r="L389" s="415" t="s">
        <v>839</v>
      </c>
      <c r="M389" s="415">
        <v>1892</v>
      </c>
      <c r="N389" s="413">
        <v>44754</v>
      </c>
      <c r="O389" s="414" t="s">
        <v>400</v>
      </c>
      <c r="P389" s="655">
        <f t="shared" ref="P389:P452" si="18">IF(B389=0,0,IF(YEAR(B389)=$Q$1,MONTH(B389)-$P$1+1,(YEAR(B389)-$Q$1)*12-$P$1+1+MONTH(B389)))</f>
        <v>7</v>
      </c>
      <c r="Q389" s="655">
        <f t="shared" ref="Q389:Q452" si="19">IF(C389=0,0,IF(YEAR(C389)=$Q$1,MONTH(C389)-$P$1+1,(YEAR(C389)-$Q$1)*12-$P$1+1+MONTH(C389)))</f>
        <v>5</v>
      </c>
      <c r="R389" s="695" t="str">
        <f t="shared" ref="R389:R452" si="20">SUBSTITUTE(D389," ","_")</f>
        <v>Gastos_Gerais</v>
      </c>
      <c r="S389" s="697" t="s">
        <v>998</v>
      </c>
      <c r="T389" s="697">
        <v>3654</v>
      </c>
    </row>
    <row r="390" spans="1:20" ht="24" x14ac:dyDescent="0.2">
      <c r="A390" s="432">
        <f>IF(B390="","",COUNT('Diário 1º PA'!$A$4:$A$2635)+COUNT('Diário 2º PA'!$A$4:$A$3040)+ROW()-3)</f>
        <v>4486</v>
      </c>
      <c r="B390" s="413">
        <v>44756</v>
      </c>
      <c r="C390" s="431">
        <v>44713</v>
      </c>
      <c r="D390" s="415" t="s">
        <v>271</v>
      </c>
      <c r="E390" s="415" t="s">
        <v>297</v>
      </c>
      <c r="F390" s="422">
        <v>5423</v>
      </c>
      <c r="G390" s="427" t="s">
        <v>4612</v>
      </c>
      <c r="H390" s="415" t="s">
        <v>309</v>
      </c>
      <c r="I390" s="415" t="s">
        <v>5993</v>
      </c>
      <c r="J390" s="415" t="s">
        <v>1071</v>
      </c>
      <c r="K390" s="418" t="s">
        <v>812</v>
      </c>
      <c r="L390" s="415" t="s">
        <v>32</v>
      </c>
      <c r="M390" s="415" t="s">
        <v>5994</v>
      </c>
      <c r="N390" s="413">
        <v>44753</v>
      </c>
      <c r="O390" s="414" t="s">
        <v>400</v>
      </c>
      <c r="P390" s="655">
        <f t="shared" si="18"/>
        <v>7</v>
      </c>
      <c r="Q390" s="655">
        <f t="shared" si="19"/>
        <v>6</v>
      </c>
      <c r="R390" s="695" t="str">
        <f t="shared" si="20"/>
        <v>Gastos_Gerais</v>
      </c>
      <c r="S390" s="697" t="s">
        <v>998</v>
      </c>
      <c r="T390" s="697">
        <v>3897</v>
      </c>
    </row>
    <row r="391" spans="1:20" ht="72" x14ac:dyDescent="0.2">
      <c r="A391" s="432">
        <f>IF(B391="","",COUNT('Diário 1º PA'!$A$4:$A$2635)+COUNT('Diário 2º PA'!$A$4:$A$3040)+ROW()-3)</f>
        <v>4487</v>
      </c>
      <c r="B391" s="413">
        <v>44756</v>
      </c>
      <c r="C391" s="431">
        <v>44713</v>
      </c>
      <c r="D391" s="415" t="s">
        <v>271</v>
      </c>
      <c r="E391" s="415" t="s">
        <v>90</v>
      </c>
      <c r="F391" s="422">
        <v>10450</v>
      </c>
      <c r="G391" s="427" t="s">
        <v>4892</v>
      </c>
      <c r="H391" s="415" t="s">
        <v>752</v>
      </c>
      <c r="I391" s="415" t="s">
        <v>3671</v>
      </c>
      <c r="J391" s="415" t="s">
        <v>1071</v>
      </c>
      <c r="K391" s="419" t="s">
        <v>830</v>
      </c>
      <c r="L391" s="415" t="s">
        <v>32</v>
      </c>
      <c r="M391" s="415" t="s">
        <v>1892</v>
      </c>
      <c r="N391" s="413">
        <v>44755</v>
      </c>
      <c r="O391" s="414" t="s">
        <v>400</v>
      </c>
      <c r="P391" s="655">
        <f t="shared" si="18"/>
        <v>7</v>
      </c>
      <c r="Q391" s="655">
        <f t="shared" si="19"/>
        <v>6</v>
      </c>
      <c r="R391" s="695" t="str">
        <f t="shared" si="20"/>
        <v>Gastos_Gerais</v>
      </c>
      <c r="S391" s="697" t="s">
        <v>1000</v>
      </c>
      <c r="T391" s="697">
        <v>3913</v>
      </c>
    </row>
    <row r="392" spans="1:20" ht="36" x14ac:dyDescent="0.2">
      <c r="A392" s="432">
        <f>IF(B392="","",COUNT('Diário 1º PA'!$A$4:$A$2635)+COUNT('Diário 2º PA'!$A$4:$A$3040)+ROW()-3)</f>
        <v>4488</v>
      </c>
      <c r="B392" s="413">
        <v>44756</v>
      </c>
      <c r="C392" s="424">
        <v>44743</v>
      </c>
      <c r="D392" s="415" t="s">
        <v>271</v>
      </c>
      <c r="E392" s="415" t="s">
        <v>71</v>
      </c>
      <c r="F392" s="425">
        <v>11</v>
      </c>
      <c r="G392" s="427" t="s">
        <v>6136</v>
      </c>
      <c r="H392" s="415" t="s">
        <v>752</v>
      </c>
      <c r="I392" s="398" t="s">
        <v>881</v>
      </c>
      <c r="J392" s="418" t="s">
        <v>882</v>
      </c>
      <c r="K392" s="418" t="s">
        <v>883</v>
      </c>
      <c r="L392" s="399" t="s">
        <v>798</v>
      </c>
      <c r="M392" s="415" t="s">
        <v>310</v>
      </c>
      <c r="N392" s="413">
        <v>44757</v>
      </c>
      <c r="O392" s="414" t="s">
        <v>400</v>
      </c>
      <c r="P392" s="655">
        <f t="shared" si="18"/>
        <v>7</v>
      </c>
      <c r="Q392" s="655">
        <f t="shared" si="19"/>
        <v>7</v>
      </c>
      <c r="R392" s="695" t="str">
        <f t="shared" si="20"/>
        <v>Gastos_Gerais</v>
      </c>
      <c r="S392" s="697" t="s">
        <v>310</v>
      </c>
      <c r="T392" s="697" t="s">
        <v>310</v>
      </c>
    </row>
    <row r="393" spans="1:20" ht="36" x14ac:dyDescent="0.2">
      <c r="A393" s="432">
        <f>IF(B393="","",COUNT('Diário 1º PA'!$A$4:$A$2635)+COUNT('Diário 2º PA'!$A$4:$A$3040)+ROW()-3)</f>
        <v>4489</v>
      </c>
      <c r="B393" s="413">
        <v>44756</v>
      </c>
      <c r="C393" s="431">
        <v>44713</v>
      </c>
      <c r="D393" s="415" t="s">
        <v>468</v>
      </c>
      <c r="E393" s="415" t="s">
        <v>468</v>
      </c>
      <c r="F393" s="425">
        <v>5585.43</v>
      </c>
      <c r="G393" s="427" t="s">
        <v>4099</v>
      </c>
      <c r="H393" s="415" t="s">
        <v>468</v>
      </c>
      <c r="I393" s="415" t="s">
        <v>5611</v>
      </c>
      <c r="J393" s="415" t="s">
        <v>4100</v>
      </c>
      <c r="K393" s="418" t="s">
        <v>830</v>
      </c>
      <c r="L393" s="399" t="s">
        <v>32</v>
      </c>
      <c r="M393" s="415" t="s">
        <v>1308</v>
      </c>
      <c r="N393" s="413">
        <v>44755</v>
      </c>
      <c r="O393" s="414" t="s">
        <v>408</v>
      </c>
      <c r="P393" s="655">
        <f t="shared" si="18"/>
        <v>7</v>
      </c>
      <c r="Q393" s="655">
        <f t="shared" si="19"/>
        <v>6</v>
      </c>
      <c r="R393" s="695" t="str">
        <f t="shared" si="20"/>
        <v>Gastos_custeados_por_captação</v>
      </c>
      <c r="S393" s="697" t="s">
        <v>1000</v>
      </c>
      <c r="T393" s="697">
        <v>3699</v>
      </c>
    </row>
    <row r="394" spans="1:20" ht="36" x14ac:dyDescent="0.2">
      <c r="A394" s="432">
        <f>IF(B394="","",COUNT('Diário 1º PA'!$A$4:$A$2635)+COUNT('Diário 2º PA'!$A$4:$A$3040)+ROW()-3)</f>
        <v>4490</v>
      </c>
      <c r="B394" s="413">
        <v>44756</v>
      </c>
      <c r="C394" s="431">
        <v>44682</v>
      </c>
      <c r="D394" s="415" t="s">
        <v>468</v>
      </c>
      <c r="E394" s="415" t="s">
        <v>468</v>
      </c>
      <c r="F394" s="425">
        <v>8819.1</v>
      </c>
      <c r="G394" s="427" t="s">
        <v>4102</v>
      </c>
      <c r="H394" s="415" t="s">
        <v>468</v>
      </c>
      <c r="I394" s="398" t="s">
        <v>6413</v>
      </c>
      <c r="J394" s="415" t="s">
        <v>4103</v>
      </c>
      <c r="K394" s="418" t="s">
        <v>830</v>
      </c>
      <c r="L394" s="399" t="s">
        <v>32</v>
      </c>
      <c r="M394" s="415" t="s">
        <v>1308</v>
      </c>
      <c r="N394" s="413">
        <v>44756</v>
      </c>
      <c r="O394" s="414" t="s">
        <v>408</v>
      </c>
      <c r="P394" s="655">
        <f t="shared" si="18"/>
        <v>7</v>
      </c>
      <c r="Q394" s="655">
        <f t="shared" si="19"/>
        <v>5</v>
      </c>
      <c r="R394" s="695" t="str">
        <f t="shared" si="20"/>
        <v>Gastos_custeados_por_captação</v>
      </c>
      <c r="S394" s="697" t="s">
        <v>1000</v>
      </c>
      <c r="T394" s="697">
        <v>3697</v>
      </c>
    </row>
    <row r="395" spans="1:20" ht="36" x14ac:dyDescent="0.2">
      <c r="A395" s="432">
        <f>IF(B395="","",COUNT('Diário 1º PA'!$A$4:$A$2635)+COUNT('Diário 2º PA'!$A$4:$A$3040)+ROW()-3)</f>
        <v>4491</v>
      </c>
      <c r="B395" s="413">
        <v>44756</v>
      </c>
      <c r="C395" s="424">
        <v>44774</v>
      </c>
      <c r="D395" s="415" t="s">
        <v>468</v>
      </c>
      <c r="E395" s="415" t="s">
        <v>468</v>
      </c>
      <c r="F395" s="425">
        <v>11</v>
      </c>
      <c r="G395" s="427" t="s">
        <v>2469</v>
      </c>
      <c r="H395" s="415" t="s">
        <v>468</v>
      </c>
      <c r="I395" s="639" t="s">
        <v>881</v>
      </c>
      <c r="J395" s="418" t="s">
        <v>882</v>
      </c>
      <c r="K395" s="418" t="s">
        <v>883</v>
      </c>
      <c r="L395" s="399" t="s">
        <v>798</v>
      </c>
      <c r="M395" s="544" t="s">
        <v>310</v>
      </c>
      <c r="N395" s="413">
        <v>44756</v>
      </c>
      <c r="O395" s="414" t="s">
        <v>408</v>
      </c>
      <c r="P395" s="655">
        <f t="shared" si="18"/>
        <v>7</v>
      </c>
      <c r="Q395" s="655">
        <f t="shared" si="19"/>
        <v>8</v>
      </c>
      <c r="R395" s="695" t="str">
        <f t="shared" si="20"/>
        <v>Gastos_custeados_por_captação</v>
      </c>
      <c r="S395" s="697" t="s">
        <v>310</v>
      </c>
      <c r="T395" s="697" t="s">
        <v>310</v>
      </c>
    </row>
    <row r="396" spans="1:20" ht="36" x14ac:dyDescent="0.2">
      <c r="A396" s="432">
        <f>IF(B396="","",COUNT('Diário 1º PA'!$A$4:$A$2635)+COUNT('Diário 2º PA'!$A$4:$A$3040)+ROW()-3)</f>
        <v>4492</v>
      </c>
      <c r="B396" s="413">
        <v>44756</v>
      </c>
      <c r="C396" s="424">
        <v>44774</v>
      </c>
      <c r="D396" s="415" t="s">
        <v>468</v>
      </c>
      <c r="E396" s="415" t="s">
        <v>468</v>
      </c>
      <c r="F396" s="425">
        <v>11</v>
      </c>
      <c r="G396" s="427" t="s">
        <v>2469</v>
      </c>
      <c r="H396" s="415" t="s">
        <v>468</v>
      </c>
      <c r="I396" s="639" t="s">
        <v>881</v>
      </c>
      <c r="J396" s="418" t="s">
        <v>882</v>
      </c>
      <c r="K396" s="418" t="s">
        <v>883</v>
      </c>
      <c r="L396" s="399" t="s">
        <v>798</v>
      </c>
      <c r="M396" s="544" t="s">
        <v>310</v>
      </c>
      <c r="N396" s="413">
        <v>44756</v>
      </c>
      <c r="O396" s="414" t="s">
        <v>408</v>
      </c>
      <c r="P396" s="655">
        <f t="shared" si="18"/>
        <v>7</v>
      </c>
      <c r="Q396" s="655">
        <f t="shared" si="19"/>
        <v>8</v>
      </c>
      <c r="R396" s="695" t="str">
        <f t="shared" si="20"/>
        <v>Gastos_custeados_por_captação</v>
      </c>
      <c r="S396" s="697" t="s">
        <v>310</v>
      </c>
      <c r="T396" s="697" t="s">
        <v>310</v>
      </c>
    </row>
    <row r="397" spans="1:20" ht="84" x14ac:dyDescent="0.2">
      <c r="A397" s="432">
        <f>IF(B397="","",COUNT('Diário 1º PA'!$A$4:$A$2635)+COUNT('Diário 2º PA'!$A$4:$A$3040)+ROW()-3)</f>
        <v>4493</v>
      </c>
      <c r="B397" s="413">
        <v>44756</v>
      </c>
      <c r="C397" s="431">
        <v>44713</v>
      </c>
      <c r="D397" s="415" t="s">
        <v>468</v>
      </c>
      <c r="E397" s="415" t="s">
        <v>468</v>
      </c>
      <c r="F397" s="425">
        <v>2269.2399999999998</v>
      </c>
      <c r="G397" s="427" t="s">
        <v>4606</v>
      </c>
      <c r="H397" s="415" t="s">
        <v>468</v>
      </c>
      <c r="I397" s="398" t="s">
        <v>5464</v>
      </c>
      <c r="J397" s="415" t="s">
        <v>3084</v>
      </c>
      <c r="K397" s="419" t="s">
        <v>806</v>
      </c>
      <c r="L397" s="399" t="s">
        <v>839</v>
      </c>
      <c r="M397" s="415">
        <v>1893</v>
      </c>
      <c r="N397" s="413">
        <v>44755</v>
      </c>
      <c r="O397" s="414" t="s">
        <v>3762</v>
      </c>
      <c r="P397" s="655">
        <f t="shared" si="18"/>
        <v>7</v>
      </c>
      <c r="Q397" s="655">
        <f t="shared" si="19"/>
        <v>6</v>
      </c>
      <c r="R397" s="695" t="str">
        <f t="shared" si="20"/>
        <v>Gastos_custeados_por_captação</v>
      </c>
      <c r="S397" s="697" t="s">
        <v>1000</v>
      </c>
      <c r="T397" s="697">
        <v>3891</v>
      </c>
    </row>
    <row r="398" spans="1:20" ht="60" x14ac:dyDescent="0.2">
      <c r="A398" s="432">
        <f>IF(B398="","",COUNT('Diário 1º PA'!$A$4:$A$2635)+COUNT('Diário 2º PA'!$A$4:$A$3040)+ROW()-3)</f>
        <v>4494</v>
      </c>
      <c r="B398" s="413">
        <v>44756</v>
      </c>
      <c r="C398" s="431">
        <v>44743</v>
      </c>
      <c r="D398" s="415" t="s">
        <v>468</v>
      </c>
      <c r="E398" s="415" t="s">
        <v>468</v>
      </c>
      <c r="F398" s="425">
        <v>617.27</v>
      </c>
      <c r="G398" s="427" t="s">
        <v>5813</v>
      </c>
      <c r="H398" s="415" t="s">
        <v>468</v>
      </c>
      <c r="I398" s="398" t="s">
        <v>6457</v>
      </c>
      <c r="J398" s="415" t="s">
        <v>5812</v>
      </c>
      <c r="K398" s="418" t="s">
        <v>830</v>
      </c>
      <c r="L398" s="399" t="s">
        <v>32</v>
      </c>
      <c r="M398" s="415">
        <v>8894</v>
      </c>
      <c r="N398" s="413">
        <v>44756</v>
      </c>
      <c r="O398" s="414" t="s">
        <v>3762</v>
      </c>
      <c r="P398" s="655">
        <f t="shared" si="18"/>
        <v>7</v>
      </c>
      <c r="Q398" s="655">
        <f t="shared" si="19"/>
        <v>7</v>
      </c>
      <c r="R398" s="695" t="str">
        <f t="shared" si="20"/>
        <v>Gastos_custeados_por_captação</v>
      </c>
      <c r="S398" s="697" t="s">
        <v>999</v>
      </c>
      <c r="T398" s="697">
        <v>4115</v>
      </c>
    </row>
    <row r="399" spans="1:20" ht="48" x14ac:dyDescent="0.2">
      <c r="A399" s="432">
        <f>IF(B399="","",COUNT('Diário 1º PA'!$A$4:$A$2635)+COUNT('Diário 2º PA'!$A$4:$A$3040)+ROW()-3)</f>
        <v>4495</v>
      </c>
      <c r="B399" s="413">
        <v>44756</v>
      </c>
      <c r="C399" s="431">
        <v>44743</v>
      </c>
      <c r="D399" s="415" t="s">
        <v>468</v>
      </c>
      <c r="E399" s="415" t="s">
        <v>468</v>
      </c>
      <c r="F399" s="425">
        <v>149.9</v>
      </c>
      <c r="G399" s="427" t="s">
        <v>5814</v>
      </c>
      <c r="H399" s="415" t="s">
        <v>468</v>
      </c>
      <c r="I399" s="398" t="s">
        <v>5409</v>
      </c>
      <c r="J399" s="415" t="s">
        <v>4224</v>
      </c>
      <c r="K399" s="418" t="s">
        <v>830</v>
      </c>
      <c r="L399" s="399" t="s">
        <v>32</v>
      </c>
      <c r="M399" s="415">
        <v>320</v>
      </c>
      <c r="N399" s="413">
        <v>44756</v>
      </c>
      <c r="O399" s="414" t="s">
        <v>3762</v>
      </c>
      <c r="P399" s="655">
        <f t="shared" si="18"/>
        <v>7</v>
      </c>
      <c r="Q399" s="655">
        <f t="shared" si="19"/>
        <v>7</v>
      </c>
      <c r="R399" s="695" t="str">
        <f t="shared" si="20"/>
        <v>Gastos_custeados_por_captação</v>
      </c>
      <c r="S399" s="697" t="s">
        <v>999</v>
      </c>
      <c r="T399" s="697">
        <v>4110</v>
      </c>
    </row>
    <row r="400" spans="1:20" ht="48" x14ac:dyDescent="0.2">
      <c r="A400" s="432">
        <f>IF(B400="","",COUNT('Diário 1º PA'!$A$4:$A$2635)+COUNT('Diário 2º PA'!$A$4:$A$3040)+ROW()-3)</f>
        <v>4496</v>
      </c>
      <c r="B400" s="413">
        <v>44756</v>
      </c>
      <c r="C400" s="431">
        <v>44743</v>
      </c>
      <c r="D400" s="415" t="s">
        <v>468</v>
      </c>
      <c r="E400" s="415" t="s">
        <v>468</v>
      </c>
      <c r="F400" s="425">
        <v>948</v>
      </c>
      <c r="G400" s="427" t="s">
        <v>5816</v>
      </c>
      <c r="H400" s="415" t="s">
        <v>468</v>
      </c>
      <c r="I400" s="398" t="s">
        <v>6458</v>
      </c>
      <c r="J400" s="415" t="s">
        <v>5817</v>
      </c>
      <c r="K400" s="418" t="s">
        <v>830</v>
      </c>
      <c r="L400" s="399" t="s">
        <v>32</v>
      </c>
      <c r="M400" s="415">
        <v>70</v>
      </c>
      <c r="N400" s="413">
        <v>44756</v>
      </c>
      <c r="O400" s="414" t="s">
        <v>3762</v>
      </c>
      <c r="P400" s="655">
        <f t="shared" si="18"/>
        <v>7</v>
      </c>
      <c r="Q400" s="655">
        <f t="shared" si="19"/>
        <v>7</v>
      </c>
      <c r="R400" s="695" t="str">
        <f t="shared" si="20"/>
        <v>Gastos_custeados_por_captação</v>
      </c>
      <c r="S400" s="697" t="s">
        <v>999</v>
      </c>
      <c r="T400" s="697">
        <v>4113</v>
      </c>
    </row>
    <row r="401" spans="1:20" ht="48" x14ac:dyDescent="0.2">
      <c r="A401" s="432">
        <f>IF(B401="","",COUNT('Diário 1º PA'!$A$4:$A$2635)+COUNT('Diário 2º PA'!$A$4:$A$3040)+ROW()-3)</f>
        <v>4497</v>
      </c>
      <c r="B401" s="413">
        <v>44756</v>
      </c>
      <c r="C401" s="431">
        <v>44713</v>
      </c>
      <c r="D401" s="415" t="s">
        <v>468</v>
      </c>
      <c r="E401" s="415" t="s">
        <v>468</v>
      </c>
      <c r="F401" s="425">
        <v>259</v>
      </c>
      <c r="G401" s="427" t="s">
        <v>5475</v>
      </c>
      <c r="H401" s="415" t="s">
        <v>468</v>
      </c>
      <c r="I401" s="398" t="s">
        <v>6459</v>
      </c>
      <c r="J401" s="415" t="s">
        <v>1889</v>
      </c>
      <c r="K401" s="418" t="s">
        <v>830</v>
      </c>
      <c r="L401" s="399" t="s">
        <v>32</v>
      </c>
      <c r="M401" s="415">
        <v>11385</v>
      </c>
      <c r="N401" s="413">
        <v>44742</v>
      </c>
      <c r="O401" s="414" t="s">
        <v>3762</v>
      </c>
      <c r="P401" s="655">
        <f t="shared" si="18"/>
        <v>7</v>
      </c>
      <c r="Q401" s="655">
        <f t="shared" si="19"/>
        <v>6</v>
      </c>
      <c r="R401" s="695" t="str">
        <f t="shared" si="20"/>
        <v>Gastos_custeados_por_captação</v>
      </c>
      <c r="S401" s="697" t="s">
        <v>999</v>
      </c>
      <c r="T401" s="697">
        <v>4018</v>
      </c>
    </row>
    <row r="402" spans="1:20" ht="48" x14ac:dyDescent="0.2">
      <c r="A402" s="432">
        <f>IF(B402="","",COUNT('Diário 1º PA'!$A$4:$A$2635)+COUNT('Diário 2º PA'!$A$4:$A$3040)+ROW()-3)</f>
        <v>4498</v>
      </c>
      <c r="B402" s="413">
        <v>44756</v>
      </c>
      <c r="C402" s="431">
        <v>44743</v>
      </c>
      <c r="D402" s="415" t="s">
        <v>468</v>
      </c>
      <c r="E402" s="415" t="s">
        <v>468</v>
      </c>
      <c r="F402" s="425">
        <v>654.42999999999995</v>
      </c>
      <c r="G402" s="427" t="s">
        <v>5818</v>
      </c>
      <c r="H402" s="415" t="s">
        <v>468</v>
      </c>
      <c r="I402" s="398" t="s">
        <v>6460</v>
      </c>
      <c r="J402" s="415" t="s">
        <v>4990</v>
      </c>
      <c r="K402" s="418" t="s">
        <v>830</v>
      </c>
      <c r="L402" s="399" t="s">
        <v>32</v>
      </c>
      <c r="M402" s="415">
        <v>19831</v>
      </c>
      <c r="N402" s="413">
        <v>44756</v>
      </c>
      <c r="O402" s="414" t="s">
        <v>3762</v>
      </c>
      <c r="P402" s="655">
        <f t="shared" si="18"/>
        <v>7</v>
      </c>
      <c r="Q402" s="655">
        <f t="shared" si="19"/>
        <v>7</v>
      </c>
      <c r="R402" s="695" t="str">
        <f t="shared" si="20"/>
        <v>Gastos_custeados_por_captação</v>
      </c>
      <c r="S402" s="697" t="s">
        <v>999</v>
      </c>
      <c r="T402" s="697">
        <v>4121</v>
      </c>
    </row>
    <row r="403" spans="1:20" ht="48" x14ac:dyDescent="0.2">
      <c r="A403" s="432">
        <f>IF(B403="","",COUNT('Diário 1º PA'!$A$4:$A$2635)+COUNT('Diário 2º PA'!$A$4:$A$3040)+ROW()-3)</f>
        <v>4499</v>
      </c>
      <c r="B403" s="413">
        <v>44756</v>
      </c>
      <c r="C403" s="431">
        <v>44743</v>
      </c>
      <c r="D403" s="415" t="s">
        <v>468</v>
      </c>
      <c r="E403" s="415" t="s">
        <v>468</v>
      </c>
      <c r="F403" s="425">
        <v>11</v>
      </c>
      <c r="G403" s="427" t="s">
        <v>2469</v>
      </c>
      <c r="H403" s="415" t="s">
        <v>468</v>
      </c>
      <c r="I403" s="639" t="s">
        <v>881</v>
      </c>
      <c r="J403" s="418" t="s">
        <v>882</v>
      </c>
      <c r="K403" s="418" t="s">
        <v>883</v>
      </c>
      <c r="L403" s="399" t="s">
        <v>798</v>
      </c>
      <c r="M403" s="544" t="s">
        <v>310</v>
      </c>
      <c r="N403" s="413">
        <v>44756</v>
      </c>
      <c r="O403" s="414" t="s">
        <v>3762</v>
      </c>
      <c r="P403" s="655">
        <f t="shared" si="18"/>
        <v>7</v>
      </c>
      <c r="Q403" s="655">
        <f t="shared" si="19"/>
        <v>7</v>
      </c>
      <c r="R403" s="695" t="str">
        <f t="shared" si="20"/>
        <v>Gastos_custeados_por_captação</v>
      </c>
      <c r="S403" s="697" t="s">
        <v>310</v>
      </c>
      <c r="T403" s="697" t="s">
        <v>310</v>
      </c>
    </row>
    <row r="404" spans="1:20" ht="48" x14ac:dyDescent="0.2">
      <c r="A404" s="432">
        <f>IF(B404="","",COUNT('Diário 1º PA'!$A$4:$A$2635)+COUNT('Diário 2º PA'!$A$4:$A$3040)+ROW()-3)</f>
        <v>4500</v>
      </c>
      <c r="B404" s="413">
        <v>44756</v>
      </c>
      <c r="C404" s="431">
        <v>44743</v>
      </c>
      <c r="D404" s="415" t="s">
        <v>468</v>
      </c>
      <c r="E404" s="415" t="s">
        <v>468</v>
      </c>
      <c r="F404" s="425">
        <v>11</v>
      </c>
      <c r="G404" s="427" t="s">
        <v>2469</v>
      </c>
      <c r="H404" s="415" t="s">
        <v>468</v>
      </c>
      <c r="I404" s="639" t="s">
        <v>881</v>
      </c>
      <c r="J404" s="418" t="s">
        <v>882</v>
      </c>
      <c r="K404" s="418" t="s">
        <v>883</v>
      </c>
      <c r="L404" s="399" t="s">
        <v>798</v>
      </c>
      <c r="M404" s="544" t="s">
        <v>310</v>
      </c>
      <c r="N404" s="413">
        <v>44756</v>
      </c>
      <c r="O404" s="414" t="s">
        <v>3762</v>
      </c>
      <c r="P404" s="655">
        <f t="shared" si="18"/>
        <v>7</v>
      </c>
      <c r="Q404" s="655">
        <f t="shared" si="19"/>
        <v>7</v>
      </c>
      <c r="R404" s="695" t="str">
        <f t="shared" si="20"/>
        <v>Gastos_custeados_por_captação</v>
      </c>
      <c r="S404" s="697" t="s">
        <v>310</v>
      </c>
      <c r="T404" s="697" t="s">
        <v>310</v>
      </c>
    </row>
    <row r="405" spans="1:20" ht="48" x14ac:dyDescent="0.2">
      <c r="A405" s="432">
        <f>IF(B405="","",COUNT('Diário 1º PA'!$A$4:$A$2635)+COUNT('Diário 2º PA'!$A$4:$A$3040)+ROW()-3)</f>
        <v>4501</v>
      </c>
      <c r="B405" s="413">
        <v>44756</v>
      </c>
      <c r="C405" s="431">
        <v>44743</v>
      </c>
      <c r="D405" s="415" t="s">
        <v>468</v>
      </c>
      <c r="E405" s="415" t="s">
        <v>468</v>
      </c>
      <c r="F405" s="425">
        <v>11</v>
      </c>
      <c r="G405" s="427" t="s">
        <v>2469</v>
      </c>
      <c r="H405" s="415" t="s">
        <v>468</v>
      </c>
      <c r="I405" s="639" t="s">
        <v>881</v>
      </c>
      <c r="J405" s="418" t="s">
        <v>882</v>
      </c>
      <c r="K405" s="418" t="s">
        <v>883</v>
      </c>
      <c r="L405" s="399" t="s">
        <v>798</v>
      </c>
      <c r="M405" s="544" t="s">
        <v>310</v>
      </c>
      <c r="N405" s="413">
        <v>44756</v>
      </c>
      <c r="O405" s="414" t="s">
        <v>3762</v>
      </c>
      <c r="P405" s="655">
        <f t="shared" si="18"/>
        <v>7</v>
      </c>
      <c r="Q405" s="655">
        <f t="shared" si="19"/>
        <v>7</v>
      </c>
      <c r="R405" s="695" t="str">
        <f t="shared" si="20"/>
        <v>Gastos_custeados_por_captação</v>
      </c>
      <c r="S405" s="697" t="s">
        <v>310</v>
      </c>
      <c r="T405" s="697" t="s">
        <v>310</v>
      </c>
    </row>
    <row r="406" spans="1:20" ht="60" x14ac:dyDescent="0.2">
      <c r="A406" s="432">
        <f>IF(B406="","",COUNT('Diário 1º PA'!$A$4:$A$2635)+COUNT('Diário 2º PA'!$A$4:$A$3040)+ROW()-3)</f>
        <v>4502</v>
      </c>
      <c r="B406" s="413">
        <v>44756</v>
      </c>
      <c r="C406" s="431">
        <v>44713</v>
      </c>
      <c r="D406" s="415" t="s">
        <v>468</v>
      </c>
      <c r="E406" s="415" t="s">
        <v>468</v>
      </c>
      <c r="F406" s="425">
        <v>1998.6</v>
      </c>
      <c r="G406" s="427" t="s">
        <v>4728</v>
      </c>
      <c r="H406" s="415" t="s">
        <v>468</v>
      </c>
      <c r="I406" s="639" t="s">
        <v>2829</v>
      </c>
      <c r="J406" s="415" t="s">
        <v>1834</v>
      </c>
      <c r="K406" s="418" t="s">
        <v>830</v>
      </c>
      <c r="L406" s="399" t="s">
        <v>839</v>
      </c>
      <c r="M406" s="544">
        <v>1895</v>
      </c>
      <c r="N406" s="413">
        <v>44756</v>
      </c>
      <c r="O406" s="414" t="s">
        <v>404</v>
      </c>
      <c r="P406" s="655">
        <f t="shared" si="18"/>
        <v>7</v>
      </c>
      <c r="Q406" s="655">
        <f t="shared" si="19"/>
        <v>6</v>
      </c>
      <c r="R406" s="695" t="str">
        <f t="shared" si="20"/>
        <v>Gastos_custeados_por_captação</v>
      </c>
      <c r="S406" s="697" t="s">
        <v>1000</v>
      </c>
      <c r="T406" s="697">
        <v>3906</v>
      </c>
    </row>
    <row r="407" spans="1:20" ht="60" x14ac:dyDescent="0.2">
      <c r="A407" s="432">
        <f>IF(B407="","",COUNT('Diário 1º PA'!$A$4:$A$2635)+COUNT('Diário 2º PA'!$A$4:$A$3040)+ROW()-3)</f>
        <v>4503</v>
      </c>
      <c r="B407" s="413">
        <v>44756</v>
      </c>
      <c r="C407" s="431">
        <v>44713</v>
      </c>
      <c r="D407" s="415" t="s">
        <v>468</v>
      </c>
      <c r="E407" s="415" t="s">
        <v>468</v>
      </c>
      <c r="F407" s="425">
        <v>1500</v>
      </c>
      <c r="G407" s="427" t="s">
        <v>5156</v>
      </c>
      <c r="H407" s="415" t="s">
        <v>468</v>
      </c>
      <c r="I407" s="639" t="s">
        <v>6610</v>
      </c>
      <c r="J407" s="415" t="s">
        <v>5157</v>
      </c>
      <c r="K407" s="418" t="s">
        <v>830</v>
      </c>
      <c r="L407" s="399" t="s">
        <v>1305</v>
      </c>
      <c r="M407" s="544" t="s">
        <v>310</v>
      </c>
      <c r="N407" s="413">
        <v>44756</v>
      </c>
      <c r="O407" s="414" t="s">
        <v>405</v>
      </c>
      <c r="P407" s="655">
        <f t="shared" si="18"/>
        <v>7</v>
      </c>
      <c r="Q407" s="655">
        <f t="shared" si="19"/>
        <v>6</v>
      </c>
      <c r="R407" s="695" t="str">
        <f t="shared" si="20"/>
        <v>Gastos_custeados_por_captação</v>
      </c>
      <c r="S407" s="697" t="s">
        <v>998</v>
      </c>
      <c r="T407" s="697">
        <v>3978</v>
      </c>
    </row>
    <row r="408" spans="1:20" ht="36" x14ac:dyDescent="0.2">
      <c r="A408" s="432">
        <f>IF(B408="","",COUNT('Diário 1º PA'!$A$4:$A$2635)+COUNT('Diário 2º PA'!$A$4:$A$3040)+ROW()-3)</f>
        <v>4504</v>
      </c>
      <c r="B408" s="413">
        <v>44757</v>
      </c>
      <c r="C408" s="466">
        <v>44743</v>
      </c>
      <c r="D408" s="415" t="s">
        <v>182</v>
      </c>
      <c r="E408" s="415" t="s">
        <v>325</v>
      </c>
      <c r="F408" s="425">
        <v>-222.88</v>
      </c>
      <c r="G408" s="427" t="s">
        <v>1378</v>
      </c>
      <c r="H408" s="415" t="s">
        <v>310</v>
      </c>
      <c r="I408" s="473" t="s">
        <v>795</v>
      </c>
      <c r="J408" s="415" t="s">
        <v>796</v>
      </c>
      <c r="K408" s="415" t="s">
        <v>797</v>
      </c>
      <c r="L408" s="415" t="s">
        <v>798</v>
      </c>
      <c r="M408" s="415" t="s">
        <v>310</v>
      </c>
      <c r="N408" s="413">
        <v>44757</v>
      </c>
      <c r="O408" s="414" t="s">
        <v>400</v>
      </c>
      <c r="P408" s="655">
        <f t="shared" si="18"/>
        <v>7</v>
      </c>
      <c r="Q408" s="655">
        <f t="shared" si="19"/>
        <v>7</v>
      </c>
      <c r="R408" s="695" t="str">
        <f t="shared" si="20"/>
        <v>Gastos_com_Pessoal</v>
      </c>
      <c r="S408" s="697" t="s">
        <v>310</v>
      </c>
      <c r="T408" s="697" t="s">
        <v>310</v>
      </c>
    </row>
    <row r="409" spans="1:20" ht="48" x14ac:dyDescent="0.2">
      <c r="A409" s="432">
        <f>IF(B409="","",COUNT('Diário 1º PA'!$A$4:$A$2635)+COUNT('Diário 2º PA'!$A$4:$A$3040)+ROW()-3)</f>
        <v>4505</v>
      </c>
      <c r="B409" s="413">
        <v>44757</v>
      </c>
      <c r="C409" s="433">
        <v>44682</v>
      </c>
      <c r="D409" s="415" t="s">
        <v>182</v>
      </c>
      <c r="E409" s="415" t="s">
        <v>1</v>
      </c>
      <c r="F409" s="425">
        <v>-204.74</v>
      </c>
      <c r="G409" s="427" t="s">
        <v>1384</v>
      </c>
      <c r="H409" s="415" t="s">
        <v>310</v>
      </c>
      <c r="I409" s="473" t="s">
        <v>795</v>
      </c>
      <c r="J409" s="415" t="s">
        <v>796</v>
      </c>
      <c r="K409" s="415" t="s">
        <v>797</v>
      </c>
      <c r="L409" s="415" t="s">
        <v>798</v>
      </c>
      <c r="M409" s="415" t="s">
        <v>310</v>
      </c>
      <c r="N409" s="413">
        <v>44757</v>
      </c>
      <c r="O409" s="414" t="s">
        <v>400</v>
      </c>
      <c r="P409" s="655">
        <f t="shared" si="18"/>
        <v>7</v>
      </c>
      <c r="Q409" s="655">
        <f t="shared" si="19"/>
        <v>5</v>
      </c>
      <c r="R409" s="695" t="str">
        <f t="shared" si="20"/>
        <v>Gastos_com_Pessoal</v>
      </c>
      <c r="S409" s="697" t="s">
        <v>310</v>
      </c>
      <c r="T409" s="697" t="s">
        <v>310</v>
      </c>
    </row>
    <row r="410" spans="1:20" ht="36" x14ac:dyDescent="0.2">
      <c r="A410" s="432">
        <f>IF(B410="","",COUNT('Diário 1º PA'!$A$4:$A$2635)+COUNT('Diário 2º PA'!$A$4:$A$3040)+ROW()-3)</f>
        <v>4506</v>
      </c>
      <c r="B410" s="414">
        <v>44757</v>
      </c>
      <c r="C410" s="466">
        <v>44743</v>
      </c>
      <c r="D410" s="415" t="s">
        <v>182</v>
      </c>
      <c r="E410" s="415" t="s">
        <v>325</v>
      </c>
      <c r="F410" s="425">
        <v>-2914.37</v>
      </c>
      <c r="G410" s="427" t="s">
        <v>1382</v>
      </c>
      <c r="H410" s="415" t="s">
        <v>310</v>
      </c>
      <c r="I410" s="473" t="s">
        <v>795</v>
      </c>
      <c r="J410" s="415" t="s">
        <v>796</v>
      </c>
      <c r="K410" s="415" t="s">
        <v>797</v>
      </c>
      <c r="L410" s="415" t="s">
        <v>798</v>
      </c>
      <c r="M410" s="415" t="s">
        <v>310</v>
      </c>
      <c r="N410" s="414">
        <v>44757</v>
      </c>
      <c r="O410" s="414" t="s">
        <v>400</v>
      </c>
      <c r="P410" s="655">
        <f t="shared" si="18"/>
        <v>7</v>
      </c>
      <c r="Q410" s="655">
        <f t="shared" si="19"/>
        <v>7</v>
      </c>
      <c r="R410" s="695" t="str">
        <f t="shared" si="20"/>
        <v>Gastos_com_Pessoal</v>
      </c>
      <c r="S410" s="697" t="s">
        <v>310</v>
      </c>
      <c r="T410" s="697" t="s">
        <v>310</v>
      </c>
    </row>
    <row r="411" spans="1:20" ht="36" x14ac:dyDescent="0.2">
      <c r="A411" s="432">
        <f>IF(B411="","",COUNT('Diário 1º PA'!$A$4:$A$2635)+COUNT('Diário 2º PA'!$A$4:$A$3040)+ROW()-3)</f>
        <v>4507</v>
      </c>
      <c r="B411" s="414">
        <v>44757</v>
      </c>
      <c r="C411" s="466">
        <v>44743</v>
      </c>
      <c r="D411" s="415" t="s">
        <v>182</v>
      </c>
      <c r="E411" s="415" t="s">
        <v>287</v>
      </c>
      <c r="F411" s="425">
        <v>4197.45</v>
      </c>
      <c r="G411" s="427" t="s">
        <v>5996</v>
      </c>
      <c r="H411" s="415" t="s">
        <v>310</v>
      </c>
      <c r="I411" s="473" t="s">
        <v>949</v>
      </c>
      <c r="J411" s="415" t="s">
        <v>950</v>
      </c>
      <c r="K411" s="419" t="s">
        <v>806</v>
      </c>
      <c r="L411" s="415" t="s">
        <v>925</v>
      </c>
      <c r="M411" s="415" t="s">
        <v>310</v>
      </c>
      <c r="N411" s="414">
        <v>44757</v>
      </c>
      <c r="O411" s="414" t="s">
        <v>400</v>
      </c>
      <c r="P411" s="655">
        <f t="shared" si="18"/>
        <v>7</v>
      </c>
      <c r="Q411" s="655">
        <f t="shared" si="19"/>
        <v>7</v>
      </c>
      <c r="R411" s="695" t="str">
        <f t="shared" si="20"/>
        <v>Gastos_com_Pessoal</v>
      </c>
      <c r="S411" s="697" t="s">
        <v>310</v>
      </c>
      <c r="T411" s="697" t="s">
        <v>310</v>
      </c>
    </row>
    <row r="412" spans="1:20" ht="36" x14ac:dyDescent="0.2">
      <c r="A412" s="432">
        <f>IF(B412="","",COUNT('Diário 1º PA'!$A$4:$A$2635)+COUNT('Diário 2º PA'!$A$4:$A$3040)+ROW()-3)</f>
        <v>4508</v>
      </c>
      <c r="B412" s="414">
        <v>44757</v>
      </c>
      <c r="C412" s="433">
        <v>44682</v>
      </c>
      <c r="D412" s="434" t="s">
        <v>182</v>
      </c>
      <c r="E412" s="434" t="s">
        <v>1</v>
      </c>
      <c r="F412" s="425">
        <v>1953.37</v>
      </c>
      <c r="G412" s="437" t="s">
        <v>4117</v>
      </c>
      <c r="H412" s="434" t="s">
        <v>310</v>
      </c>
      <c r="I412" s="434" t="s">
        <v>773</v>
      </c>
      <c r="J412" s="434" t="s">
        <v>1397</v>
      </c>
      <c r="K412" s="419" t="s">
        <v>812</v>
      </c>
      <c r="L412" s="415" t="s">
        <v>32</v>
      </c>
      <c r="M412" s="415" t="s">
        <v>5997</v>
      </c>
      <c r="N412" s="413">
        <v>44715</v>
      </c>
      <c r="O412" s="414" t="s">
        <v>400</v>
      </c>
      <c r="P412" s="655">
        <f t="shared" si="18"/>
        <v>7</v>
      </c>
      <c r="Q412" s="655">
        <f t="shared" si="19"/>
        <v>5</v>
      </c>
      <c r="R412" s="695" t="str">
        <f t="shared" si="20"/>
        <v>Gastos_com_Pessoal</v>
      </c>
      <c r="S412" s="697" t="s">
        <v>310</v>
      </c>
      <c r="T412" s="697" t="s">
        <v>310</v>
      </c>
    </row>
    <row r="413" spans="1:20" ht="114.75" customHeight="1" x14ac:dyDescent="0.2">
      <c r="A413" s="432">
        <f>IF(B413="","",COUNT('Diário 1º PA'!$A$4:$A$2635)+COUNT('Diário 2º PA'!$A$4:$A$3040)+ROW()-3)</f>
        <v>4509</v>
      </c>
      <c r="B413" s="414">
        <v>44757</v>
      </c>
      <c r="C413" s="433">
        <v>44743</v>
      </c>
      <c r="D413" s="415" t="s">
        <v>182</v>
      </c>
      <c r="E413" s="415" t="s">
        <v>325</v>
      </c>
      <c r="F413" s="425">
        <v>23470.83</v>
      </c>
      <c r="G413" s="427" t="s">
        <v>1399</v>
      </c>
      <c r="H413" s="415" t="s">
        <v>310</v>
      </c>
      <c r="I413" s="473" t="s">
        <v>773</v>
      </c>
      <c r="J413" s="415" t="s">
        <v>1397</v>
      </c>
      <c r="K413" s="415" t="s">
        <v>812</v>
      </c>
      <c r="L413" s="415" t="s">
        <v>32</v>
      </c>
      <c r="M413" s="415" t="s">
        <v>6000</v>
      </c>
      <c r="N413" s="414">
        <v>44719</v>
      </c>
      <c r="O413" s="414" t="s">
        <v>400</v>
      </c>
      <c r="P413" s="655">
        <f t="shared" si="18"/>
        <v>7</v>
      </c>
      <c r="Q413" s="655">
        <f t="shared" si="19"/>
        <v>7</v>
      </c>
      <c r="R413" s="695" t="str">
        <f t="shared" si="20"/>
        <v>Gastos_com_Pessoal</v>
      </c>
      <c r="S413" s="697" t="s">
        <v>310</v>
      </c>
      <c r="T413" s="697" t="s">
        <v>310</v>
      </c>
    </row>
    <row r="414" spans="1:20" ht="60" x14ac:dyDescent="0.2">
      <c r="A414" s="432">
        <f>IF(B414="","",COUNT('Diário 1º PA'!$A$4:$A$2635)+COUNT('Diário 2º PA'!$A$4:$A$3040)+ROW()-3)</f>
        <v>4510</v>
      </c>
      <c r="B414" s="414">
        <v>44757</v>
      </c>
      <c r="C414" s="431">
        <v>44713</v>
      </c>
      <c r="D414" s="434" t="s">
        <v>271</v>
      </c>
      <c r="E414" s="434" t="s">
        <v>91</v>
      </c>
      <c r="F414" s="425">
        <v>395.55</v>
      </c>
      <c r="G414" s="427" t="s">
        <v>471</v>
      </c>
      <c r="H414" s="415" t="s">
        <v>309</v>
      </c>
      <c r="I414" s="473" t="s">
        <v>1505</v>
      </c>
      <c r="J414" s="415" t="s">
        <v>1009</v>
      </c>
      <c r="K414" s="415" t="s">
        <v>812</v>
      </c>
      <c r="L414" s="415" t="s">
        <v>32</v>
      </c>
      <c r="M414" s="415">
        <v>42215511</v>
      </c>
      <c r="N414" s="414">
        <v>44743</v>
      </c>
      <c r="O414" s="414" t="s">
        <v>400</v>
      </c>
      <c r="P414" s="655">
        <f t="shared" si="18"/>
        <v>7</v>
      </c>
      <c r="Q414" s="655">
        <f t="shared" si="19"/>
        <v>6</v>
      </c>
      <c r="R414" s="695" t="str">
        <f t="shared" si="20"/>
        <v>Gastos_Gerais</v>
      </c>
      <c r="S414" s="697" t="s">
        <v>1000</v>
      </c>
      <c r="T414" s="699">
        <v>1142</v>
      </c>
    </row>
    <row r="415" spans="1:20" ht="24" x14ac:dyDescent="0.2">
      <c r="A415" s="432">
        <f>IF(B415="","",COUNT('Diário 1º PA'!$A$4:$A$2635)+COUNT('Diário 2º PA'!$A$4:$A$3040)+ROW()-3)</f>
        <v>4511</v>
      </c>
      <c r="B415" s="455">
        <v>44757</v>
      </c>
      <c r="C415" s="466">
        <v>44743</v>
      </c>
      <c r="D415" s="415" t="s">
        <v>182</v>
      </c>
      <c r="E415" s="415" t="s">
        <v>161</v>
      </c>
      <c r="F415" s="425">
        <v>228.99</v>
      </c>
      <c r="G415" s="427" t="s">
        <v>1495</v>
      </c>
      <c r="H415" s="415" t="s">
        <v>310</v>
      </c>
      <c r="I415" s="473" t="s">
        <v>2008</v>
      </c>
      <c r="J415" s="548" t="s">
        <v>2009</v>
      </c>
      <c r="K415" s="415" t="s">
        <v>812</v>
      </c>
      <c r="L415" s="415" t="s">
        <v>807</v>
      </c>
      <c r="M415" s="415" t="s">
        <v>6237</v>
      </c>
      <c r="N415" s="414">
        <v>44761</v>
      </c>
      <c r="O415" s="414" t="s">
        <v>400</v>
      </c>
      <c r="P415" s="655">
        <f t="shared" si="18"/>
        <v>7</v>
      </c>
      <c r="Q415" s="655">
        <f t="shared" si="19"/>
        <v>7</v>
      </c>
      <c r="R415" s="695" t="str">
        <f t="shared" si="20"/>
        <v>Gastos_com_Pessoal</v>
      </c>
      <c r="S415" s="697" t="s">
        <v>310</v>
      </c>
      <c r="T415" s="697" t="s">
        <v>310</v>
      </c>
    </row>
    <row r="416" spans="1:20" ht="60" x14ac:dyDescent="0.2">
      <c r="A416" s="432">
        <f>IF(B416="","",COUNT('Diário 1º PA'!$A$4:$A$2635)+COUNT('Diário 2º PA'!$A$4:$A$3040)+ROW()-3)</f>
        <v>4512</v>
      </c>
      <c r="B416" s="455">
        <v>44757</v>
      </c>
      <c r="C416" s="431">
        <v>44713</v>
      </c>
      <c r="D416" s="415" t="s">
        <v>271</v>
      </c>
      <c r="E416" s="415" t="s">
        <v>465</v>
      </c>
      <c r="F416" s="425">
        <v>12095.08</v>
      </c>
      <c r="G416" s="427" t="s">
        <v>5480</v>
      </c>
      <c r="H416" s="415" t="s">
        <v>752</v>
      </c>
      <c r="I416" s="415" t="s">
        <v>1464</v>
      </c>
      <c r="J416" s="415" t="s">
        <v>1010</v>
      </c>
      <c r="K416" s="415" t="s">
        <v>830</v>
      </c>
      <c r="L416" s="415" t="s">
        <v>32</v>
      </c>
      <c r="M416" s="415" t="s">
        <v>6014</v>
      </c>
      <c r="N416" s="414">
        <v>44756</v>
      </c>
      <c r="O416" s="414" t="s">
        <v>400</v>
      </c>
      <c r="P416" s="655">
        <f t="shared" si="18"/>
        <v>7</v>
      </c>
      <c r="Q416" s="655">
        <f t="shared" si="19"/>
        <v>6</v>
      </c>
      <c r="R416" s="695" t="str">
        <f t="shared" si="20"/>
        <v>Gastos_Gerais</v>
      </c>
      <c r="S416" s="697" t="s">
        <v>1000</v>
      </c>
      <c r="T416" s="697">
        <v>4011</v>
      </c>
    </row>
    <row r="417" spans="1:20" ht="36" x14ac:dyDescent="0.2">
      <c r="A417" s="432">
        <f>IF(B417="","",COUNT('Diário 1º PA'!$A$4:$A$2635)+COUNT('Diário 2º PA'!$A$4:$A$3040)+ROW()-3)</f>
        <v>4513</v>
      </c>
      <c r="B417" s="413">
        <v>44757</v>
      </c>
      <c r="C417" s="431">
        <v>44743</v>
      </c>
      <c r="D417" s="415" t="s">
        <v>271</v>
      </c>
      <c r="E417" s="415" t="s">
        <v>90</v>
      </c>
      <c r="F417" s="422">
        <v>582.96</v>
      </c>
      <c r="G417" s="427" t="s">
        <v>6003</v>
      </c>
      <c r="H417" s="415" t="s">
        <v>750</v>
      </c>
      <c r="I417" s="415" t="s">
        <v>872</v>
      </c>
      <c r="J417" s="415" t="s">
        <v>873</v>
      </c>
      <c r="K417" s="419" t="s">
        <v>830</v>
      </c>
      <c r="L417" s="415" t="s">
        <v>32</v>
      </c>
      <c r="M417" s="415" t="s">
        <v>2070</v>
      </c>
      <c r="N417" s="413">
        <v>44757</v>
      </c>
      <c r="O417" s="414" t="s">
        <v>400</v>
      </c>
      <c r="P417" s="655">
        <f t="shared" si="18"/>
        <v>7</v>
      </c>
      <c r="Q417" s="655">
        <f t="shared" si="19"/>
        <v>7</v>
      </c>
      <c r="R417" s="695" t="str">
        <f t="shared" si="20"/>
        <v>Gastos_Gerais</v>
      </c>
      <c r="S417" s="697" t="s">
        <v>5937</v>
      </c>
      <c r="T417" s="697">
        <v>4087</v>
      </c>
    </row>
    <row r="418" spans="1:20" ht="60" x14ac:dyDescent="0.2">
      <c r="A418" s="432">
        <f>IF(B418="","",COUNT('Diário 1º PA'!$A$4:$A$2635)+COUNT('Diário 2º PA'!$A$4:$A$3040)+ROW()-3)</f>
        <v>4514</v>
      </c>
      <c r="B418" s="413">
        <v>44757</v>
      </c>
      <c r="C418" s="431">
        <v>44713</v>
      </c>
      <c r="D418" s="415" t="s">
        <v>271</v>
      </c>
      <c r="E418" s="415" t="s">
        <v>91</v>
      </c>
      <c r="F418" s="425">
        <v>3000</v>
      </c>
      <c r="G418" s="427" t="s">
        <v>4889</v>
      </c>
      <c r="H418" s="415" t="s">
        <v>750</v>
      </c>
      <c r="I418" s="415" t="s">
        <v>2139</v>
      </c>
      <c r="J418" s="415" t="s">
        <v>4890</v>
      </c>
      <c r="K418" s="419" t="s">
        <v>830</v>
      </c>
      <c r="L418" s="415" t="s">
        <v>2140</v>
      </c>
      <c r="M418" s="415">
        <v>326</v>
      </c>
      <c r="N418" s="413">
        <v>44756</v>
      </c>
      <c r="O418" s="414" t="s">
        <v>400</v>
      </c>
      <c r="P418" s="655">
        <f t="shared" si="18"/>
        <v>7</v>
      </c>
      <c r="Q418" s="655">
        <f t="shared" si="19"/>
        <v>6</v>
      </c>
      <c r="R418" s="695" t="str">
        <f t="shared" si="20"/>
        <v>Gastos_Gerais</v>
      </c>
      <c r="S418" s="696" t="s">
        <v>998</v>
      </c>
      <c r="T418" s="696">
        <v>3768</v>
      </c>
    </row>
    <row r="419" spans="1:20" ht="36" x14ac:dyDescent="0.2">
      <c r="A419" s="432">
        <f>IF(B419="","",COUNT('Diário 1º PA'!$A$4:$A$2635)+COUNT('Diário 2º PA'!$A$4:$A$3040)+ROW()-3)</f>
        <v>4515</v>
      </c>
      <c r="B419" s="413">
        <v>44757</v>
      </c>
      <c r="C419" s="424">
        <v>44743</v>
      </c>
      <c r="D419" s="415" t="s">
        <v>271</v>
      </c>
      <c r="E419" s="415" t="s">
        <v>71</v>
      </c>
      <c r="F419" s="425">
        <v>11</v>
      </c>
      <c r="G419" s="427" t="s">
        <v>1824</v>
      </c>
      <c r="H419" s="415" t="s">
        <v>310</v>
      </c>
      <c r="I419" s="398" t="s">
        <v>881</v>
      </c>
      <c r="J419" s="418" t="s">
        <v>882</v>
      </c>
      <c r="K419" s="418" t="s">
        <v>883</v>
      </c>
      <c r="L419" s="399" t="s">
        <v>798</v>
      </c>
      <c r="M419" s="415" t="s">
        <v>310</v>
      </c>
      <c r="N419" s="413">
        <v>44757</v>
      </c>
      <c r="O419" s="414" t="s">
        <v>400</v>
      </c>
      <c r="P419" s="655">
        <f t="shared" si="18"/>
        <v>7</v>
      </c>
      <c r="Q419" s="655">
        <f t="shared" si="19"/>
        <v>7</v>
      </c>
      <c r="R419" s="695" t="str">
        <f t="shared" si="20"/>
        <v>Gastos_Gerais</v>
      </c>
      <c r="S419" s="697" t="s">
        <v>310</v>
      </c>
      <c r="T419" s="697" t="s">
        <v>310</v>
      </c>
    </row>
    <row r="420" spans="1:20" ht="36" x14ac:dyDescent="0.2">
      <c r="A420" s="432">
        <f>IF(B420="","",COUNT('Diário 1º PA'!$A$4:$A$2635)+COUNT('Diário 2º PA'!$A$4:$A$3040)+ROW()-3)</f>
        <v>4516</v>
      </c>
      <c r="B420" s="413">
        <v>44757</v>
      </c>
      <c r="C420" s="424">
        <v>44743</v>
      </c>
      <c r="D420" s="415" t="s">
        <v>271</v>
      </c>
      <c r="E420" s="415" t="s">
        <v>71</v>
      </c>
      <c r="F420" s="425">
        <v>11</v>
      </c>
      <c r="G420" s="427" t="s">
        <v>6137</v>
      </c>
      <c r="H420" s="415" t="s">
        <v>752</v>
      </c>
      <c r="I420" s="398" t="s">
        <v>881</v>
      </c>
      <c r="J420" s="418" t="s">
        <v>882</v>
      </c>
      <c r="K420" s="418" t="s">
        <v>883</v>
      </c>
      <c r="L420" s="399" t="s">
        <v>798</v>
      </c>
      <c r="M420" s="415" t="s">
        <v>310</v>
      </c>
      <c r="N420" s="413">
        <v>44757</v>
      </c>
      <c r="O420" s="414" t="s">
        <v>400</v>
      </c>
      <c r="P420" s="655">
        <f t="shared" si="18"/>
        <v>7</v>
      </c>
      <c r="Q420" s="655">
        <f t="shared" si="19"/>
        <v>7</v>
      </c>
      <c r="R420" s="695" t="str">
        <f t="shared" si="20"/>
        <v>Gastos_Gerais</v>
      </c>
      <c r="S420" s="697" t="s">
        <v>310</v>
      </c>
      <c r="T420" s="697" t="s">
        <v>310</v>
      </c>
    </row>
    <row r="421" spans="1:20" ht="36" x14ac:dyDescent="0.2">
      <c r="A421" s="432">
        <f>IF(B421="","",COUNT('Diário 1º PA'!$A$4:$A$2635)+COUNT('Diário 2º PA'!$A$4:$A$3040)+ROW()-3)</f>
        <v>4517</v>
      </c>
      <c r="B421" s="413">
        <v>44757</v>
      </c>
      <c r="C421" s="424">
        <v>44743</v>
      </c>
      <c r="D421" s="415" t="s">
        <v>271</v>
      </c>
      <c r="E421" s="415" t="s">
        <v>71</v>
      </c>
      <c r="F421" s="425">
        <v>11</v>
      </c>
      <c r="G421" s="427" t="s">
        <v>6138</v>
      </c>
      <c r="H421" s="415" t="s">
        <v>750</v>
      </c>
      <c r="I421" s="398" t="s">
        <v>881</v>
      </c>
      <c r="J421" s="418" t="s">
        <v>882</v>
      </c>
      <c r="K421" s="418" t="s">
        <v>883</v>
      </c>
      <c r="L421" s="399" t="s">
        <v>798</v>
      </c>
      <c r="M421" s="415" t="s">
        <v>310</v>
      </c>
      <c r="N421" s="413">
        <v>44757</v>
      </c>
      <c r="O421" s="414" t="s">
        <v>400</v>
      </c>
      <c r="P421" s="655">
        <f t="shared" si="18"/>
        <v>7</v>
      </c>
      <c r="Q421" s="655">
        <f t="shared" si="19"/>
        <v>7</v>
      </c>
      <c r="R421" s="695" t="str">
        <f t="shared" si="20"/>
        <v>Gastos_Gerais</v>
      </c>
      <c r="S421" s="697" t="s">
        <v>310</v>
      </c>
      <c r="T421" s="697" t="s">
        <v>310</v>
      </c>
    </row>
    <row r="422" spans="1:20" ht="36" x14ac:dyDescent="0.2">
      <c r="A422" s="432">
        <f>IF(B422="","",COUNT('Diário 1º PA'!$A$4:$A$2635)+COUNT('Diário 2º PA'!$A$4:$A$3040)+ROW()-3)</f>
        <v>4518</v>
      </c>
      <c r="B422" s="413">
        <v>44757</v>
      </c>
      <c r="C422" s="424">
        <v>44743</v>
      </c>
      <c r="D422" s="415" t="s">
        <v>271</v>
      </c>
      <c r="E422" s="415" t="s">
        <v>71</v>
      </c>
      <c r="F422" s="425">
        <v>11</v>
      </c>
      <c r="G422" s="427" t="s">
        <v>6139</v>
      </c>
      <c r="H422" s="415" t="s">
        <v>750</v>
      </c>
      <c r="I422" s="398" t="s">
        <v>881</v>
      </c>
      <c r="J422" s="418" t="s">
        <v>882</v>
      </c>
      <c r="K422" s="418" t="s">
        <v>883</v>
      </c>
      <c r="L422" s="399" t="s">
        <v>798</v>
      </c>
      <c r="M422" s="415" t="s">
        <v>310</v>
      </c>
      <c r="N422" s="413">
        <v>44757</v>
      </c>
      <c r="O422" s="414" t="s">
        <v>400</v>
      </c>
      <c r="P422" s="655">
        <f t="shared" si="18"/>
        <v>7</v>
      </c>
      <c r="Q422" s="655">
        <f t="shared" si="19"/>
        <v>7</v>
      </c>
      <c r="R422" s="695" t="str">
        <f t="shared" si="20"/>
        <v>Gastos_Gerais</v>
      </c>
      <c r="S422" s="697" t="s">
        <v>310</v>
      </c>
      <c r="T422" s="697" t="s">
        <v>310</v>
      </c>
    </row>
    <row r="423" spans="1:20" ht="36" x14ac:dyDescent="0.2">
      <c r="A423" s="432">
        <f>IF(B423="","",COUNT('Diário 1º PA'!$A$4:$A$2635)+COUNT('Diário 2º PA'!$A$4:$A$3040)+ROW()-3)</f>
        <v>4519</v>
      </c>
      <c r="B423" s="413">
        <v>44757</v>
      </c>
      <c r="C423" s="424">
        <v>44743</v>
      </c>
      <c r="D423" s="415" t="s">
        <v>468</v>
      </c>
      <c r="E423" s="415" t="s">
        <v>468</v>
      </c>
      <c r="F423" s="425">
        <v>-5000</v>
      </c>
      <c r="G423" s="646" t="s">
        <v>5647</v>
      </c>
      <c r="H423" s="415" t="s">
        <v>468</v>
      </c>
      <c r="I423" s="427" t="s">
        <v>2437</v>
      </c>
      <c r="J423" s="415" t="s">
        <v>796</v>
      </c>
      <c r="K423" s="415" t="s">
        <v>797</v>
      </c>
      <c r="L423" s="415" t="s">
        <v>798</v>
      </c>
      <c r="M423" s="415" t="s">
        <v>310</v>
      </c>
      <c r="N423" s="413">
        <v>44757</v>
      </c>
      <c r="O423" s="414" t="s">
        <v>408</v>
      </c>
      <c r="P423" s="655">
        <f t="shared" si="18"/>
        <v>7</v>
      </c>
      <c r="Q423" s="655">
        <f t="shared" si="19"/>
        <v>7</v>
      </c>
      <c r="R423" s="695" t="str">
        <f t="shared" si="20"/>
        <v>Gastos_custeados_por_captação</v>
      </c>
      <c r="S423" s="697" t="s">
        <v>310</v>
      </c>
      <c r="T423" s="697" t="s">
        <v>310</v>
      </c>
    </row>
    <row r="424" spans="1:20" ht="36" x14ac:dyDescent="0.2">
      <c r="A424" s="432">
        <f>IF(B424="","",COUNT('Diário 1º PA'!$A$4:$A$2635)+COUNT('Diário 2º PA'!$A$4:$A$3040)+ROW()-3)</f>
        <v>4520</v>
      </c>
      <c r="B424" s="413">
        <v>44757</v>
      </c>
      <c r="C424" s="424">
        <v>44743</v>
      </c>
      <c r="D424" s="415" t="s">
        <v>468</v>
      </c>
      <c r="E424" s="415" t="s">
        <v>468</v>
      </c>
      <c r="F424" s="425">
        <v>-5000</v>
      </c>
      <c r="G424" s="646" t="s">
        <v>5648</v>
      </c>
      <c r="H424" s="415" t="s">
        <v>468</v>
      </c>
      <c r="I424" s="427" t="s">
        <v>2437</v>
      </c>
      <c r="J424" s="415" t="s">
        <v>796</v>
      </c>
      <c r="K424" s="415" t="s">
        <v>797</v>
      </c>
      <c r="L424" s="415" t="s">
        <v>798</v>
      </c>
      <c r="M424" s="415" t="s">
        <v>310</v>
      </c>
      <c r="N424" s="413">
        <v>44757</v>
      </c>
      <c r="O424" s="414" t="s">
        <v>408</v>
      </c>
      <c r="P424" s="655">
        <f t="shared" si="18"/>
        <v>7</v>
      </c>
      <c r="Q424" s="655">
        <f t="shared" si="19"/>
        <v>7</v>
      </c>
      <c r="R424" s="695" t="str">
        <f t="shared" si="20"/>
        <v>Gastos_custeados_por_captação</v>
      </c>
      <c r="S424" s="697" t="s">
        <v>310</v>
      </c>
      <c r="T424" s="697" t="s">
        <v>310</v>
      </c>
    </row>
    <row r="425" spans="1:20" ht="36" x14ac:dyDescent="0.2">
      <c r="A425" s="432">
        <f>IF(B425="","",COUNT('Diário 1º PA'!$A$4:$A$2635)+COUNT('Diário 2º PA'!$A$4:$A$3040)+ROW()-3)</f>
        <v>4521</v>
      </c>
      <c r="B425" s="413">
        <v>44757</v>
      </c>
      <c r="C425" s="424">
        <v>44743</v>
      </c>
      <c r="D425" s="415" t="s">
        <v>468</v>
      </c>
      <c r="E425" s="415" t="s">
        <v>468</v>
      </c>
      <c r="F425" s="425">
        <v>-5000</v>
      </c>
      <c r="G425" s="646" t="s">
        <v>5649</v>
      </c>
      <c r="H425" s="415" t="s">
        <v>468</v>
      </c>
      <c r="I425" s="427" t="s">
        <v>2437</v>
      </c>
      <c r="J425" s="415" t="s">
        <v>796</v>
      </c>
      <c r="K425" s="415" t="s">
        <v>797</v>
      </c>
      <c r="L425" s="415" t="s">
        <v>798</v>
      </c>
      <c r="M425" s="415" t="s">
        <v>310</v>
      </c>
      <c r="N425" s="413">
        <v>44757</v>
      </c>
      <c r="O425" s="414" t="s">
        <v>408</v>
      </c>
      <c r="P425" s="655">
        <f t="shared" si="18"/>
        <v>7</v>
      </c>
      <c r="Q425" s="655">
        <f t="shared" si="19"/>
        <v>7</v>
      </c>
      <c r="R425" s="695" t="str">
        <f t="shared" si="20"/>
        <v>Gastos_custeados_por_captação</v>
      </c>
      <c r="S425" s="697" t="s">
        <v>310</v>
      </c>
      <c r="T425" s="697" t="s">
        <v>310</v>
      </c>
    </row>
    <row r="426" spans="1:20" ht="36" x14ac:dyDescent="0.2">
      <c r="A426" s="432">
        <f>IF(B426="","",COUNT('Diário 1º PA'!$A$4:$A$2635)+COUNT('Diário 2º PA'!$A$4:$A$3040)+ROW()-3)</f>
        <v>4522</v>
      </c>
      <c r="B426" s="413">
        <v>44757</v>
      </c>
      <c r="C426" s="424">
        <v>44743</v>
      </c>
      <c r="D426" s="415" t="s">
        <v>468</v>
      </c>
      <c r="E426" s="415" t="s">
        <v>468</v>
      </c>
      <c r="F426" s="425">
        <v>-5000</v>
      </c>
      <c r="G426" s="646" t="s">
        <v>5650</v>
      </c>
      <c r="H426" s="415" t="s">
        <v>468</v>
      </c>
      <c r="I426" s="427" t="s">
        <v>2437</v>
      </c>
      <c r="J426" s="415" t="s">
        <v>796</v>
      </c>
      <c r="K426" s="415" t="s">
        <v>797</v>
      </c>
      <c r="L426" s="415" t="s">
        <v>798</v>
      </c>
      <c r="M426" s="415" t="s">
        <v>310</v>
      </c>
      <c r="N426" s="413">
        <v>44757</v>
      </c>
      <c r="O426" s="414" t="s">
        <v>408</v>
      </c>
      <c r="P426" s="655">
        <f t="shared" si="18"/>
        <v>7</v>
      </c>
      <c r="Q426" s="655">
        <f t="shared" si="19"/>
        <v>7</v>
      </c>
      <c r="R426" s="695" t="str">
        <f t="shared" si="20"/>
        <v>Gastos_custeados_por_captação</v>
      </c>
      <c r="S426" s="697" t="s">
        <v>310</v>
      </c>
      <c r="T426" s="697" t="s">
        <v>310</v>
      </c>
    </row>
    <row r="427" spans="1:20" ht="60" x14ac:dyDescent="0.2">
      <c r="A427" s="432">
        <f>IF(B427="","",COUNT('Diário 1º PA'!$A$4:$A$2635)+COUNT('Diário 2º PA'!$A$4:$A$3040)+ROW()-3)</f>
        <v>4523</v>
      </c>
      <c r="B427" s="413">
        <v>44757</v>
      </c>
      <c r="C427" s="431">
        <v>44743</v>
      </c>
      <c r="D427" s="415" t="s">
        <v>468</v>
      </c>
      <c r="E427" s="415" t="s">
        <v>468</v>
      </c>
      <c r="F427" s="425">
        <v>5000</v>
      </c>
      <c r="G427" s="427" t="s">
        <v>4713</v>
      </c>
      <c r="H427" s="415" t="s">
        <v>468</v>
      </c>
      <c r="I427" s="456" t="s">
        <v>2437</v>
      </c>
      <c r="J427" s="461" t="s">
        <v>796</v>
      </c>
      <c r="K427" s="419" t="s">
        <v>806</v>
      </c>
      <c r="L427" s="461" t="s">
        <v>798</v>
      </c>
      <c r="M427" s="461" t="s">
        <v>310</v>
      </c>
      <c r="N427" s="413">
        <v>44757</v>
      </c>
      <c r="O427" s="414" t="s">
        <v>405</v>
      </c>
      <c r="P427" s="655">
        <f t="shared" si="18"/>
        <v>7</v>
      </c>
      <c r="Q427" s="655">
        <f t="shared" si="19"/>
        <v>7</v>
      </c>
      <c r="R427" s="695" t="str">
        <f t="shared" si="20"/>
        <v>Gastos_custeados_por_captação</v>
      </c>
      <c r="S427" s="697" t="s">
        <v>310</v>
      </c>
      <c r="T427" s="697" t="s">
        <v>310</v>
      </c>
    </row>
    <row r="428" spans="1:20" ht="60" x14ac:dyDescent="0.2">
      <c r="A428" s="432">
        <f>IF(B428="","",COUNT('Diário 1º PA'!$A$4:$A$2635)+COUNT('Diário 2º PA'!$A$4:$A$3040)+ROW()-3)</f>
        <v>4524</v>
      </c>
      <c r="B428" s="413">
        <v>44757</v>
      </c>
      <c r="C428" s="431">
        <v>44743</v>
      </c>
      <c r="D428" s="415" t="s">
        <v>468</v>
      </c>
      <c r="E428" s="415" t="s">
        <v>468</v>
      </c>
      <c r="F428" s="425">
        <v>5000</v>
      </c>
      <c r="G428" s="427" t="s">
        <v>5661</v>
      </c>
      <c r="H428" s="415" t="s">
        <v>468</v>
      </c>
      <c r="I428" s="456" t="s">
        <v>2437</v>
      </c>
      <c r="J428" s="461" t="s">
        <v>796</v>
      </c>
      <c r="K428" s="419" t="s">
        <v>806</v>
      </c>
      <c r="L428" s="461" t="s">
        <v>798</v>
      </c>
      <c r="M428" s="461" t="s">
        <v>310</v>
      </c>
      <c r="N428" s="413">
        <v>44757</v>
      </c>
      <c r="O428" s="414" t="s">
        <v>405</v>
      </c>
      <c r="P428" s="655">
        <f t="shared" si="18"/>
        <v>7</v>
      </c>
      <c r="Q428" s="655">
        <f t="shared" si="19"/>
        <v>7</v>
      </c>
      <c r="R428" s="695" t="str">
        <f t="shared" si="20"/>
        <v>Gastos_custeados_por_captação</v>
      </c>
      <c r="S428" s="697" t="s">
        <v>310</v>
      </c>
      <c r="T428" s="697" t="s">
        <v>310</v>
      </c>
    </row>
    <row r="429" spans="1:20" ht="60" x14ac:dyDescent="0.2">
      <c r="A429" s="432">
        <f>IF(B429="","",COUNT('Diário 1º PA'!$A$4:$A$2635)+COUNT('Diário 2º PA'!$A$4:$A$3040)+ROW()-3)</f>
        <v>4525</v>
      </c>
      <c r="B429" s="413">
        <v>44757</v>
      </c>
      <c r="C429" s="431">
        <v>44743</v>
      </c>
      <c r="D429" s="415" t="s">
        <v>468</v>
      </c>
      <c r="E429" s="415" t="s">
        <v>468</v>
      </c>
      <c r="F429" s="425">
        <v>5000</v>
      </c>
      <c r="G429" s="427" t="s">
        <v>5662</v>
      </c>
      <c r="H429" s="415" t="s">
        <v>468</v>
      </c>
      <c r="I429" s="456" t="s">
        <v>2437</v>
      </c>
      <c r="J429" s="461" t="s">
        <v>796</v>
      </c>
      <c r="K429" s="419" t="s">
        <v>806</v>
      </c>
      <c r="L429" s="461" t="s">
        <v>798</v>
      </c>
      <c r="M429" s="461" t="s">
        <v>310</v>
      </c>
      <c r="N429" s="413">
        <v>44757</v>
      </c>
      <c r="O429" s="414" t="s">
        <v>405</v>
      </c>
      <c r="P429" s="655">
        <f t="shared" si="18"/>
        <v>7</v>
      </c>
      <c r="Q429" s="655">
        <f t="shared" si="19"/>
        <v>7</v>
      </c>
      <c r="R429" s="695" t="str">
        <f t="shared" si="20"/>
        <v>Gastos_custeados_por_captação</v>
      </c>
      <c r="S429" s="697" t="s">
        <v>310</v>
      </c>
      <c r="T429" s="697" t="s">
        <v>310</v>
      </c>
    </row>
    <row r="430" spans="1:20" ht="60" x14ac:dyDescent="0.2">
      <c r="A430" s="432">
        <f>IF(B430="","",COUNT('Diário 1º PA'!$A$4:$A$2635)+COUNT('Diário 2º PA'!$A$4:$A$3040)+ROW()-3)</f>
        <v>4526</v>
      </c>
      <c r="B430" s="413">
        <v>44757</v>
      </c>
      <c r="C430" s="431">
        <v>44743</v>
      </c>
      <c r="D430" s="415" t="s">
        <v>468</v>
      </c>
      <c r="E430" s="415" t="s">
        <v>468</v>
      </c>
      <c r="F430" s="425">
        <v>5000</v>
      </c>
      <c r="G430" s="427" t="s">
        <v>5663</v>
      </c>
      <c r="H430" s="415" t="s">
        <v>468</v>
      </c>
      <c r="I430" s="456" t="s">
        <v>2437</v>
      </c>
      <c r="J430" s="461" t="s">
        <v>796</v>
      </c>
      <c r="K430" s="419" t="s">
        <v>806</v>
      </c>
      <c r="L430" s="461" t="s">
        <v>798</v>
      </c>
      <c r="M430" s="461" t="s">
        <v>310</v>
      </c>
      <c r="N430" s="413">
        <v>44757</v>
      </c>
      <c r="O430" s="414" t="s">
        <v>405</v>
      </c>
      <c r="P430" s="655">
        <f t="shared" si="18"/>
        <v>7</v>
      </c>
      <c r="Q430" s="655">
        <f t="shared" si="19"/>
        <v>7</v>
      </c>
      <c r="R430" s="695" t="str">
        <f t="shared" si="20"/>
        <v>Gastos_custeados_por_captação</v>
      </c>
      <c r="S430" s="697" t="s">
        <v>310</v>
      </c>
      <c r="T430" s="697" t="s">
        <v>310</v>
      </c>
    </row>
    <row r="431" spans="1:20" ht="48" x14ac:dyDescent="0.2">
      <c r="A431" s="432">
        <f>IF(B431="","",COUNT('Diário 1º PA'!$A$4:$A$2635)+COUNT('Diário 2º PA'!$A$4:$A$3040)+ROW()-3)</f>
        <v>4527</v>
      </c>
      <c r="B431" s="413">
        <v>44760</v>
      </c>
      <c r="C431" s="433">
        <v>44713</v>
      </c>
      <c r="D431" s="415" t="s">
        <v>271</v>
      </c>
      <c r="E431" s="415" t="s">
        <v>164</v>
      </c>
      <c r="F431" s="425">
        <v>-205.97</v>
      </c>
      <c r="G431" s="427" t="s">
        <v>6006</v>
      </c>
      <c r="H431" s="415" t="s">
        <v>309</v>
      </c>
      <c r="I431" s="473" t="s">
        <v>795</v>
      </c>
      <c r="J431" s="415" t="s">
        <v>796</v>
      </c>
      <c r="K431" s="415" t="s">
        <v>797</v>
      </c>
      <c r="L431" s="415" t="s">
        <v>798</v>
      </c>
      <c r="M431" s="415" t="s">
        <v>310</v>
      </c>
      <c r="N431" s="414">
        <v>44760</v>
      </c>
      <c r="O431" s="414" t="s">
        <v>400</v>
      </c>
      <c r="P431" s="655">
        <f t="shared" si="18"/>
        <v>7</v>
      </c>
      <c r="Q431" s="655">
        <f t="shared" si="19"/>
        <v>6</v>
      </c>
      <c r="R431" s="695" t="str">
        <f t="shared" si="20"/>
        <v>Gastos_Gerais</v>
      </c>
      <c r="S431" s="697" t="s">
        <v>310</v>
      </c>
      <c r="T431" s="697" t="s">
        <v>310</v>
      </c>
    </row>
    <row r="432" spans="1:20" ht="48" x14ac:dyDescent="0.2">
      <c r="A432" s="432">
        <f>IF(B432="","",COUNT('Diário 1º PA'!$A$4:$A$2635)+COUNT('Diário 2º PA'!$A$4:$A$3040)+ROW()-3)</f>
        <v>4528</v>
      </c>
      <c r="B432" s="413">
        <v>44760</v>
      </c>
      <c r="C432" s="433">
        <v>44713</v>
      </c>
      <c r="D432" s="415" t="s">
        <v>271</v>
      </c>
      <c r="E432" s="415" t="s">
        <v>85</v>
      </c>
      <c r="F432" s="425">
        <v>-83.57</v>
      </c>
      <c r="G432" s="427" t="s">
        <v>6007</v>
      </c>
      <c r="H432" s="415" t="s">
        <v>309</v>
      </c>
      <c r="I432" s="473" t="s">
        <v>795</v>
      </c>
      <c r="J432" s="415" t="s">
        <v>796</v>
      </c>
      <c r="K432" s="415" t="s">
        <v>797</v>
      </c>
      <c r="L432" s="415" t="s">
        <v>798</v>
      </c>
      <c r="M432" s="415" t="s">
        <v>310</v>
      </c>
      <c r="N432" s="414">
        <v>44760</v>
      </c>
      <c r="O432" s="414" t="s">
        <v>400</v>
      </c>
      <c r="P432" s="655">
        <f t="shared" si="18"/>
        <v>7</v>
      </c>
      <c r="Q432" s="655">
        <f t="shared" si="19"/>
        <v>6</v>
      </c>
      <c r="R432" s="695" t="str">
        <f t="shared" si="20"/>
        <v>Gastos_Gerais</v>
      </c>
      <c r="S432" s="697" t="s">
        <v>310</v>
      </c>
      <c r="T432" s="697" t="s">
        <v>310</v>
      </c>
    </row>
    <row r="433" spans="1:20" ht="48" x14ac:dyDescent="0.2">
      <c r="A433" s="432">
        <f>IF(B433="","",COUNT('Diário 1º PA'!$A$4:$A$2635)+COUNT('Diário 2º PA'!$A$4:$A$3040)+ROW()-3)</f>
        <v>4529</v>
      </c>
      <c r="B433" s="413">
        <v>44760</v>
      </c>
      <c r="C433" s="433">
        <v>44713</v>
      </c>
      <c r="D433" s="415" t="s">
        <v>271</v>
      </c>
      <c r="E433" s="415" t="s">
        <v>84</v>
      </c>
      <c r="F433" s="425">
        <v>-18.57</v>
      </c>
      <c r="G433" s="427" t="s">
        <v>6008</v>
      </c>
      <c r="H433" s="415" t="s">
        <v>309</v>
      </c>
      <c r="I433" s="473" t="s">
        <v>795</v>
      </c>
      <c r="J433" s="415" t="s">
        <v>796</v>
      </c>
      <c r="K433" s="415" t="s">
        <v>797</v>
      </c>
      <c r="L433" s="415" t="s">
        <v>798</v>
      </c>
      <c r="M433" s="415" t="s">
        <v>310</v>
      </c>
      <c r="N433" s="414">
        <v>44760</v>
      </c>
      <c r="O433" s="414" t="s">
        <v>400</v>
      </c>
      <c r="P433" s="655">
        <f t="shared" si="18"/>
        <v>7</v>
      </c>
      <c r="Q433" s="655">
        <f t="shared" si="19"/>
        <v>6</v>
      </c>
      <c r="R433" s="695" t="str">
        <f t="shared" si="20"/>
        <v>Gastos_Gerais</v>
      </c>
      <c r="S433" s="697" t="s">
        <v>310</v>
      </c>
      <c r="T433" s="697" t="s">
        <v>310</v>
      </c>
    </row>
    <row r="434" spans="1:20" ht="24" x14ac:dyDescent="0.2">
      <c r="A434" s="432">
        <f>IF(B434="","",COUNT('Diário 1º PA'!$A$4:$A$2635)+COUNT('Diário 2º PA'!$A$4:$A$3040)+ROW()-3)</f>
        <v>4530</v>
      </c>
      <c r="B434" s="413">
        <v>44760</v>
      </c>
      <c r="C434" s="433">
        <v>44743</v>
      </c>
      <c r="D434" s="415" t="s">
        <v>182</v>
      </c>
      <c r="E434" s="415" t="s">
        <v>161</v>
      </c>
      <c r="F434" s="425">
        <v>14.25</v>
      </c>
      <c r="G434" s="427" t="s">
        <v>6009</v>
      </c>
      <c r="H434" s="415" t="s">
        <v>310</v>
      </c>
      <c r="I434" s="473" t="s">
        <v>1496</v>
      </c>
      <c r="J434" s="548" t="s">
        <v>1497</v>
      </c>
      <c r="K434" s="415" t="s">
        <v>830</v>
      </c>
      <c r="L434" s="415" t="s">
        <v>310</v>
      </c>
      <c r="M434" s="415" t="s">
        <v>310</v>
      </c>
      <c r="N434" s="414">
        <v>44760</v>
      </c>
      <c r="O434" s="414" t="s">
        <v>400</v>
      </c>
      <c r="P434" s="655">
        <f t="shared" si="18"/>
        <v>7</v>
      </c>
      <c r="Q434" s="655">
        <f t="shared" si="19"/>
        <v>7</v>
      </c>
      <c r="R434" s="695" t="str">
        <f t="shared" si="20"/>
        <v>Gastos_com_Pessoal</v>
      </c>
      <c r="S434" s="697" t="s">
        <v>310</v>
      </c>
      <c r="T434" s="697" t="s">
        <v>310</v>
      </c>
    </row>
    <row r="435" spans="1:20" ht="24" x14ac:dyDescent="0.2">
      <c r="A435" s="432">
        <f>IF(B435="","",COUNT('Diário 1º PA'!$A$4:$A$2635)+COUNT('Diário 2º PA'!$A$4:$A$3040)+ROW()-3)</f>
        <v>4531</v>
      </c>
      <c r="B435" s="413">
        <v>44760</v>
      </c>
      <c r="C435" s="431">
        <v>44713</v>
      </c>
      <c r="D435" s="434" t="s">
        <v>271</v>
      </c>
      <c r="E435" s="434" t="s">
        <v>84</v>
      </c>
      <c r="F435" s="422">
        <v>70.3</v>
      </c>
      <c r="G435" s="427" t="s">
        <v>3581</v>
      </c>
      <c r="H435" s="434" t="s">
        <v>309</v>
      </c>
      <c r="I435" s="434" t="s">
        <v>766</v>
      </c>
      <c r="J435" s="415" t="s">
        <v>1019</v>
      </c>
      <c r="K435" s="415" t="s">
        <v>1392</v>
      </c>
      <c r="L435" s="415" t="s">
        <v>1273</v>
      </c>
      <c r="M435" s="415" t="s">
        <v>6010</v>
      </c>
      <c r="N435" s="413">
        <v>44746</v>
      </c>
      <c r="O435" s="414" t="s">
        <v>400</v>
      </c>
      <c r="P435" s="655">
        <f t="shared" si="18"/>
        <v>7</v>
      </c>
      <c r="Q435" s="655">
        <f t="shared" si="19"/>
        <v>6</v>
      </c>
      <c r="R435" s="695" t="str">
        <f t="shared" si="20"/>
        <v>Gastos_Gerais</v>
      </c>
      <c r="S435" s="697" t="s">
        <v>310</v>
      </c>
      <c r="T435" s="697" t="s">
        <v>310</v>
      </c>
    </row>
    <row r="436" spans="1:20" ht="24" x14ac:dyDescent="0.2">
      <c r="A436" s="432">
        <f>IF(B436="","",COUNT('Diário 1º PA'!$A$4:$A$2635)+COUNT('Diário 2º PA'!$A$4:$A$3040)+ROW()-3)</f>
        <v>4532</v>
      </c>
      <c r="B436" s="413">
        <v>44760</v>
      </c>
      <c r="C436" s="433">
        <v>44713</v>
      </c>
      <c r="D436" s="434" t="s">
        <v>271</v>
      </c>
      <c r="E436" s="434" t="s">
        <v>164</v>
      </c>
      <c r="F436" s="422">
        <v>779.88</v>
      </c>
      <c r="G436" s="437" t="s">
        <v>6038</v>
      </c>
      <c r="H436" s="434" t="s">
        <v>309</v>
      </c>
      <c r="I436" s="434" t="s">
        <v>768</v>
      </c>
      <c r="J436" s="434" t="s">
        <v>1021</v>
      </c>
      <c r="K436" s="434" t="s">
        <v>1404</v>
      </c>
      <c r="L436" s="415" t="s">
        <v>1273</v>
      </c>
      <c r="M436" s="415" t="s">
        <v>310</v>
      </c>
      <c r="N436" s="413">
        <v>44743</v>
      </c>
      <c r="O436" s="414" t="s">
        <v>400</v>
      </c>
      <c r="P436" s="655">
        <f t="shared" si="18"/>
        <v>7</v>
      </c>
      <c r="Q436" s="655">
        <f t="shared" si="19"/>
        <v>6</v>
      </c>
      <c r="R436" s="695" t="str">
        <f t="shared" si="20"/>
        <v>Gastos_Gerais</v>
      </c>
      <c r="S436" s="697" t="s">
        <v>310</v>
      </c>
      <c r="T436" s="697" t="s">
        <v>310</v>
      </c>
    </row>
    <row r="437" spans="1:20" ht="24" x14ac:dyDescent="0.2">
      <c r="A437" s="432">
        <f>IF(B437="","",COUNT('Diário 1º PA'!$A$4:$A$2635)+COUNT('Diário 2º PA'!$A$4:$A$3040)+ROW()-3)</f>
        <v>4533</v>
      </c>
      <c r="B437" s="413">
        <v>44760</v>
      </c>
      <c r="C437" s="431">
        <v>44713</v>
      </c>
      <c r="D437" s="434" t="s">
        <v>271</v>
      </c>
      <c r="E437" s="434" t="s">
        <v>85</v>
      </c>
      <c r="F437" s="422">
        <v>316.44</v>
      </c>
      <c r="G437" s="437" t="s">
        <v>3579</v>
      </c>
      <c r="H437" s="434" t="s">
        <v>309</v>
      </c>
      <c r="I437" s="434" t="s">
        <v>765</v>
      </c>
      <c r="J437" s="434" t="s">
        <v>892</v>
      </c>
      <c r="K437" s="415" t="s">
        <v>893</v>
      </c>
      <c r="L437" s="415" t="s">
        <v>807</v>
      </c>
      <c r="M437" s="415">
        <v>81647166</v>
      </c>
      <c r="N437" s="413">
        <v>44740</v>
      </c>
      <c r="O437" s="414" t="s">
        <v>400</v>
      </c>
      <c r="P437" s="655">
        <f t="shared" si="18"/>
        <v>7</v>
      </c>
      <c r="Q437" s="655">
        <f t="shared" si="19"/>
        <v>6</v>
      </c>
      <c r="R437" s="695" t="str">
        <f t="shared" si="20"/>
        <v>Gastos_Gerais</v>
      </c>
      <c r="S437" s="697" t="s">
        <v>310</v>
      </c>
      <c r="T437" s="697" t="s">
        <v>310</v>
      </c>
    </row>
    <row r="438" spans="1:20" ht="36" x14ac:dyDescent="0.2">
      <c r="A438" s="432">
        <f>IF(B438="","",COUNT('Diário 1º PA'!$A$4:$A$2635)+COUNT('Diário 2º PA'!$A$4:$A$3040)+ROW()-3)</f>
        <v>4534</v>
      </c>
      <c r="B438" s="413">
        <v>44760</v>
      </c>
      <c r="C438" s="431">
        <v>44743</v>
      </c>
      <c r="D438" s="415" t="s">
        <v>271</v>
      </c>
      <c r="E438" s="415" t="s">
        <v>449</v>
      </c>
      <c r="F438" s="425">
        <v>500</v>
      </c>
      <c r="G438" s="427" t="s">
        <v>5690</v>
      </c>
      <c r="H438" s="415" t="s">
        <v>756</v>
      </c>
      <c r="I438" s="415" t="s">
        <v>6011</v>
      </c>
      <c r="J438" s="415" t="s">
        <v>5691</v>
      </c>
      <c r="K438" s="419" t="s">
        <v>830</v>
      </c>
      <c r="L438" s="415" t="s">
        <v>1305</v>
      </c>
      <c r="M438" s="415" t="s">
        <v>310</v>
      </c>
      <c r="N438" s="413">
        <v>44755</v>
      </c>
      <c r="O438" s="414" t="s">
        <v>400</v>
      </c>
      <c r="P438" s="655">
        <f t="shared" si="18"/>
        <v>7</v>
      </c>
      <c r="Q438" s="655">
        <f t="shared" si="19"/>
        <v>7</v>
      </c>
      <c r="R438" s="695" t="str">
        <f t="shared" si="20"/>
        <v>Gastos_Gerais</v>
      </c>
      <c r="S438" s="697" t="s">
        <v>998</v>
      </c>
      <c r="T438" s="697">
        <v>4049</v>
      </c>
    </row>
    <row r="439" spans="1:20" ht="48" x14ac:dyDescent="0.2">
      <c r="A439" s="432">
        <f>IF(B439="","",COUNT('Diário 1º PA'!$A$4:$A$2635)+COUNT('Diário 2º PA'!$A$4:$A$3040)+ROW()-3)</f>
        <v>4535</v>
      </c>
      <c r="B439" s="413">
        <v>44760</v>
      </c>
      <c r="C439" s="431">
        <v>44713</v>
      </c>
      <c r="D439" s="415" t="s">
        <v>271</v>
      </c>
      <c r="E439" s="415" t="s">
        <v>449</v>
      </c>
      <c r="F439" s="425">
        <v>500</v>
      </c>
      <c r="G439" s="427" t="s">
        <v>5391</v>
      </c>
      <c r="H439" s="415" t="s">
        <v>756</v>
      </c>
      <c r="I439" s="415" t="s">
        <v>6013</v>
      </c>
      <c r="J439" s="415" t="s">
        <v>5392</v>
      </c>
      <c r="K439" s="419" t="s">
        <v>830</v>
      </c>
      <c r="L439" s="415" t="s">
        <v>1305</v>
      </c>
      <c r="M439" s="415" t="s">
        <v>310</v>
      </c>
      <c r="N439" s="413">
        <v>44758</v>
      </c>
      <c r="O439" s="414" t="s">
        <v>400</v>
      </c>
      <c r="P439" s="655">
        <f t="shared" si="18"/>
        <v>7</v>
      </c>
      <c r="Q439" s="655">
        <f t="shared" si="19"/>
        <v>6</v>
      </c>
      <c r="R439" s="695" t="str">
        <f t="shared" si="20"/>
        <v>Gastos_Gerais</v>
      </c>
      <c r="S439" s="697" t="s">
        <v>5937</v>
      </c>
      <c r="T439" s="697">
        <v>4023</v>
      </c>
    </row>
    <row r="440" spans="1:20" ht="36" x14ac:dyDescent="0.2">
      <c r="A440" s="432">
        <f>IF(B440="","",COUNT('Diário 1º PA'!$A$4:$A$2635)+COUNT('Diário 2º PA'!$A$4:$A$3040)+ROW()-3)</f>
        <v>4536</v>
      </c>
      <c r="B440" s="413">
        <v>44760</v>
      </c>
      <c r="C440" s="431">
        <v>44743</v>
      </c>
      <c r="D440" s="415" t="s">
        <v>271</v>
      </c>
      <c r="E440" s="415" t="s">
        <v>465</v>
      </c>
      <c r="F440" s="422">
        <v>144.19</v>
      </c>
      <c r="G440" s="427" t="s">
        <v>5797</v>
      </c>
      <c r="H440" s="415" t="s">
        <v>755</v>
      </c>
      <c r="I440" s="415" t="s">
        <v>1464</v>
      </c>
      <c r="J440" s="415" t="s">
        <v>1010</v>
      </c>
      <c r="K440" s="419" t="s">
        <v>830</v>
      </c>
      <c r="L440" s="415" t="s">
        <v>32</v>
      </c>
      <c r="M440" s="415" t="s">
        <v>6001</v>
      </c>
      <c r="N440" s="413">
        <v>44756</v>
      </c>
      <c r="O440" s="414" t="s">
        <v>400</v>
      </c>
      <c r="P440" s="655">
        <f t="shared" si="18"/>
        <v>7</v>
      </c>
      <c r="Q440" s="655">
        <f t="shared" si="19"/>
        <v>7</v>
      </c>
      <c r="R440" s="695" t="str">
        <f t="shared" si="20"/>
        <v>Gastos_Gerais</v>
      </c>
      <c r="S440" s="697" t="s">
        <v>998</v>
      </c>
      <c r="T440" s="697">
        <v>4100</v>
      </c>
    </row>
    <row r="441" spans="1:20" ht="36" x14ac:dyDescent="0.2">
      <c r="A441" s="432">
        <f>IF(B441="","",COUNT('Diário 1º PA'!$A$4:$A$2635)+COUNT('Diário 2º PA'!$A$4:$A$3040)+ROW()-3)</f>
        <v>4537</v>
      </c>
      <c r="B441" s="413">
        <v>44760</v>
      </c>
      <c r="C441" s="424">
        <v>44743</v>
      </c>
      <c r="D441" s="415" t="s">
        <v>271</v>
      </c>
      <c r="E441" s="415" t="s">
        <v>71</v>
      </c>
      <c r="F441" s="425">
        <v>11</v>
      </c>
      <c r="G441" s="427" t="s">
        <v>6140</v>
      </c>
      <c r="H441" s="415" t="s">
        <v>310</v>
      </c>
      <c r="I441" s="398" t="s">
        <v>881</v>
      </c>
      <c r="J441" s="418" t="s">
        <v>882</v>
      </c>
      <c r="K441" s="418" t="s">
        <v>883</v>
      </c>
      <c r="L441" s="399" t="s">
        <v>798</v>
      </c>
      <c r="M441" s="415" t="s">
        <v>310</v>
      </c>
      <c r="N441" s="413">
        <v>44760</v>
      </c>
      <c r="O441" s="414" t="s">
        <v>400</v>
      </c>
      <c r="P441" s="655">
        <f t="shared" si="18"/>
        <v>7</v>
      </c>
      <c r="Q441" s="655">
        <f t="shared" si="19"/>
        <v>7</v>
      </c>
      <c r="R441" s="695" t="str">
        <f t="shared" si="20"/>
        <v>Gastos_Gerais</v>
      </c>
      <c r="S441" s="697" t="s">
        <v>310</v>
      </c>
      <c r="T441" s="697" t="s">
        <v>310</v>
      </c>
    </row>
    <row r="442" spans="1:20" ht="36" x14ac:dyDescent="0.2">
      <c r="A442" s="432">
        <f>IF(B442="","",COUNT('Diário 1º PA'!$A$4:$A$2635)+COUNT('Diário 2º PA'!$A$4:$A$3040)+ROW()-3)</f>
        <v>4538</v>
      </c>
      <c r="B442" s="413">
        <v>44760</v>
      </c>
      <c r="C442" s="424">
        <v>44743</v>
      </c>
      <c r="D442" s="415" t="s">
        <v>271</v>
      </c>
      <c r="E442" s="415" t="s">
        <v>71</v>
      </c>
      <c r="F442" s="425">
        <v>11</v>
      </c>
      <c r="G442" s="427" t="s">
        <v>6140</v>
      </c>
      <c r="H442" s="415" t="s">
        <v>310</v>
      </c>
      <c r="I442" s="398" t="s">
        <v>881</v>
      </c>
      <c r="J442" s="418" t="s">
        <v>882</v>
      </c>
      <c r="K442" s="418" t="s">
        <v>883</v>
      </c>
      <c r="L442" s="399" t="s">
        <v>798</v>
      </c>
      <c r="M442" s="415" t="s">
        <v>310</v>
      </c>
      <c r="N442" s="413">
        <v>44760</v>
      </c>
      <c r="O442" s="414" t="s">
        <v>400</v>
      </c>
      <c r="P442" s="655">
        <f t="shared" si="18"/>
        <v>7</v>
      </c>
      <c r="Q442" s="655">
        <f t="shared" si="19"/>
        <v>7</v>
      </c>
      <c r="R442" s="695" t="str">
        <f t="shared" si="20"/>
        <v>Gastos_Gerais</v>
      </c>
      <c r="S442" s="697" t="s">
        <v>310</v>
      </c>
      <c r="T442" s="697" t="s">
        <v>310</v>
      </c>
    </row>
    <row r="443" spans="1:20" ht="36" x14ac:dyDescent="0.2">
      <c r="A443" s="432">
        <f>IF(B443="","",COUNT('Diário 1º PA'!$A$4:$A$2635)+COUNT('Diário 2º PA'!$A$4:$A$3040)+ROW()-3)</f>
        <v>4539</v>
      </c>
      <c r="B443" s="413">
        <v>44760</v>
      </c>
      <c r="C443" s="424">
        <v>44743</v>
      </c>
      <c r="D443" s="415" t="s">
        <v>271</v>
      </c>
      <c r="E443" s="415" t="s">
        <v>71</v>
      </c>
      <c r="F443" s="425">
        <v>11</v>
      </c>
      <c r="G443" s="427" t="s">
        <v>6142</v>
      </c>
      <c r="H443" s="415" t="s">
        <v>756</v>
      </c>
      <c r="I443" s="398" t="s">
        <v>881</v>
      </c>
      <c r="J443" s="418" t="s">
        <v>882</v>
      </c>
      <c r="K443" s="418" t="s">
        <v>883</v>
      </c>
      <c r="L443" s="399" t="s">
        <v>798</v>
      </c>
      <c r="M443" s="415" t="s">
        <v>310</v>
      </c>
      <c r="N443" s="413">
        <v>44760</v>
      </c>
      <c r="O443" s="414" t="s">
        <v>400</v>
      </c>
      <c r="P443" s="655">
        <f t="shared" si="18"/>
        <v>7</v>
      </c>
      <c r="Q443" s="655">
        <f t="shared" si="19"/>
        <v>7</v>
      </c>
      <c r="R443" s="695" t="str">
        <f t="shared" si="20"/>
        <v>Gastos_Gerais</v>
      </c>
      <c r="S443" s="697" t="s">
        <v>310</v>
      </c>
      <c r="T443" s="697" t="s">
        <v>310</v>
      </c>
    </row>
    <row r="444" spans="1:20" ht="36" x14ac:dyDescent="0.2">
      <c r="A444" s="432">
        <f>IF(B444="","",COUNT('Diário 1º PA'!$A$4:$A$2635)+COUNT('Diário 2º PA'!$A$4:$A$3040)+ROW()-3)</f>
        <v>4540</v>
      </c>
      <c r="B444" s="413">
        <v>44760</v>
      </c>
      <c r="C444" s="424">
        <v>44743</v>
      </c>
      <c r="D444" s="415" t="s">
        <v>271</v>
      </c>
      <c r="E444" s="415" t="s">
        <v>71</v>
      </c>
      <c r="F444" s="425">
        <v>11</v>
      </c>
      <c r="G444" s="427" t="s">
        <v>6143</v>
      </c>
      <c r="H444" s="415" t="s">
        <v>756</v>
      </c>
      <c r="I444" s="398" t="s">
        <v>881</v>
      </c>
      <c r="J444" s="418" t="s">
        <v>882</v>
      </c>
      <c r="K444" s="418" t="s">
        <v>883</v>
      </c>
      <c r="L444" s="399" t="s">
        <v>798</v>
      </c>
      <c r="M444" s="415" t="s">
        <v>310</v>
      </c>
      <c r="N444" s="413">
        <v>44760</v>
      </c>
      <c r="O444" s="414" t="s">
        <v>400</v>
      </c>
      <c r="P444" s="655">
        <f t="shared" si="18"/>
        <v>7</v>
      </c>
      <c r="Q444" s="655">
        <f t="shared" si="19"/>
        <v>7</v>
      </c>
      <c r="R444" s="695" t="str">
        <f t="shared" si="20"/>
        <v>Gastos_Gerais</v>
      </c>
      <c r="S444" s="697" t="s">
        <v>310</v>
      </c>
      <c r="T444" s="697" t="s">
        <v>310</v>
      </c>
    </row>
    <row r="445" spans="1:20" ht="36" x14ac:dyDescent="0.2">
      <c r="A445" s="432">
        <f>IF(B445="","",COUNT('Diário 1º PA'!$A$4:$A$2635)+COUNT('Diário 2º PA'!$A$4:$A$3040)+ROW()-3)</f>
        <v>4541</v>
      </c>
      <c r="B445" s="413">
        <v>44760</v>
      </c>
      <c r="C445" s="424">
        <v>44743</v>
      </c>
      <c r="D445" s="415" t="s">
        <v>271</v>
      </c>
      <c r="E445" s="415" t="s">
        <v>71</v>
      </c>
      <c r="F445" s="425">
        <v>11</v>
      </c>
      <c r="G445" s="427" t="s">
        <v>6141</v>
      </c>
      <c r="H445" s="415" t="s">
        <v>756</v>
      </c>
      <c r="I445" s="398" t="s">
        <v>881</v>
      </c>
      <c r="J445" s="418" t="s">
        <v>882</v>
      </c>
      <c r="K445" s="418" t="s">
        <v>883</v>
      </c>
      <c r="L445" s="399" t="s">
        <v>798</v>
      </c>
      <c r="M445" s="415" t="s">
        <v>310</v>
      </c>
      <c r="N445" s="413">
        <v>44760</v>
      </c>
      <c r="O445" s="414" t="s">
        <v>400</v>
      </c>
      <c r="P445" s="655">
        <f t="shared" si="18"/>
        <v>7</v>
      </c>
      <c r="Q445" s="655">
        <f t="shared" si="19"/>
        <v>7</v>
      </c>
      <c r="R445" s="695" t="str">
        <f t="shared" si="20"/>
        <v>Gastos_Gerais</v>
      </c>
      <c r="S445" s="697" t="s">
        <v>310</v>
      </c>
      <c r="T445" s="697" t="s">
        <v>310</v>
      </c>
    </row>
    <row r="446" spans="1:20" ht="36" x14ac:dyDescent="0.2">
      <c r="A446" s="432">
        <f>IF(B446="","",COUNT('Diário 1º PA'!$A$4:$A$2635)+COUNT('Diário 2º PA'!$A$4:$A$3040)+ROW()-3)</f>
        <v>4542</v>
      </c>
      <c r="B446" s="413">
        <v>44760</v>
      </c>
      <c r="C446" s="424">
        <v>44743</v>
      </c>
      <c r="D446" s="415" t="s">
        <v>271</v>
      </c>
      <c r="E446" s="415" t="s">
        <v>71</v>
      </c>
      <c r="F446" s="425">
        <v>11</v>
      </c>
      <c r="G446" s="427" t="s">
        <v>6144</v>
      </c>
      <c r="H446" s="415" t="s">
        <v>755</v>
      </c>
      <c r="I446" s="398" t="s">
        <v>881</v>
      </c>
      <c r="J446" s="418" t="s">
        <v>882</v>
      </c>
      <c r="K446" s="418" t="s">
        <v>883</v>
      </c>
      <c r="L446" s="399" t="s">
        <v>798</v>
      </c>
      <c r="M446" s="415" t="s">
        <v>310</v>
      </c>
      <c r="N446" s="413">
        <v>44760</v>
      </c>
      <c r="O446" s="414" t="s">
        <v>400</v>
      </c>
      <c r="P446" s="655">
        <f t="shared" si="18"/>
        <v>7</v>
      </c>
      <c r="Q446" s="655">
        <f t="shared" si="19"/>
        <v>7</v>
      </c>
      <c r="R446" s="695" t="str">
        <f t="shared" si="20"/>
        <v>Gastos_Gerais</v>
      </c>
      <c r="S446" s="697" t="s">
        <v>310</v>
      </c>
      <c r="T446" s="697" t="s">
        <v>310</v>
      </c>
    </row>
    <row r="447" spans="1:20" ht="36" x14ac:dyDescent="0.2">
      <c r="A447" s="432">
        <f>IF(B447="","",COUNT('Diário 1º PA'!$A$4:$A$2635)+COUNT('Diário 2º PA'!$A$4:$A$3040)+ROW()-3)</f>
        <v>4543</v>
      </c>
      <c r="B447" s="413">
        <v>44760</v>
      </c>
      <c r="C447" s="431">
        <v>44713</v>
      </c>
      <c r="D447" s="415" t="s">
        <v>468</v>
      </c>
      <c r="E447" s="415" t="s">
        <v>468</v>
      </c>
      <c r="F447" s="425">
        <v>3429.65</v>
      </c>
      <c r="G447" s="427" t="s">
        <v>4106</v>
      </c>
      <c r="H447" s="415" t="s">
        <v>468</v>
      </c>
      <c r="I447" s="398" t="s">
        <v>2483</v>
      </c>
      <c r="J447" s="415" t="s">
        <v>1601</v>
      </c>
      <c r="K447" s="418" t="s">
        <v>830</v>
      </c>
      <c r="L447" s="399" t="s">
        <v>32</v>
      </c>
      <c r="M447" s="415" t="s">
        <v>3672</v>
      </c>
      <c r="N447" s="413">
        <v>44756</v>
      </c>
      <c r="O447" s="414" t="s">
        <v>408</v>
      </c>
      <c r="P447" s="655">
        <f t="shared" si="18"/>
        <v>7</v>
      </c>
      <c r="Q447" s="655">
        <f t="shared" si="19"/>
        <v>6</v>
      </c>
      <c r="R447" s="695" t="str">
        <f t="shared" si="20"/>
        <v>Gastos_custeados_por_captação</v>
      </c>
      <c r="S447" s="697" t="s">
        <v>1000</v>
      </c>
      <c r="T447" s="697">
        <v>3701</v>
      </c>
    </row>
    <row r="448" spans="1:20" ht="120" x14ac:dyDescent="0.2">
      <c r="A448" s="432">
        <f>IF(B448="","",COUNT('Diário 1º PA'!$A$4:$A$2635)+COUNT('Diário 2º PA'!$A$4:$A$3040)+ROW()-3)</f>
        <v>4544</v>
      </c>
      <c r="B448" s="413">
        <v>44760</v>
      </c>
      <c r="C448" s="431">
        <v>44713</v>
      </c>
      <c r="D448" s="415" t="s">
        <v>468</v>
      </c>
      <c r="E448" s="415" t="s">
        <v>468</v>
      </c>
      <c r="F448" s="425">
        <v>3180.8</v>
      </c>
      <c r="G448" s="427" t="s">
        <v>1736</v>
      </c>
      <c r="H448" s="415" t="s">
        <v>468</v>
      </c>
      <c r="I448" s="398" t="s">
        <v>2482</v>
      </c>
      <c r="J448" s="415" t="s">
        <v>1735</v>
      </c>
      <c r="K448" s="418" t="s">
        <v>830</v>
      </c>
      <c r="L448" s="399" t="s">
        <v>839</v>
      </c>
      <c r="M448" s="415">
        <v>1896</v>
      </c>
      <c r="N448" s="413">
        <v>44757</v>
      </c>
      <c r="O448" s="414" t="s">
        <v>408</v>
      </c>
      <c r="P448" s="655">
        <f t="shared" si="18"/>
        <v>7</v>
      </c>
      <c r="Q448" s="655">
        <f t="shared" si="19"/>
        <v>6</v>
      </c>
      <c r="R448" s="695" t="str">
        <f t="shared" si="20"/>
        <v>Gastos_custeados_por_captação</v>
      </c>
      <c r="S448" s="697" t="s">
        <v>5937</v>
      </c>
      <c r="T448" s="697">
        <v>2759</v>
      </c>
    </row>
    <row r="449" spans="1:20" ht="36" x14ac:dyDescent="0.2">
      <c r="A449" s="432">
        <f>IF(B449="","",COUNT('Diário 1º PA'!$A$4:$A$2635)+COUNT('Diário 2º PA'!$A$4:$A$3040)+ROW()-3)</f>
        <v>4545</v>
      </c>
      <c r="B449" s="413">
        <v>44760</v>
      </c>
      <c r="C449" s="431">
        <v>44713</v>
      </c>
      <c r="D449" s="415" t="s">
        <v>468</v>
      </c>
      <c r="E449" s="415" t="s">
        <v>468</v>
      </c>
      <c r="F449" s="425">
        <v>5585.43</v>
      </c>
      <c r="G449" s="427" t="s">
        <v>4099</v>
      </c>
      <c r="H449" s="415" t="s">
        <v>468</v>
      </c>
      <c r="I449" s="398" t="s">
        <v>6413</v>
      </c>
      <c r="J449" s="415" t="s">
        <v>4103</v>
      </c>
      <c r="K449" s="418" t="s">
        <v>830</v>
      </c>
      <c r="L449" s="399" t="s">
        <v>32</v>
      </c>
      <c r="M449" s="399" t="s">
        <v>1503</v>
      </c>
      <c r="N449" s="413">
        <v>44756</v>
      </c>
      <c r="O449" s="414" t="s">
        <v>408</v>
      </c>
      <c r="P449" s="655">
        <f t="shared" si="18"/>
        <v>7</v>
      </c>
      <c r="Q449" s="655">
        <f t="shared" si="19"/>
        <v>6</v>
      </c>
      <c r="R449" s="695" t="str">
        <f t="shared" si="20"/>
        <v>Gastos_custeados_por_captação</v>
      </c>
      <c r="S449" s="697" t="s">
        <v>1000</v>
      </c>
      <c r="T449" s="697">
        <v>3698</v>
      </c>
    </row>
    <row r="450" spans="1:20" ht="36" x14ac:dyDescent="0.2">
      <c r="A450" s="432">
        <f>IF(B450="","",COUNT('Diário 1º PA'!$A$4:$A$2635)+COUNT('Diário 2º PA'!$A$4:$A$3040)+ROW()-3)</f>
        <v>4546</v>
      </c>
      <c r="B450" s="413">
        <v>44760</v>
      </c>
      <c r="C450" s="424">
        <v>44774</v>
      </c>
      <c r="D450" s="415" t="s">
        <v>468</v>
      </c>
      <c r="E450" s="415" t="s">
        <v>468</v>
      </c>
      <c r="F450" s="425">
        <v>11</v>
      </c>
      <c r="G450" s="427" t="s">
        <v>2469</v>
      </c>
      <c r="H450" s="415" t="s">
        <v>468</v>
      </c>
      <c r="I450" s="639" t="s">
        <v>881</v>
      </c>
      <c r="J450" s="418" t="s">
        <v>882</v>
      </c>
      <c r="K450" s="418" t="s">
        <v>883</v>
      </c>
      <c r="L450" s="399" t="s">
        <v>798</v>
      </c>
      <c r="M450" s="544" t="s">
        <v>310</v>
      </c>
      <c r="N450" s="413">
        <v>44760</v>
      </c>
      <c r="O450" s="414" t="s">
        <v>408</v>
      </c>
      <c r="P450" s="655">
        <f t="shared" si="18"/>
        <v>7</v>
      </c>
      <c r="Q450" s="655">
        <f t="shared" si="19"/>
        <v>8</v>
      </c>
      <c r="R450" s="695" t="str">
        <f t="shared" si="20"/>
        <v>Gastos_custeados_por_captação</v>
      </c>
      <c r="S450" s="697" t="s">
        <v>310</v>
      </c>
      <c r="T450" s="697" t="s">
        <v>310</v>
      </c>
    </row>
    <row r="451" spans="1:20" ht="36" x14ac:dyDescent="0.2">
      <c r="A451" s="432">
        <f>IF(B451="","",COUNT('Diário 1º PA'!$A$4:$A$2635)+COUNT('Diário 2º PA'!$A$4:$A$3040)+ROW()-3)</f>
        <v>4547</v>
      </c>
      <c r="B451" s="413">
        <v>44760</v>
      </c>
      <c r="C451" s="424">
        <v>44774</v>
      </c>
      <c r="D451" s="415" t="s">
        <v>468</v>
      </c>
      <c r="E451" s="415" t="s">
        <v>468</v>
      </c>
      <c r="F451" s="425">
        <v>11</v>
      </c>
      <c r="G451" s="427" t="s">
        <v>2469</v>
      </c>
      <c r="H451" s="415" t="s">
        <v>468</v>
      </c>
      <c r="I451" s="639" t="s">
        <v>881</v>
      </c>
      <c r="J451" s="418" t="s">
        <v>882</v>
      </c>
      <c r="K451" s="418" t="s">
        <v>883</v>
      </c>
      <c r="L451" s="399" t="s">
        <v>798</v>
      </c>
      <c r="M451" s="544" t="s">
        <v>310</v>
      </c>
      <c r="N451" s="413">
        <v>44760</v>
      </c>
      <c r="O451" s="414" t="s">
        <v>408</v>
      </c>
      <c r="P451" s="655">
        <f t="shared" si="18"/>
        <v>7</v>
      </c>
      <c r="Q451" s="655">
        <f t="shared" si="19"/>
        <v>8</v>
      </c>
      <c r="R451" s="695" t="str">
        <f t="shared" si="20"/>
        <v>Gastos_custeados_por_captação</v>
      </c>
      <c r="S451" s="697" t="s">
        <v>310</v>
      </c>
      <c r="T451" s="697" t="s">
        <v>310</v>
      </c>
    </row>
    <row r="452" spans="1:20" ht="36" x14ac:dyDescent="0.2">
      <c r="A452" s="432">
        <f>IF(B452="","",COUNT('Diário 1º PA'!$A$4:$A$2635)+COUNT('Diário 2º PA'!$A$4:$A$3040)+ROW()-3)</f>
        <v>4548</v>
      </c>
      <c r="B452" s="413">
        <v>44760</v>
      </c>
      <c r="C452" s="424">
        <v>44774</v>
      </c>
      <c r="D452" s="415" t="s">
        <v>468</v>
      </c>
      <c r="E452" s="415" t="s">
        <v>468</v>
      </c>
      <c r="F452" s="425">
        <v>11</v>
      </c>
      <c r="G452" s="427" t="s">
        <v>2469</v>
      </c>
      <c r="H452" s="415" t="s">
        <v>468</v>
      </c>
      <c r="I452" s="639" t="s">
        <v>881</v>
      </c>
      <c r="J452" s="418" t="s">
        <v>882</v>
      </c>
      <c r="K452" s="418" t="s">
        <v>883</v>
      </c>
      <c r="L452" s="399" t="s">
        <v>798</v>
      </c>
      <c r="M452" s="544" t="s">
        <v>310</v>
      </c>
      <c r="N452" s="413">
        <v>44760</v>
      </c>
      <c r="O452" s="414" t="s">
        <v>408</v>
      </c>
      <c r="P452" s="655">
        <f t="shared" si="18"/>
        <v>7</v>
      </c>
      <c r="Q452" s="655">
        <f t="shared" si="19"/>
        <v>8</v>
      </c>
      <c r="R452" s="695" t="str">
        <f t="shared" si="20"/>
        <v>Gastos_custeados_por_captação</v>
      </c>
      <c r="S452" s="697" t="s">
        <v>310</v>
      </c>
      <c r="T452" s="697" t="s">
        <v>310</v>
      </c>
    </row>
    <row r="453" spans="1:20" ht="48" x14ac:dyDescent="0.2">
      <c r="A453" s="432">
        <f>IF(B453="","",COUNT('Diário 1º PA'!$A$4:$A$2635)+COUNT('Diário 2º PA'!$A$4:$A$3040)+ROW()-3)</f>
        <v>4549</v>
      </c>
      <c r="B453" s="413">
        <v>44760</v>
      </c>
      <c r="C453" s="431">
        <v>44743</v>
      </c>
      <c r="D453" s="415" t="s">
        <v>34</v>
      </c>
      <c r="E453" s="415" t="s">
        <v>331</v>
      </c>
      <c r="F453" s="425">
        <v>194615.38</v>
      </c>
      <c r="G453" s="702" t="s">
        <v>5659</v>
      </c>
      <c r="H453" s="415" t="s">
        <v>310</v>
      </c>
      <c r="I453" s="427" t="s">
        <v>2437</v>
      </c>
      <c r="J453" s="415" t="s">
        <v>796</v>
      </c>
      <c r="K453" s="415" t="s">
        <v>797</v>
      </c>
      <c r="L453" s="415" t="s">
        <v>798</v>
      </c>
      <c r="M453" s="415" t="s">
        <v>310</v>
      </c>
      <c r="N453" s="413">
        <v>44760</v>
      </c>
      <c r="O453" s="414" t="s">
        <v>3762</v>
      </c>
      <c r="P453" s="655">
        <f t="shared" ref="P453:P516" si="21">IF(B453=0,0,IF(YEAR(B453)=$Q$1,MONTH(B453)-$P$1+1,(YEAR(B453)-$Q$1)*12-$P$1+1+MONTH(B453)))</f>
        <v>7</v>
      </c>
      <c r="Q453" s="655">
        <f t="shared" ref="Q453:Q516" si="22">IF(C453=0,0,IF(YEAR(C453)=$Q$1,MONTH(C453)-$P$1+1,(YEAR(C453)-$Q$1)*12-$P$1+1+MONTH(C453)))</f>
        <v>7</v>
      </c>
      <c r="R453" s="695" t="str">
        <f t="shared" ref="R453:R516" si="23">SUBSTITUTE(D453," ","_")</f>
        <v>Receitas</v>
      </c>
      <c r="S453" s="697" t="s">
        <v>310</v>
      </c>
      <c r="T453" s="697" t="s">
        <v>310</v>
      </c>
    </row>
    <row r="454" spans="1:20" ht="48" x14ac:dyDescent="0.2">
      <c r="A454" s="432">
        <f>IF(B454="","",COUNT('Diário 1º PA'!$A$4:$A$2635)+COUNT('Diário 2º PA'!$A$4:$A$3040)+ROW()-3)</f>
        <v>4550</v>
      </c>
      <c r="B454" s="413">
        <v>44760</v>
      </c>
      <c r="C454" s="431">
        <v>44713</v>
      </c>
      <c r="D454" s="415" t="s">
        <v>468</v>
      </c>
      <c r="E454" s="415" t="s">
        <v>468</v>
      </c>
      <c r="F454" s="425">
        <v>7056</v>
      </c>
      <c r="G454" s="427" t="s">
        <v>5395</v>
      </c>
      <c r="H454" s="415" t="s">
        <v>468</v>
      </c>
      <c r="I454" s="398" t="s">
        <v>3026</v>
      </c>
      <c r="J454" s="415" t="s">
        <v>1037</v>
      </c>
      <c r="K454" s="419" t="s">
        <v>806</v>
      </c>
      <c r="L454" s="399" t="s">
        <v>32</v>
      </c>
      <c r="M454" s="415" t="s">
        <v>1428</v>
      </c>
      <c r="N454" s="413">
        <v>44756</v>
      </c>
      <c r="O454" s="414" t="s">
        <v>3762</v>
      </c>
      <c r="P454" s="655">
        <f t="shared" si="21"/>
        <v>7</v>
      </c>
      <c r="Q454" s="655">
        <f t="shared" si="22"/>
        <v>6</v>
      </c>
      <c r="R454" s="695" t="str">
        <f t="shared" si="23"/>
        <v>Gastos_custeados_por_captação</v>
      </c>
      <c r="S454" s="697" t="s">
        <v>1000</v>
      </c>
      <c r="T454" s="697">
        <v>3965</v>
      </c>
    </row>
    <row r="455" spans="1:20" ht="60" x14ac:dyDescent="0.2">
      <c r="A455" s="432">
        <f>IF(B455="","",COUNT('Diário 1º PA'!$A$4:$A$2635)+COUNT('Diário 2º PA'!$A$4:$A$3040)+ROW()-3)</f>
        <v>4551</v>
      </c>
      <c r="B455" s="413">
        <v>44760</v>
      </c>
      <c r="C455" s="431">
        <v>44713</v>
      </c>
      <c r="D455" s="415" t="s">
        <v>468</v>
      </c>
      <c r="E455" s="415" t="s">
        <v>468</v>
      </c>
      <c r="F455" s="425">
        <v>3736.13</v>
      </c>
      <c r="G455" s="427" t="s">
        <v>4944</v>
      </c>
      <c r="H455" s="415" t="s">
        <v>468</v>
      </c>
      <c r="I455" s="398" t="s">
        <v>6611</v>
      </c>
      <c r="J455" s="415" t="s">
        <v>4945</v>
      </c>
      <c r="K455" s="419" t="s">
        <v>806</v>
      </c>
      <c r="L455" s="399" t="s">
        <v>1305</v>
      </c>
      <c r="M455" s="415" t="s">
        <v>310</v>
      </c>
      <c r="N455" s="413">
        <v>44753</v>
      </c>
      <c r="O455" s="414" t="s">
        <v>405</v>
      </c>
      <c r="P455" s="655">
        <f t="shared" si="21"/>
        <v>7</v>
      </c>
      <c r="Q455" s="655">
        <f t="shared" si="22"/>
        <v>6</v>
      </c>
      <c r="R455" s="695" t="str">
        <f t="shared" si="23"/>
        <v>Gastos_custeados_por_captação</v>
      </c>
      <c r="S455" s="697" t="s">
        <v>998</v>
      </c>
      <c r="T455" s="697">
        <v>3945</v>
      </c>
    </row>
    <row r="456" spans="1:20" ht="60" x14ac:dyDescent="0.2">
      <c r="A456" s="432">
        <f>IF(B456="","",COUNT('Diário 1º PA'!$A$4:$A$2635)+COUNT('Diário 2º PA'!$A$4:$A$3040)+ROW()-3)</f>
        <v>4552</v>
      </c>
      <c r="B456" s="413">
        <v>44760</v>
      </c>
      <c r="C456" s="431">
        <v>44743</v>
      </c>
      <c r="D456" s="415" t="s">
        <v>468</v>
      </c>
      <c r="E456" s="415" t="s">
        <v>468</v>
      </c>
      <c r="F456" s="425">
        <v>1500</v>
      </c>
      <c r="G456" s="427" t="s">
        <v>5772</v>
      </c>
      <c r="H456" s="415" t="s">
        <v>468</v>
      </c>
      <c r="I456" s="398" t="s">
        <v>6613</v>
      </c>
      <c r="J456" s="415" t="s">
        <v>5773</v>
      </c>
      <c r="K456" s="419" t="s">
        <v>806</v>
      </c>
      <c r="L456" s="399" t="s">
        <v>1305</v>
      </c>
      <c r="M456" s="415" t="s">
        <v>310</v>
      </c>
      <c r="N456" s="413">
        <v>44755</v>
      </c>
      <c r="O456" s="414" t="s">
        <v>405</v>
      </c>
      <c r="P456" s="655">
        <f t="shared" si="21"/>
        <v>7</v>
      </c>
      <c r="Q456" s="655">
        <f t="shared" si="22"/>
        <v>7</v>
      </c>
      <c r="R456" s="695" t="str">
        <f t="shared" si="23"/>
        <v>Gastos_custeados_por_captação</v>
      </c>
      <c r="S456" s="697" t="s">
        <v>998</v>
      </c>
      <c r="T456" s="697">
        <v>4021</v>
      </c>
    </row>
    <row r="457" spans="1:20" ht="60" x14ac:dyDescent="0.2">
      <c r="A457" s="432">
        <f>IF(B457="","",COUNT('Diário 1º PA'!$A$4:$A$2635)+COUNT('Diário 2º PA'!$A$4:$A$3040)+ROW()-3)</f>
        <v>4553</v>
      </c>
      <c r="B457" s="413">
        <v>44760</v>
      </c>
      <c r="C457" s="431">
        <v>44713</v>
      </c>
      <c r="D457" s="415" t="s">
        <v>468</v>
      </c>
      <c r="E457" s="415" t="s">
        <v>468</v>
      </c>
      <c r="F457" s="425">
        <v>1500</v>
      </c>
      <c r="G457" s="427" t="s">
        <v>5154</v>
      </c>
      <c r="H457" s="415" t="s">
        <v>468</v>
      </c>
      <c r="I457" s="398" t="s">
        <v>6614</v>
      </c>
      <c r="J457" s="415" t="s">
        <v>5155</v>
      </c>
      <c r="K457" s="418" t="s">
        <v>830</v>
      </c>
      <c r="L457" s="399" t="s">
        <v>1305</v>
      </c>
      <c r="M457" s="415" t="s">
        <v>310</v>
      </c>
      <c r="N457" s="413">
        <v>44753</v>
      </c>
      <c r="O457" s="414" t="s">
        <v>405</v>
      </c>
      <c r="P457" s="655">
        <f t="shared" si="21"/>
        <v>7</v>
      </c>
      <c r="Q457" s="655">
        <f t="shared" si="22"/>
        <v>6</v>
      </c>
      <c r="R457" s="695" t="str">
        <f t="shared" si="23"/>
        <v>Gastos_custeados_por_captação</v>
      </c>
      <c r="S457" s="697" t="s">
        <v>998</v>
      </c>
      <c r="T457" s="697">
        <v>3974</v>
      </c>
    </row>
    <row r="458" spans="1:20" ht="60" x14ac:dyDescent="0.2">
      <c r="A458" s="432">
        <f>IF(B458="","",COUNT('Diário 1º PA'!$A$4:$A$2635)+COUNT('Diário 2º PA'!$A$4:$A$3040)+ROW()-3)</f>
        <v>4554</v>
      </c>
      <c r="B458" s="413">
        <v>44760</v>
      </c>
      <c r="C458" s="431">
        <v>44743</v>
      </c>
      <c r="D458" s="415" t="s">
        <v>468</v>
      </c>
      <c r="E458" s="415" t="s">
        <v>468</v>
      </c>
      <c r="F458" s="425">
        <v>3429.65</v>
      </c>
      <c r="G458" s="427" t="s">
        <v>3260</v>
      </c>
      <c r="H458" s="415" t="s">
        <v>468</v>
      </c>
      <c r="I458" s="398" t="s">
        <v>3091</v>
      </c>
      <c r="J458" s="415" t="s">
        <v>1141</v>
      </c>
      <c r="K458" s="418" t="s">
        <v>830</v>
      </c>
      <c r="L458" s="399" t="s">
        <v>32</v>
      </c>
      <c r="M458" s="415" t="s">
        <v>3763</v>
      </c>
      <c r="N458" s="413">
        <v>44757</v>
      </c>
      <c r="O458" s="414" t="s">
        <v>405</v>
      </c>
      <c r="P458" s="655">
        <f t="shared" si="21"/>
        <v>7</v>
      </c>
      <c r="Q458" s="655">
        <f t="shared" si="22"/>
        <v>7</v>
      </c>
      <c r="R458" s="695" t="str">
        <f t="shared" si="23"/>
        <v>Gastos_custeados_por_captação</v>
      </c>
      <c r="S458" s="697" t="s">
        <v>1000</v>
      </c>
      <c r="T458" s="697">
        <v>3295</v>
      </c>
    </row>
    <row r="459" spans="1:20" ht="60" x14ac:dyDescent="0.2">
      <c r="A459" s="432">
        <f>IF(B459="","",COUNT('Diário 1º PA'!$A$4:$A$2635)+COUNT('Diário 2º PA'!$A$4:$A$3040)+ROW()-3)</f>
        <v>4555</v>
      </c>
      <c r="B459" s="413">
        <v>44760</v>
      </c>
      <c r="C459" s="431">
        <v>44713</v>
      </c>
      <c r="D459" s="415" t="s">
        <v>468</v>
      </c>
      <c r="E459" s="415" t="s">
        <v>468</v>
      </c>
      <c r="F459" s="425">
        <v>3233.67</v>
      </c>
      <c r="G459" s="427" t="s">
        <v>2341</v>
      </c>
      <c r="H459" s="415" t="s">
        <v>468</v>
      </c>
      <c r="I459" s="398" t="s">
        <v>2557</v>
      </c>
      <c r="J459" s="415" t="s">
        <v>2342</v>
      </c>
      <c r="K459" s="418" t="s">
        <v>830</v>
      </c>
      <c r="L459" s="399" t="s">
        <v>32</v>
      </c>
      <c r="M459" s="415" t="s">
        <v>3672</v>
      </c>
      <c r="N459" s="413">
        <v>44756</v>
      </c>
      <c r="O459" s="414" t="s">
        <v>405</v>
      </c>
      <c r="P459" s="655">
        <f t="shared" si="21"/>
        <v>7</v>
      </c>
      <c r="Q459" s="655">
        <f t="shared" si="22"/>
        <v>6</v>
      </c>
      <c r="R459" s="695" t="str">
        <f t="shared" si="23"/>
        <v>Gastos_custeados_por_captação</v>
      </c>
      <c r="S459" s="697" t="s">
        <v>1000</v>
      </c>
      <c r="T459" s="697">
        <v>3187</v>
      </c>
    </row>
    <row r="460" spans="1:20" ht="36" x14ac:dyDescent="0.2">
      <c r="A460" s="432">
        <f>IF(B460="","",COUNT('Diário 1º PA'!$A$4:$A$2635)+COUNT('Diário 2º PA'!$A$4:$A$3040)+ROW()-3)</f>
        <v>4556</v>
      </c>
      <c r="B460" s="414">
        <v>44761</v>
      </c>
      <c r="C460" s="424">
        <v>44713</v>
      </c>
      <c r="D460" s="415" t="s">
        <v>271</v>
      </c>
      <c r="E460" s="415" t="s">
        <v>163</v>
      </c>
      <c r="F460" s="425">
        <v>-76.36</v>
      </c>
      <c r="G460" s="427" t="s">
        <v>6034</v>
      </c>
      <c r="H460" s="415" t="s">
        <v>309</v>
      </c>
      <c r="I460" s="473" t="s">
        <v>795</v>
      </c>
      <c r="J460" s="415" t="s">
        <v>796</v>
      </c>
      <c r="K460" s="415" t="s">
        <v>797</v>
      </c>
      <c r="L460" s="415" t="s">
        <v>798</v>
      </c>
      <c r="M460" s="415" t="s">
        <v>310</v>
      </c>
      <c r="N460" s="414">
        <v>44761</v>
      </c>
      <c r="O460" s="414" t="s">
        <v>400</v>
      </c>
      <c r="P460" s="655">
        <f t="shared" si="21"/>
        <v>7</v>
      </c>
      <c r="Q460" s="655">
        <f t="shared" si="22"/>
        <v>6</v>
      </c>
      <c r="R460" s="695" t="str">
        <f t="shared" si="23"/>
        <v>Gastos_Gerais</v>
      </c>
      <c r="S460" s="697" t="s">
        <v>310</v>
      </c>
      <c r="T460" s="697" t="s">
        <v>310</v>
      </c>
    </row>
    <row r="461" spans="1:20" ht="108" x14ac:dyDescent="0.2">
      <c r="A461" s="432">
        <f>IF(B461="","",COUNT('Diário 1º PA'!$A$4:$A$2635)+COUNT('Diário 2º PA'!$A$4:$A$3040)+ROW()-3)</f>
        <v>4557</v>
      </c>
      <c r="B461" s="413">
        <v>44761</v>
      </c>
      <c r="C461" s="431">
        <v>44713</v>
      </c>
      <c r="D461" s="415" t="s">
        <v>271</v>
      </c>
      <c r="E461" s="415" t="s">
        <v>456</v>
      </c>
      <c r="F461" s="422">
        <v>5000</v>
      </c>
      <c r="G461" s="415" t="s">
        <v>4674</v>
      </c>
      <c r="H461" s="415" t="s">
        <v>756</v>
      </c>
      <c r="I461" s="415" t="s">
        <v>6035</v>
      </c>
      <c r="J461" s="415" t="s">
        <v>6012</v>
      </c>
      <c r="K461" s="419" t="s">
        <v>830</v>
      </c>
      <c r="L461" s="415" t="s">
        <v>32</v>
      </c>
      <c r="M461" s="415" t="s">
        <v>1428</v>
      </c>
      <c r="N461" s="413">
        <v>44757</v>
      </c>
      <c r="O461" s="414" t="s">
        <v>400</v>
      </c>
      <c r="P461" s="655">
        <f t="shared" si="21"/>
        <v>7</v>
      </c>
      <c r="Q461" s="655">
        <f t="shared" si="22"/>
        <v>6</v>
      </c>
      <c r="R461" s="695" t="str">
        <f t="shared" si="23"/>
        <v>Gastos_Gerais</v>
      </c>
      <c r="S461" s="697" t="s">
        <v>5937</v>
      </c>
      <c r="T461" s="697">
        <v>3830</v>
      </c>
    </row>
    <row r="462" spans="1:20" ht="81" customHeight="1" x14ac:dyDescent="0.2">
      <c r="A462" s="432">
        <f>IF(B462="","",COUNT('Diário 1º PA'!$A$4:$A$2635)+COUNT('Diário 2º PA'!$A$4:$A$3040)+ROW()-3)</f>
        <v>4558</v>
      </c>
      <c r="B462" s="413">
        <v>44761</v>
      </c>
      <c r="C462" s="431">
        <v>44713</v>
      </c>
      <c r="D462" s="415" t="s">
        <v>271</v>
      </c>
      <c r="E462" s="415" t="s">
        <v>450</v>
      </c>
      <c r="F462" s="422">
        <v>2939.7</v>
      </c>
      <c r="G462" s="427" t="s">
        <v>5685</v>
      </c>
      <c r="H462" s="415" t="s">
        <v>752</v>
      </c>
      <c r="I462" s="419" t="s">
        <v>2512</v>
      </c>
      <c r="J462" s="415" t="s">
        <v>1026</v>
      </c>
      <c r="K462" s="419" t="s">
        <v>830</v>
      </c>
      <c r="L462" s="415" t="s">
        <v>32</v>
      </c>
      <c r="M462" s="415" t="s">
        <v>1503</v>
      </c>
      <c r="N462" s="413">
        <v>44760</v>
      </c>
      <c r="O462" s="414" t="s">
        <v>400</v>
      </c>
      <c r="P462" s="655">
        <f t="shared" si="21"/>
        <v>7</v>
      </c>
      <c r="Q462" s="655">
        <f t="shared" si="22"/>
        <v>6</v>
      </c>
      <c r="R462" s="695" t="str">
        <f t="shared" si="23"/>
        <v>Gastos_Gerais</v>
      </c>
      <c r="S462" s="697" t="s">
        <v>1000</v>
      </c>
      <c r="T462" s="697">
        <v>3942</v>
      </c>
    </row>
    <row r="463" spans="1:20" ht="24" x14ac:dyDescent="0.2">
      <c r="A463" s="432">
        <f>IF(B463="","",COUNT('Diário 1º PA'!$A$4:$A$2635)+COUNT('Diário 2º PA'!$A$4:$A$3040)+ROW()-3)</f>
        <v>4559</v>
      </c>
      <c r="B463" s="413">
        <v>44761</v>
      </c>
      <c r="C463" s="431">
        <v>44713</v>
      </c>
      <c r="D463" s="415" t="s">
        <v>271</v>
      </c>
      <c r="E463" s="415" t="s">
        <v>163</v>
      </c>
      <c r="F463" s="422">
        <v>289.12</v>
      </c>
      <c r="G463" s="437" t="s">
        <v>4329</v>
      </c>
      <c r="H463" s="434" t="s">
        <v>309</v>
      </c>
      <c r="I463" s="474" t="s">
        <v>768</v>
      </c>
      <c r="J463" s="434" t="s">
        <v>1021</v>
      </c>
      <c r="K463" s="434" t="s">
        <v>1404</v>
      </c>
      <c r="L463" s="415" t="s">
        <v>807</v>
      </c>
      <c r="M463" s="415" t="s">
        <v>6037</v>
      </c>
      <c r="N463" s="455">
        <v>44731</v>
      </c>
      <c r="O463" s="414" t="s">
        <v>400</v>
      </c>
      <c r="P463" s="655">
        <f t="shared" si="21"/>
        <v>7</v>
      </c>
      <c r="Q463" s="655">
        <f t="shared" si="22"/>
        <v>6</v>
      </c>
      <c r="R463" s="695" t="str">
        <f t="shared" si="23"/>
        <v>Gastos_Gerais</v>
      </c>
      <c r="S463" s="697" t="s">
        <v>310</v>
      </c>
      <c r="T463" s="697" t="s">
        <v>310</v>
      </c>
    </row>
    <row r="464" spans="1:20" ht="36" x14ac:dyDescent="0.2">
      <c r="A464" s="432">
        <f>IF(B464="","",COUNT('Diário 1º PA'!$A$4:$A$2635)+COUNT('Diário 2º PA'!$A$4:$A$3040)+ROW()-3)</f>
        <v>4560</v>
      </c>
      <c r="B464" s="413">
        <v>44761</v>
      </c>
      <c r="C464" s="431">
        <v>44713</v>
      </c>
      <c r="D464" s="415" t="s">
        <v>271</v>
      </c>
      <c r="E464" s="415" t="s">
        <v>92</v>
      </c>
      <c r="F464" s="425">
        <v>500</v>
      </c>
      <c r="G464" s="427" t="s">
        <v>1590</v>
      </c>
      <c r="H464" s="415" t="s">
        <v>309</v>
      </c>
      <c r="I464" s="415" t="s">
        <v>6039</v>
      </c>
      <c r="J464" s="415" t="s">
        <v>1033</v>
      </c>
      <c r="K464" s="419" t="s">
        <v>830</v>
      </c>
      <c r="L464" s="415" t="s">
        <v>1412</v>
      </c>
      <c r="M464" s="415" t="s">
        <v>310</v>
      </c>
      <c r="N464" s="413">
        <v>44743</v>
      </c>
      <c r="O464" s="414" t="s">
        <v>400</v>
      </c>
      <c r="P464" s="655">
        <f t="shared" si="21"/>
        <v>7</v>
      </c>
      <c r="Q464" s="655">
        <f t="shared" si="22"/>
        <v>6</v>
      </c>
      <c r="R464" s="695" t="str">
        <f t="shared" si="23"/>
        <v>Gastos_Gerais</v>
      </c>
      <c r="S464" s="697" t="s">
        <v>1000</v>
      </c>
      <c r="T464" s="697">
        <v>2842</v>
      </c>
    </row>
    <row r="465" spans="1:20" ht="36" x14ac:dyDescent="0.2">
      <c r="A465" s="432">
        <f>IF(B465="","",COUNT('Diário 1º PA'!$A$4:$A$2635)+COUNT('Diário 2º PA'!$A$4:$A$3040)+ROW()-3)</f>
        <v>4561</v>
      </c>
      <c r="B465" s="413">
        <v>44761</v>
      </c>
      <c r="C465" s="424">
        <v>44743</v>
      </c>
      <c r="D465" s="415" t="s">
        <v>271</v>
      </c>
      <c r="E465" s="415" t="s">
        <v>71</v>
      </c>
      <c r="F465" s="425">
        <v>11</v>
      </c>
      <c r="G465" s="427" t="s">
        <v>6141</v>
      </c>
      <c r="H465" s="415" t="s">
        <v>756</v>
      </c>
      <c r="I465" s="398" t="s">
        <v>881</v>
      </c>
      <c r="J465" s="418" t="s">
        <v>882</v>
      </c>
      <c r="K465" s="418" t="s">
        <v>883</v>
      </c>
      <c r="L465" s="399" t="s">
        <v>798</v>
      </c>
      <c r="M465" s="415" t="s">
        <v>310</v>
      </c>
      <c r="N465" s="413">
        <v>44761</v>
      </c>
      <c r="O465" s="414" t="s">
        <v>400</v>
      </c>
      <c r="P465" s="655">
        <f t="shared" si="21"/>
        <v>7</v>
      </c>
      <c r="Q465" s="655">
        <f t="shared" si="22"/>
        <v>7</v>
      </c>
      <c r="R465" s="695" t="str">
        <f t="shared" si="23"/>
        <v>Gastos_Gerais</v>
      </c>
      <c r="S465" s="697" t="s">
        <v>310</v>
      </c>
      <c r="T465" s="697" t="s">
        <v>310</v>
      </c>
    </row>
    <row r="466" spans="1:20" ht="36" x14ac:dyDescent="0.2">
      <c r="A466" s="432">
        <f>IF(B466="","",COUNT('Diário 1º PA'!$A$4:$A$2635)+COUNT('Diário 2º PA'!$A$4:$A$3040)+ROW()-3)</f>
        <v>4562</v>
      </c>
      <c r="B466" s="413">
        <v>44761</v>
      </c>
      <c r="C466" s="424">
        <v>44743</v>
      </c>
      <c r="D466" s="415" t="s">
        <v>271</v>
      </c>
      <c r="E466" s="415" t="s">
        <v>71</v>
      </c>
      <c r="F466" s="425">
        <v>11</v>
      </c>
      <c r="G466" s="427" t="s">
        <v>6145</v>
      </c>
      <c r="H466" s="415" t="s">
        <v>758</v>
      </c>
      <c r="I466" s="398" t="s">
        <v>881</v>
      </c>
      <c r="J466" s="418" t="s">
        <v>882</v>
      </c>
      <c r="K466" s="418" t="s">
        <v>883</v>
      </c>
      <c r="L466" s="399" t="s">
        <v>798</v>
      </c>
      <c r="M466" s="415" t="s">
        <v>310</v>
      </c>
      <c r="N466" s="413">
        <v>44761</v>
      </c>
      <c r="O466" s="414" t="s">
        <v>400</v>
      </c>
      <c r="P466" s="655">
        <f t="shared" si="21"/>
        <v>7</v>
      </c>
      <c r="Q466" s="655">
        <f t="shared" si="22"/>
        <v>7</v>
      </c>
      <c r="R466" s="695" t="str">
        <f t="shared" si="23"/>
        <v>Gastos_Gerais</v>
      </c>
      <c r="S466" s="697" t="s">
        <v>310</v>
      </c>
      <c r="T466" s="697" t="s">
        <v>310</v>
      </c>
    </row>
    <row r="467" spans="1:20" ht="40.5" customHeight="1" x14ac:dyDescent="0.2">
      <c r="A467" s="432">
        <f>IF(B467="","",COUNT('Diário 1º PA'!$A$4:$A$2635)+COUNT('Diário 2º PA'!$A$4:$A$3040)+ROW()-3)</f>
        <v>4563</v>
      </c>
      <c r="B467" s="413">
        <v>44761</v>
      </c>
      <c r="C467" s="424">
        <v>44743</v>
      </c>
      <c r="D467" s="415" t="s">
        <v>271</v>
      </c>
      <c r="E467" s="415" t="s">
        <v>71</v>
      </c>
      <c r="F467" s="425">
        <v>11</v>
      </c>
      <c r="G467" s="427" t="s">
        <v>6146</v>
      </c>
      <c r="H467" s="415" t="s">
        <v>752</v>
      </c>
      <c r="I467" s="398" t="s">
        <v>881</v>
      </c>
      <c r="J467" s="418" t="s">
        <v>882</v>
      </c>
      <c r="K467" s="418" t="s">
        <v>883</v>
      </c>
      <c r="L467" s="399" t="s">
        <v>798</v>
      </c>
      <c r="M467" s="415" t="s">
        <v>310</v>
      </c>
      <c r="N467" s="413">
        <v>44761</v>
      </c>
      <c r="O467" s="414" t="s">
        <v>400</v>
      </c>
      <c r="P467" s="655">
        <f t="shared" si="21"/>
        <v>7</v>
      </c>
      <c r="Q467" s="655">
        <f t="shared" si="22"/>
        <v>7</v>
      </c>
      <c r="R467" s="695" t="str">
        <f t="shared" si="23"/>
        <v>Gastos_Gerais</v>
      </c>
      <c r="S467" s="697" t="s">
        <v>310</v>
      </c>
      <c r="T467" s="697" t="s">
        <v>310</v>
      </c>
    </row>
    <row r="468" spans="1:20" ht="36" x14ac:dyDescent="0.2">
      <c r="A468" s="432">
        <f>IF(B468="","",COUNT('Diário 1º PA'!$A$4:$A$2635)+COUNT('Diário 2º PA'!$A$4:$A$3040)+ROW()-3)</f>
        <v>4564</v>
      </c>
      <c r="B468" s="413">
        <v>44761</v>
      </c>
      <c r="C468" s="424">
        <v>44743</v>
      </c>
      <c r="D468" s="415" t="s">
        <v>271</v>
      </c>
      <c r="E468" s="415" t="s">
        <v>71</v>
      </c>
      <c r="F468" s="425">
        <v>11</v>
      </c>
      <c r="G468" s="427" t="s">
        <v>6147</v>
      </c>
      <c r="H468" s="415" t="s">
        <v>309</v>
      </c>
      <c r="I468" s="398" t="s">
        <v>881</v>
      </c>
      <c r="J468" s="418" t="s">
        <v>882</v>
      </c>
      <c r="K468" s="418" t="s">
        <v>883</v>
      </c>
      <c r="L468" s="399" t="s">
        <v>798</v>
      </c>
      <c r="M468" s="415" t="s">
        <v>310</v>
      </c>
      <c r="N468" s="413">
        <v>44761</v>
      </c>
      <c r="O468" s="414" t="s">
        <v>400</v>
      </c>
      <c r="P468" s="655">
        <f t="shared" si="21"/>
        <v>7</v>
      </c>
      <c r="Q468" s="655">
        <f t="shared" si="22"/>
        <v>7</v>
      </c>
      <c r="R468" s="695" t="str">
        <f t="shared" si="23"/>
        <v>Gastos_Gerais</v>
      </c>
      <c r="S468" s="697" t="s">
        <v>310</v>
      </c>
      <c r="T468" s="697" t="s">
        <v>310</v>
      </c>
    </row>
    <row r="469" spans="1:20" ht="84" x14ac:dyDescent="0.2">
      <c r="A469" s="432">
        <f>IF(B469="","",COUNT('Diário 1º PA'!$A$4:$A$2635)+COUNT('Diário 2º PA'!$A$4:$A$3040)+ROW()-3)</f>
        <v>4565</v>
      </c>
      <c r="B469" s="413">
        <v>44761</v>
      </c>
      <c r="C469" s="431">
        <v>44713</v>
      </c>
      <c r="D469" s="415" t="s">
        <v>468</v>
      </c>
      <c r="E469" s="415" t="s">
        <v>468</v>
      </c>
      <c r="F469" s="425">
        <v>4000</v>
      </c>
      <c r="G469" s="427" t="s">
        <v>4729</v>
      </c>
      <c r="H469" s="415" t="s">
        <v>468</v>
      </c>
      <c r="I469" s="398" t="s">
        <v>6617</v>
      </c>
      <c r="J469" s="415" t="s">
        <v>4730</v>
      </c>
      <c r="K469" s="419" t="s">
        <v>806</v>
      </c>
      <c r="L469" s="399" t="s">
        <v>1305</v>
      </c>
      <c r="M469" s="415" t="s">
        <v>310</v>
      </c>
      <c r="N469" s="413">
        <v>44760</v>
      </c>
      <c r="O469" s="414" t="s">
        <v>405</v>
      </c>
      <c r="P469" s="655">
        <f t="shared" si="21"/>
        <v>7</v>
      </c>
      <c r="Q469" s="655">
        <f t="shared" si="22"/>
        <v>6</v>
      </c>
      <c r="R469" s="695" t="str">
        <f t="shared" si="23"/>
        <v>Gastos_custeados_por_captação</v>
      </c>
      <c r="S469" s="697" t="s">
        <v>998</v>
      </c>
      <c r="T469" s="697">
        <v>3904</v>
      </c>
    </row>
    <row r="470" spans="1:20" ht="60" x14ac:dyDescent="0.2">
      <c r="A470" s="432">
        <f>IF(B470="","",COUNT('Diário 1º PA'!$A$4:$A$2635)+COUNT('Diário 2º PA'!$A$4:$A$3040)+ROW()-3)</f>
        <v>4566</v>
      </c>
      <c r="B470" s="414">
        <v>44762</v>
      </c>
      <c r="C470" s="431">
        <v>44743</v>
      </c>
      <c r="D470" s="415" t="s">
        <v>468</v>
      </c>
      <c r="E470" s="415" t="s">
        <v>468</v>
      </c>
      <c r="F470" s="425">
        <v>43.51</v>
      </c>
      <c r="G470" s="427" t="s">
        <v>5826</v>
      </c>
      <c r="H470" s="415" t="s">
        <v>468</v>
      </c>
      <c r="I470" s="398" t="s">
        <v>5022</v>
      </c>
      <c r="J470" s="415" t="s">
        <v>1957</v>
      </c>
      <c r="K470" s="418" t="s">
        <v>812</v>
      </c>
      <c r="L470" s="399" t="s">
        <v>32</v>
      </c>
      <c r="M470" s="415">
        <v>10919535</v>
      </c>
      <c r="N470" s="413">
        <v>44762</v>
      </c>
      <c r="O470" s="414" t="s">
        <v>3762</v>
      </c>
      <c r="P470" s="655">
        <f t="shared" si="21"/>
        <v>7</v>
      </c>
      <c r="Q470" s="655">
        <f t="shared" si="22"/>
        <v>7</v>
      </c>
      <c r="R470" s="695" t="str">
        <f t="shared" si="23"/>
        <v>Gastos_custeados_por_captação</v>
      </c>
      <c r="S470" s="697" t="s">
        <v>999</v>
      </c>
      <c r="T470" s="697">
        <v>4138</v>
      </c>
    </row>
    <row r="471" spans="1:20" ht="36" x14ac:dyDescent="0.2">
      <c r="A471" s="432">
        <f>IF(B471="","",COUNT('Diário 1º PA'!$A$4:$A$2635)+COUNT('Diário 2º PA'!$A$4:$A$3040)+ROW()-3)</f>
        <v>4567</v>
      </c>
      <c r="B471" s="414">
        <v>44762</v>
      </c>
      <c r="C471" s="424">
        <v>44713</v>
      </c>
      <c r="D471" s="415" t="s">
        <v>468</v>
      </c>
      <c r="E471" s="415" t="s">
        <v>468</v>
      </c>
      <c r="F471" s="425">
        <v>-372</v>
      </c>
      <c r="G471" s="427" t="s">
        <v>6040</v>
      </c>
      <c r="H471" s="415" t="s">
        <v>468</v>
      </c>
      <c r="I471" s="473" t="s">
        <v>795</v>
      </c>
      <c r="J471" s="415" t="s">
        <v>796</v>
      </c>
      <c r="K471" s="415" t="s">
        <v>797</v>
      </c>
      <c r="L471" s="415" t="s">
        <v>798</v>
      </c>
      <c r="M471" s="415" t="s">
        <v>310</v>
      </c>
      <c r="N471" s="414">
        <v>44762</v>
      </c>
      <c r="O471" s="414" t="s">
        <v>400</v>
      </c>
      <c r="P471" s="655">
        <f t="shared" si="21"/>
        <v>7</v>
      </c>
      <c r="Q471" s="655">
        <f t="shared" si="22"/>
        <v>6</v>
      </c>
      <c r="R471" s="695" t="str">
        <f t="shared" si="23"/>
        <v>Gastos_custeados_por_captação</v>
      </c>
      <c r="S471" s="697" t="s">
        <v>310</v>
      </c>
      <c r="T471" s="697" t="s">
        <v>310</v>
      </c>
    </row>
    <row r="472" spans="1:20" ht="36" x14ac:dyDescent="0.2">
      <c r="A472" s="432">
        <f>IF(B472="","",COUNT('Diário 1º PA'!$A$4:$A$2635)+COUNT('Diário 2º PA'!$A$4:$A$3040)+ROW()-3)</f>
        <v>4568</v>
      </c>
      <c r="B472" s="414">
        <v>44762</v>
      </c>
      <c r="C472" s="424">
        <v>44713</v>
      </c>
      <c r="D472" s="415" t="s">
        <v>468</v>
      </c>
      <c r="E472" s="415" t="s">
        <v>468</v>
      </c>
      <c r="F472" s="425">
        <v>-3100</v>
      </c>
      <c r="G472" s="427" t="s">
        <v>6041</v>
      </c>
      <c r="H472" s="415" t="s">
        <v>468</v>
      </c>
      <c r="I472" s="473" t="s">
        <v>795</v>
      </c>
      <c r="J472" s="415" t="s">
        <v>796</v>
      </c>
      <c r="K472" s="415" t="s">
        <v>797</v>
      </c>
      <c r="L472" s="415" t="s">
        <v>798</v>
      </c>
      <c r="M472" s="415" t="s">
        <v>310</v>
      </c>
      <c r="N472" s="414">
        <v>44762</v>
      </c>
      <c r="O472" s="414" t="s">
        <v>400</v>
      </c>
      <c r="P472" s="655">
        <f t="shared" si="21"/>
        <v>7</v>
      </c>
      <c r="Q472" s="655">
        <f t="shared" si="22"/>
        <v>6</v>
      </c>
      <c r="R472" s="695" t="str">
        <f t="shared" si="23"/>
        <v>Gastos_custeados_por_captação</v>
      </c>
      <c r="S472" s="697" t="s">
        <v>310</v>
      </c>
      <c r="T472" s="697" t="s">
        <v>310</v>
      </c>
    </row>
    <row r="473" spans="1:20" ht="36" x14ac:dyDescent="0.2">
      <c r="A473" s="432">
        <f>IF(B473="","",COUNT('Diário 1º PA'!$A$4:$A$2635)+COUNT('Diário 2º PA'!$A$4:$A$3040)+ROW()-3)</f>
        <v>4569</v>
      </c>
      <c r="B473" s="414">
        <v>44762</v>
      </c>
      <c r="C473" s="424">
        <v>44713</v>
      </c>
      <c r="D473" s="415" t="s">
        <v>468</v>
      </c>
      <c r="E473" s="415" t="s">
        <v>468</v>
      </c>
      <c r="F473" s="425">
        <v>-3720</v>
      </c>
      <c r="G473" s="427" t="s">
        <v>6042</v>
      </c>
      <c r="H473" s="415" t="s">
        <v>468</v>
      </c>
      <c r="I473" s="473" t="s">
        <v>795</v>
      </c>
      <c r="J473" s="415" t="s">
        <v>796</v>
      </c>
      <c r="K473" s="415" t="s">
        <v>797</v>
      </c>
      <c r="L473" s="415" t="s">
        <v>798</v>
      </c>
      <c r="M473" s="415" t="s">
        <v>310</v>
      </c>
      <c r="N473" s="414">
        <v>44762</v>
      </c>
      <c r="O473" s="414" t="s">
        <v>400</v>
      </c>
      <c r="P473" s="655">
        <f t="shared" si="21"/>
        <v>7</v>
      </c>
      <c r="Q473" s="655">
        <f t="shared" si="22"/>
        <v>6</v>
      </c>
      <c r="R473" s="695" t="str">
        <f t="shared" si="23"/>
        <v>Gastos_custeados_por_captação</v>
      </c>
      <c r="S473" s="697" t="s">
        <v>310</v>
      </c>
      <c r="T473" s="697" t="s">
        <v>310</v>
      </c>
    </row>
    <row r="474" spans="1:20" ht="36" x14ac:dyDescent="0.2">
      <c r="A474" s="432">
        <f>IF(B474="","",COUNT('Diário 1º PA'!$A$4:$A$2635)+COUNT('Diário 2º PA'!$A$4:$A$3040)+ROW()-3)</f>
        <v>4570</v>
      </c>
      <c r="B474" s="414">
        <v>44762</v>
      </c>
      <c r="C474" s="424">
        <v>44713</v>
      </c>
      <c r="D474" s="415" t="s">
        <v>468</v>
      </c>
      <c r="E474" s="415" t="s">
        <v>468</v>
      </c>
      <c r="F474" s="425">
        <v>-1627.5</v>
      </c>
      <c r="G474" s="427" t="s">
        <v>6043</v>
      </c>
      <c r="H474" s="415" t="s">
        <v>468</v>
      </c>
      <c r="I474" s="473" t="s">
        <v>795</v>
      </c>
      <c r="J474" s="415" t="s">
        <v>796</v>
      </c>
      <c r="K474" s="415" t="s">
        <v>797</v>
      </c>
      <c r="L474" s="415" t="s">
        <v>798</v>
      </c>
      <c r="M474" s="415" t="s">
        <v>310</v>
      </c>
      <c r="N474" s="414">
        <v>44762</v>
      </c>
      <c r="O474" s="414" t="s">
        <v>400</v>
      </c>
      <c r="P474" s="655">
        <f t="shared" si="21"/>
        <v>7</v>
      </c>
      <c r="Q474" s="655">
        <f t="shared" si="22"/>
        <v>6</v>
      </c>
      <c r="R474" s="695" t="str">
        <f t="shared" si="23"/>
        <v>Gastos_custeados_por_captação</v>
      </c>
      <c r="S474" s="697" t="s">
        <v>310</v>
      </c>
      <c r="T474" s="697" t="s">
        <v>310</v>
      </c>
    </row>
    <row r="475" spans="1:20" ht="48" x14ac:dyDescent="0.2">
      <c r="A475" s="432">
        <f>IF(B475="","",COUNT('Diário 1º PA'!$A$4:$A$2635)+COUNT('Diário 2º PA'!$A$4:$A$3040)+ROW()-3)</f>
        <v>4571</v>
      </c>
      <c r="B475" s="414">
        <v>44762</v>
      </c>
      <c r="C475" s="424">
        <v>44713</v>
      </c>
      <c r="D475" s="415" t="s">
        <v>271</v>
      </c>
      <c r="E475" s="415" t="s">
        <v>326</v>
      </c>
      <c r="F475" s="425">
        <v>-396.15</v>
      </c>
      <c r="G475" s="427" t="s">
        <v>4849</v>
      </c>
      <c r="H475" s="415" t="s">
        <v>309</v>
      </c>
      <c r="I475" s="473" t="s">
        <v>795</v>
      </c>
      <c r="J475" s="415" t="s">
        <v>796</v>
      </c>
      <c r="K475" s="415" t="s">
        <v>797</v>
      </c>
      <c r="L475" s="415" t="s">
        <v>798</v>
      </c>
      <c r="M475" s="415" t="s">
        <v>310</v>
      </c>
      <c r="N475" s="414">
        <v>44762</v>
      </c>
      <c r="O475" s="414" t="s">
        <v>400</v>
      </c>
      <c r="P475" s="655">
        <f t="shared" si="21"/>
        <v>7</v>
      </c>
      <c r="Q475" s="655">
        <f t="shared" si="22"/>
        <v>6</v>
      </c>
      <c r="R475" s="695" t="str">
        <f t="shared" si="23"/>
        <v>Gastos_Gerais</v>
      </c>
      <c r="S475" s="697" t="s">
        <v>310</v>
      </c>
      <c r="T475" s="697" t="s">
        <v>310</v>
      </c>
    </row>
    <row r="476" spans="1:20" ht="48" x14ac:dyDescent="0.2">
      <c r="A476" s="432">
        <f>IF(B476="","",COUNT('Diário 1º PA'!$A$4:$A$2635)+COUNT('Diário 2º PA'!$A$4:$A$3040)+ROW()-3)</f>
        <v>4572</v>
      </c>
      <c r="B476" s="414">
        <v>44762</v>
      </c>
      <c r="C476" s="424">
        <v>44713</v>
      </c>
      <c r="D476" s="415" t="s">
        <v>271</v>
      </c>
      <c r="E476" s="415" t="s">
        <v>183</v>
      </c>
      <c r="F476" s="425">
        <v>-93.74</v>
      </c>
      <c r="G476" s="440" t="s">
        <v>6044</v>
      </c>
      <c r="H476" s="415" t="s">
        <v>309</v>
      </c>
      <c r="I476" s="473" t="s">
        <v>795</v>
      </c>
      <c r="J476" s="415" t="s">
        <v>796</v>
      </c>
      <c r="K476" s="415" t="s">
        <v>797</v>
      </c>
      <c r="L476" s="415" t="s">
        <v>798</v>
      </c>
      <c r="M476" s="415" t="s">
        <v>310</v>
      </c>
      <c r="N476" s="414">
        <v>44762</v>
      </c>
      <c r="O476" s="414" t="s">
        <v>400</v>
      </c>
      <c r="P476" s="655">
        <f t="shared" si="21"/>
        <v>7</v>
      </c>
      <c r="Q476" s="655">
        <f t="shared" si="22"/>
        <v>6</v>
      </c>
      <c r="R476" s="695" t="str">
        <f t="shared" si="23"/>
        <v>Gastos_Gerais</v>
      </c>
      <c r="S476" s="697" t="s">
        <v>310</v>
      </c>
      <c r="T476" s="697" t="s">
        <v>310</v>
      </c>
    </row>
    <row r="477" spans="1:20" ht="48" x14ac:dyDescent="0.2">
      <c r="A477" s="432">
        <f>IF(B477="","",COUNT('Diário 1º PA'!$A$4:$A$2635)+COUNT('Diário 2º PA'!$A$4:$A$3040)+ROW()-3)</f>
        <v>4573</v>
      </c>
      <c r="B477" s="414">
        <v>44762</v>
      </c>
      <c r="C477" s="424">
        <v>44713</v>
      </c>
      <c r="D477" s="415" t="s">
        <v>182</v>
      </c>
      <c r="E477" s="415" t="s">
        <v>1</v>
      </c>
      <c r="F477" s="425">
        <v>-3203.98</v>
      </c>
      <c r="G477" s="427" t="s">
        <v>6245</v>
      </c>
      <c r="H477" s="415" t="s">
        <v>310</v>
      </c>
      <c r="I477" s="473" t="s">
        <v>795</v>
      </c>
      <c r="J477" s="415" t="s">
        <v>796</v>
      </c>
      <c r="K477" s="415" t="s">
        <v>797</v>
      </c>
      <c r="L477" s="415" t="s">
        <v>798</v>
      </c>
      <c r="M477" s="415" t="s">
        <v>310</v>
      </c>
      <c r="N477" s="414">
        <v>44762</v>
      </c>
      <c r="O477" s="414" t="s">
        <v>400</v>
      </c>
      <c r="P477" s="655">
        <f t="shared" si="21"/>
        <v>7</v>
      </c>
      <c r="Q477" s="655">
        <f t="shared" si="22"/>
        <v>6</v>
      </c>
      <c r="R477" s="695" t="str">
        <f t="shared" si="23"/>
        <v>Gastos_com_Pessoal</v>
      </c>
      <c r="S477" s="697" t="s">
        <v>310</v>
      </c>
      <c r="T477" s="697" t="s">
        <v>310</v>
      </c>
    </row>
    <row r="478" spans="1:20" ht="48" x14ac:dyDescent="0.2">
      <c r="A478" s="432">
        <f>IF(B478="","",COUNT('Diário 1º PA'!$A$4:$A$2635)+COUNT('Diário 2º PA'!$A$4:$A$3040)+ROW()-3)</f>
        <v>4574</v>
      </c>
      <c r="B478" s="414">
        <v>44762</v>
      </c>
      <c r="C478" s="424">
        <v>44713</v>
      </c>
      <c r="D478" s="415" t="s">
        <v>182</v>
      </c>
      <c r="E478" s="415" t="s">
        <v>252</v>
      </c>
      <c r="F478" s="425">
        <v>-8054.88</v>
      </c>
      <c r="G478" s="427" t="s">
        <v>6045</v>
      </c>
      <c r="H478" s="415" t="s">
        <v>310</v>
      </c>
      <c r="I478" s="473" t="s">
        <v>795</v>
      </c>
      <c r="J478" s="415" t="s">
        <v>796</v>
      </c>
      <c r="K478" s="415" t="s">
        <v>797</v>
      </c>
      <c r="L478" s="415" t="s">
        <v>798</v>
      </c>
      <c r="M478" s="415" t="s">
        <v>310</v>
      </c>
      <c r="N478" s="414">
        <v>44762</v>
      </c>
      <c r="O478" s="414" t="s">
        <v>400</v>
      </c>
      <c r="P478" s="655">
        <f t="shared" si="21"/>
        <v>7</v>
      </c>
      <c r="Q478" s="655">
        <f t="shared" si="22"/>
        <v>6</v>
      </c>
      <c r="R478" s="695" t="str">
        <f t="shared" si="23"/>
        <v>Gastos_com_Pessoal</v>
      </c>
      <c r="S478" s="697" t="s">
        <v>310</v>
      </c>
      <c r="T478" s="697" t="s">
        <v>310</v>
      </c>
    </row>
    <row r="479" spans="1:20" ht="36" x14ac:dyDescent="0.2">
      <c r="A479" s="432">
        <f>IF(B479="","",COUNT('Diário 1º PA'!$A$4:$A$2635)+COUNT('Diário 2º PA'!$A$4:$A$3040)+ROW()-3)</f>
        <v>4575</v>
      </c>
      <c r="B479" s="414">
        <v>44762</v>
      </c>
      <c r="C479" s="424">
        <v>44713</v>
      </c>
      <c r="D479" s="415" t="s">
        <v>271</v>
      </c>
      <c r="E479" s="415" t="s">
        <v>90</v>
      </c>
      <c r="F479" s="425">
        <v>-1184.2</v>
      </c>
      <c r="G479" s="427" t="s">
        <v>6046</v>
      </c>
      <c r="H479" s="415" t="s">
        <v>310</v>
      </c>
      <c r="I479" s="473" t="s">
        <v>795</v>
      </c>
      <c r="J479" s="415" t="s">
        <v>796</v>
      </c>
      <c r="K479" s="415" t="s">
        <v>797</v>
      </c>
      <c r="L479" s="415" t="s">
        <v>798</v>
      </c>
      <c r="M479" s="415" t="s">
        <v>310</v>
      </c>
      <c r="N479" s="414">
        <v>44762</v>
      </c>
      <c r="O479" s="414" t="s">
        <v>400</v>
      </c>
      <c r="P479" s="655">
        <f t="shared" si="21"/>
        <v>7</v>
      </c>
      <c r="Q479" s="655">
        <f t="shared" si="22"/>
        <v>6</v>
      </c>
      <c r="R479" s="695" t="str">
        <f t="shared" si="23"/>
        <v>Gastos_Gerais</v>
      </c>
      <c r="S479" s="697" t="s">
        <v>310</v>
      </c>
      <c r="T479" s="697" t="s">
        <v>310</v>
      </c>
    </row>
    <row r="480" spans="1:20" ht="36" x14ac:dyDescent="0.2">
      <c r="A480" s="432">
        <f>IF(B480="","",COUNT('Diário 1º PA'!$A$4:$A$2635)+COUNT('Diário 2º PA'!$A$4:$A$3040)+ROW()-3)</f>
        <v>4576</v>
      </c>
      <c r="B480" s="414">
        <v>44762</v>
      </c>
      <c r="C480" s="424">
        <v>44713</v>
      </c>
      <c r="D480" s="415" t="s">
        <v>468</v>
      </c>
      <c r="E480" s="415" t="s">
        <v>468</v>
      </c>
      <c r="F480" s="425">
        <v>-852.5</v>
      </c>
      <c r="G480" s="427" t="s">
        <v>5564</v>
      </c>
      <c r="H480" s="415" t="s">
        <v>468</v>
      </c>
      <c r="I480" s="473" t="s">
        <v>795</v>
      </c>
      <c r="J480" s="415" t="s">
        <v>796</v>
      </c>
      <c r="K480" s="419" t="s">
        <v>806</v>
      </c>
      <c r="L480" s="415" t="s">
        <v>798</v>
      </c>
      <c r="M480" s="415" t="s">
        <v>310</v>
      </c>
      <c r="N480" s="414">
        <v>44762</v>
      </c>
      <c r="O480" s="414" t="s">
        <v>400</v>
      </c>
      <c r="P480" s="655">
        <f t="shared" si="21"/>
        <v>7</v>
      </c>
      <c r="Q480" s="655">
        <f t="shared" si="22"/>
        <v>6</v>
      </c>
      <c r="R480" s="695" t="str">
        <f t="shared" si="23"/>
        <v>Gastos_custeados_por_captação</v>
      </c>
      <c r="S480" s="697" t="s">
        <v>310</v>
      </c>
      <c r="T480" s="697" t="s">
        <v>310</v>
      </c>
    </row>
    <row r="481" spans="1:20" ht="36" x14ac:dyDescent="0.2">
      <c r="A481" s="432">
        <f>IF(B481="","",COUNT('Diário 1º PA'!$A$4:$A$2635)+COUNT('Diário 2º PA'!$A$4:$A$3040)+ROW()-3)</f>
        <v>4577</v>
      </c>
      <c r="B481" s="414">
        <v>44762</v>
      </c>
      <c r="C481" s="424">
        <v>44713</v>
      </c>
      <c r="D481" s="415" t="s">
        <v>468</v>
      </c>
      <c r="E481" s="415" t="s">
        <v>468</v>
      </c>
      <c r="F481" s="425">
        <v>-5342.59</v>
      </c>
      <c r="G481" s="427" t="s">
        <v>6047</v>
      </c>
      <c r="H481" s="415" t="s">
        <v>468</v>
      </c>
      <c r="I481" s="473" t="s">
        <v>795</v>
      </c>
      <c r="J481" s="415" t="s">
        <v>796</v>
      </c>
      <c r="K481" s="415" t="s">
        <v>797</v>
      </c>
      <c r="L481" s="415" t="s">
        <v>798</v>
      </c>
      <c r="M481" s="415" t="s">
        <v>310</v>
      </c>
      <c r="N481" s="414">
        <v>44762</v>
      </c>
      <c r="O481" s="414" t="s">
        <v>400</v>
      </c>
      <c r="P481" s="655">
        <f t="shared" si="21"/>
        <v>7</v>
      </c>
      <c r="Q481" s="655">
        <f t="shared" si="22"/>
        <v>6</v>
      </c>
      <c r="R481" s="695" t="str">
        <f t="shared" si="23"/>
        <v>Gastos_custeados_por_captação</v>
      </c>
      <c r="S481" s="697" t="s">
        <v>310</v>
      </c>
      <c r="T481" s="697" t="s">
        <v>310</v>
      </c>
    </row>
    <row r="482" spans="1:20" ht="36" x14ac:dyDescent="0.2">
      <c r="A482" s="432">
        <f>IF(B482="","",COUNT('Diário 1º PA'!$A$4:$A$2635)+COUNT('Diário 2º PA'!$A$4:$A$3040)+ROW()-3)</f>
        <v>4578</v>
      </c>
      <c r="B482" s="414">
        <v>44762</v>
      </c>
      <c r="C482" s="424">
        <v>44713</v>
      </c>
      <c r="D482" s="415" t="s">
        <v>468</v>
      </c>
      <c r="E482" s="415" t="s">
        <v>468</v>
      </c>
      <c r="F482" s="425">
        <v>-1010.6</v>
      </c>
      <c r="G482" s="427" t="s">
        <v>6043</v>
      </c>
      <c r="H482" s="415" t="s">
        <v>468</v>
      </c>
      <c r="I482" s="473" t="s">
        <v>795</v>
      </c>
      <c r="J482" s="415" t="s">
        <v>796</v>
      </c>
      <c r="K482" s="415" t="s">
        <v>797</v>
      </c>
      <c r="L482" s="415" t="s">
        <v>798</v>
      </c>
      <c r="M482" s="415" t="s">
        <v>310</v>
      </c>
      <c r="N482" s="414">
        <v>44762</v>
      </c>
      <c r="O482" s="414" t="s">
        <v>400</v>
      </c>
      <c r="P482" s="655">
        <f t="shared" si="21"/>
        <v>7</v>
      </c>
      <c r="Q482" s="655">
        <f t="shared" si="22"/>
        <v>6</v>
      </c>
      <c r="R482" s="695" t="str">
        <f t="shared" si="23"/>
        <v>Gastos_custeados_por_captação</v>
      </c>
      <c r="S482" s="697" t="s">
        <v>310</v>
      </c>
      <c r="T482" s="697" t="s">
        <v>310</v>
      </c>
    </row>
    <row r="483" spans="1:20" ht="36" x14ac:dyDescent="0.2">
      <c r="A483" s="432">
        <f>IF(B483="","",COUNT('Diário 1º PA'!$A$4:$A$2635)+COUNT('Diário 2º PA'!$A$4:$A$3040)+ROW()-3)</f>
        <v>4579</v>
      </c>
      <c r="B483" s="414">
        <v>44762</v>
      </c>
      <c r="C483" s="424">
        <v>44713</v>
      </c>
      <c r="D483" s="415" t="s">
        <v>468</v>
      </c>
      <c r="E483" s="415" t="s">
        <v>468</v>
      </c>
      <c r="F483" s="425">
        <v>-499.32</v>
      </c>
      <c r="G483" s="427" t="s">
        <v>6043</v>
      </c>
      <c r="H483" s="415" t="s">
        <v>468</v>
      </c>
      <c r="I483" s="473" t="s">
        <v>795</v>
      </c>
      <c r="J483" s="415" t="s">
        <v>796</v>
      </c>
      <c r="K483" s="415" t="s">
        <v>797</v>
      </c>
      <c r="L483" s="415" t="s">
        <v>798</v>
      </c>
      <c r="M483" s="415" t="s">
        <v>310</v>
      </c>
      <c r="N483" s="414">
        <v>44762</v>
      </c>
      <c r="O483" s="414" t="s">
        <v>400</v>
      </c>
      <c r="P483" s="655">
        <f t="shared" si="21"/>
        <v>7</v>
      </c>
      <c r="Q483" s="655">
        <f t="shared" si="22"/>
        <v>6</v>
      </c>
      <c r="R483" s="695" t="str">
        <f t="shared" si="23"/>
        <v>Gastos_custeados_por_captação</v>
      </c>
      <c r="S483" s="697" t="s">
        <v>310</v>
      </c>
      <c r="T483" s="697" t="s">
        <v>310</v>
      </c>
    </row>
    <row r="484" spans="1:20" ht="36" x14ac:dyDescent="0.2">
      <c r="A484" s="432">
        <f>IF(B484="","",COUNT('Diário 1º PA'!$A$4:$A$2635)+COUNT('Diário 2º PA'!$A$4:$A$3040)+ROW()-3)</f>
        <v>4580</v>
      </c>
      <c r="B484" s="414">
        <v>44762</v>
      </c>
      <c r="C484" s="424">
        <v>44713</v>
      </c>
      <c r="D484" s="415" t="s">
        <v>468</v>
      </c>
      <c r="E484" s="415" t="s">
        <v>468</v>
      </c>
      <c r="F484" s="425">
        <v>-465</v>
      </c>
      <c r="G484" s="427" t="s">
        <v>6048</v>
      </c>
      <c r="H484" s="415" t="s">
        <v>468</v>
      </c>
      <c r="I484" s="473" t="s">
        <v>795</v>
      </c>
      <c r="J484" s="415" t="s">
        <v>796</v>
      </c>
      <c r="K484" s="415" t="s">
        <v>797</v>
      </c>
      <c r="L484" s="415" t="s">
        <v>798</v>
      </c>
      <c r="M484" s="415" t="s">
        <v>310</v>
      </c>
      <c r="N484" s="414">
        <v>44762</v>
      </c>
      <c r="O484" s="414" t="s">
        <v>400</v>
      </c>
      <c r="P484" s="655">
        <f t="shared" si="21"/>
        <v>7</v>
      </c>
      <c r="Q484" s="655">
        <f t="shared" si="22"/>
        <v>6</v>
      </c>
      <c r="R484" s="695" t="str">
        <f t="shared" si="23"/>
        <v>Gastos_custeados_por_captação</v>
      </c>
      <c r="S484" s="697" t="s">
        <v>310</v>
      </c>
      <c r="T484" s="697" t="s">
        <v>310</v>
      </c>
    </row>
    <row r="485" spans="1:20" ht="36" x14ac:dyDescent="0.2">
      <c r="A485" s="432">
        <f>IF(B485="","",COUNT('Diário 1º PA'!$A$4:$A$2635)+COUNT('Diário 2º PA'!$A$4:$A$3040)+ROW()-3)</f>
        <v>4581</v>
      </c>
      <c r="B485" s="414">
        <v>44762</v>
      </c>
      <c r="C485" s="424">
        <v>44713</v>
      </c>
      <c r="D485" s="415" t="s">
        <v>468</v>
      </c>
      <c r="E485" s="415" t="s">
        <v>468</v>
      </c>
      <c r="F485" s="425">
        <v>-3255</v>
      </c>
      <c r="G485" s="427" t="s">
        <v>6049</v>
      </c>
      <c r="H485" s="415" t="s">
        <v>468</v>
      </c>
      <c r="I485" s="473" t="s">
        <v>795</v>
      </c>
      <c r="J485" s="415" t="s">
        <v>796</v>
      </c>
      <c r="K485" s="415" t="s">
        <v>797</v>
      </c>
      <c r="L485" s="415" t="s">
        <v>798</v>
      </c>
      <c r="M485" s="415" t="s">
        <v>310</v>
      </c>
      <c r="N485" s="414">
        <v>44762</v>
      </c>
      <c r="O485" s="414" t="s">
        <v>400</v>
      </c>
      <c r="P485" s="655">
        <f t="shared" si="21"/>
        <v>7</v>
      </c>
      <c r="Q485" s="655">
        <f t="shared" si="22"/>
        <v>6</v>
      </c>
      <c r="R485" s="695" t="str">
        <f t="shared" si="23"/>
        <v>Gastos_custeados_por_captação</v>
      </c>
      <c r="S485" s="697" t="s">
        <v>310</v>
      </c>
      <c r="T485" s="697" t="s">
        <v>310</v>
      </c>
    </row>
    <row r="486" spans="1:20" ht="36" x14ac:dyDescent="0.2">
      <c r="A486" s="432">
        <f>IF(B486="","",COUNT('Diário 1º PA'!$A$4:$A$2635)+COUNT('Diário 2º PA'!$A$4:$A$3040)+ROW()-3)</f>
        <v>4582</v>
      </c>
      <c r="B486" s="414">
        <v>44762</v>
      </c>
      <c r="C486" s="424">
        <v>44713</v>
      </c>
      <c r="D486" s="415" t="s">
        <v>468</v>
      </c>
      <c r="E486" s="415" t="s">
        <v>468</v>
      </c>
      <c r="F486" s="425">
        <v>-6153.5</v>
      </c>
      <c r="G486" s="427" t="s">
        <v>6050</v>
      </c>
      <c r="H486" s="415" t="s">
        <v>468</v>
      </c>
      <c r="I486" s="473" t="s">
        <v>795</v>
      </c>
      <c r="J486" s="415" t="s">
        <v>796</v>
      </c>
      <c r="K486" s="415" t="s">
        <v>797</v>
      </c>
      <c r="L486" s="415" t="s">
        <v>798</v>
      </c>
      <c r="M486" s="415" t="s">
        <v>310</v>
      </c>
      <c r="N486" s="414">
        <v>44762</v>
      </c>
      <c r="O486" s="414" t="s">
        <v>400</v>
      </c>
      <c r="P486" s="655">
        <f t="shared" si="21"/>
        <v>7</v>
      </c>
      <c r="Q486" s="655">
        <f t="shared" si="22"/>
        <v>6</v>
      </c>
      <c r="R486" s="695" t="str">
        <f t="shared" si="23"/>
        <v>Gastos_custeados_por_captação</v>
      </c>
      <c r="S486" s="697" t="s">
        <v>310</v>
      </c>
      <c r="T486" s="697" t="s">
        <v>310</v>
      </c>
    </row>
    <row r="487" spans="1:20" ht="36" x14ac:dyDescent="0.2">
      <c r="A487" s="432">
        <f>IF(B487="","",COUNT('Diário 1º PA'!$A$4:$A$2635)+COUNT('Diário 2º PA'!$A$4:$A$3040)+ROW()-3)</f>
        <v>4583</v>
      </c>
      <c r="B487" s="414">
        <v>44762</v>
      </c>
      <c r="C487" s="424">
        <v>44713</v>
      </c>
      <c r="D487" s="415" t="s">
        <v>468</v>
      </c>
      <c r="E487" s="415" t="s">
        <v>468</v>
      </c>
      <c r="F487" s="425">
        <v>-2615.4699999999998</v>
      </c>
      <c r="G487" s="427" t="s">
        <v>6051</v>
      </c>
      <c r="H487" s="415" t="s">
        <v>468</v>
      </c>
      <c r="I487" s="473" t="s">
        <v>795</v>
      </c>
      <c r="J487" s="415" t="s">
        <v>796</v>
      </c>
      <c r="K487" s="415" t="s">
        <v>797</v>
      </c>
      <c r="L487" s="415" t="s">
        <v>798</v>
      </c>
      <c r="M487" s="415" t="s">
        <v>310</v>
      </c>
      <c r="N487" s="414">
        <v>44762</v>
      </c>
      <c r="O487" s="414" t="s">
        <v>400</v>
      </c>
      <c r="P487" s="655">
        <f t="shared" si="21"/>
        <v>7</v>
      </c>
      <c r="Q487" s="655">
        <f t="shared" si="22"/>
        <v>6</v>
      </c>
      <c r="R487" s="695" t="str">
        <f t="shared" si="23"/>
        <v>Gastos_custeados_por_captação</v>
      </c>
      <c r="S487" s="697" t="s">
        <v>310</v>
      </c>
      <c r="T487" s="697" t="s">
        <v>310</v>
      </c>
    </row>
    <row r="488" spans="1:20" ht="60" x14ac:dyDescent="0.2">
      <c r="A488" s="432">
        <f>IF(B488="","",COUNT('Diário 1º PA'!$A$4:$A$2635)+COUNT('Diário 2º PA'!$A$4:$A$3040)+ROW()-3)</f>
        <v>4584</v>
      </c>
      <c r="B488" s="414">
        <v>44762</v>
      </c>
      <c r="C488" s="431">
        <v>44682</v>
      </c>
      <c r="D488" s="415" t="s">
        <v>271</v>
      </c>
      <c r="E488" s="415" t="s">
        <v>453</v>
      </c>
      <c r="F488" s="422">
        <v>850</v>
      </c>
      <c r="G488" s="427" t="s">
        <v>4306</v>
      </c>
      <c r="H488" s="415" t="s">
        <v>758</v>
      </c>
      <c r="I488" s="415" t="s">
        <v>6052</v>
      </c>
      <c r="J488" s="415" t="s">
        <v>4307</v>
      </c>
      <c r="K488" s="419" t="s">
        <v>830</v>
      </c>
      <c r="L488" s="415" t="s">
        <v>32</v>
      </c>
      <c r="M488" s="415">
        <v>20</v>
      </c>
      <c r="N488" s="413">
        <v>44760</v>
      </c>
      <c r="O488" s="414" t="s">
        <v>400</v>
      </c>
      <c r="P488" s="655">
        <f t="shared" si="21"/>
        <v>7</v>
      </c>
      <c r="Q488" s="655">
        <f t="shared" si="22"/>
        <v>5</v>
      </c>
      <c r="R488" s="695" t="str">
        <f t="shared" si="23"/>
        <v>Gastos_Gerais</v>
      </c>
      <c r="S488" s="697" t="s">
        <v>998</v>
      </c>
      <c r="T488" s="697">
        <v>3781</v>
      </c>
    </row>
    <row r="489" spans="1:20" ht="24" x14ac:dyDescent="0.2">
      <c r="A489" s="432">
        <f>IF(B489="","",COUNT('Diário 1º PA'!$A$4:$A$2635)+COUNT('Diário 2º PA'!$A$4:$A$3040)+ROW()-3)</f>
        <v>4585</v>
      </c>
      <c r="B489" s="414">
        <v>44762</v>
      </c>
      <c r="C489" s="424">
        <v>44713</v>
      </c>
      <c r="D489" s="415" t="s">
        <v>271</v>
      </c>
      <c r="E489" s="415" t="s">
        <v>326</v>
      </c>
      <c r="F489" s="425">
        <v>1434.3</v>
      </c>
      <c r="G489" s="427" t="s">
        <v>6053</v>
      </c>
      <c r="H489" s="415" t="s">
        <v>309</v>
      </c>
      <c r="I489" s="473" t="s">
        <v>4856</v>
      </c>
      <c r="J489" s="415" t="s">
        <v>3604</v>
      </c>
      <c r="K489" s="415" t="s">
        <v>812</v>
      </c>
      <c r="L489" s="415" t="s">
        <v>807</v>
      </c>
      <c r="M489" s="415" t="s">
        <v>6054</v>
      </c>
      <c r="N489" s="414">
        <v>44749</v>
      </c>
      <c r="O489" s="414" t="s">
        <v>400</v>
      </c>
      <c r="P489" s="655">
        <f t="shared" si="21"/>
        <v>7</v>
      </c>
      <c r="Q489" s="655">
        <f t="shared" si="22"/>
        <v>6</v>
      </c>
      <c r="R489" s="695" t="str">
        <f t="shared" si="23"/>
        <v>Gastos_Gerais</v>
      </c>
      <c r="S489" s="697" t="s">
        <v>1000</v>
      </c>
      <c r="T489" s="697">
        <v>3559</v>
      </c>
    </row>
    <row r="490" spans="1:20" ht="72" x14ac:dyDescent="0.2">
      <c r="A490" s="432">
        <f>IF(B490="","",COUNT('Diário 1º PA'!$A$4:$A$2635)+COUNT('Diário 2º PA'!$A$4:$A$3040)+ROW()-3)</f>
        <v>4586</v>
      </c>
      <c r="B490" s="414">
        <v>44762</v>
      </c>
      <c r="C490" s="431">
        <v>44713</v>
      </c>
      <c r="D490" s="415" t="s">
        <v>271</v>
      </c>
      <c r="E490" s="415" t="s">
        <v>186</v>
      </c>
      <c r="F490" s="425">
        <v>2952.47</v>
      </c>
      <c r="G490" s="427" t="s">
        <v>3151</v>
      </c>
      <c r="H490" s="415" t="s">
        <v>751</v>
      </c>
      <c r="I490" s="415" t="s">
        <v>1427</v>
      </c>
      <c r="J490" s="415" t="s">
        <v>1029</v>
      </c>
      <c r="K490" s="415" t="s">
        <v>812</v>
      </c>
      <c r="L490" s="415" t="s">
        <v>32</v>
      </c>
      <c r="M490" s="415" t="s">
        <v>6056</v>
      </c>
      <c r="N490" s="413">
        <v>44749</v>
      </c>
      <c r="O490" s="414" t="s">
        <v>400</v>
      </c>
      <c r="P490" s="655">
        <f t="shared" si="21"/>
        <v>7</v>
      </c>
      <c r="Q490" s="655">
        <f t="shared" si="22"/>
        <v>6</v>
      </c>
      <c r="R490" s="695" t="str">
        <f t="shared" si="23"/>
        <v>Gastos_Gerais</v>
      </c>
      <c r="S490" s="697" t="s">
        <v>1000</v>
      </c>
      <c r="T490" s="697">
        <v>1501</v>
      </c>
    </row>
    <row r="491" spans="1:20" ht="24" x14ac:dyDescent="0.2">
      <c r="A491" s="432">
        <f>IF(B491="","",COUNT('Diário 1º PA'!$A$4:$A$2635)+COUNT('Diário 2º PA'!$A$4:$A$3040)+ROW()-3)</f>
        <v>4587</v>
      </c>
      <c r="B491" s="414">
        <v>44762</v>
      </c>
      <c r="C491" s="433">
        <v>44713</v>
      </c>
      <c r="D491" s="415" t="s">
        <v>271</v>
      </c>
      <c r="E491" s="415" t="s">
        <v>183</v>
      </c>
      <c r="F491" s="425">
        <v>354.96</v>
      </c>
      <c r="G491" s="437" t="s">
        <v>3643</v>
      </c>
      <c r="H491" s="434" t="s">
        <v>309</v>
      </c>
      <c r="I491" s="474" t="s">
        <v>768</v>
      </c>
      <c r="J491" s="434" t="s">
        <v>1021</v>
      </c>
      <c r="K491" s="418" t="s">
        <v>812</v>
      </c>
      <c r="L491" s="415" t="s">
        <v>807</v>
      </c>
      <c r="M491" s="415" t="s">
        <v>6058</v>
      </c>
      <c r="N491" s="414">
        <v>44743</v>
      </c>
      <c r="O491" s="414" t="s">
        <v>400</v>
      </c>
      <c r="P491" s="655">
        <f t="shared" si="21"/>
        <v>7</v>
      </c>
      <c r="Q491" s="655">
        <f t="shared" si="22"/>
        <v>6</v>
      </c>
      <c r="R491" s="695" t="str">
        <f t="shared" si="23"/>
        <v>Gastos_Gerais</v>
      </c>
      <c r="S491" s="697" t="s">
        <v>310</v>
      </c>
      <c r="T491" s="697" t="s">
        <v>310</v>
      </c>
    </row>
    <row r="492" spans="1:20" ht="24" x14ac:dyDescent="0.2">
      <c r="A492" s="432">
        <f>IF(B492="","",COUNT('Diário 1º PA'!$A$4:$A$2635)+COUNT('Diário 2º PA'!$A$4:$A$3040)+ROW()-3)</f>
        <v>4588</v>
      </c>
      <c r="B492" s="414">
        <v>44762</v>
      </c>
      <c r="C492" s="424">
        <v>44682</v>
      </c>
      <c r="D492" s="415" t="s">
        <v>182</v>
      </c>
      <c r="E492" s="415" t="s">
        <v>1</v>
      </c>
      <c r="F492" s="425">
        <v>13232.39</v>
      </c>
      <c r="G492" s="427" t="s">
        <v>4585</v>
      </c>
      <c r="H492" s="415" t="s">
        <v>310</v>
      </c>
      <c r="I492" s="473" t="s">
        <v>1461</v>
      </c>
      <c r="J492" s="415" t="s">
        <v>310</v>
      </c>
      <c r="K492" s="415" t="s">
        <v>1220</v>
      </c>
      <c r="L492" s="415" t="s">
        <v>1368</v>
      </c>
      <c r="M492" s="415" t="s">
        <v>310</v>
      </c>
      <c r="N492" s="414">
        <v>44762</v>
      </c>
      <c r="O492" s="414" t="s">
        <v>400</v>
      </c>
      <c r="P492" s="655">
        <f t="shared" si="21"/>
        <v>7</v>
      </c>
      <c r="Q492" s="655">
        <f t="shared" si="22"/>
        <v>5</v>
      </c>
      <c r="R492" s="695" t="str">
        <f t="shared" si="23"/>
        <v>Gastos_com_Pessoal</v>
      </c>
      <c r="S492" s="697" t="s">
        <v>310</v>
      </c>
      <c r="T492" s="697" t="s">
        <v>310</v>
      </c>
    </row>
    <row r="493" spans="1:20" ht="24" x14ac:dyDescent="0.2">
      <c r="A493" s="432">
        <f>IF(B493="","",COUNT('Diário 1º PA'!$A$4:$A$2635)+COUNT('Diário 2º PA'!$A$4:$A$3040)+ROW()-3)</f>
        <v>4589</v>
      </c>
      <c r="B493" s="414">
        <v>44762</v>
      </c>
      <c r="C493" s="433">
        <v>44713</v>
      </c>
      <c r="D493" s="434" t="s">
        <v>182</v>
      </c>
      <c r="E493" s="434" t="s">
        <v>287</v>
      </c>
      <c r="F493" s="425">
        <v>81.44</v>
      </c>
      <c r="G493" s="427" t="s">
        <v>4886</v>
      </c>
      <c r="H493" s="415" t="s">
        <v>310</v>
      </c>
      <c r="I493" s="473" t="s">
        <v>1461</v>
      </c>
      <c r="J493" s="415" t="s">
        <v>310</v>
      </c>
      <c r="K493" s="415" t="s">
        <v>1220</v>
      </c>
      <c r="L493" s="415" t="s">
        <v>1368</v>
      </c>
      <c r="M493" s="415" t="s">
        <v>310</v>
      </c>
      <c r="N493" s="414">
        <v>44762</v>
      </c>
      <c r="O493" s="414" t="s">
        <v>400</v>
      </c>
      <c r="P493" s="655">
        <f t="shared" si="21"/>
        <v>7</v>
      </c>
      <c r="Q493" s="655">
        <f t="shared" si="22"/>
        <v>6</v>
      </c>
      <c r="R493" s="695" t="str">
        <f t="shared" si="23"/>
        <v>Gastos_com_Pessoal</v>
      </c>
      <c r="S493" s="697" t="s">
        <v>310</v>
      </c>
      <c r="T493" s="697" t="s">
        <v>310</v>
      </c>
    </row>
    <row r="494" spans="1:20" ht="24" x14ac:dyDescent="0.2">
      <c r="A494" s="432">
        <f>IF(B494="","",COUNT('Diário 1º PA'!$A$4:$A$2635)+COUNT('Diário 2º PA'!$A$4:$A$3040)+ROW()-3)</f>
        <v>4590</v>
      </c>
      <c r="B494" s="414">
        <v>44762</v>
      </c>
      <c r="C494" s="433">
        <v>44713</v>
      </c>
      <c r="D494" s="434" t="s">
        <v>182</v>
      </c>
      <c r="E494" s="434" t="s">
        <v>287</v>
      </c>
      <c r="F494" s="425">
        <v>44.94</v>
      </c>
      <c r="G494" s="427" t="s">
        <v>3149</v>
      </c>
      <c r="H494" s="415" t="s">
        <v>310</v>
      </c>
      <c r="I494" s="473" t="s">
        <v>1461</v>
      </c>
      <c r="J494" s="415" t="s">
        <v>310</v>
      </c>
      <c r="K494" s="415" t="s">
        <v>1220</v>
      </c>
      <c r="L494" s="415" t="s">
        <v>1368</v>
      </c>
      <c r="M494" s="415" t="s">
        <v>310</v>
      </c>
      <c r="N494" s="414">
        <v>44762</v>
      </c>
      <c r="O494" s="414" t="s">
        <v>400</v>
      </c>
      <c r="P494" s="655">
        <f t="shared" si="21"/>
        <v>7</v>
      </c>
      <c r="Q494" s="655">
        <f t="shared" si="22"/>
        <v>6</v>
      </c>
      <c r="R494" s="695" t="str">
        <f t="shared" si="23"/>
        <v>Gastos_com_Pessoal</v>
      </c>
      <c r="S494" s="697" t="s">
        <v>310</v>
      </c>
      <c r="T494" s="697" t="s">
        <v>310</v>
      </c>
    </row>
    <row r="495" spans="1:20" ht="24" x14ac:dyDescent="0.2">
      <c r="A495" s="432">
        <f>IF(B495="","",COUNT('Diário 1º PA'!$A$4:$A$2635)+COUNT('Diário 2º PA'!$A$4:$A$3040)+ROW()-3)</f>
        <v>4591</v>
      </c>
      <c r="B495" s="414">
        <v>44762</v>
      </c>
      <c r="C495" s="433">
        <v>44682</v>
      </c>
      <c r="D495" s="434" t="s">
        <v>182</v>
      </c>
      <c r="E495" s="434" t="s">
        <v>179</v>
      </c>
      <c r="F495" s="435">
        <v>19.760000000000002</v>
      </c>
      <c r="G495" s="437" t="s">
        <v>4445</v>
      </c>
      <c r="H495" s="415" t="s">
        <v>310</v>
      </c>
      <c r="I495" s="434" t="s">
        <v>1461</v>
      </c>
      <c r="J495" s="415" t="s">
        <v>310</v>
      </c>
      <c r="K495" s="415" t="s">
        <v>1220</v>
      </c>
      <c r="L495" s="415" t="s">
        <v>1368</v>
      </c>
      <c r="M495" s="415" t="s">
        <v>310</v>
      </c>
      <c r="N495" s="414">
        <v>44762</v>
      </c>
      <c r="O495" s="414" t="s">
        <v>400</v>
      </c>
      <c r="P495" s="655">
        <f t="shared" si="21"/>
        <v>7</v>
      </c>
      <c r="Q495" s="655">
        <f t="shared" si="22"/>
        <v>5</v>
      </c>
      <c r="R495" s="695" t="str">
        <f t="shared" si="23"/>
        <v>Gastos_com_Pessoal</v>
      </c>
      <c r="S495" s="697" t="s">
        <v>310</v>
      </c>
      <c r="T495" s="697" t="s">
        <v>310</v>
      </c>
    </row>
    <row r="496" spans="1:20" ht="24" x14ac:dyDescent="0.2">
      <c r="A496" s="432">
        <f>IF(B496="","",COUNT('Diário 1º PA'!$A$4:$A$2635)+COUNT('Diário 2º PA'!$A$4:$A$3040)+ROW()-3)</f>
        <v>4592</v>
      </c>
      <c r="B496" s="414">
        <v>44762</v>
      </c>
      <c r="C496" s="433">
        <v>44652</v>
      </c>
      <c r="D496" s="434" t="s">
        <v>182</v>
      </c>
      <c r="E496" s="434" t="s">
        <v>1</v>
      </c>
      <c r="F496" s="435">
        <v>40.54</v>
      </c>
      <c r="G496" s="437" t="s">
        <v>4885</v>
      </c>
      <c r="H496" s="415" t="s">
        <v>310</v>
      </c>
      <c r="I496" s="434" t="s">
        <v>1461</v>
      </c>
      <c r="J496" s="415" t="s">
        <v>310</v>
      </c>
      <c r="K496" s="415" t="s">
        <v>1220</v>
      </c>
      <c r="L496" s="415" t="s">
        <v>1368</v>
      </c>
      <c r="M496" s="415" t="s">
        <v>310</v>
      </c>
      <c r="N496" s="414">
        <v>44762</v>
      </c>
      <c r="O496" s="414" t="s">
        <v>400</v>
      </c>
      <c r="P496" s="655">
        <f t="shared" si="21"/>
        <v>7</v>
      </c>
      <c r="Q496" s="655">
        <f t="shared" si="22"/>
        <v>4</v>
      </c>
      <c r="R496" s="695" t="str">
        <f t="shared" si="23"/>
        <v>Gastos_com_Pessoal</v>
      </c>
      <c r="S496" s="697" t="s">
        <v>310</v>
      </c>
      <c r="T496" s="697" t="s">
        <v>310</v>
      </c>
    </row>
    <row r="497" spans="1:20" ht="24" x14ac:dyDescent="0.2">
      <c r="A497" s="432">
        <f>IF(B497="","",COUNT('Diário 1º PA'!$A$4:$A$2635)+COUNT('Diário 2º PA'!$A$4:$A$3040)+ROW()-3)</f>
        <v>4593</v>
      </c>
      <c r="B497" s="414">
        <v>44762</v>
      </c>
      <c r="C497" s="433">
        <v>44682</v>
      </c>
      <c r="D497" s="434" t="s">
        <v>182</v>
      </c>
      <c r="E497" s="434" t="s">
        <v>179</v>
      </c>
      <c r="F497" s="435">
        <v>28.75</v>
      </c>
      <c r="G497" s="437" t="s">
        <v>4442</v>
      </c>
      <c r="H497" s="415" t="s">
        <v>310</v>
      </c>
      <c r="I497" s="434" t="s">
        <v>1461</v>
      </c>
      <c r="J497" s="415" t="s">
        <v>310</v>
      </c>
      <c r="K497" s="415" t="s">
        <v>1220</v>
      </c>
      <c r="L497" s="415" t="s">
        <v>1368</v>
      </c>
      <c r="M497" s="415" t="s">
        <v>310</v>
      </c>
      <c r="N497" s="414">
        <v>44762</v>
      </c>
      <c r="O497" s="414" t="s">
        <v>400</v>
      </c>
      <c r="P497" s="655">
        <f t="shared" si="21"/>
        <v>7</v>
      </c>
      <c r="Q497" s="655">
        <f t="shared" si="22"/>
        <v>5</v>
      </c>
      <c r="R497" s="695" t="str">
        <f t="shared" si="23"/>
        <v>Gastos_com_Pessoal</v>
      </c>
      <c r="S497" s="697" t="s">
        <v>310</v>
      </c>
      <c r="T497" s="697" t="s">
        <v>310</v>
      </c>
    </row>
    <row r="498" spans="1:20" ht="24" x14ac:dyDescent="0.2">
      <c r="A498" s="432">
        <f>IF(B498="","",COUNT('Diário 1º PA'!$A$4:$A$2635)+COUNT('Diário 2º PA'!$A$4:$A$3040)+ROW()-3)</f>
        <v>4594</v>
      </c>
      <c r="B498" s="414">
        <v>44762</v>
      </c>
      <c r="C498" s="431">
        <v>44713</v>
      </c>
      <c r="D498" s="415" t="s">
        <v>271</v>
      </c>
      <c r="E498" s="415" t="s">
        <v>59</v>
      </c>
      <c r="F498" s="425">
        <v>127.5</v>
      </c>
      <c r="G498" s="427" t="s">
        <v>5753</v>
      </c>
      <c r="H498" s="415" t="s">
        <v>309</v>
      </c>
      <c r="I498" s="415" t="s">
        <v>1461</v>
      </c>
      <c r="J498" s="415" t="s">
        <v>310</v>
      </c>
      <c r="K498" s="415" t="s">
        <v>1220</v>
      </c>
      <c r="L498" s="415" t="s">
        <v>1368</v>
      </c>
      <c r="M498" s="415" t="s">
        <v>310</v>
      </c>
      <c r="N498" s="414">
        <v>44762</v>
      </c>
      <c r="O498" s="414" t="s">
        <v>400</v>
      </c>
      <c r="P498" s="655">
        <f t="shared" si="21"/>
        <v>7</v>
      </c>
      <c r="Q498" s="655">
        <f t="shared" si="22"/>
        <v>6</v>
      </c>
      <c r="R498" s="695" t="str">
        <f t="shared" si="23"/>
        <v>Gastos_Gerais</v>
      </c>
      <c r="S498" s="697" t="s">
        <v>310</v>
      </c>
      <c r="T498" s="697" t="s">
        <v>310</v>
      </c>
    </row>
    <row r="499" spans="1:20" ht="24" x14ac:dyDescent="0.2">
      <c r="A499" s="432">
        <f>IF(B499="","",COUNT('Diário 1º PA'!$A$4:$A$2635)+COUNT('Diário 2º PA'!$A$4:$A$3040)+ROW()-3)</f>
        <v>4595</v>
      </c>
      <c r="B499" s="414">
        <v>44762</v>
      </c>
      <c r="C499" s="431">
        <v>44682</v>
      </c>
      <c r="D499" s="415" t="s">
        <v>271</v>
      </c>
      <c r="E499" s="415" t="s">
        <v>453</v>
      </c>
      <c r="F499" s="425">
        <v>17.399999999999999</v>
      </c>
      <c r="G499" s="427" t="s">
        <v>4566</v>
      </c>
      <c r="H499" s="415" t="s">
        <v>752</v>
      </c>
      <c r="I499" s="415" t="s">
        <v>1461</v>
      </c>
      <c r="J499" s="415" t="s">
        <v>310</v>
      </c>
      <c r="K499" s="415" t="s">
        <v>1220</v>
      </c>
      <c r="L499" s="415" t="s">
        <v>1368</v>
      </c>
      <c r="M499" s="415" t="s">
        <v>310</v>
      </c>
      <c r="N499" s="414">
        <v>44762</v>
      </c>
      <c r="O499" s="414" t="s">
        <v>400</v>
      </c>
      <c r="P499" s="655">
        <f t="shared" si="21"/>
        <v>7</v>
      </c>
      <c r="Q499" s="655">
        <f t="shared" si="22"/>
        <v>5</v>
      </c>
      <c r="R499" s="695" t="str">
        <f t="shared" si="23"/>
        <v>Gastos_Gerais</v>
      </c>
      <c r="S499" s="697" t="s">
        <v>310</v>
      </c>
      <c r="T499" s="697" t="s">
        <v>310</v>
      </c>
    </row>
    <row r="500" spans="1:20" ht="24" x14ac:dyDescent="0.2">
      <c r="A500" s="432">
        <f>IF(B500="","",COUNT('Diário 1º PA'!$A$4:$A$2635)+COUNT('Diário 2º PA'!$A$4:$A$3040)+ROW()-3)</f>
        <v>4596</v>
      </c>
      <c r="B500" s="414">
        <v>44762</v>
      </c>
      <c r="C500" s="431">
        <v>44682</v>
      </c>
      <c r="D500" s="415" t="s">
        <v>271</v>
      </c>
      <c r="E500" s="415" t="s">
        <v>453</v>
      </c>
      <c r="F500" s="425">
        <v>17.399999999999999</v>
      </c>
      <c r="G500" s="427" t="s">
        <v>4582</v>
      </c>
      <c r="H500" s="415" t="s">
        <v>752</v>
      </c>
      <c r="I500" s="415" t="s">
        <v>1461</v>
      </c>
      <c r="J500" s="415" t="s">
        <v>310</v>
      </c>
      <c r="K500" s="415" t="s">
        <v>1220</v>
      </c>
      <c r="L500" s="415" t="s">
        <v>1368</v>
      </c>
      <c r="M500" s="415" t="s">
        <v>310</v>
      </c>
      <c r="N500" s="414">
        <v>44762</v>
      </c>
      <c r="O500" s="414" t="s">
        <v>400</v>
      </c>
      <c r="P500" s="655">
        <f t="shared" si="21"/>
        <v>7</v>
      </c>
      <c r="Q500" s="655">
        <f t="shared" si="22"/>
        <v>5</v>
      </c>
      <c r="R500" s="695" t="str">
        <f t="shared" si="23"/>
        <v>Gastos_Gerais</v>
      </c>
      <c r="S500" s="697" t="s">
        <v>310</v>
      </c>
      <c r="T500" s="697" t="s">
        <v>310</v>
      </c>
    </row>
    <row r="501" spans="1:20" ht="36" x14ac:dyDescent="0.2">
      <c r="A501" s="432">
        <f>IF(B501="","",COUNT('Diário 1º PA'!$A$4:$A$2635)+COUNT('Diário 2º PA'!$A$4:$A$3040)+ROW()-3)</f>
        <v>4597</v>
      </c>
      <c r="B501" s="414">
        <v>44762</v>
      </c>
      <c r="C501" s="431">
        <v>44652</v>
      </c>
      <c r="D501" s="415" t="s">
        <v>271</v>
      </c>
      <c r="E501" s="415" t="s">
        <v>453</v>
      </c>
      <c r="F501" s="425">
        <v>115.12</v>
      </c>
      <c r="G501" s="427" t="s">
        <v>4703</v>
      </c>
      <c r="H501" s="415" t="s">
        <v>757</v>
      </c>
      <c r="I501" s="415" t="s">
        <v>1461</v>
      </c>
      <c r="J501" s="415" t="s">
        <v>310</v>
      </c>
      <c r="K501" s="415" t="s">
        <v>1220</v>
      </c>
      <c r="L501" s="415" t="s">
        <v>1368</v>
      </c>
      <c r="M501" s="415" t="s">
        <v>310</v>
      </c>
      <c r="N501" s="414">
        <v>44762</v>
      </c>
      <c r="O501" s="414" t="s">
        <v>400</v>
      </c>
      <c r="P501" s="655">
        <f t="shared" si="21"/>
        <v>7</v>
      </c>
      <c r="Q501" s="655">
        <f t="shared" si="22"/>
        <v>4</v>
      </c>
      <c r="R501" s="695" t="str">
        <f t="shared" si="23"/>
        <v>Gastos_Gerais</v>
      </c>
      <c r="S501" s="697" t="s">
        <v>310</v>
      </c>
      <c r="T501" s="697" t="s">
        <v>310</v>
      </c>
    </row>
    <row r="502" spans="1:20" ht="36" x14ac:dyDescent="0.2">
      <c r="A502" s="432">
        <f>IF(B502="","",COUNT('Diário 1º PA'!$A$4:$A$2635)+COUNT('Diário 2º PA'!$A$4:$A$3040)+ROW()-3)</f>
        <v>4598</v>
      </c>
      <c r="B502" s="414">
        <v>44762</v>
      </c>
      <c r="C502" s="431">
        <v>44682</v>
      </c>
      <c r="D502" s="415" t="s">
        <v>271</v>
      </c>
      <c r="E502" s="415" t="s">
        <v>453</v>
      </c>
      <c r="F502" s="425">
        <v>33.42</v>
      </c>
      <c r="G502" s="427" t="s">
        <v>4698</v>
      </c>
      <c r="H502" s="415" t="s">
        <v>757</v>
      </c>
      <c r="I502" s="415" t="s">
        <v>1461</v>
      </c>
      <c r="J502" s="415" t="s">
        <v>310</v>
      </c>
      <c r="K502" s="415" t="s">
        <v>1220</v>
      </c>
      <c r="L502" s="415" t="s">
        <v>1368</v>
      </c>
      <c r="M502" s="415" t="s">
        <v>310</v>
      </c>
      <c r="N502" s="414">
        <v>44762</v>
      </c>
      <c r="O502" s="414" t="s">
        <v>400</v>
      </c>
      <c r="P502" s="655">
        <f t="shared" si="21"/>
        <v>7</v>
      </c>
      <c r="Q502" s="655">
        <f t="shared" si="22"/>
        <v>5</v>
      </c>
      <c r="R502" s="695" t="str">
        <f t="shared" si="23"/>
        <v>Gastos_Gerais</v>
      </c>
      <c r="S502" s="697" t="s">
        <v>310</v>
      </c>
      <c r="T502" s="697" t="s">
        <v>310</v>
      </c>
    </row>
    <row r="503" spans="1:20" ht="36" x14ac:dyDescent="0.2">
      <c r="A503" s="432">
        <f>IF(B503="","",COUNT('Diário 1º PA'!$A$4:$A$2635)+COUNT('Diário 2º PA'!$A$4:$A$3040)+ROW()-3)</f>
        <v>4599</v>
      </c>
      <c r="B503" s="414">
        <v>44762</v>
      </c>
      <c r="C503" s="431">
        <v>44652</v>
      </c>
      <c r="D503" s="415" t="s">
        <v>271</v>
      </c>
      <c r="E503" s="415" t="s">
        <v>453</v>
      </c>
      <c r="F503" s="425">
        <v>33.42</v>
      </c>
      <c r="G503" s="427" t="s">
        <v>4931</v>
      </c>
      <c r="H503" s="415" t="s">
        <v>757</v>
      </c>
      <c r="I503" s="415" t="s">
        <v>1461</v>
      </c>
      <c r="J503" s="415" t="s">
        <v>310</v>
      </c>
      <c r="K503" s="415" t="s">
        <v>1220</v>
      </c>
      <c r="L503" s="415" t="s">
        <v>1368</v>
      </c>
      <c r="M503" s="415" t="s">
        <v>310</v>
      </c>
      <c r="N503" s="414">
        <v>44762</v>
      </c>
      <c r="O503" s="414" t="s">
        <v>400</v>
      </c>
      <c r="P503" s="655">
        <f t="shared" si="21"/>
        <v>7</v>
      </c>
      <c r="Q503" s="655">
        <f t="shared" si="22"/>
        <v>4</v>
      </c>
      <c r="R503" s="695" t="str">
        <f t="shared" si="23"/>
        <v>Gastos_Gerais</v>
      </c>
      <c r="S503" s="697" t="s">
        <v>310</v>
      </c>
      <c r="T503" s="697" t="s">
        <v>310</v>
      </c>
    </row>
    <row r="504" spans="1:20" ht="24" x14ac:dyDescent="0.2">
      <c r="A504" s="432">
        <f>IF(B504="","",COUNT('Diário 1º PA'!$A$4:$A$2635)+COUNT('Diário 2º PA'!$A$4:$A$3040)+ROW()-3)</f>
        <v>4600</v>
      </c>
      <c r="B504" s="414">
        <v>44762</v>
      </c>
      <c r="C504" s="433">
        <v>44682</v>
      </c>
      <c r="D504" s="434" t="s">
        <v>182</v>
      </c>
      <c r="E504" s="434" t="s">
        <v>1</v>
      </c>
      <c r="F504" s="435">
        <v>16.91</v>
      </c>
      <c r="G504" s="437" t="s">
        <v>5998</v>
      </c>
      <c r="H504" s="434" t="s">
        <v>310</v>
      </c>
      <c r="I504" s="415" t="s">
        <v>1461</v>
      </c>
      <c r="J504" s="415" t="s">
        <v>310</v>
      </c>
      <c r="K504" s="415" t="s">
        <v>1220</v>
      </c>
      <c r="L504" s="415" t="s">
        <v>1368</v>
      </c>
      <c r="M504" s="415" t="s">
        <v>310</v>
      </c>
      <c r="N504" s="414">
        <v>44762</v>
      </c>
      <c r="O504" s="414" t="s">
        <v>400</v>
      </c>
      <c r="P504" s="655">
        <f t="shared" si="21"/>
        <v>7</v>
      </c>
      <c r="Q504" s="655">
        <f t="shared" si="22"/>
        <v>5</v>
      </c>
      <c r="R504" s="695" t="str">
        <f t="shared" si="23"/>
        <v>Gastos_com_Pessoal</v>
      </c>
      <c r="S504" s="697" t="s">
        <v>310</v>
      </c>
      <c r="T504" s="697" t="s">
        <v>310</v>
      </c>
    </row>
    <row r="505" spans="1:20" ht="24" x14ac:dyDescent="0.2">
      <c r="A505" s="432">
        <f>IF(B505="","",COUNT('Diário 1º PA'!$A$4:$A$2635)+COUNT('Diário 2º PA'!$A$4:$A$3040)+ROW()-3)</f>
        <v>4601</v>
      </c>
      <c r="B505" s="414">
        <v>44762</v>
      </c>
      <c r="C505" s="431">
        <v>44682</v>
      </c>
      <c r="D505" s="415" t="s">
        <v>271</v>
      </c>
      <c r="E505" s="415" t="s">
        <v>453</v>
      </c>
      <c r="F505" s="425">
        <v>744</v>
      </c>
      <c r="G505" s="427" t="s">
        <v>4583</v>
      </c>
      <c r="H505" s="415" t="s">
        <v>752</v>
      </c>
      <c r="I505" s="415" t="s">
        <v>1461</v>
      </c>
      <c r="J505" s="415" t="s">
        <v>310</v>
      </c>
      <c r="K505" s="415" t="s">
        <v>1220</v>
      </c>
      <c r="L505" s="415" t="s">
        <v>1368</v>
      </c>
      <c r="M505" s="415" t="s">
        <v>310</v>
      </c>
      <c r="N505" s="414">
        <v>44762</v>
      </c>
      <c r="O505" s="414" t="s">
        <v>400</v>
      </c>
      <c r="P505" s="655">
        <f t="shared" si="21"/>
        <v>7</v>
      </c>
      <c r="Q505" s="655">
        <f t="shared" si="22"/>
        <v>5</v>
      </c>
      <c r="R505" s="695" t="str">
        <f t="shared" si="23"/>
        <v>Gastos_Gerais</v>
      </c>
      <c r="S505" s="697" t="s">
        <v>310</v>
      </c>
      <c r="T505" s="697" t="s">
        <v>310</v>
      </c>
    </row>
    <row r="506" spans="1:20" ht="24" x14ac:dyDescent="0.2">
      <c r="A506" s="432">
        <f>IF(B506="","",COUNT('Diário 1º PA'!$A$4:$A$2635)+COUNT('Diário 2º PA'!$A$4:$A$3040)+ROW()-3)</f>
        <v>4602</v>
      </c>
      <c r="B506" s="414">
        <v>44762</v>
      </c>
      <c r="C506" s="431">
        <v>44682</v>
      </c>
      <c r="D506" s="415" t="s">
        <v>271</v>
      </c>
      <c r="E506" s="415" t="s">
        <v>453</v>
      </c>
      <c r="F506" s="425">
        <v>155</v>
      </c>
      <c r="G506" s="427" t="s">
        <v>4902</v>
      </c>
      <c r="H506" s="415" t="s">
        <v>756</v>
      </c>
      <c r="I506" s="415" t="s">
        <v>1461</v>
      </c>
      <c r="J506" s="415" t="s">
        <v>310</v>
      </c>
      <c r="K506" s="415" t="s">
        <v>1220</v>
      </c>
      <c r="L506" s="415" t="s">
        <v>1368</v>
      </c>
      <c r="M506" s="415" t="s">
        <v>310</v>
      </c>
      <c r="N506" s="414">
        <v>44762</v>
      </c>
      <c r="O506" s="414" t="s">
        <v>400</v>
      </c>
      <c r="P506" s="655">
        <f t="shared" si="21"/>
        <v>7</v>
      </c>
      <c r="Q506" s="655">
        <f t="shared" si="22"/>
        <v>5</v>
      </c>
      <c r="R506" s="695" t="str">
        <f t="shared" si="23"/>
        <v>Gastos_Gerais</v>
      </c>
      <c r="S506" s="697" t="s">
        <v>310</v>
      </c>
      <c r="T506" s="697" t="s">
        <v>310</v>
      </c>
    </row>
    <row r="507" spans="1:20" ht="24" x14ac:dyDescent="0.2">
      <c r="A507" s="432">
        <f>IF(B507="","",COUNT('Diário 1º PA'!$A$4:$A$2635)+COUNT('Diário 2º PA'!$A$4:$A$3040)+ROW()-3)</f>
        <v>4603</v>
      </c>
      <c r="B507" s="414">
        <v>44762</v>
      </c>
      <c r="C507" s="431">
        <v>44621</v>
      </c>
      <c r="D507" s="415" t="s">
        <v>271</v>
      </c>
      <c r="E507" s="415" t="s">
        <v>453</v>
      </c>
      <c r="F507" s="425">
        <v>558</v>
      </c>
      <c r="G507" s="427" t="s">
        <v>4563</v>
      </c>
      <c r="H507" s="415" t="s">
        <v>752</v>
      </c>
      <c r="I507" s="415" t="s">
        <v>1461</v>
      </c>
      <c r="J507" s="415" t="s">
        <v>310</v>
      </c>
      <c r="K507" s="415" t="s">
        <v>1220</v>
      </c>
      <c r="L507" s="415" t="s">
        <v>1368</v>
      </c>
      <c r="M507" s="415" t="s">
        <v>310</v>
      </c>
      <c r="N507" s="414">
        <v>44762</v>
      </c>
      <c r="O507" s="414" t="s">
        <v>400</v>
      </c>
      <c r="P507" s="655">
        <f t="shared" si="21"/>
        <v>7</v>
      </c>
      <c r="Q507" s="655">
        <f t="shared" si="22"/>
        <v>3</v>
      </c>
      <c r="R507" s="695" t="str">
        <f t="shared" si="23"/>
        <v>Gastos_Gerais</v>
      </c>
      <c r="S507" s="697" t="s">
        <v>310</v>
      </c>
      <c r="T507" s="697" t="s">
        <v>310</v>
      </c>
    </row>
    <row r="508" spans="1:20" ht="36" x14ac:dyDescent="0.2">
      <c r="A508" s="432">
        <f>IF(B508="","",COUNT('Diário 1º PA'!$A$4:$A$2635)+COUNT('Diário 2º PA'!$A$4:$A$3040)+ROW()-3)</f>
        <v>4604</v>
      </c>
      <c r="B508" s="414">
        <v>44762</v>
      </c>
      <c r="C508" s="431">
        <v>44652</v>
      </c>
      <c r="D508" s="415" t="s">
        <v>271</v>
      </c>
      <c r="E508" s="415" t="s">
        <v>453</v>
      </c>
      <c r="F508" s="425">
        <v>818.4</v>
      </c>
      <c r="G508" s="427" t="s">
        <v>4932</v>
      </c>
      <c r="H508" s="415" t="s">
        <v>757</v>
      </c>
      <c r="I508" s="415" t="s">
        <v>1461</v>
      </c>
      <c r="J508" s="415" t="s">
        <v>310</v>
      </c>
      <c r="K508" s="415" t="s">
        <v>1220</v>
      </c>
      <c r="L508" s="415" t="s">
        <v>1368</v>
      </c>
      <c r="M508" s="415" t="s">
        <v>310</v>
      </c>
      <c r="N508" s="414">
        <v>44762</v>
      </c>
      <c r="O508" s="414" t="s">
        <v>400</v>
      </c>
      <c r="P508" s="655">
        <f t="shared" si="21"/>
        <v>7</v>
      </c>
      <c r="Q508" s="655">
        <f t="shared" si="22"/>
        <v>4</v>
      </c>
      <c r="R508" s="695" t="str">
        <f t="shared" si="23"/>
        <v>Gastos_Gerais</v>
      </c>
      <c r="S508" s="697" t="s">
        <v>310</v>
      </c>
      <c r="T508" s="697" t="s">
        <v>310</v>
      </c>
    </row>
    <row r="509" spans="1:20" ht="24" x14ac:dyDescent="0.2">
      <c r="A509" s="432">
        <f>IF(B509="","",COUNT('Diário 1º PA'!$A$4:$A$2635)+COUNT('Diário 2º PA'!$A$4:$A$3040)+ROW()-3)</f>
        <v>4605</v>
      </c>
      <c r="B509" s="414">
        <v>44762</v>
      </c>
      <c r="C509" s="431">
        <v>44682</v>
      </c>
      <c r="D509" s="415" t="s">
        <v>271</v>
      </c>
      <c r="E509" s="415" t="s">
        <v>466</v>
      </c>
      <c r="F509" s="425">
        <v>325.5</v>
      </c>
      <c r="G509" s="427" t="s">
        <v>4924</v>
      </c>
      <c r="H509" s="415" t="s">
        <v>758</v>
      </c>
      <c r="I509" s="415" t="s">
        <v>1461</v>
      </c>
      <c r="J509" s="415" t="s">
        <v>310</v>
      </c>
      <c r="K509" s="415" t="s">
        <v>1220</v>
      </c>
      <c r="L509" s="415" t="s">
        <v>1368</v>
      </c>
      <c r="M509" s="415" t="s">
        <v>310</v>
      </c>
      <c r="N509" s="414">
        <v>44762</v>
      </c>
      <c r="O509" s="414" t="s">
        <v>400</v>
      </c>
      <c r="P509" s="655">
        <f t="shared" si="21"/>
        <v>7</v>
      </c>
      <c r="Q509" s="655">
        <f t="shared" si="22"/>
        <v>5</v>
      </c>
      <c r="R509" s="695" t="str">
        <f t="shared" si="23"/>
        <v>Gastos_Gerais</v>
      </c>
      <c r="S509" s="697" t="s">
        <v>310</v>
      </c>
      <c r="T509" s="697" t="s">
        <v>310</v>
      </c>
    </row>
    <row r="510" spans="1:20" ht="24" x14ac:dyDescent="0.2">
      <c r="A510" s="432">
        <f>IF(B510="","",COUNT('Diário 1º PA'!$A$4:$A$2635)+COUNT('Diário 2º PA'!$A$4:$A$3040)+ROW()-3)</f>
        <v>4606</v>
      </c>
      <c r="B510" s="414">
        <v>44762</v>
      </c>
      <c r="C510" s="431">
        <v>44621</v>
      </c>
      <c r="D510" s="415" t="s">
        <v>271</v>
      </c>
      <c r="E510" s="415" t="s">
        <v>453</v>
      </c>
      <c r="F510" s="425">
        <v>558</v>
      </c>
      <c r="G510" s="427" t="s">
        <v>4652</v>
      </c>
      <c r="H510" s="415" t="s">
        <v>752</v>
      </c>
      <c r="I510" s="415" t="s">
        <v>1461</v>
      </c>
      <c r="J510" s="415" t="s">
        <v>310</v>
      </c>
      <c r="K510" s="415" t="s">
        <v>1220</v>
      </c>
      <c r="L510" s="415" t="s">
        <v>1368</v>
      </c>
      <c r="M510" s="415" t="s">
        <v>310</v>
      </c>
      <c r="N510" s="414">
        <v>44762</v>
      </c>
      <c r="O510" s="414" t="s">
        <v>400</v>
      </c>
      <c r="P510" s="655">
        <f t="shared" si="21"/>
        <v>7</v>
      </c>
      <c r="Q510" s="655">
        <f t="shared" si="22"/>
        <v>3</v>
      </c>
      <c r="R510" s="695" t="str">
        <f t="shared" si="23"/>
        <v>Gastos_Gerais</v>
      </c>
      <c r="S510" s="697" t="s">
        <v>310</v>
      </c>
      <c r="T510" s="697" t="s">
        <v>310</v>
      </c>
    </row>
    <row r="511" spans="1:20" ht="24" x14ac:dyDescent="0.2">
      <c r="A511" s="432">
        <f>IF(B511="","",COUNT('Diário 1º PA'!$A$4:$A$2635)+COUNT('Diário 2º PA'!$A$4:$A$3040)+ROW()-3)</f>
        <v>4607</v>
      </c>
      <c r="B511" s="414">
        <v>44762</v>
      </c>
      <c r="C511" s="431">
        <v>44682</v>
      </c>
      <c r="D511" s="415" t="s">
        <v>271</v>
      </c>
      <c r="E511" s="415" t="s">
        <v>453</v>
      </c>
      <c r="F511" s="425">
        <v>744</v>
      </c>
      <c r="G511" s="427" t="s">
        <v>4567</v>
      </c>
      <c r="H511" s="415" t="s">
        <v>752</v>
      </c>
      <c r="I511" s="415" t="s">
        <v>1461</v>
      </c>
      <c r="J511" s="415" t="s">
        <v>310</v>
      </c>
      <c r="K511" s="415" t="s">
        <v>1220</v>
      </c>
      <c r="L511" s="415" t="s">
        <v>1368</v>
      </c>
      <c r="M511" s="415" t="s">
        <v>310</v>
      </c>
      <c r="N511" s="414">
        <v>44762</v>
      </c>
      <c r="O511" s="414" t="s">
        <v>400</v>
      </c>
      <c r="P511" s="655">
        <f t="shared" si="21"/>
        <v>7</v>
      </c>
      <c r="Q511" s="655">
        <f t="shared" si="22"/>
        <v>5</v>
      </c>
      <c r="R511" s="695" t="str">
        <f t="shared" si="23"/>
        <v>Gastos_Gerais</v>
      </c>
      <c r="S511" s="697" t="s">
        <v>310</v>
      </c>
      <c r="T511" s="697" t="s">
        <v>310</v>
      </c>
    </row>
    <row r="512" spans="1:20" ht="24" x14ac:dyDescent="0.2">
      <c r="A512" s="432">
        <f>IF(B512="","",COUNT('Diário 1º PA'!$A$4:$A$2635)+COUNT('Diário 2º PA'!$A$4:$A$3040)+ROW()-3)</f>
        <v>4608</v>
      </c>
      <c r="B512" s="414">
        <v>44762</v>
      </c>
      <c r="C512" s="431">
        <v>44652</v>
      </c>
      <c r="D512" s="415" t="s">
        <v>271</v>
      </c>
      <c r="E512" s="415" t="s">
        <v>453</v>
      </c>
      <c r="F512" s="425">
        <v>558</v>
      </c>
      <c r="G512" s="427" t="s">
        <v>4525</v>
      </c>
      <c r="H512" s="415" t="s">
        <v>752</v>
      </c>
      <c r="I512" s="415" t="s">
        <v>1461</v>
      </c>
      <c r="J512" s="415" t="s">
        <v>310</v>
      </c>
      <c r="K512" s="415" t="s">
        <v>1220</v>
      </c>
      <c r="L512" s="415" t="s">
        <v>1368</v>
      </c>
      <c r="M512" s="415" t="s">
        <v>310</v>
      </c>
      <c r="N512" s="414">
        <v>44762</v>
      </c>
      <c r="O512" s="414" t="s">
        <v>400</v>
      </c>
      <c r="P512" s="655">
        <f t="shared" si="21"/>
        <v>7</v>
      </c>
      <c r="Q512" s="655">
        <f t="shared" si="22"/>
        <v>4</v>
      </c>
      <c r="R512" s="695" t="str">
        <f t="shared" si="23"/>
        <v>Gastos_Gerais</v>
      </c>
      <c r="S512" s="697" t="s">
        <v>310</v>
      </c>
      <c r="T512" s="697" t="s">
        <v>310</v>
      </c>
    </row>
    <row r="513" spans="1:20" ht="36" x14ac:dyDescent="0.2">
      <c r="A513" s="432">
        <f>IF(B513="","",COUNT('Diário 1º PA'!$A$4:$A$2635)+COUNT('Diário 2º PA'!$A$4:$A$3040)+ROW()-3)</f>
        <v>4609</v>
      </c>
      <c r="B513" s="414">
        <v>44762</v>
      </c>
      <c r="C513" s="431">
        <v>44682</v>
      </c>
      <c r="D513" s="415" t="s">
        <v>271</v>
      </c>
      <c r="E513" s="415" t="s">
        <v>453</v>
      </c>
      <c r="F513" s="425">
        <v>396.8</v>
      </c>
      <c r="G513" s="427" t="s">
        <v>4702</v>
      </c>
      <c r="H513" s="415" t="s">
        <v>757</v>
      </c>
      <c r="I513" s="415" t="s">
        <v>1461</v>
      </c>
      <c r="J513" s="415" t="s">
        <v>310</v>
      </c>
      <c r="K513" s="415" t="s">
        <v>1220</v>
      </c>
      <c r="L513" s="415" t="s">
        <v>1368</v>
      </c>
      <c r="M513" s="415" t="s">
        <v>310</v>
      </c>
      <c r="N513" s="414">
        <v>44762</v>
      </c>
      <c r="O513" s="414" t="s">
        <v>400</v>
      </c>
      <c r="P513" s="655">
        <f t="shared" si="21"/>
        <v>7</v>
      </c>
      <c r="Q513" s="655">
        <f t="shared" si="22"/>
        <v>5</v>
      </c>
      <c r="R513" s="695" t="str">
        <f t="shared" si="23"/>
        <v>Gastos_Gerais</v>
      </c>
      <c r="S513" s="697" t="s">
        <v>310</v>
      </c>
      <c r="T513" s="697" t="s">
        <v>310</v>
      </c>
    </row>
    <row r="514" spans="1:20" ht="36" x14ac:dyDescent="0.2">
      <c r="A514" s="432">
        <f>IF(B514="","",COUNT('Diário 1º PA'!$A$4:$A$2635)+COUNT('Diário 2º PA'!$A$4:$A$3040)+ROW()-3)</f>
        <v>4610</v>
      </c>
      <c r="B514" s="414">
        <v>44762</v>
      </c>
      <c r="C514" s="431">
        <v>44682</v>
      </c>
      <c r="D514" s="415" t="s">
        <v>271</v>
      </c>
      <c r="E514" s="415" t="s">
        <v>453</v>
      </c>
      <c r="F514" s="425">
        <v>818.4</v>
      </c>
      <c r="G514" s="427" t="s">
        <v>4699</v>
      </c>
      <c r="H514" s="415" t="s">
        <v>757</v>
      </c>
      <c r="I514" s="415" t="s">
        <v>1461</v>
      </c>
      <c r="J514" s="415" t="s">
        <v>310</v>
      </c>
      <c r="K514" s="415" t="s">
        <v>1220</v>
      </c>
      <c r="L514" s="415" t="s">
        <v>1368</v>
      </c>
      <c r="M514" s="415" t="s">
        <v>310</v>
      </c>
      <c r="N514" s="414">
        <v>44762</v>
      </c>
      <c r="O514" s="414" t="s">
        <v>400</v>
      </c>
      <c r="P514" s="655">
        <f t="shared" si="21"/>
        <v>7</v>
      </c>
      <c r="Q514" s="655">
        <f t="shared" si="22"/>
        <v>5</v>
      </c>
      <c r="R514" s="695" t="str">
        <f t="shared" si="23"/>
        <v>Gastos_Gerais</v>
      </c>
      <c r="S514" s="697" t="s">
        <v>310</v>
      </c>
      <c r="T514" s="697" t="s">
        <v>310</v>
      </c>
    </row>
    <row r="515" spans="1:20" ht="24" x14ac:dyDescent="0.2">
      <c r="A515" s="432">
        <f>IF(B515="","",COUNT('Diário 1º PA'!$A$4:$A$2635)+COUNT('Diário 2º PA'!$A$4:$A$3040)+ROW()-3)</f>
        <v>4611</v>
      </c>
      <c r="B515" s="414">
        <v>44762</v>
      </c>
      <c r="C515" s="431">
        <v>44682</v>
      </c>
      <c r="D515" s="415" t="s">
        <v>271</v>
      </c>
      <c r="E515" s="415" t="s">
        <v>453</v>
      </c>
      <c r="F515" s="425">
        <v>155</v>
      </c>
      <c r="G515" s="427" t="s">
        <v>4905</v>
      </c>
      <c r="H515" s="415" t="s">
        <v>761</v>
      </c>
      <c r="I515" s="415" t="s">
        <v>1461</v>
      </c>
      <c r="J515" s="415" t="s">
        <v>310</v>
      </c>
      <c r="K515" s="415" t="s">
        <v>1220</v>
      </c>
      <c r="L515" s="415" t="s">
        <v>1368</v>
      </c>
      <c r="M515" s="415" t="s">
        <v>310</v>
      </c>
      <c r="N515" s="414">
        <v>44762</v>
      </c>
      <c r="O515" s="414" t="s">
        <v>400</v>
      </c>
      <c r="P515" s="655">
        <f t="shared" si="21"/>
        <v>7</v>
      </c>
      <c r="Q515" s="655">
        <f t="shared" si="22"/>
        <v>5</v>
      </c>
      <c r="R515" s="695" t="str">
        <f t="shared" si="23"/>
        <v>Gastos_Gerais</v>
      </c>
      <c r="S515" s="697" t="s">
        <v>310</v>
      </c>
      <c r="T515" s="697" t="s">
        <v>310</v>
      </c>
    </row>
    <row r="516" spans="1:20" ht="36" x14ac:dyDescent="0.2">
      <c r="A516" s="432">
        <f>IF(B516="","",COUNT('Diário 1º PA'!$A$4:$A$2635)+COUNT('Diário 2º PA'!$A$4:$A$3040)+ROW()-3)</f>
        <v>4612</v>
      </c>
      <c r="B516" s="414">
        <v>44762</v>
      </c>
      <c r="C516" s="431">
        <v>44682</v>
      </c>
      <c r="D516" s="415" t="s">
        <v>271</v>
      </c>
      <c r="E516" s="415" t="s">
        <v>453</v>
      </c>
      <c r="F516" s="425">
        <v>210.8</v>
      </c>
      <c r="G516" s="427" t="s">
        <v>4610</v>
      </c>
      <c r="H516" s="415" t="s">
        <v>760</v>
      </c>
      <c r="I516" s="415" t="s">
        <v>1461</v>
      </c>
      <c r="J516" s="415" t="s">
        <v>310</v>
      </c>
      <c r="K516" s="415" t="s">
        <v>1220</v>
      </c>
      <c r="L516" s="415" t="s">
        <v>1368</v>
      </c>
      <c r="M516" s="415" t="s">
        <v>310</v>
      </c>
      <c r="N516" s="414">
        <v>44762</v>
      </c>
      <c r="O516" s="414" t="s">
        <v>400</v>
      </c>
      <c r="P516" s="655">
        <f t="shared" si="21"/>
        <v>7</v>
      </c>
      <c r="Q516" s="655">
        <f t="shared" si="22"/>
        <v>5</v>
      </c>
      <c r="R516" s="695" t="str">
        <f t="shared" si="23"/>
        <v>Gastos_Gerais</v>
      </c>
      <c r="S516" s="697" t="s">
        <v>310</v>
      </c>
      <c r="T516" s="697" t="s">
        <v>310</v>
      </c>
    </row>
    <row r="517" spans="1:20" ht="24" x14ac:dyDescent="0.2">
      <c r="A517" s="432">
        <f>IF(B517="","",COUNT('Diário 1º PA'!$A$4:$A$2635)+COUNT('Diário 2º PA'!$A$4:$A$3040)+ROW()-3)</f>
        <v>4613</v>
      </c>
      <c r="B517" s="414">
        <v>44762</v>
      </c>
      <c r="C517" s="431">
        <v>44652</v>
      </c>
      <c r="D517" s="415" t="s">
        <v>271</v>
      </c>
      <c r="E517" s="415" t="s">
        <v>462</v>
      </c>
      <c r="F517" s="425">
        <v>372</v>
      </c>
      <c r="G517" s="427" t="s">
        <v>4921</v>
      </c>
      <c r="H517" s="415" t="s">
        <v>752</v>
      </c>
      <c r="I517" s="415" t="s">
        <v>1461</v>
      </c>
      <c r="J517" s="415" t="s">
        <v>310</v>
      </c>
      <c r="K517" s="415" t="s">
        <v>1220</v>
      </c>
      <c r="L517" s="415" t="s">
        <v>1368</v>
      </c>
      <c r="M517" s="415" t="s">
        <v>310</v>
      </c>
      <c r="N517" s="414">
        <v>44762</v>
      </c>
      <c r="O517" s="414" t="s">
        <v>400</v>
      </c>
      <c r="P517" s="655">
        <f t="shared" ref="P517:P580" si="24">IF(B517=0,0,IF(YEAR(B517)=$Q$1,MONTH(B517)-$P$1+1,(YEAR(B517)-$Q$1)*12-$P$1+1+MONTH(B517)))</f>
        <v>7</v>
      </c>
      <c r="Q517" s="655">
        <f t="shared" ref="Q517:Q580" si="25">IF(C517=0,0,IF(YEAR(C517)=$Q$1,MONTH(C517)-$P$1+1,(YEAR(C517)-$Q$1)*12-$P$1+1+MONTH(C517)))</f>
        <v>4</v>
      </c>
      <c r="R517" s="695" t="str">
        <f t="shared" ref="R517:R580" si="26">SUBSTITUTE(D517," ","_")</f>
        <v>Gastos_Gerais</v>
      </c>
      <c r="S517" s="697" t="s">
        <v>310</v>
      </c>
      <c r="T517" s="697" t="s">
        <v>310</v>
      </c>
    </row>
    <row r="518" spans="1:20" ht="36" x14ac:dyDescent="0.2">
      <c r="A518" s="432">
        <f>IF(B518="","",COUNT('Diário 1º PA'!$A$4:$A$2635)+COUNT('Diário 2º PA'!$A$4:$A$3040)+ROW()-3)</f>
        <v>4614</v>
      </c>
      <c r="B518" s="414">
        <v>44762</v>
      </c>
      <c r="C518" s="431">
        <v>44652</v>
      </c>
      <c r="D518" s="415" t="s">
        <v>271</v>
      </c>
      <c r="E518" s="415" t="s">
        <v>453</v>
      </c>
      <c r="F518" s="425">
        <v>1091.2</v>
      </c>
      <c r="G518" s="427" t="s">
        <v>4704</v>
      </c>
      <c r="H518" s="415" t="s">
        <v>757</v>
      </c>
      <c r="I518" s="415" t="s">
        <v>1461</v>
      </c>
      <c r="J518" s="415" t="s">
        <v>310</v>
      </c>
      <c r="K518" s="415" t="s">
        <v>1220</v>
      </c>
      <c r="L518" s="415" t="s">
        <v>1368</v>
      </c>
      <c r="M518" s="415" t="s">
        <v>310</v>
      </c>
      <c r="N518" s="414">
        <v>44762</v>
      </c>
      <c r="O518" s="414" t="s">
        <v>400</v>
      </c>
      <c r="P518" s="655">
        <f t="shared" si="24"/>
        <v>7</v>
      </c>
      <c r="Q518" s="655">
        <f t="shared" si="25"/>
        <v>4</v>
      </c>
      <c r="R518" s="695" t="str">
        <f t="shared" si="26"/>
        <v>Gastos_Gerais</v>
      </c>
      <c r="S518" s="697" t="s">
        <v>310</v>
      </c>
      <c r="T518" s="697" t="s">
        <v>310</v>
      </c>
    </row>
    <row r="519" spans="1:20" ht="24" x14ac:dyDescent="0.2">
      <c r="A519" s="432">
        <f>IF(B519="","",COUNT('Diário 1º PA'!$A$4:$A$2635)+COUNT('Diário 2º PA'!$A$4:$A$3040)+ROW()-3)</f>
        <v>4615</v>
      </c>
      <c r="B519" s="414">
        <v>44762</v>
      </c>
      <c r="C519" s="431">
        <v>44621</v>
      </c>
      <c r="D519" s="415" t="s">
        <v>271</v>
      </c>
      <c r="E519" s="415" t="s">
        <v>453</v>
      </c>
      <c r="F519" s="425">
        <v>558</v>
      </c>
      <c r="G519" s="427" t="s">
        <v>4578</v>
      </c>
      <c r="H519" s="415" t="s">
        <v>752</v>
      </c>
      <c r="I519" s="415" t="s">
        <v>1461</v>
      </c>
      <c r="J519" s="415" t="s">
        <v>310</v>
      </c>
      <c r="K519" s="415" t="s">
        <v>1220</v>
      </c>
      <c r="L519" s="415" t="s">
        <v>1368</v>
      </c>
      <c r="M519" s="415" t="s">
        <v>310</v>
      </c>
      <c r="N519" s="414">
        <v>44762</v>
      </c>
      <c r="O519" s="414" t="s">
        <v>400</v>
      </c>
      <c r="P519" s="655">
        <f t="shared" si="24"/>
        <v>7</v>
      </c>
      <c r="Q519" s="655">
        <f t="shared" si="25"/>
        <v>3</v>
      </c>
      <c r="R519" s="695" t="str">
        <f t="shared" si="26"/>
        <v>Gastos_Gerais</v>
      </c>
      <c r="S519" s="697" t="s">
        <v>310</v>
      </c>
      <c r="T519" s="697" t="s">
        <v>310</v>
      </c>
    </row>
    <row r="520" spans="1:20" ht="36" x14ac:dyDescent="0.2">
      <c r="A520" s="432">
        <f>IF(B520="","",COUNT('Diário 1º PA'!$A$4:$A$2635)+COUNT('Diário 2º PA'!$A$4:$A$3040)+ROW()-3)</f>
        <v>4616</v>
      </c>
      <c r="B520" s="414">
        <v>44762</v>
      </c>
      <c r="C520" s="424">
        <v>44713</v>
      </c>
      <c r="D520" s="415" t="s">
        <v>182</v>
      </c>
      <c r="E520" s="415" t="s">
        <v>1</v>
      </c>
      <c r="F520" s="425">
        <v>3203.98</v>
      </c>
      <c r="G520" s="427" t="s">
        <v>6244</v>
      </c>
      <c r="H520" s="415" t="s">
        <v>310</v>
      </c>
      <c r="I520" s="473" t="s">
        <v>795</v>
      </c>
      <c r="J520" s="415" t="s">
        <v>796</v>
      </c>
      <c r="K520" s="419" t="s">
        <v>806</v>
      </c>
      <c r="L520" s="415" t="s">
        <v>798</v>
      </c>
      <c r="M520" s="415" t="s">
        <v>310</v>
      </c>
      <c r="N520" s="414">
        <v>44762</v>
      </c>
      <c r="O520" s="414" t="s">
        <v>400</v>
      </c>
      <c r="P520" s="655">
        <f t="shared" si="24"/>
        <v>7</v>
      </c>
      <c r="Q520" s="655">
        <f t="shared" si="25"/>
        <v>6</v>
      </c>
      <c r="R520" s="695" t="str">
        <f t="shared" si="26"/>
        <v>Gastos_com_Pessoal</v>
      </c>
      <c r="S520" s="697" t="s">
        <v>310</v>
      </c>
      <c r="T520" s="697" t="s">
        <v>310</v>
      </c>
    </row>
    <row r="521" spans="1:20" ht="36" x14ac:dyDescent="0.2">
      <c r="A521" s="432">
        <f>IF(B521="","",COUNT('Diário 1º PA'!$A$4:$A$2635)+COUNT('Diário 2º PA'!$A$4:$A$3040)+ROW()-3)</f>
        <v>4617</v>
      </c>
      <c r="B521" s="414">
        <v>44762</v>
      </c>
      <c r="C521" s="424">
        <v>44713</v>
      </c>
      <c r="D521" s="415" t="s">
        <v>182</v>
      </c>
      <c r="E521" s="415" t="s">
        <v>252</v>
      </c>
      <c r="F521" s="425">
        <v>8054.88</v>
      </c>
      <c r="G521" s="427" t="s">
        <v>6063</v>
      </c>
      <c r="H521" s="415" t="s">
        <v>310</v>
      </c>
      <c r="I521" s="473" t="s">
        <v>795</v>
      </c>
      <c r="J521" s="415" t="s">
        <v>796</v>
      </c>
      <c r="K521" s="419" t="s">
        <v>806</v>
      </c>
      <c r="L521" s="415" t="s">
        <v>798</v>
      </c>
      <c r="M521" s="415" t="s">
        <v>310</v>
      </c>
      <c r="N521" s="414">
        <v>44762</v>
      </c>
      <c r="O521" s="414" t="s">
        <v>400</v>
      </c>
      <c r="P521" s="655">
        <f t="shared" si="24"/>
        <v>7</v>
      </c>
      <c r="Q521" s="655">
        <f t="shared" si="25"/>
        <v>6</v>
      </c>
      <c r="R521" s="695" t="str">
        <f t="shared" si="26"/>
        <v>Gastos_com_Pessoal</v>
      </c>
      <c r="S521" s="697" t="s">
        <v>310</v>
      </c>
      <c r="T521" s="697" t="s">
        <v>310</v>
      </c>
    </row>
    <row r="522" spans="1:20" ht="36" x14ac:dyDescent="0.2">
      <c r="A522" s="432">
        <f>IF(B522="","",COUNT('Diário 1º PA'!$A$4:$A$2635)+COUNT('Diário 2º PA'!$A$4:$A$3040)+ROW()-3)</f>
        <v>4618</v>
      </c>
      <c r="B522" s="414">
        <v>44762</v>
      </c>
      <c r="C522" s="424">
        <v>44713</v>
      </c>
      <c r="D522" s="415" t="s">
        <v>468</v>
      </c>
      <c r="E522" s="415" t="s">
        <v>468</v>
      </c>
      <c r="F522" s="425">
        <v>499.32</v>
      </c>
      <c r="G522" s="427" t="s">
        <v>6062</v>
      </c>
      <c r="H522" s="415" t="s">
        <v>468</v>
      </c>
      <c r="I522" s="473" t="s">
        <v>795</v>
      </c>
      <c r="J522" s="415" t="s">
        <v>796</v>
      </c>
      <c r="K522" s="419" t="s">
        <v>806</v>
      </c>
      <c r="L522" s="415" t="s">
        <v>798</v>
      </c>
      <c r="M522" s="415" t="s">
        <v>310</v>
      </c>
      <c r="N522" s="414">
        <v>44762</v>
      </c>
      <c r="O522" s="414" t="s">
        <v>400</v>
      </c>
      <c r="P522" s="655">
        <f t="shared" si="24"/>
        <v>7</v>
      </c>
      <c r="Q522" s="655">
        <f t="shared" si="25"/>
        <v>6</v>
      </c>
      <c r="R522" s="695" t="str">
        <f t="shared" si="26"/>
        <v>Gastos_custeados_por_captação</v>
      </c>
      <c r="S522" s="697" t="s">
        <v>310</v>
      </c>
      <c r="T522" s="697" t="s">
        <v>310</v>
      </c>
    </row>
    <row r="523" spans="1:20" ht="24" x14ac:dyDescent="0.2">
      <c r="A523" s="432">
        <f>IF(B523="","",COUNT('Diário 1º PA'!$A$4:$A$2635)+COUNT('Diário 2º PA'!$A$4:$A$3040)+ROW()-3)</f>
        <v>4619</v>
      </c>
      <c r="B523" s="414">
        <v>44762</v>
      </c>
      <c r="C523" s="424">
        <v>44713</v>
      </c>
      <c r="D523" s="415" t="s">
        <v>182</v>
      </c>
      <c r="E523" s="415" t="s">
        <v>1</v>
      </c>
      <c r="F523" s="425">
        <v>16352.81</v>
      </c>
      <c r="G523" s="427" t="s">
        <v>6060</v>
      </c>
      <c r="H523" s="415" t="s">
        <v>310</v>
      </c>
      <c r="I523" s="473" t="s">
        <v>1461</v>
      </c>
      <c r="J523" s="415" t="s">
        <v>310</v>
      </c>
      <c r="K523" s="415" t="s">
        <v>1220</v>
      </c>
      <c r="L523" s="415" t="s">
        <v>1368</v>
      </c>
      <c r="M523" s="415" t="s">
        <v>310</v>
      </c>
      <c r="N523" s="414">
        <v>44762</v>
      </c>
      <c r="O523" s="414" t="s">
        <v>400</v>
      </c>
      <c r="P523" s="655">
        <f t="shared" si="24"/>
        <v>7</v>
      </c>
      <c r="Q523" s="655">
        <f t="shared" si="25"/>
        <v>6</v>
      </c>
      <c r="R523" s="695" t="str">
        <f t="shared" si="26"/>
        <v>Gastos_com_Pessoal</v>
      </c>
      <c r="S523" s="697" t="s">
        <v>310</v>
      </c>
      <c r="T523" s="697" t="s">
        <v>310</v>
      </c>
    </row>
    <row r="524" spans="1:20" ht="24" x14ac:dyDescent="0.2">
      <c r="A524" s="432">
        <f>IF(B524="","",COUNT('Diário 1º PA'!$A$4:$A$2635)+COUNT('Diário 2º PA'!$A$4:$A$3040)+ROW()-3)</f>
        <v>4620</v>
      </c>
      <c r="B524" s="414">
        <v>44762</v>
      </c>
      <c r="C524" s="424">
        <v>44713</v>
      </c>
      <c r="D524" s="415" t="s">
        <v>182</v>
      </c>
      <c r="E524" s="415" t="s">
        <v>252</v>
      </c>
      <c r="F524" s="425">
        <v>51817.17</v>
      </c>
      <c r="G524" s="427" t="s">
        <v>6061</v>
      </c>
      <c r="H524" s="415" t="s">
        <v>310</v>
      </c>
      <c r="I524" s="473" t="s">
        <v>1461</v>
      </c>
      <c r="J524" s="415" t="s">
        <v>310</v>
      </c>
      <c r="K524" s="415" t="s">
        <v>1220</v>
      </c>
      <c r="L524" s="415" t="s">
        <v>1368</v>
      </c>
      <c r="M524" s="415" t="s">
        <v>310</v>
      </c>
      <c r="N524" s="414">
        <v>44762</v>
      </c>
      <c r="O524" s="414" t="s">
        <v>400</v>
      </c>
      <c r="P524" s="655">
        <f t="shared" si="24"/>
        <v>7</v>
      </c>
      <c r="Q524" s="655">
        <f t="shared" si="25"/>
        <v>6</v>
      </c>
      <c r="R524" s="695" t="str">
        <f t="shared" si="26"/>
        <v>Gastos_com_Pessoal</v>
      </c>
      <c r="S524" s="697" t="s">
        <v>310</v>
      </c>
      <c r="T524" s="697" t="s">
        <v>310</v>
      </c>
    </row>
    <row r="525" spans="1:20" ht="36" x14ac:dyDescent="0.2">
      <c r="A525" s="432">
        <f>IF(B525="","",COUNT('Diário 1º PA'!$A$4:$A$2635)+COUNT('Diário 2º PA'!$A$4:$A$3040)+ROW()-3)</f>
        <v>4621</v>
      </c>
      <c r="B525" s="414">
        <v>44762</v>
      </c>
      <c r="C525" s="424">
        <v>44713</v>
      </c>
      <c r="D525" s="415" t="s">
        <v>468</v>
      </c>
      <c r="E525" s="415" t="s">
        <v>468</v>
      </c>
      <c r="F525" s="425">
        <v>3255</v>
      </c>
      <c r="G525" s="427" t="s">
        <v>6700</v>
      </c>
      <c r="H525" s="415" t="s">
        <v>468</v>
      </c>
      <c r="I525" s="473" t="s">
        <v>795</v>
      </c>
      <c r="J525" s="415" t="s">
        <v>796</v>
      </c>
      <c r="K525" s="419" t="s">
        <v>806</v>
      </c>
      <c r="L525" s="415" t="s">
        <v>798</v>
      </c>
      <c r="M525" s="415" t="s">
        <v>310</v>
      </c>
      <c r="N525" s="414">
        <v>44762</v>
      </c>
      <c r="O525" s="414" t="s">
        <v>400</v>
      </c>
      <c r="P525" s="655">
        <f t="shared" si="24"/>
        <v>7</v>
      </c>
      <c r="Q525" s="655">
        <f t="shared" si="25"/>
        <v>6</v>
      </c>
      <c r="R525" s="695" t="str">
        <f t="shared" si="26"/>
        <v>Gastos_custeados_por_captação</v>
      </c>
      <c r="S525" s="697" t="s">
        <v>310</v>
      </c>
      <c r="T525" s="697" t="s">
        <v>310</v>
      </c>
    </row>
    <row r="526" spans="1:20" ht="36" x14ac:dyDescent="0.2">
      <c r="A526" s="432">
        <f>IF(B526="","",COUNT('Diário 1º PA'!$A$4:$A$2635)+COUNT('Diário 2º PA'!$A$4:$A$3040)+ROW()-3)</f>
        <v>4622</v>
      </c>
      <c r="B526" s="414">
        <v>44762</v>
      </c>
      <c r="C526" s="424">
        <v>44713</v>
      </c>
      <c r="D526" s="415" t="s">
        <v>468</v>
      </c>
      <c r="E526" s="415" t="s">
        <v>468</v>
      </c>
      <c r="F526" s="425">
        <v>465</v>
      </c>
      <c r="G526" s="427" t="s">
        <v>6087</v>
      </c>
      <c r="H526" s="415" t="s">
        <v>468</v>
      </c>
      <c r="I526" s="473" t="s">
        <v>795</v>
      </c>
      <c r="J526" s="415" t="s">
        <v>796</v>
      </c>
      <c r="K526" s="419" t="s">
        <v>806</v>
      </c>
      <c r="L526" s="415" t="s">
        <v>798</v>
      </c>
      <c r="M526" s="415" t="s">
        <v>310</v>
      </c>
      <c r="N526" s="414">
        <v>44762</v>
      </c>
      <c r="O526" s="414" t="s">
        <v>400</v>
      </c>
      <c r="P526" s="655">
        <f t="shared" si="24"/>
        <v>7</v>
      </c>
      <c r="Q526" s="655">
        <f t="shared" si="25"/>
        <v>6</v>
      </c>
      <c r="R526" s="695" t="str">
        <f t="shared" si="26"/>
        <v>Gastos_custeados_por_captação</v>
      </c>
      <c r="S526" s="697" t="s">
        <v>310</v>
      </c>
      <c r="T526" s="697" t="s">
        <v>310</v>
      </c>
    </row>
    <row r="527" spans="1:20" ht="36" x14ac:dyDescent="0.2">
      <c r="A527" s="432">
        <f>IF(B527="","",COUNT('Diário 1º PA'!$A$4:$A$2635)+COUNT('Diário 2º PA'!$A$4:$A$3040)+ROW()-3)</f>
        <v>4623</v>
      </c>
      <c r="B527" s="414">
        <v>44762</v>
      </c>
      <c r="C527" s="424">
        <v>44713</v>
      </c>
      <c r="D527" s="415" t="s">
        <v>468</v>
      </c>
      <c r="E527" s="415" t="s">
        <v>468</v>
      </c>
      <c r="F527" s="425">
        <v>1627.5</v>
      </c>
      <c r="G527" s="427" t="s">
        <v>6088</v>
      </c>
      <c r="H527" s="415" t="s">
        <v>468</v>
      </c>
      <c r="I527" s="473" t="s">
        <v>795</v>
      </c>
      <c r="J527" s="415" t="s">
        <v>796</v>
      </c>
      <c r="K527" s="419" t="s">
        <v>806</v>
      </c>
      <c r="L527" s="415" t="s">
        <v>798</v>
      </c>
      <c r="M527" s="415" t="s">
        <v>310</v>
      </c>
      <c r="N527" s="414">
        <v>44762</v>
      </c>
      <c r="O527" s="414" t="s">
        <v>400</v>
      </c>
      <c r="P527" s="655">
        <f t="shared" si="24"/>
        <v>7</v>
      </c>
      <c r="Q527" s="655">
        <f t="shared" si="25"/>
        <v>6</v>
      </c>
      <c r="R527" s="695" t="str">
        <f t="shared" si="26"/>
        <v>Gastos_custeados_por_captação</v>
      </c>
      <c r="S527" s="697" t="s">
        <v>310</v>
      </c>
      <c r="T527" s="697" t="s">
        <v>310</v>
      </c>
    </row>
    <row r="528" spans="1:20" ht="36" x14ac:dyDescent="0.2">
      <c r="A528" s="432">
        <f>IF(B528="","",COUNT('Diário 1º PA'!$A$4:$A$2635)+COUNT('Diário 2º PA'!$A$4:$A$3040)+ROW()-3)</f>
        <v>4624</v>
      </c>
      <c r="B528" s="414">
        <v>44762</v>
      </c>
      <c r="C528" s="424">
        <v>44713</v>
      </c>
      <c r="D528" s="415" t="s">
        <v>468</v>
      </c>
      <c r="E528" s="415" t="s">
        <v>468</v>
      </c>
      <c r="F528" s="425">
        <v>5342.59</v>
      </c>
      <c r="G528" s="427" t="s">
        <v>6089</v>
      </c>
      <c r="H528" s="415" t="s">
        <v>468</v>
      </c>
      <c r="I528" s="473" t="s">
        <v>795</v>
      </c>
      <c r="J528" s="415" t="s">
        <v>796</v>
      </c>
      <c r="K528" s="419" t="s">
        <v>806</v>
      </c>
      <c r="L528" s="415" t="s">
        <v>798</v>
      </c>
      <c r="M528" s="415" t="s">
        <v>310</v>
      </c>
      <c r="N528" s="414">
        <v>44762</v>
      </c>
      <c r="O528" s="414" t="s">
        <v>400</v>
      </c>
      <c r="P528" s="655">
        <f t="shared" si="24"/>
        <v>7</v>
      </c>
      <c r="Q528" s="655">
        <f t="shared" si="25"/>
        <v>6</v>
      </c>
      <c r="R528" s="695" t="str">
        <f t="shared" si="26"/>
        <v>Gastos_custeados_por_captação</v>
      </c>
      <c r="S528" s="697" t="s">
        <v>310</v>
      </c>
      <c r="T528" s="697" t="s">
        <v>310</v>
      </c>
    </row>
    <row r="529" spans="1:20" ht="36" x14ac:dyDescent="0.2">
      <c r="A529" s="432">
        <f>IF(B529="","",COUNT('Diário 1º PA'!$A$4:$A$2635)+COUNT('Diário 2º PA'!$A$4:$A$3040)+ROW()-3)</f>
        <v>4625</v>
      </c>
      <c r="B529" s="414">
        <v>44762</v>
      </c>
      <c r="C529" s="424">
        <v>44713</v>
      </c>
      <c r="D529" s="415" t="s">
        <v>468</v>
      </c>
      <c r="E529" s="415" t="s">
        <v>468</v>
      </c>
      <c r="F529" s="425">
        <v>3720</v>
      </c>
      <c r="G529" s="427" t="s">
        <v>6090</v>
      </c>
      <c r="H529" s="415" t="s">
        <v>468</v>
      </c>
      <c r="I529" s="473" t="s">
        <v>795</v>
      </c>
      <c r="J529" s="415" t="s">
        <v>796</v>
      </c>
      <c r="K529" s="419" t="s">
        <v>806</v>
      </c>
      <c r="L529" s="415" t="s">
        <v>798</v>
      </c>
      <c r="M529" s="415" t="s">
        <v>310</v>
      </c>
      <c r="N529" s="414">
        <v>44762</v>
      </c>
      <c r="O529" s="414" t="s">
        <v>400</v>
      </c>
      <c r="P529" s="655">
        <f t="shared" si="24"/>
        <v>7</v>
      </c>
      <c r="Q529" s="655">
        <f t="shared" si="25"/>
        <v>6</v>
      </c>
      <c r="R529" s="695" t="str">
        <f t="shared" si="26"/>
        <v>Gastos_custeados_por_captação</v>
      </c>
      <c r="S529" s="697" t="s">
        <v>310</v>
      </c>
      <c r="T529" s="697" t="s">
        <v>310</v>
      </c>
    </row>
    <row r="530" spans="1:20" ht="36" x14ac:dyDescent="0.2">
      <c r="A530" s="432">
        <f>IF(B530="","",COUNT('Diário 1º PA'!$A$4:$A$2635)+COUNT('Diário 2º PA'!$A$4:$A$3040)+ROW()-3)</f>
        <v>4626</v>
      </c>
      <c r="B530" s="414">
        <v>44762</v>
      </c>
      <c r="C530" s="424">
        <v>44713</v>
      </c>
      <c r="D530" s="415" t="s">
        <v>271</v>
      </c>
      <c r="E530" s="415" t="s">
        <v>90</v>
      </c>
      <c r="F530" s="425">
        <v>1184.2</v>
      </c>
      <c r="G530" s="427" t="s">
        <v>6091</v>
      </c>
      <c r="H530" s="415" t="s">
        <v>310</v>
      </c>
      <c r="I530" s="473" t="s">
        <v>795</v>
      </c>
      <c r="J530" s="415" t="s">
        <v>796</v>
      </c>
      <c r="K530" s="419" t="s">
        <v>806</v>
      </c>
      <c r="L530" s="415" t="s">
        <v>798</v>
      </c>
      <c r="M530" s="415" t="s">
        <v>310</v>
      </c>
      <c r="N530" s="414">
        <v>44762</v>
      </c>
      <c r="O530" s="414" t="s">
        <v>400</v>
      </c>
      <c r="P530" s="655">
        <f t="shared" si="24"/>
        <v>7</v>
      </c>
      <c r="Q530" s="655">
        <f t="shared" si="25"/>
        <v>6</v>
      </c>
      <c r="R530" s="695" t="str">
        <f t="shared" si="26"/>
        <v>Gastos_Gerais</v>
      </c>
      <c r="S530" s="697" t="s">
        <v>310</v>
      </c>
      <c r="T530" s="697" t="s">
        <v>310</v>
      </c>
    </row>
    <row r="531" spans="1:20" ht="36" x14ac:dyDescent="0.2">
      <c r="A531" s="432">
        <f>IF(B531="","",COUNT('Diário 1º PA'!$A$4:$A$2635)+COUNT('Diário 2º PA'!$A$4:$A$3040)+ROW()-3)</f>
        <v>4627</v>
      </c>
      <c r="B531" s="414">
        <v>44762</v>
      </c>
      <c r="C531" s="424">
        <v>44713</v>
      </c>
      <c r="D531" s="415" t="s">
        <v>468</v>
      </c>
      <c r="E531" s="415" t="s">
        <v>468</v>
      </c>
      <c r="F531" s="425">
        <v>3100</v>
      </c>
      <c r="G531" s="427" t="s">
        <v>6092</v>
      </c>
      <c r="H531" s="415" t="s">
        <v>468</v>
      </c>
      <c r="I531" s="473" t="s">
        <v>795</v>
      </c>
      <c r="J531" s="415" t="s">
        <v>796</v>
      </c>
      <c r="K531" s="419" t="s">
        <v>806</v>
      </c>
      <c r="L531" s="415" t="s">
        <v>798</v>
      </c>
      <c r="M531" s="415" t="s">
        <v>310</v>
      </c>
      <c r="N531" s="414">
        <v>44762</v>
      </c>
      <c r="O531" s="414" t="s">
        <v>400</v>
      </c>
      <c r="P531" s="655">
        <f t="shared" si="24"/>
        <v>7</v>
      </c>
      <c r="Q531" s="655">
        <f t="shared" si="25"/>
        <v>6</v>
      </c>
      <c r="R531" s="695" t="str">
        <f t="shared" si="26"/>
        <v>Gastos_custeados_por_captação</v>
      </c>
      <c r="S531" s="697" t="s">
        <v>310</v>
      </c>
      <c r="T531" s="697" t="s">
        <v>310</v>
      </c>
    </row>
    <row r="532" spans="1:20" ht="36" x14ac:dyDescent="0.2">
      <c r="A532" s="432">
        <f>IF(B532="","",COUNT('Diário 1º PA'!$A$4:$A$2635)+COUNT('Diário 2º PA'!$A$4:$A$3040)+ROW()-3)</f>
        <v>4628</v>
      </c>
      <c r="B532" s="414">
        <v>44762</v>
      </c>
      <c r="C532" s="424">
        <v>44713</v>
      </c>
      <c r="D532" s="415" t="s">
        <v>468</v>
      </c>
      <c r="E532" s="415" t="s">
        <v>468</v>
      </c>
      <c r="F532" s="425">
        <v>6153.5</v>
      </c>
      <c r="G532" s="427" t="s">
        <v>6093</v>
      </c>
      <c r="H532" s="415" t="s">
        <v>468</v>
      </c>
      <c r="I532" s="473" t="s">
        <v>795</v>
      </c>
      <c r="J532" s="415" t="s">
        <v>796</v>
      </c>
      <c r="K532" s="419" t="s">
        <v>806</v>
      </c>
      <c r="L532" s="415" t="s">
        <v>798</v>
      </c>
      <c r="M532" s="415" t="s">
        <v>310</v>
      </c>
      <c r="N532" s="414">
        <v>44762</v>
      </c>
      <c r="O532" s="414" t="s">
        <v>400</v>
      </c>
      <c r="P532" s="655">
        <f t="shared" si="24"/>
        <v>7</v>
      </c>
      <c r="Q532" s="655">
        <f t="shared" si="25"/>
        <v>6</v>
      </c>
      <c r="R532" s="695" t="str">
        <f t="shared" si="26"/>
        <v>Gastos_custeados_por_captação</v>
      </c>
      <c r="S532" s="697" t="s">
        <v>310</v>
      </c>
      <c r="T532" s="697" t="s">
        <v>310</v>
      </c>
    </row>
    <row r="533" spans="1:20" ht="36" x14ac:dyDescent="0.2">
      <c r="A533" s="432">
        <f>IF(B533="","",COUNT('Diário 1º PA'!$A$4:$A$2635)+COUNT('Diário 2º PA'!$A$4:$A$3040)+ROW()-3)</f>
        <v>4629</v>
      </c>
      <c r="B533" s="414">
        <v>44762</v>
      </c>
      <c r="C533" s="424">
        <v>44713</v>
      </c>
      <c r="D533" s="415" t="s">
        <v>468</v>
      </c>
      <c r="E533" s="415" t="s">
        <v>468</v>
      </c>
      <c r="F533" s="425">
        <v>2615.4699999999998</v>
      </c>
      <c r="G533" s="427" t="s">
        <v>6094</v>
      </c>
      <c r="H533" s="415" t="s">
        <v>468</v>
      </c>
      <c r="I533" s="473" t="s">
        <v>795</v>
      </c>
      <c r="J533" s="415" t="s">
        <v>796</v>
      </c>
      <c r="K533" s="419" t="s">
        <v>806</v>
      </c>
      <c r="L533" s="415" t="s">
        <v>798</v>
      </c>
      <c r="M533" s="415" t="s">
        <v>310</v>
      </c>
      <c r="N533" s="414">
        <v>44762</v>
      </c>
      <c r="O533" s="414" t="s">
        <v>400</v>
      </c>
      <c r="P533" s="655">
        <f t="shared" si="24"/>
        <v>7</v>
      </c>
      <c r="Q533" s="655">
        <f t="shared" si="25"/>
        <v>6</v>
      </c>
      <c r="R533" s="695" t="str">
        <f t="shared" si="26"/>
        <v>Gastos_custeados_por_captação</v>
      </c>
      <c r="S533" s="697" t="s">
        <v>310</v>
      </c>
      <c r="T533" s="697" t="s">
        <v>310</v>
      </c>
    </row>
    <row r="534" spans="1:20" ht="36" x14ac:dyDescent="0.2">
      <c r="A534" s="432">
        <f>IF(B534="","",COUNT('Diário 1º PA'!$A$4:$A$2635)+COUNT('Diário 2º PA'!$A$4:$A$3040)+ROW()-3)</f>
        <v>4630</v>
      </c>
      <c r="B534" s="414">
        <v>44762</v>
      </c>
      <c r="C534" s="424">
        <v>44713</v>
      </c>
      <c r="D534" s="415" t="s">
        <v>468</v>
      </c>
      <c r="E534" s="415" t="s">
        <v>468</v>
      </c>
      <c r="F534" s="425">
        <v>852.5</v>
      </c>
      <c r="G534" s="427" t="s">
        <v>6095</v>
      </c>
      <c r="H534" s="415" t="s">
        <v>468</v>
      </c>
      <c r="I534" s="473" t="s">
        <v>795</v>
      </c>
      <c r="J534" s="415" t="s">
        <v>796</v>
      </c>
      <c r="K534" s="419" t="s">
        <v>806</v>
      </c>
      <c r="L534" s="415" t="s">
        <v>798</v>
      </c>
      <c r="M534" s="415" t="s">
        <v>310</v>
      </c>
      <c r="N534" s="414">
        <v>44762</v>
      </c>
      <c r="O534" s="414" t="s">
        <v>400</v>
      </c>
      <c r="P534" s="655">
        <f t="shared" si="24"/>
        <v>7</v>
      </c>
      <c r="Q534" s="655">
        <f t="shared" si="25"/>
        <v>6</v>
      </c>
      <c r="R534" s="695" t="str">
        <f t="shared" si="26"/>
        <v>Gastos_custeados_por_captação</v>
      </c>
      <c r="S534" s="697" t="s">
        <v>310</v>
      </c>
      <c r="T534" s="697" t="s">
        <v>310</v>
      </c>
    </row>
    <row r="535" spans="1:20" ht="36" x14ac:dyDescent="0.2">
      <c r="A535" s="432">
        <f>IF(B535="","",COUNT('Diário 1º PA'!$A$4:$A$2635)+COUNT('Diário 2º PA'!$A$4:$A$3040)+ROW()-3)</f>
        <v>4631</v>
      </c>
      <c r="B535" s="414">
        <v>44762</v>
      </c>
      <c r="C535" s="424">
        <v>44713</v>
      </c>
      <c r="D535" s="415" t="s">
        <v>468</v>
      </c>
      <c r="E535" s="415" t="s">
        <v>468</v>
      </c>
      <c r="F535" s="425">
        <v>372</v>
      </c>
      <c r="G535" s="427" t="s">
        <v>6096</v>
      </c>
      <c r="H535" s="415" t="s">
        <v>468</v>
      </c>
      <c r="I535" s="473" t="s">
        <v>795</v>
      </c>
      <c r="J535" s="415" t="s">
        <v>796</v>
      </c>
      <c r="K535" s="419" t="s">
        <v>806</v>
      </c>
      <c r="L535" s="415" t="s">
        <v>798</v>
      </c>
      <c r="M535" s="415" t="s">
        <v>310</v>
      </c>
      <c r="N535" s="414">
        <v>44762</v>
      </c>
      <c r="O535" s="414" t="s">
        <v>400</v>
      </c>
      <c r="P535" s="655">
        <f t="shared" si="24"/>
        <v>7</v>
      </c>
      <c r="Q535" s="655">
        <f t="shared" si="25"/>
        <v>6</v>
      </c>
      <c r="R535" s="695" t="str">
        <f t="shared" si="26"/>
        <v>Gastos_custeados_por_captação</v>
      </c>
      <c r="S535" s="697" t="s">
        <v>310</v>
      </c>
      <c r="T535" s="697" t="s">
        <v>310</v>
      </c>
    </row>
    <row r="536" spans="1:20" ht="36" x14ac:dyDescent="0.2">
      <c r="A536" s="432">
        <f>IF(B536="","",COUNT('Diário 1º PA'!$A$4:$A$2635)+COUNT('Diário 2º PA'!$A$4:$A$3040)+ROW()-3)</f>
        <v>4632</v>
      </c>
      <c r="B536" s="414">
        <v>44762</v>
      </c>
      <c r="C536" s="424">
        <v>44713</v>
      </c>
      <c r="D536" s="415" t="s">
        <v>468</v>
      </c>
      <c r="E536" s="415" t="s">
        <v>468</v>
      </c>
      <c r="F536" s="425">
        <v>1010.6</v>
      </c>
      <c r="G536" s="427" t="s">
        <v>6097</v>
      </c>
      <c r="H536" s="415" t="s">
        <v>468</v>
      </c>
      <c r="I536" s="473" t="s">
        <v>795</v>
      </c>
      <c r="J536" s="415" t="s">
        <v>796</v>
      </c>
      <c r="K536" s="419" t="s">
        <v>806</v>
      </c>
      <c r="L536" s="415" t="s">
        <v>798</v>
      </c>
      <c r="M536" s="415" t="s">
        <v>310</v>
      </c>
      <c r="N536" s="414">
        <v>44762</v>
      </c>
      <c r="O536" s="414" t="s">
        <v>400</v>
      </c>
      <c r="P536" s="655">
        <f t="shared" si="24"/>
        <v>7</v>
      </c>
      <c r="Q536" s="655">
        <f t="shared" si="25"/>
        <v>6</v>
      </c>
      <c r="R536" s="695" t="str">
        <f t="shared" si="26"/>
        <v>Gastos_custeados_por_captação</v>
      </c>
      <c r="S536" s="697" t="s">
        <v>310</v>
      </c>
      <c r="T536" s="697" t="s">
        <v>310</v>
      </c>
    </row>
    <row r="537" spans="1:20" ht="36" x14ac:dyDescent="0.2">
      <c r="A537" s="432">
        <f>IF(B537="","",COUNT('Diário 1º PA'!$A$4:$A$2635)+COUNT('Diário 2º PA'!$A$4:$A$3040)+ROW()-3)</f>
        <v>4633</v>
      </c>
      <c r="B537" s="414">
        <v>44762</v>
      </c>
      <c r="C537" s="424">
        <v>44743</v>
      </c>
      <c r="D537" s="415" t="s">
        <v>271</v>
      </c>
      <c r="E537" s="415" t="s">
        <v>71</v>
      </c>
      <c r="F537" s="425">
        <v>11</v>
      </c>
      <c r="G537" s="427" t="s">
        <v>6145</v>
      </c>
      <c r="H537" s="415" t="s">
        <v>758</v>
      </c>
      <c r="I537" s="398" t="s">
        <v>881</v>
      </c>
      <c r="J537" s="418" t="s">
        <v>882</v>
      </c>
      <c r="K537" s="418" t="s">
        <v>883</v>
      </c>
      <c r="L537" s="399" t="s">
        <v>798</v>
      </c>
      <c r="M537" s="415" t="s">
        <v>310</v>
      </c>
      <c r="N537" s="413">
        <v>44762</v>
      </c>
      <c r="O537" s="414" t="s">
        <v>400</v>
      </c>
      <c r="P537" s="655">
        <f t="shared" si="24"/>
        <v>7</v>
      </c>
      <c r="Q537" s="655">
        <f t="shared" si="25"/>
        <v>7</v>
      </c>
      <c r="R537" s="695" t="str">
        <f t="shared" si="26"/>
        <v>Gastos_Gerais</v>
      </c>
      <c r="S537" s="697" t="s">
        <v>310</v>
      </c>
      <c r="T537" s="697" t="s">
        <v>310</v>
      </c>
    </row>
    <row r="538" spans="1:20" ht="48" x14ac:dyDescent="0.2">
      <c r="A538" s="432">
        <f>IF(B538="","",COUNT('Diário 1º PA'!$A$4:$A$2635)+COUNT('Diário 2º PA'!$A$4:$A$3040)+ROW()-3)</f>
        <v>4634</v>
      </c>
      <c r="B538" s="414">
        <v>44762</v>
      </c>
      <c r="C538" s="431">
        <v>44682</v>
      </c>
      <c r="D538" s="415" t="s">
        <v>468</v>
      </c>
      <c r="E538" s="415" t="s">
        <v>468</v>
      </c>
      <c r="F538" s="425">
        <v>1085</v>
      </c>
      <c r="G538" s="427" t="s">
        <v>6420</v>
      </c>
      <c r="H538" s="415" t="s">
        <v>468</v>
      </c>
      <c r="I538" s="427" t="s">
        <v>795</v>
      </c>
      <c r="J538" s="415" t="s">
        <v>796</v>
      </c>
      <c r="K538" s="419" t="s">
        <v>806</v>
      </c>
      <c r="L538" s="415" t="s">
        <v>798</v>
      </c>
      <c r="M538" s="415" t="s">
        <v>310</v>
      </c>
      <c r="N538" s="414">
        <v>44762</v>
      </c>
      <c r="O538" s="414" t="s">
        <v>408</v>
      </c>
      <c r="P538" s="655">
        <f t="shared" si="24"/>
        <v>7</v>
      </c>
      <c r="Q538" s="655">
        <f t="shared" si="25"/>
        <v>5</v>
      </c>
      <c r="R538" s="695" t="str">
        <f t="shared" si="26"/>
        <v>Gastos_custeados_por_captação</v>
      </c>
      <c r="S538" s="697" t="s">
        <v>310</v>
      </c>
      <c r="T538" s="697" t="s">
        <v>310</v>
      </c>
    </row>
    <row r="539" spans="1:20" ht="36" x14ac:dyDescent="0.2">
      <c r="A539" s="432">
        <f>IF(B539="","",COUNT('Diário 1º PA'!$A$4:$A$2635)+COUNT('Diário 2º PA'!$A$4:$A$3040)+ROW()-3)</f>
        <v>4635</v>
      </c>
      <c r="B539" s="414">
        <v>44762</v>
      </c>
      <c r="C539" s="431">
        <v>44682</v>
      </c>
      <c r="D539" s="415" t="s">
        <v>468</v>
      </c>
      <c r="E539" s="415" t="s">
        <v>468</v>
      </c>
      <c r="F539" s="425">
        <v>930</v>
      </c>
      <c r="G539" s="427" t="s">
        <v>6436</v>
      </c>
      <c r="H539" s="415" t="s">
        <v>468</v>
      </c>
      <c r="I539" s="427" t="s">
        <v>795</v>
      </c>
      <c r="J539" s="415" t="s">
        <v>796</v>
      </c>
      <c r="K539" s="419" t="s">
        <v>806</v>
      </c>
      <c r="L539" s="415" t="s">
        <v>798</v>
      </c>
      <c r="M539" s="415" t="s">
        <v>310</v>
      </c>
      <c r="N539" s="414">
        <v>44762</v>
      </c>
      <c r="O539" s="414" t="s">
        <v>408</v>
      </c>
      <c r="P539" s="655">
        <f t="shared" si="24"/>
        <v>7</v>
      </c>
      <c r="Q539" s="655">
        <f t="shared" si="25"/>
        <v>5</v>
      </c>
      <c r="R539" s="695" t="str">
        <f t="shared" si="26"/>
        <v>Gastos_custeados_por_captação</v>
      </c>
      <c r="S539" s="697" t="s">
        <v>310</v>
      </c>
      <c r="T539" s="697" t="s">
        <v>310</v>
      </c>
    </row>
    <row r="540" spans="1:20" ht="36" x14ac:dyDescent="0.2">
      <c r="A540" s="432">
        <f>IF(B540="","",COUNT('Diário 1º PA'!$A$4:$A$2635)+COUNT('Diário 2º PA'!$A$4:$A$3040)+ROW()-3)</f>
        <v>4636</v>
      </c>
      <c r="B540" s="414">
        <v>44762</v>
      </c>
      <c r="C540" s="431">
        <v>44682</v>
      </c>
      <c r="D540" s="415" t="s">
        <v>468</v>
      </c>
      <c r="E540" s="415" t="s">
        <v>468</v>
      </c>
      <c r="F540" s="425">
        <v>1240</v>
      </c>
      <c r="G540" s="427" t="s">
        <v>6437</v>
      </c>
      <c r="H540" s="415" t="s">
        <v>468</v>
      </c>
      <c r="I540" s="427" t="s">
        <v>795</v>
      </c>
      <c r="J540" s="415" t="s">
        <v>796</v>
      </c>
      <c r="K540" s="419" t="s">
        <v>806</v>
      </c>
      <c r="L540" s="415" t="s">
        <v>798</v>
      </c>
      <c r="M540" s="415" t="s">
        <v>310</v>
      </c>
      <c r="N540" s="414">
        <v>44762</v>
      </c>
      <c r="O540" s="414" t="s">
        <v>408</v>
      </c>
      <c r="P540" s="655">
        <f t="shared" si="24"/>
        <v>7</v>
      </c>
      <c r="Q540" s="655">
        <f t="shared" si="25"/>
        <v>5</v>
      </c>
      <c r="R540" s="695" t="str">
        <f t="shared" si="26"/>
        <v>Gastos_custeados_por_captação</v>
      </c>
      <c r="S540" s="697" t="s">
        <v>310</v>
      </c>
      <c r="T540" s="697" t="s">
        <v>310</v>
      </c>
    </row>
    <row r="541" spans="1:20" ht="36" x14ac:dyDescent="0.2">
      <c r="A541" s="432">
        <f>IF(B541="","",COUNT('Diário 1º PA'!$A$4:$A$2635)+COUNT('Diário 2º PA'!$A$4:$A$3040)+ROW()-3)</f>
        <v>4637</v>
      </c>
      <c r="B541" s="414">
        <v>44762</v>
      </c>
      <c r="C541" s="431">
        <v>44713</v>
      </c>
      <c r="D541" s="415" t="s">
        <v>468</v>
      </c>
      <c r="E541" s="415" t="s">
        <v>468</v>
      </c>
      <c r="F541" s="425">
        <v>1000</v>
      </c>
      <c r="G541" s="427" t="s">
        <v>1457</v>
      </c>
      <c r="H541" s="415" t="s">
        <v>468</v>
      </c>
      <c r="I541" s="398" t="s">
        <v>6421</v>
      </c>
      <c r="J541" s="415" t="s">
        <v>1456</v>
      </c>
      <c r="K541" s="418" t="s">
        <v>812</v>
      </c>
      <c r="L541" s="399" t="s">
        <v>32</v>
      </c>
      <c r="M541" s="544">
        <v>19041</v>
      </c>
      <c r="N541" s="413">
        <v>44746</v>
      </c>
      <c r="O541" s="414" t="s">
        <v>408</v>
      </c>
      <c r="P541" s="655">
        <f t="shared" si="24"/>
        <v>7</v>
      </c>
      <c r="Q541" s="655">
        <f t="shared" si="25"/>
        <v>6</v>
      </c>
      <c r="R541" s="695" t="str">
        <f t="shared" si="26"/>
        <v>Gastos_custeados_por_captação</v>
      </c>
      <c r="S541" s="697" t="s">
        <v>1000</v>
      </c>
      <c r="T541" s="697">
        <v>2783</v>
      </c>
    </row>
    <row r="542" spans="1:20" ht="48" x14ac:dyDescent="0.2">
      <c r="A542" s="432">
        <f>IF(B542="","",COUNT('Diário 1º PA'!$A$4:$A$2635)+COUNT('Diário 2º PA'!$A$4:$A$3040)+ROW()-3)</f>
        <v>4638</v>
      </c>
      <c r="B542" s="414">
        <v>44762</v>
      </c>
      <c r="C542" s="431">
        <v>44743</v>
      </c>
      <c r="D542" s="415" t="s">
        <v>468</v>
      </c>
      <c r="E542" s="415" t="s">
        <v>468</v>
      </c>
      <c r="F542" s="425">
        <v>57.5</v>
      </c>
      <c r="G542" s="427" t="s">
        <v>5758</v>
      </c>
      <c r="H542" s="415" t="s">
        <v>468</v>
      </c>
      <c r="I542" s="398" t="s">
        <v>5022</v>
      </c>
      <c r="J542" s="415" t="s">
        <v>3525</v>
      </c>
      <c r="K542" s="418" t="s">
        <v>812</v>
      </c>
      <c r="L542" s="399" t="s">
        <v>32</v>
      </c>
      <c r="M542" s="544">
        <v>13017</v>
      </c>
      <c r="N542" s="413">
        <v>44741</v>
      </c>
      <c r="O542" s="414" t="s">
        <v>408</v>
      </c>
      <c r="P542" s="655">
        <f t="shared" si="24"/>
        <v>7</v>
      </c>
      <c r="Q542" s="655">
        <f t="shared" si="25"/>
        <v>7</v>
      </c>
      <c r="R542" s="695" t="str">
        <f t="shared" si="26"/>
        <v>Gastos_custeados_por_captação</v>
      </c>
      <c r="S542" s="697" t="s">
        <v>1303</v>
      </c>
      <c r="T542" s="697">
        <v>4065</v>
      </c>
    </row>
    <row r="543" spans="1:20" ht="36" x14ac:dyDescent="0.2">
      <c r="A543" s="432">
        <f>IF(B543="","",COUNT('Diário 1º PA'!$A$4:$A$2635)+COUNT('Diário 2º PA'!$A$4:$A$3040)+ROW()-3)</f>
        <v>4639</v>
      </c>
      <c r="B543" s="414">
        <v>44762</v>
      </c>
      <c r="C543" s="431">
        <v>44682</v>
      </c>
      <c r="D543" s="415" t="s">
        <v>468</v>
      </c>
      <c r="E543" s="415" t="s">
        <v>468</v>
      </c>
      <c r="F543" s="425">
        <v>112.45</v>
      </c>
      <c r="G543" s="427" t="s">
        <v>5606</v>
      </c>
      <c r="H543" s="415" t="s">
        <v>468</v>
      </c>
      <c r="I543" s="427" t="s">
        <v>1461</v>
      </c>
      <c r="J543" s="415" t="s">
        <v>310</v>
      </c>
      <c r="K543" s="415" t="s">
        <v>1220</v>
      </c>
      <c r="L543" s="415" t="s">
        <v>1368</v>
      </c>
      <c r="M543" s="415" t="s">
        <v>310</v>
      </c>
      <c r="N543" s="414">
        <v>44762</v>
      </c>
      <c r="O543" s="414" t="s">
        <v>408</v>
      </c>
      <c r="P543" s="655">
        <f t="shared" si="24"/>
        <v>7</v>
      </c>
      <c r="Q543" s="655">
        <f t="shared" si="25"/>
        <v>5</v>
      </c>
      <c r="R543" s="695" t="str">
        <f t="shared" si="26"/>
        <v>Gastos_custeados_por_captação</v>
      </c>
      <c r="S543" s="697" t="s">
        <v>310</v>
      </c>
      <c r="T543" s="697" t="s">
        <v>310</v>
      </c>
    </row>
    <row r="544" spans="1:20" ht="36" x14ac:dyDescent="0.2">
      <c r="A544" s="432">
        <f>IF(B544="","",COUNT('Diário 1º PA'!$A$4:$A$2635)+COUNT('Diário 2º PA'!$A$4:$A$3040)+ROW()-3)</f>
        <v>4640</v>
      </c>
      <c r="B544" s="414">
        <v>44762</v>
      </c>
      <c r="C544" s="431">
        <v>44682</v>
      </c>
      <c r="D544" s="415" t="s">
        <v>468</v>
      </c>
      <c r="E544" s="415" t="s">
        <v>468</v>
      </c>
      <c r="F544" s="425">
        <v>57.45</v>
      </c>
      <c r="G544" s="427" t="s">
        <v>5390</v>
      </c>
      <c r="H544" s="415" t="s">
        <v>468</v>
      </c>
      <c r="I544" s="427" t="s">
        <v>1461</v>
      </c>
      <c r="J544" s="415" t="s">
        <v>310</v>
      </c>
      <c r="K544" s="415" t="s">
        <v>1220</v>
      </c>
      <c r="L544" s="415" t="s">
        <v>1368</v>
      </c>
      <c r="M544" s="415" t="s">
        <v>310</v>
      </c>
      <c r="N544" s="414">
        <v>44762</v>
      </c>
      <c r="O544" s="414" t="s">
        <v>408</v>
      </c>
      <c r="P544" s="655">
        <f t="shared" si="24"/>
        <v>7</v>
      </c>
      <c r="Q544" s="655">
        <f t="shared" si="25"/>
        <v>5</v>
      </c>
      <c r="R544" s="695" t="str">
        <f t="shared" si="26"/>
        <v>Gastos_custeados_por_captação</v>
      </c>
      <c r="S544" s="697" t="s">
        <v>310</v>
      </c>
      <c r="T544" s="697" t="s">
        <v>310</v>
      </c>
    </row>
    <row r="545" spans="1:20" ht="36" x14ac:dyDescent="0.2">
      <c r="A545" s="432">
        <f>IF(B545="","",COUNT('Diário 1º PA'!$A$4:$A$2635)+COUNT('Diário 2º PA'!$A$4:$A$3040)+ROW()-3)</f>
        <v>4641</v>
      </c>
      <c r="B545" s="414">
        <v>44762</v>
      </c>
      <c r="C545" s="431">
        <v>44682</v>
      </c>
      <c r="D545" s="415" t="s">
        <v>468</v>
      </c>
      <c r="E545" s="415" t="s">
        <v>468</v>
      </c>
      <c r="F545" s="425">
        <v>179.2</v>
      </c>
      <c r="G545" s="427" t="s">
        <v>5618</v>
      </c>
      <c r="H545" s="415" t="s">
        <v>468</v>
      </c>
      <c r="I545" s="427" t="s">
        <v>1461</v>
      </c>
      <c r="J545" s="415" t="s">
        <v>310</v>
      </c>
      <c r="K545" s="415" t="s">
        <v>1220</v>
      </c>
      <c r="L545" s="415" t="s">
        <v>1368</v>
      </c>
      <c r="M545" s="415" t="s">
        <v>310</v>
      </c>
      <c r="N545" s="414">
        <v>44762</v>
      </c>
      <c r="O545" s="414" t="s">
        <v>408</v>
      </c>
      <c r="P545" s="655">
        <f t="shared" si="24"/>
        <v>7</v>
      </c>
      <c r="Q545" s="655">
        <f t="shared" si="25"/>
        <v>5</v>
      </c>
      <c r="R545" s="695" t="str">
        <f t="shared" si="26"/>
        <v>Gastos_custeados_por_captação</v>
      </c>
      <c r="S545" s="697" t="s">
        <v>310</v>
      </c>
      <c r="T545" s="697" t="s">
        <v>310</v>
      </c>
    </row>
    <row r="546" spans="1:20" ht="36" x14ac:dyDescent="0.2">
      <c r="A546" s="432">
        <f>IF(B546="","",COUNT('Diário 1º PA'!$A$4:$A$2635)+COUNT('Diário 2º PA'!$A$4:$A$3040)+ROW()-3)</f>
        <v>4642</v>
      </c>
      <c r="B546" s="414">
        <v>44762</v>
      </c>
      <c r="C546" s="431">
        <v>44682</v>
      </c>
      <c r="D546" s="415" t="s">
        <v>468</v>
      </c>
      <c r="E546" s="415" t="s">
        <v>468</v>
      </c>
      <c r="F546" s="425">
        <v>6297.2</v>
      </c>
      <c r="G546" s="427" t="s">
        <v>2330</v>
      </c>
      <c r="H546" s="415" t="s">
        <v>468</v>
      </c>
      <c r="I546" s="398" t="s">
        <v>6422</v>
      </c>
      <c r="J546" s="415" t="s">
        <v>2329</v>
      </c>
      <c r="K546" s="418" t="s">
        <v>812</v>
      </c>
      <c r="L546" s="399" t="s">
        <v>32</v>
      </c>
      <c r="M546" s="418" t="s">
        <v>5115</v>
      </c>
      <c r="N546" s="413">
        <v>44762</v>
      </c>
      <c r="O546" s="414" t="s">
        <v>408</v>
      </c>
      <c r="P546" s="655">
        <f t="shared" si="24"/>
        <v>7</v>
      </c>
      <c r="Q546" s="655">
        <f t="shared" si="25"/>
        <v>5</v>
      </c>
      <c r="R546" s="695" t="str">
        <f t="shared" si="26"/>
        <v>Gastos_custeados_por_captação</v>
      </c>
      <c r="S546" s="697" t="s">
        <v>1000</v>
      </c>
      <c r="T546" s="697">
        <v>3094</v>
      </c>
    </row>
    <row r="547" spans="1:20" ht="36" x14ac:dyDescent="0.2">
      <c r="A547" s="432">
        <f>IF(B547="","",COUNT('Diário 1º PA'!$A$4:$A$2635)+COUNT('Diário 2º PA'!$A$4:$A$3040)+ROW()-3)</f>
        <v>4643</v>
      </c>
      <c r="B547" s="414">
        <v>44762</v>
      </c>
      <c r="C547" s="431">
        <v>44682</v>
      </c>
      <c r="D547" s="415" t="s">
        <v>468</v>
      </c>
      <c r="E547" s="415" t="s">
        <v>468</v>
      </c>
      <c r="F547" s="425">
        <v>587.94000000000005</v>
      </c>
      <c r="G547" s="427" t="s">
        <v>2268</v>
      </c>
      <c r="H547" s="415" t="s">
        <v>468</v>
      </c>
      <c r="I547" s="398" t="s">
        <v>4123</v>
      </c>
      <c r="J547" s="415" t="s">
        <v>2269</v>
      </c>
      <c r="K547" s="418" t="s">
        <v>812</v>
      </c>
      <c r="L547" s="399" t="s">
        <v>32</v>
      </c>
      <c r="M547" s="418" t="s">
        <v>3075</v>
      </c>
      <c r="N547" s="413">
        <v>44762</v>
      </c>
      <c r="O547" s="414" t="s">
        <v>408</v>
      </c>
      <c r="P547" s="655">
        <f t="shared" si="24"/>
        <v>7</v>
      </c>
      <c r="Q547" s="655">
        <f t="shared" si="25"/>
        <v>5</v>
      </c>
      <c r="R547" s="695" t="str">
        <f t="shared" si="26"/>
        <v>Gastos_custeados_por_captação</v>
      </c>
      <c r="S547" s="697" t="s">
        <v>1000</v>
      </c>
      <c r="T547" s="697">
        <v>3093</v>
      </c>
    </row>
    <row r="548" spans="1:20" ht="48" x14ac:dyDescent="0.2">
      <c r="A548" s="432">
        <f>IF(B548="","",COUNT('Diário 1º PA'!$A$4:$A$2635)+COUNT('Diário 2º PA'!$A$4:$A$3040)+ROW()-3)</f>
        <v>4644</v>
      </c>
      <c r="B548" s="414">
        <v>44762</v>
      </c>
      <c r="C548" s="431">
        <v>44652</v>
      </c>
      <c r="D548" s="415" t="s">
        <v>468</v>
      </c>
      <c r="E548" s="415" t="s">
        <v>468</v>
      </c>
      <c r="F548" s="425">
        <v>806</v>
      </c>
      <c r="G548" s="427" t="s">
        <v>8468</v>
      </c>
      <c r="H548" s="415" t="s">
        <v>468</v>
      </c>
      <c r="I548" s="474" t="s">
        <v>2437</v>
      </c>
      <c r="J548" s="434" t="s">
        <v>796</v>
      </c>
      <c r="K548" s="434" t="s">
        <v>806</v>
      </c>
      <c r="L548" s="434" t="s">
        <v>798</v>
      </c>
      <c r="M548" s="436" t="s">
        <v>310</v>
      </c>
      <c r="N548" s="413">
        <v>44762</v>
      </c>
      <c r="O548" s="414" t="s">
        <v>3762</v>
      </c>
      <c r="P548" s="655">
        <f t="shared" si="24"/>
        <v>7</v>
      </c>
      <c r="Q548" s="655">
        <f t="shared" si="25"/>
        <v>4</v>
      </c>
      <c r="R548" s="695" t="str">
        <f t="shared" si="26"/>
        <v>Gastos_custeados_por_captação</v>
      </c>
      <c r="S548" s="697" t="s">
        <v>310</v>
      </c>
      <c r="T548" s="697" t="s">
        <v>310</v>
      </c>
    </row>
    <row r="549" spans="1:20" ht="48" x14ac:dyDescent="0.2">
      <c r="A549" s="432">
        <f>IF(B549="","",COUNT('Diário 1º PA'!$A$4:$A$2635)+COUNT('Diário 2º PA'!$A$4:$A$3040)+ROW()-3)</f>
        <v>4645</v>
      </c>
      <c r="B549" s="414">
        <v>44762</v>
      </c>
      <c r="C549" s="431">
        <v>44682</v>
      </c>
      <c r="D549" s="415" t="s">
        <v>468</v>
      </c>
      <c r="E549" s="415" t="s">
        <v>468</v>
      </c>
      <c r="F549" s="425">
        <v>806</v>
      </c>
      <c r="G549" s="427" t="s">
        <v>8469</v>
      </c>
      <c r="H549" s="415" t="s">
        <v>468</v>
      </c>
      <c r="I549" s="474" t="s">
        <v>2437</v>
      </c>
      <c r="J549" s="434" t="s">
        <v>796</v>
      </c>
      <c r="K549" s="434" t="s">
        <v>806</v>
      </c>
      <c r="L549" s="434" t="s">
        <v>798</v>
      </c>
      <c r="M549" s="436" t="s">
        <v>310</v>
      </c>
      <c r="N549" s="413">
        <v>44762</v>
      </c>
      <c r="O549" s="414" t="s">
        <v>3762</v>
      </c>
      <c r="P549" s="655">
        <f t="shared" si="24"/>
        <v>7</v>
      </c>
      <c r="Q549" s="655">
        <f t="shared" si="25"/>
        <v>5</v>
      </c>
      <c r="R549" s="695" t="str">
        <f t="shared" si="26"/>
        <v>Gastos_custeados_por_captação</v>
      </c>
      <c r="S549" s="697" t="s">
        <v>310</v>
      </c>
      <c r="T549" s="697" t="s">
        <v>310</v>
      </c>
    </row>
    <row r="550" spans="1:20" ht="48" x14ac:dyDescent="0.2">
      <c r="A550" s="432">
        <f>IF(B550="","",COUNT('Diário 1º PA'!$A$4:$A$2635)+COUNT('Diário 2º PA'!$A$4:$A$3040)+ROW()-3)</f>
        <v>4646</v>
      </c>
      <c r="B550" s="414">
        <v>44762</v>
      </c>
      <c r="C550" s="431">
        <v>44713</v>
      </c>
      <c r="D550" s="415" t="s">
        <v>468</v>
      </c>
      <c r="E550" s="415" t="s">
        <v>468</v>
      </c>
      <c r="F550" s="425">
        <v>197.47</v>
      </c>
      <c r="G550" s="427" t="s">
        <v>8470</v>
      </c>
      <c r="H550" s="415" t="s">
        <v>468</v>
      </c>
      <c r="I550" s="474" t="s">
        <v>2437</v>
      </c>
      <c r="J550" s="434" t="s">
        <v>796</v>
      </c>
      <c r="K550" s="434" t="s">
        <v>806</v>
      </c>
      <c r="L550" s="434" t="s">
        <v>798</v>
      </c>
      <c r="M550" s="436" t="s">
        <v>310</v>
      </c>
      <c r="N550" s="413">
        <v>44762</v>
      </c>
      <c r="O550" s="414" t="s">
        <v>3762</v>
      </c>
      <c r="P550" s="655">
        <f t="shared" si="24"/>
        <v>7</v>
      </c>
      <c r="Q550" s="655">
        <f t="shared" si="25"/>
        <v>6</v>
      </c>
      <c r="R550" s="695" t="str">
        <f t="shared" si="26"/>
        <v>Gastos_custeados_por_captação</v>
      </c>
      <c r="S550" s="697" t="s">
        <v>310</v>
      </c>
      <c r="T550" s="697" t="s">
        <v>310</v>
      </c>
    </row>
    <row r="551" spans="1:20" ht="48" x14ac:dyDescent="0.2">
      <c r="A551" s="432">
        <f>IF(B551="","",COUNT('Diário 1º PA'!$A$4:$A$2635)+COUNT('Diário 2º PA'!$A$4:$A$3040)+ROW()-3)</f>
        <v>4647</v>
      </c>
      <c r="B551" s="414">
        <v>44762</v>
      </c>
      <c r="C551" s="431">
        <v>44652</v>
      </c>
      <c r="D551" s="415" t="s">
        <v>468</v>
      </c>
      <c r="E551" s="415" t="s">
        <v>468</v>
      </c>
      <c r="F551" s="425">
        <v>806</v>
      </c>
      <c r="G551" s="427" t="s">
        <v>8471</v>
      </c>
      <c r="H551" s="415" t="s">
        <v>468</v>
      </c>
      <c r="I551" s="474" t="s">
        <v>2437</v>
      </c>
      <c r="J551" s="434" t="s">
        <v>796</v>
      </c>
      <c r="K551" s="434" t="s">
        <v>806</v>
      </c>
      <c r="L551" s="434" t="s">
        <v>798</v>
      </c>
      <c r="M551" s="436" t="s">
        <v>310</v>
      </c>
      <c r="N551" s="413">
        <v>44762</v>
      </c>
      <c r="O551" s="414" t="s">
        <v>3762</v>
      </c>
      <c r="P551" s="655">
        <f t="shared" si="24"/>
        <v>7</v>
      </c>
      <c r="Q551" s="655">
        <f t="shared" si="25"/>
        <v>4</v>
      </c>
      <c r="R551" s="695" t="str">
        <f t="shared" si="26"/>
        <v>Gastos_custeados_por_captação</v>
      </c>
      <c r="S551" s="697" t="s">
        <v>310</v>
      </c>
      <c r="T551" s="697" t="s">
        <v>310</v>
      </c>
    </row>
    <row r="552" spans="1:20" ht="48" x14ac:dyDescent="0.2">
      <c r="A552" s="432">
        <f>IF(B552="","",COUNT('Diário 1º PA'!$A$4:$A$2635)+COUNT('Diário 2º PA'!$A$4:$A$3040)+ROW()-3)</f>
        <v>4648</v>
      </c>
      <c r="B552" s="414">
        <v>44762</v>
      </c>
      <c r="C552" s="431">
        <v>44743</v>
      </c>
      <c r="D552" s="415" t="s">
        <v>468</v>
      </c>
      <c r="E552" s="415" t="s">
        <v>468</v>
      </c>
      <c r="F552" s="425">
        <v>560</v>
      </c>
      <c r="G552" s="427" t="s">
        <v>6462</v>
      </c>
      <c r="H552" s="415" t="s">
        <v>468</v>
      </c>
      <c r="I552" s="398" t="s">
        <v>6463</v>
      </c>
      <c r="J552" s="418" t="s">
        <v>6464</v>
      </c>
      <c r="K552" s="419" t="s">
        <v>806</v>
      </c>
      <c r="L552" s="399" t="s">
        <v>32</v>
      </c>
      <c r="M552" s="544">
        <v>2022</v>
      </c>
      <c r="N552" s="413">
        <v>44761</v>
      </c>
      <c r="O552" s="414" t="s">
        <v>3762</v>
      </c>
      <c r="P552" s="655">
        <f t="shared" si="24"/>
        <v>7</v>
      </c>
      <c r="Q552" s="655">
        <f t="shared" si="25"/>
        <v>7</v>
      </c>
      <c r="R552" s="695" t="str">
        <f t="shared" si="26"/>
        <v>Gastos_custeados_por_captação</v>
      </c>
      <c r="S552" s="697" t="s">
        <v>998</v>
      </c>
      <c r="T552" s="697">
        <v>4000</v>
      </c>
    </row>
    <row r="553" spans="1:20" ht="48" x14ac:dyDescent="0.2">
      <c r="A553" s="432">
        <f>IF(B553="","",COUNT('Diário 1º PA'!$A$4:$A$2635)+COUNT('Diário 2º PA'!$A$4:$A$3040)+ROW()-3)</f>
        <v>4649</v>
      </c>
      <c r="B553" s="414">
        <v>44762</v>
      </c>
      <c r="C553" s="431">
        <v>44652</v>
      </c>
      <c r="D553" s="415" t="s">
        <v>468</v>
      </c>
      <c r="E553" s="415" t="s">
        <v>468</v>
      </c>
      <c r="F553" s="425">
        <v>30.75</v>
      </c>
      <c r="G553" s="427" t="s">
        <v>5429</v>
      </c>
      <c r="H553" s="415" t="s">
        <v>468</v>
      </c>
      <c r="I553" s="427" t="s">
        <v>1461</v>
      </c>
      <c r="J553" s="415" t="s">
        <v>310</v>
      </c>
      <c r="K553" s="415" t="s">
        <v>1220</v>
      </c>
      <c r="L553" s="415" t="s">
        <v>1368</v>
      </c>
      <c r="M553" s="415" t="s">
        <v>310</v>
      </c>
      <c r="N553" s="413">
        <v>44762</v>
      </c>
      <c r="O553" s="414" t="s">
        <v>3762</v>
      </c>
      <c r="P553" s="655">
        <f t="shared" si="24"/>
        <v>7</v>
      </c>
      <c r="Q553" s="655">
        <f t="shared" si="25"/>
        <v>4</v>
      </c>
      <c r="R553" s="695" t="str">
        <f t="shared" si="26"/>
        <v>Gastos_custeados_por_captação</v>
      </c>
      <c r="S553" s="697" t="s">
        <v>310</v>
      </c>
      <c r="T553" s="697" t="s">
        <v>310</v>
      </c>
    </row>
    <row r="554" spans="1:20" ht="48" x14ac:dyDescent="0.2">
      <c r="A554" s="432">
        <f>IF(B554="","",COUNT('Diário 1º PA'!$A$4:$A$2635)+COUNT('Diário 2º PA'!$A$4:$A$3040)+ROW()-3)</f>
        <v>4650</v>
      </c>
      <c r="B554" s="414">
        <v>44762</v>
      </c>
      <c r="C554" s="431">
        <v>44652</v>
      </c>
      <c r="D554" s="415" t="s">
        <v>468</v>
      </c>
      <c r="E554" s="415" t="s">
        <v>468</v>
      </c>
      <c r="F554" s="425">
        <v>30.75</v>
      </c>
      <c r="G554" s="427" t="s">
        <v>5418</v>
      </c>
      <c r="H554" s="415" t="s">
        <v>468</v>
      </c>
      <c r="I554" s="427" t="s">
        <v>1461</v>
      </c>
      <c r="J554" s="415" t="s">
        <v>310</v>
      </c>
      <c r="K554" s="415" t="s">
        <v>1220</v>
      </c>
      <c r="L554" s="415" t="s">
        <v>1368</v>
      </c>
      <c r="M554" s="415" t="s">
        <v>310</v>
      </c>
      <c r="N554" s="413">
        <v>44762</v>
      </c>
      <c r="O554" s="414" t="s">
        <v>3762</v>
      </c>
      <c r="P554" s="655">
        <f t="shared" si="24"/>
        <v>7</v>
      </c>
      <c r="Q554" s="655">
        <f t="shared" si="25"/>
        <v>4</v>
      </c>
      <c r="R554" s="695" t="str">
        <f t="shared" si="26"/>
        <v>Gastos_custeados_por_captação</v>
      </c>
      <c r="S554" s="697" t="s">
        <v>310</v>
      </c>
      <c r="T554" s="697" t="s">
        <v>310</v>
      </c>
    </row>
    <row r="555" spans="1:20" ht="48" x14ac:dyDescent="0.2">
      <c r="A555" s="432">
        <f>IF(B555="","",COUNT('Diário 1º PA'!$A$4:$A$2635)+COUNT('Diário 2º PA'!$A$4:$A$3040)+ROW()-3)</f>
        <v>4651</v>
      </c>
      <c r="B555" s="414">
        <v>44762</v>
      </c>
      <c r="C555" s="431">
        <v>44682</v>
      </c>
      <c r="D555" s="415" t="s">
        <v>468</v>
      </c>
      <c r="E555" s="415" t="s">
        <v>468</v>
      </c>
      <c r="F555" s="425">
        <v>30.75</v>
      </c>
      <c r="G555" s="427" t="s">
        <v>6465</v>
      </c>
      <c r="H555" s="415" t="s">
        <v>468</v>
      </c>
      <c r="I555" s="427" t="s">
        <v>1461</v>
      </c>
      <c r="J555" s="415" t="s">
        <v>310</v>
      </c>
      <c r="K555" s="415" t="s">
        <v>1220</v>
      </c>
      <c r="L555" s="415" t="s">
        <v>1368</v>
      </c>
      <c r="M555" s="415" t="s">
        <v>310</v>
      </c>
      <c r="N555" s="413">
        <v>44762</v>
      </c>
      <c r="O555" s="414" t="s">
        <v>3762</v>
      </c>
      <c r="P555" s="655">
        <f t="shared" si="24"/>
        <v>7</v>
      </c>
      <c r="Q555" s="655">
        <f t="shared" si="25"/>
        <v>5</v>
      </c>
      <c r="R555" s="695" t="str">
        <f t="shared" si="26"/>
        <v>Gastos_custeados_por_captação</v>
      </c>
      <c r="S555" s="697" t="s">
        <v>310</v>
      </c>
      <c r="T555" s="697" t="s">
        <v>310</v>
      </c>
    </row>
    <row r="556" spans="1:20" ht="48" x14ac:dyDescent="0.2">
      <c r="A556" s="432">
        <f>IF(B556="","",COUNT('Diário 1º PA'!$A$4:$A$2635)+COUNT('Diário 2º PA'!$A$4:$A$3040)+ROW()-3)</f>
        <v>4652</v>
      </c>
      <c r="B556" s="414">
        <v>44762</v>
      </c>
      <c r="C556" s="424">
        <v>44743</v>
      </c>
      <c r="D556" s="415" t="s">
        <v>468</v>
      </c>
      <c r="E556" s="415" t="s">
        <v>468</v>
      </c>
      <c r="F556" s="425">
        <v>11</v>
      </c>
      <c r="G556" s="427" t="s">
        <v>2469</v>
      </c>
      <c r="H556" s="415" t="s">
        <v>468</v>
      </c>
      <c r="I556" s="639" t="s">
        <v>881</v>
      </c>
      <c r="J556" s="418" t="s">
        <v>882</v>
      </c>
      <c r="K556" s="418" t="s">
        <v>883</v>
      </c>
      <c r="L556" s="399" t="s">
        <v>798</v>
      </c>
      <c r="M556" s="544" t="s">
        <v>310</v>
      </c>
      <c r="N556" s="413">
        <v>44762</v>
      </c>
      <c r="O556" s="414" t="s">
        <v>3762</v>
      </c>
      <c r="P556" s="655">
        <f t="shared" si="24"/>
        <v>7</v>
      </c>
      <c r="Q556" s="655">
        <f t="shared" si="25"/>
        <v>7</v>
      </c>
      <c r="R556" s="695" t="str">
        <f t="shared" si="26"/>
        <v>Gastos_custeados_por_captação</v>
      </c>
      <c r="S556" s="697" t="s">
        <v>310</v>
      </c>
      <c r="T556" s="697" t="s">
        <v>310</v>
      </c>
    </row>
    <row r="557" spans="1:20" ht="72" x14ac:dyDescent="0.2">
      <c r="A557" s="432">
        <f>IF(B557="","",COUNT('Diário 1º PA'!$A$4:$A$2635)+COUNT('Diário 2º PA'!$A$4:$A$3040)+ROW()-3)</f>
        <v>4653</v>
      </c>
      <c r="B557" s="414">
        <v>44762</v>
      </c>
      <c r="C557" s="431">
        <v>44713</v>
      </c>
      <c r="D557" s="415" t="s">
        <v>468</v>
      </c>
      <c r="E557" s="415" t="s">
        <v>468</v>
      </c>
      <c r="F557" s="425">
        <v>395.25</v>
      </c>
      <c r="G557" s="427" t="s">
        <v>5256</v>
      </c>
      <c r="H557" s="415" t="s">
        <v>468</v>
      </c>
      <c r="I557" s="427" t="s">
        <v>1461</v>
      </c>
      <c r="J557" s="415" t="s">
        <v>310</v>
      </c>
      <c r="K557" s="415" t="s">
        <v>1220</v>
      </c>
      <c r="L557" s="415" t="s">
        <v>1368</v>
      </c>
      <c r="M557" s="415" t="s">
        <v>310</v>
      </c>
      <c r="N557" s="414">
        <v>44762</v>
      </c>
      <c r="O557" s="414" t="s">
        <v>407</v>
      </c>
      <c r="P557" s="655">
        <f t="shared" si="24"/>
        <v>7</v>
      </c>
      <c r="Q557" s="655">
        <f t="shared" si="25"/>
        <v>6</v>
      </c>
      <c r="R557" s="695" t="str">
        <f t="shared" si="26"/>
        <v>Gastos_custeados_por_captação</v>
      </c>
      <c r="S557" s="697" t="s">
        <v>310</v>
      </c>
      <c r="T557" s="697" t="s">
        <v>310</v>
      </c>
    </row>
    <row r="558" spans="1:20" ht="72" x14ac:dyDescent="0.2">
      <c r="A558" s="432">
        <f>IF(B558="","",COUNT('Diário 1º PA'!$A$4:$A$2635)+COUNT('Diário 2º PA'!$A$4:$A$3040)+ROW()-3)</f>
        <v>4654</v>
      </c>
      <c r="B558" s="414">
        <v>44762</v>
      </c>
      <c r="C558" s="431">
        <v>44682</v>
      </c>
      <c r="D558" s="415" t="s">
        <v>468</v>
      </c>
      <c r="E558" s="415" t="s">
        <v>468</v>
      </c>
      <c r="F558" s="425">
        <v>310</v>
      </c>
      <c r="G558" s="427" t="s">
        <v>5253</v>
      </c>
      <c r="H558" s="415" t="s">
        <v>468</v>
      </c>
      <c r="I558" s="427" t="s">
        <v>1461</v>
      </c>
      <c r="J558" s="415" t="s">
        <v>310</v>
      </c>
      <c r="K558" s="415" t="s">
        <v>1220</v>
      </c>
      <c r="L558" s="415" t="s">
        <v>1368</v>
      </c>
      <c r="M558" s="415" t="s">
        <v>310</v>
      </c>
      <c r="N558" s="414">
        <v>44762</v>
      </c>
      <c r="O558" s="414" t="s">
        <v>407</v>
      </c>
      <c r="P558" s="655">
        <f t="shared" si="24"/>
        <v>7</v>
      </c>
      <c r="Q558" s="655">
        <f t="shared" si="25"/>
        <v>5</v>
      </c>
      <c r="R558" s="695" t="str">
        <f t="shared" si="26"/>
        <v>Gastos_custeados_por_captação</v>
      </c>
      <c r="S558" s="697" t="s">
        <v>310</v>
      </c>
      <c r="T558" s="697" t="s">
        <v>310</v>
      </c>
    </row>
    <row r="559" spans="1:20" ht="60" x14ac:dyDescent="0.2">
      <c r="A559" s="432">
        <f>IF(B559="","",COUNT('Diário 1º PA'!$A$4:$A$2635)+COUNT('Diário 2º PA'!$A$4:$A$3040)+ROW()-3)</f>
        <v>4655</v>
      </c>
      <c r="B559" s="414">
        <v>44762</v>
      </c>
      <c r="C559" s="431">
        <v>44682</v>
      </c>
      <c r="D559" s="415" t="s">
        <v>468</v>
      </c>
      <c r="E559" s="415" t="s">
        <v>468</v>
      </c>
      <c r="F559" s="425">
        <v>852.5</v>
      </c>
      <c r="G559" s="427" t="s">
        <v>6562</v>
      </c>
      <c r="H559" s="415" t="s">
        <v>468</v>
      </c>
      <c r="I559" s="596" t="s">
        <v>795</v>
      </c>
      <c r="J559" s="720" t="s">
        <v>796</v>
      </c>
      <c r="K559" s="419" t="s">
        <v>806</v>
      </c>
      <c r="L559" s="399" t="s">
        <v>310</v>
      </c>
      <c r="M559" s="400" t="s">
        <v>310</v>
      </c>
      <c r="N559" s="413">
        <v>44762</v>
      </c>
      <c r="O559" s="414" t="s">
        <v>404</v>
      </c>
      <c r="P559" s="655">
        <f t="shared" si="24"/>
        <v>7</v>
      </c>
      <c r="Q559" s="655">
        <f t="shared" si="25"/>
        <v>5</v>
      </c>
      <c r="R559" s="695" t="str">
        <f t="shared" si="26"/>
        <v>Gastos_custeados_por_captação</v>
      </c>
      <c r="S559" s="697" t="s">
        <v>310</v>
      </c>
      <c r="T559" s="697" t="s">
        <v>310</v>
      </c>
    </row>
    <row r="560" spans="1:20" ht="60" x14ac:dyDescent="0.2">
      <c r="A560" s="432">
        <f>IF(B560="","",COUNT('Diário 1º PA'!$A$4:$A$2635)+COUNT('Diário 2º PA'!$A$4:$A$3040)+ROW()-3)</f>
        <v>4656</v>
      </c>
      <c r="B560" s="414">
        <v>44762</v>
      </c>
      <c r="C560" s="431">
        <v>44682</v>
      </c>
      <c r="D560" s="415" t="s">
        <v>468</v>
      </c>
      <c r="E560" s="415" t="s">
        <v>468</v>
      </c>
      <c r="F560" s="425">
        <v>40.76</v>
      </c>
      <c r="G560" s="427" t="s">
        <v>5467</v>
      </c>
      <c r="H560" s="415" t="s">
        <v>468</v>
      </c>
      <c r="I560" s="427" t="s">
        <v>1461</v>
      </c>
      <c r="J560" s="415" t="s">
        <v>310</v>
      </c>
      <c r="K560" s="415" t="s">
        <v>1220</v>
      </c>
      <c r="L560" s="415" t="s">
        <v>1368</v>
      </c>
      <c r="M560" s="576" t="s">
        <v>310</v>
      </c>
      <c r="N560" s="413">
        <v>44762</v>
      </c>
      <c r="O560" s="414" t="s">
        <v>404</v>
      </c>
      <c r="P560" s="655">
        <f t="shared" si="24"/>
        <v>7</v>
      </c>
      <c r="Q560" s="655">
        <f t="shared" si="25"/>
        <v>5</v>
      </c>
      <c r="R560" s="695" t="str">
        <f t="shared" si="26"/>
        <v>Gastos_custeados_por_captação</v>
      </c>
      <c r="S560" s="697" t="s">
        <v>310</v>
      </c>
      <c r="T560" s="697" t="s">
        <v>310</v>
      </c>
    </row>
    <row r="561" spans="1:20" ht="60" x14ac:dyDescent="0.2">
      <c r="A561" s="432">
        <f>IF(B561="","",COUNT('Diário 1º PA'!$A$4:$A$2635)+COUNT('Diário 2º PA'!$A$4:$A$3040)+ROW()-3)</f>
        <v>4657</v>
      </c>
      <c r="B561" s="414">
        <v>44762</v>
      </c>
      <c r="C561" s="424">
        <v>44713</v>
      </c>
      <c r="D561" s="415" t="s">
        <v>468</v>
      </c>
      <c r="E561" s="415" t="s">
        <v>468</v>
      </c>
      <c r="F561" s="425">
        <v>775</v>
      </c>
      <c r="G561" s="427" t="s">
        <v>6618</v>
      </c>
      <c r="H561" s="415" t="s">
        <v>468</v>
      </c>
      <c r="I561" s="596" t="s">
        <v>795</v>
      </c>
      <c r="J561" s="720" t="s">
        <v>796</v>
      </c>
      <c r="K561" s="419" t="s">
        <v>806</v>
      </c>
      <c r="L561" s="399" t="s">
        <v>310</v>
      </c>
      <c r="M561" s="400" t="s">
        <v>310</v>
      </c>
      <c r="N561" s="413">
        <v>44762</v>
      </c>
      <c r="O561" s="414" t="s">
        <v>405</v>
      </c>
      <c r="P561" s="655">
        <f t="shared" si="24"/>
        <v>7</v>
      </c>
      <c r="Q561" s="655">
        <f t="shared" si="25"/>
        <v>6</v>
      </c>
      <c r="R561" s="695" t="str">
        <f t="shared" si="26"/>
        <v>Gastos_custeados_por_captação</v>
      </c>
      <c r="S561" s="697" t="s">
        <v>310</v>
      </c>
      <c r="T561" s="697" t="s">
        <v>310</v>
      </c>
    </row>
    <row r="562" spans="1:20" ht="60" x14ac:dyDescent="0.2">
      <c r="A562" s="432">
        <f>IF(B562="","",COUNT('Diário 1º PA'!$A$4:$A$2635)+COUNT('Diário 2º PA'!$A$4:$A$3040)+ROW()-3)</f>
        <v>4658</v>
      </c>
      <c r="B562" s="414">
        <v>44762</v>
      </c>
      <c r="C562" s="431">
        <v>44682</v>
      </c>
      <c r="D562" s="415" t="s">
        <v>468</v>
      </c>
      <c r="E562" s="415" t="s">
        <v>468</v>
      </c>
      <c r="F562" s="425">
        <v>852.5</v>
      </c>
      <c r="G562" s="427" t="s">
        <v>6619</v>
      </c>
      <c r="H562" s="415" t="s">
        <v>468</v>
      </c>
      <c r="I562" s="596" t="s">
        <v>795</v>
      </c>
      <c r="J562" s="720" t="s">
        <v>796</v>
      </c>
      <c r="K562" s="419" t="s">
        <v>806</v>
      </c>
      <c r="L562" s="399" t="s">
        <v>310</v>
      </c>
      <c r="M562" s="400" t="s">
        <v>310</v>
      </c>
      <c r="N562" s="413">
        <v>44762</v>
      </c>
      <c r="O562" s="414" t="s">
        <v>405</v>
      </c>
      <c r="P562" s="655">
        <f t="shared" si="24"/>
        <v>7</v>
      </c>
      <c r="Q562" s="655">
        <f t="shared" si="25"/>
        <v>5</v>
      </c>
      <c r="R562" s="695" t="str">
        <f t="shared" si="26"/>
        <v>Gastos_custeados_por_captação</v>
      </c>
      <c r="S562" s="697" t="s">
        <v>310</v>
      </c>
      <c r="T562" s="697" t="s">
        <v>310</v>
      </c>
    </row>
    <row r="563" spans="1:20" ht="60" x14ac:dyDescent="0.2">
      <c r="A563" s="432">
        <f>IF(B563="","",COUNT('Diário 1º PA'!$A$4:$A$2635)+COUNT('Diário 2º PA'!$A$4:$A$3040)+ROW()-3)</f>
        <v>4659</v>
      </c>
      <c r="B563" s="414">
        <v>44762</v>
      </c>
      <c r="C563" s="431">
        <v>44652</v>
      </c>
      <c r="D563" s="415" t="s">
        <v>468</v>
      </c>
      <c r="E563" s="415" t="s">
        <v>468</v>
      </c>
      <c r="F563" s="425">
        <v>24.08</v>
      </c>
      <c r="G563" s="427" t="s">
        <v>5483</v>
      </c>
      <c r="H563" s="415" t="s">
        <v>468</v>
      </c>
      <c r="I563" s="639" t="s">
        <v>1461</v>
      </c>
      <c r="J563" s="418" t="s">
        <v>310</v>
      </c>
      <c r="K563" s="418" t="s">
        <v>1220</v>
      </c>
      <c r="L563" s="399" t="s">
        <v>1368</v>
      </c>
      <c r="M563" s="544" t="s">
        <v>310</v>
      </c>
      <c r="N563" s="413">
        <v>44762</v>
      </c>
      <c r="O563" s="414" t="s">
        <v>405</v>
      </c>
      <c r="P563" s="655">
        <f t="shared" si="24"/>
        <v>7</v>
      </c>
      <c r="Q563" s="655">
        <f t="shared" si="25"/>
        <v>4</v>
      </c>
      <c r="R563" s="695" t="str">
        <f t="shared" si="26"/>
        <v>Gastos_custeados_por_captação</v>
      </c>
      <c r="S563" s="697" t="s">
        <v>310</v>
      </c>
      <c r="T563" s="697" t="s">
        <v>310</v>
      </c>
    </row>
    <row r="564" spans="1:20" ht="60" x14ac:dyDescent="0.2">
      <c r="A564" s="432">
        <f>IF(B564="","",COUNT('Diário 1º PA'!$A$4:$A$2635)+COUNT('Diário 2º PA'!$A$4:$A$3040)+ROW()-3)</f>
        <v>4660</v>
      </c>
      <c r="B564" s="414">
        <v>44762</v>
      </c>
      <c r="C564" s="431">
        <v>44682</v>
      </c>
      <c r="D564" s="415" t="s">
        <v>468</v>
      </c>
      <c r="E564" s="415" t="s">
        <v>468</v>
      </c>
      <c r="F564" s="425">
        <v>40.76</v>
      </c>
      <c r="G564" s="427" t="s">
        <v>5496</v>
      </c>
      <c r="H564" s="415" t="s">
        <v>468</v>
      </c>
      <c r="I564" s="639" t="s">
        <v>1461</v>
      </c>
      <c r="J564" s="418" t="s">
        <v>310</v>
      </c>
      <c r="K564" s="418" t="s">
        <v>1220</v>
      </c>
      <c r="L564" s="399" t="s">
        <v>1368</v>
      </c>
      <c r="M564" s="544" t="s">
        <v>310</v>
      </c>
      <c r="N564" s="413">
        <v>44762</v>
      </c>
      <c r="O564" s="414" t="s">
        <v>405</v>
      </c>
      <c r="P564" s="655">
        <f t="shared" si="24"/>
        <v>7</v>
      </c>
      <c r="Q564" s="655">
        <f t="shared" si="25"/>
        <v>5</v>
      </c>
      <c r="R564" s="695" t="str">
        <f t="shared" si="26"/>
        <v>Gastos_custeados_por_captação</v>
      </c>
      <c r="S564" s="697" t="s">
        <v>310</v>
      </c>
      <c r="T564" s="697" t="s">
        <v>310</v>
      </c>
    </row>
    <row r="565" spans="1:20" ht="72" x14ac:dyDescent="0.2">
      <c r="A565" s="432">
        <f>IF(B565="","",COUNT('Diário 1º PA'!$A$4:$A$2635)+COUNT('Diário 2º PA'!$A$4:$A$3040)+ROW()-3)</f>
        <v>4661</v>
      </c>
      <c r="B565" s="414">
        <v>44762</v>
      </c>
      <c r="C565" s="431">
        <v>44682</v>
      </c>
      <c r="D565" s="415" t="s">
        <v>468</v>
      </c>
      <c r="E565" s="415" t="s">
        <v>468</v>
      </c>
      <c r="F565" s="425">
        <v>930</v>
      </c>
      <c r="G565" s="427" t="s">
        <v>6893</v>
      </c>
      <c r="H565" s="415" t="s">
        <v>468</v>
      </c>
      <c r="I565" s="427" t="s">
        <v>1461</v>
      </c>
      <c r="J565" s="415" t="s">
        <v>310</v>
      </c>
      <c r="K565" s="415" t="s">
        <v>1220</v>
      </c>
      <c r="L565" s="415" t="s">
        <v>1368</v>
      </c>
      <c r="M565" s="415" t="s">
        <v>310</v>
      </c>
      <c r="N565" s="414">
        <v>44762</v>
      </c>
      <c r="O565" s="414" t="s">
        <v>402</v>
      </c>
      <c r="P565" s="655">
        <f t="shared" si="24"/>
        <v>7</v>
      </c>
      <c r="Q565" s="655">
        <f t="shared" si="25"/>
        <v>5</v>
      </c>
      <c r="R565" s="695" t="str">
        <f t="shared" si="26"/>
        <v>Gastos_custeados_por_captação</v>
      </c>
      <c r="S565" s="698" t="s">
        <v>310</v>
      </c>
      <c r="T565" s="696" t="s">
        <v>310</v>
      </c>
    </row>
    <row r="566" spans="1:20" ht="72" x14ac:dyDescent="0.2">
      <c r="A566" s="432">
        <f>IF(B566="","",COUNT('Diário 1º PA'!$A$4:$A$2635)+COUNT('Diário 2º PA'!$A$4:$A$3040)+ROW()-3)</f>
        <v>4662</v>
      </c>
      <c r="B566" s="414">
        <v>44762</v>
      </c>
      <c r="C566" s="431">
        <v>44682</v>
      </c>
      <c r="D566" s="415" t="s">
        <v>468</v>
      </c>
      <c r="E566" s="415" t="s">
        <v>468</v>
      </c>
      <c r="F566" s="425">
        <v>930</v>
      </c>
      <c r="G566" s="427" t="s">
        <v>5529</v>
      </c>
      <c r="H566" s="415" t="s">
        <v>468</v>
      </c>
      <c r="I566" s="427" t="s">
        <v>1461</v>
      </c>
      <c r="J566" s="415" t="s">
        <v>310</v>
      </c>
      <c r="K566" s="415" t="s">
        <v>1220</v>
      </c>
      <c r="L566" s="415" t="s">
        <v>1368</v>
      </c>
      <c r="M566" s="415" t="s">
        <v>310</v>
      </c>
      <c r="N566" s="414">
        <v>44762</v>
      </c>
      <c r="O566" s="414" t="s">
        <v>402</v>
      </c>
      <c r="P566" s="655">
        <f t="shared" si="24"/>
        <v>7</v>
      </c>
      <c r="Q566" s="655">
        <f t="shared" si="25"/>
        <v>5</v>
      </c>
      <c r="R566" s="695" t="str">
        <f t="shared" si="26"/>
        <v>Gastos_custeados_por_captação</v>
      </c>
      <c r="S566" s="698" t="s">
        <v>310</v>
      </c>
      <c r="T566" s="696" t="s">
        <v>310</v>
      </c>
    </row>
    <row r="567" spans="1:20" ht="72" x14ac:dyDescent="0.2">
      <c r="A567" s="432">
        <f>IF(B567="","",COUNT('Diário 1º PA'!$A$4:$A$2635)+COUNT('Diário 2º PA'!$A$4:$A$3040)+ROW()-3)</f>
        <v>4663</v>
      </c>
      <c r="B567" s="414">
        <v>44762</v>
      </c>
      <c r="C567" s="431">
        <v>44682</v>
      </c>
      <c r="D567" s="415" t="s">
        <v>468</v>
      </c>
      <c r="E567" s="415" t="s">
        <v>468</v>
      </c>
      <c r="F567" s="425">
        <v>1240</v>
      </c>
      <c r="G567" s="427" t="s">
        <v>5553</v>
      </c>
      <c r="H567" s="415" t="s">
        <v>468</v>
      </c>
      <c r="I567" s="427" t="s">
        <v>1461</v>
      </c>
      <c r="J567" s="415" t="s">
        <v>310</v>
      </c>
      <c r="K567" s="415" t="s">
        <v>1220</v>
      </c>
      <c r="L567" s="415" t="s">
        <v>1368</v>
      </c>
      <c r="M567" s="415" t="s">
        <v>310</v>
      </c>
      <c r="N567" s="414">
        <v>44762</v>
      </c>
      <c r="O567" s="414" t="s">
        <v>402</v>
      </c>
      <c r="P567" s="655">
        <f t="shared" si="24"/>
        <v>7</v>
      </c>
      <c r="Q567" s="655">
        <f t="shared" si="25"/>
        <v>5</v>
      </c>
      <c r="R567" s="695" t="str">
        <f t="shared" si="26"/>
        <v>Gastos_custeados_por_captação</v>
      </c>
      <c r="S567" s="698" t="s">
        <v>310</v>
      </c>
      <c r="T567" s="696" t="s">
        <v>310</v>
      </c>
    </row>
    <row r="568" spans="1:20" ht="72" x14ac:dyDescent="0.2">
      <c r="A568" s="432">
        <f>IF(B568="","",COUNT('Diário 1º PA'!$A$4:$A$2635)+COUNT('Diário 2º PA'!$A$4:$A$3040)+ROW()-3)</f>
        <v>4664</v>
      </c>
      <c r="B568" s="414">
        <v>44762</v>
      </c>
      <c r="C568" s="431">
        <v>44682</v>
      </c>
      <c r="D568" s="415" t="s">
        <v>468</v>
      </c>
      <c r="E568" s="415" t="s">
        <v>468</v>
      </c>
      <c r="F568" s="425">
        <v>620</v>
      </c>
      <c r="G568" s="427" t="s">
        <v>5525</v>
      </c>
      <c r="H568" s="415" t="s">
        <v>468</v>
      </c>
      <c r="I568" s="427" t="s">
        <v>1461</v>
      </c>
      <c r="J568" s="415" t="s">
        <v>310</v>
      </c>
      <c r="K568" s="415" t="s">
        <v>1220</v>
      </c>
      <c r="L568" s="415" t="s">
        <v>1368</v>
      </c>
      <c r="M568" s="415" t="s">
        <v>310</v>
      </c>
      <c r="N568" s="414">
        <v>44762</v>
      </c>
      <c r="O568" s="414" t="s">
        <v>402</v>
      </c>
      <c r="P568" s="655">
        <f t="shared" si="24"/>
        <v>7</v>
      </c>
      <c r="Q568" s="655">
        <f t="shared" si="25"/>
        <v>5</v>
      </c>
      <c r="R568" s="695" t="str">
        <f t="shared" si="26"/>
        <v>Gastos_custeados_por_captação</v>
      </c>
      <c r="S568" s="698" t="s">
        <v>310</v>
      </c>
      <c r="T568" s="696" t="s">
        <v>310</v>
      </c>
    </row>
    <row r="569" spans="1:20" ht="72" x14ac:dyDescent="0.2">
      <c r="A569" s="432">
        <f>IF(B569="","",COUNT('Diário 1º PA'!$A$4:$A$2635)+COUNT('Diário 2º PA'!$A$4:$A$3040)+ROW()-3)</f>
        <v>4665</v>
      </c>
      <c r="B569" s="414">
        <v>44762</v>
      </c>
      <c r="C569" s="431">
        <v>44682</v>
      </c>
      <c r="D569" s="415" t="s">
        <v>468</v>
      </c>
      <c r="E569" s="415" t="s">
        <v>468</v>
      </c>
      <c r="F569" s="425">
        <v>57.45</v>
      </c>
      <c r="G569" s="427" t="s">
        <v>5556</v>
      </c>
      <c r="H569" s="415" t="s">
        <v>468</v>
      </c>
      <c r="I569" s="427" t="s">
        <v>1461</v>
      </c>
      <c r="J569" s="415" t="s">
        <v>310</v>
      </c>
      <c r="K569" s="415" t="s">
        <v>1220</v>
      </c>
      <c r="L569" s="415" t="s">
        <v>1368</v>
      </c>
      <c r="M569" s="415" t="s">
        <v>310</v>
      </c>
      <c r="N569" s="414">
        <v>44762</v>
      </c>
      <c r="O569" s="414" t="s">
        <v>402</v>
      </c>
      <c r="P569" s="655">
        <f t="shared" si="24"/>
        <v>7</v>
      </c>
      <c r="Q569" s="655">
        <f t="shared" si="25"/>
        <v>5</v>
      </c>
      <c r="R569" s="695" t="str">
        <f t="shared" si="26"/>
        <v>Gastos_custeados_por_captação</v>
      </c>
      <c r="S569" s="698" t="s">
        <v>310</v>
      </c>
      <c r="T569" s="696" t="s">
        <v>310</v>
      </c>
    </row>
    <row r="570" spans="1:20" ht="72" x14ac:dyDescent="0.2">
      <c r="A570" s="432">
        <f>IF(B570="","",COUNT('Diário 1º PA'!$A$4:$A$2635)+COUNT('Diário 2º PA'!$A$4:$A$3040)+ROW()-3)</f>
        <v>4666</v>
      </c>
      <c r="B570" s="414">
        <v>44762</v>
      </c>
      <c r="C570" s="431">
        <v>44682</v>
      </c>
      <c r="D570" s="415" t="s">
        <v>468</v>
      </c>
      <c r="E570" s="415" t="s">
        <v>468</v>
      </c>
      <c r="F570" s="425">
        <v>179.2</v>
      </c>
      <c r="G570" s="427" t="s">
        <v>5552</v>
      </c>
      <c r="H570" s="415" t="s">
        <v>468</v>
      </c>
      <c r="I570" s="427" t="s">
        <v>1461</v>
      </c>
      <c r="J570" s="415" t="s">
        <v>310</v>
      </c>
      <c r="K570" s="415" t="s">
        <v>1220</v>
      </c>
      <c r="L570" s="415" t="s">
        <v>1368</v>
      </c>
      <c r="M570" s="415" t="s">
        <v>310</v>
      </c>
      <c r="N570" s="414">
        <v>44762</v>
      </c>
      <c r="O570" s="414" t="s">
        <v>402</v>
      </c>
      <c r="P570" s="655">
        <f t="shared" si="24"/>
        <v>7</v>
      </c>
      <c r="Q570" s="655">
        <f t="shared" si="25"/>
        <v>5</v>
      </c>
      <c r="R570" s="695" t="str">
        <f t="shared" si="26"/>
        <v>Gastos_custeados_por_captação</v>
      </c>
      <c r="S570" s="698" t="s">
        <v>310</v>
      </c>
      <c r="T570" s="696" t="s">
        <v>310</v>
      </c>
    </row>
    <row r="571" spans="1:20" ht="72" x14ac:dyDescent="0.2">
      <c r="A571" s="432">
        <f>IF(B571="","",COUNT('Diário 1º PA'!$A$4:$A$2635)+COUNT('Diário 2º PA'!$A$4:$A$3040)+ROW()-3)</f>
        <v>4667</v>
      </c>
      <c r="B571" s="414">
        <v>44762</v>
      </c>
      <c r="C571" s="431">
        <v>44682</v>
      </c>
      <c r="D571" s="415" t="s">
        <v>468</v>
      </c>
      <c r="E571" s="415" t="s">
        <v>468</v>
      </c>
      <c r="F571" s="425">
        <v>57.45</v>
      </c>
      <c r="G571" s="427" t="s">
        <v>5528</v>
      </c>
      <c r="H571" s="415" t="s">
        <v>468</v>
      </c>
      <c r="I571" s="427" t="s">
        <v>1461</v>
      </c>
      <c r="J571" s="415" t="s">
        <v>310</v>
      </c>
      <c r="K571" s="415" t="s">
        <v>1220</v>
      </c>
      <c r="L571" s="415" t="s">
        <v>1368</v>
      </c>
      <c r="M571" s="415" t="s">
        <v>310</v>
      </c>
      <c r="N571" s="414">
        <v>44762</v>
      </c>
      <c r="O571" s="414" t="s">
        <v>402</v>
      </c>
      <c r="P571" s="655">
        <f t="shared" si="24"/>
        <v>7</v>
      </c>
      <c r="Q571" s="655">
        <f t="shared" si="25"/>
        <v>5</v>
      </c>
      <c r="R571" s="695" t="str">
        <f t="shared" si="26"/>
        <v>Gastos_custeados_por_captação</v>
      </c>
      <c r="S571" s="698" t="s">
        <v>310</v>
      </c>
      <c r="T571" s="696" t="s">
        <v>310</v>
      </c>
    </row>
    <row r="572" spans="1:20" ht="83.25" customHeight="1" x14ac:dyDescent="0.2">
      <c r="A572" s="432">
        <f>IF(B572="","",COUNT('Diário 1º PA'!$A$4:$A$2635)+COUNT('Diário 2º PA'!$A$4:$A$3040)+ROW()-3)</f>
        <v>4668</v>
      </c>
      <c r="B572" s="414">
        <v>44763</v>
      </c>
      <c r="C572" s="431">
        <v>44713</v>
      </c>
      <c r="D572" s="415" t="s">
        <v>271</v>
      </c>
      <c r="E572" s="415" t="s">
        <v>139</v>
      </c>
      <c r="F572" s="425">
        <v>-110.26</v>
      </c>
      <c r="G572" s="427" t="s">
        <v>6065</v>
      </c>
      <c r="H572" s="415" t="s">
        <v>309</v>
      </c>
      <c r="I572" s="473" t="s">
        <v>795</v>
      </c>
      <c r="J572" s="415" t="s">
        <v>796</v>
      </c>
      <c r="K572" s="415" t="s">
        <v>797</v>
      </c>
      <c r="L572" s="415" t="s">
        <v>798</v>
      </c>
      <c r="M572" s="415" t="s">
        <v>310</v>
      </c>
      <c r="N572" s="414">
        <v>44762</v>
      </c>
      <c r="O572" s="414" t="s">
        <v>400</v>
      </c>
      <c r="P572" s="655">
        <f t="shared" si="24"/>
        <v>7</v>
      </c>
      <c r="Q572" s="655">
        <f t="shared" si="25"/>
        <v>6</v>
      </c>
      <c r="R572" s="695" t="str">
        <f t="shared" si="26"/>
        <v>Gastos_Gerais</v>
      </c>
      <c r="S572" s="697" t="s">
        <v>310</v>
      </c>
      <c r="T572" s="697" t="s">
        <v>310</v>
      </c>
    </row>
    <row r="573" spans="1:20" ht="83.25" customHeight="1" x14ac:dyDescent="0.2">
      <c r="A573" s="432">
        <f>IF(B573="","",COUNT('Diário 1º PA'!$A$4:$A$2635)+COUNT('Diário 2º PA'!$A$4:$A$3040)+ROW()-3)</f>
        <v>4669</v>
      </c>
      <c r="B573" s="414">
        <v>44763</v>
      </c>
      <c r="C573" s="431">
        <v>44713</v>
      </c>
      <c r="D573" s="415" t="s">
        <v>271</v>
      </c>
      <c r="E573" s="415" t="s">
        <v>139</v>
      </c>
      <c r="F573" s="425">
        <v>-69.33</v>
      </c>
      <c r="G573" s="427" t="s">
        <v>6064</v>
      </c>
      <c r="H573" s="415" t="s">
        <v>309</v>
      </c>
      <c r="I573" s="473" t="s">
        <v>795</v>
      </c>
      <c r="J573" s="415" t="s">
        <v>796</v>
      </c>
      <c r="K573" s="415" t="s">
        <v>797</v>
      </c>
      <c r="L573" s="415" t="s">
        <v>798</v>
      </c>
      <c r="M573" s="415" t="s">
        <v>310</v>
      </c>
      <c r="N573" s="414">
        <v>44762</v>
      </c>
      <c r="O573" s="414" t="s">
        <v>400</v>
      </c>
      <c r="P573" s="655">
        <f t="shared" si="24"/>
        <v>7</v>
      </c>
      <c r="Q573" s="655">
        <f t="shared" si="25"/>
        <v>6</v>
      </c>
      <c r="R573" s="695" t="str">
        <f t="shared" si="26"/>
        <v>Gastos_Gerais</v>
      </c>
      <c r="S573" s="697" t="s">
        <v>310</v>
      </c>
      <c r="T573" s="697" t="s">
        <v>310</v>
      </c>
    </row>
    <row r="574" spans="1:20" ht="48" x14ac:dyDescent="0.2">
      <c r="A574" s="432">
        <f>IF(B574="","",COUNT('Diário 1º PA'!$A$4:$A$2635)+COUNT('Diário 2º PA'!$A$4:$A$3040)+ROW()-3)</f>
        <v>4670</v>
      </c>
      <c r="B574" s="413">
        <v>44763</v>
      </c>
      <c r="C574" s="431">
        <v>44713</v>
      </c>
      <c r="D574" s="415" t="s">
        <v>271</v>
      </c>
      <c r="E574" s="415" t="s">
        <v>297</v>
      </c>
      <c r="F574" s="425">
        <v>258.14</v>
      </c>
      <c r="G574" s="427" t="s">
        <v>4897</v>
      </c>
      <c r="H574" s="415" t="s">
        <v>753</v>
      </c>
      <c r="I574" s="415" t="s">
        <v>6066</v>
      </c>
      <c r="J574" s="415" t="s">
        <v>4898</v>
      </c>
      <c r="K574" s="415" t="s">
        <v>812</v>
      </c>
      <c r="L574" s="415" t="s">
        <v>5936</v>
      </c>
      <c r="M574" s="419">
        <v>972813</v>
      </c>
      <c r="N574" s="413">
        <v>44735</v>
      </c>
      <c r="O574" s="414" t="s">
        <v>400</v>
      </c>
      <c r="P574" s="655">
        <f t="shared" si="24"/>
        <v>7</v>
      </c>
      <c r="Q574" s="655">
        <f t="shared" si="25"/>
        <v>6</v>
      </c>
      <c r="R574" s="695" t="str">
        <f t="shared" si="26"/>
        <v>Gastos_Gerais</v>
      </c>
      <c r="S574" s="697" t="s">
        <v>999</v>
      </c>
      <c r="T574" s="697">
        <v>3949</v>
      </c>
    </row>
    <row r="575" spans="1:20" ht="25.5" x14ac:dyDescent="0.2">
      <c r="A575" s="432">
        <f>IF(B575="","",COUNT('Diário 1º PA'!$A$4:$A$2635)+COUNT('Diário 2º PA'!$A$4:$A$3040)+ROW()-3)</f>
        <v>4671</v>
      </c>
      <c r="B575" s="413">
        <v>44763</v>
      </c>
      <c r="C575" s="431">
        <v>44713</v>
      </c>
      <c r="D575" s="415" t="s">
        <v>271</v>
      </c>
      <c r="E575" s="415" t="s">
        <v>139</v>
      </c>
      <c r="F575" s="425">
        <v>417.5</v>
      </c>
      <c r="G575" s="427" t="s">
        <v>4947</v>
      </c>
      <c r="H575" s="415" t="s">
        <v>309</v>
      </c>
      <c r="I575" s="415" t="s">
        <v>3494</v>
      </c>
      <c r="J575" s="415" t="s">
        <v>1994</v>
      </c>
      <c r="K575" s="415" t="s">
        <v>812</v>
      </c>
      <c r="L575" s="415" t="s">
        <v>32</v>
      </c>
      <c r="M575" s="419" t="s">
        <v>6100</v>
      </c>
      <c r="N575" s="413">
        <v>44735</v>
      </c>
      <c r="O575" s="393" t="s">
        <v>400</v>
      </c>
      <c r="P575" s="655">
        <f t="shared" si="24"/>
        <v>7</v>
      </c>
      <c r="Q575" s="655">
        <f t="shared" si="25"/>
        <v>6</v>
      </c>
      <c r="R575" s="695" t="str">
        <f t="shared" si="26"/>
        <v>Gastos_Gerais</v>
      </c>
      <c r="S575" s="697" t="s">
        <v>999</v>
      </c>
      <c r="T575" s="697">
        <v>3939</v>
      </c>
    </row>
    <row r="576" spans="1:20" ht="36" x14ac:dyDescent="0.2">
      <c r="A576" s="432">
        <f>IF(B576="","",COUNT('Diário 1º PA'!$A$4:$A$2635)+COUNT('Diário 2º PA'!$A$4:$A$3040)+ROW()-3)</f>
        <v>4672</v>
      </c>
      <c r="B576" s="413">
        <v>44763</v>
      </c>
      <c r="C576" s="431">
        <v>44713</v>
      </c>
      <c r="D576" s="415" t="s">
        <v>271</v>
      </c>
      <c r="E576" s="415" t="s">
        <v>139</v>
      </c>
      <c r="F576" s="425">
        <v>262.5</v>
      </c>
      <c r="G576" s="427" t="s">
        <v>4948</v>
      </c>
      <c r="H576" s="415" t="s">
        <v>309</v>
      </c>
      <c r="I576" s="415" t="s">
        <v>1302</v>
      </c>
      <c r="J576" s="415" t="s">
        <v>4949</v>
      </c>
      <c r="K576" s="415" t="s">
        <v>812</v>
      </c>
      <c r="L576" s="415" t="s">
        <v>32</v>
      </c>
      <c r="M576" s="419">
        <v>69762</v>
      </c>
      <c r="N576" s="413">
        <v>44735</v>
      </c>
      <c r="O576" s="414" t="s">
        <v>400</v>
      </c>
      <c r="P576" s="655">
        <f t="shared" si="24"/>
        <v>7</v>
      </c>
      <c r="Q576" s="655">
        <f t="shared" si="25"/>
        <v>6</v>
      </c>
      <c r="R576" s="695" t="str">
        <f t="shared" si="26"/>
        <v>Gastos_Gerais</v>
      </c>
      <c r="S576" s="697" t="s">
        <v>999</v>
      </c>
      <c r="T576" s="697">
        <v>3960</v>
      </c>
    </row>
    <row r="577" spans="1:20" ht="84" x14ac:dyDescent="0.2">
      <c r="A577" s="432">
        <f>IF(B577="","",COUNT('Diário 1º PA'!$A$4:$A$2635)+COUNT('Diário 2º PA'!$A$4:$A$3040)+ROW()-3)</f>
        <v>4673</v>
      </c>
      <c r="B577" s="413">
        <v>44763</v>
      </c>
      <c r="C577" s="431">
        <v>44713</v>
      </c>
      <c r="D577" s="415" t="s">
        <v>271</v>
      </c>
      <c r="E577" s="415" t="s">
        <v>453</v>
      </c>
      <c r="F577" s="425">
        <v>3000</v>
      </c>
      <c r="G577" s="427" t="s">
        <v>4751</v>
      </c>
      <c r="H577" s="415" t="s">
        <v>757</v>
      </c>
      <c r="I577" s="415" t="s">
        <v>6067</v>
      </c>
      <c r="J577" s="415" t="s">
        <v>4752</v>
      </c>
      <c r="K577" s="419" t="s">
        <v>830</v>
      </c>
      <c r="L577" s="415" t="s">
        <v>32</v>
      </c>
      <c r="M577" s="419">
        <v>3092</v>
      </c>
      <c r="N577" s="413">
        <v>44762</v>
      </c>
      <c r="O577" s="393" t="s">
        <v>400</v>
      </c>
      <c r="P577" s="655">
        <f t="shared" si="24"/>
        <v>7</v>
      </c>
      <c r="Q577" s="655">
        <f t="shared" si="25"/>
        <v>6</v>
      </c>
      <c r="R577" s="695" t="str">
        <f t="shared" si="26"/>
        <v>Gastos_Gerais</v>
      </c>
      <c r="S577" s="697" t="s">
        <v>1000</v>
      </c>
      <c r="T577" s="697">
        <v>3844</v>
      </c>
    </row>
    <row r="578" spans="1:20" ht="36" x14ac:dyDescent="0.2">
      <c r="A578" s="432">
        <f>IF(B578="","",COUNT('Diário 1º PA'!$A$4:$A$2635)+COUNT('Diário 2º PA'!$A$4:$A$3040)+ROW()-3)</f>
        <v>4674</v>
      </c>
      <c r="B578" s="413">
        <v>44763</v>
      </c>
      <c r="C578" s="431">
        <v>44743</v>
      </c>
      <c r="D578" s="415" t="s">
        <v>271</v>
      </c>
      <c r="E578" s="415" t="s">
        <v>456</v>
      </c>
      <c r="F578" s="422">
        <v>300</v>
      </c>
      <c r="G578" s="427" t="s">
        <v>5801</v>
      </c>
      <c r="H578" s="415" t="s">
        <v>758</v>
      </c>
      <c r="I578" s="415" t="s">
        <v>6068</v>
      </c>
      <c r="J578" s="415" t="s">
        <v>5802</v>
      </c>
      <c r="K578" s="419" t="s">
        <v>830</v>
      </c>
      <c r="L578" s="415" t="s">
        <v>32</v>
      </c>
      <c r="M578" s="419" t="s">
        <v>1608</v>
      </c>
      <c r="N578" s="413">
        <v>44762</v>
      </c>
      <c r="O578" s="393" t="s">
        <v>400</v>
      </c>
      <c r="P578" s="655">
        <f t="shared" si="24"/>
        <v>7</v>
      </c>
      <c r="Q578" s="655">
        <f t="shared" si="25"/>
        <v>7</v>
      </c>
      <c r="R578" s="695" t="str">
        <f t="shared" si="26"/>
        <v>Gastos_Gerais</v>
      </c>
      <c r="S578" s="697" t="s">
        <v>1000</v>
      </c>
      <c r="T578" s="697">
        <v>4051</v>
      </c>
    </row>
    <row r="579" spans="1:20" ht="36" x14ac:dyDescent="0.2">
      <c r="A579" s="432">
        <f>IF(B579="","",COUNT('Diário 1º PA'!$A$4:$A$2635)+COUNT('Diário 2º PA'!$A$4:$A$3040)+ROW()-3)</f>
        <v>4675</v>
      </c>
      <c r="B579" s="413">
        <v>44763</v>
      </c>
      <c r="C579" s="424">
        <v>44743</v>
      </c>
      <c r="D579" s="415" t="s">
        <v>271</v>
      </c>
      <c r="E579" s="415" t="s">
        <v>71</v>
      </c>
      <c r="F579" s="425">
        <v>11</v>
      </c>
      <c r="G579" s="427" t="s">
        <v>6149</v>
      </c>
      <c r="H579" s="415" t="s">
        <v>757</v>
      </c>
      <c r="I579" s="398" t="s">
        <v>881</v>
      </c>
      <c r="J579" s="418" t="s">
        <v>882</v>
      </c>
      <c r="K579" s="418" t="s">
        <v>883</v>
      </c>
      <c r="L579" s="399" t="s">
        <v>798</v>
      </c>
      <c r="M579" s="544" t="s">
        <v>310</v>
      </c>
      <c r="N579" s="413">
        <v>44763</v>
      </c>
      <c r="O579" s="414" t="s">
        <v>400</v>
      </c>
      <c r="P579" s="655">
        <f t="shared" si="24"/>
        <v>7</v>
      </c>
      <c r="Q579" s="655">
        <f t="shared" si="25"/>
        <v>7</v>
      </c>
      <c r="R579" s="695" t="str">
        <f t="shared" si="26"/>
        <v>Gastos_Gerais</v>
      </c>
      <c r="S579" s="697" t="s">
        <v>310</v>
      </c>
      <c r="T579" s="697" t="s">
        <v>310</v>
      </c>
    </row>
    <row r="580" spans="1:20" ht="36" x14ac:dyDescent="0.2">
      <c r="A580" s="432">
        <f>IF(B580="","",COUNT('Diário 1º PA'!$A$4:$A$2635)+COUNT('Diário 2º PA'!$A$4:$A$3040)+ROW()-3)</f>
        <v>4676</v>
      </c>
      <c r="B580" s="413">
        <v>44763</v>
      </c>
      <c r="C580" s="424">
        <v>44743</v>
      </c>
      <c r="D580" s="415" t="s">
        <v>271</v>
      </c>
      <c r="E580" s="415" t="s">
        <v>71</v>
      </c>
      <c r="F580" s="425">
        <v>11</v>
      </c>
      <c r="G580" s="427" t="s">
        <v>6150</v>
      </c>
      <c r="H580" s="415" t="s">
        <v>758</v>
      </c>
      <c r="I580" s="398" t="s">
        <v>881</v>
      </c>
      <c r="J580" s="418" t="s">
        <v>882</v>
      </c>
      <c r="K580" s="418" t="s">
        <v>883</v>
      </c>
      <c r="L580" s="399" t="s">
        <v>798</v>
      </c>
      <c r="M580" s="544" t="s">
        <v>310</v>
      </c>
      <c r="N580" s="413">
        <v>44763</v>
      </c>
      <c r="O580" s="414" t="s">
        <v>400</v>
      </c>
      <c r="P580" s="655">
        <f t="shared" si="24"/>
        <v>7</v>
      </c>
      <c r="Q580" s="655">
        <f t="shared" si="25"/>
        <v>7</v>
      </c>
      <c r="R580" s="695" t="str">
        <f t="shared" si="26"/>
        <v>Gastos_Gerais</v>
      </c>
      <c r="S580" s="697" t="s">
        <v>310</v>
      </c>
      <c r="T580" s="697" t="s">
        <v>310</v>
      </c>
    </row>
    <row r="581" spans="1:20" ht="36" x14ac:dyDescent="0.2">
      <c r="A581" s="432">
        <f>IF(B581="","",COUNT('Diário 1º PA'!$A$4:$A$2635)+COUNT('Diário 2º PA'!$A$4:$A$3040)+ROW()-3)</f>
        <v>4677</v>
      </c>
      <c r="B581" s="413">
        <v>44763</v>
      </c>
      <c r="C581" s="424">
        <v>44743</v>
      </c>
      <c r="D581" s="415" t="s">
        <v>271</v>
      </c>
      <c r="E581" s="415" t="s">
        <v>71</v>
      </c>
      <c r="F581" s="425">
        <v>11</v>
      </c>
      <c r="G581" s="427" t="s">
        <v>6148</v>
      </c>
      <c r="H581" s="415" t="s">
        <v>758</v>
      </c>
      <c r="I581" s="398" t="s">
        <v>881</v>
      </c>
      <c r="J581" s="418" t="s">
        <v>882</v>
      </c>
      <c r="K581" s="418" t="s">
        <v>883</v>
      </c>
      <c r="L581" s="399" t="s">
        <v>798</v>
      </c>
      <c r="M581" s="544" t="s">
        <v>310</v>
      </c>
      <c r="N581" s="413">
        <v>44763</v>
      </c>
      <c r="O581" s="414" t="s">
        <v>400</v>
      </c>
      <c r="P581" s="655">
        <f t="shared" ref="P581:P644" si="27">IF(B581=0,0,IF(YEAR(B581)=$Q$1,MONTH(B581)-$P$1+1,(YEAR(B581)-$Q$1)*12-$P$1+1+MONTH(B581)))</f>
        <v>7</v>
      </c>
      <c r="Q581" s="655">
        <f t="shared" ref="Q581:Q644" si="28">IF(C581=0,0,IF(YEAR(C581)=$Q$1,MONTH(C581)-$P$1+1,(YEAR(C581)-$Q$1)*12-$P$1+1+MONTH(C581)))</f>
        <v>7</v>
      </c>
      <c r="R581" s="695" t="str">
        <f t="shared" ref="R581:R644" si="29">SUBSTITUTE(D581," ","_")</f>
        <v>Gastos_Gerais</v>
      </c>
      <c r="S581" s="697" t="s">
        <v>310</v>
      </c>
      <c r="T581" s="697" t="s">
        <v>310</v>
      </c>
    </row>
    <row r="582" spans="1:20" ht="120" x14ac:dyDescent="0.2">
      <c r="A582" s="432">
        <f>IF(B582="","",COUNT('Diário 1º PA'!$A$4:$A$2635)+COUNT('Diário 2º PA'!$A$4:$A$3040)+ROW()-3)</f>
        <v>4678</v>
      </c>
      <c r="B582" s="413">
        <v>44764</v>
      </c>
      <c r="C582" s="424">
        <v>44743</v>
      </c>
      <c r="D582" s="415" t="s">
        <v>271</v>
      </c>
      <c r="E582" s="419" t="s">
        <v>456</v>
      </c>
      <c r="F582" s="425">
        <v>392.9</v>
      </c>
      <c r="G582" s="419" t="s">
        <v>6069</v>
      </c>
      <c r="H582" s="419" t="s">
        <v>750</v>
      </c>
      <c r="I582" s="415" t="s">
        <v>7420</v>
      </c>
      <c r="J582" s="419" t="s">
        <v>6070</v>
      </c>
      <c r="K582" s="419" t="s">
        <v>830</v>
      </c>
      <c r="L582" s="415" t="s">
        <v>5936</v>
      </c>
      <c r="M582" s="419">
        <v>16299</v>
      </c>
      <c r="N582" s="413">
        <v>44764</v>
      </c>
      <c r="O582" s="414" t="s">
        <v>400</v>
      </c>
      <c r="P582" s="655">
        <f t="shared" si="27"/>
        <v>7</v>
      </c>
      <c r="Q582" s="655">
        <f t="shared" si="28"/>
        <v>7</v>
      </c>
      <c r="R582" s="695" t="str">
        <f t="shared" si="29"/>
        <v>Gastos_Gerais</v>
      </c>
      <c r="S582" s="697" t="s">
        <v>999</v>
      </c>
      <c r="T582" s="697">
        <v>4159</v>
      </c>
    </row>
    <row r="583" spans="1:20" ht="48" x14ac:dyDescent="0.2">
      <c r="A583" s="432">
        <f>IF(B583="","",COUNT('Diário 1º PA'!$A$4:$A$2635)+COUNT('Diário 2º PA'!$A$4:$A$3040)+ROW()-3)</f>
        <v>4679</v>
      </c>
      <c r="B583" s="413">
        <v>44764</v>
      </c>
      <c r="C583" s="431">
        <v>44682</v>
      </c>
      <c r="D583" s="415" t="s">
        <v>271</v>
      </c>
      <c r="E583" s="415" t="s">
        <v>453</v>
      </c>
      <c r="F583" s="425">
        <v>1000</v>
      </c>
      <c r="G583" s="427" t="s">
        <v>4339</v>
      </c>
      <c r="H583" s="415" t="s">
        <v>758</v>
      </c>
      <c r="I583" s="415" t="s">
        <v>6071</v>
      </c>
      <c r="J583" s="415" t="s">
        <v>4340</v>
      </c>
      <c r="K583" s="419" t="s">
        <v>830</v>
      </c>
      <c r="L583" s="415" t="s">
        <v>32</v>
      </c>
      <c r="M583" s="419" t="s">
        <v>5115</v>
      </c>
      <c r="N583" s="413">
        <v>44761</v>
      </c>
      <c r="O583" s="414" t="s">
        <v>400</v>
      </c>
      <c r="P583" s="655">
        <f t="shared" si="27"/>
        <v>7</v>
      </c>
      <c r="Q583" s="655">
        <f t="shared" si="28"/>
        <v>5</v>
      </c>
      <c r="R583" s="695" t="str">
        <f t="shared" si="29"/>
        <v>Gastos_Gerais</v>
      </c>
      <c r="S583" s="697" t="s">
        <v>998</v>
      </c>
      <c r="T583" s="697">
        <v>3803</v>
      </c>
    </row>
    <row r="584" spans="1:20" ht="36" x14ac:dyDescent="0.2">
      <c r="A584" s="432">
        <f>IF(B584="","",COUNT('Diário 1º PA'!$A$4:$A$2635)+COUNT('Diário 2º PA'!$A$4:$A$3040)+ROW()-3)</f>
        <v>4680</v>
      </c>
      <c r="B584" s="413">
        <v>44764</v>
      </c>
      <c r="C584" s="424">
        <v>44743</v>
      </c>
      <c r="D584" s="415" t="s">
        <v>271</v>
      </c>
      <c r="E584" s="415" t="s">
        <v>71</v>
      </c>
      <c r="F584" s="425">
        <v>11</v>
      </c>
      <c r="G584" s="427" t="s">
        <v>6151</v>
      </c>
      <c r="H584" s="419" t="s">
        <v>750</v>
      </c>
      <c r="I584" s="398" t="s">
        <v>881</v>
      </c>
      <c r="J584" s="418" t="s">
        <v>882</v>
      </c>
      <c r="K584" s="418" t="s">
        <v>883</v>
      </c>
      <c r="L584" s="399" t="s">
        <v>798</v>
      </c>
      <c r="M584" s="544" t="s">
        <v>310</v>
      </c>
      <c r="N584" s="413">
        <v>44764</v>
      </c>
      <c r="O584" s="414" t="s">
        <v>400</v>
      </c>
      <c r="P584" s="655">
        <f t="shared" si="27"/>
        <v>7</v>
      </c>
      <c r="Q584" s="655">
        <f t="shared" si="28"/>
        <v>7</v>
      </c>
      <c r="R584" s="695" t="str">
        <f t="shared" si="29"/>
        <v>Gastos_Gerais</v>
      </c>
      <c r="S584" s="697" t="s">
        <v>310</v>
      </c>
      <c r="T584" s="697" t="s">
        <v>310</v>
      </c>
    </row>
    <row r="585" spans="1:20" ht="36" x14ac:dyDescent="0.2">
      <c r="A585" s="432">
        <f>IF(B585="","",COUNT('Diário 1º PA'!$A$4:$A$2635)+COUNT('Diário 2º PA'!$A$4:$A$3040)+ROW()-3)</f>
        <v>4681</v>
      </c>
      <c r="B585" s="413">
        <v>44764</v>
      </c>
      <c r="C585" s="424">
        <v>44743</v>
      </c>
      <c r="D585" s="415" t="s">
        <v>271</v>
      </c>
      <c r="E585" s="415" t="s">
        <v>71</v>
      </c>
      <c r="F585" s="425">
        <v>11</v>
      </c>
      <c r="G585" s="427" t="s">
        <v>6152</v>
      </c>
      <c r="H585" s="415" t="s">
        <v>758</v>
      </c>
      <c r="I585" s="398" t="s">
        <v>881</v>
      </c>
      <c r="J585" s="418" t="s">
        <v>882</v>
      </c>
      <c r="K585" s="418" t="s">
        <v>883</v>
      </c>
      <c r="L585" s="399" t="s">
        <v>798</v>
      </c>
      <c r="M585" s="544" t="s">
        <v>310</v>
      </c>
      <c r="N585" s="413">
        <v>44764</v>
      </c>
      <c r="O585" s="414" t="s">
        <v>400</v>
      </c>
      <c r="P585" s="655">
        <f t="shared" si="27"/>
        <v>7</v>
      </c>
      <c r="Q585" s="655">
        <f t="shared" si="28"/>
        <v>7</v>
      </c>
      <c r="R585" s="695" t="str">
        <f t="shared" si="29"/>
        <v>Gastos_Gerais</v>
      </c>
      <c r="S585" s="697" t="s">
        <v>310</v>
      </c>
      <c r="T585" s="697" t="s">
        <v>310</v>
      </c>
    </row>
    <row r="586" spans="1:20" ht="36" x14ac:dyDescent="0.2">
      <c r="A586" s="432">
        <f>IF(B586="","",COUNT('Diário 1º PA'!$A$4:$A$2635)+COUNT('Diário 2º PA'!$A$4:$A$3040)+ROW()-3)</f>
        <v>4682</v>
      </c>
      <c r="B586" s="413">
        <v>44764</v>
      </c>
      <c r="C586" s="431">
        <v>44713</v>
      </c>
      <c r="D586" s="415" t="s">
        <v>468</v>
      </c>
      <c r="E586" s="415" t="s">
        <v>468</v>
      </c>
      <c r="F586" s="425">
        <v>2827.55</v>
      </c>
      <c r="G586" s="427" t="s">
        <v>4106</v>
      </c>
      <c r="H586" s="415" t="s">
        <v>468</v>
      </c>
      <c r="I586" s="398" t="s">
        <v>6424</v>
      </c>
      <c r="J586" s="415" t="s">
        <v>4107</v>
      </c>
      <c r="K586" s="419" t="s">
        <v>806</v>
      </c>
      <c r="L586" s="399" t="s">
        <v>1341</v>
      </c>
      <c r="M586" s="544">
        <v>1894</v>
      </c>
      <c r="N586" s="413">
        <v>44755</v>
      </c>
      <c r="O586" s="414" t="s">
        <v>408</v>
      </c>
      <c r="P586" s="655">
        <f t="shared" si="27"/>
        <v>7</v>
      </c>
      <c r="Q586" s="655">
        <f t="shared" si="28"/>
        <v>6</v>
      </c>
      <c r="R586" s="695" t="str">
        <f t="shared" si="29"/>
        <v>Gastos_custeados_por_captação</v>
      </c>
      <c r="S586" s="697" t="s">
        <v>1000</v>
      </c>
      <c r="T586" s="697">
        <v>3700</v>
      </c>
    </row>
    <row r="587" spans="1:20" ht="60" x14ac:dyDescent="0.2">
      <c r="A587" s="432">
        <f>IF(B587="","",COUNT('Diário 1º PA'!$A$4:$A$2635)+COUNT('Diário 2º PA'!$A$4:$A$3040)+ROW()-3)</f>
        <v>4683</v>
      </c>
      <c r="B587" s="413">
        <v>44764</v>
      </c>
      <c r="C587" s="431">
        <v>44743</v>
      </c>
      <c r="D587" s="415" t="s">
        <v>468</v>
      </c>
      <c r="E587" s="415" t="s">
        <v>468</v>
      </c>
      <c r="F587" s="425">
        <v>400</v>
      </c>
      <c r="G587" s="427" t="s">
        <v>4163</v>
      </c>
      <c r="H587" s="415" t="s">
        <v>468</v>
      </c>
      <c r="I587" s="415" t="s">
        <v>1697</v>
      </c>
      <c r="J587" s="415" t="s">
        <v>1015</v>
      </c>
      <c r="K587" s="418" t="s">
        <v>830</v>
      </c>
      <c r="L587" s="399" t="s">
        <v>32</v>
      </c>
      <c r="M587" s="418" t="s">
        <v>3672</v>
      </c>
      <c r="N587" s="413">
        <v>44763</v>
      </c>
      <c r="O587" s="414" t="s">
        <v>3762</v>
      </c>
      <c r="P587" s="655">
        <f t="shared" si="27"/>
        <v>7</v>
      </c>
      <c r="Q587" s="655">
        <f t="shared" si="28"/>
        <v>7</v>
      </c>
      <c r="R587" s="695" t="str">
        <f t="shared" si="29"/>
        <v>Gastos_custeados_por_captação</v>
      </c>
      <c r="S587" s="697" t="s">
        <v>998</v>
      </c>
      <c r="T587" s="697">
        <v>3612</v>
      </c>
    </row>
    <row r="588" spans="1:20" ht="48" x14ac:dyDescent="0.2">
      <c r="A588" s="432">
        <f>IF(B588="","",COUNT('Diário 1º PA'!$A$4:$A$2635)+COUNT('Diário 2º PA'!$A$4:$A$3040)+ROW()-3)</f>
        <v>4684</v>
      </c>
      <c r="B588" s="413">
        <v>44764</v>
      </c>
      <c r="C588" s="431">
        <v>44743</v>
      </c>
      <c r="D588" s="415" t="s">
        <v>468</v>
      </c>
      <c r="E588" s="415" t="s">
        <v>468</v>
      </c>
      <c r="F588" s="425">
        <v>840</v>
      </c>
      <c r="G588" s="427" t="s">
        <v>5828</v>
      </c>
      <c r="H588" s="415" t="s">
        <v>468</v>
      </c>
      <c r="I588" s="398" t="s">
        <v>6466</v>
      </c>
      <c r="J588" s="415" t="s">
        <v>5774</v>
      </c>
      <c r="K588" s="418" t="s">
        <v>830</v>
      </c>
      <c r="L588" s="399" t="s">
        <v>839</v>
      </c>
      <c r="M588" s="544">
        <v>1897</v>
      </c>
      <c r="N588" s="413">
        <v>44760</v>
      </c>
      <c r="O588" s="414" t="s">
        <v>3762</v>
      </c>
      <c r="P588" s="655">
        <f t="shared" si="27"/>
        <v>7</v>
      </c>
      <c r="Q588" s="655">
        <f t="shared" si="28"/>
        <v>7</v>
      </c>
      <c r="R588" s="695" t="str">
        <f t="shared" si="29"/>
        <v>Gastos_custeados_por_captação</v>
      </c>
      <c r="S588" s="697" t="s">
        <v>5937</v>
      </c>
      <c r="T588" s="697">
        <v>4002</v>
      </c>
    </row>
    <row r="589" spans="1:20" ht="72" x14ac:dyDescent="0.2">
      <c r="A589" s="432">
        <f>IF(B589="","",COUNT('Diário 1º PA'!$A$4:$A$2635)+COUNT('Diário 2º PA'!$A$4:$A$3040)+ROW()-3)</f>
        <v>4685</v>
      </c>
      <c r="B589" s="413">
        <v>44764</v>
      </c>
      <c r="C589" s="431">
        <v>44743</v>
      </c>
      <c r="D589" s="415" t="s">
        <v>468</v>
      </c>
      <c r="E589" s="415" t="s">
        <v>468</v>
      </c>
      <c r="F589" s="425">
        <v>3634</v>
      </c>
      <c r="G589" s="427" t="s">
        <v>5900</v>
      </c>
      <c r="H589" s="415" t="s">
        <v>468</v>
      </c>
      <c r="I589" s="398" t="s">
        <v>6468</v>
      </c>
      <c r="J589" s="415" t="s">
        <v>5901</v>
      </c>
      <c r="K589" s="418" t="s">
        <v>830</v>
      </c>
      <c r="L589" s="399" t="s">
        <v>32</v>
      </c>
      <c r="M589" s="418" t="s">
        <v>1696</v>
      </c>
      <c r="N589" s="413">
        <v>44764</v>
      </c>
      <c r="O589" s="414" t="s">
        <v>3762</v>
      </c>
      <c r="P589" s="655">
        <f t="shared" si="27"/>
        <v>7</v>
      </c>
      <c r="Q589" s="655">
        <f t="shared" si="28"/>
        <v>7</v>
      </c>
      <c r="R589" s="695" t="str">
        <f t="shared" si="29"/>
        <v>Gastos_custeados_por_captação</v>
      </c>
      <c r="S589" s="697" t="s">
        <v>1000</v>
      </c>
      <c r="T589" s="697">
        <v>4098</v>
      </c>
    </row>
    <row r="590" spans="1:20" ht="48" x14ac:dyDescent="0.2">
      <c r="A590" s="432">
        <f>IF(B590="","",COUNT('Diário 1º PA'!$A$4:$A$2635)+COUNT('Diário 2º PA'!$A$4:$A$3040)+ROW()-3)</f>
        <v>4686</v>
      </c>
      <c r="B590" s="413">
        <v>44764</v>
      </c>
      <c r="C590" s="431">
        <v>44743</v>
      </c>
      <c r="D590" s="415" t="s">
        <v>468</v>
      </c>
      <c r="E590" s="415" t="s">
        <v>468</v>
      </c>
      <c r="F590" s="425">
        <v>11</v>
      </c>
      <c r="G590" s="427" t="s">
        <v>2469</v>
      </c>
      <c r="H590" s="415" t="s">
        <v>468</v>
      </c>
      <c r="I590" s="639" t="s">
        <v>881</v>
      </c>
      <c r="J590" s="418" t="s">
        <v>882</v>
      </c>
      <c r="K590" s="418" t="s">
        <v>883</v>
      </c>
      <c r="L590" s="399" t="s">
        <v>798</v>
      </c>
      <c r="M590" s="544" t="s">
        <v>310</v>
      </c>
      <c r="N590" s="413">
        <v>44764</v>
      </c>
      <c r="O590" s="414" t="s">
        <v>3762</v>
      </c>
      <c r="P590" s="655">
        <f t="shared" si="27"/>
        <v>7</v>
      </c>
      <c r="Q590" s="655">
        <f t="shared" si="28"/>
        <v>7</v>
      </c>
      <c r="R590" s="695" t="str">
        <f t="shared" si="29"/>
        <v>Gastos_custeados_por_captação</v>
      </c>
      <c r="S590" s="697" t="s">
        <v>310</v>
      </c>
      <c r="T590" s="697" t="s">
        <v>310</v>
      </c>
    </row>
    <row r="591" spans="1:20" ht="48" x14ac:dyDescent="0.2">
      <c r="A591" s="432">
        <f>IF(B591="","",COUNT('Diário 1º PA'!$A$4:$A$2635)+COUNT('Diário 2º PA'!$A$4:$A$3040)+ROW()-3)</f>
        <v>4687</v>
      </c>
      <c r="B591" s="413">
        <v>44764</v>
      </c>
      <c r="C591" s="431">
        <v>44743</v>
      </c>
      <c r="D591" s="415" t="s">
        <v>468</v>
      </c>
      <c r="E591" s="415" t="s">
        <v>468</v>
      </c>
      <c r="F591" s="425">
        <v>11</v>
      </c>
      <c r="G591" s="427" t="s">
        <v>2469</v>
      </c>
      <c r="H591" s="415" t="s">
        <v>468</v>
      </c>
      <c r="I591" s="639" t="s">
        <v>881</v>
      </c>
      <c r="J591" s="418" t="s">
        <v>882</v>
      </c>
      <c r="K591" s="418" t="s">
        <v>883</v>
      </c>
      <c r="L591" s="399" t="s">
        <v>798</v>
      </c>
      <c r="M591" s="544" t="s">
        <v>310</v>
      </c>
      <c r="N591" s="413">
        <v>44764</v>
      </c>
      <c r="O591" s="414" t="s">
        <v>3762</v>
      </c>
      <c r="P591" s="655">
        <f t="shared" si="27"/>
        <v>7</v>
      </c>
      <c r="Q591" s="655">
        <f t="shared" si="28"/>
        <v>7</v>
      </c>
      <c r="R591" s="695" t="str">
        <f t="shared" si="29"/>
        <v>Gastos_custeados_por_captação</v>
      </c>
      <c r="S591" s="697" t="s">
        <v>310</v>
      </c>
      <c r="T591" s="697" t="s">
        <v>310</v>
      </c>
    </row>
    <row r="592" spans="1:20" ht="48" x14ac:dyDescent="0.2">
      <c r="A592" s="432">
        <f>IF(B592="","",COUNT('Diário 1º PA'!$A$4:$A$2635)+COUNT('Diário 2º PA'!$A$4:$A$3040)+ROW()-3)</f>
        <v>4688</v>
      </c>
      <c r="B592" s="413">
        <v>44764</v>
      </c>
      <c r="C592" s="431">
        <v>44743</v>
      </c>
      <c r="D592" s="415" t="s">
        <v>468</v>
      </c>
      <c r="E592" s="415" t="s">
        <v>468</v>
      </c>
      <c r="F592" s="425">
        <v>11</v>
      </c>
      <c r="G592" s="427" t="s">
        <v>2469</v>
      </c>
      <c r="H592" s="415" t="s">
        <v>468</v>
      </c>
      <c r="I592" s="639" t="s">
        <v>881</v>
      </c>
      <c r="J592" s="418" t="s">
        <v>882</v>
      </c>
      <c r="K592" s="418" t="s">
        <v>883</v>
      </c>
      <c r="L592" s="399" t="s">
        <v>798</v>
      </c>
      <c r="M592" s="544" t="s">
        <v>310</v>
      </c>
      <c r="N592" s="413">
        <v>44764</v>
      </c>
      <c r="O592" s="414" t="s">
        <v>3762</v>
      </c>
      <c r="P592" s="655">
        <f t="shared" si="27"/>
        <v>7</v>
      </c>
      <c r="Q592" s="655">
        <f t="shared" si="28"/>
        <v>7</v>
      </c>
      <c r="R592" s="695" t="str">
        <f t="shared" si="29"/>
        <v>Gastos_custeados_por_captação</v>
      </c>
      <c r="S592" s="697" t="s">
        <v>310</v>
      </c>
      <c r="T592" s="697" t="s">
        <v>310</v>
      </c>
    </row>
    <row r="593" spans="1:20" ht="48" x14ac:dyDescent="0.2">
      <c r="A593" s="432">
        <f>IF(B593="","",COUNT('Diário 1º PA'!$A$4:$A$2635)+COUNT('Diário 2º PA'!$A$4:$A$3040)+ROW()-3)</f>
        <v>4689</v>
      </c>
      <c r="B593" s="414">
        <v>44767</v>
      </c>
      <c r="C593" s="466">
        <v>44713</v>
      </c>
      <c r="D593" s="415" t="s">
        <v>271</v>
      </c>
      <c r="E593" s="415" t="s">
        <v>164</v>
      </c>
      <c r="F593" s="435">
        <v>-204.23</v>
      </c>
      <c r="G593" s="427" t="s">
        <v>6006</v>
      </c>
      <c r="H593" s="415" t="s">
        <v>309</v>
      </c>
      <c r="I593" s="473" t="s">
        <v>795</v>
      </c>
      <c r="J593" s="415" t="s">
        <v>796</v>
      </c>
      <c r="K593" s="415" t="s">
        <v>797</v>
      </c>
      <c r="L593" s="415" t="s">
        <v>798</v>
      </c>
      <c r="M593" s="415" t="s">
        <v>310</v>
      </c>
      <c r="N593" s="414">
        <v>44767</v>
      </c>
      <c r="O593" s="414" t="s">
        <v>400</v>
      </c>
      <c r="P593" s="655">
        <f t="shared" si="27"/>
        <v>7</v>
      </c>
      <c r="Q593" s="655">
        <f t="shared" si="28"/>
        <v>6</v>
      </c>
      <c r="R593" s="695" t="str">
        <f t="shared" si="29"/>
        <v>Gastos_Gerais</v>
      </c>
      <c r="S593" s="696" t="s">
        <v>310</v>
      </c>
      <c r="T593" s="696" t="s">
        <v>310</v>
      </c>
    </row>
    <row r="594" spans="1:20" ht="48" x14ac:dyDescent="0.2">
      <c r="A594" s="432">
        <f>IF(B594="","",COUNT('Diário 1º PA'!$A$4:$A$2635)+COUNT('Diário 2º PA'!$A$4:$A$3040)+ROW()-3)</f>
        <v>4690</v>
      </c>
      <c r="B594" s="414">
        <v>44767</v>
      </c>
      <c r="C594" s="466">
        <v>44713</v>
      </c>
      <c r="D594" s="415" t="s">
        <v>271</v>
      </c>
      <c r="E594" s="415" t="s">
        <v>92</v>
      </c>
      <c r="F594" s="425">
        <v>-114.88</v>
      </c>
      <c r="G594" s="427" t="s">
        <v>6103</v>
      </c>
      <c r="H594" s="415" t="s">
        <v>309</v>
      </c>
      <c r="I594" s="474" t="s">
        <v>795</v>
      </c>
      <c r="J594" s="434" t="s">
        <v>796</v>
      </c>
      <c r="K594" s="434" t="s">
        <v>797</v>
      </c>
      <c r="L594" s="434" t="s">
        <v>798</v>
      </c>
      <c r="M594" s="436" t="s">
        <v>310</v>
      </c>
      <c r="N594" s="414">
        <v>44767</v>
      </c>
      <c r="O594" s="414" t="s">
        <v>400</v>
      </c>
      <c r="P594" s="655">
        <f t="shared" si="27"/>
        <v>7</v>
      </c>
      <c r="Q594" s="655">
        <f t="shared" si="28"/>
        <v>6</v>
      </c>
      <c r="R594" s="695" t="str">
        <f t="shared" si="29"/>
        <v>Gastos_Gerais</v>
      </c>
      <c r="S594" s="696" t="s">
        <v>310</v>
      </c>
      <c r="T594" s="696" t="s">
        <v>310</v>
      </c>
    </row>
    <row r="595" spans="1:20" ht="48" x14ac:dyDescent="0.2">
      <c r="A595" s="432">
        <f>IF(B595="","",COUNT('Diário 1º PA'!$A$4:$A$2635)+COUNT('Diário 2º PA'!$A$4:$A$3040)+ROW()-3)</f>
        <v>4691</v>
      </c>
      <c r="B595" s="414">
        <v>44767</v>
      </c>
      <c r="C595" s="466">
        <v>44713</v>
      </c>
      <c r="D595" s="415" t="s">
        <v>315</v>
      </c>
      <c r="E595" s="415" t="s">
        <v>315</v>
      </c>
      <c r="F595" s="435">
        <v>23304.6</v>
      </c>
      <c r="G595" s="437" t="s">
        <v>6104</v>
      </c>
      <c r="H595" s="434" t="s">
        <v>310</v>
      </c>
      <c r="I595" s="474" t="s">
        <v>1473</v>
      </c>
      <c r="J595" s="434" t="s">
        <v>796</v>
      </c>
      <c r="K595" s="434" t="s">
        <v>797</v>
      </c>
      <c r="L595" s="434" t="s">
        <v>798</v>
      </c>
      <c r="M595" s="436" t="s">
        <v>310</v>
      </c>
      <c r="N595" s="414">
        <v>44767</v>
      </c>
      <c r="O595" s="414" t="s">
        <v>400</v>
      </c>
      <c r="P595" s="655">
        <f t="shared" si="27"/>
        <v>7</v>
      </c>
      <c r="Q595" s="655">
        <f t="shared" si="28"/>
        <v>6</v>
      </c>
      <c r="R595" s="695" t="str">
        <f t="shared" si="29"/>
        <v>Transferência_para_Reserva_de_Recursos</v>
      </c>
      <c r="S595" s="696" t="s">
        <v>310</v>
      </c>
      <c r="T595" s="696" t="s">
        <v>310</v>
      </c>
    </row>
    <row r="596" spans="1:20" ht="24" x14ac:dyDescent="0.2">
      <c r="A596" s="432">
        <f>IF(B596="","",COUNT('Diário 1º PA'!$A$4:$A$2635)+COUNT('Diário 2º PA'!$A$4:$A$3040)+ROW()-3)</f>
        <v>4692</v>
      </c>
      <c r="B596" s="414">
        <v>44767</v>
      </c>
      <c r="C596" s="466">
        <v>44713</v>
      </c>
      <c r="D596" s="415" t="s">
        <v>271</v>
      </c>
      <c r="E596" s="415" t="s">
        <v>67</v>
      </c>
      <c r="F596" s="435">
        <v>1049.19</v>
      </c>
      <c r="G596" s="437" t="s">
        <v>6115</v>
      </c>
      <c r="H596" s="434" t="s">
        <v>310</v>
      </c>
      <c r="I596" s="398" t="s">
        <v>1461</v>
      </c>
      <c r="J596" s="434" t="s">
        <v>310</v>
      </c>
      <c r="K596" s="434" t="s">
        <v>1220</v>
      </c>
      <c r="L596" s="434" t="s">
        <v>1368</v>
      </c>
      <c r="M596" s="415" t="s">
        <v>310</v>
      </c>
      <c r="N596" s="414">
        <v>44767</v>
      </c>
      <c r="O596" s="414" t="s">
        <v>400</v>
      </c>
      <c r="P596" s="655">
        <f t="shared" si="27"/>
        <v>7</v>
      </c>
      <c r="Q596" s="655">
        <f t="shared" si="28"/>
        <v>6</v>
      </c>
      <c r="R596" s="695" t="str">
        <f t="shared" si="29"/>
        <v>Gastos_Gerais</v>
      </c>
      <c r="S596" s="696" t="s">
        <v>310</v>
      </c>
      <c r="T596" s="696" t="s">
        <v>310</v>
      </c>
    </row>
    <row r="597" spans="1:20" ht="96" x14ac:dyDescent="0.2">
      <c r="A597" s="432">
        <f>IF(B597="","",COUNT('Diário 1º PA'!$A$4:$A$2635)+COUNT('Diário 2º PA'!$A$4:$A$3040)+ROW()-3)</f>
        <v>4693</v>
      </c>
      <c r="B597" s="414">
        <v>44767</v>
      </c>
      <c r="C597" s="431">
        <v>44743</v>
      </c>
      <c r="D597" s="415" t="s">
        <v>271</v>
      </c>
      <c r="E597" s="415" t="s">
        <v>446</v>
      </c>
      <c r="F597" s="422">
        <v>2411.75</v>
      </c>
      <c r="G597" s="419" t="s">
        <v>5783</v>
      </c>
      <c r="H597" s="415" t="s">
        <v>758</v>
      </c>
      <c r="I597" s="415" t="s">
        <v>6106</v>
      </c>
      <c r="J597" s="419" t="s">
        <v>5784</v>
      </c>
      <c r="K597" s="419" t="s">
        <v>830</v>
      </c>
      <c r="L597" s="415" t="s">
        <v>807</v>
      </c>
      <c r="M597" s="419" t="s">
        <v>5211</v>
      </c>
      <c r="N597" s="413">
        <v>44764</v>
      </c>
      <c r="O597" s="414" t="s">
        <v>400</v>
      </c>
      <c r="P597" s="655">
        <f t="shared" si="27"/>
        <v>7</v>
      </c>
      <c r="Q597" s="655">
        <f t="shared" si="28"/>
        <v>7</v>
      </c>
      <c r="R597" s="695" t="str">
        <f t="shared" si="29"/>
        <v>Gastos_Gerais</v>
      </c>
      <c r="S597" s="696" t="s">
        <v>1000</v>
      </c>
      <c r="T597" s="696">
        <v>4055</v>
      </c>
    </row>
    <row r="598" spans="1:20" ht="24" x14ac:dyDescent="0.2">
      <c r="A598" s="432">
        <f>IF(B598="","",COUNT('Diário 1º PA'!$A$4:$A$2635)+COUNT('Diário 2º PA'!$A$4:$A$3040)+ROW()-3)</f>
        <v>4694</v>
      </c>
      <c r="B598" s="414">
        <v>44767</v>
      </c>
      <c r="C598" s="466">
        <v>44743</v>
      </c>
      <c r="D598" s="415" t="s">
        <v>271</v>
      </c>
      <c r="E598" s="415" t="s">
        <v>297</v>
      </c>
      <c r="F598" s="435">
        <v>342</v>
      </c>
      <c r="G598" s="437" t="s">
        <v>1484</v>
      </c>
      <c r="H598" s="434" t="s">
        <v>309</v>
      </c>
      <c r="I598" s="474" t="s">
        <v>1485</v>
      </c>
      <c r="J598" s="434" t="s">
        <v>1483</v>
      </c>
      <c r="K598" s="418" t="s">
        <v>812</v>
      </c>
      <c r="L598" s="434" t="s">
        <v>807</v>
      </c>
      <c r="M598" s="415">
        <v>6569449</v>
      </c>
      <c r="N598" s="414">
        <v>44769</v>
      </c>
      <c r="O598" s="414" t="s">
        <v>400</v>
      </c>
      <c r="P598" s="655">
        <f t="shared" si="27"/>
        <v>7</v>
      </c>
      <c r="Q598" s="655">
        <f t="shared" si="28"/>
        <v>7</v>
      </c>
      <c r="R598" s="695" t="str">
        <f t="shared" si="29"/>
        <v>Gastos_Gerais</v>
      </c>
      <c r="S598" s="696" t="s">
        <v>1000</v>
      </c>
      <c r="T598" s="696">
        <v>1551</v>
      </c>
    </row>
    <row r="599" spans="1:20" ht="48" x14ac:dyDescent="0.2">
      <c r="A599" s="432">
        <f>IF(B599="","",COUNT('Diário 1º PA'!$A$4:$A$2635)+COUNT('Diário 2º PA'!$A$4:$A$3040)+ROW()-3)</f>
        <v>4695</v>
      </c>
      <c r="B599" s="413">
        <v>44767</v>
      </c>
      <c r="C599" s="431">
        <v>44743</v>
      </c>
      <c r="D599" s="415" t="s">
        <v>271</v>
      </c>
      <c r="E599" s="415" t="s">
        <v>297</v>
      </c>
      <c r="F599" s="422">
        <v>4000</v>
      </c>
      <c r="G599" s="419" t="s">
        <v>5825</v>
      </c>
      <c r="H599" s="415" t="s">
        <v>755</v>
      </c>
      <c r="I599" s="415" t="s">
        <v>6108</v>
      </c>
      <c r="J599" s="419" t="s">
        <v>5794</v>
      </c>
      <c r="K599" s="419" t="s">
        <v>830</v>
      </c>
      <c r="L599" s="434" t="s">
        <v>807</v>
      </c>
      <c r="M599" s="419">
        <v>3</v>
      </c>
      <c r="N599" s="413">
        <v>44764</v>
      </c>
      <c r="O599" s="414" t="s">
        <v>400</v>
      </c>
      <c r="P599" s="655">
        <f t="shared" si="27"/>
        <v>7</v>
      </c>
      <c r="Q599" s="655">
        <f t="shared" si="28"/>
        <v>7</v>
      </c>
      <c r="R599" s="695" t="str">
        <f t="shared" si="29"/>
        <v>Gastos_Gerais</v>
      </c>
      <c r="S599" s="696" t="s">
        <v>998</v>
      </c>
      <c r="T599" s="696">
        <v>4089</v>
      </c>
    </row>
    <row r="600" spans="1:20" ht="24" x14ac:dyDescent="0.2">
      <c r="A600" s="432">
        <f>IF(B600="","",COUNT('Diário 1º PA'!$A$4:$A$2635)+COUNT('Diário 2º PA'!$A$4:$A$3040)+ROW()-3)</f>
        <v>4696</v>
      </c>
      <c r="B600" s="413">
        <v>44767</v>
      </c>
      <c r="C600" s="431">
        <v>44743</v>
      </c>
      <c r="D600" s="415" t="s">
        <v>271</v>
      </c>
      <c r="E600" s="415" t="s">
        <v>84</v>
      </c>
      <c r="F600" s="425">
        <v>49.29</v>
      </c>
      <c r="G600" s="437" t="s">
        <v>1479</v>
      </c>
      <c r="H600" s="434" t="s">
        <v>750</v>
      </c>
      <c r="I600" s="474" t="s">
        <v>766</v>
      </c>
      <c r="J600" s="415" t="s">
        <v>1019</v>
      </c>
      <c r="K600" s="418" t="s">
        <v>1392</v>
      </c>
      <c r="L600" s="399" t="s">
        <v>1372</v>
      </c>
      <c r="M600" s="544" t="s">
        <v>6109</v>
      </c>
      <c r="N600" s="414">
        <v>44755</v>
      </c>
      <c r="O600" s="414" t="s">
        <v>400</v>
      </c>
      <c r="P600" s="655">
        <f t="shared" si="27"/>
        <v>7</v>
      </c>
      <c r="Q600" s="655">
        <f t="shared" si="28"/>
        <v>7</v>
      </c>
      <c r="R600" s="695" t="str">
        <f t="shared" si="29"/>
        <v>Gastos_Gerais</v>
      </c>
      <c r="S600" s="696" t="s">
        <v>310</v>
      </c>
      <c r="T600" s="696" t="s">
        <v>310</v>
      </c>
    </row>
    <row r="601" spans="1:20" ht="24" x14ac:dyDescent="0.2">
      <c r="A601" s="432">
        <f>IF(B601="","",COUNT('Diário 1º PA'!$A$4:$A$2635)+COUNT('Diário 2º PA'!$A$4:$A$3040)+ROW()-3)</f>
        <v>4697</v>
      </c>
      <c r="B601" s="413">
        <v>44767</v>
      </c>
      <c r="C601" s="431">
        <v>44713</v>
      </c>
      <c r="D601" s="415" t="s">
        <v>182</v>
      </c>
      <c r="E601" s="415" t="s">
        <v>267</v>
      </c>
      <c r="F601" s="435">
        <v>2034.26</v>
      </c>
      <c r="G601" s="437" t="s">
        <v>6105</v>
      </c>
      <c r="H601" s="434" t="s">
        <v>310</v>
      </c>
      <c r="I601" s="398" t="s">
        <v>1461</v>
      </c>
      <c r="J601" s="434" t="s">
        <v>310</v>
      </c>
      <c r="K601" s="434" t="s">
        <v>1220</v>
      </c>
      <c r="L601" s="434" t="s">
        <v>1368</v>
      </c>
      <c r="M601" s="415" t="s">
        <v>310</v>
      </c>
      <c r="N601" s="414">
        <v>44676</v>
      </c>
      <c r="O601" s="414" t="s">
        <v>400</v>
      </c>
      <c r="P601" s="655">
        <f t="shared" si="27"/>
        <v>7</v>
      </c>
      <c r="Q601" s="655">
        <f t="shared" si="28"/>
        <v>6</v>
      </c>
      <c r="R601" s="695" t="str">
        <f t="shared" si="29"/>
        <v>Gastos_com_Pessoal</v>
      </c>
      <c r="S601" s="697" t="s">
        <v>310</v>
      </c>
      <c r="T601" s="697" t="s">
        <v>310</v>
      </c>
    </row>
    <row r="602" spans="1:20" ht="24" x14ac:dyDescent="0.2">
      <c r="A602" s="432">
        <f>IF(B602="","",COUNT('Diário 1º PA'!$A$4:$A$2635)+COUNT('Diário 2º PA'!$A$4:$A$3040)+ROW()-3)</f>
        <v>4698</v>
      </c>
      <c r="B602" s="413">
        <v>44767</v>
      </c>
      <c r="C602" s="431">
        <v>44713</v>
      </c>
      <c r="D602" s="415" t="s">
        <v>271</v>
      </c>
      <c r="E602" s="415" t="s">
        <v>164</v>
      </c>
      <c r="F602" s="435">
        <v>773.3</v>
      </c>
      <c r="G602" s="437" t="s">
        <v>1403</v>
      </c>
      <c r="H602" s="434" t="s">
        <v>309</v>
      </c>
      <c r="I602" s="474" t="s">
        <v>769</v>
      </c>
      <c r="J602" s="434" t="s">
        <v>1478</v>
      </c>
      <c r="K602" s="434" t="s">
        <v>1404</v>
      </c>
      <c r="L602" s="434" t="s">
        <v>1372</v>
      </c>
      <c r="M602" s="415" t="s">
        <v>6110</v>
      </c>
      <c r="N602" s="414">
        <v>44749</v>
      </c>
      <c r="O602" s="414" t="s">
        <v>400</v>
      </c>
      <c r="P602" s="655">
        <f t="shared" si="27"/>
        <v>7</v>
      </c>
      <c r="Q602" s="655">
        <f t="shared" si="28"/>
        <v>6</v>
      </c>
      <c r="R602" s="695" t="str">
        <f t="shared" si="29"/>
        <v>Gastos_Gerais</v>
      </c>
      <c r="S602" s="697" t="s">
        <v>310</v>
      </c>
      <c r="T602" s="697" t="s">
        <v>310</v>
      </c>
    </row>
    <row r="603" spans="1:20" ht="48" x14ac:dyDescent="0.2">
      <c r="A603" s="432">
        <f>IF(B603="","",COUNT('Diário 1º PA'!$A$4:$A$2635)+COUNT('Diário 2º PA'!$A$4:$A$3040)+ROW()-3)</f>
        <v>4699</v>
      </c>
      <c r="B603" s="413">
        <v>44767</v>
      </c>
      <c r="C603" s="431">
        <v>44713</v>
      </c>
      <c r="D603" s="415" t="s">
        <v>271</v>
      </c>
      <c r="E603" s="415" t="s">
        <v>92</v>
      </c>
      <c r="F603" s="435">
        <v>435</v>
      </c>
      <c r="G603" s="427" t="s">
        <v>655</v>
      </c>
      <c r="H603" s="434" t="s">
        <v>309</v>
      </c>
      <c r="I603" s="460" t="s">
        <v>1488</v>
      </c>
      <c r="J603" s="418" t="s">
        <v>1078</v>
      </c>
      <c r="K603" s="418" t="s">
        <v>1353</v>
      </c>
      <c r="L603" s="419" t="s">
        <v>7238</v>
      </c>
      <c r="M603" s="415">
        <v>22340</v>
      </c>
      <c r="N603" s="414">
        <v>44767</v>
      </c>
      <c r="O603" s="414" t="s">
        <v>400</v>
      </c>
      <c r="P603" s="655">
        <f t="shared" si="27"/>
        <v>7</v>
      </c>
      <c r="Q603" s="655">
        <f t="shared" si="28"/>
        <v>6</v>
      </c>
      <c r="R603" s="695" t="str">
        <f t="shared" si="29"/>
        <v>Gastos_Gerais</v>
      </c>
      <c r="S603" s="697" t="s">
        <v>1000</v>
      </c>
      <c r="T603" s="697">
        <v>2667</v>
      </c>
    </row>
    <row r="604" spans="1:20" ht="84" x14ac:dyDescent="0.2">
      <c r="A604" s="432">
        <f>IF(B604="","",COUNT('Diário 1º PA'!$A$4:$A$2635)+COUNT('Diário 2º PA'!$A$4:$A$3040)+ROW()-3)</f>
        <v>4700</v>
      </c>
      <c r="B604" s="413">
        <v>44767</v>
      </c>
      <c r="C604" s="431">
        <v>44743</v>
      </c>
      <c r="D604" s="415" t="s">
        <v>271</v>
      </c>
      <c r="E604" s="415" t="s">
        <v>452</v>
      </c>
      <c r="F604" s="422">
        <v>2500</v>
      </c>
      <c r="G604" s="419" t="s">
        <v>5806</v>
      </c>
      <c r="H604" s="415" t="s">
        <v>758</v>
      </c>
      <c r="I604" s="415" t="s">
        <v>6111</v>
      </c>
      <c r="J604" s="419" t="s">
        <v>5807</v>
      </c>
      <c r="K604" s="419" t="s">
        <v>830</v>
      </c>
      <c r="L604" s="415" t="s">
        <v>807</v>
      </c>
      <c r="M604" s="419" t="s">
        <v>842</v>
      </c>
      <c r="N604" s="413">
        <v>44764</v>
      </c>
      <c r="O604" s="414" t="s">
        <v>400</v>
      </c>
      <c r="P604" s="655">
        <f t="shared" si="27"/>
        <v>7</v>
      </c>
      <c r="Q604" s="655">
        <f t="shared" si="28"/>
        <v>7</v>
      </c>
      <c r="R604" s="695" t="str">
        <f t="shared" si="29"/>
        <v>Gastos_Gerais</v>
      </c>
      <c r="S604" s="696" t="s">
        <v>1000</v>
      </c>
      <c r="T604" s="696">
        <v>4053</v>
      </c>
    </row>
    <row r="605" spans="1:20" ht="36" x14ac:dyDescent="0.2">
      <c r="A605" s="432">
        <f>IF(B605="","",COUNT('Diário 1º PA'!$A$4:$A$2635)+COUNT('Diário 2º PA'!$A$4:$A$3040)+ROW()-3)</f>
        <v>4701</v>
      </c>
      <c r="B605" s="413">
        <v>44767</v>
      </c>
      <c r="C605" s="431">
        <v>44743</v>
      </c>
      <c r="D605" s="415" t="s">
        <v>271</v>
      </c>
      <c r="E605" s="415" t="s">
        <v>71</v>
      </c>
      <c r="F605" s="425">
        <v>11</v>
      </c>
      <c r="G605" s="427" t="s">
        <v>6114</v>
      </c>
      <c r="H605" s="415" t="s">
        <v>758</v>
      </c>
      <c r="I605" s="473" t="s">
        <v>881</v>
      </c>
      <c r="J605" s="415" t="s">
        <v>882</v>
      </c>
      <c r="K605" s="415" t="s">
        <v>883</v>
      </c>
      <c r="L605" s="415" t="s">
        <v>798</v>
      </c>
      <c r="M605" s="415" t="s">
        <v>310</v>
      </c>
      <c r="N605" s="413">
        <v>44767</v>
      </c>
      <c r="O605" s="414" t="s">
        <v>400</v>
      </c>
      <c r="P605" s="655">
        <f t="shared" si="27"/>
        <v>7</v>
      </c>
      <c r="Q605" s="655">
        <f t="shared" si="28"/>
        <v>7</v>
      </c>
      <c r="R605" s="695" t="str">
        <f t="shared" si="29"/>
        <v>Gastos_Gerais</v>
      </c>
      <c r="S605" s="696" t="s">
        <v>310</v>
      </c>
      <c r="T605" s="696" t="s">
        <v>310</v>
      </c>
    </row>
    <row r="606" spans="1:20" ht="69.75" customHeight="1" x14ac:dyDescent="0.2">
      <c r="A606" s="432">
        <f>IF(B606="","",COUNT('Diário 1º PA'!$A$4:$A$2635)+COUNT('Diário 2º PA'!$A$4:$A$3040)+ROW()-3)</f>
        <v>4702</v>
      </c>
      <c r="B606" s="413">
        <v>44767</v>
      </c>
      <c r="C606" s="431">
        <v>44743</v>
      </c>
      <c r="D606" s="415" t="s">
        <v>271</v>
      </c>
      <c r="E606" s="415" t="s">
        <v>71</v>
      </c>
      <c r="F606" s="425">
        <v>11</v>
      </c>
      <c r="G606" s="427" t="s">
        <v>6113</v>
      </c>
      <c r="H606" s="415" t="s">
        <v>755</v>
      </c>
      <c r="I606" s="473" t="s">
        <v>881</v>
      </c>
      <c r="J606" s="415" t="s">
        <v>882</v>
      </c>
      <c r="K606" s="415" t="s">
        <v>883</v>
      </c>
      <c r="L606" s="415" t="s">
        <v>798</v>
      </c>
      <c r="M606" s="415" t="s">
        <v>310</v>
      </c>
      <c r="N606" s="413">
        <v>44767</v>
      </c>
      <c r="O606" s="414" t="s">
        <v>400</v>
      </c>
      <c r="P606" s="655">
        <f t="shared" si="27"/>
        <v>7</v>
      </c>
      <c r="Q606" s="655">
        <f t="shared" si="28"/>
        <v>7</v>
      </c>
      <c r="R606" s="695" t="str">
        <f t="shared" si="29"/>
        <v>Gastos_Gerais</v>
      </c>
      <c r="S606" s="696" t="s">
        <v>310</v>
      </c>
      <c r="T606" s="696" t="s">
        <v>310</v>
      </c>
    </row>
    <row r="607" spans="1:20" ht="45" customHeight="1" x14ac:dyDescent="0.2">
      <c r="A607" s="432">
        <f>IF(B607="","",COUNT('Diário 1º PA'!$A$4:$A$2635)+COUNT('Diário 2º PA'!$A$4:$A$3040)+ROW()-3)</f>
        <v>4703</v>
      </c>
      <c r="B607" s="413">
        <v>44767</v>
      </c>
      <c r="C607" s="431">
        <v>44743</v>
      </c>
      <c r="D607" s="415" t="s">
        <v>271</v>
      </c>
      <c r="E607" s="415" t="s">
        <v>71</v>
      </c>
      <c r="F607" s="425">
        <v>11</v>
      </c>
      <c r="G607" s="427" t="s">
        <v>2221</v>
      </c>
      <c r="H607" s="434" t="s">
        <v>309</v>
      </c>
      <c r="I607" s="473" t="s">
        <v>881</v>
      </c>
      <c r="J607" s="415" t="s">
        <v>882</v>
      </c>
      <c r="K607" s="415" t="s">
        <v>883</v>
      </c>
      <c r="L607" s="415" t="s">
        <v>798</v>
      </c>
      <c r="M607" s="415" t="s">
        <v>310</v>
      </c>
      <c r="N607" s="413">
        <v>44767</v>
      </c>
      <c r="O607" s="414" t="s">
        <v>400</v>
      </c>
      <c r="P607" s="655">
        <f t="shared" si="27"/>
        <v>7</v>
      </c>
      <c r="Q607" s="655">
        <f t="shared" si="28"/>
        <v>7</v>
      </c>
      <c r="R607" s="695" t="str">
        <f t="shared" si="29"/>
        <v>Gastos_Gerais</v>
      </c>
      <c r="S607" s="696" t="s">
        <v>310</v>
      </c>
      <c r="T607" s="696" t="s">
        <v>310</v>
      </c>
    </row>
    <row r="608" spans="1:20" ht="36" x14ac:dyDescent="0.2">
      <c r="A608" s="432">
        <f>IF(B608="","",COUNT('Diário 1º PA'!$A$4:$A$2635)+COUNT('Diário 2º PA'!$A$4:$A$3040)+ROW()-3)</f>
        <v>4704</v>
      </c>
      <c r="B608" s="413">
        <v>44767</v>
      </c>
      <c r="C608" s="431">
        <v>44743</v>
      </c>
      <c r="D608" s="415" t="s">
        <v>271</v>
      </c>
      <c r="E608" s="415" t="s">
        <v>71</v>
      </c>
      <c r="F608" s="425">
        <v>11</v>
      </c>
      <c r="G608" s="427" t="s">
        <v>6112</v>
      </c>
      <c r="H608" s="415" t="s">
        <v>758</v>
      </c>
      <c r="I608" s="473" t="s">
        <v>881</v>
      </c>
      <c r="J608" s="415" t="s">
        <v>882</v>
      </c>
      <c r="K608" s="415" t="s">
        <v>883</v>
      </c>
      <c r="L608" s="415" t="s">
        <v>798</v>
      </c>
      <c r="M608" s="415" t="s">
        <v>310</v>
      </c>
      <c r="N608" s="413">
        <v>44767</v>
      </c>
      <c r="O608" s="414" t="s">
        <v>400</v>
      </c>
      <c r="P608" s="655">
        <f t="shared" si="27"/>
        <v>7</v>
      </c>
      <c r="Q608" s="655">
        <f t="shared" si="28"/>
        <v>7</v>
      </c>
      <c r="R608" s="695" t="str">
        <f t="shared" si="29"/>
        <v>Gastos_Gerais</v>
      </c>
      <c r="S608" s="696" t="s">
        <v>310</v>
      </c>
      <c r="T608" s="696" t="s">
        <v>310</v>
      </c>
    </row>
    <row r="609" spans="1:20" ht="60" x14ac:dyDescent="0.2">
      <c r="A609" s="432">
        <f>IF(B609="","",COUNT('Diário 1º PA'!$A$4:$A$2635)+COUNT('Diário 2º PA'!$A$4:$A$3040)+ROW()-3)</f>
        <v>4705</v>
      </c>
      <c r="B609" s="413">
        <v>44767</v>
      </c>
      <c r="C609" s="431">
        <v>44713</v>
      </c>
      <c r="D609" s="415" t="s">
        <v>468</v>
      </c>
      <c r="E609" s="415" t="s">
        <v>468</v>
      </c>
      <c r="F609" s="425">
        <v>2500</v>
      </c>
      <c r="G609" s="427" t="s">
        <v>4311</v>
      </c>
      <c r="H609" s="415" t="s">
        <v>468</v>
      </c>
      <c r="I609" s="473" t="s">
        <v>6428</v>
      </c>
      <c r="J609" s="415" t="s">
        <v>4312</v>
      </c>
      <c r="K609" s="415" t="s">
        <v>830</v>
      </c>
      <c r="L609" s="415" t="s">
        <v>32</v>
      </c>
      <c r="M609" s="415" t="s">
        <v>842</v>
      </c>
      <c r="N609" s="413">
        <v>44767</v>
      </c>
      <c r="O609" s="414" t="s">
        <v>408</v>
      </c>
      <c r="P609" s="655">
        <f t="shared" si="27"/>
        <v>7</v>
      </c>
      <c r="Q609" s="655">
        <f t="shared" si="28"/>
        <v>6</v>
      </c>
      <c r="R609" s="695" t="str">
        <f t="shared" si="29"/>
        <v>Gastos_custeados_por_captação</v>
      </c>
      <c r="S609" s="697" t="s">
        <v>1000</v>
      </c>
      <c r="T609" s="697">
        <v>3688</v>
      </c>
    </row>
    <row r="610" spans="1:20" ht="36" x14ac:dyDescent="0.2">
      <c r="A610" s="432">
        <f>IF(B610="","",COUNT('Diário 1º PA'!$A$4:$A$2635)+COUNT('Diário 2º PA'!$A$4:$A$3040)+ROW()-3)</f>
        <v>4706</v>
      </c>
      <c r="B610" s="413">
        <v>44767</v>
      </c>
      <c r="C610" s="431">
        <v>44774</v>
      </c>
      <c r="D610" s="415" t="s">
        <v>468</v>
      </c>
      <c r="E610" s="415" t="s">
        <v>468</v>
      </c>
      <c r="F610" s="425">
        <v>11</v>
      </c>
      <c r="G610" s="427" t="s">
        <v>2469</v>
      </c>
      <c r="H610" s="415" t="s">
        <v>468</v>
      </c>
      <c r="I610" s="639" t="s">
        <v>881</v>
      </c>
      <c r="J610" s="418" t="s">
        <v>882</v>
      </c>
      <c r="K610" s="418" t="s">
        <v>883</v>
      </c>
      <c r="L610" s="399" t="s">
        <v>798</v>
      </c>
      <c r="M610" s="544" t="s">
        <v>310</v>
      </c>
      <c r="N610" s="413">
        <v>44767</v>
      </c>
      <c r="O610" s="414" t="s">
        <v>408</v>
      </c>
      <c r="P610" s="655">
        <f t="shared" si="27"/>
        <v>7</v>
      </c>
      <c r="Q610" s="655">
        <f t="shared" si="28"/>
        <v>8</v>
      </c>
      <c r="R610" s="695" t="str">
        <f t="shared" si="29"/>
        <v>Gastos_custeados_por_captação</v>
      </c>
      <c r="S610" s="698" t="s">
        <v>310</v>
      </c>
      <c r="T610" s="698" t="s">
        <v>310</v>
      </c>
    </row>
    <row r="611" spans="1:20" ht="48" x14ac:dyDescent="0.2">
      <c r="A611" s="432">
        <f>IF(B611="","",COUNT('Diário 1º PA'!$A$4:$A$2635)+COUNT('Diário 2º PA'!$A$4:$A$3040)+ROW()-3)</f>
        <v>4707</v>
      </c>
      <c r="B611" s="413">
        <v>44767</v>
      </c>
      <c r="C611" s="431">
        <v>44713</v>
      </c>
      <c r="D611" s="415" t="s">
        <v>468</v>
      </c>
      <c r="E611" s="415" t="s">
        <v>468</v>
      </c>
      <c r="F611" s="425">
        <v>89.78</v>
      </c>
      <c r="G611" s="427" t="s">
        <v>6483</v>
      </c>
      <c r="H611" s="415" t="s">
        <v>468</v>
      </c>
      <c r="I611" s="639" t="s">
        <v>1461</v>
      </c>
      <c r="J611" s="418" t="s">
        <v>310</v>
      </c>
      <c r="K611" s="418" t="s">
        <v>1220</v>
      </c>
      <c r="L611" s="399" t="s">
        <v>1368</v>
      </c>
      <c r="M611" s="544" t="s">
        <v>310</v>
      </c>
      <c r="N611" s="413">
        <v>44767</v>
      </c>
      <c r="O611" s="414" t="s">
        <v>3762</v>
      </c>
      <c r="P611" s="655">
        <f t="shared" si="27"/>
        <v>7</v>
      </c>
      <c r="Q611" s="655">
        <f t="shared" si="28"/>
        <v>6</v>
      </c>
      <c r="R611" s="695" t="str">
        <f t="shared" si="29"/>
        <v>Gastos_custeados_por_captação</v>
      </c>
      <c r="S611" s="696" t="s">
        <v>310</v>
      </c>
      <c r="T611" s="696" t="s">
        <v>310</v>
      </c>
    </row>
    <row r="612" spans="1:20" ht="60" x14ac:dyDescent="0.2">
      <c r="A612" s="432">
        <f>IF(B612="","",COUNT('Diário 1º PA'!$A$4:$A$2635)+COUNT('Diário 2º PA'!$A$4:$A$3040)+ROW()-3)</f>
        <v>4708</v>
      </c>
      <c r="B612" s="413">
        <v>44767</v>
      </c>
      <c r="C612" s="431">
        <v>44713</v>
      </c>
      <c r="D612" s="415" t="s">
        <v>468</v>
      </c>
      <c r="E612" s="415" t="s">
        <v>468</v>
      </c>
      <c r="F612" s="425">
        <v>156</v>
      </c>
      <c r="G612" s="427" t="s">
        <v>5144</v>
      </c>
      <c r="H612" s="415" t="s">
        <v>468</v>
      </c>
      <c r="I612" s="639" t="s">
        <v>815</v>
      </c>
      <c r="J612" s="415" t="s">
        <v>816</v>
      </c>
      <c r="K612" s="418" t="s">
        <v>830</v>
      </c>
      <c r="L612" s="399" t="s">
        <v>32</v>
      </c>
      <c r="M612" s="544">
        <v>318788</v>
      </c>
      <c r="N612" s="413">
        <v>44739</v>
      </c>
      <c r="O612" s="414" t="s">
        <v>404</v>
      </c>
      <c r="P612" s="655">
        <f t="shared" si="27"/>
        <v>7</v>
      </c>
      <c r="Q612" s="655">
        <f t="shared" si="28"/>
        <v>6</v>
      </c>
      <c r="R612" s="695" t="str">
        <f t="shared" si="29"/>
        <v>Gastos_custeados_por_captação</v>
      </c>
      <c r="S612" s="696" t="s">
        <v>999</v>
      </c>
      <c r="T612" s="696">
        <v>3969</v>
      </c>
    </row>
    <row r="613" spans="1:20" ht="60" x14ac:dyDescent="0.2">
      <c r="A613" s="432">
        <f>IF(B613="","",COUNT('Diário 1º PA'!$A$4:$A$2635)+COUNT('Diário 2º PA'!$A$4:$A$3040)+ROW()-3)</f>
        <v>4709</v>
      </c>
      <c r="B613" s="413">
        <v>44767</v>
      </c>
      <c r="C613" s="466">
        <v>44743</v>
      </c>
      <c r="D613" s="415" t="s">
        <v>468</v>
      </c>
      <c r="E613" s="415" t="s">
        <v>468</v>
      </c>
      <c r="F613" s="425">
        <v>457.13</v>
      </c>
      <c r="G613" s="427" t="s">
        <v>6563</v>
      </c>
      <c r="H613" s="415" t="s">
        <v>468</v>
      </c>
      <c r="I613" s="639" t="s">
        <v>1461</v>
      </c>
      <c r="J613" s="418" t="s">
        <v>310</v>
      </c>
      <c r="K613" s="418" t="s">
        <v>1220</v>
      </c>
      <c r="L613" s="399" t="s">
        <v>1368</v>
      </c>
      <c r="M613" s="544" t="s">
        <v>310</v>
      </c>
      <c r="N613" s="413">
        <v>44767</v>
      </c>
      <c r="O613" s="414" t="s">
        <v>404</v>
      </c>
      <c r="P613" s="655">
        <f t="shared" si="27"/>
        <v>7</v>
      </c>
      <c r="Q613" s="655">
        <f t="shared" si="28"/>
        <v>7</v>
      </c>
      <c r="R613" s="695" t="str">
        <f t="shared" si="29"/>
        <v>Gastos_custeados_por_captação</v>
      </c>
      <c r="S613" s="696" t="s">
        <v>310</v>
      </c>
      <c r="T613" s="696" t="s">
        <v>310</v>
      </c>
    </row>
    <row r="614" spans="1:20" ht="60" x14ac:dyDescent="0.2">
      <c r="A614" s="432">
        <f>IF(B614="","",COUNT('Diário 1º PA'!$A$4:$A$2635)+COUNT('Diário 2º PA'!$A$4:$A$3040)+ROW()-3)</f>
        <v>4710</v>
      </c>
      <c r="B614" s="413">
        <v>44767</v>
      </c>
      <c r="C614" s="431">
        <v>44713</v>
      </c>
      <c r="D614" s="415" t="s">
        <v>468</v>
      </c>
      <c r="E614" s="415" t="s">
        <v>468</v>
      </c>
      <c r="F614" s="425">
        <v>2500</v>
      </c>
      <c r="G614" s="427" t="s">
        <v>4958</v>
      </c>
      <c r="H614" s="415" t="s">
        <v>468</v>
      </c>
      <c r="I614" s="639" t="s">
        <v>6620</v>
      </c>
      <c r="J614" s="415" t="s">
        <v>4959</v>
      </c>
      <c r="K614" s="418" t="s">
        <v>830</v>
      </c>
      <c r="L614" s="399" t="s">
        <v>1305</v>
      </c>
      <c r="M614" s="544" t="s">
        <v>310</v>
      </c>
      <c r="N614" s="413">
        <v>44761</v>
      </c>
      <c r="O614" s="414" t="s">
        <v>405</v>
      </c>
      <c r="P614" s="655">
        <f t="shared" si="27"/>
        <v>7</v>
      </c>
      <c r="Q614" s="655">
        <f t="shared" si="28"/>
        <v>6</v>
      </c>
      <c r="R614" s="695" t="str">
        <f t="shared" si="29"/>
        <v>Gastos_custeados_por_captação</v>
      </c>
      <c r="S614" s="696" t="s">
        <v>998</v>
      </c>
      <c r="T614" s="696">
        <v>3922</v>
      </c>
    </row>
    <row r="615" spans="1:20" ht="60" x14ac:dyDescent="0.2">
      <c r="A615" s="432">
        <f>IF(B615="","",COUNT('Diário 1º PA'!$A$4:$A$2635)+COUNT('Diário 2º PA'!$A$4:$A$3040)+ROW()-3)</f>
        <v>4711</v>
      </c>
      <c r="B615" s="413">
        <v>44767</v>
      </c>
      <c r="C615" s="466">
        <v>44713</v>
      </c>
      <c r="D615" s="415" t="s">
        <v>468</v>
      </c>
      <c r="E615" s="415" t="s">
        <v>468</v>
      </c>
      <c r="F615" s="425">
        <v>382.01</v>
      </c>
      <c r="G615" s="427" t="s">
        <v>6621</v>
      </c>
      <c r="H615" s="415" t="s">
        <v>468</v>
      </c>
      <c r="I615" s="639" t="s">
        <v>1461</v>
      </c>
      <c r="J615" s="418" t="s">
        <v>310</v>
      </c>
      <c r="K615" s="418" t="s">
        <v>1220</v>
      </c>
      <c r="L615" s="399" t="s">
        <v>1368</v>
      </c>
      <c r="M615" s="544" t="s">
        <v>310</v>
      </c>
      <c r="N615" s="413">
        <v>44767</v>
      </c>
      <c r="O615" s="414" t="s">
        <v>405</v>
      </c>
      <c r="P615" s="655">
        <f t="shared" si="27"/>
        <v>7</v>
      </c>
      <c r="Q615" s="655">
        <f t="shared" si="28"/>
        <v>6</v>
      </c>
      <c r="R615" s="695" t="str">
        <f t="shared" si="29"/>
        <v>Gastos_custeados_por_captação</v>
      </c>
      <c r="S615" s="696" t="s">
        <v>310</v>
      </c>
      <c r="T615" s="696" t="s">
        <v>310</v>
      </c>
    </row>
    <row r="616" spans="1:20" ht="72" x14ac:dyDescent="0.2">
      <c r="A616" s="432">
        <f>IF(B616="","",COUNT('Diário 1º PA'!$A$4:$A$2635)+COUNT('Diário 2º PA'!$A$4:$A$3040)+ROW()-3)</f>
        <v>4712</v>
      </c>
      <c r="B616" s="413">
        <v>44767</v>
      </c>
      <c r="C616" s="431">
        <v>44713</v>
      </c>
      <c r="D616" s="415" t="s">
        <v>468</v>
      </c>
      <c r="E616" s="415" t="s">
        <v>468</v>
      </c>
      <c r="F616" s="425">
        <v>52.04</v>
      </c>
      <c r="G616" s="427" t="s">
        <v>6894</v>
      </c>
      <c r="H616" s="415" t="s">
        <v>468</v>
      </c>
      <c r="I616" s="639" t="s">
        <v>881</v>
      </c>
      <c r="J616" s="418" t="s">
        <v>882</v>
      </c>
      <c r="K616" s="418" t="s">
        <v>883</v>
      </c>
      <c r="L616" s="399" t="s">
        <v>798</v>
      </c>
      <c r="M616" s="544" t="s">
        <v>310</v>
      </c>
      <c r="N616" s="413">
        <v>44767</v>
      </c>
      <c r="O616" s="414" t="s">
        <v>402</v>
      </c>
      <c r="P616" s="655">
        <f t="shared" si="27"/>
        <v>7</v>
      </c>
      <c r="Q616" s="655">
        <f t="shared" si="28"/>
        <v>6</v>
      </c>
      <c r="R616" s="695" t="str">
        <f t="shared" si="29"/>
        <v>Gastos_custeados_por_captação</v>
      </c>
      <c r="S616" s="698" t="s">
        <v>310</v>
      </c>
      <c r="T616" s="696" t="s">
        <v>310</v>
      </c>
    </row>
    <row r="617" spans="1:20" ht="60" x14ac:dyDescent="0.2">
      <c r="A617" s="432">
        <f>IF(B617="","",COUNT('Diário 1º PA'!$A$4:$A$2635)+COUNT('Diário 2º PA'!$A$4:$A$3040)+ROW()-3)</f>
        <v>4713</v>
      </c>
      <c r="B617" s="414">
        <v>44768</v>
      </c>
      <c r="C617" s="431">
        <v>44713</v>
      </c>
      <c r="D617" s="415" t="s">
        <v>271</v>
      </c>
      <c r="E617" s="415" t="s">
        <v>187</v>
      </c>
      <c r="F617" s="435">
        <v>-184.87</v>
      </c>
      <c r="G617" s="427" t="s">
        <v>6153</v>
      </c>
      <c r="H617" s="415" t="s">
        <v>309</v>
      </c>
      <c r="I617" s="473" t="s">
        <v>795</v>
      </c>
      <c r="J617" s="415" t="s">
        <v>796</v>
      </c>
      <c r="K617" s="415" t="s">
        <v>797</v>
      </c>
      <c r="L617" s="415" t="s">
        <v>798</v>
      </c>
      <c r="M617" s="415" t="s">
        <v>310</v>
      </c>
      <c r="N617" s="414">
        <v>44691</v>
      </c>
      <c r="O617" s="414" t="s">
        <v>400</v>
      </c>
      <c r="P617" s="655">
        <f t="shared" si="27"/>
        <v>7</v>
      </c>
      <c r="Q617" s="655">
        <f t="shared" si="28"/>
        <v>6</v>
      </c>
      <c r="R617" s="695" t="str">
        <f t="shared" si="29"/>
        <v>Gastos_Gerais</v>
      </c>
      <c r="S617" s="697" t="s">
        <v>310</v>
      </c>
      <c r="T617" s="697" t="s">
        <v>310</v>
      </c>
    </row>
    <row r="618" spans="1:20" ht="36" x14ac:dyDescent="0.2">
      <c r="A618" s="432">
        <f>IF(B618="","",COUNT('Diário 1º PA'!$A$4:$A$2635)+COUNT('Diário 2º PA'!$A$4:$A$3040)+ROW()-3)</f>
        <v>4714</v>
      </c>
      <c r="B618" s="413">
        <v>44768</v>
      </c>
      <c r="C618" s="431">
        <v>44743</v>
      </c>
      <c r="D618" s="415" t="s">
        <v>271</v>
      </c>
      <c r="E618" s="415" t="s">
        <v>90</v>
      </c>
      <c r="F618" s="422">
        <v>672</v>
      </c>
      <c r="G618" s="427" t="s">
        <v>5897</v>
      </c>
      <c r="H618" s="415" t="s">
        <v>755</v>
      </c>
      <c r="I618" s="415" t="s">
        <v>6154</v>
      </c>
      <c r="J618" s="415" t="s">
        <v>5774</v>
      </c>
      <c r="K618" s="419" t="s">
        <v>830</v>
      </c>
      <c r="L618" s="415" t="s">
        <v>1341</v>
      </c>
      <c r="M618" s="419">
        <v>1899</v>
      </c>
      <c r="N618" s="413">
        <v>44767</v>
      </c>
      <c r="O618" s="414" t="s">
        <v>400</v>
      </c>
      <c r="P618" s="655">
        <f t="shared" si="27"/>
        <v>7</v>
      </c>
      <c r="Q618" s="655">
        <f t="shared" si="28"/>
        <v>7</v>
      </c>
      <c r="R618" s="695" t="str">
        <f t="shared" si="29"/>
        <v>Gastos_Gerais</v>
      </c>
      <c r="S618" s="697" t="s">
        <v>5937</v>
      </c>
      <c r="T618" s="697">
        <v>4155</v>
      </c>
    </row>
    <row r="619" spans="1:20" ht="24" x14ac:dyDescent="0.2">
      <c r="A619" s="432">
        <f>IF(B619="","",COUNT('Diário 1º PA'!$A$4:$A$2635)+COUNT('Diário 2º PA'!$A$4:$A$3040)+ROW()-3)</f>
        <v>4715</v>
      </c>
      <c r="B619" s="414">
        <v>44768</v>
      </c>
      <c r="C619" s="433">
        <v>44713</v>
      </c>
      <c r="D619" s="434" t="s">
        <v>182</v>
      </c>
      <c r="E619" s="434" t="s">
        <v>161</v>
      </c>
      <c r="F619" s="435">
        <v>1433.14</v>
      </c>
      <c r="G619" s="437" t="s">
        <v>1495</v>
      </c>
      <c r="H619" s="415" t="s">
        <v>310</v>
      </c>
      <c r="I619" s="473" t="s">
        <v>1496</v>
      </c>
      <c r="J619" s="548" t="s">
        <v>1497</v>
      </c>
      <c r="K619" s="415" t="s">
        <v>812</v>
      </c>
      <c r="L619" s="415" t="s">
        <v>807</v>
      </c>
      <c r="M619" s="415" t="s">
        <v>6239</v>
      </c>
      <c r="N619" s="414">
        <v>44769</v>
      </c>
      <c r="O619" s="414" t="s">
        <v>400</v>
      </c>
      <c r="P619" s="655">
        <f t="shared" si="27"/>
        <v>7</v>
      </c>
      <c r="Q619" s="655">
        <f t="shared" si="28"/>
        <v>6</v>
      </c>
      <c r="R619" s="695" t="str">
        <f t="shared" si="29"/>
        <v>Gastos_com_Pessoal</v>
      </c>
      <c r="S619" s="697" t="s">
        <v>310</v>
      </c>
      <c r="T619" s="697" t="s">
        <v>310</v>
      </c>
    </row>
    <row r="620" spans="1:20" ht="96" x14ac:dyDescent="0.2">
      <c r="A620" s="432">
        <f>IF(B620="","",COUNT('Diário 1º PA'!$A$4:$A$2635)+COUNT('Diário 2º PA'!$A$4:$A$3040)+ROW()-3)</f>
        <v>4716</v>
      </c>
      <c r="B620" s="414">
        <v>44768</v>
      </c>
      <c r="C620" s="431">
        <v>44713</v>
      </c>
      <c r="D620" s="415" t="s">
        <v>271</v>
      </c>
      <c r="E620" s="415" t="s">
        <v>187</v>
      </c>
      <c r="F620" s="422">
        <v>700</v>
      </c>
      <c r="G620" s="427" t="s">
        <v>644</v>
      </c>
      <c r="H620" s="415" t="s">
        <v>309</v>
      </c>
      <c r="I620" s="415" t="s">
        <v>1701</v>
      </c>
      <c r="J620" s="415" t="s">
        <v>1071</v>
      </c>
      <c r="K620" s="419" t="s">
        <v>812</v>
      </c>
      <c r="L620" s="415" t="s">
        <v>32</v>
      </c>
      <c r="M620" s="419" t="s">
        <v>1714</v>
      </c>
      <c r="N620" s="413">
        <v>44746</v>
      </c>
      <c r="O620" s="414" t="s">
        <v>400</v>
      </c>
      <c r="P620" s="655">
        <f t="shared" si="27"/>
        <v>7</v>
      </c>
      <c r="Q620" s="655">
        <f t="shared" si="28"/>
        <v>6</v>
      </c>
      <c r="R620" s="695" t="str">
        <f t="shared" si="29"/>
        <v>Gastos_Gerais</v>
      </c>
      <c r="S620" s="697" t="s">
        <v>1000</v>
      </c>
      <c r="T620" s="697">
        <v>2666</v>
      </c>
    </row>
    <row r="621" spans="1:20" ht="24" x14ac:dyDescent="0.2">
      <c r="A621" s="432">
        <f>IF(B621="","",COUNT('Diário 1º PA'!$A$4:$A$2635)+COUNT('Diário 2º PA'!$A$4:$A$3040)+ROW()-3)</f>
        <v>4717</v>
      </c>
      <c r="B621" s="413">
        <v>44768</v>
      </c>
      <c r="C621" s="431">
        <v>44743</v>
      </c>
      <c r="D621" s="434" t="s">
        <v>182</v>
      </c>
      <c r="E621" s="434" t="s">
        <v>161</v>
      </c>
      <c r="F621" s="435">
        <v>1785.66</v>
      </c>
      <c r="G621" s="437" t="s">
        <v>1495</v>
      </c>
      <c r="H621" s="434" t="s">
        <v>310</v>
      </c>
      <c r="I621" s="473" t="s">
        <v>2008</v>
      </c>
      <c r="J621" s="548" t="s">
        <v>2009</v>
      </c>
      <c r="K621" s="419" t="s">
        <v>812</v>
      </c>
      <c r="L621" s="415" t="s">
        <v>32</v>
      </c>
      <c r="M621" s="415" t="s">
        <v>6241</v>
      </c>
      <c r="N621" s="414">
        <v>44771</v>
      </c>
      <c r="O621" s="414" t="s">
        <v>400</v>
      </c>
      <c r="P621" s="655">
        <f t="shared" si="27"/>
        <v>7</v>
      </c>
      <c r="Q621" s="655">
        <f t="shared" si="28"/>
        <v>7</v>
      </c>
      <c r="R621" s="695" t="str">
        <f t="shared" si="29"/>
        <v>Gastos_com_Pessoal</v>
      </c>
      <c r="S621" s="697" t="s">
        <v>310</v>
      </c>
      <c r="T621" s="697" t="s">
        <v>310</v>
      </c>
    </row>
    <row r="622" spans="1:20" ht="36" x14ac:dyDescent="0.2">
      <c r="A622" s="432">
        <f>IF(B622="","",COUNT('Diário 1º PA'!$A$4:$A$2635)+COUNT('Diário 2º PA'!$A$4:$A$3040)+ROW()-3)</f>
        <v>4718</v>
      </c>
      <c r="B622" s="413">
        <v>44768</v>
      </c>
      <c r="C622" s="431">
        <v>44743</v>
      </c>
      <c r="D622" s="415" t="s">
        <v>271</v>
      </c>
      <c r="E622" s="415" t="s">
        <v>71</v>
      </c>
      <c r="F622" s="425">
        <v>11</v>
      </c>
      <c r="G622" s="427" t="s">
        <v>6157</v>
      </c>
      <c r="H622" s="415" t="s">
        <v>755</v>
      </c>
      <c r="I622" s="473" t="s">
        <v>881</v>
      </c>
      <c r="J622" s="415" t="s">
        <v>882</v>
      </c>
      <c r="K622" s="415" t="s">
        <v>883</v>
      </c>
      <c r="L622" s="415" t="s">
        <v>798</v>
      </c>
      <c r="M622" s="415" t="s">
        <v>310</v>
      </c>
      <c r="N622" s="413">
        <v>44768</v>
      </c>
      <c r="O622" s="414" t="s">
        <v>400</v>
      </c>
      <c r="P622" s="655">
        <f t="shared" si="27"/>
        <v>7</v>
      </c>
      <c r="Q622" s="655">
        <f t="shared" si="28"/>
        <v>7</v>
      </c>
      <c r="R622" s="695" t="str">
        <f t="shared" si="29"/>
        <v>Gastos_Gerais</v>
      </c>
      <c r="S622" s="696" t="s">
        <v>310</v>
      </c>
      <c r="T622" s="696" t="s">
        <v>310</v>
      </c>
    </row>
    <row r="623" spans="1:20" ht="60" x14ac:dyDescent="0.2">
      <c r="A623" s="432">
        <f>IF(B623="","",COUNT('Diário 1º PA'!$A$4:$A$2635)+COUNT('Diário 2º PA'!$A$4:$A$3040)+ROW()-3)</f>
        <v>4719</v>
      </c>
      <c r="B623" s="413">
        <v>44768</v>
      </c>
      <c r="C623" s="431">
        <v>44713</v>
      </c>
      <c r="D623" s="415" t="s">
        <v>468</v>
      </c>
      <c r="E623" s="415" t="s">
        <v>468</v>
      </c>
      <c r="F623" s="425">
        <v>303.20999999999998</v>
      </c>
      <c r="G623" s="427" t="s">
        <v>5149</v>
      </c>
      <c r="H623" s="415" t="s">
        <v>468</v>
      </c>
      <c r="I623" s="473" t="s">
        <v>6564</v>
      </c>
      <c r="J623" s="415" t="s">
        <v>4992</v>
      </c>
      <c r="K623" s="415" t="s">
        <v>812</v>
      </c>
      <c r="L623" s="415" t="s">
        <v>32</v>
      </c>
      <c r="M623" s="415">
        <v>10534</v>
      </c>
      <c r="N623" s="413">
        <v>44009</v>
      </c>
      <c r="O623" s="414" t="s">
        <v>404</v>
      </c>
      <c r="P623" s="655">
        <f t="shared" si="27"/>
        <v>7</v>
      </c>
      <c r="Q623" s="655">
        <f t="shared" si="28"/>
        <v>6</v>
      </c>
      <c r="R623" s="695" t="str">
        <f t="shared" si="29"/>
        <v>Gastos_custeados_por_captação</v>
      </c>
      <c r="S623" s="696" t="s">
        <v>999</v>
      </c>
      <c r="T623" s="696">
        <v>3982</v>
      </c>
    </row>
    <row r="624" spans="1:20" ht="60" x14ac:dyDescent="0.2">
      <c r="A624" s="432">
        <f>IF(B624="","",COUNT('Diário 1º PA'!$A$4:$A$2635)+COUNT('Diário 2º PA'!$A$4:$A$3040)+ROW()-3)</f>
        <v>4720</v>
      </c>
      <c r="B624" s="413">
        <v>44768</v>
      </c>
      <c r="C624" s="431">
        <v>44713</v>
      </c>
      <c r="D624" s="415" t="s">
        <v>468</v>
      </c>
      <c r="E624" s="415" t="s">
        <v>468</v>
      </c>
      <c r="F624" s="425">
        <v>189.28</v>
      </c>
      <c r="G624" s="427" t="s">
        <v>5150</v>
      </c>
      <c r="H624" s="415" t="s">
        <v>468</v>
      </c>
      <c r="I624" s="473" t="s">
        <v>6565</v>
      </c>
      <c r="J624" s="415" t="s">
        <v>5151</v>
      </c>
      <c r="K624" s="415" t="s">
        <v>812</v>
      </c>
      <c r="L624" s="415" t="s">
        <v>32</v>
      </c>
      <c r="M624" s="415">
        <v>13480</v>
      </c>
      <c r="N624" s="413">
        <v>44739</v>
      </c>
      <c r="O624" s="414" t="s">
        <v>404</v>
      </c>
      <c r="P624" s="655">
        <f t="shared" si="27"/>
        <v>7</v>
      </c>
      <c r="Q624" s="655">
        <f t="shared" si="28"/>
        <v>6</v>
      </c>
      <c r="R624" s="695" t="str">
        <f t="shared" si="29"/>
        <v>Gastos_custeados_por_captação</v>
      </c>
      <c r="S624" s="696" t="s">
        <v>999</v>
      </c>
      <c r="T624" s="696">
        <v>3980</v>
      </c>
    </row>
    <row r="625" spans="1:20" ht="60" x14ac:dyDescent="0.2">
      <c r="A625" s="432">
        <f>IF(B625="","",COUNT('Diário 1º PA'!$A$4:$A$2635)+COUNT('Diário 2º PA'!$A$4:$A$3040)+ROW()-3)</f>
        <v>4721</v>
      </c>
      <c r="B625" s="413">
        <v>44768</v>
      </c>
      <c r="C625" s="431">
        <v>44713</v>
      </c>
      <c r="D625" s="415" t="s">
        <v>468</v>
      </c>
      <c r="E625" s="415" t="s">
        <v>468</v>
      </c>
      <c r="F625" s="425">
        <v>245.33</v>
      </c>
      <c r="G625" s="427" t="s">
        <v>5145</v>
      </c>
      <c r="H625" s="415" t="s">
        <v>468</v>
      </c>
      <c r="I625" s="473" t="s">
        <v>6564</v>
      </c>
      <c r="J625" s="415" t="s">
        <v>4992</v>
      </c>
      <c r="K625" s="415" t="s">
        <v>812</v>
      </c>
      <c r="L625" s="415" t="s">
        <v>32</v>
      </c>
      <c r="M625" s="415">
        <v>10525</v>
      </c>
      <c r="N625" s="413">
        <v>44739</v>
      </c>
      <c r="O625" s="414" t="s">
        <v>404</v>
      </c>
      <c r="P625" s="655">
        <f t="shared" si="27"/>
        <v>7</v>
      </c>
      <c r="Q625" s="655">
        <f t="shared" si="28"/>
        <v>6</v>
      </c>
      <c r="R625" s="695" t="str">
        <f t="shared" si="29"/>
        <v>Gastos_custeados_por_captação</v>
      </c>
      <c r="S625" s="696" t="s">
        <v>999</v>
      </c>
      <c r="T625" s="696">
        <v>3968</v>
      </c>
    </row>
    <row r="626" spans="1:20" ht="60" x14ac:dyDescent="0.2">
      <c r="A626" s="432">
        <f>IF(B626="","",COUNT('Diário 1º PA'!$A$4:$A$2635)+COUNT('Diário 2º PA'!$A$4:$A$3040)+ROW()-3)</f>
        <v>4722</v>
      </c>
      <c r="B626" s="413">
        <v>44768</v>
      </c>
      <c r="C626" s="431">
        <v>44713</v>
      </c>
      <c r="D626" s="415" t="s">
        <v>468</v>
      </c>
      <c r="E626" s="415" t="s">
        <v>468</v>
      </c>
      <c r="F626" s="425">
        <v>2000</v>
      </c>
      <c r="G626" s="427" t="s">
        <v>4942</v>
      </c>
      <c r="H626" s="415" t="s">
        <v>468</v>
      </c>
      <c r="I626" s="473" t="s">
        <v>6622</v>
      </c>
      <c r="J626" s="415" t="s">
        <v>4943</v>
      </c>
      <c r="K626" s="415" t="s">
        <v>830</v>
      </c>
      <c r="L626" s="415" t="s">
        <v>1305</v>
      </c>
      <c r="M626" s="544" t="s">
        <v>310</v>
      </c>
      <c r="N626" s="413">
        <v>44748</v>
      </c>
      <c r="O626" s="414" t="s">
        <v>405</v>
      </c>
      <c r="P626" s="655">
        <f t="shared" si="27"/>
        <v>7</v>
      </c>
      <c r="Q626" s="655">
        <f t="shared" si="28"/>
        <v>6</v>
      </c>
      <c r="R626" s="695" t="str">
        <f t="shared" si="29"/>
        <v>Gastos_custeados_por_captação</v>
      </c>
      <c r="S626" s="696" t="s">
        <v>998</v>
      </c>
      <c r="T626" s="696">
        <v>3944</v>
      </c>
    </row>
    <row r="627" spans="1:20" ht="49.5" customHeight="1" x14ac:dyDescent="0.2">
      <c r="A627" s="432">
        <f>IF(B627="","",COUNT('Diário 1º PA'!$A$4:$A$2635)+COUNT('Diário 2º PA'!$A$4:$A$3040)+ROW()-3)</f>
        <v>4723</v>
      </c>
      <c r="B627" s="413">
        <v>44769</v>
      </c>
      <c r="C627" s="433">
        <v>44743</v>
      </c>
      <c r="D627" s="434" t="s">
        <v>182</v>
      </c>
      <c r="E627" s="434" t="s">
        <v>6</v>
      </c>
      <c r="F627" s="435">
        <v>27256.17</v>
      </c>
      <c r="G627" s="437" t="s">
        <v>6101</v>
      </c>
      <c r="H627" s="434" t="s">
        <v>310</v>
      </c>
      <c r="I627" s="474" t="s">
        <v>1486</v>
      </c>
      <c r="J627" s="418" t="s">
        <v>1487</v>
      </c>
      <c r="K627" s="419" t="s">
        <v>812</v>
      </c>
      <c r="L627" s="415" t="s">
        <v>32</v>
      </c>
      <c r="M627" s="415">
        <v>124685</v>
      </c>
      <c r="N627" s="414">
        <v>44774</v>
      </c>
      <c r="O627" s="393" t="s">
        <v>400</v>
      </c>
      <c r="P627" s="655">
        <f t="shared" si="27"/>
        <v>7</v>
      </c>
      <c r="Q627" s="655">
        <f t="shared" si="28"/>
        <v>7</v>
      </c>
      <c r="R627" s="695" t="str">
        <f t="shared" si="29"/>
        <v>Gastos_com_Pessoal</v>
      </c>
      <c r="S627" s="696" t="s">
        <v>310</v>
      </c>
      <c r="T627" s="696" t="s">
        <v>310</v>
      </c>
    </row>
    <row r="628" spans="1:20" ht="25.5" x14ac:dyDescent="0.2">
      <c r="A628" s="432">
        <f>IF(B628="","",COUNT('Diário 1º PA'!$A$4:$A$2635)+COUNT('Diário 2º PA'!$A$4:$A$3040)+ROW()-3)</f>
        <v>4724</v>
      </c>
      <c r="B628" s="413">
        <v>44769</v>
      </c>
      <c r="C628" s="431">
        <v>44743</v>
      </c>
      <c r="D628" s="434" t="s">
        <v>182</v>
      </c>
      <c r="E628" s="434" t="s">
        <v>6</v>
      </c>
      <c r="F628" s="435">
        <v>6692.04</v>
      </c>
      <c r="G628" s="437" t="s">
        <v>6102</v>
      </c>
      <c r="H628" s="434" t="s">
        <v>310</v>
      </c>
      <c r="I628" s="474" t="s">
        <v>1486</v>
      </c>
      <c r="J628" s="418" t="s">
        <v>1487</v>
      </c>
      <c r="K628" s="419" t="s">
        <v>812</v>
      </c>
      <c r="L628" s="415" t="s">
        <v>32</v>
      </c>
      <c r="M628" s="415">
        <v>106823</v>
      </c>
      <c r="N628" s="414">
        <v>44774</v>
      </c>
      <c r="O628" s="393" t="s">
        <v>400</v>
      </c>
      <c r="P628" s="655">
        <f t="shared" si="27"/>
        <v>7</v>
      </c>
      <c r="Q628" s="655">
        <f t="shared" si="28"/>
        <v>7</v>
      </c>
      <c r="R628" s="695" t="str">
        <f t="shared" si="29"/>
        <v>Gastos_com_Pessoal</v>
      </c>
      <c r="S628" s="697" t="s">
        <v>310</v>
      </c>
      <c r="T628" s="697" t="s">
        <v>310</v>
      </c>
    </row>
    <row r="629" spans="1:20" ht="36" x14ac:dyDescent="0.2">
      <c r="A629" s="432">
        <f>IF(B629="","",COUNT('Diário 1º PA'!$A$4:$A$2635)+COUNT('Diário 2º PA'!$A$4:$A$3040)+ROW()-3)</f>
        <v>4725</v>
      </c>
      <c r="B629" s="413">
        <v>44769</v>
      </c>
      <c r="C629" s="424">
        <v>44743</v>
      </c>
      <c r="D629" s="419" t="s">
        <v>34</v>
      </c>
      <c r="E629" s="419" t="s">
        <v>167</v>
      </c>
      <c r="F629" s="422">
        <v>30</v>
      </c>
      <c r="G629" s="427" t="s">
        <v>6162</v>
      </c>
      <c r="H629" s="419" t="s">
        <v>310</v>
      </c>
      <c r="I629" s="415" t="s">
        <v>795</v>
      </c>
      <c r="J629" s="419" t="s">
        <v>796</v>
      </c>
      <c r="K629" s="419" t="s">
        <v>797</v>
      </c>
      <c r="L629" s="415" t="s">
        <v>798</v>
      </c>
      <c r="M629" s="419" t="s">
        <v>310</v>
      </c>
      <c r="N629" s="413">
        <v>44769</v>
      </c>
      <c r="O629" s="413" t="s">
        <v>400</v>
      </c>
      <c r="P629" s="655">
        <f t="shared" si="27"/>
        <v>7</v>
      </c>
      <c r="Q629" s="655">
        <f t="shared" si="28"/>
        <v>7</v>
      </c>
      <c r="R629" s="695" t="str">
        <f t="shared" si="29"/>
        <v>Receitas</v>
      </c>
      <c r="S629" s="697" t="s">
        <v>310</v>
      </c>
      <c r="T629" s="697" t="s">
        <v>310</v>
      </c>
    </row>
    <row r="630" spans="1:20" ht="36" x14ac:dyDescent="0.2">
      <c r="A630" s="432">
        <f>IF(B630="","",COUNT('Diário 1º PA'!$A$4:$A$2635)+COUNT('Diário 2º PA'!$A$4:$A$3040)+ROW()-3)</f>
        <v>4726</v>
      </c>
      <c r="B630" s="413">
        <v>44769</v>
      </c>
      <c r="C630" s="431">
        <v>44682</v>
      </c>
      <c r="D630" s="415" t="s">
        <v>271</v>
      </c>
      <c r="E630" s="415" t="s">
        <v>453</v>
      </c>
      <c r="F630" s="422">
        <v>605.20000000000005</v>
      </c>
      <c r="G630" s="427" t="s">
        <v>4616</v>
      </c>
      <c r="H630" s="415" t="s">
        <v>748</v>
      </c>
      <c r="I630" s="415" t="s">
        <v>6163</v>
      </c>
      <c r="J630" s="415" t="s">
        <v>4615</v>
      </c>
      <c r="K630" s="419" t="s">
        <v>806</v>
      </c>
      <c r="L630" s="415" t="s">
        <v>1341</v>
      </c>
      <c r="M630" s="419">
        <v>1901</v>
      </c>
      <c r="N630" s="413">
        <v>44768</v>
      </c>
      <c r="O630" s="413" t="s">
        <v>400</v>
      </c>
      <c r="P630" s="655">
        <f t="shared" si="27"/>
        <v>7</v>
      </c>
      <c r="Q630" s="655">
        <f t="shared" si="28"/>
        <v>5</v>
      </c>
      <c r="R630" s="695" t="str">
        <f t="shared" si="29"/>
        <v>Gastos_Gerais</v>
      </c>
      <c r="S630" s="697" t="s">
        <v>998</v>
      </c>
      <c r="T630" s="697">
        <v>3777</v>
      </c>
    </row>
    <row r="631" spans="1:20" ht="60" x14ac:dyDescent="0.2">
      <c r="A631" s="432">
        <f>IF(B631="","",COUNT('Diário 1º PA'!$A$4:$A$2635)+COUNT('Diário 2º PA'!$A$4:$A$3040)+ROW()-3)</f>
        <v>4727</v>
      </c>
      <c r="B631" s="413">
        <v>44769</v>
      </c>
      <c r="C631" s="431">
        <v>44743</v>
      </c>
      <c r="D631" s="415" t="s">
        <v>271</v>
      </c>
      <c r="E631" s="415" t="s">
        <v>449</v>
      </c>
      <c r="F631" s="425">
        <v>16800</v>
      </c>
      <c r="G631" s="427" t="s">
        <v>5909</v>
      </c>
      <c r="H631" s="415" t="s">
        <v>755</v>
      </c>
      <c r="I631" s="415" t="s">
        <v>4837</v>
      </c>
      <c r="J631" s="415" t="s">
        <v>4676</v>
      </c>
      <c r="K631" s="419" t="s">
        <v>830</v>
      </c>
      <c r="L631" s="415" t="s">
        <v>1305</v>
      </c>
      <c r="M631" s="419" t="s">
        <v>310</v>
      </c>
      <c r="N631" s="413">
        <v>44768</v>
      </c>
      <c r="O631" s="413" t="s">
        <v>400</v>
      </c>
      <c r="P631" s="655">
        <f t="shared" si="27"/>
        <v>7</v>
      </c>
      <c r="Q631" s="655">
        <f t="shared" si="28"/>
        <v>7</v>
      </c>
      <c r="R631" s="695" t="str">
        <f t="shared" si="29"/>
        <v>Gastos_Gerais</v>
      </c>
      <c r="S631" s="697" t="s">
        <v>998</v>
      </c>
      <c r="T631" s="697">
        <v>4125</v>
      </c>
    </row>
    <row r="632" spans="1:20" ht="60" x14ac:dyDescent="0.2">
      <c r="A632" s="432">
        <f>IF(B632="","",COUNT('Diário 1º PA'!$A$4:$A$2635)+COUNT('Diário 2º PA'!$A$4:$A$3040)+ROW()-3)</f>
        <v>4728</v>
      </c>
      <c r="B632" s="413">
        <v>44769</v>
      </c>
      <c r="C632" s="431">
        <v>44713</v>
      </c>
      <c r="D632" s="415" t="s">
        <v>271</v>
      </c>
      <c r="E632" s="415" t="s">
        <v>453</v>
      </c>
      <c r="F632" s="422">
        <v>1308.3499999999999</v>
      </c>
      <c r="G632" s="427" t="s">
        <v>4479</v>
      </c>
      <c r="H632" s="415" t="s">
        <v>752</v>
      </c>
      <c r="I632" s="415" t="s">
        <v>4808</v>
      </c>
      <c r="J632" s="415" t="s">
        <v>1129</v>
      </c>
      <c r="K632" s="419" t="s">
        <v>830</v>
      </c>
      <c r="L632" s="415" t="s">
        <v>1341</v>
      </c>
      <c r="M632" s="419">
        <v>1902</v>
      </c>
      <c r="N632" s="413">
        <v>44768</v>
      </c>
      <c r="O632" s="413" t="s">
        <v>400</v>
      </c>
      <c r="P632" s="655">
        <f t="shared" si="27"/>
        <v>7</v>
      </c>
      <c r="Q632" s="655">
        <f t="shared" si="28"/>
        <v>6</v>
      </c>
      <c r="R632" s="695" t="str">
        <f t="shared" si="29"/>
        <v>Gastos_Gerais</v>
      </c>
      <c r="S632" s="697" t="s">
        <v>998</v>
      </c>
      <c r="T632" s="697">
        <v>3834</v>
      </c>
    </row>
    <row r="633" spans="1:20" ht="48" x14ac:dyDescent="0.2">
      <c r="A633" s="432">
        <f>IF(B633="","",COUNT('Diário 1º PA'!$A$4:$A$2635)+COUNT('Diário 2º PA'!$A$4:$A$3040)+ROW()-3)</f>
        <v>4729</v>
      </c>
      <c r="B633" s="413">
        <v>44769</v>
      </c>
      <c r="C633" s="431">
        <v>44713</v>
      </c>
      <c r="D633" s="415" t="s">
        <v>271</v>
      </c>
      <c r="E633" s="415" t="s">
        <v>297</v>
      </c>
      <c r="F633" s="435">
        <v>574.39</v>
      </c>
      <c r="G633" s="427" t="s">
        <v>4973</v>
      </c>
      <c r="H633" s="415" t="s">
        <v>756</v>
      </c>
      <c r="I633" s="415" t="s">
        <v>5114</v>
      </c>
      <c r="J633" s="415" t="s">
        <v>3888</v>
      </c>
      <c r="K633" s="419" t="s">
        <v>830</v>
      </c>
      <c r="L633" s="415" t="s">
        <v>32</v>
      </c>
      <c r="M633" s="419" t="s">
        <v>5211</v>
      </c>
      <c r="N633" s="413">
        <v>44767</v>
      </c>
      <c r="O633" s="393" t="s">
        <v>400</v>
      </c>
      <c r="P633" s="655">
        <f t="shared" si="27"/>
        <v>7</v>
      </c>
      <c r="Q633" s="655">
        <f t="shared" si="28"/>
        <v>6</v>
      </c>
      <c r="R633" s="695" t="str">
        <f t="shared" si="29"/>
        <v>Gastos_Gerais</v>
      </c>
      <c r="S633" s="697" t="s">
        <v>998</v>
      </c>
      <c r="T633" s="697">
        <v>3927</v>
      </c>
    </row>
    <row r="634" spans="1:20" ht="48" x14ac:dyDescent="0.2">
      <c r="A634" s="432">
        <f>IF(B634="","",COUNT('Diário 1º PA'!$A$4:$A$2635)+COUNT('Diário 2º PA'!$A$4:$A$3040)+ROW()-3)</f>
        <v>4730</v>
      </c>
      <c r="B634" s="413">
        <v>44769</v>
      </c>
      <c r="C634" s="431">
        <v>44743</v>
      </c>
      <c r="D634" s="415" t="s">
        <v>271</v>
      </c>
      <c r="E634" s="415" t="s">
        <v>71</v>
      </c>
      <c r="F634" s="425">
        <v>11</v>
      </c>
      <c r="G634" s="427" t="s">
        <v>6170</v>
      </c>
      <c r="H634" s="415" t="s">
        <v>755</v>
      </c>
      <c r="I634" s="473" t="s">
        <v>881</v>
      </c>
      <c r="J634" s="415" t="s">
        <v>882</v>
      </c>
      <c r="K634" s="415" t="s">
        <v>883</v>
      </c>
      <c r="L634" s="415" t="s">
        <v>798</v>
      </c>
      <c r="M634" s="415" t="s">
        <v>310</v>
      </c>
      <c r="N634" s="413">
        <v>44769</v>
      </c>
      <c r="O634" s="414" t="s">
        <v>400</v>
      </c>
      <c r="P634" s="655">
        <f t="shared" si="27"/>
        <v>7</v>
      </c>
      <c r="Q634" s="655">
        <f t="shared" si="28"/>
        <v>7</v>
      </c>
      <c r="R634" s="695" t="str">
        <f t="shared" si="29"/>
        <v>Gastos_Gerais</v>
      </c>
      <c r="S634" s="696" t="s">
        <v>310</v>
      </c>
      <c r="T634" s="696" t="s">
        <v>310</v>
      </c>
    </row>
    <row r="635" spans="1:20" ht="36" x14ac:dyDescent="0.2">
      <c r="A635" s="432">
        <f>IF(B635="","",COUNT('Diário 1º PA'!$A$4:$A$2635)+COUNT('Diário 2º PA'!$A$4:$A$3040)+ROW()-3)</f>
        <v>4731</v>
      </c>
      <c r="B635" s="413">
        <v>44769</v>
      </c>
      <c r="C635" s="431">
        <v>44743</v>
      </c>
      <c r="D635" s="415" t="s">
        <v>271</v>
      </c>
      <c r="E635" s="415" t="s">
        <v>71</v>
      </c>
      <c r="F635" s="425">
        <v>11</v>
      </c>
      <c r="G635" s="427" t="s">
        <v>6171</v>
      </c>
      <c r="H635" s="415" t="s">
        <v>752</v>
      </c>
      <c r="I635" s="473" t="s">
        <v>881</v>
      </c>
      <c r="J635" s="415" t="s">
        <v>882</v>
      </c>
      <c r="K635" s="415" t="s">
        <v>883</v>
      </c>
      <c r="L635" s="415" t="s">
        <v>798</v>
      </c>
      <c r="M635" s="415" t="s">
        <v>310</v>
      </c>
      <c r="N635" s="413">
        <v>44769</v>
      </c>
      <c r="O635" s="414" t="s">
        <v>400</v>
      </c>
      <c r="P635" s="655">
        <f t="shared" si="27"/>
        <v>7</v>
      </c>
      <c r="Q635" s="655">
        <f t="shared" si="28"/>
        <v>7</v>
      </c>
      <c r="R635" s="695" t="str">
        <f t="shared" si="29"/>
        <v>Gastos_Gerais</v>
      </c>
      <c r="S635" s="696" t="s">
        <v>310</v>
      </c>
      <c r="T635" s="696" t="s">
        <v>310</v>
      </c>
    </row>
    <row r="636" spans="1:20" ht="36" x14ac:dyDescent="0.2">
      <c r="A636" s="432">
        <f>IF(B636="","",COUNT('Diário 1º PA'!$A$4:$A$2635)+COUNT('Diário 2º PA'!$A$4:$A$3040)+ROW()-3)</f>
        <v>4732</v>
      </c>
      <c r="B636" s="413">
        <v>44769</v>
      </c>
      <c r="C636" s="431">
        <v>44743</v>
      </c>
      <c r="D636" s="415" t="s">
        <v>271</v>
      </c>
      <c r="E636" s="415" t="s">
        <v>71</v>
      </c>
      <c r="F636" s="425">
        <v>11</v>
      </c>
      <c r="G636" s="427" t="s">
        <v>6172</v>
      </c>
      <c r="H636" s="415" t="s">
        <v>756</v>
      </c>
      <c r="I636" s="473" t="s">
        <v>881</v>
      </c>
      <c r="J636" s="415" t="s">
        <v>882</v>
      </c>
      <c r="K636" s="415" t="s">
        <v>883</v>
      </c>
      <c r="L636" s="415" t="s">
        <v>798</v>
      </c>
      <c r="M636" s="415" t="s">
        <v>310</v>
      </c>
      <c r="N636" s="413">
        <v>44769</v>
      </c>
      <c r="O636" s="414" t="s">
        <v>400</v>
      </c>
      <c r="P636" s="655">
        <f t="shared" si="27"/>
        <v>7</v>
      </c>
      <c r="Q636" s="655">
        <f t="shared" si="28"/>
        <v>7</v>
      </c>
      <c r="R636" s="695" t="str">
        <f t="shared" si="29"/>
        <v>Gastos_Gerais</v>
      </c>
      <c r="S636" s="696" t="s">
        <v>310</v>
      </c>
      <c r="T636" s="696" t="s">
        <v>310</v>
      </c>
    </row>
    <row r="637" spans="1:20" ht="84" x14ac:dyDescent="0.2">
      <c r="A637" s="432">
        <f>IF(B637="","",COUNT('Diário 1º PA'!$A$4:$A$2635)+COUNT('Diário 2º PA'!$A$4:$A$3040)+ROW()-3)</f>
        <v>4733</v>
      </c>
      <c r="B637" s="413">
        <v>44769</v>
      </c>
      <c r="C637" s="431">
        <v>44743</v>
      </c>
      <c r="D637" s="415" t="s">
        <v>468</v>
      </c>
      <c r="E637" s="415" t="s">
        <v>468</v>
      </c>
      <c r="F637" s="425">
        <v>353.42</v>
      </c>
      <c r="G637" s="427" t="s">
        <v>4606</v>
      </c>
      <c r="H637" s="415" t="s">
        <v>468</v>
      </c>
      <c r="I637" s="473" t="s">
        <v>6472</v>
      </c>
      <c r="J637" s="415" t="s">
        <v>3084</v>
      </c>
      <c r="K637" s="419" t="s">
        <v>806</v>
      </c>
      <c r="L637" s="415" t="s">
        <v>839</v>
      </c>
      <c r="M637" s="415">
        <v>1903</v>
      </c>
      <c r="N637" s="413">
        <v>44768</v>
      </c>
      <c r="O637" s="414" t="s">
        <v>3762</v>
      </c>
      <c r="P637" s="655">
        <f t="shared" si="27"/>
        <v>7</v>
      </c>
      <c r="Q637" s="655">
        <f t="shared" si="28"/>
        <v>7</v>
      </c>
      <c r="R637" s="695" t="str">
        <f t="shared" si="29"/>
        <v>Gastos_custeados_por_captação</v>
      </c>
      <c r="S637" s="698" t="s">
        <v>998</v>
      </c>
      <c r="T637" s="696">
        <v>3891</v>
      </c>
    </row>
    <row r="638" spans="1:20" ht="48" x14ac:dyDescent="0.2">
      <c r="A638" s="432">
        <f>IF(B638="","",COUNT('Diário 1º PA'!$A$4:$A$2635)+COUNT('Diário 2º PA'!$A$4:$A$3040)+ROW()-3)</f>
        <v>4734</v>
      </c>
      <c r="B638" s="413">
        <v>44769</v>
      </c>
      <c r="C638" s="431">
        <v>44713</v>
      </c>
      <c r="D638" s="415" t="s">
        <v>468</v>
      </c>
      <c r="E638" s="415" t="s">
        <v>468</v>
      </c>
      <c r="F638" s="425">
        <v>2462.5500000000002</v>
      </c>
      <c r="G638" s="427" t="s">
        <v>5902</v>
      </c>
      <c r="H638" s="415" t="s">
        <v>468</v>
      </c>
      <c r="I638" s="473" t="s">
        <v>6475</v>
      </c>
      <c r="J638" s="415" t="s">
        <v>1991</v>
      </c>
      <c r="K638" s="415" t="s">
        <v>830</v>
      </c>
      <c r="L638" s="415" t="s">
        <v>839</v>
      </c>
      <c r="M638" s="415">
        <v>1904</v>
      </c>
      <c r="N638" s="413">
        <v>44768</v>
      </c>
      <c r="O638" s="414" t="s">
        <v>3762</v>
      </c>
      <c r="P638" s="655">
        <f t="shared" si="27"/>
        <v>7</v>
      </c>
      <c r="Q638" s="655">
        <f t="shared" si="28"/>
        <v>6</v>
      </c>
      <c r="R638" s="695" t="str">
        <f t="shared" si="29"/>
        <v>Gastos_custeados_por_captação</v>
      </c>
      <c r="S638" s="696" t="s">
        <v>1000</v>
      </c>
      <c r="T638" s="696">
        <v>4131</v>
      </c>
    </row>
    <row r="639" spans="1:20" ht="48" x14ac:dyDescent="0.2">
      <c r="A639" s="432">
        <f>IF(B639="","",COUNT('Diário 1º PA'!$A$4:$A$2635)+COUNT('Diário 2º PA'!$A$4:$A$3040)+ROW()-3)</f>
        <v>4735</v>
      </c>
      <c r="B639" s="413">
        <v>44769</v>
      </c>
      <c r="C639" s="431">
        <v>44743</v>
      </c>
      <c r="D639" s="415" t="s">
        <v>468</v>
      </c>
      <c r="E639" s="415" t="s">
        <v>468</v>
      </c>
      <c r="F639" s="425">
        <v>1764</v>
      </c>
      <c r="G639" s="427" t="s">
        <v>5903</v>
      </c>
      <c r="H639" s="415" t="s">
        <v>468</v>
      </c>
      <c r="I639" s="473" t="s">
        <v>6478</v>
      </c>
      <c r="J639" s="415" t="s">
        <v>5904</v>
      </c>
      <c r="K639" s="415" t="s">
        <v>830</v>
      </c>
      <c r="L639" s="415" t="s">
        <v>839</v>
      </c>
      <c r="M639" s="415">
        <v>1900</v>
      </c>
      <c r="N639" s="413">
        <v>44764</v>
      </c>
      <c r="O639" s="414" t="s">
        <v>3762</v>
      </c>
      <c r="P639" s="655">
        <f t="shared" si="27"/>
        <v>7</v>
      </c>
      <c r="Q639" s="655">
        <f t="shared" si="28"/>
        <v>7</v>
      </c>
      <c r="R639" s="695" t="str">
        <f t="shared" si="29"/>
        <v>Gastos_custeados_por_captação</v>
      </c>
      <c r="S639" s="696" t="s">
        <v>5937</v>
      </c>
      <c r="T639" s="696">
        <v>4117</v>
      </c>
    </row>
    <row r="640" spans="1:20" ht="48" x14ac:dyDescent="0.2">
      <c r="A640" s="432">
        <f>IF(B640="","",COUNT('Diário 1º PA'!$A$4:$A$2635)+COUNT('Diário 2º PA'!$A$4:$A$3040)+ROW()-3)</f>
        <v>4736</v>
      </c>
      <c r="B640" s="413">
        <v>44769</v>
      </c>
      <c r="C640" s="431">
        <v>44713</v>
      </c>
      <c r="D640" s="415" t="s">
        <v>468</v>
      </c>
      <c r="E640" s="415" t="s">
        <v>468</v>
      </c>
      <c r="F640" s="425">
        <v>2462.5500000000002</v>
      </c>
      <c r="G640" s="427" t="s">
        <v>5902</v>
      </c>
      <c r="H640" s="415" t="s">
        <v>468</v>
      </c>
      <c r="I640" s="473" t="s">
        <v>5427</v>
      </c>
      <c r="J640" s="415" t="s">
        <v>1990</v>
      </c>
      <c r="K640" s="415" t="s">
        <v>830</v>
      </c>
      <c r="L640" s="415" t="s">
        <v>839</v>
      </c>
      <c r="M640" s="415">
        <v>1906</v>
      </c>
      <c r="N640" s="413">
        <v>44768</v>
      </c>
      <c r="O640" s="414" t="s">
        <v>3762</v>
      </c>
      <c r="P640" s="655">
        <f t="shared" si="27"/>
        <v>7</v>
      </c>
      <c r="Q640" s="655">
        <f t="shared" si="28"/>
        <v>6</v>
      </c>
      <c r="R640" s="695" t="str">
        <f t="shared" si="29"/>
        <v>Gastos_custeados_por_captação</v>
      </c>
      <c r="S640" s="696" t="s">
        <v>1000</v>
      </c>
      <c r="T640" s="696">
        <v>4129</v>
      </c>
    </row>
    <row r="641" spans="1:20" ht="48" x14ac:dyDescent="0.2">
      <c r="A641" s="432">
        <f>IF(B641="","",COUNT('Diário 1º PA'!$A$4:$A$2635)+COUNT('Diário 2º PA'!$A$4:$A$3040)+ROW()-3)</f>
        <v>4737</v>
      </c>
      <c r="B641" s="413">
        <v>44769</v>
      </c>
      <c r="C641" s="431">
        <v>44743</v>
      </c>
      <c r="D641" s="415" t="s">
        <v>468</v>
      </c>
      <c r="E641" s="415" t="s">
        <v>468</v>
      </c>
      <c r="F641" s="425">
        <v>11</v>
      </c>
      <c r="G641" s="427" t="s">
        <v>2469</v>
      </c>
      <c r="H641" s="415" t="s">
        <v>468</v>
      </c>
      <c r="I641" s="639" t="s">
        <v>881</v>
      </c>
      <c r="J641" s="418" t="s">
        <v>882</v>
      </c>
      <c r="K641" s="418" t="s">
        <v>883</v>
      </c>
      <c r="L641" s="399" t="s">
        <v>798</v>
      </c>
      <c r="M641" s="544" t="s">
        <v>310</v>
      </c>
      <c r="N641" s="413">
        <v>44769</v>
      </c>
      <c r="O641" s="414" t="s">
        <v>3762</v>
      </c>
      <c r="P641" s="655">
        <f t="shared" si="27"/>
        <v>7</v>
      </c>
      <c r="Q641" s="655">
        <f t="shared" si="28"/>
        <v>7</v>
      </c>
      <c r="R641" s="695" t="str">
        <f t="shared" si="29"/>
        <v>Gastos_custeados_por_captação</v>
      </c>
      <c r="S641" s="696" t="s">
        <v>310</v>
      </c>
      <c r="T641" s="696" t="s">
        <v>310</v>
      </c>
    </row>
    <row r="642" spans="1:20" ht="48" x14ac:dyDescent="0.2">
      <c r="A642" s="432">
        <f>IF(B642="","",COUNT('Diário 1º PA'!$A$4:$A$2635)+COUNT('Diário 2º PA'!$A$4:$A$3040)+ROW()-3)</f>
        <v>4738</v>
      </c>
      <c r="B642" s="413">
        <v>44769</v>
      </c>
      <c r="C642" s="431">
        <v>44743</v>
      </c>
      <c r="D642" s="415" t="s">
        <v>468</v>
      </c>
      <c r="E642" s="415" t="s">
        <v>468</v>
      </c>
      <c r="F642" s="425">
        <v>11</v>
      </c>
      <c r="G642" s="427" t="s">
        <v>2469</v>
      </c>
      <c r="H642" s="415" t="s">
        <v>468</v>
      </c>
      <c r="I642" s="639" t="s">
        <v>881</v>
      </c>
      <c r="J642" s="418" t="s">
        <v>882</v>
      </c>
      <c r="K642" s="418" t="s">
        <v>883</v>
      </c>
      <c r="L642" s="399" t="s">
        <v>798</v>
      </c>
      <c r="M642" s="544" t="s">
        <v>310</v>
      </c>
      <c r="N642" s="413">
        <v>44769</v>
      </c>
      <c r="O642" s="414" t="s">
        <v>3762</v>
      </c>
      <c r="P642" s="655">
        <f t="shared" si="27"/>
        <v>7</v>
      </c>
      <c r="Q642" s="655">
        <f t="shared" si="28"/>
        <v>7</v>
      </c>
      <c r="R642" s="695" t="str">
        <f t="shared" si="29"/>
        <v>Gastos_custeados_por_captação</v>
      </c>
      <c r="S642" s="696" t="s">
        <v>310</v>
      </c>
      <c r="T642" s="696" t="s">
        <v>310</v>
      </c>
    </row>
    <row r="643" spans="1:20" ht="48" x14ac:dyDescent="0.2">
      <c r="A643" s="432">
        <f>IF(B643="","",COUNT('Diário 1º PA'!$A$4:$A$2635)+COUNT('Diário 2º PA'!$A$4:$A$3040)+ROW()-3)</f>
        <v>4739</v>
      </c>
      <c r="B643" s="413">
        <v>44769</v>
      </c>
      <c r="C643" s="431">
        <v>44743</v>
      </c>
      <c r="D643" s="415" t="s">
        <v>468</v>
      </c>
      <c r="E643" s="415" t="s">
        <v>468</v>
      </c>
      <c r="F643" s="425">
        <v>11</v>
      </c>
      <c r="G643" s="427" t="s">
        <v>2469</v>
      </c>
      <c r="H643" s="415" t="s">
        <v>468</v>
      </c>
      <c r="I643" s="639" t="s">
        <v>881</v>
      </c>
      <c r="J643" s="418" t="s">
        <v>882</v>
      </c>
      <c r="K643" s="418" t="s">
        <v>883</v>
      </c>
      <c r="L643" s="399" t="s">
        <v>798</v>
      </c>
      <c r="M643" s="544" t="s">
        <v>310</v>
      </c>
      <c r="N643" s="413">
        <v>44769</v>
      </c>
      <c r="O643" s="414" t="s">
        <v>3762</v>
      </c>
      <c r="P643" s="655">
        <f t="shared" si="27"/>
        <v>7</v>
      </c>
      <c r="Q643" s="655">
        <f t="shared" si="28"/>
        <v>7</v>
      </c>
      <c r="R643" s="695" t="str">
        <f t="shared" si="29"/>
        <v>Gastos_custeados_por_captação</v>
      </c>
      <c r="S643" s="696" t="s">
        <v>310</v>
      </c>
      <c r="T643" s="696" t="s">
        <v>310</v>
      </c>
    </row>
    <row r="644" spans="1:20" ht="60" x14ac:dyDescent="0.2">
      <c r="A644" s="432">
        <f>IF(B644="","",COUNT('Diário 1º PA'!$A$4:$A$2635)+COUNT('Diário 2º PA'!$A$4:$A$3040)+ROW()-3)</f>
        <v>4740</v>
      </c>
      <c r="B644" s="413">
        <v>44769</v>
      </c>
      <c r="C644" s="431">
        <v>44743</v>
      </c>
      <c r="D644" s="415" t="s">
        <v>468</v>
      </c>
      <c r="E644" s="415" t="s">
        <v>468</v>
      </c>
      <c r="F644" s="425">
        <v>210</v>
      </c>
      <c r="G644" s="427" t="s">
        <v>6024</v>
      </c>
      <c r="H644" s="415" t="s">
        <v>468</v>
      </c>
      <c r="I644" s="639" t="s">
        <v>6566</v>
      </c>
      <c r="J644" s="415" t="s">
        <v>6025</v>
      </c>
      <c r="K644" s="418" t="s">
        <v>830</v>
      </c>
      <c r="L644" s="399" t="s">
        <v>32</v>
      </c>
      <c r="M644" s="544">
        <v>4019</v>
      </c>
      <c r="N644" s="413">
        <v>44767</v>
      </c>
      <c r="O644" s="414" t="s">
        <v>404</v>
      </c>
      <c r="P644" s="655">
        <f t="shared" si="27"/>
        <v>7</v>
      </c>
      <c r="Q644" s="655">
        <f t="shared" si="28"/>
        <v>7</v>
      </c>
      <c r="R644" s="695" t="str">
        <f t="shared" si="29"/>
        <v>Gastos_custeados_por_captação</v>
      </c>
      <c r="S644" s="696" t="s">
        <v>999</v>
      </c>
      <c r="T644" s="696">
        <v>4149</v>
      </c>
    </row>
    <row r="645" spans="1:20" ht="108" x14ac:dyDescent="0.2">
      <c r="A645" s="432">
        <f>IF(B645="","",COUNT('Diário 1º PA'!$A$4:$A$2635)+COUNT('Diário 2º PA'!$A$4:$A$3040)+ROW()-3)</f>
        <v>4741</v>
      </c>
      <c r="B645" s="413">
        <v>44769</v>
      </c>
      <c r="C645" s="431">
        <v>44562</v>
      </c>
      <c r="D645" s="415" t="s">
        <v>468</v>
      </c>
      <c r="E645" s="415" t="s">
        <v>468</v>
      </c>
      <c r="F645" s="425">
        <v>4800</v>
      </c>
      <c r="G645" s="427" t="s">
        <v>677</v>
      </c>
      <c r="H645" s="415" t="s">
        <v>468</v>
      </c>
      <c r="I645" s="639" t="s">
        <v>1917</v>
      </c>
      <c r="J645" s="415" t="s">
        <v>1091</v>
      </c>
      <c r="K645" s="418" t="s">
        <v>830</v>
      </c>
      <c r="L645" s="399" t="s">
        <v>32</v>
      </c>
      <c r="M645" s="418" t="s">
        <v>842</v>
      </c>
      <c r="N645" s="413">
        <v>44769</v>
      </c>
      <c r="O645" s="414" t="s">
        <v>404</v>
      </c>
      <c r="P645" s="655">
        <f t="shared" ref="P645:P708" si="30">IF(B645=0,0,IF(YEAR(B645)=$Q$1,MONTH(B645)-$P$1+1,(YEAR(B645)-$Q$1)*12-$P$1+1+MONTH(B645)))</f>
        <v>7</v>
      </c>
      <c r="Q645" s="655">
        <f t="shared" ref="Q645:Q708" si="31">IF(C645=0,0,IF(YEAR(C645)=$Q$1,MONTH(C645)-$P$1+1,(YEAR(C645)-$Q$1)*12-$P$1+1+MONTH(C645)))</f>
        <v>1</v>
      </c>
      <c r="R645" s="695" t="str">
        <f t="shared" ref="R645:R708" si="32">SUBSTITUTE(D645," ","_")</f>
        <v>Gastos_custeados_por_captação</v>
      </c>
      <c r="S645" s="696" t="s">
        <v>998</v>
      </c>
      <c r="T645" s="696">
        <v>2750</v>
      </c>
    </row>
    <row r="646" spans="1:20" ht="60" x14ac:dyDescent="0.2">
      <c r="A646" s="432">
        <f>IF(B646="","",COUNT('Diário 1º PA'!$A$4:$A$2635)+COUNT('Diário 2º PA'!$A$4:$A$3040)+ROW()-3)</f>
        <v>4742</v>
      </c>
      <c r="B646" s="413">
        <v>44769</v>
      </c>
      <c r="C646" s="431">
        <v>44743</v>
      </c>
      <c r="D646" s="415" t="s">
        <v>468</v>
      </c>
      <c r="E646" s="415" t="s">
        <v>468</v>
      </c>
      <c r="F646" s="425">
        <v>881.91</v>
      </c>
      <c r="G646" s="427" t="s">
        <v>5808</v>
      </c>
      <c r="H646" s="415" t="s">
        <v>468</v>
      </c>
      <c r="I646" s="639" t="s">
        <v>6623</v>
      </c>
      <c r="J646" s="415" t="s">
        <v>5809</v>
      </c>
      <c r="K646" s="418" t="s">
        <v>830</v>
      </c>
      <c r="L646" s="399" t="s">
        <v>32</v>
      </c>
      <c r="M646" s="418" t="s">
        <v>1621</v>
      </c>
      <c r="N646" s="413">
        <v>44764</v>
      </c>
      <c r="O646" s="414" t="s">
        <v>405</v>
      </c>
      <c r="P646" s="655">
        <f t="shared" si="30"/>
        <v>7</v>
      </c>
      <c r="Q646" s="655">
        <f t="shared" si="31"/>
        <v>7</v>
      </c>
      <c r="R646" s="695" t="str">
        <f t="shared" si="32"/>
        <v>Gastos_custeados_por_captação</v>
      </c>
      <c r="S646" s="696" t="s">
        <v>998</v>
      </c>
      <c r="T646" s="696">
        <v>4104</v>
      </c>
    </row>
    <row r="647" spans="1:20" ht="60" x14ac:dyDescent="0.2">
      <c r="A647" s="432">
        <f>IF(B647="","",COUNT('Diário 1º PA'!$A$4:$A$2635)+COUNT('Diário 2º PA'!$A$4:$A$3040)+ROW()-3)</f>
        <v>4743</v>
      </c>
      <c r="B647" s="413">
        <v>44769</v>
      </c>
      <c r="C647" s="431">
        <v>44713</v>
      </c>
      <c r="D647" s="415" t="s">
        <v>468</v>
      </c>
      <c r="E647" s="415" t="s">
        <v>468</v>
      </c>
      <c r="F647" s="425">
        <v>723.95</v>
      </c>
      <c r="G647" s="427" t="s">
        <v>4954</v>
      </c>
      <c r="H647" s="415" t="s">
        <v>468</v>
      </c>
      <c r="I647" s="639" t="s">
        <v>6625</v>
      </c>
      <c r="J647" s="415" t="s">
        <v>4955</v>
      </c>
      <c r="K647" s="418" t="s">
        <v>830</v>
      </c>
      <c r="L647" s="399" t="s">
        <v>32</v>
      </c>
      <c r="M647" s="418" t="s">
        <v>6626</v>
      </c>
      <c r="N647" s="413">
        <v>44768</v>
      </c>
      <c r="O647" s="414" t="s">
        <v>405</v>
      </c>
      <c r="P647" s="655">
        <f t="shared" si="30"/>
        <v>7</v>
      </c>
      <c r="Q647" s="655">
        <f t="shared" si="31"/>
        <v>6</v>
      </c>
      <c r="R647" s="695" t="str">
        <f t="shared" si="32"/>
        <v>Gastos_custeados_por_captação</v>
      </c>
      <c r="S647" s="696" t="s">
        <v>998</v>
      </c>
      <c r="T647" s="696">
        <v>3928</v>
      </c>
    </row>
    <row r="648" spans="1:20" ht="60" x14ac:dyDescent="0.2">
      <c r="A648" s="432">
        <f>IF(B648="","",COUNT('Diário 1º PA'!$A$4:$A$2635)+COUNT('Diário 2º PA'!$A$4:$A$3040)+ROW()-3)</f>
        <v>4744</v>
      </c>
      <c r="B648" s="413">
        <v>44769</v>
      </c>
      <c r="C648" s="431">
        <v>44743</v>
      </c>
      <c r="D648" s="415" t="s">
        <v>468</v>
      </c>
      <c r="E648" s="415" t="s">
        <v>468</v>
      </c>
      <c r="F648" s="425">
        <v>4409.55</v>
      </c>
      <c r="G648" s="427" t="s">
        <v>5820</v>
      </c>
      <c r="H648" s="415" t="s">
        <v>468</v>
      </c>
      <c r="I648" s="639" t="s">
        <v>6623</v>
      </c>
      <c r="J648" s="415" t="s">
        <v>5809</v>
      </c>
      <c r="K648" s="418" t="s">
        <v>830</v>
      </c>
      <c r="L648" s="399" t="s">
        <v>32</v>
      </c>
      <c r="M648" s="418" t="s">
        <v>2168</v>
      </c>
      <c r="N648" s="413">
        <v>44764</v>
      </c>
      <c r="O648" s="414" t="s">
        <v>405</v>
      </c>
      <c r="P648" s="655">
        <f t="shared" si="30"/>
        <v>7</v>
      </c>
      <c r="Q648" s="655">
        <f t="shared" si="31"/>
        <v>7</v>
      </c>
      <c r="R648" s="695" t="str">
        <f t="shared" si="32"/>
        <v>Gastos_custeados_por_captação</v>
      </c>
      <c r="S648" s="696" t="s">
        <v>998</v>
      </c>
      <c r="T648" s="696">
        <v>4058</v>
      </c>
    </row>
    <row r="649" spans="1:20" ht="60" x14ac:dyDescent="0.2">
      <c r="A649" s="432">
        <f>IF(B649="","",COUNT('Diário 1º PA'!$A$4:$A$2635)+COUNT('Diário 2º PA'!$A$4:$A$3040)+ROW()-3)</f>
        <v>4745</v>
      </c>
      <c r="B649" s="413">
        <v>44770</v>
      </c>
      <c r="C649" s="431">
        <v>44531</v>
      </c>
      <c r="D649" s="415" t="s">
        <v>271</v>
      </c>
      <c r="E649" s="415" t="s">
        <v>465</v>
      </c>
      <c r="F649" s="425">
        <v>169.19</v>
      </c>
      <c r="G649" s="427" t="s">
        <v>608</v>
      </c>
      <c r="H649" s="415" t="s">
        <v>752</v>
      </c>
      <c r="I649" s="415" t="s">
        <v>1464</v>
      </c>
      <c r="J649" s="393" t="s">
        <v>400</v>
      </c>
      <c r="K649" s="419" t="s">
        <v>830</v>
      </c>
      <c r="L649" s="415" t="s">
        <v>32</v>
      </c>
      <c r="M649" s="419" t="s">
        <v>6177</v>
      </c>
      <c r="N649" s="413">
        <v>44769</v>
      </c>
      <c r="O649" s="414" t="s">
        <v>400</v>
      </c>
      <c r="P649" s="655">
        <f t="shared" si="30"/>
        <v>7</v>
      </c>
      <c r="Q649" s="655">
        <f t="shared" si="31"/>
        <v>0</v>
      </c>
      <c r="R649" s="695" t="str">
        <f t="shared" si="32"/>
        <v>Gastos_Gerais</v>
      </c>
      <c r="S649" s="697" t="s">
        <v>5937</v>
      </c>
      <c r="T649" s="697">
        <v>2532</v>
      </c>
    </row>
    <row r="650" spans="1:20" ht="36" x14ac:dyDescent="0.2">
      <c r="A650" s="432">
        <f>IF(B650="","",COUNT('Diário 1º PA'!$A$4:$A$2635)+COUNT('Diário 2º PA'!$A$4:$A$3040)+ROW()-3)</f>
        <v>4746</v>
      </c>
      <c r="B650" s="413">
        <v>44770</v>
      </c>
      <c r="C650" s="431">
        <v>44743</v>
      </c>
      <c r="D650" s="415" t="s">
        <v>271</v>
      </c>
      <c r="E650" s="415" t="s">
        <v>71</v>
      </c>
      <c r="F650" s="425">
        <v>11</v>
      </c>
      <c r="G650" s="427" t="s">
        <v>6179</v>
      </c>
      <c r="H650" s="415" t="s">
        <v>752</v>
      </c>
      <c r="I650" s="473" t="s">
        <v>881</v>
      </c>
      <c r="J650" s="415" t="s">
        <v>882</v>
      </c>
      <c r="K650" s="415" t="s">
        <v>883</v>
      </c>
      <c r="L650" s="415" t="s">
        <v>798</v>
      </c>
      <c r="M650" s="415" t="s">
        <v>310</v>
      </c>
      <c r="N650" s="413">
        <v>44770</v>
      </c>
      <c r="O650" s="414" t="s">
        <v>400</v>
      </c>
      <c r="P650" s="655">
        <f t="shared" si="30"/>
        <v>7</v>
      </c>
      <c r="Q650" s="655">
        <f t="shared" si="31"/>
        <v>7</v>
      </c>
      <c r="R650" s="695" t="str">
        <f t="shared" si="32"/>
        <v>Gastos_Gerais</v>
      </c>
      <c r="S650" s="696" t="s">
        <v>310</v>
      </c>
      <c r="T650" s="696" t="s">
        <v>310</v>
      </c>
    </row>
    <row r="651" spans="1:20" ht="36" x14ac:dyDescent="0.2">
      <c r="A651" s="432">
        <f>IF(B651="","",COUNT('Diário 1º PA'!$A$4:$A$2635)+COUNT('Diário 2º PA'!$A$4:$A$3040)+ROW()-3)</f>
        <v>4747</v>
      </c>
      <c r="B651" s="413">
        <v>44770</v>
      </c>
      <c r="C651" s="431">
        <v>44713</v>
      </c>
      <c r="D651" s="415" t="s">
        <v>468</v>
      </c>
      <c r="E651" s="415" t="s">
        <v>468</v>
      </c>
      <c r="F651" s="425">
        <v>-4350</v>
      </c>
      <c r="G651" s="427" t="s">
        <v>2439</v>
      </c>
      <c r="H651" s="415" t="s">
        <v>468</v>
      </c>
      <c r="I651" s="427" t="s">
        <v>2437</v>
      </c>
      <c r="J651" s="415" t="s">
        <v>796</v>
      </c>
      <c r="K651" s="415" t="s">
        <v>797</v>
      </c>
      <c r="L651" s="415" t="s">
        <v>798</v>
      </c>
      <c r="M651" s="415" t="s">
        <v>310</v>
      </c>
      <c r="N651" s="413">
        <v>44770</v>
      </c>
      <c r="O651" s="414" t="s">
        <v>408</v>
      </c>
      <c r="P651" s="655">
        <f t="shared" si="30"/>
        <v>7</v>
      </c>
      <c r="Q651" s="655">
        <f t="shared" si="31"/>
        <v>6</v>
      </c>
      <c r="R651" s="695" t="str">
        <f t="shared" si="32"/>
        <v>Gastos_custeados_por_captação</v>
      </c>
      <c r="S651" s="698" t="s">
        <v>310</v>
      </c>
      <c r="T651" s="698" t="s">
        <v>310</v>
      </c>
    </row>
    <row r="652" spans="1:20" ht="36" x14ac:dyDescent="0.2">
      <c r="A652" s="432">
        <f>IF(B652="","",COUNT('Diário 1º PA'!$A$4:$A$2635)+COUNT('Diário 2º PA'!$A$4:$A$3040)+ROW()-3)</f>
        <v>4748</v>
      </c>
      <c r="B652" s="413">
        <v>44770</v>
      </c>
      <c r="C652" s="431">
        <v>44713</v>
      </c>
      <c r="D652" s="415" t="s">
        <v>468</v>
      </c>
      <c r="E652" s="415" t="s">
        <v>468</v>
      </c>
      <c r="F652" s="425">
        <v>-5000</v>
      </c>
      <c r="G652" s="427" t="s">
        <v>2438</v>
      </c>
      <c r="H652" s="415" t="s">
        <v>468</v>
      </c>
      <c r="I652" s="427" t="s">
        <v>2437</v>
      </c>
      <c r="J652" s="415" t="s">
        <v>796</v>
      </c>
      <c r="K652" s="415" t="s">
        <v>797</v>
      </c>
      <c r="L652" s="415" t="s">
        <v>798</v>
      </c>
      <c r="M652" s="415" t="s">
        <v>310</v>
      </c>
      <c r="N652" s="413">
        <v>44770</v>
      </c>
      <c r="O652" s="414" t="s">
        <v>408</v>
      </c>
      <c r="P652" s="655">
        <f t="shared" si="30"/>
        <v>7</v>
      </c>
      <c r="Q652" s="655">
        <f t="shared" si="31"/>
        <v>6</v>
      </c>
      <c r="R652" s="695" t="str">
        <f t="shared" si="32"/>
        <v>Gastos_custeados_por_captação</v>
      </c>
      <c r="S652" s="698" t="s">
        <v>310</v>
      </c>
      <c r="T652" s="698" t="s">
        <v>310</v>
      </c>
    </row>
    <row r="653" spans="1:20" ht="36" x14ac:dyDescent="0.2">
      <c r="A653" s="432">
        <f>IF(B653="","",COUNT('Diário 1º PA'!$A$4:$A$2635)+COUNT('Diário 2º PA'!$A$4:$A$3040)+ROW()-3)</f>
        <v>4749</v>
      </c>
      <c r="B653" s="413">
        <v>44770</v>
      </c>
      <c r="C653" s="431">
        <v>44713</v>
      </c>
      <c r="D653" s="415" t="s">
        <v>468</v>
      </c>
      <c r="E653" s="415" t="s">
        <v>468</v>
      </c>
      <c r="F653" s="425">
        <v>-4500</v>
      </c>
      <c r="G653" s="427" t="s">
        <v>2440</v>
      </c>
      <c r="H653" s="415" t="s">
        <v>468</v>
      </c>
      <c r="I653" s="427" t="s">
        <v>2437</v>
      </c>
      <c r="J653" s="415" t="s">
        <v>796</v>
      </c>
      <c r="K653" s="415" t="s">
        <v>797</v>
      </c>
      <c r="L653" s="415" t="s">
        <v>798</v>
      </c>
      <c r="M653" s="415" t="s">
        <v>310</v>
      </c>
      <c r="N653" s="413">
        <v>44770</v>
      </c>
      <c r="O653" s="414" t="s">
        <v>408</v>
      </c>
      <c r="P653" s="655">
        <f t="shared" si="30"/>
        <v>7</v>
      </c>
      <c r="Q653" s="655">
        <f t="shared" si="31"/>
        <v>6</v>
      </c>
      <c r="R653" s="695" t="str">
        <f t="shared" si="32"/>
        <v>Gastos_custeados_por_captação</v>
      </c>
      <c r="S653" s="698" t="s">
        <v>310</v>
      </c>
      <c r="T653" s="698" t="s">
        <v>310</v>
      </c>
    </row>
    <row r="654" spans="1:20" ht="36" x14ac:dyDescent="0.2">
      <c r="A654" s="432">
        <f>IF(B654="","",COUNT('Diário 1º PA'!$A$4:$A$2635)+COUNT('Diário 2º PA'!$A$4:$A$3040)+ROW()-3)</f>
        <v>4750</v>
      </c>
      <c r="B654" s="413">
        <v>44770</v>
      </c>
      <c r="C654" s="431">
        <v>44713</v>
      </c>
      <c r="D654" s="415" t="s">
        <v>468</v>
      </c>
      <c r="E654" s="415" t="s">
        <v>468</v>
      </c>
      <c r="F654" s="425">
        <v>-6950</v>
      </c>
      <c r="G654" s="427" t="s">
        <v>6429</v>
      </c>
      <c r="H654" s="415" t="s">
        <v>468</v>
      </c>
      <c r="I654" s="427" t="s">
        <v>2437</v>
      </c>
      <c r="J654" s="415" t="s">
        <v>796</v>
      </c>
      <c r="K654" s="415" t="s">
        <v>797</v>
      </c>
      <c r="L654" s="415" t="s">
        <v>798</v>
      </c>
      <c r="M654" s="415" t="s">
        <v>310</v>
      </c>
      <c r="N654" s="413">
        <v>44770</v>
      </c>
      <c r="O654" s="414" t="s">
        <v>408</v>
      </c>
      <c r="P654" s="655">
        <f t="shared" si="30"/>
        <v>7</v>
      </c>
      <c r="Q654" s="655">
        <f t="shared" si="31"/>
        <v>6</v>
      </c>
      <c r="R654" s="695" t="str">
        <f t="shared" si="32"/>
        <v>Gastos_custeados_por_captação</v>
      </c>
      <c r="S654" s="698" t="s">
        <v>310</v>
      </c>
      <c r="T654" s="698" t="s">
        <v>310</v>
      </c>
    </row>
    <row r="655" spans="1:20" ht="36" x14ac:dyDescent="0.2">
      <c r="A655" s="432">
        <f>IF(B655="","",COUNT('Diário 1º PA'!$A$4:$A$2635)+COUNT('Diário 2º PA'!$A$4:$A$3040)+ROW()-3)</f>
        <v>4751</v>
      </c>
      <c r="B655" s="413">
        <v>44770</v>
      </c>
      <c r="C655" s="431">
        <v>44713</v>
      </c>
      <c r="D655" s="415" t="s">
        <v>468</v>
      </c>
      <c r="E655" s="415" t="s">
        <v>468</v>
      </c>
      <c r="F655" s="425">
        <v>-5900</v>
      </c>
      <c r="G655" s="427" t="s">
        <v>6430</v>
      </c>
      <c r="H655" s="415" t="s">
        <v>468</v>
      </c>
      <c r="I655" s="427" t="s">
        <v>2437</v>
      </c>
      <c r="J655" s="415" t="s">
        <v>796</v>
      </c>
      <c r="K655" s="415" t="s">
        <v>797</v>
      </c>
      <c r="L655" s="415" t="s">
        <v>798</v>
      </c>
      <c r="M655" s="415" t="s">
        <v>310</v>
      </c>
      <c r="N655" s="413">
        <v>44770</v>
      </c>
      <c r="O655" s="414" t="s">
        <v>408</v>
      </c>
      <c r="P655" s="655">
        <f t="shared" si="30"/>
        <v>7</v>
      </c>
      <c r="Q655" s="655">
        <f t="shared" si="31"/>
        <v>6</v>
      </c>
      <c r="R655" s="695" t="str">
        <f t="shared" si="32"/>
        <v>Gastos_custeados_por_captação</v>
      </c>
      <c r="S655" s="698" t="s">
        <v>310</v>
      </c>
      <c r="T655" s="698" t="s">
        <v>310</v>
      </c>
    </row>
    <row r="656" spans="1:20" ht="36" x14ac:dyDescent="0.2">
      <c r="A656" s="432">
        <f>IF(B656="","",COUNT('Diário 1º PA'!$A$4:$A$2635)+COUNT('Diário 2º PA'!$A$4:$A$3040)+ROW()-3)</f>
        <v>4752</v>
      </c>
      <c r="B656" s="413">
        <v>44770</v>
      </c>
      <c r="C656" s="431">
        <v>44713</v>
      </c>
      <c r="D656" s="415" t="s">
        <v>468</v>
      </c>
      <c r="E656" s="415" t="s">
        <v>468</v>
      </c>
      <c r="F656" s="425">
        <v>-5900</v>
      </c>
      <c r="G656" s="427" t="s">
        <v>6431</v>
      </c>
      <c r="H656" s="415" t="s">
        <v>468</v>
      </c>
      <c r="I656" s="427" t="s">
        <v>2437</v>
      </c>
      <c r="J656" s="415" t="s">
        <v>796</v>
      </c>
      <c r="K656" s="415" t="s">
        <v>797</v>
      </c>
      <c r="L656" s="415" t="s">
        <v>798</v>
      </c>
      <c r="M656" s="415" t="s">
        <v>310</v>
      </c>
      <c r="N656" s="413">
        <v>44770</v>
      </c>
      <c r="O656" s="414" t="s">
        <v>408</v>
      </c>
      <c r="P656" s="655">
        <f t="shared" si="30"/>
        <v>7</v>
      </c>
      <c r="Q656" s="655">
        <f t="shared" si="31"/>
        <v>6</v>
      </c>
      <c r="R656" s="695" t="str">
        <f t="shared" si="32"/>
        <v>Gastos_custeados_por_captação</v>
      </c>
      <c r="S656" s="698" t="s">
        <v>310</v>
      </c>
      <c r="T656" s="698" t="s">
        <v>310</v>
      </c>
    </row>
    <row r="657" spans="1:20" ht="60" x14ac:dyDescent="0.2">
      <c r="A657" s="432">
        <f>IF(B657="","",COUNT('Diário 1º PA'!$A$4:$A$2635)+COUNT('Diário 2º PA'!$A$4:$A$3040)+ROW()-3)</f>
        <v>4753</v>
      </c>
      <c r="B657" s="413">
        <v>44770</v>
      </c>
      <c r="C657" s="431">
        <v>44713</v>
      </c>
      <c r="D657" s="415" t="s">
        <v>468</v>
      </c>
      <c r="E657" s="415" t="s">
        <v>468</v>
      </c>
      <c r="F657" s="425">
        <v>200</v>
      </c>
      <c r="G657" s="427" t="s">
        <v>4731</v>
      </c>
      <c r="H657" s="415" t="s">
        <v>468</v>
      </c>
      <c r="I657" s="473" t="s">
        <v>1917</v>
      </c>
      <c r="J657" s="415" t="s">
        <v>1091</v>
      </c>
      <c r="K657" s="415" t="s">
        <v>830</v>
      </c>
      <c r="L657" s="415" t="s">
        <v>32</v>
      </c>
      <c r="M657" s="415" t="s">
        <v>1608</v>
      </c>
      <c r="N657" s="413">
        <v>44769</v>
      </c>
      <c r="O657" s="414" t="s">
        <v>3762</v>
      </c>
      <c r="P657" s="655">
        <f t="shared" si="30"/>
        <v>7</v>
      </c>
      <c r="Q657" s="655">
        <f t="shared" si="31"/>
        <v>6</v>
      </c>
      <c r="R657" s="695" t="str">
        <f t="shared" si="32"/>
        <v>Gastos_custeados_por_captação</v>
      </c>
      <c r="S657" s="696" t="s">
        <v>998</v>
      </c>
      <c r="T657" s="696">
        <v>3894</v>
      </c>
    </row>
    <row r="658" spans="1:20" ht="48" x14ac:dyDescent="0.2">
      <c r="A658" s="432">
        <f>IF(B658="","",COUNT('Diário 1º PA'!$A$4:$A$2635)+COUNT('Diário 2º PA'!$A$4:$A$3040)+ROW()-3)</f>
        <v>4754</v>
      </c>
      <c r="B658" s="413">
        <v>44770</v>
      </c>
      <c r="C658" s="431">
        <v>44713</v>
      </c>
      <c r="D658" s="415" t="s">
        <v>468</v>
      </c>
      <c r="E658" s="415" t="s">
        <v>468</v>
      </c>
      <c r="F658" s="425">
        <v>6950</v>
      </c>
      <c r="G658" s="646" t="s">
        <v>5653</v>
      </c>
      <c r="H658" s="415" t="s">
        <v>468</v>
      </c>
      <c r="I658" s="427" t="s">
        <v>2437</v>
      </c>
      <c r="J658" s="415" t="s">
        <v>796</v>
      </c>
      <c r="K658" s="415" t="s">
        <v>6482</v>
      </c>
      <c r="L658" s="415" t="s">
        <v>798</v>
      </c>
      <c r="M658" s="415" t="s">
        <v>310</v>
      </c>
      <c r="N658" s="413">
        <v>44770</v>
      </c>
      <c r="O658" s="414" t="s">
        <v>3762</v>
      </c>
      <c r="P658" s="655">
        <f t="shared" si="30"/>
        <v>7</v>
      </c>
      <c r="Q658" s="655">
        <f t="shared" si="31"/>
        <v>6</v>
      </c>
      <c r="R658" s="695" t="str">
        <f t="shared" si="32"/>
        <v>Gastos_custeados_por_captação</v>
      </c>
      <c r="S658" s="696" t="s">
        <v>310</v>
      </c>
      <c r="T658" s="696" t="s">
        <v>310</v>
      </c>
    </row>
    <row r="659" spans="1:20" ht="48" x14ac:dyDescent="0.2">
      <c r="A659" s="432">
        <f>IF(B659="","",COUNT('Diário 1º PA'!$A$4:$A$2635)+COUNT('Diário 2º PA'!$A$4:$A$3040)+ROW()-3)</f>
        <v>4755</v>
      </c>
      <c r="B659" s="413">
        <v>44770</v>
      </c>
      <c r="C659" s="431">
        <v>44713</v>
      </c>
      <c r="D659" s="415" t="s">
        <v>468</v>
      </c>
      <c r="E659" s="415" t="s">
        <v>468</v>
      </c>
      <c r="F659" s="425">
        <v>5900</v>
      </c>
      <c r="G659" s="646" t="s">
        <v>5652</v>
      </c>
      <c r="H659" s="415" t="s">
        <v>468</v>
      </c>
      <c r="I659" s="427" t="s">
        <v>2437</v>
      </c>
      <c r="J659" s="415" t="s">
        <v>796</v>
      </c>
      <c r="K659" s="415" t="s">
        <v>6482</v>
      </c>
      <c r="L659" s="415" t="s">
        <v>798</v>
      </c>
      <c r="M659" s="415" t="s">
        <v>310</v>
      </c>
      <c r="N659" s="413">
        <v>44770</v>
      </c>
      <c r="O659" s="414" t="s">
        <v>3762</v>
      </c>
      <c r="P659" s="655">
        <f t="shared" si="30"/>
        <v>7</v>
      </c>
      <c r="Q659" s="655">
        <f t="shared" si="31"/>
        <v>6</v>
      </c>
      <c r="R659" s="695" t="str">
        <f t="shared" si="32"/>
        <v>Gastos_custeados_por_captação</v>
      </c>
      <c r="S659" s="696" t="s">
        <v>310</v>
      </c>
      <c r="T659" s="696" t="s">
        <v>310</v>
      </c>
    </row>
    <row r="660" spans="1:20" ht="48" x14ac:dyDescent="0.2">
      <c r="A660" s="432">
        <f>IF(B660="","",COUNT('Diário 1º PA'!$A$4:$A$2635)+COUNT('Diário 2º PA'!$A$4:$A$3040)+ROW()-3)</f>
        <v>4756</v>
      </c>
      <c r="B660" s="413">
        <v>44770</v>
      </c>
      <c r="C660" s="431">
        <v>44713</v>
      </c>
      <c r="D660" s="415" t="s">
        <v>468</v>
      </c>
      <c r="E660" s="415" t="s">
        <v>468</v>
      </c>
      <c r="F660" s="425">
        <v>5900</v>
      </c>
      <c r="G660" s="646" t="s">
        <v>5654</v>
      </c>
      <c r="H660" s="415" t="s">
        <v>468</v>
      </c>
      <c r="I660" s="427" t="s">
        <v>2437</v>
      </c>
      <c r="J660" s="415" t="s">
        <v>796</v>
      </c>
      <c r="K660" s="415" t="s">
        <v>6482</v>
      </c>
      <c r="L660" s="415" t="s">
        <v>798</v>
      </c>
      <c r="M660" s="415" t="s">
        <v>310</v>
      </c>
      <c r="N660" s="413">
        <v>44770</v>
      </c>
      <c r="O660" s="414" t="s">
        <v>3762</v>
      </c>
      <c r="P660" s="655">
        <f t="shared" si="30"/>
        <v>7</v>
      </c>
      <c r="Q660" s="655">
        <f t="shared" si="31"/>
        <v>6</v>
      </c>
      <c r="R660" s="695" t="str">
        <f t="shared" si="32"/>
        <v>Gastos_custeados_por_captação</v>
      </c>
      <c r="S660" s="696" t="s">
        <v>310</v>
      </c>
      <c r="T660" s="696" t="s">
        <v>310</v>
      </c>
    </row>
    <row r="661" spans="1:20" ht="48" x14ac:dyDescent="0.2">
      <c r="A661" s="432">
        <f>IF(B661="","",COUNT('Diário 1º PA'!$A$4:$A$2635)+COUNT('Diário 2º PA'!$A$4:$A$3040)+ROW()-3)</f>
        <v>4757</v>
      </c>
      <c r="B661" s="413">
        <v>44770</v>
      </c>
      <c r="C661" s="431">
        <v>44743</v>
      </c>
      <c r="D661" s="415" t="s">
        <v>468</v>
      </c>
      <c r="E661" s="415" t="s">
        <v>468</v>
      </c>
      <c r="F661" s="425">
        <v>11</v>
      </c>
      <c r="G661" s="427" t="s">
        <v>2469</v>
      </c>
      <c r="H661" s="415" t="s">
        <v>468</v>
      </c>
      <c r="I661" s="639" t="s">
        <v>881</v>
      </c>
      <c r="J661" s="418" t="s">
        <v>882</v>
      </c>
      <c r="K661" s="418" t="s">
        <v>883</v>
      </c>
      <c r="L661" s="399" t="s">
        <v>798</v>
      </c>
      <c r="M661" s="544" t="s">
        <v>310</v>
      </c>
      <c r="N661" s="413">
        <v>44770</v>
      </c>
      <c r="O661" s="414" t="s">
        <v>3762</v>
      </c>
      <c r="P661" s="655">
        <f t="shared" si="30"/>
        <v>7</v>
      </c>
      <c r="Q661" s="655">
        <f t="shared" si="31"/>
        <v>7</v>
      </c>
      <c r="R661" s="695" t="str">
        <f t="shared" si="32"/>
        <v>Gastos_custeados_por_captação</v>
      </c>
      <c r="S661" s="696" t="s">
        <v>310</v>
      </c>
      <c r="T661" s="696" t="s">
        <v>310</v>
      </c>
    </row>
    <row r="662" spans="1:20" ht="132" x14ac:dyDescent="0.2">
      <c r="A662" s="432">
        <f>IF(B662="","",COUNT('Diário 1º PA'!$A$4:$A$2635)+COUNT('Diário 2º PA'!$A$4:$A$3040)+ROW()-3)</f>
        <v>4758</v>
      </c>
      <c r="B662" s="413">
        <v>44770</v>
      </c>
      <c r="C662" s="431">
        <v>44743</v>
      </c>
      <c r="D662" s="415" t="s">
        <v>468</v>
      </c>
      <c r="E662" s="415" t="s">
        <v>468</v>
      </c>
      <c r="F662" s="425">
        <v>2989.9</v>
      </c>
      <c r="G662" s="427" t="s">
        <v>6031</v>
      </c>
      <c r="H662" s="415" t="s">
        <v>468</v>
      </c>
      <c r="I662" s="639" t="s">
        <v>6631</v>
      </c>
      <c r="J662" s="415" t="s">
        <v>6032</v>
      </c>
      <c r="K662" s="418" t="s">
        <v>830</v>
      </c>
      <c r="L662" s="399" t="s">
        <v>32</v>
      </c>
      <c r="M662" s="544">
        <v>2260</v>
      </c>
      <c r="N662" s="413">
        <v>44768</v>
      </c>
      <c r="O662" s="414" t="s">
        <v>405</v>
      </c>
      <c r="P662" s="655">
        <f t="shared" si="30"/>
        <v>7</v>
      </c>
      <c r="Q662" s="655">
        <f t="shared" si="31"/>
        <v>7</v>
      </c>
      <c r="R662" s="695" t="str">
        <f t="shared" si="32"/>
        <v>Gastos_custeados_por_captação</v>
      </c>
      <c r="S662" s="696" t="s">
        <v>999</v>
      </c>
      <c r="T662" s="696">
        <v>4095</v>
      </c>
    </row>
    <row r="663" spans="1:20" ht="60" x14ac:dyDescent="0.2">
      <c r="A663" s="432">
        <f>IF(B663="","",COUNT('Diário 1º PA'!$A$4:$A$2635)+COUNT('Diário 2º PA'!$A$4:$A$3040)+ROW()-3)</f>
        <v>4759</v>
      </c>
      <c r="B663" s="413">
        <v>44770</v>
      </c>
      <c r="C663" s="431">
        <v>44743</v>
      </c>
      <c r="D663" s="415" t="s">
        <v>468</v>
      </c>
      <c r="E663" s="415" t="s">
        <v>468</v>
      </c>
      <c r="F663" s="425">
        <v>700</v>
      </c>
      <c r="G663" s="427" t="s">
        <v>5810</v>
      </c>
      <c r="H663" s="415" t="s">
        <v>468</v>
      </c>
      <c r="I663" s="639" t="s">
        <v>6632</v>
      </c>
      <c r="J663" s="415" t="s">
        <v>5809</v>
      </c>
      <c r="K663" s="418" t="s">
        <v>830</v>
      </c>
      <c r="L663" s="399" t="s">
        <v>1305</v>
      </c>
      <c r="M663" s="544">
        <v>1</v>
      </c>
      <c r="N663" s="413">
        <v>44769</v>
      </c>
      <c r="O663" s="414" t="s">
        <v>405</v>
      </c>
      <c r="P663" s="655">
        <f t="shared" si="30"/>
        <v>7</v>
      </c>
      <c r="Q663" s="655">
        <f t="shared" si="31"/>
        <v>7</v>
      </c>
      <c r="R663" s="695" t="str">
        <f t="shared" si="32"/>
        <v>Gastos_custeados_por_captação</v>
      </c>
      <c r="S663" s="698" t="s">
        <v>998</v>
      </c>
      <c r="T663" s="696">
        <v>4059</v>
      </c>
    </row>
    <row r="664" spans="1:20" ht="60" x14ac:dyDescent="0.2">
      <c r="A664" s="432">
        <f>IF(B664="","",COUNT('Diário 1º PA'!$A$4:$A$2635)+COUNT('Diário 2º PA'!$A$4:$A$3040)+ROW()-3)</f>
        <v>4760</v>
      </c>
      <c r="B664" s="413">
        <v>44771</v>
      </c>
      <c r="C664" s="431">
        <v>44743</v>
      </c>
      <c r="D664" s="415" t="s">
        <v>468</v>
      </c>
      <c r="E664" s="415" t="s">
        <v>468</v>
      </c>
      <c r="F664" s="425">
        <v>997.8</v>
      </c>
      <c r="G664" s="427" t="s">
        <v>5689</v>
      </c>
      <c r="H664" s="415" t="s">
        <v>468</v>
      </c>
      <c r="I664" s="639" t="s">
        <v>815</v>
      </c>
      <c r="J664" s="415" t="s">
        <v>816</v>
      </c>
      <c r="K664" s="418" t="s">
        <v>830</v>
      </c>
      <c r="L664" s="399" t="s">
        <v>32</v>
      </c>
      <c r="M664" s="544">
        <v>319514</v>
      </c>
      <c r="N664" s="413">
        <v>44743</v>
      </c>
      <c r="O664" s="414" t="s">
        <v>404</v>
      </c>
      <c r="P664" s="655">
        <f t="shared" si="30"/>
        <v>7</v>
      </c>
      <c r="Q664" s="655">
        <f t="shared" si="31"/>
        <v>7</v>
      </c>
      <c r="R664" s="695" t="str">
        <f t="shared" si="32"/>
        <v>Gastos_custeados_por_captação</v>
      </c>
      <c r="S664" s="696" t="s">
        <v>999</v>
      </c>
      <c r="T664" s="696">
        <v>4026</v>
      </c>
    </row>
    <row r="665" spans="1:20" ht="72" x14ac:dyDescent="0.2">
      <c r="A665" s="432">
        <f>IF(B665="","",COUNT('Diário 1º PA'!$A$4:$A$2635)+COUNT('Diário 2º PA'!$A$4:$A$3040)+ROW()-3)</f>
        <v>4761</v>
      </c>
      <c r="B665" s="413">
        <v>44771</v>
      </c>
      <c r="C665" s="431">
        <v>44743</v>
      </c>
      <c r="D665" s="415" t="s">
        <v>468</v>
      </c>
      <c r="E665" s="415" t="s">
        <v>468</v>
      </c>
      <c r="F665" s="425">
        <v>29.02</v>
      </c>
      <c r="G665" s="427" t="s">
        <v>6633</v>
      </c>
      <c r="H665" s="415" t="s">
        <v>468</v>
      </c>
      <c r="I665" s="427" t="s">
        <v>795</v>
      </c>
      <c r="J665" s="415" t="s">
        <v>796</v>
      </c>
      <c r="K665" s="419" t="s">
        <v>806</v>
      </c>
      <c r="L665" s="415" t="s">
        <v>798</v>
      </c>
      <c r="M665" s="419" t="s">
        <v>310</v>
      </c>
      <c r="N665" s="413">
        <v>44771</v>
      </c>
      <c r="O665" s="414" t="s">
        <v>405</v>
      </c>
      <c r="P665" s="655">
        <f t="shared" si="30"/>
        <v>7</v>
      </c>
      <c r="Q665" s="655">
        <f t="shared" si="31"/>
        <v>7</v>
      </c>
      <c r="R665" s="695" t="str">
        <f t="shared" si="32"/>
        <v>Gastos_custeados_por_captação</v>
      </c>
      <c r="S665" s="698" t="s">
        <v>310</v>
      </c>
      <c r="T665" s="698" t="s">
        <v>310</v>
      </c>
    </row>
    <row r="666" spans="1:20" ht="48" x14ac:dyDescent="0.2">
      <c r="A666" s="432">
        <f>IF(B666="","",COUNT('Diário 1º PA'!$A$4:$A$2635)+COUNT('Diário 2º PA'!$A$4:$A$3040)+ROW()-3)</f>
        <v>4762</v>
      </c>
      <c r="B666" s="413">
        <v>44771</v>
      </c>
      <c r="C666" s="431">
        <v>44743</v>
      </c>
      <c r="D666" s="415" t="s">
        <v>34</v>
      </c>
      <c r="E666" s="415" t="s">
        <v>331</v>
      </c>
      <c r="F666" s="425">
        <v>750000</v>
      </c>
      <c r="G666" s="702" t="s">
        <v>7437</v>
      </c>
      <c r="H666" s="415" t="s">
        <v>310</v>
      </c>
      <c r="I666" s="427" t="s">
        <v>2437</v>
      </c>
      <c r="J666" s="415" t="s">
        <v>796</v>
      </c>
      <c r="K666" s="415" t="s">
        <v>797</v>
      </c>
      <c r="L666" s="415" t="s">
        <v>798</v>
      </c>
      <c r="M666" s="415" t="s">
        <v>310</v>
      </c>
      <c r="N666" s="413">
        <v>44771</v>
      </c>
      <c r="O666" s="414" t="s">
        <v>3762</v>
      </c>
      <c r="P666" s="655">
        <f t="shared" si="30"/>
        <v>7</v>
      </c>
      <c r="Q666" s="655">
        <f t="shared" si="31"/>
        <v>7</v>
      </c>
      <c r="R666" s="695" t="str">
        <f t="shared" si="32"/>
        <v>Receitas</v>
      </c>
      <c r="S666" s="698" t="s">
        <v>310</v>
      </c>
      <c r="T666" s="698" t="s">
        <v>310</v>
      </c>
    </row>
    <row r="667" spans="1:20" ht="48" x14ac:dyDescent="0.2">
      <c r="A667" s="432">
        <f>IF(B667="","",COUNT('Diário 1º PA'!$A$4:$A$2635)+COUNT('Diário 2º PA'!$A$4:$A$3040)+ROW()-3)</f>
        <v>4763</v>
      </c>
      <c r="B667" s="455">
        <v>44772</v>
      </c>
      <c r="C667" s="431">
        <v>44743</v>
      </c>
      <c r="D667" s="415" t="s">
        <v>295</v>
      </c>
      <c r="E667" s="415" t="s">
        <v>295</v>
      </c>
      <c r="F667" s="425">
        <v>20599.939999999999</v>
      </c>
      <c r="G667" s="427" t="s">
        <v>6191</v>
      </c>
      <c r="H667" s="415" t="s">
        <v>310</v>
      </c>
      <c r="I667" s="473" t="s">
        <v>1520</v>
      </c>
      <c r="J667" s="415" t="s">
        <v>796</v>
      </c>
      <c r="K667" s="415" t="s">
        <v>797</v>
      </c>
      <c r="L667" s="415" t="s">
        <v>798</v>
      </c>
      <c r="M667" s="415" t="s">
        <v>310</v>
      </c>
      <c r="N667" s="455">
        <v>44772</v>
      </c>
      <c r="O667" s="414" t="s">
        <v>400</v>
      </c>
      <c r="P667" s="655">
        <f t="shared" si="30"/>
        <v>7</v>
      </c>
      <c r="Q667" s="655">
        <f t="shared" si="31"/>
        <v>7</v>
      </c>
      <c r="R667" s="695" t="str">
        <f t="shared" si="32"/>
        <v>Rendimentos_de_Aplicações_Fin.</v>
      </c>
      <c r="S667" s="697" t="s">
        <v>310</v>
      </c>
      <c r="T667" s="697" t="s">
        <v>310</v>
      </c>
    </row>
    <row r="668" spans="1:20" ht="24" x14ac:dyDescent="0.2">
      <c r="A668" s="432">
        <f>IF(B668="","",COUNT('Diário 1º PA'!$A$4:$A$2635)+COUNT('Diário 2º PA'!$A$4:$A$3040)+ROW()-3)</f>
        <v>4764</v>
      </c>
      <c r="B668" s="455">
        <v>44772</v>
      </c>
      <c r="C668" s="431">
        <v>44743</v>
      </c>
      <c r="D668" s="415" t="s">
        <v>271</v>
      </c>
      <c r="E668" s="415" t="s">
        <v>78</v>
      </c>
      <c r="F668" s="425">
        <v>2099.39</v>
      </c>
      <c r="G668" s="427" t="s">
        <v>6192</v>
      </c>
      <c r="H668" s="415" t="s">
        <v>310</v>
      </c>
      <c r="I668" s="473" t="s">
        <v>1461</v>
      </c>
      <c r="J668" s="415" t="s">
        <v>310</v>
      </c>
      <c r="K668" s="415" t="s">
        <v>1220</v>
      </c>
      <c r="L668" s="415" t="s">
        <v>1368</v>
      </c>
      <c r="M668" s="415" t="s">
        <v>310</v>
      </c>
      <c r="N668" s="455">
        <v>44772</v>
      </c>
      <c r="O668" s="414" t="s">
        <v>400</v>
      </c>
      <c r="P668" s="655">
        <f t="shared" si="30"/>
        <v>7</v>
      </c>
      <c r="Q668" s="655">
        <f t="shared" si="31"/>
        <v>7</v>
      </c>
      <c r="R668" s="695" t="str">
        <f t="shared" si="32"/>
        <v>Gastos_Gerais</v>
      </c>
      <c r="S668" s="697" t="s">
        <v>310</v>
      </c>
      <c r="T668" s="697" t="s">
        <v>310</v>
      </c>
    </row>
    <row r="669" spans="1:20" ht="36" x14ac:dyDescent="0.2">
      <c r="A669" s="432">
        <f>IF(B669="","",COUNT('Diário 1º PA'!$A$4:$A$2635)+COUNT('Diário 2º PA'!$A$4:$A$3040)+ROW()-3)</f>
        <v>4765</v>
      </c>
      <c r="B669" s="414">
        <v>44774</v>
      </c>
      <c r="C669" s="431">
        <v>44743</v>
      </c>
      <c r="D669" s="415" t="s">
        <v>182</v>
      </c>
      <c r="E669" s="415" t="s">
        <v>8</v>
      </c>
      <c r="F669" s="425">
        <v>-23.2</v>
      </c>
      <c r="G669" s="427" t="s">
        <v>6209</v>
      </c>
      <c r="H669" s="415" t="s">
        <v>310</v>
      </c>
      <c r="I669" s="473" t="s">
        <v>795</v>
      </c>
      <c r="J669" s="415" t="s">
        <v>796</v>
      </c>
      <c r="K669" s="415" t="s">
        <v>797</v>
      </c>
      <c r="L669" s="415" t="s">
        <v>798</v>
      </c>
      <c r="M669" s="415" t="s">
        <v>310</v>
      </c>
      <c r="N669" s="414">
        <v>44743</v>
      </c>
      <c r="O669" s="414" t="s">
        <v>400</v>
      </c>
      <c r="P669" s="655">
        <f t="shared" si="30"/>
        <v>8</v>
      </c>
      <c r="Q669" s="655">
        <f t="shared" si="31"/>
        <v>7</v>
      </c>
      <c r="R669" s="695" t="str">
        <f t="shared" si="32"/>
        <v>Gastos_com_Pessoal</v>
      </c>
      <c r="S669" s="697" t="s">
        <v>310</v>
      </c>
      <c r="T669" s="697" t="s">
        <v>310</v>
      </c>
    </row>
    <row r="670" spans="1:20" ht="36" x14ac:dyDescent="0.2">
      <c r="A670" s="432">
        <f>IF(B670="","",COUNT('Diário 1º PA'!$A$4:$A$2635)+COUNT('Diário 2º PA'!$A$4:$A$3040)+ROW()-3)</f>
        <v>4766</v>
      </c>
      <c r="B670" s="414">
        <v>44774</v>
      </c>
      <c r="C670" s="431">
        <v>44743</v>
      </c>
      <c r="D670" s="415" t="s">
        <v>182</v>
      </c>
      <c r="E670" s="415" t="s">
        <v>179</v>
      </c>
      <c r="F670" s="425">
        <v>-15.12</v>
      </c>
      <c r="G670" s="427" t="s">
        <v>6205</v>
      </c>
      <c r="H670" s="415" t="s">
        <v>310</v>
      </c>
      <c r="I670" s="473" t="s">
        <v>795</v>
      </c>
      <c r="J670" s="415" t="s">
        <v>796</v>
      </c>
      <c r="K670" s="415" t="s">
        <v>797</v>
      </c>
      <c r="L670" s="415" t="s">
        <v>798</v>
      </c>
      <c r="M670" s="415" t="s">
        <v>310</v>
      </c>
      <c r="N670" s="414">
        <v>44774</v>
      </c>
      <c r="O670" s="414" t="s">
        <v>400</v>
      </c>
      <c r="P670" s="655">
        <f t="shared" si="30"/>
        <v>8</v>
      </c>
      <c r="Q670" s="655">
        <f t="shared" si="31"/>
        <v>7</v>
      </c>
      <c r="R670" s="695" t="str">
        <f t="shared" si="32"/>
        <v>Gastos_com_Pessoal</v>
      </c>
      <c r="S670" s="697" t="s">
        <v>310</v>
      </c>
      <c r="T670" s="697" t="s">
        <v>310</v>
      </c>
    </row>
    <row r="671" spans="1:20" ht="36" x14ac:dyDescent="0.2">
      <c r="A671" s="432">
        <f>IF(B671="","",COUNT('Diário 1º PA'!$A$4:$A$2635)+COUNT('Diário 2º PA'!$A$4:$A$3040)+ROW()-3)</f>
        <v>4767</v>
      </c>
      <c r="B671" s="414">
        <v>44774</v>
      </c>
      <c r="C671" s="431">
        <v>44743</v>
      </c>
      <c r="D671" s="415" t="s">
        <v>182</v>
      </c>
      <c r="E671" s="415" t="s">
        <v>8</v>
      </c>
      <c r="F671" s="425">
        <v>-23.2</v>
      </c>
      <c r="G671" s="427" t="s">
        <v>6206</v>
      </c>
      <c r="H671" s="415" t="s">
        <v>310</v>
      </c>
      <c r="I671" s="473" t="s">
        <v>795</v>
      </c>
      <c r="J671" s="415" t="s">
        <v>796</v>
      </c>
      <c r="K671" s="415" t="s">
        <v>797</v>
      </c>
      <c r="L671" s="415" t="s">
        <v>798</v>
      </c>
      <c r="M671" s="415" t="s">
        <v>310</v>
      </c>
      <c r="N671" s="414">
        <v>44774</v>
      </c>
      <c r="O671" s="414" t="s">
        <v>400</v>
      </c>
      <c r="P671" s="655">
        <f t="shared" si="30"/>
        <v>8</v>
      </c>
      <c r="Q671" s="655">
        <f t="shared" si="31"/>
        <v>7</v>
      </c>
      <c r="R671" s="695" t="str">
        <f t="shared" si="32"/>
        <v>Gastos_com_Pessoal</v>
      </c>
      <c r="S671" s="697" t="s">
        <v>310</v>
      </c>
      <c r="T671" s="697" t="s">
        <v>310</v>
      </c>
    </row>
    <row r="672" spans="1:20" ht="36" x14ac:dyDescent="0.2">
      <c r="A672" s="432">
        <f>IF(B672="","",COUNT('Diário 1º PA'!$A$4:$A$2635)+COUNT('Diário 2º PA'!$A$4:$A$3040)+ROW()-3)</f>
        <v>4768</v>
      </c>
      <c r="B672" s="414">
        <v>44774</v>
      </c>
      <c r="C672" s="431">
        <v>44743</v>
      </c>
      <c r="D672" s="415" t="s">
        <v>182</v>
      </c>
      <c r="E672" s="415" t="s">
        <v>179</v>
      </c>
      <c r="F672" s="425">
        <v>-105.84</v>
      </c>
      <c r="G672" s="427" t="s">
        <v>6207</v>
      </c>
      <c r="H672" s="415" t="s">
        <v>310</v>
      </c>
      <c r="I672" s="473" t="s">
        <v>795</v>
      </c>
      <c r="J672" s="415" t="s">
        <v>796</v>
      </c>
      <c r="K672" s="415" t="s">
        <v>797</v>
      </c>
      <c r="L672" s="415" t="s">
        <v>798</v>
      </c>
      <c r="M672" s="415" t="s">
        <v>310</v>
      </c>
      <c r="N672" s="414">
        <v>44774</v>
      </c>
      <c r="O672" s="414" t="s">
        <v>400</v>
      </c>
      <c r="P672" s="655">
        <f t="shared" si="30"/>
        <v>8</v>
      </c>
      <c r="Q672" s="655">
        <f t="shared" si="31"/>
        <v>7</v>
      </c>
      <c r="R672" s="695" t="str">
        <f t="shared" si="32"/>
        <v>Gastos_com_Pessoal</v>
      </c>
      <c r="S672" s="697" t="s">
        <v>310</v>
      </c>
      <c r="T672" s="697" t="s">
        <v>310</v>
      </c>
    </row>
    <row r="673" spans="1:20" ht="36" x14ac:dyDescent="0.2">
      <c r="A673" s="432">
        <f>IF(B673="","",COUNT('Diário 1º PA'!$A$4:$A$2635)+COUNT('Diário 2º PA'!$A$4:$A$3040)+ROW()-3)</f>
        <v>4769</v>
      </c>
      <c r="B673" s="414">
        <v>44774</v>
      </c>
      <c r="C673" s="431">
        <v>44743</v>
      </c>
      <c r="D673" s="415" t="s">
        <v>182</v>
      </c>
      <c r="E673" s="415" t="s">
        <v>8</v>
      </c>
      <c r="F673" s="425">
        <v>-162.4</v>
      </c>
      <c r="G673" s="427" t="s">
        <v>6208</v>
      </c>
      <c r="H673" s="415" t="s">
        <v>310</v>
      </c>
      <c r="I673" s="473" t="s">
        <v>795</v>
      </c>
      <c r="J673" s="415" t="s">
        <v>796</v>
      </c>
      <c r="K673" s="415" t="s">
        <v>797</v>
      </c>
      <c r="L673" s="415" t="s">
        <v>798</v>
      </c>
      <c r="M673" s="415" t="s">
        <v>310</v>
      </c>
      <c r="N673" s="414">
        <v>44774</v>
      </c>
      <c r="O673" s="414" t="s">
        <v>400</v>
      </c>
      <c r="P673" s="655">
        <f t="shared" si="30"/>
        <v>8</v>
      </c>
      <c r="Q673" s="655">
        <f t="shared" si="31"/>
        <v>7</v>
      </c>
      <c r="R673" s="695" t="str">
        <f t="shared" si="32"/>
        <v>Gastos_com_Pessoal</v>
      </c>
      <c r="S673" s="697" t="s">
        <v>310</v>
      </c>
      <c r="T673" s="697" t="s">
        <v>310</v>
      </c>
    </row>
    <row r="674" spans="1:20" ht="24" x14ac:dyDescent="0.2">
      <c r="A674" s="432">
        <f>IF(B674="","",COUNT('Diário 1º PA'!$A$4:$A$2635)+COUNT('Diário 2º PA'!$A$4:$A$3040)+ROW()-3)</f>
        <v>4770</v>
      </c>
      <c r="B674" s="414">
        <v>44774</v>
      </c>
      <c r="C674" s="431">
        <v>44743</v>
      </c>
      <c r="D674" s="434" t="s">
        <v>182</v>
      </c>
      <c r="E674" s="434" t="s">
        <v>8</v>
      </c>
      <c r="F674" s="425">
        <v>1716.78</v>
      </c>
      <c r="G674" s="437" t="s">
        <v>506</v>
      </c>
      <c r="H674" s="434" t="s">
        <v>310</v>
      </c>
      <c r="I674" s="415" t="s">
        <v>770</v>
      </c>
      <c r="J674" s="419" t="s">
        <v>825</v>
      </c>
      <c r="K674" s="418" t="s">
        <v>812</v>
      </c>
      <c r="L674" s="415" t="s">
        <v>826</v>
      </c>
      <c r="M674" s="419">
        <v>8134322</v>
      </c>
      <c r="N674" s="413">
        <v>44764</v>
      </c>
      <c r="O674" s="414" t="s">
        <v>400</v>
      </c>
      <c r="P674" s="655">
        <f t="shared" si="30"/>
        <v>8</v>
      </c>
      <c r="Q674" s="655">
        <f t="shared" si="31"/>
        <v>7</v>
      </c>
      <c r="R674" s="695" t="str">
        <f t="shared" si="32"/>
        <v>Gastos_com_Pessoal</v>
      </c>
      <c r="S674" s="697" t="s">
        <v>310</v>
      </c>
      <c r="T674" s="697" t="s">
        <v>310</v>
      </c>
    </row>
    <row r="675" spans="1:20" ht="24" x14ac:dyDescent="0.2">
      <c r="A675" s="432">
        <f>IF(B675="","",COUNT('Diário 1º PA'!$A$4:$A$2635)+COUNT('Diário 2º PA'!$A$4:$A$3040)+ROW()-3)</f>
        <v>4771</v>
      </c>
      <c r="B675" s="414">
        <v>44774</v>
      </c>
      <c r="C675" s="431">
        <v>44743</v>
      </c>
      <c r="D675" s="419" t="s">
        <v>182</v>
      </c>
      <c r="E675" s="419" t="s">
        <v>179</v>
      </c>
      <c r="F675" s="422">
        <v>570.94000000000005</v>
      </c>
      <c r="G675" s="415" t="s">
        <v>6201</v>
      </c>
      <c r="H675" s="419" t="s">
        <v>310</v>
      </c>
      <c r="I675" s="415" t="s">
        <v>771</v>
      </c>
      <c r="J675" s="419" t="s">
        <v>819</v>
      </c>
      <c r="K675" s="419" t="s">
        <v>812</v>
      </c>
      <c r="L675" s="415" t="s">
        <v>807</v>
      </c>
      <c r="M675" s="419" t="s">
        <v>6203</v>
      </c>
      <c r="N675" s="413">
        <v>44762</v>
      </c>
      <c r="O675" s="414" t="s">
        <v>400</v>
      </c>
      <c r="P675" s="655">
        <f t="shared" si="30"/>
        <v>8</v>
      </c>
      <c r="Q675" s="655">
        <f t="shared" si="31"/>
        <v>7</v>
      </c>
      <c r="R675" s="695" t="str">
        <f t="shared" si="32"/>
        <v>Gastos_com_Pessoal</v>
      </c>
      <c r="S675" s="696" t="s">
        <v>310</v>
      </c>
      <c r="T675" s="696" t="s">
        <v>310</v>
      </c>
    </row>
    <row r="676" spans="1:20" ht="24" x14ac:dyDescent="0.2">
      <c r="A676" s="432">
        <f>IF(B676="","",COUNT('Diário 1º PA'!$A$4:$A$2635)+COUNT('Diário 2º PA'!$A$4:$A$3040)+ROW()-3)</f>
        <v>4772</v>
      </c>
      <c r="B676" s="414">
        <v>44774</v>
      </c>
      <c r="C676" s="431">
        <v>44743</v>
      </c>
      <c r="D676" s="419" t="s">
        <v>182</v>
      </c>
      <c r="E676" s="419" t="s">
        <v>179</v>
      </c>
      <c r="F676" s="422">
        <v>394.65</v>
      </c>
      <c r="G676" s="415" t="s">
        <v>6202</v>
      </c>
      <c r="H676" s="419" t="s">
        <v>310</v>
      </c>
      <c r="I676" s="415" t="s">
        <v>771</v>
      </c>
      <c r="J676" s="419" t="s">
        <v>819</v>
      </c>
      <c r="K676" s="419" t="s">
        <v>812</v>
      </c>
      <c r="L676" s="415" t="s">
        <v>807</v>
      </c>
      <c r="M676" s="419" t="s">
        <v>6204</v>
      </c>
      <c r="N676" s="413">
        <v>44762</v>
      </c>
      <c r="O676" s="414" t="s">
        <v>400</v>
      </c>
      <c r="P676" s="655">
        <f t="shared" si="30"/>
        <v>8</v>
      </c>
      <c r="Q676" s="655">
        <f t="shared" si="31"/>
        <v>7</v>
      </c>
      <c r="R676" s="695" t="str">
        <f t="shared" si="32"/>
        <v>Gastos_com_Pessoal</v>
      </c>
      <c r="S676" s="696" t="s">
        <v>310</v>
      </c>
      <c r="T676" s="696" t="s">
        <v>310</v>
      </c>
    </row>
    <row r="677" spans="1:20" ht="36" x14ac:dyDescent="0.2">
      <c r="A677" s="432">
        <f>IF(B677="","",COUNT('Diário 1º PA'!$A$4:$A$2635)+COUNT('Diário 2º PA'!$A$4:$A$3040)+ROW()-3)</f>
        <v>4773</v>
      </c>
      <c r="B677" s="414">
        <v>44774</v>
      </c>
      <c r="C677" s="431">
        <v>44621</v>
      </c>
      <c r="D677" s="415" t="s">
        <v>271</v>
      </c>
      <c r="E677" s="415" t="s">
        <v>453</v>
      </c>
      <c r="F677" s="425">
        <v>800</v>
      </c>
      <c r="G677" s="427" t="s">
        <v>1870</v>
      </c>
      <c r="H677" s="415" t="s">
        <v>754</v>
      </c>
      <c r="I677" s="427" t="s">
        <v>6214</v>
      </c>
      <c r="J677" s="415" t="s">
        <v>2448</v>
      </c>
      <c r="K677" s="419" t="s">
        <v>830</v>
      </c>
      <c r="L677" s="415" t="s">
        <v>32</v>
      </c>
      <c r="M677" s="419" t="s">
        <v>1308</v>
      </c>
      <c r="N677" s="413">
        <v>44755</v>
      </c>
      <c r="O677" s="393" t="s">
        <v>400</v>
      </c>
      <c r="P677" s="655">
        <f t="shared" si="30"/>
        <v>8</v>
      </c>
      <c r="Q677" s="655">
        <f t="shared" si="31"/>
        <v>3</v>
      </c>
      <c r="R677" s="695" t="str">
        <f t="shared" si="32"/>
        <v>Gastos_Gerais</v>
      </c>
      <c r="S677" s="697" t="s">
        <v>998</v>
      </c>
      <c r="T677" s="697">
        <v>2935</v>
      </c>
    </row>
    <row r="678" spans="1:20" ht="63.75" x14ac:dyDescent="0.2">
      <c r="A678" s="432">
        <f>IF(B678="","",COUNT('Diário 1º PA'!$A$4:$A$2635)+COUNT('Diário 2º PA'!$A$4:$A$3040)+ROW()-3)</f>
        <v>4774</v>
      </c>
      <c r="B678" s="414">
        <v>44774</v>
      </c>
      <c r="C678" s="431">
        <v>44743</v>
      </c>
      <c r="D678" s="415" t="s">
        <v>468</v>
      </c>
      <c r="E678" s="415" t="s">
        <v>468</v>
      </c>
      <c r="F678" s="425">
        <v>94.17</v>
      </c>
      <c r="G678" s="427" t="s">
        <v>5791</v>
      </c>
      <c r="H678" s="415" t="s">
        <v>468</v>
      </c>
      <c r="I678" s="427" t="s">
        <v>6781</v>
      </c>
      <c r="J678" s="415" t="s">
        <v>1321</v>
      </c>
      <c r="K678" s="419" t="s">
        <v>812</v>
      </c>
      <c r="L678" s="415" t="s">
        <v>32</v>
      </c>
      <c r="M678" s="419">
        <v>42977</v>
      </c>
      <c r="N678" s="413">
        <v>44746</v>
      </c>
      <c r="O678" s="393" t="s">
        <v>404</v>
      </c>
      <c r="P678" s="655">
        <f t="shared" si="30"/>
        <v>8</v>
      </c>
      <c r="Q678" s="655">
        <f t="shared" si="31"/>
        <v>7</v>
      </c>
      <c r="R678" s="695" t="str">
        <f t="shared" si="32"/>
        <v>Gastos_custeados_por_captação</v>
      </c>
      <c r="S678" s="697" t="s">
        <v>999</v>
      </c>
      <c r="T678" s="697">
        <v>4030</v>
      </c>
    </row>
    <row r="679" spans="1:20" ht="24" x14ac:dyDescent="0.2">
      <c r="A679" s="432">
        <f>IF(B679="","",COUNT('Diário 1º PA'!$A$4:$A$2635)+COUNT('Diário 2º PA'!$A$4:$A$3040)+ROW()-3)</f>
        <v>4775</v>
      </c>
      <c r="B679" s="413">
        <v>44775</v>
      </c>
      <c r="C679" s="466">
        <v>44774</v>
      </c>
      <c r="D679" s="415" t="s">
        <v>182</v>
      </c>
      <c r="E679" s="415" t="s">
        <v>161</v>
      </c>
      <c r="F679" s="425">
        <v>237.58</v>
      </c>
      <c r="G679" s="427" t="s">
        <v>1495</v>
      </c>
      <c r="H679" s="415" t="s">
        <v>310</v>
      </c>
      <c r="I679" s="473" t="s">
        <v>2008</v>
      </c>
      <c r="J679" s="548" t="s">
        <v>2009</v>
      </c>
      <c r="K679" s="415" t="s">
        <v>812</v>
      </c>
      <c r="L679" s="415" t="s">
        <v>807</v>
      </c>
      <c r="M679" s="415" t="s">
        <v>7285</v>
      </c>
      <c r="N679" s="414">
        <v>44775</v>
      </c>
      <c r="O679" s="414" t="s">
        <v>400</v>
      </c>
      <c r="P679" s="655">
        <f t="shared" si="30"/>
        <v>8</v>
      </c>
      <c r="Q679" s="655">
        <f t="shared" si="31"/>
        <v>8</v>
      </c>
      <c r="R679" s="695" t="str">
        <f t="shared" si="32"/>
        <v>Gastos_com_Pessoal</v>
      </c>
      <c r="S679" s="696" t="s">
        <v>310</v>
      </c>
      <c r="T679" s="696" t="s">
        <v>310</v>
      </c>
    </row>
    <row r="680" spans="1:20" ht="60" x14ac:dyDescent="0.2">
      <c r="A680" s="432">
        <f>IF(B680="","",COUNT('Diário 1º PA'!$A$4:$A$2635)+COUNT('Diário 2º PA'!$A$4:$A$3040)+ROW()-3)</f>
        <v>4776</v>
      </c>
      <c r="B680" s="413">
        <v>44775</v>
      </c>
      <c r="C680" s="424">
        <v>44743</v>
      </c>
      <c r="D680" s="419" t="s">
        <v>271</v>
      </c>
      <c r="E680" s="419" t="s">
        <v>90</v>
      </c>
      <c r="F680" s="422">
        <v>3000</v>
      </c>
      <c r="G680" s="427" t="s">
        <v>3964</v>
      </c>
      <c r="H680" s="419" t="s">
        <v>750</v>
      </c>
      <c r="I680" s="415" t="s">
        <v>5741</v>
      </c>
      <c r="J680" s="419" t="s">
        <v>1126</v>
      </c>
      <c r="K680" s="419" t="s">
        <v>806</v>
      </c>
      <c r="L680" s="415" t="s">
        <v>807</v>
      </c>
      <c r="M680" s="419" t="s">
        <v>1696</v>
      </c>
      <c r="N680" s="413">
        <v>44774</v>
      </c>
      <c r="O680" s="414" t="s">
        <v>400</v>
      </c>
      <c r="P680" s="655">
        <f t="shared" si="30"/>
        <v>8</v>
      </c>
      <c r="Q680" s="655">
        <f t="shared" si="31"/>
        <v>7</v>
      </c>
      <c r="R680" s="695" t="str">
        <f t="shared" si="32"/>
        <v>Gastos_Gerais</v>
      </c>
      <c r="S680" s="697" t="s">
        <v>1000</v>
      </c>
      <c r="T680" s="697">
        <v>3528</v>
      </c>
    </row>
    <row r="681" spans="1:20" ht="96" x14ac:dyDescent="0.2">
      <c r="A681" s="432">
        <f>IF(B681="","",COUNT('Diário 1º PA'!$A$4:$A$2635)+COUNT('Diário 2º PA'!$A$4:$A$3040)+ROW()-3)</f>
        <v>4777</v>
      </c>
      <c r="B681" s="413">
        <v>44775</v>
      </c>
      <c r="C681" s="431">
        <v>44743</v>
      </c>
      <c r="D681" s="415" t="s">
        <v>271</v>
      </c>
      <c r="E681" s="415" t="s">
        <v>297</v>
      </c>
      <c r="F681" s="422">
        <v>878</v>
      </c>
      <c r="G681" s="419" t="s">
        <v>6027</v>
      </c>
      <c r="H681" s="415" t="s">
        <v>758</v>
      </c>
      <c r="I681" s="415" t="s">
        <v>6222</v>
      </c>
      <c r="J681" s="419" t="s">
        <v>6028</v>
      </c>
      <c r="K681" s="419" t="s">
        <v>812</v>
      </c>
      <c r="L681" s="419" t="s">
        <v>7238</v>
      </c>
      <c r="M681" s="419">
        <v>19158</v>
      </c>
      <c r="N681" s="413">
        <v>44762</v>
      </c>
      <c r="O681" s="414" t="s">
        <v>400</v>
      </c>
      <c r="P681" s="655">
        <f t="shared" si="30"/>
        <v>8</v>
      </c>
      <c r="Q681" s="655">
        <f t="shared" si="31"/>
        <v>7</v>
      </c>
      <c r="R681" s="695" t="str">
        <f t="shared" si="32"/>
        <v>Gastos_Gerais</v>
      </c>
      <c r="S681" s="696" t="s">
        <v>998</v>
      </c>
      <c r="T681" s="696">
        <v>4112</v>
      </c>
    </row>
    <row r="682" spans="1:20" ht="108" x14ac:dyDescent="0.2">
      <c r="A682" s="432">
        <f>IF(B682="","",COUNT('Diário 1º PA'!$A$4:$A$2635)+COUNT('Diário 2º PA'!$A$4:$A$3040)+ROW()-3)</f>
        <v>4778</v>
      </c>
      <c r="B682" s="413">
        <v>44775</v>
      </c>
      <c r="C682" s="431">
        <v>44743</v>
      </c>
      <c r="D682" s="415" t="s">
        <v>271</v>
      </c>
      <c r="E682" s="415" t="s">
        <v>90</v>
      </c>
      <c r="F682" s="422">
        <v>2537.5500000000002</v>
      </c>
      <c r="G682" s="419" t="s">
        <v>4128</v>
      </c>
      <c r="H682" s="415" t="s">
        <v>760</v>
      </c>
      <c r="I682" s="415" t="s">
        <v>5918</v>
      </c>
      <c r="J682" s="419" t="s">
        <v>4127</v>
      </c>
      <c r="K682" s="419" t="s">
        <v>830</v>
      </c>
      <c r="L682" s="415" t="s">
        <v>1341</v>
      </c>
      <c r="M682" s="419">
        <v>1915</v>
      </c>
      <c r="N682" s="413">
        <v>44774</v>
      </c>
      <c r="O682" s="414" t="s">
        <v>400</v>
      </c>
      <c r="P682" s="655">
        <f t="shared" si="30"/>
        <v>8</v>
      </c>
      <c r="Q682" s="655">
        <f t="shared" si="31"/>
        <v>7</v>
      </c>
      <c r="R682" s="695" t="str">
        <f t="shared" si="32"/>
        <v>Gastos_Gerais</v>
      </c>
      <c r="S682" s="696" t="s">
        <v>1000</v>
      </c>
      <c r="T682" s="696">
        <v>3718</v>
      </c>
    </row>
    <row r="683" spans="1:20" ht="168" x14ac:dyDescent="0.2">
      <c r="A683" s="432">
        <f>IF(B683="","",COUNT('Diário 1º PA'!$A$4:$A$2635)+COUNT('Diário 2º PA'!$A$4:$A$3040)+ROW()-3)</f>
        <v>4779</v>
      </c>
      <c r="B683" s="413">
        <v>44775</v>
      </c>
      <c r="C683" s="431">
        <v>44743</v>
      </c>
      <c r="D683" s="415" t="s">
        <v>468</v>
      </c>
      <c r="E683" s="415" t="s">
        <v>468</v>
      </c>
      <c r="F683" s="425">
        <v>2000</v>
      </c>
      <c r="G683" s="427" t="s">
        <v>656</v>
      </c>
      <c r="H683" s="415" t="s">
        <v>468</v>
      </c>
      <c r="I683" s="473" t="s">
        <v>1609</v>
      </c>
      <c r="J683" s="415" t="s">
        <v>1016</v>
      </c>
      <c r="K683" s="415" t="s">
        <v>830</v>
      </c>
      <c r="L683" s="415" t="s">
        <v>32</v>
      </c>
      <c r="M683" s="415" t="s">
        <v>1696</v>
      </c>
      <c r="N683" s="414">
        <v>44774</v>
      </c>
      <c r="O683" s="414" t="s">
        <v>3762</v>
      </c>
      <c r="P683" s="655">
        <f t="shared" si="30"/>
        <v>8</v>
      </c>
      <c r="Q683" s="655">
        <f t="shared" si="31"/>
        <v>7</v>
      </c>
      <c r="R683" s="695" t="str">
        <f t="shared" si="32"/>
        <v>Gastos_custeados_por_captação</v>
      </c>
      <c r="S683" s="697" t="s">
        <v>1000</v>
      </c>
      <c r="T683" s="697">
        <v>3610</v>
      </c>
    </row>
    <row r="684" spans="1:20" ht="48" x14ac:dyDescent="0.2">
      <c r="A684" s="432">
        <f>IF(B684="","",COUNT('Diário 1º PA'!$A$4:$A$2635)+COUNT('Diário 2º PA'!$A$4:$A$3040)+ROW()-3)</f>
        <v>4780</v>
      </c>
      <c r="B684" s="413">
        <v>44775</v>
      </c>
      <c r="C684" s="431">
        <v>44743</v>
      </c>
      <c r="D684" s="415" t="s">
        <v>468</v>
      </c>
      <c r="E684" s="415" t="s">
        <v>468</v>
      </c>
      <c r="F684" s="422">
        <v>11300</v>
      </c>
      <c r="G684" s="419" t="s">
        <v>6078</v>
      </c>
      <c r="H684" s="415" t="s">
        <v>468</v>
      </c>
      <c r="I684" s="415" t="s">
        <v>5018</v>
      </c>
      <c r="J684" s="419" t="s">
        <v>1052</v>
      </c>
      <c r="K684" s="415" t="s">
        <v>830</v>
      </c>
      <c r="L684" s="415" t="s">
        <v>32</v>
      </c>
      <c r="M684" s="419">
        <v>182</v>
      </c>
      <c r="N684" s="413">
        <v>44774</v>
      </c>
      <c r="O684" s="414" t="s">
        <v>3762</v>
      </c>
      <c r="P684" s="655">
        <f t="shared" si="30"/>
        <v>8</v>
      </c>
      <c r="Q684" s="655">
        <f t="shared" si="31"/>
        <v>7</v>
      </c>
      <c r="R684" s="695" t="str">
        <f t="shared" si="32"/>
        <v>Gastos_custeados_por_captação</v>
      </c>
      <c r="S684" s="698" t="s">
        <v>998</v>
      </c>
      <c r="T684" s="696">
        <v>3836</v>
      </c>
    </row>
    <row r="685" spans="1:20" ht="48" x14ac:dyDescent="0.2">
      <c r="A685" s="432">
        <f>IF(B685="","",COUNT('Diário 1º PA'!$A$4:$A$2635)+COUNT('Diário 2º PA'!$A$4:$A$3040)+ROW()-3)</f>
        <v>4781</v>
      </c>
      <c r="B685" s="413">
        <v>44775</v>
      </c>
      <c r="C685" s="431">
        <v>44743</v>
      </c>
      <c r="D685" s="415" t="s">
        <v>468</v>
      </c>
      <c r="E685" s="415" t="s">
        <v>468</v>
      </c>
      <c r="F685" s="425">
        <v>2000</v>
      </c>
      <c r="G685" s="427" t="s">
        <v>4162</v>
      </c>
      <c r="H685" s="415" t="s">
        <v>468</v>
      </c>
      <c r="I685" s="473" t="s">
        <v>1656</v>
      </c>
      <c r="J685" s="415" t="s">
        <v>1655</v>
      </c>
      <c r="K685" s="415" t="s">
        <v>830</v>
      </c>
      <c r="L685" s="415" t="s">
        <v>32</v>
      </c>
      <c r="M685" s="415" t="s">
        <v>1540</v>
      </c>
      <c r="N685" s="413">
        <v>44774</v>
      </c>
      <c r="O685" s="414" t="s">
        <v>3762</v>
      </c>
      <c r="P685" s="655">
        <f t="shared" si="30"/>
        <v>8</v>
      </c>
      <c r="Q685" s="655">
        <f t="shared" si="31"/>
        <v>7</v>
      </c>
      <c r="R685" s="695" t="str">
        <f t="shared" si="32"/>
        <v>Gastos_custeados_por_captação</v>
      </c>
      <c r="S685" s="697" t="s">
        <v>1000</v>
      </c>
      <c r="T685" s="697">
        <v>3611</v>
      </c>
    </row>
    <row r="686" spans="1:20" ht="48" x14ac:dyDescent="0.2">
      <c r="A686" s="432">
        <f>IF(B686="","",COUNT('Diário 1º PA'!$A$4:$A$2635)+COUNT('Diário 2º PA'!$A$4:$A$3040)+ROW()-3)</f>
        <v>4782</v>
      </c>
      <c r="B686" s="413">
        <v>44775</v>
      </c>
      <c r="C686" s="431">
        <v>44713</v>
      </c>
      <c r="D686" s="415" t="s">
        <v>468</v>
      </c>
      <c r="E686" s="415" t="s">
        <v>468</v>
      </c>
      <c r="F686" s="422">
        <v>2462.5500000000002</v>
      </c>
      <c r="G686" s="419" t="s">
        <v>5902</v>
      </c>
      <c r="H686" s="415" t="s">
        <v>468</v>
      </c>
      <c r="I686" s="415" t="s">
        <v>3690</v>
      </c>
      <c r="J686" s="419" t="s">
        <v>1989</v>
      </c>
      <c r="K686" s="419" t="s">
        <v>830</v>
      </c>
      <c r="L686" s="415" t="s">
        <v>839</v>
      </c>
      <c r="M686" s="419">
        <v>1905</v>
      </c>
      <c r="N686" s="413">
        <v>44768</v>
      </c>
      <c r="O686" s="414" t="s">
        <v>3762</v>
      </c>
      <c r="P686" s="655">
        <f t="shared" si="30"/>
        <v>8</v>
      </c>
      <c r="Q686" s="655">
        <f t="shared" si="31"/>
        <v>6</v>
      </c>
      <c r="R686" s="695" t="str">
        <f t="shared" si="32"/>
        <v>Gastos_custeados_por_captação</v>
      </c>
      <c r="S686" s="697" t="s">
        <v>1000</v>
      </c>
      <c r="T686" s="696">
        <v>4130</v>
      </c>
    </row>
    <row r="687" spans="1:20" ht="48" x14ac:dyDescent="0.2">
      <c r="A687" s="432">
        <f>IF(B687="","",COUNT('Diário 1º PA'!$A$4:$A$2635)+COUNT('Diário 2º PA'!$A$4:$A$3040)+ROW()-3)</f>
        <v>4783</v>
      </c>
      <c r="B687" s="413">
        <v>44775</v>
      </c>
      <c r="C687" s="431">
        <v>44743</v>
      </c>
      <c r="D687" s="415" t="s">
        <v>468</v>
      </c>
      <c r="E687" s="415" t="s">
        <v>468</v>
      </c>
      <c r="F687" s="422">
        <v>2650</v>
      </c>
      <c r="G687" s="419" t="s">
        <v>697</v>
      </c>
      <c r="H687" s="415" t="s">
        <v>468</v>
      </c>
      <c r="I687" s="415" t="s">
        <v>2466</v>
      </c>
      <c r="J687" s="419" t="s">
        <v>1128</v>
      </c>
      <c r="K687" s="419" t="s">
        <v>830</v>
      </c>
      <c r="L687" s="415" t="s">
        <v>807</v>
      </c>
      <c r="M687" s="419" t="s">
        <v>2619</v>
      </c>
      <c r="N687" s="413">
        <v>44774</v>
      </c>
      <c r="O687" s="414" t="s">
        <v>408</v>
      </c>
      <c r="P687" s="655">
        <f t="shared" si="30"/>
        <v>8</v>
      </c>
      <c r="Q687" s="655">
        <f t="shared" si="31"/>
        <v>7</v>
      </c>
      <c r="R687" s="695" t="str">
        <f t="shared" si="32"/>
        <v>Gastos_custeados_por_captação</v>
      </c>
      <c r="S687" s="696" t="s">
        <v>1000</v>
      </c>
      <c r="T687" s="696">
        <v>2687</v>
      </c>
    </row>
    <row r="688" spans="1:20" ht="48" x14ac:dyDescent="0.2">
      <c r="A688" s="432">
        <f>IF(B688="","",COUNT('Diário 1º PA'!$A$4:$A$2635)+COUNT('Diário 2º PA'!$A$4:$A$3040)+ROW()-3)</f>
        <v>4784</v>
      </c>
      <c r="B688" s="413">
        <v>44775</v>
      </c>
      <c r="C688" s="431">
        <v>44743</v>
      </c>
      <c r="D688" s="419" t="s">
        <v>468</v>
      </c>
      <c r="E688" s="419" t="s">
        <v>468</v>
      </c>
      <c r="F688" s="422">
        <v>4000</v>
      </c>
      <c r="G688" s="427" t="s">
        <v>710</v>
      </c>
      <c r="H688" s="419" t="s">
        <v>468</v>
      </c>
      <c r="I688" s="415" t="s">
        <v>6377</v>
      </c>
      <c r="J688" s="415" t="s">
        <v>1135</v>
      </c>
      <c r="K688" s="419" t="s">
        <v>830</v>
      </c>
      <c r="L688" s="415" t="s">
        <v>32</v>
      </c>
      <c r="M688" s="419" t="s">
        <v>1540</v>
      </c>
      <c r="N688" s="413">
        <v>44774</v>
      </c>
      <c r="O688" s="414" t="s">
        <v>408</v>
      </c>
      <c r="P688" s="655">
        <f t="shared" si="30"/>
        <v>8</v>
      </c>
      <c r="Q688" s="655">
        <f t="shared" si="31"/>
        <v>7</v>
      </c>
      <c r="R688" s="695" t="str">
        <f t="shared" si="32"/>
        <v>Gastos_custeados_por_captação</v>
      </c>
      <c r="S688" s="698" t="s">
        <v>1000</v>
      </c>
      <c r="T688" s="696">
        <v>2757</v>
      </c>
    </row>
    <row r="689" spans="1:20" ht="60" x14ac:dyDescent="0.2">
      <c r="A689" s="432">
        <f>IF(B689="","",COUNT('Diário 1º PA'!$A$4:$A$2635)+COUNT('Diário 2º PA'!$A$4:$A$3040)+ROW()-3)</f>
        <v>4785</v>
      </c>
      <c r="B689" s="413">
        <v>44775</v>
      </c>
      <c r="C689" s="431">
        <v>44743</v>
      </c>
      <c r="D689" s="415" t="s">
        <v>468</v>
      </c>
      <c r="E689" s="415" t="s">
        <v>468</v>
      </c>
      <c r="F689" s="425">
        <v>2200</v>
      </c>
      <c r="G689" s="427" t="s">
        <v>4477</v>
      </c>
      <c r="H689" s="415" t="s">
        <v>468</v>
      </c>
      <c r="I689" s="398" t="s">
        <v>6401</v>
      </c>
      <c r="J689" s="415" t="s">
        <v>4478</v>
      </c>
      <c r="K689" s="418" t="s">
        <v>830</v>
      </c>
      <c r="L689" s="399" t="s">
        <v>32</v>
      </c>
      <c r="M689" s="419" t="s">
        <v>842</v>
      </c>
      <c r="N689" s="413">
        <v>44774</v>
      </c>
      <c r="O689" s="414" t="s">
        <v>408</v>
      </c>
      <c r="P689" s="655">
        <f t="shared" si="30"/>
        <v>8</v>
      </c>
      <c r="Q689" s="655">
        <f t="shared" si="31"/>
        <v>7</v>
      </c>
      <c r="R689" s="695" t="str">
        <f t="shared" si="32"/>
        <v>Gastos_custeados_por_captação</v>
      </c>
      <c r="S689" s="697" t="s">
        <v>1000</v>
      </c>
      <c r="T689" s="697">
        <v>3829</v>
      </c>
    </row>
    <row r="690" spans="1:20" ht="48" x14ac:dyDescent="0.2">
      <c r="A690" s="432">
        <f>IF(B690="","",COUNT('Diário 1º PA'!$A$4:$A$2635)+COUNT('Diário 2º PA'!$A$4:$A$3040)+ROW()-3)</f>
        <v>4786</v>
      </c>
      <c r="B690" s="413">
        <v>44775</v>
      </c>
      <c r="C690" s="431">
        <v>44743</v>
      </c>
      <c r="D690" s="419" t="s">
        <v>468</v>
      </c>
      <c r="E690" s="419" t="s">
        <v>468</v>
      </c>
      <c r="F690" s="422">
        <v>2750</v>
      </c>
      <c r="G690" s="427" t="s">
        <v>694</v>
      </c>
      <c r="H690" s="419" t="s">
        <v>468</v>
      </c>
      <c r="I690" s="415" t="s">
        <v>6400</v>
      </c>
      <c r="J690" s="415" t="s">
        <v>1127</v>
      </c>
      <c r="K690" s="419" t="s">
        <v>830</v>
      </c>
      <c r="L690" s="415" t="s">
        <v>807</v>
      </c>
      <c r="M690" s="419" t="s">
        <v>1700</v>
      </c>
      <c r="N690" s="413">
        <v>44774</v>
      </c>
      <c r="O690" s="414" t="s">
        <v>408</v>
      </c>
      <c r="P690" s="655">
        <f t="shared" si="30"/>
        <v>8</v>
      </c>
      <c r="Q690" s="655">
        <f t="shared" si="31"/>
        <v>7</v>
      </c>
      <c r="R690" s="695" t="str">
        <f t="shared" si="32"/>
        <v>Gastos_custeados_por_captação</v>
      </c>
      <c r="S690" s="698" t="s">
        <v>1000</v>
      </c>
      <c r="T690" s="696">
        <v>2661</v>
      </c>
    </row>
    <row r="691" spans="1:20" ht="36" x14ac:dyDescent="0.2">
      <c r="A691" s="432">
        <f>IF(B691="","",COUNT('Diário 1º PA'!$A$4:$A$2635)+COUNT('Diário 2º PA'!$A$4:$A$3040)+ROW()-3)</f>
        <v>4787</v>
      </c>
      <c r="B691" s="413">
        <v>44775</v>
      </c>
      <c r="C691" s="431">
        <v>44743</v>
      </c>
      <c r="D691" s="419" t="s">
        <v>468</v>
      </c>
      <c r="E691" s="419" t="s">
        <v>468</v>
      </c>
      <c r="F691" s="422">
        <v>2750</v>
      </c>
      <c r="G691" s="427" t="s">
        <v>4429</v>
      </c>
      <c r="H691" s="419" t="s">
        <v>468</v>
      </c>
      <c r="I691" s="415" t="s">
        <v>6397</v>
      </c>
      <c r="J691" s="415" t="s">
        <v>2456</v>
      </c>
      <c r="K691" s="419" t="s">
        <v>830</v>
      </c>
      <c r="L691" s="415" t="s">
        <v>807</v>
      </c>
      <c r="M691" s="419" t="s">
        <v>1700</v>
      </c>
      <c r="N691" s="413">
        <v>44774</v>
      </c>
      <c r="O691" s="414" t="s">
        <v>408</v>
      </c>
      <c r="P691" s="655">
        <f t="shared" si="30"/>
        <v>8</v>
      </c>
      <c r="Q691" s="655">
        <f t="shared" si="31"/>
        <v>7</v>
      </c>
      <c r="R691" s="695" t="str">
        <f t="shared" si="32"/>
        <v>Gastos_custeados_por_captação</v>
      </c>
      <c r="S691" s="698" t="s">
        <v>1000</v>
      </c>
      <c r="T691" s="696">
        <v>3804</v>
      </c>
    </row>
    <row r="692" spans="1:20" ht="36" x14ac:dyDescent="0.2">
      <c r="A692" s="432">
        <f>IF(B692="","",COUNT('Diário 1º PA'!$A$4:$A$2635)+COUNT('Diário 2º PA'!$A$4:$A$3040)+ROW()-3)</f>
        <v>4788</v>
      </c>
      <c r="B692" s="413">
        <v>44775</v>
      </c>
      <c r="C692" s="431">
        <v>44743</v>
      </c>
      <c r="D692" s="419" t="s">
        <v>468</v>
      </c>
      <c r="E692" s="419" t="s">
        <v>468</v>
      </c>
      <c r="F692" s="422">
        <v>4311.5600000000004</v>
      </c>
      <c r="G692" s="427" t="s">
        <v>693</v>
      </c>
      <c r="H692" s="419" t="s">
        <v>468</v>
      </c>
      <c r="I692" s="415" t="s">
        <v>6392</v>
      </c>
      <c r="J692" s="415" t="s">
        <v>1124</v>
      </c>
      <c r="K692" s="419" t="s">
        <v>830</v>
      </c>
      <c r="L692" s="415" t="s">
        <v>807</v>
      </c>
      <c r="M692" s="419" t="s">
        <v>1795</v>
      </c>
      <c r="N692" s="413">
        <v>44774</v>
      </c>
      <c r="O692" s="414" t="s">
        <v>408</v>
      </c>
      <c r="P692" s="655">
        <f t="shared" si="30"/>
        <v>8</v>
      </c>
      <c r="Q692" s="655">
        <f t="shared" si="31"/>
        <v>7</v>
      </c>
      <c r="R692" s="695" t="str">
        <f t="shared" si="32"/>
        <v>Gastos_custeados_por_captação</v>
      </c>
      <c r="S692" s="698" t="s">
        <v>1000</v>
      </c>
      <c r="T692" s="696">
        <v>2642</v>
      </c>
    </row>
    <row r="693" spans="1:20" ht="60" x14ac:dyDescent="0.2">
      <c r="A693" s="432">
        <f>IF(B693="","",COUNT('Diário 1º PA'!$A$4:$A$2635)+COUNT('Diário 2º PA'!$A$4:$A$3040)+ROW()-3)</f>
        <v>4789</v>
      </c>
      <c r="B693" s="413">
        <v>44775</v>
      </c>
      <c r="C693" s="431">
        <v>44713</v>
      </c>
      <c r="D693" s="419" t="s">
        <v>468</v>
      </c>
      <c r="E693" s="419" t="s">
        <v>468</v>
      </c>
      <c r="F693" s="422">
        <v>78</v>
      </c>
      <c r="G693" s="427" t="s">
        <v>5397</v>
      </c>
      <c r="H693" s="419" t="s">
        <v>468</v>
      </c>
      <c r="I693" s="415" t="s">
        <v>6781</v>
      </c>
      <c r="J693" s="415" t="s">
        <v>1321</v>
      </c>
      <c r="K693" s="419" t="s">
        <v>812</v>
      </c>
      <c r="L693" s="415" t="s">
        <v>32</v>
      </c>
      <c r="M693" s="419">
        <v>43001</v>
      </c>
      <c r="N693" s="413">
        <v>44747</v>
      </c>
      <c r="O693" s="414" t="s">
        <v>404</v>
      </c>
      <c r="P693" s="655">
        <f t="shared" si="30"/>
        <v>8</v>
      </c>
      <c r="Q693" s="655">
        <f t="shared" si="31"/>
        <v>6</v>
      </c>
      <c r="R693" s="695" t="str">
        <f t="shared" si="32"/>
        <v>Gastos_custeados_por_captação</v>
      </c>
      <c r="S693" s="698" t="s">
        <v>999</v>
      </c>
      <c r="T693" s="696">
        <v>4010</v>
      </c>
    </row>
    <row r="694" spans="1:20" ht="60" x14ac:dyDescent="0.2">
      <c r="A694" s="432">
        <f>IF(B694="","",COUNT('Diário 1º PA'!$A$4:$A$2635)+COUNT('Diário 2º PA'!$A$4:$A$3040)+ROW()-3)</f>
        <v>4790</v>
      </c>
      <c r="B694" s="413">
        <v>44775</v>
      </c>
      <c r="C694" s="431">
        <v>44743</v>
      </c>
      <c r="D694" s="419" t="s">
        <v>468</v>
      </c>
      <c r="E694" s="419" t="s">
        <v>468</v>
      </c>
      <c r="F694" s="422">
        <v>2522.5500000000002</v>
      </c>
      <c r="G694" s="427" t="s">
        <v>670</v>
      </c>
      <c r="H694" s="419" t="s">
        <v>468</v>
      </c>
      <c r="I694" s="415" t="s">
        <v>2358</v>
      </c>
      <c r="J694" s="415" t="s">
        <v>1132</v>
      </c>
      <c r="K694" s="419" t="s">
        <v>830</v>
      </c>
      <c r="L694" s="415" t="s">
        <v>839</v>
      </c>
      <c r="M694" s="419">
        <v>1912</v>
      </c>
      <c r="N694" s="413">
        <v>44774</v>
      </c>
      <c r="O694" s="414" t="s">
        <v>405</v>
      </c>
      <c r="P694" s="655">
        <f t="shared" si="30"/>
        <v>8</v>
      </c>
      <c r="Q694" s="655">
        <f t="shared" si="31"/>
        <v>7</v>
      </c>
      <c r="R694" s="695" t="str">
        <f t="shared" si="32"/>
        <v>Gastos_custeados_por_captação</v>
      </c>
      <c r="S694" s="698" t="s">
        <v>1000</v>
      </c>
      <c r="T694" s="698">
        <v>3724</v>
      </c>
    </row>
    <row r="695" spans="1:20" ht="72" x14ac:dyDescent="0.2">
      <c r="A695" s="432">
        <f>IF(B695="","",COUNT('Diário 1º PA'!$A$4:$A$2635)+COUNT('Diário 2º PA'!$A$4:$A$3040)+ROW()-3)</f>
        <v>4791</v>
      </c>
      <c r="B695" s="414">
        <v>44776</v>
      </c>
      <c r="C695" s="592">
        <v>44743</v>
      </c>
      <c r="D695" s="415" t="s">
        <v>271</v>
      </c>
      <c r="E695" s="415" t="s">
        <v>90</v>
      </c>
      <c r="F695" s="425">
        <v>-1980.75</v>
      </c>
      <c r="G695" s="427" t="s">
        <v>6229</v>
      </c>
      <c r="H695" s="415" t="s">
        <v>309</v>
      </c>
      <c r="I695" s="473" t="s">
        <v>795</v>
      </c>
      <c r="J695" s="415" t="s">
        <v>796</v>
      </c>
      <c r="K695" s="415" t="s">
        <v>797</v>
      </c>
      <c r="L695" s="415" t="s">
        <v>798</v>
      </c>
      <c r="M695" s="415" t="s">
        <v>310</v>
      </c>
      <c r="N695" s="414">
        <v>44776</v>
      </c>
      <c r="O695" s="414" t="s">
        <v>400</v>
      </c>
      <c r="P695" s="655">
        <f t="shared" si="30"/>
        <v>8</v>
      </c>
      <c r="Q695" s="655">
        <f t="shared" si="31"/>
        <v>7</v>
      </c>
      <c r="R695" s="695" t="str">
        <f t="shared" si="32"/>
        <v>Gastos_Gerais</v>
      </c>
      <c r="S695" s="697" t="s">
        <v>310</v>
      </c>
      <c r="T695" s="697" t="s">
        <v>310</v>
      </c>
    </row>
    <row r="696" spans="1:20" ht="72" x14ac:dyDescent="0.2">
      <c r="A696" s="432">
        <f>IF(B696="","",COUNT('Diário 1º PA'!$A$4:$A$2635)+COUNT('Diário 2º PA'!$A$4:$A$3040)+ROW()-3)</f>
        <v>4792</v>
      </c>
      <c r="B696" s="414">
        <v>44776</v>
      </c>
      <c r="C696" s="431">
        <v>44743</v>
      </c>
      <c r="D696" s="415" t="s">
        <v>144</v>
      </c>
      <c r="E696" s="415" t="s">
        <v>235</v>
      </c>
      <c r="F696" s="422">
        <v>-456.16</v>
      </c>
      <c r="G696" s="419" t="s">
        <v>6243</v>
      </c>
      <c r="H696" s="415" t="s">
        <v>310</v>
      </c>
      <c r="I696" s="473" t="s">
        <v>795</v>
      </c>
      <c r="J696" s="415" t="s">
        <v>796</v>
      </c>
      <c r="K696" s="415" t="s">
        <v>797</v>
      </c>
      <c r="L696" s="415" t="s">
        <v>798</v>
      </c>
      <c r="M696" s="415" t="s">
        <v>310</v>
      </c>
      <c r="N696" s="414">
        <v>44776</v>
      </c>
      <c r="O696" s="414" t="s">
        <v>400</v>
      </c>
      <c r="P696" s="655">
        <f t="shared" si="30"/>
        <v>8</v>
      </c>
      <c r="Q696" s="655">
        <f t="shared" si="31"/>
        <v>7</v>
      </c>
      <c r="R696" s="695" t="str">
        <f t="shared" si="32"/>
        <v>Aquisição_de_Bens_Permanentes</v>
      </c>
      <c r="S696" s="697" t="s">
        <v>310</v>
      </c>
      <c r="T696" s="697" t="s">
        <v>310</v>
      </c>
    </row>
    <row r="697" spans="1:20" ht="120" x14ac:dyDescent="0.2">
      <c r="A697" s="432">
        <f>IF(B697="","",COUNT('Diário 1º PA'!$A$4:$A$2635)+COUNT('Diário 2º PA'!$A$4:$A$3040)+ROW()-3)</f>
        <v>4793</v>
      </c>
      <c r="B697" s="414">
        <v>44776</v>
      </c>
      <c r="C697" s="431">
        <v>44743</v>
      </c>
      <c r="D697" s="434" t="s">
        <v>271</v>
      </c>
      <c r="E697" s="434" t="s">
        <v>90</v>
      </c>
      <c r="F697" s="425">
        <v>7328.25</v>
      </c>
      <c r="G697" s="427" t="s">
        <v>862</v>
      </c>
      <c r="H697" s="415" t="s">
        <v>309</v>
      </c>
      <c r="I697" s="415" t="s">
        <v>5369</v>
      </c>
      <c r="J697" s="415" t="s">
        <v>863</v>
      </c>
      <c r="K697" s="419" t="s">
        <v>830</v>
      </c>
      <c r="L697" s="415" t="s">
        <v>32</v>
      </c>
      <c r="M697" s="419" t="s">
        <v>3560</v>
      </c>
      <c r="N697" s="413">
        <v>44774</v>
      </c>
      <c r="O697" s="414" t="s">
        <v>400</v>
      </c>
      <c r="P697" s="655">
        <f t="shared" si="30"/>
        <v>8</v>
      </c>
      <c r="Q697" s="655">
        <f t="shared" si="31"/>
        <v>7</v>
      </c>
      <c r="R697" s="695" t="str">
        <f t="shared" si="32"/>
        <v>Gastos_Gerais</v>
      </c>
      <c r="S697" s="696" t="s">
        <v>1000</v>
      </c>
      <c r="T697" s="696">
        <v>1134</v>
      </c>
    </row>
    <row r="698" spans="1:20" ht="72" x14ac:dyDescent="0.2">
      <c r="A698" s="432">
        <f>IF(B698="","",COUNT('Diário 1º PA'!$A$4:$A$2635)+COUNT('Diário 2º PA'!$A$4:$A$3040)+ROW()-3)</f>
        <v>4794</v>
      </c>
      <c r="B698" s="414">
        <v>44776</v>
      </c>
      <c r="C698" s="431">
        <v>44743</v>
      </c>
      <c r="D698" s="415" t="s">
        <v>271</v>
      </c>
      <c r="E698" s="415" t="s">
        <v>90</v>
      </c>
      <c r="F698" s="425">
        <v>1482</v>
      </c>
      <c r="G698" s="427" t="s">
        <v>5697</v>
      </c>
      <c r="H698" s="415" t="s">
        <v>753</v>
      </c>
      <c r="I698" s="415" t="s">
        <v>6231</v>
      </c>
      <c r="J698" s="419" t="s">
        <v>5698</v>
      </c>
      <c r="K698" s="419" t="s">
        <v>830</v>
      </c>
      <c r="L698" s="415" t="s">
        <v>32</v>
      </c>
      <c r="M698" s="419" t="s">
        <v>1786</v>
      </c>
      <c r="N698" s="413">
        <v>44774</v>
      </c>
      <c r="O698" s="414" t="s">
        <v>400</v>
      </c>
      <c r="P698" s="655">
        <f t="shared" si="30"/>
        <v>8</v>
      </c>
      <c r="Q698" s="655">
        <f t="shared" si="31"/>
        <v>7</v>
      </c>
      <c r="R698" s="695" t="str">
        <f t="shared" si="32"/>
        <v>Gastos_Gerais</v>
      </c>
      <c r="S698" s="696" t="s">
        <v>1000</v>
      </c>
      <c r="T698" s="696">
        <v>3933</v>
      </c>
    </row>
    <row r="699" spans="1:20" ht="60" x14ac:dyDescent="0.2">
      <c r="A699" s="432">
        <f>IF(B699="","",COUNT('Diário 1º PA'!$A$4:$A$2635)+COUNT('Diário 2º PA'!$A$4:$A$3040)+ROW()-3)</f>
        <v>4795</v>
      </c>
      <c r="B699" s="414">
        <v>44776</v>
      </c>
      <c r="C699" s="431">
        <v>44743</v>
      </c>
      <c r="D699" s="415" t="s">
        <v>271</v>
      </c>
      <c r="E699" s="415" t="s">
        <v>90</v>
      </c>
      <c r="F699" s="425">
        <v>3000</v>
      </c>
      <c r="G699" s="427" t="s">
        <v>3964</v>
      </c>
      <c r="H699" s="415" t="s">
        <v>750</v>
      </c>
      <c r="I699" s="415" t="s">
        <v>856</v>
      </c>
      <c r="J699" s="415" t="s">
        <v>1077</v>
      </c>
      <c r="K699" s="419" t="s">
        <v>830</v>
      </c>
      <c r="L699" s="415" t="s">
        <v>32</v>
      </c>
      <c r="M699" s="419">
        <v>147</v>
      </c>
      <c r="N699" s="413">
        <v>44774</v>
      </c>
      <c r="O699" s="414" t="s">
        <v>400</v>
      </c>
      <c r="P699" s="655">
        <f t="shared" si="30"/>
        <v>8</v>
      </c>
      <c r="Q699" s="655">
        <f t="shared" si="31"/>
        <v>7</v>
      </c>
      <c r="R699" s="695" t="str">
        <f t="shared" si="32"/>
        <v>Gastos_Gerais</v>
      </c>
      <c r="S699" s="696" t="s">
        <v>1000</v>
      </c>
      <c r="T699" s="696">
        <v>3527</v>
      </c>
    </row>
    <row r="700" spans="1:20" ht="84" x14ac:dyDescent="0.2">
      <c r="A700" s="432">
        <f>IF(B700="","",COUNT('Diário 1º PA'!$A$4:$A$2635)+COUNT('Diário 2º PA'!$A$4:$A$3040)+ROW()-3)</f>
        <v>4796</v>
      </c>
      <c r="B700" s="414">
        <v>44776</v>
      </c>
      <c r="C700" s="431">
        <v>44743</v>
      </c>
      <c r="D700" s="415" t="s">
        <v>271</v>
      </c>
      <c r="E700" s="415" t="s">
        <v>186</v>
      </c>
      <c r="F700" s="425">
        <v>7200</v>
      </c>
      <c r="G700" s="427" t="s">
        <v>2347</v>
      </c>
      <c r="H700" s="415" t="s">
        <v>309</v>
      </c>
      <c r="I700" s="415" t="s">
        <v>3366</v>
      </c>
      <c r="J700" s="415" t="s">
        <v>2348</v>
      </c>
      <c r="K700" s="419" t="s">
        <v>830</v>
      </c>
      <c r="L700" s="415" t="s">
        <v>32</v>
      </c>
      <c r="M700" s="419">
        <v>256</v>
      </c>
      <c r="N700" s="413">
        <v>44775</v>
      </c>
      <c r="O700" s="414" t="s">
        <v>400</v>
      </c>
      <c r="P700" s="655">
        <f t="shared" si="30"/>
        <v>8</v>
      </c>
      <c r="Q700" s="655">
        <f t="shared" si="31"/>
        <v>7</v>
      </c>
      <c r="R700" s="695" t="str">
        <f t="shared" si="32"/>
        <v>Gastos_Gerais</v>
      </c>
      <c r="S700" s="696" t="s">
        <v>1000</v>
      </c>
      <c r="T700" s="696">
        <v>3106</v>
      </c>
    </row>
    <row r="701" spans="1:20" ht="48" x14ac:dyDescent="0.2">
      <c r="A701" s="432">
        <f>IF(B701="","",COUNT('Diário 1º PA'!$A$4:$A$2635)+COUNT('Diário 2º PA'!$A$4:$A$3040)+ROW()-3)</f>
        <v>4797</v>
      </c>
      <c r="B701" s="414">
        <v>44776</v>
      </c>
      <c r="C701" s="431">
        <v>44743</v>
      </c>
      <c r="D701" s="415" t="s">
        <v>468</v>
      </c>
      <c r="E701" s="415" t="s">
        <v>468</v>
      </c>
      <c r="F701" s="425">
        <v>-1</v>
      </c>
      <c r="G701" s="427" t="s">
        <v>6499</v>
      </c>
      <c r="H701" s="415" t="s">
        <v>468</v>
      </c>
      <c r="I701" s="427" t="s">
        <v>2437</v>
      </c>
      <c r="J701" s="415" t="s">
        <v>796</v>
      </c>
      <c r="K701" s="415" t="s">
        <v>797</v>
      </c>
      <c r="L701" s="415" t="s">
        <v>798</v>
      </c>
      <c r="M701" s="415" t="s">
        <v>310</v>
      </c>
      <c r="N701" s="414">
        <v>44776</v>
      </c>
      <c r="O701" s="414" t="s">
        <v>3762</v>
      </c>
      <c r="P701" s="655">
        <f t="shared" si="30"/>
        <v>8</v>
      </c>
      <c r="Q701" s="655">
        <f t="shared" si="31"/>
        <v>7</v>
      </c>
      <c r="R701" s="695" t="str">
        <f t="shared" si="32"/>
        <v>Gastos_custeados_por_captação</v>
      </c>
      <c r="S701" s="698" t="s">
        <v>310</v>
      </c>
      <c r="T701" s="698" t="s">
        <v>310</v>
      </c>
    </row>
    <row r="702" spans="1:20" ht="48" x14ac:dyDescent="0.2">
      <c r="A702" s="432">
        <f>IF(B702="","",COUNT('Diário 1º PA'!$A$4:$A$2635)+COUNT('Diário 2º PA'!$A$4:$A$3040)+ROW()-3)</f>
        <v>4798</v>
      </c>
      <c r="B702" s="414">
        <v>44776</v>
      </c>
      <c r="C702" s="431">
        <v>44713</v>
      </c>
      <c r="D702" s="415" t="s">
        <v>468</v>
      </c>
      <c r="E702" s="415" t="s">
        <v>468</v>
      </c>
      <c r="F702" s="425">
        <v>-181.08</v>
      </c>
      <c r="G702" s="427" t="s">
        <v>6500</v>
      </c>
      <c r="H702" s="415" t="s">
        <v>468</v>
      </c>
      <c r="I702" s="427" t="s">
        <v>2437</v>
      </c>
      <c r="J702" s="415" t="s">
        <v>796</v>
      </c>
      <c r="K702" s="415" t="s">
        <v>797</v>
      </c>
      <c r="L702" s="415" t="s">
        <v>798</v>
      </c>
      <c r="M702" s="415" t="s">
        <v>310</v>
      </c>
      <c r="N702" s="414">
        <v>44776</v>
      </c>
      <c r="O702" s="414" t="s">
        <v>3762</v>
      </c>
      <c r="P702" s="655">
        <f t="shared" si="30"/>
        <v>8</v>
      </c>
      <c r="Q702" s="655">
        <f t="shared" si="31"/>
        <v>6</v>
      </c>
      <c r="R702" s="695" t="str">
        <f t="shared" si="32"/>
        <v>Gastos_custeados_por_captação</v>
      </c>
      <c r="S702" s="698" t="s">
        <v>310</v>
      </c>
      <c r="T702" s="698" t="s">
        <v>310</v>
      </c>
    </row>
    <row r="703" spans="1:20" ht="48" x14ac:dyDescent="0.2">
      <c r="A703" s="432">
        <f>IF(B703="","",COUNT('Diário 1º PA'!$A$4:$A$2635)+COUNT('Diário 2º PA'!$A$4:$A$3040)+ROW()-3)</f>
        <v>4799</v>
      </c>
      <c r="B703" s="414">
        <v>44776</v>
      </c>
      <c r="C703" s="431">
        <v>44743</v>
      </c>
      <c r="D703" s="415" t="s">
        <v>468</v>
      </c>
      <c r="E703" s="415" t="s">
        <v>468</v>
      </c>
      <c r="F703" s="425">
        <v>501</v>
      </c>
      <c r="G703" s="427" t="s">
        <v>5790</v>
      </c>
      <c r="H703" s="415" t="s">
        <v>468</v>
      </c>
      <c r="I703" s="415" t="s">
        <v>1302</v>
      </c>
      <c r="J703" s="415" t="s">
        <v>1066</v>
      </c>
      <c r="K703" s="419" t="s">
        <v>830</v>
      </c>
      <c r="L703" s="415" t="s">
        <v>807</v>
      </c>
      <c r="M703" s="419">
        <v>70012</v>
      </c>
      <c r="N703" s="413">
        <v>44747</v>
      </c>
      <c r="O703" s="414" t="s">
        <v>3762</v>
      </c>
      <c r="P703" s="655">
        <f t="shared" si="30"/>
        <v>8</v>
      </c>
      <c r="Q703" s="655">
        <f t="shared" si="31"/>
        <v>7</v>
      </c>
      <c r="R703" s="695" t="str">
        <f t="shared" si="32"/>
        <v>Gastos_custeados_por_captação</v>
      </c>
      <c r="S703" s="698" t="s">
        <v>999</v>
      </c>
      <c r="T703" s="696">
        <v>4047</v>
      </c>
    </row>
    <row r="704" spans="1:20" ht="48" x14ac:dyDescent="0.2">
      <c r="A704" s="432">
        <f>IF(B704="","",COUNT('Diário 1º PA'!$A$4:$A$2635)+COUNT('Diário 2º PA'!$A$4:$A$3040)+ROW()-3)</f>
        <v>4800</v>
      </c>
      <c r="B704" s="413">
        <v>44777</v>
      </c>
      <c r="C704" s="431">
        <v>44743</v>
      </c>
      <c r="D704" s="415" t="s">
        <v>271</v>
      </c>
      <c r="E704" s="415" t="s">
        <v>9</v>
      </c>
      <c r="F704" s="435">
        <v>-1741.71</v>
      </c>
      <c r="G704" s="437" t="s">
        <v>1622</v>
      </c>
      <c r="H704" s="415" t="s">
        <v>309</v>
      </c>
      <c r="I704" s="474" t="s">
        <v>795</v>
      </c>
      <c r="J704" s="434" t="s">
        <v>796</v>
      </c>
      <c r="K704" s="434" t="s">
        <v>797</v>
      </c>
      <c r="L704" s="434" t="s">
        <v>798</v>
      </c>
      <c r="M704" s="436" t="s">
        <v>310</v>
      </c>
      <c r="N704" s="413">
        <v>44777</v>
      </c>
      <c r="O704" s="414" t="s">
        <v>400</v>
      </c>
      <c r="P704" s="655">
        <f t="shared" si="30"/>
        <v>8</v>
      </c>
      <c r="Q704" s="655">
        <f t="shared" si="31"/>
        <v>7</v>
      </c>
      <c r="R704" s="695" t="str">
        <f t="shared" si="32"/>
        <v>Gastos_Gerais</v>
      </c>
      <c r="S704" s="697" t="s">
        <v>310</v>
      </c>
      <c r="T704" s="697" t="s">
        <v>310</v>
      </c>
    </row>
    <row r="705" spans="1:20" ht="36" x14ac:dyDescent="0.2">
      <c r="A705" s="432">
        <f>IF(B705="","",COUNT('Diário 1º PA'!$A$4:$A$2635)+COUNT('Diário 2º PA'!$A$4:$A$3040)+ROW()-3)</f>
        <v>4801</v>
      </c>
      <c r="B705" s="413">
        <v>44777</v>
      </c>
      <c r="C705" s="431">
        <v>44621</v>
      </c>
      <c r="D705" s="415" t="s">
        <v>271</v>
      </c>
      <c r="E705" s="415" t="s">
        <v>456</v>
      </c>
      <c r="F705" s="422">
        <v>800</v>
      </c>
      <c r="G705" s="419" t="s">
        <v>1984</v>
      </c>
      <c r="H705" s="415" t="s">
        <v>749</v>
      </c>
      <c r="I705" s="415" t="s">
        <v>6248</v>
      </c>
      <c r="J705" s="419" t="s">
        <v>6249</v>
      </c>
      <c r="K705" s="419" t="s">
        <v>806</v>
      </c>
      <c r="L705" s="415" t="s">
        <v>807</v>
      </c>
      <c r="M705" s="419" t="s">
        <v>1608</v>
      </c>
      <c r="N705" s="413">
        <v>44776</v>
      </c>
      <c r="O705" s="414" t="s">
        <v>400</v>
      </c>
      <c r="P705" s="655">
        <f t="shared" si="30"/>
        <v>8</v>
      </c>
      <c r="Q705" s="655">
        <f t="shared" si="31"/>
        <v>3</v>
      </c>
      <c r="R705" s="695" t="str">
        <f t="shared" si="32"/>
        <v>Gastos_Gerais</v>
      </c>
      <c r="S705" s="696" t="s">
        <v>998</v>
      </c>
      <c r="T705" s="696">
        <v>2967</v>
      </c>
    </row>
    <row r="706" spans="1:20" ht="24" x14ac:dyDescent="0.2">
      <c r="A706" s="432">
        <f>IF(B706="","",COUNT('Diário 1º PA'!$A$4:$A$2635)+COUNT('Diário 2º PA'!$A$4:$A$3040)+ROW()-3)</f>
        <v>4802</v>
      </c>
      <c r="B706" s="413">
        <v>44777</v>
      </c>
      <c r="C706" s="431">
        <v>44743</v>
      </c>
      <c r="D706" s="415" t="s">
        <v>271</v>
      </c>
      <c r="E706" s="415" t="s">
        <v>9</v>
      </c>
      <c r="F706" s="425">
        <v>6307.34</v>
      </c>
      <c r="G706" s="427" t="s">
        <v>729</v>
      </c>
      <c r="H706" s="415" t="s">
        <v>309</v>
      </c>
      <c r="I706" s="415" t="s">
        <v>1620</v>
      </c>
      <c r="J706" s="419" t="s">
        <v>841</v>
      </c>
      <c r="K706" s="419" t="s">
        <v>806</v>
      </c>
      <c r="L706" s="415" t="s">
        <v>807</v>
      </c>
      <c r="M706" s="419" t="s">
        <v>4002</v>
      </c>
      <c r="N706" s="413">
        <v>44776</v>
      </c>
      <c r="O706" s="414" t="s">
        <v>400</v>
      </c>
      <c r="P706" s="655">
        <f t="shared" si="30"/>
        <v>8</v>
      </c>
      <c r="Q706" s="655">
        <f t="shared" si="31"/>
        <v>7</v>
      </c>
      <c r="R706" s="695" t="str">
        <f t="shared" si="32"/>
        <v>Gastos_Gerais</v>
      </c>
      <c r="S706" s="697" t="s">
        <v>1000</v>
      </c>
      <c r="T706" s="697">
        <v>2780</v>
      </c>
    </row>
    <row r="707" spans="1:20" ht="60" x14ac:dyDescent="0.2">
      <c r="A707" s="432">
        <f>IF(B707="","",COUNT('Diário 1º PA'!$A$4:$A$2635)+COUNT('Diário 2º PA'!$A$4:$A$3040)+ROW()-3)</f>
        <v>4803</v>
      </c>
      <c r="B707" s="413">
        <v>44777</v>
      </c>
      <c r="C707" s="431">
        <v>44713</v>
      </c>
      <c r="D707" s="415" t="s">
        <v>271</v>
      </c>
      <c r="E707" s="415" t="s">
        <v>297</v>
      </c>
      <c r="F707" s="422">
        <v>1418.14</v>
      </c>
      <c r="G707" s="419" t="s">
        <v>4282</v>
      </c>
      <c r="H707" s="415" t="s">
        <v>751</v>
      </c>
      <c r="I707" s="415" t="s">
        <v>6251</v>
      </c>
      <c r="J707" s="419" t="s">
        <v>4283</v>
      </c>
      <c r="K707" s="419" t="s">
        <v>830</v>
      </c>
      <c r="L707" s="415" t="s">
        <v>807</v>
      </c>
      <c r="M707" s="419" t="s">
        <v>4821</v>
      </c>
      <c r="N707" s="413">
        <v>44775</v>
      </c>
      <c r="O707" s="414" t="s">
        <v>400</v>
      </c>
      <c r="P707" s="655">
        <f t="shared" si="30"/>
        <v>8</v>
      </c>
      <c r="Q707" s="655">
        <f t="shared" si="31"/>
        <v>6</v>
      </c>
      <c r="R707" s="695" t="str">
        <f t="shared" si="32"/>
        <v>Gastos_Gerais</v>
      </c>
      <c r="S707" s="697" t="s">
        <v>998</v>
      </c>
      <c r="T707" s="696">
        <v>3522</v>
      </c>
    </row>
    <row r="708" spans="1:20" ht="180" x14ac:dyDescent="0.2">
      <c r="A708" s="432">
        <f>IF(B708="","",COUNT('Diário 1º PA'!$A$4:$A$2635)+COUNT('Diário 2º PA'!$A$4:$A$3040)+ROW()-3)</f>
        <v>4804</v>
      </c>
      <c r="B708" s="413">
        <v>44777</v>
      </c>
      <c r="C708" s="431">
        <v>44743</v>
      </c>
      <c r="D708" s="415" t="s">
        <v>271</v>
      </c>
      <c r="E708" s="415" t="s">
        <v>90</v>
      </c>
      <c r="F708" s="422">
        <v>3920</v>
      </c>
      <c r="G708" s="419" t="s">
        <v>4109</v>
      </c>
      <c r="H708" s="415" t="s">
        <v>758</v>
      </c>
      <c r="I708" s="415" t="s">
        <v>865</v>
      </c>
      <c r="J708" s="419" t="s">
        <v>866</v>
      </c>
      <c r="K708" s="419" t="s">
        <v>830</v>
      </c>
      <c r="L708" s="415" t="s">
        <v>807</v>
      </c>
      <c r="M708" s="419" t="s">
        <v>2659</v>
      </c>
      <c r="N708" s="413">
        <v>44775</v>
      </c>
      <c r="O708" s="414" t="s">
        <v>400</v>
      </c>
      <c r="P708" s="655">
        <f t="shared" si="30"/>
        <v>8</v>
      </c>
      <c r="Q708" s="655">
        <f t="shared" si="31"/>
        <v>7</v>
      </c>
      <c r="R708" s="695" t="str">
        <f t="shared" si="32"/>
        <v>Gastos_Gerais</v>
      </c>
      <c r="S708" s="696" t="s">
        <v>1000</v>
      </c>
      <c r="T708" s="696">
        <v>3609</v>
      </c>
    </row>
    <row r="709" spans="1:20" ht="36" x14ac:dyDescent="0.2">
      <c r="A709" s="432">
        <f>IF(B709="","",COUNT('Diário 1º PA'!$A$4:$A$2635)+COUNT('Diário 2º PA'!$A$4:$A$3040)+ROW()-3)</f>
        <v>4805</v>
      </c>
      <c r="B709" s="413">
        <v>44777</v>
      </c>
      <c r="C709" s="431">
        <v>44713</v>
      </c>
      <c r="D709" s="415" t="s">
        <v>271</v>
      </c>
      <c r="E709" s="415" t="s">
        <v>465</v>
      </c>
      <c r="F709" s="422">
        <v>432.58</v>
      </c>
      <c r="G709" s="419" t="s">
        <v>5501</v>
      </c>
      <c r="H709" s="415" t="s">
        <v>755</v>
      </c>
      <c r="I709" s="415" t="s">
        <v>1464</v>
      </c>
      <c r="J709" s="419" t="s">
        <v>1010</v>
      </c>
      <c r="K709" s="419" t="s">
        <v>830</v>
      </c>
      <c r="L709" s="415" t="s">
        <v>807</v>
      </c>
      <c r="M709" s="419" t="s">
        <v>6254</v>
      </c>
      <c r="N709" s="413">
        <v>44776</v>
      </c>
      <c r="O709" s="414" t="s">
        <v>400</v>
      </c>
      <c r="P709" s="655">
        <f t="shared" ref="P709:P772" si="33">IF(B709=0,0,IF(YEAR(B709)=$Q$1,MONTH(B709)-$P$1+1,(YEAR(B709)-$Q$1)*12-$P$1+1+MONTH(B709)))</f>
        <v>8</v>
      </c>
      <c r="Q709" s="655">
        <f t="shared" ref="Q709:Q772" si="34">IF(C709=0,0,IF(YEAR(C709)=$Q$1,MONTH(C709)-$P$1+1,(YEAR(C709)-$Q$1)*12-$P$1+1+MONTH(C709)))</f>
        <v>6</v>
      </c>
      <c r="R709" s="695" t="str">
        <f t="shared" ref="R709:R772" si="35">SUBSTITUTE(D709," ","_")</f>
        <v>Gastos_Gerais</v>
      </c>
      <c r="S709" s="696" t="s">
        <v>998</v>
      </c>
      <c r="T709" s="696">
        <v>3967</v>
      </c>
    </row>
    <row r="710" spans="1:20" ht="36" x14ac:dyDescent="0.2">
      <c r="A710" s="432">
        <f>IF(B710="","",COUNT('Diário 1º PA'!$A$4:$A$2635)+COUNT('Diário 2º PA'!$A$4:$A$3040)+ROW()-3)</f>
        <v>4806</v>
      </c>
      <c r="B710" s="413">
        <v>44777</v>
      </c>
      <c r="C710" s="431">
        <v>44743</v>
      </c>
      <c r="D710" s="415" t="s">
        <v>271</v>
      </c>
      <c r="E710" s="415" t="s">
        <v>453</v>
      </c>
      <c r="F710" s="422">
        <v>352.8</v>
      </c>
      <c r="G710" s="415" t="s">
        <v>5693</v>
      </c>
      <c r="H710" s="415" t="s">
        <v>757</v>
      </c>
      <c r="I710" s="415" t="s">
        <v>5943</v>
      </c>
      <c r="J710" s="419" t="s">
        <v>4757</v>
      </c>
      <c r="K710" s="419" t="s">
        <v>830</v>
      </c>
      <c r="L710" s="415" t="s">
        <v>807</v>
      </c>
      <c r="M710" s="419" t="s">
        <v>3672</v>
      </c>
      <c r="N710" s="413">
        <v>44776</v>
      </c>
      <c r="O710" s="414" t="s">
        <v>400</v>
      </c>
      <c r="P710" s="655">
        <f t="shared" si="33"/>
        <v>8</v>
      </c>
      <c r="Q710" s="655">
        <f t="shared" si="34"/>
        <v>7</v>
      </c>
      <c r="R710" s="695" t="str">
        <f t="shared" si="35"/>
        <v>Gastos_Gerais</v>
      </c>
      <c r="S710" s="696" t="s">
        <v>998</v>
      </c>
      <c r="T710" s="696">
        <v>4039</v>
      </c>
    </row>
    <row r="711" spans="1:20" ht="36" x14ac:dyDescent="0.2">
      <c r="A711" s="432">
        <f>IF(B711="","",COUNT('Diário 1º PA'!$A$4:$A$2635)+COUNT('Diário 2º PA'!$A$4:$A$3040)+ROW()-3)</f>
        <v>4807</v>
      </c>
      <c r="B711" s="413">
        <v>44777</v>
      </c>
      <c r="C711" s="431">
        <v>44743</v>
      </c>
      <c r="D711" s="415" t="s">
        <v>271</v>
      </c>
      <c r="E711" s="415" t="s">
        <v>456</v>
      </c>
      <c r="F711" s="422">
        <v>2041.69</v>
      </c>
      <c r="G711" s="419" t="s">
        <v>6086</v>
      </c>
      <c r="H711" s="415" t="s">
        <v>755</v>
      </c>
      <c r="I711" s="415" t="s">
        <v>5946</v>
      </c>
      <c r="J711" s="419" t="s">
        <v>4603</v>
      </c>
      <c r="K711" s="419" t="s">
        <v>830</v>
      </c>
      <c r="L711" s="415" t="s">
        <v>807</v>
      </c>
      <c r="M711" s="419" t="s">
        <v>2659</v>
      </c>
      <c r="N711" s="413">
        <v>44776</v>
      </c>
      <c r="O711" s="414" t="s">
        <v>400</v>
      </c>
      <c r="P711" s="655">
        <f t="shared" si="33"/>
        <v>8</v>
      </c>
      <c r="Q711" s="655">
        <f t="shared" si="34"/>
        <v>7</v>
      </c>
      <c r="R711" s="695" t="str">
        <f t="shared" si="35"/>
        <v>Gastos_Gerais</v>
      </c>
      <c r="S711" s="696" t="s">
        <v>1000</v>
      </c>
      <c r="T711" s="696">
        <v>4174</v>
      </c>
    </row>
    <row r="712" spans="1:20" ht="36" x14ac:dyDescent="0.2">
      <c r="A712" s="432">
        <f>IF(B712="","",COUNT('Diário 1º PA'!$A$4:$A$2635)+COUNT('Diário 2º PA'!$A$4:$A$3040)+ROW()-3)</f>
        <v>4808</v>
      </c>
      <c r="B712" s="413">
        <v>44777</v>
      </c>
      <c r="C712" s="431">
        <v>44743</v>
      </c>
      <c r="D712" s="415" t="s">
        <v>271</v>
      </c>
      <c r="E712" s="415" t="s">
        <v>449</v>
      </c>
      <c r="F712" s="422">
        <v>500</v>
      </c>
      <c r="G712" s="419" t="s">
        <v>6257</v>
      </c>
      <c r="H712" s="415" t="s">
        <v>756</v>
      </c>
      <c r="I712" s="415" t="s">
        <v>6258</v>
      </c>
      <c r="J712" s="419" t="s">
        <v>5699</v>
      </c>
      <c r="K712" s="419" t="s">
        <v>830</v>
      </c>
      <c r="L712" s="415" t="s">
        <v>1305</v>
      </c>
      <c r="M712" s="419" t="s">
        <v>310</v>
      </c>
      <c r="N712" s="413">
        <v>44775</v>
      </c>
      <c r="O712" s="414" t="s">
        <v>400</v>
      </c>
      <c r="P712" s="655">
        <f t="shared" si="33"/>
        <v>8</v>
      </c>
      <c r="Q712" s="655">
        <f t="shared" si="34"/>
        <v>7</v>
      </c>
      <c r="R712" s="695" t="str">
        <f t="shared" si="35"/>
        <v>Gastos_Gerais</v>
      </c>
      <c r="S712" s="696" t="s">
        <v>998</v>
      </c>
      <c r="T712" s="696">
        <v>4075</v>
      </c>
    </row>
    <row r="713" spans="1:20" ht="36" x14ac:dyDescent="0.2">
      <c r="A713" s="432">
        <f>IF(B713="","",COUNT('Diário 1º PA'!$A$4:$A$2635)+COUNT('Diário 2º PA'!$A$4:$A$3040)+ROW()-3)</f>
        <v>4809</v>
      </c>
      <c r="B713" s="413">
        <v>44777</v>
      </c>
      <c r="C713" s="431">
        <v>44774</v>
      </c>
      <c r="D713" s="415" t="s">
        <v>271</v>
      </c>
      <c r="E713" s="415" t="s">
        <v>71</v>
      </c>
      <c r="F713" s="425">
        <v>11</v>
      </c>
      <c r="G713" s="427" t="s">
        <v>6259</v>
      </c>
      <c r="H713" s="415" t="s">
        <v>751</v>
      </c>
      <c r="I713" s="473" t="s">
        <v>881</v>
      </c>
      <c r="J713" s="415" t="s">
        <v>882</v>
      </c>
      <c r="K713" s="415" t="s">
        <v>883</v>
      </c>
      <c r="L713" s="415" t="s">
        <v>798</v>
      </c>
      <c r="M713" s="415" t="s">
        <v>310</v>
      </c>
      <c r="N713" s="413">
        <v>44777</v>
      </c>
      <c r="O713" s="414" t="s">
        <v>400</v>
      </c>
      <c r="P713" s="655">
        <f t="shared" si="33"/>
        <v>8</v>
      </c>
      <c r="Q713" s="655">
        <f t="shared" si="34"/>
        <v>8</v>
      </c>
      <c r="R713" s="695" t="str">
        <f t="shared" si="35"/>
        <v>Gastos_Gerais</v>
      </c>
      <c r="S713" s="696" t="s">
        <v>310</v>
      </c>
      <c r="T713" s="696" t="s">
        <v>310</v>
      </c>
    </row>
    <row r="714" spans="1:20" ht="36" x14ac:dyDescent="0.2">
      <c r="A714" s="432">
        <f>IF(B714="","",COUNT('Diário 1º PA'!$A$4:$A$2635)+COUNT('Diário 2º PA'!$A$4:$A$3040)+ROW()-3)</f>
        <v>4810</v>
      </c>
      <c r="B714" s="413">
        <v>44777</v>
      </c>
      <c r="C714" s="431">
        <v>44774</v>
      </c>
      <c r="D714" s="415" t="s">
        <v>271</v>
      </c>
      <c r="E714" s="415" t="s">
        <v>71</v>
      </c>
      <c r="F714" s="425">
        <v>11</v>
      </c>
      <c r="G714" s="427" t="s">
        <v>6260</v>
      </c>
      <c r="H714" s="415" t="s">
        <v>758</v>
      </c>
      <c r="I714" s="473" t="s">
        <v>881</v>
      </c>
      <c r="J714" s="415" t="s">
        <v>882</v>
      </c>
      <c r="K714" s="415" t="s">
        <v>883</v>
      </c>
      <c r="L714" s="415" t="s">
        <v>798</v>
      </c>
      <c r="M714" s="415" t="s">
        <v>310</v>
      </c>
      <c r="N714" s="413">
        <v>44777</v>
      </c>
      <c r="O714" s="414" t="s">
        <v>400</v>
      </c>
      <c r="P714" s="655">
        <f t="shared" si="33"/>
        <v>8</v>
      </c>
      <c r="Q714" s="655">
        <f t="shared" si="34"/>
        <v>8</v>
      </c>
      <c r="R714" s="695" t="str">
        <f t="shared" si="35"/>
        <v>Gastos_Gerais</v>
      </c>
      <c r="S714" s="696" t="s">
        <v>310</v>
      </c>
      <c r="T714" s="696" t="s">
        <v>310</v>
      </c>
    </row>
    <row r="715" spans="1:20" ht="48" x14ac:dyDescent="0.2">
      <c r="A715" s="432">
        <f>IF(B715="","",COUNT('Diário 1º PA'!$A$4:$A$2635)+COUNT('Diário 2º PA'!$A$4:$A$3040)+ROW()-3)</f>
        <v>4811</v>
      </c>
      <c r="B715" s="413">
        <v>44777</v>
      </c>
      <c r="C715" s="431">
        <v>44743</v>
      </c>
      <c r="D715" s="415" t="s">
        <v>468</v>
      </c>
      <c r="E715" s="415" t="s">
        <v>468</v>
      </c>
      <c r="F715" s="425">
        <v>144.19</v>
      </c>
      <c r="G715" s="427" t="s">
        <v>6081</v>
      </c>
      <c r="H715" s="415" t="s">
        <v>468</v>
      </c>
      <c r="I715" s="473" t="s">
        <v>2180</v>
      </c>
      <c r="J715" s="415" t="s">
        <v>1010</v>
      </c>
      <c r="K715" s="419" t="s">
        <v>830</v>
      </c>
      <c r="L715" s="415" t="s">
        <v>807</v>
      </c>
      <c r="M715" s="415" t="s">
        <v>6501</v>
      </c>
      <c r="N715" s="413">
        <v>44775</v>
      </c>
      <c r="O715" s="414" t="s">
        <v>3762</v>
      </c>
      <c r="P715" s="655">
        <f t="shared" si="33"/>
        <v>8</v>
      </c>
      <c r="Q715" s="655">
        <f t="shared" si="34"/>
        <v>7</v>
      </c>
      <c r="R715" s="695" t="str">
        <f t="shared" si="35"/>
        <v>Gastos_custeados_por_captação</v>
      </c>
      <c r="S715" s="698" t="s">
        <v>998</v>
      </c>
      <c r="T715" s="696">
        <v>4169</v>
      </c>
    </row>
    <row r="716" spans="1:20" ht="60" x14ac:dyDescent="0.2">
      <c r="A716" s="432">
        <f>IF(B716="","",COUNT('Diário 1º PA'!$A$4:$A$2635)+COUNT('Diário 2º PA'!$A$4:$A$3040)+ROW()-3)</f>
        <v>4812</v>
      </c>
      <c r="B716" s="413">
        <v>44777</v>
      </c>
      <c r="C716" s="431">
        <v>44743</v>
      </c>
      <c r="D716" s="415" t="s">
        <v>468</v>
      </c>
      <c r="E716" s="415" t="s">
        <v>468</v>
      </c>
      <c r="F716" s="425">
        <v>1456.56</v>
      </c>
      <c r="G716" s="427" t="s">
        <v>5821</v>
      </c>
      <c r="H716" s="415" t="s">
        <v>468</v>
      </c>
      <c r="I716" s="473" t="s">
        <v>6503</v>
      </c>
      <c r="J716" s="415" t="s">
        <v>873</v>
      </c>
      <c r="K716" s="419" t="s">
        <v>830</v>
      </c>
      <c r="L716" s="415" t="s">
        <v>807</v>
      </c>
      <c r="M716" s="415" t="s">
        <v>6504</v>
      </c>
      <c r="N716" s="413">
        <v>44774</v>
      </c>
      <c r="O716" s="414" t="s">
        <v>3762</v>
      </c>
      <c r="P716" s="655">
        <f t="shared" si="33"/>
        <v>8</v>
      </c>
      <c r="Q716" s="655">
        <f t="shared" si="34"/>
        <v>7</v>
      </c>
      <c r="R716" s="695" t="str">
        <f t="shared" si="35"/>
        <v>Gastos_custeados_por_captação</v>
      </c>
      <c r="S716" s="698" t="s">
        <v>998</v>
      </c>
      <c r="T716" s="696">
        <v>4118</v>
      </c>
    </row>
    <row r="717" spans="1:20" ht="48" x14ac:dyDescent="0.2">
      <c r="A717" s="432">
        <f>IF(B717="","",COUNT('Diário 1º PA'!$A$4:$A$2635)+COUNT('Diário 2º PA'!$A$4:$A$3040)+ROW()-3)</f>
        <v>4813</v>
      </c>
      <c r="B717" s="413">
        <v>44777</v>
      </c>
      <c r="C717" s="431">
        <v>44743</v>
      </c>
      <c r="D717" s="415" t="s">
        <v>468</v>
      </c>
      <c r="E717" s="415" t="s">
        <v>468</v>
      </c>
      <c r="F717" s="425">
        <v>13000</v>
      </c>
      <c r="G717" s="427" t="s">
        <v>4314</v>
      </c>
      <c r="H717" s="415" t="s">
        <v>468</v>
      </c>
      <c r="I717" s="473" t="s">
        <v>5432</v>
      </c>
      <c r="J717" s="415" t="s">
        <v>4315</v>
      </c>
      <c r="K717" s="419" t="s">
        <v>830</v>
      </c>
      <c r="L717" s="415" t="s">
        <v>807</v>
      </c>
      <c r="M717" s="415" t="s">
        <v>1608</v>
      </c>
      <c r="N717" s="413">
        <v>44775</v>
      </c>
      <c r="O717" s="414" t="s">
        <v>3762</v>
      </c>
      <c r="P717" s="655">
        <f t="shared" si="33"/>
        <v>8</v>
      </c>
      <c r="Q717" s="655">
        <f t="shared" si="34"/>
        <v>7</v>
      </c>
      <c r="R717" s="695" t="str">
        <f t="shared" si="35"/>
        <v>Gastos_custeados_por_captação</v>
      </c>
      <c r="S717" s="696" t="s">
        <v>998</v>
      </c>
      <c r="T717" s="696">
        <v>3725</v>
      </c>
    </row>
    <row r="718" spans="1:20" ht="156" x14ac:dyDescent="0.2">
      <c r="A718" s="432">
        <f>IF(B718="","",COUNT('Diário 1º PA'!$A$4:$A$2635)+COUNT('Diário 2º PA'!$A$4:$A$3040)+ROW()-3)</f>
        <v>4814</v>
      </c>
      <c r="B718" s="413">
        <v>44777</v>
      </c>
      <c r="C718" s="431">
        <v>44743</v>
      </c>
      <c r="D718" s="415" t="s">
        <v>468</v>
      </c>
      <c r="E718" s="415" t="s">
        <v>468</v>
      </c>
      <c r="F718" s="425">
        <v>1950</v>
      </c>
      <c r="G718" s="427" t="s">
        <v>4470</v>
      </c>
      <c r="H718" s="415" t="s">
        <v>468</v>
      </c>
      <c r="I718" s="473" t="s">
        <v>6507</v>
      </c>
      <c r="J718" s="415" t="s">
        <v>4522</v>
      </c>
      <c r="K718" s="419" t="s">
        <v>830</v>
      </c>
      <c r="L718" s="415" t="s">
        <v>807</v>
      </c>
      <c r="M718" s="415" t="s">
        <v>842</v>
      </c>
      <c r="N718" s="413">
        <v>44776</v>
      </c>
      <c r="O718" s="414" t="s">
        <v>3762</v>
      </c>
      <c r="P718" s="655">
        <f t="shared" si="33"/>
        <v>8</v>
      </c>
      <c r="Q718" s="655">
        <f t="shared" si="34"/>
        <v>7</v>
      </c>
      <c r="R718" s="695" t="str">
        <f t="shared" si="35"/>
        <v>Gastos_custeados_por_captação</v>
      </c>
      <c r="S718" s="696" t="s">
        <v>1000</v>
      </c>
      <c r="T718" s="696">
        <v>3766</v>
      </c>
    </row>
    <row r="719" spans="1:20" ht="120" x14ac:dyDescent="0.2">
      <c r="A719" s="432">
        <f>IF(B719="","",COUNT('Diário 1º PA'!$A$4:$A$2635)+COUNT('Diário 2º PA'!$A$4:$A$3040)+ROW()-3)</f>
        <v>4815</v>
      </c>
      <c r="B719" s="413">
        <v>44777</v>
      </c>
      <c r="C719" s="431">
        <v>44743</v>
      </c>
      <c r="D719" s="415" t="s">
        <v>468</v>
      </c>
      <c r="E719" s="415" t="s">
        <v>468</v>
      </c>
      <c r="F719" s="425">
        <v>1680</v>
      </c>
      <c r="G719" s="427" t="s">
        <v>675</v>
      </c>
      <c r="H719" s="415" t="s">
        <v>468</v>
      </c>
      <c r="I719" s="398" t="s">
        <v>3918</v>
      </c>
      <c r="J719" s="415" t="s">
        <v>1109</v>
      </c>
      <c r="K719" s="418" t="s">
        <v>830</v>
      </c>
      <c r="L719" s="399" t="s">
        <v>839</v>
      </c>
      <c r="M719" s="544">
        <v>1914</v>
      </c>
      <c r="N719" s="413">
        <v>44774</v>
      </c>
      <c r="O719" s="414" t="s">
        <v>3762</v>
      </c>
      <c r="P719" s="655">
        <f t="shared" si="33"/>
        <v>8</v>
      </c>
      <c r="Q719" s="655">
        <f t="shared" si="34"/>
        <v>7</v>
      </c>
      <c r="R719" s="695" t="str">
        <f t="shared" si="35"/>
        <v>Gastos_custeados_por_captação</v>
      </c>
      <c r="S719" s="697" t="s">
        <v>998</v>
      </c>
      <c r="T719" s="697">
        <v>3613</v>
      </c>
    </row>
    <row r="720" spans="1:20" ht="48" x14ac:dyDescent="0.2">
      <c r="A720" s="432">
        <f>IF(B720="","",COUNT('Diário 1º PA'!$A$4:$A$2635)+COUNT('Diário 2º PA'!$A$4:$A$3040)+ROW()-3)</f>
        <v>4816</v>
      </c>
      <c r="B720" s="413">
        <v>44777</v>
      </c>
      <c r="C720" s="431">
        <v>44743</v>
      </c>
      <c r="D720" s="415" t="s">
        <v>468</v>
      </c>
      <c r="E720" s="415" t="s">
        <v>468</v>
      </c>
      <c r="F720" s="425">
        <v>24107.5</v>
      </c>
      <c r="G720" s="427" t="s">
        <v>5798</v>
      </c>
      <c r="H720" s="415" t="s">
        <v>468</v>
      </c>
      <c r="I720" s="473" t="s">
        <v>6510</v>
      </c>
      <c r="J720" s="415" t="s">
        <v>1055</v>
      </c>
      <c r="K720" s="415" t="s">
        <v>830</v>
      </c>
      <c r="L720" s="415" t="s">
        <v>807</v>
      </c>
      <c r="M720" s="415" t="s">
        <v>5108</v>
      </c>
      <c r="N720" s="413">
        <v>44776</v>
      </c>
      <c r="O720" s="414" t="s">
        <v>3762</v>
      </c>
      <c r="P720" s="655">
        <f t="shared" si="33"/>
        <v>8</v>
      </c>
      <c r="Q720" s="655">
        <f t="shared" si="34"/>
        <v>7</v>
      </c>
      <c r="R720" s="695" t="str">
        <f t="shared" si="35"/>
        <v>Gastos_custeados_por_captação</v>
      </c>
      <c r="S720" s="696" t="s">
        <v>998</v>
      </c>
      <c r="T720" s="696">
        <v>3826</v>
      </c>
    </row>
    <row r="721" spans="1:20" ht="84" x14ac:dyDescent="0.2">
      <c r="A721" s="432">
        <f>IF(B721="","",COUNT('Diário 1º PA'!$A$4:$A$2635)+COUNT('Diário 2º PA'!$A$4:$A$3040)+ROW()-3)</f>
        <v>4817</v>
      </c>
      <c r="B721" s="413">
        <v>44777</v>
      </c>
      <c r="C721" s="431">
        <v>44682</v>
      </c>
      <c r="D721" s="415" t="s">
        <v>468</v>
      </c>
      <c r="E721" s="415" t="s">
        <v>468</v>
      </c>
      <c r="F721" s="425">
        <v>5000</v>
      </c>
      <c r="G721" s="427" t="s">
        <v>3891</v>
      </c>
      <c r="H721" s="415" t="s">
        <v>468</v>
      </c>
      <c r="I721" s="473" t="s">
        <v>6646</v>
      </c>
      <c r="J721" s="415" t="s">
        <v>1043</v>
      </c>
      <c r="K721" s="419" t="s">
        <v>806</v>
      </c>
      <c r="L721" s="415" t="s">
        <v>1305</v>
      </c>
      <c r="M721" s="415" t="s">
        <v>310</v>
      </c>
      <c r="N721" s="413">
        <v>44777</v>
      </c>
      <c r="O721" s="414" t="s">
        <v>405</v>
      </c>
      <c r="P721" s="655">
        <f t="shared" si="33"/>
        <v>8</v>
      </c>
      <c r="Q721" s="655">
        <f t="shared" si="34"/>
        <v>5</v>
      </c>
      <c r="R721" s="695" t="str">
        <f t="shared" si="35"/>
        <v>Gastos_custeados_por_captação</v>
      </c>
      <c r="S721" s="698" t="s">
        <v>998</v>
      </c>
      <c r="T721" s="698">
        <v>3574</v>
      </c>
    </row>
    <row r="722" spans="1:20" ht="60" x14ac:dyDescent="0.2">
      <c r="A722" s="432">
        <f>IF(B722="","",COUNT('Diário 1º PA'!$A$4:$A$2635)+COUNT('Diário 2º PA'!$A$4:$A$3040)+ROW()-3)</f>
        <v>4818</v>
      </c>
      <c r="B722" s="413">
        <v>44777</v>
      </c>
      <c r="C722" s="431">
        <v>44743</v>
      </c>
      <c r="D722" s="415" t="s">
        <v>468</v>
      </c>
      <c r="E722" s="415" t="s">
        <v>468</v>
      </c>
      <c r="F722" s="425">
        <v>420</v>
      </c>
      <c r="G722" s="427" t="s">
        <v>5829</v>
      </c>
      <c r="H722" s="415" t="s">
        <v>468</v>
      </c>
      <c r="I722" s="473" t="s">
        <v>6647</v>
      </c>
      <c r="J722" s="415" t="s">
        <v>5778</v>
      </c>
      <c r="K722" s="419" t="s">
        <v>806</v>
      </c>
      <c r="L722" s="415" t="s">
        <v>839</v>
      </c>
      <c r="M722" s="415">
        <v>1920</v>
      </c>
      <c r="N722" s="413">
        <v>44776</v>
      </c>
      <c r="O722" s="414" t="s">
        <v>405</v>
      </c>
      <c r="P722" s="655">
        <f t="shared" si="33"/>
        <v>8</v>
      </c>
      <c r="Q722" s="655">
        <f t="shared" si="34"/>
        <v>7</v>
      </c>
      <c r="R722" s="695" t="str">
        <f t="shared" si="35"/>
        <v>Gastos_custeados_por_captação</v>
      </c>
      <c r="S722" s="698" t="s">
        <v>998</v>
      </c>
      <c r="T722" s="698">
        <v>4061</v>
      </c>
    </row>
    <row r="723" spans="1:20" ht="84" x14ac:dyDescent="0.2">
      <c r="A723" s="432">
        <f>IF(B723="","",COUNT('Diário 1º PA'!$A$4:$A$2635)+COUNT('Diário 2º PA'!$A$4:$A$3040)+ROW()-3)</f>
        <v>4819</v>
      </c>
      <c r="B723" s="413">
        <v>44777</v>
      </c>
      <c r="C723" s="431">
        <v>44743</v>
      </c>
      <c r="D723" s="415" t="s">
        <v>468</v>
      </c>
      <c r="E723" s="415" t="s">
        <v>468</v>
      </c>
      <c r="F723" s="425">
        <v>420</v>
      </c>
      <c r="G723" s="427" t="s">
        <v>5819</v>
      </c>
      <c r="H723" s="415" t="s">
        <v>468</v>
      </c>
      <c r="I723" s="473" t="s">
        <v>3802</v>
      </c>
      <c r="J723" s="415" t="s">
        <v>3323</v>
      </c>
      <c r="K723" s="415" t="s">
        <v>830</v>
      </c>
      <c r="L723" s="415" t="s">
        <v>839</v>
      </c>
      <c r="M723" s="415">
        <v>1921</v>
      </c>
      <c r="N723" s="413">
        <v>44776</v>
      </c>
      <c r="O723" s="414" t="s">
        <v>405</v>
      </c>
      <c r="P723" s="655">
        <f t="shared" si="33"/>
        <v>8</v>
      </c>
      <c r="Q723" s="655">
        <f t="shared" si="34"/>
        <v>7</v>
      </c>
      <c r="R723" s="695" t="str">
        <f t="shared" si="35"/>
        <v>Gastos_custeados_por_captação</v>
      </c>
      <c r="S723" s="696" t="s">
        <v>998</v>
      </c>
      <c r="T723" s="696">
        <v>4001</v>
      </c>
    </row>
    <row r="724" spans="1:20" ht="60" x14ac:dyDescent="0.2">
      <c r="A724" s="432">
        <f>IF(B724="","",COUNT('Diário 1º PA'!$A$4:$A$2635)+COUNT('Diário 2º PA'!$A$4:$A$3040)+ROW()-3)</f>
        <v>4820</v>
      </c>
      <c r="B724" s="413">
        <v>44777</v>
      </c>
      <c r="C724" s="431">
        <v>44743</v>
      </c>
      <c r="D724" s="415" t="s">
        <v>468</v>
      </c>
      <c r="E724" s="415" t="s">
        <v>468</v>
      </c>
      <c r="F724" s="425">
        <v>2939.7</v>
      </c>
      <c r="G724" s="427" t="s">
        <v>713</v>
      </c>
      <c r="H724" s="415" t="s">
        <v>468</v>
      </c>
      <c r="I724" s="639" t="s">
        <v>2627</v>
      </c>
      <c r="J724" s="415" t="s">
        <v>1137</v>
      </c>
      <c r="K724" s="418" t="s">
        <v>830</v>
      </c>
      <c r="L724" s="399" t="s">
        <v>32</v>
      </c>
      <c r="M724" s="418" t="s">
        <v>5115</v>
      </c>
      <c r="N724" s="413">
        <v>44775</v>
      </c>
      <c r="O724" s="414" t="s">
        <v>405</v>
      </c>
      <c r="P724" s="655">
        <f t="shared" si="33"/>
        <v>8</v>
      </c>
      <c r="Q724" s="655">
        <f t="shared" si="34"/>
        <v>7</v>
      </c>
      <c r="R724" s="695" t="str">
        <f t="shared" si="35"/>
        <v>Gastos_custeados_por_captação</v>
      </c>
      <c r="S724" s="697" t="s">
        <v>1000</v>
      </c>
      <c r="T724" s="697">
        <v>3760</v>
      </c>
    </row>
    <row r="725" spans="1:20" ht="60.75" customHeight="1" x14ac:dyDescent="0.2">
      <c r="A725" s="432">
        <f>IF(B725="","",COUNT('Diário 1º PA'!$A$4:$A$2635)+COUNT('Diário 2º PA'!$A$4:$A$3040)+ROW()-3)</f>
        <v>4821</v>
      </c>
      <c r="B725" s="414">
        <v>44778</v>
      </c>
      <c r="C725" s="424">
        <v>44743</v>
      </c>
      <c r="D725" s="415" t="s">
        <v>182</v>
      </c>
      <c r="E725" s="415" t="s">
        <v>4</v>
      </c>
      <c r="F725" s="425">
        <v>-3407.92</v>
      </c>
      <c r="G725" s="427" t="s">
        <v>6266</v>
      </c>
      <c r="H725" s="415" t="s">
        <v>310</v>
      </c>
      <c r="I725" s="473" t="s">
        <v>795</v>
      </c>
      <c r="J725" s="415" t="s">
        <v>796</v>
      </c>
      <c r="K725" s="415" t="s">
        <v>797</v>
      </c>
      <c r="L725" s="415" t="s">
        <v>798</v>
      </c>
      <c r="M725" s="415" t="s">
        <v>310</v>
      </c>
      <c r="N725" s="414">
        <v>44778</v>
      </c>
      <c r="O725" s="414" t="s">
        <v>400</v>
      </c>
      <c r="P725" s="655">
        <f t="shared" si="33"/>
        <v>8</v>
      </c>
      <c r="Q725" s="655">
        <f t="shared" si="34"/>
        <v>7</v>
      </c>
      <c r="R725" s="695" t="str">
        <f t="shared" si="35"/>
        <v>Gastos_com_Pessoal</v>
      </c>
      <c r="S725" s="697" t="s">
        <v>310</v>
      </c>
      <c r="T725" s="697" t="s">
        <v>310</v>
      </c>
    </row>
    <row r="726" spans="1:20" ht="36" x14ac:dyDescent="0.2">
      <c r="A726" s="432">
        <f>IF(B726="","",COUNT('Diário 1º PA'!$A$4:$A$2635)+COUNT('Diário 2º PA'!$A$4:$A$3040)+ROW()-3)</f>
        <v>4822</v>
      </c>
      <c r="B726" s="414">
        <v>44778</v>
      </c>
      <c r="C726" s="424">
        <v>44743</v>
      </c>
      <c r="D726" s="415" t="s">
        <v>182</v>
      </c>
      <c r="E726" s="415" t="s">
        <v>4</v>
      </c>
      <c r="F726" s="425">
        <v>-156</v>
      </c>
      <c r="G726" s="427" t="s">
        <v>6267</v>
      </c>
      <c r="H726" s="415" t="s">
        <v>310</v>
      </c>
      <c r="I726" s="473" t="s">
        <v>795</v>
      </c>
      <c r="J726" s="415" t="s">
        <v>796</v>
      </c>
      <c r="K726" s="415" t="s">
        <v>797</v>
      </c>
      <c r="L726" s="415" t="s">
        <v>798</v>
      </c>
      <c r="M726" s="415" t="s">
        <v>310</v>
      </c>
      <c r="N726" s="414">
        <v>44778</v>
      </c>
      <c r="O726" s="414" t="s">
        <v>400</v>
      </c>
      <c r="P726" s="655">
        <f t="shared" si="33"/>
        <v>8</v>
      </c>
      <c r="Q726" s="655">
        <f t="shared" si="34"/>
        <v>7</v>
      </c>
      <c r="R726" s="695" t="str">
        <f t="shared" si="35"/>
        <v>Gastos_com_Pessoal</v>
      </c>
      <c r="S726" s="697" t="s">
        <v>310</v>
      </c>
      <c r="T726" s="697" t="s">
        <v>310</v>
      </c>
    </row>
    <row r="727" spans="1:20" ht="36" x14ac:dyDescent="0.2">
      <c r="A727" s="432">
        <f>IF(B727="","",COUNT('Diário 1º PA'!$A$4:$A$2635)+COUNT('Diário 2º PA'!$A$4:$A$3040)+ROW()-3)</f>
        <v>4823</v>
      </c>
      <c r="B727" s="414">
        <v>44778</v>
      </c>
      <c r="C727" s="424">
        <v>44774</v>
      </c>
      <c r="D727" s="415" t="s">
        <v>34</v>
      </c>
      <c r="E727" s="415" t="s">
        <v>167</v>
      </c>
      <c r="F727" s="425">
        <v>20</v>
      </c>
      <c r="G727" s="427" t="s">
        <v>6368</v>
      </c>
      <c r="H727" s="419" t="s">
        <v>310</v>
      </c>
      <c r="I727" s="415" t="s">
        <v>795</v>
      </c>
      <c r="J727" s="419" t="s">
        <v>796</v>
      </c>
      <c r="K727" s="419" t="s">
        <v>5737</v>
      </c>
      <c r="L727" s="415" t="s">
        <v>798</v>
      </c>
      <c r="M727" s="419" t="s">
        <v>310</v>
      </c>
      <c r="N727" s="413">
        <v>44778</v>
      </c>
      <c r="O727" s="414" t="s">
        <v>400</v>
      </c>
      <c r="P727" s="655">
        <f t="shared" si="33"/>
        <v>8</v>
      </c>
      <c r="Q727" s="655">
        <f t="shared" si="34"/>
        <v>8</v>
      </c>
      <c r="R727" s="695" t="str">
        <f t="shared" si="35"/>
        <v>Receitas</v>
      </c>
      <c r="S727" s="696" t="s">
        <v>310</v>
      </c>
      <c r="T727" s="696" t="s">
        <v>310</v>
      </c>
    </row>
    <row r="728" spans="1:20" ht="36" x14ac:dyDescent="0.2">
      <c r="A728" s="432">
        <f>IF(B728="","",COUNT('Diário 1º PA'!$A$4:$A$2635)+COUNT('Diário 2º PA'!$A$4:$A$3040)+ROW()-3)</f>
        <v>4824</v>
      </c>
      <c r="B728" s="414">
        <v>44778</v>
      </c>
      <c r="C728" s="424">
        <v>44743</v>
      </c>
      <c r="D728" s="415" t="s">
        <v>182</v>
      </c>
      <c r="E728" s="415" t="s">
        <v>287</v>
      </c>
      <c r="F728" s="425">
        <v>3467.76</v>
      </c>
      <c r="G728" s="427" t="s">
        <v>6269</v>
      </c>
      <c r="H728" s="415" t="s">
        <v>310</v>
      </c>
      <c r="I728" s="473" t="s">
        <v>907</v>
      </c>
      <c r="J728" s="415" t="s">
        <v>908</v>
      </c>
      <c r="K728" s="419" t="s">
        <v>806</v>
      </c>
      <c r="L728" s="415" t="s">
        <v>925</v>
      </c>
      <c r="M728" s="415" t="s">
        <v>310</v>
      </c>
      <c r="N728" s="413">
        <v>44778</v>
      </c>
      <c r="O728" s="414" t="s">
        <v>400</v>
      </c>
      <c r="P728" s="655">
        <f t="shared" si="33"/>
        <v>8</v>
      </c>
      <c r="Q728" s="655">
        <f t="shared" si="34"/>
        <v>7</v>
      </c>
      <c r="R728" s="695" t="str">
        <f t="shared" si="35"/>
        <v>Gastos_com_Pessoal</v>
      </c>
      <c r="S728" s="697" t="s">
        <v>310</v>
      </c>
      <c r="T728" s="697" t="s">
        <v>310</v>
      </c>
    </row>
    <row r="729" spans="1:20" ht="36" x14ac:dyDescent="0.2">
      <c r="A729" s="432">
        <f>IF(B729="","",COUNT('Diário 1º PA'!$A$4:$A$2635)+COUNT('Diário 2º PA'!$A$4:$A$3040)+ROW()-3)</f>
        <v>4825</v>
      </c>
      <c r="B729" s="414">
        <v>44778</v>
      </c>
      <c r="C729" s="424">
        <v>44743</v>
      </c>
      <c r="D729" s="415" t="s">
        <v>182</v>
      </c>
      <c r="E729" s="415" t="s">
        <v>1</v>
      </c>
      <c r="F729" s="425">
        <v>1895.18</v>
      </c>
      <c r="G729" s="427" t="s">
        <v>6270</v>
      </c>
      <c r="H729" s="415" t="s">
        <v>310</v>
      </c>
      <c r="I729" s="473" t="s">
        <v>911</v>
      </c>
      <c r="J729" s="415" t="s">
        <v>912</v>
      </c>
      <c r="K729" s="419" t="s">
        <v>806</v>
      </c>
      <c r="L729" s="415" t="s">
        <v>909</v>
      </c>
      <c r="M729" s="415" t="s">
        <v>310</v>
      </c>
      <c r="N729" s="413">
        <v>44778</v>
      </c>
      <c r="O729" s="414" t="s">
        <v>400</v>
      </c>
      <c r="P729" s="655">
        <f t="shared" si="33"/>
        <v>8</v>
      </c>
      <c r="Q729" s="655">
        <f t="shared" si="34"/>
        <v>7</v>
      </c>
      <c r="R729" s="695" t="str">
        <f t="shared" si="35"/>
        <v>Gastos_com_Pessoal</v>
      </c>
      <c r="S729" s="697" t="s">
        <v>310</v>
      </c>
      <c r="T729" s="697" t="s">
        <v>310</v>
      </c>
    </row>
    <row r="730" spans="1:20" ht="36" x14ac:dyDescent="0.2">
      <c r="A730" s="432">
        <f>IF(B730="","",COUNT('Diário 1º PA'!$A$4:$A$2635)+COUNT('Diário 2º PA'!$A$4:$A$3040)+ROW()-3)</f>
        <v>4826</v>
      </c>
      <c r="B730" s="414">
        <v>44778</v>
      </c>
      <c r="C730" s="424">
        <v>44743</v>
      </c>
      <c r="D730" s="415" t="s">
        <v>182</v>
      </c>
      <c r="E730" s="415" t="s">
        <v>1</v>
      </c>
      <c r="F730" s="425">
        <v>2095.64</v>
      </c>
      <c r="G730" s="427" t="s">
        <v>6270</v>
      </c>
      <c r="H730" s="415" t="s">
        <v>310</v>
      </c>
      <c r="I730" s="473" t="s">
        <v>920</v>
      </c>
      <c r="J730" s="415" t="s">
        <v>921</v>
      </c>
      <c r="K730" s="419" t="s">
        <v>806</v>
      </c>
      <c r="L730" s="415" t="s">
        <v>909</v>
      </c>
      <c r="M730" s="415" t="s">
        <v>310</v>
      </c>
      <c r="N730" s="413">
        <v>44778</v>
      </c>
      <c r="O730" s="414" t="s">
        <v>400</v>
      </c>
      <c r="P730" s="655">
        <f t="shared" si="33"/>
        <v>8</v>
      </c>
      <c r="Q730" s="655">
        <f t="shared" si="34"/>
        <v>7</v>
      </c>
      <c r="R730" s="695" t="str">
        <f t="shared" si="35"/>
        <v>Gastos_com_Pessoal</v>
      </c>
      <c r="S730" s="697" t="s">
        <v>310</v>
      </c>
      <c r="T730" s="697" t="s">
        <v>310</v>
      </c>
    </row>
    <row r="731" spans="1:20" ht="48" x14ac:dyDescent="0.2">
      <c r="A731" s="432">
        <f>IF(B731="","",COUNT('Diário 1º PA'!$A$4:$A$2635)+COUNT('Diário 2º PA'!$A$4:$A$3040)+ROW()-3)</f>
        <v>4827</v>
      </c>
      <c r="B731" s="414">
        <v>44778</v>
      </c>
      <c r="C731" s="431">
        <v>44713</v>
      </c>
      <c r="D731" s="415" t="s">
        <v>271</v>
      </c>
      <c r="E731" s="415" t="s">
        <v>450</v>
      </c>
      <c r="F731" s="425">
        <v>2307.9</v>
      </c>
      <c r="G731" s="427" t="s">
        <v>4418</v>
      </c>
      <c r="H731" s="415" t="s">
        <v>758</v>
      </c>
      <c r="I731" s="415" t="s">
        <v>5985</v>
      </c>
      <c r="J731" s="415" t="s">
        <v>4417</v>
      </c>
      <c r="K731" s="419" t="s">
        <v>806</v>
      </c>
      <c r="L731" s="419" t="s">
        <v>839</v>
      </c>
      <c r="M731" s="419">
        <v>1931</v>
      </c>
      <c r="N731" s="413">
        <v>44777</v>
      </c>
      <c r="O731" s="414" t="s">
        <v>400</v>
      </c>
      <c r="P731" s="655">
        <f t="shared" si="33"/>
        <v>8</v>
      </c>
      <c r="Q731" s="655">
        <f t="shared" si="34"/>
        <v>6</v>
      </c>
      <c r="R731" s="695" t="str">
        <f t="shared" si="35"/>
        <v>Gastos_Gerais</v>
      </c>
      <c r="S731" s="697" t="s">
        <v>1000</v>
      </c>
      <c r="T731" s="697">
        <v>3589</v>
      </c>
    </row>
    <row r="732" spans="1:20" ht="108" x14ac:dyDescent="0.2">
      <c r="A732" s="432">
        <f>IF(B732="","",COUNT('Diário 1º PA'!$A$4:$A$2635)+COUNT('Diário 2º PA'!$A$4:$A$3040)+ROW()-3)</f>
        <v>4828</v>
      </c>
      <c r="B732" s="414">
        <v>44778</v>
      </c>
      <c r="C732" s="431">
        <v>44743</v>
      </c>
      <c r="D732" s="415" t="s">
        <v>271</v>
      </c>
      <c r="E732" s="415" t="s">
        <v>464</v>
      </c>
      <c r="F732" s="422">
        <v>1200</v>
      </c>
      <c r="G732" s="419" t="s">
        <v>6160</v>
      </c>
      <c r="H732" s="415" t="s">
        <v>758</v>
      </c>
      <c r="I732" s="415" t="s">
        <v>6274</v>
      </c>
      <c r="J732" s="419" t="s">
        <v>6161</v>
      </c>
      <c r="K732" s="419" t="s">
        <v>806</v>
      </c>
      <c r="L732" s="415" t="s">
        <v>807</v>
      </c>
      <c r="M732" s="419" t="s">
        <v>1703</v>
      </c>
      <c r="N732" s="413">
        <v>44777</v>
      </c>
      <c r="O732" s="414" t="s">
        <v>400</v>
      </c>
      <c r="P732" s="655">
        <f t="shared" si="33"/>
        <v>8</v>
      </c>
      <c r="Q732" s="655">
        <f t="shared" si="34"/>
        <v>7</v>
      </c>
      <c r="R732" s="695" t="str">
        <f t="shared" si="35"/>
        <v>Gastos_Gerais</v>
      </c>
      <c r="S732" s="696" t="s">
        <v>1000</v>
      </c>
      <c r="T732" s="696">
        <v>4054</v>
      </c>
    </row>
    <row r="733" spans="1:20" ht="36" x14ac:dyDescent="0.2">
      <c r="A733" s="432">
        <f>IF(B733="","",COUNT('Diário 1º PA'!$A$4:$A$2635)+COUNT('Diário 2º PA'!$A$4:$A$3040)+ROW()-3)</f>
        <v>4829</v>
      </c>
      <c r="B733" s="414">
        <v>44778</v>
      </c>
      <c r="C733" s="431">
        <v>44743</v>
      </c>
      <c r="D733" s="415" t="s">
        <v>182</v>
      </c>
      <c r="E733" s="415" t="s">
        <v>1</v>
      </c>
      <c r="F733" s="425">
        <v>3538.78</v>
      </c>
      <c r="G733" s="427" t="s">
        <v>6275</v>
      </c>
      <c r="H733" s="415" t="s">
        <v>310</v>
      </c>
      <c r="I733" s="473" t="s">
        <v>938</v>
      </c>
      <c r="J733" s="415" t="s">
        <v>939</v>
      </c>
      <c r="K733" s="419" t="s">
        <v>806</v>
      </c>
      <c r="L733" s="415" t="s">
        <v>909</v>
      </c>
      <c r="M733" s="415" t="s">
        <v>310</v>
      </c>
      <c r="N733" s="414">
        <v>44778</v>
      </c>
      <c r="O733" s="414" t="s">
        <v>400</v>
      </c>
      <c r="P733" s="655">
        <f t="shared" si="33"/>
        <v>8</v>
      </c>
      <c r="Q733" s="655">
        <f t="shared" si="34"/>
        <v>7</v>
      </c>
      <c r="R733" s="695" t="str">
        <f t="shared" si="35"/>
        <v>Gastos_com_Pessoal</v>
      </c>
      <c r="S733" s="697" t="s">
        <v>310</v>
      </c>
      <c r="T733" s="697" t="s">
        <v>310</v>
      </c>
    </row>
    <row r="734" spans="1:20" ht="36" x14ac:dyDescent="0.2">
      <c r="A734" s="432">
        <f>IF(B734="","",COUNT('Diário 1º PA'!$A$4:$A$2635)+COUNT('Diário 2º PA'!$A$4:$A$3040)+ROW()-3)</f>
        <v>4830</v>
      </c>
      <c r="B734" s="414">
        <v>44778</v>
      </c>
      <c r="C734" s="431">
        <v>44743</v>
      </c>
      <c r="D734" s="415" t="s">
        <v>182</v>
      </c>
      <c r="E734" s="415" t="s">
        <v>1</v>
      </c>
      <c r="F734" s="425">
        <v>3626.88</v>
      </c>
      <c r="G734" s="427" t="s">
        <v>6276</v>
      </c>
      <c r="H734" s="415" t="s">
        <v>310</v>
      </c>
      <c r="I734" s="473" t="s">
        <v>946</v>
      </c>
      <c r="J734" s="415" t="s">
        <v>947</v>
      </c>
      <c r="K734" s="419" t="s">
        <v>806</v>
      </c>
      <c r="L734" s="415" t="s">
        <v>909</v>
      </c>
      <c r="M734" s="415" t="s">
        <v>310</v>
      </c>
      <c r="N734" s="414">
        <v>44778</v>
      </c>
      <c r="O734" s="414" t="s">
        <v>400</v>
      </c>
      <c r="P734" s="655">
        <f t="shared" si="33"/>
        <v>8</v>
      </c>
      <c r="Q734" s="655">
        <f t="shared" si="34"/>
        <v>7</v>
      </c>
      <c r="R734" s="695" t="str">
        <f t="shared" si="35"/>
        <v>Gastos_com_Pessoal</v>
      </c>
      <c r="S734" s="697" t="s">
        <v>310</v>
      </c>
      <c r="T734" s="697" t="s">
        <v>310</v>
      </c>
    </row>
    <row r="735" spans="1:20" ht="36" x14ac:dyDescent="0.2">
      <c r="A735" s="432">
        <f>IF(B735="","",COUNT('Diário 1º PA'!$A$4:$A$2635)+COUNT('Diário 2º PA'!$A$4:$A$3040)+ROW()-3)</f>
        <v>4831</v>
      </c>
      <c r="B735" s="414">
        <v>44778</v>
      </c>
      <c r="C735" s="431">
        <v>44743</v>
      </c>
      <c r="D735" s="415" t="s">
        <v>182</v>
      </c>
      <c r="E735" s="415" t="s">
        <v>1</v>
      </c>
      <c r="F735" s="425">
        <v>3880.82</v>
      </c>
      <c r="G735" s="427" t="s">
        <v>6277</v>
      </c>
      <c r="H735" s="415" t="s">
        <v>310</v>
      </c>
      <c r="I735" s="473" t="s">
        <v>949</v>
      </c>
      <c r="J735" s="415" t="s">
        <v>950</v>
      </c>
      <c r="K735" s="419" t="s">
        <v>806</v>
      </c>
      <c r="L735" s="415" t="s">
        <v>909</v>
      </c>
      <c r="M735" s="415" t="s">
        <v>310</v>
      </c>
      <c r="N735" s="414">
        <v>44778</v>
      </c>
      <c r="O735" s="414" t="s">
        <v>400</v>
      </c>
      <c r="P735" s="655">
        <f t="shared" si="33"/>
        <v>8</v>
      </c>
      <c r="Q735" s="655">
        <f t="shared" si="34"/>
        <v>7</v>
      </c>
      <c r="R735" s="695" t="str">
        <f t="shared" si="35"/>
        <v>Gastos_com_Pessoal</v>
      </c>
      <c r="S735" s="697" t="s">
        <v>310</v>
      </c>
      <c r="T735" s="697" t="s">
        <v>310</v>
      </c>
    </row>
    <row r="736" spans="1:20" ht="36" x14ac:dyDescent="0.2">
      <c r="A736" s="432">
        <f>IF(B736="","",COUNT('Diário 1º PA'!$A$4:$A$2635)+COUNT('Diário 2º PA'!$A$4:$A$3040)+ROW()-3)</f>
        <v>4832</v>
      </c>
      <c r="B736" s="414">
        <v>44778</v>
      </c>
      <c r="C736" s="431">
        <v>44743</v>
      </c>
      <c r="D736" s="415" t="s">
        <v>182</v>
      </c>
      <c r="E736" s="415" t="s">
        <v>1</v>
      </c>
      <c r="F736" s="425">
        <v>1931.45</v>
      </c>
      <c r="G736" s="427" t="s">
        <v>6278</v>
      </c>
      <c r="H736" s="415" t="s">
        <v>310</v>
      </c>
      <c r="I736" s="473" t="s">
        <v>929</v>
      </c>
      <c r="J736" s="415" t="s">
        <v>930</v>
      </c>
      <c r="K736" s="419" t="s">
        <v>806</v>
      </c>
      <c r="L736" s="415" t="s">
        <v>909</v>
      </c>
      <c r="M736" s="415" t="s">
        <v>310</v>
      </c>
      <c r="N736" s="414">
        <v>44778</v>
      </c>
      <c r="O736" s="414" t="s">
        <v>400</v>
      </c>
      <c r="P736" s="655">
        <f t="shared" si="33"/>
        <v>8</v>
      </c>
      <c r="Q736" s="655">
        <f t="shared" si="34"/>
        <v>7</v>
      </c>
      <c r="R736" s="695" t="str">
        <f t="shared" si="35"/>
        <v>Gastos_com_Pessoal</v>
      </c>
      <c r="S736" s="697" t="s">
        <v>310</v>
      </c>
      <c r="T736" s="697" t="s">
        <v>310</v>
      </c>
    </row>
    <row r="737" spans="1:20" ht="36" x14ac:dyDescent="0.2">
      <c r="A737" s="432">
        <f>IF(B737="","",COUNT('Diário 1º PA'!$A$4:$A$2635)+COUNT('Diário 2º PA'!$A$4:$A$3040)+ROW()-3)</f>
        <v>4833</v>
      </c>
      <c r="B737" s="414">
        <v>44778</v>
      </c>
      <c r="C737" s="431">
        <v>44743</v>
      </c>
      <c r="D737" s="415" t="s">
        <v>182</v>
      </c>
      <c r="E737" s="415" t="s">
        <v>1</v>
      </c>
      <c r="F737" s="425">
        <v>13838.48</v>
      </c>
      <c r="G737" s="427" t="s">
        <v>6279</v>
      </c>
      <c r="H737" s="415" t="s">
        <v>310</v>
      </c>
      <c r="I737" s="473" t="s">
        <v>952</v>
      </c>
      <c r="J737" s="415" t="s">
        <v>953</v>
      </c>
      <c r="K737" s="415" t="s">
        <v>830</v>
      </c>
      <c r="L737" s="415" t="s">
        <v>909</v>
      </c>
      <c r="M737" s="415" t="s">
        <v>310</v>
      </c>
      <c r="N737" s="414">
        <v>44778</v>
      </c>
      <c r="O737" s="414" t="s">
        <v>400</v>
      </c>
      <c r="P737" s="655">
        <f t="shared" si="33"/>
        <v>8</v>
      </c>
      <c r="Q737" s="655">
        <f t="shared" si="34"/>
        <v>7</v>
      </c>
      <c r="R737" s="695" t="str">
        <f t="shared" si="35"/>
        <v>Gastos_com_Pessoal</v>
      </c>
      <c r="S737" s="697" t="s">
        <v>310</v>
      </c>
      <c r="T737" s="697" t="s">
        <v>310</v>
      </c>
    </row>
    <row r="738" spans="1:20" ht="36" x14ac:dyDescent="0.2">
      <c r="A738" s="432">
        <f>IF(B738="","",COUNT('Diário 1º PA'!$A$4:$A$2635)+COUNT('Diário 2º PA'!$A$4:$A$3040)+ROW()-3)</f>
        <v>4834</v>
      </c>
      <c r="B738" s="414">
        <v>44778</v>
      </c>
      <c r="C738" s="431">
        <v>44743</v>
      </c>
      <c r="D738" s="415" t="s">
        <v>182</v>
      </c>
      <c r="E738" s="415" t="s">
        <v>1</v>
      </c>
      <c r="F738" s="425">
        <v>2095.64</v>
      </c>
      <c r="G738" s="427" t="s">
        <v>6270</v>
      </c>
      <c r="H738" s="415" t="s">
        <v>310</v>
      </c>
      <c r="I738" s="473" t="s">
        <v>943</v>
      </c>
      <c r="J738" s="415" t="s">
        <v>1553</v>
      </c>
      <c r="K738" s="419" t="s">
        <v>806</v>
      </c>
      <c r="L738" s="415" t="s">
        <v>909</v>
      </c>
      <c r="M738" s="415" t="s">
        <v>310</v>
      </c>
      <c r="N738" s="414">
        <v>44778</v>
      </c>
      <c r="O738" s="414" t="s">
        <v>400</v>
      </c>
      <c r="P738" s="655">
        <f t="shared" si="33"/>
        <v>8</v>
      </c>
      <c r="Q738" s="655">
        <f t="shared" si="34"/>
        <v>7</v>
      </c>
      <c r="R738" s="695" t="str">
        <f t="shared" si="35"/>
        <v>Gastos_com_Pessoal</v>
      </c>
      <c r="S738" s="697" t="s">
        <v>310</v>
      </c>
      <c r="T738" s="697" t="s">
        <v>310</v>
      </c>
    </row>
    <row r="739" spans="1:20" ht="36" x14ac:dyDescent="0.2">
      <c r="A739" s="432">
        <f>IF(B739="","",COUNT('Diário 1º PA'!$A$4:$A$2635)+COUNT('Diário 2º PA'!$A$4:$A$3040)+ROW()-3)</f>
        <v>4835</v>
      </c>
      <c r="B739" s="414">
        <v>44778</v>
      </c>
      <c r="C739" s="431">
        <v>44743</v>
      </c>
      <c r="D739" s="415" t="s">
        <v>182</v>
      </c>
      <c r="E739" s="415" t="s">
        <v>1</v>
      </c>
      <c r="F739" s="425">
        <v>2095.64</v>
      </c>
      <c r="G739" s="427" t="s">
        <v>6270</v>
      </c>
      <c r="H739" s="415" t="s">
        <v>310</v>
      </c>
      <c r="I739" s="473" t="s">
        <v>935</v>
      </c>
      <c r="J739" s="415" t="s">
        <v>936</v>
      </c>
      <c r="K739" s="419" t="s">
        <v>806</v>
      </c>
      <c r="L739" s="415" t="s">
        <v>909</v>
      </c>
      <c r="M739" s="415" t="s">
        <v>310</v>
      </c>
      <c r="N739" s="414">
        <v>44778</v>
      </c>
      <c r="O739" s="414" t="s">
        <v>400</v>
      </c>
      <c r="P739" s="655">
        <f t="shared" si="33"/>
        <v>8</v>
      </c>
      <c r="Q739" s="655">
        <f t="shared" si="34"/>
        <v>7</v>
      </c>
      <c r="R739" s="695" t="str">
        <f t="shared" si="35"/>
        <v>Gastos_com_Pessoal</v>
      </c>
      <c r="S739" s="697" t="s">
        <v>310</v>
      </c>
      <c r="T739" s="697" t="s">
        <v>310</v>
      </c>
    </row>
    <row r="740" spans="1:20" ht="36" x14ac:dyDescent="0.2">
      <c r="A740" s="432">
        <f>IF(B740="","",COUNT('Diário 1º PA'!$A$4:$A$2635)+COUNT('Diário 2º PA'!$A$4:$A$3040)+ROW()-3)</f>
        <v>4836</v>
      </c>
      <c r="B740" s="414">
        <v>44778</v>
      </c>
      <c r="C740" s="431">
        <v>44743</v>
      </c>
      <c r="D740" s="415" t="s">
        <v>182</v>
      </c>
      <c r="E740" s="415" t="s">
        <v>1</v>
      </c>
      <c r="F740" s="425">
        <v>2230.91</v>
      </c>
      <c r="G740" s="427" t="s">
        <v>6280</v>
      </c>
      <c r="H740" s="415" t="s">
        <v>310</v>
      </c>
      <c r="I740" s="473" t="s">
        <v>972</v>
      </c>
      <c r="J740" s="415" t="s">
        <v>973</v>
      </c>
      <c r="K740" s="415" t="s">
        <v>830</v>
      </c>
      <c r="L740" s="415" t="s">
        <v>909</v>
      </c>
      <c r="M740" s="415" t="s">
        <v>310</v>
      </c>
      <c r="N740" s="414">
        <v>44778</v>
      </c>
      <c r="O740" s="414" t="s">
        <v>400</v>
      </c>
      <c r="P740" s="655">
        <f t="shared" si="33"/>
        <v>8</v>
      </c>
      <c r="Q740" s="655">
        <f t="shared" si="34"/>
        <v>7</v>
      </c>
      <c r="R740" s="695" t="str">
        <f t="shared" si="35"/>
        <v>Gastos_com_Pessoal</v>
      </c>
      <c r="S740" s="697" t="s">
        <v>310</v>
      </c>
      <c r="T740" s="697" t="s">
        <v>310</v>
      </c>
    </row>
    <row r="741" spans="1:20" ht="36" x14ac:dyDescent="0.2">
      <c r="A741" s="432">
        <f>IF(B741="","",COUNT('Diário 1º PA'!$A$4:$A$2635)+COUNT('Diário 2º PA'!$A$4:$A$3040)+ROW()-3)</f>
        <v>4837</v>
      </c>
      <c r="B741" s="414">
        <v>44778</v>
      </c>
      <c r="C741" s="431">
        <v>44743</v>
      </c>
      <c r="D741" s="415" t="s">
        <v>182</v>
      </c>
      <c r="E741" s="415" t="s">
        <v>1</v>
      </c>
      <c r="F741" s="425">
        <v>3861.53</v>
      </c>
      <c r="G741" s="427" t="s">
        <v>6281</v>
      </c>
      <c r="H741" s="415" t="s">
        <v>310</v>
      </c>
      <c r="I741" s="473" t="s">
        <v>963</v>
      </c>
      <c r="J741" s="415" t="s">
        <v>964</v>
      </c>
      <c r="K741" s="415" t="s">
        <v>830</v>
      </c>
      <c r="L741" s="415" t="s">
        <v>909</v>
      </c>
      <c r="M741" s="415" t="s">
        <v>310</v>
      </c>
      <c r="N741" s="414">
        <v>44778</v>
      </c>
      <c r="O741" s="414" t="s">
        <v>400</v>
      </c>
      <c r="P741" s="655">
        <f t="shared" si="33"/>
        <v>8</v>
      </c>
      <c r="Q741" s="655">
        <f t="shared" si="34"/>
        <v>7</v>
      </c>
      <c r="R741" s="695" t="str">
        <f t="shared" si="35"/>
        <v>Gastos_com_Pessoal</v>
      </c>
      <c r="S741" s="697" t="s">
        <v>310</v>
      </c>
      <c r="T741" s="697" t="s">
        <v>310</v>
      </c>
    </row>
    <row r="742" spans="1:20" ht="36" x14ac:dyDescent="0.2">
      <c r="A742" s="432">
        <f>IF(B742="","",COUNT('Diário 1º PA'!$A$4:$A$2635)+COUNT('Diário 2º PA'!$A$4:$A$3040)+ROW()-3)</f>
        <v>4838</v>
      </c>
      <c r="B742" s="414">
        <v>44778</v>
      </c>
      <c r="C742" s="431">
        <v>44743</v>
      </c>
      <c r="D742" s="415" t="s">
        <v>182</v>
      </c>
      <c r="E742" s="415" t="s">
        <v>1</v>
      </c>
      <c r="F742" s="425">
        <v>13540.54</v>
      </c>
      <c r="G742" s="427" t="s">
        <v>6282</v>
      </c>
      <c r="H742" s="415" t="s">
        <v>310</v>
      </c>
      <c r="I742" s="473" t="s">
        <v>990</v>
      </c>
      <c r="J742" s="415" t="s">
        <v>991</v>
      </c>
      <c r="K742" s="415" t="s">
        <v>830</v>
      </c>
      <c r="L742" s="415" t="s">
        <v>909</v>
      </c>
      <c r="M742" s="415" t="s">
        <v>310</v>
      </c>
      <c r="N742" s="414">
        <v>44778</v>
      </c>
      <c r="O742" s="414" t="s">
        <v>400</v>
      </c>
      <c r="P742" s="655">
        <f t="shared" si="33"/>
        <v>8</v>
      </c>
      <c r="Q742" s="655">
        <f t="shared" si="34"/>
        <v>7</v>
      </c>
      <c r="R742" s="695" t="str">
        <f t="shared" si="35"/>
        <v>Gastos_com_Pessoal</v>
      </c>
      <c r="S742" s="697" t="s">
        <v>310</v>
      </c>
      <c r="T742" s="697" t="s">
        <v>310</v>
      </c>
    </row>
    <row r="743" spans="1:20" ht="36" x14ac:dyDescent="0.2">
      <c r="A743" s="432">
        <f>IF(B743="","",COUNT('Diário 1º PA'!$A$4:$A$2635)+COUNT('Diário 2º PA'!$A$4:$A$3040)+ROW()-3)</f>
        <v>4839</v>
      </c>
      <c r="B743" s="414">
        <v>44778</v>
      </c>
      <c r="C743" s="431">
        <v>44743</v>
      </c>
      <c r="D743" s="415" t="s">
        <v>182</v>
      </c>
      <c r="E743" s="415" t="s">
        <v>1</v>
      </c>
      <c r="F743" s="425">
        <v>1877.82</v>
      </c>
      <c r="G743" s="427" t="s">
        <v>6278</v>
      </c>
      <c r="H743" s="415" t="s">
        <v>310</v>
      </c>
      <c r="I743" s="473" t="s">
        <v>828</v>
      </c>
      <c r="J743" s="415" t="s">
        <v>829</v>
      </c>
      <c r="K743" s="415" t="s">
        <v>830</v>
      </c>
      <c r="L743" s="415" t="s">
        <v>909</v>
      </c>
      <c r="M743" s="415" t="s">
        <v>310</v>
      </c>
      <c r="N743" s="414">
        <v>44778</v>
      </c>
      <c r="O743" s="414" t="s">
        <v>400</v>
      </c>
      <c r="P743" s="655">
        <f t="shared" si="33"/>
        <v>8</v>
      </c>
      <c r="Q743" s="655">
        <f t="shared" si="34"/>
        <v>7</v>
      </c>
      <c r="R743" s="695" t="str">
        <f t="shared" si="35"/>
        <v>Gastos_com_Pessoal</v>
      </c>
      <c r="S743" s="697" t="s">
        <v>310</v>
      </c>
      <c r="T743" s="697" t="s">
        <v>310</v>
      </c>
    </row>
    <row r="744" spans="1:20" ht="36" x14ac:dyDescent="0.2">
      <c r="A744" s="432">
        <f>IF(B744="","",COUNT('Diário 1º PA'!$A$4:$A$2635)+COUNT('Diário 2º PA'!$A$4:$A$3040)+ROW()-3)</f>
        <v>4840</v>
      </c>
      <c r="B744" s="414">
        <v>44778</v>
      </c>
      <c r="C744" s="431">
        <v>44743</v>
      </c>
      <c r="D744" s="415" t="s">
        <v>182</v>
      </c>
      <c r="E744" s="415" t="s">
        <v>1</v>
      </c>
      <c r="F744" s="425">
        <v>16206.6</v>
      </c>
      <c r="G744" s="427" t="s">
        <v>6283</v>
      </c>
      <c r="H744" s="415" t="s">
        <v>310</v>
      </c>
      <c r="I744" s="473" t="s">
        <v>941</v>
      </c>
      <c r="J744" s="415" t="s">
        <v>942</v>
      </c>
      <c r="K744" s="419" t="s">
        <v>806</v>
      </c>
      <c r="L744" s="415" t="s">
        <v>909</v>
      </c>
      <c r="M744" s="415" t="s">
        <v>310</v>
      </c>
      <c r="N744" s="414">
        <v>44778</v>
      </c>
      <c r="O744" s="414" t="s">
        <v>400</v>
      </c>
      <c r="P744" s="655">
        <f t="shared" si="33"/>
        <v>8</v>
      </c>
      <c r="Q744" s="655">
        <f t="shared" si="34"/>
        <v>7</v>
      </c>
      <c r="R744" s="695" t="str">
        <f t="shared" si="35"/>
        <v>Gastos_com_Pessoal</v>
      </c>
      <c r="S744" s="697" t="s">
        <v>310</v>
      </c>
      <c r="T744" s="697" t="s">
        <v>310</v>
      </c>
    </row>
    <row r="745" spans="1:20" ht="36" x14ac:dyDescent="0.2">
      <c r="A745" s="432">
        <f>IF(B745="","",COUNT('Diário 1º PA'!$A$4:$A$2635)+COUNT('Diário 2º PA'!$A$4:$A$3040)+ROW()-3)</f>
        <v>4841</v>
      </c>
      <c r="B745" s="414">
        <v>44778</v>
      </c>
      <c r="C745" s="431">
        <v>44743</v>
      </c>
      <c r="D745" s="415" t="s">
        <v>182</v>
      </c>
      <c r="E745" s="415" t="s">
        <v>1</v>
      </c>
      <c r="F745" s="425">
        <v>2261.98</v>
      </c>
      <c r="G745" s="427" t="s">
        <v>6284</v>
      </c>
      <c r="H745" s="415" t="s">
        <v>310</v>
      </c>
      <c r="I745" s="473" t="s">
        <v>914</v>
      </c>
      <c r="J745" s="415" t="s">
        <v>915</v>
      </c>
      <c r="K745" s="419" t="s">
        <v>806</v>
      </c>
      <c r="L745" s="415" t="s">
        <v>909</v>
      </c>
      <c r="M745" s="415" t="s">
        <v>310</v>
      </c>
      <c r="N745" s="414">
        <v>44778</v>
      </c>
      <c r="O745" s="414" t="s">
        <v>400</v>
      </c>
      <c r="P745" s="655">
        <f t="shared" si="33"/>
        <v>8</v>
      </c>
      <c r="Q745" s="655">
        <f t="shared" si="34"/>
        <v>7</v>
      </c>
      <c r="R745" s="695" t="str">
        <f t="shared" si="35"/>
        <v>Gastos_com_Pessoal</v>
      </c>
      <c r="S745" s="697" t="s">
        <v>310</v>
      </c>
      <c r="T745" s="697" t="s">
        <v>310</v>
      </c>
    </row>
    <row r="746" spans="1:20" ht="36" x14ac:dyDescent="0.2">
      <c r="A746" s="432">
        <f>IF(B746="","",COUNT('Diário 1º PA'!$A$4:$A$2635)+COUNT('Diário 2º PA'!$A$4:$A$3040)+ROW()-3)</f>
        <v>4842</v>
      </c>
      <c r="B746" s="414">
        <v>44778</v>
      </c>
      <c r="C746" s="431">
        <v>44743</v>
      </c>
      <c r="D746" s="415" t="s">
        <v>182</v>
      </c>
      <c r="E746" s="415" t="s">
        <v>1</v>
      </c>
      <c r="F746" s="425">
        <v>1957.64</v>
      </c>
      <c r="G746" s="440" t="s">
        <v>6270</v>
      </c>
      <c r="H746" s="415" t="s">
        <v>310</v>
      </c>
      <c r="I746" s="473" t="s">
        <v>6019</v>
      </c>
      <c r="J746" s="415" t="s">
        <v>1178</v>
      </c>
      <c r="K746" s="415" t="s">
        <v>830</v>
      </c>
      <c r="L746" s="415" t="s">
        <v>909</v>
      </c>
      <c r="M746" s="415" t="s">
        <v>310</v>
      </c>
      <c r="N746" s="414">
        <v>44778</v>
      </c>
      <c r="O746" s="414" t="s">
        <v>400</v>
      </c>
      <c r="P746" s="655">
        <f t="shared" si="33"/>
        <v>8</v>
      </c>
      <c r="Q746" s="655">
        <f t="shared" si="34"/>
        <v>7</v>
      </c>
      <c r="R746" s="695" t="str">
        <f t="shared" si="35"/>
        <v>Gastos_com_Pessoal</v>
      </c>
      <c r="S746" s="697" t="s">
        <v>310</v>
      </c>
      <c r="T746" s="697" t="s">
        <v>310</v>
      </c>
    </row>
    <row r="747" spans="1:20" ht="36" x14ac:dyDescent="0.2">
      <c r="A747" s="432">
        <f>IF(B747="","",COUNT('Diário 1º PA'!$A$4:$A$2635)+COUNT('Diário 2º PA'!$A$4:$A$3040)+ROW()-3)</f>
        <v>4843</v>
      </c>
      <c r="B747" s="414">
        <v>44778</v>
      </c>
      <c r="C747" s="431">
        <v>44743</v>
      </c>
      <c r="D747" s="415" t="s">
        <v>182</v>
      </c>
      <c r="E747" s="415" t="s">
        <v>1</v>
      </c>
      <c r="F747" s="425">
        <v>2077.66</v>
      </c>
      <c r="G747" s="427" t="s">
        <v>6270</v>
      </c>
      <c r="H747" s="415" t="s">
        <v>310</v>
      </c>
      <c r="I747" s="473" t="s">
        <v>926</v>
      </c>
      <c r="J747" s="415" t="s">
        <v>927</v>
      </c>
      <c r="K747" s="419" t="s">
        <v>806</v>
      </c>
      <c r="L747" s="415" t="s">
        <v>909</v>
      </c>
      <c r="M747" s="415" t="s">
        <v>310</v>
      </c>
      <c r="N747" s="414">
        <v>44778</v>
      </c>
      <c r="O747" s="414" t="s">
        <v>400</v>
      </c>
      <c r="P747" s="655">
        <f t="shared" si="33"/>
        <v>8</v>
      </c>
      <c r="Q747" s="655">
        <f t="shared" si="34"/>
        <v>7</v>
      </c>
      <c r="R747" s="695" t="str">
        <f t="shared" si="35"/>
        <v>Gastos_com_Pessoal</v>
      </c>
      <c r="S747" s="697" t="s">
        <v>310</v>
      </c>
      <c r="T747" s="697" t="s">
        <v>310</v>
      </c>
    </row>
    <row r="748" spans="1:20" ht="36" x14ac:dyDescent="0.2">
      <c r="A748" s="432">
        <f>IF(B748="","",COUNT('Diário 1º PA'!$A$4:$A$2635)+COUNT('Diário 2º PA'!$A$4:$A$3040)+ROW()-3)</f>
        <v>4844</v>
      </c>
      <c r="B748" s="414">
        <v>44778</v>
      </c>
      <c r="C748" s="431">
        <v>44743</v>
      </c>
      <c r="D748" s="415" t="s">
        <v>182</v>
      </c>
      <c r="E748" s="415" t="s">
        <v>1</v>
      </c>
      <c r="F748" s="425">
        <v>2111.1799999999998</v>
      </c>
      <c r="G748" s="427" t="s">
        <v>6285</v>
      </c>
      <c r="H748" s="415" t="s">
        <v>310</v>
      </c>
      <c r="I748" s="473" t="s">
        <v>994</v>
      </c>
      <c r="J748" s="415" t="s">
        <v>995</v>
      </c>
      <c r="K748" s="415" t="s">
        <v>830</v>
      </c>
      <c r="L748" s="415" t="s">
        <v>909</v>
      </c>
      <c r="M748" s="415" t="s">
        <v>310</v>
      </c>
      <c r="N748" s="414">
        <v>44778</v>
      </c>
      <c r="O748" s="414" t="s">
        <v>400</v>
      </c>
      <c r="P748" s="655">
        <f t="shared" si="33"/>
        <v>8</v>
      </c>
      <c r="Q748" s="655">
        <f t="shared" si="34"/>
        <v>7</v>
      </c>
      <c r="R748" s="695" t="str">
        <f t="shared" si="35"/>
        <v>Gastos_com_Pessoal</v>
      </c>
      <c r="S748" s="697" t="s">
        <v>310</v>
      </c>
      <c r="T748" s="697" t="s">
        <v>310</v>
      </c>
    </row>
    <row r="749" spans="1:20" ht="36" x14ac:dyDescent="0.2">
      <c r="A749" s="432">
        <f>IF(B749="","",COUNT('Diário 1º PA'!$A$4:$A$2635)+COUNT('Diário 2º PA'!$A$4:$A$3040)+ROW()-3)</f>
        <v>4845</v>
      </c>
      <c r="B749" s="414">
        <v>44778</v>
      </c>
      <c r="C749" s="431">
        <v>44743</v>
      </c>
      <c r="D749" s="415" t="s">
        <v>182</v>
      </c>
      <c r="E749" s="415" t="s">
        <v>1</v>
      </c>
      <c r="F749" s="435">
        <v>2064.25</v>
      </c>
      <c r="G749" s="440" t="s">
        <v>6285</v>
      </c>
      <c r="H749" s="415" t="s">
        <v>310</v>
      </c>
      <c r="I749" s="474" t="s">
        <v>1167</v>
      </c>
      <c r="J749" s="434" t="s">
        <v>1168</v>
      </c>
      <c r="K749" s="415" t="s">
        <v>830</v>
      </c>
      <c r="L749" s="434" t="s">
        <v>909</v>
      </c>
      <c r="M749" s="415" t="s">
        <v>310</v>
      </c>
      <c r="N749" s="414">
        <v>44778</v>
      </c>
      <c r="O749" s="414" t="s">
        <v>400</v>
      </c>
      <c r="P749" s="655">
        <f t="shared" si="33"/>
        <v>8</v>
      </c>
      <c r="Q749" s="655">
        <f t="shared" si="34"/>
        <v>7</v>
      </c>
      <c r="R749" s="695" t="str">
        <f t="shared" si="35"/>
        <v>Gastos_com_Pessoal</v>
      </c>
      <c r="S749" s="697" t="s">
        <v>310</v>
      </c>
      <c r="T749" s="697" t="s">
        <v>310</v>
      </c>
    </row>
    <row r="750" spans="1:20" ht="36" x14ac:dyDescent="0.2">
      <c r="A750" s="432">
        <f>IF(B750="","",COUNT('Diário 1º PA'!$A$4:$A$2635)+COUNT('Diário 2º PA'!$A$4:$A$3040)+ROW()-3)</f>
        <v>4846</v>
      </c>
      <c r="B750" s="414">
        <v>44778</v>
      </c>
      <c r="C750" s="431">
        <v>44743</v>
      </c>
      <c r="D750" s="415" t="s">
        <v>182</v>
      </c>
      <c r="E750" s="415" t="s">
        <v>1</v>
      </c>
      <c r="F750" s="425">
        <v>2077.66</v>
      </c>
      <c r="G750" s="440" t="s">
        <v>6270</v>
      </c>
      <c r="H750" s="415" t="s">
        <v>310</v>
      </c>
      <c r="I750" s="473" t="s">
        <v>1171</v>
      </c>
      <c r="J750" s="415" t="s">
        <v>1172</v>
      </c>
      <c r="K750" s="415" t="s">
        <v>830</v>
      </c>
      <c r="L750" s="415" t="s">
        <v>909</v>
      </c>
      <c r="M750" s="415" t="s">
        <v>310</v>
      </c>
      <c r="N750" s="414">
        <v>44778</v>
      </c>
      <c r="O750" s="414" t="s">
        <v>400</v>
      </c>
      <c r="P750" s="655">
        <f t="shared" si="33"/>
        <v>8</v>
      </c>
      <c r="Q750" s="655">
        <f t="shared" si="34"/>
        <v>7</v>
      </c>
      <c r="R750" s="695" t="str">
        <f t="shared" si="35"/>
        <v>Gastos_com_Pessoal</v>
      </c>
      <c r="S750" s="697" t="s">
        <v>310</v>
      </c>
      <c r="T750" s="697" t="s">
        <v>310</v>
      </c>
    </row>
    <row r="751" spans="1:20" ht="36" x14ac:dyDescent="0.2">
      <c r="A751" s="432">
        <f>IF(B751="","",COUNT('Diário 1º PA'!$A$4:$A$2635)+COUNT('Diário 2º PA'!$A$4:$A$3040)+ROW()-3)</f>
        <v>4847</v>
      </c>
      <c r="B751" s="414">
        <v>44778</v>
      </c>
      <c r="C751" s="431">
        <v>44743</v>
      </c>
      <c r="D751" s="415" t="s">
        <v>182</v>
      </c>
      <c r="E751" s="415" t="s">
        <v>1</v>
      </c>
      <c r="F751" s="425">
        <v>3604.4</v>
      </c>
      <c r="G751" s="427" t="s">
        <v>6286</v>
      </c>
      <c r="H751" s="415" t="s">
        <v>310</v>
      </c>
      <c r="I751" s="473" t="s">
        <v>996</v>
      </c>
      <c r="J751" s="415" t="s">
        <v>997</v>
      </c>
      <c r="K751" s="415" t="s">
        <v>830</v>
      </c>
      <c r="L751" s="415" t="s">
        <v>909</v>
      </c>
      <c r="M751" s="415" t="s">
        <v>310</v>
      </c>
      <c r="N751" s="414">
        <v>44778</v>
      </c>
      <c r="O751" s="414" t="s">
        <v>400</v>
      </c>
      <c r="P751" s="655">
        <f t="shared" si="33"/>
        <v>8</v>
      </c>
      <c r="Q751" s="655">
        <f t="shared" si="34"/>
        <v>7</v>
      </c>
      <c r="R751" s="695" t="str">
        <f t="shared" si="35"/>
        <v>Gastos_com_Pessoal</v>
      </c>
      <c r="S751" s="697" t="s">
        <v>310</v>
      </c>
      <c r="T751" s="697" t="s">
        <v>310</v>
      </c>
    </row>
    <row r="752" spans="1:20" ht="36" x14ac:dyDescent="0.2">
      <c r="A752" s="432">
        <f>IF(B752="","",COUNT('Diário 1º PA'!$A$4:$A$2635)+COUNT('Diário 2º PA'!$A$4:$A$3040)+ROW()-3)</f>
        <v>4848</v>
      </c>
      <c r="B752" s="414">
        <v>44778</v>
      </c>
      <c r="C752" s="431">
        <v>44743</v>
      </c>
      <c r="D752" s="415" t="s">
        <v>182</v>
      </c>
      <c r="E752" s="415" t="s">
        <v>1</v>
      </c>
      <c r="F752" s="425">
        <v>3525.46</v>
      </c>
      <c r="G752" s="440" t="s">
        <v>6287</v>
      </c>
      <c r="H752" s="415" t="s">
        <v>310</v>
      </c>
      <c r="I752" s="473" t="s">
        <v>1169</v>
      </c>
      <c r="J752" s="415" t="s">
        <v>1170</v>
      </c>
      <c r="K752" s="415" t="s">
        <v>830</v>
      </c>
      <c r="L752" s="415" t="s">
        <v>909</v>
      </c>
      <c r="M752" s="415" t="s">
        <v>310</v>
      </c>
      <c r="N752" s="414">
        <v>44778</v>
      </c>
      <c r="O752" s="414" t="s">
        <v>400</v>
      </c>
      <c r="P752" s="655">
        <f t="shared" si="33"/>
        <v>8</v>
      </c>
      <c r="Q752" s="655">
        <f t="shared" si="34"/>
        <v>7</v>
      </c>
      <c r="R752" s="695" t="str">
        <f t="shared" si="35"/>
        <v>Gastos_com_Pessoal</v>
      </c>
      <c r="S752" s="697" t="s">
        <v>310</v>
      </c>
      <c r="T752" s="697" t="s">
        <v>310</v>
      </c>
    </row>
    <row r="753" spans="1:20" ht="36" x14ac:dyDescent="0.2">
      <c r="A753" s="432">
        <f>IF(B753="","",COUNT('Diário 1º PA'!$A$4:$A$2635)+COUNT('Diário 2º PA'!$A$4:$A$3040)+ROW()-3)</f>
        <v>4849</v>
      </c>
      <c r="B753" s="414">
        <v>44778</v>
      </c>
      <c r="C753" s="431">
        <v>44743</v>
      </c>
      <c r="D753" s="415" t="s">
        <v>182</v>
      </c>
      <c r="E753" s="415" t="s">
        <v>1</v>
      </c>
      <c r="F753" s="425">
        <v>1904.49</v>
      </c>
      <c r="G753" s="440" t="s">
        <v>6270</v>
      </c>
      <c r="H753" s="415" t="s">
        <v>310</v>
      </c>
      <c r="I753" s="473" t="s">
        <v>1173</v>
      </c>
      <c r="J753" s="415" t="s">
        <v>1174</v>
      </c>
      <c r="K753" s="415" t="s">
        <v>830</v>
      </c>
      <c r="L753" s="415" t="s">
        <v>909</v>
      </c>
      <c r="M753" s="415" t="s">
        <v>310</v>
      </c>
      <c r="N753" s="414">
        <v>44778</v>
      </c>
      <c r="O753" s="414" t="s">
        <v>400</v>
      </c>
      <c r="P753" s="655">
        <f t="shared" si="33"/>
        <v>8</v>
      </c>
      <c r="Q753" s="655">
        <f t="shared" si="34"/>
        <v>7</v>
      </c>
      <c r="R753" s="695" t="str">
        <f t="shared" si="35"/>
        <v>Gastos_com_Pessoal</v>
      </c>
      <c r="S753" s="697" t="s">
        <v>310</v>
      </c>
      <c r="T753" s="697" t="s">
        <v>310</v>
      </c>
    </row>
    <row r="754" spans="1:20" ht="36" x14ac:dyDescent="0.2">
      <c r="A754" s="432">
        <f>IF(B754="","",COUNT('Diário 1º PA'!$A$4:$A$2635)+COUNT('Diário 2º PA'!$A$4:$A$3040)+ROW()-3)</f>
        <v>4850</v>
      </c>
      <c r="B754" s="414">
        <v>44778</v>
      </c>
      <c r="C754" s="431">
        <v>44743</v>
      </c>
      <c r="D754" s="415" t="s">
        <v>182</v>
      </c>
      <c r="E754" s="415" t="s">
        <v>1</v>
      </c>
      <c r="F754" s="425">
        <v>1952.72</v>
      </c>
      <c r="G754" s="440" t="s">
        <v>6270</v>
      </c>
      <c r="H754" s="415" t="s">
        <v>310</v>
      </c>
      <c r="I754" s="473" t="s">
        <v>1175</v>
      </c>
      <c r="J754" s="415" t="s">
        <v>1176</v>
      </c>
      <c r="K754" s="415" t="s">
        <v>830</v>
      </c>
      <c r="L754" s="415" t="s">
        <v>909</v>
      </c>
      <c r="M754" s="415" t="s">
        <v>310</v>
      </c>
      <c r="N754" s="414">
        <v>44778</v>
      </c>
      <c r="O754" s="414" t="s">
        <v>400</v>
      </c>
      <c r="P754" s="655">
        <f t="shared" si="33"/>
        <v>8</v>
      </c>
      <c r="Q754" s="655">
        <f t="shared" si="34"/>
        <v>7</v>
      </c>
      <c r="R754" s="695" t="str">
        <f t="shared" si="35"/>
        <v>Gastos_com_Pessoal</v>
      </c>
      <c r="S754" s="697" t="s">
        <v>310</v>
      </c>
      <c r="T754" s="697" t="s">
        <v>310</v>
      </c>
    </row>
    <row r="755" spans="1:20" ht="36" x14ac:dyDescent="0.2">
      <c r="A755" s="432">
        <f>IF(B755="","",COUNT('Diário 1º PA'!$A$4:$A$2635)+COUNT('Diário 2º PA'!$A$4:$A$3040)+ROW()-3)</f>
        <v>4851</v>
      </c>
      <c r="B755" s="414">
        <v>44778</v>
      </c>
      <c r="C755" s="431">
        <v>44743</v>
      </c>
      <c r="D755" s="415" t="s">
        <v>182</v>
      </c>
      <c r="E755" s="415" t="s">
        <v>1</v>
      </c>
      <c r="F755" s="425">
        <v>3622.38</v>
      </c>
      <c r="G755" s="440" t="s">
        <v>6286</v>
      </c>
      <c r="H755" s="415" t="s">
        <v>310</v>
      </c>
      <c r="I755" s="473" t="s">
        <v>3195</v>
      </c>
      <c r="J755" s="415" t="s">
        <v>3518</v>
      </c>
      <c r="K755" s="415" t="s">
        <v>830</v>
      </c>
      <c r="L755" s="415" t="s">
        <v>909</v>
      </c>
      <c r="M755" s="415" t="s">
        <v>310</v>
      </c>
      <c r="N755" s="414">
        <v>44778</v>
      </c>
      <c r="O755" s="414" t="s">
        <v>400</v>
      </c>
      <c r="P755" s="655">
        <f t="shared" si="33"/>
        <v>8</v>
      </c>
      <c r="Q755" s="655">
        <f t="shared" si="34"/>
        <v>7</v>
      </c>
      <c r="R755" s="695" t="str">
        <f t="shared" si="35"/>
        <v>Gastos_com_Pessoal</v>
      </c>
      <c r="S755" s="697" t="s">
        <v>310</v>
      </c>
      <c r="T755" s="697" t="s">
        <v>310</v>
      </c>
    </row>
    <row r="756" spans="1:20" ht="36" x14ac:dyDescent="0.2">
      <c r="A756" s="432">
        <f>IF(B756="","",COUNT('Diário 1º PA'!$A$4:$A$2635)+COUNT('Diário 2º PA'!$A$4:$A$3040)+ROW()-3)</f>
        <v>4852</v>
      </c>
      <c r="B756" s="414">
        <v>44778</v>
      </c>
      <c r="C756" s="431">
        <v>44743</v>
      </c>
      <c r="D756" s="415" t="s">
        <v>182</v>
      </c>
      <c r="E756" s="415" t="s">
        <v>1</v>
      </c>
      <c r="F756" s="425">
        <v>5560.19</v>
      </c>
      <c r="G756" s="427" t="s">
        <v>6288</v>
      </c>
      <c r="H756" s="415" t="s">
        <v>310</v>
      </c>
      <c r="I756" s="473" t="s">
        <v>923</v>
      </c>
      <c r="J756" s="415" t="s">
        <v>924</v>
      </c>
      <c r="K756" s="419" t="s">
        <v>806</v>
      </c>
      <c r="L756" s="415" t="s">
        <v>909</v>
      </c>
      <c r="M756" s="415" t="s">
        <v>310</v>
      </c>
      <c r="N756" s="414">
        <v>44778</v>
      </c>
      <c r="O756" s="414" t="s">
        <v>400</v>
      </c>
      <c r="P756" s="655">
        <f t="shared" si="33"/>
        <v>8</v>
      </c>
      <c r="Q756" s="655">
        <f t="shared" si="34"/>
        <v>7</v>
      </c>
      <c r="R756" s="695" t="str">
        <f t="shared" si="35"/>
        <v>Gastos_com_Pessoal</v>
      </c>
      <c r="S756" s="697" t="s">
        <v>310</v>
      </c>
      <c r="T756" s="697" t="s">
        <v>310</v>
      </c>
    </row>
    <row r="757" spans="1:20" ht="36" x14ac:dyDescent="0.2">
      <c r="A757" s="432">
        <f>IF(B757="","",COUNT('Diário 1º PA'!$A$4:$A$2635)+COUNT('Diário 2º PA'!$A$4:$A$3040)+ROW()-3)</f>
        <v>4853</v>
      </c>
      <c r="B757" s="414">
        <v>44778</v>
      </c>
      <c r="C757" s="431">
        <v>44743</v>
      </c>
      <c r="D757" s="415" t="s">
        <v>182</v>
      </c>
      <c r="E757" s="415" t="s">
        <v>1</v>
      </c>
      <c r="F757" s="425">
        <v>2095.64</v>
      </c>
      <c r="G757" s="427" t="s">
        <v>6270</v>
      </c>
      <c r="H757" s="415" t="s">
        <v>310</v>
      </c>
      <c r="I757" s="473" t="s">
        <v>916</v>
      </c>
      <c r="J757" s="415" t="s">
        <v>917</v>
      </c>
      <c r="K757" s="419" t="s">
        <v>806</v>
      </c>
      <c r="L757" s="415" t="s">
        <v>909</v>
      </c>
      <c r="M757" s="415" t="s">
        <v>310</v>
      </c>
      <c r="N757" s="414">
        <v>44778</v>
      </c>
      <c r="O757" s="414" t="s">
        <v>400</v>
      </c>
      <c r="P757" s="655">
        <f t="shared" si="33"/>
        <v>8</v>
      </c>
      <c r="Q757" s="655">
        <f t="shared" si="34"/>
        <v>7</v>
      </c>
      <c r="R757" s="695" t="str">
        <f t="shared" si="35"/>
        <v>Gastos_com_Pessoal</v>
      </c>
      <c r="S757" s="697" t="s">
        <v>310</v>
      </c>
      <c r="T757" s="697" t="s">
        <v>310</v>
      </c>
    </row>
    <row r="758" spans="1:20" ht="36" x14ac:dyDescent="0.2">
      <c r="A758" s="432">
        <f>IF(B758="","",COUNT('Diário 1º PA'!$A$4:$A$2635)+COUNT('Diário 2º PA'!$A$4:$A$3040)+ROW()-3)</f>
        <v>4854</v>
      </c>
      <c r="B758" s="414">
        <v>44778</v>
      </c>
      <c r="C758" s="431">
        <v>44743</v>
      </c>
      <c r="D758" s="415" t="s">
        <v>182</v>
      </c>
      <c r="E758" s="415" t="s">
        <v>1</v>
      </c>
      <c r="F758" s="425">
        <v>3404.77</v>
      </c>
      <c r="G758" s="440" t="s">
        <v>6289</v>
      </c>
      <c r="H758" s="415" t="s">
        <v>310</v>
      </c>
      <c r="I758" s="473" t="s">
        <v>1179</v>
      </c>
      <c r="J758" s="415" t="s">
        <v>1180</v>
      </c>
      <c r="K758" s="415" t="s">
        <v>830</v>
      </c>
      <c r="L758" s="415" t="s">
        <v>909</v>
      </c>
      <c r="M758" s="415" t="s">
        <v>310</v>
      </c>
      <c r="N758" s="414">
        <v>44778</v>
      </c>
      <c r="O758" s="414" t="s">
        <v>400</v>
      </c>
      <c r="P758" s="655">
        <f t="shared" si="33"/>
        <v>8</v>
      </c>
      <c r="Q758" s="655">
        <f t="shared" si="34"/>
        <v>7</v>
      </c>
      <c r="R758" s="695" t="str">
        <f t="shared" si="35"/>
        <v>Gastos_com_Pessoal</v>
      </c>
      <c r="S758" s="697" t="s">
        <v>310</v>
      </c>
      <c r="T758" s="697" t="s">
        <v>310</v>
      </c>
    </row>
    <row r="759" spans="1:20" ht="36" x14ac:dyDescent="0.2">
      <c r="A759" s="432">
        <f>IF(B759="","",COUNT('Diário 1º PA'!$A$4:$A$2635)+COUNT('Diário 2º PA'!$A$4:$A$3040)+ROW()-3)</f>
        <v>4855</v>
      </c>
      <c r="B759" s="414">
        <v>44778</v>
      </c>
      <c r="C759" s="431">
        <v>44743</v>
      </c>
      <c r="D759" s="415" t="s">
        <v>182</v>
      </c>
      <c r="E759" s="415" t="s">
        <v>1</v>
      </c>
      <c r="F759" s="435">
        <v>3604.4</v>
      </c>
      <c r="G759" s="440" t="s">
        <v>6286</v>
      </c>
      <c r="H759" s="415" t="s">
        <v>310</v>
      </c>
      <c r="I759" s="474" t="s">
        <v>1181</v>
      </c>
      <c r="J759" s="434" t="s">
        <v>933</v>
      </c>
      <c r="K759" s="415" t="s">
        <v>830</v>
      </c>
      <c r="L759" s="434" t="s">
        <v>909</v>
      </c>
      <c r="M759" s="415" t="s">
        <v>310</v>
      </c>
      <c r="N759" s="414">
        <v>44778</v>
      </c>
      <c r="O759" s="414" t="s">
        <v>400</v>
      </c>
      <c r="P759" s="655">
        <f t="shared" si="33"/>
        <v>8</v>
      </c>
      <c r="Q759" s="655">
        <f t="shared" si="34"/>
        <v>7</v>
      </c>
      <c r="R759" s="695" t="str">
        <f t="shared" si="35"/>
        <v>Gastos_com_Pessoal</v>
      </c>
      <c r="S759" s="697" t="s">
        <v>310</v>
      </c>
      <c r="T759" s="697" t="s">
        <v>310</v>
      </c>
    </row>
    <row r="760" spans="1:20" ht="36" x14ac:dyDescent="0.2">
      <c r="A760" s="432">
        <f>IF(B760="","",COUNT('Diário 1º PA'!$A$4:$A$2635)+COUNT('Diário 2º PA'!$A$4:$A$3040)+ROW()-3)</f>
        <v>4856</v>
      </c>
      <c r="B760" s="414">
        <v>44778</v>
      </c>
      <c r="C760" s="431">
        <v>44743</v>
      </c>
      <c r="D760" s="415" t="s">
        <v>182</v>
      </c>
      <c r="E760" s="415" t="s">
        <v>1</v>
      </c>
      <c r="F760" s="425">
        <v>2095.64</v>
      </c>
      <c r="G760" s="440" t="s">
        <v>6290</v>
      </c>
      <c r="H760" s="415" t="s">
        <v>310</v>
      </c>
      <c r="I760" s="473" t="s">
        <v>1182</v>
      </c>
      <c r="J760" s="415" t="s">
        <v>1183</v>
      </c>
      <c r="K760" s="415" t="s">
        <v>830</v>
      </c>
      <c r="L760" s="415" t="s">
        <v>909</v>
      </c>
      <c r="M760" s="415" t="s">
        <v>310</v>
      </c>
      <c r="N760" s="414">
        <v>44778</v>
      </c>
      <c r="O760" s="414" t="s">
        <v>400</v>
      </c>
      <c r="P760" s="655">
        <f t="shared" si="33"/>
        <v>8</v>
      </c>
      <c r="Q760" s="655">
        <f t="shared" si="34"/>
        <v>7</v>
      </c>
      <c r="R760" s="695" t="str">
        <f t="shared" si="35"/>
        <v>Gastos_com_Pessoal</v>
      </c>
      <c r="S760" s="697" t="s">
        <v>310</v>
      </c>
      <c r="T760" s="697" t="s">
        <v>310</v>
      </c>
    </row>
    <row r="761" spans="1:20" ht="36" x14ac:dyDescent="0.2">
      <c r="A761" s="432">
        <f>IF(B761="","",COUNT('Diário 1º PA'!$A$4:$A$2635)+COUNT('Diário 2º PA'!$A$4:$A$3040)+ROW()-3)</f>
        <v>4857</v>
      </c>
      <c r="B761" s="414">
        <v>44778</v>
      </c>
      <c r="C761" s="431">
        <v>44743</v>
      </c>
      <c r="D761" s="415" t="s">
        <v>182</v>
      </c>
      <c r="E761" s="415" t="s">
        <v>1</v>
      </c>
      <c r="F761" s="425">
        <v>1957.64</v>
      </c>
      <c r="G761" s="427" t="s">
        <v>6285</v>
      </c>
      <c r="H761" s="415" t="s">
        <v>310</v>
      </c>
      <c r="I761" s="473" t="s">
        <v>932</v>
      </c>
      <c r="J761" s="415" t="s">
        <v>933</v>
      </c>
      <c r="K761" s="419" t="s">
        <v>806</v>
      </c>
      <c r="L761" s="415" t="s">
        <v>909</v>
      </c>
      <c r="M761" s="415" t="s">
        <v>310</v>
      </c>
      <c r="N761" s="414">
        <v>44778</v>
      </c>
      <c r="O761" s="414" t="s">
        <v>400</v>
      </c>
      <c r="P761" s="655">
        <f t="shared" si="33"/>
        <v>8</v>
      </c>
      <c r="Q761" s="655">
        <f t="shared" si="34"/>
        <v>7</v>
      </c>
      <c r="R761" s="695" t="str">
        <f t="shared" si="35"/>
        <v>Gastos_com_Pessoal</v>
      </c>
      <c r="S761" s="697" t="s">
        <v>310</v>
      </c>
      <c r="T761" s="697" t="s">
        <v>310</v>
      </c>
    </row>
    <row r="762" spans="1:20" ht="36" x14ac:dyDescent="0.2">
      <c r="A762" s="432">
        <f>IF(B762="","",COUNT('Diário 1º PA'!$A$4:$A$2635)+COUNT('Diário 2º PA'!$A$4:$A$3040)+ROW()-3)</f>
        <v>4858</v>
      </c>
      <c r="B762" s="414">
        <v>44778</v>
      </c>
      <c r="C762" s="431">
        <v>44743</v>
      </c>
      <c r="D762" s="415" t="s">
        <v>182</v>
      </c>
      <c r="E762" s="415" t="s">
        <v>1</v>
      </c>
      <c r="F762" s="435">
        <v>3622.38</v>
      </c>
      <c r="G762" s="440" t="s">
        <v>6291</v>
      </c>
      <c r="H762" s="415" t="s">
        <v>310</v>
      </c>
      <c r="I762" s="474" t="s">
        <v>1184</v>
      </c>
      <c r="J762" s="434" t="s">
        <v>1185</v>
      </c>
      <c r="K762" s="415" t="s">
        <v>830</v>
      </c>
      <c r="L762" s="434" t="s">
        <v>909</v>
      </c>
      <c r="M762" s="415" t="s">
        <v>310</v>
      </c>
      <c r="N762" s="414">
        <v>44778</v>
      </c>
      <c r="O762" s="414" t="s">
        <v>400</v>
      </c>
      <c r="P762" s="655">
        <f t="shared" si="33"/>
        <v>8</v>
      </c>
      <c r="Q762" s="655">
        <f t="shared" si="34"/>
        <v>7</v>
      </c>
      <c r="R762" s="695" t="str">
        <f t="shared" si="35"/>
        <v>Gastos_com_Pessoal</v>
      </c>
      <c r="S762" s="697" t="s">
        <v>310</v>
      </c>
      <c r="T762" s="697" t="s">
        <v>310</v>
      </c>
    </row>
    <row r="763" spans="1:20" ht="36" x14ac:dyDescent="0.2">
      <c r="A763" s="432">
        <f>IF(B763="","",COUNT('Diário 1º PA'!$A$4:$A$2635)+COUNT('Diário 2º PA'!$A$4:$A$3040)+ROW()-3)</f>
        <v>4859</v>
      </c>
      <c r="B763" s="414">
        <v>44778</v>
      </c>
      <c r="C763" s="431">
        <v>44743</v>
      </c>
      <c r="D763" s="415" t="s">
        <v>182</v>
      </c>
      <c r="E763" s="415" t="s">
        <v>1</v>
      </c>
      <c r="F763" s="425">
        <v>3061.42</v>
      </c>
      <c r="G763" s="440" t="s">
        <v>6291</v>
      </c>
      <c r="H763" s="415" t="s">
        <v>310</v>
      </c>
      <c r="I763" s="473" t="s">
        <v>1186</v>
      </c>
      <c r="J763" s="415" t="s">
        <v>1187</v>
      </c>
      <c r="K763" s="415" t="s">
        <v>830</v>
      </c>
      <c r="L763" s="415" t="s">
        <v>909</v>
      </c>
      <c r="M763" s="415" t="s">
        <v>310</v>
      </c>
      <c r="N763" s="414">
        <v>44778</v>
      </c>
      <c r="O763" s="414" t="s">
        <v>400</v>
      </c>
      <c r="P763" s="655">
        <f t="shared" si="33"/>
        <v>8</v>
      </c>
      <c r="Q763" s="655">
        <f t="shared" si="34"/>
        <v>7</v>
      </c>
      <c r="R763" s="695" t="str">
        <f t="shared" si="35"/>
        <v>Gastos_com_Pessoal</v>
      </c>
      <c r="S763" s="697" t="s">
        <v>310</v>
      </c>
      <c r="T763" s="697" t="s">
        <v>310</v>
      </c>
    </row>
    <row r="764" spans="1:20" ht="36" x14ac:dyDescent="0.2">
      <c r="A764" s="432">
        <f>IF(B764="","",COUNT('Diário 1º PA'!$A$4:$A$2635)+COUNT('Diário 2º PA'!$A$4:$A$3040)+ROW()-3)</f>
        <v>4860</v>
      </c>
      <c r="B764" s="414">
        <v>44778</v>
      </c>
      <c r="C764" s="431">
        <v>44743</v>
      </c>
      <c r="D764" s="415" t="s">
        <v>182</v>
      </c>
      <c r="E764" s="415" t="s">
        <v>1</v>
      </c>
      <c r="F764" s="425">
        <v>3263.1</v>
      </c>
      <c r="G764" s="440" t="s">
        <v>6291</v>
      </c>
      <c r="H764" s="415" t="s">
        <v>310</v>
      </c>
      <c r="I764" s="473" t="s">
        <v>1188</v>
      </c>
      <c r="J764" s="415" t="s">
        <v>1189</v>
      </c>
      <c r="K764" s="415" t="s">
        <v>830</v>
      </c>
      <c r="L764" s="415" t="s">
        <v>909</v>
      </c>
      <c r="M764" s="415" t="s">
        <v>310</v>
      </c>
      <c r="N764" s="414">
        <v>44778</v>
      </c>
      <c r="O764" s="414" t="s">
        <v>400</v>
      </c>
      <c r="P764" s="655">
        <f t="shared" si="33"/>
        <v>8</v>
      </c>
      <c r="Q764" s="655">
        <f t="shared" si="34"/>
        <v>7</v>
      </c>
      <c r="R764" s="695" t="str">
        <f t="shared" si="35"/>
        <v>Gastos_com_Pessoal</v>
      </c>
      <c r="S764" s="697" t="s">
        <v>310</v>
      </c>
      <c r="T764" s="697" t="s">
        <v>310</v>
      </c>
    </row>
    <row r="765" spans="1:20" ht="36" x14ac:dyDescent="0.2">
      <c r="A765" s="432">
        <f>IF(B765="","",COUNT('Diário 1º PA'!$A$4:$A$2635)+COUNT('Diário 2º PA'!$A$4:$A$3040)+ROW()-3)</f>
        <v>4861</v>
      </c>
      <c r="B765" s="414">
        <v>44778</v>
      </c>
      <c r="C765" s="431">
        <v>44743</v>
      </c>
      <c r="D765" s="415" t="s">
        <v>182</v>
      </c>
      <c r="E765" s="415" t="s">
        <v>1</v>
      </c>
      <c r="F765" s="425">
        <v>1436.02</v>
      </c>
      <c r="G765" s="440" t="s">
        <v>6292</v>
      </c>
      <c r="H765" s="415" t="s">
        <v>310</v>
      </c>
      <c r="I765" s="473" t="s">
        <v>1188</v>
      </c>
      <c r="J765" s="415" t="s">
        <v>1189</v>
      </c>
      <c r="K765" s="415" t="s">
        <v>830</v>
      </c>
      <c r="L765" s="415" t="s">
        <v>909</v>
      </c>
      <c r="M765" s="415" t="s">
        <v>310</v>
      </c>
      <c r="N765" s="414">
        <v>44778</v>
      </c>
      <c r="O765" s="414" t="s">
        <v>400</v>
      </c>
      <c r="P765" s="655">
        <f t="shared" si="33"/>
        <v>8</v>
      </c>
      <c r="Q765" s="655">
        <f t="shared" si="34"/>
        <v>7</v>
      </c>
      <c r="R765" s="695" t="str">
        <f t="shared" si="35"/>
        <v>Gastos_com_Pessoal</v>
      </c>
      <c r="S765" s="697" t="s">
        <v>310</v>
      </c>
      <c r="T765" s="697" t="s">
        <v>310</v>
      </c>
    </row>
    <row r="766" spans="1:20" ht="36" x14ac:dyDescent="0.2">
      <c r="A766" s="432">
        <f>IF(B766="","",COUNT('Diário 1º PA'!$A$4:$A$2635)+COUNT('Diário 2º PA'!$A$4:$A$3040)+ROW()-3)</f>
        <v>4862</v>
      </c>
      <c r="B766" s="414">
        <v>44778</v>
      </c>
      <c r="C766" s="431">
        <v>44743</v>
      </c>
      <c r="D766" s="415" t="s">
        <v>182</v>
      </c>
      <c r="E766" s="415" t="s">
        <v>1</v>
      </c>
      <c r="F766" s="425">
        <v>5671.38</v>
      </c>
      <c r="G766" s="427" t="s">
        <v>6293</v>
      </c>
      <c r="H766" s="415" t="s">
        <v>310</v>
      </c>
      <c r="I766" s="473" t="s">
        <v>907</v>
      </c>
      <c r="J766" s="415" t="s">
        <v>908</v>
      </c>
      <c r="K766" s="419" t="s">
        <v>806</v>
      </c>
      <c r="L766" s="415" t="s">
        <v>909</v>
      </c>
      <c r="M766" s="415" t="s">
        <v>310</v>
      </c>
      <c r="N766" s="414">
        <v>44778</v>
      </c>
      <c r="O766" s="414" t="s">
        <v>400</v>
      </c>
      <c r="P766" s="655">
        <f t="shared" si="33"/>
        <v>8</v>
      </c>
      <c r="Q766" s="655">
        <f t="shared" si="34"/>
        <v>7</v>
      </c>
      <c r="R766" s="695" t="str">
        <f t="shared" si="35"/>
        <v>Gastos_com_Pessoal</v>
      </c>
      <c r="S766" s="697" t="s">
        <v>310</v>
      </c>
      <c r="T766" s="697" t="s">
        <v>310</v>
      </c>
    </row>
    <row r="767" spans="1:20" ht="36" x14ac:dyDescent="0.2">
      <c r="A767" s="432">
        <f>IF(B767="","",COUNT('Diário 1º PA'!$A$4:$A$2635)+COUNT('Diário 2º PA'!$A$4:$A$3040)+ROW()-3)</f>
        <v>4863</v>
      </c>
      <c r="B767" s="414">
        <v>44778</v>
      </c>
      <c r="C767" s="431">
        <v>44743</v>
      </c>
      <c r="D767" s="415" t="s">
        <v>182</v>
      </c>
      <c r="E767" s="415" t="s">
        <v>1</v>
      </c>
      <c r="F767" s="425">
        <v>1956.87</v>
      </c>
      <c r="G767" s="440" t="s">
        <v>6294</v>
      </c>
      <c r="H767" s="415" t="s">
        <v>310</v>
      </c>
      <c r="I767" s="473" t="s">
        <v>1196</v>
      </c>
      <c r="J767" s="415" t="s">
        <v>1195</v>
      </c>
      <c r="K767" s="415" t="s">
        <v>830</v>
      </c>
      <c r="L767" s="415" t="s">
        <v>909</v>
      </c>
      <c r="M767" s="415" t="s">
        <v>310</v>
      </c>
      <c r="N767" s="414">
        <v>44778</v>
      </c>
      <c r="O767" s="414" t="s">
        <v>400</v>
      </c>
      <c r="P767" s="655">
        <f t="shared" si="33"/>
        <v>8</v>
      </c>
      <c r="Q767" s="655">
        <f t="shared" si="34"/>
        <v>7</v>
      </c>
      <c r="R767" s="695" t="str">
        <f t="shared" si="35"/>
        <v>Gastos_com_Pessoal</v>
      </c>
      <c r="S767" s="697" t="s">
        <v>310</v>
      </c>
      <c r="T767" s="697" t="s">
        <v>310</v>
      </c>
    </row>
    <row r="768" spans="1:20" ht="36" x14ac:dyDescent="0.2">
      <c r="A768" s="432">
        <f>IF(B768="","",COUNT('Diário 1º PA'!$A$4:$A$2635)+COUNT('Diário 2º PA'!$A$4:$A$3040)+ROW()-3)</f>
        <v>4864</v>
      </c>
      <c r="B768" s="414">
        <v>44778</v>
      </c>
      <c r="C768" s="431">
        <v>44743</v>
      </c>
      <c r="D768" s="415" t="s">
        <v>182</v>
      </c>
      <c r="E768" s="415" t="s">
        <v>1</v>
      </c>
      <c r="F768" s="425">
        <v>802.53</v>
      </c>
      <c r="G768" s="440" t="s">
        <v>6295</v>
      </c>
      <c r="H768" s="415" t="s">
        <v>310</v>
      </c>
      <c r="I768" s="473" t="s">
        <v>1194</v>
      </c>
      <c r="J768" s="415" t="s">
        <v>1193</v>
      </c>
      <c r="K768" s="415" t="s">
        <v>830</v>
      </c>
      <c r="L768" s="415" t="s">
        <v>909</v>
      </c>
      <c r="M768" s="415" t="s">
        <v>310</v>
      </c>
      <c r="N768" s="414">
        <v>44778</v>
      </c>
      <c r="O768" s="414" t="s">
        <v>400</v>
      </c>
      <c r="P768" s="655">
        <f t="shared" si="33"/>
        <v>8</v>
      </c>
      <c r="Q768" s="655">
        <f t="shared" si="34"/>
        <v>7</v>
      </c>
      <c r="R768" s="695" t="str">
        <f t="shared" si="35"/>
        <v>Gastos_com_Pessoal</v>
      </c>
      <c r="S768" s="697" t="s">
        <v>310</v>
      </c>
      <c r="T768" s="697" t="s">
        <v>310</v>
      </c>
    </row>
    <row r="769" spans="1:20" ht="36" x14ac:dyDescent="0.2">
      <c r="A769" s="432">
        <f>IF(B769="","",COUNT('Diário 1º PA'!$A$4:$A$2635)+COUNT('Diário 2º PA'!$A$4:$A$3040)+ROW()-3)</f>
        <v>4865</v>
      </c>
      <c r="B769" s="414">
        <v>44778</v>
      </c>
      <c r="C769" s="431">
        <v>44743</v>
      </c>
      <c r="D769" s="415" t="s">
        <v>182</v>
      </c>
      <c r="E769" s="415" t="s">
        <v>1</v>
      </c>
      <c r="F769" s="425">
        <v>743.54</v>
      </c>
      <c r="G769" s="440" t="s">
        <v>6296</v>
      </c>
      <c r="H769" s="415" t="s">
        <v>310</v>
      </c>
      <c r="I769" s="473" t="s">
        <v>1207</v>
      </c>
      <c r="J769" s="415" t="s">
        <v>1206</v>
      </c>
      <c r="K769" s="415" t="s">
        <v>830</v>
      </c>
      <c r="L769" s="415" t="s">
        <v>909</v>
      </c>
      <c r="M769" s="415" t="s">
        <v>310</v>
      </c>
      <c r="N769" s="414">
        <v>44778</v>
      </c>
      <c r="O769" s="414" t="s">
        <v>400</v>
      </c>
      <c r="P769" s="655">
        <f t="shared" si="33"/>
        <v>8</v>
      </c>
      <c r="Q769" s="655">
        <f t="shared" si="34"/>
        <v>7</v>
      </c>
      <c r="R769" s="695" t="str">
        <f t="shared" si="35"/>
        <v>Gastos_com_Pessoal</v>
      </c>
      <c r="S769" s="697" t="s">
        <v>310</v>
      </c>
      <c r="T769" s="697" t="s">
        <v>310</v>
      </c>
    </row>
    <row r="770" spans="1:20" ht="36" x14ac:dyDescent="0.2">
      <c r="A770" s="432">
        <f>IF(B770="","",COUNT('Diário 1º PA'!$A$4:$A$2635)+COUNT('Diário 2º PA'!$A$4:$A$3040)+ROW()-3)</f>
        <v>4866</v>
      </c>
      <c r="B770" s="414">
        <v>44778</v>
      </c>
      <c r="C770" s="431">
        <v>44743</v>
      </c>
      <c r="D770" s="415" t="s">
        <v>182</v>
      </c>
      <c r="E770" s="415" t="s">
        <v>1</v>
      </c>
      <c r="F770" s="425">
        <v>484.8</v>
      </c>
      <c r="G770" s="440" t="s">
        <v>7050</v>
      </c>
      <c r="H770" s="415" t="s">
        <v>310</v>
      </c>
      <c r="I770" s="473" t="s">
        <v>6297</v>
      </c>
      <c r="J770" s="415" t="s">
        <v>6298</v>
      </c>
      <c r="K770" s="415" t="s">
        <v>830</v>
      </c>
      <c r="L770" s="415" t="s">
        <v>909</v>
      </c>
      <c r="M770" s="415" t="s">
        <v>310</v>
      </c>
      <c r="N770" s="414">
        <v>44778</v>
      </c>
      <c r="O770" s="414" t="s">
        <v>400</v>
      </c>
      <c r="P770" s="655">
        <f t="shared" si="33"/>
        <v>8</v>
      </c>
      <c r="Q770" s="655">
        <f t="shared" si="34"/>
        <v>7</v>
      </c>
      <c r="R770" s="695" t="str">
        <f t="shared" si="35"/>
        <v>Gastos_com_Pessoal</v>
      </c>
      <c r="S770" s="697" t="s">
        <v>310</v>
      </c>
      <c r="T770" s="697" t="s">
        <v>310</v>
      </c>
    </row>
    <row r="771" spans="1:20" ht="24" x14ac:dyDescent="0.2">
      <c r="A771" s="432">
        <f>IF(B771="","",COUNT('Diário 1º PA'!$A$4:$A$2635)+COUNT('Diário 2º PA'!$A$4:$A$3040)+ROW()-3)</f>
        <v>4867</v>
      </c>
      <c r="B771" s="414">
        <v>44778</v>
      </c>
      <c r="C771" s="431">
        <v>44743</v>
      </c>
      <c r="D771" s="419" t="s">
        <v>271</v>
      </c>
      <c r="E771" s="419" t="s">
        <v>297</v>
      </c>
      <c r="F771" s="422">
        <v>21908.73</v>
      </c>
      <c r="G771" s="427" t="s">
        <v>5666</v>
      </c>
      <c r="H771" s="419" t="s">
        <v>750</v>
      </c>
      <c r="I771" s="415" t="s">
        <v>774</v>
      </c>
      <c r="J771" s="419" t="s">
        <v>844</v>
      </c>
      <c r="K771" s="419" t="s">
        <v>812</v>
      </c>
      <c r="L771" s="415" t="s">
        <v>310</v>
      </c>
      <c r="M771" s="419" t="s">
        <v>310</v>
      </c>
      <c r="N771" s="414">
        <v>44778</v>
      </c>
      <c r="O771" s="414" t="s">
        <v>400</v>
      </c>
      <c r="P771" s="655">
        <f t="shared" si="33"/>
        <v>8</v>
      </c>
      <c r="Q771" s="655">
        <f t="shared" si="34"/>
        <v>7</v>
      </c>
      <c r="R771" s="695" t="str">
        <f t="shared" si="35"/>
        <v>Gastos_Gerais</v>
      </c>
      <c r="S771" s="696" t="s">
        <v>310</v>
      </c>
      <c r="T771" s="696" t="s">
        <v>310</v>
      </c>
    </row>
    <row r="772" spans="1:20" ht="24" x14ac:dyDescent="0.2">
      <c r="A772" s="432">
        <f>IF(B772="","",COUNT('Diário 1º PA'!$A$4:$A$2635)+COUNT('Diário 2º PA'!$A$4:$A$3040)+ROW()-3)</f>
        <v>4868</v>
      </c>
      <c r="B772" s="414">
        <v>44778</v>
      </c>
      <c r="C772" s="431">
        <v>44743</v>
      </c>
      <c r="D772" s="415" t="s">
        <v>271</v>
      </c>
      <c r="E772" s="415" t="s">
        <v>85</v>
      </c>
      <c r="F772" s="425">
        <v>153.69</v>
      </c>
      <c r="G772" s="437" t="s">
        <v>5714</v>
      </c>
      <c r="H772" s="415" t="s">
        <v>750</v>
      </c>
      <c r="I772" s="474" t="s">
        <v>765</v>
      </c>
      <c r="J772" s="434" t="s">
        <v>892</v>
      </c>
      <c r="K772" s="415" t="s">
        <v>893</v>
      </c>
      <c r="L772" s="415" t="s">
        <v>807</v>
      </c>
      <c r="M772" s="415">
        <v>82834825</v>
      </c>
      <c r="N772" s="414">
        <v>44760</v>
      </c>
      <c r="O772" s="414" t="s">
        <v>400</v>
      </c>
      <c r="P772" s="655">
        <f t="shared" si="33"/>
        <v>8</v>
      </c>
      <c r="Q772" s="655">
        <f t="shared" si="34"/>
        <v>7</v>
      </c>
      <c r="R772" s="695" t="str">
        <f t="shared" si="35"/>
        <v>Gastos_Gerais</v>
      </c>
      <c r="S772" s="697" t="s">
        <v>310</v>
      </c>
      <c r="T772" s="697" t="s">
        <v>310</v>
      </c>
    </row>
    <row r="773" spans="1:20" ht="44.25" customHeight="1" x14ac:dyDescent="0.2">
      <c r="A773" s="432">
        <f>IF(B773="","",COUNT('Diário 1º PA'!$A$4:$A$2635)+COUNT('Diário 2º PA'!$A$4:$A$3040)+ROW()-3)</f>
        <v>4869</v>
      </c>
      <c r="B773" s="414">
        <v>44778</v>
      </c>
      <c r="C773" s="431">
        <v>44743</v>
      </c>
      <c r="D773" s="415" t="s">
        <v>182</v>
      </c>
      <c r="E773" s="415" t="s">
        <v>4</v>
      </c>
      <c r="F773" s="425">
        <v>23485.09</v>
      </c>
      <c r="G773" s="440" t="s">
        <v>6299</v>
      </c>
      <c r="H773" s="415" t="s">
        <v>310</v>
      </c>
      <c r="I773" s="398" t="s">
        <v>1219</v>
      </c>
      <c r="J773" s="418" t="s">
        <v>310</v>
      </c>
      <c r="K773" s="418" t="s">
        <v>1220</v>
      </c>
      <c r="L773" s="399" t="s">
        <v>4</v>
      </c>
      <c r="M773" s="543" t="s">
        <v>310</v>
      </c>
      <c r="N773" s="414">
        <v>44778</v>
      </c>
      <c r="O773" s="414" t="s">
        <v>400</v>
      </c>
      <c r="P773" s="655">
        <f t="shared" ref="P773:P836" si="36">IF(B773=0,0,IF(YEAR(B773)=$Q$1,MONTH(B773)-$P$1+1,(YEAR(B773)-$Q$1)*12-$P$1+1+MONTH(B773)))</f>
        <v>8</v>
      </c>
      <c r="Q773" s="655">
        <f t="shared" ref="Q773:Q836" si="37">IF(C773=0,0,IF(YEAR(C773)=$Q$1,MONTH(C773)-$P$1+1,(YEAR(C773)-$Q$1)*12-$P$1+1+MONTH(C773)))</f>
        <v>7</v>
      </c>
      <c r="R773" s="695" t="str">
        <f t="shared" ref="R773:R836" si="38">SUBSTITUTE(D773," ","_")</f>
        <v>Gastos_com_Pessoal</v>
      </c>
      <c r="S773" s="697" t="s">
        <v>310</v>
      </c>
      <c r="T773" s="697" t="s">
        <v>310</v>
      </c>
    </row>
    <row r="774" spans="1:20" ht="108" x14ac:dyDescent="0.2">
      <c r="A774" s="432">
        <f>IF(B774="","",COUNT('Diário 1º PA'!$A$4:$A$2635)+COUNT('Diário 2º PA'!$A$4:$A$3040)+ROW()-3)</f>
        <v>4870</v>
      </c>
      <c r="B774" s="414">
        <v>44778</v>
      </c>
      <c r="C774" s="431">
        <v>44743</v>
      </c>
      <c r="D774" s="419" t="s">
        <v>271</v>
      </c>
      <c r="E774" s="419" t="s">
        <v>456</v>
      </c>
      <c r="F774" s="422">
        <v>1000</v>
      </c>
      <c r="G774" s="415" t="s">
        <v>6300</v>
      </c>
      <c r="H774" s="419" t="s">
        <v>760</v>
      </c>
      <c r="I774" s="415" t="s">
        <v>1230</v>
      </c>
      <c r="J774" s="419" t="s">
        <v>1039</v>
      </c>
      <c r="K774" s="419" t="s">
        <v>830</v>
      </c>
      <c r="L774" s="415" t="s">
        <v>807</v>
      </c>
      <c r="M774" s="419" t="s">
        <v>2619</v>
      </c>
      <c r="N774" s="413">
        <v>44777</v>
      </c>
      <c r="O774" s="414" t="s">
        <v>400</v>
      </c>
      <c r="P774" s="655">
        <f t="shared" si="36"/>
        <v>8</v>
      </c>
      <c r="Q774" s="655">
        <f t="shared" si="37"/>
        <v>7</v>
      </c>
      <c r="R774" s="695" t="str">
        <f t="shared" si="38"/>
        <v>Gastos_Gerais</v>
      </c>
      <c r="S774" s="696" t="s">
        <v>1000</v>
      </c>
      <c r="T774" s="696">
        <v>3520</v>
      </c>
    </row>
    <row r="775" spans="1:20" ht="36" x14ac:dyDescent="0.2">
      <c r="A775" s="432">
        <f>IF(B775="","",COUNT('Diário 1º PA'!$A$4:$A$2635)+COUNT('Diário 2º PA'!$A$4:$A$3040)+ROW()-3)</f>
        <v>4871</v>
      </c>
      <c r="B775" s="414">
        <v>44778</v>
      </c>
      <c r="C775" s="431">
        <v>44743</v>
      </c>
      <c r="D775" s="415" t="s">
        <v>271</v>
      </c>
      <c r="E775" s="415" t="s">
        <v>456</v>
      </c>
      <c r="F775" s="422">
        <v>1512</v>
      </c>
      <c r="G775" s="419" t="s">
        <v>4448</v>
      </c>
      <c r="H775" s="415" t="s">
        <v>760</v>
      </c>
      <c r="I775" s="415" t="s">
        <v>5951</v>
      </c>
      <c r="J775" s="419" t="s">
        <v>4449</v>
      </c>
      <c r="K775" s="419" t="s">
        <v>830</v>
      </c>
      <c r="L775" s="415" t="s">
        <v>839</v>
      </c>
      <c r="M775" s="419">
        <v>1923</v>
      </c>
      <c r="N775" s="413">
        <v>44776</v>
      </c>
      <c r="O775" s="414" t="s">
        <v>400</v>
      </c>
      <c r="P775" s="655">
        <f t="shared" si="36"/>
        <v>8</v>
      </c>
      <c r="Q775" s="655">
        <f t="shared" si="37"/>
        <v>7</v>
      </c>
      <c r="R775" s="695" t="str">
        <f t="shared" si="38"/>
        <v>Gastos_Gerais</v>
      </c>
      <c r="S775" s="696" t="s">
        <v>1000</v>
      </c>
      <c r="T775" s="696">
        <v>3824</v>
      </c>
    </row>
    <row r="776" spans="1:20" ht="72" x14ac:dyDescent="0.2">
      <c r="A776" s="432">
        <f>IF(B776="","",COUNT('Diário 1º PA'!$A$4:$A$2635)+COUNT('Diário 2º PA'!$A$4:$A$3040)+ROW()-3)</f>
        <v>4872</v>
      </c>
      <c r="B776" s="414">
        <v>44778</v>
      </c>
      <c r="C776" s="431">
        <v>44743</v>
      </c>
      <c r="D776" s="415" t="s">
        <v>271</v>
      </c>
      <c r="E776" s="415" t="s">
        <v>462</v>
      </c>
      <c r="F776" s="422">
        <v>1371.99</v>
      </c>
      <c r="G776" s="419" t="s">
        <v>6029</v>
      </c>
      <c r="H776" s="415" t="s">
        <v>793</v>
      </c>
      <c r="I776" s="415" t="s">
        <v>6303</v>
      </c>
      <c r="J776" s="419" t="s">
        <v>6030</v>
      </c>
      <c r="K776" s="419" t="s">
        <v>830</v>
      </c>
      <c r="L776" s="415" t="s">
        <v>839</v>
      </c>
      <c r="M776" s="419">
        <v>1933</v>
      </c>
      <c r="N776" s="413">
        <v>44777</v>
      </c>
      <c r="O776" s="414" t="s">
        <v>400</v>
      </c>
      <c r="P776" s="655">
        <f t="shared" si="36"/>
        <v>8</v>
      </c>
      <c r="Q776" s="655">
        <f t="shared" si="37"/>
        <v>7</v>
      </c>
      <c r="R776" s="695" t="str">
        <f t="shared" si="38"/>
        <v>Gastos_Gerais</v>
      </c>
      <c r="S776" s="696" t="s">
        <v>1000</v>
      </c>
      <c r="T776" s="696">
        <v>4122</v>
      </c>
    </row>
    <row r="777" spans="1:20" ht="36" x14ac:dyDescent="0.2">
      <c r="A777" s="432">
        <f>IF(B777="","",COUNT('Diário 1º PA'!$A$4:$A$2635)+COUNT('Diário 2º PA'!$A$4:$A$3040)+ROW()-3)</f>
        <v>4873</v>
      </c>
      <c r="B777" s="414">
        <v>44778</v>
      </c>
      <c r="C777" s="431">
        <v>44743</v>
      </c>
      <c r="D777" s="415" t="s">
        <v>182</v>
      </c>
      <c r="E777" s="415" t="s">
        <v>1</v>
      </c>
      <c r="F777" s="425">
        <v>2077.66</v>
      </c>
      <c r="G777" s="427" t="s">
        <v>6270</v>
      </c>
      <c r="H777" s="415" t="s">
        <v>310</v>
      </c>
      <c r="I777" s="473" t="s">
        <v>954</v>
      </c>
      <c r="J777" s="415" t="s">
        <v>955</v>
      </c>
      <c r="K777" s="415" t="s">
        <v>830</v>
      </c>
      <c r="L777" s="415" t="s">
        <v>909</v>
      </c>
      <c r="M777" s="415" t="s">
        <v>310</v>
      </c>
      <c r="N777" s="414">
        <v>44778</v>
      </c>
      <c r="O777" s="414" t="s">
        <v>400</v>
      </c>
      <c r="P777" s="655">
        <f t="shared" si="36"/>
        <v>8</v>
      </c>
      <c r="Q777" s="655">
        <f t="shared" si="37"/>
        <v>7</v>
      </c>
      <c r="R777" s="695" t="str">
        <f t="shared" si="38"/>
        <v>Gastos_com_Pessoal</v>
      </c>
      <c r="S777" s="697" t="s">
        <v>310</v>
      </c>
      <c r="T777" s="697" t="s">
        <v>310</v>
      </c>
    </row>
    <row r="778" spans="1:20" ht="36" x14ac:dyDescent="0.2">
      <c r="A778" s="432">
        <f>IF(B778="","",COUNT('Diário 1º PA'!$A$4:$A$2635)+COUNT('Diário 2º PA'!$A$4:$A$3040)+ROW()-3)</f>
        <v>4874</v>
      </c>
      <c r="B778" s="414">
        <v>44778</v>
      </c>
      <c r="C778" s="431">
        <v>44743</v>
      </c>
      <c r="D778" s="415" t="s">
        <v>182</v>
      </c>
      <c r="E778" s="415" t="s">
        <v>1</v>
      </c>
      <c r="F778" s="425">
        <v>3640.36</v>
      </c>
      <c r="G778" s="427" t="s">
        <v>6286</v>
      </c>
      <c r="H778" s="415" t="s">
        <v>310</v>
      </c>
      <c r="I778" s="473" t="s">
        <v>3665</v>
      </c>
      <c r="J778" s="415" t="s">
        <v>3193</v>
      </c>
      <c r="K778" s="415" t="s">
        <v>830</v>
      </c>
      <c r="L778" s="415" t="s">
        <v>909</v>
      </c>
      <c r="M778" s="415" t="s">
        <v>310</v>
      </c>
      <c r="N778" s="414">
        <v>44778</v>
      </c>
      <c r="O778" s="414" t="s">
        <v>400</v>
      </c>
      <c r="P778" s="655">
        <f t="shared" si="36"/>
        <v>8</v>
      </c>
      <c r="Q778" s="655">
        <f t="shared" si="37"/>
        <v>7</v>
      </c>
      <c r="R778" s="695" t="str">
        <f t="shared" si="38"/>
        <v>Gastos_com_Pessoal</v>
      </c>
      <c r="S778" s="697" t="s">
        <v>310</v>
      </c>
      <c r="T778" s="697" t="s">
        <v>310</v>
      </c>
    </row>
    <row r="779" spans="1:20" ht="36" x14ac:dyDescent="0.2">
      <c r="A779" s="432">
        <f>IF(B779="","",COUNT('Diário 1º PA'!$A$4:$A$2635)+COUNT('Diário 2º PA'!$A$4:$A$3040)+ROW()-3)</f>
        <v>4875</v>
      </c>
      <c r="B779" s="414">
        <v>44778</v>
      </c>
      <c r="C779" s="431">
        <v>44743</v>
      </c>
      <c r="D779" s="415" t="s">
        <v>182</v>
      </c>
      <c r="E779" s="415" t="s">
        <v>1</v>
      </c>
      <c r="F779" s="425">
        <v>1913.16</v>
      </c>
      <c r="G779" s="427" t="s">
        <v>6306</v>
      </c>
      <c r="H779" s="415" t="s">
        <v>310</v>
      </c>
      <c r="I779" s="473" t="s">
        <v>969</v>
      </c>
      <c r="J779" s="415" t="s">
        <v>970</v>
      </c>
      <c r="K779" s="415" t="s">
        <v>830</v>
      </c>
      <c r="L779" s="415" t="s">
        <v>909</v>
      </c>
      <c r="M779" s="415" t="s">
        <v>310</v>
      </c>
      <c r="N779" s="414">
        <v>44778</v>
      </c>
      <c r="O779" s="414" t="s">
        <v>400</v>
      </c>
      <c r="P779" s="655">
        <f t="shared" si="36"/>
        <v>8</v>
      </c>
      <c r="Q779" s="655">
        <f t="shared" si="37"/>
        <v>7</v>
      </c>
      <c r="R779" s="695" t="str">
        <f t="shared" si="38"/>
        <v>Gastos_com_Pessoal</v>
      </c>
      <c r="S779" s="697" t="s">
        <v>310</v>
      </c>
      <c r="T779" s="697" t="s">
        <v>310</v>
      </c>
    </row>
    <row r="780" spans="1:20" ht="36" x14ac:dyDescent="0.2">
      <c r="A780" s="432">
        <f>IF(B780="","",COUNT('Diário 1º PA'!$A$4:$A$2635)+COUNT('Diário 2º PA'!$A$4:$A$3040)+ROW()-3)</f>
        <v>4876</v>
      </c>
      <c r="B780" s="414">
        <v>44778</v>
      </c>
      <c r="C780" s="431">
        <v>44743</v>
      </c>
      <c r="D780" s="415" t="s">
        <v>182</v>
      </c>
      <c r="E780" s="415" t="s">
        <v>1</v>
      </c>
      <c r="F780" s="425">
        <v>1957.64</v>
      </c>
      <c r="G780" s="427" t="s">
        <v>6285</v>
      </c>
      <c r="H780" s="415" t="s">
        <v>310</v>
      </c>
      <c r="I780" s="473" t="s">
        <v>975</v>
      </c>
      <c r="J780" s="415" t="s">
        <v>1565</v>
      </c>
      <c r="K780" s="415" t="s">
        <v>830</v>
      </c>
      <c r="L780" s="415" t="s">
        <v>909</v>
      </c>
      <c r="M780" s="415" t="s">
        <v>310</v>
      </c>
      <c r="N780" s="414">
        <v>44778</v>
      </c>
      <c r="O780" s="414" t="s">
        <v>400</v>
      </c>
      <c r="P780" s="655">
        <f t="shared" si="36"/>
        <v>8</v>
      </c>
      <c r="Q780" s="655">
        <f t="shared" si="37"/>
        <v>7</v>
      </c>
      <c r="R780" s="695" t="str">
        <f t="shared" si="38"/>
        <v>Gastos_com_Pessoal</v>
      </c>
      <c r="S780" s="697" t="s">
        <v>310</v>
      </c>
      <c r="T780" s="697" t="s">
        <v>310</v>
      </c>
    </row>
    <row r="781" spans="1:20" ht="36" x14ac:dyDescent="0.2">
      <c r="A781" s="432">
        <f>IF(B781="","",COUNT('Diário 1º PA'!$A$4:$A$2635)+COUNT('Diário 2º PA'!$A$4:$A$3040)+ROW()-3)</f>
        <v>4877</v>
      </c>
      <c r="B781" s="414">
        <v>44778</v>
      </c>
      <c r="C781" s="431">
        <v>44743</v>
      </c>
      <c r="D781" s="415" t="s">
        <v>182</v>
      </c>
      <c r="E781" s="415" t="s">
        <v>1</v>
      </c>
      <c r="F781" s="425">
        <v>2077.66</v>
      </c>
      <c r="G781" s="427" t="s">
        <v>6307</v>
      </c>
      <c r="H781" s="415" t="s">
        <v>310</v>
      </c>
      <c r="I781" s="473" t="s">
        <v>980</v>
      </c>
      <c r="J781" s="415" t="s">
        <v>981</v>
      </c>
      <c r="K781" s="415" t="s">
        <v>830</v>
      </c>
      <c r="L781" s="415" t="s">
        <v>909</v>
      </c>
      <c r="M781" s="415" t="s">
        <v>310</v>
      </c>
      <c r="N781" s="414">
        <v>44778</v>
      </c>
      <c r="O781" s="414" t="s">
        <v>400</v>
      </c>
      <c r="P781" s="655">
        <f t="shared" si="36"/>
        <v>8</v>
      </c>
      <c r="Q781" s="655">
        <f t="shared" si="37"/>
        <v>7</v>
      </c>
      <c r="R781" s="695" t="str">
        <f t="shared" si="38"/>
        <v>Gastos_com_Pessoal</v>
      </c>
      <c r="S781" s="697" t="s">
        <v>310</v>
      </c>
      <c r="T781" s="697" t="s">
        <v>310</v>
      </c>
    </row>
    <row r="782" spans="1:20" ht="36" x14ac:dyDescent="0.2">
      <c r="A782" s="432">
        <f>IF(B782="","",COUNT('Diário 1º PA'!$A$4:$A$2635)+COUNT('Diário 2º PA'!$A$4:$A$3040)+ROW()-3)</f>
        <v>4878</v>
      </c>
      <c r="B782" s="414">
        <v>44778</v>
      </c>
      <c r="C782" s="431">
        <v>44743</v>
      </c>
      <c r="D782" s="415" t="s">
        <v>182</v>
      </c>
      <c r="E782" s="415" t="s">
        <v>1</v>
      </c>
      <c r="F782" s="425">
        <v>2077.66</v>
      </c>
      <c r="G782" s="440" t="s">
        <v>6308</v>
      </c>
      <c r="H782" s="415" t="s">
        <v>310</v>
      </c>
      <c r="I782" s="473" t="s">
        <v>3519</v>
      </c>
      <c r="J782" s="415" t="s">
        <v>988</v>
      </c>
      <c r="K782" s="415" t="s">
        <v>830</v>
      </c>
      <c r="L782" s="415" t="s">
        <v>909</v>
      </c>
      <c r="M782" s="415" t="s">
        <v>310</v>
      </c>
      <c r="N782" s="414">
        <v>44778</v>
      </c>
      <c r="O782" s="414" t="s">
        <v>400</v>
      </c>
      <c r="P782" s="655">
        <f t="shared" si="36"/>
        <v>8</v>
      </c>
      <c r="Q782" s="655">
        <f t="shared" si="37"/>
        <v>7</v>
      </c>
      <c r="R782" s="695" t="str">
        <f t="shared" si="38"/>
        <v>Gastos_com_Pessoal</v>
      </c>
      <c r="S782" s="697" t="s">
        <v>310</v>
      </c>
      <c r="T782" s="697" t="s">
        <v>310</v>
      </c>
    </row>
    <row r="783" spans="1:20" ht="36" x14ac:dyDescent="0.2">
      <c r="A783" s="432">
        <f>IF(B783="","",COUNT('Diário 1º PA'!$A$4:$A$2635)+COUNT('Diário 2º PA'!$A$4:$A$3040)+ROW()-3)</f>
        <v>4879</v>
      </c>
      <c r="B783" s="414">
        <v>44778</v>
      </c>
      <c r="C783" s="431">
        <v>44743</v>
      </c>
      <c r="D783" s="415" t="s">
        <v>182</v>
      </c>
      <c r="E783" s="415" t="s">
        <v>1</v>
      </c>
      <c r="F783" s="425">
        <v>1939.66</v>
      </c>
      <c r="G783" s="427" t="s">
        <v>6307</v>
      </c>
      <c r="H783" s="415" t="s">
        <v>310</v>
      </c>
      <c r="I783" s="473" t="s">
        <v>982</v>
      </c>
      <c r="J783" s="415" t="s">
        <v>983</v>
      </c>
      <c r="K783" s="415" t="s">
        <v>830</v>
      </c>
      <c r="L783" s="415" t="s">
        <v>909</v>
      </c>
      <c r="M783" s="415" t="s">
        <v>310</v>
      </c>
      <c r="N783" s="414">
        <v>44778</v>
      </c>
      <c r="O783" s="414" t="s">
        <v>400</v>
      </c>
      <c r="P783" s="655">
        <f t="shared" si="36"/>
        <v>8</v>
      </c>
      <c r="Q783" s="655">
        <f t="shared" si="37"/>
        <v>7</v>
      </c>
      <c r="R783" s="695" t="str">
        <f t="shared" si="38"/>
        <v>Gastos_com_Pessoal</v>
      </c>
      <c r="S783" s="697" t="s">
        <v>310</v>
      </c>
      <c r="T783" s="697" t="s">
        <v>310</v>
      </c>
    </row>
    <row r="784" spans="1:20" ht="36" x14ac:dyDescent="0.2">
      <c r="A784" s="432">
        <f>IF(B784="","",COUNT('Diário 1º PA'!$A$4:$A$2635)+COUNT('Diário 2º PA'!$A$4:$A$3040)+ROW()-3)</f>
        <v>4880</v>
      </c>
      <c r="B784" s="414">
        <v>44778</v>
      </c>
      <c r="C784" s="431">
        <v>44743</v>
      </c>
      <c r="D784" s="415" t="s">
        <v>182</v>
      </c>
      <c r="E784" s="415" t="s">
        <v>1</v>
      </c>
      <c r="F784" s="435">
        <v>4359.75</v>
      </c>
      <c r="G784" s="440" t="s">
        <v>6309</v>
      </c>
      <c r="H784" s="415" t="s">
        <v>310</v>
      </c>
      <c r="I784" s="474" t="s">
        <v>2061</v>
      </c>
      <c r="J784" s="434" t="s">
        <v>2062</v>
      </c>
      <c r="K784" s="415" t="s">
        <v>830</v>
      </c>
      <c r="L784" s="434" t="s">
        <v>909</v>
      </c>
      <c r="M784" s="415" t="s">
        <v>310</v>
      </c>
      <c r="N784" s="414">
        <v>44778</v>
      </c>
      <c r="O784" s="414" t="s">
        <v>400</v>
      </c>
      <c r="P784" s="655">
        <f t="shared" si="36"/>
        <v>8</v>
      </c>
      <c r="Q784" s="655">
        <f t="shared" si="37"/>
        <v>7</v>
      </c>
      <c r="R784" s="695" t="str">
        <f t="shared" si="38"/>
        <v>Gastos_com_Pessoal</v>
      </c>
      <c r="S784" s="697" t="s">
        <v>310</v>
      </c>
      <c r="T784" s="697" t="s">
        <v>310</v>
      </c>
    </row>
    <row r="785" spans="1:20" ht="36" x14ac:dyDescent="0.2">
      <c r="A785" s="432">
        <f>IF(B785="","",COUNT('Diário 1º PA'!$A$4:$A$2635)+COUNT('Diário 2º PA'!$A$4:$A$3040)+ROW()-3)</f>
        <v>4881</v>
      </c>
      <c r="B785" s="414">
        <v>44778</v>
      </c>
      <c r="C785" s="431">
        <v>44743</v>
      </c>
      <c r="D785" s="415" t="s">
        <v>182</v>
      </c>
      <c r="E785" s="415" t="s">
        <v>1</v>
      </c>
      <c r="F785" s="425">
        <v>2077.66</v>
      </c>
      <c r="G785" s="440" t="s">
        <v>6270</v>
      </c>
      <c r="H785" s="415" t="s">
        <v>310</v>
      </c>
      <c r="I785" s="398" t="s">
        <v>1190</v>
      </c>
      <c r="J785" s="399" t="s">
        <v>1191</v>
      </c>
      <c r="K785" s="415" t="s">
        <v>830</v>
      </c>
      <c r="L785" s="415" t="s">
        <v>909</v>
      </c>
      <c r="M785" s="415" t="s">
        <v>310</v>
      </c>
      <c r="N785" s="414">
        <v>44778</v>
      </c>
      <c r="O785" s="414" t="s">
        <v>400</v>
      </c>
      <c r="P785" s="655">
        <f t="shared" si="36"/>
        <v>8</v>
      </c>
      <c r="Q785" s="655">
        <f t="shared" si="37"/>
        <v>7</v>
      </c>
      <c r="R785" s="695" t="str">
        <f t="shared" si="38"/>
        <v>Gastos_com_Pessoal</v>
      </c>
      <c r="S785" s="697" t="s">
        <v>310</v>
      </c>
      <c r="T785" s="697" t="s">
        <v>310</v>
      </c>
    </row>
    <row r="786" spans="1:20" ht="36" x14ac:dyDescent="0.2">
      <c r="A786" s="432">
        <f>IF(B786="","",COUNT('Diário 1º PA'!$A$4:$A$2635)+COUNT('Diário 2º PA'!$A$4:$A$3040)+ROW()-3)</f>
        <v>4882</v>
      </c>
      <c r="B786" s="414">
        <v>44778</v>
      </c>
      <c r="C786" s="431">
        <v>44743</v>
      </c>
      <c r="D786" s="415" t="s">
        <v>182</v>
      </c>
      <c r="E786" s="415" t="s">
        <v>1</v>
      </c>
      <c r="F786" s="425">
        <v>1300.99</v>
      </c>
      <c r="G786" s="440" t="s">
        <v>6270</v>
      </c>
      <c r="H786" s="415" t="s">
        <v>310</v>
      </c>
      <c r="I786" s="398" t="s">
        <v>6310</v>
      </c>
      <c r="J786" s="399" t="s">
        <v>6311</v>
      </c>
      <c r="K786" s="415" t="s">
        <v>830</v>
      </c>
      <c r="L786" s="415" t="s">
        <v>909</v>
      </c>
      <c r="M786" s="415" t="s">
        <v>310</v>
      </c>
      <c r="N786" s="414">
        <v>44778</v>
      </c>
      <c r="O786" s="414" t="s">
        <v>400</v>
      </c>
      <c r="P786" s="655">
        <f t="shared" si="36"/>
        <v>8</v>
      </c>
      <c r="Q786" s="655">
        <f t="shared" si="37"/>
        <v>7</v>
      </c>
      <c r="R786" s="695" t="str">
        <f t="shared" si="38"/>
        <v>Gastos_com_Pessoal</v>
      </c>
      <c r="S786" s="697" t="s">
        <v>310</v>
      </c>
      <c r="T786" s="697" t="s">
        <v>310</v>
      </c>
    </row>
    <row r="787" spans="1:20" ht="36" x14ac:dyDescent="0.2">
      <c r="A787" s="432">
        <f>IF(B787="","",COUNT('Diário 1º PA'!$A$4:$A$2635)+COUNT('Diário 2º PA'!$A$4:$A$3040)+ROW()-3)</f>
        <v>4883</v>
      </c>
      <c r="B787" s="414">
        <v>44778</v>
      </c>
      <c r="C787" s="431">
        <v>44743</v>
      </c>
      <c r="D787" s="415" t="s">
        <v>182</v>
      </c>
      <c r="E787" s="415" t="s">
        <v>1</v>
      </c>
      <c r="F787" s="425">
        <v>1407.43</v>
      </c>
      <c r="G787" s="440" t="s">
        <v>6270</v>
      </c>
      <c r="H787" s="415" t="s">
        <v>310</v>
      </c>
      <c r="I787" s="473" t="s">
        <v>1200</v>
      </c>
      <c r="J787" s="415" t="s">
        <v>1201</v>
      </c>
      <c r="K787" s="415" t="s">
        <v>830</v>
      </c>
      <c r="L787" s="415" t="s">
        <v>909</v>
      </c>
      <c r="M787" s="415" t="s">
        <v>310</v>
      </c>
      <c r="N787" s="414">
        <v>44778</v>
      </c>
      <c r="O787" s="414" t="s">
        <v>400</v>
      </c>
      <c r="P787" s="655">
        <f t="shared" si="36"/>
        <v>8</v>
      </c>
      <c r="Q787" s="655">
        <f t="shared" si="37"/>
        <v>7</v>
      </c>
      <c r="R787" s="695" t="str">
        <f t="shared" si="38"/>
        <v>Gastos_com_Pessoal</v>
      </c>
      <c r="S787" s="697" t="s">
        <v>310</v>
      </c>
      <c r="T787" s="697" t="s">
        <v>310</v>
      </c>
    </row>
    <row r="788" spans="1:20" ht="36" x14ac:dyDescent="0.2">
      <c r="A788" s="432">
        <f>IF(B788="","",COUNT('Diário 1º PA'!$A$4:$A$2635)+COUNT('Diário 2º PA'!$A$4:$A$3040)+ROW()-3)</f>
        <v>4884</v>
      </c>
      <c r="B788" s="414">
        <v>44778</v>
      </c>
      <c r="C788" s="431">
        <v>44743</v>
      </c>
      <c r="D788" s="415" t="s">
        <v>182</v>
      </c>
      <c r="E788" s="415" t="s">
        <v>1</v>
      </c>
      <c r="F788" s="425">
        <v>2022.73</v>
      </c>
      <c r="G788" s="440" t="s">
        <v>6312</v>
      </c>
      <c r="H788" s="415" t="s">
        <v>310</v>
      </c>
      <c r="I788" s="473" t="s">
        <v>1205</v>
      </c>
      <c r="J788" s="415" t="s">
        <v>1204</v>
      </c>
      <c r="K788" s="415" t="s">
        <v>830</v>
      </c>
      <c r="L788" s="415" t="s">
        <v>909</v>
      </c>
      <c r="M788" s="415" t="s">
        <v>310</v>
      </c>
      <c r="N788" s="414">
        <v>44778</v>
      </c>
      <c r="O788" s="414" t="s">
        <v>400</v>
      </c>
      <c r="P788" s="655">
        <f t="shared" si="36"/>
        <v>8</v>
      </c>
      <c r="Q788" s="655">
        <f t="shared" si="37"/>
        <v>7</v>
      </c>
      <c r="R788" s="695" t="str">
        <f t="shared" si="38"/>
        <v>Gastos_com_Pessoal</v>
      </c>
      <c r="S788" s="697" t="s">
        <v>310</v>
      </c>
      <c r="T788" s="697" t="s">
        <v>310</v>
      </c>
    </row>
    <row r="789" spans="1:20" ht="36" x14ac:dyDescent="0.2">
      <c r="A789" s="432">
        <f>IF(B789="","",COUNT('Diário 1º PA'!$A$4:$A$2635)+COUNT('Diário 2º PA'!$A$4:$A$3040)+ROW()-3)</f>
        <v>4885</v>
      </c>
      <c r="B789" s="414">
        <v>44778</v>
      </c>
      <c r="C789" s="431">
        <v>44743</v>
      </c>
      <c r="D789" s="415" t="s">
        <v>182</v>
      </c>
      <c r="E789" s="415" t="s">
        <v>1</v>
      </c>
      <c r="F789" s="422">
        <v>2888.02</v>
      </c>
      <c r="G789" s="440" t="s">
        <v>6313</v>
      </c>
      <c r="H789" s="415" t="s">
        <v>310</v>
      </c>
      <c r="I789" s="415" t="s">
        <v>5864</v>
      </c>
      <c r="J789" s="419" t="s">
        <v>5865</v>
      </c>
      <c r="K789" s="415" t="s">
        <v>830</v>
      </c>
      <c r="L789" s="415" t="s">
        <v>909</v>
      </c>
      <c r="M789" s="415" t="s">
        <v>310</v>
      </c>
      <c r="N789" s="414">
        <v>44778</v>
      </c>
      <c r="O789" s="414" t="s">
        <v>400</v>
      </c>
      <c r="P789" s="655">
        <f t="shared" si="36"/>
        <v>8</v>
      </c>
      <c r="Q789" s="655">
        <f t="shared" si="37"/>
        <v>7</v>
      </c>
      <c r="R789" s="695" t="str">
        <f t="shared" si="38"/>
        <v>Gastos_com_Pessoal</v>
      </c>
      <c r="S789" s="697" t="s">
        <v>310</v>
      </c>
      <c r="T789" s="697" t="s">
        <v>310</v>
      </c>
    </row>
    <row r="790" spans="1:20" ht="36" x14ac:dyDescent="0.2">
      <c r="A790" s="432">
        <f>IF(B790="","",COUNT('Diário 1º PA'!$A$4:$A$2635)+COUNT('Diário 2º PA'!$A$4:$A$3040)+ROW()-3)</f>
        <v>4886</v>
      </c>
      <c r="B790" s="414">
        <v>44778</v>
      </c>
      <c r="C790" s="431">
        <v>44743</v>
      </c>
      <c r="D790" s="415" t="s">
        <v>182</v>
      </c>
      <c r="E790" s="415" t="s">
        <v>1</v>
      </c>
      <c r="F790" s="425">
        <v>3573.33</v>
      </c>
      <c r="G790" s="427" t="s">
        <v>6314</v>
      </c>
      <c r="H790" s="415" t="s">
        <v>310</v>
      </c>
      <c r="I790" s="473" t="s">
        <v>959</v>
      </c>
      <c r="J790" s="415" t="s">
        <v>960</v>
      </c>
      <c r="K790" s="415" t="s">
        <v>830</v>
      </c>
      <c r="L790" s="415" t="s">
        <v>909</v>
      </c>
      <c r="M790" s="415" t="s">
        <v>310</v>
      </c>
      <c r="N790" s="414">
        <v>44778</v>
      </c>
      <c r="O790" s="414" t="s">
        <v>400</v>
      </c>
      <c r="P790" s="655">
        <f t="shared" si="36"/>
        <v>8</v>
      </c>
      <c r="Q790" s="655">
        <f t="shared" si="37"/>
        <v>7</v>
      </c>
      <c r="R790" s="695" t="str">
        <f t="shared" si="38"/>
        <v>Gastos_com_Pessoal</v>
      </c>
      <c r="S790" s="697" t="s">
        <v>310</v>
      </c>
      <c r="T790" s="697" t="s">
        <v>310</v>
      </c>
    </row>
    <row r="791" spans="1:20" ht="36" x14ac:dyDescent="0.2">
      <c r="A791" s="432">
        <f>IF(B791="","",COUNT('Diário 1º PA'!$A$4:$A$2635)+COUNT('Diário 2º PA'!$A$4:$A$3040)+ROW()-3)</f>
        <v>4887</v>
      </c>
      <c r="B791" s="414">
        <v>44778</v>
      </c>
      <c r="C791" s="431">
        <v>44743</v>
      </c>
      <c r="D791" s="415" t="s">
        <v>182</v>
      </c>
      <c r="E791" s="415" t="s">
        <v>1</v>
      </c>
      <c r="F791" s="425">
        <v>2077.66</v>
      </c>
      <c r="G791" s="427" t="s">
        <v>6315</v>
      </c>
      <c r="H791" s="415" t="s">
        <v>310</v>
      </c>
      <c r="I791" s="473" t="s">
        <v>961</v>
      </c>
      <c r="J791" s="415" t="s">
        <v>962</v>
      </c>
      <c r="K791" s="415" t="s">
        <v>830</v>
      </c>
      <c r="L791" s="415" t="s">
        <v>909</v>
      </c>
      <c r="M791" s="415" t="s">
        <v>310</v>
      </c>
      <c r="N791" s="414">
        <v>44778</v>
      </c>
      <c r="O791" s="414" t="s">
        <v>400</v>
      </c>
      <c r="P791" s="655">
        <f t="shared" si="36"/>
        <v>8</v>
      </c>
      <c r="Q791" s="655">
        <f t="shared" si="37"/>
        <v>7</v>
      </c>
      <c r="R791" s="695" t="str">
        <f t="shared" si="38"/>
        <v>Gastos_com_Pessoal</v>
      </c>
      <c r="S791" s="697" t="s">
        <v>310</v>
      </c>
      <c r="T791" s="697" t="s">
        <v>310</v>
      </c>
    </row>
    <row r="792" spans="1:20" ht="36" x14ac:dyDescent="0.2">
      <c r="A792" s="432">
        <f>IF(B792="","",COUNT('Diário 1º PA'!$A$4:$A$2635)+COUNT('Diário 2º PA'!$A$4:$A$3040)+ROW()-3)</f>
        <v>4888</v>
      </c>
      <c r="B792" s="414">
        <v>44778</v>
      </c>
      <c r="C792" s="431">
        <v>44743</v>
      </c>
      <c r="D792" s="415" t="s">
        <v>182</v>
      </c>
      <c r="E792" s="415" t="s">
        <v>1</v>
      </c>
      <c r="F792" s="425">
        <v>2095.64</v>
      </c>
      <c r="G792" s="427" t="s">
        <v>6270</v>
      </c>
      <c r="H792" s="415" t="s">
        <v>310</v>
      </c>
      <c r="I792" s="473" t="s">
        <v>992</v>
      </c>
      <c r="J792" s="415" t="s">
        <v>993</v>
      </c>
      <c r="K792" s="415" t="s">
        <v>830</v>
      </c>
      <c r="L792" s="415" t="s">
        <v>909</v>
      </c>
      <c r="M792" s="415" t="s">
        <v>310</v>
      </c>
      <c r="N792" s="414">
        <v>44778</v>
      </c>
      <c r="O792" s="414" t="s">
        <v>400</v>
      </c>
      <c r="P792" s="655">
        <f t="shared" si="36"/>
        <v>8</v>
      </c>
      <c r="Q792" s="655">
        <f t="shared" si="37"/>
        <v>7</v>
      </c>
      <c r="R792" s="695" t="str">
        <f t="shared" si="38"/>
        <v>Gastos_com_Pessoal</v>
      </c>
      <c r="S792" s="697" t="s">
        <v>310</v>
      </c>
      <c r="T792" s="697" t="s">
        <v>310</v>
      </c>
    </row>
    <row r="793" spans="1:20" ht="36" x14ac:dyDescent="0.2">
      <c r="A793" s="432">
        <f>IF(B793="","",COUNT('Diário 1º PA'!$A$4:$A$2635)+COUNT('Diário 2º PA'!$A$4:$A$3040)+ROW()-3)</f>
        <v>4889</v>
      </c>
      <c r="B793" s="414">
        <v>44778</v>
      </c>
      <c r="C793" s="431">
        <v>44743</v>
      </c>
      <c r="D793" s="415" t="s">
        <v>182</v>
      </c>
      <c r="E793" s="415" t="s">
        <v>1</v>
      </c>
      <c r="F793" s="425">
        <v>1939.66</v>
      </c>
      <c r="G793" s="440" t="s">
        <v>6316</v>
      </c>
      <c r="H793" s="415" t="s">
        <v>310</v>
      </c>
      <c r="I793" s="473" t="s">
        <v>1198</v>
      </c>
      <c r="J793" s="415" t="s">
        <v>1197</v>
      </c>
      <c r="K793" s="415" t="s">
        <v>830</v>
      </c>
      <c r="L793" s="415" t="s">
        <v>909</v>
      </c>
      <c r="M793" s="415" t="s">
        <v>310</v>
      </c>
      <c r="N793" s="414">
        <v>44778</v>
      </c>
      <c r="O793" s="414" t="s">
        <v>400</v>
      </c>
      <c r="P793" s="655">
        <f t="shared" si="36"/>
        <v>8</v>
      </c>
      <c r="Q793" s="655">
        <f t="shared" si="37"/>
        <v>7</v>
      </c>
      <c r="R793" s="695" t="str">
        <f t="shared" si="38"/>
        <v>Gastos_com_Pessoal</v>
      </c>
      <c r="S793" s="697" t="s">
        <v>310</v>
      </c>
      <c r="T793" s="697" t="s">
        <v>310</v>
      </c>
    </row>
    <row r="794" spans="1:20" ht="36" x14ac:dyDescent="0.2">
      <c r="A794" s="432">
        <f>IF(B794="","",COUNT('Diário 1º PA'!$A$4:$A$2635)+COUNT('Diário 2º PA'!$A$4:$A$3040)+ROW()-3)</f>
        <v>4890</v>
      </c>
      <c r="B794" s="414">
        <v>44778</v>
      </c>
      <c r="C794" s="431">
        <v>44743</v>
      </c>
      <c r="D794" s="415" t="s">
        <v>182</v>
      </c>
      <c r="E794" s="415" t="s">
        <v>1</v>
      </c>
      <c r="F794" s="425">
        <v>1773.6</v>
      </c>
      <c r="G794" s="440" t="s">
        <v>6319</v>
      </c>
      <c r="H794" s="415" t="s">
        <v>310</v>
      </c>
      <c r="I794" s="473" t="s">
        <v>6317</v>
      </c>
      <c r="J794" s="415" t="s">
        <v>6318</v>
      </c>
      <c r="K794" s="415" t="s">
        <v>830</v>
      </c>
      <c r="L794" s="415" t="s">
        <v>909</v>
      </c>
      <c r="M794" s="415" t="s">
        <v>310</v>
      </c>
      <c r="N794" s="414">
        <v>44778</v>
      </c>
      <c r="O794" s="414" t="s">
        <v>400</v>
      </c>
      <c r="P794" s="655">
        <f t="shared" si="36"/>
        <v>8</v>
      </c>
      <c r="Q794" s="655">
        <f t="shared" si="37"/>
        <v>7</v>
      </c>
      <c r="R794" s="695" t="str">
        <f t="shared" si="38"/>
        <v>Gastos_com_Pessoal</v>
      </c>
      <c r="S794" s="697" t="s">
        <v>310</v>
      </c>
      <c r="T794" s="697" t="s">
        <v>310</v>
      </c>
    </row>
    <row r="795" spans="1:20" ht="36" x14ac:dyDescent="0.2">
      <c r="A795" s="432">
        <f>IF(B795="","",COUNT('Diário 1º PA'!$A$4:$A$2635)+COUNT('Diário 2º PA'!$A$4:$A$3040)+ROW()-3)</f>
        <v>4891</v>
      </c>
      <c r="B795" s="414">
        <v>44778</v>
      </c>
      <c r="C795" s="431">
        <v>44743</v>
      </c>
      <c r="D795" s="415" t="s">
        <v>182</v>
      </c>
      <c r="E795" s="415" t="s">
        <v>1</v>
      </c>
      <c r="F795" s="425">
        <v>2033.19</v>
      </c>
      <c r="G795" s="440" t="s">
        <v>6312</v>
      </c>
      <c r="H795" s="415" t="s">
        <v>310</v>
      </c>
      <c r="I795" s="473" t="s">
        <v>1202</v>
      </c>
      <c r="J795" s="415" t="s">
        <v>1201</v>
      </c>
      <c r="K795" s="415" t="s">
        <v>830</v>
      </c>
      <c r="L795" s="415" t="s">
        <v>909</v>
      </c>
      <c r="M795" s="415" t="s">
        <v>310</v>
      </c>
      <c r="N795" s="414">
        <v>44778</v>
      </c>
      <c r="O795" s="414" t="s">
        <v>400</v>
      </c>
      <c r="P795" s="655">
        <f t="shared" si="36"/>
        <v>8</v>
      </c>
      <c r="Q795" s="655">
        <f t="shared" si="37"/>
        <v>7</v>
      </c>
      <c r="R795" s="695" t="str">
        <f t="shared" si="38"/>
        <v>Gastos_com_Pessoal</v>
      </c>
      <c r="S795" s="697" t="s">
        <v>310</v>
      </c>
      <c r="T795" s="697" t="s">
        <v>310</v>
      </c>
    </row>
    <row r="796" spans="1:20" ht="36" x14ac:dyDescent="0.2">
      <c r="A796" s="432">
        <f>IF(B796="","",COUNT('Diário 1º PA'!$A$4:$A$2635)+COUNT('Diário 2º PA'!$A$4:$A$3040)+ROW()-3)</f>
        <v>4892</v>
      </c>
      <c r="B796" s="414">
        <v>44778</v>
      </c>
      <c r="C796" s="431">
        <v>44743</v>
      </c>
      <c r="D796" s="415" t="s">
        <v>182</v>
      </c>
      <c r="E796" s="415" t="s">
        <v>1</v>
      </c>
      <c r="F796" s="425">
        <v>2093.1999999999998</v>
      </c>
      <c r="G796" s="440" t="s">
        <v>6270</v>
      </c>
      <c r="H796" s="415" t="s">
        <v>310</v>
      </c>
      <c r="I796" s="473" t="s">
        <v>3197</v>
      </c>
      <c r="J796" s="415" t="s">
        <v>3198</v>
      </c>
      <c r="K796" s="415" t="s">
        <v>830</v>
      </c>
      <c r="L796" s="415" t="s">
        <v>909</v>
      </c>
      <c r="M796" s="415" t="s">
        <v>310</v>
      </c>
      <c r="N796" s="414">
        <v>44778</v>
      </c>
      <c r="O796" s="414" t="s">
        <v>400</v>
      </c>
      <c r="P796" s="655">
        <f t="shared" si="36"/>
        <v>8</v>
      </c>
      <c r="Q796" s="655">
        <f t="shared" si="37"/>
        <v>7</v>
      </c>
      <c r="R796" s="695" t="str">
        <f t="shared" si="38"/>
        <v>Gastos_com_Pessoal</v>
      </c>
      <c r="S796" s="697" t="s">
        <v>310</v>
      </c>
      <c r="T796" s="697" t="s">
        <v>310</v>
      </c>
    </row>
    <row r="797" spans="1:20" ht="36" x14ac:dyDescent="0.2">
      <c r="A797" s="432">
        <f>IF(B797="","",COUNT('Diário 1º PA'!$A$4:$A$2635)+COUNT('Diário 2º PA'!$A$4:$A$3040)+ROW()-3)</f>
        <v>4893</v>
      </c>
      <c r="B797" s="414">
        <v>44778</v>
      </c>
      <c r="C797" s="431">
        <v>44743</v>
      </c>
      <c r="D797" s="415" t="s">
        <v>182</v>
      </c>
      <c r="E797" s="415" t="s">
        <v>1</v>
      </c>
      <c r="F797" s="425">
        <v>3530.12</v>
      </c>
      <c r="G797" s="427" t="s">
        <v>6320</v>
      </c>
      <c r="H797" s="415" t="s">
        <v>310</v>
      </c>
      <c r="I797" s="473" t="s">
        <v>985</v>
      </c>
      <c r="J797" s="415" t="s">
        <v>986</v>
      </c>
      <c r="K797" s="415" t="s">
        <v>830</v>
      </c>
      <c r="L797" s="415" t="s">
        <v>909</v>
      </c>
      <c r="M797" s="415" t="s">
        <v>310</v>
      </c>
      <c r="N797" s="414">
        <v>44778</v>
      </c>
      <c r="O797" s="414" t="s">
        <v>400</v>
      </c>
      <c r="P797" s="655">
        <f t="shared" si="36"/>
        <v>8</v>
      </c>
      <c r="Q797" s="655">
        <f t="shared" si="37"/>
        <v>7</v>
      </c>
      <c r="R797" s="695" t="str">
        <f t="shared" si="38"/>
        <v>Gastos_com_Pessoal</v>
      </c>
      <c r="S797" s="697" t="s">
        <v>310</v>
      </c>
      <c r="T797" s="697" t="s">
        <v>310</v>
      </c>
    </row>
    <row r="798" spans="1:20" ht="36" x14ac:dyDescent="0.2">
      <c r="A798" s="432">
        <f>IF(B798="","",COUNT('Diário 1º PA'!$A$4:$A$2635)+COUNT('Diário 2º PA'!$A$4:$A$3040)+ROW()-3)</f>
        <v>4894</v>
      </c>
      <c r="B798" s="414">
        <v>44778</v>
      </c>
      <c r="C798" s="431">
        <v>44743</v>
      </c>
      <c r="D798" s="415" t="s">
        <v>182</v>
      </c>
      <c r="E798" s="415" t="s">
        <v>1</v>
      </c>
      <c r="F798" s="425">
        <v>3573.33</v>
      </c>
      <c r="G798" s="427" t="s">
        <v>6291</v>
      </c>
      <c r="H798" s="415" t="s">
        <v>310</v>
      </c>
      <c r="I798" s="473" t="s">
        <v>977</v>
      </c>
      <c r="J798" s="415" t="s">
        <v>978</v>
      </c>
      <c r="K798" s="415" t="s">
        <v>830</v>
      </c>
      <c r="L798" s="415" t="s">
        <v>909</v>
      </c>
      <c r="M798" s="415" t="s">
        <v>310</v>
      </c>
      <c r="N798" s="414">
        <v>44778</v>
      </c>
      <c r="O798" s="414" t="s">
        <v>400</v>
      </c>
      <c r="P798" s="655">
        <f t="shared" si="36"/>
        <v>8</v>
      </c>
      <c r="Q798" s="655">
        <f t="shared" si="37"/>
        <v>7</v>
      </c>
      <c r="R798" s="695" t="str">
        <f t="shared" si="38"/>
        <v>Gastos_com_Pessoal</v>
      </c>
      <c r="S798" s="697" t="s">
        <v>310</v>
      </c>
      <c r="T798" s="697" t="s">
        <v>310</v>
      </c>
    </row>
    <row r="799" spans="1:20" ht="24" x14ac:dyDescent="0.2">
      <c r="A799" s="432">
        <f>IF(B799="","",COUNT('Diário 1º PA'!$A$4:$A$2635)+COUNT('Diário 2º PA'!$A$4:$A$3040)+ROW()-3)</f>
        <v>4895</v>
      </c>
      <c r="B799" s="414">
        <v>44778</v>
      </c>
      <c r="C799" s="431">
        <v>44774</v>
      </c>
      <c r="D799" s="415" t="s">
        <v>271</v>
      </c>
      <c r="E799" s="415" t="s">
        <v>71</v>
      </c>
      <c r="F799" s="425">
        <v>11</v>
      </c>
      <c r="G799" s="440" t="s">
        <v>5877</v>
      </c>
      <c r="H799" s="415" t="s">
        <v>310</v>
      </c>
      <c r="I799" s="398" t="s">
        <v>881</v>
      </c>
      <c r="J799" s="418" t="s">
        <v>882</v>
      </c>
      <c r="K799" s="418" t="s">
        <v>883</v>
      </c>
      <c r="L799" s="399" t="s">
        <v>798</v>
      </c>
      <c r="M799" s="544" t="s">
        <v>310</v>
      </c>
      <c r="N799" s="414">
        <v>44778</v>
      </c>
      <c r="O799" s="414" t="s">
        <v>400</v>
      </c>
      <c r="P799" s="655">
        <f t="shared" si="36"/>
        <v>8</v>
      </c>
      <c r="Q799" s="655">
        <f t="shared" si="37"/>
        <v>8</v>
      </c>
      <c r="R799" s="695" t="str">
        <f t="shared" si="38"/>
        <v>Gastos_Gerais</v>
      </c>
      <c r="S799" s="697" t="s">
        <v>310</v>
      </c>
      <c r="T799" s="697" t="s">
        <v>310</v>
      </c>
    </row>
    <row r="800" spans="1:20" ht="24" x14ac:dyDescent="0.2">
      <c r="A800" s="432">
        <f>IF(B800="","",COUNT('Diário 1º PA'!$A$4:$A$2635)+COUNT('Diário 2º PA'!$A$4:$A$3040)+ROW()-3)</f>
        <v>4896</v>
      </c>
      <c r="B800" s="414">
        <v>44778</v>
      </c>
      <c r="C800" s="431">
        <v>44774</v>
      </c>
      <c r="D800" s="415" t="s">
        <v>271</v>
      </c>
      <c r="E800" s="415" t="s">
        <v>71</v>
      </c>
      <c r="F800" s="425">
        <v>11</v>
      </c>
      <c r="G800" s="440" t="s">
        <v>5877</v>
      </c>
      <c r="H800" s="415" t="s">
        <v>310</v>
      </c>
      <c r="I800" s="398" t="s">
        <v>881</v>
      </c>
      <c r="J800" s="418" t="s">
        <v>882</v>
      </c>
      <c r="K800" s="418" t="s">
        <v>883</v>
      </c>
      <c r="L800" s="399" t="s">
        <v>798</v>
      </c>
      <c r="M800" s="544" t="s">
        <v>310</v>
      </c>
      <c r="N800" s="414">
        <v>44778</v>
      </c>
      <c r="O800" s="414" t="s">
        <v>400</v>
      </c>
      <c r="P800" s="655">
        <f t="shared" si="36"/>
        <v>8</v>
      </c>
      <c r="Q800" s="655">
        <f t="shared" si="37"/>
        <v>8</v>
      </c>
      <c r="R800" s="695" t="str">
        <f t="shared" si="38"/>
        <v>Gastos_Gerais</v>
      </c>
      <c r="S800" s="697" t="s">
        <v>310</v>
      </c>
      <c r="T800" s="697" t="s">
        <v>310</v>
      </c>
    </row>
    <row r="801" spans="1:20" ht="24" x14ac:dyDescent="0.2">
      <c r="A801" s="432">
        <f>IF(B801="","",COUNT('Diário 1º PA'!$A$4:$A$2635)+COUNT('Diário 2º PA'!$A$4:$A$3040)+ROW()-3)</f>
        <v>4897</v>
      </c>
      <c r="B801" s="414">
        <v>44778</v>
      </c>
      <c r="C801" s="431">
        <v>44774</v>
      </c>
      <c r="D801" s="415" t="s">
        <v>271</v>
      </c>
      <c r="E801" s="415" t="s">
        <v>71</v>
      </c>
      <c r="F801" s="425">
        <v>11</v>
      </c>
      <c r="G801" s="440" t="s">
        <v>5877</v>
      </c>
      <c r="H801" s="415" t="s">
        <v>310</v>
      </c>
      <c r="I801" s="398" t="s">
        <v>881</v>
      </c>
      <c r="J801" s="418" t="s">
        <v>882</v>
      </c>
      <c r="K801" s="418" t="s">
        <v>883</v>
      </c>
      <c r="L801" s="399" t="s">
        <v>798</v>
      </c>
      <c r="M801" s="544" t="s">
        <v>310</v>
      </c>
      <c r="N801" s="414">
        <v>44778</v>
      </c>
      <c r="O801" s="414" t="s">
        <v>400</v>
      </c>
      <c r="P801" s="655">
        <f t="shared" si="36"/>
        <v>8</v>
      </c>
      <c r="Q801" s="655">
        <f t="shared" si="37"/>
        <v>8</v>
      </c>
      <c r="R801" s="695" t="str">
        <f t="shared" si="38"/>
        <v>Gastos_Gerais</v>
      </c>
      <c r="S801" s="697" t="s">
        <v>310</v>
      </c>
      <c r="T801" s="697" t="s">
        <v>310</v>
      </c>
    </row>
    <row r="802" spans="1:20" ht="24" x14ac:dyDescent="0.2">
      <c r="A802" s="432">
        <f>IF(B802="","",COUNT('Diário 1º PA'!$A$4:$A$2635)+COUNT('Diário 2º PA'!$A$4:$A$3040)+ROW()-3)</f>
        <v>4898</v>
      </c>
      <c r="B802" s="414">
        <v>44778</v>
      </c>
      <c r="C802" s="431">
        <v>44774</v>
      </c>
      <c r="D802" s="415" t="s">
        <v>271</v>
      </c>
      <c r="E802" s="415" t="s">
        <v>71</v>
      </c>
      <c r="F802" s="425">
        <v>11</v>
      </c>
      <c r="G802" s="440" t="s">
        <v>5877</v>
      </c>
      <c r="H802" s="415" t="s">
        <v>310</v>
      </c>
      <c r="I802" s="398" t="s">
        <v>881</v>
      </c>
      <c r="J802" s="418" t="s">
        <v>882</v>
      </c>
      <c r="K802" s="418" t="s">
        <v>883</v>
      </c>
      <c r="L802" s="399" t="s">
        <v>798</v>
      </c>
      <c r="M802" s="544" t="s">
        <v>310</v>
      </c>
      <c r="N802" s="414">
        <v>44778</v>
      </c>
      <c r="O802" s="414" t="s">
        <v>400</v>
      </c>
      <c r="P802" s="655">
        <f t="shared" si="36"/>
        <v>8</v>
      </c>
      <c r="Q802" s="655">
        <f t="shared" si="37"/>
        <v>8</v>
      </c>
      <c r="R802" s="695" t="str">
        <f t="shared" si="38"/>
        <v>Gastos_Gerais</v>
      </c>
      <c r="S802" s="697" t="s">
        <v>310</v>
      </c>
      <c r="T802" s="697" t="s">
        <v>310</v>
      </c>
    </row>
    <row r="803" spans="1:20" ht="24" x14ac:dyDescent="0.2">
      <c r="A803" s="432">
        <f>IF(B803="","",COUNT('Diário 1º PA'!$A$4:$A$2635)+COUNT('Diário 2º PA'!$A$4:$A$3040)+ROW()-3)</f>
        <v>4899</v>
      </c>
      <c r="B803" s="414">
        <v>44778</v>
      </c>
      <c r="C803" s="431">
        <v>44774</v>
      </c>
      <c r="D803" s="415" t="s">
        <v>271</v>
      </c>
      <c r="E803" s="415" t="s">
        <v>71</v>
      </c>
      <c r="F803" s="425">
        <v>11</v>
      </c>
      <c r="G803" s="440" t="s">
        <v>5877</v>
      </c>
      <c r="H803" s="415" t="s">
        <v>310</v>
      </c>
      <c r="I803" s="398" t="s">
        <v>881</v>
      </c>
      <c r="J803" s="418" t="s">
        <v>882</v>
      </c>
      <c r="K803" s="418" t="s">
        <v>883</v>
      </c>
      <c r="L803" s="399" t="s">
        <v>798</v>
      </c>
      <c r="M803" s="544" t="s">
        <v>310</v>
      </c>
      <c r="N803" s="414">
        <v>44778</v>
      </c>
      <c r="O803" s="414" t="s">
        <v>400</v>
      </c>
      <c r="P803" s="655">
        <f t="shared" si="36"/>
        <v>8</v>
      </c>
      <c r="Q803" s="655">
        <f t="shared" si="37"/>
        <v>8</v>
      </c>
      <c r="R803" s="695" t="str">
        <f t="shared" si="38"/>
        <v>Gastos_Gerais</v>
      </c>
      <c r="S803" s="697" t="s">
        <v>310</v>
      </c>
      <c r="T803" s="697" t="s">
        <v>310</v>
      </c>
    </row>
    <row r="804" spans="1:20" ht="24" x14ac:dyDescent="0.2">
      <c r="A804" s="432">
        <f>IF(B804="","",COUNT('Diário 1º PA'!$A$4:$A$2635)+COUNT('Diário 2º PA'!$A$4:$A$3040)+ROW()-3)</f>
        <v>4900</v>
      </c>
      <c r="B804" s="414">
        <v>44778</v>
      </c>
      <c r="C804" s="431">
        <v>44774</v>
      </c>
      <c r="D804" s="415" t="s">
        <v>271</v>
      </c>
      <c r="E804" s="415" t="s">
        <v>71</v>
      </c>
      <c r="F804" s="425">
        <v>153</v>
      </c>
      <c r="G804" s="440" t="s">
        <v>880</v>
      </c>
      <c r="H804" s="415" t="s">
        <v>309</v>
      </c>
      <c r="I804" s="398" t="s">
        <v>881</v>
      </c>
      <c r="J804" s="418" t="s">
        <v>882</v>
      </c>
      <c r="K804" s="418" t="s">
        <v>883</v>
      </c>
      <c r="L804" s="399" t="s">
        <v>798</v>
      </c>
      <c r="M804" s="544" t="s">
        <v>310</v>
      </c>
      <c r="N804" s="414">
        <v>44778</v>
      </c>
      <c r="O804" s="414" t="s">
        <v>400</v>
      </c>
      <c r="P804" s="655">
        <f t="shared" si="36"/>
        <v>8</v>
      </c>
      <c r="Q804" s="655">
        <f t="shared" si="37"/>
        <v>8</v>
      </c>
      <c r="R804" s="695" t="str">
        <f t="shared" si="38"/>
        <v>Gastos_Gerais</v>
      </c>
      <c r="S804" s="697" t="s">
        <v>310</v>
      </c>
      <c r="T804" s="697" t="s">
        <v>310</v>
      </c>
    </row>
    <row r="805" spans="1:20" ht="24" x14ac:dyDescent="0.2">
      <c r="A805" s="432">
        <f>IF(B805="","",COUNT('Diário 1º PA'!$A$4:$A$2635)+COUNT('Diário 2º PA'!$A$4:$A$3040)+ROW()-3)</f>
        <v>4901</v>
      </c>
      <c r="B805" s="414">
        <v>44778</v>
      </c>
      <c r="C805" s="431">
        <v>44774</v>
      </c>
      <c r="D805" s="415" t="s">
        <v>271</v>
      </c>
      <c r="E805" s="415" t="s">
        <v>71</v>
      </c>
      <c r="F805" s="425">
        <v>475.3</v>
      </c>
      <c r="G805" s="440" t="s">
        <v>6321</v>
      </c>
      <c r="H805" s="415" t="s">
        <v>310</v>
      </c>
      <c r="I805" s="398" t="s">
        <v>881</v>
      </c>
      <c r="J805" s="418" t="s">
        <v>882</v>
      </c>
      <c r="K805" s="418" t="s">
        <v>883</v>
      </c>
      <c r="L805" s="399" t="s">
        <v>798</v>
      </c>
      <c r="M805" s="544" t="s">
        <v>310</v>
      </c>
      <c r="N805" s="414">
        <v>44778</v>
      </c>
      <c r="O805" s="414" t="s">
        <v>400</v>
      </c>
      <c r="P805" s="655">
        <f t="shared" si="36"/>
        <v>8</v>
      </c>
      <c r="Q805" s="655">
        <f t="shared" si="37"/>
        <v>8</v>
      </c>
      <c r="R805" s="695" t="str">
        <f t="shared" si="38"/>
        <v>Gastos_Gerais</v>
      </c>
      <c r="S805" s="697" t="s">
        <v>310</v>
      </c>
      <c r="T805" s="697" t="s">
        <v>310</v>
      </c>
    </row>
    <row r="806" spans="1:20" ht="48" x14ac:dyDescent="0.2">
      <c r="A806" s="432">
        <f>IF(B806="","",COUNT('Diário 1º PA'!$A$4:$A$2635)+COUNT('Diário 2º PA'!$A$4:$A$3040)+ROW()-3)</f>
        <v>4902</v>
      </c>
      <c r="B806" s="414">
        <v>44778</v>
      </c>
      <c r="C806" s="431">
        <v>44774</v>
      </c>
      <c r="D806" s="415" t="s">
        <v>468</v>
      </c>
      <c r="E806" s="415" t="s">
        <v>468</v>
      </c>
      <c r="F806" s="425">
        <v>153</v>
      </c>
      <c r="G806" s="440" t="s">
        <v>880</v>
      </c>
      <c r="H806" s="415" t="s">
        <v>468</v>
      </c>
      <c r="I806" s="639" t="s">
        <v>881</v>
      </c>
      <c r="J806" s="418" t="s">
        <v>882</v>
      </c>
      <c r="K806" s="418" t="s">
        <v>883</v>
      </c>
      <c r="L806" s="399" t="s">
        <v>798</v>
      </c>
      <c r="M806" s="544" t="s">
        <v>310</v>
      </c>
      <c r="N806" s="413">
        <v>44778</v>
      </c>
      <c r="O806" s="414" t="s">
        <v>3762</v>
      </c>
      <c r="P806" s="655">
        <f t="shared" si="36"/>
        <v>8</v>
      </c>
      <c r="Q806" s="655">
        <f t="shared" si="37"/>
        <v>8</v>
      </c>
      <c r="R806" s="695" t="str">
        <f t="shared" si="38"/>
        <v>Gastos_custeados_por_captação</v>
      </c>
      <c r="S806" s="697" t="s">
        <v>310</v>
      </c>
      <c r="T806" s="697" t="s">
        <v>310</v>
      </c>
    </row>
    <row r="807" spans="1:20" ht="72" x14ac:dyDescent="0.2">
      <c r="A807" s="432">
        <f>IF(B807="","",COUNT('Diário 1º PA'!$A$4:$A$2635)+COUNT('Diário 2º PA'!$A$4:$A$3040)+ROW()-3)</f>
        <v>4903</v>
      </c>
      <c r="B807" s="414">
        <v>44778</v>
      </c>
      <c r="C807" s="431">
        <v>44743</v>
      </c>
      <c r="D807" s="415" t="s">
        <v>468</v>
      </c>
      <c r="E807" s="415" t="s">
        <v>468</v>
      </c>
      <c r="F807" s="425">
        <v>1998.6</v>
      </c>
      <c r="G807" s="427" t="s">
        <v>4475</v>
      </c>
      <c r="H807" s="415" t="s">
        <v>468</v>
      </c>
      <c r="I807" s="639" t="s">
        <v>6547</v>
      </c>
      <c r="J807" s="415" t="s">
        <v>4476</v>
      </c>
      <c r="K807" s="418" t="s">
        <v>830</v>
      </c>
      <c r="L807" s="399" t="s">
        <v>839</v>
      </c>
      <c r="M807" s="544">
        <v>1925</v>
      </c>
      <c r="N807" s="413">
        <v>44776</v>
      </c>
      <c r="O807" s="414" t="s">
        <v>404</v>
      </c>
      <c r="P807" s="655">
        <f t="shared" si="36"/>
        <v>8</v>
      </c>
      <c r="Q807" s="655">
        <f t="shared" si="37"/>
        <v>7</v>
      </c>
      <c r="R807" s="695" t="str">
        <f t="shared" si="38"/>
        <v>Gastos_custeados_por_captação</v>
      </c>
      <c r="S807" s="698" t="s">
        <v>1000</v>
      </c>
      <c r="T807" s="697">
        <v>3806</v>
      </c>
    </row>
    <row r="808" spans="1:20" ht="60" x14ac:dyDescent="0.2">
      <c r="A808" s="432">
        <f>IF(B808="","",COUNT('Diário 1º PA'!$A$4:$A$2635)+COUNT('Diário 2º PA'!$A$4:$A$3040)+ROW()-3)</f>
        <v>4904</v>
      </c>
      <c r="B808" s="414">
        <v>44778</v>
      </c>
      <c r="C808" s="431">
        <v>44713</v>
      </c>
      <c r="D808" s="415" t="s">
        <v>468</v>
      </c>
      <c r="E808" s="415" t="s">
        <v>468</v>
      </c>
      <c r="F808" s="425">
        <v>1998.6</v>
      </c>
      <c r="G808" s="427" t="s">
        <v>4426</v>
      </c>
      <c r="H808" s="415" t="s">
        <v>468</v>
      </c>
      <c r="I808" s="639" t="s">
        <v>2691</v>
      </c>
      <c r="J808" s="415" t="s">
        <v>1163</v>
      </c>
      <c r="K808" s="418" t="s">
        <v>830</v>
      </c>
      <c r="L808" s="399" t="s">
        <v>839</v>
      </c>
      <c r="M808" s="544">
        <v>1926</v>
      </c>
      <c r="N808" s="413">
        <v>44776</v>
      </c>
      <c r="O808" s="414" t="s">
        <v>404</v>
      </c>
      <c r="P808" s="655">
        <f t="shared" si="36"/>
        <v>8</v>
      </c>
      <c r="Q808" s="655">
        <f t="shared" si="37"/>
        <v>6</v>
      </c>
      <c r="R808" s="695" t="str">
        <f t="shared" si="38"/>
        <v>Gastos_custeados_por_captação</v>
      </c>
      <c r="S808" s="697" t="s">
        <v>1000</v>
      </c>
      <c r="T808" s="697">
        <v>3810</v>
      </c>
    </row>
    <row r="809" spans="1:20" ht="96" x14ac:dyDescent="0.2">
      <c r="A809" s="432">
        <f>IF(B809="","",COUNT('Diário 1º PA'!$A$4:$A$2635)+COUNT('Diário 2º PA'!$A$4:$A$3040)+ROW()-3)</f>
        <v>4905</v>
      </c>
      <c r="B809" s="414">
        <v>44778</v>
      </c>
      <c r="C809" s="431">
        <v>44743</v>
      </c>
      <c r="D809" s="415" t="s">
        <v>468</v>
      </c>
      <c r="E809" s="415" t="s">
        <v>468</v>
      </c>
      <c r="F809" s="425">
        <v>2939.7</v>
      </c>
      <c r="G809" s="427" t="s">
        <v>2344</v>
      </c>
      <c r="H809" s="415" t="s">
        <v>468</v>
      </c>
      <c r="I809" s="639" t="s">
        <v>6653</v>
      </c>
      <c r="J809" s="415" t="s">
        <v>2345</v>
      </c>
      <c r="K809" s="418" t="s">
        <v>830</v>
      </c>
      <c r="L809" s="399" t="s">
        <v>32</v>
      </c>
      <c r="M809" s="418" t="s">
        <v>1795</v>
      </c>
      <c r="N809" s="413">
        <v>44777</v>
      </c>
      <c r="O809" s="414" t="s">
        <v>405</v>
      </c>
      <c r="P809" s="655">
        <f t="shared" si="36"/>
        <v>8</v>
      </c>
      <c r="Q809" s="655">
        <f t="shared" si="37"/>
        <v>7</v>
      </c>
      <c r="R809" s="695" t="str">
        <f t="shared" si="38"/>
        <v>Gastos_custeados_por_captação</v>
      </c>
      <c r="S809" s="697" t="s">
        <v>1000</v>
      </c>
      <c r="T809" s="697">
        <v>3185</v>
      </c>
    </row>
    <row r="810" spans="1:20" ht="36" x14ac:dyDescent="0.2">
      <c r="A810" s="432">
        <f>IF(B810="","",COUNT('Diário 1º PA'!$A$4:$A$2635)+COUNT('Diário 2º PA'!$A$4:$A$3040)+ROW()-3)</f>
        <v>4906</v>
      </c>
      <c r="B810" s="413">
        <v>44781</v>
      </c>
      <c r="C810" s="424">
        <v>44774</v>
      </c>
      <c r="D810" s="415" t="s">
        <v>34</v>
      </c>
      <c r="E810" s="415" t="s">
        <v>167</v>
      </c>
      <c r="F810" s="425">
        <v>140</v>
      </c>
      <c r="G810" s="427" t="s">
        <v>6451</v>
      </c>
      <c r="H810" s="419" t="s">
        <v>310</v>
      </c>
      <c r="I810" s="415" t="s">
        <v>795</v>
      </c>
      <c r="J810" s="419" t="s">
        <v>796</v>
      </c>
      <c r="K810" s="419" t="s">
        <v>797</v>
      </c>
      <c r="L810" s="415" t="s">
        <v>798</v>
      </c>
      <c r="M810" s="419" t="s">
        <v>310</v>
      </c>
      <c r="N810" s="413">
        <v>44781</v>
      </c>
      <c r="O810" s="414" t="s">
        <v>400</v>
      </c>
      <c r="P810" s="655">
        <f t="shared" si="36"/>
        <v>8</v>
      </c>
      <c r="Q810" s="655">
        <f t="shared" si="37"/>
        <v>8</v>
      </c>
      <c r="R810" s="695" t="str">
        <f t="shared" si="38"/>
        <v>Receitas</v>
      </c>
      <c r="S810" s="696" t="s">
        <v>310</v>
      </c>
      <c r="T810" s="696" t="s">
        <v>310</v>
      </c>
    </row>
    <row r="811" spans="1:20" ht="36" x14ac:dyDescent="0.2">
      <c r="A811" s="432">
        <f>IF(B811="","",COUNT('Diário 1º PA'!$A$4:$A$2635)+COUNT('Diário 2º PA'!$A$4:$A$3040)+ROW()-3)</f>
        <v>4907</v>
      </c>
      <c r="B811" s="413">
        <v>44781</v>
      </c>
      <c r="C811" s="717">
        <v>44743</v>
      </c>
      <c r="D811" s="415" t="s">
        <v>182</v>
      </c>
      <c r="E811" s="415" t="s">
        <v>1</v>
      </c>
      <c r="F811" s="425">
        <v>3386.6</v>
      </c>
      <c r="G811" s="440" t="s">
        <v>6325</v>
      </c>
      <c r="H811" s="415" t="s">
        <v>310</v>
      </c>
      <c r="I811" s="596" t="s">
        <v>795</v>
      </c>
      <c r="J811" s="400" t="s">
        <v>796</v>
      </c>
      <c r="K811" s="419" t="s">
        <v>806</v>
      </c>
      <c r="L811" s="399" t="s">
        <v>310</v>
      </c>
      <c r="M811" s="399" t="s">
        <v>310</v>
      </c>
      <c r="N811" s="413">
        <v>44781</v>
      </c>
      <c r="O811" s="414" t="s">
        <v>400</v>
      </c>
      <c r="P811" s="655">
        <f t="shared" si="36"/>
        <v>8</v>
      </c>
      <c r="Q811" s="655">
        <f t="shared" si="37"/>
        <v>7</v>
      </c>
      <c r="R811" s="695" t="str">
        <f t="shared" si="38"/>
        <v>Gastos_com_Pessoal</v>
      </c>
      <c r="S811" s="697" t="s">
        <v>310</v>
      </c>
      <c r="T811" s="697" t="s">
        <v>310</v>
      </c>
    </row>
    <row r="812" spans="1:20" ht="36" x14ac:dyDescent="0.2">
      <c r="A812" s="432">
        <f>IF(B812="","",COUNT('Diário 1º PA'!$A$4:$A$2635)+COUNT('Diário 2º PA'!$A$4:$A$3040)+ROW()-3)</f>
        <v>4908</v>
      </c>
      <c r="B812" s="414">
        <v>44781</v>
      </c>
      <c r="C812" s="431">
        <v>44743</v>
      </c>
      <c r="D812" s="415" t="s">
        <v>182</v>
      </c>
      <c r="E812" s="415" t="s">
        <v>1</v>
      </c>
      <c r="F812" s="425">
        <v>2059.64</v>
      </c>
      <c r="G812" s="440" t="s">
        <v>6326</v>
      </c>
      <c r="H812" s="415" t="s">
        <v>310</v>
      </c>
      <c r="I812" s="473" t="s">
        <v>1203</v>
      </c>
      <c r="J812" s="415" t="s">
        <v>1201</v>
      </c>
      <c r="K812" s="415" t="s">
        <v>6327</v>
      </c>
      <c r="L812" s="415" t="s">
        <v>909</v>
      </c>
      <c r="M812" s="415" t="s">
        <v>310</v>
      </c>
      <c r="N812" s="414">
        <v>44781</v>
      </c>
      <c r="O812" s="414" t="s">
        <v>400</v>
      </c>
      <c r="P812" s="655">
        <f t="shared" si="36"/>
        <v>8</v>
      </c>
      <c r="Q812" s="655">
        <f t="shared" si="37"/>
        <v>7</v>
      </c>
      <c r="R812" s="695" t="str">
        <f t="shared" si="38"/>
        <v>Gastos_com_Pessoal</v>
      </c>
      <c r="S812" s="697" t="s">
        <v>310</v>
      </c>
      <c r="T812" s="697" t="s">
        <v>310</v>
      </c>
    </row>
    <row r="813" spans="1:20" ht="36" x14ac:dyDescent="0.2">
      <c r="A813" s="432">
        <f>IF(B813="","",COUNT('Diário 1º PA'!$A$4:$A$2635)+COUNT('Diário 2º PA'!$A$4:$A$3040)+ROW()-3)</f>
        <v>4909</v>
      </c>
      <c r="B813" s="414">
        <v>44781</v>
      </c>
      <c r="C813" s="431">
        <v>44743</v>
      </c>
      <c r="D813" s="415" t="s">
        <v>182</v>
      </c>
      <c r="E813" s="415" t="s">
        <v>1</v>
      </c>
      <c r="F813" s="422">
        <v>1773.6</v>
      </c>
      <c r="G813" s="440" t="s">
        <v>6326</v>
      </c>
      <c r="H813" s="415" t="s">
        <v>310</v>
      </c>
      <c r="I813" s="415" t="s">
        <v>6328</v>
      </c>
      <c r="J813" s="419">
        <v>12909142655</v>
      </c>
      <c r="K813" s="415" t="s">
        <v>6327</v>
      </c>
      <c r="L813" s="415" t="s">
        <v>909</v>
      </c>
      <c r="M813" s="415" t="s">
        <v>310</v>
      </c>
      <c r="N813" s="414">
        <v>44781</v>
      </c>
      <c r="O813" s="414" t="s">
        <v>400</v>
      </c>
      <c r="P813" s="655">
        <f t="shared" si="36"/>
        <v>8</v>
      </c>
      <c r="Q813" s="655">
        <f t="shared" si="37"/>
        <v>7</v>
      </c>
      <c r="R813" s="695" t="str">
        <f t="shared" si="38"/>
        <v>Gastos_com_Pessoal</v>
      </c>
      <c r="S813" s="697" t="s">
        <v>310</v>
      </c>
      <c r="T813" s="697" t="s">
        <v>310</v>
      </c>
    </row>
    <row r="814" spans="1:20" ht="24" x14ac:dyDescent="0.2">
      <c r="A814" s="432">
        <f>IF(B814="","",COUNT('Diário 1º PA'!$A$4:$A$2635)+COUNT('Diário 2º PA'!$A$4:$A$3040)+ROW()-3)</f>
        <v>4910</v>
      </c>
      <c r="B814" s="414">
        <v>44781</v>
      </c>
      <c r="C814" s="431">
        <v>44713</v>
      </c>
      <c r="D814" s="415" t="s">
        <v>271</v>
      </c>
      <c r="E814" s="415" t="s">
        <v>459</v>
      </c>
      <c r="F814" s="425">
        <v>227</v>
      </c>
      <c r="G814" s="427" t="s">
        <v>5983</v>
      </c>
      <c r="H814" s="415" t="s">
        <v>758</v>
      </c>
      <c r="I814" s="473" t="s">
        <v>764</v>
      </c>
      <c r="J814" s="415" t="s">
        <v>310</v>
      </c>
      <c r="K814" s="415" t="s">
        <v>1220</v>
      </c>
      <c r="L814" s="415" t="s">
        <v>3443</v>
      </c>
      <c r="M814" s="597">
        <v>222181748545</v>
      </c>
      <c r="N814" s="413">
        <v>44781</v>
      </c>
      <c r="O814" s="414" t="s">
        <v>400</v>
      </c>
      <c r="P814" s="655">
        <f t="shared" si="36"/>
        <v>8</v>
      </c>
      <c r="Q814" s="655">
        <f t="shared" si="37"/>
        <v>6</v>
      </c>
      <c r="R814" s="695" t="str">
        <f t="shared" si="38"/>
        <v>Gastos_Gerais</v>
      </c>
      <c r="S814" s="697" t="s">
        <v>310</v>
      </c>
      <c r="T814" s="697" t="s">
        <v>310</v>
      </c>
    </row>
    <row r="815" spans="1:20" ht="24" x14ac:dyDescent="0.2">
      <c r="A815" s="432">
        <f>IF(B815="","",COUNT('Diário 1º PA'!$A$4:$A$2635)+COUNT('Diário 2º PA'!$A$4:$A$3040)+ROW()-3)</f>
        <v>4911</v>
      </c>
      <c r="B815" s="414">
        <v>44781</v>
      </c>
      <c r="C815" s="431">
        <v>44713</v>
      </c>
      <c r="D815" s="415" t="s">
        <v>182</v>
      </c>
      <c r="E815" s="415" t="s">
        <v>161</v>
      </c>
      <c r="F815" s="425">
        <v>7.0000000000000007E-2</v>
      </c>
      <c r="G815" s="427" t="s">
        <v>5644</v>
      </c>
      <c r="H815" s="415" t="s">
        <v>310</v>
      </c>
      <c r="I815" s="473" t="s">
        <v>764</v>
      </c>
      <c r="J815" s="415" t="s">
        <v>310</v>
      </c>
      <c r="K815" s="415" t="s">
        <v>1220</v>
      </c>
      <c r="L815" s="415" t="s">
        <v>3443</v>
      </c>
      <c r="M815" s="597">
        <v>222181749436</v>
      </c>
      <c r="N815" s="413">
        <v>44781</v>
      </c>
      <c r="O815" s="414" t="s">
        <v>400</v>
      </c>
      <c r="P815" s="655">
        <f t="shared" si="36"/>
        <v>8</v>
      </c>
      <c r="Q815" s="655">
        <f t="shared" si="37"/>
        <v>6</v>
      </c>
      <c r="R815" s="695" t="str">
        <f t="shared" si="38"/>
        <v>Gastos_com_Pessoal</v>
      </c>
      <c r="S815" s="697" t="s">
        <v>310</v>
      </c>
      <c r="T815" s="697" t="s">
        <v>310</v>
      </c>
    </row>
    <row r="816" spans="1:20" ht="24" x14ac:dyDescent="0.2">
      <c r="A816" s="432">
        <f>IF(B816="","",COUNT('Diário 1º PA'!$A$4:$A$2635)+COUNT('Diário 2º PA'!$A$4:$A$3040)+ROW()-3)</f>
        <v>4912</v>
      </c>
      <c r="B816" s="414">
        <v>44781</v>
      </c>
      <c r="C816" s="431">
        <v>44713</v>
      </c>
      <c r="D816" s="434" t="s">
        <v>271</v>
      </c>
      <c r="E816" s="434" t="s">
        <v>90</v>
      </c>
      <c r="F816" s="425">
        <v>171.75</v>
      </c>
      <c r="G816" s="427" t="s">
        <v>5752</v>
      </c>
      <c r="H816" s="415" t="s">
        <v>309</v>
      </c>
      <c r="I816" s="473" t="s">
        <v>764</v>
      </c>
      <c r="J816" s="415" t="s">
        <v>310</v>
      </c>
      <c r="K816" s="415" t="s">
        <v>1220</v>
      </c>
      <c r="L816" s="415" t="s">
        <v>3443</v>
      </c>
      <c r="M816" s="597">
        <v>222181750108</v>
      </c>
      <c r="N816" s="413">
        <v>44781</v>
      </c>
      <c r="O816" s="414" t="s">
        <v>400</v>
      </c>
      <c r="P816" s="655">
        <f t="shared" si="36"/>
        <v>8</v>
      </c>
      <c r="Q816" s="655">
        <f t="shared" si="37"/>
        <v>6</v>
      </c>
      <c r="R816" s="695" t="str">
        <f t="shared" si="38"/>
        <v>Gastos_Gerais</v>
      </c>
      <c r="S816" s="697" t="s">
        <v>310</v>
      </c>
      <c r="T816" s="697" t="s">
        <v>310</v>
      </c>
    </row>
    <row r="817" spans="1:20" ht="24" x14ac:dyDescent="0.2">
      <c r="A817" s="432">
        <f>IF(B817="","",COUNT('Diário 1º PA'!$A$4:$A$2635)+COUNT('Diário 2º PA'!$A$4:$A$3040)+ROW()-3)</f>
        <v>4913</v>
      </c>
      <c r="B817" s="414">
        <v>44781</v>
      </c>
      <c r="C817" s="431">
        <v>44743</v>
      </c>
      <c r="D817" s="434" t="s">
        <v>271</v>
      </c>
      <c r="E817" s="434" t="s">
        <v>178</v>
      </c>
      <c r="F817" s="422">
        <v>10.07</v>
      </c>
      <c r="G817" s="427" t="s">
        <v>6329</v>
      </c>
      <c r="H817" s="415" t="s">
        <v>309</v>
      </c>
      <c r="I817" s="473" t="s">
        <v>764</v>
      </c>
      <c r="J817" s="415" t="s">
        <v>310</v>
      </c>
      <c r="K817" s="415" t="s">
        <v>1220</v>
      </c>
      <c r="L817" s="415" t="s">
        <v>3443</v>
      </c>
      <c r="M817" s="597">
        <v>222181755592</v>
      </c>
      <c r="N817" s="413">
        <v>44781</v>
      </c>
      <c r="O817" s="414" t="s">
        <v>400</v>
      </c>
      <c r="P817" s="655">
        <f t="shared" si="36"/>
        <v>8</v>
      </c>
      <c r="Q817" s="655">
        <f t="shared" si="37"/>
        <v>7</v>
      </c>
      <c r="R817" s="695" t="str">
        <f t="shared" si="38"/>
        <v>Gastos_Gerais</v>
      </c>
      <c r="S817" s="697" t="s">
        <v>310</v>
      </c>
      <c r="T817" s="697" t="s">
        <v>310</v>
      </c>
    </row>
    <row r="818" spans="1:20" ht="24" x14ac:dyDescent="0.2">
      <c r="A818" s="432">
        <f>IF(B818="","",COUNT('Diário 1º PA'!$A$4:$A$2635)+COUNT('Diário 2º PA'!$A$4:$A$3040)+ROW()-3)</f>
        <v>4914</v>
      </c>
      <c r="B818" s="414">
        <v>44781</v>
      </c>
      <c r="C818" s="431">
        <v>44713</v>
      </c>
      <c r="D818" s="415" t="s">
        <v>271</v>
      </c>
      <c r="E818" s="415" t="s">
        <v>90</v>
      </c>
      <c r="F818" s="425">
        <v>110.55</v>
      </c>
      <c r="G818" s="415" t="s">
        <v>5868</v>
      </c>
      <c r="H818" s="415" t="s">
        <v>793</v>
      </c>
      <c r="I818" s="473" t="s">
        <v>764</v>
      </c>
      <c r="J818" s="415" t="s">
        <v>310</v>
      </c>
      <c r="K818" s="415" t="s">
        <v>1220</v>
      </c>
      <c r="L818" s="415" t="s">
        <v>3443</v>
      </c>
      <c r="M818" s="597">
        <v>222181755916</v>
      </c>
      <c r="N818" s="413">
        <v>44781</v>
      </c>
      <c r="O818" s="414" t="s">
        <v>400</v>
      </c>
      <c r="P818" s="655">
        <f t="shared" si="36"/>
        <v>8</v>
      </c>
      <c r="Q818" s="655">
        <f t="shared" si="37"/>
        <v>6</v>
      </c>
      <c r="R818" s="695" t="str">
        <f t="shared" si="38"/>
        <v>Gastos_Gerais</v>
      </c>
      <c r="S818" s="697" t="s">
        <v>310</v>
      </c>
      <c r="T818" s="697" t="s">
        <v>310</v>
      </c>
    </row>
    <row r="819" spans="1:20" ht="36" x14ac:dyDescent="0.2">
      <c r="A819" s="432">
        <f>IF(B819="","",COUNT('Diário 1º PA'!$A$4:$A$2635)+COUNT('Diário 2º PA'!$A$4:$A$3040)+ROW()-3)</f>
        <v>4915</v>
      </c>
      <c r="B819" s="414">
        <v>44781</v>
      </c>
      <c r="C819" s="433">
        <v>44713</v>
      </c>
      <c r="D819" s="434" t="s">
        <v>182</v>
      </c>
      <c r="E819" s="434" t="s">
        <v>1</v>
      </c>
      <c r="F819" s="425">
        <v>27.55</v>
      </c>
      <c r="G819" s="427" t="s">
        <v>6330</v>
      </c>
      <c r="H819" s="415" t="s">
        <v>310</v>
      </c>
      <c r="I819" s="473" t="s">
        <v>764</v>
      </c>
      <c r="J819" s="415" t="s">
        <v>310</v>
      </c>
      <c r="K819" s="415" t="s">
        <v>1220</v>
      </c>
      <c r="L819" s="415" t="s">
        <v>3443</v>
      </c>
      <c r="M819" s="546">
        <v>222181756130</v>
      </c>
      <c r="N819" s="413">
        <v>44781</v>
      </c>
      <c r="O819" s="414" t="s">
        <v>400</v>
      </c>
      <c r="P819" s="655">
        <f t="shared" si="36"/>
        <v>8</v>
      </c>
      <c r="Q819" s="655">
        <f t="shared" si="37"/>
        <v>6</v>
      </c>
      <c r="R819" s="695" t="str">
        <f t="shared" si="38"/>
        <v>Gastos_com_Pessoal</v>
      </c>
      <c r="S819" s="697" t="s">
        <v>310</v>
      </c>
      <c r="T819" s="697" t="s">
        <v>310</v>
      </c>
    </row>
    <row r="820" spans="1:20" ht="36" x14ac:dyDescent="0.2">
      <c r="A820" s="432">
        <f>IF(B820="","",COUNT('Diário 1º PA'!$A$4:$A$2635)+COUNT('Diário 2º PA'!$A$4:$A$3040)+ROW()-3)</f>
        <v>4916</v>
      </c>
      <c r="B820" s="414">
        <v>44781</v>
      </c>
      <c r="C820" s="431">
        <v>44713</v>
      </c>
      <c r="D820" s="415" t="s">
        <v>271</v>
      </c>
      <c r="E820" s="415" t="s">
        <v>90</v>
      </c>
      <c r="F820" s="425">
        <v>75</v>
      </c>
      <c r="G820" s="427" t="s">
        <v>5919</v>
      </c>
      <c r="H820" s="415" t="s">
        <v>760</v>
      </c>
      <c r="I820" s="473" t="s">
        <v>764</v>
      </c>
      <c r="J820" s="415" t="s">
        <v>310</v>
      </c>
      <c r="K820" s="415" t="s">
        <v>1220</v>
      </c>
      <c r="L820" s="415" t="s">
        <v>3443</v>
      </c>
      <c r="M820" s="546">
        <v>222181756483</v>
      </c>
      <c r="N820" s="413">
        <v>44781</v>
      </c>
      <c r="O820" s="414" t="s">
        <v>400</v>
      </c>
      <c r="P820" s="655">
        <f t="shared" si="36"/>
        <v>8</v>
      </c>
      <c r="Q820" s="655">
        <f t="shared" si="37"/>
        <v>6</v>
      </c>
      <c r="R820" s="695" t="str">
        <f t="shared" si="38"/>
        <v>Gastos_Gerais</v>
      </c>
      <c r="S820" s="697" t="s">
        <v>310</v>
      </c>
      <c r="T820" s="697" t="s">
        <v>310</v>
      </c>
    </row>
    <row r="821" spans="1:20" ht="24" x14ac:dyDescent="0.2">
      <c r="A821" s="432">
        <f>IF(B821="","",COUNT('Diário 1º PA'!$A$4:$A$2635)+COUNT('Diário 2º PA'!$A$4:$A$3040)+ROW()-3)</f>
        <v>4917</v>
      </c>
      <c r="B821" s="414">
        <v>44781</v>
      </c>
      <c r="C821" s="431">
        <v>44682</v>
      </c>
      <c r="D821" s="415" t="s">
        <v>271</v>
      </c>
      <c r="E821" s="415" t="s">
        <v>453</v>
      </c>
      <c r="F821" s="425">
        <v>30</v>
      </c>
      <c r="G821" s="427" t="s">
        <v>5923</v>
      </c>
      <c r="H821" s="415" t="s">
        <v>758</v>
      </c>
      <c r="I821" s="473" t="s">
        <v>764</v>
      </c>
      <c r="J821" s="415" t="s">
        <v>310</v>
      </c>
      <c r="K821" s="415" t="s">
        <v>1220</v>
      </c>
      <c r="L821" s="415" t="s">
        <v>3443</v>
      </c>
      <c r="M821" s="546">
        <v>222181756998</v>
      </c>
      <c r="N821" s="413">
        <v>44781</v>
      </c>
      <c r="O821" s="414" t="s">
        <v>400</v>
      </c>
      <c r="P821" s="655">
        <f t="shared" si="36"/>
        <v>8</v>
      </c>
      <c r="Q821" s="655">
        <f t="shared" si="37"/>
        <v>5</v>
      </c>
      <c r="R821" s="695" t="str">
        <f t="shared" si="38"/>
        <v>Gastos_Gerais</v>
      </c>
      <c r="S821" s="697" t="s">
        <v>310</v>
      </c>
      <c r="T821" s="697" t="s">
        <v>310</v>
      </c>
    </row>
    <row r="822" spans="1:20" ht="36" x14ac:dyDescent="0.2">
      <c r="A822" s="432">
        <f>IF(B822="","",COUNT('Diário 1º PA'!$A$4:$A$2635)+COUNT('Diário 2º PA'!$A$4:$A$3040)+ROW()-3)</f>
        <v>4918</v>
      </c>
      <c r="B822" s="414">
        <v>44781</v>
      </c>
      <c r="C822" s="431">
        <v>44713</v>
      </c>
      <c r="D822" s="415" t="s">
        <v>271</v>
      </c>
      <c r="E822" s="415" t="s">
        <v>62</v>
      </c>
      <c r="F822" s="425">
        <v>16.12</v>
      </c>
      <c r="G822" s="415" t="s">
        <v>5926</v>
      </c>
      <c r="H822" s="415" t="s">
        <v>751</v>
      </c>
      <c r="I822" s="473" t="s">
        <v>764</v>
      </c>
      <c r="J822" s="415" t="s">
        <v>310</v>
      </c>
      <c r="K822" s="415" t="s">
        <v>1220</v>
      </c>
      <c r="L822" s="415" t="s">
        <v>3443</v>
      </c>
      <c r="M822" s="546">
        <v>222181757455</v>
      </c>
      <c r="N822" s="413">
        <v>44781</v>
      </c>
      <c r="O822" s="414" t="s">
        <v>400</v>
      </c>
      <c r="P822" s="655">
        <f t="shared" si="36"/>
        <v>8</v>
      </c>
      <c r="Q822" s="655">
        <f t="shared" si="37"/>
        <v>6</v>
      </c>
      <c r="R822" s="695" t="str">
        <f t="shared" si="38"/>
        <v>Gastos_Gerais</v>
      </c>
      <c r="S822" s="697" t="s">
        <v>310</v>
      </c>
      <c r="T822" s="697" t="s">
        <v>310</v>
      </c>
    </row>
    <row r="823" spans="1:20" ht="24" x14ac:dyDescent="0.2">
      <c r="A823" s="432">
        <f>IF(B823="","",COUNT('Diário 1º PA'!$A$4:$A$2635)+COUNT('Diário 2º PA'!$A$4:$A$3040)+ROW()-3)</f>
        <v>4919</v>
      </c>
      <c r="B823" s="414">
        <v>44781</v>
      </c>
      <c r="C823" s="431">
        <v>44713</v>
      </c>
      <c r="D823" s="415" t="s">
        <v>271</v>
      </c>
      <c r="E823" s="415" t="s">
        <v>90</v>
      </c>
      <c r="F823" s="425">
        <v>80</v>
      </c>
      <c r="G823" s="415" t="s">
        <v>5928</v>
      </c>
      <c r="H823" s="415" t="s">
        <v>758</v>
      </c>
      <c r="I823" s="473" t="s">
        <v>764</v>
      </c>
      <c r="J823" s="415" t="s">
        <v>310</v>
      </c>
      <c r="K823" s="415" t="s">
        <v>1220</v>
      </c>
      <c r="L823" s="415" t="s">
        <v>3443</v>
      </c>
      <c r="M823" s="546">
        <v>222181757960</v>
      </c>
      <c r="N823" s="413">
        <v>44781</v>
      </c>
      <c r="O823" s="414" t="s">
        <v>400</v>
      </c>
      <c r="P823" s="655">
        <f t="shared" si="36"/>
        <v>8</v>
      </c>
      <c r="Q823" s="655">
        <f t="shared" si="37"/>
        <v>6</v>
      </c>
      <c r="R823" s="695" t="str">
        <f t="shared" si="38"/>
        <v>Gastos_Gerais</v>
      </c>
      <c r="S823" s="697" t="s">
        <v>310</v>
      </c>
      <c r="T823" s="697" t="s">
        <v>310</v>
      </c>
    </row>
    <row r="824" spans="1:20" ht="24" x14ac:dyDescent="0.2">
      <c r="A824" s="432">
        <f>IF(B824="","",COUNT('Diário 1º PA'!$A$4:$A$2635)+COUNT('Diário 2º PA'!$A$4:$A$3040)+ROW()-3)</f>
        <v>4920</v>
      </c>
      <c r="B824" s="414">
        <v>44781</v>
      </c>
      <c r="C824" s="431">
        <v>44713</v>
      </c>
      <c r="D824" s="415" t="s">
        <v>271</v>
      </c>
      <c r="E824" s="415" t="s">
        <v>9</v>
      </c>
      <c r="F824" s="425">
        <v>285.56</v>
      </c>
      <c r="G824" s="427" t="s">
        <v>5913</v>
      </c>
      <c r="H824" s="415" t="s">
        <v>309</v>
      </c>
      <c r="I824" s="473" t="s">
        <v>764</v>
      </c>
      <c r="J824" s="415" t="s">
        <v>310</v>
      </c>
      <c r="K824" s="415" t="s">
        <v>1220</v>
      </c>
      <c r="L824" s="415" t="s">
        <v>3443</v>
      </c>
      <c r="M824" s="546">
        <v>222181758265</v>
      </c>
      <c r="N824" s="413">
        <v>44781</v>
      </c>
      <c r="O824" s="414" t="s">
        <v>400</v>
      </c>
      <c r="P824" s="655">
        <f t="shared" si="36"/>
        <v>8</v>
      </c>
      <c r="Q824" s="655">
        <f t="shared" si="37"/>
        <v>6</v>
      </c>
      <c r="R824" s="695" t="str">
        <f t="shared" si="38"/>
        <v>Gastos_Gerais</v>
      </c>
      <c r="S824" s="697" t="s">
        <v>310</v>
      </c>
      <c r="T824" s="697" t="s">
        <v>310</v>
      </c>
    </row>
    <row r="825" spans="1:20" ht="36" x14ac:dyDescent="0.2">
      <c r="A825" s="432">
        <f>IF(B825="","",COUNT('Diário 1º PA'!$A$4:$A$2635)+COUNT('Diário 2º PA'!$A$4:$A$3040)+ROW()-3)</f>
        <v>4921</v>
      </c>
      <c r="B825" s="414">
        <v>44781</v>
      </c>
      <c r="C825" s="431">
        <v>44713</v>
      </c>
      <c r="D825" s="415" t="s">
        <v>271</v>
      </c>
      <c r="E825" s="415" t="s">
        <v>456</v>
      </c>
      <c r="F825" s="425">
        <v>90</v>
      </c>
      <c r="G825" s="427" t="s">
        <v>5953</v>
      </c>
      <c r="H825" s="415" t="s">
        <v>760</v>
      </c>
      <c r="I825" s="473" t="s">
        <v>764</v>
      </c>
      <c r="J825" s="415" t="s">
        <v>310</v>
      </c>
      <c r="K825" s="415" t="s">
        <v>1220</v>
      </c>
      <c r="L825" s="415" t="s">
        <v>3443</v>
      </c>
      <c r="M825" s="546">
        <v>222181759075</v>
      </c>
      <c r="N825" s="413">
        <v>44781</v>
      </c>
      <c r="O825" s="414" t="s">
        <v>400</v>
      </c>
      <c r="P825" s="655">
        <f t="shared" si="36"/>
        <v>8</v>
      </c>
      <c r="Q825" s="655">
        <f t="shared" si="37"/>
        <v>6</v>
      </c>
      <c r="R825" s="695" t="str">
        <f t="shared" si="38"/>
        <v>Gastos_Gerais</v>
      </c>
      <c r="S825" s="697" t="s">
        <v>310</v>
      </c>
      <c r="T825" s="697" t="s">
        <v>310</v>
      </c>
    </row>
    <row r="826" spans="1:20" ht="36" x14ac:dyDescent="0.2">
      <c r="A826" s="432">
        <f>IF(B826="","",COUNT('Diário 1º PA'!$A$4:$A$2635)+COUNT('Diário 2º PA'!$A$4:$A$3040)+ROW()-3)</f>
        <v>4922</v>
      </c>
      <c r="B826" s="414">
        <v>44781</v>
      </c>
      <c r="C826" s="431">
        <v>44682</v>
      </c>
      <c r="D826" s="415" t="s">
        <v>271</v>
      </c>
      <c r="E826" s="415" t="s">
        <v>453</v>
      </c>
      <c r="F826" s="425">
        <v>38.4</v>
      </c>
      <c r="G826" s="427" t="s">
        <v>5941</v>
      </c>
      <c r="H826" s="415" t="s">
        <v>757</v>
      </c>
      <c r="I826" s="473" t="s">
        <v>764</v>
      </c>
      <c r="J826" s="415" t="s">
        <v>310</v>
      </c>
      <c r="K826" s="415" t="s">
        <v>1220</v>
      </c>
      <c r="L826" s="415" t="s">
        <v>3443</v>
      </c>
      <c r="M826" s="546">
        <v>222181759407</v>
      </c>
      <c r="N826" s="413">
        <v>44781</v>
      </c>
      <c r="O826" s="414" t="s">
        <v>400</v>
      </c>
      <c r="P826" s="655">
        <f t="shared" si="36"/>
        <v>8</v>
      </c>
      <c r="Q826" s="655">
        <f t="shared" si="37"/>
        <v>5</v>
      </c>
      <c r="R826" s="695" t="str">
        <f t="shared" si="38"/>
        <v>Gastos_Gerais</v>
      </c>
      <c r="S826" s="697" t="s">
        <v>310</v>
      </c>
      <c r="T826" s="697" t="s">
        <v>310</v>
      </c>
    </row>
    <row r="827" spans="1:20" ht="36" x14ac:dyDescent="0.2">
      <c r="A827" s="432">
        <f>IF(B827="","",COUNT('Diário 1º PA'!$A$4:$A$2635)+COUNT('Diário 2º PA'!$A$4:$A$3040)+ROW()-3)</f>
        <v>4923</v>
      </c>
      <c r="B827" s="414">
        <v>44781</v>
      </c>
      <c r="C827" s="431">
        <v>44713</v>
      </c>
      <c r="D827" s="415" t="s">
        <v>271</v>
      </c>
      <c r="E827" s="415" t="s">
        <v>453</v>
      </c>
      <c r="F827" s="425">
        <v>65.099999999999994</v>
      </c>
      <c r="G827" s="415" t="s">
        <v>5944</v>
      </c>
      <c r="H827" s="415" t="s">
        <v>757</v>
      </c>
      <c r="I827" s="473" t="s">
        <v>764</v>
      </c>
      <c r="J827" s="415" t="s">
        <v>310</v>
      </c>
      <c r="K827" s="415" t="s">
        <v>1220</v>
      </c>
      <c r="L827" s="415" t="s">
        <v>3443</v>
      </c>
      <c r="M827" s="546">
        <v>222181759903</v>
      </c>
      <c r="N827" s="413">
        <v>44781</v>
      </c>
      <c r="O827" s="414" t="s">
        <v>400</v>
      </c>
      <c r="P827" s="655">
        <f t="shared" si="36"/>
        <v>8</v>
      </c>
      <c r="Q827" s="655">
        <f t="shared" si="37"/>
        <v>6</v>
      </c>
      <c r="R827" s="695" t="str">
        <f t="shared" si="38"/>
        <v>Gastos_Gerais</v>
      </c>
      <c r="S827" s="697" t="s">
        <v>310</v>
      </c>
      <c r="T827" s="697" t="s">
        <v>310</v>
      </c>
    </row>
    <row r="828" spans="1:20" ht="36" x14ac:dyDescent="0.2">
      <c r="A828" s="432">
        <f>IF(B828="","",COUNT('Diário 1º PA'!$A$4:$A$2635)+COUNT('Diário 2º PA'!$A$4:$A$3040)+ROW()-3)</f>
        <v>4924</v>
      </c>
      <c r="B828" s="414">
        <v>44781</v>
      </c>
      <c r="C828" s="431">
        <v>44621</v>
      </c>
      <c r="D828" s="415" t="s">
        <v>271</v>
      </c>
      <c r="E828" s="415" t="s">
        <v>456</v>
      </c>
      <c r="F828" s="425">
        <v>33.29</v>
      </c>
      <c r="G828" s="427" t="s">
        <v>5917</v>
      </c>
      <c r="H828" s="415" t="s">
        <v>790</v>
      </c>
      <c r="I828" s="473" t="s">
        <v>764</v>
      </c>
      <c r="J828" s="415" t="s">
        <v>310</v>
      </c>
      <c r="K828" s="415" t="s">
        <v>1220</v>
      </c>
      <c r="L828" s="415" t="s">
        <v>3443</v>
      </c>
      <c r="M828" s="546">
        <v>222181760162</v>
      </c>
      <c r="N828" s="413">
        <v>44781</v>
      </c>
      <c r="O828" s="414" t="s">
        <v>400</v>
      </c>
      <c r="P828" s="655">
        <f t="shared" si="36"/>
        <v>8</v>
      </c>
      <c r="Q828" s="655">
        <f t="shared" si="37"/>
        <v>3</v>
      </c>
      <c r="R828" s="695" t="str">
        <f t="shared" si="38"/>
        <v>Gastos_Gerais</v>
      </c>
      <c r="S828" s="697" t="s">
        <v>310</v>
      </c>
      <c r="T828" s="697" t="s">
        <v>310</v>
      </c>
    </row>
    <row r="829" spans="1:20" ht="36" x14ac:dyDescent="0.2">
      <c r="A829" s="432">
        <f>IF(B829="","",COUNT('Diário 1º PA'!$A$4:$A$2635)+COUNT('Diário 2º PA'!$A$4:$A$3040)+ROW()-3)</f>
        <v>4925</v>
      </c>
      <c r="B829" s="414">
        <v>44781</v>
      </c>
      <c r="C829" s="431">
        <v>44713</v>
      </c>
      <c r="D829" s="415" t="s">
        <v>271</v>
      </c>
      <c r="E829" s="415" t="s">
        <v>461</v>
      </c>
      <c r="F829" s="425">
        <v>46.8</v>
      </c>
      <c r="G829" s="415" t="s">
        <v>5948</v>
      </c>
      <c r="H829" s="415" t="s">
        <v>755</v>
      </c>
      <c r="I829" s="473" t="s">
        <v>764</v>
      </c>
      <c r="J829" s="415" t="s">
        <v>310</v>
      </c>
      <c r="K829" s="415" t="s">
        <v>1220</v>
      </c>
      <c r="L829" s="415" t="s">
        <v>3443</v>
      </c>
      <c r="M829" s="546">
        <v>222181760243</v>
      </c>
      <c r="N829" s="413">
        <v>44781</v>
      </c>
      <c r="O829" s="414" t="s">
        <v>400</v>
      </c>
      <c r="P829" s="655">
        <f t="shared" si="36"/>
        <v>8</v>
      </c>
      <c r="Q829" s="655">
        <f t="shared" si="37"/>
        <v>6</v>
      </c>
      <c r="R829" s="695" t="str">
        <f t="shared" si="38"/>
        <v>Gastos_Gerais</v>
      </c>
      <c r="S829" s="697" t="s">
        <v>310</v>
      </c>
      <c r="T829" s="697" t="s">
        <v>310</v>
      </c>
    </row>
    <row r="830" spans="1:20" ht="36" x14ac:dyDescent="0.2">
      <c r="A830" s="432">
        <f>IF(B830="","",COUNT('Diário 1º PA'!$A$4:$A$2635)+COUNT('Diário 2º PA'!$A$4:$A$3040)+ROW()-3)</f>
        <v>4926</v>
      </c>
      <c r="B830" s="414">
        <v>44781</v>
      </c>
      <c r="C830" s="431">
        <v>44713</v>
      </c>
      <c r="D830" s="415" t="s">
        <v>271</v>
      </c>
      <c r="E830" s="415" t="s">
        <v>186</v>
      </c>
      <c r="F830" s="425">
        <v>75.7</v>
      </c>
      <c r="G830" s="415" t="s">
        <v>6057</v>
      </c>
      <c r="H830" s="415" t="s">
        <v>751</v>
      </c>
      <c r="I830" s="473" t="s">
        <v>764</v>
      </c>
      <c r="J830" s="415" t="s">
        <v>310</v>
      </c>
      <c r="K830" s="415" t="s">
        <v>1220</v>
      </c>
      <c r="L830" s="415" t="s">
        <v>3443</v>
      </c>
      <c r="M830" s="546">
        <v>222181760839</v>
      </c>
      <c r="N830" s="413">
        <v>44781</v>
      </c>
      <c r="O830" s="414" t="s">
        <v>400</v>
      </c>
      <c r="P830" s="655">
        <f t="shared" si="36"/>
        <v>8</v>
      </c>
      <c r="Q830" s="655">
        <f t="shared" si="37"/>
        <v>6</v>
      </c>
      <c r="R830" s="695" t="str">
        <f t="shared" si="38"/>
        <v>Gastos_Gerais</v>
      </c>
      <c r="S830" s="697" t="s">
        <v>310</v>
      </c>
      <c r="T830" s="697" t="s">
        <v>310</v>
      </c>
    </row>
    <row r="831" spans="1:20" ht="24" x14ac:dyDescent="0.2">
      <c r="A831" s="432">
        <f>IF(B831="","",COUNT('Diário 1º PA'!$A$4:$A$2635)+COUNT('Diário 2º PA'!$A$4:$A$3040)+ROW()-3)</f>
        <v>4927</v>
      </c>
      <c r="B831" s="414">
        <v>44781</v>
      </c>
      <c r="C831" s="424">
        <v>44713</v>
      </c>
      <c r="D831" s="415" t="s">
        <v>271</v>
      </c>
      <c r="E831" s="415" t="s">
        <v>326</v>
      </c>
      <c r="F831" s="425">
        <v>65.7</v>
      </c>
      <c r="G831" s="415" t="s">
        <v>6055</v>
      </c>
      <c r="H831" s="415" t="s">
        <v>309</v>
      </c>
      <c r="I831" s="473" t="s">
        <v>764</v>
      </c>
      <c r="J831" s="415" t="s">
        <v>310</v>
      </c>
      <c r="K831" s="415" t="s">
        <v>1220</v>
      </c>
      <c r="L831" s="415" t="s">
        <v>3443</v>
      </c>
      <c r="M831" s="546">
        <v>222181761304</v>
      </c>
      <c r="N831" s="413">
        <v>44781</v>
      </c>
      <c r="O831" s="414" t="s">
        <v>400</v>
      </c>
      <c r="P831" s="655">
        <f t="shared" si="36"/>
        <v>8</v>
      </c>
      <c r="Q831" s="655">
        <f t="shared" si="37"/>
        <v>6</v>
      </c>
      <c r="R831" s="695" t="str">
        <f t="shared" si="38"/>
        <v>Gastos_Gerais</v>
      </c>
      <c r="S831" s="697" t="s">
        <v>310</v>
      </c>
      <c r="T831" s="697" t="s">
        <v>310</v>
      </c>
    </row>
    <row r="832" spans="1:20" ht="36" x14ac:dyDescent="0.2">
      <c r="A832" s="432">
        <f>IF(B832="","",COUNT('Diário 1º PA'!$A$4:$A$2635)+COUNT('Diário 2º PA'!$A$4:$A$3040)+ROW()-3)</f>
        <v>4928</v>
      </c>
      <c r="B832" s="414">
        <v>44781</v>
      </c>
      <c r="C832" s="431">
        <v>44713</v>
      </c>
      <c r="D832" s="415" t="s">
        <v>271</v>
      </c>
      <c r="E832" s="415" t="s">
        <v>461</v>
      </c>
      <c r="F832" s="425">
        <v>45</v>
      </c>
      <c r="G832" s="415" t="s">
        <v>5981</v>
      </c>
      <c r="H832" s="415" t="s">
        <v>752</v>
      </c>
      <c r="I832" s="473" t="s">
        <v>764</v>
      </c>
      <c r="J832" s="415" t="s">
        <v>310</v>
      </c>
      <c r="K832" s="415" t="s">
        <v>1220</v>
      </c>
      <c r="L832" s="415" t="s">
        <v>3443</v>
      </c>
      <c r="M832" s="546">
        <v>222181761649</v>
      </c>
      <c r="N832" s="413">
        <v>44781</v>
      </c>
      <c r="O832" s="414" t="s">
        <v>400</v>
      </c>
      <c r="P832" s="655">
        <f t="shared" si="36"/>
        <v>8</v>
      </c>
      <c r="Q832" s="655">
        <f t="shared" si="37"/>
        <v>6</v>
      </c>
      <c r="R832" s="695" t="str">
        <f t="shared" si="38"/>
        <v>Gastos_Gerais</v>
      </c>
      <c r="S832" s="697" t="s">
        <v>310</v>
      </c>
      <c r="T832" s="697" t="s">
        <v>310</v>
      </c>
    </row>
    <row r="833" spans="1:20" ht="24" x14ac:dyDescent="0.2">
      <c r="A833" s="432">
        <f>IF(B833="","",COUNT('Diário 1º PA'!$A$4:$A$2635)+COUNT('Diário 2º PA'!$A$4:$A$3040)+ROW()-3)</f>
        <v>4929</v>
      </c>
      <c r="B833" s="414">
        <v>44781</v>
      </c>
      <c r="C833" s="431">
        <v>44713</v>
      </c>
      <c r="D833" s="415" t="s">
        <v>271</v>
      </c>
      <c r="E833" s="415" t="s">
        <v>90</v>
      </c>
      <c r="F833" s="425">
        <v>513.15</v>
      </c>
      <c r="G833" s="415" t="s">
        <v>5976</v>
      </c>
      <c r="H833" s="415" t="s">
        <v>309</v>
      </c>
      <c r="I833" s="473" t="s">
        <v>764</v>
      </c>
      <c r="J833" s="415" t="s">
        <v>310</v>
      </c>
      <c r="K833" s="415" t="s">
        <v>1220</v>
      </c>
      <c r="L833" s="415" t="s">
        <v>3443</v>
      </c>
      <c r="M833" s="546">
        <v>222181761800</v>
      </c>
      <c r="N833" s="413">
        <v>44781</v>
      </c>
      <c r="O833" s="414" t="s">
        <v>400</v>
      </c>
      <c r="P833" s="655">
        <f t="shared" si="36"/>
        <v>8</v>
      </c>
      <c r="Q833" s="655">
        <f t="shared" si="37"/>
        <v>6</v>
      </c>
      <c r="R833" s="695" t="str">
        <f t="shared" si="38"/>
        <v>Gastos_Gerais</v>
      </c>
      <c r="S833" s="697" t="s">
        <v>310</v>
      </c>
      <c r="T833" s="697" t="s">
        <v>310</v>
      </c>
    </row>
    <row r="834" spans="1:20" ht="36" x14ac:dyDescent="0.2">
      <c r="A834" s="432">
        <f>IF(B834="","",COUNT('Diário 1º PA'!$A$4:$A$2635)+COUNT('Diário 2º PA'!$A$4:$A$3040)+ROW()-3)</f>
        <v>4930</v>
      </c>
      <c r="B834" s="414">
        <v>44781</v>
      </c>
      <c r="C834" s="433">
        <v>44713</v>
      </c>
      <c r="D834" s="415" t="s">
        <v>182</v>
      </c>
      <c r="E834" s="415" t="s">
        <v>325</v>
      </c>
      <c r="F834" s="422">
        <v>213.18</v>
      </c>
      <c r="G834" s="427" t="s">
        <v>6331</v>
      </c>
      <c r="H834" s="419" t="s">
        <v>310</v>
      </c>
      <c r="I834" s="473" t="s">
        <v>764</v>
      </c>
      <c r="J834" s="415" t="s">
        <v>310</v>
      </c>
      <c r="K834" s="415" t="s">
        <v>1220</v>
      </c>
      <c r="L834" s="415" t="s">
        <v>3443</v>
      </c>
      <c r="M834" s="546">
        <v>222181762025</v>
      </c>
      <c r="N834" s="413">
        <v>44781</v>
      </c>
      <c r="O834" s="414" t="s">
        <v>400</v>
      </c>
      <c r="P834" s="655">
        <f t="shared" si="36"/>
        <v>8</v>
      </c>
      <c r="Q834" s="655">
        <f t="shared" si="37"/>
        <v>6</v>
      </c>
      <c r="R834" s="695" t="str">
        <f t="shared" si="38"/>
        <v>Gastos_com_Pessoal</v>
      </c>
      <c r="S834" s="697" t="s">
        <v>310</v>
      </c>
      <c r="T834" s="697" t="s">
        <v>310</v>
      </c>
    </row>
    <row r="835" spans="1:20" ht="24" x14ac:dyDescent="0.2">
      <c r="A835" s="432">
        <f>IF(B835="","",COUNT('Diário 1º PA'!$A$4:$A$2635)+COUNT('Diário 2º PA'!$A$4:$A$3040)+ROW()-3)</f>
        <v>4931</v>
      </c>
      <c r="B835" s="414">
        <v>44781</v>
      </c>
      <c r="C835" s="431">
        <v>44682</v>
      </c>
      <c r="D835" s="415" t="s">
        <v>271</v>
      </c>
      <c r="E835" s="415" t="s">
        <v>450</v>
      </c>
      <c r="F835" s="425">
        <v>140</v>
      </c>
      <c r="G835" s="415" t="s">
        <v>5986</v>
      </c>
      <c r="H835" s="415" t="s">
        <v>758</v>
      </c>
      <c r="I835" s="473" t="s">
        <v>764</v>
      </c>
      <c r="J835" s="415" t="s">
        <v>310</v>
      </c>
      <c r="K835" s="415" t="s">
        <v>1220</v>
      </c>
      <c r="L835" s="415" t="s">
        <v>3443</v>
      </c>
      <c r="M835" s="546">
        <v>222181762530</v>
      </c>
      <c r="N835" s="413">
        <v>44781</v>
      </c>
      <c r="O835" s="414" t="s">
        <v>400</v>
      </c>
      <c r="P835" s="655">
        <f t="shared" si="36"/>
        <v>8</v>
      </c>
      <c r="Q835" s="655">
        <f t="shared" si="37"/>
        <v>5</v>
      </c>
      <c r="R835" s="695" t="str">
        <f t="shared" si="38"/>
        <v>Gastos_Gerais</v>
      </c>
      <c r="S835" s="697" t="s">
        <v>310</v>
      </c>
      <c r="T835" s="697" t="s">
        <v>310</v>
      </c>
    </row>
    <row r="836" spans="1:20" ht="24" x14ac:dyDescent="0.2">
      <c r="A836" s="432">
        <f>IF(B836="","",COUNT('Diário 1º PA'!$A$4:$A$2635)+COUNT('Diário 2º PA'!$A$4:$A$3040)+ROW()-3)</f>
        <v>4932</v>
      </c>
      <c r="B836" s="414">
        <v>44781</v>
      </c>
      <c r="C836" s="431">
        <v>44743</v>
      </c>
      <c r="D836" s="415" t="s">
        <v>182</v>
      </c>
      <c r="E836" s="415" t="s">
        <v>161</v>
      </c>
      <c r="F836" s="425">
        <v>0.75</v>
      </c>
      <c r="G836" s="427" t="s">
        <v>6332</v>
      </c>
      <c r="H836" s="415" t="s">
        <v>310</v>
      </c>
      <c r="I836" s="473" t="s">
        <v>764</v>
      </c>
      <c r="J836" s="415" t="s">
        <v>310</v>
      </c>
      <c r="K836" s="415" t="s">
        <v>1220</v>
      </c>
      <c r="L836" s="415" t="s">
        <v>3443</v>
      </c>
      <c r="M836" s="546">
        <v>222181762963</v>
      </c>
      <c r="N836" s="413">
        <v>44781</v>
      </c>
      <c r="O836" s="414" t="s">
        <v>400</v>
      </c>
      <c r="P836" s="655">
        <f t="shared" si="36"/>
        <v>8</v>
      </c>
      <c r="Q836" s="655">
        <f t="shared" si="37"/>
        <v>7</v>
      </c>
      <c r="R836" s="695" t="str">
        <f t="shared" si="38"/>
        <v>Gastos_com_Pessoal</v>
      </c>
      <c r="S836" s="697" t="s">
        <v>310</v>
      </c>
      <c r="T836" s="697" t="s">
        <v>310</v>
      </c>
    </row>
    <row r="837" spans="1:20" ht="24" x14ac:dyDescent="0.2">
      <c r="A837" s="432">
        <f>IF(B837="","",COUNT('Diário 1º PA'!$A$4:$A$2635)+COUNT('Diário 2º PA'!$A$4:$A$3040)+ROW()-3)</f>
        <v>4933</v>
      </c>
      <c r="B837" s="414">
        <v>44781</v>
      </c>
      <c r="C837" s="431">
        <v>44713</v>
      </c>
      <c r="D837" s="415" t="s">
        <v>271</v>
      </c>
      <c r="E837" s="415" t="s">
        <v>90</v>
      </c>
      <c r="F837" s="425">
        <v>550</v>
      </c>
      <c r="G837" s="415" t="s">
        <v>5995</v>
      </c>
      <c r="H837" s="415" t="s">
        <v>752</v>
      </c>
      <c r="I837" s="473" t="s">
        <v>764</v>
      </c>
      <c r="J837" s="415" t="s">
        <v>310</v>
      </c>
      <c r="K837" s="415" t="s">
        <v>1220</v>
      </c>
      <c r="L837" s="415" t="s">
        <v>3443</v>
      </c>
      <c r="M837" s="546">
        <v>222181763340</v>
      </c>
      <c r="N837" s="413">
        <v>44781</v>
      </c>
      <c r="O837" s="414" t="s">
        <v>400</v>
      </c>
      <c r="P837" s="655">
        <f t="shared" ref="P837:P900" si="39">IF(B837=0,0,IF(YEAR(B837)=$Q$1,MONTH(B837)-$P$1+1,(YEAR(B837)-$Q$1)*12-$P$1+1+MONTH(B837)))</f>
        <v>8</v>
      </c>
      <c r="Q837" s="655">
        <f t="shared" ref="Q837:Q900" si="40">IF(C837=0,0,IF(YEAR(C837)=$Q$1,MONTH(C837)-$P$1+1,(YEAR(C837)-$Q$1)*12-$P$1+1+MONTH(C837)))</f>
        <v>6</v>
      </c>
      <c r="R837" s="695" t="str">
        <f t="shared" ref="R837:R900" si="41">SUBSTITUTE(D837," ","_")</f>
        <v>Gastos_Gerais</v>
      </c>
      <c r="S837" s="697" t="s">
        <v>310</v>
      </c>
      <c r="T837" s="697" t="s">
        <v>310</v>
      </c>
    </row>
    <row r="838" spans="1:20" ht="24" x14ac:dyDescent="0.2">
      <c r="A838" s="432">
        <f>IF(B838="","",COUNT('Diário 1º PA'!$A$4:$A$2635)+COUNT('Diário 2º PA'!$A$4:$A$3040)+ROW()-3)</f>
        <v>4934</v>
      </c>
      <c r="B838" s="414">
        <v>44781</v>
      </c>
      <c r="C838" s="431">
        <v>44713</v>
      </c>
      <c r="D838" s="415" t="s">
        <v>271</v>
      </c>
      <c r="E838" s="415" t="s">
        <v>465</v>
      </c>
      <c r="F838" s="425">
        <v>486.92</v>
      </c>
      <c r="G838" s="415" t="s">
        <v>6015</v>
      </c>
      <c r="H838" s="415" t="s">
        <v>752</v>
      </c>
      <c r="I838" s="473" t="s">
        <v>764</v>
      </c>
      <c r="J838" s="415" t="s">
        <v>310</v>
      </c>
      <c r="K838" s="415" t="s">
        <v>1220</v>
      </c>
      <c r="L838" s="415" t="s">
        <v>3443</v>
      </c>
      <c r="M838" s="546">
        <v>222181763501</v>
      </c>
      <c r="N838" s="413">
        <v>44781</v>
      </c>
      <c r="O838" s="414" t="s">
        <v>400</v>
      </c>
      <c r="P838" s="655">
        <f t="shared" si="39"/>
        <v>8</v>
      </c>
      <c r="Q838" s="655">
        <f t="shared" si="40"/>
        <v>6</v>
      </c>
      <c r="R838" s="695" t="str">
        <f t="shared" si="41"/>
        <v>Gastos_Gerais</v>
      </c>
      <c r="S838" s="697" t="s">
        <v>310</v>
      </c>
      <c r="T838" s="697" t="s">
        <v>310</v>
      </c>
    </row>
    <row r="839" spans="1:20" ht="36" x14ac:dyDescent="0.2">
      <c r="A839" s="432">
        <f>IF(B839="","",COUNT('Diário 1º PA'!$A$4:$A$2635)+COUNT('Diário 2º PA'!$A$4:$A$3040)+ROW()-3)</f>
        <v>4935</v>
      </c>
      <c r="B839" s="414">
        <v>44781</v>
      </c>
      <c r="C839" s="431">
        <v>44743</v>
      </c>
      <c r="D839" s="415" t="s">
        <v>271</v>
      </c>
      <c r="E839" s="415" t="s">
        <v>465</v>
      </c>
      <c r="F839" s="425">
        <v>5.8</v>
      </c>
      <c r="G839" s="415" t="s">
        <v>6002</v>
      </c>
      <c r="H839" s="415" t="s">
        <v>755</v>
      </c>
      <c r="I839" s="473" t="s">
        <v>764</v>
      </c>
      <c r="J839" s="415" t="s">
        <v>310</v>
      </c>
      <c r="K839" s="415" t="s">
        <v>1220</v>
      </c>
      <c r="L839" s="415" t="s">
        <v>3443</v>
      </c>
      <c r="M839" s="546">
        <v>222181763935</v>
      </c>
      <c r="N839" s="413">
        <v>44781</v>
      </c>
      <c r="O839" s="414" t="s">
        <v>400</v>
      </c>
      <c r="P839" s="655">
        <f t="shared" si="39"/>
        <v>8</v>
      </c>
      <c r="Q839" s="655">
        <f t="shared" si="40"/>
        <v>7</v>
      </c>
      <c r="R839" s="695" t="str">
        <f t="shared" si="41"/>
        <v>Gastos_Gerais</v>
      </c>
      <c r="S839" s="697" t="s">
        <v>310</v>
      </c>
      <c r="T839" s="697" t="s">
        <v>310</v>
      </c>
    </row>
    <row r="840" spans="1:20" ht="24" x14ac:dyDescent="0.2">
      <c r="A840" s="432">
        <f>IF(B840="","",COUNT('Diário 1º PA'!$A$4:$A$2635)+COUNT('Diário 2º PA'!$A$4:$A$3040)+ROW()-3)</f>
        <v>4936</v>
      </c>
      <c r="B840" s="414">
        <v>44781</v>
      </c>
      <c r="C840" s="431">
        <v>44743</v>
      </c>
      <c r="D840" s="415" t="s">
        <v>182</v>
      </c>
      <c r="E840" s="415" t="s">
        <v>161</v>
      </c>
      <c r="F840" s="425">
        <v>0.1</v>
      </c>
      <c r="G840" s="427" t="s">
        <v>6236</v>
      </c>
      <c r="H840" s="415" t="s">
        <v>310</v>
      </c>
      <c r="I840" s="473" t="s">
        <v>764</v>
      </c>
      <c r="J840" s="415" t="s">
        <v>310</v>
      </c>
      <c r="K840" s="415" t="s">
        <v>1220</v>
      </c>
      <c r="L840" s="415" t="s">
        <v>3443</v>
      </c>
      <c r="M840" s="546">
        <v>222181764745</v>
      </c>
      <c r="N840" s="413">
        <v>44781</v>
      </c>
      <c r="O840" s="414" t="s">
        <v>400</v>
      </c>
      <c r="P840" s="655">
        <f t="shared" si="39"/>
        <v>8</v>
      </c>
      <c r="Q840" s="655">
        <f t="shared" si="40"/>
        <v>7</v>
      </c>
      <c r="R840" s="695" t="str">
        <f t="shared" si="41"/>
        <v>Gastos_com_Pessoal</v>
      </c>
      <c r="S840" s="697" t="s">
        <v>310</v>
      </c>
      <c r="T840" s="697" t="s">
        <v>310</v>
      </c>
    </row>
    <row r="841" spans="1:20" ht="24" x14ac:dyDescent="0.2">
      <c r="A841" s="432">
        <f>IF(B841="","",COUNT('Diário 1º PA'!$A$4:$A$2635)+COUNT('Diário 2º PA'!$A$4:$A$3040)+ROW()-3)</f>
        <v>4937</v>
      </c>
      <c r="B841" s="414">
        <v>44781</v>
      </c>
      <c r="C841" s="431">
        <v>44743</v>
      </c>
      <c r="D841" s="415" t="s">
        <v>271</v>
      </c>
      <c r="E841" s="415" t="s">
        <v>90</v>
      </c>
      <c r="F841" s="425">
        <v>22.24</v>
      </c>
      <c r="G841" s="415" t="s">
        <v>6004</v>
      </c>
      <c r="H841" s="415" t="s">
        <v>750</v>
      </c>
      <c r="I841" s="473" t="s">
        <v>764</v>
      </c>
      <c r="J841" s="415" t="s">
        <v>310</v>
      </c>
      <c r="K841" s="415" t="s">
        <v>1220</v>
      </c>
      <c r="L841" s="415" t="s">
        <v>3443</v>
      </c>
      <c r="M841" s="546">
        <v>222181764745</v>
      </c>
      <c r="N841" s="413">
        <v>44781</v>
      </c>
      <c r="O841" s="414" t="s">
        <v>400</v>
      </c>
      <c r="P841" s="655">
        <f t="shared" si="39"/>
        <v>8</v>
      </c>
      <c r="Q841" s="655">
        <f t="shared" si="40"/>
        <v>7</v>
      </c>
      <c r="R841" s="695" t="str">
        <f t="shared" si="41"/>
        <v>Gastos_Gerais</v>
      </c>
      <c r="S841" s="697" t="s">
        <v>310</v>
      </c>
      <c r="T841" s="697" t="s">
        <v>310</v>
      </c>
    </row>
    <row r="842" spans="1:20" ht="25.5" x14ac:dyDescent="0.2">
      <c r="A842" s="432">
        <f>IF(B842="","",COUNT('Diário 1º PA'!$A$4:$A$2635)+COUNT('Diário 2º PA'!$A$4:$A$3040)+ROW()-3)</f>
        <v>4938</v>
      </c>
      <c r="B842" s="414">
        <v>44781</v>
      </c>
      <c r="C842" s="431">
        <v>44713</v>
      </c>
      <c r="D842" s="415" t="s">
        <v>271</v>
      </c>
      <c r="E842" s="415" t="s">
        <v>450</v>
      </c>
      <c r="F842" s="425">
        <v>60.3</v>
      </c>
      <c r="G842" s="415" t="s">
        <v>6036</v>
      </c>
      <c r="H842" s="415" t="s">
        <v>752</v>
      </c>
      <c r="I842" s="473" t="s">
        <v>764</v>
      </c>
      <c r="J842" s="415" t="s">
        <v>310</v>
      </c>
      <c r="K842" s="415" t="s">
        <v>1220</v>
      </c>
      <c r="L842" s="415" t="s">
        <v>3443</v>
      </c>
      <c r="M842" s="546">
        <v>222181765393</v>
      </c>
      <c r="N842" s="413">
        <v>44781</v>
      </c>
      <c r="O842" s="393" t="s">
        <v>400</v>
      </c>
      <c r="P842" s="655">
        <f t="shared" si="39"/>
        <v>8</v>
      </c>
      <c r="Q842" s="655">
        <f t="shared" si="40"/>
        <v>6</v>
      </c>
      <c r="R842" s="695" t="str">
        <f t="shared" si="41"/>
        <v>Gastos_Gerais</v>
      </c>
      <c r="S842" s="697" t="s">
        <v>310</v>
      </c>
      <c r="T842" s="697" t="s">
        <v>310</v>
      </c>
    </row>
    <row r="843" spans="1:20" ht="25.5" x14ac:dyDescent="0.2">
      <c r="A843" s="432">
        <f>IF(B843="","",COUNT('Diário 1º PA'!$A$4:$A$2635)+COUNT('Diário 2º PA'!$A$4:$A$3040)+ROW()-3)</f>
        <v>4939</v>
      </c>
      <c r="B843" s="414">
        <v>44781</v>
      </c>
      <c r="C843" s="431">
        <v>44743</v>
      </c>
      <c r="D843" s="415" t="s">
        <v>182</v>
      </c>
      <c r="E843" s="415" t="s">
        <v>161</v>
      </c>
      <c r="F843" s="425">
        <v>0.11</v>
      </c>
      <c r="G843" s="427" t="s">
        <v>6238</v>
      </c>
      <c r="H843" s="415" t="s">
        <v>310</v>
      </c>
      <c r="I843" s="473" t="s">
        <v>764</v>
      </c>
      <c r="J843" s="415" t="s">
        <v>310</v>
      </c>
      <c r="K843" s="415" t="s">
        <v>1220</v>
      </c>
      <c r="L843" s="415" t="s">
        <v>3443</v>
      </c>
      <c r="M843" s="546">
        <v>222181765636</v>
      </c>
      <c r="N843" s="413">
        <v>44781</v>
      </c>
      <c r="O843" s="393" t="s">
        <v>400</v>
      </c>
      <c r="P843" s="655">
        <f t="shared" si="39"/>
        <v>8</v>
      </c>
      <c r="Q843" s="655">
        <f t="shared" si="40"/>
        <v>7</v>
      </c>
      <c r="R843" s="695" t="str">
        <f t="shared" si="41"/>
        <v>Gastos_com_Pessoal</v>
      </c>
      <c r="S843" s="697" t="s">
        <v>310</v>
      </c>
      <c r="T843" s="697" t="s">
        <v>310</v>
      </c>
    </row>
    <row r="844" spans="1:20" ht="25.5" x14ac:dyDescent="0.2">
      <c r="A844" s="432">
        <f>IF(B844="","",COUNT('Diário 1º PA'!$A$4:$A$2635)+COUNT('Diário 2º PA'!$A$4:$A$3040)+ROW()-3)</f>
        <v>4940</v>
      </c>
      <c r="B844" s="414">
        <v>44781</v>
      </c>
      <c r="C844" s="431">
        <v>44743</v>
      </c>
      <c r="D844" s="415" t="s">
        <v>271</v>
      </c>
      <c r="E844" s="415" t="s">
        <v>446</v>
      </c>
      <c r="F844" s="425">
        <v>88.25</v>
      </c>
      <c r="G844" s="427" t="s">
        <v>6107</v>
      </c>
      <c r="H844" s="415" t="s">
        <v>758</v>
      </c>
      <c r="I844" s="473" t="s">
        <v>764</v>
      </c>
      <c r="J844" s="415" t="s">
        <v>310</v>
      </c>
      <c r="K844" s="415" t="s">
        <v>1220</v>
      </c>
      <c r="L844" s="415" t="s">
        <v>3443</v>
      </c>
      <c r="M844" s="546">
        <v>222181766608</v>
      </c>
      <c r="N844" s="413">
        <v>44781</v>
      </c>
      <c r="O844" s="393" t="s">
        <v>400</v>
      </c>
      <c r="P844" s="655">
        <f t="shared" si="39"/>
        <v>8</v>
      </c>
      <c r="Q844" s="655">
        <f t="shared" si="40"/>
        <v>7</v>
      </c>
      <c r="R844" s="695" t="str">
        <f t="shared" si="41"/>
        <v>Gastos_Gerais</v>
      </c>
      <c r="S844" s="697" t="s">
        <v>310</v>
      </c>
      <c r="T844" s="697" t="s">
        <v>310</v>
      </c>
    </row>
    <row r="845" spans="1:20" ht="24" x14ac:dyDescent="0.2">
      <c r="A845" s="432">
        <f>IF(B845="","",COUNT('Diário 1º PA'!$A$4:$A$2635)+COUNT('Diário 2º PA'!$A$4:$A$3040)+ROW()-3)</f>
        <v>4941</v>
      </c>
      <c r="B845" s="414">
        <v>44781</v>
      </c>
      <c r="C845" s="431">
        <v>44743</v>
      </c>
      <c r="D845" s="415" t="s">
        <v>182</v>
      </c>
      <c r="E845" s="415" t="s">
        <v>161</v>
      </c>
      <c r="F845" s="425">
        <v>0.75</v>
      </c>
      <c r="G845" s="427" t="s">
        <v>6333</v>
      </c>
      <c r="H845" s="415" t="s">
        <v>310</v>
      </c>
      <c r="I845" s="473" t="s">
        <v>764</v>
      </c>
      <c r="J845" s="415" t="s">
        <v>310</v>
      </c>
      <c r="K845" s="415" t="s">
        <v>1220</v>
      </c>
      <c r="L845" s="415" t="s">
        <v>3443</v>
      </c>
      <c r="M845" s="546">
        <v>222181766870</v>
      </c>
      <c r="N845" s="413">
        <v>44781</v>
      </c>
      <c r="O845" s="414" t="s">
        <v>400</v>
      </c>
      <c r="P845" s="655">
        <f t="shared" si="39"/>
        <v>8</v>
      </c>
      <c r="Q845" s="655">
        <f t="shared" si="40"/>
        <v>7</v>
      </c>
      <c r="R845" s="695" t="str">
        <f t="shared" si="41"/>
        <v>Gastos_com_Pessoal</v>
      </c>
      <c r="S845" s="697" t="s">
        <v>310</v>
      </c>
      <c r="T845" s="697" t="s">
        <v>310</v>
      </c>
    </row>
    <row r="846" spans="1:20" ht="24" x14ac:dyDescent="0.2">
      <c r="A846" s="432">
        <f>IF(B846="","",COUNT('Diário 1º PA'!$A$4:$A$2635)+COUNT('Diário 2º PA'!$A$4:$A$3040)+ROW()-3)</f>
        <v>4942</v>
      </c>
      <c r="B846" s="414">
        <v>44781</v>
      </c>
      <c r="C846" s="433">
        <v>44743</v>
      </c>
      <c r="D846" s="434" t="s">
        <v>182</v>
      </c>
      <c r="E846" s="434" t="s">
        <v>179</v>
      </c>
      <c r="F846" s="435">
        <v>10.63</v>
      </c>
      <c r="G846" s="437" t="s">
        <v>6210</v>
      </c>
      <c r="H846" s="434" t="s">
        <v>310</v>
      </c>
      <c r="I846" s="473" t="s">
        <v>764</v>
      </c>
      <c r="J846" s="415" t="s">
        <v>310</v>
      </c>
      <c r="K846" s="415" t="s">
        <v>1220</v>
      </c>
      <c r="L846" s="415" t="s">
        <v>3443</v>
      </c>
      <c r="M846" s="546">
        <v>222181767094</v>
      </c>
      <c r="N846" s="413">
        <v>44781</v>
      </c>
      <c r="O846" s="414" t="s">
        <v>400</v>
      </c>
      <c r="P846" s="655">
        <f t="shared" si="39"/>
        <v>8</v>
      </c>
      <c r="Q846" s="655">
        <f t="shared" si="40"/>
        <v>7</v>
      </c>
      <c r="R846" s="695" t="str">
        <f t="shared" si="41"/>
        <v>Gastos_com_Pessoal</v>
      </c>
      <c r="S846" s="697" t="s">
        <v>310</v>
      </c>
      <c r="T846" s="697" t="s">
        <v>310</v>
      </c>
    </row>
    <row r="847" spans="1:20" ht="24" x14ac:dyDescent="0.2">
      <c r="A847" s="432">
        <f>IF(B847="","",COUNT('Diário 1º PA'!$A$4:$A$2635)+COUNT('Diário 2º PA'!$A$4:$A$3040)+ROW()-3)</f>
        <v>4943</v>
      </c>
      <c r="B847" s="414">
        <v>44781</v>
      </c>
      <c r="C847" s="433">
        <v>44743</v>
      </c>
      <c r="D847" s="434" t="s">
        <v>182</v>
      </c>
      <c r="E847" s="434" t="s">
        <v>179</v>
      </c>
      <c r="F847" s="435">
        <v>18.55</v>
      </c>
      <c r="G847" s="437" t="s">
        <v>6212</v>
      </c>
      <c r="H847" s="434" t="s">
        <v>310</v>
      </c>
      <c r="I847" s="473" t="s">
        <v>764</v>
      </c>
      <c r="J847" s="415" t="s">
        <v>310</v>
      </c>
      <c r="K847" s="415" t="s">
        <v>1220</v>
      </c>
      <c r="L847" s="415" t="s">
        <v>3443</v>
      </c>
      <c r="M847" s="546">
        <v>222181767256</v>
      </c>
      <c r="N847" s="413">
        <v>44781</v>
      </c>
      <c r="O847" s="414" t="s">
        <v>400</v>
      </c>
      <c r="P847" s="655">
        <f t="shared" si="39"/>
        <v>8</v>
      </c>
      <c r="Q847" s="655">
        <f t="shared" si="40"/>
        <v>7</v>
      </c>
      <c r="R847" s="695" t="str">
        <f t="shared" si="41"/>
        <v>Gastos_com_Pessoal</v>
      </c>
      <c r="S847" s="697" t="s">
        <v>310</v>
      </c>
      <c r="T847" s="697" t="s">
        <v>310</v>
      </c>
    </row>
    <row r="848" spans="1:20" ht="36" x14ac:dyDescent="0.2">
      <c r="A848" s="432">
        <f>IF(B848="","",COUNT('Diário 1º PA'!$A$4:$A$2635)+COUNT('Diário 2º PA'!$A$4:$A$3040)+ROW()-3)</f>
        <v>4944</v>
      </c>
      <c r="B848" s="414">
        <v>44781</v>
      </c>
      <c r="C848" s="431">
        <v>44743</v>
      </c>
      <c r="D848" s="415" t="s">
        <v>271</v>
      </c>
      <c r="E848" s="415" t="s">
        <v>90</v>
      </c>
      <c r="F848" s="425">
        <v>40</v>
      </c>
      <c r="G848" s="415" t="s">
        <v>6155</v>
      </c>
      <c r="H848" s="415" t="s">
        <v>755</v>
      </c>
      <c r="I848" s="473" t="s">
        <v>764</v>
      </c>
      <c r="J848" s="415" t="s">
        <v>310</v>
      </c>
      <c r="K848" s="415" t="s">
        <v>1220</v>
      </c>
      <c r="L848" s="415" t="s">
        <v>3443</v>
      </c>
      <c r="M848" s="546">
        <v>222181767337</v>
      </c>
      <c r="N848" s="413">
        <v>44781</v>
      </c>
      <c r="O848" s="414" t="s">
        <v>400</v>
      </c>
      <c r="P848" s="655">
        <f t="shared" si="39"/>
        <v>8</v>
      </c>
      <c r="Q848" s="655">
        <f t="shared" si="40"/>
        <v>7</v>
      </c>
      <c r="R848" s="695" t="str">
        <f t="shared" si="41"/>
        <v>Gastos_Gerais</v>
      </c>
      <c r="S848" s="697" t="s">
        <v>310</v>
      </c>
      <c r="T848" s="697" t="s">
        <v>310</v>
      </c>
    </row>
    <row r="849" spans="1:20" ht="24" x14ac:dyDescent="0.2">
      <c r="A849" s="432">
        <f>IF(B849="","",COUNT('Diário 1º PA'!$A$4:$A$2635)+COUNT('Diário 2º PA'!$A$4:$A$3040)+ROW()-3)</f>
        <v>4945</v>
      </c>
      <c r="B849" s="414">
        <v>44781</v>
      </c>
      <c r="C849" s="431">
        <v>44713</v>
      </c>
      <c r="D849" s="415" t="s">
        <v>271</v>
      </c>
      <c r="E849" s="415" t="s">
        <v>297</v>
      </c>
      <c r="F849" s="425">
        <v>12.94</v>
      </c>
      <c r="G849" s="415" t="s">
        <v>6168</v>
      </c>
      <c r="H849" s="415" t="s">
        <v>756</v>
      </c>
      <c r="I849" s="473" t="s">
        <v>764</v>
      </c>
      <c r="J849" s="415" t="s">
        <v>310</v>
      </c>
      <c r="K849" s="415" t="s">
        <v>1220</v>
      </c>
      <c r="L849" s="415" t="s">
        <v>3443</v>
      </c>
      <c r="M849" s="546">
        <v>222181767507</v>
      </c>
      <c r="N849" s="413">
        <v>44781</v>
      </c>
      <c r="O849" s="414" t="s">
        <v>400</v>
      </c>
      <c r="P849" s="655">
        <f t="shared" si="39"/>
        <v>8</v>
      </c>
      <c r="Q849" s="655">
        <f t="shared" si="40"/>
        <v>6</v>
      </c>
      <c r="R849" s="695" t="str">
        <f t="shared" si="41"/>
        <v>Gastos_Gerais</v>
      </c>
      <c r="S849" s="697" t="s">
        <v>310</v>
      </c>
      <c r="T849" s="697" t="s">
        <v>310</v>
      </c>
    </row>
    <row r="850" spans="1:20" ht="24" x14ac:dyDescent="0.2">
      <c r="A850" s="432">
        <f>IF(B850="","",COUNT('Diário 1º PA'!$A$4:$A$2635)+COUNT('Diário 2º PA'!$A$4:$A$3040)+ROW()-3)</f>
        <v>4946</v>
      </c>
      <c r="B850" s="414">
        <v>44781</v>
      </c>
      <c r="C850" s="431">
        <v>44713</v>
      </c>
      <c r="D850" s="415" t="s">
        <v>271</v>
      </c>
      <c r="E850" s="415" t="s">
        <v>453</v>
      </c>
      <c r="F850" s="425">
        <v>95</v>
      </c>
      <c r="G850" s="415" t="s">
        <v>6165</v>
      </c>
      <c r="H850" s="415" t="s">
        <v>752</v>
      </c>
      <c r="I850" s="473" t="s">
        <v>764</v>
      </c>
      <c r="J850" s="415" t="s">
        <v>310</v>
      </c>
      <c r="K850" s="415" t="s">
        <v>1220</v>
      </c>
      <c r="L850" s="415" t="s">
        <v>3443</v>
      </c>
      <c r="M850" s="546">
        <v>222181767760</v>
      </c>
      <c r="N850" s="413">
        <v>44781</v>
      </c>
      <c r="O850" s="414" t="s">
        <v>400</v>
      </c>
      <c r="P850" s="655">
        <f t="shared" si="39"/>
        <v>8</v>
      </c>
      <c r="Q850" s="655">
        <f t="shared" si="40"/>
        <v>6</v>
      </c>
      <c r="R850" s="695" t="str">
        <f t="shared" si="41"/>
        <v>Gastos_Gerais</v>
      </c>
      <c r="S850" s="697" t="s">
        <v>310</v>
      </c>
      <c r="T850" s="697" t="s">
        <v>310</v>
      </c>
    </row>
    <row r="851" spans="1:20" ht="24" x14ac:dyDescent="0.2">
      <c r="A851" s="432">
        <f>IF(B851="","",COUNT('Diário 1º PA'!$A$4:$A$2635)+COUNT('Diário 2º PA'!$A$4:$A$3040)+ROW()-3)</f>
        <v>4947</v>
      </c>
      <c r="B851" s="414">
        <v>44781</v>
      </c>
      <c r="C851" s="431">
        <v>44743</v>
      </c>
      <c r="D851" s="415" t="s">
        <v>182</v>
      </c>
      <c r="E851" s="415" t="s">
        <v>161</v>
      </c>
      <c r="F851" s="425">
        <v>0.71</v>
      </c>
      <c r="G851" s="427" t="s">
        <v>6240</v>
      </c>
      <c r="H851" s="415" t="s">
        <v>310</v>
      </c>
      <c r="I851" s="473" t="s">
        <v>764</v>
      </c>
      <c r="J851" s="415" t="s">
        <v>310</v>
      </c>
      <c r="K851" s="415" t="s">
        <v>1220</v>
      </c>
      <c r="L851" s="415" t="s">
        <v>3443</v>
      </c>
      <c r="M851" s="546">
        <v>222181768066</v>
      </c>
      <c r="N851" s="413">
        <v>44781</v>
      </c>
      <c r="O851" s="414" t="s">
        <v>400</v>
      </c>
      <c r="P851" s="655">
        <f t="shared" si="39"/>
        <v>8</v>
      </c>
      <c r="Q851" s="655">
        <f t="shared" si="40"/>
        <v>7</v>
      </c>
      <c r="R851" s="695" t="str">
        <f t="shared" si="41"/>
        <v>Gastos_com_Pessoal</v>
      </c>
      <c r="S851" s="697" t="s">
        <v>310</v>
      </c>
      <c r="T851" s="697" t="s">
        <v>310</v>
      </c>
    </row>
    <row r="852" spans="1:20" ht="24" x14ac:dyDescent="0.2">
      <c r="A852" s="432">
        <f>IF(B852="","",COUNT('Diário 1º PA'!$A$4:$A$2635)+COUNT('Diário 2º PA'!$A$4:$A$3040)+ROW()-3)</f>
        <v>4948</v>
      </c>
      <c r="B852" s="414">
        <v>44781</v>
      </c>
      <c r="C852" s="431">
        <v>44531</v>
      </c>
      <c r="D852" s="415" t="s">
        <v>271</v>
      </c>
      <c r="E852" s="415" t="s">
        <v>465</v>
      </c>
      <c r="F852" s="425">
        <v>6.81</v>
      </c>
      <c r="G852" s="415" t="s">
        <v>6178</v>
      </c>
      <c r="H852" s="415" t="s">
        <v>752</v>
      </c>
      <c r="I852" s="473" t="s">
        <v>764</v>
      </c>
      <c r="J852" s="415" t="s">
        <v>310</v>
      </c>
      <c r="K852" s="415" t="s">
        <v>1220</v>
      </c>
      <c r="L852" s="415" t="s">
        <v>3443</v>
      </c>
      <c r="M852" s="546">
        <v>222181768147</v>
      </c>
      <c r="N852" s="413">
        <v>44781</v>
      </c>
      <c r="O852" s="414" t="s">
        <v>400</v>
      </c>
      <c r="P852" s="655">
        <f t="shared" si="39"/>
        <v>8</v>
      </c>
      <c r="Q852" s="655">
        <f t="shared" si="40"/>
        <v>0</v>
      </c>
      <c r="R852" s="695" t="str">
        <f t="shared" si="41"/>
        <v>Gastos_Gerais</v>
      </c>
      <c r="S852" s="697" t="s">
        <v>310</v>
      </c>
      <c r="T852" s="697" t="s">
        <v>310</v>
      </c>
    </row>
    <row r="853" spans="1:20" ht="24" x14ac:dyDescent="0.2">
      <c r="A853" s="432">
        <f>IF(B853="","",COUNT('Diário 1º PA'!$A$4:$A$2635)+COUNT('Diário 2º PA'!$A$4:$A$3040)+ROW()-3)</f>
        <v>4949</v>
      </c>
      <c r="B853" s="414">
        <v>44781</v>
      </c>
      <c r="C853" s="431">
        <v>44743</v>
      </c>
      <c r="D853" s="415" t="s">
        <v>182</v>
      </c>
      <c r="E853" s="415" t="s">
        <v>161</v>
      </c>
      <c r="F853" s="425">
        <v>0.88</v>
      </c>
      <c r="G853" s="427" t="s">
        <v>6242</v>
      </c>
      <c r="H853" s="415" t="s">
        <v>310</v>
      </c>
      <c r="I853" s="473" t="s">
        <v>764</v>
      </c>
      <c r="J853" s="415" t="s">
        <v>310</v>
      </c>
      <c r="K853" s="415" t="s">
        <v>1220</v>
      </c>
      <c r="L853" s="415" t="s">
        <v>3443</v>
      </c>
      <c r="M853" s="546">
        <v>222181768490</v>
      </c>
      <c r="N853" s="413">
        <v>44781</v>
      </c>
      <c r="O853" s="414" t="s">
        <v>400</v>
      </c>
      <c r="P853" s="655">
        <f t="shared" si="39"/>
        <v>8</v>
      </c>
      <c r="Q853" s="655">
        <f t="shared" si="40"/>
        <v>7</v>
      </c>
      <c r="R853" s="695" t="str">
        <f t="shared" si="41"/>
        <v>Gastos_com_Pessoal</v>
      </c>
      <c r="S853" s="697" t="s">
        <v>310</v>
      </c>
      <c r="T853" s="697" t="s">
        <v>310</v>
      </c>
    </row>
    <row r="854" spans="1:20" ht="48" x14ac:dyDescent="0.2">
      <c r="A854" s="432">
        <f>IF(B854="","",COUNT('Diário 1º PA'!$A$4:$A$2635)+COUNT('Diário 2º PA'!$A$4:$A$3040)+ROW()-3)</f>
        <v>4950</v>
      </c>
      <c r="B854" s="414">
        <v>44781</v>
      </c>
      <c r="C854" s="431">
        <v>44743</v>
      </c>
      <c r="D854" s="415" t="s">
        <v>271</v>
      </c>
      <c r="E854" s="415" t="s">
        <v>453</v>
      </c>
      <c r="F854" s="422">
        <v>1566.4</v>
      </c>
      <c r="G854" s="419" t="s">
        <v>6334</v>
      </c>
      <c r="H854" s="415" t="s">
        <v>790</v>
      </c>
      <c r="I854" s="415" t="s">
        <v>1352</v>
      </c>
      <c r="J854" s="419" t="s">
        <v>1057</v>
      </c>
      <c r="K854" s="419" t="s">
        <v>830</v>
      </c>
      <c r="L854" s="415" t="s">
        <v>839</v>
      </c>
      <c r="M854" s="419">
        <v>1916</v>
      </c>
      <c r="N854" s="413">
        <v>44774</v>
      </c>
      <c r="O854" s="414" t="s">
        <v>400</v>
      </c>
      <c r="P854" s="655">
        <f t="shared" si="39"/>
        <v>8</v>
      </c>
      <c r="Q854" s="655">
        <f t="shared" si="40"/>
        <v>7</v>
      </c>
      <c r="R854" s="695" t="str">
        <f t="shared" si="41"/>
        <v>Gastos_Gerais</v>
      </c>
      <c r="S854" s="697" t="s">
        <v>998</v>
      </c>
      <c r="T854" s="697">
        <v>4077</v>
      </c>
    </row>
    <row r="855" spans="1:20" ht="36" x14ac:dyDescent="0.2">
      <c r="A855" s="432">
        <f>IF(B855="","",COUNT('Diário 1º PA'!$A$4:$A$2635)+COUNT('Diário 2º PA'!$A$4:$A$3040)+ROW()-3)</f>
        <v>4951</v>
      </c>
      <c r="B855" s="414">
        <v>44781</v>
      </c>
      <c r="C855" s="431">
        <v>44713</v>
      </c>
      <c r="D855" s="415" t="s">
        <v>271</v>
      </c>
      <c r="E855" s="415" t="s">
        <v>456</v>
      </c>
      <c r="F855" s="425">
        <v>233.26</v>
      </c>
      <c r="G855" s="427" t="s">
        <v>4555</v>
      </c>
      <c r="H855" s="415" t="s">
        <v>757</v>
      </c>
      <c r="I855" s="415" t="s">
        <v>6336</v>
      </c>
      <c r="J855" s="415" t="s">
        <v>3532</v>
      </c>
      <c r="K855" s="419" t="s">
        <v>830</v>
      </c>
      <c r="L855" s="415" t="s">
        <v>5936</v>
      </c>
      <c r="M855" s="419">
        <v>6648</v>
      </c>
      <c r="N855" s="413">
        <v>44720</v>
      </c>
      <c r="O855" s="414" t="s">
        <v>400</v>
      </c>
      <c r="P855" s="655">
        <f t="shared" si="39"/>
        <v>8</v>
      </c>
      <c r="Q855" s="655">
        <f t="shared" si="40"/>
        <v>6</v>
      </c>
      <c r="R855" s="695" t="str">
        <f t="shared" si="41"/>
        <v>Gastos_Gerais</v>
      </c>
      <c r="S855" s="697" t="s">
        <v>999</v>
      </c>
      <c r="T855" s="697">
        <v>3870</v>
      </c>
    </row>
    <row r="856" spans="1:20" ht="36" x14ac:dyDescent="0.2">
      <c r="A856" s="432">
        <f>IF(B856="","",COUNT('Diário 1º PA'!$A$4:$A$2635)+COUNT('Diário 2º PA'!$A$4:$A$3040)+ROW()-3)</f>
        <v>4952</v>
      </c>
      <c r="B856" s="414">
        <v>44781</v>
      </c>
      <c r="C856" s="431">
        <v>44743</v>
      </c>
      <c r="D856" s="415" t="s">
        <v>271</v>
      </c>
      <c r="E856" s="415" t="s">
        <v>64</v>
      </c>
      <c r="F856" s="425">
        <v>559.20000000000005</v>
      </c>
      <c r="G856" s="427" t="s">
        <v>6228</v>
      </c>
      <c r="H856" s="415" t="s">
        <v>309</v>
      </c>
      <c r="I856" s="415" t="s">
        <v>6337</v>
      </c>
      <c r="J856" s="415" t="s">
        <v>1330</v>
      </c>
      <c r="K856" s="419" t="s">
        <v>6338</v>
      </c>
      <c r="L856" s="415" t="s">
        <v>32</v>
      </c>
      <c r="M856" s="419" t="s">
        <v>6339</v>
      </c>
      <c r="N856" s="413">
        <v>44776</v>
      </c>
      <c r="O856" s="414" t="s">
        <v>400</v>
      </c>
      <c r="P856" s="655">
        <f t="shared" si="39"/>
        <v>8</v>
      </c>
      <c r="Q856" s="655">
        <f t="shared" si="40"/>
        <v>7</v>
      </c>
      <c r="R856" s="695" t="str">
        <f t="shared" si="41"/>
        <v>Gastos_Gerais</v>
      </c>
      <c r="S856" s="697" t="s">
        <v>310</v>
      </c>
      <c r="T856" s="697" t="s">
        <v>310</v>
      </c>
    </row>
    <row r="857" spans="1:20" ht="120" x14ac:dyDescent="0.2">
      <c r="A857" s="432">
        <f>IF(B857="","",COUNT('Diário 1º PA'!$A$4:$A$2635)+COUNT('Diário 2º PA'!$A$4:$A$3040)+ROW()-3)</f>
        <v>4953</v>
      </c>
      <c r="B857" s="414">
        <v>44781</v>
      </c>
      <c r="C857" s="431">
        <v>44743</v>
      </c>
      <c r="D857" s="415" t="s">
        <v>271</v>
      </c>
      <c r="E857" s="415" t="s">
        <v>297</v>
      </c>
      <c r="F857" s="422">
        <v>1258.8900000000001</v>
      </c>
      <c r="G857" s="427" t="s">
        <v>3925</v>
      </c>
      <c r="H857" s="415" t="s">
        <v>309</v>
      </c>
      <c r="I857" s="415" t="s">
        <v>776</v>
      </c>
      <c r="J857" s="415" t="s">
        <v>1036</v>
      </c>
      <c r="K857" s="419" t="s">
        <v>6338</v>
      </c>
      <c r="L857" s="415" t="s">
        <v>32</v>
      </c>
      <c r="M857" s="419">
        <v>48594</v>
      </c>
      <c r="N857" s="413">
        <v>44774</v>
      </c>
      <c r="O857" s="414" t="s">
        <v>400</v>
      </c>
      <c r="P857" s="655">
        <f t="shared" si="39"/>
        <v>8</v>
      </c>
      <c r="Q857" s="655">
        <f t="shared" si="40"/>
        <v>7</v>
      </c>
      <c r="R857" s="695" t="str">
        <f t="shared" si="41"/>
        <v>Gastos_Gerais</v>
      </c>
      <c r="S857" s="698" t="s">
        <v>1000</v>
      </c>
      <c r="T857" s="696">
        <v>1141</v>
      </c>
    </row>
    <row r="858" spans="1:20" ht="36" x14ac:dyDescent="0.2">
      <c r="A858" s="432">
        <f>IF(B858="","",COUNT('Diário 1º PA'!$A$4:$A$2635)+COUNT('Diário 2º PA'!$A$4:$A$3040)+ROW()-3)</f>
        <v>4954</v>
      </c>
      <c r="B858" s="414">
        <v>44781</v>
      </c>
      <c r="C858" s="431">
        <v>44774</v>
      </c>
      <c r="D858" s="415" t="s">
        <v>271</v>
      </c>
      <c r="E858" s="415" t="s">
        <v>71</v>
      </c>
      <c r="F858" s="425">
        <v>11</v>
      </c>
      <c r="G858" s="427" t="s">
        <v>6340</v>
      </c>
      <c r="H858" s="415" t="s">
        <v>790</v>
      </c>
      <c r="I858" s="398" t="s">
        <v>881</v>
      </c>
      <c r="J858" s="418" t="s">
        <v>882</v>
      </c>
      <c r="K858" s="418" t="s">
        <v>883</v>
      </c>
      <c r="L858" s="399" t="s">
        <v>798</v>
      </c>
      <c r="M858" s="544" t="s">
        <v>310</v>
      </c>
      <c r="N858" s="414">
        <v>44781</v>
      </c>
      <c r="O858" s="414" t="s">
        <v>400</v>
      </c>
      <c r="P858" s="655">
        <f t="shared" si="39"/>
        <v>8</v>
      </c>
      <c r="Q858" s="655">
        <f t="shared" si="40"/>
        <v>8</v>
      </c>
      <c r="R858" s="695" t="str">
        <f t="shared" si="41"/>
        <v>Gastos_Gerais</v>
      </c>
      <c r="S858" s="697" t="s">
        <v>310</v>
      </c>
      <c r="T858" s="697" t="s">
        <v>310</v>
      </c>
    </row>
    <row r="859" spans="1:20" ht="36" x14ac:dyDescent="0.2">
      <c r="A859" s="432">
        <f>IF(B859="","",COUNT('Diário 1º PA'!$A$4:$A$2635)+COUNT('Diário 2º PA'!$A$4:$A$3040)+ROW()-3)</f>
        <v>4955</v>
      </c>
      <c r="B859" s="414">
        <v>44781</v>
      </c>
      <c r="C859" s="431">
        <v>44774</v>
      </c>
      <c r="D859" s="415" t="s">
        <v>271</v>
      </c>
      <c r="E859" s="415" t="s">
        <v>71</v>
      </c>
      <c r="F859" s="425">
        <v>11</v>
      </c>
      <c r="G859" s="427" t="s">
        <v>6341</v>
      </c>
      <c r="H859" s="415" t="s">
        <v>757</v>
      </c>
      <c r="I859" s="398" t="s">
        <v>881</v>
      </c>
      <c r="J859" s="418" t="s">
        <v>882</v>
      </c>
      <c r="K859" s="418" t="s">
        <v>883</v>
      </c>
      <c r="L859" s="399" t="s">
        <v>798</v>
      </c>
      <c r="M859" s="544" t="s">
        <v>310</v>
      </c>
      <c r="N859" s="414">
        <v>44781</v>
      </c>
      <c r="O859" s="414" t="s">
        <v>400</v>
      </c>
      <c r="P859" s="655">
        <f t="shared" si="39"/>
        <v>8</v>
      </c>
      <c r="Q859" s="655">
        <f t="shared" si="40"/>
        <v>8</v>
      </c>
      <c r="R859" s="695" t="str">
        <f t="shared" si="41"/>
        <v>Gastos_Gerais</v>
      </c>
      <c r="S859" s="697" t="s">
        <v>310</v>
      </c>
      <c r="T859" s="697" t="s">
        <v>310</v>
      </c>
    </row>
    <row r="860" spans="1:20" ht="24" x14ac:dyDescent="0.2">
      <c r="A860" s="432">
        <f>IF(B860="","",COUNT('Diário 1º PA'!$A$4:$A$2635)+COUNT('Diário 2º PA'!$A$4:$A$3040)+ROW()-3)</f>
        <v>4956</v>
      </c>
      <c r="B860" s="414">
        <v>44781</v>
      </c>
      <c r="C860" s="431">
        <v>44774</v>
      </c>
      <c r="D860" s="415" t="s">
        <v>271</v>
      </c>
      <c r="E860" s="415" t="s">
        <v>71</v>
      </c>
      <c r="F860" s="425">
        <v>20</v>
      </c>
      <c r="G860" s="427" t="s">
        <v>6342</v>
      </c>
      <c r="H860" s="415" t="s">
        <v>310</v>
      </c>
      <c r="I860" s="398" t="s">
        <v>881</v>
      </c>
      <c r="J860" s="418" t="s">
        <v>882</v>
      </c>
      <c r="K860" s="418" t="s">
        <v>883</v>
      </c>
      <c r="L860" s="399" t="s">
        <v>798</v>
      </c>
      <c r="M860" s="544" t="s">
        <v>310</v>
      </c>
      <c r="N860" s="414">
        <v>44781</v>
      </c>
      <c r="O860" s="414" t="s">
        <v>400</v>
      </c>
      <c r="P860" s="655">
        <f t="shared" si="39"/>
        <v>8</v>
      </c>
      <c r="Q860" s="655">
        <f t="shared" si="40"/>
        <v>8</v>
      </c>
      <c r="R860" s="695" t="str">
        <f t="shared" si="41"/>
        <v>Gastos_Gerais</v>
      </c>
      <c r="S860" s="697" t="s">
        <v>310</v>
      </c>
      <c r="T860" s="697" t="s">
        <v>310</v>
      </c>
    </row>
    <row r="861" spans="1:20" ht="48" x14ac:dyDescent="0.2">
      <c r="A861" s="432">
        <f>IF(B861="","",COUNT('Diário 1º PA'!$A$4:$A$2635)+COUNT('Diário 2º PA'!$A$4:$A$3040)+ROW()-3)</f>
        <v>4957</v>
      </c>
      <c r="B861" s="414">
        <v>44781</v>
      </c>
      <c r="C861" s="431">
        <v>44743</v>
      </c>
      <c r="D861" s="415" t="s">
        <v>468</v>
      </c>
      <c r="E861" s="415" t="s">
        <v>468</v>
      </c>
      <c r="F861" s="425">
        <v>478.77</v>
      </c>
      <c r="G861" s="427" t="s">
        <v>5793</v>
      </c>
      <c r="H861" s="415" t="s">
        <v>468</v>
      </c>
      <c r="I861" s="398" t="s">
        <v>6512</v>
      </c>
      <c r="J861" s="418" t="s">
        <v>2310</v>
      </c>
      <c r="K861" s="418" t="s">
        <v>830</v>
      </c>
      <c r="L861" s="399" t="s">
        <v>807</v>
      </c>
      <c r="M861" s="473" t="s">
        <v>3971</v>
      </c>
      <c r="N861" s="414">
        <v>44778</v>
      </c>
      <c r="O861" s="414" t="s">
        <v>3762</v>
      </c>
      <c r="P861" s="655">
        <f t="shared" si="39"/>
        <v>8</v>
      </c>
      <c r="Q861" s="655">
        <f t="shared" si="40"/>
        <v>7</v>
      </c>
      <c r="R861" s="695" t="str">
        <f t="shared" si="41"/>
        <v>Gastos_custeados_por_captação</v>
      </c>
      <c r="S861" s="697" t="s">
        <v>998</v>
      </c>
      <c r="T861" s="697">
        <v>4073</v>
      </c>
    </row>
    <row r="862" spans="1:20" ht="48" x14ac:dyDescent="0.2">
      <c r="A862" s="432">
        <f>IF(B862="","",COUNT('Diário 1º PA'!$A$4:$A$2635)+COUNT('Diário 2º PA'!$A$4:$A$3040)+ROW()-3)</f>
        <v>4958</v>
      </c>
      <c r="B862" s="414">
        <v>44781</v>
      </c>
      <c r="C862" s="431">
        <v>44713</v>
      </c>
      <c r="D862" s="415" t="s">
        <v>468</v>
      </c>
      <c r="E862" s="415" t="s">
        <v>468</v>
      </c>
      <c r="F862" s="425">
        <v>144</v>
      </c>
      <c r="G862" s="427" t="s">
        <v>6461</v>
      </c>
      <c r="H862" s="415" t="s">
        <v>468</v>
      </c>
      <c r="I862" s="398" t="s">
        <v>764</v>
      </c>
      <c r="J862" s="418" t="s">
        <v>310</v>
      </c>
      <c r="K862" s="418" t="s">
        <v>1220</v>
      </c>
      <c r="L862" s="399" t="s">
        <v>3443</v>
      </c>
      <c r="M862" s="714">
        <v>222181790584</v>
      </c>
      <c r="N862" s="414">
        <v>44781</v>
      </c>
      <c r="O862" s="414" t="s">
        <v>3762</v>
      </c>
      <c r="P862" s="655">
        <f t="shared" si="39"/>
        <v>8</v>
      </c>
      <c r="Q862" s="655">
        <f t="shared" si="40"/>
        <v>6</v>
      </c>
      <c r="R862" s="695" t="str">
        <f t="shared" si="41"/>
        <v>Gastos_custeados_por_captação</v>
      </c>
      <c r="S862" s="697" t="s">
        <v>310</v>
      </c>
      <c r="T862" s="697" t="s">
        <v>310</v>
      </c>
    </row>
    <row r="863" spans="1:20" ht="48" x14ac:dyDescent="0.2">
      <c r="A863" s="432">
        <f>IF(B863="","",COUNT('Diário 1º PA'!$A$4:$A$2635)+COUNT('Diário 2º PA'!$A$4:$A$3040)+ROW()-3)</f>
        <v>4959</v>
      </c>
      <c r="B863" s="414">
        <v>44781</v>
      </c>
      <c r="C863" s="431">
        <v>44743</v>
      </c>
      <c r="D863" s="415" t="s">
        <v>468</v>
      </c>
      <c r="E863" s="415" t="s">
        <v>468</v>
      </c>
      <c r="F863" s="425">
        <v>23</v>
      </c>
      <c r="G863" s="427" t="s">
        <v>6473</v>
      </c>
      <c r="H863" s="415" t="s">
        <v>468</v>
      </c>
      <c r="I863" s="398" t="s">
        <v>764</v>
      </c>
      <c r="J863" s="418" t="s">
        <v>310</v>
      </c>
      <c r="K863" s="418" t="s">
        <v>1220</v>
      </c>
      <c r="L863" s="399" t="s">
        <v>3443</v>
      </c>
      <c r="M863" s="714">
        <v>222181795977</v>
      </c>
      <c r="N863" s="414">
        <v>44781</v>
      </c>
      <c r="O863" s="414" t="s">
        <v>3762</v>
      </c>
      <c r="P863" s="655">
        <f t="shared" si="39"/>
        <v>8</v>
      </c>
      <c r="Q863" s="655">
        <f t="shared" si="40"/>
        <v>7</v>
      </c>
      <c r="R863" s="695" t="str">
        <f t="shared" si="41"/>
        <v>Gastos_custeados_por_captação</v>
      </c>
      <c r="S863" s="697" t="s">
        <v>310</v>
      </c>
      <c r="T863" s="697" t="s">
        <v>310</v>
      </c>
    </row>
    <row r="864" spans="1:20" ht="48" x14ac:dyDescent="0.2">
      <c r="A864" s="432">
        <f>IF(B864="","",COUNT('Diário 1º PA'!$A$4:$A$2635)+COUNT('Diário 2º PA'!$A$4:$A$3040)+ROW()-3)</f>
        <v>4960</v>
      </c>
      <c r="B864" s="414">
        <v>44781</v>
      </c>
      <c r="C864" s="431">
        <v>44713</v>
      </c>
      <c r="D864" s="415" t="s">
        <v>468</v>
      </c>
      <c r="E864" s="415" t="s">
        <v>468</v>
      </c>
      <c r="F864" s="425">
        <v>137.5</v>
      </c>
      <c r="G864" s="427" t="s">
        <v>6455</v>
      </c>
      <c r="H864" s="415" t="s">
        <v>468</v>
      </c>
      <c r="I864" s="398" t="s">
        <v>764</v>
      </c>
      <c r="J864" s="418" t="s">
        <v>310</v>
      </c>
      <c r="K864" s="418" t="s">
        <v>1220</v>
      </c>
      <c r="L864" s="399" t="s">
        <v>3443</v>
      </c>
      <c r="M864" s="714">
        <v>222181790312</v>
      </c>
      <c r="N864" s="414">
        <v>44781</v>
      </c>
      <c r="O864" s="414" t="s">
        <v>3762</v>
      </c>
      <c r="P864" s="655">
        <f t="shared" si="39"/>
        <v>8</v>
      </c>
      <c r="Q864" s="655">
        <f t="shared" si="40"/>
        <v>6</v>
      </c>
      <c r="R864" s="695" t="str">
        <f t="shared" si="41"/>
        <v>Gastos_custeados_por_captação</v>
      </c>
      <c r="S864" s="697" t="s">
        <v>310</v>
      </c>
      <c r="T864" s="697" t="s">
        <v>310</v>
      </c>
    </row>
    <row r="865" spans="1:20" ht="48" x14ac:dyDescent="0.2">
      <c r="A865" s="432">
        <f>IF(B865="","",COUNT('Diário 1º PA'!$A$4:$A$2635)+COUNT('Diário 2º PA'!$A$4:$A$3040)+ROW()-3)</f>
        <v>4961</v>
      </c>
      <c r="B865" s="414">
        <v>44781</v>
      </c>
      <c r="C865" s="431">
        <v>44713</v>
      </c>
      <c r="D865" s="415" t="s">
        <v>468</v>
      </c>
      <c r="E865" s="415" t="s">
        <v>468</v>
      </c>
      <c r="F865" s="425">
        <v>150</v>
      </c>
      <c r="G865" s="427" t="s">
        <v>6476</v>
      </c>
      <c r="H865" s="415" t="s">
        <v>468</v>
      </c>
      <c r="I865" s="398" t="s">
        <v>764</v>
      </c>
      <c r="J865" s="418" t="s">
        <v>310</v>
      </c>
      <c r="K865" s="418" t="s">
        <v>1220</v>
      </c>
      <c r="L865" s="399" t="s">
        <v>3443</v>
      </c>
      <c r="M865" s="714">
        <v>222181796787</v>
      </c>
      <c r="N865" s="414">
        <v>44781</v>
      </c>
      <c r="O865" s="414" t="s">
        <v>3762</v>
      </c>
      <c r="P865" s="655">
        <f t="shared" si="39"/>
        <v>8</v>
      </c>
      <c r="Q865" s="655">
        <f t="shared" si="40"/>
        <v>6</v>
      </c>
      <c r="R865" s="695" t="str">
        <f t="shared" si="41"/>
        <v>Gastos_custeados_por_captação</v>
      </c>
      <c r="S865" s="697" t="s">
        <v>310</v>
      </c>
      <c r="T865" s="697" t="s">
        <v>310</v>
      </c>
    </row>
    <row r="866" spans="1:20" ht="48" x14ac:dyDescent="0.2">
      <c r="A866" s="432">
        <f>IF(B866="","",COUNT('Diário 1º PA'!$A$4:$A$2635)+COUNT('Diário 2º PA'!$A$4:$A$3040)+ROW()-3)</f>
        <v>4962</v>
      </c>
      <c r="B866" s="414">
        <v>44781</v>
      </c>
      <c r="C866" s="431">
        <v>44682</v>
      </c>
      <c r="D866" s="415" t="s">
        <v>468</v>
      </c>
      <c r="E866" s="415" t="s">
        <v>468</v>
      </c>
      <c r="F866" s="425">
        <v>50</v>
      </c>
      <c r="G866" s="427" t="s">
        <v>5252</v>
      </c>
      <c r="H866" s="415" t="s">
        <v>468</v>
      </c>
      <c r="I866" s="398" t="s">
        <v>764</v>
      </c>
      <c r="J866" s="418" t="s">
        <v>310</v>
      </c>
      <c r="K866" s="418" t="s">
        <v>1220</v>
      </c>
      <c r="L866" s="399" t="s">
        <v>3443</v>
      </c>
      <c r="M866" s="714">
        <v>222181789306</v>
      </c>
      <c r="N866" s="414">
        <v>44781</v>
      </c>
      <c r="O866" s="414" t="s">
        <v>3762</v>
      </c>
      <c r="P866" s="655">
        <f t="shared" si="39"/>
        <v>8</v>
      </c>
      <c r="Q866" s="655">
        <f t="shared" si="40"/>
        <v>5</v>
      </c>
      <c r="R866" s="695" t="str">
        <f t="shared" si="41"/>
        <v>Gastos_custeados_por_captação</v>
      </c>
      <c r="S866" s="697" t="s">
        <v>310</v>
      </c>
      <c r="T866" s="697" t="s">
        <v>310</v>
      </c>
    </row>
    <row r="867" spans="1:20" ht="48" x14ac:dyDescent="0.2">
      <c r="A867" s="432">
        <f>IF(B867="","",COUNT('Diário 1º PA'!$A$4:$A$2635)+COUNT('Diário 2º PA'!$A$4:$A$3040)+ROW()-3)</f>
        <v>4963</v>
      </c>
      <c r="B867" s="414">
        <v>44781</v>
      </c>
      <c r="C867" s="431">
        <v>44713</v>
      </c>
      <c r="D867" s="415" t="s">
        <v>468</v>
      </c>
      <c r="E867" s="415" t="s">
        <v>468</v>
      </c>
      <c r="F867" s="425">
        <v>100</v>
      </c>
      <c r="G867" s="427" t="s">
        <v>6449</v>
      </c>
      <c r="H867" s="415" t="s">
        <v>468</v>
      </c>
      <c r="I867" s="398" t="s">
        <v>764</v>
      </c>
      <c r="J867" s="418" t="s">
        <v>310</v>
      </c>
      <c r="K867" s="418" t="s">
        <v>1220</v>
      </c>
      <c r="L867" s="399" t="s">
        <v>3443</v>
      </c>
      <c r="M867" s="714">
        <v>222181789900</v>
      </c>
      <c r="N867" s="414">
        <v>44781</v>
      </c>
      <c r="O867" s="414" t="s">
        <v>3762</v>
      </c>
      <c r="P867" s="655">
        <f t="shared" si="39"/>
        <v>8</v>
      </c>
      <c r="Q867" s="655">
        <f t="shared" si="40"/>
        <v>6</v>
      </c>
      <c r="R867" s="695" t="str">
        <f t="shared" si="41"/>
        <v>Gastos_custeados_por_captação</v>
      </c>
      <c r="S867" s="697" t="s">
        <v>310</v>
      </c>
      <c r="T867" s="697" t="s">
        <v>310</v>
      </c>
    </row>
    <row r="868" spans="1:20" ht="48" x14ac:dyDescent="0.2">
      <c r="A868" s="432">
        <f>IF(B868="","",COUNT('Diário 1º PA'!$A$4:$A$2635)+COUNT('Diário 2º PA'!$A$4:$A$3040)+ROW()-3)</f>
        <v>4964</v>
      </c>
      <c r="B868" s="414">
        <v>44781</v>
      </c>
      <c r="C868" s="431">
        <v>44682</v>
      </c>
      <c r="D868" s="415" t="s">
        <v>468</v>
      </c>
      <c r="E868" s="415" t="s">
        <v>468</v>
      </c>
      <c r="F868" s="425">
        <v>210</v>
      </c>
      <c r="G868" s="427" t="s">
        <v>6434</v>
      </c>
      <c r="H868" s="415" t="s">
        <v>468</v>
      </c>
      <c r="I868" s="398" t="s">
        <v>764</v>
      </c>
      <c r="J868" s="418" t="s">
        <v>310</v>
      </c>
      <c r="K868" s="418" t="s">
        <v>1220</v>
      </c>
      <c r="L868" s="399" t="s">
        <v>3443</v>
      </c>
      <c r="M868" s="714">
        <v>222181789578</v>
      </c>
      <c r="N868" s="414">
        <v>44781</v>
      </c>
      <c r="O868" s="414" t="s">
        <v>3762</v>
      </c>
      <c r="P868" s="655">
        <f t="shared" si="39"/>
        <v>8</v>
      </c>
      <c r="Q868" s="655">
        <f t="shared" si="40"/>
        <v>5</v>
      </c>
      <c r="R868" s="695" t="str">
        <f t="shared" si="41"/>
        <v>Gastos_custeados_por_captação</v>
      </c>
      <c r="S868" s="697" t="s">
        <v>310</v>
      </c>
      <c r="T868" s="697" t="s">
        <v>310</v>
      </c>
    </row>
    <row r="869" spans="1:20" ht="48" x14ac:dyDescent="0.2">
      <c r="A869" s="432">
        <f>IF(B869="","",COUNT('Diário 1º PA'!$A$4:$A$2635)+COUNT('Diário 2º PA'!$A$4:$A$3040)+ROW()-3)</f>
        <v>4965</v>
      </c>
      <c r="B869" s="414">
        <v>44781</v>
      </c>
      <c r="C869" s="431">
        <v>44743</v>
      </c>
      <c r="D869" s="415" t="s">
        <v>468</v>
      </c>
      <c r="E869" s="415" t="s">
        <v>468</v>
      </c>
      <c r="F869" s="425">
        <v>105</v>
      </c>
      <c r="G869" s="427" t="s">
        <v>6479</v>
      </c>
      <c r="H869" s="415" t="s">
        <v>468</v>
      </c>
      <c r="I869" s="398" t="s">
        <v>764</v>
      </c>
      <c r="J869" s="418" t="s">
        <v>310</v>
      </c>
      <c r="K869" s="418" t="s">
        <v>1220</v>
      </c>
      <c r="L869" s="399" t="s">
        <v>3443</v>
      </c>
      <c r="M869" s="714">
        <v>222181791041</v>
      </c>
      <c r="N869" s="414">
        <v>44781</v>
      </c>
      <c r="O869" s="414" t="s">
        <v>3762</v>
      </c>
      <c r="P869" s="655">
        <f t="shared" si="39"/>
        <v>8</v>
      </c>
      <c r="Q869" s="655">
        <f t="shared" si="40"/>
        <v>7</v>
      </c>
      <c r="R869" s="695" t="str">
        <f t="shared" si="41"/>
        <v>Gastos_custeados_por_captação</v>
      </c>
      <c r="S869" s="697" t="s">
        <v>310</v>
      </c>
      <c r="T869" s="697" t="s">
        <v>310</v>
      </c>
    </row>
    <row r="870" spans="1:20" ht="48" x14ac:dyDescent="0.2">
      <c r="A870" s="432">
        <f>IF(B870="","",COUNT('Diário 1º PA'!$A$4:$A$2635)+COUNT('Diário 2º PA'!$A$4:$A$3040)+ROW()-3)</f>
        <v>4966</v>
      </c>
      <c r="B870" s="414">
        <v>44781</v>
      </c>
      <c r="C870" s="431">
        <v>44713</v>
      </c>
      <c r="D870" s="415" t="s">
        <v>468</v>
      </c>
      <c r="E870" s="415" t="s">
        <v>468</v>
      </c>
      <c r="F870" s="425">
        <v>55.27</v>
      </c>
      <c r="G870" s="427" t="s">
        <v>6452</v>
      </c>
      <c r="H870" s="415" t="s">
        <v>468</v>
      </c>
      <c r="I870" s="398" t="s">
        <v>764</v>
      </c>
      <c r="J870" s="418" t="s">
        <v>310</v>
      </c>
      <c r="K870" s="418" t="s">
        <v>1220</v>
      </c>
      <c r="L870" s="399" t="s">
        <v>3443</v>
      </c>
      <c r="M870" s="714">
        <v>222181790150</v>
      </c>
      <c r="N870" s="414">
        <v>44781</v>
      </c>
      <c r="O870" s="414" t="s">
        <v>3762</v>
      </c>
      <c r="P870" s="655">
        <f t="shared" si="39"/>
        <v>8</v>
      </c>
      <c r="Q870" s="655">
        <f t="shared" si="40"/>
        <v>6</v>
      </c>
      <c r="R870" s="695" t="str">
        <f t="shared" si="41"/>
        <v>Gastos_custeados_por_captação</v>
      </c>
      <c r="S870" s="697" t="s">
        <v>310</v>
      </c>
      <c r="T870" s="697" t="s">
        <v>310</v>
      </c>
    </row>
    <row r="871" spans="1:20" ht="48" x14ac:dyDescent="0.2">
      <c r="A871" s="432">
        <f>IF(B871="","",COUNT('Diário 1º PA'!$A$4:$A$2635)+COUNT('Diário 2º PA'!$A$4:$A$3040)+ROW()-3)</f>
        <v>4967</v>
      </c>
      <c r="B871" s="414">
        <v>44781</v>
      </c>
      <c r="C871" s="431">
        <v>44713</v>
      </c>
      <c r="D871" s="415" t="s">
        <v>468</v>
      </c>
      <c r="E871" s="415" t="s">
        <v>468</v>
      </c>
      <c r="F871" s="425">
        <v>150</v>
      </c>
      <c r="G871" s="427" t="s">
        <v>6497</v>
      </c>
      <c r="H871" s="415" t="s">
        <v>468</v>
      </c>
      <c r="I871" s="398" t="s">
        <v>764</v>
      </c>
      <c r="J871" s="418" t="s">
        <v>310</v>
      </c>
      <c r="K871" s="418" t="s">
        <v>1220</v>
      </c>
      <c r="L871" s="399" t="s">
        <v>3443</v>
      </c>
      <c r="M871" s="714">
        <v>222181796949</v>
      </c>
      <c r="N871" s="414">
        <v>44781</v>
      </c>
      <c r="O871" s="414" t="s">
        <v>3762</v>
      </c>
      <c r="P871" s="655">
        <f t="shared" si="39"/>
        <v>8</v>
      </c>
      <c r="Q871" s="655">
        <f t="shared" si="40"/>
        <v>6</v>
      </c>
      <c r="R871" s="695" t="str">
        <f t="shared" si="41"/>
        <v>Gastos_custeados_por_captação</v>
      </c>
      <c r="S871" s="697" t="s">
        <v>310</v>
      </c>
      <c r="T871" s="697" t="s">
        <v>310</v>
      </c>
    </row>
    <row r="872" spans="1:20" ht="48" x14ac:dyDescent="0.2">
      <c r="A872" s="432">
        <f>IF(B872="","",COUNT('Diário 1º PA'!$A$4:$A$2635)+COUNT('Diário 2º PA'!$A$4:$A$3040)+ROW()-3)</f>
        <v>4968</v>
      </c>
      <c r="B872" s="414">
        <v>44781</v>
      </c>
      <c r="C872" s="431">
        <v>44743</v>
      </c>
      <c r="D872" s="415" t="s">
        <v>468</v>
      </c>
      <c r="E872" s="415" t="s">
        <v>468</v>
      </c>
      <c r="F872" s="425">
        <v>50</v>
      </c>
      <c r="G872" s="427" t="s">
        <v>6467</v>
      </c>
      <c r="H872" s="415" t="s">
        <v>468</v>
      </c>
      <c r="I872" s="398" t="s">
        <v>764</v>
      </c>
      <c r="J872" s="418" t="s">
        <v>310</v>
      </c>
      <c r="K872" s="418" t="s">
        <v>1220</v>
      </c>
      <c r="L872" s="399" t="s">
        <v>3443</v>
      </c>
      <c r="M872" s="714">
        <v>222181790746</v>
      </c>
      <c r="N872" s="414">
        <v>44781</v>
      </c>
      <c r="O872" s="414" t="s">
        <v>3762</v>
      </c>
      <c r="P872" s="655">
        <f t="shared" si="39"/>
        <v>8</v>
      </c>
      <c r="Q872" s="655">
        <f t="shared" si="40"/>
        <v>7</v>
      </c>
      <c r="R872" s="695" t="str">
        <f t="shared" si="41"/>
        <v>Gastos_custeados_por_captação</v>
      </c>
      <c r="S872" s="697" t="s">
        <v>310</v>
      </c>
      <c r="T872" s="697" t="s">
        <v>310</v>
      </c>
    </row>
    <row r="873" spans="1:20" ht="48" x14ac:dyDescent="0.2">
      <c r="A873" s="432">
        <f>IF(B873="","",COUNT('Diário 1º PA'!$A$4:$A$2635)+COUNT('Diário 2º PA'!$A$4:$A$3040)+ROW()-3)</f>
        <v>4969</v>
      </c>
      <c r="B873" s="414">
        <v>44781</v>
      </c>
      <c r="C873" s="431">
        <v>44743</v>
      </c>
      <c r="D873" s="415" t="s">
        <v>468</v>
      </c>
      <c r="E873" s="415" t="s">
        <v>468</v>
      </c>
      <c r="F873" s="425">
        <v>120</v>
      </c>
      <c r="G873" s="427" t="s">
        <v>6469</v>
      </c>
      <c r="H873" s="415" t="s">
        <v>468</v>
      </c>
      <c r="I873" s="398" t="s">
        <v>764</v>
      </c>
      <c r="J873" s="418" t="s">
        <v>310</v>
      </c>
      <c r="K873" s="418" t="s">
        <v>1220</v>
      </c>
      <c r="L873" s="399" t="s">
        <v>3443</v>
      </c>
      <c r="M873" s="714">
        <v>222181791203</v>
      </c>
      <c r="N873" s="414">
        <v>44781</v>
      </c>
      <c r="O873" s="414" t="s">
        <v>3762</v>
      </c>
      <c r="P873" s="655">
        <f t="shared" si="39"/>
        <v>8</v>
      </c>
      <c r="Q873" s="655">
        <f t="shared" si="40"/>
        <v>7</v>
      </c>
      <c r="R873" s="695" t="str">
        <f t="shared" si="41"/>
        <v>Gastos_custeados_por_captação</v>
      </c>
      <c r="S873" s="697" t="s">
        <v>310</v>
      </c>
      <c r="T873" s="697" t="s">
        <v>310</v>
      </c>
    </row>
    <row r="874" spans="1:20" ht="48" x14ac:dyDescent="0.2">
      <c r="A874" s="432">
        <f>IF(B874="","",COUNT('Diário 1º PA'!$A$4:$A$2635)+COUNT('Diário 2º PA'!$A$4:$A$3040)+ROW()-3)</f>
        <v>4970</v>
      </c>
      <c r="B874" s="414">
        <v>44781</v>
      </c>
      <c r="C874" s="431">
        <v>44713</v>
      </c>
      <c r="D874" s="415" t="s">
        <v>468</v>
      </c>
      <c r="E874" s="415" t="s">
        <v>468</v>
      </c>
      <c r="F874" s="425">
        <v>150</v>
      </c>
      <c r="G874" s="427" t="s">
        <v>6480</v>
      </c>
      <c r="H874" s="415" t="s">
        <v>468</v>
      </c>
      <c r="I874" s="398" t="s">
        <v>764</v>
      </c>
      <c r="J874" s="418" t="s">
        <v>310</v>
      </c>
      <c r="K874" s="418" t="s">
        <v>1220</v>
      </c>
      <c r="L874" s="399" t="s">
        <v>3443</v>
      </c>
      <c r="M874" s="714">
        <v>222181797244</v>
      </c>
      <c r="N874" s="414">
        <v>44781</v>
      </c>
      <c r="O874" s="414" t="s">
        <v>3762</v>
      </c>
      <c r="P874" s="655">
        <f t="shared" si="39"/>
        <v>8</v>
      </c>
      <c r="Q874" s="655">
        <f t="shared" si="40"/>
        <v>6</v>
      </c>
      <c r="R874" s="695" t="str">
        <f t="shared" si="41"/>
        <v>Gastos_custeados_por_captação</v>
      </c>
      <c r="S874" s="697" t="s">
        <v>310</v>
      </c>
      <c r="T874" s="697" t="s">
        <v>310</v>
      </c>
    </row>
    <row r="875" spans="1:20" ht="48" x14ac:dyDescent="0.2">
      <c r="A875" s="432">
        <f>IF(B875="","",COUNT('Diário 1º PA'!$A$4:$A$2635)+COUNT('Diário 2º PA'!$A$4:$A$3040)+ROW()-3)</f>
        <v>4971</v>
      </c>
      <c r="B875" s="414">
        <v>44781</v>
      </c>
      <c r="C875" s="431">
        <v>44774</v>
      </c>
      <c r="D875" s="415" t="s">
        <v>468</v>
      </c>
      <c r="E875" s="415" t="s">
        <v>468</v>
      </c>
      <c r="F875" s="425">
        <v>11</v>
      </c>
      <c r="G875" s="427" t="s">
        <v>6516</v>
      </c>
      <c r="H875" s="415" t="s">
        <v>468</v>
      </c>
      <c r="I875" s="639" t="s">
        <v>881</v>
      </c>
      <c r="J875" s="418" t="s">
        <v>882</v>
      </c>
      <c r="K875" s="418" t="s">
        <v>883</v>
      </c>
      <c r="L875" s="399" t="s">
        <v>798</v>
      </c>
      <c r="M875" s="544" t="s">
        <v>310</v>
      </c>
      <c r="N875" s="414">
        <v>44781</v>
      </c>
      <c r="O875" s="414" t="s">
        <v>3762</v>
      </c>
      <c r="P875" s="655">
        <f t="shared" si="39"/>
        <v>8</v>
      </c>
      <c r="Q875" s="655">
        <f t="shared" si="40"/>
        <v>8</v>
      </c>
      <c r="R875" s="695" t="str">
        <f t="shared" si="41"/>
        <v>Gastos_custeados_por_captação</v>
      </c>
      <c r="S875" s="697" t="s">
        <v>310</v>
      </c>
      <c r="T875" s="697" t="s">
        <v>310</v>
      </c>
    </row>
    <row r="876" spans="1:20" ht="36" x14ac:dyDescent="0.2">
      <c r="A876" s="432">
        <f>IF(B876="","",COUNT('Diário 1º PA'!$A$4:$A$2635)+COUNT('Diário 2º PA'!$A$4:$A$3040)+ROW()-3)</f>
        <v>4972</v>
      </c>
      <c r="B876" s="414">
        <v>44781</v>
      </c>
      <c r="C876" s="431">
        <v>44713</v>
      </c>
      <c r="D876" s="415" t="s">
        <v>468</v>
      </c>
      <c r="E876" s="415" t="s">
        <v>468</v>
      </c>
      <c r="F876" s="425">
        <v>90</v>
      </c>
      <c r="G876" s="427" t="s">
        <v>6374</v>
      </c>
      <c r="H876" s="415" t="s">
        <v>468</v>
      </c>
      <c r="I876" s="398" t="s">
        <v>764</v>
      </c>
      <c r="J876" s="418" t="s">
        <v>310</v>
      </c>
      <c r="K876" s="418" t="s">
        <v>1220</v>
      </c>
      <c r="L876" s="399" t="s">
        <v>3443</v>
      </c>
      <c r="M876" s="718" t="s">
        <v>6492</v>
      </c>
      <c r="N876" s="414">
        <v>44781</v>
      </c>
      <c r="O876" s="414" t="s">
        <v>408</v>
      </c>
      <c r="P876" s="655">
        <f t="shared" si="39"/>
        <v>8</v>
      </c>
      <c r="Q876" s="655">
        <f t="shared" si="40"/>
        <v>6</v>
      </c>
      <c r="R876" s="695" t="str">
        <f t="shared" si="41"/>
        <v>Gastos_custeados_por_captação</v>
      </c>
      <c r="S876" s="697" t="s">
        <v>310</v>
      </c>
      <c r="T876" s="697" t="s">
        <v>310</v>
      </c>
    </row>
    <row r="877" spans="1:20" ht="36" x14ac:dyDescent="0.2">
      <c r="A877" s="432">
        <f>IF(B877="","",COUNT('Diário 1º PA'!$A$4:$A$2635)+COUNT('Diário 2º PA'!$A$4:$A$3040)+ROW()-3)</f>
        <v>4973</v>
      </c>
      <c r="B877" s="414">
        <v>44781</v>
      </c>
      <c r="C877" s="431">
        <v>44713</v>
      </c>
      <c r="D877" s="415" t="s">
        <v>468</v>
      </c>
      <c r="E877" s="415" t="s">
        <v>468</v>
      </c>
      <c r="F877" s="425">
        <v>88.44</v>
      </c>
      <c r="G877" s="427" t="s">
        <v>6393</v>
      </c>
      <c r="H877" s="415" t="s">
        <v>468</v>
      </c>
      <c r="I877" s="398" t="s">
        <v>764</v>
      </c>
      <c r="J877" s="418" t="s">
        <v>310</v>
      </c>
      <c r="K877" s="418" t="s">
        <v>1220</v>
      </c>
      <c r="L877" s="399" t="s">
        <v>3443</v>
      </c>
      <c r="M877" s="613">
        <v>222181896226</v>
      </c>
      <c r="N877" s="414">
        <v>44781</v>
      </c>
      <c r="O877" s="414" t="s">
        <v>408</v>
      </c>
      <c r="P877" s="655">
        <f t="shared" si="39"/>
        <v>8</v>
      </c>
      <c r="Q877" s="655">
        <f t="shared" si="40"/>
        <v>6</v>
      </c>
      <c r="R877" s="695" t="str">
        <f t="shared" si="41"/>
        <v>Gastos_custeados_por_captação</v>
      </c>
      <c r="S877" s="697" t="s">
        <v>310</v>
      </c>
      <c r="T877" s="697" t="s">
        <v>310</v>
      </c>
    </row>
    <row r="878" spans="1:20" ht="36" x14ac:dyDescent="0.2">
      <c r="A878" s="432">
        <f>IF(B878="","",COUNT('Diário 1º PA'!$A$4:$A$2635)+COUNT('Diário 2º PA'!$A$4:$A$3040)+ROW()-3)</f>
        <v>4974</v>
      </c>
      <c r="B878" s="414">
        <v>44781</v>
      </c>
      <c r="C878" s="431">
        <v>44713</v>
      </c>
      <c r="D878" s="415" t="s">
        <v>468</v>
      </c>
      <c r="E878" s="415" t="s">
        <v>468</v>
      </c>
      <c r="F878" s="425">
        <v>180</v>
      </c>
      <c r="G878" s="427" t="s">
        <v>6403</v>
      </c>
      <c r="H878" s="415" t="s">
        <v>468</v>
      </c>
      <c r="I878" s="398" t="s">
        <v>764</v>
      </c>
      <c r="J878" s="418" t="s">
        <v>310</v>
      </c>
      <c r="K878" s="418" t="s">
        <v>1220</v>
      </c>
      <c r="L878" s="399" t="s">
        <v>3443</v>
      </c>
      <c r="M878" s="613">
        <v>222181896226</v>
      </c>
      <c r="N878" s="414">
        <v>44781</v>
      </c>
      <c r="O878" s="414" t="s">
        <v>408</v>
      </c>
      <c r="P878" s="655">
        <f t="shared" si="39"/>
        <v>8</v>
      </c>
      <c r="Q878" s="655">
        <f t="shared" si="40"/>
        <v>6</v>
      </c>
      <c r="R878" s="695" t="str">
        <f t="shared" si="41"/>
        <v>Gastos_custeados_por_captação</v>
      </c>
      <c r="S878" s="697" t="s">
        <v>310</v>
      </c>
      <c r="T878" s="697" t="s">
        <v>310</v>
      </c>
    </row>
    <row r="879" spans="1:20" ht="36" x14ac:dyDescent="0.2">
      <c r="A879" s="432">
        <f>IF(B879="","",COUNT('Diário 1º PA'!$A$4:$A$2635)+COUNT('Diário 2º PA'!$A$4:$A$3040)+ROW()-3)</f>
        <v>4975</v>
      </c>
      <c r="B879" s="414">
        <v>44781</v>
      </c>
      <c r="C879" s="431">
        <v>44713</v>
      </c>
      <c r="D879" s="415" t="s">
        <v>468</v>
      </c>
      <c r="E879" s="415" t="s">
        <v>468</v>
      </c>
      <c r="F879" s="425">
        <v>55.27</v>
      </c>
      <c r="G879" s="427" t="s">
        <v>6395</v>
      </c>
      <c r="H879" s="415" t="s">
        <v>468</v>
      </c>
      <c r="I879" s="398" t="s">
        <v>764</v>
      </c>
      <c r="J879" s="418" t="s">
        <v>310</v>
      </c>
      <c r="K879" s="418" t="s">
        <v>1220</v>
      </c>
      <c r="L879" s="399" t="s">
        <v>3443</v>
      </c>
      <c r="M879" s="613">
        <v>222181896811</v>
      </c>
      <c r="N879" s="414">
        <v>44781</v>
      </c>
      <c r="O879" s="414" t="s">
        <v>408</v>
      </c>
      <c r="P879" s="655">
        <f t="shared" si="39"/>
        <v>8</v>
      </c>
      <c r="Q879" s="655">
        <f t="shared" si="40"/>
        <v>6</v>
      </c>
      <c r="R879" s="695" t="str">
        <f t="shared" si="41"/>
        <v>Gastos_custeados_por_captação</v>
      </c>
      <c r="S879" s="697" t="s">
        <v>310</v>
      </c>
      <c r="T879" s="697" t="s">
        <v>310</v>
      </c>
    </row>
    <row r="880" spans="1:20" ht="36" x14ac:dyDescent="0.2">
      <c r="A880" s="432">
        <f>IF(B880="","",COUNT('Diário 1º PA'!$A$4:$A$2635)+COUNT('Diário 2º PA'!$A$4:$A$3040)+ROW()-3)</f>
        <v>4976</v>
      </c>
      <c r="B880" s="414">
        <v>44781</v>
      </c>
      <c r="C880" s="431">
        <v>44713</v>
      </c>
      <c r="D880" s="415" t="s">
        <v>468</v>
      </c>
      <c r="E880" s="415" t="s">
        <v>468</v>
      </c>
      <c r="F880" s="425">
        <v>100.76</v>
      </c>
      <c r="G880" s="427" t="s">
        <v>6399</v>
      </c>
      <c r="H880" s="415" t="s">
        <v>468</v>
      </c>
      <c r="I880" s="398" t="s">
        <v>764</v>
      </c>
      <c r="J880" s="418" t="s">
        <v>310</v>
      </c>
      <c r="K880" s="418" t="s">
        <v>1220</v>
      </c>
      <c r="L880" s="399" t="s">
        <v>3443</v>
      </c>
      <c r="M880" s="613" t="s">
        <v>6491</v>
      </c>
      <c r="N880" s="414">
        <v>44781</v>
      </c>
      <c r="O880" s="414" t="s">
        <v>408</v>
      </c>
      <c r="P880" s="655">
        <f t="shared" si="39"/>
        <v>8</v>
      </c>
      <c r="Q880" s="655">
        <f t="shared" si="40"/>
        <v>6</v>
      </c>
      <c r="R880" s="695" t="str">
        <f t="shared" si="41"/>
        <v>Gastos_custeados_por_captação</v>
      </c>
      <c r="S880" s="697" t="s">
        <v>310</v>
      </c>
      <c r="T880" s="697" t="s">
        <v>310</v>
      </c>
    </row>
    <row r="881" spans="1:20" ht="36" x14ac:dyDescent="0.2">
      <c r="A881" s="432">
        <f>IF(B881="","",COUNT('Diário 1º PA'!$A$4:$A$2635)+COUNT('Diário 2º PA'!$A$4:$A$3040)+ROW()-3)</f>
        <v>4977</v>
      </c>
      <c r="B881" s="414">
        <v>44781</v>
      </c>
      <c r="C881" s="431">
        <v>44743</v>
      </c>
      <c r="D881" s="415" t="s">
        <v>468</v>
      </c>
      <c r="E881" s="415" t="s">
        <v>468</v>
      </c>
      <c r="F881" s="425">
        <v>30.54</v>
      </c>
      <c r="G881" s="427" t="s">
        <v>6411</v>
      </c>
      <c r="H881" s="415" t="s">
        <v>468</v>
      </c>
      <c r="I881" s="398" t="s">
        <v>764</v>
      </c>
      <c r="J881" s="418" t="s">
        <v>310</v>
      </c>
      <c r="K881" s="418" t="s">
        <v>1220</v>
      </c>
      <c r="L881" s="399" t="s">
        <v>3443</v>
      </c>
      <c r="M881" s="613">
        <v>222181897389</v>
      </c>
      <c r="N881" s="414">
        <v>44781</v>
      </c>
      <c r="O881" s="414" t="s">
        <v>408</v>
      </c>
      <c r="P881" s="655">
        <f t="shared" si="39"/>
        <v>8</v>
      </c>
      <c r="Q881" s="655">
        <f t="shared" si="40"/>
        <v>7</v>
      </c>
      <c r="R881" s="695" t="str">
        <f t="shared" si="41"/>
        <v>Gastos_custeados_por_captação</v>
      </c>
      <c r="S881" s="697" t="s">
        <v>310</v>
      </c>
      <c r="T881" s="697" t="s">
        <v>310</v>
      </c>
    </row>
    <row r="882" spans="1:20" ht="36" x14ac:dyDescent="0.2">
      <c r="A882" s="432">
        <f>IF(B882="","",COUNT('Diário 1º PA'!$A$4:$A$2635)+COUNT('Diário 2º PA'!$A$4:$A$3040)+ROW()-3)</f>
        <v>4978</v>
      </c>
      <c r="B882" s="414">
        <v>44781</v>
      </c>
      <c r="C882" s="431">
        <v>44713</v>
      </c>
      <c r="D882" s="415" t="s">
        <v>468</v>
      </c>
      <c r="E882" s="415" t="s">
        <v>468</v>
      </c>
      <c r="F882" s="425">
        <v>175</v>
      </c>
      <c r="G882" s="427" t="s">
        <v>6425</v>
      </c>
      <c r="H882" s="415" t="s">
        <v>468</v>
      </c>
      <c r="I882" s="398" t="s">
        <v>764</v>
      </c>
      <c r="J882" s="418" t="s">
        <v>310</v>
      </c>
      <c r="K882" s="418" t="s">
        <v>1220</v>
      </c>
      <c r="L882" s="399" t="s">
        <v>3443</v>
      </c>
      <c r="M882" s="613">
        <v>222181898199</v>
      </c>
      <c r="N882" s="414">
        <v>44781</v>
      </c>
      <c r="O882" s="414" t="s">
        <v>408</v>
      </c>
      <c r="P882" s="655">
        <f t="shared" si="39"/>
        <v>8</v>
      </c>
      <c r="Q882" s="655">
        <f t="shared" si="40"/>
        <v>6</v>
      </c>
      <c r="R882" s="695" t="str">
        <f t="shared" si="41"/>
        <v>Gastos_custeados_por_captação</v>
      </c>
      <c r="S882" s="697" t="s">
        <v>310</v>
      </c>
      <c r="T882" s="697" t="s">
        <v>310</v>
      </c>
    </row>
    <row r="883" spans="1:20" ht="36" x14ac:dyDescent="0.2">
      <c r="A883" s="432">
        <f>IF(B883="","",COUNT('Diário 1º PA'!$A$4:$A$2635)+COUNT('Diário 2º PA'!$A$4:$A$3040)+ROW()-3)</f>
        <v>4979</v>
      </c>
      <c r="B883" s="414">
        <v>44781</v>
      </c>
      <c r="C883" s="431">
        <v>44713</v>
      </c>
      <c r="D883" s="415" t="s">
        <v>468</v>
      </c>
      <c r="E883" s="415" t="s">
        <v>468</v>
      </c>
      <c r="F883" s="425">
        <v>114.57</v>
      </c>
      <c r="G883" s="427" t="s">
        <v>6412</v>
      </c>
      <c r="H883" s="415" t="s">
        <v>468</v>
      </c>
      <c r="I883" s="398" t="s">
        <v>764</v>
      </c>
      <c r="J883" s="418" t="s">
        <v>310</v>
      </c>
      <c r="K883" s="418" t="s">
        <v>1220</v>
      </c>
      <c r="L883" s="399" t="s">
        <v>3443</v>
      </c>
      <c r="M883" s="613">
        <v>222181902994</v>
      </c>
      <c r="N883" s="414">
        <v>44781</v>
      </c>
      <c r="O883" s="414" t="s">
        <v>408</v>
      </c>
      <c r="P883" s="655">
        <f t="shared" si="39"/>
        <v>8</v>
      </c>
      <c r="Q883" s="655">
        <f t="shared" si="40"/>
        <v>6</v>
      </c>
      <c r="R883" s="695" t="str">
        <f t="shared" si="41"/>
        <v>Gastos_custeados_por_captação</v>
      </c>
      <c r="S883" s="697" t="s">
        <v>310</v>
      </c>
      <c r="T883" s="697" t="s">
        <v>310</v>
      </c>
    </row>
    <row r="884" spans="1:20" ht="36" x14ac:dyDescent="0.2">
      <c r="A884" s="432">
        <f>IF(B884="","",COUNT('Diário 1º PA'!$A$4:$A$2635)+COUNT('Diário 2º PA'!$A$4:$A$3040)+ROW()-3)</f>
        <v>4980</v>
      </c>
      <c r="B884" s="414">
        <v>44781</v>
      </c>
      <c r="C884" s="431">
        <v>44682</v>
      </c>
      <c r="D884" s="415" t="s">
        <v>468</v>
      </c>
      <c r="E884" s="415" t="s">
        <v>468</v>
      </c>
      <c r="F884" s="425">
        <v>180.9</v>
      </c>
      <c r="G884" s="427" t="s">
        <v>6414</v>
      </c>
      <c r="H884" s="415" t="s">
        <v>468</v>
      </c>
      <c r="I884" s="398" t="s">
        <v>764</v>
      </c>
      <c r="J884" s="418" t="s">
        <v>310</v>
      </c>
      <c r="K884" s="418" t="s">
        <v>1220</v>
      </c>
      <c r="L884" s="399" t="s">
        <v>3443</v>
      </c>
      <c r="M884" s="613">
        <v>222181903109</v>
      </c>
      <c r="N884" s="414">
        <v>44781</v>
      </c>
      <c r="O884" s="414" t="s">
        <v>408</v>
      </c>
      <c r="P884" s="655">
        <f t="shared" si="39"/>
        <v>8</v>
      </c>
      <c r="Q884" s="655">
        <f t="shared" si="40"/>
        <v>5</v>
      </c>
      <c r="R884" s="695" t="str">
        <f t="shared" si="41"/>
        <v>Gastos_custeados_por_captação</v>
      </c>
      <c r="S884" s="697" t="s">
        <v>310</v>
      </c>
      <c r="T884" s="697" t="s">
        <v>310</v>
      </c>
    </row>
    <row r="885" spans="1:20" ht="36" x14ac:dyDescent="0.2">
      <c r="A885" s="432">
        <f>IF(B885="","",COUNT('Diário 1º PA'!$A$4:$A$2635)+COUNT('Diário 2º PA'!$A$4:$A$3040)+ROW()-3)</f>
        <v>4981</v>
      </c>
      <c r="B885" s="414">
        <v>44781</v>
      </c>
      <c r="C885" s="431">
        <v>44713</v>
      </c>
      <c r="D885" s="415" t="s">
        <v>468</v>
      </c>
      <c r="E885" s="415" t="s">
        <v>468</v>
      </c>
      <c r="F885" s="425">
        <v>114.57</v>
      </c>
      <c r="G885" s="427" t="s">
        <v>6419</v>
      </c>
      <c r="H885" s="415" t="s">
        <v>468</v>
      </c>
      <c r="I885" s="398" t="s">
        <v>764</v>
      </c>
      <c r="J885" s="418" t="s">
        <v>310</v>
      </c>
      <c r="K885" s="418" t="s">
        <v>1220</v>
      </c>
      <c r="L885" s="399" t="s">
        <v>3443</v>
      </c>
      <c r="M885" s="613">
        <v>222181903613</v>
      </c>
      <c r="N885" s="414">
        <v>44781</v>
      </c>
      <c r="O885" s="414" t="s">
        <v>408</v>
      </c>
      <c r="P885" s="655">
        <f t="shared" si="39"/>
        <v>8</v>
      </c>
      <c r="Q885" s="655">
        <f t="shared" si="40"/>
        <v>6</v>
      </c>
      <c r="R885" s="695" t="str">
        <f t="shared" si="41"/>
        <v>Gastos_custeados_por_captação</v>
      </c>
      <c r="S885" s="697" t="s">
        <v>310</v>
      </c>
      <c r="T885" s="697" t="s">
        <v>310</v>
      </c>
    </row>
    <row r="886" spans="1:20" ht="36" x14ac:dyDescent="0.2">
      <c r="A886" s="432">
        <f>IF(B886="","",COUNT('Diário 1º PA'!$A$4:$A$2635)+COUNT('Diário 2º PA'!$A$4:$A$3040)+ROW()-3)</f>
        <v>4982</v>
      </c>
      <c r="B886" s="414">
        <v>44781</v>
      </c>
      <c r="C886" s="431">
        <v>44713</v>
      </c>
      <c r="D886" s="415" t="s">
        <v>468</v>
      </c>
      <c r="E886" s="415" t="s">
        <v>468</v>
      </c>
      <c r="F886" s="425">
        <v>70.349999999999994</v>
      </c>
      <c r="G886" s="427" t="s">
        <v>6415</v>
      </c>
      <c r="H886" s="415" t="s">
        <v>468</v>
      </c>
      <c r="I886" s="398" t="s">
        <v>764</v>
      </c>
      <c r="J886" s="418" t="s">
        <v>310</v>
      </c>
      <c r="K886" s="418" t="s">
        <v>1220</v>
      </c>
      <c r="L886" s="399" t="s">
        <v>3443</v>
      </c>
      <c r="M886" s="613">
        <v>222181903702</v>
      </c>
      <c r="N886" s="414">
        <v>44781</v>
      </c>
      <c r="O886" s="414" t="s">
        <v>408</v>
      </c>
      <c r="P886" s="655">
        <f t="shared" si="39"/>
        <v>8</v>
      </c>
      <c r="Q886" s="655">
        <f t="shared" si="40"/>
        <v>6</v>
      </c>
      <c r="R886" s="695" t="str">
        <f t="shared" si="41"/>
        <v>Gastos_custeados_por_captação</v>
      </c>
      <c r="S886" s="697" t="s">
        <v>310</v>
      </c>
      <c r="T886" s="697" t="s">
        <v>310</v>
      </c>
    </row>
    <row r="887" spans="1:20" ht="36" x14ac:dyDescent="0.2">
      <c r="A887" s="432">
        <f>IF(B887="","",COUNT('Diário 1º PA'!$A$4:$A$2635)+COUNT('Diário 2º PA'!$A$4:$A$3040)+ROW()-3)</f>
        <v>4983</v>
      </c>
      <c r="B887" s="414">
        <v>44781</v>
      </c>
      <c r="C887" s="431">
        <v>44713</v>
      </c>
      <c r="D887" s="415" t="s">
        <v>468</v>
      </c>
      <c r="E887" s="415" t="s">
        <v>468</v>
      </c>
      <c r="F887" s="425">
        <v>200</v>
      </c>
      <c r="G887" s="427" t="s">
        <v>6416</v>
      </c>
      <c r="H887" s="415" t="s">
        <v>468</v>
      </c>
      <c r="I887" s="398" t="s">
        <v>764</v>
      </c>
      <c r="J887" s="418" t="s">
        <v>310</v>
      </c>
      <c r="K887" s="418" t="s">
        <v>1220</v>
      </c>
      <c r="L887" s="399" t="s">
        <v>3443</v>
      </c>
      <c r="M887" s="613" t="s">
        <v>6490</v>
      </c>
      <c r="N887" s="414">
        <v>44781</v>
      </c>
      <c r="O887" s="414" t="s">
        <v>408</v>
      </c>
      <c r="P887" s="655">
        <f t="shared" si="39"/>
        <v>8</v>
      </c>
      <c r="Q887" s="655">
        <f t="shared" si="40"/>
        <v>6</v>
      </c>
      <c r="R887" s="695" t="str">
        <f t="shared" si="41"/>
        <v>Gastos_custeados_por_captação</v>
      </c>
      <c r="S887" s="697" t="s">
        <v>310</v>
      </c>
      <c r="T887" s="697" t="s">
        <v>310</v>
      </c>
    </row>
    <row r="888" spans="1:20" ht="36" x14ac:dyDescent="0.2">
      <c r="A888" s="432">
        <f>IF(B888="","",COUNT('Diário 1º PA'!$A$4:$A$2635)+COUNT('Diário 2º PA'!$A$4:$A$3040)+ROW()-3)</f>
        <v>4984</v>
      </c>
      <c r="B888" s="414">
        <v>44781</v>
      </c>
      <c r="C888" s="431">
        <v>44682</v>
      </c>
      <c r="D888" s="415" t="s">
        <v>468</v>
      </c>
      <c r="E888" s="415" t="s">
        <v>468</v>
      </c>
      <c r="F888" s="425">
        <v>202.8</v>
      </c>
      <c r="G888" s="427" t="s">
        <v>6493</v>
      </c>
      <c r="H888" s="415" t="s">
        <v>468</v>
      </c>
      <c r="I888" s="398" t="s">
        <v>764</v>
      </c>
      <c r="J888" s="418" t="s">
        <v>310</v>
      </c>
      <c r="K888" s="418" t="s">
        <v>1220</v>
      </c>
      <c r="L888" s="399" t="s">
        <v>3443</v>
      </c>
      <c r="M888" s="613">
        <v>222181904261</v>
      </c>
      <c r="N888" s="414">
        <v>44781</v>
      </c>
      <c r="O888" s="414" t="s">
        <v>408</v>
      </c>
      <c r="P888" s="655">
        <f t="shared" si="39"/>
        <v>8</v>
      </c>
      <c r="Q888" s="655">
        <f t="shared" si="40"/>
        <v>5</v>
      </c>
      <c r="R888" s="695" t="str">
        <f t="shared" si="41"/>
        <v>Gastos_custeados_por_captação</v>
      </c>
      <c r="S888" s="697" t="s">
        <v>310</v>
      </c>
      <c r="T888" s="697" t="s">
        <v>310</v>
      </c>
    </row>
    <row r="889" spans="1:20" ht="36" x14ac:dyDescent="0.2">
      <c r="A889" s="432">
        <f>IF(B889="","",COUNT('Diário 1º PA'!$A$4:$A$2635)+COUNT('Diário 2º PA'!$A$4:$A$3040)+ROW()-3)</f>
        <v>4985</v>
      </c>
      <c r="B889" s="414">
        <v>44781</v>
      </c>
      <c r="C889" s="431">
        <v>44682</v>
      </c>
      <c r="D889" s="415" t="s">
        <v>468</v>
      </c>
      <c r="E889" s="415" t="s">
        <v>468</v>
      </c>
      <c r="F889" s="425">
        <v>12.06</v>
      </c>
      <c r="G889" s="427" t="s">
        <v>6423</v>
      </c>
      <c r="H889" s="415" t="s">
        <v>468</v>
      </c>
      <c r="I889" s="398" t="s">
        <v>764</v>
      </c>
      <c r="J889" s="418" t="s">
        <v>310</v>
      </c>
      <c r="K889" s="418" t="s">
        <v>1220</v>
      </c>
      <c r="L889" s="399" t="s">
        <v>3443</v>
      </c>
      <c r="M889" s="613">
        <v>222181904423</v>
      </c>
      <c r="N889" s="414">
        <v>44781</v>
      </c>
      <c r="O889" s="414" t="s">
        <v>408</v>
      </c>
      <c r="P889" s="655">
        <f t="shared" si="39"/>
        <v>8</v>
      </c>
      <c r="Q889" s="655">
        <f t="shared" si="40"/>
        <v>5</v>
      </c>
      <c r="R889" s="695" t="str">
        <f t="shared" si="41"/>
        <v>Gastos_custeados_por_captação</v>
      </c>
      <c r="S889" s="697" t="s">
        <v>310</v>
      </c>
      <c r="T889" s="697" t="s">
        <v>310</v>
      </c>
    </row>
    <row r="890" spans="1:20" ht="60" x14ac:dyDescent="0.2">
      <c r="A890" s="432">
        <f>IF(B890="","",COUNT('Diário 1º PA'!$A$4:$A$2635)+COUNT('Diário 2º PA'!$A$4:$A$3040)+ROW()-3)</f>
        <v>4986</v>
      </c>
      <c r="B890" s="414">
        <v>44781</v>
      </c>
      <c r="C890" s="431">
        <v>44682</v>
      </c>
      <c r="D890" s="415" t="s">
        <v>468</v>
      </c>
      <c r="E890" s="415" t="s">
        <v>468</v>
      </c>
      <c r="F890" s="425">
        <v>120</v>
      </c>
      <c r="G890" s="427" t="s">
        <v>6544</v>
      </c>
      <c r="H890" s="415" t="s">
        <v>468</v>
      </c>
      <c r="I890" s="427" t="s">
        <v>764</v>
      </c>
      <c r="J890" s="415" t="s">
        <v>310</v>
      </c>
      <c r="K890" s="415" t="s">
        <v>1220</v>
      </c>
      <c r="L890" s="415" t="s">
        <v>3443</v>
      </c>
      <c r="M890" s="613">
        <v>222181784851</v>
      </c>
      <c r="N890" s="414">
        <v>44781</v>
      </c>
      <c r="O890" s="414" t="s">
        <v>404</v>
      </c>
      <c r="P890" s="655">
        <f t="shared" si="39"/>
        <v>8</v>
      </c>
      <c r="Q890" s="655">
        <f t="shared" si="40"/>
        <v>5</v>
      </c>
      <c r="R890" s="695" t="str">
        <f t="shared" si="41"/>
        <v>Gastos_custeados_por_captação</v>
      </c>
      <c r="S890" s="697" t="s">
        <v>310</v>
      </c>
      <c r="T890" s="697" t="s">
        <v>310</v>
      </c>
    </row>
    <row r="891" spans="1:20" ht="60" x14ac:dyDescent="0.2">
      <c r="A891" s="432">
        <f>IF(B891="","",COUNT('Diário 1º PA'!$A$4:$A$2635)+COUNT('Diário 2º PA'!$A$4:$A$3040)+ROW()-3)</f>
        <v>4987</v>
      </c>
      <c r="B891" s="414">
        <v>44781</v>
      </c>
      <c r="C891" s="431">
        <v>44713</v>
      </c>
      <c r="D891" s="415" t="s">
        <v>468</v>
      </c>
      <c r="E891" s="415" t="s">
        <v>468</v>
      </c>
      <c r="F891" s="425">
        <v>120</v>
      </c>
      <c r="G891" s="427" t="s">
        <v>6548</v>
      </c>
      <c r="H891" s="415" t="s">
        <v>468</v>
      </c>
      <c r="I891" s="427" t="s">
        <v>764</v>
      </c>
      <c r="J891" s="415" t="s">
        <v>310</v>
      </c>
      <c r="K891" s="415" t="s">
        <v>1220</v>
      </c>
      <c r="L891" s="415" t="s">
        <v>3443</v>
      </c>
      <c r="M891" s="613">
        <v>222181784932</v>
      </c>
      <c r="N891" s="414">
        <v>44781</v>
      </c>
      <c r="O891" s="414" t="s">
        <v>404</v>
      </c>
      <c r="P891" s="655">
        <f t="shared" si="39"/>
        <v>8</v>
      </c>
      <c r="Q891" s="655">
        <f t="shared" si="40"/>
        <v>6</v>
      </c>
      <c r="R891" s="695" t="str">
        <f t="shared" si="41"/>
        <v>Gastos_custeados_por_captação</v>
      </c>
      <c r="S891" s="697" t="s">
        <v>310</v>
      </c>
      <c r="T891" s="697" t="s">
        <v>310</v>
      </c>
    </row>
    <row r="892" spans="1:20" ht="60" x14ac:dyDescent="0.2">
      <c r="A892" s="432">
        <f>IF(B892="","",COUNT('Diário 1º PA'!$A$4:$A$2635)+COUNT('Diário 2º PA'!$A$4:$A$3040)+ROW()-3)</f>
        <v>4988</v>
      </c>
      <c r="B892" s="414">
        <v>44781</v>
      </c>
      <c r="C892" s="431">
        <v>44682</v>
      </c>
      <c r="D892" s="415" t="s">
        <v>468</v>
      </c>
      <c r="E892" s="415" t="s">
        <v>468</v>
      </c>
      <c r="F892" s="425">
        <v>150</v>
      </c>
      <c r="G892" s="427" t="s">
        <v>6552</v>
      </c>
      <c r="H892" s="415" t="s">
        <v>468</v>
      </c>
      <c r="I892" s="427" t="s">
        <v>764</v>
      </c>
      <c r="J892" s="415" t="s">
        <v>310</v>
      </c>
      <c r="K892" s="415" t="s">
        <v>1220</v>
      </c>
      <c r="L892" s="415" t="s">
        <v>3443</v>
      </c>
      <c r="M892" s="613">
        <v>222181785238</v>
      </c>
      <c r="N892" s="414">
        <v>44781</v>
      </c>
      <c r="O892" s="414" t="s">
        <v>404</v>
      </c>
      <c r="P892" s="655">
        <f t="shared" si="39"/>
        <v>8</v>
      </c>
      <c r="Q892" s="655">
        <f t="shared" si="40"/>
        <v>5</v>
      </c>
      <c r="R892" s="695" t="str">
        <f t="shared" si="41"/>
        <v>Gastos_custeados_por_captação</v>
      </c>
      <c r="S892" s="697" t="s">
        <v>310</v>
      </c>
      <c r="T892" s="697" t="s">
        <v>310</v>
      </c>
    </row>
    <row r="893" spans="1:20" ht="60" x14ac:dyDescent="0.2">
      <c r="A893" s="432">
        <f>IF(B893="","",COUNT('Diário 1º PA'!$A$4:$A$2635)+COUNT('Diário 2º PA'!$A$4:$A$3040)+ROW()-3)</f>
        <v>4989</v>
      </c>
      <c r="B893" s="414">
        <v>44781</v>
      </c>
      <c r="C893" s="431">
        <v>44713</v>
      </c>
      <c r="D893" s="415" t="s">
        <v>468</v>
      </c>
      <c r="E893" s="415" t="s">
        <v>468</v>
      </c>
      <c r="F893" s="425">
        <v>120</v>
      </c>
      <c r="G893" s="427" t="s">
        <v>6559</v>
      </c>
      <c r="H893" s="415" t="s">
        <v>468</v>
      </c>
      <c r="I893" s="427" t="s">
        <v>764</v>
      </c>
      <c r="J893" s="415" t="s">
        <v>310</v>
      </c>
      <c r="K893" s="415" t="s">
        <v>1220</v>
      </c>
      <c r="L893" s="415" t="s">
        <v>3443</v>
      </c>
      <c r="M893" s="613">
        <v>222181785661</v>
      </c>
      <c r="N893" s="414">
        <v>44781</v>
      </c>
      <c r="O893" s="414" t="s">
        <v>404</v>
      </c>
      <c r="P893" s="655">
        <f t="shared" si="39"/>
        <v>8</v>
      </c>
      <c r="Q893" s="655">
        <f t="shared" si="40"/>
        <v>6</v>
      </c>
      <c r="R893" s="695" t="str">
        <f t="shared" si="41"/>
        <v>Gastos_custeados_por_captação</v>
      </c>
      <c r="S893" s="697" t="s">
        <v>310</v>
      </c>
      <c r="T893" s="697" t="s">
        <v>310</v>
      </c>
    </row>
    <row r="894" spans="1:20" ht="60" x14ac:dyDescent="0.2">
      <c r="A894" s="432">
        <f>IF(B894="","",COUNT('Diário 1º PA'!$A$4:$A$2635)+COUNT('Diário 2º PA'!$A$4:$A$3040)+ROW()-3)</f>
        <v>4990</v>
      </c>
      <c r="B894" s="414">
        <v>44781</v>
      </c>
      <c r="C894" s="431">
        <v>44713</v>
      </c>
      <c r="D894" s="415" t="s">
        <v>468</v>
      </c>
      <c r="E894" s="415" t="s">
        <v>468</v>
      </c>
      <c r="F894" s="425">
        <v>25</v>
      </c>
      <c r="G894" s="427" t="s">
        <v>6583</v>
      </c>
      <c r="H894" s="415" t="s">
        <v>468</v>
      </c>
      <c r="I894" s="427" t="s">
        <v>764</v>
      </c>
      <c r="J894" s="415" t="s">
        <v>310</v>
      </c>
      <c r="K894" s="415" t="s">
        <v>1220</v>
      </c>
      <c r="L894" s="415" t="s">
        <v>3443</v>
      </c>
      <c r="M894" s="613">
        <v>222181875652</v>
      </c>
      <c r="N894" s="414">
        <v>44781</v>
      </c>
      <c r="O894" s="414" t="s">
        <v>405</v>
      </c>
      <c r="P894" s="655">
        <f t="shared" si="39"/>
        <v>8</v>
      </c>
      <c r="Q894" s="655">
        <f t="shared" si="40"/>
        <v>6</v>
      </c>
      <c r="R894" s="695" t="str">
        <f t="shared" si="41"/>
        <v>Gastos_custeados_por_captação</v>
      </c>
      <c r="S894" s="697" t="s">
        <v>310</v>
      </c>
      <c r="T894" s="697" t="s">
        <v>310</v>
      </c>
    </row>
    <row r="895" spans="1:20" ht="60" x14ac:dyDescent="0.2">
      <c r="A895" s="432">
        <f>IF(B895="","",COUNT('Diário 1º PA'!$A$4:$A$2635)+COUNT('Diário 2º PA'!$A$4:$A$3040)+ROW()-3)</f>
        <v>4991</v>
      </c>
      <c r="B895" s="414">
        <v>44781</v>
      </c>
      <c r="C895" s="431">
        <v>44713</v>
      </c>
      <c r="D895" s="415" t="s">
        <v>468</v>
      </c>
      <c r="E895" s="415" t="s">
        <v>468</v>
      </c>
      <c r="F895" s="425">
        <v>159.79</v>
      </c>
      <c r="G895" s="427" t="s">
        <v>6595</v>
      </c>
      <c r="H895" s="415" t="s">
        <v>468</v>
      </c>
      <c r="I895" s="427" t="s">
        <v>764</v>
      </c>
      <c r="J895" s="415" t="s">
        <v>310</v>
      </c>
      <c r="K895" s="415" t="s">
        <v>1220</v>
      </c>
      <c r="L895" s="415" t="s">
        <v>3443</v>
      </c>
      <c r="M895" s="613">
        <v>222181876039</v>
      </c>
      <c r="N895" s="414">
        <v>44781</v>
      </c>
      <c r="O895" s="414" t="s">
        <v>405</v>
      </c>
      <c r="P895" s="655">
        <f t="shared" si="39"/>
        <v>8</v>
      </c>
      <c r="Q895" s="655">
        <f t="shared" si="40"/>
        <v>6</v>
      </c>
      <c r="R895" s="695" t="str">
        <f t="shared" si="41"/>
        <v>Gastos_custeados_por_captação</v>
      </c>
      <c r="S895" s="697" t="s">
        <v>310</v>
      </c>
      <c r="T895" s="697" t="s">
        <v>310</v>
      </c>
    </row>
    <row r="896" spans="1:20" ht="60" x14ac:dyDescent="0.2">
      <c r="A896" s="432">
        <f>IF(B896="","",COUNT('Diário 1º PA'!$A$4:$A$2635)+COUNT('Diário 2º PA'!$A$4:$A$3040)+ROW()-3)</f>
        <v>4992</v>
      </c>
      <c r="B896" s="414">
        <v>44781</v>
      </c>
      <c r="C896" s="431">
        <v>44713</v>
      </c>
      <c r="D896" s="415" t="s">
        <v>468</v>
      </c>
      <c r="E896" s="415" t="s">
        <v>468</v>
      </c>
      <c r="F896" s="425">
        <v>137.5</v>
      </c>
      <c r="G896" s="427" t="s">
        <v>6584</v>
      </c>
      <c r="H896" s="415" t="s">
        <v>468</v>
      </c>
      <c r="I896" s="427" t="s">
        <v>764</v>
      </c>
      <c r="J896" s="415" t="s">
        <v>310</v>
      </c>
      <c r="K896" s="415" t="s">
        <v>1220</v>
      </c>
      <c r="L896" s="415" t="s">
        <v>3443</v>
      </c>
      <c r="M896" s="613">
        <v>222181876209</v>
      </c>
      <c r="N896" s="414">
        <v>44781</v>
      </c>
      <c r="O896" s="414" t="s">
        <v>405</v>
      </c>
      <c r="P896" s="655">
        <f t="shared" si="39"/>
        <v>8</v>
      </c>
      <c r="Q896" s="655">
        <f t="shared" si="40"/>
        <v>6</v>
      </c>
      <c r="R896" s="695" t="str">
        <f t="shared" si="41"/>
        <v>Gastos_custeados_por_captação</v>
      </c>
      <c r="S896" s="697" t="s">
        <v>310</v>
      </c>
      <c r="T896" s="697" t="s">
        <v>310</v>
      </c>
    </row>
    <row r="897" spans="1:20" ht="60" x14ac:dyDescent="0.2">
      <c r="A897" s="432">
        <f>IF(B897="","",COUNT('Diário 1º PA'!$A$4:$A$2635)+COUNT('Diário 2º PA'!$A$4:$A$3040)+ROW()-3)</f>
        <v>4993</v>
      </c>
      <c r="B897" s="414">
        <v>44781</v>
      </c>
      <c r="C897" s="431">
        <v>44713</v>
      </c>
      <c r="D897" s="415" t="s">
        <v>468</v>
      </c>
      <c r="E897" s="415" t="s">
        <v>468</v>
      </c>
      <c r="F897" s="425">
        <v>90</v>
      </c>
      <c r="G897" s="427" t="s">
        <v>6589</v>
      </c>
      <c r="H897" s="415" t="s">
        <v>468</v>
      </c>
      <c r="I897" s="427" t="s">
        <v>764</v>
      </c>
      <c r="J897" s="415" t="s">
        <v>310</v>
      </c>
      <c r="K897" s="415" t="s">
        <v>1220</v>
      </c>
      <c r="L897" s="415" t="s">
        <v>3443</v>
      </c>
      <c r="M897" s="613">
        <v>222181876705</v>
      </c>
      <c r="N897" s="414">
        <v>44781</v>
      </c>
      <c r="O897" s="414" t="s">
        <v>405</v>
      </c>
      <c r="P897" s="655">
        <f t="shared" si="39"/>
        <v>8</v>
      </c>
      <c r="Q897" s="655">
        <f t="shared" si="40"/>
        <v>6</v>
      </c>
      <c r="R897" s="695" t="str">
        <f t="shared" si="41"/>
        <v>Gastos_custeados_por_captação</v>
      </c>
      <c r="S897" s="697" t="s">
        <v>310</v>
      </c>
      <c r="T897" s="697" t="s">
        <v>310</v>
      </c>
    </row>
    <row r="898" spans="1:20" ht="60" x14ac:dyDescent="0.2">
      <c r="A898" s="432">
        <f>IF(B898="","",COUNT('Diário 1º PA'!$A$4:$A$2635)+COUNT('Diário 2º PA'!$A$4:$A$3040)+ROW()-3)</f>
        <v>4994</v>
      </c>
      <c r="B898" s="414">
        <v>44781</v>
      </c>
      <c r="C898" s="431">
        <v>44713</v>
      </c>
      <c r="D898" s="415" t="s">
        <v>468</v>
      </c>
      <c r="E898" s="415" t="s">
        <v>468</v>
      </c>
      <c r="F898" s="425">
        <v>60.3</v>
      </c>
      <c r="G898" s="427" t="s">
        <v>6593</v>
      </c>
      <c r="H898" s="415" t="s">
        <v>468</v>
      </c>
      <c r="I898" s="427" t="s">
        <v>764</v>
      </c>
      <c r="J898" s="415" t="s">
        <v>310</v>
      </c>
      <c r="K898" s="415" t="s">
        <v>1220</v>
      </c>
      <c r="L898" s="415" t="s">
        <v>3443</v>
      </c>
      <c r="M898" s="613">
        <v>222181877000</v>
      </c>
      <c r="N898" s="414">
        <v>44781</v>
      </c>
      <c r="O898" s="414" t="s">
        <v>405</v>
      </c>
      <c r="P898" s="655">
        <f t="shared" si="39"/>
        <v>8</v>
      </c>
      <c r="Q898" s="655">
        <f t="shared" si="40"/>
        <v>6</v>
      </c>
      <c r="R898" s="695" t="str">
        <f t="shared" si="41"/>
        <v>Gastos_custeados_por_captação</v>
      </c>
      <c r="S898" s="697" t="s">
        <v>310</v>
      </c>
      <c r="T898" s="697" t="s">
        <v>310</v>
      </c>
    </row>
    <row r="899" spans="1:20" ht="60" x14ac:dyDescent="0.2">
      <c r="A899" s="432">
        <f>IF(B899="","",COUNT('Diário 1º PA'!$A$4:$A$2635)+COUNT('Diário 2º PA'!$A$4:$A$3040)+ROW()-3)</f>
        <v>4995</v>
      </c>
      <c r="B899" s="414">
        <v>44781</v>
      </c>
      <c r="C899" s="431">
        <v>44713</v>
      </c>
      <c r="D899" s="415" t="s">
        <v>468</v>
      </c>
      <c r="E899" s="415" t="s">
        <v>468</v>
      </c>
      <c r="F899" s="425">
        <v>55.27</v>
      </c>
      <c r="G899" s="427" t="s">
        <v>6596</v>
      </c>
      <c r="H899" s="415" t="s">
        <v>468</v>
      </c>
      <c r="I899" s="427" t="s">
        <v>764</v>
      </c>
      <c r="J899" s="415" t="s">
        <v>310</v>
      </c>
      <c r="K899" s="415" t="s">
        <v>1220</v>
      </c>
      <c r="L899" s="415" t="s">
        <v>3443</v>
      </c>
      <c r="M899" s="613">
        <v>222181877515</v>
      </c>
      <c r="N899" s="414">
        <v>44781</v>
      </c>
      <c r="O899" s="414" t="s">
        <v>405</v>
      </c>
      <c r="P899" s="655">
        <f t="shared" si="39"/>
        <v>8</v>
      </c>
      <c r="Q899" s="655">
        <f t="shared" si="40"/>
        <v>6</v>
      </c>
      <c r="R899" s="695" t="str">
        <f t="shared" si="41"/>
        <v>Gastos_custeados_por_captação</v>
      </c>
      <c r="S899" s="697" t="s">
        <v>310</v>
      </c>
      <c r="T899" s="697" t="s">
        <v>310</v>
      </c>
    </row>
    <row r="900" spans="1:20" ht="60" x14ac:dyDescent="0.2">
      <c r="A900" s="432">
        <f>IF(B900="","",COUNT('Diário 1º PA'!$A$4:$A$2635)+COUNT('Diário 2º PA'!$A$4:$A$3040)+ROW()-3)</f>
        <v>4996</v>
      </c>
      <c r="B900" s="414">
        <v>44781</v>
      </c>
      <c r="C900" s="431">
        <v>44743</v>
      </c>
      <c r="D900" s="415" t="s">
        <v>468</v>
      </c>
      <c r="E900" s="415" t="s">
        <v>468</v>
      </c>
      <c r="F900" s="425">
        <v>25</v>
      </c>
      <c r="G900" s="427" t="s">
        <v>6604</v>
      </c>
      <c r="H900" s="415" t="s">
        <v>468</v>
      </c>
      <c r="I900" s="427" t="s">
        <v>764</v>
      </c>
      <c r="J900" s="415" t="s">
        <v>310</v>
      </c>
      <c r="K900" s="415" t="s">
        <v>1220</v>
      </c>
      <c r="L900" s="415" t="s">
        <v>3443</v>
      </c>
      <c r="M900" s="613">
        <v>222181877787</v>
      </c>
      <c r="N900" s="414">
        <v>44781</v>
      </c>
      <c r="O900" s="414" t="s">
        <v>405</v>
      </c>
      <c r="P900" s="655">
        <f t="shared" si="39"/>
        <v>8</v>
      </c>
      <c r="Q900" s="655">
        <f t="shared" si="40"/>
        <v>7</v>
      </c>
      <c r="R900" s="695" t="str">
        <f t="shared" si="41"/>
        <v>Gastos_custeados_por_captação</v>
      </c>
      <c r="S900" s="697" t="s">
        <v>310</v>
      </c>
      <c r="T900" s="697" t="s">
        <v>310</v>
      </c>
    </row>
    <row r="901" spans="1:20" ht="60" x14ac:dyDescent="0.2">
      <c r="A901" s="432">
        <f>IF(B901="","",COUNT('Diário 1º PA'!$A$4:$A$2635)+COUNT('Diário 2º PA'!$A$4:$A$3040)+ROW()-3)</f>
        <v>4997</v>
      </c>
      <c r="B901" s="414">
        <v>44781</v>
      </c>
      <c r="C901" s="431">
        <v>44743</v>
      </c>
      <c r="D901" s="415" t="s">
        <v>468</v>
      </c>
      <c r="E901" s="415" t="s">
        <v>468</v>
      </c>
      <c r="F901" s="425">
        <v>250</v>
      </c>
      <c r="G901" s="427" t="s">
        <v>6600</v>
      </c>
      <c r="H901" s="415" t="s">
        <v>468</v>
      </c>
      <c r="I901" s="427" t="s">
        <v>764</v>
      </c>
      <c r="J901" s="415" t="s">
        <v>310</v>
      </c>
      <c r="K901" s="415" t="s">
        <v>1220</v>
      </c>
      <c r="L901" s="415" t="s">
        <v>3443</v>
      </c>
      <c r="M901" s="613">
        <v>222181878082</v>
      </c>
      <c r="N901" s="414">
        <v>44781</v>
      </c>
      <c r="O901" s="414" t="s">
        <v>405</v>
      </c>
      <c r="P901" s="655">
        <f t="shared" ref="P901:P964" si="42">IF(B901=0,0,IF(YEAR(B901)=$Q$1,MONTH(B901)-$P$1+1,(YEAR(B901)-$Q$1)*12-$P$1+1+MONTH(B901)))</f>
        <v>8</v>
      </c>
      <c r="Q901" s="655">
        <f t="shared" ref="Q901:Q964" si="43">IF(C901=0,0,IF(YEAR(C901)=$Q$1,MONTH(C901)-$P$1+1,(YEAR(C901)-$Q$1)*12-$P$1+1+MONTH(C901)))</f>
        <v>7</v>
      </c>
      <c r="R901" s="695" t="str">
        <f t="shared" ref="R901:R964" si="44">SUBSTITUTE(D901," ","_")</f>
        <v>Gastos_custeados_por_captação</v>
      </c>
      <c r="S901" s="697" t="s">
        <v>310</v>
      </c>
      <c r="T901" s="697" t="s">
        <v>310</v>
      </c>
    </row>
    <row r="902" spans="1:20" ht="60" x14ac:dyDescent="0.2">
      <c r="A902" s="432">
        <f>IF(B902="","",COUNT('Diário 1º PA'!$A$4:$A$2635)+COUNT('Diário 2º PA'!$A$4:$A$3040)+ROW()-3)</f>
        <v>4998</v>
      </c>
      <c r="B902" s="414">
        <v>44781</v>
      </c>
      <c r="C902" s="431">
        <v>44713</v>
      </c>
      <c r="D902" s="415" t="s">
        <v>468</v>
      </c>
      <c r="E902" s="415" t="s">
        <v>468</v>
      </c>
      <c r="F902" s="425">
        <v>66.33</v>
      </c>
      <c r="G902" s="427" t="s">
        <v>6616</v>
      </c>
      <c r="H902" s="415" t="s">
        <v>468</v>
      </c>
      <c r="I902" s="427" t="s">
        <v>764</v>
      </c>
      <c r="J902" s="415" t="s">
        <v>310</v>
      </c>
      <c r="K902" s="415" t="s">
        <v>1220</v>
      </c>
      <c r="L902" s="415" t="s">
        <v>3443</v>
      </c>
      <c r="M902" s="613">
        <v>222181878163</v>
      </c>
      <c r="N902" s="414">
        <v>44781</v>
      </c>
      <c r="O902" s="414" t="s">
        <v>405</v>
      </c>
      <c r="P902" s="655">
        <f t="shared" si="42"/>
        <v>8</v>
      </c>
      <c r="Q902" s="655">
        <f t="shared" si="43"/>
        <v>6</v>
      </c>
      <c r="R902" s="695" t="str">
        <f t="shared" si="44"/>
        <v>Gastos_custeados_por_captação</v>
      </c>
      <c r="S902" s="697" t="s">
        <v>310</v>
      </c>
      <c r="T902" s="697" t="s">
        <v>310</v>
      </c>
    </row>
    <row r="903" spans="1:20" ht="60" x14ac:dyDescent="0.2">
      <c r="A903" s="432">
        <f>IF(B903="","",COUNT('Diário 1º PA'!$A$4:$A$2635)+COUNT('Diário 2º PA'!$A$4:$A$3040)+ROW()-3)</f>
        <v>4999</v>
      </c>
      <c r="B903" s="414">
        <v>44781</v>
      </c>
      <c r="C903" s="431">
        <v>44743</v>
      </c>
      <c r="D903" s="415" t="s">
        <v>468</v>
      </c>
      <c r="E903" s="415" t="s">
        <v>468</v>
      </c>
      <c r="F903" s="425">
        <v>70.349999999999994</v>
      </c>
      <c r="G903" s="427" t="s">
        <v>6615</v>
      </c>
      <c r="H903" s="415" t="s">
        <v>468</v>
      </c>
      <c r="I903" s="427" t="s">
        <v>764</v>
      </c>
      <c r="J903" s="415" t="s">
        <v>310</v>
      </c>
      <c r="K903" s="415" t="s">
        <v>1220</v>
      </c>
      <c r="L903" s="415" t="s">
        <v>3443</v>
      </c>
      <c r="M903" s="613">
        <v>222181878678</v>
      </c>
      <c r="N903" s="414">
        <v>44781</v>
      </c>
      <c r="O903" s="414" t="s">
        <v>405</v>
      </c>
      <c r="P903" s="655">
        <f t="shared" si="42"/>
        <v>8</v>
      </c>
      <c r="Q903" s="655">
        <f t="shared" si="43"/>
        <v>7</v>
      </c>
      <c r="R903" s="695" t="str">
        <f t="shared" si="44"/>
        <v>Gastos_custeados_por_captação</v>
      </c>
      <c r="S903" s="697" t="s">
        <v>310</v>
      </c>
      <c r="T903" s="697" t="s">
        <v>310</v>
      </c>
    </row>
    <row r="904" spans="1:20" ht="60" x14ac:dyDescent="0.2">
      <c r="A904" s="432">
        <f>IF(B904="","",COUNT('Diário 1º PA'!$A$4:$A$2635)+COUNT('Diário 2º PA'!$A$4:$A$3040)+ROW()-3)</f>
        <v>5000</v>
      </c>
      <c r="B904" s="414">
        <v>44781</v>
      </c>
      <c r="C904" s="431">
        <v>44743</v>
      </c>
      <c r="D904" s="415" t="s">
        <v>468</v>
      </c>
      <c r="E904" s="415" t="s">
        <v>468</v>
      </c>
      <c r="F904" s="425">
        <v>18.09</v>
      </c>
      <c r="G904" s="427" t="s">
        <v>6624</v>
      </c>
      <c r="H904" s="415" t="s">
        <v>468</v>
      </c>
      <c r="I904" s="427" t="s">
        <v>764</v>
      </c>
      <c r="J904" s="415" t="s">
        <v>310</v>
      </c>
      <c r="K904" s="415" t="s">
        <v>1220</v>
      </c>
      <c r="L904" s="415" t="s">
        <v>3443</v>
      </c>
      <c r="M904" s="613">
        <v>222181879054</v>
      </c>
      <c r="N904" s="414">
        <v>44781</v>
      </c>
      <c r="O904" s="414" t="s">
        <v>405</v>
      </c>
      <c r="P904" s="655">
        <f t="shared" si="42"/>
        <v>8</v>
      </c>
      <c r="Q904" s="655">
        <f t="shared" si="43"/>
        <v>7</v>
      </c>
      <c r="R904" s="695" t="str">
        <f t="shared" si="44"/>
        <v>Gastos_custeados_por_captação</v>
      </c>
      <c r="S904" s="697" t="s">
        <v>310</v>
      </c>
      <c r="T904" s="697" t="s">
        <v>310</v>
      </c>
    </row>
    <row r="905" spans="1:20" ht="60" x14ac:dyDescent="0.2">
      <c r="A905" s="432">
        <f>IF(B905="","",COUNT('Diário 1º PA'!$A$4:$A$2635)+COUNT('Diário 2º PA'!$A$4:$A$3040)+ROW()-3)</f>
        <v>5001</v>
      </c>
      <c r="B905" s="414">
        <v>44781</v>
      </c>
      <c r="C905" s="431">
        <v>44743</v>
      </c>
      <c r="D905" s="415" t="s">
        <v>468</v>
      </c>
      <c r="E905" s="415" t="s">
        <v>468</v>
      </c>
      <c r="F905" s="425">
        <v>90.45</v>
      </c>
      <c r="G905" s="427" t="s">
        <v>6630</v>
      </c>
      <c r="H905" s="415" t="s">
        <v>468</v>
      </c>
      <c r="I905" s="427" t="s">
        <v>764</v>
      </c>
      <c r="J905" s="415" t="s">
        <v>310</v>
      </c>
      <c r="K905" s="415" t="s">
        <v>1220</v>
      </c>
      <c r="L905" s="415" t="s">
        <v>3443</v>
      </c>
      <c r="M905" s="613">
        <v>222181879305</v>
      </c>
      <c r="N905" s="414">
        <v>44781</v>
      </c>
      <c r="O905" s="414" t="s">
        <v>405</v>
      </c>
      <c r="P905" s="655">
        <f t="shared" si="42"/>
        <v>8</v>
      </c>
      <c r="Q905" s="655">
        <f t="shared" si="43"/>
        <v>7</v>
      </c>
      <c r="R905" s="695" t="str">
        <f t="shared" si="44"/>
        <v>Gastos_custeados_por_captação</v>
      </c>
      <c r="S905" s="697" t="s">
        <v>310</v>
      </c>
      <c r="T905" s="697" t="s">
        <v>310</v>
      </c>
    </row>
    <row r="906" spans="1:20" ht="60" x14ac:dyDescent="0.2">
      <c r="A906" s="432">
        <f>IF(B906="","",COUNT('Diário 1º PA'!$A$4:$A$2635)+COUNT('Diário 2º PA'!$A$4:$A$3040)+ROW()-3)</f>
        <v>5002</v>
      </c>
      <c r="B906" s="414">
        <v>44781</v>
      </c>
      <c r="C906" s="431">
        <v>44713</v>
      </c>
      <c r="D906" s="415" t="s">
        <v>468</v>
      </c>
      <c r="E906" s="415" t="s">
        <v>468</v>
      </c>
      <c r="F906" s="425">
        <v>46.2</v>
      </c>
      <c r="G906" s="427" t="s">
        <v>6627</v>
      </c>
      <c r="H906" s="415" t="s">
        <v>468</v>
      </c>
      <c r="I906" s="427" t="s">
        <v>764</v>
      </c>
      <c r="J906" s="415" t="s">
        <v>310</v>
      </c>
      <c r="K906" s="415" t="s">
        <v>1220</v>
      </c>
      <c r="L906" s="415" t="s">
        <v>3443</v>
      </c>
      <c r="M906" s="613">
        <v>222181879640</v>
      </c>
      <c r="N906" s="414">
        <v>44781</v>
      </c>
      <c r="O906" s="414" t="s">
        <v>405</v>
      </c>
      <c r="P906" s="655">
        <f t="shared" si="42"/>
        <v>8</v>
      </c>
      <c r="Q906" s="655">
        <f t="shared" si="43"/>
        <v>6</v>
      </c>
      <c r="R906" s="695" t="str">
        <f t="shared" si="44"/>
        <v>Gastos_custeados_por_captação</v>
      </c>
      <c r="S906" s="697" t="s">
        <v>310</v>
      </c>
      <c r="T906" s="697" t="s">
        <v>310</v>
      </c>
    </row>
    <row r="907" spans="1:20" ht="57.75" customHeight="1" x14ac:dyDescent="0.2">
      <c r="A907" s="432">
        <f>IF(B907="","",COUNT('Diário 1º PA'!$A$4:$A$2635)+COUNT('Diário 2º PA'!$A$4:$A$3040)+ROW()-3)</f>
        <v>5003</v>
      </c>
      <c r="B907" s="414">
        <v>44781</v>
      </c>
      <c r="C907" s="431">
        <v>44743</v>
      </c>
      <c r="D907" s="415" t="s">
        <v>468</v>
      </c>
      <c r="E907" s="415" t="s">
        <v>468</v>
      </c>
      <c r="F907" s="425">
        <v>420</v>
      </c>
      <c r="G907" s="427" t="s">
        <v>5755</v>
      </c>
      <c r="H907" s="415" t="s">
        <v>468</v>
      </c>
      <c r="I907" s="398" t="s">
        <v>6655</v>
      </c>
      <c r="J907" s="415" t="s">
        <v>5756</v>
      </c>
      <c r="K907" s="418" t="s">
        <v>830</v>
      </c>
      <c r="L907" s="399" t="s">
        <v>839</v>
      </c>
      <c r="M907" s="613">
        <v>1932</v>
      </c>
      <c r="N907" s="414">
        <v>44777</v>
      </c>
      <c r="O907" s="414" t="s">
        <v>405</v>
      </c>
      <c r="P907" s="655">
        <f t="shared" si="42"/>
        <v>8</v>
      </c>
      <c r="Q907" s="655">
        <f t="shared" si="43"/>
        <v>7</v>
      </c>
      <c r="R907" s="695" t="str">
        <f t="shared" si="44"/>
        <v>Gastos_custeados_por_captação</v>
      </c>
      <c r="S907" s="697" t="s">
        <v>998</v>
      </c>
      <c r="T907" s="697">
        <v>4062</v>
      </c>
    </row>
    <row r="908" spans="1:20" ht="60" x14ac:dyDescent="0.2">
      <c r="A908" s="432">
        <f>IF(B908="","",COUNT('Diário 1º PA'!$A$4:$A$2635)+COUNT('Diário 2º PA'!$A$4:$A$3040)+ROW()-3)</f>
        <v>5004</v>
      </c>
      <c r="B908" s="414">
        <v>44781</v>
      </c>
      <c r="C908" s="431">
        <v>44743</v>
      </c>
      <c r="D908" s="415" t="s">
        <v>468</v>
      </c>
      <c r="E908" s="415" t="s">
        <v>468</v>
      </c>
      <c r="F908" s="425">
        <v>2269.2399999999998</v>
      </c>
      <c r="G908" s="427" t="s">
        <v>3898</v>
      </c>
      <c r="H908" s="415" t="s">
        <v>468</v>
      </c>
      <c r="I908" s="398" t="s">
        <v>5494</v>
      </c>
      <c r="J908" s="415" t="s">
        <v>3899</v>
      </c>
      <c r="K908" s="418" t="s">
        <v>830</v>
      </c>
      <c r="L908" s="399" t="s">
        <v>839</v>
      </c>
      <c r="M908" s="613">
        <v>1934</v>
      </c>
      <c r="N908" s="414">
        <v>44777</v>
      </c>
      <c r="O908" s="414" t="s">
        <v>405</v>
      </c>
      <c r="P908" s="655">
        <f t="shared" si="42"/>
        <v>8</v>
      </c>
      <c r="Q908" s="655">
        <f t="shared" si="43"/>
        <v>7</v>
      </c>
      <c r="R908" s="695" t="str">
        <f t="shared" si="44"/>
        <v>Gastos_custeados_por_captação</v>
      </c>
      <c r="S908" s="697" t="s">
        <v>1000</v>
      </c>
      <c r="T908" s="697">
        <v>3617</v>
      </c>
    </row>
    <row r="909" spans="1:20" ht="72" x14ac:dyDescent="0.2">
      <c r="A909" s="432">
        <f>IF(B909="","",COUNT('Diário 1º PA'!$A$4:$A$2635)+COUNT('Diário 2º PA'!$A$4:$A$3040)+ROW()-3)</f>
        <v>5005</v>
      </c>
      <c r="B909" s="414">
        <v>44781</v>
      </c>
      <c r="C909" s="431">
        <v>44743</v>
      </c>
      <c r="D909" s="415" t="s">
        <v>468</v>
      </c>
      <c r="E909" s="415" t="s">
        <v>468</v>
      </c>
      <c r="F909" s="425">
        <v>38.020000000000003</v>
      </c>
      <c r="G909" s="427" t="s">
        <v>7332</v>
      </c>
      <c r="H909" s="415" t="s">
        <v>468</v>
      </c>
      <c r="I909" s="427" t="s">
        <v>764</v>
      </c>
      <c r="J909" s="415" t="s">
        <v>310</v>
      </c>
      <c r="K909" s="415" t="s">
        <v>1220</v>
      </c>
      <c r="L909" s="415" t="s">
        <v>3443</v>
      </c>
      <c r="M909" s="613">
        <v>222181911632</v>
      </c>
      <c r="N909" s="414">
        <v>44781</v>
      </c>
      <c r="O909" s="414" t="s">
        <v>402</v>
      </c>
      <c r="P909" s="655">
        <f t="shared" si="42"/>
        <v>8</v>
      </c>
      <c r="Q909" s="655">
        <f t="shared" si="43"/>
        <v>7</v>
      </c>
      <c r="R909" s="695" t="str">
        <f t="shared" si="44"/>
        <v>Gastos_custeados_por_captação</v>
      </c>
      <c r="S909" s="697" t="s">
        <v>310</v>
      </c>
      <c r="T909" s="697" t="s">
        <v>310</v>
      </c>
    </row>
    <row r="910" spans="1:20" ht="72" x14ac:dyDescent="0.2">
      <c r="A910" s="432">
        <f>IF(B910="","",COUNT('Diário 1º PA'!$A$4:$A$2635)+COUNT('Diário 2º PA'!$A$4:$A$3040)+ROW()-3)</f>
        <v>5006</v>
      </c>
      <c r="B910" s="414">
        <v>44781</v>
      </c>
      <c r="C910" s="431">
        <v>44743</v>
      </c>
      <c r="D910" s="415" t="s">
        <v>468</v>
      </c>
      <c r="E910" s="415" t="s">
        <v>468</v>
      </c>
      <c r="F910" s="425">
        <v>16.079999999999998</v>
      </c>
      <c r="G910" s="427" t="s">
        <v>7334</v>
      </c>
      <c r="H910" s="415" t="s">
        <v>468</v>
      </c>
      <c r="I910" s="427" t="s">
        <v>764</v>
      </c>
      <c r="J910" s="415" t="s">
        <v>310</v>
      </c>
      <c r="K910" s="415" t="s">
        <v>1220</v>
      </c>
      <c r="L910" s="415" t="s">
        <v>3443</v>
      </c>
      <c r="M910" s="613">
        <v>222181838102</v>
      </c>
      <c r="N910" s="414">
        <v>44781</v>
      </c>
      <c r="O910" s="414" t="s">
        <v>407</v>
      </c>
      <c r="P910" s="655">
        <f t="shared" si="42"/>
        <v>8</v>
      </c>
      <c r="Q910" s="655">
        <f t="shared" si="43"/>
        <v>7</v>
      </c>
      <c r="R910" s="695" t="str">
        <f t="shared" si="44"/>
        <v>Gastos_custeados_por_captação</v>
      </c>
      <c r="S910" s="697" t="s">
        <v>310</v>
      </c>
      <c r="T910" s="697" t="s">
        <v>310</v>
      </c>
    </row>
    <row r="911" spans="1:20" ht="72" x14ac:dyDescent="0.2">
      <c r="A911" s="432">
        <f>IF(B911="","",COUNT('Diário 1º PA'!$A$4:$A$2635)+COUNT('Diário 2º PA'!$A$4:$A$3040)+ROW()-3)</f>
        <v>5007</v>
      </c>
      <c r="B911" s="414">
        <v>44781</v>
      </c>
      <c r="C911" s="431">
        <v>44743</v>
      </c>
      <c r="D911" s="415" t="s">
        <v>468</v>
      </c>
      <c r="E911" s="415" t="s">
        <v>468</v>
      </c>
      <c r="F911" s="425">
        <v>90</v>
      </c>
      <c r="G911" s="427" t="s">
        <v>7335</v>
      </c>
      <c r="H911" s="415" t="s">
        <v>468</v>
      </c>
      <c r="I911" s="427" t="s">
        <v>764</v>
      </c>
      <c r="J911" s="415" t="s">
        <v>310</v>
      </c>
      <c r="K911" s="415" t="s">
        <v>1220</v>
      </c>
      <c r="L911" s="415" t="s">
        <v>3443</v>
      </c>
      <c r="M911" s="613">
        <v>222181835359</v>
      </c>
      <c r="N911" s="414">
        <v>44781</v>
      </c>
      <c r="O911" s="414" t="s">
        <v>407</v>
      </c>
      <c r="P911" s="655">
        <f t="shared" si="42"/>
        <v>8</v>
      </c>
      <c r="Q911" s="655">
        <f t="shared" si="43"/>
        <v>7</v>
      </c>
      <c r="R911" s="695" t="str">
        <f t="shared" si="44"/>
        <v>Gastos_custeados_por_captação</v>
      </c>
      <c r="S911" s="697" t="s">
        <v>310</v>
      </c>
      <c r="T911" s="697" t="s">
        <v>310</v>
      </c>
    </row>
    <row r="912" spans="1:20" ht="72" x14ac:dyDescent="0.2">
      <c r="A912" s="432">
        <f>IF(B912="","",COUNT('Diário 1º PA'!$A$4:$A$2635)+COUNT('Diário 2º PA'!$A$4:$A$3040)+ROW()-3)</f>
        <v>5008</v>
      </c>
      <c r="B912" s="414">
        <v>44781</v>
      </c>
      <c r="C912" s="431">
        <v>44743</v>
      </c>
      <c r="D912" s="415" t="s">
        <v>468</v>
      </c>
      <c r="E912" s="415" t="s">
        <v>468</v>
      </c>
      <c r="F912" s="425">
        <v>1.36</v>
      </c>
      <c r="G912" s="427" t="s">
        <v>7336</v>
      </c>
      <c r="H912" s="415" t="s">
        <v>468</v>
      </c>
      <c r="I912" s="427" t="s">
        <v>764</v>
      </c>
      <c r="J912" s="415" t="s">
        <v>310</v>
      </c>
      <c r="K912" s="415" t="s">
        <v>1220</v>
      </c>
      <c r="L912" s="415" t="s">
        <v>3443</v>
      </c>
      <c r="M912" s="613">
        <v>222181835782</v>
      </c>
      <c r="N912" s="414">
        <v>44781</v>
      </c>
      <c r="O912" s="414" t="s">
        <v>407</v>
      </c>
      <c r="P912" s="655">
        <f t="shared" si="42"/>
        <v>8</v>
      </c>
      <c r="Q912" s="655">
        <f t="shared" si="43"/>
        <v>7</v>
      </c>
      <c r="R912" s="695" t="str">
        <f t="shared" si="44"/>
        <v>Gastos_custeados_por_captação</v>
      </c>
      <c r="S912" s="697" t="s">
        <v>310</v>
      </c>
      <c r="T912" s="697" t="s">
        <v>310</v>
      </c>
    </row>
    <row r="913" spans="1:20" ht="53.25" customHeight="1" x14ac:dyDescent="0.2">
      <c r="A913" s="432">
        <f>IF(B913="","",COUNT('Diário 1º PA'!$A$4:$A$2635)+COUNT('Diário 2º PA'!$A$4:$A$3040)+ROW()-3)</f>
        <v>5009</v>
      </c>
      <c r="B913" s="414">
        <v>44782</v>
      </c>
      <c r="C913" s="431">
        <v>44743</v>
      </c>
      <c r="D913" s="415" t="s">
        <v>271</v>
      </c>
      <c r="E913" s="415" t="s">
        <v>297</v>
      </c>
      <c r="F913" s="425">
        <v>-14.47</v>
      </c>
      <c r="G913" s="427" t="s">
        <v>3907</v>
      </c>
      <c r="H913" s="415" t="s">
        <v>309</v>
      </c>
      <c r="I913" s="473" t="s">
        <v>795</v>
      </c>
      <c r="J913" s="415" t="s">
        <v>796</v>
      </c>
      <c r="K913" s="415" t="s">
        <v>797</v>
      </c>
      <c r="L913" s="415" t="s">
        <v>798</v>
      </c>
      <c r="M913" s="415" t="s">
        <v>310</v>
      </c>
      <c r="N913" s="414">
        <v>44782</v>
      </c>
      <c r="O913" s="414" t="s">
        <v>400</v>
      </c>
      <c r="P913" s="655">
        <f t="shared" si="42"/>
        <v>8</v>
      </c>
      <c r="Q913" s="655">
        <f t="shared" si="43"/>
        <v>7</v>
      </c>
      <c r="R913" s="695" t="str">
        <f t="shared" si="44"/>
        <v>Gastos_Gerais</v>
      </c>
      <c r="S913" s="697" t="s">
        <v>310</v>
      </c>
      <c r="T913" s="697" t="s">
        <v>310</v>
      </c>
    </row>
    <row r="914" spans="1:20" ht="62.25" customHeight="1" x14ac:dyDescent="0.2">
      <c r="A914" s="432">
        <f>IF(B914="","",COUNT('Diário 1º PA'!$A$4:$A$2635)+COUNT('Diário 2º PA'!$A$4:$A$3040)+ROW()-3)</f>
        <v>5010</v>
      </c>
      <c r="B914" s="414">
        <v>44782</v>
      </c>
      <c r="C914" s="431">
        <v>44743</v>
      </c>
      <c r="D914" s="415" t="s">
        <v>271</v>
      </c>
      <c r="E914" s="415" t="s">
        <v>297</v>
      </c>
      <c r="F914" s="425">
        <v>-14.47</v>
      </c>
      <c r="G914" s="427" t="s">
        <v>3909</v>
      </c>
      <c r="H914" s="415" t="s">
        <v>309</v>
      </c>
      <c r="I914" s="473" t="s">
        <v>795</v>
      </c>
      <c r="J914" s="415" t="s">
        <v>796</v>
      </c>
      <c r="K914" s="415" t="s">
        <v>797</v>
      </c>
      <c r="L914" s="415" t="s">
        <v>798</v>
      </c>
      <c r="M914" s="415" t="s">
        <v>310</v>
      </c>
      <c r="N914" s="414">
        <v>44782</v>
      </c>
      <c r="O914" s="414" t="s">
        <v>400</v>
      </c>
      <c r="P914" s="655">
        <f t="shared" si="42"/>
        <v>8</v>
      </c>
      <c r="Q914" s="655">
        <f t="shared" si="43"/>
        <v>7</v>
      </c>
      <c r="R914" s="695" t="str">
        <f t="shared" si="44"/>
        <v>Gastos_Gerais</v>
      </c>
      <c r="S914" s="697" t="s">
        <v>310</v>
      </c>
      <c r="T914" s="697" t="s">
        <v>310</v>
      </c>
    </row>
    <row r="915" spans="1:20" ht="36" x14ac:dyDescent="0.2">
      <c r="A915" s="432">
        <f>IF(B915="","",COUNT('Diário 1º PA'!$A$4:$A$2635)+COUNT('Diário 2º PA'!$A$4:$A$3040)+ROW()-3)</f>
        <v>5011</v>
      </c>
      <c r="B915" s="414">
        <v>44782</v>
      </c>
      <c r="C915" s="431">
        <v>44743</v>
      </c>
      <c r="D915" s="415" t="s">
        <v>271</v>
      </c>
      <c r="E915" s="415" t="s">
        <v>297</v>
      </c>
      <c r="F915" s="425">
        <v>-144.69999999999999</v>
      </c>
      <c r="G915" s="427" t="s">
        <v>6345</v>
      </c>
      <c r="H915" s="415" t="s">
        <v>309</v>
      </c>
      <c r="I915" s="473" t="s">
        <v>795</v>
      </c>
      <c r="J915" s="415" t="s">
        <v>796</v>
      </c>
      <c r="K915" s="415" t="s">
        <v>797</v>
      </c>
      <c r="L915" s="415" t="s">
        <v>798</v>
      </c>
      <c r="M915" s="415" t="s">
        <v>310</v>
      </c>
      <c r="N915" s="414">
        <v>44782</v>
      </c>
      <c r="O915" s="414" t="s">
        <v>400</v>
      </c>
      <c r="P915" s="655">
        <f t="shared" si="42"/>
        <v>8</v>
      </c>
      <c r="Q915" s="655">
        <f t="shared" si="43"/>
        <v>7</v>
      </c>
      <c r="R915" s="695" t="str">
        <f t="shared" si="44"/>
        <v>Gastos_Gerais</v>
      </c>
      <c r="S915" s="697" t="s">
        <v>310</v>
      </c>
      <c r="T915" s="697" t="s">
        <v>310</v>
      </c>
    </row>
    <row r="916" spans="1:20" ht="48" x14ac:dyDescent="0.2">
      <c r="A916" s="432">
        <f>IF(B916="","",COUNT('Diário 1º PA'!$A$4:$A$2635)+COUNT('Diário 2º PA'!$A$4:$A$3040)+ROW()-3)</f>
        <v>5012</v>
      </c>
      <c r="B916" s="414">
        <v>44782</v>
      </c>
      <c r="C916" s="424">
        <v>44743</v>
      </c>
      <c r="D916" s="415" t="s">
        <v>271</v>
      </c>
      <c r="E916" s="415" t="s">
        <v>2</v>
      </c>
      <c r="F916" s="435">
        <v>-2750.01</v>
      </c>
      <c r="G916" s="427" t="s">
        <v>6348</v>
      </c>
      <c r="H916" s="415" t="s">
        <v>309</v>
      </c>
      <c r="I916" s="473" t="s">
        <v>795</v>
      </c>
      <c r="J916" s="415" t="s">
        <v>796</v>
      </c>
      <c r="K916" s="415" t="s">
        <v>797</v>
      </c>
      <c r="L916" s="415" t="s">
        <v>798</v>
      </c>
      <c r="M916" s="415" t="s">
        <v>310</v>
      </c>
      <c r="N916" s="414">
        <v>44782</v>
      </c>
      <c r="O916" s="414" t="s">
        <v>400</v>
      </c>
      <c r="P916" s="655">
        <f t="shared" si="42"/>
        <v>8</v>
      </c>
      <c r="Q916" s="655">
        <f t="shared" si="43"/>
        <v>7</v>
      </c>
      <c r="R916" s="695" t="str">
        <f t="shared" si="44"/>
        <v>Gastos_Gerais</v>
      </c>
      <c r="S916" s="697" t="s">
        <v>310</v>
      </c>
      <c r="T916" s="697" t="s">
        <v>310</v>
      </c>
    </row>
    <row r="917" spans="1:20" ht="36" x14ac:dyDescent="0.2">
      <c r="A917" s="432">
        <f>IF(B917="","",COUNT('Diário 1º PA'!$A$4:$A$2635)+COUNT('Diário 2º PA'!$A$4:$A$3040)+ROW()-3)</f>
        <v>5013</v>
      </c>
      <c r="B917" s="414">
        <v>44782</v>
      </c>
      <c r="C917" s="424">
        <v>44743</v>
      </c>
      <c r="D917" s="415" t="s">
        <v>271</v>
      </c>
      <c r="E917" s="415" t="s">
        <v>3</v>
      </c>
      <c r="F917" s="425">
        <v>-451.27</v>
      </c>
      <c r="G917" s="427" t="s">
        <v>6448</v>
      </c>
      <c r="H917" s="415" t="s">
        <v>309</v>
      </c>
      <c r="I917" s="427" t="s">
        <v>795</v>
      </c>
      <c r="J917" s="415" t="s">
        <v>796</v>
      </c>
      <c r="K917" s="415" t="s">
        <v>797</v>
      </c>
      <c r="L917" s="415" t="s">
        <v>798</v>
      </c>
      <c r="M917" s="415" t="s">
        <v>310</v>
      </c>
      <c r="N917" s="414">
        <v>44782</v>
      </c>
      <c r="O917" s="414" t="s">
        <v>400</v>
      </c>
      <c r="P917" s="655">
        <f t="shared" si="42"/>
        <v>8</v>
      </c>
      <c r="Q917" s="655">
        <f t="shared" si="43"/>
        <v>7</v>
      </c>
      <c r="R917" s="695" t="str">
        <f t="shared" si="44"/>
        <v>Gastos_Gerais</v>
      </c>
      <c r="S917" s="605" t="s">
        <v>310</v>
      </c>
      <c r="T917" s="605" t="s">
        <v>310</v>
      </c>
    </row>
    <row r="918" spans="1:20" ht="48" x14ac:dyDescent="0.2">
      <c r="A918" s="432">
        <f>IF(B918="","",COUNT('Diário 1º PA'!$A$4:$A$2635)+COUNT('Diário 2º PA'!$A$4:$A$3040)+ROW()-3)</f>
        <v>5014</v>
      </c>
      <c r="B918" s="414">
        <v>44782</v>
      </c>
      <c r="C918" s="431">
        <v>44743</v>
      </c>
      <c r="D918" s="415" t="s">
        <v>271</v>
      </c>
      <c r="E918" s="415" t="s">
        <v>297</v>
      </c>
      <c r="F918" s="425">
        <v>-188.11</v>
      </c>
      <c r="G918" s="427" t="s">
        <v>3426</v>
      </c>
      <c r="H918" s="415" t="s">
        <v>309</v>
      </c>
      <c r="I918" s="473" t="s">
        <v>795</v>
      </c>
      <c r="J918" s="415" t="s">
        <v>796</v>
      </c>
      <c r="K918" s="415" t="s">
        <v>797</v>
      </c>
      <c r="L918" s="415" t="s">
        <v>798</v>
      </c>
      <c r="M918" s="415" t="s">
        <v>310</v>
      </c>
      <c r="N918" s="414">
        <v>44782</v>
      </c>
      <c r="O918" s="414" t="s">
        <v>400</v>
      </c>
      <c r="P918" s="655">
        <f t="shared" si="42"/>
        <v>8</v>
      </c>
      <c r="Q918" s="655">
        <f t="shared" si="43"/>
        <v>7</v>
      </c>
      <c r="R918" s="695" t="str">
        <f t="shared" si="44"/>
        <v>Gastos_Gerais</v>
      </c>
      <c r="S918" s="697" t="s">
        <v>310</v>
      </c>
      <c r="T918" s="697" t="s">
        <v>310</v>
      </c>
    </row>
    <row r="919" spans="1:20" ht="72" x14ac:dyDescent="0.2">
      <c r="A919" s="432">
        <f>IF(B919="","",COUNT('Diário 1º PA'!$A$4:$A$2635)+COUNT('Diário 2º PA'!$A$4:$A$3040)+ROW()-3)</f>
        <v>5015</v>
      </c>
      <c r="B919" s="414">
        <v>44782</v>
      </c>
      <c r="C919" s="431">
        <v>44743</v>
      </c>
      <c r="D919" s="419" t="s">
        <v>271</v>
      </c>
      <c r="E919" s="419" t="s">
        <v>297</v>
      </c>
      <c r="F919" s="422">
        <v>97.2</v>
      </c>
      <c r="G919" s="419" t="s">
        <v>5949</v>
      </c>
      <c r="H919" s="419" t="s">
        <v>793</v>
      </c>
      <c r="I919" s="473" t="s">
        <v>1803</v>
      </c>
      <c r="J919" s="415" t="s">
        <v>991</v>
      </c>
      <c r="K919" s="415" t="s">
        <v>830</v>
      </c>
      <c r="L919" s="415" t="s">
        <v>798</v>
      </c>
      <c r="M919" s="415" t="s">
        <v>310</v>
      </c>
      <c r="N919" s="414">
        <v>44782</v>
      </c>
      <c r="O919" s="414" t="s">
        <v>400</v>
      </c>
      <c r="P919" s="655">
        <f t="shared" si="42"/>
        <v>8</v>
      </c>
      <c r="Q919" s="655">
        <f t="shared" si="43"/>
        <v>7</v>
      </c>
      <c r="R919" s="695" t="str">
        <f t="shared" si="44"/>
        <v>Gastos_Gerais</v>
      </c>
      <c r="S919" s="697" t="s">
        <v>1000</v>
      </c>
      <c r="T919" s="697">
        <v>2768</v>
      </c>
    </row>
    <row r="920" spans="1:20" ht="24" x14ac:dyDescent="0.2">
      <c r="A920" s="432">
        <f>IF(B920="","",COUNT('Diário 1º PA'!$A$4:$A$2635)+COUNT('Diário 2º PA'!$A$4:$A$3040)+ROW()-3)</f>
        <v>5016</v>
      </c>
      <c r="B920" s="414">
        <v>44782</v>
      </c>
      <c r="C920" s="433">
        <v>44743</v>
      </c>
      <c r="D920" s="434" t="s">
        <v>271</v>
      </c>
      <c r="E920" s="434" t="s">
        <v>2</v>
      </c>
      <c r="F920" s="686">
        <v>8128.76</v>
      </c>
      <c r="G920" s="427" t="s">
        <v>5703</v>
      </c>
      <c r="H920" s="434" t="s">
        <v>309</v>
      </c>
      <c r="I920" s="437" t="s">
        <v>767</v>
      </c>
      <c r="J920" s="415" t="s">
        <v>1020</v>
      </c>
      <c r="K920" s="419" t="s">
        <v>812</v>
      </c>
      <c r="L920" s="415" t="s">
        <v>1305</v>
      </c>
      <c r="M920" s="419">
        <v>8</v>
      </c>
      <c r="N920" s="413">
        <v>44763</v>
      </c>
      <c r="O920" s="414" t="s">
        <v>400</v>
      </c>
      <c r="P920" s="655">
        <f t="shared" si="42"/>
        <v>8</v>
      </c>
      <c r="Q920" s="655">
        <f t="shared" si="43"/>
        <v>7</v>
      </c>
      <c r="R920" s="695" t="str">
        <f t="shared" si="44"/>
        <v>Gastos_Gerais</v>
      </c>
      <c r="S920" s="697" t="s">
        <v>310</v>
      </c>
      <c r="T920" s="697" t="s">
        <v>310</v>
      </c>
    </row>
    <row r="921" spans="1:20" ht="24" x14ac:dyDescent="0.2">
      <c r="A921" s="432">
        <f>IF(B921="","",COUNT('Diário 1º PA'!$A$4:$A$2635)+COUNT('Diário 2º PA'!$A$4:$A$3040)+ROW()-3)</f>
        <v>5017</v>
      </c>
      <c r="B921" s="414">
        <v>44782</v>
      </c>
      <c r="C921" s="433">
        <v>44743</v>
      </c>
      <c r="D921" s="434" t="s">
        <v>271</v>
      </c>
      <c r="E921" s="434" t="s">
        <v>3</v>
      </c>
      <c r="F921" s="686">
        <v>1708.71</v>
      </c>
      <c r="G921" s="437" t="s">
        <v>5704</v>
      </c>
      <c r="H921" s="434" t="s">
        <v>309</v>
      </c>
      <c r="I921" s="437" t="s">
        <v>767</v>
      </c>
      <c r="J921" s="415" t="s">
        <v>1020</v>
      </c>
      <c r="K921" s="419" t="s">
        <v>812</v>
      </c>
      <c r="L921" s="415" t="s">
        <v>1305</v>
      </c>
      <c r="M921" s="419">
        <v>8</v>
      </c>
      <c r="N921" s="413">
        <v>44763</v>
      </c>
      <c r="O921" s="414" t="s">
        <v>400</v>
      </c>
      <c r="P921" s="655">
        <f t="shared" si="42"/>
        <v>8</v>
      </c>
      <c r="Q921" s="655">
        <f t="shared" si="43"/>
        <v>7</v>
      </c>
      <c r="R921" s="695" t="str">
        <f t="shared" si="44"/>
        <v>Gastos_Gerais</v>
      </c>
      <c r="S921" s="697" t="s">
        <v>310</v>
      </c>
      <c r="T921" s="697" t="s">
        <v>310</v>
      </c>
    </row>
    <row r="922" spans="1:20" ht="36" x14ac:dyDescent="0.2">
      <c r="A922" s="432">
        <f>IF(B922="","",COUNT('Diário 1º PA'!$A$4:$A$2635)+COUNT('Diário 2º PA'!$A$4:$A$3040)+ROW()-3)</f>
        <v>5018</v>
      </c>
      <c r="B922" s="414">
        <v>44782</v>
      </c>
      <c r="C922" s="431">
        <v>44774</v>
      </c>
      <c r="D922" s="415" t="s">
        <v>271</v>
      </c>
      <c r="E922" s="415" t="s">
        <v>71</v>
      </c>
      <c r="F922" s="425">
        <v>11</v>
      </c>
      <c r="G922" s="427" t="s">
        <v>6346</v>
      </c>
      <c r="H922" s="419" t="s">
        <v>793</v>
      </c>
      <c r="I922" s="398" t="s">
        <v>881</v>
      </c>
      <c r="J922" s="418" t="s">
        <v>882</v>
      </c>
      <c r="K922" s="418" t="s">
        <v>883</v>
      </c>
      <c r="L922" s="399" t="s">
        <v>798</v>
      </c>
      <c r="M922" s="544" t="s">
        <v>310</v>
      </c>
      <c r="N922" s="414">
        <v>44782</v>
      </c>
      <c r="O922" s="414" t="s">
        <v>400</v>
      </c>
      <c r="P922" s="655">
        <f t="shared" si="42"/>
        <v>8</v>
      </c>
      <c r="Q922" s="655">
        <f t="shared" si="43"/>
        <v>8</v>
      </c>
      <c r="R922" s="695" t="str">
        <f t="shared" si="44"/>
        <v>Gastos_Gerais</v>
      </c>
      <c r="S922" s="697" t="s">
        <v>310</v>
      </c>
      <c r="T922" s="697" t="s">
        <v>310</v>
      </c>
    </row>
    <row r="923" spans="1:20" ht="60" x14ac:dyDescent="0.2">
      <c r="A923" s="432">
        <f>IF(B923="","",COUNT('Diário 1º PA'!$A$4:$A$2635)+COUNT('Diário 2º PA'!$A$4:$A$3040)+ROW()-3)</f>
        <v>5019</v>
      </c>
      <c r="B923" s="414">
        <v>44782</v>
      </c>
      <c r="C923" s="424">
        <v>44743</v>
      </c>
      <c r="D923" s="415" t="s">
        <v>468</v>
      </c>
      <c r="E923" s="415" t="s">
        <v>468</v>
      </c>
      <c r="F923" s="425">
        <v>2694.72</v>
      </c>
      <c r="G923" s="427" t="s">
        <v>3897</v>
      </c>
      <c r="H923" s="415" t="s">
        <v>468</v>
      </c>
      <c r="I923" s="398" t="s">
        <v>1811</v>
      </c>
      <c r="J923" s="415" t="s">
        <v>1023</v>
      </c>
      <c r="K923" s="418" t="s">
        <v>830</v>
      </c>
      <c r="L923" s="399" t="s">
        <v>32</v>
      </c>
      <c r="M923" s="473" t="s">
        <v>2168</v>
      </c>
      <c r="N923" s="413">
        <v>44781</v>
      </c>
      <c r="O923" s="414" t="s">
        <v>3762</v>
      </c>
      <c r="P923" s="655">
        <f t="shared" si="42"/>
        <v>8</v>
      </c>
      <c r="Q923" s="655">
        <f t="shared" si="43"/>
        <v>7</v>
      </c>
      <c r="R923" s="695" t="str">
        <f t="shared" si="44"/>
        <v>Gastos_custeados_por_captação</v>
      </c>
      <c r="S923" s="697" t="s">
        <v>1000</v>
      </c>
      <c r="T923" s="697">
        <v>3618</v>
      </c>
    </row>
    <row r="924" spans="1:20" ht="48" x14ac:dyDescent="0.2">
      <c r="A924" s="432">
        <f>IF(B924="","",COUNT('Diário 1º PA'!$A$4:$A$2635)+COUNT('Diário 2º PA'!$A$4:$A$3040)+ROW()-3)</f>
        <v>5020</v>
      </c>
      <c r="B924" s="414">
        <v>44782</v>
      </c>
      <c r="C924" s="424">
        <v>44774</v>
      </c>
      <c r="D924" s="419" t="s">
        <v>468</v>
      </c>
      <c r="E924" s="419" t="s">
        <v>468</v>
      </c>
      <c r="F924" s="422">
        <v>11</v>
      </c>
      <c r="G924" s="415" t="s">
        <v>6516</v>
      </c>
      <c r="H924" s="419" t="s">
        <v>468</v>
      </c>
      <c r="I924" s="639" t="s">
        <v>881</v>
      </c>
      <c r="J924" s="418" t="s">
        <v>882</v>
      </c>
      <c r="K924" s="418" t="s">
        <v>883</v>
      </c>
      <c r="L924" s="399" t="s">
        <v>798</v>
      </c>
      <c r="M924" s="544" t="s">
        <v>310</v>
      </c>
      <c r="N924" s="414">
        <v>44781</v>
      </c>
      <c r="O924" s="414" t="s">
        <v>3762</v>
      </c>
      <c r="P924" s="655">
        <f t="shared" si="42"/>
        <v>8</v>
      </c>
      <c r="Q924" s="655">
        <f t="shared" si="43"/>
        <v>8</v>
      </c>
      <c r="R924" s="695" t="str">
        <f t="shared" si="44"/>
        <v>Gastos_custeados_por_captação</v>
      </c>
      <c r="S924" s="698" t="s">
        <v>310</v>
      </c>
      <c r="T924" s="698" t="s">
        <v>310</v>
      </c>
    </row>
    <row r="925" spans="1:20" ht="48" x14ac:dyDescent="0.2">
      <c r="A925" s="432">
        <f>IF(B925="","",COUNT('Diário 1º PA'!$A$4:$A$2635)+COUNT('Diário 2º PA'!$A$4:$A$3040)+ROW()-3)</f>
        <v>5021</v>
      </c>
      <c r="B925" s="414">
        <v>44782</v>
      </c>
      <c r="C925" s="424">
        <v>44774</v>
      </c>
      <c r="D925" s="419" t="s">
        <v>468</v>
      </c>
      <c r="E925" s="419" t="s">
        <v>468</v>
      </c>
      <c r="F925" s="422">
        <v>11</v>
      </c>
      <c r="G925" s="415" t="s">
        <v>6516</v>
      </c>
      <c r="H925" s="419" t="s">
        <v>468</v>
      </c>
      <c r="I925" s="639" t="s">
        <v>881</v>
      </c>
      <c r="J925" s="418" t="s">
        <v>882</v>
      </c>
      <c r="K925" s="418" t="s">
        <v>883</v>
      </c>
      <c r="L925" s="399" t="s">
        <v>798</v>
      </c>
      <c r="M925" s="544" t="s">
        <v>310</v>
      </c>
      <c r="N925" s="414">
        <v>44781</v>
      </c>
      <c r="O925" s="414" t="s">
        <v>3762</v>
      </c>
      <c r="P925" s="655">
        <f t="shared" si="42"/>
        <v>8</v>
      </c>
      <c r="Q925" s="655">
        <f t="shared" si="43"/>
        <v>8</v>
      </c>
      <c r="R925" s="695" t="str">
        <f t="shared" si="44"/>
        <v>Gastos_custeados_por_captação</v>
      </c>
      <c r="S925" s="698" t="s">
        <v>310</v>
      </c>
      <c r="T925" s="698" t="s">
        <v>310</v>
      </c>
    </row>
    <row r="926" spans="1:20" ht="36" x14ac:dyDescent="0.2">
      <c r="A926" s="432">
        <f>IF(B926="","",COUNT('Diário 1º PA'!$A$4:$A$2635)+COUNT('Diário 2º PA'!$A$4:$A$3040)+ROW()-3)</f>
        <v>5022</v>
      </c>
      <c r="B926" s="414">
        <v>44782</v>
      </c>
      <c r="C926" s="431">
        <v>44743</v>
      </c>
      <c r="D926" s="419" t="s">
        <v>468</v>
      </c>
      <c r="E926" s="419" t="s">
        <v>468</v>
      </c>
      <c r="F926" s="422">
        <v>149.49</v>
      </c>
      <c r="G926" s="427" t="s">
        <v>6404</v>
      </c>
      <c r="H926" s="415" t="s">
        <v>468</v>
      </c>
      <c r="I926" s="398" t="s">
        <v>990</v>
      </c>
      <c r="J926" s="415" t="s">
        <v>991</v>
      </c>
      <c r="K926" s="415" t="s">
        <v>830</v>
      </c>
      <c r="L926" s="415" t="s">
        <v>798</v>
      </c>
      <c r="M926" s="415" t="s">
        <v>310</v>
      </c>
      <c r="N926" s="413">
        <v>44782</v>
      </c>
      <c r="O926" s="414" t="s">
        <v>408</v>
      </c>
      <c r="P926" s="655">
        <f t="shared" si="42"/>
        <v>8</v>
      </c>
      <c r="Q926" s="655">
        <f t="shared" si="43"/>
        <v>7</v>
      </c>
      <c r="R926" s="695" t="str">
        <f t="shared" si="44"/>
        <v>Gastos_custeados_por_captação</v>
      </c>
      <c r="S926" s="697" t="s">
        <v>1000</v>
      </c>
      <c r="T926" s="697">
        <v>2859</v>
      </c>
    </row>
    <row r="927" spans="1:20" ht="72" x14ac:dyDescent="0.2">
      <c r="A927" s="432">
        <f>IF(B927="","",COUNT('Diário 1º PA'!$A$4:$A$2635)+COUNT('Diário 2º PA'!$A$4:$A$3040)+ROW()-3)</f>
        <v>5023</v>
      </c>
      <c r="B927" s="414">
        <v>44782</v>
      </c>
      <c r="C927" s="431">
        <v>44713</v>
      </c>
      <c r="D927" s="419" t="s">
        <v>468</v>
      </c>
      <c r="E927" s="419" t="s">
        <v>468</v>
      </c>
      <c r="F927" s="422">
        <v>417.4</v>
      </c>
      <c r="G927" s="427" t="s">
        <v>5800</v>
      </c>
      <c r="H927" s="415" t="s">
        <v>468</v>
      </c>
      <c r="I927" s="398" t="s">
        <v>815</v>
      </c>
      <c r="J927" s="415" t="s">
        <v>816</v>
      </c>
      <c r="K927" s="415" t="s">
        <v>830</v>
      </c>
      <c r="L927" s="415" t="s">
        <v>32</v>
      </c>
      <c r="M927" s="415">
        <v>320776</v>
      </c>
      <c r="N927" s="413">
        <v>44754</v>
      </c>
      <c r="O927" s="414" t="s">
        <v>404</v>
      </c>
      <c r="P927" s="655">
        <f t="shared" si="42"/>
        <v>8</v>
      </c>
      <c r="Q927" s="655">
        <f t="shared" si="43"/>
        <v>6</v>
      </c>
      <c r="R927" s="695" t="str">
        <f t="shared" si="44"/>
        <v>Gastos_custeados_por_captação</v>
      </c>
      <c r="S927" s="697" t="s">
        <v>999</v>
      </c>
      <c r="T927" s="697">
        <v>4102</v>
      </c>
    </row>
    <row r="928" spans="1:20" ht="60" x14ac:dyDescent="0.2">
      <c r="A928" s="432">
        <f>IF(B928="","",COUNT('Diário 1º PA'!$A$4:$A$2635)+COUNT('Diário 2º PA'!$A$4:$A$3040)+ROW()-3)</f>
        <v>5024</v>
      </c>
      <c r="B928" s="414">
        <v>44782</v>
      </c>
      <c r="C928" s="431">
        <v>44713</v>
      </c>
      <c r="D928" s="419" t="s">
        <v>468</v>
      </c>
      <c r="E928" s="419" t="s">
        <v>468</v>
      </c>
      <c r="F928" s="422">
        <v>4750</v>
      </c>
      <c r="G928" s="427" t="s">
        <v>4492</v>
      </c>
      <c r="H928" s="415" t="s">
        <v>468</v>
      </c>
      <c r="I928" s="398" t="s">
        <v>6661</v>
      </c>
      <c r="J928" s="415" t="s">
        <v>4493</v>
      </c>
      <c r="K928" s="419" t="s">
        <v>806</v>
      </c>
      <c r="L928" s="415" t="s">
        <v>32</v>
      </c>
      <c r="M928" s="415" t="s">
        <v>842</v>
      </c>
      <c r="N928" s="413">
        <v>44781</v>
      </c>
      <c r="O928" s="414" t="s">
        <v>405</v>
      </c>
      <c r="P928" s="655">
        <f t="shared" si="42"/>
        <v>8</v>
      </c>
      <c r="Q928" s="655">
        <f t="shared" si="43"/>
        <v>6</v>
      </c>
      <c r="R928" s="695" t="str">
        <f t="shared" si="44"/>
        <v>Gastos_custeados_por_captação</v>
      </c>
      <c r="S928" s="697" t="s">
        <v>998</v>
      </c>
      <c r="T928" s="697">
        <v>3831</v>
      </c>
    </row>
    <row r="929" spans="1:20" ht="60" x14ac:dyDescent="0.2">
      <c r="A929" s="432">
        <f>IF(B929="","",COUNT('Diário 1º PA'!$A$4:$A$2635)+COUNT('Diário 2º PA'!$A$4:$A$3040)+ROW()-3)</f>
        <v>5025</v>
      </c>
      <c r="B929" s="414">
        <v>44782</v>
      </c>
      <c r="C929" s="431">
        <v>44743</v>
      </c>
      <c r="D929" s="419" t="s">
        <v>468</v>
      </c>
      <c r="E929" s="419" t="s">
        <v>468</v>
      </c>
      <c r="F929" s="422">
        <v>2694.72</v>
      </c>
      <c r="G929" s="427" t="s">
        <v>3896</v>
      </c>
      <c r="H929" s="415" t="s">
        <v>468</v>
      </c>
      <c r="I929" s="398" t="s">
        <v>1811</v>
      </c>
      <c r="J929" s="415" t="s">
        <v>1023</v>
      </c>
      <c r="K929" s="415" t="s">
        <v>830</v>
      </c>
      <c r="L929" s="415" t="s">
        <v>32</v>
      </c>
      <c r="M929" s="415" t="s">
        <v>2186</v>
      </c>
      <c r="N929" s="413">
        <v>44781</v>
      </c>
      <c r="O929" s="414" t="s">
        <v>405</v>
      </c>
      <c r="P929" s="655">
        <f t="shared" si="42"/>
        <v>8</v>
      </c>
      <c r="Q929" s="655">
        <f t="shared" si="43"/>
        <v>7</v>
      </c>
      <c r="R929" s="695" t="str">
        <f t="shared" si="44"/>
        <v>Gastos_custeados_por_captação</v>
      </c>
      <c r="S929" s="697" t="s">
        <v>1000</v>
      </c>
      <c r="T929" s="697">
        <v>3620</v>
      </c>
    </row>
    <row r="930" spans="1:20" ht="48" x14ac:dyDescent="0.2">
      <c r="A930" s="432">
        <f>IF(B930="","",COUNT('Diário 1º PA'!$A$4:$A$2635)+COUNT('Diário 2º PA'!$A$4:$A$3040)+ROW()-3)</f>
        <v>5026</v>
      </c>
      <c r="B930" s="413">
        <v>44783</v>
      </c>
      <c r="C930" s="431">
        <v>44743</v>
      </c>
      <c r="D930" s="415" t="s">
        <v>271</v>
      </c>
      <c r="E930" s="415" t="s">
        <v>178</v>
      </c>
      <c r="F930" s="425">
        <v>-69.989999999999995</v>
      </c>
      <c r="G930" s="427" t="s">
        <v>6362</v>
      </c>
      <c r="H930" s="415" t="s">
        <v>309</v>
      </c>
      <c r="I930" s="473" t="s">
        <v>795</v>
      </c>
      <c r="J930" s="415" t="s">
        <v>796</v>
      </c>
      <c r="K930" s="415" t="s">
        <v>797</v>
      </c>
      <c r="L930" s="415" t="s">
        <v>798</v>
      </c>
      <c r="M930" s="415" t="s">
        <v>310</v>
      </c>
      <c r="N930" s="413">
        <v>44783</v>
      </c>
      <c r="O930" s="414" t="s">
        <v>400</v>
      </c>
      <c r="P930" s="655">
        <f t="shared" si="42"/>
        <v>8</v>
      </c>
      <c r="Q930" s="655">
        <f t="shared" si="43"/>
        <v>7</v>
      </c>
      <c r="R930" s="695" t="str">
        <f t="shared" si="44"/>
        <v>Gastos_Gerais</v>
      </c>
      <c r="S930" s="697" t="s">
        <v>310</v>
      </c>
      <c r="T930" s="697" t="s">
        <v>310</v>
      </c>
    </row>
    <row r="931" spans="1:20" ht="60" x14ac:dyDescent="0.2">
      <c r="A931" s="432">
        <f>IF(B931="","",COUNT('Diário 1º PA'!$A$4:$A$2635)+COUNT('Diário 2º PA'!$A$4:$A$3040)+ROW()-3)</f>
        <v>5027</v>
      </c>
      <c r="B931" s="414">
        <v>44783</v>
      </c>
      <c r="C931" s="431">
        <v>44743</v>
      </c>
      <c r="D931" s="415" t="s">
        <v>271</v>
      </c>
      <c r="E931" s="415" t="s">
        <v>187</v>
      </c>
      <c r="F931" s="435">
        <v>-184.87</v>
      </c>
      <c r="G931" s="427" t="s">
        <v>6363</v>
      </c>
      <c r="H931" s="415" t="s">
        <v>309</v>
      </c>
      <c r="I931" s="473" t="s">
        <v>795</v>
      </c>
      <c r="J931" s="415" t="s">
        <v>796</v>
      </c>
      <c r="K931" s="415" t="s">
        <v>797</v>
      </c>
      <c r="L931" s="415" t="s">
        <v>798</v>
      </c>
      <c r="M931" s="415" t="s">
        <v>310</v>
      </c>
      <c r="N931" s="414">
        <v>44783</v>
      </c>
      <c r="O931" s="414" t="s">
        <v>400</v>
      </c>
      <c r="P931" s="655">
        <f t="shared" si="42"/>
        <v>8</v>
      </c>
      <c r="Q931" s="655">
        <f t="shared" si="43"/>
        <v>7</v>
      </c>
      <c r="R931" s="695" t="str">
        <f t="shared" si="44"/>
        <v>Gastos_Gerais</v>
      </c>
      <c r="S931" s="697" t="s">
        <v>310</v>
      </c>
      <c r="T931" s="697" t="s">
        <v>310</v>
      </c>
    </row>
    <row r="932" spans="1:20" ht="36" x14ac:dyDescent="0.2">
      <c r="A932" s="432">
        <f>IF(B932="","",COUNT('Diário 1º PA'!$A$4:$A$2635)+COUNT('Diário 2º PA'!$A$4:$A$3040)+ROW()-3)</f>
        <v>5028</v>
      </c>
      <c r="B932" s="414">
        <v>44783</v>
      </c>
      <c r="C932" s="431">
        <v>44713</v>
      </c>
      <c r="D932" s="415" t="s">
        <v>271</v>
      </c>
      <c r="E932" s="415" t="s">
        <v>205</v>
      </c>
      <c r="F932" s="422">
        <v>340</v>
      </c>
      <c r="G932" s="427" t="s">
        <v>5368</v>
      </c>
      <c r="H932" s="415" t="s">
        <v>755</v>
      </c>
      <c r="I932" s="415" t="s">
        <v>2803</v>
      </c>
      <c r="J932" s="415" t="s">
        <v>2426</v>
      </c>
      <c r="K932" s="419" t="s">
        <v>806</v>
      </c>
      <c r="L932" s="415" t="s">
        <v>5936</v>
      </c>
      <c r="M932" s="415">
        <v>34402966</v>
      </c>
      <c r="N932" s="413">
        <v>44782</v>
      </c>
      <c r="O932" s="414" t="s">
        <v>400</v>
      </c>
      <c r="P932" s="655">
        <f t="shared" si="42"/>
        <v>8</v>
      </c>
      <c r="Q932" s="655">
        <f t="shared" si="43"/>
        <v>6</v>
      </c>
      <c r="R932" s="695" t="str">
        <f t="shared" si="44"/>
        <v>Gastos_Gerais</v>
      </c>
      <c r="S932" s="697" t="s">
        <v>998</v>
      </c>
      <c r="T932" s="697">
        <v>4006</v>
      </c>
    </row>
    <row r="933" spans="1:20" ht="72" x14ac:dyDescent="0.2">
      <c r="A933" s="432">
        <f>IF(B933="","",COUNT('Diário 1º PA'!$A$4:$A$2635)+COUNT('Diário 2º PA'!$A$4:$A$3040)+ROW()-3)</f>
        <v>5029</v>
      </c>
      <c r="B933" s="414">
        <v>44783</v>
      </c>
      <c r="C933" s="431">
        <v>44743</v>
      </c>
      <c r="D933" s="415" t="s">
        <v>271</v>
      </c>
      <c r="E933" s="415" t="s">
        <v>205</v>
      </c>
      <c r="F933" s="422">
        <v>480</v>
      </c>
      <c r="G933" s="427" t="s">
        <v>5805</v>
      </c>
      <c r="H933" s="415" t="s">
        <v>790</v>
      </c>
      <c r="I933" s="415" t="s">
        <v>2803</v>
      </c>
      <c r="J933" s="415" t="s">
        <v>2426</v>
      </c>
      <c r="K933" s="419" t="s">
        <v>806</v>
      </c>
      <c r="L933" s="415" t="s">
        <v>5936</v>
      </c>
      <c r="M933" s="415">
        <v>34402836</v>
      </c>
      <c r="N933" s="413">
        <v>44782</v>
      </c>
      <c r="O933" s="414" t="s">
        <v>400</v>
      </c>
      <c r="P933" s="655">
        <f t="shared" si="42"/>
        <v>8</v>
      </c>
      <c r="Q933" s="655">
        <f t="shared" si="43"/>
        <v>7</v>
      </c>
      <c r="R933" s="695" t="str">
        <f t="shared" si="44"/>
        <v>Gastos_Gerais</v>
      </c>
      <c r="S933" s="697" t="s">
        <v>5937</v>
      </c>
      <c r="T933" s="697">
        <v>4105</v>
      </c>
    </row>
    <row r="934" spans="1:20" ht="84" x14ac:dyDescent="0.2">
      <c r="A934" s="432">
        <f>IF(B934="","",COUNT('Diário 1º PA'!$A$4:$A$2635)+COUNT('Diário 2º PA'!$A$4:$A$3040)+ROW()-3)</f>
        <v>5030</v>
      </c>
      <c r="B934" s="414">
        <v>44783</v>
      </c>
      <c r="C934" s="431">
        <v>44743</v>
      </c>
      <c r="D934" s="415" t="s">
        <v>271</v>
      </c>
      <c r="E934" s="415" t="s">
        <v>178</v>
      </c>
      <c r="F934" s="422">
        <v>254.93</v>
      </c>
      <c r="G934" s="427" t="s">
        <v>482</v>
      </c>
      <c r="H934" s="415" t="s">
        <v>309</v>
      </c>
      <c r="I934" s="415" t="s">
        <v>1276</v>
      </c>
      <c r="J934" s="415" t="s">
        <v>1017</v>
      </c>
      <c r="K934" s="419" t="s">
        <v>812</v>
      </c>
      <c r="L934" s="415" t="s">
        <v>32</v>
      </c>
      <c r="M934" s="419" t="s">
        <v>6364</v>
      </c>
      <c r="N934" s="413">
        <v>44746</v>
      </c>
      <c r="O934" s="414" t="s">
        <v>400</v>
      </c>
      <c r="P934" s="655">
        <f t="shared" si="42"/>
        <v>8</v>
      </c>
      <c r="Q934" s="655">
        <f t="shared" si="43"/>
        <v>7</v>
      </c>
      <c r="R934" s="695" t="str">
        <f t="shared" si="44"/>
        <v>Gastos_Gerais</v>
      </c>
      <c r="S934" s="697" t="s">
        <v>1000</v>
      </c>
      <c r="T934" s="697">
        <v>1133</v>
      </c>
    </row>
    <row r="935" spans="1:20" ht="96" x14ac:dyDescent="0.2">
      <c r="A935" s="432">
        <f>IF(B935="","",COUNT('Diário 1º PA'!$A$4:$A$2635)+COUNT('Diário 2º PA'!$A$4:$A$3040)+ROW()-3)</f>
        <v>5031</v>
      </c>
      <c r="B935" s="414">
        <v>44783</v>
      </c>
      <c r="C935" s="431">
        <v>44743</v>
      </c>
      <c r="D935" s="415" t="s">
        <v>271</v>
      </c>
      <c r="E935" s="415" t="s">
        <v>187</v>
      </c>
      <c r="F935" s="422">
        <v>700</v>
      </c>
      <c r="G935" s="427" t="s">
        <v>5669</v>
      </c>
      <c r="H935" s="415" t="s">
        <v>309</v>
      </c>
      <c r="I935" s="419" t="s">
        <v>1701</v>
      </c>
      <c r="J935" s="415" t="s">
        <v>1071</v>
      </c>
      <c r="K935" s="419" t="s">
        <v>812</v>
      </c>
      <c r="L935" s="415" t="s">
        <v>32</v>
      </c>
      <c r="M935" s="419" t="s">
        <v>6365</v>
      </c>
      <c r="N935" s="413">
        <v>44776</v>
      </c>
      <c r="O935" s="414" t="s">
        <v>400</v>
      </c>
      <c r="P935" s="655">
        <f t="shared" si="42"/>
        <v>8</v>
      </c>
      <c r="Q935" s="655">
        <f t="shared" si="43"/>
        <v>7</v>
      </c>
      <c r="R935" s="695" t="str">
        <f t="shared" si="44"/>
        <v>Gastos_Gerais</v>
      </c>
      <c r="S935" s="697" t="s">
        <v>1000</v>
      </c>
      <c r="T935" s="697">
        <v>2666</v>
      </c>
    </row>
    <row r="936" spans="1:20" ht="60" x14ac:dyDescent="0.2">
      <c r="A936" s="432">
        <f>IF(B936="","",COUNT('Diário 1º PA'!$A$4:$A$2635)+COUNT('Diário 2º PA'!$A$4:$A$3040)+ROW()-3)</f>
        <v>5032</v>
      </c>
      <c r="B936" s="414">
        <v>44783</v>
      </c>
      <c r="C936" s="431">
        <v>44743</v>
      </c>
      <c r="D936" s="415" t="s">
        <v>271</v>
      </c>
      <c r="E936" s="415" t="s">
        <v>183</v>
      </c>
      <c r="F936" s="425">
        <v>138.94</v>
      </c>
      <c r="G936" s="427" t="s">
        <v>551</v>
      </c>
      <c r="H936" s="415" t="s">
        <v>753</v>
      </c>
      <c r="I936" s="419" t="s">
        <v>6366</v>
      </c>
      <c r="J936" s="415" t="s">
        <v>1704</v>
      </c>
      <c r="K936" s="415" t="s">
        <v>1404</v>
      </c>
      <c r="L936" s="415" t="s">
        <v>32</v>
      </c>
      <c r="M936" s="546">
        <v>2207953718695</v>
      </c>
      <c r="N936" s="413">
        <v>44761</v>
      </c>
      <c r="O936" s="414" t="s">
        <v>400</v>
      </c>
      <c r="P936" s="655">
        <f t="shared" si="42"/>
        <v>8</v>
      </c>
      <c r="Q936" s="655">
        <f t="shared" si="43"/>
        <v>7</v>
      </c>
      <c r="R936" s="695" t="str">
        <f t="shared" si="44"/>
        <v>Gastos_Gerais</v>
      </c>
      <c r="S936" s="696" t="s">
        <v>1000</v>
      </c>
      <c r="T936" s="697">
        <v>1997</v>
      </c>
    </row>
    <row r="937" spans="1:20" ht="36" x14ac:dyDescent="0.2">
      <c r="A937" s="432">
        <f>IF(B937="","",COUNT('Diário 1º PA'!$A$4:$A$2635)+COUNT('Diário 2º PA'!$A$4:$A$3040)+ROW()-3)</f>
        <v>5033</v>
      </c>
      <c r="B937" s="414">
        <v>44783</v>
      </c>
      <c r="C937" s="431">
        <v>44743</v>
      </c>
      <c r="D937" s="415" t="s">
        <v>271</v>
      </c>
      <c r="E937" s="415" t="s">
        <v>90</v>
      </c>
      <c r="F937" s="425">
        <v>5389.45</v>
      </c>
      <c r="G937" s="427" t="s">
        <v>4060</v>
      </c>
      <c r="H937" s="415" t="s">
        <v>793</v>
      </c>
      <c r="I937" s="415" t="s">
        <v>2628</v>
      </c>
      <c r="J937" s="415" t="s">
        <v>4061</v>
      </c>
      <c r="K937" s="419" t="s">
        <v>830</v>
      </c>
      <c r="L937" s="415" t="s">
        <v>32</v>
      </c>
      <c r="M937" s="419" t="s">
        <v>1465</v>
      </c>
      <c r="N937" s="413">
        <v>44782</v>
      </c>
      <c r="O937" s="414" t="s">
        <v>400</v>
      </c>
      <c r="P937" s="655">
        <f t="shared" si="42"/>
        <v>8</v>
      </c>
      <c r="Q937" s="655">
        <f t="shared" si="43"/>
        <v>7</v>
      </c>
      <c r="R937" s="695" t="str">
        <f t="shared" si="44"/>
        <v>Gastos_Gerais</v>
      </c>
      <c r="S937" s="696" t="s">
        <v>1000</v>
      </c>
      <c r="T937" s="697">
        <v>3568</v>
      </c>
    </row>
    <row r="938" spans="1:20" ht="36" x14ac:dyDescent="0.2">
      <c r="A938" s="432">
        <f>IF(B938="","",COUNT('Diário 1º PA'!$A$4:$A$2635)+COUNT('Diário 2º PA'!$A$4:$A$3040)+ROW()-3)</f>
        <v>5034</v>
      </c>
      <c r="B938" s="414">
        <v>44783</v>
      </c>
      <c r="C938" s="431">
        <v>44774</v>
      </c>
      <c r="D938" s="415" t="s">
        <v>271</v>
      </c>
      <c r="E938" s="415" t="s">
        <v>71</v>
      </c>
      <c r="F938" s="425">
        <v>11</v>
      </c>
      <c r="G938" s="427" t="s">
        <v>5892</v>
      </c>
      <c r="H938" s="415" t="s">
        <v>793</v>
      </c>
      <c r="I938" s="398" t="s">
        <v>881</v>
      </c>
      <c r="J938" s="418" t="s">
        <v>882</v>
      </c>
      <c r="K938" s="418" t="s">
        <v>883</v>
      </c>
      <c r="L938" s="399" t="s">
        <v>798</v>
      </c>
      <c r="M938" s="544" t="s">
        <v>310</v>
      </c>
      <c r="N938" s="414">
        <v>44783</v>
      </c>
      <c r="O938" s="414" t="s">
        <v>400</v>
      </c>
      <c r="P938" s="655">
        <f t="shared" si="42"/>
        <v>8</v>
      </c>
      <c r="Q938" s="655">
        <f t="shared" si="43"/>
        <v>8</v>
      </c>
      <c r="R938" s="695" t="str">
        <f t="shared" si="44"/>
        <v>Gastos_Gerais</v>
      </c>
      <c r="S938" s="697" t="s">
        <v>310</v>
      </c>
      <c r="T938" s="697" t="s">
        <v>310</v>
      </c>
    </row>
    <row r="939" spans="1:20" ht="36" x14ac:dyDescent="0.2">
      <c r="A939" s="432">
        <f>IF(B939="","",COUNT('Diário 1º PA'!$A$4:$A$2635)+COUNT('Diário 2º PA'!$A$4:$A$3040)+ROW()-3)</f>
        <v>5035</v>
      </c>
      <c r="B939" s="414">
        <v>44783</v>
      </c>
      <c r="C939" s="431">
        <v>44743</v>
      </c>
      <c r="D939" s="419" t="s">
        <v>468</v>
      </c>
      <c r="E939" s="419" t="s">
        <v>468</v>
      </c>
      <c r="F939" s="425">
        <v>143.32</v>
      </c>
      <c r="G939" s="427" t="s">
        <v>6496</v>
      </c>
      <c r="H939" s="415" t="s">
        <v>468</v>
      </c>
      <c r="I939" s="398" t="s">
        <v>990</v>
      </c>
      <c r="J939" s="415" t="s">
        <v>991</v>
      </c>
      <c r="K939" s="415" t="s">
        <v>830</v>
      </c>
      <c r="L939" s="415" t="s">
        <v>798</v>
      </c>
      <c r="M939" s="415" t="s">
        <v>310</v>
      </c>
      <c r="N939" s="413">
        <v>44783</v>
      </c>
      <c r="O939" s="414" t="s">
        <v>408</v>
      </c>
      <c r="P939" s="655">
        <f t="shared" si="42"/>
        <v>8</v>
      </c>
      <c r="Q939" s="655">
        <f t="shared" si="43"/>
        <v>7</v>
      </c>
      <c r="R939" s="695" t="str">
        <f t="shared" si="44"/>
        <v>Gastos_custeados_por_captação</v>
      </c>
      <c r="S939" s="697" t="s">
        <v>998</v>
      </c>
      <c r="T939" s="697">
        <v>4232</v>
      </c>
    </row>
    <row r="940" spans="1:20" ht="84" x14ac:dyDescent="0.2">
      <c r="A940" s="432">
        <f>IF(B940="","",COUNT('Diário 1º PA'!$A$4:$A$2635)+COUNT('Diário 2º PA'!$A$4:$A$3040)+ROW()-3)</f>
        <v>5036</v>
      </c>
      <c r="B940" s="414">
        <v>44783</v>
      </c>
      <c r="C940" s="431">
        <v>44774</v>
      </c>
      <c r="D940" s="419" t="s">
        <v>468</v>
      </c>
      <c r="E940" s="419" t="s">
        <v>468</v>
      </c>
      <c r="F940" s="425">
        <v>840</v>
      </c>
      <c r="G940" s="427" t="s">
        <v>5823</v>
      </c>
      <c r="H940" s="415" t="s">
        <v>468</v>
      </c>
      <c r="I940" s="398" t="s">
        <v>856</v>
      </c>
      <c r="J940" s="415" t="s">
        <v>5824</v>
      </c>
      <c r="K940" s="415" t="s">
        <v>830</v>
      </c>
      <c r="L940" s="415" t="s">
        <v>839</v>
      </c>
      <c r="M940" s="415">
        <v>1928</v>
      </c>
      <c r="N940" s="413">
        <v>44776</v>
      </c>
      <c r="O940" s="414" t="s">
        <v>3762</v>
      </c>
      <c r="P940" s="655">
        <f t="shared" si="42"/>
        <v>8</v>
      </c>
      <c r="Q940" s="655">
        <f t="shared" si="43"/>
        <v>8</v>
      </c>
      <c r="R940" s="695" t="str">
        <f t="shared" si="44"/>
        <v>Gastos_custeados_por_captação</v>
      </c>
      <c r="S940" s="697" t="s">
        <v>998</v>
      </c>
      <c r="T940" s="697">
        <v>4119</v>
      </c>
    </row>
    <row r="941" spans="1:20" ht="60" x14ac:dyDescent="0.2">
      <c r="A941" s="432">
        <f>IF(B941="","",COUNT('Diário 1º PA'!$A$4:$A$2635)+COUNT('Diário 2º PA'!$A$4:$A$3040)+ROW()-3)</f>
        <v>5037</v>
      </c>
      <c r="B941" s="414">
        <v>44783</v>
      </c>
      <c r="C941" s="431">
        <v>44713</v>
      </c>
      <c r="D941" s="419" t="s">
        <v>468</v>
      </c>
      <c r="E941" s="419" t="s">
        <v>468</v>
      </c>
      <c r="F941" s="425">
        <v>2184.1799999999998</v>
      </c>
      <c r="G941" s="427" t="s">
        <v>5759</v>
      </c>
      <c r="H941" s="415" t="s">
        <v>468</v>
      </c>
      <c r="I941" s="398" t="s">
        <v>6782</v>
      </c>
      <c r="J941" s="415" t="s">
        <v>5760</v>
      </c>
      <c r="K941" s="419" t="s">
        <v>806</v>
      </c>
      <c r="L941" s="415" t="s">
        <v>839</v>
      </c>
      <c r="M941" s="415">
        <v>1940</v>
      </c>
      <c r="N941" s="413">
        <v>44781</v>
      </c>
      <c r="O941" s="414" t="s">
        <v>404</v>
      </c>
      <c r="P941" s="655">
        <f t="shared" si="42"/>
        <v>8</v>
      </c>
      <c r="Q941" s="655">
        <f t="shared" si="43"/>
        <v>6</v>
      </c>
      <c r="R941" s="695" t="str">
        <f t="shared" si="44"/>
        <v>Gastos_custeados_por_captação</v>
      </c>
      <c r="S941" s="697" t="s">
        <v>1000</v>
      </c>
      <c r="T941" s="697">
        <v>3986</v>
      </c>
    </row>
    <row r="942" spans="1:20" ht="60" x14ac:dyDescent="0.2">
      <c r="A942" s="432">
        <f>IF(B942="","",COUNT('Diário 1º PA'!$A$4:$A$2635)+COUNT('Diário 2º PA'!$A$4:$A$3040)+ROW()-3)</f>
        <v>5038</v>
      </c>
      <c r="B942" s="414">
        <v>44783</v>
      </c>
      <c r="C942" s="431">
        <v>44713</v>
      </c>
      <c r="D942" s="419" t="s">
        <v>468</v>
      </c>
      <c r="E942" s="419" t="s">
        <v>468</v>
      </c>
      <c r="F942" s="425">
        <v>2184.1799999999998</v>
      </c>
      <c r="G942" s="427" t="s">
        <v>5767</v>
      </c>
      <c r="H942" s="415" t="s">
        <v>468</v>
      </c>
      <c r="I942" s="398" t="s">
        <v>6785</v>
      </c>
      <c r="J942" s="415" t="s">
        <v>5768</v>
      </c>
      <c r="K942" s="419" t="s">
        <v>806</v>
      </c>
      <c r="L942" s="415" t="s">
        <v>839</v>
      </c>
      <c r="M942" s="415">
        <v>1942</v>
      </c>
      <c r="N942" s="413">
        <v>44781</v>
      </c>
      <c r="O942" s="414" t="s">
        <v>404</v>
      </c>
      <c r="P942" s="655">
        <f t="shared" si="42"/>
        <v>8</v>
      </c>
      <c r="Q942" s="655">
        <f t="shared" si="43"/>
        <v>6</v>
      </c>
      <c r="R942" s="695" t="str">
        <f t="shared" si="44"/>
        <v>Gastos_custeados_por_captação</v>
      </c>
      <c r="S942" s="697" t="s">
        <v>1000</v>
      </c>
      <c r="T942" s="697">
        <v>3988</v>
      </c>
    </row>
    <row r="943" spans="1:20" ht="60" x14ac:dyDescent="0.2">
      <c r="A943" s="432">
        <f>IF(B943="","",COUNT('Diário 1º PA'!$A$4:$A$2635)+COUNT('Diário 2º PA'!$A$4:$A$3040)+ROW()-3)</f>
        <v>5039</v>
      </c>
      <c r="B943" s="414">
        <v>44783</v>
      </c>
      <c r="C943" s="431">
        <v>44713</v>
      </c>
      <c r="D943" s="419" t="s">
        <v>468</v>
      </c>
      <c r="E943" s="419" t="s">
        <v>468</v>
      </c>
      <c r="F943" s="425">
        <v>2184.1799999999998</v>
      </c>
      <c r="G943" s="427" t="s">
        <v>5770</v>
      </c>
      <c r="H943" s="415" t="s">
        <v>468</v>
      </c>
      <c r="I943" s="398" t="s">
        <v>6788</v>
      </c>
      <c r="J943" s="415" t="s">
        <v>5771</v>
      </c>
      <c r="K943" s="419" t="s">
        <v>806</v>
      </c>
      <c r="L943" s="415" t="s">
        <v>839</v>
      </c>
      <c r="M943" s="415">
        <v>1936</v>
      </c>
      <c r="N943" s="413">
        <v>44781</v>
      </c>
      <c r="O943" s="414" t="s">
        <v>404</v>
      </c>
      <c r="P943" s="655">
        <f t="shared" si="42"/>
        <v>8</v>
      </c>
      <c r="Q943" s="655">
        <f t="shared" si="43"/>
        <v>6</v>
      </c>
      <c r="R943" s="695" t="str">
        <f t="shared" si="44"/>
        <v>Gastos_custeados_por_captação</v>
      </c>
      <c r="S943" s="697" t="s">
        <v>1000</v>
      </c>
      <c r="T943" s="697">
        <v>3981</v>
      </c>
    </row>
    <row r="944" spans="1:20" ht="60" x14ac:dyDescent="0.2">
      <c r="A944" s="432">
        <f>IF(B944="","",COUNT('Diário 1º PA'!$A$4:$A$2635)+COUNT('Diário 2º PA'!$A$4:$A$3040)+ROW()-3)</f>
        <v>5040</v>
      </c>
      <c r="B944" s="414">
        <v>44783</v>
      </c>
      <c r="C944" s="431">
        <v>44713</v>
      </c>
      <c r="D944" s="419" t="s">
        <v>468</v>
      </c>
      <c r="E944" s="419" t="s">
        <v>468</v>
      </c>
      <c r="F944" s="425">
        <v>2184.1799999999998</v>
      </c>
      <c r="G944" s="427" t="s">
        <v>5766</v>
      </c>
      <c r="H944" s="415" t="s">
        <v>468</v>
      </c>
      <c r="I944" s="398" t="s">
        <v>2690</v>
      </c>
      <c r="J944" s="415" t="s">
        <v>1162</v>
      </c>
      <c r="K944" s="419" t="s">
        <v>806</v>
      </c>
      <c r="L944" s="415" t="s">
        <v>839</v>
      </c>
      <c r="M944" s="415">
        <v>1943</v>
      </c>
      <c r="N944" s="413">
        <v>44781</v>
      </c>
      <c r="O944" s="414" t="s">
        <v>404</v>
      </c>
      <c r="P944" s="655">
        <f t="shared" si="42"/>
        <v>8</v>
      </c>
      <c r="Q944" s="655">
        <f t="shared" si="43"/>
        <v>6</v>
      </c>
      <c r="R944" s="695" t="str">
        <f t="shared" si="44"/>
        <v>Gastos_custeados_por_captação</v>
      </c>
      <c r="S944" s="697" t="s">
        <v>1000</v>
      </c>
      <c r="T944" s="697">
        <v>3990</v>
      </c>
    </row>
    <row r="945" spans="1:20" ht="60" x14ac:dyDescent="0.2">
      <c r="A945" s="432">
        <f>IF(B945="","",COUNT('Diário 1º PA'!$A$4:$A$2635)+COUNT('Diário 2º PA'!$A$4:$A$3040)+ROW()-3)</f>
        <v>5041</v>
      </c>
      <c r="B945" s="414">
        <v>44783</v>
      </c>
      <c r="C945" s="431">
        <v>44713</v>
      </c>
      <c r="D945" s="419" t="s">
        <v>468</v>
      </c>
      <c r="E945" s="419" t="s">
        <v>468</v>
      </c>
      <c r="F945" s="425">
        <v>2184.1799999999998</v>
      </c>
      <c r="G945" s="427" t="s">
        <v>5769</v>
      </c>
      <c r="H945" s="415" t="s">
        <v>468</v>
      </c>
      <c r="I945" s="398" t="s">
        <v>1267</v>
      </c>
      <c r="J945" s="415" t="s">
        <v>1059</v>
      </c>
      <c r="K945" s="419" t="s">
        <v>806</v>
      </c>
      <c r="L945" s="415" t="s">
        <v>839</v>
      </c>
      <c r="M945" s="415">
        <v>1941</v>
      </c>
      <c r="N945" s="413">
        <v>44781</v>
      </c>
      <c r="O945" s="414" t="s">
        <v>404</v>
      </c>
      <c r="P945" s="655">
        <f t="shared" si="42"/>
        <v>8</v>
      </c>
      <c r="Q945" s="655">
        <f t="shared" si="43"/>
        <v>6</v>
      </c>
      <c r="R945" s="695" t="str">
        <f t="shared" si="44"/>
        <v>Gastos_custeados_por_captação</v>
      </c>
      <c r="S945" s="697" t="s">
        <v>1000</v>
      </c>
      <c r="T945" s="697">
        <v>3987</v>
      </c>
    </row>
    <row r="946" spans="1:20" ht="60" x14ac:dyDescent="0.2">
      <c r="A946" s="432">
        <f>IF(B946="","",COUNT('Diário 1º PA'!$A$4:$A$2635)+COUNT('Diário 2º PA'!$A$4:$A$3040)+ROW()-3)</f>
        <v>5042</v>
      </c>
      <c r="B946" s="414">
        <v>44783</v>
      </c>
      <c r="C946" s="431">
        <v>44713</v>
      </c>
      <c r="D946" s="419" t="s">
        <v>468</v>
      </c>
      <c r="E946" s="419" t="s">
        <v>468</v>
      </c>
      <c r="F946" s="425">
        <v>2184.1799999999998</v>
      </c>
      <c r="G946" s="427" t="s">
        <v>5763</v>
      </c>
      <c r="H946" s="415" t="s">
        <v>468</v>
      </c>
      <c r="I946" s="398" t="s">
        <v>6795</v>
      </c>
      <c r="J946" s="415" t="s">
        <v>5764</v>
      </c>
      <c r="K946" s="415" t="s">
        <v>830</v>
      </c>
      <c r="L946" s="415" t="s">
        <v>839</v>
      </c>
      <c r="M946" s="415">
        <v>1938</v>
      </c>
      <c r="N946" s="413">
        <v>44781</v>
      </c>
      <c r="O946" s="414" t="s">
        <v>404</v>
      </c>
      <c r="P946" s="655">
        <f t="shared" si="42"/>
        <v>8</v>
      </c>
      <c r="Q946" s="655">
        <f t="shared" si="43"/>
        <v>6</v>
      </c>
      <c r="R946" s="695" t="str">
        <f t="shared" si="44"/>
        <v>Gastos_custeados_por_captação</v>
      </c>
      <c r="S946" s="697" t="s">
        <v>1000</v>
      </c>
      <c r="T946" s="697">
        <v>3984</v>
      </c>
    </row>
    <row r="947" spans="1:20" ht="60" x14ac:dyDescent="0.2">
      <c r="A947" s="432">
        <f>IF(B947="","",COUNT('Diário 1º PA'!$A$4:$A$2635)+COUNT('Diário 2º PA'!$A$4:$A$3040)+ROW()-3)</f>
        <v>5043</v>
      </c>
      <c r="B947" s="414">
        <v>44783</v>
      </c>
      <c r="C947" s="431">
        <v>44713</v>
      </c>
      <c r="D947" s="419" t="s">
        <v>468</v>
      </c>
      <c r="E947" s="419" t="s">
        <v>468</v>
      </c>
      <c r="F947" s="425">
        <v>2184.1799999999998</v>
      </c>
      <c r="G947" s="427" t="s">
        <v>5765</v>
      </c>
      <c r="H947" s="415" t="s">
        <v>468</v>
      </c>
      <c r="I947" s="398" t="s">
        <v>4564</v>
      </c>
      <c r="J947" s="415" t="s">
        <v>1637</v>
      </c>
      <c r="K947" s="415" t="s">
        <v>830</v>
      </c>
      <c r="L947" s="415" t="s">
        <v>839</v>
      </c>
      <c r="M947" s="415">
        <v>1937</v>
      </c>
      <c r="N947" s="413">
        <v>44781</v>
      </c>
      <c r="O947" s="414" t="s">
        <v>404</v>
      </c>
      <c r="P947" s="655">
        <f t="shared" si="42"/>
        <v>8</v>
      </c>
      <c r="Q947" s="655">
        <f t="shared" si="43"/>
        <v>6</v>
      </c>
      <c r="R947" s="695" t="str">
        <f t="shared" si="44"/>
        <v>Gastos_custeados_por_captação</v>
      </c>
      <c r="S947" s="697" t="s">
        <v>1000</v>
      </c>
      <c r="T947" s="697">
        <v>3983</v>
      </c>
    </row>
    <row r="948" spans="1:20" ht="60" x14ac:dyDescent="0.2">
      <c r="A948" s="432">
        <f>IF(B948="","",COUNT('Diário 1º PA'!$A$4:$A$2635)+COUNT('Diário 2º PA'!$A$4:$A$3040)+ROW()-3)</f>
        <v>5044</v>
      </c>
      <c r="B948" s="414">
        <v>44783</v>
      </c>
      <c r="C948" s="431">
        <v>44713</v>
      </c>
      <c r="D948" s="419" t="s">
        <v>468</v>
      </c>
      <c r="E948" s="419" t="s">
        <v>468</v>
      </c>
      <c r="F948" s="425">
        <v>2184.1799999999998</v>
      </c>
      <c r="G948" s="427" t="s">
        <v>5761</v>
      </c>
      <c r="H948" s="415" t="s">
        <v>468</v>
      </c>
      <c r="I948" s="398" t="s">
        <v>1706</v>
      </c>
      <c r="J948" s="415" t="s">
        <v>2171</v>
      </c>
      <c r="K948" s="415" t="s">
        <v>830</v>
      </c>
      <c r="L948" s="415" t="s">
        <v>839</v>
      </c>
      <c r="M948" s="415">
        <v>1939</v>
      </c>
      <c r="N948" s="413">
        <v>44781</v>
      </c>
      <c r="O948" s="414" t="s">
        <v>404</v>
      </c>
      <c r="P948" s="655">
        <f t="shared" si="42"/>
        <v>8</v>
      </c>
      <c r="Q948" s="655">
        <f t="shared" si="43"/>
        <v>6</v>
      </c>
      <c r="R948" s="695" t="str">
        <f t="shared" si="44"/>
        <v>Gastos_custeados_por_captação</v>
      </c>
      <c r="S948" s="697" t="s">
        <v>1000</v>
      </c>
      <c r="T948" s="697">
        <v>3985</v>
      </c>
    </row>
    <row r="949" spans="1:20" ht="60" x14ac:dyDescent="0.2">
      <c r="A949" s="432">
        <f>IF(B949="","",COUNT('Diário 1º PA'!$A$4:$A$2635)+COUNT('Diário 2º PA'!$A$4:$A$3040)+ROW()-3)</f>
        <v>5045</v>
      </c>
      <c r="B949" s="414">
        <v>44783</v>
      </c>
      <c r="C949" s="431">
        <v>44774</v>
      </c>
      <c r="D949" s="419" t="s">
        <v>468</v>
      </c>
      <c r="E949" s="419" t="s">
        <v>468</v>
      </c>
      <c r="F949" s="425">
        <v>660</v>
      </c>
      <c r="G949" s="427" t="s">
        <v>6803</v>
      </c>
      <c r="H949" s="415" t="s">
        <v>468</v>
      </c>
      <c r="I949" s="427" t="s">
        <v>6802</v>
      </c>
      <c r="J949" s="415" t="s">
        <v>6025</v>
      </c>
      <c r="K949" s="415" t="s">
        <v>830</v>
      </c>
      <c r="L949" s="415" t="s">
        <v>32</v>
      </c>
      <c r="M949" s="415">
        <v>4028</v>
      </c>
      <c r="N949" s="413">
        <v>44783</v>
      </c>
      <c r="O949" s="414" t="s">
        <v>404</v>
      </c>
      <c r="P949" s="655">
        <f t="shared" si="42"/>
        <v>8</v>
      </c>
      <c r="Q949" s="655">
        <f t="shared" si="43"/>
        <v>8</v>
      </c>
      <c r="R949" s="695" t="str">
        <f t="shared" si="44"/>
        <v>Gastos_custeados_por_captação</v>
      </c>
      <c r="S949" s="697" t="s">
        <v>999</v>
      </c>
      <c r="T949" s="697">
        <v>4246</v>
      </c>
    </row>
    <row r="950" spans="1:20" ht="60" x14ac:dyDescent="0.2">
      <c r="A950" s="432">
        <f>IF(B950="","",COUNT('Diário 1º PA'!$A$4:$A$2635)+COUNT('Diário 2º PA'!$A$4:$A$3040)+ROW()-3)</f>
        <v>5046</v>
      </c>
      <c r="B950" s="414">
        <v>44783</v>
      </c>
      <c r="C950" s="431">
        <v>44743</v>
      </c>
      <c r="D950" s="419" t="s">
        <v>468</v>
      </c>
      <c r="E950" s="419" t="s">
        <v>468</v>
      </c>
      <c r="F950" s="425">
        <v>2500</v>
      </c>
      <c r="G950" s="427" t="s">
        <v>1986</v>
      </c>
      <c r="H950" s="415" t="s">
        <v>468</v>
      </c>
      <c r="I950" s="398" t="s">
        <v>6558</v>
      </c>
      <c r="J950" s="415" t="s">
        <v>1987</v>
      </c>
      <c r="K950" s="415" t="s">
        <v>830</v>
      </c>
      <c r="L950" s="415" t="s">
        <v>32</v>
      </c>
      <c r="M950" s="415" t="s">
        <v>1308</v>
      </c>
      <c r="N950" s="413">
        <v>44782</v>
      </c>
      <c r="O950" s="414" t="s">
        <v>404</v>
      </c>
      <c r="P950" s="655">
        <f t="shared" si="42"/>
        <v>8</v>
      </c>
      <c r="Q950" s="655">
        <f t="shared" si="43"/>
        <v>7</v>
      </c>
      <c r="R950" s="695" t="str">
        <f t="shared" si="44"/>
        <v>Gastos_custeados_por_captação</v>
      </c>
      <c r="S950" s="697" t="s">
        <v>1000</v>
      </c>
      <c r="T950" s="697">
        <v>3045</v>
      </c>
    </row>
    <row r="951" spans="1:20" ht="60" x14ac:dyDescent="0.2">
      <c r="A951" s="432">
        <f>IF(B951="","",COUNT('Diário 1º PA'!$A$4:$A$2635)+COUNT('Diário 2º PA'!$A$4:$A$3040)+ROW()-3)</f>
        <v>5047</v>
      </c>
      <c r="B951" s="414">
        <v>44783</v>
      </c>
      <c r="C951" s="431">
        <v>44774</v>
      </c>
      <c r="D951" s="419" t="s">
        <v>468</v>
      </c>
      <c r="E951" s="419" t="s">
        <v>468</v>
      </c>
      <c r="F951" s="425">
        <v>1400.28</v>
      </c>
      <c r="G951" s="427" t="s">
        <v>5396</v>
      </c>
      <c r="H951" s="415" t="s">
        <v>468</v>
      </c>
      <c r="I951" s="398" t="s">
        <v>2376</v>
      </c>
      <c r="J951" s="415" t="s">
        <v>1143</v>
      </c>
      <c r="K951" s="419" t="s">
        <v>806</v>
      </c>
      <c r="L951" s="399" t="s">
        <v>839</v>
      </c>
      <c r="M951" s="415">
        <v>1935</v>
      </c>
      <c r="N951" s="413">
        <v>44778</v>
      </c>
      <c r="O951" s="414" t="s">
        <v>405</v>
      </c>
      <c r="P951" s="655">
        <f t="shared" si="42"/>
        <v>8</v>
      </c>
      <c r="Q951" s="655">
        <f t="shared" si="43"/>
        <v>8</v>
      </c>
      <c r="R951" s="695" t="str">
        <f t="shared" si="44"/>
        <v>Gastos_custeados_por_captação</v>
      </c>
      <c r="S951" s="697" t="s">
        <v>1000</v>
      </c>
      <c r="T951" s="697">
        <v>4008</v>
      </c>
    </row>
    <row r="952" spans="1:20" ht="48" x14ac:dyDescent="0.2">
      <c r="A952" s="432">
        <f>IF(B952="","",COUNT('Diário 1º PA'!$A$4:$A$2635)+COUNT('Diário 2º PA'!$A$4:$A$3040)+ROW()-3)</f>
        <v>5048</v>
      </c>
      <c r="B952" s="414">
        <v>44784</v>
      </c>
      <c r="C952" s="431">
        <v>44774</v>
      </c>
      <c r="D952" s="415" t="s">
        <v>271</v>
      </c>
      <c r="E952" s="415" t="s">
        <v>67</v>
      </c>
      <c r="F952" s="425">
        <v>-3.79</v>
      </c>
      <c r="G952" s="427" t="s">
        <v>6390</v>
      </c>
      <c r="H952" s="415" t="s">
        <v>309</v>
      </c>
      <c r="I952" s="473" t="s">
        <v>795</v>
      </c>
      <c r="J952" s="415" t="s">
        <v>796</v>
      </c>
      <c r="K952" s="415" t="s">
        <v>797</v>
      </c>
      <c r="L952" s="415" t="s">
        <v>798</v>
      </c>
      <c r="M952" s="415" t="s">
        <v>310</v>
      </c>
      <c r="N952" s="414">
        <v>44784</v>
      </c>
      <c r="O952" s="414" t="s">
        <v>400</v>
      </c>
      <c r="P952" s="655">
        <f t="shared" si="42"/>
        <v>8</v>
      </c>
      <c r="Q952" s="655">
        <f t="shared" si="43"/>
        <v>8</v>
      </c>
      <c r="R952" s="695" t="str">
        <f t="shared" si="44"/>
        <v>Gastos_Gerais</v>
      </c>
      <c r="S952" s="697" t="s">
        <v>310</v>
      </c>
      <c r="T952" s="697" t="s">
        <v>310</v>
      </c>
    </row>
    <row r="953" spans="1:20" ht="72" x14ac:dyDescent="0.2">
      <c r="A953" s="432">
        <f>IF(B953="","",COUNT('Diário 1º PA'!$A$4:$A$2635)+COUNT('Diário 2º PA'!$A$4:$A$3040)+ROW()-3)</f>
        <v>5049</v>
      </c>
      <c r="B953" s="414">
        <v>44784</v>
      </c>
      <c r="C953" s="431">
        <v>44774</v>
      </c>
      <c r="D953" s="415" t="s">
        <v>271</v>
      </c>
      <c r="E953" s="415" t="s">
        <v>67</v>
      </c>
      <c r="F953" s="435">
        <v>-99.9</v>
      </c>
      <c r="G953" s="427" t="s">
        <v>6391</v>
      </c>
      <c r="H953" s="415" t="s">
        <v>309</v>
      </c>
      <c r="I953" s="427" t="s">
        <v>795</v>
      </c>
      <c r="J953" s="415" t="s">
        <v>796</v>
      </c>
      <c r="K953" s="415" t="s">
        <v>797</v>
      </c>
      <c r="L953" s="415" t="s">
        <v>798</v>
      </c>
      <c r="M953" s="415" t="s">
        <v>310</v>
      </c>
      <c r="N953" s="414">
        <v>44784</v>
      </c>
      <c r="O953" s="414" t="s">
        <v>400</v>
      </c>
      <c r="P953" s="655">
        <f t="shared" si="42"/>
        <v>8</v>
      </c>
      <c r="Q953" s="655">
        <f t="shared" si="43"/>
        <v>8</v>
      </c>
      <c r="R953" s="695" t="str">
        <f t="shared" si="44"/>
        <v>Gastos_Gerais</v>
      </c>
      <c r="S953" s="697" t="s">
        <v>310</v>
      </c>
      <c r="T953" s="697" t="s">
        <v>310</v>
      </c>
    </row>
    <row r="954" spans="1:20" ht="48" x14ac:dyDescent="0.2">
      <c r="A954" s="432">
        <f>IF(B954="","",COUNT('Diário 1º PA'!$A$4:$A$2635)+COUNT('Diário 2º PA'!$A$4:$A$3040)+ROW()-3)</f>
        <v>5050</v>
      </c>
      <c r="B954" s="413">
        <v>44784</v>
      </c>
      <c r="C954" s="431">
        <v>44774</v>
      </c>
      <c r="D954" s="415" t="s">
        <v>271</v>
      </c>
      <c r="E954" s="415" t="s">
        <v>67</v>
      </c>
      <c r="F954" s="425">
        <v>382.04</v>
      </c>
      <c r="G954" s="427" t="s">
        <v>5673</v>
      </c>
      <c r="H954" s="415" t="s">
        <v>309</v>
      </c>
      <c r="I954" s="427" t="s">
        <v>764</v>
      </c>
      <c r="J954" s="415" t="s">
        <v>310</v>
      </c>
      <c r="K954" s="419" t="s">
        <v>1220</v>
      </c>
      <c r="L954" s="415" t="s">
        <v>3973</v>
      </c>
      <c r="M954" s="419" t="s">
        <v>6384</v>
      </c>
      <c r="N954" s="413">
        <v>44784</v>
      </c>
      <c r="O954" s="414" t="s">
        <v>400</v>
      </c>
      <c r="P954" s="655">
        <f t="shared" si="42"/>
        <v>8</v>
      </c>
      <c r="Q954" s="655">
        <f t="shared" si="43"/>
        <v>8</v>
      </c>
      <c r="R954" s="695" t="str">
        <f t="shared" si="44"/>
        <v>Gastos_Gerais</v>
      </c>
      <c r="S954" s="697" t="s">
        <v>310</v>
      </c>
      <c r="T954" s="697" t="s">
        <v>310</v>
      </c>
    </row>
    <row r="955" spans="1:20" ht="36" x14ac:dyDescent="0.2">
      <c r="A955" s="432">
        <f>IF(B955="","",COUNT('Diário 1º PA'!$A$4:$A$2635)+COUNT('Diário 2º PA'!$A$4:$A$3040)+ROW()-3)</f>
        <v>5051</v>
      </c>
      <c r="B955" s="413">
        <v>44784</v>
      </c>
      <c r="C955" s="431">
        <v>44743</v>
      </c>
      <c r="D955" s="415" t="s">
        <v>271</v>
      </c>
      <c r="E955" s="415" t="s">
        <v>442</v>
      </c>
      <c r="F955" s="425">
        <v>1100.8</v>
      </c>
      <c r="G955" s="427" t="s">
        <v>5696</v>
      </c>
      <c r="H955" s="415" t="s">
        <v>757</v>
      </c>
      <c r="I955" s="415" t="s">
        <v>5939</v>
      </c>
      <c r="J955" s="415" t="s">
        <v>3594</v>
      </c>
      <c r="K955" s="419" t="s">
        <v>830</v>
      </c>
      <c r="L955" s="415" t="s">
        <v>839</v>
      </c>
      <c r="M955" s="419">
        <v>1927</v>
      </c>
      <c r="N955" s="413">
        <v>44776</v>
      </c>
      <c r="O955" s="414" t="s">
        <v>400</v>
      </c>
      <c r="P955" s="655">
        <f t="shared" si="42"/>
        <v>8</v>
      </c>
      <c r="Q955" s="655">
        <f t="shared" si="43"/>
        <v>7</v>
      </c>
      <c r="R955" s="695" t="str">
        <f t="shared" si="44"/>
        <v>Gastos_Gerais</v>
      </c>
      <c r="S955" s="697" t="s">
        <v>998</v>
      </c>
      <c r="T955" s="697">
        <v>4069</v>
      </c>
    </row>
    <row r="956" spans="1:20" ht="36" x14ac:dyDescent="0.2">
      <c r="A956" s="432">
        <f>IF(B956="","",COUNT('Diário 1º PA'!$A$4:$A$2635)+COUNT('Diário 2º PA'!$A$4:$A$3040)+ROW()-3)</f>
        <v>5052</v>
      </c>
      <c r="B956" s="413">
        <v>44784</v>
      </c>
      <c r="C956" s="431">
        <v>44743</v>
      </c>
      <c r="D956" s="415" t="s">
        <v>271</v>
      </c>
      <c r="E956" s="415" t="s">
        <v>456</v>
      </c>
      <c r="F956" s="425">
        <v>700</v>
      </c>
      <c r="G956" s="427" t="s">
        <v>5801</v>
      </c>
      <c r="H956" s="415" t="s">
        <v>758</v>
      </c>
      <c r="I956" s="415" t="s">
        <v>6387</v>
      </c>
      <c r="J956" s="415" t="s">
        <v>5802</v>
      </c>
      <c r="K956" s="419" t="s">
        <v>830</v>
      </c>
      <c r="L956" s="415" t="s">
        <v>32</v>
      </c>
      <c r="M956" s="419" t="s">
        <v>1786</v>
      </c>
      <c r="N956" s="413">
        <v>44782</v>
      </c>
      <c r="O956" s="414" t="s">
        <v>400</v>
      </c>
      <c r="P956" s="655">
        <f t="shared" si="42"/>
        <v>8</v>
      </c>
      <c r="Q956" s="655">
        <f t="shared" si="43"/>
        <v>7</v>
      </c>
      <c r="R956" s="695" t="str">
        <f t="shared" si="44"/>
        <v>Gastos_Gerais</v>
      </c>
      <c r="S956" s="697" t="s">
        <v>998</v>
      </c>
      <c r="T956" s="697">
        <v>4051</v>
      </c>
    </row>
    <row r="957" spans="1:20" ht="36" x14ac:dyDescent="0.2">
      <c r="A957" s="432">
        <f>IF(B957="","",COUNT('Diário 1º PA'!$A$4:$A$2635)+COUNT('Diário 2º PA'!$A$4:$A$3040)+ROW()-3)</f>
        <v>5053</v>
      </c>
      <c r="B957" s="413">
        <v>44784</v>
      </c>
      <c r="C957" s="431">
        <v>44774</v>
      </c>
      <c r="D957" s="415" t="s">
        <v>271</v>
      </c>
      <c r="E957" s="415" t="s">
        <v>71</v>
      </c>
      <c r="F957" s="425">
        <v>11</v>
      </c>
      <c r="G957" s="427" t="s">
        <v>6388</v>
      </c>
      <c r="H957" s="415" t="s">
        <v>757</v>
      </c>
      <c r="I957" s="398" t="s">
        <v>881</v>
      </c>
      <c r="J957" s="418" t="s">
        <v>882</v>
      </c>
      <c r="K957" s="418" t="s">
        <v>883</v>
      </c>
      <c r="L957" s="399" t="s">
        <v>798</v>
      </c>
      <c r="M957" s="544" t="s">
        <v>310</v>
      </c>
      <c r="N957" s="414">
        <v>44784</v>
      </c>
      <c r="O957" s="414" t="s">
        <v>400</v>
      </c>
      <c r="P957" s="655">
        <f t="shared" si="42"/>
        <v>8</v>
      </c>
      <c r="Q957" s="655">
        <f t="shared" si="43"/>
        <v>8</v>
      </c>
      <c r="R957" s="695" t="str">
        <f t="shared" si="44"/>
        <v>Gastos_Gerais</v>
      </c>
      <c r="S957" s="697" t="s">
        <v>310</v>
      </c>
      <c r="T957" s="697" t="s">
        <v>310</v>
      </c>
    </row>
    <row r="958" spans="1:20" ht="36" x14ac:dyDescent="0.2">
      <c r="A958" s="432">
        <f>IF(B958="","",COUNT('Diário 1º PA'!$A$4:$A$2635)+COUNT('Diário 2º PA'!$A$4:$A$3040)+ROW()-3)</f>
        <v>5054</v>
      </c>
      <c r="B958" s="413">
        <v>44784</v>
      </c>
      <c r="C958" s="431">
        <v>44774</v>
      </c>
      <c r="D958" s="415" t="s">
        <v>271</v>
      </c>
      <c r="E958" s="415" t="s">
        <v>71</v>
      </c>
      <c r="F958" s="425">
        <v>11</v>
      </c>
      <c r="G958" s="427" t="s">
        <v>6389</v>
      </c>
      <c r="H958" s="415" t="s">
        <v>758</v>
      </c>
      <c r="I958" s="398" t="s">
        <v>881</v>
      </c>
      <c r="J958" s="418" t="s">
        <v>882</v>
      </c>
      <c r="K958" s="418" t="s">
        <v>883</v>
      </c>
      <c r="L958" s="399" t="s">
        <v>798</v>
      </c>
      <c r="M958" s="544" t="s">
        <v>310</v>
      </c>
      <c r="N958" s="414">
        <v>44784</v>
      </c>
      <c r="O958" s="414" t="s">
        <v>400</v>
      </c>
      <c r="P958" s="655">
        <f t="shared" si="42"/>
        <v>8</v>
      </c>
      <c r="Q958" s="655">
        <f t="shared" si="43"/>
        <v>8</v>
      </c>
      <c r="R958" s="695" t="str">
        <f t="shared" si="44"/>
        <v>Gastos_Gerais</v>
      </c>
      <c r="S958" s="697" t="s">
        <v>310</v>
      </c>
      <c r="T958" s="697" t="s">
        <v>310</v>
      </c>
    </row>
    <row r="959" spans="1:20" ht="36" x14ac:dyDescent="0.2">
      <c r="A959" s="432">
        <f>IF(B959="","",COUNT('Diário 1º PA'!$A$4:$A$2635)+COUNT('Diário 2º PA'!$A$4:$A$3040)+ROW()-3)</f>
        <v>5055</v>
      </c>
      <c r="B959" s="413">
        <v>44784</v>
      </c>
      <c r="C959" s="424">
        <v>44743</v>
      </c>
      <c r="D959" s="415" t="s">
        <v>468</v>
      </c>
      <c r="E959" s="415" t="s">
        <v>468</v>
      </c>
      <c r="F959" s="425">
        <v>1500</v>
      </c>
      <c r="G959" s="427" t="s">
        <v>2947</v>
      </c>
      <c r="H959" s="415" t="s">
        <v>468</v>
      </c>
      <c r="I959" s="427" t="s">
        <v>2948</v>
      </c>
      <c r="J959" s="415" t="s">
        <v>2414</v>
      </c>
      <c r="K959" s="415" t="s">
        <v>830</v>
      </c>
      <c r="L959" s="415" t="s">
        <v>32</v>
      </c>
      <c r="M959" s="415">
        <v>63366</v>
      </c>
      <c r="N959" s="414">
        <v>44755</v>
      </c>
      <c r="O959" s="414" t="s">
        <v>408</v>
      </c>
      <c r="P959" s="655">
        <f t="shared" si="42"/>
        <v>8</v>
      </c>
      <c r="Q959" s="655">
        <f t="shared" si="43"/>
        <v>7</v>
      </c>
      <c r="R959" s="695" t="str">
        <f t="shared" si="44"/>
        <v>Gastos_custeados_por_captação</v>
      </c>
      <c r="S959" s="698" t="s">
        <v>1000</v>
      </c>
      <c r="T959" s="698">
        <v>2456</v>
      </c>
    </row>
    <row r="960" spans="1:20" ht="48" x14ac:dyDescent="0.2">
      <c r="A960" s="432">
        <f>IF(B960="","",COUNT('Diário 1º PA'!$A$4:$A$2635)+COUNT('Diário 2º PA'!$A$4:$A$3040)+ROW()-3)</f>
        <v>5056</v>
      </c>
      <c r="B960" s="413">
        <v>44784</v>
      </c>
      <c r="C960" s="424">
        <v>44743</v>
      </c>
      <c r="D960" s="415" t="s">
        <v>468</v>
      </c>
      <c r="E960" s="415" t="s">
        <v>468</v>
      </c>
      <c r="F960" s="425">
        <v>823.5</v>
      </c>
      <c r="G960" s="427" t="s">
        <v>6520</v>
      </c>
      <c r="H960" s="415" t="s">
        <v>468</v>
      </c>
      <c r="I960" s="427" t="s">
        <v>6521</v>
      </c>
      <c r="J960" s="415" t="s">
        <v>5775</v>
      </c>
      <c r="K960" s="415" t="s">
        <v>830</v>
      </c>
      <c r="L960" s="415" t="s">
        <v>32</v>
      </c>
      <c r="M960" s="415">
        <v>883</v>
      </c>
      <c r="N960" s="414">
        <v>44783</v>
      </c>
      <c r="O960" s="414" t="s">
        <v>3762</v>
      </c>
      <c r="P960" s="655">
        <f t="shared" si="42"/>
        <v>8</v>
      </c>
      <c r="Q960" s="655">
        <f t="shared" si="43"/>
        <v>7</v>
      </c>
      <c r="R960" s="695" t="str">
        <f t="shared" si="44"/>
        <v>Gastos_custeados_por_captação</v>
      </c>
      <c r="S960" s="698" t="s">
        <v>998</v>
      </c>
      <c r="T960" s="698">
        <v>4048</v>
      </c>
    </row>
    <row r="961" spans="1:20" ht="72" x14ac:dyDescent="0.2">
      <c r="A961" s="432">
        <f>IF(B961="","",COUNT('Diário 1º PA'!$A$4:$A$2635)+COUNT('Diário 2º PA'!$A$4:$A$3040)+ROW()-3)</f>
        <v>5057</v>
      </c>
      <c r="B961" s="413">
        <v>44784</v>
      </c>
      <c r="C961" s="431">
        <v>44774</v>
      </c>
      <c r="D961" s="415" t="s">
        <v>468</v>
      </c>
      <c r="E961" s="415" t="s">
        <v>468</v>
      </c>
      <c r="F961" s="425">
        <v>145.66</v>
      </c>
      <c r="G961" s="427" t="s">
        <v>6536</v>
      </c>
      <c r="H961" s="415" t="s">
        <v>468</v>
      </c>
      <c r="I961" s="427" t="s">
        <v>872</v>
      </c>
      <c r="J961" s="415" t="s">
        <v>6537</v>
      </c>
      <c r="K961" s="415" t="s">
        <v>830</v>
      </c>
      <c r="L961" s="415" t="s">
        <v>32</v>
      </c>
      <c r="M961" s="415" t="s">
        <v>6637</v>
      </c>
      <c r="N961" s="414">
        <v>44783</v>
      </c>
      <c r="O961" s="414" t="s">
        <v>407</v>
      </c>
      <c r="P961" s="655">
        <f t="shared" si="42"/>
        <v>8</v>
      </c>
      <c r="Q961" s="655">
        <f t="shared" si="43"/>
        <v>8</v>
      </c>
      <c r="R961" s="695" t="str">
        <f t="shared" si="44"/>
        <v>Gastos_custeados_por_captação</v>
      </c>
      <c r="S961" s="697" t="s">
        <v>998</v>
      </c>
      <c r="T961" s="697">
        <v>4222</v>
      </c>
    </row>
    <row r="962" spans="1:20" ht="48" x14ac:dyDescent="0.2">
      <c r="A962" s="432">
        <f>IF(B962="","",COUNT('Diário 1º PA'!$A$4:$A$2635)+COUNT('Diário 2º PA'!$A$4:$A$3040)+ROW()-3)</f>
        <v>5058</v>
      </c>
      <c r="B962" s="413">
        <v>44785</v>
      </c>
      <c r="C962" s="433">
        <v>44743</v>
      </c>
      <c r="D962" s="415" t="s">
        <v>271</v>
      </c>
      <c r="E962" s="415" t="s">
        <v>92</v>
      </c>
      <c r="F962" s="425">
        <v>-132.05000000000001</v>
      </c>
      <c r="G962" s="427" t="s">
        <v>6444</v>
      </c>
      <c r="H962" s="415" t="s">
        <v>309</v>
      </c>
      <c r="I962" s="473" t="s">
        <v>795</v>
      </c>
      <c r="J962" s="415" t="s">
        <v>796</v>
      </c>
      <c r="K962" s="415" t="s">
        <v>797</v>
      </c>
      <c r="L962" s="399" t="s">
        <v>798</v>
      </c>
      <c r="M962" s="544" t="s">
        <v>310</v>
      </c>
      <c r="N962" s="413">
        <v>44785</v>
      </c>
      <c r="O962" s="414" t="s">
        <v>400</v>
      </c>
      <c r="P962" s="655">
        <f t="shared" si="42"/>
        <v>8</v>
      </c>
      <c r="Q962" s="655">
        <f t="shared" si="43"/>
        <v>7</v>
      </c>
      <c r="R962" s="695" t="str">
        <f t="shared" si="44"/>
        <v>Gastos_Gerais</v>
      </c>
      <c r="S962" s="697" t="s">
        <v>310</v>
      </c>
      <c r="T962" s="697" t="s">
        <v>310</v>
      </c>
    </row>
    <row r="963" spans="1:20" ht="48" x14ac:dyDescent="0.2">
      <c r="A963" s="432">
        <f>IF(B963="","",COUNT('Diário 1º PA'!$A$4:$A$2635)+COUNT('Diário 2º PA'!$A$4:$A$3040)+ROW()-3)</f>
        <v>5059</v>
      </c>
      <c r="B963" s="413">
        <v>44785</v>
      </c>
      <c r="C963" s="433">
        <v>44743</v>
      </c>
      <c r="D963" s="415" t="s">
        <v>271</v>
      </c>
      <c r="E963" s="415" t="s">
        <v>183</v>
      </c>
      <c r="F963" s="425">
        <v>-75.88</v>
      </c>
      <c r="G963" s="440" t="s">
        <v>6445</v>
      </c>
      <c r="H963" s="415" t="s">
        <v>309</v>
      </c>
      <c r="I963" s="473" t="s">
        <v>795</v>
      </c>
      <c r="J963" s="415" t="s">
        <v>796</v>
      </c>
      <c r="K963" s="415" t="s">
        <v>797</v>
      </c>
      <c r="L963" s="415" t="s">
        <v>798</v>
      </c>
      <c r="M963" s="415" t="s">
        <v>310</v>
      </c>
      <c r="N963" s="413">
        <v>44785</v>
      </c>
      <c r="O963" s="414" t="s">
        <v>400</v>
      </c>
      <c r="P963" s="655">
        <f t="shared" si="42"/>
        <v>8</v>
      </c>
      <c r="Q963" s="655">
        <f t="shared" si="43"/>
        <v>7</v>
      </c>
      <c r="R963" s="695" t="str">
        <f t="shared" si="44"/>
        <v>Gastos_Gerais</v>
      </c>
      <c r="S963" s="697" t="s">
        <v>310</v>
      </c>
      <c r="T963" s="697" t="s">
        <v>310</v>
      </c>
    </row>
    <row r="964" spans="1:20" ht="36" x14ac:dyDescent="0.2">
      <c r="A964" s="432">
        <f>IF(B964="","",COUNT('Diário 1º PA'!$A$4:$A$2635)+COUNT('Diário 2º PA'!$A$4:$A$3040)+ROW()-3)</f>
        <v>5060</v>
      </c>
      <c r="B964" s="414">
        <v>44785</v>
      </c>
      <c r="C964" s="431">
        <v>44774</v>
      </c>
      <c r="D964" s="415" t="s">
        <v>34</v>
      </c>
      <c r="E964" s="415" t="s">
        <v>330</v>
      </c>
      <c r="F964" s="425">
        <v>1868252.49</v>
      </c>
      <c r="G964" s="427" t="s">
        <v>6446</v>
      </c>
      <c r="H964" s="415" t="s">
        <v>310</v>
      </c>
      <c r="I964" s="427" t="s">
        <v>795</v>
      </c>
      <c r="J964" s="415" t="s">
        <v>796</v>
      </c>
      <c r="K964" s="415" t="s">
        <v>797</v>
      </c>
      <c r="L964" s="415" t="s">
        <v>1305</v>
      </c>
      <c r="M964" s="415" t="s">
        <v>310</v>
      </c>
      <c r="N964" s="414">
        <v>44785</v>
      </c>
      <c r="O964" s="414" t="s">
        <v>400</v>
      </c>
      <c r="P964" s="655">
        <f t="shared" si="42"/>
        <v>8</v>
      </c>
      <c r="Q964" s="655">
        <f t="shared" si="43"/>
        <v>8</v>
      </c>
      <c r="R964" s="695" t="str">
        <f t="shared" si="44"/>
        <v>Receitas</v>
      </c>
      <c r="S964" s="697" t="s">
        <v>310</v>
      </c>
      <c r="T964" s="697" t="s">
        <v>310</v>
      </c>
    </row>
    <row r="965" spans="1:20" ht="60" x14ac:dyDescent="0.2">
      <c r="A965" s="432">
        <f>IF(B965="","",COUNT('Diário 1º PA'!$A$4:$A$2635)+COUNT('Diário 2º PA'!$A$4:$A$3040)+ROW()-3)</f>
        <v>5061</v>
      </c>
      <c r="B965" s="413">
        <v>44785</v>
      </c>
      <c r="C965" s="431">
        <v>44774</v>
      </c>
      <c r="D965" s="415" t="s">
        <v>271</v>
      </c>
      <c r="E965" s="415" t="s">
        <v>297</v>
      </c>
      <c r="F965" s="425">
        <v>2097.64</v>
      </c>
      <c r="G965" s="427" t="s">
        <v>6380</v>
      </c>
      <c r="H965" s="415" t="s">
        <v>751</v>
      </c>
      <c r="I965" s="398" t="s">
        <v>6440</v>
      </c>
      <c r="J965" s="415" t="s">
        <v>6381</v>
      </c>
      <c r="K965" s="418" t="s">
        <v>830</v>
      </c>
      <c r="L965" s="399" t="s">
        <v>32</v>
      </c>
      <c r="M965" s="544">
        <v>79081</v>
      </c>
      <c r="N965" s="414">
        <v>44788</v>
      </c>
      <c r="O965" s="414" t="s">
        <v>400</v>
      </c>
      <c r="P965" s="655">
        <f t="shared" ref="P965:P1028" si="45">IF(B965=0,0,IF(YEAR(B965)=$Q$1,MONTH(B965)-$P$1+1,(YEAR(B965)-$Q$1)*12-$P$1+1+MONTH(B965)))</f>
        <v>8</v>
      </c>
      <c r="Q965" s="655">
        <f t="shared" ref="Q965:Q1028" si="46">IF(C965=0,0,IF(YEAR(C965)=$Q$1,MONTH(C965)-$P$1+1,(YEAR(C965)-$Q$1)*12-$P$1+1+MONTH(C965)))</f>
        <v>8</v>
      </c>
      <c r="R965" s="695" t="str">
        <f t="shared" ref="R965:R1028" si="47">SUBSTITUTE(D965," ","_")</f>
        <v>Gastos_Gerais</v>
      </c>
      <c r="S965" s="697" t="s">
        <v>999</v>
      </c>
      <c r="T965" s="697">
        <v>4193</v>
      </c>
    </row>
    <row r="966" spans="1:20" ht="48" x14ac:dyDescent="0.2">
      <c r="A966" s="432">
        <f>IF(B966="","",COUNT('Diário 1º PA'!$A$4:$A$2635)+COUNT('Diário 2º PA'!$A$4:$A$3040)+ROW()-3)</f>
        <v>5062</v>
      </c>
      <c r="B966" s="413">
        <v>44785</v>
      </c>
      <c r="C966" s="431">
        <v>44743</v>
      </c>
      <c r="D966" s="415" t="s">
        <v>271</v>
      </c>
      <c r="E966" s="415" t="s">
        <v>92</v>
      </c>
      <c r="F966" s="425">
        <v>500</v>
      </c>
      <c r="G966" s="427" t="s">
        <v>692</v>
      </c>
      <c r="H966" s="415" t="s">
        <v>309</v>
      </c>
      <c r="I966" s="398" t="s">
        <v>5969</v>
      </c>
      <c r="J966" s="415" t="s">
        <v>1123</v>
      </c>
      <c r="K966" s="418" t="s">
        <v>812</v>
      </c>
      <c r="L966" s="415" t="s">
        <v>1372</v>
      </c>
      <c r="M966" s="544" t="s">
        <v>6441</v>
      </c>
      <c r="N966" s="414">
        <v>44775</v>
      </c>
      <c r="O966" s="414" t="s">
        <v>400</v>
      </c>
      <c r="P966" s="655">
        <f t="shared" si="45"/>
        <v>8</v>
      </c>
      <c r="Q966" s="655">
        <f t="shared" si="46"/>
        <v>7</v>
      </c>
      <c r="R966" s="695" t="str">
        <f t="shared" si="47"/>
        <v>Gastos_Gerais</v>
      </c>
      <c r="S966" s="697" t="s">
        <v>1000</v>
      </c>
      <c r="T966" s="697">
        <v>2665</v>
      </c>
    </row>
    <row r="967" spans="1:20" ht="24" x14ac:dyDescent="0.2">
      <c r="A967" s="432">
        <f>IF(B967="","",COUNT('Diário 1º PA'!$A$4:$A$2635)+COUNT('Diário 2º PA'!$A$4:$A$3040)+ROW()-3)</f>
        <v>5063</v>
      </c>
      <c r="B967" s="413">
        <v>44785</v>
      </c>
      <c r="C967" s="433">
        <v>44743</v>
      </c>
      <c r="D967" s="434" t="s">
        <v>271</v>
      </c>
      <c r="E967" s="434" t="s">
        <v>183</v>
      </c>
      <c r="F967" s="425">
        <v>287.32</v>
      </c>
      <c r="G967" s="437" t="s">
        <v>5717</v>
      </c>
      <c r="H967" s="434" t="s">
        <v>309</v>
      </c>
      <c r="I967" s="437" t="s">
        <v>768</v>
      </c>
      <c r="J967" s="434" t="s">
        <v>1021</v>
      </c>
      <c r="K967" s="418" t="s">
        <v>812</v>
      </c>
      <c r="L967" s="415" t="s">
        <v>807</v>
      </c>
      <c r="M967" s="544" t="s">
        <v>6442</v>
      </c>
      <c r="N967" s="414">
        <v>44761</v>
      </c>
      <c r="O967" s="414" t="s">
        <v>400</v>
      </c>
      <c r="P967" s="655">
        <f t="shared" si="45"/>
        <v>8</v>
      </c>
      <c r="Q967" s="655">
        <f t="shared" si="46"/>
        <v>7</v>
      </c>
      <c r="R967" s="695" t="str">
        <f t="shared" si="47"/>
        <v>Gastos_Gerais</v>
      </c>
      <c r="S967" s="697" t="s">
        <v>310</v>
      </c>
      <c r="T967" s="697" t="s">
        <v>310</v>
      </c>
    </row>
    <row r="968" spans="1:20" ht="36" x14ac:dyDescent="0.2">
      <c r="A968" s="432">
        <f>IF(B968="","",COUNT('Diário 1º PA'!$A$4:$A$2635)+COUNT('Diário 2º PA'!$A$4:$A$3040)+ROW()-3)</f>
        <v>5064</v>
      </c>
      <c r="B968" s="413">
        <v>44785</v>
      </c>
      <c r="C968" s="431">
        <v>44774</v>
      </c>
      <c r="D968" s="415" t="s">
        <v>271</v>
      </c>
      <c r="E968" s="415" t="s">
        <v>71</v>
      </c>
      <c r="F968" s="425">
        <v>11</v>
      </c>
      <c r="G968" s="427" t="s">
        <v>6443</v>
      </c>
      <c r="H968" s="415" t="s">
        <v>751</v>
      </c>
      <c r="I968" s="398" t="s">
        <v>881</v>
      </c>
      <c r="J968" s="418" t="s">
        <v>882</v>
      </c>
      <c r="K968" s="418" t="s">
        <v>883</v>
      </c>
      <c r="L968" s="399" t="s">
        <v>798</v>
      </c>
      <c r="M968" s="544" t="s">
        <v>310</v>
      </c>
      <c r="N968" s="414">
        <v>44785</v>
      </c>
      <c r="O968" s="414" t="s">
        <v>400</v>
      </c>
      <c r="P968" s="655">
        <f t="shared" si="45"/>
        <v>8</v>
      </c>
      <c r="Q968" s="655">
        <f t="shared" si="46"/>
        <v>8</v>
      </c>
      <c r="R968" s="695" t="str">
        <f t="shared" si="47"/>
        <v>Gastos_Gerais</v>
      </c>
      <c r="S968" s="697" t="s">
        <v>310</v>
      </c>
      <c r="T968" s="697" t="s">
        <v>310</v>
      </c>
    </row>
    <row r="969" spans="1:20" ht="72" x14ac:dyDescent="0.2">
      <c r="A969" s="432">
        <f>IF(B969="","",COUNT('Diário 1º PA'!$A$4:$A$2635)+COUNT('Diário 2º PA'!$A$4:$A$3040)+ROW()-3)</f>
        <v>5065</v>
      </c>
      <c r="B969" s="413">
        <v>44785</v>
      </c>
      <c r="C969" s="431">
        <v>44743</v>
      </c>
      <c r="D969" s="415" t="s">
        <v>468</v>
      </c>
      <c r="E969" s="415" t="s">
        <v>468</v>
      </c>
      <c r="F969" s="425">
        <v>2500</v>
      </c>
      <c r="G969" s="427" t="s">
        <v>5792</v>
      </c>
      <c r="H969" s="434" t="s">
        <v>468</v>
      </c>
      <c r="I969" s="398" t="s">
        <v>3773</v>
      </c>
      <c r="J969" s="415" t="s">
        <v>2543</v>
      </c>
      <c r="K969" s="418" t="s">
        <v>812</v>
      </c>
      <c r="L969" s="415" t="s">
        <v>826</v>
      </c>
      <c r="M969" s="544" t="s">
        <v>6804</v>
      </c>
      <c r="N969" s="414">
        <v>44755</v>
      </c>
      <c r="O969" s="414" t="s">
        <v>404</v>
      </c>
      <c r="P969" s="655">
        <f t="shared" si="45"/>
        <v>8</v>
      </c>
      <c r="Q969" s="655">
        <f t="shared" si="46"/>
        <v>7</v>
      </c>
      <c r="R969" s="695" t="str">
        <f t="shared" si="47"/>
        <v>Gastos_custeados_por_captação</v>
      </c>
      <c r="S969" s="697" t="s">
        <v>1000</v>
      </c>
      <c r="T969" s="697">
        <v>3994</v>
      </c>
    </row>
    <row r="970" spans="1:20" ht="60" x14ac:dyDescent="0.2">
      <c r="A970" s="432">
        <f>IF(B970="","",COUNT('Diário 1º PA'!$A$4:$A$2635)+COUNT('Diário 2º PA'!$A$4:$A$3040)+ROW()-3)</f>
        <v>5066</v>
      </c>
      <c r="B970" s="413">
        <v>44785</v>
      </c>
      <c r="C970" s="431">
        <v>44713</v>
      </c>
      <c r="D970" s="415" t="s">
        <v>468</v>
      </c>
      <c r="E970" s="415" t="s">
        <v>468</v>
      </c>
      <c r="F970" s="425">
        <v>1500</v>
      </c>
      <c r="G970" s="427" t="s">
        <v>4977</v>
      </c>
      <c r="H970" s="434" t="s">
        <v>468</v>
      </c>
      <c r="I970" s="398" t="s">
        <v>6805</v>
      </c>
      <c r="J970" s="415" t="s">
        <v>4978</v>
      </c>
      <c r="K970" s="418" t="s">
        <v>830</v>
      </c>
      <c r="L970" s="399" t="s">
        <v>2140</v>
      </c>
      <c r="M970" s="544">
        <v>3325</v>
      </c>
      <c r="N970" s="414">
        <v>44736</v>
      </c>
      <c r="O970" s="414" t="s">
        <v>404</v>
      </c>
      <c r="P970" s="655">
        <f t="shared" si="45"/>
        <v>8</v>
      </c>
      <c r="Q970" s="655">
        <f t="shared" si="46"/>
        <v>6</v>
      </c>
      <c r="R970" s="695" t="str">
        <f t="shared" si="47"/>
        <v>Gastos_custeados_por_captação</v>
      </c>
      <c r="S970" s="697" t="s">
        <v>1000</v>
      </c>
      <c r="T970" s="697">
        <v>3934</v>
      </c>
    </row>
    <row r="971" spans="1:20" ht="60" x14ac:dyDescent="0.2">
      <c r="A971" s="432">
        <f>IF(B971="","",COUNT('Diário 1º PA'!$A$4:$A$2635)+COUNT('Diário 2º PA'!$A$4:$A$3040)+ROW()-3)</f>
        <v>5067</v>
      </c>
      <c r="B971" s="413">
        <v>44785</v>
      </c>
      <c r="C971" s="431">
        <v>44774</v>
      </c>
      <c r="D971" s="415" t="s">
        <v>468</v>
      </c>
      <c r="E971" s="415" t="s">
        <v>468</v>
      </c>
      <c r="F971" s="425">
        <v>210</v>
      </c>
      <c r="G971" s="427" t="s">
        <v>6261</v>
      </c>
      <c r="H971" s="434" t="s">
        <v>468</v>
      </c>
      <c r="I971" s="398" t="s">
        <v>6802</v>
      </c>
      <c r="J971" s="415" t="s">
        <v>6025</v>
      </c>
      <c r="K971" s="418" t="s">
        <v>830</v>
      </c>
      <c r="L971" s="399" t="s">
        <v>32</v>
      </c>
      <c r="M971" s="544">
        <v>4027</v>
      </c>
      <c r="N971" s="414">
        <v>44781</v>
      </c>
      <c r="O971" s="414" t="s">
        <v>404</v>
      </c>
      <c r="P971" s="655">
        <f t="shared" si="45"/>
        <v>8</v>
      </c>
      <c r="Q971" s="655">
        <f t="shared" si="46"/>
        <v>8</v>
      </c>
      <c r="R971" s="695" t="str">
        <f t="shared" si="47"/>
        <v>Gastos_custeados_por_captação</v>
      </c>
      <c r="S971" s="697" t="s">
        <v>999</v>
      </c>
      <c r="T971" s="697">
        <v>4231</v>
      </c>
    </row>
    <row r="972" spans="1:20" ht="60" x14ac:dyDescent="0.2">
      <c r="A972" s="432">
        <f>IF(B972="","",COUNT('Diário 1º PA'!$A$4:$A$2635)+COUNT('Diário 2º PA'!$A$4:$A$3040)+ROW()-3)</f>
        <v>5068</v>
      </c>
      <c r="B972" s="413">
        <v>44785</v>
      </c>
      <c r="C972" s="431">
        <v>44713</v>
      </c>
      <c r="D972" s="415" t="s">
        <v>468</v>
      </c>
      <c r="E972" s="415" t="s">
        <v>468</v>
      </c>
      <c r="F972" s="425">
        <v>31462.57</v>
      </c>
      <c r="G972" s="427" t="s">
        <v>4977</v>
      </c>
      <c r="H972" s="434" t="s">
        <v>468</v>
      </c>
      <c r="I972" s="398" t="s">
        <v>6805</v>
      </c>
      <c r="J972" s="415" t="s">
        <v>4978</v>
      </c>
      <c r="K972" s="418" t="s">
        <v>830</v>
      </c>
      <c r="L972" s="399" t="s">
        <v>32</v>
      </c>
      <c r="M972" s="544">
        <v>1442</v>
      </c>
      <c r="N972" s="414">
        <v>44781</v>
      </c>
      <c r="O972" s="414" t="s">
        <v>404</v>
      </c>
      <c r="P972" s="655">
        <f t="shared" si="45"/>
        <v>8</v>
      </c>
      <c r="Q972" s="655">
        <f t="shared" si="46"/>
        <v>6</v>
      </c>
      <c r="R972" s="695" t="str">
        <f t="shared" si="47"/>
        <v>Gastos_custeados_por_captação</v>
      </c>
      <c r="S972" s="697" t="s">
        <v>1000</v>
      </c>
      <c r="T972" s="697">
        <v>3934</v>
      </c>
    </row>
    <row r="973" spans="1:20" ht="60" x14ac:dyDescent="0.2">
      <c r="A973" s="432">
        <f>IF(B973="","",COUNT('Diário 1º PA'!$A$4:$A$2635)+COUNT('Diário 2º PA'!$A$4:$A$3040)+ROW()-3)</f>
        <v>5069</v>
      </c>
      <c r="B973" s="413">
        <v>44785</v>
      </c>
      <c r="C973" s="431">
        <v>44743</v>
      </c>
      <c r="D973" s="415" t="s">
        <v>468</v>
      </c>
      <c r="E973" s="415" t="s">
        <v>468</v>
      </c>
      <c r="F973" s="425">
        <v>420</v>
      </c>
      <c r="G973" s="427" t="s">
        <v>6118</v>
      </c>
      <c r="H973" s="434" t="s">
        <v>468</v>
      </c>
      <c r="I973" s="398" t="s">
        <v>6666</v>
      </c>
      <c r="J973" s="415" t="s">
        <v>6117</v>
      </c>
      <c r="K973" s="419" t="s">
        <v>806</v>
      </c>
      <c r="L973" s="399" t="s">
        <v>839</v>
      </c>
      <c r="M973" s="544">
        <v>1946</v>
      </c>
      <c r="N973" s="414">
        <v>44783</v>
      </c>
      <c r="O973" s="414" t="s">
        <v>405</v>
      </c>
      <c r="P973" s="655">
        <f t="shared" si="45"/>
        <v>8</v>
      </c>
      <c r="Q973" s="655">
        <f t="shared" si="46"/>
        <v>7</v>
      </c>
      <c r="R973" s="695" t="str">
        <f t="shared" si="47"/>
        <v>Gastos_custeados_por_captação</v>
      </c>
      <c r="S973" s="697" t="s">
        <v>998</v>
      </c>
      <c r="T973" s="697">
        <v>4189</v>
      </c>
    </row>
    <row r="974" spans="1:20" ht="48" x14ac:dyDescent="0.2">
      <c r="A974" s="432">
        <f>IF(B974="","",COUNT('Diário 1º PA'!$A$4:$A$2635)+COUNT('Diário 2º PA'!$A$4:$A$3040)+ROW()-3)</f>
        <v>5070</v>
      </c>
      <c r="B974" s="414">
        <v>44788</v>
      </c>
      <c r="C974" s="433">
        <v>44743</v>
      </c>
      <c r="D974" s="415" t="s">
        <v>271</v>
      </c>
      <c r="E974" s="415" t="s">
        <v>84</v>
      </c>
      <c r="F974" s="425">
        <v>-30.36</v>
      </c>
      <c r="G974" s="427" t="s">
        <v>6438</v>
      </c>
      <c r="H974" s="415" t="s">
        <v>309</v>
      </c>
      <c r="I974" s="427" t="s">
        <v>795</v>
      </c>
      <c r="J974" s="415" t="s">
        <v>796</v>
      </c>
      <c r="K974" s="415" t="s">
        <v>797</v>
      </c>
      <c r="L974" s="415" t="s">
        <v>798</v>
      </c>
      <c r="M974" s="415" t="s">
        <v>310</v>
      </c>
      <c r="N974" s="414">
        <v>44788</v>
      </c>
      <c r="O974" s="414" t="s">
        <v>400</v>
      </c>
      <c r="P974" s="655">
        <f t="shared" si="45"/>
        <v>8</v>
      </c>
      <c r="Q974" s="655">
        <f t="shared" si="46"/>
        <v>7</v>
      </c>
      <c r="R974" s="695" t="str">
        <f t="shared" si="47"/>
        <v>Gastos_Gerais</v>
      </c>
      <c r="S974" s="697" t="s">
        <v>310</v>
      </c>
      <c r="T974" s="697" t="s">
        <v>310</v>
      </c>
    </row>
    <row r="975" spans="1:20" ht="24" x14ac:dyDescent="0.2">
      <c r="A975" s="432">
        <f>IF(B975="","",COUNT('Diário 1º PA'!$A$4:$A$2635)+COUNT('Diário 2º PA'!$A$4:$A$3040)+ROW()-3)</f>
        <v>5071</v>
      </c>
      <c r="B975" s="413">
        <v>44788</v>
      </c>
      <c r="C975" s="433">
        <v>44743</v>
      </c>
      <c r="D975" s="434" t="s">
        <v>271</v>
      </c>
      <c r="E975" s="434" t="s">
        <v>84</v>
      </c>
      <c r="F975" s="425">
        <v>114.96</v>
      </c>
      <c r="G975" s="427" t="s">
        <v>5708</v>
      </c>
      <c r="H975" s="434" t="s">
        <v>309</v>
      </c>
      <c r="I975" s="437" t="s">
        <v>766</v>
      </c>
      <c r="J975" s="415" t="s">
        <v>1019</v>
      </c>
      <c r="K975" s="418" t="s">
        <v>1392</v>
      </c>
      <c r="L975" s="399" t="s">
        <v>1372</v>
      </c>
      <c r="M975" s="419" t="s">
        <v>6439</v>
      </c>
      <c r="N975" s="413">
        <v>44776</v>
      </c>
      <c r="O975" s="414" t="s">
        <v>400</v>
      </c>
      <c r="P975" s="655">
        <f t="shared" si="45"/>
        <v>8</v>
      </c>
      <c r="Q975" s="655">
        <f t="shared" si="46"/>
        <v>7</v>
      </c>
      <c r="R975" s="695" t="str">
        <f t="shared" si="47"/>
        <v>Gastos_Gerais</v>
      </c>
      <c r="S975" s="696" t="s">
        <v>310</v>
      </c>
      <c r="T975" s="696" t="s">
        <v>310</v>
      </c>
    </row>
    <row r="976" spans="1:20" ht="36" x14ac:dyDescent="0.2">
      <c r="A976" s="432">
        <f>IF(B976="","",COUNT('Diário 1º PA'!$A$4:$A$2635)+COUNT('Diário 2º PA'!$A$4:$A$3040)+ROW()-3)</f>
        <v>5072</v>
      </c>
      <c r="B976" s="413">
        <v>44788</v>
      </c>
      <c r="C976" s="431">
        <v>44774</v>
      </c>
      <c r="D976" s="415" t="s">
        <v>468</v>
      </c>
      <c r="E976" s="415" t="s">
        <v>468</v>
      </c>
      <c r="F976" s="425">
        <v>153</v>
      </c>
      <c r="G976" s="427" t="s">
        <v>880</v>
      </c>
      <c r="H976" s="434" t="s">
        <v>468</v>
      </c>
      <c r="I976" s="398" t="s">
        <v>881</v>
      </c>
      <c r="J976" s="418" t="s">
        <v>882</v>
      </c>
      <c r="K976" s="418" t="s">
        <v>883</v>
      </c>
      <c r="L976" s="399" t="s">
        <v>798</v>
      </c>
      <c r="M976" s="544" t="s">
        <v>310</v>
      </c>
      <c r="N976" s="413">
        <v>44788</v>
      </c>
      <c r="O976" s="414" t="s">
        <v>408</v>
      </c>
      <c r="P976" s="655">
        <f t="shared" si="45"/>
        <v>8</v>
      </c>
      <c r="Q976" s="655">
        <f t="shared" si="46"/>
        <v>8</v>
      </c>
      <c r="R976" s="695" t="str">
        <f t="shared" si="47"/>
        <v>Gastos_custeados_por_captação</v>
      </c>
      <c r="S976" s="696" t="s">
        <v>310</v>
      </c>
      <c r="T976" s="696" t="s">
        <v>310</v>
      </c>
    </row>
    <row r="977" spans="1:20" ht="36" x14ac:dyDescent="0.2">
      <c r="A977" s="432">
        <f>IF(B977="","",COUNT('Diário 1º PA'!$A$4:$A$2635)+COUNT('Diário 2º PA'!$A$4:$A$3040)+ROW()-3)</f>
        <v>5073</v>
      </c>
      <c r="B977" s="413">
        <v>44789</v>
      </c>
      <c r="C977" s="433">
        <v>44774</v>
      </c>
      <c r="D977" s="415" t="s">
        <v>34</v>
      </c>
      <c r="E977" s="415" t="s">
        <v>167</v>
      </c>
      <c r="F977" s="422">
        <v>180</v>
      </c>
      <c r="G977" s="427" t="s">
        <v>6825</v>
      </c>
      <c r="H977" s="415" t="s">
        <v>310</v>
      </c>
      <c r="I977" s="427" t="s">
        <v>795</v>
      </c>
      <c r="J977" s="415" t="s">
        <v>796</v>
      </c>
      <c r="K977" s="415" t="s">
        <v>797</v>
      </c>
      <c r="L977" s="415" t="s">
        <v>798</v>
      </c>
      <c r="M977" s="415" t="s">
        <v>310</v>
      </c>
      <c r="N977" s="413">
        <v>44789</v>
      </c>
      <c r="O977" s="414" t="s">
        <v>400</v>
      </c>
      <c r="P977" s="655">
        <f t="shared" si="45"/>
        <v>8</v>
      </c>
      <c r="Q977" s="655">
        <f t="shared" si="46"/>
        <v>8</v>
      </c>
      <c r="R977" s="695" t="str">
        <f t="shared" si="47"/>
        <v>Receitas</v>
      </c>
      <c r="S977" s="696" t="s">
        <v>310</v>
      </c>
      <c r="T977" s="696" t="s">
        <v>310</v>
      </c>
    </row>
    <row r="978" spans="1:20" ht="36" x14ac:dyDescent="0.2">
      <c r="A978" s="432">
        <f>IF(B978="","",COUNT('Diário 1º PA'!$A$4:$A$2635)+COUNT('Diário 2º PA'!$A$4:$A$3040)+ROW()-3)</f>
        <v>5074</v>
      </c>
      <c r="B978" s="413">
        <v>44789</v>
      </c>
      <c r="C978" s="433">
        <v>44774</v>
      </c>
      <c r="D978" s="415" t="s">
        <v>182</v>
      </c>
      <c r="E978" s="415" t="s">
        <v>325</v>
      </c>
      <c r="F978" s="425">
        <v>-222.88</v>
      </c>
      <c r="G978" s="427" t="s">
        <v>1378</v>
      </c>
      <c r="H978" s="415" t="s">
        <v>310</v>
      </c>
      <c r="I978" s="427" t="s">
        <v>795</v>
      </c>
      <c r="J978" s="415" t="s">
        <v>796</v>
      </c>
      <c r="K978" s="415" t="s">
        <v>797</v>
      </c>
      <c r="L978" s="415" t="s">
        <v>798</v>
      </c>
      <c r="M978" s="415" t="s">
        <v>310</v>
      </c>
      <c r="N978" s="413">
        <v>44789</v>
      </c>
      <c r="O978" s="414" t="s">
        <v>400</v>
      </c>
      <c r="P978" s="655">
        <f t="shared" si="45"/>
        <v>8</v>
      </c>
      <c r="Q978" s="655">
        <f t="shared" si="46"/>
        <v>8</v>
      </c>
      <c r="R978" s="695" t="str">
        <f t="shared" si="47"/>
        <v>Gastos_com_Pessoal</v>
      </c>
      <c r="S978" s="697" t="s">
        <v>310</v>
      </c>
      <c r="T978" s="697" t="s">
        <v>310</v>
      </c>
    </row>
    <row r="979" spans="1:20" ht="48" x14ac:dyDescent="0.2">
      <c r="A979" s="432">
        <f>IF(B979="","",COUNT('Diário 1º PA'!$A$4:$A$2635)+COUNT('Diário 2º PA'!$A$4:$A$3040)+ROW()-3)</f>
        <v>5075</v>
      </c>
      <c r="B979" s="413">
        <v>44789</v>
      </c>
      <c r="C979" s="433">
        <v>44713</v>
      </c>
      <c r="D979" s="415" t="s">
        <v>182</v>
      </c>
      <c r="E979" s="415" t="s">
        <v>1</v>
      </c>
      <c r="F979" s="425">
        <v>-1225.8499999999999</v>
      </c>
      <c r="G979" s="427" t="s">
        <v>1384</v>
      </c>
      <c r="H979" s="415" t="s">
        <v>310</v>
      </c>
      <c r="I979" s="427" t="s">
        <v>795</v>
      </c>
      <c r="J979" s="415" t="s">
        <v>796</v>
      </c>
      <c r="K979" s="415" t="s">
        <v>797</v>
      </c>
      <c r="L979" s="415" t="s">
        <v>798</v>
      </c>
      <c r="M979" s="415" t="s">
        <v>310</v>
      </c>
      <c r="N979" s="413">
        <v>44789</v>
      </c>
      <c r="O979" s="414" t="s">
        <v>400</v>
      </c>
      <c r="P979" s="655">
        <f t="shared" si="45"/>
        <v>8</v>
      </c>
      <c r="Q979" s="655">
        <f t="shared" si="46"/>
        <v>6</v>
      </c>
      <c r="R979" s="695" t="str">
        <f t="shared" si="47"/>
        <v>Gastos_com_Pessoal</v>
      </c>
      <c r="S979" s="697" t="s">
        <v>310</v>
      </c>
      <c r="T979" s="697" t="s">
        <v>310</v>
      </c>
    </row>
    <row r="980" spans="1:20" ht="36" x14ac:dyDescent="0.2">
      <c r="A980" s="432">
        <f>IF(B980="","",COUNT('Diário 1º PA'!$A$4:$A$2635)+COUNT('Diário 2º PA'!$A$4:$A$3040)+ROW()-3)</f>
        <v>5076</v>
      </c>
      <c r="B980" s="413">
        <v>44789</v>
      </c>
      <c r="C980" s="433">
        <v>44774</v>
      </c>
      <c r="D980" s="415" t="s">
        <v>182</v>
      </c>
      <c r="E980" s="415" t="s">
        <v>325</v>
      </c>
      <c r="F980" s="425">
        <v>-2914.37</v>
      </c>
      <c r="G980" s="427" t="s">
        <v>1382</v>
      </c>
      <c r="H980" s="415" t="s">
        <v>310</v>
      </c>
      <c r="I980" s="427" t="s">
        <v>795</v>
      </c>
      <c r="J980" s="415" t="s">
        <v>796</v>
      </c>
      <c r="K980" s="415" t="s">
        <v>797</v>
      </c>
      <c r="L980" s="415" t="s">
        <v>798</v>
      </c>
      <c r="M980" s="415" t="s">
        <v>310</v>
      </c>
      <c r="N980" s="413">
        <v>44789</v>
      </c>
      <c r="O980" s="414" t="s">
        <v>400</v>
      </c>
      <c r="P980" s="655">
        <f t="shared" si="45"/>
        <v>8</v>
      </c>
      <c r="Q980" s="655">
        <f t="shared" si="46"/>
        <v>8</v>
      </c>
      <c r="R980" s="695" t="str">
        <f t="shared" si="47"/>
        <v>Gastos_com_Pessoal</v>
      </c>
      <c r="S980" s="697" t="s">
        <v>310</v>
      </c>
      <c r="T980" s="697" t="s">
        <v>310</v>
      </c>
    </row>
    <row r="981" spans="1:20" ht="60" x14ac:dyDescent="0.2">
      <c r="A981" s="432">
        <f>IF(B981="","",COUNT('Diário 1º PA'!$A$4:$A$2635)+COUNT('Diário 2º PA'!$A$4:$A$3040)+ROW()-3)</f>
        <v>5077</v>
      </c>
      <c r="B981" s="413">
        <v>44789</v>
      </c>
      <c r="C981" s="433">
        <v>44743</v>
      </c>
      <c r="D981" s="434" t="s">
        <v>271</v>
      </c>
      <c r="E981" s="434" t="s">
        <v>91</v>
      </c>
      <c r="F981" s="435">
        <v>516.20000000000005</v>
      </c>
      <c r="G981" s="437" t="s">
        <v>471</v>
      </c>
      <c r="H981" s="434" t="s">
        <v>309</v>
      </c>
      <c r="I981" s="419" t="s">
        <v>6484</v>
      </c>
      <c r="J981" s="434" t="s">
        <v>1009</v>
      </c>
      <c r="K981" s="419" t="s">
        <v>812</v>
      </c>
      <c r="L981" s="415" t="s">
        <v>32</v>
      </c>
      <c r="M981" s="419">
        <v>4337880</v>
      </c>
      <c r="N981" s="413">
        <v>44774</v>
      </c>
      <c r="O981" s="414" t="s">
        <v>400</v>
      </c>
      <c r="P981" s="655">
        <f t="shared" si="45"/>
        <v>8</v>
      </c>
      <c r="Q981" s="655">
        <f t="shared" si="46"/>
        <v>7</v>
      </c>
      <c r="R981" s="695" t="str">
        <f t="shared" si="47"/>
        <v>Gastos_Gerais</v>
      </c>
      <c r="S981" s="697" t="s">
        <v>1000</v>
      </c>
      <c r="T981" s="699">
        <v>1142</v>
      </c>
    </row>
    <row r="982" spans="1:20" ht="108" x14ac:dyDescent="0.2">
      <c r="A982" s="432">
        <f>IF(B982="","",COUNT('Diário 1º PA'!$A$4:$A$2635)+COUNT('Diário 2º PA'!$A$4:$A$3040)+ROW()-3)</f>
        <v>5078</v>
      </c>
      <c r="B982" s="413">
        <v>44789</v>
      </c>
      <c r="C982" s="433">
        <v>44774</v>
      </c>
      <c r="D982" s="415" t="s">
        <v>182</v>
      </c>
      <c r="E982" s="415" t="s">
        <v>325</v>
      </c>
      <c r="F982" s="422">
        <v>23473.46</v>
      </c>
      <c r="G982" s="427" t="s">
        <v>1399</v>
      </c>
      <c r="H982" s="415" t="s">
        <v>310</v>
      </c>
      <c r="I982" s="427" t="s">
        <v>773</v>
      </c>
      <c r="J982" s="415" t="s">
        <v>1397</v>
      </c>
      <c r="K982" s="415" t="s">
        <v>812</v>
      </c>
      <c r="L982" s="415" t="s">
        <v>32</v>
      </c>
      <c r="M982" s="419" t="s">
        <v>6485</v>
      </c>
      <c r="N982" s="413">
        <v>44750</v>
      </c>
      <c r="O982" s="414" t="s">
        <v>400</v>
      </c>
      <c r="P982" s="655">
        <f t="shared" si="45"/>
        <v>8</v>
      </c>
      <c r="Q982" s="655">
        <f t="shared" si="46"/>
        <v>8</v>
      </c>
      <c r="R982" s="695" t="str">
        <f t="shared" si="47"/>
        <v>Gastos_com_Pessoal</v>
      </c>
      <c r="S982" s="697" t="s">
        <v>310</v>
      </c>
      <c r="T982" s="699" t="s">
        <v>310</v>
      </c>
    </row>
    <row r="983" spans="1:20" ht="36" x14ac:dyDescent="0.2">
      <c r="A983" s="432">
        <f>IF(B983="","",COUNT('Diário 1º PA'!$A$4:$A$2635)+COUNT('Diário 2º PA'!$A$4:$A$3040)+ROW()-3)</f>
        <v>5079</v>
      </c>
      <c r="B983" s="413">
        <v>44789</v>
      </c>
      <c r="C983" s="433">
        <v>44713</v>
      </c>
      <c r="D983" s="434" t="s">
        <v>182</v>
      </c>
      <c r="E983" s="434" t="s">
        <v>1</v>
      </c>
      <c r="F983" s="422">
        <v>2967.43</v>
      </c>
      <c r="G983" s="427" t="s">
        <v>4117</v>
      </c>
      <c r="H983" s="415" t="s">
        <v>310</v>
      </c>
      <c r="I983" s="437" t="s">
        <v>773</v>
      </c>
      <c r="J983" s="415" t="s">
        <v>1397</v>
      </c>
      <c r="K983" s="415" t="s">
        <v>812</v>
      </c>
      <c r="L983" s="415" t="s">
        <v>32</v>
      </c>
      <c r="M983" s="419" t="s">
        <v>6486</v>
      </c>
      <c r="N983" s="413">
        <v>44747</v>
      </c>
      <c r="O983" s="414" t="s">
        <v>400</v>
      </c>
      <c r="P983" s="655">
        <f t="shared" si="45"/>
        <v>8</v>
      </c>
      <c r="Q983" s="655">
        <f t="shared" si="46"/>
        <v>6</v>
      </c>
      <c r="R983" s="695" t="str">
        <f t="shared" si="47"/>
        <v>Gastos_com_Pessoal</v>
      </c>
      <c r="S983" s="697" t="s">
        <v>310</v>
      </c>
      <c r="T983" s="699" t="s">
        <v>310</v>
      </c>
    </row>
    <row r="984" spans="1:20" ht="60" x14ac:dyDescent="0.2">
      <c r="A984" s="432">
        <f>IF(B984="","",COUNT('Diário 1º PA'!$A$4:$A$2635)+COUNT('Diário 2º PA'!$A$4:$A$3040)+ROW()-3)</f>
        <v>5080</v>
      </c>
      <c r="B984" s="413">
        <v>44789</v>
      </c>
      <c r="C984" s="431">
        <v>44743</v>
      </c>
      <c r="D984" s="415" t="s">
        <v>468</v>
      </c>
      <c r="E984" s="415" t="s">
        <v>468</v>
      </c>
      <c r="F984" s="422">
        <v>420</v>
      </c>
      <c r="G984" s="427" t="s">
        <v>6176</v>
      </c>
      <c r="H984" s="434" t="s">
        <v>468</v>
      </c>
      <c r="I984" s="437" t="s">
        <v>6669</v>
      </c>
      <c r="J984" s="415" t="s">
        <v>6175</v>
      </c>
      <c r="K984" s="415" t="s">
        <v>830</v>
      </c>
      <c r="L984" s="415" t="s">
        <v>839</v>
      </c>
      <c r="M984" s="419">
        <v>1945</v>
      </c>
      <c r="N984" s="413">
        <v>44783</v>
      </c>
      <c r="O984" s="414" t="s">
        <v>405</v>
      </c>
      <c r="P984" s="655">
        <f t="shared" si="45"/>
        <v>8</v>
      </c>
      <c r="Q984" s="655">
        <f t="shared" si="46"/>
        <v>7</v>
      </c>
      <c r="R984" s="695" t="str">
        <f t="shared" si="47"/>
        <v>Gastos_custeados_por_captação</v>
      </c>
      <c r="S984" s="697" t="s">
        <v>998</v>
      </c>
      <c r="T984" s="699">
        <v>4196</v>
      </c>
    </row>
    <row r="985" spans="1:20" ht="48" x14ac:dyDescent="0.2">
      <c r="A985" s="432">
        <f>IF(B985="","",COUNT('Diário 1º PA'!$A$4:$A$2635)+COUNT('Diário 2º PA'!$A$4:$A$3040)+ROW()-3)</f>
        <v>5081</v>
      </c>
      <c r="B985" s="414">
        <v>44790</v>
      </c>
      <c r="C985" s="433">
        <v>44743</v>
      </c>
      <c r="D985" s="415" t="s">
        <v>271</v>
      </c>
      <c r="E985" s="415" t="s">
        <v>85</v>
      </c>
      <c r="F985" s="425">
        <v>-79.27</v>
      </c>
      <c r="G985" s="427" t="s">
        <v>6523</v>
      </c>
      <c r="H985" s="415" t="s">
        <v>309</v>
      </c>
      <c r="I985" s="427" t="s">
        <v>795</v>
      </c>
      <c r="J985" s="415" t="s">
        <v>796</v>
      </c>
      <c r="K985" s="415" t="s">
        <v>797</v>
      </c>
      <c r="L985" s="415" t="s">
        <v>798</v>
      </c>
      <c r="M985" s="415" t="s">
        <v>310</v>
      </c>
      <c r="N985" s="414">
        <v>44790</v>
      </c>
      <c r="O985" s="414" t="s">
        <v>400</v>
      </c>
      <c r="P985" s="655">
        <f t="shared" si="45"/>
        <v>8</v>
      </c>
      <c r="Q985" s="655">
        <f t="shared" si="46"/>
        <v>7</v>
      </c>
      <c r="R985" s="695" t="str">
        <f t="shared" si="47"/>
        <v>Gastos_Gerais</v>
      </c>
      <c r="S985" s="697" t="s">
        <v>310</v>
      </c>
      <c r="T985" s="699" t="s">
        <v>310</v>
      </c>
    </row>
    <row r="986" spans="1:20" ht="48" x14ac:dyDescent="0.2">
      <c r="A986" s="432">
        <f>IF(B986="","",COUNT('Diário 1º PA'!$A$4:$A$2635)+COUNT('Diário 2º PA'!$A$4:$A$3040)+ROW()-3)</f>
        <v>5082</v>
      </c>
      <c r="B986" s="414">
        <v>44790</v>
      </c>
      <c r="C986" s="433">
        <v>44743</v>
      </c>
      <c r="D986" s="415" t="s">
        <v>271</v>
      </c>
      <c r="E986" s="415" t="s">
        <v>164</v>
      </c>
      <c r="F986" s="435">
        <v>-163.72</v>
      </c>
      <c r="G986" s="427" t="s">
        <v>6524</v>
      </c>
      <c r="H986" s="415" t="s">
        <v>309</v>
      </c>
      <c r="I986" s="473" t="s">
        <v>795</v>
      </c>
      <c r="J986" s="415" t="s">
        <v>796</v>
      </c>
      <c r="K986" s="415" t="s">
        <v>797</v>
      </c>
      <c r="L986" s="415" t="s">
        <v>798</v>
      </c>
      <c r="M986" s="415" t="s">
        <v>310</v>
      </c>
      <c r="N986" s="414">
        <v>44790</v>
      </c>
      <c r="O986" s="414" t="s">
        <v>400</v>
      </c>
      <c r="P986" s="655">
        <f t="shared" si="45"/>
        <v>8</v>
      </c>
      <c r="Q986" s="655">
        <f t="shared" si="46"/>
        <v>7</v>
      </c>
      <c r="R986" s="695" t="str">
        <f t="shared" si="47"/>
        <v>Gastos_Gerais</v>
      </c>
      <c r="S986" s="697" t="s">
        <v>310</v>
      </c>
      <c r="T986" s="699" t="s">
        <v>310</v>
      </c>
    </row>
    <row r="987" spans="1:20" ht="60" x14ac:dyDescent="0.2">
      <c r="A987" s="432">
        <f>IF(B987="","",COUNT('Diário 1º PA'!$A$4:$A$2635)+COUNT('Diário 2º PA'!$A$4:$A$3040)+ROW()-3)</f>
        <v>5083</v>
      </c>
      <c r="B987" s="414">
        <v>44790</v>
      </c>
      <c r="C987" s="431">
        <v>44682</v>
      </c>
      <c r="D987" s="415" t="s">
        <v>271</v>
      </c>
      <c r="E987" s="415" t="s">
        <v>442</v>
      </c>
      <c r="F987" s="422">
        <v>1848</v>
      </c>
      <c r="G987" s="427" t="s">
        <v>4280</v>
      </c>
      <c r="H987" s="415" t="s">
        <v>758</v>
      </c>
      <c r="I987" s="415" t="s">
        <v>6525</v>
      </c>
      <c r="J987" s="415" t="s">
        <v>4281</v>
      </c>
      <c r="K987" s="419" t="s">
        <v>806</v>
      </c>
      <c r="L987" s="415" t="s">
        <v>839</v>
      </c>
      <c r="M987" s="419">
        <v>1950</v>
      </c>
      <c r="N987" s="413">
        <v>44785</v>
      </c>
      <c r="O987" s="414" t="s">
        <v>400</v>
      </c>
      <c r="P987" s="655">
        <f t="shared" si="45"/>
        <v>8</v>
      </c>
      <c r="Q987" s="655">
        <f t="shared" si="46"/>
        <v>5</v>
      </c>
      <c r="R987" s="695" t="str">
        <f t="shared" si="47"/>
        <v>Gastos_Gerais</v>
      </c>
      <c r="S987" s="697" t="s">
        <v>998</v>
      </c>
      <c r="T987" s="699">
        <v>3686</v>
      </c>
    </row>
    <row r="988" spans="1:20" ht="108" x14ac:dyDescent="0.2">
      <c r="A988" s="432">
        <f>IF(B988="","",COUNT('Diário 1º PA'!$A$4:$A$2635)+COUNT('Diário 2º PA'!$A$4:$A$3040)+ROW()-3)</f>
        <v>5084</v>
      </c>
      <c r="B988" s="413">
        <v>44790</v>
      </c>
      <c r="C988" s="431">
        <v>44774</v>
      </c>
      <c r="D988" s="415" t="s">
        <v>271</v>
      </c>
      <c r="E988" s="415" t="s">
        <v>464</v>
      </c>
      <c r="F988" s="422">
        <v>1200</v>
      </c>
      <c r="G988" s="427" t="s">
        <v>6160</v>
      </c>
      <c r="H988" s="415" t="s">
        <v>758</v>
      </c>
      <c r="I988" s="415" t="s">
        <v>6274</v>
      </c>
      <c r="J988" s="415" t="s">
        <v>6161</v>
      </c>
      <c r="K988" s="419" t="s">
        <v>806</v>
      </c>
      <c r="L988" s="415" t="s">
        <v>32</v>
      </c>
      <c r="M988" s="419" t="s">
        <v>1333</v>
      </c>
      <c r="N988" s="413">
        <v>44788</v>
      </c>
      <c r="O988" s="414" t="s">
        <v>400</v>
      </c>
      <c r="P988" s="655">
        <f t="shared" si="45"/>
        <v>8</v>
      </c>
      <c r="Q988" s="655">
        <f t="shared" si="46"/>
        <v>8</v>
      </c>
      <c r="R988" s="695" t="str">
        <f t="shared" si="47"/>
        <v>Gastos_Gerais</v>
      </c>
      <c r="S988" s="697" t="s">
        <v>998</v>
      </c>
      <c r="T988" s="699">
        <v>4054</v>
      </c>
    </row>
    <row r="989" spans="1:20" ht="24" x14ac:dyDescent="0.2">
      <c r="A989" s="432">
        <f>IF(B989="","",COUNT('Diário 1º PA'!$A$4:$A$2635)+COUNT('Diário 2º PA'!$A$4:$A$3040)+ROW()-3)</f>
        <v>5085</v>
      </c>
      <c r="B989" s="413">
        <v>44790</v>
      </c>
      <c r="C989" s="431">
        <v>44743</v>
      </c>
      <c r="D989" s="434" t="s">
        <v>271</v>
      </c>
      <c r="E989" s="434" t="s">
        <v>85</v>
      </c>
      <c r="F989" s="422">
        <v>300.16000000000003</v>
      </c>
      <c r="G989" s="437" t="s">
        <v>5711</v>
      </c>
      <c r="H989" s="434" t="s">
        <v>309</v>
      </c>
      <c r="I989" s="437" t="s">
        <v>765</v>
      </c>
      <c r="J989" s="434" t="s">
        <v>892</v>
      </c>
      <c r="K989" s="415" t="s">
        <v>893</v>
      </c>
      <c r="L989" s="415" t="s">
        <v>807</v>
      </c>
      <c r="M989" s="419">
        <v>83650283</v>
      </c>
      <c r="N989" s="413">
        <v>44769</v>
      </c>
      <c r="O989" s="414" t="s">
        <v>400</v>
      </c>
      <c r="P989" s="655">
        <f t="shared" si="45"/>
        <v>8</v>
      </c>
      <c r="Q989" s="655">
        <f t="shared" si="46"/>
        <v>7</v>
      </c>
      <c r="R989" s="695" t="str">
        <f t="shared" si="47"/>
        <v>Gastos_Gerais</v>
      </c>
      <c r="S989" s="697" t="s">
        <v>310</v>
      </c>
      <c r="T989" s="697" t="s">
        <v>310</v>
      </c>
    </row>
    <row r="990" spans="1:20" ht="24" x14ac:dyDescent="0.2">
      <c r="A990" s="432">
        <f>IF(B990="","",COUNT('Diário 1º PA'!$A$4:$A$2635)+COUNT('Diário 2º PA'!$A$4:$A$3040)+ROW()-3)</f>
        <v>5086</v>
      </c>
      <c r="B990" s="413">
        <v>44790</v>
      </c>
      <c r="C990" s="433">
        <v>44743</v>
      </c>
      <c r="D990" s="434" t="s">
        <v>271</v>
      </c>
      <c r="E990" s="434" t="s">
        <v>164</v>
      </c>
      <c r="F990" s="422">
        <v>619.91999999999996</v>
      </c>
      <c r="G990" s="437" t="s">
        <v>6528</v>
      </c>
      <c r="H990" s="434" t="s">
        <v>309</v>
      </c>
      <c r="I990" s="437" t="s">
        <v>768</v>
      </c>
      <c r="J990" s="434" t="s">
        <v>1021</v>
      </c>
      <c r="K990" s="434" t="s">
        <v>1404</v>
      </c>
      <c r="L990" s="415" t="s">
        <v>1273</v>
      </c>
      <c r="M990" s="415" t="s">
        <v>310</v>
      </c>
      <c r="N990" s="413">
        <v>44774</v>
      </c>
      <c r="O990" s="414" t="s">
        <v>400</v>
      </c>
      <c r="P990" s="655">
        <f t="shared" si="45"/>
        <v>8</v>
      </c>
      <c r="Q990" s="655">
        <f t="shared" si="46"/>
        <v>7</v>
      </c>
      <c r="R990" s="695" t="str">
        <f t="shared" si="47"/>
        <v>Gastos_Gerais</v>
      </c>
      <c r="S990" s="697" t="s">
        <v>310</v>
      </c>
      <c r="T990" s="697" t="s">
        <v>310</v>
      </c>
    </row>
    <row r="991" spans="1:20" ht="36" x14ac:dyDescent="0.2">
      <c r="A991" s="432">
        <f>IF(B991="","",COUNT('Diário 1º PA'!$A$4:$A$2635)+COUNT('Diário 2º PA'!$A$4:$A$3040)+ROW()-3)</f>
        <v>5087</v>
      </c>
      <c r="B991" s="413">
        <v>44790</v>
      </c>
      <c r="C991" s="431">
        <v>44774</v>
      </c>
      <c r="D991" s="415" t="s">
        <v>271</v>
      </c>
      <c r="E991" s="415" t="s">
        <v>297</v>
      </c>
      <c r="F991" s="425">
        <v>379.8</v>
      </c>
      <c r="G991" s="427" t="s">
        <v>6494</v>
      </c>
      <c r="H991" s="415" t="s">
        <v>309</v>
      </c>
      <c r="I991" s="415" t="s">
        <v>6529</v>
      </c>
      <c r="J991" s="415" t="s">
        <v>6495</v>
      </c>
      <c r="K991" s="419" t="s">
        <v>830</v>
      </c>
      <c r="L991" s="415" t="s">
        <v>32</v>
      </c>
      <c r="M991" s="419">
        <v>55</v>
      </c>
      <c r="N991" s="413">
        <v>44789</v>
      </c>
      <c r="O991" s="414" t="s">
        <v>400</v>
      </c>
      <c r="P991" s="655">
        <f t="shared" si="45"/>
        <v>8</v>
      </c>
      <c r="Q991" s="655">
        <f t="shared" si="46"/>
        <v>8</v>
      </c>
      <c r="R991" s="695" t="str">
        <f t="shared" si="47"/>
        <v>Gastos_Gerais</v>
      </c>
      <c r="S991" s="697" t="s">
        <v>999</v>
      </c>
      <c r="T991" s="697">
        <v>4267</v>
      </c>
    </row>
    <row r="992" spans="1:20" ht="48" x14ac:dyDescent="0.2">
      <c r="A992" s="432">
        <f>IF(B992="","",COUNT('Diário 1º PA'!$A$4:$A$2635)+COUNT('Diário 2º PA'!$A$4:$A$3040)+ROW()-3)</f>
        <v>5088</v>
      </c>
      <c r="B992" s="413">
        <v>44790</v>
      </c>
      <c r="C992" s="431">
        <v>44743</v>
      </c>
      <c r="D992" s="415" t="s">
        <v>271</v>
      </c>
      <c r="E992" s="415" t="s">
        <v>450</v>
      </c>
      <c r="F992" s="422">
        <v>2939.7</v>
      </c>
      <c r="G992" s="427" t="s">
        <v>5685</v>
      </c>
      <c r="H992" s="415" t="s">
        <v>752</v>
      </c>
      <c r="I992" s="415" t="s">
        <v>2512</v>
      </c>
      <c r="J992" s="415" t="s">
        <v>1026</v>
      </c>
      <c r="K992" s="419" t="s">
        <v>830</v>
      </c>
      <c r="L992" s="415" t="s">
        <v>32</v>
      </c>
      <c r="M992" s="419" t="s">
        <v>1890</v>
      </c>
      <c r="N992" s="413">
        <v>44789</v>
      </c>
      <c r="O992" s="414" t="s">
        <v>400</v>
      </c>
      <c r="P992" s="655">
        <f t="shared" si="45"/>
        <v>8</v>
      </c>
      <c r="Q992" s="655">
        <f t="shared" si="46"/>
        <v>7</v>
      </c>
      <c r="R992" s="695" t="str">
        <f t="shared" si="47"/>
        <v>Gastos_Gerais</v>
      </c>
      <c r="S992" s="697" t="s">
        <v>1000</v>
      </c>
      <c r="T992" s="697">
        <v>3942</v>
      </c>
    </row>
    <row r="993" spans="1:20" ht="48" x14ac:dyDescent="0.2">
      <c r="A993" s="432">
        <f>IF(B993="","",COUNT('Diário 1º PA'!$A$4:$A$2635)+COUNT('Diário 2º PA'!$A$4:$A$3040)+ROW()-3)</f>
        <v>5089</v>
      </c>
      <c r="B993" s="413">
        <v>44790</v>
      </c>
      <c r="C993" s="431">
        <v>44743</v>
      </c>
      <c r="D993" s="415" t="s">
        <v>271</v>
      </c>
      <c r="E993" s="415" t="s">
        <v>456</v>
      </c>
      <c r="F993" s="686">
        <v>784</v>
      </c>
      <c r="G993" s="427" t="s">
        <v>6082</v>
      </c>
      <c r="H993" s="415" t="s">
        <v>760</v>
      </c>
      <c r="I993" s="434" t="s">
        <v>865</v>
      </c>
      <c r="J993" s="415" t="s">
        <v>866</v>
      </c>
      <c r="K993" s="419" t="s">
        <v>830</v>
      </c>
      <c r="L993" s="415" t="s">
        <v>32</v>
      </c>
      <c r="M993" s="426" t="s">
        <v>2981</v>
      </c>
      <c r="N993" s="685">
        <v>44789</v>
      </c>
      <c r="O993" s="414" t="s">
        <v>400</v>
      </c>
      <c r="P993" s="655">
        <f t="shared" si="45"/>
        <v>8</v>
      </c>
      <c r="Q993" s="655">
        <f t="shared" si="46"/>
        <v>7</v>
      </c>
      <c r="R993" s="695" t="str">
        <f t="shared" si="47"/>
        <v>Gastos_Gerais</v>
      </c>
      <c r="S993" s="697" t="s">
        <v>998</v>
      </c>
      <c r="T993" s="697">
        <v>4168</v>
      </c>
    </row>
    <row r="994" spans="1:20" ht="48" x14ac:dyDescent="0.2">
      <c r="A994" s="432">
        <f>IF(B994="","",COUNT('Diário 1º PA'!$A$4:$A$2635)+COUNT('Diário 2º PA'!$A$4:$A$3040)+ROW()-3)</f>
        <v>5090</v>
      </c>
      <c r="B994" s="413">
        <v>44790</v>
      </c>
      <c r="C994" s="431">
        <v>44774</v>
      </c>
      <c r="D994" s="415" t="s">
        <v>271</v>
      </c>
      <c r="E994" s="415" t="s">
        <v>71</v>
      </c>
      <c r="F994" s="425">
        <v>11</v>
      </c>
      <c r="G994" s="427" t="s">
        <v>6532</v>
      </c>
      <c r="H994" s="415" t="s">
        <v>309</v>
      </c>
      <c r="I994" s="398" t="s">
        <v>881</v>
      </c>
      <c r="J994" s="418" t="s">
        <v>882</v>
      </c>
      <c r="K994" s="418" t="s">
        <v>883</v>
      </c>
      <c r="L994" s="399" t="s">
        <v>798</v>
      </c>
      <c r="M994" s="544" t="s">
        <v>310</v>
      </c>
      <c r="N994" s="414">
        <v>44790</v>
      </c>
      <c r="O994" s="414" t="s">
        <v>400</v>
      </c>
      <c r="P994" s="655">
        <f t="shared" si="45"/>
        <v>8</v>
      </c>
      <c r="Q994" s="655">
        <f t="shared" si="46"/>
        <v>8</v>
      </c>
      <c r="R994" s="695" t="str">
        <f t="shared" si="47"/>
        <v>Gastos_Gerais</v>
      </c>
      <c r="S994" s="697" t="s">
        <v>310</v>
      </c>
      <c r="T994" s="697" t="s">
        <v>310</v>
      </c>
    </row>
    <row r="995" spans="1:20" ht="36" x14ac:dyDescent="0.2">
      <c r="A995" s="432">
        <f>IF(B995="","",COUNT('Diário 1º PA'!$A$4:$A$2635)+COUNT('Diário 2º PA'!$A$4:$A$3040)+ROW()-3)</f>
        <v>5091</v>
      </c>
      <c r="B995" s="413">
        <v>44790</v>
      </c>
      <c r="C995" s="431">
        <v>44774</v>
      </c>
      <c r="D995" s="415" t="s">
        <v>271</v>
      </c>
      <c r="E995" s="415" t="s">
        <v>71</v>
      </c>
      <c r="F995" s="425">
        <v>11</v>
      </c>
      <c r="G995" s="427" t="s">
        <v>6533</v>
      </c>
      <c r="H995" s="415" t="s">
        <v>752</v>
      </c>
      <c r="I995" s="398" t="s">
        <v>881</v>
      </c>
      <c r="J995" s="418" t="s">
        <v>882</v>
      </c>
      <c r="K995" s="418" t="s">
        <v>883</v>
      </c>
      <c r="L995" s="399" t="s">
        <v>798</v>
      </c>
      <c r="M995" s="544" t="s">
        <v>310</v>
      </c>
      <c r="N995" s="414">
        <v>44790</v>
      </c>
      <c r="O995" s="414" t="s">
        <v>400</v>
      </c>
      <c r="P995" s="655">
        <f t="shared" si="45"/>
        <v>8</v>
      </c>
      <c r="Q995" s="655">
        <f t="shared" si="46"/>
        <v>8</v>
      </c>
      <c r="R995" s="695" t="str">
        <f t="shared" si="47"/>
        <v>Gastos_Gerais</v>
      </c>
      <c r="S995" s="697" t="s">
        <v>310</v>
      </c>
      <c r="T995" s="697" t="s">
        <v>310</v>
      </c>
    </row>
    <row r="996" spans="1:20" ht="36" x14ac:dyDescent="0.2">
      <c r="A996" s="432">
        <f>IF(B996="","",COUNT('Diário 1º PA'!$A$4:$A$2635)+COUNT('Diário 2º PA'!$A$4:$A$3040)+ROW()-3)</f>
        <v>5092</v>
      </c>
      <c r="B996" s="413">
        <v>44790</v>
      </c>
      <c r="C996" s="431">
        <v>44774</v>
      </c>
      <c r="D996" s="415" t="s">
        <v>271</v>
      </c>
      <c r="E996" s="415" t="s">
        <v>71</v>
      </c>
      <c r="F996" s="425">
        <v>11</v>
      </c>
      <c r="G996" s="427" t="s">
        <v>6534</v>
      </c>
      <c r="H996" s="415" t="s">
        <v>760</v>
      </c>
      <c r="I996" s="398" t="s">
        <v>881</v>
      </c>
      <c r="J996" s="418" t="s">
        <v>882</v>
      </c>
      <c r="K996" s="418" t="s">
        <v>883</v>
      </c>
      <c r="L996" s="399" t="s">
        <v>798</v>
      </c>
      <c r="M996" s="544" t="s">
        <v>310</v>
      </c>
      <c r="N996" s="414">
        <v>44790</v>
      </c>
      <c r="O996" s="414" t="s">
        <v>400</v>
      </c>
      <c r="P996" s="655">
        <f t="shared" si="45"/>
        <v>8</v>
      </c>
      <c r="Q996" s="655">
        <f t="shared" si="46"/>
        <v>8</v>
      </c>
      <c r="R996" s="695" t="str">
        <f t="shared" si="47"/>
        <v>Gastos_Gerais</v>
      </c>
      <c r="S996" s="697" t="s">
        <v>310</v>
      </c>
      <c r="T996" s="697" t="s">
        <v>310</v>
      </c>
    </row>
    <row r="997" spans="1:20" ht="36" x14ac:dyDescent="0.2">
      <c r="A997" s="432">
        <f>IF(B997="","",COUNT('Diário 1º PA'!$A$4:$A$2635)+COUNT('Diário 2º PA'!$A$4:$A$3040)+ROW()-3)</f>
        <v>5093</v>
      </c>
      <c r="B997" s="413">
        <v>44790</v>
      </c>
      <c r="C997" s="431">
        <v>44743</v>
      </c>
      <c r="D997" s="415" t="s">
        <v>468</v>
      </c>
      <c r="E997" s="415" t="s">
        <v>468</v>
      </c>
      <c r="F997" s="425">
        <v>5585.43</v>
      </c>
      <c r="G997" s="427" t="s">
        <v>4099</v>
      </c>
      <c r="H997" s="415" t="s">
        <v>468</v>
      </c>
      <c r="I997" s="398" t="s">
        <v>6829</v>
      </c>
      <c r="J997" s="415" t="s">
        <v>4100</v>
      </c>
      <c r="K997" s="418" t="s">
        <v>830</v>
      </c>
      <c r="L997" s="399" t="s">
        <v>32</v>
      </c>
      <c r="M997" s="544">
        <v>337</v>
      </c>
      <c r="N997" s="414">
        <v>44789</v>
      </c>
      <c r="O997" s="414" t="s">
        <v>408</v>
      </c>
      <c r="P997" s="655">
        <f t="shared" si="45"/>
        <v>8</v>
      </c>
      <c r="Q997" s="655">
        <f t="shared" si="46"/>
        <v>7</v>
      </c>
      <c r="R997" s="695" t="str">
        <f t="shared" si="47"/>
        <v>Gastos_custeados_por_captação</v>
      </c>
      <c r="S997" s="697" t="s">
        <v>1000</v>
      </c>
      <c r="T997" s="697">
        <v>3699</v>
      </c>
    </row>
    <row r="998" spans="1:20" ht="72" x14ac:dyDescent="0.2">
      <c r="A998" s="432">
        <f>IF(B998="","",COUNT('Diário 1º PA'!$A$4:$A$2635)+COUNT('Diário 2º PA'!$A$4:$A$3040)+ROW()-3)</f>
        <v>5094</v>
      </c>
      <c r="B998" s="413">
        <v>44791</v>
      </c>
      <c r="C998" s="431">
        <v>44682</v>
      </c>
      <c r="D998" s="415" t="s">
        <v>271</v>
      </c>
      <c r="E998" s="415" t="s">
        <v>442</v>
      </c>
      <c r="F998" s="425">
        <v>1848</v>
      </c>
      <c r="G998" s="427" t="s">
        <v>4257</v>
      </c>
      <c r="H998" s="415" t="s">
        <v>758</v>
      </c>
      <c r="I998" s="398" t="s">
        <v>6575</v>
      </c>
      <c r="J998" s="415" t="s">
        <v>4258</v>
      </c>
      <c r="K998" s="419" t="s">
        <v>806</v>
      </c>
      <c r="L998" s="399" t="s">
        <v>839</v>
      </c>
      <c r="M998" s="544">
        <v>1948</v>
      </c>
      <c r="N998" s="414">
        <v>44785</v>
      </c>
      <c r="O998" s="414" t="s">
        <v>400</v>
      </c>
      <c r="P998" s="655">
        <f t="shared" si="45"/>
        <v>8</v>
      </c>
      <c r="Q998" s="655">
        <f t="shared" si="46"/>
        <v>5</v>
      </c>
      <c r="R998" s="695" t="str">
        <f t="shared" si="47"/>
        <v>Gastos_Gerais</v>
      </c>
      <c r="S998" s="697" t="s">
        <v>998</v>
      </c>
      <c r="T998" s="697">
        <v>3683</v>
      </c>
    </row>
    <row r="999" spans="1:20" ht="96" x14ac:dyDescent="0.2">
      <c r="A999" s="432">
        <f>IF(B999="","",COUNT('Diário 1º PA'!$A$4:$A$2635)+COUNT('Diário 2º PA'!$A$4:$A$3040)+ROW()-3)</f>
        <v>5095</v>
      </c>
      <c r="B999" s="413">
        <v>44791</v>
      </c>
      <c r="C999" s="431">
        <v>44743</v>
      </c>
      <c r="D999" s="415" t="s">
        <v>271</v>
      </c>
      <c r="E999" s="415" t="s">
        <v>456</v>
      </c>
      <c r="F999" s="425">
        <v>2000</v>
      </c>
      <c r="G999" s="427" t="s">
        <v>6074</v>
      </c>
      <c r="H999" s="415" t="s">
        <v>758</v>
      </c>
      <c r="I999" s="415" t="s">
        <v>6567</v>
      </c>
      <c r="J999" s="415" t="s">
        <v>6073</v>
      </c>
      <c r="K999" s="419" t="s">
        <v>830</v>
      </c>
      <c r="L999" s="415" t="s">
        <v>807</v>
      </c>
      <c r="M999" s="419" t="s">
        <v>1608</v>
      </c>
      <c r="N999" s="413">
        <v>44790</v>
      </c>
      <c r="O999" s="414" t="s">
        <v>400</v>
      </c>
      <c r="P999" s="655">
        <f t="shared" si="45"/>
        <v>8</v>
      </c>
      <c r="Q999" s="655">
        <f t="shared" si="46"/>
        <v>7</v>
      </c>
      <c r="R999" s="695" t="str">
        <f t="shared" si="47"/>
        <v>Gastos_Gerais</v>
      </c>
      <c r="S999" s="696" t="s">
        <v>998</v>
      </c>
      <c r="T999" s="696">
        <v>4142</v>
      </c>
    </row>
    <row r="1000" spans="1:20" ht="48" x14ac:dyDescent="0.2">
      <c r="A1000" s="432">
        <f>IF(B1000="","",COUNT('Diário 1º PA'!$A$4:$A$2635)+COUNT('Diário 2º PA'!$A$4:$A$3040)+ROW()-3)</f>
        <v>5096</v>
      </c>
      <c r="B1000" s="413">
        <v>44791</v>
      </c>
      <c r="C1000" s="431">
        <v>44501</v>
      </c>
      <c r="D1000" s="415" t="s">
        <v>271</v>
      </c>
      <c r="E1000" s="415" t="s">
        <v>453</v>
      </c>
      <c r="F1000" s="425">
        <v>970</v>
      </c>
      <c r="G1000" s="427" t="s">
        <v>581</v>
      </c>
      <c r="H1000" s="415" t="s">
        <v>751</v>
      </c>
      <c r="I1000" s="415" t="s">
        <v>6568</v>
      </c>
      <c r="J1000" s="415" t="s">
        <v>1050</v>
      </c>
      <c r="K1000" s="419" t="s">
        <v>830</v>
      </c>
      <c r="L1000" s="415" t="s">
        <v>807</v>
      </c>
      <c r="M1000" s="419" t="s">
        <v>5210</v>
      </c>
      <c r="N1000" s="413">
        <v>44790</v>
      </c>
      <c r="O1000" s="414" t="s">
        <v>400</v>
      </c>
      <c r="P1000" s="655">
        <f t="shared" si="45"/>
        <v>8</v>
      </c>
      <c r="Q1000" s="655">
        <f t="shared" si="46"/>
        <v>-1</v>
      </c>
      <c r="R1000" s="695" t="str">
        <f t="shared" si="47"/>
        <v>Gastos_Gerais</v>
      </c>
      <c r="S1000" s="696" t="s">
        <v>998</v>
      </c>
      <c r="T1000" s="696">
        <v>2357</v>
      </c>
    </row>
    <row r="1001" spans="1:20" ht="96" x14ac:dyDescent="0.2">
      <c r="A1001" s="432">
        <f>IF(B1001="","",COUNT('Diário 1º PA'!$A$4:$A$2635)+COUNT('Diário 2º PA'!$A$4:$A$3040)+ROW()-3)</f>
        <v>5097</v>
      </c>
      <c r="B1001" s="413">
        <v>44791</v>
      </c>
      <c r="C1001" s="431">
        <v>44682</v>
      </c>
      <c r="D1001" s="415" t="s">
        <v>271</v>
      </c>
      <c r="E1001" s="415" t="s">
        <v>456</v>
      </c>
      <c r="F1001" s="422">
        <v>1680</v>
      </c>
      <c r="G1001" s="427" t="s">
        <v>4342</v>
      </c>
      <c r="H1001" s="415" t="s">
        <v>758</v>
      </c>
      <c r="I1001" s="415" t="s">
        <v>6569</v>
      </c>
      <c r="J1001" s="415" t="s">
        <v>4343</v>
      </c>
      <c r="K1001" s="419" t="s">
        <v>830</v>
      </c>
      <c r="L1001" s="415" t="s">
        <v>839</v>
      </c>
      <c r="M1001" s="419">
        <v>1949</v>
      </c>
      <c r="N1001" s="413">
        <v>44785</v>
      </c>
      <c r="O1001" s="414" t="s">
        <v>400</v>
      </c>
      <c r="P1001" s="655">
        <f t="shared" si="45"/>
        <v>8</v>
      </c>
      <c r="Q1001" s="655">
        <f t="shared" si="46"/>
        <v>5</v>
      </c>
      <c r="R1001" s="695" t="str">
        <f t="shared" si="47"/>
        <v>Gastos_Gerais</v>
      </c>
      <c r="S1001" s="696" t="s">
        <v>998</v>
      </c>
      <c r="T1001" s="696">
        <v>3749</v>
      </c>
    </row>
    <row r="1002" spans="1:20" ht="36" x14ac:dyDescent="0.2">
      <c r="A1002" s="432">
        <f>IF(B1002="","",COUNT('Diário 1º PA'!$A$4:$A$2635)+COUNT('Diário 2º PA'!$A$4:$A$3040)+ROW()-3)</f>
        <v>5098</v>
      </c>
      <c r="B1002" s="413">
        <v>44791</v>
      </c>
      <c r="C1002" s="431">
        <v>44774</v>
      </c>
      <c r="D1002" s="415" t="s">
        <v>271</v>
      </c>
      <c r="E1002" s="415" t="s">
        <v>71</v>
      </c>
      <c r="F1002" s="425">
        <v>11</v>
      </c>
      <c r="G1002" s="427" t="s">
        <v>6572</v>
      </c>
      <c r="H1002" s="415" t="s">
        <v>758</v>
      </c>
      <c r="I1002" s="398" t="s">
        <v>881</v>
      </c>
      <c r="J1002" s="418" t="s">
        <v>882</v>
      </c>
      <c r="K1002" s="418" t="s">
        <v>883</v>
      </c>
      <c r="L1002" s="399" t="s">
        <v>798</v>
      </c>
      <c r="M1002" s="544" t="s">
        <v>310</v>
      </c>
      <c r="N1002" s="413">
        <v>44791</v>
      </c>
      <c r="O1002" s="414" t="s">
        <v>400</v>
      </c>
      <c r="P1002" s="655">
        <f t="shared" si="45"/>
        <v>8</v>
      </c>
      <c r="Q1002" s="655">
        <f t="shared" si="46"/>
        <v>8</v>
      </c>
      <c r="R1002" s="695" t="str">
        <f t="shared" si="47"/>
        <v>Gastos_Gerais</v>
      </c>
      <c r="S1002" s="697" t="s">
        <v>310</v>
      </c>
      <c r="T1002" s="697" t="s">
        <v>310</v>
      </c>
    </row>
    <row r="1003" spans="1:20" ht="36" x14ac:dyDescent="0.2">
      <c r="A1003" s="432">
        <f>IF(B1003="","",COUNT('Diário 1º PA'!$A$4:$A$2635)+COUNT('Diário 2º PA'!$A$4:$A$3040)+ROW()-3)</f>
        <v>5099</v>
      </c>
      <c r="B1003" s="413">
        <v>44791</v>
      </c>
      <c r="C1003" s="431">
        <v>44774</v>
      </c>
      <c r="D1003" s="415" t="s">
        <v>271</v>
      </c>
      <c r="E1003" s="415" t="s">
        <v>71</v>
      </c>
      <c r="F1003" s="425">
        <v>11</v>
      </c>
      <c r="G1003" s="427" t="s">
        <v>6573</v>
      </c>
      <c r="H1003" s="415" t="s">
        <v>751</v>
      </c>
      <c r="I1003" s="398" t="s">
        <v>881</v>
      </c>
      <c r="J1003" s="418" t="s">
        <v>882</v>
      </c>
      <c r="K1003" s="418" t="s">
        <v>883</v>
      </c>
      <c r="L1003" s="399" t="s">
        <v>798</v>
      </c>
      <c r="M1003" s="544" t="s">
        <v>310</v>
      </c>
      <c r="N1003" s="413">
        <v>44791</v>
      </c>
      <c r="O1003" s="414" t="s">
        <v>400</v>
      </c>
      <c r="P1003" s="655">
        <f t="shared" si="45"/>
        <v>8</v>
      </c>
      <c r="Q1003" s="655">
        <f t="shared" si="46"/>
        <v>8</v>
      </c>
      <c r="R1003" s="695" t="str">
        <f t="shared" si="47"/>
        <v>Gastos_Gerais</v>
      </c>
      <c r="S1003" s="697" t="s">
        <v>310</v>
      </c>
      <c r="T1003" s="697" t="s">
        <v>310</v>
      </c>
    </row>
    <row r="1004" spans="1:20" ht="36" x14ac:dyDescent="0.2">
      <c r="A1004" s="432">
        <f>IF(B1004="","",COUNT('Diário 1º PA'!$A$4:$A$2635)+COUNT('Diário 2º PA'!$A$4:$A$3040)+ROW()-3)</f>
        <v>5100</v>
      </c>
      <c r="B1004" s="413">
        <v>44791</v>
      </c>
      <c r="C1004" s="431">
        <v>44774</v>
      </c>
      <c r="D1004" s="415" t="s">
        <v>271</v>
      </c>
      <c r="E1004" s="415" t="s">
        <v>71</v>
      </c>
      <c r="F1004" s="425">
        <v>11</v>
      </c>
      <c r="G1004" s="427" t="s">
        <v>6574</v>
      </c>
      <c r="H1004" s="415" t="s">
        <v>758</v>
      </c>
      <c r="I1004" s="398" t="s">
        <v>881</v>
      </c>
      <c r="J1004" s="418" t="s">
        <v>882</v>
      </c>
      <c r="K1004" s="418" t="s">
        <v>883</v>
      </c>
      <c r="L1004" s="399" t="s">
        <v>798</v>
      </c>
      <c r="M1004" s="544" t="s">
        <v>310</v>
      </c>
      <c r="N1004" s="413">
        <v>44791</v>
      </c>
      <c r="O1004" s="414" t="s">
        <v>400</v>
      </c>
      <c r="P1004" s="655">
        <f t="shared" si="45"/>
        <v>8</v>
      </c>
      <c r="Q1004" s="655">
        <f t="shared" si="46"/>
        <v>8</v>
      </c>
      <c r="R1004" s="695" t="str">
        <f t="shared" si="47"/>
        <v>Gastos_Gerais</v>
      </c>
      <c r="S1004" s="697" t="s">
        <v>310</v>
      </c>
      <c r="T1004" s="697" t="s">
        <v>310</v>
      </c>
    </row>
    <row r="1005" spans="1:20" ht="36" x14ac:dyDescent="0.2">
      <c r="A1005" s="432">
        <f>IF(B1005="","",COUNT('Diário 1º PA'!$A$4:$A$2635)+COUNT('Diário 2º PA'!$A$4:$A$3040)+ROW()-3)</f>
        <v>5101</v>
      </c>
      <c r="B1005" s="413">
        <v>44791</v>
      </c>
      <c r="C1005" s="431">
        <v>44743</v>
      </c>
      <c r="D1005" s="415" t="s">
        <v>468</v>
      </c>
      <c r="E1005" s="415" t="s">
        <v>468</v>
      </c>
      <c r="F1005" s="425">
        <v>4180</v>
      </c>
      <c r="G1005" s="427" t="s">
        <v>5779</v>
      </c>
      <c r="H1005" s="415" t="s">
        <v>468</v>
      </c>
      <c r="I1005" s="398" t="s">
        <v>6831</v>
      </c>
      <c r="J1005" s="415" t="s">
        <v>5781</v>
      </c>
      <c r="K1005" s="419" t="s">
        <v>806</v>
      </c>
      <c r="L1005" s="399" t="s">
        <v>32</v>
      </c>
      <c r="M1005" s="418" t="s">
        <v>848</v>
      </c>
      <c r="N1005" s="413">
        <v>44790</v>
      </c>
      <c r="O1005" s="414" t="s">
        <v>408</v>
      </c>
      <c r="P1005" s="655">
        <f t="shared" si="45"/>
        <v>8</v>
      </c>
      <c r="Q1005" s="655">
        <f t="shared" si="46"/>
        <v>7</v>
      </c>
      <c r="R1005" s="695" t="str">
        <f t="shared" si="47"/>
        <v>Gastos_custeados_por_captação</v>
      </c>
      <c r="S1005" s="697" t="s">
        <v>1000</v>
      </c>
      <c r="T1005" s="697">
        <v>4045</v>
      </c>
    </row>
    <row r="1006" spans="1:20" ht="36" x14ac:dyDescent="0.2">
      <c r="A1006" s="432">
        <f>IF(B1006="","",COUNT('Diário 1º PA'!$A$4:$A$2635)+COUNT('Diário 2º PA'!$A$4:$A$3040)+ROW()-3)</f>
        <v>5102</v>
      </c>
      <c r="B1006" s="413">
        <v>44792</v>
      </c>
      <c r="C1006" s="431">
        <v>44743</v>
      </c>
      <c r="D1006" s="415" t="s">
        <v>468</v>
      </c>
      <c r="E1006" s="415" t="s">
        <v>468</v>
      </c>
      <c r="F1006" s="425">
        <v>-4529.09</v>
      </c>
      <c r="G1006" s="427" t="s">
        <v>6672</v>
      </c>
      <c r="H1006" s="415" t="s">
        <v>468</v>
      </c>
      <c r="I1006" s="427" t="s">
        <v>795</v>
      </c>
      <c r="J1006" s="415" t="s">
        <v>796</v>
      </c>
      <c r="K1006" s="419" t="s">
        <v>806</v>
      </c>
      <c r="L1006" s="415" t="s">
        <v>798</v>
      </c>
      <c r="M1006" s="415" t="s">
        <v>310</v>
      </c>
      <c r="N1006" s="413">
        <v>44792</v>
      </c>
      <c r="O1006" s="414" t="s">
        <v>400</v>
      </c>
      <c r="P1006" s="655">
        <f t="shared" si="45"/>
        <v>8</v>
      </c>
      <c r="Q1006" s="655">
        <f t="shared" si="46"/>
        <v>7</v>
      </c>
      <c r="R1006" s="695" t="str">
        <f t="shared" si="47"/>
        <v>Gastos_custeados_por_captação</v>
      </c>
      <c r="S1006" s="697" t="s">
        <v>310</v>
      </c>
      <c r="T1006" s="697" t="s">
        <v>310</v>
      </c>
    </row>
    <row r="1007" spans="1:20" ht="36" x14ac:dyDescent="0.2">
      <c r="A1007" s="432">
        <f>IF(B1007="","",COUNT('Diário 1º PA'!$A$4:$A$2635)+COUNT('Diário 2º PA'!$A$4:$A$3040)+ROW()-3)</f>
        <v>5103</v>
      </c>
      <c r="B1007" s="413">
        <v>44792</v>
      </c>
      <c r="C1007" s="431">
        <v>44743</v>
      </c>
      <c r="D1007" s="415" t="s">
        <v>468</v>
      </c>
      <c r="E1007" s="415" t="s">
        <v>468</v>
      </c>
      <c r="F1007" s="425">
        <v>-731.6</v>
      </c>
      <c r="G1007" s="427" t="s">
        <v>6673</v>
      </c>
      <c r="H1007" s="415" t="s">
        <v>468</v>
      </c>
      <c r="I1007" s="398" t="s">
        <v>795</v>
      </c>
      <c r="J1007" s="418" t="s">
        <v>796</v>
      </c>
      <c r="K1007" s="418" t="s">
        <v>797</v>
      </c>
      <c r="L1007" s="399" t="s">
        <v>798</v>
      </c>
      <c r="M1007" s="544" t="s">
        <v>310</v>
      </c>
      <c r="N1007" s="413">
        <v>44792</v>
      </c>
      <c r="O1007" s="414" t="s">
        <v>400</v>
      </c>
      <c r="P1007" s="655">
        <f t="shared" si="45"/>
        <v>8</v>
      </c>
      <c r="Q1007" s="655">
        <f t="shared" si="46"/>
        <v>7</v>
      </c>
      <c r="R1007" s="695" t="str">
        <f t="shared" si="47"/>
        <v>Gastos_custeados_por_captação</v>
      </c>
      <c r="S1007" s="697" t="s">
        <v>310</v>
      </c>
      <c r="T1007" s="697" t="s">
        <v>310</v>
      </c>
    </row>
    <row r="1008" spans="1:20" ht="36" x14ac:dyDescent="0.2">
      <c r="A1008" s="432">
        <f>IF(B1008="","",COUNT('Diário 1º PA'!$A$4:$A$2635)+COUNT('Diário 2º PA'!$A$4:$A$3040)+ROW()-3)</f>
        <v>5104</v>
      </c>
      <c r="B1008" s="413">
        <v>44792</v>
      </c>
      <c r="C1008" s="431">
        <v>44743</v>
      </c>
      <c r="D1008" s="415" t="s">
        <v>468</v>
      </c>
      <c r="E1008" s="415" t="s">
        <v>468</v>
      </c>
      <c r="F1008" s="425">
        <v>-1478.08</v>
      </c>
      <c r="G1008" s="427" t="s">
        <v>6674</v>
      </c>
      <c r="H1008" s="415" t="s">
        <v>468</v>
      </c>
      <c r="I1008" s="398" t="s">
        <v>795</v>
      </c>
      <c r="J1008" s="418" t="s">
        <v>796</v>
      </c>
      <c r="K1008" s="418" t="s">
        <v>797</v>
      </c>
      <c r="L1008" s="399" t="s">
        <v>798</v>
      </c>
      <c r="M1008" s="544" t="s">
        <v>310</v>
      </c>
      <c r="N1008" s="413">
        <v>44792</v>
      </c>
      <c r="O1008" s="414" t="s">
        <v>400</v>
      </c>
      <c r="P1008" s="655">
        <f t="shared" si="45"/>
        <v>8</v>
      </c>
      <c r="Q1008" s="655">
        <f t="shared" si="46"/>
        <v>7</v>
      </c>
      <c r="R1008" s="695" t="str">
        <f t="shared" si="47"/>
        <v>Gastos_custeados_por_captação</v>
      </c>
      <c r="S1008" s="697" t="s">
        <v>310</v>
      </c>
      <c r="T1008" s="697" t="s">
        <v>310</v>
      </c>
    </row>
    <row r="1009" spans="1:20" ht="36" x14ac:dyDescent="0.2">
      <c r="A1009" s="432">
        <f>IF(B1009="","",COUNT('Diário 1º PA'!$A$4:$A$2635)+COUNT('Diário 2º PA'!$A$4:$A$3040)+ROW()-3)</f>
        <v>5105</v>
      </c>
      <c r="B1009" s="413">
        <v>44792</v>
      </c>
      <c r="C1009" s="431">
        <v>44743</v>
      </c>
      <c r="D1009" s="415" t="s">
        <v>468</v>
      </c>
      <c r="E1009" s="415" t="s">
        <v>468</v>
      </c>
      <c r="F1009" s="425">
        <v>-4727.5</v>
      </c>
      <c r="G1009" s="427" t="s">
        <v>6675</v>
      </c>
      <c r="H1009" s="415" t="s">
        <v>468</v>
      </c>
      <c r="I1009" s="398" t="s">
        <v>795</v>
      </c>
      <c r="J1009" s="418" t="s">
        <v>796</v>
      </c>
      <c r="K1009" s="418" t="s">
        <v>797</v>
      </c>
      <c r="L1009" s="399" t="s">
        <v>798</v>
      </c>
      <c r="M1009" s="544" t="s">
        <v>310</v>
      </c>
      <c r="N1009" s="413">
        <v>44792</v>
      </c>
      <c r="O1009" s="414" t="s">
        <v>400</v>
      </c>
      <c r="P1009" s="655">
        <f t="shared" si="45"/>
        <v>8</v>
      </c>
      <c r="Q1009" s="655">
        <f t="shared" si="46"/>
        <v>7</v>
      </c>
      <c r="R1009" s="695" t="str">
        <f t="shared" si="47"/>
        <v>Gastos_custeados_por_captação</v>
      </c>
      <c r="S1009" s="697" t="s">
        <v>310</v>
      </c>
      <c r="T1009" s="697" t="s">
        <v>310</v>
      </c>
    </row>
    <row r="1010" spans="1:20" ht="36" x14ac:dyDescent="0.2">
      <c r="A1010" s="432">
        <f>IF(B1010="","",COUNT('Diário 1º PA'!$A$4:$A$2635)+COUNT('Diário 2º PA'!$A$4:$A$3040)+ROW()-3)</f>
        <v>5106</v>
      </c>
      <c r="B1010" s="413">
        <v>44792</v>
      </c>
      <c r="C1010" s="431">
        <v>44743</v>
      </c>
      <c r="D1010" s="415" t="s">
        <v>271</v>
      </c>
      <c r="E1010" s="415" t="s">
        <v>90</v>
      </c>
      <c r="F1010" s="425">
        <v>-1714.61</v>
      </c>
      <c r="G1010" s="427" t="s">
        <v>6676</v>
      </c>
      <c r="H1010" s="415" t="s">
        <v>310</v>
      </c>
      <c r="I1010" s="398" t="s">
        <v>795</v>
      </c>
      <c r="J1010" s="418" t="s">
        <v>796</v>
      </c>
      <c r="K1010" s="418" t="s">
        <v>797</v>
      </c>
      <c r="L1010" s="399" t="s">
        <v>798</v>
      </c>
      <c r="M1010" s="544" t="s">
        <v>310</v>
      </c>
      <c r="N1010" s="413">
        <v>44792</v>
      </c>
      <c r="O1010" s="414" t="s">
        <v>400</v>
      </c>
      <c r="P1010" s="655">
        <f t="shared" si="45"/>
        <v>8</v>
      </c>
      <c r="Q1010" s="655">
        <f t="shared" si="46"/>
        <v>7</v>
      </c>
      <c r="R1010" s="695" t="str">
        <f t="shared" si="47"/>
        <v>Gastos_Gerais</v>
      </c>
      <c r="S1010" s="697" t="s">
        <v>310</v>
      </c>
      <c r="T1010" s="697" t="s">
        <v>310</v>
      </c>
    </row>
    <row r="1011" spans="1:20" ht="48" x14ac:dyDescent="0.2">
      <c r="A1011" s="432">
        <f>IF(B1011="","",COUNT('Diário 1º PA'!$A$4:$A$2635)+COUNT('Diário 2º PA'!$A$4:$A$3040)+ROW()-3)</f>
        <v>5107</v>
      </c>
      <c r="B1011" s="413">
        <v>44792</v>
      </c>
      <c r="C1011" s="431">
        <v>44743</v>
      </c>
      <c r="D1011" s="415" t="s">
        <v>182</v>
      </c>
      <c r="E1011" s="415" t="s">
        <v>1</v>
      </c>
      <c r="F1011" s="425">
        <v>-4177.7700000000004</v>
      </c>
      <c r="G1011" s="427" t="s">
        <v>6689</v>
      </c>
      <c r="H1011" s="415" t="s">
        <v>310</v>
      </c>
      <c r="I1011" s="473" t="s">
        <v>795</v>
      </c>
      <c r="J1011" s="415" t="s">
        <v>796</v>
      </c>
      <c r="K1011" s="415" t="s">
        <v>797</v>
      </c>
      <c r="L1011" s="415" t="s">
        <v>798</v>
      </c>
      <c r="M1011" s="415" t="s">
        <v>310</v>
      </c>
      <c r="N1011" s="413">
        <v>44792</v>
      </c>
      <c r="O1011" s="414" t="s">
        <v>400</v>
      </c>
      <c r="P1011" s="655">
        <f t="shared" si="45"/>
        <v>8</v>
      </c>
      <c r="Q1011" s="655">
        <f t="shared" si="46"/>
        <v>7</v>
      </c>
      <c r="R1011" s="695" t="str">
        <f t="shared" si="47"/>
        <v>Gastos_com_Pessoal</v>
      </c>
      <c r="S1011" s="697" t="s">
        <v>310</v>
      </c>
      <c r="T1011" s="697" t="s">
        <v>310</v>
      </c>
    </row>
    <row r="1012" spans="1:20" ht="48" x14ac:dyDescent="0.2">
      <c r="A1012" s="432">
        <f>IF(B1012="","",COUNT('Diário 1º PA'!$A$4:$A$2635)+COUNT('Diário 2º PA'!$A$4:$A$3040)+ROW()-3)</f>
        <v>5108</v>
      </c>
      <c r="B1012" s="413">
        <v>44792</v>
      </c>
      <c r="C1012" s="431">
        <v>44743</v>
      </c>
      <c r="D1012" s="415" t="s">
        <v>182</v>
      </c>
      <c r="E1012" s="415" t="s">
        <v>252</v>
      </c>
      <c r="F1012" s="425">
        <v>-10862.72</v>
      </c>
      <c r="G1012" s="427" t="s">
        <v>6690</v>
      </c>
      <c r="H1012" s="415" t="s">
        <v>310</v>
      </c>
      <c r="I1012" s="473" t="s">
        <v>795</v>
      </c>
      <c r="J1012" s="415" t="s">
        <v>796</v>
      </c>
      <c r="K1012" s="415" t="s">
        <v>797</v>
      </c>
      <c r="L1012" s="415" t="s">
        <v>798</v>
      </c>
      <c r="M1012" s="415" t="s">
        <v>310</v>
      </c>
      <c r="N1012" s="413">
        <v>44792</v>
      </c>
      <c r="O1012" s="414" t="s">
        <v>400</v>
      </c>
      <c r="P1012" s="655">
        <f t="shared" si="45"/>
        <v>8</v>
      </c>
      <c r="Q1012" s="655">
        <f t="shared" si="46"/>
        <v>7</v>
      </c>
      <c r="R1012" s="695" t="str">
        <f t="shared" si="47"/>
        <v>Gastos_com_Pessoal</v>
      </c>
      <c r="S1012" s="697" t="s">
        <v>310</v>
      </c>
      <c r="T1012" s="697" t="s">
        <v>310</v>
      </c>
    </row>
    <row r="1013" spans="1:20" ht="36" x14ac:dyDescent="0.2">
      <c r="A1013" s="432">
        <f>IF(B1013="","",COUNT('Diário 1º PA'!$A$4:$A$2635)+COUNT('Diário 2º PA'!$A$4:$A$3040)+ROW()-3)</f>
        <v>5109</v>
      </c>
      <c r="B1013" s="413">
        <v>44792</v>
      </c>
      <c r="C1013" s="431">
        <v>44743</v>
      </c>
      <c r="D1013" s="415" t="s">
        <v>468</v>
      </c>
      <c r="E1013" s="415" t="s">
        <v>468</v>
      </c>
      <c r="F1013" s="425">
        <v>-3162</v>
      </c>
      <c r="G1013" s="427" t="s">
        <v>6680</v>
      </c>
      <c r="H1013" s="415" t="s">
        <v>468</v>
      </c>
      <c r="I1013" s="427" t="s">
        <v>795</v>
      </c>
      <c r="J1013" s="415" t="s">
        <v>796</v>
      </c>
      <c r="K1013" s="415" t="s">
        <v>797</v>
      </c>
      <c r="L1013" s="415" t="s">
        <v>798</v>
      </c>
      <c r="M1013" s="415" t="s">
        <v>310</v>
      </c>
      <c r="N1013" s="413">
        <v>44792</v>
      </c>
      <c r="O1013" s="414" t="s">
        <v>400</v>
      </c>
      <c r="P1013" s="655">
        <f t="shared" si="45"/>
        <v>8</v>
      </c>
      <c r="Q1013" s="655">
        <f t="shared" si="46"/>
        <v>7</v>
      </c>
      <c r="R1013" s="695" t="str">
        <f t="shared" si="47"/>
        <v>Gastos_custeados_por_captação</v>
      </c>
      <c r="S1013" s="697" t="s">
        <v>310</v>
      </c>
      <c r="T1013" s="697" t="s">
        <v>310</v>
      </c>
    </row>
    <row r="1014" spans="1:20" ht="36" x14ac:dyDescent="0.2">
      <c r="A1014" s="432">
        <f>IF(B1014="","",COUNT('Diário 1º PA'!$A$4:$A$2635)+COUNT('Diário 2º PA'!$A$4:$A$3040)+ROW()-3)</f>
        <v>5110</v>
      </c>
      <c r="B1014" s="413">
        <v>44792</v>
      </c>
      <c r="C1014" s="431">
        <v>44743</v>
      </c>
      <c r="D1014" s="415" t="s">
        <v>468</v>
      </c>
      <c r="E1014" s="415" t="s">
        <v>468</v>
      </c>
      <c r="F1014" s="425">
        <v>-4749.59</v>
      </c>
      <c r="G1014" s="427" t="s">
        <v>6679</v>
      </c>
      <c r="H1014" s="415" t="s">
        <v>468</v>
      </c>
      <c r="I1014" s="427" t="s">
        <v>795</v>
      </c>
      <c r="J1014" s="415" t="s">
        <v>796</v>
      </c>
      <c r="K1014" s="415" t="s">
        <v>797</v>
      </c>
      <c r="L1014" s="415" t="s">
        <v>798</v>
      </c>
      <c r="M1014" s="415" t="s">
        <v>310</v>
      </c>
      <c r="N1014" s="413">
        <v>44792</v>
      </c>
      <c r="O1014" s="414" t="s">
        <v>400</v>
      </c>
      <c r="P1014" s="655">
        <f t="shared" si="45"/>
        <v>8</v>
      </c>
      <c r="Q1014" s="655">
        <f t="shared" si="46"/>
        <v>7</v>
      </c>
      <c r="R1014" s="695" t="str">
        <f t="shared" si="47"/>
        <v>Gastos_custeados_por_captação</v>
      </c>
      <c r="S1014" s="697" t="s">
        <v>310</v>
      </c>
      <c r="T1014" s="697" t="s">
        <v>310</v>
      </c>
    </row>
    <row r="1015" spans="1:20" ht="36" x14ac:dyDescent="0.2">
      <c r="A1015" s="432">
        <f>IF(B1015="","",COUNT('Diário 1º PA'!$A$4:$A$2635)+COUNT('Diário 2º PA'!$A$4:$A$3040)+ROW()-3)</f>
        <v>5111</v>
      </c>
      <c r="B1015" s="413">
        <v>44792</v>
      </c>
      <c r="C1015" s="431">
        <v>44743</v>
      </c>
      <c r="D1015" s="415" t="s">
        <v>468</v>
      </c>
      <c r="E1015" s="415" t="s">
        <v>468</v>
      </c>
      <c r="F1015" s="425">
        <v>-654.57000000000005</v>
      </c>
      <c r="G1015" s="427" t="s">
        <v>6681</v>
      </c>
      <c r="H1015" s="415" t="s">
        <v>468</v>
      </c>
      <c r="I1015" s="473" t="s">
        <v>795</v>
      </c>
      <c r="J1015" s="415" t="s">
        <v>796</v>
      </c>
      <c r="K1015" s="415" t="s">
        <v>797</v>
      </c>
      <c r="L1015" s="415" t="s">
        <v>798</v>
      </c>
      <c r="M1015" s="415" t="s">
        <v>310</v>
      </c>
      <c r="N1015" s="413">
        <v>44792</v>
      </c>
      <c r="O1015" s="414" t="s">
        <v>400</v>
      </c>
      <c r="P1015" s="655">
        <f t="shared" si="45"/>
        <v>8</v>
      </c>
      <c r="Q1015" s="655">
        <f t="shared" si="46"/>
        <v>7</v>
      </c>
      <c r="R1015" s="695" t="str">
        <f t="shared" si="47"/>
        <v>Gastos_custeados_por_captação</v>
      </c>
      <c r="S1015" s="697" t="s">
        <v>310</v>
      </c>
      <c r="T1015" s="697" t="s">
        <v>310</v>
      </c>
    </row>
    <row r="1016" spans="1:20" ht="36" x14ac:dyDescent="0.2">
      <c r="A1016" s="432">
        <f>IF(B1016="","",COUNT('Diário 1º PA'!$A$4:$A$2635)+COUNT('Diário 2º PA'!$A$4:$A$3040)+ROW()-3)</f>
        <v>5112</v>
      </c>
      <c r="B1016" s="413">
        <v>44792</v>
      </c>
      <c r="C1016" s="431">
        <v>44743</v>
      </c>
      <c r="D1016" s="415" t="s">
        <v>468</v>
      </c>
      <c r="E1016" s="415" t="s">
        <v>468</v>
      </c>
      <c r="F1016" s="425">
        <v>-4185</v>
      </c>
      <c r="G1016" s="427" t="s">
        <v>6682</v>
      </c>
      <c r="H1016" s="415" t="s">
        <v>468</v>
      </c>
      <c r="I1016" s="473" t="s">
        <v>795</v>
      </c>
      <c r="J1016" s="415" t="s">
        <v>796</v>
      </c>
      <c r="K1016" s="415" t="s">
        <v>797</v>
      </c>
      <c r="L1016" s="415" t="s">
        <v>798</v>
      </c>
      <c r="M1016" s="415" t="s">
        <v>310</v>
      </c>
      <c r="N1016" s="413">
        <v>44792</v>
      </c>
      <c r="O1016" s="414" t="s">
        <v>400</v>
      </c>
      <c r="P1016" s="655">
        <f t="shared" si="45"/>
        <v>8</v>
      </c>
      <c r="Q1016" s="655">
        <f t="shared" si="46"/>
        <v>7</v>
      </c>
      <c r="R1016" s="695" t="str">
        <f t="shared" si="47"/>
        <v>Gastos_custeados_por_captação</v>
      </c>
      <c r="S1016" s="697" t="s">
        <v>310</v>
      </c>
      <c r="T1016" s="697" t="s">
        <v>310</v>
      </c>
    </row>
    <row r="1017" spans="1:20" ht="36" x14ac:dyDescent="0.2">
      <c r="A1017" s="432">
        <f>IF(B1017="","",COUNT('Diário 1º PA'!$A$4:$A$2635)+COUNT('Diário 2º PA'!$A$4:$A$3040)+ROW()-3)</f>
        <v>5113</v>
      </c>
      <c r="B1017" s="413">
        <v>44792</v>
      </c>
      <c r="C1017" s="431">
        <v>44743</v>
      </c>
      <c r="D1017" s="415" t="s">
        <v>468</v>
      </c>
      <c r="E1017" s="415" t="s">
        <v>468</v>
      </c>
      <c r="F1017" s="425">
        <v>-3255</v>
      </c>
      <c r="G1017" s="427" t="s">
        <v>6683</v>
      </c>
      <c r="H1017" s="415" t="s">
        <v>468</v>
      </c>
      <c r="I1017" s="473" t="s">
        <v>795</v>
      </c>
      <c r="J1017" s="415" t="s">
        <v>796</v>
      </c>
      <c r="K1017" s="415" t="s">
        <v>797</v>
      </c>
      <c r="L1017" s="415" t="s">
        <v>798</v>
      </c>
      <c r="M1017" s="415" t="s">
        <v>310</v>
      </c>
      <c r="N1017" s="413">
        <v>44792</v>
      </c>
      <c r="O1017" s="414" t="s">
        <v>400</v>
      </c>
      <c r="P1017" s="655">
        <f t="shared" si="45"/>
        <v>8</v>
      </c>
      <c r="Q1017" s="655">
        <f t="shared" si="46"/>
        <v>7</v>
      </c>
      <c r="R1017" s="695" t="str">
        <f t="shared" si="47"/>
        <v>Gastos_custeados_por_captação</v>
      </c>
      <c r="S1017" s="697" t="s">
        <v>310</v>
      </c>
      <c r="T1017" s="697" t="s">
        <v>310</v>
      </c>
    </row>
    <row r="1018" spans="1:20" ht="36" x14ac:dyDescent="0.2">
      <c r="A1018" s="432">
        <f>IF(B1018="","",COUNT('Diário 1º PA'!$A$4:$A$2635)+COUNT('Diário 2º PA'!$A$4:$A$3040)+ROW()-3)</f>
        <v>5114</v>
      </c>
      <c r="B1018" s="413">
        <v>44792</v>
      </c>
      <c r="C1018" s="431">
        <v>44743</v>
      </c>
      <c r="D1018" s="415" t="s">
        <v>468</v>
      </c>
      <c r="E1018" s="415" t="s">
        <v>468</v>
      </c>
      <c r="F1018" s="425">
        <v>-4841.16</v>
      </c>
      <c r="G1018" s="427" t="s">
        <v>6684</v>
      </c>
      <c r="H1018" s="415" t="s">
        <v>468</v>
      </c>
      <c r="I1018" s="473" t="s">
        <v>795</v>
      </c>
      <c r="J1018" s="415" t="s">
        <v>796</v>
      </c>
      <c r="K1018" s="415" t="s">
        <v>797</v>
      </c>
      <c r="L1018" s="415" t="s">
        <v>798</v>
      </c>
      <c r="M1018" s="415" t="s">
        <v>310</v>
      </c>
      <c r="N1018" s="413">
        <v>44792</v>
      </c>
      <c r="O1018" s="414" t="s">
        <v>400</v>
      </c>
      <c r="P1018" s="655">
        <f t="shared" si="45"/>
        <v>8</v>
      </c>
      <c r="Q1018" s="655">
        <f t="shared" si="46"/>
        <v>7</v>
      </c>
      <c r="R1018" s="695" t="str">
        <f t="shared" si="47"/>
        <v>Gastos_custeados_por_captação</v>
      </c>
      <c r="S1018" s="697" t="s">
        <v>310</v>
      </c>
      <c r="T1018" s="697" t="s">
        <v>310</v>
      </c>
    </row>
    <row r="1019" spans="1:20" ht="36" x14ac:dyDescent="0.2">
      <c r="A1019" s="432">
        <f>IF(B1019="","",COUNT('Diário 1º PA'!$A$4:$A$2635)+COUNT('Diário 2º PA'!$A$4:$A$3040)+ROW()-3)</f>
        <v>5115</v>
      </c>
      <c r="B1019" s="413">
        <v>44792</v>
      </c>
      <c r="C1019" s="431">
        <v>44743</v>
      </c>
      <c r="D1019" s="415" t="s">
        <v>468</v>
      </c>
      <c r="E1019" s="415" t="s">
        <v>468</v>
      </c>
      <c r="F1019" s="425">
        <v>-7536.1</v>
      </c>
      <c r="G1019" s="427" t="s">
        <v>6685</v>
      </c>
      <c r="H1019" s="415" t="s">
        <v>468</v>
      </c>
      <c r="I1019" s="473" t="s">
        <v>795</v>
      </c>
      <c r="J1019" s="415" t="s">
        <v>796</v>
      </c>
      <c r="K1019" s="415" t="s">
        <v>797</v>
      </c>
      <c r="L1019" s="415" t="s">
        <v>798</v>
      </c>
      <c r="M1019" s="415" t="s">
        <v>310</v>
      </c>
      <c r="N1019" s="413">
        <v>44792</v>
      </c>
      <c r="O1019" s="414" t="s">
        <v>400</v>
      </c>
      <c r="P1019" s="655">
        <f t="shared" si="45"/>
        <v>8</v>
      </c>
      <c r="Q1019" s="655">
        <f t="shared" si="46"/>
        <v>7</v>
      </c>
      <c r="R1019" s="695" t="str">
        <f t="shared" si="47"/>
        <v>Gastos_custeados_por_captação</v>
      </c>
      <c r="S1019" s="697" t="s">
        <v>310</v>
      </c>
      <c r="T1019" s="697" t="s">
        <v>310</v>
      </c>
    </row>
    <row r="1020" spans="1:20" ht="48" x14ac:dyDescent="0.2">
      <c r="A1020" s="432">
        <f>IF(B1020="","",COUNT('Diário 1º PA'!$A$4:$A$2635)+COUNT('Diário 2º PA'!$A$4:$A$3040)+ROW()-3)</f>
        <v>5116</v>
      </c>
      <c r="B1020" s="413">
        <v>44792</v>
      </c>
      <c r="C1020" s="431">
        <v>44743</v>
      </c>
      <c r="D1020" s="415" t="s">
        <v>271</v>
      </c>
      <c r="E1020" s="415" t="s">
        <v>205</v>
      </c>
      <c r="F1020" s="425">
        <v>320</v>
      </c>
      <c r="G1020" s="427" t="s">
        <v>6026</v>
      </c>
      <c r="H1020" s="415" t="s">
        <v>790</v>
      </c>
      <c r="I1020" s="415" t="s">
        <v>6686</v>
      </c>
      <c r="J1020" s="415" t="s">
        <v>2426</v>
      </c>
      <c r="K1020" s="419" t="s">
        <v>806</v>
      </c>
      <c r="L1020" s="415" t="s">
        <v>32</v>
      </c>
      <c r="M1020" s="419">
        <v>34557148</v>
      </c>
      <c r="N1020" s="413">
        <v>44791</v>
      </c>
      <c r="O1020" s="414" t="s">
        <v>400</v>
      </c>
      <c r="P1020" s="655">
        <f t="shared" si="45"/>
        <v>8</v>
      </c>
      <c r="Q1020" s="655">
        <f t="shared" si="46"/>
        <v>7</v>
      </c>
      <c r="R1020" s="695" t="str">
        <f t="shared" si="47"/>
        <v>Gastos_Gerais</v>
      </c>
      <c r="S1020" s="697" t="s">
        <v>998</v>
      </c>
      <c r="T1020" s="697">
        <v>4146</v>
      </c>
    </row>
    <row r="1021" spans="1:20" ht="36" x14ac:dyDescent="0.2">
      <c r="A1021" s="432">
        <f>IF(B1021="","",COUNT('Diário 1º PA'!$A$4:$A$2635)+COUNT('Diário 2º PA'!$A$4:$A$3040)+ROW()-3)</f>
        <v>5117</v>
      </c>
      <c r="B1021" s="413">
        <v>44792</v>
      </c>
      <c r="C1021" s="431">
        <v>44774</v>
      </c>
      <c r="D1021" s="415" t="s">
        <v>271</v>
      </c>
      <c r="E1021" s="415" t="s">
        <v>297</v>
      </c>
      <c r="F1021" s="425">
        <v>112</v>
      </c>
      <c r="G1021" s="427" t="s">
        <v>6369</v>
      </c>
      <c r="H1021" s="415" t="s">
        <v>753</v>
      </c>
      <c r="I1021" s="415" t="s">
        <v>3688</v>
      </c>
      <c r="J1021" s="415" t="s">
        <v>1254</v>
      </c>
      <c r="K1021" s="419" t="s">
        <v>812</v>
      </c>
      <c r="L1021" s="415" t="s">
        <v>32</v>
      </c>
      <c r="M1021" s="419">
        <v>17487</v>
      </c>
      <c r="N1021" s="413">
        <v>44784</v>
      </c>
      <c r="O1021" s="414" t="s">
        <v>400</v>
      </c>
      <c r="P1021" s="655">
        <f t="shared" si="45"/>
        <v>8</v>
      </c>
      <c r="Q1021" s="655">
        <f t="shared" si="46"/>
        <v>8</v>
      </c>
      <c r="R1021" s="695" t="str">
        <f t="shared" si="47"/>
        <v>Gastos_Gerais</v>
      </c>
      <c r="S1021" s="697" t="s">
        <v>998</v>
      </c>
      <c r="T1021" s="697">
        <v>4259</v>
      </c>
    </row>
    <row r="1022" spans="1:20" ht="48" x14ac:dyDescent="0.2">
      <c r="A1022" s="432">
        <f>IF(B1022="","",COUNT('Diário 1º PA'!$A$4:$A$2635)+COUNT('Diário 2º PA'!$A$4:$A$3040)+ROW()-3)</f>
        <v>5118</v>
      </c>
      <c r="B1022" s="413">
        <v>44792</v>
      </c>
      <c r="C1022" s="431">
        <v>44713</v>
      </c>
      <c r="D1022" s="415" t="s">
        <v>271</v>
      </c>
      <c r="E1022" s="415" t="s">
        <v>442</v>
      </c>
      <c r="F1022" s="425">
        <v>2000</v>
      </c>
      <c r="G1022" s="427" t="s">
        <v>4456</v>
      </c>
      <c r="H1022" s="415" t="s">
        <v>758</v>
      </c>
      <c r="I1022" s="415" t="s">
        <v>6687</v>
      </c>
      <c r="J1022" s="415" t="s">
        <v>4457</v>
      </c>
      <c r="K1022" s="419" t="s">
        <v>830</v>
      </c>
      <c r="L1022" s="415" t="s">
        <v>32</v>
      </c>
      <c r="M1022" s="419" t="s">
        <v>848</v>
      </c>
      <c r="N1022" s="413">
        <v>44791</v>
      </c>
      <c r="O1022" s="414" t="s">
        <v>400</v>
      </c>
      <c r="P1022" s="655">
        <f t="shared" si="45"/>
        <v>8</v>
      </c>
      <c r="Q1022" s="655">
        <f t="shared" si="46"/>
        <v>6</v>
      </c>
      <c r="R1022" s="695" t="str">
        <f t="shared" si="47"/>
        <v>Gastos_Gerais</v>
      </c>
      <c r="S1022" s="697" t="s">
        <v>998</v>
      </c>
      <c r="T1022" s="697">
        <v>3794</v>
      </c>
    </row>
    <row r="1023" spans="1:20" ht="24" x14ac:dyDescent="0.2">
      <c r="A1023" s="432">
        <f>IF(B1023="","",COUNT('Diário 1º PA'!$A$4:$A$2635)+COUNT('Diário 2º PA'!$A$4:$A$3040)+ROW()-3)</f>
        <v>5119</v>
      </c>
      <c r="B1023" s="413">
        <v>44792</v>
      </c>
      <c r="C1023" s="433">
        <v>44713</v>
      </c>
      <c r="D1023" s="434" t="s">
        <v>182</v>
      </c>
      <c r="E1023" s="434" t="s">
        <v>179</v>
      </c>
      <c r="F1023" s="435">
        <v>28.75</v>
      </c>
      <c r="G1023" s="437" t="s">
        <v>5748</v>
      </c>
      <c r="H1023" s="434" t="s">
        <v>310</v>
      </c>
      <c r="I1023" s="427" t="s">
        <v>1461</v>
      </c>
      <c r="J1023" s="415" t="s">
        <v>310</v>
      </c>
      <c r="K1023" s="415" t="s">
        <v>1220</v>
      </c>
      <c r="L1023" s="415" t="s">
        <v>1368</v>
      </c>
      <c r="M1023" s="415" t="s">
        <v>310</v>
      </c>
      <c r="N1023" s="413">
        <v>44792</v>
      </c>
      <c r="O1023" s="414" t="s">
        <v>400</v>
      </c>
      <c r="P1023" s="655">
        <f t="shared" si="45"/>
        <v>8</v>
      </c>
      <c r="Q1023" s="655">
        <f t="shared" si="46"/>
        <v>6</v>
      </c>
      <c r="R1023" s="695" t="str">
        <f t="shared" si="47"/>
        <v>Gastos_com_Pessoal</v>
      </c>
      <c r="S1023" s="697" t="s">
        <v>310</v>
      </c>
      <c r="T1023" s="697" t="s">
        <v>310</v>
      </c>
    </row>
    <row r="1024" spans="1:20" ht="24" x14ac:dyDescent="0.2">
      <c r="A1024" s="432">
        <f>IF(B1024="","",COUNT('Diário 1º PA'!$A$4:$A$2635)+COUNT('Diário 2º PA'!$A$4:$A$3040)+ROW()-3)</f>
        <v>5120</v>
      </c>
      <c r="B1024" s="413">
        <v>44792</v>
      </c>
      <c r="C1024" s="433">
        <v>44713</v>
      </c>
      <c r="D1024" s="434" t="s">
        <v>182</v>
      </c>
      <c r="E1024" s="434" t="s">
        <v>179</v>
      </c>
      <c r="F1024" s="435">
        <v>19.760000000000002</v>
      </c>
      <c r="G1024" s="437" t="s">
        <v>5746</v>
      </c>
      <c r="H1024" s="434" t="s">
        <v>310</v>
      </c>
      <c r="I1024" s="427" t="s">
        <v>1461</v>
      </c>
      <c r="J1024" s="415" t="s">
        <v>310</v>
      </c>
      <c r="K1024" s="415" t="s">
        <v>1220</v>
      </c>
      <c r="L1024" s="415" t="s">
        <v>1368</v>
      </c>
      <c r="M1024" s="415" t="s">
        <v>310</v>
      </c>
      <c r="N1024" s="413">
        <v>44792</v>
      </c>
      <c r="O1024" s="414" t="s">
        <v>400</v>
      </c>
      <c r="P1024" s="655">
        <f t="shared" si="45"/>
        <v>8</v>
      </c>
      <c r="Q1024" s="655">
        <f t="shared" si="46"/>
        <v>6</v>
      </c>
      <c r="R1024" s="695" t="str">
        <f t="shared" si="47"/>
        <v>Gastos_com_Pessoal</v>
      </c>
      <c r="S1024" s="697" t="s">
        <v>310</v>
      </c>
      <c r="T1024" s="697" t="s">
        <v>310</v>
      </c>
    </row>
    <row r="1025" spans="1:20" ht="24" x14ac:dyDescent="0.2">
      <c r="A1025" s="432">
        <f>IF(B1025="","",COUNT('Diário 1º PA'!$A$4:$A$2635)+COUNT('Diário 2º PA'!$A$4:$A$3040)+ROW()-3)</f>
        <v>5121</v>
      </c>
      <c r="B1025" s="413">
        <v>44792</v>
      </c>
      <c r="C1025" s="433">
        <v>44713</v>
      </c>
      <c r="D1025" s="434" t="s">
        <v>271</v>
      </c>
      <c r="E1025" s="434" t="s">
        <v>2</v>
      </c>
      <c r="F1025" s="435">
        <v>1881</v>
      </c>
      <c r="G1025" s="427" t="s">
        <v>494</v>
      </c>
      <c r="H1025" s="434" t="s">
        <v>309</v>
      </c>
      <c r="I1025" s="427" t="s">
        <v>1461</v>
      </c>
      <c r="J1025" s="415" t="s">
        <v>310</v>
      </c>
      <c r="K1025" s="415" t="s">
        <v>1220</v>
      </c>
      <c r="L1025" s="415" t="s">
        <v>1368</v>
      </c>
      <c r="M1025" s="415" t="s">
        <v>310</v>
      </c>
      <c r="N1025" s="413">
        <v>44792</v>
      </c>
      <c r="O1025" s="414" t="s">
        <v>400</v>
      </c>
      <c r="P1025" s="655">
        <f t="shared" si="45"/>
        <v>8</v>
      </c>
      <c r="Q1025" s="655">
        <f t="shared" si="46"/>
        <v>6</v>
      </c>
      <c r="R1025" s="695" t="str">
        <f t="shared" si="47"/>
        <v>Gastos_Gerais</v>
      </c>
      <c r="S1025" s="697" t="s">
        <v>310</v>
      </c>
      <c r="T1025" s="697" t="s">
        <v>310</v>
      </c>
    </row>
    <row r="1026" spans="1:20" ht="24" x14ac:dyDescent="0.2">
      <c r="A1026" s="432">
        <f>IF(B1026="","",COUNT('Diário 1º PA'!$A$4:$A$2635)+COUNT('Diário 2º PA'!$A$4:$A$3040)+ROW()-3)</f>
        <v>5122</v>
      </c>
      <c r="B1026" s="413">
        <v>44792</v>
      </c>
      <c r="C1026" s="433">
        <v>44682</v>
      </c>
      <c r="D1026" s="434" t="s">
        <v>182</v>
      </c>
      <c r="E1026" s="434" t="s">
        <v>1</v>
      </c>
      <c r="F1026" s="435">
        <v>52.44</v>
      </c>
      <c r="G1026" s="437" t="s">
        <v>5999</v>
      </c>
      <c r="H1026" s="434" t="s">
        <v>310</v>
      </c>
      <c r="I1026" s="427" t="s">
        <v>1461</v>
      </c>
      <c r="J1026" s="415" t="s">
        <v>310</v>
      </c>
      <c r="K1026" s="415" t="s">
        <v>1220</v>
      </c>
      <c r="L1026" s="415" t="s">
        <v>1368</v>
      </c>
      <c r="M1026" s="415" t="s">
        <v>310</v>
      </c>
      <c r="N1026" s="413">
        <v>44792</v>
      </c>
      <c r="O1026" s="414" t="s">
        <v>400</v>
      </c>
      <c r="P1026" s="655">
        <f t="shared" si="45"/>
        <v>8</v>
      </c>
      <c r="Q1026" s="655">
        <f t="shared" si="46"/>
        <v>5</v>
      </c>
      <c r="R1026" s="695" t="str">
        <f t="shared" si="47"/>
        <v>Gastos_com_Pessoal</v>
      </c>
      <c r="S1026" s="697" t="s">
        <v>310</v>
      </c>
      <c r="T1026" s="697" t="s">
        <v>310</v>
      </c>
    </row>
    <row r="1027" spans="1:20" ht="24" x14ac:dyDescent="0.2">
      <c r="A1027" s="432">
        <f>IF(B1027="","",COUNT('Diário 1º PA'!$A$4:$A$2635)+COUNT('Diário 2º PA'!$A$4:$A$3040)+ROW()-3)</f>
        <v>5123</v>
      </c>
      <c r="B1027" s="413">
        <v>44792</v>
      </c>
      <c r="C1027" s="431">
        <v>44713</v>
      </c>
      <c r="D1027" s="415" t="s">
        <v>271</v>
      </c>
      <c r="E1027" s="415" t="s">
        <v>59</v>
      </c>
      <c r="F1027" s="425">
        <v>395.25</v>
      </c>
      <c r="G1027" s="427" t="s">
        <v>5754</v>
      </c>
      <c r="H1027" s="415" t="s">
        <v>309</v>
      </c>
      <c r="I1027" s="427" t="s">
        <v>1461</v>
      </c>
      <c r="J1027" s="415" t="s">
        <v>310</v>
      </c>
      <c r="K1027" s="415" t="s">
        <v>1220</v>
      </c>
      <c r="L1027" s="415" t="s">
        <v>1368</v>
      </c>
      <c r="M1027" s="415" t="s">
        <v>310</v>
      </c>
      <c r="N1027" s="413">
        <v>44792</v>
      </c>
      <c r="O1027" s="414" t="s">
        <v>400</v>
      </c>
      <c r="P1027" s="655">
        <f t="shared" si="45"/>
        <v>8</v>
      </c>
      <c r="Q1027" s="655">
        <f t="shared" si="46"/>
        <v>6</v>
      </c>
      <c r="R1027" s="695" t="str">
        <f t="shared" si="47"/>
        <v>Gastos_Gerais</v>
      </c>
      <c r="S1027" s="697" t="s">
        <v>310</v>
      </c>
      <c r="T1027" s="697" t="s">
        <v>310</v>
      </c>
    </row>
    <row r="1028" spans="1:20" ht="24" x14ac:dyDescent="0.2">
      <c r="A1028" s="432">
        <f>IF(B1028="","",COUNT('Diário 1º PA'!$A$4:$A$2635)+COUNT('Diário 2º PA'!$A$4:$A$3040)+ROW()-3)</f>
        <v>5124</v>
      </c>
      <c r="B1028" s="413">
        <v>44792</v>
      </c>
      <c r="C1028" s="431">
        <v>44743</v>
      </c>
      <c r="D1028" s="415" t="s">
        <v>271</v>
      </c>
      <c r="E1028" s="415" t="s">
        <v>90</v>
      </c>
      <c r="F1028" s="425">
        <v>74.8</v>
      </c>
      <c r="G1028" s="427" t="s">
        <v>6713</v>
      </c>
      <c r="H1028" s="415" t="s">
        <v>750</v>
      </c>
      <c r="I1028" s="427" t="s">
        <v>1461</v>
      </c>
      <c r="J1028" s="415" t="s">
        <v>310</v>
      </c>
      <c r="K1028" s="415" t="s">
        <v>1220</v>
      </c>
      <c r="L1028" s="415" t="s">
        <v>1368</v>
      </c>
      <c r="M1028" s="415" t="s">
        <v>310</v>
      </c>
      <c r="N1028" s="413">
        <v>44792</v>
      </c>
      <c r="O1028" s="414" t="s">
        <v>400</v>
      </c>
      <c r="P1028" s="655">
        <f t="shared" si="45"/>
        <v>8</v>
      </c>
      <c r="Q1028" s="655">
        <f t="shared" si="46"/>
        <v>7</v>
      </c>
      <c r="R1028" s="695" t="str">
        <f t="shared" si="47"/>
        <v>Gastos_Gerais</v>
      </c>
      <c r="S1028" s="697" t="s">
        <v>310</v>
      </c>
      <c r="T1028" s="697" t="s">
        <v>310</v>
      </c>
    </row>
    <row r="1029" spans="1:20" ht="24" x14ac:dyDescent="0.2">
      <c r="A1029" s="432">
        <f>IF(B1029="","",COUNT('Diário 1º PA'!$A$4:$A$2635)+COUNT('Diário 2º PA'!$A$4:$A$3040)+ROW()-3)</f>
        <v>5125</v>
      </c>
      <c r="B1029" s="413">
        <v>44792</v>
      </c>
      <c r="C1029" s="431">
        <v>44713</v>
      </c>
      <c r="D1029" s="415" t="s">
        <v>271</v>
      </c>
      <c r="E1029" s="415" t="s">
        <v>297</v>
      </c>
      <c r="F1029" s="425">
        <v>56.67</v>
      </c>
      <c r="G1029" s="427" t="s">
        <v>6169</v>
      </c>
      <c r="H1029" s="415" t="s">
        <v>756</v>
      </c>
      <c r="I1029" s="427" t="s">
        <v>1461</v>
      </c>
      <c r="J1029" s="415" t="s">
        <v>310</v>
      </c>
      <c r="K1029" s="415" t="s">
        <v>1220</v>
      </c>
      <c r="L1029" s="415" t="s">
        <v>1368</v>
      </c>
      <c r="M1029" s="415" t="s">
        <v>310</v>
      </c>
      <c r="N1029" s="413">
        <v>44792</v>
      </c>
      <c r="O1029" s="414" t="s">
        <v>400</v>
      </c>
      <c r="P1029" s="655">
        <f t="shared" ref="P1029:P1092" si="48">IF(B1029=0,0,IF(YEAR(B1029)=$Q$1,MONTH(B1029)-$P$1+1,(YEAR(B1029)-$Q$1)*12-$P$1+1+MONTH(B1029)))</f>
        <v>8</v>
      </c>
      <c r="Q1029" s="655">
        <f t="shared" ref="Q1029:Q1092" si="49">IF(C1029=0,0,IF(YEAR(C1029)=$Q$1,MONTH(C1029)-$P$1+1,(YEAR(C1029)-$Q$1)*12-$P$1+1+MONTH(C1029)))</f>
        <v>6</v>
      </c>
      <c r="R1029" s="695" t="str">
        <f t="shared" ref="R1029:R1092" si="50">SUBSTITUTE(D1029," ","_")</f>
        <v>Gastos_Gerais</v>
      </c>
      <c r="S1029" s="697" t="s">
        <v>310</v>
      </c>
      <c r="T1029" s="697" t="s">
        <v>310</v>
      </c>
    </row>
    <row r="1030" spans="1:20" ht="36" x14ac:dyDescent="0.2">
      <c r="A1030" s="432">
        <f>IF(B1030="","",COUNT('Diário 1º PA'!$A$4:$A$2635)+COUNT('Diário 2º PA'!$A$4:$A$3040)+ROW()-3)</f>
        <v>5126</v>
      </c>
      <c r="B1030" s="413">
        <v>44792</v>
      </c>
      <c r="C1030" s="431">
        <v>44713</v>
      </c>
      <c r="D1030" s="415" t="s">
        <v>271</v>
      </c>
      <c r="E1030" s="415" t="s">
        <v>90</v>
      </c>
      <c r="F1030" s="425">
        <v>57.45</v>
      </c>
      <c r="G1030" s="427" t="s">
        <v>5921</v>
      </c>
      <c r="H1030" s="415" t="s">
        <v>760</v>
      </c>
      <c r="I1030" s="427" t="s">
        <v>1461</v>
      </c>
      <c r="J1030" s="415" t="s">
        <v>310</v>
      </c>
      <c r="K1030" s="415" t="s">
        <v>1220</v>
      </c>
      <c r="L1030" s="415" t="s">
        <v>1368</v>
      </c>
      <c r="M1030" s="415" t="s">
        <v>310</v>
      </c>
      <c r="N1030" s="413">
        <v>44792</v>
      </c>
      <c r="O1030" s="414" t="s">
        <v>400</v>
      </c>
      <c r="P1030" s="655">
        <f t="shared" si="48"/>
        <v>8</v>
      </c>
      <c r="Q1030" s="655">
        <f t="shared" si="49"/>
        <v>6</v>
      </c>
      <c r="R1030" s="695" t="str">
        <f t="shared" si="50"/>
        <v>Gastos_Gerais</v>
      </c>
      <c r="S1030" s="697" t="s">
        <v>310</v>
      </c>
      <c r="T1030" s="697" t="s">
        <v>310</v>
      </c>
    </row>
    <row r="1031" spans="1:20" ht="24" x14ac:dyDescent="0.2">
      <c r="A1031" s="432">
        <f>IF(B1031="","",COUNT('Diário 1º PA'!$A$4:$A$2635)+COUNT('Diário 2º PA'!$A$4:$A$3040)+ROW()-3)</f>
        <v>5127</v>
      </c>
      <c r="B1031" s="413">
        <v>44792</v>
      </c>
      <c r="C1031" s="431">
        <v>44682</v>
      </c>
      <c r="D1031" s="415" t="s">
        <v>271</v>
      </c>
      <c r="E1031" s="415" t="s">
        <v>450</v>
      </c>
      <c r="F1031" s="425">
        <v>44.1</v>
      </c>
      <c r="G1031" s="427" t="s">
        <v>5987</v>
      </c>
      <c r="H1031" s="415" t="s">
        <v>758</v>
      </c>
      <c r="I1031" s="427" t="s">
        <v>1461</v>
      </c>
      <c r="J1031" s="415" t="s">
        <v>310</v>
      </c>
      <c r="K1031" s="415" t="s">
        <v>1220</v>
      </c>
      <c r="L1031" s="415" t="s">
        <v>1368</v>
      </c>
      <c r="M1031" s="415" t="s">
        <v>310</v>
      </c>
      <c r="N1031" s="413">
        <v>44792</v>
      </c>
      <c r="O1031" s="414" t="s">
        <v>400</v>
      </c>
      <c r="P1031" s="655">
        <f t="shared" si="48"/>
        <v>8</v>
      </c>
      <c r="Q1031" s="655">
        <f t="shared" si="49"/>
        <v>5</v>
      </c>
      <c r="R1031" s="695" t="str">
        <f t="shared" si="50"/>
        <v>Gastos_Gerais</v>
      </c>
      <c r="S1031" s="697" t="s">
        <v>310</v>
      </c>
      <c r="T1031" s="697" t="s">
        <v>310</v>
      </c>
    </row>
    <row r="1032" spans="1:20" ht="24" x14ac:dyDescent="0.2">
      <c r="A1032" s="432">
        <f>IF(B1032="","",COUNT('Diário 1º PA'!$A$4:$A$2635)+COUNT('Diário 2º PA'!$A$4:$A$3040)+ROW()-3)</f>
        <v>5128</v>
      </c>
      <c r="B1032" s="413">
        <v>44792</v>
      </c>
      <c r="C1032" s="431">
        <v>44713</v>
      </c>
      <c r="D1032" s="415" t="s">
        <v>271</v>
      </c>
      <c r="E1032" s="415" t="s">
        <v>453</v>
      </c>
      <c r="F1032" s="425">
        <v>287.64999999999998</v>
      </c>
      <c r="G1032" s="427" t="s">
        <v>6166</v>
      </c>
      <c r="H1032" s="415" t="s">
        <v>752</v>
      </c>
      <c r="I1032" s="427" t="s">
        <v>1461</v>
      </c>
      <c r="J1032" s="415" t="s">
        <v>310</v>
      </c>
      <c r="K1032" s="415" t="s">
        <v>1220</v>
      </c>
      <c r="L1032" s="415" t="s">
        <v>1368</v>
      </c>
      <c r="M1032" s="415" t="s">
        <v>310</v>
      </c>
      <c r="N1032" s="413">
        <v>44792</v>
      </c>
      <c r="O1032" s="414" t="s">
        <v>400</v>
      </c>
      <c r="P1032" s="655">
        <f t="shared" si="48"/>
        <v>8</v>
      </c>
      <c r="Q1032" s="655">
        <f t="shared" si="49"/>
        <v>6</v>
      </c>
      <c r="R1032" s="695" t="str">
        <f t="shared" si="50"/>
        <v>Gastos_Gerais</v>
      </c>
      <c r="S1032" s="697" t="s">
        <v>310</v>
      </c>
      <c r="T1032" s="697" t="s">
        <v>310</v>
      </c>
    </row>
    <row r="1033" spans="1:20" ht="24" x14ac:dyDescent="0.2">
      <c r="A1033" s="432">
        <f>IF(B1033="","",COUNT('Diário 1º PA'!$A$4:$A$2635)+COUNT('Diário 2º PA'!$A$4:$A$3040)+ROW()-3)</f>
        <v>5129</v>
      </c>
      <c r="B1033" s="413">
        <v>44792</v>
      </c>
      <c r="C1033" s="433">
        <v>44713</v>
      </c>
      <c r="D1033" s="415" t="s">
        <v>182</v>
      </c>
      <c r="E1033" s="415" t="s">
        <v>325</v>
      </c>
      <c r="F1033" s="435">
        <v>16.010000000000002</v>
      </c>
      <c r="G1033" s="437" t="s">
        <v>6487</v>
      </c>
      <c r="H1033" s="434" t="s">
        <v>310</v>
      </c>
      <c r="I1033" s="427" t="s">
        <v>1461</v>
      </c>
      <c r="J1033" s="415" t="s">
        <v>310</v>
      </c>
      <c r="K1033" s="415" t="s">
        <v>1220</v>
      </c>
      <c r="L1033" s="415" t="s">
        <v>1368</v>
      </c>
      <c r="M1033" s="415" t="s">
        <v>310</v>
      </c>
      <c r="N1033" s="413">
        <v>44792</v>
      </c>
      <c r="O1033" s="414" t="s">
        <v>400</v>
      </c>
      <c r="P1033" s="655">
        <f t="shared" si="48"/>
        <v>8</v>
      </c>
      <c r="Q1033" s="655">
        <f t="shared" si="49"/>
        <v>6</v>
      </c>
      <c r="R1033" s="695" t="str">
        <f t="shared" si="50"/>
        <v>Gastos_com_Pessoal</v>
      </c>
      <c r="S1033" s="697" t="s">
        <v>310</v>
      </c>
      <c r="T1033" s="697" t="s">
        <v>310</v>
      </c>
    </row>
    <row r="1034" spans="1:20" ht="24" x14ac:dyDescent="0.2">
      <c r="A1034" s="432">
        <f>IF(B1034="","",COUNT('Diário 1º PA'!$A$4:$A$2635)+COUNT('Diário 2º PA'!$A$4:$A$3040)+ROW()-3)</f>
        <v>5130</v>
      </c>
      <c r="B1034" s="413">
        <v>44792</v>
      </c>
      <c r="C1034" s="424">
        <v>44713</v>
      </c>
      <c r="D1034" s="415" t="s">
        <v>182</v>
      </c>
      <c r="E1034" s="415" t="s">
        <v>1</v>
      </c>
      <c r="F1034" s="425">
        <v>12051.19</v>
      </c>
      <c r="G1034" s="427" t="s">
        <v>6059</v>
      </c>
      <c r="H1034" s="415" t="s">
        <v>310</v>
      </c>
      <c r="I1034" s="473" t="s">
        <v>1461</v>
      </c>
      <c r="J1034" s="415" t="s">
        <v>310</v>
      </c>
      <c r="K1034" s="415" t="s">
        <v>1220</v>
      </c>
      <c r="L1034" s="415" t="s">
        <v>1368</v>
      </c>
      <c r="M1034" s="415" t="s">
        <v>310</v>
      </c>
      <c r="N1034" s="414">
        <v>44792</v>
      </c>
      <c r="O1034" s="414" t="s">
        <v>400</v>
      </c>
      <c r="P1034" s="655">
        <f t="shared" si="48"/>
        <v>8</v>
      </c>
      <c r="Q1034" s="655">
        <f t="shared" si="49"/>
        <v>6</v>
      </c>
      <c r="R1034" s="695" t="str">
        <f t="shared" si="50"/>
        <v>Gastos_com_Pessoal</v>
      </c>
      <c r="S1034" s="697" t="s">
        <v>310</v>
      </c>
      <c r="T1034" s="697" t="s">
        <v>310</v>
      </c>
    </row>
    <row r="1035" spans="1:20" ht="36" x14ac:dyDescent="0.2">
      <c r="A1035" s="432">
        <f>IF(B1035="","",COUNT('Diário 1º PA'!$A$4:$A$2635)+COUNT('Diário 2º PA'!$A$4:$A$3040)+ROW()-3)</f>
        <v>5131</v>
      </c>
      <c r="B1035" s="413">
        <v>44792</v>
      </c>
      <c r="C1035" s="431">
        <v>44713</v>
      </c>
      <c r="D1035" s="415" t="s">
        <v>271</v>
      </c>
      <c r="E1035" s="415" t="s">
        <v>90</v>
      </c>
      <c r="F1035" s="425">
        <v>930</v>
      </c>
      <c r="G1035" s="427" t="s">
        <v>5920</v>
      </c>
      <c r="H1035" s="415" t="s">
        <v>760</v>
      </c>
      <c r="I1035" s="473" t="s">
        <v>1461</v>
      </c>
      <c r="J1035" s="415" t="s">
        <v>310</v>
      </c>
      <c r="K1035" s="415" t="s">
        <v>1220</v>
      </c>
      <c r="L1035" s="415" t="s">
        <v>1368</v>
      </c>
      <c r="M1035" s="415" t="s">
        <v>310</v>
      </c>
      <c r="N1035" s="414">
        <v>44792</v>
      </c>
      <c r="O1035" s="414" t="s">
        <v>400</v>
      </c>
      <c r="P1035" s="655">
        <f t="shared" si="48"/>
        <v>8</v>
      </c>
      <c r="Q1035" s="655">
        <f t="shared" si="49"/>
        <v>6</v>
      </c>
      <c r="R1035" s="695" t="str">
        <f t="shared" si="50"/>
        <v>Gastos_Gerais</v>
      </c>
      <c r="S1035" s="697" t="s">
        <v>310</v>
      </c>
      <c r="T1035" s="697" t="s">
        <v>310</v>
      </c>
    </row>
    <row r="1036" spans="1:20" ht="36" x14ac:dyDescent="0.2">
      <c r="A1036" s="432">
        <f>IF(B1036="","",COUNT('Diário 1º PA'!$A$4:$A$2635)+COUNT('Diário 2º PA'!$A$4:$A$3040)+ROW()-3)</f>
        <v>5132</v>
      </c>
      <c r="B1036" s="413">
        <v>44792</v>
      </c>
      <c r="C1036" s="431">
        <v>44713</v>
      </c>
      <c r="D1036" s="415" t="s">
        <v>271</v>
      </c>
      <c r="E1036" s="415" t="s">
        <v>456</v>
      </c>
      <c r="F1036" s="425">
        <v>558</v>
      </c>
      <c r="G1036" s="427" t="s">
        <v>5954</v>
      </c>
      <c r="H1036" s="415" t="s">
        <v>760</v>
      </c>
      <c r="I1036" s="473" t="s">
        <v>1461</v>
      </c>
      <c r="J1036" s="415" t="s">
        <v>310</v>
      </c>
      <c r="K1036" s="415" t="s">
        <v>1220</v>
      </c>
      <c r="L1036" s="415" t="s">
        <v>1368</v>
      </c>
      <c r="M1036" s="415" t="s">
        <v>310</v>
      </c>
      <c r="N1036" s="414">
        <v>44792</v>
      </c>
      <c r="O1036" s="414" t="s">
        <v>400</v>
      </c>
      <c r="P1036" s="655">
        <f t="shared" si="48"/>
        <v>8</v>
      </c>
      <c r="Q1036" s="655">
        <f t="shared" si="49"/>
        <v>6</v>
      </c>
      <c r="R1036" s="695" t="str">
        <f t="shared" si="50"/>
        <v>Gastos_Gerais</v>
      </c>
      <c r="S1036" s="697" t="s">
        <v>310</v>
      </c>
      <c r="T1036" s="697" t="s">
        <v>310</v>
      </c>
    </row>
    <row r="1037" spans="1:20" ht="36" x14ac:dyDescent="0.2">
      <c r="A1037" s="432">
        <f>IF(B1037="","",COUNT('Diário 1º PA'!$A$4:$A$2635)+COUNT('Diário 2º PA'!$A$4:$A$3040)+ROW()-3)</f>
        <v>5133</v>
      </c>
      <c r="B1037" s="413">
        <v>44792</v>
      </c>
      <c r="C1037" s="431">
        <v>44713</v>
      </c>
      <c r="D1037" s="415" t="s">
        <v>271</v>
      </c>
      <c r="E1037" s="415" t="s">
        <v>461</v>
      </c>
      <c r="F1037" s="425">
        <v>279</v>
      </c>
      <c r="G1037" s="427" t="s">
        <v>5990</v>
      </c>
      <c r="H1037" s="415" t="s">
        <v>752</v>
      </c>
      <c r="I1037" s="473" t="s">
        <v>1461</v>
      </c>
      <c r="J1037" s="415" t="s">
        <v>310</v>
      </c>
      <c r="K1037" s="415" t="s">
        <v>1220</v>
      </c>
      <c r="L1037" s="415" t="s">
        <v>1368</v>
      </c>
      <c r="M1037" s="415" t="s">
        <v>310</v>
      </c>
      <c r="N1037" s="414">
        <v>44792</v>
      </c>
      <c r="O1037" s="414" t="s">
        <v>400</v>
      </c>
      <c r="P1037" s="655">
        <f t="shared" si="48"/>
        <v>8</v>
      </c>
      <c r="Q1037" s="655">
        <f t="shared" si="49"/>
        <v>6</v>
      </c>
      <c r="R1037" s="695" t="str">
        <f t="shared" si="50"/>
        <v>Gastos_Gerais</v>
      </c>
      <c r="S1037" s="697" t="s">
        <v>310</v>
      </c>
      <c r="T1037" s="697" t="s">
        <v>310</v>
      </c>
    </row>
    <row r="1038" spans="1:20" ht="24" x14ac:dyDescent="0.2">
      <c r="A1038" s="432">
        <f>IF(B1038="","",COUNT('Diário 1º PA'!$A$4:$A$2635)+COUNT('Diário 2º PA'!$A$4:$A$3040)+ROW()-3)</f>
        <v>5134</v>
      </c>
      <c r="B1038" s="413">
        <v>44792</v>
      </c>
      <c r="C1038" s="431">
        <v>44682</v>
      </c>
      <c r="D1038" s="415" t="s">
        <v>271</v>
      </c>
      <c r="E1038" s="415" t="s">
        <v>453</v>
      </c>
      <c r="F1038" s="425">
        <v>210.8</v>
      </c>
      <c r="G1038" s="427" t="s">
        <v>6164</v>
      </c>
      <c r="H1038" s="415" t="s">
        <v>748</v>
      </c>
      <c r="I1038" s="473" t="s">
        <v>1461</v>
      </c>
      <c r="J1038" s="415" t="s">
        <v>310</v>
      </c>
      <c r="K1038" s="415" t="s">
        <v>1220</v>
      </c>
      <c r="L1038" s="415" t="s">
        <v>1368</v>
      </c>
      <c r="M1038" s="415" t="s">
        <v>310</v>
      </c>
      <c r="N1038" s="414">
        <v>44792</v>
      </c>
      <c r="O1038" s="414" t="s">
        <v>400</v>
      </c>
      <c r="P1038" s="655">
        <f t="shared" si="48"/>
        <v>8</v>
      </c>
      <c r="Q1038" s="655">
        <f t="shared" si="49"/>
        <v>5</v>
      </c>
      <c r="R1038" s="695" t="str">
        <f t="shared" si="50"/>
        <v>Gastos_Gerais</v>
      </c>
      <c r="S1038" s="697" t="s">
        <v>310</v>
      </c>
      <c r="T1038" s="697" t="s">
        <v>310</v>
      </c>
    </row>
    <row r="1039" spans="1:20" ht="36" x14ac:dyDescent="0.2">
      <c r="A1039" s="432">
        <f>IF(B1039="","",COUNT('Diário 1º PA'!$A$4:$A$2635)+COUNT('Diário 2º PA'!$A$4:$A$3040)+ROW()-3)</f>
        <v>5135</v>
      </c>
      <c r="B1039" s="413">
        <v>44792</v>
      </c>
      <c r="C1039" s="431">
        <v>44743</v>
      </c>
      <c r="D1039" s="415" t="s">
        <v>271</v>
      </c>
      <c r="E1039" s="415" t="s">
        <v>90</v>
      </c>
      <c r="F1039" s="425">
        <v>248</v>
      </c>
      <c r="G1039" s="427" t="s">
        <v>6156</v>
      </c>
      <c r="H1039" s="415" t="s">
        <v>755</v>
      </c>
      <c r="I1039" s="473" t="s">
        <v>1461</v>
      </c>
      <c r="J1039" s="415" t="s">
        <v>310</v>
      </c>
      <c r="K1039" s="415" t="s">
        <v>1220</v>
      </c>
      <c r="L1039" s="415" t="s">
        <v>1368</v>
      </c>
      <c r="M1039" s="415" t="s">
        <v>310</v>
      </c>
      <c r="N1039" s="414">
        <v>44792</v>
      </c>
      <c r="O1039" s="414" t="s">
        <v>400</v>
      </c>
      <c r="P1039" s="655">
        <f t="shared" si="48"/>
        <v>8</v>
      </c>
      <c r="Q1039" s="655">
        <f t="shared" si="49"/>
        <v>7</v>
      </c>
      <c r="R1039" s="695" t="str">
        <f t="shared" si="50"/>
        <v>Gastos_Gerais</v>
      </c>
      <c r="S1039" s="697" t="s">
        <v>310</v>
      </c>
      <c r="T1039" s="697" t="s">
        <v>310</v>
      </c>
    </row>
    <row r="1040" spans="1:20" ht="24" x14ac:dyDescent="0.2">
      <c r="A1040" s="432">
        <f>IF(B1040="","",COUNT('Diário 1º PA'!$A$4:$A$2635)+COUNT('Diário 2º PA'!$A$4:$A$3040)+ROW()-3)</f>
        <v>5136</v>
      </c>
      <c r="B1040" s="413">
        <v>44792</v>
      </c>
      <c r="C1040" s="431">
        <v>44682</v>
      </c>
      <c r="D1040" s="415" t="s">
        <v>271</v>
      </c>
      <c r="E1040" s="415" t="s">
        <v>450</v>
      </c>
      <c r="F1040" s="425">
        <v>868</v>
      </c>
      <c r="G1040" s="427" t="s">
        <v>6688</v>
      </c>
      <c r="H1040" s="415" t="s">
        <v>758</v>
      </c>
      <c r="I1040" s="473" t="s">
        <v>1461</v>
      </c>
      <c r="J1040" s="415" t="s">
        <v>310</v>
      </c>
      <c r="K1040" s="415" t="s">
        <v>1220</v>
      </c>
      <c r="L1040" s="415" t="s">
        <v>1368</v>
      </c>
      <c r="M1040" s="415" t="s">
        <v>310</v>
      </c>
      <c r="N1040" s="414">
        <v>44792</v>
      </c>
      <c r="O1040" s="414" t="s">
        <v>400</v>
      </c>
      <c r="P1040" s="655">
        <f t="shared" si="48"/>
        <v>8</v>
      </c>
      <c r="Q1040" s="655">
        <f t="shared" si="49"/>
        <v>5</v>
      </c>
      <c r="R1040" s="695" t="str">
        <f t="shared" si="50"/>
        <v>Gastos_Gerais</v>
      </c>
      <c r="S1040" s="697" t="s">
        <v>310</v>
      </c>
      <c r="T1040" s="697" t="s">
        <v>310</v>
      </c>
    </row>
    <row r="1041" spans="1:20" ht="36" x14ac:dyDescent="0.2">
      <c r="A1041" s="432">
        <f>IF(B1041="","",COUNT('Diário 1º PA'!$A$4:$A$2635)+COUNT('Diário 2º PA'!$A$4:$A$3040)+ROW()-3)</f>
        <v>5137</v>
      </c>
      <c r="B1041" s="413">
        <v>44792</v>
      </c>
      <c r="C1041" s="431">
        <v>44682</v>
      </c>
      <c r="D1041" s="415" t="s">
        <v>271</v>
      </c>
      <c r="E1041" s="415" t="s">
        <v>453</v>
      </c>
      <c r="F1041" s="425">
        <v>396.8</v>
      </c>
      <c r="G1041" s="427" t="s">
        <v>5940</v>
      </c>
      <c r="H1041" s="415" t="s">
        <v>757</v>
      </c>
      <c r="I1041" s="473" t="s">
        <v>1461</v>
      </c>
      <c r="J1041" s="415" t="s">
        <v>310</v>
      </c>
      <c r="K1041" s="415" t="s">
        <v>1220</v>
      </c>
      <c r="L1041" s="415" t="s">
        <v>1368</v>
      </c>
      <c r="M1041" s="415" t="s">
        <v>310</v>
      </c>
      <c r="N1041" s="414">
        <v>44792</v>
      </c>
      <c r="O1041" s="414" t="s">
        <v>400</v>
      </c>
      <c r="P1041" s="655">
        <f t="shared" si="48"/>
        <v>8</v>
      </c>
      <c r="Q1041" s="655">
        <f t="shared" si="49"/>
        <v>5</v>
      </c>
      <c r="R1041" s="695" t="str">
        <f t="shared" si="50"/>
        <v>Gastos_Gerais</v>
      </c>
      <c r="S1041" s="697" t="s">
        <v>310</v>
      </c>
      <c r="T1041" s="697" t="s">
        <v>310</v>
      </c>
    </row>
    <row r="1042" spans="1:20" ht="24" x14ac:dyDescent="0.2">
      <c r="A1042" s="432">
        <f>IF(B1042="","",COUNT('Diário 1º PA'!$A$4:$A$2635)+COUNT('Diário 2º PA'!$A$4:$A$3040)+ROW()-3)</f>
        <v>5138</v>
      </c>
      <c r="B1042" s="413">
        <v>44792</v>
      </c>
      <c r="C1042" s="431">
        <v>44682</v>
      </c>
      <c r="D1042" s="415" t="s">
        <v>271</v>
      </c>
      <c r="E1042" s="415" t="s">
        <v>453</v>
      </c>
      <c r="F1042" s="425">
        <v>310</v>
      </c>
      <c r="G1042" s="427" t="s">
        <v>5924</v>
      </c>
      <c r="H1042" s="415" t="s">
        <v>758</v>
      </c>
      <c r="I1042" s="473" t="s">
        <v>1461</v>
      </c>
      <c r="J1042" s="415" t="s">
        <v>310</v>
      </c>
      <c r="K1042" s="415" t="s">
        <v>1220</v>
      </c>
      <c r="L1042" s="415" t="s">
        <v>1368</v>
      </c>
      <c r="M1042" s="415" t="s">
        <v>310</v>
      </c>
      <c r="N1042" s="414">
        <v>44792</v>
      </c>
      <c r="O1042" s="414" t="s">
        <v>400</v>
      </c>
      <c r="P1042" s="655">
        <f t="shared" si="48"/>
        <v>8</v>
      </c>
      <c r="Q1042" s="655">
        <f t="shared" si="49"/>
        <v>5</v>
      </c>
      <c r="R1042" s="695" t="str">
        <f t="shared" si="50"/>
        <v>Gastos_Gerais</v>
      </c>
      <c r="S1042" s="697" t="s">
        <v>310</v>
      </c>
      <c r="T1042" s="697" t="s">
        <v>310</v>
      </c>
    </row>
    <row r="1043" spans="1:20" ht="24" x14ac:dyDescent="0.2">
      <c r="A1043" s="432">
        <f>IF(B1043="","",COUNT('Diário 1º PA'!$A$4:$A$2635)+COUNT('Diário 2º PA'!$A$4:$A$3040)+ROW()-3)</f>
        <v>5139</v>
      </c>
      <c r="B1043" s="413">
        <v>44792</v>
      </c>
      <c r="C1043" s="431">
        <v>44713</v>
      </c>
      <c r="D1043" s="415" t="s">
        <v>271</v>
      </c>
      <c r="E1043" s="415" t="s">
        <v>453</v>
      </c>
      <c r="F1043" s="425">
        <v>589</v>
      </c>
      <c r="G1043" s="427" t="s">
        <v>6167</v>
      </c>
      <c r="H1043" s="415" t="s">
        <v>752</v>
      </c>
      <c r="I1043" s="473" t="s">
        <v>1461</v>
      </c>
      <c r="J1043" s="415" t="s">
        <v>310</v>
      </c>
      <c r="K1043" s="415" t="s">
        <v>1220</v>
      </c>
      <c r="L1043" s="415" t="s">
        <v>1368</v>
      </c>
      <c r="M1043" s="415" t="s">
        <v>310</v>
      </c>
      <c r="N1043" s="414">
        <v>44792</v>
      </c>
      <c r="O1043" s="414" t="s">
        <v>400</v>
      </c>
      <c r="P1043" s="655">
        <f t="shared" si="48"/>
        <v>8</v>
      </c>
      <c r="Q1043" s="655">
        <f t="shared" si="49"/>
        <v>6</v>
      </c>
      <c r="R1043" s="695" t="str">
        <f t="shared" si="50"/>
        <v>Gastos_Gerais</v>
      </c>
      <c r="S1043" s="697" t="s">
        <v>310</v>
      </c>
      <c r="T1043" s="697" t="s">
        <v>310</v>
      </c>
    </row>
    <row r="1044" spans="1:20" ht="36" x14ac:dyDescent="0.2">
      <c r="A1044" s="432">
        <f>IF(B1044="","",COUNT('Diário 1º PA'!$A$4:$A$2635)+COUNT('Diário 2º PA'!$A$4:$A$3040)+ROW()-3)</f>
        <v>5140</v>
      </c>
      <c r="B1044" s="413">
        <v>44792</v>
      </c>
      <c r="C1044" s="431">
        <v>44682</v>
      </c>
      <c r="D1044" s="415" t="s">
        <v>271</v>
      </c>
      <c r="E1044" s="415" t="s">
        <v>453</v>
      </c>
      <c r="F1044" s="425">
        <v>263.5</v>
      </c>
      <c r="G1044" s="427" t="s">
        <v>5992</v>
      </c>
      <c r="H1044" s="415" t="s">
        <v>760</v>
      </c>
      <c r="I1044" s="473" t="s">
        <v>1461</v>
      </c>
      <c r="J1044" s="415" t="s">
        <v>310</v>
      </c>
      <c r="K1044" s="415" t="s">
        <v>1220</v>
      </c>
      <c r="L1044" s="415" t="s">
        <v>1368</v>
      </c>
      <c r="M1044" s="415" t="s">
        <v>310</v>
      </c>
      <c r="N1044" s="414">
        <v>44792</v>
      </c>
      <c r="O1044" s="414" t="s">
        <v>400</v>
      </c>
      <c r="P1044" s="655">
        <f t="shared" si="48"/>
        <v>8</v>
      </c>
      <c r="Q1044" s="655">
        <f t="shared" si="49"/>
        <v>5</v>
      </c>
      <c r="R1044" s="695" t="str">
        <f t="shared" si="50"/>
        <v>Gastos_Gerais</v>
      </c>
      <c r="S1044" s="697" t="s">
        <v>310</v>
      </c>
      <c r="T1044" s="697" t="s">
        <v>310</v>
      </c>
    </row>
    <row r="1045" spans="1:20" ht="24" x14ac:dyDescent="0.2">
      <c r="A1045" s="432">
        <f>IF(B1045="","",COUNT('Diário 1º PA'!$A$4:$A$2635)+COUNT('Diário 2º PA'!$A$4:$A$3040)+ROW()-3)</f>
        <v>5141</v>
      </c>
      <c r="B1045" s="413">
        <v>44792</v>
      </c>
      <c r="C1045" s="431">
        <v>44713</v>
      </c>
      <c r="D1045" s="415" t="s">
        <v>271</v>
      </c>
      <c r="E1045" s="415" t="s">
        <v>453</v>
      </c>
      <c r="F1045" s="425">
        <v>263.5</v>
      </c>
      <c r="G1045" s="427" t="s">
        <v>5989</v>
      </c>
      <c r="H1045" s="415" t="s">
        <v>748</v>
      </c>
      <c r="I1045" s="473" t="s">
        <v>1461</v>
      </c>
      <c r="J1045" s="415" t="s">
        <v>310</v>
      </c>
      <c r="K1045" s="415" t="s">
        <v>1220</v>
      </c>
      <c r="L1045" s="415" t="s">
        <v>1368</v>
      </c>
      <c r="M1045" s="415" t="s">
        <v>310</v>
      </c>
      <c r="N1045" s="414">
        <v>44792</v>
      </c>
      <c r="O1045" s="414" t="s">
        <v>400</v>
      </c>
      <c r="P1045" s="655">
        <f t="shared" si="48"/>
        <v>8</v>
      </c>
      <c r="Q1045" s="655">
        <f t="shared" si="49"/>
        <v>6</v>
      </c>
      <c r="R1045" s="695" t="str">
        <f t="shared" si="50"/>
        <v>Gastos_Gerais</v>
      </c>
      <c r="S1045" s="697" t="s">
        <v>310</v>
      </c>
      <c r="T1045" s="697" t="s">
        <v>310</v>
      </c>
    </row>
    <row r="1046" spans="1:20" ht="36" x14ac:dyDescent="0.2">
      <c r="A1046" s="432">
        <f>IF(B1046="","",COUNT('Diário 1º PA'!$A$4:$A$2635)+COUNT('Diário 2º PA'!$A$4:$A$3040)+ROW()-3)</f>
        <v>5142</v>
      </c>
      <c r="B1046" s="413">
        <v>44792</v>
      </c>
      <c r="C1046" s="431">
        <v>44743</v>
      </c>
      <c r="D1046" s="415" t="s">
        <v>271</v>
      </c>
      <c r="E1046" s="415" t="s">
        <v>453</v>
      </c>
      <c r="F1046" s="425">
        <v>545.6</v>
      </c>
      <c r="G1046" s="427" t="s">
        <v>5988</v>
      </c>
      <c r="H1046" s="415" t="s">
        <v>757</v>
      </c>
      <c r="I1046" s="473" t="s">
        <v>1461</v>
      </c>
      <c r="J1046" s="415" t="s">
        <v>310</v>
      </c>
      <c r="K1046" s="415" t="s">
        <v>1220</v>
      </c>
      <c r="L1046" s="415" t="s">
        <v>1368</v>
      </c>
      <c r="M1046" s="415" t="s">
        <v>310</v>
      </c>
      <c r="N1046" s="414">
        <v>44792</v>
      </c>
      <c r="O1046" s="414" t="s">
        <v>400</v>
      </c>
      <c r="P1046" s="655">
        <f t="shared" si="48"/>
        <v>8</v>
      </c>
      <c r="Q1046" s="655">
        <f t="shared" si="49"/>
        <v>7</v>
      </c>
      <c r="R1046" s="695" t="str">
        <f t="shared" si="50"/>
        <v>Gastos_Gerais</v>
      </c>
      <c r="S1046" s="697" t="s">
        <v>310</v>
      </c>
      <c r="T1046" s="697" t="s">
        <v>310</v>
      </c>
    </row>
    <row r="1047" spans="1:20" ht="36" x14ac:dyDescent="0.2">
      <c r="A1047" s="432">
        <f>IF(B1047="","",COUNT('Diário 1º PA'!$A$4:$A$2635)+COUNT('Diário 2º PA'!$A$4:$A$3040)+ROW()-3)</f>
        <v>5143</v>
      </c>
      <c r="B1047" s="413">
        <v>44792</v>
      </c>
      <c r="C1047" s="424">
        <v>44743</v>
      </c>
      <c r="D1047" s="415" t="s">
        <v>182</v>
      </c>
      <c r="E1047" s="415" t="s">
        <v>1</v>
      </c>
      <c r="F1047" s="425">
        <v>4177.7700000000004</v>
      </c>
      <c r="G1047" s="427" t="s">
        <v>6677</v>
      </c>
      <c r="H1047" s="415" t="s">
        <v>310</v>
      </c>
      <c r="I1047" s="473" t="s">
        <v>795</v>
      </c>
      <c r="J1047" s="415" t="s">
        <v>796</v>
      </c>
      <c r="K1047" s="419" t="s">
        <v>806</v>
      </c>
      <c r="L1047" s="415" t="s">
        <v>798</v>
      </c>
      <c r="M1047" s="415" t="s">
        <v>310</v>
      </c>
      <c r="N1047" s="414">
        <v>44792</v>
      </c>
      <c r="O1047" s="414" t="s">
        <v>400</v>
      </c>
      <c r="P1047" s="655">
        <f t="shared" si="48"/>
        <v>8</v>
      </c>
      <c r="Q1047" s="655">
        <f t="shared" si="49"/>
        <v>7</v>
      </c>
      <c r="R1047" s="695" t="str">
        <f t="shared" si="50"/>
        <v>Gastos_com_Pessoal</v>
      </c>
      <c r="S1047" s="697" t="s">
        <v>310</v>
      </c>
      <c r="T1047" s="697" t="s">
        <v>310</v>
      </c>
    </row>
    <row r="1048" spans="1:20" ht="36" x14ac:dyDescent="0.2">
      <c r="A1048" s="432">
        <f>IF(B1048="","",COUNT('Diário 1º PA'!$A$4:$A$2635)+COUNT('Diário 2º PA'!$A$4:$A$3040)+ROW()-3)</f>
        <v>5144</v>
      </c>
      <c r="B1048" s="413">
        <v>44792</v>
      </c>
      <c r="C1048" s="424">
        <v>44743</v>
      </c>
      <c r="D1048" s="415" t="s">
        <v>182</v>
      </c>
      <c r="E1048" s="415" t="s">
        <v>252</v>
      </c>
      <c r="F1048" s="425">
        <v>10862.72</v>
      </c>
      <c r="G1048" s="427" t="s">
        <v>6678</v>
      </c>
      <c r="H1048" s="415" t="s">
        <v>310</v>
      </c>
      <c r="I1048" s="473" t="s">
        <v>795</v>
      </c>
      <c r="J1048" s="415" t="s">
        <v>796</v>
      </c>
      <c r="K1048" s="419" t="s">
        <v>806</v>
      </c>
      <c r="L1048" s="415" t="s">
        <v>798</v>
      </c>
      <c r="M1048" s="415" t="s">
        <v>310</v>
      </c>
      <c r="N1048" s="414">
        <v>44792</v>
      </c>
      <c r="O1048" s="414" t="s">
        <v>400</v>
      </c>
      <c r="P1048" s="655">
        <f t="shared" si="48"/>
        <v>8</v>
      </c>
      <c r="Q1048" s="655">
        <f t="shared" si="49"/>
        <v>7</v>
      </c>
      <c r="R1048" s="695" t="str">
        <f t="shared" si="50"/>
        <v>Gastos_com_Pessoal</v>
      </c>
      <c r="S1048" s="697" t="s">
        <v>310</v>
      </c>
      <c r="T1048" s="697" t="s">
        <v>310</v>
      </c>
    </row>
    <row r="1049" spans="1:20" ht="36" x14ac:dyDescent="0.2">
      <c r="A1049" s="432">
        <f>IF(B1049="","",COUNT('Diário 1º PA'!$A$4:$A$2635)+COUNT('Diário 2º PA'!$A$4:$A$3040)+ROW()-3)</f>
        <v>5145</v>
      </c>
      <c r="B1049" s="413">
        <v>44792</v>
      </c>
      <c r="C1049" s="424">
        <v>44743</v>
      </c>
      <c r="D1049" s="415" t="s">
        <v>468</v>
      </c>
      <c r="E1049" s="415" t="s">
        <v>468</v>
      </c>
      <c r="F1049" s="425">
        <v>654.57000000000005</v>
      </c>
      <c r="G1049" s="427" t="s">
        <v>6691</v>
      </c>
      <c r="H1049" s="415" t="s">
        <v>468</v>
      </c>
      <c r="I1049" s="473" t="s">
        <v>795</v>
      </c>
      <c r="J1049" s="415" t="s">
        <v>796</v>
      </c>
      <c r="K1049" s="419" t="s">
        <v>806</v>
      </c>
      <c r="L1049" s="415" t="s">
        <v>798</v>
      </c>
      <c r="M1049" s="415" t="s">
        <v>310</v>
      </c>
      <c r="N1049" s="414">
        <v>44792</v>
      </c>
      <c r="O1049" s="414" t="s">
        <v>400</v>
      </c>
      <c r="P1049" s="655">
        <f t="shared" si="48"/>
        <v>8</v>
      </c>
      <c r="Q1049" s="655">
        <f t="shared" si="49"/>
        <v>7</v>
      </c>
      <c r="R1049" s="695" t="str">
        <f t="shared" si="50"/>
        <v>Gastos_custeados_por_captação</v>
      </c>
      <c r="S1049" s="697" t="s">
        <v>310</v>
      </c>
      <c r="T1049" s="697" t="s">
        <v>310</v>
      </c>
    </row>
    <row r="1050" spans="1:20" ht="24" x14ac:dyDescent="0.2">
      <c r="A1050" s="432">
        <f>IF(B1050="","",COUNT('Diário 1º PA'!$A$4:$A$2635)+COUNT('Diário 2º PA'!$A$4:$A$3040)+ROW()-3)</f>
        <v>5146</v>
      </c>
      <c r="B1050" s="413">
        <v>44792</v>
      </c>
      <c r="C1050" s="424">
        <v>44743</v>
      </c>
      <c r="D1050" s="415" t="s">
        <v>182</v>
      </c>
      <c r="E1050" s="415" t="s">
        <v>1</v>
      </c>
      <c r="F1050" s="425">
        <v>20099.36</v>
      </c>
      <c r="G1050" s="427" t="s">
        <v>6692</v>
      </c>
      <c r="H1050" s="415" t="s">
        <v>310</v>
      </c>
      <c r="I1050" s="473" t="s">
        <v>1461</v>
      </c>
      <c r="J1050" s="415" t="s">
        <v>310</v>
      </c>
      <c r="K1050" s="415" t="s">
        <v>1220</v>
      </c>
      <c r="L1050" s="415" t="s">
        <v>1368</v>
      </c>
      <c r="M1050" s="415" t="s">
        <v>310</v>
      </c>
      <c r="N1050" s="414">
        <v>44792</v>
      </c>
      <c r="O1050" s="414" t="s">
        <v>400</v>
      </c>
      <c r="P1050" s="655">
        <f t="shared" si="48"/>
        <v>8</v>
      </c>
      <c r="Q1050" s="655">
        <f t="shared" si="49"/>
        <v>7</v>
      </c>
      <c r="R1050" s="695" t="str">
        <f t="shared" si="50"/>
        <v>Gastos_com_Pessoal</v>
      </c>
      <c r="S1050" s="697" t="s">
        <v>310</v>
      </c>
      <c r="T1050" s="697" t="s">
        <v>310</v>
      </c>
    </row>
    <row r="1051" spans="1:20" ht="24" x14ac:dyDescent="0.2">
      <c r="A1051" s="432">
        <f>IF(B1051="","",COUNT('Diário 1º PA'!$A$4:$A$2635)+COUNT('Diário 2º PA'!$A$4:$A$3040)+ROW()-3)</f>
        <v>5147</v>
      </c>
      <c r="B1051" s="413">
        <v>44792</v>
      </c>
      <c r="C1051" s="424">
        <v>44743</v>
      </c>
      <c r="D1051" s="415" t="s">
        <v>182</v>
      </c>
      <c r="E1051" s="415" t="s">
        <v>252</v>
      </c>
      <c r="F1051" s="425">
        <v>63498.74</v>
      </c>
      <c r="G1051" s="427" t="s">
        <v>6693</v>
      </c>
      <c r="H1051" s="415" t="s">
        <v>310</v>
      </c>
      <c r="I1051" s="473" t="s">
        <v>1461</v>
      </c>
      <c r="J1051" s="415" t="s">
        <v>310</v>
      </c>
      <c r="K1051" s="415" t="s">
        <v>1220</v>
      </c>
      <c r="L1051" s="415" t="s">
        <v>1368</v>
      </c>
      <c r="M1051" s="415" t="s">
        <v>310</v>
      </c>
      <c r="N1051" s="414">
        <v>44792</v>
      </c>
      <c r="O1051" s="414" t="s">
        <v>400</v>
      </c>
      <c r="P1051" s="655">
        <f t="shared" si="48"/>
        <v>8</v>
      </c>
      <c r="Q1051" s="655">
        <f t="shared" si="49"/>
        <v>7</v>
      </c>
      <c r="R1051" s="695" t="str">
        <f t="shared" si="50"/>
        <v>Gastos_com_Pessoal</v>
      </c>
      <c r="S1051" s="697" t="s">
        <v>310</v>
      </c>
      <c r="T1051" s="697" t="s">
        <v>310</v>
      </c>
    </row>
    <row r="1052" spans="1:20" ht="36" x14ac:dyDescent="0.2">
      <c r="A1052" s="432">
        <f>IF(B1052="","",COUNT('Diário 1º PA'!$A$4:$A$2635)+COUNT('Diário 2º PA'!$A$4:$A$3040)+ROW()-3)</f>
        <v>5148</v>
      </c>
      <c r="B1052" s="413">
        <v>44792</v>
      </c>
      <c r="C1052" s="424">
        <v>44743</v>
      </c>
      <c r="D1052" s="415" t="s">
        <v>468</v>
      </c>
      <c r="E1052" s="415" t="s">
        <v>468</v>
      </c>
      <c r="F1052" s="425">
        <v>4529.09</v>
      </c>
      <c r="G1052" s="427" t="s">
        <v>6694</v>
      </c>
      <c r="H1052" s="415" t="s">
        <v>468</v>
      </c>
      <c r="I1052" s="427" t="s">
        <v>795</v>
      </c>
      <c r="J1052" s="415" t="s">
        <v>796</v>
      </c>
      <c r="K1052" s="419" t="s">
        <v>806</v>
      </c>
      <c r="L1052" s="415" t="s">
        <v>798</v>
      </c>
      <c r="M1052" s="415" t="s">
        <v>310</v>
      </c>
      <c r="N1052" s="414">
        <v>44792</v>
      </c>
      <c r="O1052" s="414" t="s">
        <v>400</v>
      </c>
      <c r="P1052" s="655">
        <f t="shared" si="48"/>
        <v>8</v>
      </c>
      <c r="Q1052" s="655">
        <f t="shared" si="49"/>
        <v>7</v>
      </c>
      <c r="R1052" s="695" t="str">
        <f t="shared" si="50"/>
        <v>Gastos_custeados_por_captação</v>
      </c>
      <c r="S1052" s="697" t="s">
        <v>310</v>
      </c>
      <c r="T1052" s="697" t="s">
        <v>310</v>
      </c>
    </row>
    <row r="1053" spans="1:20" ht="36" x14ac:dyDescent="0.2">
      <c r="A1053" s="432">
        <f>IF(B1053="","",COUNT('Diário 1º PA'!$A$4:$A$2635)+COUNT('Diário 2º PA'!$A$4:$A$3040)+ROW()-3)</f>
        <v>5149</v>
      </c>
      <c r="B1053" s="413">
        <v>44792</v>
      </c>
      <c r="C1053" s="424">
        <v>44743</v>
      </c>
      <c r="D1053" s="415" t="s">
        <v>468</v>
      </c>
      <c r="E1053" s="415" t="s">
        <v>468</v>
      </c>
      <c r="F1053" s="425">
        <v>731.6</v>
      </c>
      <c r="G1053" s="427" t="s">
        <v>6695</v>
      </c>
      <c r="H1053" s="415" t="s">
        <v>468</v>
      </c>
      <c r="I1053" s="427" t="s">
        <v>795</v>
      </c>
      <c r="J1053" s="415" t="s">
        <v>796</v>
      </c>
      <c r="K1053" s="419" t="s">
        <v>806</v>
      </c>
      <c r="L1053" s="415" t="s">
        <v>798</v>
      </c>
      <c r="M1053" s="415" t="s">
        <v>310</v>
      </c>
      <c r="N1053" s="414">
        <v>44792</v>
      </c>
      <c r="O1053" s="414" t="s">
        <v>400</v>
      </c>
      <c r="P1053" s="655">
        <f t="shared" si="48"/>
        <v>8</v>
      </c>
      <c r="Q1053" s="655">
        <f t="shared" si="49"/>
        <v>7</v>
      </c>
      <c r="R1053" s="695" t="str">
        <f t="shared" si="50"/>
        <v>Gastos_custeados_por_captação</v>
      </c>
      <c r="S1053" s="697" t="s">
        <v>310</v>
      </c>
      <c r="T1053" s="697" t="s">
        <v>310</v>
      </c>
    </row>
    <row r="1054" spans="1:20" ht="36" x14ac:dyDescent="0.2">
      <c r="A1054" s="432">
        <f>IF(B1054="","",COUNT('Diário 1º PA'!$A$4:$A$2635)+COUNT('Diário 2º PA'!$A$4:$A$3040)+ROW()-3)</f>
        <v>5150</v>
      </c>
      <c r="B1054" s="413">
        <v>44792</v>
      </c>
      <c r="C1054" s="424">
        <v>44743</v>
      </c>
      <c r="D1054" s="415" t="s">
        <v>468</v>
      </c>
      <c r="E1054" s="415" t="s">
        <v>468</v>
      </c>
      <c r="F1054" s="425">
        <v>1478.08</v>
      </c>
      <c r="G1054" s="427" t="s">
        <v>6696</v>
      </c>
      <c r="H1054" s="415" t="s">
        <v>468</v>
      </c>
      <c r="I1054" s="427" t="s">
        <v>795</v>
      </c>
      <c r="J1054" s="415" t="s">
        <v>796</v>
      </c>
      <c r="K1054" s="419" t="s">
        <v>806</v>
      </c>
      <c r="L1054" s="415" t="s">
        <v>798</v>
      </c>
      <c r="M1054" s="415" t="s">
        <v>310</v>
      </c>
      <c r="N1054" s="414">
        <v>44792</v>
      </c>
      <c r="O1054" s="414" t="s">
        <v>400</v>
      </c>
      <c r="P1054" s="655">
        <f t="shared" si="48"/>
        <v>8</v>
      </c>
      <c r="Q1054" s="655">
        <f t="shared" si="49"/>
        <v>7</v>
      </c>
      <c r="R1054" s="695" t="str">
        <f t="shared" si="50"/>
        <v>Gastos_custeados_por_captação</v>
      </c>
      <c r="S1054" s="697" t="s">
        <v>310</v>
      </c>
      <c r="T1054" s="697" t="s">
        <v>310</v>
      </c>
    </row>
    <row r="1055" spans="1:20" ht="36" x14ac:dyDescent="0.2">
      <c r="A1055" s="432">
        <f>IF(B1055="","",COUNT('Diário 1º PA'!$A$4:$A$2635)+COUNT('Diário 2º PA'!$A$4:$A$3040)+ROW()-3)</f>
        <v>5151</v>
      </c>
      <c r="B1055" s="413">
        <v>44792</v>
      </c>
      <c r="C1055" s="424">
        <v>44743</v>
      </c>
      <c r="D1055" s="415" t="s">
        <v>468</v>
      </c>
      <c r="E1055" s="415" t="s">
        <v>468</v>
      </c>
      <c r="F1055" s="425">
        <v>4727.5</v>
      </c>
      <c r="G1055" s="427" t="s">
        <v>6697</v>
      </c>
      <c r="H1055" s="415" t="s">
        <v>468</v>
      </c>
      <c r="I1055" s="473" t="s">
        <v>795</v>
      </c>
      <c r="J1055" s="415" t="s">
        <v>796</v>
      </c>
      <c r="K1055" s="419" t="s">
        <v>806</v>
      </c>
      <c r="L1055" s="415" t="s">
        <v>798</v>
      </c>
      <c r="M1055" s="415" t="s">
        <v>310</v>
      </c>
      <c r="N1055" s="413">
        <v>44792</v>
      </c>
      <c r="O1055" s="414" t="s">
        <v>400</v>
      </c>
      <c r="P1055" s="655">
        <f t="shared" si="48"/>
        <v>8</v>
      </c>
      <c r="Q1055" s="655">
        <f t="shared" si="49"/>
        <v>7</v>
      </c>
      <c r="R1055" s="695" t="str">
        <f t="shared" si="50"/>
        <v>Gastos_custeados_por_captação</v>
      </c>
      <c r="S1055" s="697" t="s">
        <v>310</v>
      </c>
      <c r="T1055" s="697" t="s">
        <v>310</v>
      </c>
    </row>
    <row r="1056" spans="1:20" ht="36" x14ac:dyDescent="0.2">
      <c r="A1056" s="432">
        <f>IF(B1056="","",COUNT('Diário 1º PA'!$A$4:$A$2635)+COUNT('Diário 2º PA'!$A$4:$A$3040)+ROW()-3)</f>
        <v>5152</v>
      </c>
      <c r="B1056" s="413">
        <v>44792</v>
      </c>
      <c r="C1056" s="431">
        <v>44743</v>
      </c>
      <c r="D1056" s="415" t="s">
        <v>468</v>
      </c>
      <c r="E1056" s="415" t="s">
        <v>468</v>
      </c>
      <c r="F1056" s="422">
        <v>4749.59</v>
      </c>
      <c r="G1056" s="427" t="s">
        <v>6698</v>
      </c>
      <c r="H1056" s="415" t="s">
        <v>468</v>
      </c>
      <c r="I1056" s="473" t="s">
        <v>795</v>
      </c>
      <c r="J1056" s="415" t="s">
        <v>796</v>
      </c>
      <c r="K1056" s="419" t="s">
        <v>806</v>
      </c>
      <c r="L1056" s="415" t="s">
        <v>798</v>
      </c>
      <c r="M1056" s="415" t="s">
        <v>310</v>
      </c>
      <c r="N1056" s="413">
        <v>44792</v>
      </c>
      <c r="O1056" s="414" t="s">
        <v>400</v>
      </c>
      <c r="P1056" s="655">
        <f t="shared" si="48"/>
        <v>8</v>
      </c>
      <c r="Q1056" s="655">
        <f t="shared" si="49"/>
        <v>7</v>
      </c>
      <c r="R1056" s="695" t="str">
        <f t="shared" si="50"/>
        <v>Gastos_custeados_por_captação</v>
      </c>
      <c r="S1056" s="697" t="s">
        <v>310</v>
      </c>
      <c r="T1056" s="697" t="s">
        <v>310</v>
      </c>
    </row>
    <row r="1057" spans="1:20" ht="36" x14ac:dyDescent="0.2">
      <c r="A1057" s="432">
        <f>IF(B1057="","",COUNT('Diário 1º PA'!$A$4:$A$2635)+COUNT('Diário 2º PA'!$A$4:$A$3040)+ROW()-3)</f>
        <v>5153</v>
      </c>
      <c r="B1057" s="413">
        <v>44792</v>
      </c>
      <c r="C1057" s="431">
        <v>44743</v>
      </c>
      <c r="D1057" s="415" t="s">
        <v>468</v>
      </c>
      <c r="E1057" s="415" t="s">
        <v>468</v>
      </c>
      <c r="F1057" s="422">
        <v>4185</v>
      </c>
      <c r="G1057" s="427" t="s">
        <v>6699</v>
      </c>
      <c r="H1057" s="415" t="s">
        <v>468</v>
      </c>
      <c r="I1057" s="473" t="s">
        <v>795</v>
      </c>
      <c r="J1057" s="415" t="s">
        <v>796</v>
      </c>
      <c r="K1057" s="415" t="s">
        <v>797</v>
      </c>
      <c r="L1057" s="415" t="s">
        <v>798</v>
      </c>
      <c r="M1057" s="415" t="s">
        <v>310</v>
      </c>
      <c r="N1057" s="413">
        <v>44792</v>
      </c>
      <c r="O1057" s="414" t="s">
        <v>400</v>
      </c>
      <c r="P1057" s="655">
        <f t="shared" si="48"/>
        <v>8</v>
      </c>
      <c r="Q1057" s="655">
        <f t="shared" si="49"/>
        <v>7</v>
      </c>
      <c r="R1057" s="695" t="str">
        <f t="shared" si="50"/>
        <v>Gastos_custeados_por_captação</v>
      </c>
      <c r="S1057" s="697" t="s">
        <v>310</v>
      </c>
      <c r="T1057" s="697" t="s">
        <v>310</v>
      </c>
    </row>
    <row r="1058" spans="1:20" ht="36" x14ac:dyDescent="0.2">
      <c r="A1058" s="432">
        <f>IF(B1058="","",COUNT('Diário 1º PA'!$A$4:$A$2635)+COUNT('Diário 2º PA'!$A$4:$A$3040)+ROW()-3)</f>
        <v>5154</v>
      </c>
      <c r="B1058" s="413">
        <v>44792</v>
      </c>
      <c r="C1058" s="431">
        <v>44743</v>
      </c>
      <c r="D1058" s="415" t="s">
        <v>468</v>
      </c>
      <c r="E1058" s="415" t="s">
        <v>468</v>
      </c>
      <c r="F1058" s="422">
        <v>3255</v>
      </c>
      <c r="G1058" s="427" t="s">
        <v>6701</v>
      </c>
      <c r="H1058" s="415" t="s">
        <v>468</v>
      </c>
      <c r="I1058" s="473" t="s">
        <v>795</v>
      </c>
      <c r="J1058" s="415" t="s">
        <v>796</v>
      </c>
      <c r="K1058" s="415" t="s">
        <v>797</v>
      </c>
      <c r="L1058" s="415" t="s">
        <v>798</v>
      </c>
      <c r="M1058" s="415" t="s">
        <v>310</v>
      </c>
      <c r="N1058" s="413">
        <v>44792</v>
      </c>
      <c r="O1058" s="414" t="s">
        <v>400</v>
      </c>
      <c r="P1058" s="655">
        <f t="shared" si="48"/>
        <v>8</v>
      </c>
      <c r="Q1058" s="655">
        <f t="shared" si="49"/>
        <v>7</v>
      </c>
      <c r="R1058" s="695" t="str">
        <f t="shared" si="50"/>
        <v>Gastos_custeados_por_captação</v>
      </c>
      <c r="S1058" s="697" t="s">
        <v>310</v>
      </c>
      <c r="T1058" s="697" t="s">
        <v>310</v>
      </c>
    </row>
    <row r="1059" spans="1:20" ht="36" x14ac:dyDescent="0.2">
      <c r="A1059" s="432">
        <f>IF(B1059="","",COUNT('Diário 1º PA'!$A$4:$A$2635)+COUNT('Diário 2º PA'!$A$4:$A$3040)+ROW()-3)</f>
        <v>5155</v>
      </c>
      <c r="B1059" s="413">
        <v>44792</v>
      </c>
      <c r="C1059" s="431">
        <v>44743</v>
      </c>
      <c r="D1059" s="415" t="s">
        <v>468</v>
      </c>
      <c r="E1059" s="415" t="s">
        <v>468</v>
      </c>
      <c r="F1059" s="686">
        <v>4841.16</v>
      </c>
      <c r="G1059" s="427" t="s">
        <v>6702</v>
      </c>
      <c r="H1059" s="415" t="s">
        <v>468</v>
      </c>
      <c r="I1059" s="473" t="s">
        <v>795</v>
      </c>
      <c r="J1059" s="415" t="s">
        <v>796</v>
      </c>
      <c r="K1059" s="415" t="s">
        <v>797</v>
      </c>
      <c r="L1059" s="415" t="s">
        <v>798</v>
      </c>
      <c r="M1059" s="415" t="s">
        <v>310</v>
      </c>
      <c r="N1059" s="413">
        <v>44792</v>
      </c>
      <c r="O1059" s="414" t="s">
        <v>400</v>
      </c>
      <c r="P1059" s="655">
        <f t="shared" si="48"/>
        <v>8</v>
      </c>
      <c r="Q1059" s="655">
        <f t="shared" si="49"/>
        <v>7</v>
      </c>
      <c r="R1059" s="695" t="str">
        <f t="shared" si="50"/>
        <v>Gastos_custeados_por_captação</v>
      </c>
      <c r="S1059" s="697" t="s">
        <v>310</v>
      </c>
      <c r="T1059" s="697" t="s">
        <v>310</v>
      </c>
    </row>
    <row r="1060" spans="1:20" ht="36" x14ac:dyDescent="0.2">
      <c r="A1060" s="432">
        <f>IF(B1060="","",COUNT('Diário 1º PA'!$A$4:$A$2635)+COUNT('Diário 2º PA'!$A$4:$A$3040)+ROW()-3)</f>
        <v>5156</v>
      </c>
      <c r="B1060" s="413">
        <v>44792</v>
      </c>
      <c r="C1060" s="431">
        <v>44743</v>
      </c>
      <c r="D1060" s="415" t="s">
        <v>468</v>
      </c>
      <c r="E1060" s="415" t="s">
        <v>468</v>
      </c>
      <c r="F1060" s="686">
        <v>7536.1</v>
      </c>
      <c r="G1060" s="427" t="s">
        <v>6703</v>
      </c>
      <c r="H1060" s="415" t="s">
        <v>468</v>
      </c>
      <c r="I1060" s="473" t="s">
        <v>795</v>
      </c>
      <c r="J1060" s="415" t="s">
        <v>796</v>
      </c>
      <c r="K1060" s="415" t="s">
        <v>797</v>
      </c>
      <c r="L1060" s="415" t="s">
        <v>798</v>
      </c>
      <c r="M1060" s="415" t="s">
        <v>310</v>
      </c>
      <c r="N1060" s="413">
        <v>44792</v>
      </c>
      <c r="O1060" s="414" t="s">
        <v>400</v>
      </c>
      <c r="P1060" s="655">
        <f t="shared" si="48"/>
        <v>8</v>
      </c>
      <c r="Q1060" s="655">
        <f t="shared" si="49"/>
        <v>7</v>
      </c>
      <c r="R1060" s="695" t="str">
        <f t="shared" si="50"/>
        <v>Gastos_custeados_por_captação</v>
      </c>
      <c r="S1060" s="697" t="s">
        <v>310</v>
      </c>
      <c r="T1060" s="697" t="s">
        <v>310</v>
      </c>
    </row>
    <row r="1061" spans="1:20" ht="36" x14ac:dyDescent="0.2">
      <c r="A1061" s="432">
        <f>IF(B1061="","",COUNT('Diário 1º PA'!$A$4:$A$2635)+COUNT('Diário 2º PA'!$A$4:$A$3040)+ROW()-3)</f>
        <v>5157</v>
      </c>
      <c r="B1061" s="413">
        <v>44792</v>
      </c>
      <c r="C1061" s="424">
        <v>44743</v>
      </c>
      <c r="D1061" s="415" t="s">
        <v>271</v>
      </c>
      <c r="E1061" s="415" t="s">
        <v>90</v>
      </c>
      <c r="F1061" s="686">
        <v>1714.61</v>
      </c>
      <c r="G1061" s="427" t="s">
        <v>6706</v>
      </c>
      <c r="H1061" s="415" t="s">
        <v>310</v>
      </c>
      <c r="I1061" s="473" t="s">
        <v>795</v>
      </c>
      <c r="J1061" s="415" t="s">
        <v>796</v>
      </c>
      <c r="K1061" s="419" t="s">
        <v>806</v>
      </c>
      <c r="L1061" s="415" t="s">
        <v>798</v>
      </c>
      <c r="M1061" s="415" t="s">
        <v>310</v>
      </c>
      <c r="N1061" s="414">
        <v>44762</v>
      </c>
      <c r="O1061" s="414" t="s">
        <v>400</v>
      </c>
      <c r="P1061" s="655">
        <f t="shared" si="48"/>
        <v>8</v>
      </c>
      <c r="Q1061" s="655">
        <f t="shared" si="49"/>
        <v>7</v>
      </c>
      <c r="R1061" s="695" t="str">
        <f t="shared" si="50"/>
        <v>Gastos_Gerais</v>
      </c>
      <c r="S1061" s="697" t="s">
        <v>310</v>
      </c>
      <c r="T1061" s="697" t="s">
        <v>310</v>
      </c>
    </row>
    <row r="1062" spans="1:20" ht="36" x14ac:dyDescent="0.2">
      <c r="A1062" s="432">
        <f>IF(B1062="","",COUNT('Diário 1º PA'!$A$4:$A$2635)+COUNT('Diário 2º PA'!$A$4:$A$3040)+ROW()-3)</f>
        <v>5158</v>
      </c>
      <c r="B1062" s="413">
        <v>44792</v>
      </c>
      <c r="C1062" s="431">
        <v>44743</v>
      </c>
      <c r="D1062" s="415" t="s">
        <v>468</v>
      </c>
      <c r="E1062" s="415" t="s">
        <v>468</v>
      </c>
      <c r="F1062" s="425">
        <v>3162</v>
      </c>
      <c r="G1062" s="427" t="s">
        <v>6707</v>
      </c>
      <c r="H1062" s="415" t="s">
        <v>468</v>
      </c>
      <c r="I1062" s="427" t="s">
        <v>795</v>
      </c>
      <c r="J1062" s="415" t="s">
        <v>796</v>
      </c>
      <c r="K1062" s="415" t="s">
        <v>797</v>
      </c>
      <c r="L1062" s="415" t="s">
        <v>798</v>
      </c>
      <c r="M1062" s="415" t="s">
        <v>310</v>
      </c>
      <c r="N1062" s="413">
        <v>44792</v>
      </c>
      <c r="O1062" s="414" t="s">
        <v>400</v>
      </c>
      <c r="P1062" s="655">
        <f t="shared" si="48"/>
        <v>8</v>
      </c>
      <c r="Q1062" s="655">
        <f t="shared" si="49"/>
        <v>7</v>
      </c>
      <c r="R1062" s="695" t="str">
        <f t="shared" si="50"/>
        <v>Gastos_custeados_por_captação</v>
      </c>
      <c r="S1062" s="697" t="s">
        <v>310</v>
      </c>
      <c r="T1062" s="697" t="s">
        <v>310</v>
      </c>
    </row>
    <row r="1063" spans="1:20" ht="36" x14ac:dyDescent="0.2">
      <c r="A1063" s="432">
        <f>IF(B1063="","",COUNT('Diário 1º PA'!$A$4:$A$2635)+COUNT('Diário 2º PA'!$A$4:$A$3040)+ROW()-3)</f>
        <v>5159</v>
      </c>
      <c r="B1063" s="413">
        <v>44792</v>
      </c>
      <c r="C1063" s="431">
        <v>44774</v>
      </c>
      <c r="D1063" s="415" t="s">
        <v>271</v>
      </c>
      <c r="E1063" s="415" t="s">
        <v>71</v>
      </c>
      <c r="F1063" s="425">
        <v>11</v>
      </c>
      <c r="G1063" s="427" t="s">
        <v>6704</v>
      </c>
      <c r="H1063" s="415" t="s">
        <v>758</v>
      </c>
      <c r="I1063" s="398" t="s">
        <v>881</v>
      </c>
      <c r="J1063" s="418" t="s">
        <v>882</v>
      </c>
      <c r="K1063" s="418" t="s">
        <v>883</v>
      </c>
      <c r="L1063" s="399" t="s">
        <v>798</v>
      </c>
      <c r="M1063" s="544" t="s">
        <v>310</v>
      </c>
      <c r="N1063" s="413">
        <v>44792</v>
      </c>
      <c r="O1063" s="414" t="s">
        <v>400</v>
      </c>
      <c r="P1063" s="655">
        <f t="shared" si="48"/>
        <v>8</v>
      </c>
      <c r="Q1063" s="655">
        <f t="shared" si="49"/>
        <v>8</v>
      </c>
      <c r="R1063" s="695" t="str">
        <f t="shared" si="50"/>
        <v>Gastos_Gerais</v>
      </c>
      <c r="S1063" s="697" t="s">
        <v>310</v>
      </c>
      <c r="T1063" s="697" t="s">
        <v>310</v>
      </c>
    </row>
    <row r="1064" spans="1:20" ht="36" x14ac:dyDescent="0.2">
      <c r="A1064" s="432">
        <f>IF(B1064="","",COUNT('Diário 1º PA'!$A$4:$A$2635)+COUNT('Diário 2º PA'!$A$4:$A$3040)+ROW()-3)</f>
        <v>5160</v>
      </c>
      <c r="B1064" s="413">
        <v>44792</v>
      </c>
      <c r="C1064" s="431">
        <v>44774</v>
      </c>
      <c r="D1064" s="415" t="s">
        <v>271</v>
      </c>
      <c r="E1064" s="415" t="s">
        <v>71</v>
      </c>
      <c r="F1064" s="425">
        <v>11</v>
      </c>
      <c r="G1064" s="427" t="s">
        <v>6705</v>
      </c>
      <c r="H1064" s="415" t="s">
        <v>755</v>
      </c>
      <c r="I1064" s="398" t="s">
        <v>881</v>
      </c>
      <c r="J1064" s="418" t="s">
        <v>882</v>
      </c>
      <c r="K1064" s="418" t="s">
        <v>883</v>
      </c>
      <c r="L1064" s="399" t="s">
        <v>798</v>
      </c>
      <c r="M1064" s="544" t="s">
        <v>310</v>
      </c>
      <c r="N1064" s="413">
        <v>44792</v>
      </c>
      <c r="O1064" s="414" t="s">
        <v>400</v>
      </c>
      <c r="P1064" s="655">
        <f t="shared" si="48"/>
        <v>8</v>
      </c>
      <c r="Q1064" s="655">
        <f t="shared" si="49"/>
        <v>8</v>
      </c>
      <c r="R1064" s="695" t="str">
        <f t="shared" si="50"/>
        <v>Gastos_Gerais</v>
      </c>
      <c r="S1064" s="697" t="s">
        <v>310</v>
      </c>
      <c r="T1064" s="697" t="s">
        <v>310</v>
      </c>
    </row>
    <row r="1065" spans="1:20" ht="48" x14ac:dyDescent="0.2">
      <c r="A1065" s="432">
        <f>IF(B1065="","",COUNT('Diário 1º PA'!$A$4:$A$2635)+COUNT('Diário 2º PA'!$A$4:$A$3040)+ROW()-3)</f>
        <v>5161</v>
      </c>
      <c r="B1065" s="413">
        <v>44792</v>
      </c>
      <c r="C1065" s="431">
        <v>44713</v>
      </c>
      <c r="D1065" s="415" t="s">
        <v>468</v>
      </c>
      <c r="E1065" s="415" t="s">
        <v>468</v>
      </c>
      <c r="F1065" s="425">
        <v>930</v>
      </c>
      <c r="G1065" s="427" t="s">
        <v>8472</v>
      </c>
      <c r="H1065" s="415" t="s">
        <v>468</v>
      </c>
      <c r="I1065" s="474" t="s">
        <v>2437</v>
      </c>
      <c r="J1065" s="434" t="s">
        <v>796</v>
      </c>
      <c r="K1065" s="434" t="s">
        <v>806</v>
      </c>
      <c r="L1065" s="434" t="s">
        <v>798</v>
      </c>
      <c r="M1065" s="436" t="s">
        <v>310</v>
      </c>
      <c r="N1065" s="413">
        <v>44792</v>
      </c>
      <c r="O1065" s="414" t="s">
        <v>3762</v>
      </c>
      <c r="P1065" s="655">
        <f t="shared" si="48"/>
        <v>8</v>
      </c>
      <c r="Q1065" s="655">
        <f t="shared" si="49"/>
        <v>6</v>
      </c>
      <c r="R1065" s="695" t="str">
        <f t="shared" si="50"/>
        <v>Gastos_custeados_por_captação</v>
      </c>
      <c r="S1065" s="697" t="s">
        <v>310</v>
      </c>
      <c r="T1065" s="697" t="s">
        <v>310</v>
      </c>
    </row>
    <row r="1066" spans="1:20" ht="60" x14ac:dyDescent="0.2">
      <c r="A1066" s="432">
        <f>IF(B1066="","",COUNT('Diário 1º PA'!$A$4:$A$2635)+COUNT('Diário 2º PA'!$A$4:$A$3040)+ROW()-3)</f>
        <v>5162</v>
      </c>
      <c r="B1066" s="413">
        <v>44792</v>
      </c>
      <c r="C1066" s="431">
        <v>44713</v>
      </c>
      <c r="D1066" s="415" t="s">
        <v>468</v>
      </c>
      <c r="E1066" s="415" t="s">
        <v>468</v>
      </c>
      <c r="F1066" s="425">
        <v>852.5</v>
      </c>
      <c r="G1066" s="427" t="s">
        <v>8473</v>
      </c>
      <c r="H1066" s="415" t="s">
        <v>468</v>
      </c>
      <c r="I1066" s="474" t="s">
        <v>2437</v>
      </c>
      <c r="J1066" s="434" t="s">
        <v>796</v>
      </c>
      <c r="K1066" s="434" t="s">
        <v>806</v>
      </c>
      <c r="L1066" s="434" t="s">
        <v>798</v>
      </c>
      <c r="M1066" s="436" t="s">
        <v>310</v>
      </c>
      <c r="N1066" s="413">
        <v>44792</v>
      </c>
      <c r="O1066" s="414" t="s">
        <v>3762</v>
      </c>
      <c r="P1066" s="655">
        <f t="shared" si="48"/>
        <v>8</v>
      </c>
      <c r="Q1066" s="655">
        <f t="shared" si="49"/>
        <v>6</v>
      </c>
      <c r="R1066" s="695" t="str">
        <f t="shared" si="50"/>
        <v>Gastos_custeados_por_captação</v>
      </c>
      <c r="S1066" s="697" t="s">
        <v>310</v>
      </c>
      <c r="T1066" s="697" t="s">
        <v>310</v>
      </c>
    </row>
    <row r="1067" spans="1:20" ht="60" x14ac:dyDescent="0.2">
      <c r="A1067" s="432">
        <f>IF(B1067="","",COUNT('Diário 1º PA'!$A$4:$A$2635)+COUNT('Diário 2º PA'!$A$4:$A$3040)+ROW()-3)</f>
        <v>5163</v>
      </c>
      <c r="B1067" s="413">
        <v>44792</v>
      </c>
      <c r="C1067" s="431">
        <v>44743</v>
      </c>
      <c r="D1067" s="415" t="s">
        <v>468</v>
      </c>
      <c r="E1067" s="415" t="s">
        <v>468</v>
      </c>
      <c r="F1067" s="425">
        <v>142.6</v>
      </c>
      <c r="G1067" s="427" t="s">
        <v>8474</v>
      </c>
      <c r="H1067" s="415" t="s">
        <v>468</v>
      </c>
      <c r="I1067" s="474" t="s">
        <v>2437</v>
      </c>
      <c r="J1067" s="434" t="s">
        <v>796</v>
      </c>
      <c r="K1067" s="434" t="s">
        <v>806</v>
      </c>
      <c r="L1067" s="434" t="s">
        <v>798</v>
      </c>
      <c r="M1067" s="436" t="s">
        <v>310</v>
      </c>
      <c r="N1067" s="413">
        <v>44792</v>
      </c>
      <c r="O1067" s="414" t="s">
        <v>3762</v>
      </c>
      <c r="P1067" s="655">
        <f t="shared" si="48"/>
        <v>8</v>
      </c>
      <c r="Q1067" s="655">
        <f t="shared" si="49"/>
        <v>7</v>
      </c>
      <c r="R1067" s="695" t="str">
        <f t="shared" si="50"/>
        <v>Gastos_custeados_por_captação</v>
      </c>
      <c r="S1067" s="697" t="s">
        <v>310</v>
      </c>
      <c r="T1067" s="697" t="s">
        <v>310</v>
      </c>
    </row>
    <row r="1068" spans="1:20" ht="48" x14ac:dyDescent="0.2">
      <c r="A1068" s="432">
        <f>IF(B1068="","",COUNT('Diário 1º PA'!$A$4:$A$2635)+COUNT('Diário 2º PA'!$A$4:$A$3040)+ROW()-3)</f>
        <v>5164</v>
      </c>
      <c r="B1068" s="413">
        <v>44792</v>
      </c>
      <c r="C1068" s="431">
        <v>44713</v>
      </c>
      <c r="D1068" s="415" t="s">
        <v>468</v>
      </c>
      <c r="E1068" s="415" t="s">
        <v>468</v>
      </c>
      <c r="F1068" s="425">
        <v>930</v>
      </c>
      <c r="G1068" s="427" t="s">
        <v>8475</v>
      </c>
      <c r="H1068" s="415" t="s">
        <v>468</v>
      </c>
      <c r="I1068" s="474" t="s">
        <v>2437</v>
      </c>
      <c r="J1068" s="434" t="s">
        <v>796</v>
      </c>
      <c r="K1068" s="434" t="s">
        <v>806</v>
      </c>
      <c r="L1068" s="434" t="s">
        <v>798</v>
      </c>
      <c r="M1068" s="436" t="s">
        <v>310</v>
      </c>
      <c r="N1068" s="413">
        <v>44792</v>
      </c>
      <c r="O1068" s="414" t="s">
        <v>3762</v>
      </c>
      <c r="P1068" s="655">
        <f t="shared" si="48"/>
        <v>8</v>
      </c>
      <c r="Q1068" s="655">
        <f t="shared" si="49"/>
        <v>6</v>
      </c>
      <c r="R1068" s="695" t="str">
        <f t="shared" si="50"/>
        <v>Gastos_custeados_por_captação</v>
      </c>
      <c r="S1068" s="697" t="s">
        <v>310</v>
      </c>
      <c r="T1068" s="697" t="s">
        <v>310</v>
      </c>
    </row>
    <row r="1069" spans="1:20" ht="48" x14ac:dyDescent="0.2">
      <c r="A1069" s="432">
        <f>IF(B1069="","",COUNT('Diário 1º PA'!$A$4:$A$2635)+COUNT('Diário 2º PA'!$A$4:$A$3040)+ROW()-3)</f>
        <v>5165</v>
      </c>
      <c r="B1069" s="413">
        <v>44792</v>
      </c>
      <c r="C1069" s="431">
        <v>44713</v>
      </c>
      <c r="D1069" s="415" t="s">
        <v>468</v>
      </c>
      <c r="E1069" s="415" t="s">
        <v>468</v>
      </c>
      <c r="F1069" s="425">
        <v>620</v>
      </c>
      <c r="G1069" s="427" t="s">
        <v>8476</v>
      </c>
      <c r="H1069" s="415" t="s">
        <v>468</v>
      </c>
      <c r="I1069" s="474" t="s">
        <v>2437</v>
      </c>
      <c r="J1069" s="434" t="s">
        <v>796</v>
      </c>
      <c r="K1069" s="434" t="s">
        <v>806</v>
      </c>
      <c r="L1069" s="434" t="s">
        <v>798</v>
      </c>
      <c r="M1069" s="436" t="s">
        <v>310</v>
      </c>
      <c r="N1069" s="413">
        <v>44792</v>
      </c>
      <c r="O1069" s="414" t="s">
        <v>3762</v>
      </c>
      <c r="P1069" s="655">
        <f t="shared" si="48"/>
        <v>8</v>
      </c>
      <c r="Q1069" s="655">
        <f t="shared" si="49"/>
        <v>6</v>
      </c>
      <c r="R1069" s="695" t="str">
        <f t="shared" si="50"/>
        <v>Gastos_custeados_por_captação</v>
      </c>
      <c r="S1069" s="697" t="s">
        <v>310</v>
      </c>
      <c r="T1069" s="697" t="s">
        <v>310</v>
      </c>
    </row>
    <row r="1070" spans="1:20" ht="48" x14ac:dyDescent="0.2">
      <c r="A1070" s="432">
        <f>IF(B1070="","",COUNT('Diário 1º PA'!$A$4:$A$2635)+COUNT('Diário 2º PA'!$A$4:$A$3040)+ROW()-3)</f>
        <v>5166</v>
      </c>
      <c r="B1070" s="413">
        <v>44792</v>
      </c>
      <c r="C1070" s="431">
        <v>44743</v>
      </c>
      <c r="D1070" s="415" t="s">
        <v>468</v>
      </c>
      <c r="E1070" s="415" t="s">
        <v>468</v>
      </c>
      <c r="F1070" s="425">
        <v>310</v>
      </c>
      <c r="G1070" s="427" t="s">
        <v>8477</v>
      </c>
      <c r="H1070" s="415" t="s">
        <v>468</v>
      </c>
      <c r="I1070" s="474" t="s">
        <v>2437</v>
      </c>
      <c r="J1070" s="434" t="s">
        <v>796</v>
      </c>
      <c r="K1070" s="434" t="s">
        <v>806</v>
      </c>
      <c r="L1070" s="434" t="s">
        <v>798</v>
      </c>
      <c r="M1070" s="436" t="s">
        <v>310</v>
      </c>
      <c r="N1070" s="413">
        <v>44792</v>
      </c>
      <c r="O1070" s="414" t="s">
        <v>3762</v>
      </c>
      <c r="P1070" s="655">
        <f t="shared" si="48"/>
        <v>8</v>
      </c>
      <c r="Q1070" s="655">
        <f t="shared" si="49"/>
        <v>7</v>
      </c>
      <c r="R1070" s="695" t="str">
        <f t="shared" si="50"/>
        <v>Gastos_custeados_por_captação</v>
      </c>
      <c r="S1070" s="697" t="s">
        <v>310</v>
      </c>
      <c r="T1070" s="697" t="s">
        <v>310</v>
      </c>
    </row>
    <row r="1071" spans="1:20" ht="48" x14ac:dyDescent="0.2">
      <c r="A1071" s="432">
        <f>IF(B1071="","",COUNT('Diário 1º PA'!$A$4:$A$2635)+COUNT('Diário 2º PA'!$A$4:$A$3040)+ROW()-3)</f>
        <v>5167</v>
      </c>
      <c r="B1071" s="413">
        <v>44792</v>
      </c>
      <c r="C1071" s="431">
        <v>44743</v>
      </c>
      <c r="D1071" s="415" t="s">
        <v>468</v>
      </c>
      <c r="E1071" s="415" t="s">
        <v>468</v>
      </c>
      <c r="F1071" s="425">
        <v>651</v>
      </c>
      <c r="G1071" s="427" t="s">
        <v>8478</v>
      </c>
      <c r="H1071" s="415" t="s">
        <v>468</v>
      </c>
      <c r="I1071" s="474" t="s">
        <v>2437</v>
      </c>
      <c r="J1071" s="434" t="s">
        <v>796</v>
      </c>
      <c r="K1071" s="434" t="s">
        <v>806</v>
      </c>
      <c r="L1071" s="434" t="s">
        <v>798</v>
      </c>
      <c r="M1071" s="436" t="s">
        <v>310</v>
      </c>
      <c r="N1071" s="413">
        <v>44792</v>
      </c>
      <c r="O1071" s="414" t="s">
        <v>3762</v>
      </c>
      <c r="P1071" s="655">
        <f t="shared" si="48"/>
        <v>8</v>
      </c>
      <c r="Q1071" s="655">
        <f t="shared" si="49"/>
        <v>7</v>
      </c>
      <c r="R1071" s="695" t="str">
        <f t="shared" si="50"/>
        <v>Gastos_custeados_por_captação</v>
      </c>
      <c r="S1071" s="697" t="s">
        <v>310</v>
      </c>
      <c r="T1071" s="697" t="s">
        <v>310</v>
      </c>
    </row>
    <row r="1072" spans="1:20" ht="48" x14ac:dyDescent="0.2">
      <c r="A1072" s="432">
        <f>IF(B1072="","",COUNT('Diário 1º PA'!$A$4:$A$2635)+COUNT('Diário 2º PA'!$A$4:$A$3040)+ROW()-3)</f>
        <v>5168</v>
      </c>
      <c r="B1072" s="413">
        <v>44792</v>
      </c>
      <c r="C1072" s="431">
        <v>44682</v>
      </c>
      <c r="D1072" s="415" t="s">
        <v>468</v>
      </c>
      <c r="E1072" s="415" t="s">
        <v>468</v>
      </c>
      <c r="F1072" s="425">
        <v>2170</v>
      </c>
      <c r="G1072" s="427" t="s">
        <v>8479</v>
      </c>
      <c r="H1072" s="415" t="s">
        <v>468</v>
      </c>
      <c r="I1072" s="474" t="s">
        <v>2437</v>
      </c>
      <c r="J1072" s="434" t="s">
        <v>796</v>
      </c>
      <c r="K1072" s="434" t="s">
        <v>806</v>
      </c>
      <c r="L1072" s="434" t="s">
        <v>798</v>
      </c>
      <c r="M1072" s="436" t="s">
        <v>310</v>
      </c>
      <c r="N1072" s="413">
        <v>44792</v>
      </c>
      <c r="O1072" s="414" t="s">
        <v>3762</v>
      </c>
      <c r="P1072" s="655">
        <f t="shared" si="48"/>
        <v>8</v>
      </c>
      <c r="Q1072" s="655">
        <f t="shared" si="49"/>
        <v>5</v>
      </c>
      <c r="R1072" s="695" t="str">
        <f t="shared" si="50"/>
        <v>Gastos_custeados_por_captação</v>
      </c>
      <c r="S1072" s="697" t="s">
        <v>310</v>
      </c>
      <c r="T1072" s="697" t="s">
        <v>310</v>
      </c>
    </row>
    <row r="1073" spans="1:20" ht="48" x14ac:dyDescent="0.2">
      <c r="A1073" s="432">
        <f>IF(B1073="","",COUNT('Diário 1º PA'!$A$4:$A$2635)+COUNT('Diário 2º PA'!$A$4:$A$3040)+ROW()-3)</f>
        <v>5169</v>
      </c>
      <c r="B1073" s="413">
        <v>44792</v>
      </c>
      <c r="C1073" s="431">
        <v>44713</v>
      </c>
      <c r="D1073" s="415" t="s">
        <v>468</v>
      </c>
      <c r="E1073" s="415" t="s">
        <v>468</v>
      </c>
      <c r="F1073" s="425">
        <v>930</v>
      </c>
      <c r="G1073" s="427" t="s">
        <v>8480</v>
      </c>
      <c r="H1073" s="415" t="s">
        <v>468</v>
      </c>
      <c r="I1073" s="474" t="s">
        <v>2437</v>
      </c>
      <c r="J1073" s="434" t="s">
        <v>796</v>
      </c>
      <c r="K1073" s="434" t="s">
        <v>806</v>
      </c>
      <c r="L1073" s="434" t="s">
        <v>798</v>
      </c>
      <c r="M1073" s="436" t="s">
        <v>310</v>
      </c>
      <c r="N1073" s="413">
        <v>44792</v>
      </c>
      <c r="O1073" s="414" t="s">
        <v>3762</v>
      </c>
      <c r="P1073" s="655">
        <f t="shared" si="48"/>
        <v>8</v>
      </c>
      <c r="Q1073" s="655">
        <f t="shared" si="49"/>
        <v>6</v>
      </c>
      <c r="R1073" s="695" t="str">
        <f t="shared" si="50"/>
        <v>Gastos_custeados_por_captação</v>
      </c>
      <c r="S1073" s="697" t="s">
        <v>310</v>
      </c>
      <c r="T1073" s="697" t="s">
        <v>310</v>
      </c>
    </row>
    <row r="1074" spans="1:20" ht="48" x14ac:dyDescent="0.2">
      <c r="A1074" s="432">
        <f>IF(B1074="","",COUNT('Diário 1º PA'!$A$4:$A$2635)+COUNT('Diário 2º PA'!$A$4:$A$3040)+ROW()-3)</f>
        <v>5170</v>
      </c>
      <c r="B1074" s="413">
        <v>44792</v>
      </c>
      <c r="C1074" s="431">
        <v>44774</v>
      </c>
      <c r="D1074" s="415" t="s">
        <v>468</v>
      </c>
      <c r="E1074" s="415" t="s">
        <v>468</v>
      </c>
      <c r="F1074" s="425">
        <v>57.6</v>
      </c>
      <c r="G1074" s="427" t="s">
        <v>6539</v>
      </c>
      <c r="H1074" s="415" t="s">
        <v>468</v>
      </c>
      <c r="I1074" s="398" t="s">
        <v>6903</v>
      </c>
      <c r="J1074" s="415" t="s">
        <v>6540</v>
      </c>
      <c r="K1074" s="418" t="s">
        <v>830</v>
      </c>
      <c r="L1074" s="399" t="s">
        <v>32</v>
      </c>
      <c r="M1074" s="544">
        <v>2209</v>
      </c>
      <c r="N1074" s="413">
        <v>44792</v>
      </c>
      <c r="O1074" s="414" t="s">
        <v>3762</v>
      </c>
      <c r="P1074" s="655">
        <f t="shared" si="48"/>
        <v>8</v>
      </c>
      <c r="Q1074" s="655">
        <f t="shared" si="49"/>
        <v>8</v>
      </c>
      <c r="R1074" s="695" t="str">
        <f t="shared" si="50"/>
        <v>Gastos_custeados_por_captação</v>
      </c>
      <c r="S1074" s="697" t="s">
        <v>999</v>
      </c>
      <c r="T1074" s="697">
        <v>4273</v>
      </c>
    </row>
    <row r="1075" spans="1:20" ht="48" x14ac:dyDescent="0.2">
      <c r="A1075" s="432">
        <f>IF(B1075="","",COUNT('Diário 1º PA'!$A$4:$A$2635)+COUNT('Diário 2º PA'!$A$4:$A$3040)+ROW()-3)</f>
        <v>5171</v>
      </c>
      <c r="B1075" s="413">
        <v>44792</v>
      </c>
      <c r="C1075" s="431">
        <v>44743</v>
      </c>
      <c r="D1075" s="415" t="s">
        <v>468</v>
      </c>
      <c r="E1075" s="415" t="s">
        <v>468</v>
      </c>
      <c r="F1075" s="425">
        <v>186</v>
      </c>
      <c r="G1075" s="427" t="s">
        <v>6471</v>
      </c>
      <c r="H1075" s="415" t="s">
        <v>468</v>
      </c>
      <c r="I1075" s="427" t="s">
        <v>1461</v>
      </c>
      <c r="J1075" s="415" t="s">
        <v>310</v>
      </c>
      <c r="K1075" s="415" t="s">
        <v>1220</v>
      </c>
      <c r="L1075" s="415" t="s">
        <v>1368</v>
      </c>
      <c r="M1075" s="415" t="s">
        <v>310</v>
      </c>
      <c r="N1075" s="413">
        <v>44792</v>
      </c>
      <c r="O1075" s="414" t="s">
        <v>3762</v>
      </c>
      <c r="P1075" s="655">
        <f t="shared" si="48"/>
        <v>8</v>
      </c>
      <c r="Q1075" s="655">
        <f t="shared" si="49"/>
        <v>7</v>
      </c>
      <c r="R1075" s="695" t="str">
        <f t="shared" si="50"/>
        <v>Gastos_custeados_por_captação</v>
      </c>
      <c r="S1075" s="697" t="s">
        <v>310</v>
      </c>
      <c r="T1075" s="697" t="s">
        <v>310</v>
      </c>
    </row>
    <row r="1076" spans="1:20" ht="48" x14ac:dyDescent="0.2">
      <c r="A1076" s="432">
        <f>IF(B1076="","",COUNT('Diário 1º PA'!$A$4:$A$2635)+COUNT('Diário 2º PA'!$A$4:$A$3040)+ROW()-3)</f>
        <v>5172</v>
      </c>
      <c r="B1076" s="413">
        <v>44792</v>
      </c>
      <c r="C1076" s="431">
        <v>44682</v>
      </c>
      <c r="D1076" s="415" t="s">
        <v>468</v>
      </c>
      <c r="E1076" s="415" t="s">
        <v>468</v>
      </c>
      <c r="F1076" s="425">
        <v>843.89</v>
      </c>
      <c r="G1076" s="427" t="s">
        <v>6435</v>
      </c>
      <c r="H1076" s="415" t="s">
        <v>468</v>
      </c>
      <c r="I1076" s="427" t="s">
        <v>1461</v>
      </c>
      <c r="J1076" s="415" t="s">
        <v>310</v>
      </c>
      <c r="K1076" s="415" t="s">
        <v>1220</v>
      </c>
      <c r="L1076" s="415" t="s">
        <v>1368</v>
      </c>
      <c r="M1076" s="415" t="s">
        <v>310</v>
      </c>
      <c r="N1076" s="413">
        <v>44792</v>
      </c>
      <c r="O1076" s="414" t="s">
        <v>3762</v>
      </c>
      <c r="P1076" s="655">
        <f t="shared" si="48"/>
        <v>8</v>
      </c>
      <c r="Q1076" s="655">
        <f t="shared" si="49"/>
        <v>5</v>
      </c>
      <c r="R1076" s="695" t="str">
        <f t="shared" si="50"/>
        <v>Gastos_custeados_por_captação</v>
      </c>
      <c r="S1076" s="697" t="s">
        <v>310</v>
      </c>
      <c r="T1076" s="697" t="s">
        <v>310</v>
      </c>
    </row>
    <row r="1077" spans="1:20" ht="48" x14ac:dyDescent="0.2">
      <c r="A1077" s="432">
        <f>IF(B1077="","",COUNT('Diário 1º PA'!$A$4:$A$2635)+COUNT('Diário 2º PA'!$A$4:$A$3040)+ROW()-3)</f>
        <v>5173</v>
      </c>
      <c r="B1077" s="413">
        <v>44792</v>
      </c>
      <c r="C1077" s="431">
        <v>44713</v>
      </c>
      <c r="D1077" s="415" t="s">
        <v>468</v>
      </c>
      <c r="E1077" s="415" t="s">
        <v>468</v>
      </c>
      <c r="F1077" s="425">
        <v>40.76</v>
      </c>
      <c r="G1077" s="427" t="s">
        <v>6456</v>
      </c>
      <c r="H1077" s="415" t="s">
        <v>468</v>
      </c>
      <c r="I1077" s="427" t="s">
        <v>1461</v>
      </c>
      <c r="J1077" s="415" t="s">
        <v>310</v>
      </c>
      <c r="K1077" s="415" t="s">
        <v>1220</v>
      </c>
      <c r="L1077" s="415" t="s">
        <v>1368</v>
      </c>
      <c r="M1077" s="415" t="s">
        <v>310</v>
      </c>
      <c r="N1077" s="413">
        <v>44792</v>
      </c>
      <c r="O1077" s="414" t="s">
        <v>3762</v>
      </c>
      <c r="P1077" s="655">
        <f t="shared" si="48"/>
        <v>8</v>
      </c>
      <c r="Q1077" s="655">
        <f t="shared" si="49"/>
        <v>6</v>
      </c>
      <c r="R1077" s="695" t="str">
        <f t="shared" si="50"/>
        <v>Gastos_custeados_por_captação</v>
      </c>
      <c r="S1077" s="697" t="s">
        <v>310</v>
      </c>
      <c r="T1077" s="697" t="s">
        <v>310</v>
      </c>
    </row>
    <row r="1078" spans="1:20" ht="48" x14ac:dyDescent="0.2">
      <c r="A1078" s="432">
        <f>IF(B1078="","",COUNT('Diário 1º PA'!$A$4:$A$2635)+COUNT('Diário 2º PA'!$A$4:$A$3040)+ROW()-3)</f>
        <v>5174</v>
      </c>
      <c r="B1078" s="413">
        <v>44792</v>
      </c>
      <c r="C1078" s="431">
        <v>44743</v>
      </c>
      <c r="D1078" s="415" t="s">
        <v>468</v>
      </c>
      <c r="E1078" s="415" t="s">
        <v>468</v>
      </c>
      <c r="F1078" s="425">
        <v>32.979999999999997</v>
      </c>
      <c r="G1078" s="427" t="s">
        <v>6474</v>
      </c>
      <c r="H1078" s="415" t="s">
        <v>468</v>
      </c>
      <c r="I1078" s="427" t="s">
        <v>1461</v>
      </c>
      <c r="J1078" s="415" t="s">
        <v>310</v>
      </c>
      <c r="K1078" s="415" t="s">
        <v>1220</v>
      </c>
      <c r="L1078" s="415" t="s">
        <v>1368</v>
      </c>
      <c r="M1078" s="415" t="s">
        <v>310</v>
      </c>
      <c r="N1078" s="413">
        <v>44792</v>
      </c>
      <c r="O1078" s="414" t="s">
        <v>3762</v>
      </c>
      <c r="P1078" s="655">
        <f t="shared" si="48"/>
        <v>8</v>
      </c>
      <c r="Q1078" s="655">
        <f t="shared" si="49"/>
        <v>7</v>
      </c>
      <c r="R1078" s="695" t="str">
        <f t="shared" si="50"/>
        <v>Gastos_custeados_por_captação</v>
      </c>
      <c r="S1078" s="697" t="s">
        <v>310</v>
      </c>
      <c r="T1078" s="697" t="s">
        <v>310</v>
      </c>
    </row>
    <row r="1079" spans="1:20" ht="48" x14ac:dyDescent="0.2">
      <c r="A1079" s="432">
        <f>IF(B1079="","",COUNT('Diário 1º PA'!$A$4:$A$2635)+COUNT('Diário 2º PA'!$A$4:$A$3040)+ROW()-3)</f>
        <v>5175</v>
      </c>
      <c r="B1079" s="413">
        <v>44792</v>
      </c>
      <c r="C1079" s="431">
        <v>44713</v>
      </c>
      <c r="D1079" s="415" t="s">
        <v>468</v>
      </c>
      <c r="E1079" s="415" t="s">
        <v>468</v>
      </c>
      <c r="F1079" s="425">
        <v>57.45</v>
      </c>
      <c r="G1079" s="427" t="s">
        <v>6477</v>
      </c>
      <c r="H1079" s="415" t="s">
        <v>468</v>
      </c>
      <c r="I1079" s="427" t="s">
        <v>1461</v>
      </c>
      <c r="J1079" s="415" t="s">
        <v>310</v>
      </c>
      <c r="K1079" s="415" t="s">
        <v>1220</v>
      </c>
      <c r="L1079" s="415" t="s">
        <v>1368</v>
      </c>
      <c r="M1079" s="415" t="s">
        <v>310</v>
      </c>
      <c r="N1079" s="413">
        <v>44792</v>
      </c>
      <c r="O1079" s="414" t="s">
        <v>3762</v>
      </c>
      <c r="P1079" s="655">
        <f t="shared" si="48"/>
        <v>8</v>
      </c>
      <c r="Q1079" s="655">
        <f t="shared" si="49"/>
        <v>6</v>
      </c>
      <c r="R1079" s="695" t="str">
        <f t="shared" si="50"/>
        <v>Gastos_custeados_por_captação</v>
      </c>
      <c r="S1079" s="697" t="s">
        <v>310</v>
      </c>
      <c r="T1079" s="697" t="s">
        <v>310</v>
      </c>
    </row>
    <row r="1080" spans="1:20" ht="48" x14ac:dyDescent="0.2">
      <c r="A1080" s="432">
        <f>IF(B1080="","",COUNT('Diário 1º PA'!$A$4:$A$2635)+COUNT('Diário 2º PA'!$A$4:$A$3040)+ROW()-3)</f>
        <v>5176</v>
      </c>
      <c r="B1080" s="413">
        <v>44792</v>
      </c>
      <c r="C1080" s="431">
        <v>44713</v>
      </c>
      <c r="D1080" s="415" t="s">
        <v>468</v>
      </c>
      <c r="E1080" s="415" t="s">
        <v>468</v>
      </c>
      <c r="F1080" s="425">
        <v>57.45</v>
      </c>
      <c r="G1080" s="427" t="s">
        <v>6481</v>
      </c>
      <c r="H1080" s="415" t="s">
        <v>468</v>
      </c>
      <c r="I1080" s="427" t="s">
        <v>1461</v>
      </c>
      <c r="J1080" s="415" t="s">
        <v>310</v>
      </c>
      <c r="K1080" s="415" t="s">
        <v>1220</v>
      </c>
      <c r="L1080" s="415" t="s">
        <v>1368</v>
      </c>
      <c r="M1080" s="415" t="s">
        <v>310</v>
      </c>
      <c r="N1080" s="413">
        <v>44792</v>
      </c>
      <c r="O1080" s="414" t="s">
        <v>3762</v>
      </c>
      <c r="P1080" s="655">
        <f t="shared" si="48"/>
        <v>8</v>
      </c>
      <c r="Q1080" s="655">
        <f t="shared" si="49"/>
        <v>6</v>
      </c>
      <c r="R1080" s="695" t="str">
        <f t="shared" si="50"/>
        <v>Gastos_custeados_por_captação</v>
      </c>
      <c r="S1080" s="697" t="s">
        <v>310</v>
      </c>
      <c r="T1080" s="697" t="s">
        <v>310</v>
      </c>
    </row>
    <row r="1081" spans="1:20" ht="48" x14ac:dyDescent="0.2">
      <c r="A1081" s="432">
        <f>IF(B1081="","",COUNT('Diário 1º PA'!$A$4:$A$2635)+COUNT('Diário 2º PA'!$A$4:$A$3040)+ROW()-3)</f>
        <v>5177</v>
      </c>
      <c r="B1081" s="413">
        <v>44792</v>
      </c>
      <c r="C1081" s="431">
        <v>44713</v>
      </c>
      <c r="D1081" s="415" t="s">
        <v>468</v>
      </c>
      <c r="E1081" s="415" t="s">
        <v>468</v>
      </c>
      <c r="F1081" s="425">
        <v>57.45</v>
      </c>
      <c r="G1081" s="427" t="s">
        <v>6498</v>
      </c>
      <c r="H1081" s="415" t="s">
        <v>468</v>
      </c>
      <c r="I1081" s="427" t="s">
        <v>1461</v>
      </c>
      <c r="J1081" s="415" t="s">
        <v>310</v>
      </c>
      <c r="K1081" s="415" t="s">
        <v>1220</v>
      </c>
      <c r="L1081" s="415" t="s">
        <v>1368</v>
      </c>
      <c r="M1081" s="415" t="s">
        <v>310</v>
      </c>
      <c r="N1081" s="413">
        <v>44792</v>
      </c>
      <c r="O1081" s="414" t="s">
        <v>3762</v>
      </c>
      <c r="P1081" s="655">
        <f t="shared" si="48"/>
        <v>8</v>
      </c>
      <c r="Q1081" s="655">
        <f t="shared" si="49"/>
        <v>6</v>
      </c>
      <c r="R1081" s="695" t="str">
        <f t="shared" si="50"/>
        <v>Gastos_custeados_por_captação</v>
      </c>
      <c r="S1081" s="697" t="s">
        <v>310</v>
      </c>
      <c r="T1081" s="697" t="s">
        <v>310</v>
      </c>
    </row>
    <row r="1082" spans="1:20" ht="48" x14ac:dyDescent="0.2">
      <c r="A1082" s="432">
        <f>IF(B1082="","",COUNT('Diário 1º PA'!$A$4:$A$2635)+COUNT('Diário 2º PA'!$A$4:$A$3040)+ROW()-3)</f>
        <v>5178</v>
      </c>
      <c r="B1082" s="413">
        <v>44792</v>
      </c>
      <c r="C1082" s="431">
        <v>44743</v>
      </c>
      <c r="D1082" s="415" t="s">
        <v>468</v>
      </c>
      <c r="E1082" s="415" t="s">
        <v>468</v>
      </c>
      <c r="F1082" s="425">
        <v>60</v>
      </c>
      <c r="G1082" s="427" t="s">
        <v>6470</v>
      </c>
      <c r="H1082" s="415" t="s">
        <v>468</v>
      </c>
      <c r="I1082" s="427" t="s">
        <v>1461</v>
      </c>
      <c r="J1082" s="415" t="s">
        <v>310</v>
      </c>
      <c r="K1082" s="415" t="s">
        <v>1220</v>
      </c>
      <c r="L1082" s="415" t="s">
        <v>1368</v>
      </c>
      <c r="M1082" s="415" t="s">
        <v>310</v>
      </c>
      <c r="N1082" s="413">
        <v>44792</v>
      </c>
      <c r="O1082" s="414" t="s">
        <v>3762</v>
      </c>
      <c r="P1082" s="655">
        <f t="shared" si="48"/>
        <v>8</v>
      </c>
      <c r="Q1082" s="655">
        <f t="shared" si="49"/>
        <v>7</v>
      </c>
      <c r="R1082" s="695" t="str">
        <f t="shared" si="50"/>
        <v>Gastos_custeados_por_captação</v>
      </c>
      <c r="S1082" s="697" t="s">
        <v>310</v>
      </c>
      <c r="T1082" s="697" t="s">
        <v>310</v>
      </c>
    </row>
    <row r="1083" spans="1:20" ht="48" x14ac:dyDescent="0.2">
      <c r="A1083" s="432">
        <f>IF(B1083="","",COUNT('Diário 1º PA'!$A$4:$A$2635)+COUNT('Diário 2º PA'!$A$4:$A$3040)+ROW()-3)</f>
        <v>5179</v>
      </c>
      <c r="B1083" s="413">
        <v>44792</v>
      </c>
      <c r="C1083" s="431">
        <v>44774</v>
      </c>
      <c r="D1083" s="415" t="s">
        <v>468</v>
      </c>
      <c r="E1083" s="415" t="s">
        <v>468</v>
      </c>
      <c r="F1083" s="425">
        <v>11</v>
      </c>
      <c r="G1083" s="415" t="s">
        <v>6516</v>
      </c>
      <c r="H1083" s="415" t="s">
        <v>468</v>
      </c>
      <c r="I1083" s="639" t="s">
        <v>881</v>
      </c>
      <c r="J1083" s="418" t="s">
        <v>882</v>
      </c>
      <c r="K1083" s="418" t="s">
        <v>883</v>
      </c>
      <c r="L1083" s="399" t="s">
        <v>798</v>
      </c>
      <c r="M1083" s="544" t="s">
        <v>310</v>
      </c>
      <c r="N1083" s="413">
        <v>44792</v>
      </c>
      <c r="O1083" s="414" t="s">
        <v>3762</v>
      </c>
      <c r="P1083" s="655">
        <f t="shared" si="48"/>
        <v>8</v>
      </c>
      <c r="Q1083" s="655">
        <f t="shared" si="49"/>
        <v>8</v>
      </c>
      <c r="R1083" s="695" t="str">
        <f t="shared" si="50"/>
        <v>Gastos_custeados_por_captação</v>
      </c>
      <c r="S1083" s="697" t="s">
        <v>310</v>
      </c>
      <c r="T1083" s="697" t="s">
        <v>310</v>
      </c>
    </row>
    <row r="1084" spans="1:20" ht="36" x14ac:dyDescent="0.2">
      <c r="A1084" s="432">
        <f>IF(B1084="","",COUNT('Diário 1º PA'!$A$4:$A$2635)+COUNT('Diário 2º PA'!$A$4:$A$3040)+ROW()-3)</f>
        <v>5180</v>
      </c>
      <c r="B1084" s="413">
        <v>44792</v>
      </c>
      <c r="C1084" s="431">
        <v>44743</v>
      </c>
      <c r="D1084" s="415" t="s">
        <v>468</v>
      </c>
      <c r="E1084" s="415" t="s">
        <v>468</v>
      </c>
      <c r="F1084" s="425">
        <v>-6000</v>
      </c>
      <c r="G1084" s="639" t="s">
        <v>2441</v>
      </c>
      <c r="H1084" s="415" t="s">
        <v>468</v>
      </c>
      <c r="I1084" s="427" t="s">
        <v>2437</v>
      </c>
      <c r="J1084" s="415" t="s">
        <v>796</v>
      </c>
      <c r="K1084" s="415" t="s">
        <v>797</v>
      </c>
      <c r="L1084" s="415" t="s">
        <v>798</v>
      </c>
      <c r="M1084" s="415" t="s">
        <v>310</v>
      </c>
      <c r="N1084" s="413">
        <v>44792</v>
      </c>
      <c r="O1084" s="414" t="s">
        <v>408</v>
      </c>
      <c r="P1084" s="655">
        <f t="shared" si="48"/>
        <v>8</v>
      </c>
      <c r="Q1084" s="655">
        <f t="shared" si="49"/>
        <v>7</v>
      </c>
      <c r="R1084" s="695" t="str">
        <f t="shared" si="50"/>
        <v>Gastos_custeados_por_captação</v>
      </c>
      <c r="S1084" s="697" t="s">
        <v>310</v>
      </c>
      <c r="T1084" s="697" t="s">
        <v>310</v>
      </c>
    </row>
    <row r="1085" spans="1:20" ht="36" x14ac:dyDescent="0.2">
      <c r="A1085" s="432">
        <f>IF(B1085="","",COUNT('Diário 1º PA'!$A$4:$A$2635)+COUNT('Diário 2º PA'!$A$4:$A$3040)+ROW()-3)</f>
        <v>5181</v>
      </c>
      <c r="B1085" s="413">
        <v>44792</v>
      </c>
      <c r="C1085" s="431">
        <v>44743</v>
      </c>
      <c r="D1085" s="415" t="s">
        <v>468</v>
      </c>
      <c r="E1085" s="415" t="s">
        <v>468</v>
      </c>
      <c r="F1085" s="425">
        <v>-6000</v>
      </c>
      <c r="G1085" s="639" t="s">
        <v>2442</v>
      </c>
      <c r="H1085" s="415" t="s">
        <v>468</v>
      </c>
      <c r="I1085" s="427" t="s">
        <v>2437</v>
      </c>
      <c r="J1085" s="415" t="s">
        <v>796</v>
      </c>
      <c r="K1085" s="415" t="s">
        <v>797</v>
      </c>
      <c r="L1085" s="415" t="s">
        <v>798</v>
      </c>
      <c r="M1085" s="415" t="s">
        <v>310</v>
      </c>
      <c r="N1085" s="413">
        <v>44792</v>
      </c>
      <c r="O1085" s="414" t="s">
        <v>408</v>
      </c>
      <c r="P1085" s="655">
        <f t="shared" si="48"/>
        <v>8</v>
      </c>
      <c r="Q1085" s="655">
        <f t="shared" si="49"/>
        <v>7</v>
      </c>
      <c r="R1085" s="695" t="str">
        <f t="shared" si="50"/>
        <v>Gastos_custeados_por_captação</v>
      </c>
      <c r="S1085" s="697" t="s">
        <v>310</v>
      </c>
      <c r="T1085" s="697" t="s">
        <v>310</v>
      </c>
    </row>
    <row r="1086" spans="1:20" ht="36" x14ac:dyDescent="0.2">
      <c r="A1086" s="432">
        <f>IF(B1086="","",COUNT('Diário 1º PA'!$A$4:$A$2635)+COUNT('Diário 2º PA'!$A$4:$A$3040)+ROW()-3)</f>
        <v>5182</v>
      </c>
      <c r="B1086" s="413">
        <v>44792</v>
      </c>
      <c r="C1086" s="431">
        <v>44713</v>
      </c>
      <c r="D1086" s="415" t="s">
        <v>468</v>
      </c>
      <c r="E1086" s="415" t="s">
        <v>468</v>
      </c>
      <c r="F1086" s="425">
        <v>1085</v>
      </c>
      <c r="G1086" s="427" t="s">
        <v>6427</v>
      </c>
      <c r="H1086" s="415" t="s">
        <v>468</v>
      </c>
      <c r="I1086" s="427" t="s">
        <v>1461</v>
      </c>
      <c r="J1086" s="415" t="s">
        <v>310</v>
      </c>
      <c r="K1086" s="415" t="s">
        <v>1220</v>
      </c>
      <c r="L1086" s="415" t="s">
        <v>1368</v>
      </c>
      <c r="M1086" s="415" t="s">
        <v>310</v>
      </c>
      <c r="N1086" s="413">
        <v>44792</v>
      </c>
      <c r="O1086" s="414" t="s">
        <v>408</v>
      </c>
      <c r="P1086" s="655">
        <f t="shared" si="48"/>
        <v>8</v>
      </c>
      <c r="Q1086" s="655">
        <f t="shared" si="49"/>
        <v>6</v>
      </c>
      <c r="R1086" s="695" t="str">
        <f t="shared" si="50"/>
        <v>Gastos_custeados_por_captação</v>
      </c>
      <c r="S1086" s="697" t="s">
        <v>310</v>
      </c>
      <c r="T1086" s="697" t="s">
        <v>310</v>
      </c>
    </row>
    <row r="1087" spans="1:20" ht="36" x14ac:dyDescent="0.2">
      <c r="A1087" s="432">
        <f>IF(B1087="","",COUNT('Diário 1º PA'!$A$4:$A$2635)+COUNT('Diário 2º PA'!$A$4:$A$3040)+ROW()-3)</f>
        <v>5183</v>
      </c>
      <c r="B1087" s="413">
        <v>44792</v>
      </c>
      <c r="C1087" s="431">
        <v>44713</v>
      </c>
      <c r="D1087" s="415" t="s">
        <v>468</v>
      </c>
      <c r="E1087" s="415" t="s">
        <v>468</v>
      </c>
      <c r="F1087" s="425">
        <v>930</v>
      </c>
      <c r="G1087" s="427" t="s">
        <v>6376</v>
      </c>
      <c r="H1087" s="415" t="s">
        <v>468</v>
      </c>
      <c r="I1087" s="427" t="s">
        <v>1461</v>
      </c>
      <c r="J1087" s="415" t="s">
        <v>310</v>
      </c>
      <c r="K1087" s="415" t="s">
        <v>1220</v>
      </c>
      <c r="L1087" s="415" t="s">
        <v>1368</v>
      </c>
      <c r="M1087" s="415" t="s">
        <v>310</v>
      </c>
      <c r="N1087" s="413">
        <v>44792</v>
      </c>
      <c r="O1087" s="414" t="s">
        <v>408</v>
      </c>
      <c r="P1087" s="655">
        <f t="shared" si="48"/>
        <v>8</v>
      </c>
      <c r="Q1087" s="655">
        <f t="shared" si="49"/>
        <v>6</v>
      </c>
      <c r="R1087" s="695" t="str">
        <f t="shared" si="50"/>
        <v>Gastos_custeados_por_captação</v>
      </c>
      <c r="S1087" s="697" t="s">
        <v>310</v>
      </c>
      <c r="T1087" s="697" t="s">
        <v>310</v>
      </c>
    </row>
    <row r="1088" spans="1:20" ht="36" x14ac:dyDescent="0.2">
      <c r="A1088" s="432">
        <f>IF(B1088="","",COUNT('Diário 1º PA'!$A$4:$A$2635)+COUNT('Diário 2º PA'!$A$4:$A$3040)+ROW()-3)</f>
        <v>5184</v>
      </c>
      <c r="B1088" s="413">
        <v>44792</v>
      </c>
      <c r="C1088" s="431">
        <v>44713</v>
      </c>
      <c r="D1088" s="415" t="s">
        <v>468</v>
      </c>
      <c r="E1088" s="415" t="s">
        <v>468</v>
      </c>
      <c r="F1088" s="425">
        <v>1240</v>
      </c>
      <c r="G1088" s="427" t="s">
        <v>6418</v>
      </c>
      <c r="H1088" s="415" t="s">
        <v>468</v>
      </c>
      <c r="I1088" s="427" t="s">
        <v>1461</v>
      </c>
      <c r="J1088" s="415" t="s">
        <v>310</v>
      </c>
      <c r="K1088" s="415" t="s">
        <v>1220</v>
      </c>
      <c r="L1088" s="415" t="s">
        <v>1368</v>
      </c>
      <c r="M1088" s="415" t="s">
        <v>310</v>
      </c>
      <c r="N1088" s="413">
        <v>44792</v>
      </c>
      <c r="O1088" s="414" t="s">
        <v>408</v>
      </c>
      <c r="P1088" s="655">
        <f t="shared" si="48"/>
        <v>8</v>
      </c>
      <c r="Q1088" s="655">
        <f t="shared" si="49"/>
        <v>6</v>
      </c>
      <c r="R1088" s="695" t="str">
        <f t="shared" si="50"/>
        <v>Gastos_custeados_por_captação</v>
      </c>
      <c r="S1088" s="697" t="s">
        <v>310</v>
      </c>
      <c r="T1088" s="697" t="s">
        <v>310</v>
      </c>
    </row>
    <row r="1089" spans="1:20" ht="36" x14ac:dyDescent="0.2">
      <c r="A1089" s="432">
        <f>IF(B1089="","",COUNT('Diário 1º PA'!$A$4:$A$2635)+COUNT('Diário 2º PA'!$A$4:$A$3040)+ROW()-3)</f>
        <v>5185</v>
      </c>
      <c r="B1089" s="413">
        <v>44792</v>
      </c>
      <c r="C1089" s="431">
        <v>44713</v>
      </c>
      <c r="D1089" s="415" t="s">
        <v>468</v>
      </c>
      <c r="E1089" s="415" t="s">
        <v>468</v>
      </c>
      <c r="F1089" s="425">
        <v>112.45</v>
      </c>
      <c r="G1089" s="427" t="s">
        <v>6426</v>
      </c>
      <c r="H1089" s="415" t="s">
        <v>468</v>
      </c>
      <c r="I1089" s="427" t="s">
        <v>1461</v>
      </c>
      <c r="J1089" s="415" t="s">
        <v>310</v>
      </c>
      <c r="K1089" s="415" t="s">
        <v>1220</v>
      </c>
      <c r="L1089" s="415" t="s">
        <v>1368</v>
      </c>
      <c r="M1089" s="415" t="s">
        <v>310</v>
      </c>
      <c r="N1089" s="413">
        <v>44792</v>
      </c>
      <c r="O1089" s="414" t="s">
        <v>408</v>
      </c>
      <c r="P1089" s="655">
        <f t="shared" si="48"/>
        <v>8</v>
      </c>
      <c r="Q1089" s="655">
        <f t="shared" si="49"/>
        <v>6</v>
      </c>
      <c r="R1089" s="695" t="str">
        <f t="shared" si="50"/>
        <v>Gastos_custeados_por_captação</v>
      </c>
      <c r="S1089" s="697" t="s">
        <v>310</v>
      </c>
      <c r="T1089" s="697" t="s">
        <v>310</v>
      </c>
    </row>
    <row r="1090" spans="1:20" ht="36" x14ac:dyDescent="0.2">
      <c r="A1090" s="432">
        <f>IF(B1090="","",COUNT('Diário 1º PA'!$A$4:$A$2635)+COUNT('Diário 2º PA'!$A$4:$A$3040)+ROW()-3)</f>
        <v>5186</v>
      </c>
      <c r="B1090" s="413">
        <v>44792</v>
      </c>
      <c r="C1090" s="431">
        <v>44713</v>
      </c>
      <c r="D1090" s="415" t="s">
        <v>468</v>
      </c>
      <c r="E1090" s="415" t="s">
        <v>468</v>
      </c>
      <c r="F1090" s="425">
        <v>57.45</v>
      </c>
      <c r="G1090" s="427" t="s">
        <v>6375</v>
      </c>
      <c r="H1090" s="415" t="s">
        <v>468</v>
      </c>
      <c r="I1090" s="427" t="s">
        <v>1461</v>
      </c>
      <c r="J1090" s="415" t="s">
        <v>310</v>
      </c>
      <c r="K1090" s="415" t="s">
        <v>1220</v>
      </c>
      <c r="L1090" s="415" t="s">
        <v>1368</v>
      </c>
      <c r="M1090" s="415" t="s">
        <v>310</v>
      </c>
      <c r="N1090" s="413">
        <v>44792</v>
      </c>
      <c r="O1090" s="414" t="s">
        <v>408</v>
      </c>
      <c r="P1090" s="655">
        <f t="shared" si="48"/>
        <v>8</v>
      </c>
      <c r="Q1090" s="655">
        <f t="shared" si="49"/>
        <v>6</v>
      </c>
      <c r="R1090" s="695" t="str">
        <f t="shared" si="50"/>
        <v>Gastos_custeados_por_captação</v>
      </c>
      <c r="S1090" s="697" t="s">
        <v>310</v>
      </c>
      <c r="T1090" s="697" t="s">
        <v>310</v>
      </c>
    </row>
    <row r="1091" spans="1:20" ht="36" x14ac:dyDescent="0.2">
      <c r="A1091" s="432">
        <f>IF(B1091="","",COUNT('Diário 1º PA'!$A$4:$A$2635)+COUNT('Diário 2º PA'!$A$4:$A$3040)+ROW()-3)</f>
        <v>5187</v>
      </c>
      <c r="B1091" s="413">
        <v>44792</v>
      </c>
      <c r="C1091" s="431">
        <v>44713</v>
      </c>
      <c r="D1091" s="415" t="s">
        <v>468</v>
      </c>
      <c r="E1091" s="415" t="s">
        <v>468</v>
      </c>
      <c r="F1091" s="425">
        <v>179.2</v>
      </c>
      <c r="G1091" s="427" t="s">
        <v>6417</v>
      </c>
      <c r="H1091" s="415" t="s">
        <v>468</v>
      </c>
      <c r="I1091" s="427" t="s">
        <v>1461</v>
      </c>
      <c r="J1091" s="415" t="s">
        <v>310</v>
      </c>
      <c r="K1091" s="415" t="s">
        <v>1220</v>
      </c>
      <c r="L1091" s="415" t="s">
        <v>1368</v>
      </c>
      <c r="M1091" s="415" t="s">
        <v>310</v>
      </c>
      <c r="N1091" s="413">
        <v>44792</v>
      </c>
      <c r="O1091" s="414" t="s">
        <v>408</v>
      </c>
      <c r="P1091" s="655">
        <f t="shared" si="48"/>
        <v>8</v>
      </c>
      <c r="Q1091" s="655">
        <f t="shared" si="49"/>
        <v>6</v>
      </c>
      <c r="R1091" s="695" t="str">
        <f t="shared" si="50"/>
        <v>Gastos_custeados_por_captação</v>
      </c>
      <c r="S1091" s="697" t="s">
        <v>310</v>
      </c>
      <c r="T1091" s="697" t="s">
        <v>310</v>
      </c>
    </row>
    <row r="1092" spans="1:20" ht="60" x14ac:dyDescent="0.2">
      <c r="A1092" s="432">
        <f>IF(B1092="","",COUNT('Diário 1º PA'!$A$4:$A$2635)+COUNT('Diário 2º PA'!$A$4:$A$3040)+ROW()-3)</f>
        <v>5188</v>
      </c>
      <c r="B1092" s="413">
        <v>44792</v>
      </c>
      <c r="C1092" s="431">
        <v>44682</v>
      </c>
      <c r="D1092" s="415" t="s">
        <v>468</v>
      </c>
      <c r="E1092" s="415" t="s">
        <v>468</v>
      </c>
      <c r="F1092" s="425">
        <v>744</v>
      </c>
      <c r="G1092" s="427" t="s">
        <v>6546</v>
      </c>
      <c r="H1092" s="415" t="s">
        <v>468</v>
      </c>
      <c r="I1092" s="427" t="s">
        <v>1461</v>
      </c>
      <c r="J1092" s="415" t="s">
        <v>310</v>
      </c>
      <c r="K1092" s="415" t="s">
        <v>1220</v>
      </c>
      <c r="L1092" s="415" t="s">
        <v>1368</v>
      </c>
      <c r="M1092" s="576" t="s">
        <v>310</v>
      </c>
      <c r="N1092" s="413">
        <v>44792</v>
      </c>
      <c r="O1092" s="414" t="s">
        <v>404</v>
      </c>
      <c r="P1092" s="655">
        <f t="shared" si="48"/>
        <v>8</v>
      </c>
      <c r="Q1092" s="655">
        <f t="shared" si="49"/>
        <v>5</v>
      </c>
      <c r="R1092" s="695" t="str">
        <f t="shared" si="50"/>
        <v>Gastos_custeados_por_captação</v>
      </c>
      <c r="S1092" s="697" t="s">
        <v>310</v>
      </c>
      <c r="T1092" s="697" t="s">
        <v>310</v>
      </c>
    </row>
    <row r="1093" spans="1:20" ht="60" x14ac:dyDescent="0.2">
      <c r="A1093" s="432">
        <f>IF(B1093="","",COUNT('Diário 1º PA'!$A$4:$A$2635)+COUNT('Diário 2º PA'!$A$4:$A$3040)+ROW()-3)</f>
        <v>5189</v>
      </c>
      <c r="B1093" s="413">
        <v>44792</v>
      </c>
      <c r="C1093" s="431">
        <v>44713</v>
      </c>
      <c r="D1093" s="415" t="s">
        <v>468</v>
      </c>
      <c r="E1093" s="415" t="s">
        <v>468</v>
      </c>
      <c r="F1093" s="425">
        <v>744</v>
      </c>
      <c r="G1093" s="427" t="s">
        <v>6561</v>
      </c>
      <c r="H1093" s="415" t="s">
        <v>468</v>
      </c>
      <c r="I1093" s="427" t="s">
        <v>1461</v>
      </c>
      <c r="J1093" s="415" t="s">
        <v>310</v>
      </c>
      <c r="K1093" s="415" t="s">
        <v>1220</v>
      </c>
      <c r="L1093" s="415" t="s">
        <v>1368</v>
      </c>
      <c r="M1093" s="576" t="s">
        <v>310</v>
      </c>
      <c r="N1093" s="413">
        <v>44792</v>
      </c>
      <c r="O1093" s="414" t="s">
        <v>404</v>
      </c>
      <c r="P1093" s="655">
        <f t="shared" ref="P1093:P1156" si="51">IF(B1093=0,0,IF(YEAR(B1093)=$Q$1,MONTH(B1093)-$P$1+1,(YEAR(B1093)-$Q$1)*12-$P$1+1+MONTH(B1093)))</f>
        <v>8</v>
      </c>
      <c r="Q1093" s="655">
        <f t="shared" ref="Q1093:Q1156" si="52">IF(C1093=0,0,IF(YEAR(C1093)=$Q$1,MONTH(C1093)-$P$1+1,(YEAR(C1093)-$Q$1)*12-$P$1+1+MONTH(C1093)))</f>
        <v>6</v>
      </c>
      <c r="R1093" s="695" t="str">
        <f t="shared" ref="R1093:R1156" si="53">SUBSTITUTE(D1093," ","_")</f>
        <v>Gastos_custeados_por_captação</v>
      </c>
      <c r="S1093" s="697" t="s">
        <v>310</v>
      </c>
      <c r="T1093" s="697" t="s">
        <v>310</v>
      </c>
    </row>
    <row r="1094" spans="1:20" ht="60" x14ac:dyDescent="0.2">
      <c r="A1094" s="432">
        <f>IF(B1094="","",COUNT('Diário 1º PA'!$A$4:$A$2635)+COUNT('Diário 2º PA'!$A$4:$A$3040)+ROW()-3)</f>
        <v>5190</v>
      </c>
      <c r="B1094" s="413">
        <v>44792</v>
      </c>
      <c r="C1094" s="431">
        <v>44682</v>
      </c>
      <c r="D1094" s="415" t="s">
        <v>468</v>
      </c>
      <c r="E1094" s="415" t="s">
        <v>468</v>
      </c>
      <c r="F1094" s="425">
        <v>930</v>
      </c>
      <c r="G1094" s="427" t="s">
        <v>6554</v>
      </c>
      <c r="H1094" s="415" t="s">
        <v>468</v>
      </c>
      <c r="I1094" s="427" t="s">
        <v>1461</v>
      </c>
      <c r="J1094" s="415" t="s">
        <v>310</v>
      </c>
      <c r="K1094" s="415" t="s">
        <v>1220</v>
      </c>
      <c r="L1094" s="415" t="s">
        <v>1368</v>
      </c>
      <c r="M1094" s="576" t="s">
        <v>310</v>
      </c>
      <c r="N1094" s="413">
        <v>44792</v>
      </c>
      <c r="O1094" s="414" t="s">
        <v>404</v>
      </c>
      <c r="P1094" s="655">
        <f t="shared" si="51"/>
        <v>8</v>
      </c>
      <c r="Q1094" s="655">
        <f t="shared" si="52"/>
        <v>5</v>
      </c>
      <c r="R1094" s="695" t="str">
        <f t="shared" si="53"/>
        <v>Gastos_custeados_por_captação</v>
      </c>
      <c r="S1094" s="697" t="s">
        <v>310</v>
      </c>
      <c r="T1094" s="697" t="s">
        <v>310</v>
      </c>
    </row>
    <row r="1095" spans="1:20" ht="60" x14ac:dyDescent="0.2">
      <c r="A1095" s="432">
        <f>IF(B1095="","",COUNT('Diário 1º PA'!$A$4:$A$2635)+COUNT('Diário 2º PA'!$A$4:$A$3040)+ROW()-3)</f>
        <v>5191</v>
      </c>
      <c r="B1095" s="413">
        <v>44792</v>
      </c>
      <c r="C1095" s="431">
        <v>44713</v>
      </c>
      <c r="D1095" s="415" t="s">
        <v>468</v>
      </c>
      <c r="E1095" s="415" t="s">
        <v>468</v>
      </c>
      <c r="F1095" s="425">
        <v>744</v>
      </c>
      <c r="G1095" s="427" t="s">
        <v>6550</v>
      </c>
      <c r="H1095" s="415" t="s">
        <v>468</v>
      </c>
      <c r="I1095" s="427" t="s">
        <v>1461</v>
      </c>
      <c r="J1095" s="415" t="s">
        <v>310</v>
      </c>
      <c r="K1095" s="415" t="s">
        <v>1220</v>
      </c>
      <c r="L1095" s="415" t="s">
        <v>1368</v>
      </c>
      <c r="M1095" s="576" t="s">
        <v>310</v>
      </c>
      <c r="N1095" s="413">
        <v>44792</v>
      </c>
      <c r="O1095" s="414" t="s">
        <v>404</v>
      </c>
      <c r="P1095" s="655">
        <f t="shared" si="51"/>
        <v>8</v>
      </c>
      <c r="Q1095" s="655">
        <f t="shared" si="52"/>
        <v>6</v>
      </c>
      <c r="R1095" s="695" t="str">
        <f t="shared" si="53"/>
        <v>Gastos_custeados_por_captação</v>
      </c>
      <c r="S1095" s="697" t="s">
        <v>310</v>
      </c>
      <c r="T1095" s="697" t="s">
        <v>310</v>
      </c>
    </row>
    <row r="1096" spans="1:20" ht="60" x14ac:dyDescent="0.2">
      <c r="A1096" s="432">
        <f>IF(B1096="","",COUNT('Diário 1º PA'!$A$4:$A$2635)+COUNT('Diário 2º PA'!$A$4:$A$3040)+ROW()-3)</f>
        <v>5192</v>
      </c>
      <c r="B1096" s="413">
        <v>44792</v>
      </c>
      <c r="C1096" s="431">
        <v>44743</v>
      </c>
      <c r="D1096" s="415" t="s">
        <v>468</v>
      </c>
      <c r="E1096" s="415" t="s">
        <v>468</v>
      </c>
      <c r="F1096" s="425">
        <v>6000</v>
      </c>
      <c r="G1096" s="427" t="s">
        <v>2679</v>
      </c>
      <c r="H1096" s="415" t="s">
        <v>468</v>
      </c>
      <c r="I1096" s="437" t="s">
        <v>2437</v>
      </c>
      <c r="J1096" s="434" t="s">
        <v>796</v>
      </c>
      <c r="K1096" s="419" t="s">
        <v>806</v>
      </c>
      <c r="L1096" s="434" t="s">
        <v>798</v>
      </c>
      <c r="M1096" s="436" t="s">
        <v>310</v>
      </c>
      <c r="N1096" s="413">
        <v>44792</v>
      </c>
      <c r="O1096" s="414" t="s">
        <v>404</v>
      </c>
      <c r="P1096" s="655">
        <f t="shared" si="51"/>
        <v>8</v>
      </c>
      <c r="Q1096" s="655">
        <f t="shared" si="52"/>
        <v>7</v>
      </c>
      <c r="R1096" s="695" t="str">
        <f t="shared" si="53"/>
        <v>Gastos_custeados_por_captação</v>
      </c>
      <c r="S1096" s="697" t="s">
        <v>310</v>
      </c>
      <c r="T1096" s="697" t="s">
        <v>310</v>
      </c>
    </row>
    <row r="1097" spans="1:20" ht="60" x14ac:dyDescent="0.2">
      <c r="A1097" s="432">
        <f>IF(B1097="","",COUNT('Diário 1º PA'!$A$4:$A$2635)+COUNT('Diário 2º PA'!$A$4:$A$3040)+ROW()-3)</f>
        <v>5193</v>
      </c>
      <c r="B1097" s="413">
        <v>44792</v>
      </c>
      <c r="C1097" s="431">
        <v>44743</v>
      </c>
      <c r="D1097" s="415" t="s">
        <v>468</v>
      </c>
      <c r="E1097" s="415" t="s">
        <v>468</v>
      </c>
      <c r="F1097" s="425">
        <v>6000</v>
      </c>
      <c r="G1097" s="427" t="s">
        <v>2678</v>
      </c>
      <c r="H1097" s="415" t="s">
        <v>468</v>
      </c>
      <c r="I1097" s="437" t="s">
        <v>2437</v>
      </c>
      <c r="J1097" s="434" t="s">
        <v>796</v>
      </c>
      <c r="K1097" s="419" t="s">
        <v>806</v>
      </c>
      <c r="L1097" s="434" t="s">
        <v>798</v>
      </c>
      <c r="M1097" s="436" t="s">
        <v>310</v>
      </c>
      <c r="N1097" s="413">
        <v>44792</v>
      </c>
      <c r="O1097" s="414" t="s">
        <v>404</v>
      </c>
      <c r="P1097" s="655">
        <f t="shared" si="51"/>
        <v>8</v>
      </c>
      <c r="Q1097" s="655">
        <f t="shared" si="52"/>
        <v>7</v>
      </c>
      <c r="R1097" s="695" t="str">
        <f t="shared" si="53"/>
        <v>Gastos_custeados_por_captação</v>
      </c>
      <c r="S1097" s="697" t="s">
        <v>310</v>
      </c>
      <c r="T1097" s="697" t="s">
        <v>310</v>
      </c>
    </row>
    <row r="1098" spans="1:20" ht="84" x14ac:dyDescent="0.2">
      <c r="A1098" s="432">
        <f>IF(B1098="","",COUNT('Diário 1º PA'!$A$4:$A$2635)+COUNT('Diário 2º PA'!$A$4:$A$3040)+ROW()-3)</f>
        <v>5194</v>
      </c>
      <c r="B1098" s="413">
        <v>44792</v>
      </c>
      <c r="C1098" s="431">
        <v>44743</v>
      </c>
      <c r="D1098" s="415" t="s">
        <v>468</v>
      </c>
      <c r="E1098" s="415" t="s">
        <v>468</v>
      </c>
      <c r="F1098" s="425">
        <v>25935</v>
      </c>
      <c r="G1098" s="427" t="s">
        <v>6861</v>
      </c>
      <c r="H1098" s="415" t="s">
        <v>468</v>
      </c>
      <c r="I1098" s="398" t="s">
        <v>6862</v>
      </c>
      <c r="J1098" s="418" t="s">
        <v>6863</v>
      </c>
      <c r="K1098" s="419" t="s">
        <v>806</v>
      </c>
      <c r="L1098" s="399" t="s">
        <v>32</v>
      </c>
      <c r="M1098" s="544">
        <v>118</v>
      </c>
      <c r="N1098" s="413">
        <v>44783</v>
      </c>
      <c r="O1098" s="414" t="s">
        <v>404</v>
      </c>
      <c r="P1098" s="655">
        <f t="shared" si="51"/>
        <v>8</v>
      </c>
      <c r="Q1098" s="655">
        <f t="shared" si="52"/>
        <v>7</v>
      </c>
      <c r="R1098" s="695" t="str">
        <f t="shared" si="53"/>
        <v>Gastos_custeados_por_captação</v>
      </c>
      <c r="S1098" s="697" t="s">
        <v>998</v>
      </c>
      <c r="T1098" s="697">
        <v>1719</v>
      </c>
    </row>
    <row r="1099" spans="1:20" ht="60" x14ac:dyDescent="0.2">
      <c r="A1099" s="432">
        <f>IF(B1099="","",COUNT('Diário 1º PA'!$A$4:$A$2635)+COUNT('Diário 2º PA'!$A$4:$A$3040)+ROW()-3)</f>
        <v>5195</v>
      </c>
      <c r="B1099" s="413">
        <v>44792</v>
      </c>
      <c r="C1099" s="431">
        <v>44682</v>
      </c>
      <c r="D1099" s="415" t="s">
        <v>468</v>
      </c>
      <c r="E1099" s="415" t="s">
        <v>468</v>
      </c>
      <c r="F1099" s="425">
        <v>4325.8500000000004</v>
      </c>
      <c r="G1099" s="427" t="s">
        <v>4427</v>
      </c>
      <c r="H1099" s="415" t="s">
        <v>468</v>
      </c>
      <c r="I1099" s="398" t="s">
        <v>2180</v>
      </c>
      <c r="J1099" s="415" t="s">
        <v>1010</v>
      </c>
      <c r="K1099" s="418" t="s">
        <v>830</v>
      </c>
      <c r="L1099" s="399" t="s">
        <v>32</v>
      </c>
      <c r="M1099" s="418" t="s">
        <v>6865</v>
      </c>
      <c r="N1099" s="413">
        <v>44791</v>
      </c>
      <c r="O1099" s="414" t="s">
        <v>404</v>
      </c>
      <c r="P1099" s="655">
        <f t="shared" si="51"/>
        <v>8</v>
      </c>
      <c r="Q1099" s="655">
        <f t="shared" si="52"/>
        <v>5</v>
      </c>
      <c r="R1099" s="695" t="str">
        <f t="shared" si="53"/>
        <v>Gastos_custeados_por_captação</v>
      </c>
      <c r="S1099" s="697" t="s">
        <v>998</v>
      </c>
      <c r="T1099" s="697">
        <v>3459</v>
      </c>
    </row>
    <row r="1100" spans="1:20" ht="60" x14ac:dyDescent="0.2">
      <c r="A1100" s="432">
        <f>IF(B1100="","",COUNT('Diário 1º PA'!$A$4:$A$2635)+COUNT('Diário 2º PA'!$A$4:$A$3040)+ROW()-3)</f>
        <v>5196</v>
      </c>
      <c r="B1100" s="413">
        <v>44792</v>
      </c>
      <c r="C1100" s="431">
        <v>44682</v>
      </c>
      <c r="D1100" s="415" t="s">
        <v>468</v>
      </c>
      <c r="E1100" s="415" t="s">
        <v>468</v>
      </c>
      <c r="F1100" s="425">
        <v>17.399999999999999</v>
      </c>
      <c r="G1100" s="427" t="s">
        <v>6545</v>
      </c>
      <c r="H1100" s="415" t="s">
        <v>468</v>
      </c>
      <c r="I1100" s="427" t="s">
        <v>1461</v>
      </c>
      <c r="J1100" s="415" t="s">
        <v>310</v>
      </c>
      <c r="K1100" s="415" t="s">
        <v>1220</v>
      </c>
      <c r="L1100" s="415" t="s">
        <v>1368</v>
      </c>
      <c r="M1100" s="576" t="s">
        <v>310</v>
      </c>
      <c r="N1100" s="413">
        <v>44792</v>
      </c>
      <c r="O1100" s="414" t="s">
        <v>404</v>
      </c>
      <c r="P1100" s="655">
        <f t="shared" si="51"/>
        <v>8</v>
      </c>
      <c r="Q1100" s="655">
        <f t="shared" si="52"/>
        <v>5</v>
      </c>
      <c r="R1100" s="695" t="str">
        <f t="shared" si="53"/>
        <v>Gastos_custeados_por_captação</v>
      </c>
      <c r="S1100" s="697" t="s">
        <v>310</v>
      </c>
      <c r="T1100" s="697" t="s">
        <v>310</v>
      </c>
    </row>
    <row r="1101" spans="1:20" ht="60" x14ac:dyDescent="0.2">
      <c r="A1101" s="432">
        <f>IF(B1101="","",COUNT('Diário 1º PA'!$A$4:$A$2635)+COUNT('Diário 2º PA'!$A$4:$A$3040)+ROW()-3)</f>
        <v>5197</v>
      </c>
      <c r="B1101" s="413">
        <v>44792</v>
      </c>
      <c r="C1101" s="431">
        <v>44713</v>
      </c>
      <c r="D1101" s="415" t="s">
        <v>468</v>
      </c>
      <c r="E1101" s="415" t="s">
        <v>468</v>
      </c>
      <c r="F1101" s="425">
        <v>17.399999999999999</v>
      </c>
      <c r="G1101" s="427" t="s">
        <v>6560</v>
      </c>
      <c r="H1101" s="415" t="s">
        <v>468</v>
      </c>
      <c r="I1101" s="427" t="s">
        <v>1461</v>
      </c>
      <c r="J1101" s="415" t="s">
        <v>310</v>
      </c>
      <c r="K1101" s="415" t="s">
        <v>1220</v>
      </c>
      <c r="L1101" s="415" t="s">
        <v>1368</v>
      </c>
      <c r="M1101" s="576" t="s">
        <v>310</v>
      </c>
      <c r="N1101" s="413">
        <v>44792</v>
      </c>
      <c r="O1101" s="414" t="s">
        <v>404</v>
      </c>
      <c r="P1101" s="655">
        <f t="shared" si="51"/>
        <v>8</v>
      </c>
      <c r="Q1101" s="655">
        <f t="shared" si="52"/>
        <v>6</v>
      </c>
      <c r="R1101" s="695" t="str">
        <f t="shared" si="53"/>
        <v>Gastos_custeados_por_captação</v>
      </c>
      <c r="S1101" s="697" t="s">
        <v>310</v>
      </c>
      <c r="T1101" s="697" t="s">
        <v>310</v>
      </c>
    </row>
    <row r="1102" spans="1:20" ht="60" x14ac:dyDescent="0.2">
      <c r="A1102" s="432">
        <f>IF(B1102="","",COUNT('Diário 1º PA'!$A$4:$A$2635)+COUNT('Diário 2º PA'!$A$4:$A$3040)+ROW()-3)</f>
        <v>5198</v>
      </c>
      <c r="B1102" s="413">
        <v>44792</v>
      </c>
      <c r="C1102" s="431">
        <v>44682</v>
      </c>
      <c r="D1102" s="415" t="s">
        <v>468</v>
      </c>
      <c r="E1102" s="415" t="s">
        <v>468</v>
      </c>
      <c r="F1102" s="425">
        <v>57.45</v>
      </c>
      <c r="G1102" s="427" t="s">
        <v>6553</v>
      </c>
      <c r="H1102" s="415" t="s">
        <v>468</v>
      </c>
      <c r="I1102" s="427" t="s">
        <v>1461</v>
      </c>
      <c r="J1102" s="415" t="s">
        <v>310</v>
      </c>
      <c r="K1102" s="415" t="s">
        <v>1220</v>
      </c>
      <c r="L1102" s="415" t="s">
        <v>1368</v>
      </c>
      <c r="M1102" s="576" t="s">
        <v>310</v>
      </c>
      <c r="N1102" s="413">
        <v>44792</v>
      </c>
      <c r="O1102" s="414" t="s">
        <v>404</v>
      </c>
      <c r="P1102" s="655">
        <f t="shared" si="51"/>
        <v>8</v>
      </c>
      <c r="Q1102" s="655">
        <f t="shared" si="52"/>
        <v>5</v>
      </c>
      <c r="R1102" s="695" t="str">
        <f t="shared" si="53"/>
        <v>Gastos_custeados_por_captação</v>
      </c>
      <c r="S1102" s="697" t="s">
        <v>310</v>
      </c>
      <c r="T1102" s="697" t="s">
        <v>310</v>
      </c>
    </row>
    <row r="1103" spans="1:20" ht="60" x14ac:dyDescent="0.2">
      <c r="A1103" s="432">
        <f>IF(B1103="","",COUNT('Diário 1º PA'!$A$4:$A$2635)+COUNT('Diário 2º PA'!$A$4:$A$3040)+ROW()-3)</f>
        <v>5199</v>
      </c>
      <c r="B1103" s="413">
        <v>44792</v>
      </c>
      <c r="C1103" s="431">
        <v>44713</v>
      </c>
      <c r="D1103" s="415" t="s">
        <v>468</v>
      </c>
      <c r="E1103" s="415" t="s">
        <v>468</v>
      </c>
      <c r="F1103" s="425">
        <v>17.399999999999999</v>
      </c>
      <c r="G1103" s="427" t="s">
        <v>6549</v>
      </c>
      <c r="H1103" s="415" t="s">
        <v>468</v>
      </c>
      <c r="I1103" s="427" t="s">
        <v>1461</v>
      </c>
      <c r="J1103" s="415" t="s">
        <v>310</v>
      </c>
      <c r="K1103" s="415" t="s">
        <v>1220</v>
      </c>
      <c r="L1103" s="415" t="s">
        <v>1368</v>
      </c>
      <c r="M1103" s="576" t="s">
        <v>310</v>
      </c>
      <c r="N1103" s="413">
        <v>44792</v>
      </c>
      <c r="O1103" s="414" t="s">
        <v>404</v>
      </c>
      <c r="P1103" s="655">
        <f t="shared" si="51"/>
        <v>8</v>
      </c>
      <c r="Q1103" s="655">
        <f t="shared" si="52"/>
        <v>6</v>
      </c>
      <c r="R1103" s="695" t="str">
        <f t="shared" si="53"/>
        <v>Gastos_custeados_por_captação</v>
      </c>
      <c r="S1103" s="697" t="s">
        <v>310</v>
      </c>
      <c r="T1103" s="697" t="s">
        <v>310</v>
      </c>
    </row>
    <row r="1104" spans="1:20" ht="60" x14ac:dyDescent="0.2">
      <c r="A1104" s="432">
        <f>IF(B1104="","",COUNT('Diário 1º PA'!$A$4:$A$2635)+COUNT('Diário 2º PA'!$A$4:$A$3040)+ROW()-3)</f>
        <v>5200</v>
      </c>
      <c r="B1104" s="413">
        <v>44792</v>
      </c>
      <c r="C1104" s="431">
        <v>44713</v>
      </c>
      <c r="D1104" s="415" t="s">
        <v>468</v>
      </c>
      <c r="E1104" s="415" t="s">
        <v>468</v>
      </c>
      <c r="F1104" s="425">
        <v>930</v>
      </c>
      <c r="G1104" s="427" t="s">
        <v>6591</v>
      </c>
      <c r="H1104" s="415" t="s">
        <v>468</v>
      </c>
      <c r="I1104" s="639" t="s">
        <v>1461</v>
      </c>
      <c r="J1104" s="418" t="s">
        <v>310</v>
      </c>
      <c r="K1104" s="418" t="s">
        <v>1220</v>
      </c>
      <c r="L1104" s="399" t="s">
        <v>1368</v>
      </c>
      <c r="M1104" s="544" t="s">
        <v>310</v>
      </c>
      <c r="N1104" s="413">
        <v>44792</v>
      </c>
      <c r="O1104" s="414" t="s">
        <v>405</v>
      </c>
      <c r="P1104" s="655">
        <f t="shared" si="51"/>
        <v>8</v>
      </c>
      <c r="Q1104" s="655">
        <f t="shared" si="52"/>
        <v>6</v>
      </c>
      <c r="R1104" s="695" t="str">
        <f t="shared" si="53"/>
        <v>Gastos_custeados_por_captação</v>
      </c>
      <c r="S1104" s="697" t="s">
        <v>310</v>
      </c>
      <c r="T1104" s="697" t="s">
        <v>310</v>
      </c>
    </row>
    <row r="1105" spans="1:20" ht="60" x14ac:dyDescent="0.2">
      <c r="A1105" s="432">
        <f>IF(B1105="","",COUNT('Diário 1º PA'!$A$4:$A$2635)+COUNT('Diário 2º PA'!$A$4:$A$3040)+ROW()-3)</f>
        <v>5201</v>
      </c>
      <c r="B1105" s="413">
        <v>44792</v>
      </c>
      <c r="C1105" s="431">
        <v>44713</v>
      </c>
      <c r="D1105" s="415" t="s">
        <v>468</v>
      </c>
      <c r="E1105" s="415" t="s">
        <v>468</v>
      </c>
      <c r="F1105" s="425">
        <v>1085</v>
      </c>
      <c r="G1105" s="427" t="s">
        <v>6588</v>
      </c>
      <c r="H1105" s="415" t="s">
        <v>468</v>
      </c>
      <c r="I1105" s="639" t="s">
        <v>1461</v>
      </c>
      <c r="J1105" s="418" t="s">
        <v>310</v>
      </c>
      <c r="K1105" s="418" t="s">
        <v>1220</v>
      </c>
      <c r="L1105" s="399" t="s">
        <v>1368</v>
      </c>
      <c r="M1105" s="544" t="s">
        <v>310</v>
      </c>
      <c r="N1105" s="413">
        <v>44792</v>
      </c>
      <c r="O1105" s="414" t="s">
        <v>405</v>
      </c>
      <c r="P1105" s="655">
        <f t="shared" si="51"/>
        <v>8</v>
      </c>
      <c r="Q1105" s="655">
        <f t="shared" si="52"/>
        <v>6</v>
      </c>
      <c r="R1105" s="695" t="str">
        <f t="shared" si="53"/>
        <v>Gastos_custeados_por_captação</v>
      </c>
      <c r="S1105" s="697" t="s">
        <v>310</v>
      </c>
      <c r="T1105" s="697" t="s">
        <v>310</v>
      </c>
    </row>
    <row r="1106" spans="1:20" ht="60" x14ac:dyDescent="0.2">
      <c r="A1106" s="432">
        <f>IF(B1106="","",COUNT('Diário 1º PA'!$A$4:$A$2635)+COUNT('Diário 2º PA'!$A$4:$A$3040)+ROW()-3)</f>
        <v>5202</v>
      </c>
      <c r="B1106" s="413">
        <v>44792</v>
      </c>
      <c r="C1106" s="431">
        <v>44713</v>
      </c>
      <c r="D1106" s="415" t="s">
        <v>468</v>
      </c>
      <c r="E1106" s="415" t="s">
        <v>468</v>
      </c>
      <c r="F1106" s="425">
        <v>155</v>
      </c>
      <c r="G1106" s="427" t="s">
        <v>6898</v>
      </c>
      <c r="H1106" s="415" t="s">
        <v>468</v>
      </c>
      <c r="I1106" s="639" t="s">
        <v>1461</v>
      </c>
      <c r="J1106" s="418" t="s">
        <v>310</v>
      </c>
      <c r="K1106" s="418" t="s">
        <v>1220</v>
      </c>
      <c r="L1106" s="399" t="s">
        <v>1368</v>
      </c>
      <c r="M1106" s="544" t="s">
        <v>310</v>
      </c>
      <c r="N1106" s="413">
        <v>44792</v>
      </c>
      <c r="O1106" s="414" t="s">
        <v>405</v>
      </c>
      <c r="P1106" s="655">
        <f t="shared" si="51"/>
        <v>8</v>
      </c>
      <c r="Q1106" s="655">
        <f t="shared" si="52"/>
        <v>6</v>
      </c>
      <c r="R1106" s="695" t="str">
        <f t="shared" si="53"/>
        <v>Gastos_custeados_por_captação</v>
      </c>
      <c r="S1106" s="697" t="s">
        <v>310</v>
      </c>
      <c r="T1106" s="697" t="s">
        <v>310</v>
      </c>
    </row>
    <row r="1107" spans="1:20" ht="60" x14ac:dyDescent="0.2">
      <c r="A1107" s="432">
        <f>IF(B1107="","",COUNT('Diário 1º PA'!$A$4:$A$2635)+COUNT('Diário 2º PA'!$A$4:$A$3040)+ROW()-3)</f>
        <v>5203</v>
      </c>
      <c r="B1107" s="413">
        <v>44792</v>
      </c>
      <c r="C1107" s="431">
        <v>44743</v>
      </c>
      <c r="D1107" s="415" t="s">
        <v>468</v>
      </c>
      <c r="E1107" s="415" t="s">
        <v>468</v>
      </c>
      <c r="F1107" s="425">
        <v>1550</v>
      </c>
      <c r="G1107" s="427" t="s">
        <v>6602</v>
      </c>
      <c r="H1107" s="415" t="s">
        <v>468</v>
      </c>
      <c r="I1107" s="639" t="s">
        <v>1461</v>
      </c>
      <c r="J1107" s="418" t="s">
        <v>310</v>
      </c>
      <c r="K1107" s="418" t="s">
        <v>1220</v>
      </c>
      <c r="L1107" s="399" t="s">
        <v>1368</v>
      </c>
      <c r="M1107" s="544" t="s">
        <v>310</v>
      </c>
      <c r="N1107" s="413">
        <v>44792</v>
      </c>
      <c r="O1107" s="414" t="s">
        <v>405</v>
      </c>
      <c r="P1107" s="655">
        <f t="shared" si="51"/>
        <v>8</v>
      </c>
      <c r="Q1107" s="655">
        <f t="shared" si="52"/>
        <v>7</v>
      </c>
      <c r="R1107" s="695" t="str">
        <f t="shared" si="53"/>
        <v>Gastos_custeados_por_captação</v>
      </c>
      <c r="S1107" s="697" t="s">
        <v>310</v>
      </c>
      <c r="T1107" s="697" t="s">
        <v>310</v>
      </c>
    </row>
    <row r="1108" spans="1:20" ht="60" x14ac:dyDescent="0.2">
      <c r="A1108" s="432">
        <f>IF(B1108="","",COUNT('Diário 1º PA'!$A$4:$A$2635)+COUNT('Diário 2º PA'!$A$4:$A$3040)+ROW()-3)</f>
        <v>5204</v>
      </c>
      <c r="B1108" s="413">
        <v>44792</v>
      </c>
      <c r="C1108" s="431">
        <v>44713</v>
      </c>
      <c r="D1108" s="415" t="s">
        <v>468</v>
      </c>
      <c r="E1108" s="415" t="s">
        <v>468</v>
      </c>
      <c r="F1108" s="425">
        <v>852.5</v>
      </c>
      <c r="G1108" s="427" t="s">
        <v>6586</v>
      </c>
      <c r="H1108" s="415" t="s">
        <v>468</v>
      </c>
      <c r="I1108" s="639" t="s">
        <v>1461</v>
      </c>
      <c r="J1108" s="418" t="s">
        <v>310</v>
      </c>
      <c r="K1108" s="418" t="s">
        <v>1220</v>
      </c>
      <c r="L1108" s="399" t="s">
        <v>1368</v>
      </c>
      <c r="M1108" s="544" t="s">
        <v>310</v>
      </c>
      <c r="N1108" s="413">
        <v>44792</v>
      </c>
      <c r="O1108" s="414" t="s">
        <v>405</v>
      </c>
      <c r="P1108" s="655">
        <f t="shared" si="51"/>
        <v>8</v>
      </c>
      <c r="Q1108" s="655">
        <f t="shared" si="52"/>
        <v>6</v>
      </c>
      <c r="R1108" s="695" t="str">
        <f t="shared" si="53"/>
        <v>Gastos_custeados_por_captação</v>
      </c>
      <c r="S1108" s="697" t="s">
        <v>310</v>
      </c>
      <c r="T1108" s="697" t="s">
        <v>310</v>
      </c>
    </row>
    <row r="1109" spans="1:20" ht="60" x14ac:dyDescent="0.2">
      <c r="A1109" s="432">
        <f>IF(B1109="","",COUNT('Diário 1º PA'!$A$4:$A$2635)+COUNT('Diário 2º PA'!$A$4:$A$3040)+ROW()-3)</f>
        <v>5205</v>
      </c>
      <c r="B1109" s="413">
        <v>44792</v>
      </c>
      <c r="C1109" s="431">
        <v>44743</v>
      </c>
      <c r="D1109" s="415" t="s">
        <v>468</v>
      </c>
      <c r="E1109" s="415" t="s">
        <v>468</v>
      </c>
      <c r="F1109" s="425">
        <v>155</v>
      </c>
      <c r="G1109" s="427" t="s">
        <v>6605</v>
      </c>
      <c r="H1109" s="415" t="s">
        <v>468</v>
      </c>
      <c r="I1109" s="639" t="s">
        <v>1461</v>
      </c>
      <c r="J1109" s="418" t="s">
        <v>310</v>
      </c>
      <c r="K1109" s="418" t="s">
        <v>1220</v>
      </c>
      <c r="L1109" s="399" t="s">
        <v>1368</v>
      </c>
      <c r="M1109" s="544" t="s">
        <v>310</v>
      </c>
      <c r="N1109" s="413">
        <v>44792</v>
      </c>
      <c r="O1109" s="414" t="s">
        <v>405</v>
      </c>
      <c r="P1109" s="655">
        <f t="shared" si="51"/>
        <v>8</v>
      </c>
      <c r="Q1109" s="655">
        <f t="shared" si="52"/>
        <v>7</v>
      </c>
      <c r="R1109" s="695" t="str">
        <f t="shared" si="53"/>
        <v>Gastos_custeados_por_captação</v>
      </c>
      <c r="S1109" s="697" t="s">
        <v>310</v>
      </c>
      <c r="T1109" s="697" t="s">
        <v>310</v>
      </c>
    </row>
    <row r="1110" spans="1:20" ht="120" x14ac:dyDescent="0.2">
      <c r="A1110" s="432">
        <f>IF(B1110="","",COUNT('Diário 1º PA'!$A$4:$A$2635)+COUNT('Diário 2º PA'!$A$4:$A$3040)+ROW()-3)</f>
        <v>5206</v>
      </c>
      <c r="B1110" s="413">
        <v>44792</v>
      </c>
      <c r="C1110" s="431">
        <v>44743</v>
      </c>
      <c r="D1110" s="415" t="s">
        <v>468</v>
      </c>
      <c r="E1110" s="415" t="s">
        <v>468</v>
      </c>
      <c r="F1110" s="425">
        <v>1500</v>
      </c>
      <c r="G1110" s="427" t="s">
        <v>6083</v>
      </c>
      <c r="H1110" s="415" t="s">
        <v>468</v>
      </c>
      <c r="I1110" s="427" t="s">
        <v>6899</v>
      </c>
      <c r="J1110" s="415" t="s">
        <v>6084</v>
      </c>
      <c r="K1110" s="419" t="s">
        <v>806</v>
      </c>
      <c r="L1110" s="415" t="s">
        <v>1305</v>
      </c>
      <c r="M1110" s="576" t="s">
        <v>310</v>
      </c>
      <c r="N1110" s="413">
        <v>44791</v>
      </c>
      <c r="O1110" s="414" t="s">
        <v>405</v>
      </c>
      <c r="P1110" s="655">
        <f t="shared" si="51"/>
        <v>8</v>
      </c>
      <c r="Q1110" s="655">
        <f t="shared" si="52"/>
        <v>7</v>
      </c>
      <c r="R1110" s="695" t="str">
        <f t="shared" si="53"/>
        <v>Gastos_custeados_por_captação</v>
      </c>
      <c r="S1110" s="697" t="s">
        <v>998</v>
      </c>
      <c r="T1110" s="697">
        <v>4175</v>
      </c>
    </row>
    <row r="1111" spans="1:20" ht="60" x14ac:dyDescent="0.2">
      <c r="A1111" s="432">
        <f>IF(B1111="","",COUNT('Diário 1º PA'!$A$4:$A$2635)+COUNT('Diário 2º PA'!$A$4:$A$3040)+ROW()-3)</f>
        <v>5207</v>
      </c>
      <c r="B1111" s="413">
        <v>44792</v>
      </c>
      <c r="C1111" s="431">
        <v>44713</v>
      </c>
      <c r="D1111" s="415" t="s">
        <v>468</v>
      </c>
      <c r="E1111" s="415" t="s">
        <v>468</v>
      </c>
      <c r="F1111" s="425">
        <v>263.87</v>
      </c>
      <c r="G1111" s="427" t="s">
        <v>6580</v>
      </c>
      <c r="H1111" s="415" t="s">
        <v>468</v>
      </c>
      <c r="I1111" s="427" t="s">
        <v>1461</v>
      </c>
      <c r="J1111" s="418" t="s">
        <v>310</v>
      </c>
      <c r="K1111" s="418" t="s">
        <v>1220</v>
      </c>
      <c r="L1111" s="399" t="s">
        <v>1368</v>
      </c>
      <c r="M1111" s="544" t="s">
        <v>310</v>
      </c>
      <c r="N1111" s="413">
        <v>44792</v>
      </c>
      <c r="O1111" s="414" t="s">
        <v>405</v>
      </c>
      <c r="P1111" s="655">
        <f t="shared" si="51"/>
        <v>8</v>
      </c>
      <c r="Q1111" s="655">
        <f t="shared" si="52"/>
        <v>6</v>
      </c>
      <c r="R1111" s="695" t="str">
        <f t="shared" si="53"/>
        <v>Gastos_custeados_por_captação</v>
      </c>
      <c r="S1111" s="697" t="s">
        <v>310</v>
      </c>
      <c r="T1111" s="697" t="s">
        <v>310</v>
      </c>
    </row>
    <row r="1112" spans="1:20" ht="60" x14ac:dyDescent="0.2">
      <c r="A1112" s="432">
        <f>IF(B1112="","",COUNT('Diário 1º PA'!$A$4:$A$2635)+COUNT('Diário 2º PA'!$A$4:$A$3040)+ROW()-3)</f>
        <v>5208</v>
      </c>
      <c r="B1112" s="413">
        <v>44792</v>
      </c>
      <c r="C1112" s="431">
        <v>44713</v>
      </c>
      <c r="D1112" s="415" t="s">
        <v>468</v>
      </c>
      <c r="E1112" s="415" t="s">
        <v>468</v>
      </c>
      <c r="F1112" s="425">
        <v>263.87</v>
      </c>
      <c r="G1112" s="427" t="s">
        <v>6612</v>
      </c>
      <c r="H1112" s="415" t="s">
        <v>468</v>
      </c>
      <c r="I1112" s="427" t="s">
        <v>1461</v>
      </c>
      <c r="J1112" s="418" t="s">
        <v>310</v>
      </c>
      <c r="K1112" s="418" t="s">
        <v>1220</v>
      </c>
      <c r="L1112" s="399" t="s">
        <v>1368</v>
      </c>
      <c r="M1112" s="544" t="s">
        <v>310</v>
      </c>
      <c r="N1112" s="413">
        <v>44792</v>
      </c>
      <c r="O1112" s="414" t="s">
        <v>405</v>
      </c>
      <c r="P1112" s="655">
        <f t="shared" si="51"/>
        <v>8</v>
      </c>
      <c r="Q1112" s="655">
        <f t="shared" si="52"/>
        <v>6</v>
      </c>
      <c r="R1112" s="695" t="str">
        <f t="shared" si="53"/>
        <v>Gastos_custeados_por_captação</v>
      </c>
      <c r="S1112" s="697" t="s">
        <v>310</v>
      </c>
      <c r="T1112" s="697" t="s">
        <v>310</v>
      </c>
    </row>
    <row r="1113" spans="1:20" ht="60" x14ac:dyDescent="0.2">
      <c r="A1113" s="432">
        <f>IF(B1113="","",COUNT('Diário 1º PA'!$A$4:$A$2635)+COUNT('Diário 2º PA'!$A$4:$A$3040)+ROW()-3)</f>
        <v>5209</v>
      </c>
      <c r="B1113" s="413">
        <v>44792</v>
      </c>
      <c r="C1113" s="431">
        <v>44713</v>
      </c>
      <c r="D1113" s="415" t="s">
        <v>468</v>
      </c>
      <c r="E1113" s="415" t="s">
        <v>468</v>
      </c>
      <c r="F1113" s="425">
        <v>263.87</v>
      </c>
      <c r="G1113" s="427" t="s">
        <v>6607</v>
      </c>
      <c r="H1113" s="415" t="s">
        <v>468</v>
      </c>
      <c r="I1113" s="427" t="s">
        <v>1461</v>
      </c>
      <c r="J1113" s="418" t="s">
        <v>310</v>
      </c>
      <c r="K1113" s="418" t="s">
        <v>1220</v>
      </c>
      <c r="L1113" s="399" t="s">
        <v>1368</v>
      </c>
      <c r="M1113" s="544" t="s">
        <v>310</v>
      </c>
      <c r="N1113" s="413">
        <v>44792</v>
      </c>
      <c r="O1113" s="414" t="s">
        <v>405</v>
      </c>
      <c r="P1113" s="655">
        <f t="shared" si="51"/>
        <v>8</v>
      </c>
      <c r="Q1113" s="655">
        <f t="shared" si="52"/>
        <v>6</v>
      </c>
      <c r="R1113" s="695" t="str">
        <f t="shared" si="53"/>
        <v>Gastos_custeados_por_captação</v>
      </c>
      <c r="S1113" s="697" t="s">
        <v>310</v>
      </c>
      <c r="T1113" s="697" t="s">
        <v>310</v>
      </c>
    </row>
    <row r="1114" spans="1:20" ht="60" x14ac:dyDescent="0.2">
      <c r="A1114" s="432">
        <f>IF(B1114="","",COUNT('Diário 1º PA'!$A$4:$A$2635)+COUNT('Diário 2º PA'!$A$4:$A$3040)+ROW()-3)</f>
        <v>5210</v>
      </c>
      <c r="B1114" s="413">
        <v>44792</v>
      </c>
      <c r="C1114" s="431">
        <v>44713</v>
      </c>
      <c r="D1114" s="415" t="s">
        <v>468</v>
      </c>
      <c r="E1114" s="415" t="s">
        <v>468</v>
      </c>
      <c r="F1114" s="425">
        <v>263.87</v>
      </c>
      <c r="G1114" s="427" t="s">
        <v>6598</v>
      </c>
      <c r="H1114" s="415" t="s">
        <v>468</v>
      </c>
      <c r="I1114" s="427" t="s">
        <v>1461</v>
      </c>
      <c r="J1114" s="418" t="s">
        <v>310</v>
      </c>
      <c r="K1114" s="418" t="s">
        <v>1220</v>
      </c>
      <c r="L1114" s="399" t="s">
        <v>1368</v>
      </c>
      <c r="M1114" s="544" t="s">
        <v>310</v>
      </c>
      <c r="N1114" s="413">
        <v>44792</v>
      </c>
      <c r="O1114" s="414" t="s">
        <v>405</v>
      </c>
      <c r="P1114" s="655">
        <f t="shared" si="51"/>
        <v>8</v>
      </c>
      <c r="Q1114" s="655">
        <f t="shared" si="52"/>
        <v>6</v>
      </c>
      <c r="R1114" s="695" t="str">
        <f t="shared" si="53"/>
        <v>Gastos_custeados_por_captação</v>
      </c>
      <c r="S1114" s="697" t="s">
        <v>310</v>
      </c>
      <c r="T1114" s="697" t="s">
        <v>310</v>
      </c>
    </row>
    <row r="1115" spans="1:20" ht="60" x14ac:dyDescent="0.2">
      <c r="A1115" s="432">
        <f>IF(B1115="","",COUNT('Diário 1º PA'!$A$4:$A$2635)+COUNT('Diário 2º PA'!$A$4:$A$3040)+ROW()-3)</f>
        <v>5211</v>
      </c>
      <c r="B1115" s="413">
        <v>44792</v>
      </c>
      <c r="C1115" s="431">
        <v>44713</v>
      </c>
      <c r="D1115" s="415" t="s">
        <v>468</v>
      </c>
      <c r="E1115" s="415" t="s">
        <v>468</v>
      </c>
      <c r="F1115" s="425">
        <v>101.64</v>
      </c>
      <c r="G1115" s="427" t="s">
        <v>6628</v>
      </c>
      <c r="H1115" s="415" t="s">
        <v>468</v>
      </c>
      <c r="I1115" s="427" t="s">
        <v>1461</v>
      </c>
      <c r="J1115" s="418" t="s">
        <v>310</v>
      </c>
      <c r="K1115" s="418" t="s">
        <v>1220</v>
      </c>
      <c r="L1115" s="399" t="s">
        <v>1368</v>
      </c>
      <c r="M1115" s="544" t="s">
        <v>310</v>
      </c>
      <c r="N1115" s="413">
        <v>44792</v>
      </c>
      <c r="O1115" s="414" t="s">
        <v>405</v>
      </c>
      <c r="P1115" s="655">
        <f t="shared" si="51"/>
        <v>8</v>
      </c>
      <c r="Q1115" s="655">
        <f t="shared" si="52"/>
        <v>6</v>
      </c>
      <c r="R1115" s="695" t="str">
        <f t="shared" si="53"/>
        <v>Gastos_custeados_por_captação</v>
      </c>
      <c r="S1115" s="697" t="s">
        <v>310</v>
      </c>
      <c r="T1115" s="697" t="s">
        <v>310</v>
      </c>
    </row>
    <row r="1116" spans="1:20" ht="60" x14ac:dyDescent="0.2">
      <c r="A1116" s="432">
        <f>IF(B1116="","",COUNT('Diário 1º PA'!$A$4:$A$2635)+COUNT('Diário 2º PA'!$A$4:$A$3040)+ROW()-3)</f>
        <v>5212</v>
      </c>
      <c r="B1116" s="413">
        <v>44792</v>
      </c>
      <c r="C1116" s="431">
        <v>44713</v>
      </c>
      <c r="D1116" s="415" t="s">
        <v>468</v>
      </c>
      <c r="E1116" s="415" t="s">
        <v>468</v>
      </c>
      <c r="F1116" s="425">
        <v>42.97</v>
      </c>
      <c r="G1116" s="427" t="s">
        <v>6629</v>
      </c>
      <c r="H1116" s="415" t="s">
        <v>468</v>
      </c>
      <c r="I1116" s="427" t="s">
        <v>1461</v>
      </c>
      <c r="J1116" s="418" t="s">
        <v>310</v>
      </c>
      <c r="K1116" s="418" t="s">
        <v>1220</v>
      </c>
      <c r="L1116" s="399" t="s">
        <v>1368</v>
      </c>
      <c r="M1116" s="544" t="s">
        <v>310</v>
      </c>
      <c r="N1116" s="413">
        <v>44792</v>
      </c>
      <c r="O1116" s="414" t="s">
        <v>405</v>
      </c>
      <c r="P1116" s="655">
        <f t="shared" si="51"/>
        <v>8</v>
      </c>
      <c r="Q1116" s="655">
        <f t="shared" si="52"/>
        <v>6</v>
      </c>
      <c r="R1116" s="695" t="str">
        <f t="shared" si="53"/>
        <v>Gastos_custeados_por_captação</v>
      </c>
      <c r="S1116" s="697" t="s">
        <v>310</v>
      </c>
      <c r="T1116" s="697" t="s">
        <v>310</v>
      </c>
    </row>
    <row r="1117" spans="1:20" ht="60" x14ac:dyDescent="0.2">
      <c r="A1117" s="432">
        <f>IF(B1117="","",COUNT('Diário 1º PA'!$A$4:$A$2635)+COUNT('Diário 2º PA'!$A$4:$A$3040)+ROW()-3)</f>
        <v>5213</v>
      </c>
      <c r="B1117" s="413">
        <v>44792</v>
      </c>
      <c r="C1117" s="431">
        <v>44713</v>
      </c>
      <c r="D1117" s="415" t="s">
        <v>468</v>
      </c>
      <c r="E1117" s="415" t="s">
        <v>468</v>
      </c>
      <c r="F1117" s="425">
        <v>263.87</v>
      </c>
      <c r="G1117" s="427" t="s">
        <v>6609</v>
      </c>
      <c r="H1117" s="415" t="s">
        <v>468</v>
      </c>
      <c r="I1117" s="427" t="s">
        <v>1461</v>
      </c>
      <c r="J1117" s="418" t="s">
        <v>310</v>
      </c>
      <c r="K1117" s="418" t="s">
        <v>1220</v>
      </c>
      <c r="L1117" s="399" t="s">
        <v>1368</v>
      </c>
      <c r="M1117" s="544" t="s">
        <v>310</v>
      </c>
      <c r="N1117" s="413">
        <v>44792</v>
      </c>
      <c r="O1117" s="414" t="s">
        <v>405</v>
      </c>
      <c r="P1117" s="655">
        <f t="shared" si="51"/>
        <v>8</v>
      </c>
      <c r="Q1117" s="655">
        <f t="shared" si="52"/>
        <v>6</v>
      </c>
      <c r="R1117" s="695" t="str">
        <f t="shared" si="53"/>
        <v>Gastos_custeados_por_captação</v>
      </c>
      <c r="S1117" s="697" t="s">
        <v>310</v>
      </c>
      <c r="T1117" s="697" t="s">
        <v>310</v>
      </c>
    </row>
    <row r="1118" spans="1:20" ht="60" x14ac:dyDescent="0.2">
      <c r="A1118" s="432">
        <f>IF(B1118="","",COUNT('Diário 1º PA'!$A$4:$A$2635)+COUNT('Diário 2º PA'!$A$4:$A$3040)+ROW()-3)</f>
        <v>5214</v>
      </c>
      <c r="B1118" s="413">
        <v>44792</v>
      </c>
      <c r="C1118" s="431">
        <v>44713</v>
      </c>
      <c r="D1118" s="415" t="s">
        <v>468</v>
      </c>
      <c r="E1118" s="415" t="s">
        <v>468</v>
      </c>
      <c r="F1118" s="425">
        <v>57.45</v>
      </c>
      <c r="G1118" s="427" t="s">
        <v>6590</v>
      </c>
      <c r="H1118" s="415" t="s">
        <v>468</v>
      </c>
      <c r="I1118" s="427" t="s">
        <v>1461</v>
      </c>
      <c r="J1118" s="418" t="s">
        <v>310</v>
      </c>
      <c r="K1118" s="418" t="s">
        <v>1220</v>
      </c>
      <c r="L1118" s="399" t="s">
        <v>1368</v>
      </c>
      <c r="M1118" s="544" t="s">
        <v>310</v>
      </c>
      <c r="N1118" s="413">
        <v>44792</v>
      </c>
      <c r="O1118" s="414" t="s">
        <v>405</v>
      </c>
      <c r="P1118" s="655">
        <f t="shared" si="51"/>
        <v>8</v>
      </c>
      <c r="Q1118" s="655">
        <f t="shared" si="52"/>
        <v>6</v>
      </c>
      <c r="R1118" s="695" t="str">
        <f t="shared" si="53"/>
        <v>Gastos_custeados_por_captação</v>
      </c>
      <c r="S1118" s="697" t="s">
        <v>310</v>
      </c>
      <c r="T1118" s="697" t="s">
        <v>310</v>
      </c>
    </row>
    <row r="1119" spans="1:20" ht="60" x14ac:dyDescent="0.2">
      <c r="A1119" s="432">
        <f>IF(B1119="","",COUNT('Diário 1º PA'!$A$4:$A$2635)+COUNT('Diário 2º PA'!$A$4:$A$3040)+ROW()-3)</f>
        <v>5215</v>
      </c>
      <c r="B1119" s="413">
        <v>44792</v>
      </c>
      <c r="C1119" s="431">
        <v>44713</v>
      </c>
      <c r="D1119" s="415" t="s">
        <v>468</v>
      </c>
      <c r="E1119" s="415" t="s">
        <v>468</v>
      </c>
      <c r="F1119" s="425">
        <v>112.45</v>
      </c>
      <c r="G1119" s="427" t="s">
        <v>6587</v>
      </c>
      <c r="H1119" s="415" t="s">
        <v>468</v>
      </c>
      <c r="I1119" s="427" t="s">
        <v>1461</v>
      </c>
      <c r="J1119" s="418" t="s">
        <v>310</v>
      </c>
      <c r="K1119" s="418" t="s">
        <v>1220</v>
      </c>
      <c r="L1119" s="399" t="s">
        <v>1368</v>
      </c>
      <c r="M1119" s="544" t="s">
        <v>310</v>
      </c>
      <c r="N1119" s="413">
        <v>44792</v>
      </c>
      <c r="O1119" s="414" t="s">
        <v>405</v>
      </c>
      <c r="P1119" s="655">
        <f t="shared" si="51"/>
        <v>8</v>
      </c>
      <c r="Q1119" s="655">
        <f t="shared" si="52"/>
        <v>6</v>
      </c>
      <c r="R1119" s="695" t="str">
        <f t="shared" si="53"/>
        <v>Gastos_custeados_por_captação</v>
      </c>
      <c r="S1119" s="697" t="s">
        <v>310</v>
      </c>
      <c r="T1119" s="697" t="s">
        <v>310</v>
      </c>
    </row>
    <row r="1120" spans="1:20" ht="60" x14ac:dyDescent="0.2">
      <c r="A1120" s="432">
        <f>IF(B1120="","",COUNT('Diário 1º PA'!$A$4:$A$2635)+COUNT('Diário 2º PA'!$A$4:$A$3040)+ROW()-3)</f>
        <v>5216</v>
      </c>
      <c r="B1120" s="413">
        <v>44792</v>
      </c>
      <c r="C1120" s="431">
        <v>44743</v>
      </c>
      <c r="D1120" s="415" t="s">
        <v>468</v>
      </c>
      <c r="E1120" s="415" t="s">
        <v>468</v>
      </c>
      <c r="F1120" s="425">
        <v>365.12</v>
      </c>
      <c r="G1120" s="427" t="s">
        <v>6601</v>
      </c>
      <c r="H1120" s="415" t="s">
        <v>468</v>
      </c>
      <c r="I1120" s="427" t="s">
        <v>1461</v>
      </c>
      <c r="J1120" s="418" t="s">
        <v>310</v>
      </c>
      <c r="K1120" s="418" t="s">
        <v>1220</v>
      </c>
      <c r="L1120" s="399" t="s">
        <v>1368</v>
      </c>
      <c r="M1120" s="544" t="s">
        <v>310</v>
      </c>
      <c r="N1120" s="413">
        <v>44792</v>
      </c>
      <c r="O1120" s="414" t="s">
        <v>405</v>
      </c>
      <c r="P1120" s="655">
        <f t="shared" si="51"/>
        <v>8</v>
      </c>
      <c r="Q1120" s="655">
        <f t="shared" si="52"/>
        <v>7</v>
      </c>
      <c r="R1120" s="695" t="str">
        <f t="shared" si="53"/>
        <v>Gastos_custeados_por_captação</v>
      </c>
      <c r="S1120" s="697" t="s">
        <v>310</v>
      </c>
      <c r="T1120" s="697" t="s">
        <v>310</v>
      </c>
    </row>
    <row r="1121" spans="1:20" ht="60" x14ac:dyDescent="0.2">
      <c r="A1121" s="432">
        <f>IF(B1121="","",COUNT('Diário 1º PA'!$A$4:$A$2635)+COUNT('Diário 2º PA'!$A$4:$A$3040)+ROW()-3)</f>
        <v>5217</v>
      </c>
      <c r="B1121" s="413">
        <v>44792</v>
      </c>
      <c r="C1121" s="431">
        <v>44713</v>
      </c>
      <c r="D1121" s="415" t="s">
        <v>468</v>
      </c>
      <c r="E1121" s="415" t="s">
        <v>468</v>
      </c>
      <c r="F1121" s="425">
        <v>40.76</v>
      </c>
      <c r="G1121" s="427" t="s">
        <v>6585</v>
      </c>
      <c r="H1121" s="415" t="s">
        <v>468</v>
      </c>
      <c r="I1121" s="427" t="s">
        <v>1461</v>
      </c>
      <c r="J1121" s="418" t="s">
        <v>310</v>
      </c>
      <c r="K1121" s="418" t="s">
        <v>1220</v>
      </c>
      <c r="L1121" s="399" t="s">
        <v>1368</v>
      </c>
      <c r="M1121" s="544" t="s">
        <v>310</v>
      </c>
      <c r="N1121" s="413">
        <v>44792</v>
      </c>
      <c r="O1121" s="414" t="s">
        <v>405</v>
      </c>
      <c r="P1121" s="655">
        <f t="shared" si="51"/>
        <v>8</v>
      </c>
      <c r="Q1121" s="655">
        <f t="shared" si="52"/>
        <v>6</v>
      </c>
      <c r="R1121" s="695" t="str">
        <f t="shared" si="53"/>
        <v>Gastos_custeados_por_captação</v>
      </c>
      <c r="S1121" s="697" t="s">
        <v>310</v>
      </c>
      <c r="T1121" s="697" t="s">
        <v>310</v>
      </c>
    </row>
    <row r="1122" spans="1:20" ht="48" x14ac:dyDescent="0.2">
      <c r="A1122" s="432">
        <f>IF(B1122="","",COUNT('Diário 1º PA'!$A$4:$A$2635)+COUNT('Diário 2º PA'!$A$4:$A$3040)+ROW()-3)</f>
        <v>5218</v>
      </c>
      <c r="B1122" s="414">
        <v>44795</v>
      </c>
      <c r="C1122" s="424">
        <v>44743</v>
      </c>
      <c r="D1122" s="415" t="s">
        <v>271</v>
      </c>
      <c r="E1122" s="415" t="s">
        <v>326</v>
      </c>
      <c r="F1122" s="425">
        <v>-396.15</v>
      </c>
      <c r="G1122" s="427" t="s">
        <v>4849</v>
      </c>
      <c r="H1122" s="415" t="s">
        <v>309</v>
      </c>
      <c r="I1122" s="473" t="s">
        <v>795</v>
      </c>
      <c r="J1122" s="415" t="s">
        <v>796</v>
      </c>
      <c r="K1122" s="415" t="s">
        <v>797</v>
      </c>
      <c r="L1122" s="415" t="s">
        <v>798</v>
      </c>
      <c r="M1122" s="415" t="s">
        <v>310</v>
      </c>
      <c r="N1122" s="414">
        <v>44795</v>
      </c>
      <c r="O1122" s="414" t="s">
        <v>400</v>
      </c>
      <c r="P1122" s="655">
        <f t="shared" si="51"/>
        <v>8</v>
      </c>
      <c r="Q1122" s="655">
        <f t="shared" si="52"/>
        <v>7</v>
      </c>
      <c r="R1122" s="695" t="str">
        <f t="shared" si="53"/>
        <v>Gastos_Gerais</v>
      </c>
      <c r="S1122" s="697" t="s">
        <v>310</v>
      </c>
      <c r="T1122" s="697" t="s">
        <v>310</v>
      </c>
    </row>
    <row r="1123" spans="1:20" ht="36" x14ac:dyDescent="0.2">
      <c r="A1123" s="432">
        <f>IF(B1123="","",COUNT('Diário 1º PA'!$A$4:$A$2635)+COUNT('Diário 2º PA'!$A$4:$A$3040)+ROW()-3)</f>
        <v>5219</v>
      </c>
      <c r="B1123" s="414">
        <v>44795</v>
      </c>
      <c r="C1123" s="424">
        <v>44743</v>
      </c>
      <c r="D1123" s="415" t="s">
        <v>271</v>
      </c>
      <c r="E1123" s="415" t="s">
        <v>163</v>
      </c>
      <c r="F1123" s="425">
        <v>-62.94</v>
      </c>
      <c r="G1123" s="427" t="s">
        <v>6717</v>
      </c>
      <c r="H1123" s="415" t="s">
        <v>309</v>
      </c>
      <c r="I1123" s="473" t="s">
        <v>795</v>
      </c>
      <c r="J1123" s="415" t="s">
        <v>796</v>
      </c>
      <c r="K1123" s="415" t="s">
        <v>797</v>
      </c>
      <c r="L1123" s="415" t="s">
        <v>798</v>
      </c>
      <c r="M1123" s="415" t="s">
        <v>310</v>
      </c>
      <c r="N1123" s="414">
        <v>44795</v>
      </c>
      <c r="O1123" s="414" t="s">
        <v>400</v>
      </c>
      <c r="P1123" s="655">
        <f t="shared" si="51"/>
        <v>8</v>
      </c>
      <c r="Q1123" s="655">
        <f t="shared" si="52"/>
        <v>7</v>
      </c>
      <c r="R1123" s="695" t="str">
        <f t="shared" si="53"/>
        <v>Gastos_Gerais</v>
      </c>
      <c r="S1123" s="697" t="s">
        <v>310</v>
      </c>
      <c r="T1123" s="697" t="s">
        <v>310</v>
      </c>
    </row>
    <row r="1124" spans="1:20" ht="84" x14ac:dyDescent="0.2">
      <c r="A1124" s="432">
        <f>IF(B1124="","",COUNT('Diário 1º PA'!$A$4:$A$2635)+COUNT('Diário 2º PA'!$A$4:$A$3040)+ROW()-3)</f>
        <v>5220</v>
      </c>
      <c r="B1124" s="414">
        <v>44795</v>
      </c>
      <c r="C1124" s="431">
        <v>44743</v>
      </c>
      <c r="D1124" s="415" t="s">
        <v>271</v>
      </c>
      <c r="E1124" s="415" t="s">
        <v>442</v>
      </c>
      <c r="F1124" s="425">
        <v>1500</v>
      </c>
      <c r="G1124" s="427" t="s">
        <v>5830</v>
      </c>
      <c r="H1124" s="415" t="s">
        <v>758</v>
      </c>
      <c r="I1124" s="415" t="s">
        <v>6718</v>
      </c>
      <c r="J1124" s="415" t="s">
        <v>5831</v>
      </c>
      <c r="K1124" s="419" t="s">
        <v>806</v>
      </c>
      <c r="L1124" s="415" t="s">
        <v>32</v>
      </c>
      <c r="M1124" s="419" t="s">
        <v>1786</v>
      </c>
      <c r="N1124" s="413">
        <v>44788</v>
      </c>
      <c r="O1124" s="414" t="s">
        <v>400</v>
      </c>
      <c r="P1124" s="655">
        <f t="shared" si="51"/>
        <v>8</v>
      </c>
      <c r="Q1124" s="655">
        <f t="shared" si="52"/>
        <v>7</v>
      </c>
      <c r="R1124" s="695" t="str">
        <f t="shared" si="53"/>
        <v>Gastos_Gerais</v>
      </c>
      <c r="S1124" s="697" t="s">
        <v>998</v>
      </c>
      <c r="T1124" s="697">
        <v>4052</v>
      </c>
    </row>
    <row r="1125" spans="1:20" ht="24" x14ac:dyDescent="0.2">
      <c r="A1125" s="432">
        <f>IF(B1125="","",COUNT('Diário 1º PA'!$A$4:$A$2635)+COUNT('Diário 2º PA'!$A$4:$A$3040)+ROW()-3)</f>
        <v>5221</v>
      </c>
      <c r="B1125" s="414">
        <v>44795</v>
      </c>
      <c r="C1125" s="431">
        <v>44682</v>
      </c>
      <c r="D1125" s="415" t="s">
        <v>271</v>
      </c>
      <c r="E1125" s="415" t="s">
        <v>466</v>
      </c>
      <c r="F1125" s="422">
        <v>2037.26</v>
      </c>
      <c r="G1125" s="427" t="s">
        <v>4255</v>
      </c>
      <c r="H1125" s="415" t="s">
        <v>758</v>
      </c>
      <c r="I1125" s="415" t="s">
        <v>6719</v>
      </c>
      <c r="J1125" s="415" t="s">
        <v>4256</v>
      </c>
      <c r="K1125" s="419" t="s">
        <v>806</v>
      </c>
      <c r="L1125" s="415" t="s">
        <v>839</v>
      </c>
      <c r="M1125" s="419">
        <v>1957</v>
      </c>
      <c r="N1125" s="413">
        <v>44792</v>
      </c>
      <c r="O1125" s="414" t="s">
        <v>400</v>
      </c>
      <c r="P1125" s="655">
        <f t="shared" si="51"/>
        <v>8</v>
      </c>
      <c r="Q1125" s="655">
        <f t="shared" si="52"/>
        <v>5</v>
      </c>
      <c r="R1125" s="695" t="str">
        <f t="shared" si="53"/>
        <v>Gastos_Gerais</v>
      </c>
      <c r="S1125" s="697" t="s">
        <v>998</v>
      </c>
      <c r="T1125" s="697">
        <v>3682</v>
      </c>
    </row>
    <row r="1126" spans="1:20" ht="48" x14ac:dyDescent="0.2">
      <c r="A1126" s="432">
        <f>IF(B1126="","",COUNT('Diário 1º PA'!$A$4:$A$2635)+COUNT('Diário 2º PA'!$A$4:$A$3040)+ROW()-3)</f>
        <v>5222</v>
      </c>
      <c r="B1126" s="414">
        <v>44795</v>
      </c>
      <c r="C1126" s="431">
        <v>44713</v>
      </c>
      <c r="D1126" s="415" t="s">
        <v>271</v>
      </c>
      <c r="E1126" s="415" t="s">
        <v>442</v>
      </c>
      <c r="F1126" s="422">
        <v>989</v>
      </c>
      <c r="G1126" s="427" t="s">
        <v>5405</v>
      </c>
      <c r="H1126" s="415" t="s">
        <v>755</v>
      </c>
      <c r="I1126" s="415" t="s">
        <v>4715</v>
      </c>
      <c r="J1126" s="415" t="s">
        <v>2279</v>
      </c>
      <c r="K1126" s="419" t="s">
        <v>806</v>
      </c>
      <c r="L1126" s="415" t="s">
        <v>839</v>
      </c>
      <c r="M1126" s="419">
        <v>1956</v>
      </c>
      <c r="N1126" s="413">
        <v>44792</v>
      </c>
      <c r="O1126" s="414" t="s">
        <v>400</v>
      </c>
      <c r="P1126" s="655">
        <f t="shared" si="51"/>
        <v>8</v>
      </c>
      <c r="Q1126" s="655">
        <f t="shared" si="52"/>
        <v>6</v>
      </c>
      <c r="R1126" s="695" t="str">
        <f t="shared" si="53"/>
        <v>Gastos_Gerais</v>
      </c>
      <c r="S1126" s="697" t="s">
        <v>998</v>
      </c>
      <c r="T1126" s="697">
        <v>4027</v>
      </c>
    </row>
    <row r="1127" spans="1:20" ht="24" x14ac:dyDescent="0.2">
      <c r="A1127" s="432">
        <f>IF(B1127="","",COUNT('Diário 1º PA'!$A$4:$A$2635)+COUNT('Diário 2º PA'!$A$4:$A$3040)+ROW()-3)</f>
        <v>5223</v>
      </c>
      <c r="B1127" s="413">
        <v>44795</v>
      </c>
      <c r="C1127" s="433">
        <v>44743</v>
      </c>
      <c r="D1127" s="434" t="s">
        <v>271</v>
      </c>
      <c r="E1127" s="434" t="s">
        <v>163</v>
      </c>
      <c r="F1127" s="422">
        <v>238.3</v>
      </c>
      <c r="G1127" s="437" t="s">
        <v>5720</v>
      </c>
      <c r="H1127" s="434" t="s">
        <v>309</v>
      </c>
      <c r="I1127" s="437" t="s">
        <v>768</v>
      </c>
      <c r="J1127" s="434" t="s">
        <v>1021</v>
      </c>
      <c r="K1127" s="419" t="s">
        <v>1404</v>
      </c>
      <c r="L1127" s="415" t="s">
        <v>807</v>
      </c>
      <c r="M1127" s="419" t="s">
        <v>6725</v>
      </c>
      <c r="N1127" s="413">
        <v>44774</v>
      </c>
      <c r="O1127" s="414" t="s">
        <v>400</v>
      </c>
      <c r="P1127" s="655">
        <f t="shared" si="51"/>
        <v>8</v>
      </c>
      <c r="Q1127" s="655">
        <f t="shared" si="52"/>
        <v>7</v>
      </c>
      <c r="R1127" s="695" t="str">
        <f t="shared" si="53"/>
        <v>Gastos_Gerais</v>
      </c>
      <c r="S1127" s="697" t="s">
        <v>310</v>
      </c>
      <c r="T1127" s="697" t="s">
        <v>310</v>
      </c>
    </row>
    <row r="1128" spans="1:20" ht="24" x14ac:dyDescent="0.2">
      <c r="A1128" s="432">
        <f>IF(B1128="","",COUNT('Diário 1º PA'!$A$4:$A$2635)+COUNT('Diário 2º PA'!$A$4:$A$3040)+ROW()-3)</f>
        <v>5224</v>
      </c>
      <c r="B1128" s="414">
        <v>44795</v>
      </c>
      <c r="C1128" s="424">
        <v>44743</v>
      </c>
      <c r="D1128" s="415" t="s">
        <v>271</v>
      </c>
      <c r="E1128" s="415" t="s">
        <v>326</v>
      </c>
      <c r="F1128" s="425">
        <v>1434.3</v>
      </c>
      <c r="G1128" s="427" t="s">
        <v>6726</v>
      </c>
      <c r="H1128" s="415" t="s">
        <v>309</v>
      </c>
      <c r="I1128" s="473" t="s">
        <v>4856</v>
      </c>
      <c r="J1128" s="415" t="s">
        <v>3604</v>
      </c>
      <c r="K1128" s="415" t="s">
        <v>812</v>
      </c>
      <c r="L1128" s="415" t="s">
        <v>807</v>
      </c>
      <c r="M1128" s="415" t="s">
        <v>6727</v>
      </c>
      <c r="N1128" s="414">
        <v>44778</v>
      </c>
      <c r="O1128" s="414" t="s">
        <v>400</v>
      </c>
      <c r="P1128" s="655">
        <f t="shared" si="51"/>
        <v>8</v>
      </c>
      <c r="Q1128" s="655">
        <f t="shared" si="52"/>
        <v>7</v>
      </c>
      <c r="R1128" s="695" t="str">
        <f t="shared" si="53"/>
        <v>Gastos_Gerais</v>
      </c>
      <c r="S1128" s="697" t="s">
        <v>1000</v>
      </c>
      <c r="T1128" s="697">
        <v>3559</v>
      </c>
    </row>
    <row r="1129" spans="1:20" ht="72" x14ac:dyDescent="0.2">
      <c r="A1129" s="432">
        <f>IF(B1129="","",COUNT('Diário 1º PA'!$A$4:$A$2635)+COUNT('Diário 2º PA'!$A$4:$A$3040)+ROW()-3)</f>
        <v>5225</v>
      </c>
      <c r="B1129" s="414">
        <v>44795</v>
      </c>
      <c r="C1129" s="431">
        <v>44743</v>
      </c>
      <c r="D1129" s="415" t="s">
        <v>271</v>
      </c>
      <c r="E1129" s="415" t="s">
        <v>186</v>
      </c>
      <c r="F1129" s="425">
        <v>2952.47</v>
      </c>
      <c r="G1129" s="427" t="s">
        <v>3151</v>
      </c>
      <c r="H1129" s="415" t="s">
        <v>751</v>
      </c>
      <c r="I1129" s="415" t="s">
        <v>3740</v>
      </c>
      <c r="J1129" s="415" t="s">
        <v>1029</v>
      </c>
      <c r="K1129" s="415" t="s">
        <v>812</v>
      </c>
      <c r="L1129" s="415" t="s">
        <v>807</v>
      </c>
      <c r="M1129" s="419" t="s">
        <v>5513</v>
      </c>
      <c r="N1129" s="413">
        <v>44778</v>
      </c>
      <c r="O1129" s="414" t="s">
        <v>400</v>
      </c>
      <c r="P1129" s="655">
        <f t="shared" si="51"/>
        <v>8</v>
      </c>
      <c r="Q1129" s="655">
        <f t="shared" si="52"/>
        <v>7</v>
      </c>
      <c r="R1129" s="695" t="str">
        <f t="shared" si="53"/>
        <v>Gastos_Gerais</v>
      </c>
      <c r="S1129" s="697" t="s">
        <v>1000</v>
      </c>
      <c r="T1129" s="697">
        <v>1501</v>
      </c>
    </row>
    <row r="1130" spans="1:20" ht="120" x14ac:dyDescent="0.2">
      <c r="A1130" s="432">
        <f>IF(B1130="","",COUNT('Diário 1º PA'!$A$4:$A$2635)+COUNT('Diário 2º PA'!$A$4:$A$3040)+ROW()-3)</f>
        <v>5226</v>
      </c>
      <c r="B1130" s="413">
        <v>44795</v>
      </c>
      <c r="C1130" s="431">
        <v>44774</v>
      </c>
      <c r="D1130" s="415" t="s">
        <v>271</v>
      </c>
      <c r="E1130" s="415" t="s">
        <v>297</v>
      </c>
      <c r="F1130" s="425">
        <v>111.46</v>
      </c>
      <c r="G1130" s="427" t="s">
        <v>6538</v>
      </c>
      <c r="H1130" s="415" t="s">
        <v>755</v>
      </c>
      <c r="I1130" s="415" t="s">
        <v>2482</v>
      </c>
      <c r="J1130" s="415" t="s">
        <v>1735</v>
      </c>
      <c r="K1130" s="419" t="s">
        <v>830</v>
      </c>
      <c r="L1130" s="415" t="s">
        <v>310</v>
      </c>
      <c r="M1130" s="419" t="s">
        <v>310</v>
      </c>
      <c r="N1130" s="413">
        <v>44789</v>
      </c>
      <c r="O1130" s="414" t="s">
        <v>400</v>
      </c>
      <c r="P1130" s="655">
        <f t="shared" si="51"/>
        <v>8</v>
      </c>
      <c r="Q1130" s="655">
        <f t="shared" si="52"/>
        <v>8</v>
      </c>
      <c r="R1130" s="695" t="str">
        <f t="shared" si="53"/>
        <v>Gastos_Gerais</v>
      </c>
      <c r="S1130" s="697" t="s">
        <v>999</v>
      </c>
      <c r="T1130" s="697">
        <v>4271</v>
      </c>
    </row>
    <row r="1131" spans="1:20" ht="36" x14ac:dyDescent="0.2">
      <c r="A1131" s="432">
        <f>IF(B1131="","",COUNT('Diário 1º PA'!$A$4:$A$2635)+COUNT('Diário 2º PA'!$A$4:$A$3040)+ROW()-3)</f>
        <v>5227</v>
      </c>
      <c r="B1131" s="414">
        <v>44795</v>
      </c>
      <c r="C1131" s="431">
        <v>44774</v>
      </c>
      <c r="D1131" s="415" t="s">
        <v>182</v>
      </c>
      <c r="E1131" s="415" t="s">
        <v>175</v>
      </c>
      <c r="F1131" s="425">
        <v>5668.5</v>
      </c>
      <c r="G1131" s="427" t="s">
        <v>6730</v>
      </c>
      <c r="H1131" s="415" t="s">
        <v>310</v>
      </c>
      <c r="I1131" s="473" t="s">
        <v>911</v>
      </c>
      <c r="J1131" s="415" t="s">
        <v>912</v>
      </c>
      <c r="K1131" s="415" t="s">
        <v>6482</v>
      </c>
      <c r="L1131" s="415" t="s">
        <v>6731</v>
      </c>
      <c r="M1131" s="415" t="s">
        <v>310</v>
      </c>
      <c r="N1131" s="413">
        <v>44795</v>
      </c>
      <c r="O1131" s="414" t="s">
        <v>400</v>
      </c>
      <c r="P1131" s="655">
        <f t="shared" si="51"/>
        <v>8</v>
      </c>
      <c r="Q1131" s="655">
        <f t="shared" si="52"/>
        <v>8</v>
      </c>
      <c r="R1131" s="695" t="str">
        <f t="shared" si="53"/>
        <v>Gastos_com_Pessoal</v>
      </c>
      <c r="S1131" s="697" t="s">
        <v>310</v>
      </c>
      <c r="T1131" s="697" t="s">
        <v>310</v>
      </c>
    </row>
    <row r="1132" spans="1:20" ht="36" x14ac:dyDescent="0.2">
      <c r="A1132" s="432">
        <f>IF(B1132="","",COUNT('Diário 1º PA'!$A$4:$A$2635)+COUNT('Diário 2º PA'!$A$4:$A$3040)+ROW()-3)</f>
        <v>5228</v>
      </c>
      <c r="B1132" s="414">
        <v>44795</v>
      </c>
      <c r="C1132" s="431">
        <v>44774</v>
      </c>
      <c r="D1132" s="415" t="s">
        <v>271</v>
      </c>
      <c r="E1132" s="415" t="s">
        <v>71</v>
      </c>
      <c r="F1132" s="425">
        <v>11</v>
      </c>
      <c r="G1132" s="427" t="s">
        <v>6732</v>
      </c>
      <c r="H1132" s="415" t="s">
        <v>755</v>
      </c>
      <c r="I1132" s="398" t="s">
        <v>881</v>
      </c>
      <c r="J1132" s="418" t="s">
        <v>882</v>
      </c>
      <c r="K1132" s="418" t="s">
        <v>883</v>
      </c>
      <c r="L1132" s="399" t="s">
        <v>798</v>
      </c>
      <c r="M1132" s="544" t="s">
        <v>310</v>
      </c>
      <c r="N1132" s="413">
        <v>44795</v>
      </c>
      <c r="O1132" s="414" t="s">
        <v>400</v>
      </c>
      <c r="P1132" s="655">
        <f t="shared" si="51"/>
        <v>8</v>
      </c>
      <c r="Q1132" s="655">
        <f t="shared" si="52"/>
        <v>8</v>
      </c>
      <c r="R1132" s="695" t="str">
        <f t="shared" si="53"/>
        <v>Gastos_Gerais</v>
      </c>
      <c r="S1132" s="697" t="s">
        <v>310</v>
      </c>
      <c r="T1132" s="697" t="s">
        <v>310</v>
      </c>
    </row>
    <row r="1133" spans="1:20" ht="36" x14ac:dyDescent="0.2">
      <c r="A1133" s="432">
        <f>IF(B1133="","",COUNT('Diário 1º PA'!$A$4:$A$2635)+COUNT('Diário 2º PA'!$A$4:$A$3040)+ROW()-3)</f>
        <v>5229</v>
      </c>
      <c r="B1133" s="414">
        <v>44795</v>
      </c>
      <c r="C1133" s="431">
        <v>44774</v>
      </c>
      <c r="D1133" s="415" t="s">
        <v>271</v>
      </c>
      <c r="E1133" s="415" t="s">
        <v>71</v>
      </c>
      <c r="F1133" s="425">
        <v>11</v>
      </c>
      <c r="G1133" s="427" t="s">
        <v>6733</v>
      </c>
      <c r="H1133" s="415" t="s">
        <v>758</v>
      </c>
      <c r="I1133" s="398" t="s">
        <v>881</v>
      </c>
      <c r="J1133" s="418" t="s">
        <v>882</v>
      </c>
      <c r="K1133" s="418" t="s">
        <v>883</v>
      </c>
      <c r="L1133" s="399" t="s">
        <v>798</v>
      </c>
      <c r="M1133" s="544" t="s">
        <v>310</v>
      </c>
      <c r="N1133" s="413">
        <v>44795</v>
      </c>
      <c r="O1133" s="414" t="s">
        <v>400</v>
      </c>
      <c r="P1133" s="655">
        <f t="shared" si="51"/>
        <v>8</v>
      </c>
      <c r="Q1133" s="655">
        <f t="shared" si="52"/>
        <v>8</v>
      </c>
      <c r="R1133" s="695" t="str">
        <f t="shared" si="53"/>
        <v>Gastos_Gerais</v>
      </c>
      <c r="S1133" s="697" t="s">
        <v>310</v>
      </c>
      <c r="T1133" s="697" t="s">
        <v>310</v>
      </c>
    </row>
    <row r="1134" spans="1:20" ht="48" x14ac:dyDescent="0.2">
      <c r="A1134" s="432">
        <f>IF(B1134="","",COUNT('Diário 1º PA'!$A$4:$A$2635)+COUNT('Diário 2º PA'!$A$4:$A$3040)+ROW()-3)</f>
        <v>5230</v>
      </c>
      <c r="B1134" s="414">
        <v>44795</v>
      </c>
      <c r="C1134" s="431">
        <v>44774</v>
      </c>
      <c r="D1134" s="415" t="s">
        <v>34</v>
      </c>
      <c r="E1134" s="415" t="s">
        <v>331</v>
      </c>
      <c r="F1134" s="425">
        <v>61823.08</v>
      </c>
      <c r="G1134" s="427" t="s">
        <v>5658</v>
      </c>
      <c r="H1134" s="415" t="s">
        <v>310</v>
      </c>
      <c r="I1134" s="437" t="s">
        <v>2437</v>
      </c>
      <c r="J1134" s="434" t="s">
        <v>796</v>
      </c>
      <c r="K1134" s="434" t="s">
        <v>797</v>
      </c>
      <c r="L1134" s="434" t="s">
        <v>798</v>
      </c>
      <c r="M1134" s="436" t="s">
        <v>310</v>
      </c>
      <c r="N1134" s="413">
        <v>44795</v>
      </c>
      <c r="O1134" s="414" t="s">
        <v>3762</v>
      </c>
      <c r="P1134" s="655">
        <f t="shared" si="51"/>
        <v>8</v>
      </c>
      <c r="Q1134" s="655">
        <f t="shared" si="52"/>
        <v>8</v>
      </c>
      <c r="R1134" s="695" t="str">
        <f t="shared" si="53"/>
        <v>Receitas</v>
      </c>
      <c r="S1134" s="697" t="s">
        <v>310</v>
      </c>
      <c r="T1134" s="697" t="s">
        <v>310</v>
      </c>
    </row>
    <row r="1135" spans="1:20" ht="36" x14ac:dyDescent="0.2">
      <c r="A1135" s="432">
        <f>IF(B1135="","",COUNT('Diário 1º PA'!$A$4:$A$2635)+COUNT('Diário 2º PA'!$A$4:$A$3040)+ROW()-3)</f>
        <v>5231</v>
      </c>
      <c r="B1135" s="414">
        <v>44795</v>
      </c>
      <c r="C1135" s="431">
        <v>44743</v>
      </c>
      <c r="D1135" s="415" t="s">
        <v>468</v>
      </c>
      <c r="E1135" s="415" t="s">
        <v>468</v>
      </c>
      <c r="F1135" s="425">
        <v>1000</v>
      </c>
      <c r="G1135" s="427" t="s">
        <v>4124</v>
      </c>
      <c r="H1135" s="415" t="s">
        <v>468</v>
      </c>
      <c r="I1135" s="398" t="s">
        <v>6421</v>
      </c>
      <c r="J1135" s="415" t="s">
        <v>2994</v>
      </c>
      <c r="K1135" s="418" t="s">
        <v>812</v>
      </c>
      <c r="L1135" s="399" t="s">
        <v>32</v>
      </c>
      <c r="M1135" s="544">
        <v>913</v>
      </c>
      <c r="N1135" s="413">
        <v>44775</v>
      </c>
      <c r="O1135" s="414" t="s">
        <v>408</v>
      </c>
      <c r="P1135" s="655">
        <f t="shared" si="51"/>
        <v>8</v>
      </c>
      <c r="Q1135" s="655">
        <f t="shared" si="52"/>
        <v>7</v>
      </c>
      <c r="R1135" s="695" t="str">
        <f t="shared" si="53"/>
        <v>Gastos_custeados_por_captação</v>
      </c>
      <c r="S1135" s="697" t="s">
        <v>1000</v>
      </c>
      <c r="T1135" s="697">
        <v>2783</v>
      </c>
    </row>
    <row r="1136" spans="1:20" ht="84" x14ac:dyDescent="0.2">
      <c r="A1136" s="432">
        <f>IF(B1136="","",COUNT('Diário 1º PA'!$A$4:$A$2635)+COUNT('Diário 2º PA'!$A$4:$A$3040)+ROW()-3)</f>
        <v>5232</v>
      </c>
      <c r="B1136" s="414">
        <v>44796</v>
      </c>
      <c r="C1136" s="431">
        <v>44743</v>
      </c>
      <c r="D1136" s="415" t="s">
        <v>271</v>
      </c>
      <c r="E1136" s="415" t="s">
        <v>186</v>
      </c>
      <c r="F1136" s="435">
        <v>-1901.52</v>
      </c>
      <c r="G1136" s="437" t="s">
        <v>3362</v>
      </c>
      <c r="H1136" s="434" t="s">
        <v>309</v>
      </c>
      <c r="I1136" s="474" t="s">
        <v>795</v>
      </c>
      <c r="J1136" s="434" t="s">
        <v>796</v>
      </c>
      <c r="K1136" s="434" t="s">
        <v>797</v>
      </c>
      <c r="L1136" s="434" t="s">
        <v>798</v>
      </c>
      <c r="M1136" s="436" t="s">
        <v>310</v>
      </c>
      <c r="N1136" s="414">
        <v>44796</v>
      </c>
      <c r="O1136" s="414" t="s">
        <v>400</v>
      </c>
      <c r="P1136" s="655">
        <f t="shared" si="51"/>
        <v>8</v>
      </c>
      <c r="Q1136" s="655">
        <f t="shared" si="52"/>
        <v>7</v>
      </c>
      <c r="R1136" s="695" t="str">
        <f t="shared" si="53"/>
        <v>Gastos_Gerais</v>
      </c>
      <c r="S1136" s="697" t="s">
        <v>310</v>
      </c>
      <c r="T1136" s="697" t="s">
        <v>310</v>
      </c>
    </row>
    <row r="1137" spans="1:20" ht="60" x14ac:dyDescent="0.2">
      <c r="A1137" s="432">
        <f>IF(B1137="","",COUNT('Diário 1º PA'!$A$4:$A$2635)+COUNT('Diário 2º PA'!$A$4:$A$3040)+ROW()-3)</f>
        <v>5233</v>
      </c>
      <c r="B1137" s="414">
        <v>44796</v>
      </c>
      <c r="C1137" s="431">
        <v>44713</v>
      </c>
      <c r="D1137" s="415" t="s">
        <v>271</v>
      </c>
      <c r="E1137" s="415" t="s">
        <v>442</v>
      </c>
      <c r="F1137" s="425">
        <v>2000</v>
      </c>
      <c r="G1137" s="427" t="s">
        <v>4587</v>
      </c>
      <c r="H1137" s="415" t="s">
        <v>758</v>
      </c>
      <c r="I1137" s="415" t="s">
        <v>6735</v>
      </c>
      <c r="J1137" s="415" t="s">
        <v>2024</v>
      </c>
      <c r="K1137" s="419" t="s">
        <v>806</v>
      </c>
      <c r="L1137" s="415" t="s">
        <v>32</v>
      </c>
      <c r="M1137" s="419" t="s">
        <v>1308</v>
      </c>
      <c r="N1137" s="413">
        <v>44795</v>
      </c>
      <c r="O1137" s="414" t="s">
        <v>400</v>
      </c>
      <c r="P1137" s="655">
        <f t="shared" si="51"/>
        <v>8</v>
      </c>
      <c r="Q1137" s="655">
        <f t="shared" si="52"/>
        <v>6</v>
      </c>
      <c r="R1137" s="695" t="str">
        <f t="shared" si="53"/>
        <v>Gastos_Gerais</v>
      </c>
      <c r="S1137" s="697" t="s">
        <v>998</v>
      </c>
      <c r="T1137" s="697">
        <v>3866</v>
      </c>
    </row>
    <row r="1138" spans="1:20" ht="24" x14ac:dyDescent="0.2">
      <c r="A1138" s="432">
        <f>IF(B1138="","",COUNT('Diário 1º PA'!$A$4:$A$2635)+COUNT('Diário 2º PA'!$A$4:$A$3040)+ROW()-3)</f>
        <v>5234</v>
      </c>
      <c r="B1138" s="414">
        <v>44796</v>
      </c>
      <c r="C1138" s="431">
        <v>44774</v>
      </c>
      <c r="D1138" s="434" t="s">
        <v>271</v>
      </c>
      <c r="E1138" s="434" t="s">
        <v>84</v>
      </c>
      <c r="F1138" s="435">
        <v>25.12</v>
      </c>
      <c r="G1138" s="437" t="s">
        <v>1479</v>
      </c>
      <c r="H1138" s="434" t="s">
        <v>750</v>
      </c>
      <c r="I1138" s="437" t="s">
        <v>766</v>
      </c>
      <c r="J1138" s="415" t="s">
        <v>1019</v>
      </c>
      <c r="K1138" s="418" t="s">
        <v>1392</v>
      </c>
      <c r="L1138" s="399" t="s">
        <v>1372</v>
      </c>
      <c r="M1138" s="419" t="s">
        <v>6736</v>
      </c>
      <c r="N1138" s="413">
        <v>44786</v>
      </c>
      <c r="O1138" s="414" t="s">
        <v>400</v>
      </c>
      <c r="P1138" s="655">
        <f t="shared" si="51"/>
        <v>8</v>
      </c>
      <c r="Q1138" s="655">
        <f t="shared" si="52"/>
        <v>8</v>
      </c>
      <c r="R1138" s="695" t="str">
        <f t="shared" si="53"/>
        <v>Gastos_Gerais</v>
      </c>
      <c r="S1138" s="697" t="s">
        <v>310</v>
      </c>
      <c r="T1138" s="697" t="s">
        <v>310</v>
      </c>
    </row>
    <row r="1139" spans="1:20" ht="72" x14ac:dyDescent="0.2">
      <c r="A1139" s="432">
        <f>IF(B1139="","",COUNT('Diário 1º PA'!$A$4:$A$2635)+COUNT('Diário 2º PA'!$A$4:$A$3040)+ROW()-3)</f>
        <v>5235</v>
      </c>
      <c r="B1139" s="414">
        <v>44796</v>
      </c>
      <c r="C1139" s="431">
        <v>44774</v>
      </c>
      <c r="D1139" s="415" t="s">
        <v>271</v>
      </c>
      <c r="E1139" s="415" t="s">
        <v>139</v>
      </c>
      <c r="F1139" s="425">
        <v>50.46</v>
      </c>
      <c r="G1139" s="427" t="s">
        <v>6734</v>
      </c>
      <c r="H1139" s="415" t="s">
        <v>755</v>
      </c>
      <c r="I1139" s="415" t="s">
        <v>6737</v>
      </c>
      <c r="J1139" s="415" t="s">
        <v>1735</v>
      </c>
      <c r="K1139" s="419" t="s">
        <v>830</v>
      </c>
      <c r="L1139" s="415" t="s">
        <v>310</v>
      </c>
      <c r="M1139" s="419" t="s">
        <v>310</v>
      </c>
      <c r="N1139" s="413">
        <v>44791</v>
      </c>
      <c r="O1139" s="414" t="s">
        <v>400</v>
      </c>
      <c r="P1139" s="655">
        <f t="shared" si="51"/>
        <v>8</v>
      </c>
      <c r="Q1139" s="655">
        <f t="shared" si="52"/>
        <v>8</v>
      </c>
      <c r="R1139" s="695" t="str">
        <f t="shared" si="53"/>
        <v>Gastos_Gerais</v>
      </c>
      <c r="S1139" s="697" t="s">
        <v>999</v>
      </c>
      <c r="T1139" s="697">
        <v>4284</v>
      </c>
    </row>
    <row r="1140" spans="1:20" ht="48" x14ac:dyDescent="0.2">
      <c r="A1140" s="432">
        <f>IF(B1140="","",COUNT('Diário 1º PA'!$A$4:$A$2635)+COUNT('Diário 2º PA'!$A$4:$A$3040)+ROW()-3)</f>
        <v>5236</v>
      </c>
      <c r="B1140" s="414">
        <v>44796</v>
      </c>
      <c r="C1140" s="431">
        <v>44743</v>
      </c>
      <c r="D1140" s="415" t="s">
        <v>271</v>
      </c>
      <c r="E1140" s="415" t="s">
        <v>456</v>
      </c>
      <c r="F1140" s="425">
        <v>1512</v>
      </c>
      <c r="G1140" s="427" t="s">
        <v>5803</v>
      </c>
      <c r="H1140" s="415" t="s">
        <v>758</v>
      </c>
      <c r="I1140" s="415" t="s">
        <v>6738</v>
      </c>
      <c r="J1140" s="415" t="s">
        <v>5804</v>
      </c>
      <c r="K1140" s="419" t="s">
        <v>830</v>
      </c>
      <c r="L1140" s="415" t="s">
        <v>839</v>
      </c>
      <c r="M1140" s="419">
        <v>1958</v>
      </c>
      <c r="N1140" s="413">
        <v>44795</v>
      </c>
      <c r="O1140" s="414" t="s">
        <v>400</v>
      </c>
      <c r="P1140" s="655">
        <f t="shared" si="51"/>
        <v>8</v>
      </c>
      <c r="Q1140" s="655">
        <f t="shared" si="52"/>
        <v>7</v>
      </c>
      <c r="R1140" s="695" t="str">
        <f t="shared" si="53"/>
        <v>Gastos_Gerais</v>
      </c>
      <c r="S1140" s="697" t="s">
        <v>998</v>
      </c>
      <c r="T1140" s="697">
        <v>4044</v>
      </c>
    </row>
    <row r="1141" spans="1:20" ht="36" x14ac:dyDescent="0.2">
      <c r="A1141" s="432">
        <f>IF(B1141="","",COUNT('Diário 1º PA'!$A$4:$A$2635)+COUNT('Diário 2º PA'!$A$4:$A$3040)+ROW()-3)</f>
        <v>5237</v>
      </c>
      <c r="B1141" s="414">
        <v>44796</v>
      </c>
      <c r="C1141" s="431">
        <v>44682</v>
      </c>
      <c r="D1141" s="415" t="s">
        <v>271</v>
      </c>
      <c r="E1141" s="415" t="s">
        <v>456</v>
      </c>
      <c r="F1141" s="425">
        <v>1848</v>
      </c>
      <c r="G1141" s="427" t="s">
        <v>4346</v>
      </c>
      <c r="H1141" s="415" t="s">
        <v>758</v>
      </c>
      <c r="I1141" s="415" t="s">
        <v>6741</v>
      </c>
      <c r="J1141" s="415" t="s">
        <v>4347</v>
      </c>
      <c r="K1141" s="419" t="s">
        <v>830</v>
      </c>
      <c r="L1141" s="415" t="s">
        <v>839</v>
      </c>
      <c r="M1141" s="419">
        <v>1854</v>
      </c>
      <c r="N1141" s="413">
        <v>44791</v>
      </c>
      <c r="O1141" s="414" t="s">
        <v>400</v>
      </c>
      <c r="P1141" s="655">
        <f t="shared" si="51"/>
        <v>8</v>
      </c>
      <c r="Q1141" s="655">
        <f t="shared" si="52"/>
        <v>5</v>
      </c>
      <c r="R1141" s="695" t="str">
        <f t="shared" si="53"/>
        <v>Gastos_Gerais</v>
      </c>
      <c r="S1141" s="697" t="s">
        <v>998</v>
      </c>
      <c r="T1141" s="697">
        <v>3791</v>
      </c>
    </row>
    <row r="1142" spans="1:20" ht="60" x14ac:dyDescent="0.2">
      <c r="A1142" s="432">
        <f>IF(B1142="","",COUNT('Diário 1º PA'!$A$4:$A$2635)+COUNT('Diário 2º PA'!$A$4:$A$3040)+ROW()-3)</f>
        <v>5238</v>
      </c>
      <c r="B1142" s="414">
        <v>44796</v>
      </c>
      <c r="C1142" s="431">
        <v>44743</v>
      </c>
      <c r="D1142" s="415" t="s">
        <v>271</v>
      </c>
      <c r="E1142" s="415" t="s">
        <v>456</v>
      </c>
      <c r="F1142" s="425">
        <v>1600</v>
      </c>
      <c r="G1142" s="427" t="s">
        <v>6079</v>
      </c>
      <c r="H1142" s="415" t="s">
        <v>758</v>
      </c>
      <c r="I1142" s="415" t="s">
        <v>6744</v>
      </c>
      <c r="J1142" s="415" t="s">
        <v>6080</v>
      </c>
      <c r="K1142" s="419" t="s">
        <v>830</v>
      </c>
      <c r="L1142" s="415" t="s">
        <v>32</v>
      </c>
      <c r="M1142" s="419" t="s">
        <v>1786</v>
      </c>
      <c r="N1142" s="413">
        <v>44792</v>
      </c>
      <c r="O1142" s="414" t="s">
        <v>400</v>
      </c>
      <c r="P1142" s="655">
        <f t="shared" si="51"/>
        <v>8</v>
      </c>
      <c r="Q1142" s="655">
        <f t="shared" si="52"/>
        <v>7</v>
      </c>
      <c r="R1142" s="695" t="str">
        <f t="shared" si="53"/>
        <v>Gastos_Gerais</v>
      </c>
      <c r="S1142" s="697" t="s">
        <v>998</v>
      </c>
      <c r="T1142" s="697">
        <v>4161</v>
      </c>
    </row>
    <row r="1143" spans="1:20" ht="84" x14ac:dyDescent="0.2">
      <c r="A1143" s="432">
        <f>IF(B1143="","",COUNT('Diário 1º PA'!$A$4:$A$2635)+COUNT('Diário 2º PA'!$A$4:$A$3040)+ROW()-3)</f>
        <v>5239</v>
      </c>
      <c r="B1143" s="414">
        <v>44796</v>
      </c>
      <c r="C1143" s="431">
        <v>44743</v>
      </c>
      <c r="D1143" s="415" t="s">
        <v>271</v>
      </c>
      <c r="E1143" s="415" t="s">
        <v>452</v>
      </c>
      <c r="F1143" s="425">
        <v>2500</v>
      </c>
      <c r="G1143" s="427" t="s">
        <v>5806</v>
      </c>
      <c r="H1143" s="415" t="s">
        <v>758</v>
      </c>
      <c r="I1143" s="415" t="s">
        <v>6111</v>
      </c>
      <c r="J1143" s="415" t="s">
        <v>5807</v>
      </c>
      <c r="K1143" s="419" t="s">
        <v>830</v>
      </c>
      <c r="L1143" s="415" t="s">
        <v>32</v>
      </c>
      <c r="M1143" s="419" t="s">
        <v>1608</v>
      </c>
      <c r="N1143" s="413">
        <v>44792</v>
      </c>
      <c r="O1143" s="414" t="s">
        <v>400</v>
      </c>
      <c r="P1143" s="655">
        <f t="shared" si="51"/>
        <v>8</v>
      </c>
      <c r="Q1143" s="655">
        <f t="shared" si="52"/>
        <v>7</v>
      </c>
      <c r="R1143" s="695" t="str">
        <f t="shared" si="53"/>
        <v>Gastos_Gerais</v>
      </c>
      <c r="S1143" s="697" t="s">
        <v>998</v>
      </c>
      <c r="T1143" s="697">
        <v>4053</v>
      </c>
    </row>
    <row r="1144" spans="1:20" ht="36" x14ac:dyDescent="0.2">
      <c r="A1144" s="432">
        <f>IF(B1144="","",COUNT('Diário 1º PA'!$A$4:$A$2635)+COUNT('Diário 2º PA'!$A$4:$A$3040)+ROW()-3)</f>
        <v>5240</v>
      </c>
      <c r="B1144" s="414">
        <v>44796</v>
      </c>
      <c r="C1144" s="431">
        <v>44743</v>
      </c>
      <c r="D1144" s="415" t="s">
        <v>271</v>
      </c>
      <c r="E1144" s="415" t="s">
        <v>442</v>
      </c>
      <c r="F1144" s="425">
        <v>1600</v>
      </c>
      <c r="G1144" s="427" t="s">
        <v>5895</v>
      </c>
      <c r="H1144" s="415" t="s">
        <v>758</v>
      </c>
      <c r="I1144" s="415" t="s">
        <v>6745</v>
      </c>
      <c r="J1144" s="415" t="s">
        <v>5896</v>
      </c>
      <c r="K1144" s="419" t="s">
        <v>830</v>
      </c>
      <c r="L1144" s="415" t="s">
        <v>32</v>
      </c>
      <c r="M1144" s="687" t="s">
        <v>848</v>
      </c>
      <c r="N1144" s="413">
        <v>44793</v>
      </c>
      <c r="O1144" s="414" t="s">
        <v>400</v>
      </c>
      <c r="P1144" s="655">
        <f t="shared" si="51"/>
        <v>8</v>
      </c>
      <c r="Q1144" s="655">
        <f t="shared" si="52"/>
        <v>7</v>
      </c>
      <c r="R1144" s="695" t="str">
        <f t="shared" si="53"/>
        <v>Gastos_Gerais</v>
      </c>
      <c r="S1144" s="697" t="s">
        <v>998</v>
      </c>
      <c r="T1144" s="697">
        <v>4128</v>
      </c>
    </row>
    <row r="1145" spans="1:20" ht="60" x14ac:dyDescent="0.2">
      <c r="A1145" s="432">
        <f>IF(B1145="","",COUNT('Diário 1º PA'!$A$4:$A$2635)+COUNT('Diário 2º PA'!$A$4:$A$3040)+ROW()-3)</f>
        <v>5241</v>
      </c>
      <c r="B1145" s="414">
        <v>44796</v>
      </c>
      <c r="C1145" s="431">
        <v>44713</v>
      </c>
      <c r="D1145" s="415" t="s">
        <v>271</v>
      </c>
      <c r="E1145" s="415" t="s">
        <v>456</v>
      </c>
      <c r="F1145" s="425">
        <v>3000</v>
      </c>
      <c r="G1145" s="427" t="s">
        <v>6758</v>
      </c>
      <c r="H1145" s="415" t="s">
        <v>758</v>
      </c>
      <c r="I1145" s="415" t="s">
        <v>6746</v>
      </c>
      <c r="J1145" s="415" t="s">
        <v>6645</v>
      </c>
      <c r="K1145" s="419" t="s">
        <v>830</v>
      </c>
      <c r="L1145" s="415" t="s">
        <v>32</v>
      </c>
      <c r="M1145" s="419" t="s">
        <v>1793</v>
      </c>
      <c r="N1145" s="413">
        <v>44795</v>
      </c>
      <c r="O1145" s="414" t="s">
        <v>400</v>
      </c>
      <c r="P1145" s="655">
        <f t="shared" si="51"/>
        <v>8</v>
      </c>
      <c r="Q1145" s="655">
        <f t="shared" si="52"/>
        <v>6</v>
      </c>
      <c r="R1145" s="695" t="str">
        <f t="shared" si="53"/>
        <v>Gastos_Gerais</v>
      </c>
      <c r="S1145" s="697" t="s">
        <v>998</v>
      </c>
      <c r="T1145" s="697">
        <v>3857</v>
      </c>
    </row>
    <row r="1146" spans="1:20" ht="24" x14ac:dyDescent="0.2">
      <c r="A1146" s="432">
        <f>IF(B1146="","",COUNT('Diário 1º PA'!$A$4:$A$2635)+COUNT('Diário 2º PA'!$A$4:$A$3040)+ROW()-3)</f>
        <v>5242</v>
      </c>
      <c r="B1146" s="413">
        <v>44796</v>
      </c>
      <c r="C1146" s="431">
        <v>44743</v>
      </c>
      <c r="D1146" s="415" t="s">
        <v>271</v>
      </c>
      <c r="E1146" s="415" t="s">
        <v>297</v>
      </c>
      <c r="F1146" s="425">
        <v>39.04</v>
      </c>
      <c r="G1146" s="427" t="s">
        <v>5787</v>
      </c>
      <c r="H1146" s="415" t="s">
        <v>752</v>
      </c>
      <c r="I1146" s="415" t="s">
        <v>3597</v>
      </c>
      <c r="J1146" s="415" t="s">
        <v>3238</v>
      </c>
      <c r="K1146" s="419" t="s">
        <v>830</v>
      </c>
      <c r="L1146" s="415" t="s">
        <v>32</v>
      </c>
      <c r="M1146" s="419" t="s">
        <v>6747</v>
      </c>
      <c r="N1146" s="413">
        <v>44795</v>
      </c>
      <c r="O1146" s="414" t="s">
        <v>400</v>
      </c>
      <c r="P1146" s="655">
        <f t="shared" si="51"/>
        <v>8</v>
      </c>
      <c r="Q1146" s="655">
        <f t="shared" si="52"/>
        <v>7</v>
      </c>
      <c r="R1146" s="695" t="str">
        <f t="shared" si="53"/>
        <v>Gastos_Gerais</v>
      </c>
      <c r="S1146" s="697" t="s">
        <v>998</v>
      </c>
      <c r="T1146" s="697">
        <v>4081</v>
      </c>
    </row>
    <row r="1147" spans="1:20" ht="36" x14ac:dyDescent="0.2">
      <c r="A1147" s="432">
        <f>IF(B1147="","",COUNT('Diário 1º PA'!$A$4:$A$2635)+COUNT('Diário 2º PA'!$A$4:$A$3040)+ROW()-3)</f>
        <v>5243</v>
      </c>
      <c r="B1147" s="413">
        <v>44796</v>
      </c>
      <c r="C1147" s="431">
        <v>44774</v>
      </c>
      <c r="D1147" s="415" t="s">
        <v>271</v>
      </c>
      <c r="E1147" s="415" t="s">
        <v>71</v>
      </c>
      <c r="F1147" s="425">
        <v>11</v>
      </c>
      <c r="G1147" s="427" t="s">
        <v>6749</v>
      </c>
      <c r="H1147" s="415" t="s">
        <v>755</v>
      </c>
      <c r="I1147" s="398" t="s">
        <v>881</v>
      </c>
      <c r="J1147" s="418" t="s">
        <v>882</v>
      </c>
      <c r="K1147" s="418" t="s">
        <v>883</v>
      </c>
      <c r="L1147" s="399" t="s">
        <v>798</v>
      </c>
      <c r="M1147" s="544" t="s">
        <v>310</v>
      </c>
      <c r="N1147" s="413">
        <v>44796</v>
      </c>
      <c r="O1147" s="414" t="s">
        <v>400</v>
      </c>
      <c r="P1147" s="655">
        <f t="shared" si="51"/>
        <v>8</v>
      </c>
      <c r="Q1147" s="655">
        <f t="shared" si="52"/>
        <v>8</v>
      </c>
      <c r="R1147" s="695" t="str">
        <f t="shared" si="53"/>
        <v>Gastos_Gerais</v>
      </c>
      <c r="S1147" s="697" t="s">
        <v>310</v>
      </c>
      <c r="T1147" s="697" t="s">
        <v>310</v>
      </c>
    </row>
    <row r="1148" spans="1:20" ht="36" x14ac:dyDescent="0.2">
      <c r="A1148" s="432">
        <f>IF(B1148="","",COUNT('Diário 1º PA'!$A$4:$A$2635)+COUNT('Diário 2º PA'!$A$4:$A$3040)+ROW()-3)</f>
        <v>5244</v>
      </c>
      <c r="B1148" s="413">
        <v>44796</v>
      </c>
      <c r="C1148" s="431">
        <v>44774</v>
      </c>
      <c r="D1148" s="415" t="s">
        <v>271</v>
      </c>
      <c r="E1148" s="415" t="s">
        <v>71</v>
      </c>
      <c r="F1148" s="425">
        <v>11</v>
      </c>
      <c r="G1148" s="427" t="s">
        <v>6750</v>
      </c>
      <c r="H1148" s="415" t="s">
        <v>758</v>
      </c>
      <c r="I1148" s="398" t="s">
        <v>881</v>
      </c>
      <c r="J1148" s="418" t="s">
        <v>882</v>
      </c>
      <c r="K1148" s="418" t="s">
        <v>883</v>
      </c>
      <c r="L1148" s="399" t="s">
        <v>798</v>
      </c>
      <c r="M1148" s="544" t="s">
        <v>310</v>
      </c>
      <c r="N1148" s="413">
        <v>44796</v>
      </c>
      <c r="O1148" s="414" t="s">
        <v>400</v>
      </c>
      <c r="P1148" s="655">
        <f t="shared" si="51"/>
        <v>8</v>
      </c>
      <c r="Q1148" s="655">
        <f t="shared" si="52"/>
        <v>8</v>
      </c>
      <c r="R1148" s="695" t="str">
        <f t="shared" si="53"/>
        <v>Gastos_Gerais</v>
      </c>
      <c r="S1148" s="697" t="s">
        <v>310</v>
      </c>
      <c r="T1148" s="697" t="s">
        <v>310</v>
      </c>
    </row>
    <row r="1149" spans="1:20" ht="36" x14ac:dyDescent="0.2">
      <c r="A1149" s="432">
        <f>IF(B1149="","",COUNT('Diário 1º PA'!$A$4:$A$2635)+COUNT('Diário 2º PA'!$A$4:$A$3040)+ROW()-3)</f>
        <v>5245</v>
      </c>
      <c r="B1149" s="413">
        <v>44796</v>
      </c>
      <c r="C1149" s="431">
        <v>44774</v>
      </c>
      <c r="D1149" s="415" t="s">
        <v>271</v>
      </c>
      <c r="E1149" s="415" t="s">
        <v>71</v>
      </c>
      <c r="F1149" s="425">
        <v>11</v>
      </c>
      <c r="G1149" s="427" t="s">
        <v>6751</v>
      </c>
      <c r="H1149" s="415" t="s">
        <v>758</v>
      </c>
      <c r="I1149" s="398" t="s">
        <v>881</v>
      </c>
      <c r="J1149" s="418" t="s">
        <v>882</v>
      </c>
      <c r="K1149" s="418" t="s">
        <v>883</v>
      </c>
      <c r="L1149" s="399" t="s">
        <v>798</v>
      </c>
      <c r="M1149" s="544" t="s">
        <v>310</v>
      </c>
      <c r="N1149" s="413">
        <v>44796</v>
      </c>
      <c r="O1149" s="414" t="s">
        <v>400</v>
      </c>
      <c r="P1149" s="655">
        <f t="shared" si="51"/>
        <v>8</v>
      </c>
      <c r="Q1149" s="655">
        <f t="shared" si="52"/>
        <v>8</v>
      </c>
      <c r="R1149" s="695" t="str">
        <f t="shared" si="53"/>
        <v>Gastos_Gerais</v>
      </c>
      <c r="S1149" s="697" t="s">
        <v>310</v>
      </c>
      <c r="T1149" s="697" t="s">
        <v>310</v>
      </c>
    </row>
    <row r="1150" spans="1:20" ht="36" x14ac:dyDescent="0.2">
      <c r="A1150" s="432">
        <f>IF(B1150="","",COUNT('Diário 1º PA'!$A$4:$A$2635)+COUNT('Diário 2º PA'!$A$4:$A$3040)+ROW()-3)</f>
        <v>5246</v>
      </c>
      <c r="B1150" s="413">
        <v>44796</v>
      </c>
      <c r="C1150" s="431">
        <v>44774</v>
      </c>
      <c r="D1150" s="415" t="s">
        <v>271</v>
      </c>
      <c r="E1150" s="415" t="s">
        <v>71</v>
      </c>
      <c r="F1150" s="425">
        <v>11</v>
      </c>
      <c r="G1150" s="427" t="s">
        <v>6752</v>
      </c>
      <c r="H1150" s="415" t="s">
        <v>758</v>
      </c>
      <c r="I1150" s="398" t="s">
        <v>881</v>
      </c>
      <c r="J1150" s="418" t="s">
        <v>882</v>
      </c>
      <c r="K1150" s="418" t="s">
        <v>883</v>
      </c>
      <c r="L1150" s="399" t="s">
        <v>798</v>
      </c>
      <c r="M1150" s="544" t="s">
        <v>310</v>
      </c>
      <c r="N1150" s="413">
        <v>44796</v>
      </c>
      <c r="O1150" s="414" t="s">
        <v>400</v>
      </c>
      <c r="P1150" s="655">
        <f t="shared" si="51"/>
        <v>8</v>
      </c>
      <c r="Q1150" s="655">
        <f t="shared" si="52"/>
        <v>8</v>
      </c>
      <c r="R1150" s="695" t="str">
        <f t="shared" si="53"/>
        <v>Gastos_Gerais</v>
      </c>
      <c r="S1150" s="697" t="s">
        <v>310</v>
      </c>
      <c r="T1150" s="697" t="s">
        <v>310</v>
      </c>
    </row>
    <row r="1151" spans="1:20" ht="36" x14ac:dyDescent="0.2">
      <c r="A1151" s="432">
        <f>IF(B1151="","",COUNT('Diário 1º PA'!$A$4:$A$2635)+COUNT('Diário 2º PA'!$A$4:$A$3040)+ROW()-3)</f>
        <v>5247</v>
      </c>
      <c r="B1151" s="413">
        <v>44796</v>
      </c>
      <c r="C1151" s="431">
        <v>44774</v>
      </c>
      <c r="D1151" s="415" t="s">
        <v>271</v>
      </c>
      <c r="E1151" s="415" t="s">
        <v>71</v>
      </c>
      <c r="F1151" s="425">
        <v>11</v>
      </c>
      <c r="G1151" s="427" t="s">
        <v>6753</v>
      </c>
      <c r="H1151" s="415" t="s">
        <v>758</v>
      </c>
      <c r="I1151" s="398" t="s">
        <v>881</v>
      </c>
      <c r="J1151" s="418" t="s">
        <v>882</v>
      </c>
      <c r="K1151" s="418" t="s">
        <v>883</v>
      </c>
      <c r="L1151" s="399" t="s">
        <v>798</v>
      </c>
      <c r="M1151" s="544" t="s">
        <v>310</v>
      </c>
      <c r="N1151" s="413">
        <v>44796</v>
      </c>
      <c r="O1151" s="414" t="s">
        <v>400</v>
      </c>
      <c r="P1151" s="655">
        <f t="shared" si="51"/>
        <v>8</v>
      </c>
      <c r="Q1151" s="655">
        <f t="shared" si="52"/>
        <v>8</v>
      </c>
      <c r="R1151" s="695" t="str">
        <f t="shared" si="53"/>
        <v>Gastos_Gerais</v>
      </c>
      <c r="S1151" s="697" t="s">
        <v>310</v>
      </c>
      <c r="T1151" s="697" t="s">
        <v>310</v>
      </c>
    </row>
    <row r="1152" spans="1:20" ht="36" x14ac:dyDescent="0.2">
      <c r="A1152" s="432">
        <f>IF(B1152="","",COUNT('Diário 1º PA'!$A$4:$A$2635)+COUNT('Diário 2º PA'!$A$4:$A$3040)+ROW()-3)</f>
        <v>5248</v>
      </c>
      <c r="B1152" s="413">
        <v>44796</v>
      </c>
      <c r="C1152" s="431">
        <v>44774</v>
      </c>
      <c r="D1152" s="415" t="s">
        <v>271</v>
      </c>
      <c r="E1152" s="415" t="s">
        <v>71</v>
      </c>
      <c r="F1152" s="425">
        <v>11</v>
      </c>
      <c r="G1152" s="427" t="s">
        <v>6754</v>
      </c>
      <c r="H1152" s="415" t="s">
        <v>758</v>
      </c>
      <c r="I1152" s="398" t="s">
        <v>881</v>
      </c>
      <c r="J1152" s="418" t="s">
        <v>882</v>
      </c>
      <c r="K1152" s="418" t="s">
        <v>883</v>
      </c>
      <c r="L1152" s="399" t="s">
        <v>798</v>
      </c>
      <c r="M1152" s="544" t="s">
        <v>310</v>
      </c>
      <c r="N1152" s="413">
        <v>44796</v>
      </c>
      <c r="O1152" s="414" t="s">
        <v>400</v>
      </c>
      <c r="P1152" s="655">
        <f t="shared" si="51"/>
        <v>8</v>
      </c>
      <c r="Q1152" s="655">
        <f t="shared" si="52"/>
        <v>8</v>
      </c>
      <c r="R1152" s="695" t="str">
        <f t="shared" si="53"/>
        <v>Gastos_Gerais</v>
      </c>
      <c r="S1152" s="697" t="s">
        <v>310</v>
      </c>
      <c r="T1152" s="697" t="s">
        <v>310</v>
      </c>
    </row>
    <row r="1153" spans="1:20" ht="36" x14ac:dyDescent="0.2">
      <c r="A1153" s="432">
        <f>IF(B1153="","",COUNT('Diário 1º PA'!$A$4:$A$2635)+COUNT('Diário 2º PA'!$A$4:$A$3040)+ROW()-3)</f>
        <v>5249</v>
      </c>
      <c r="B1153" s="413">
        <v>44796</v>
      </c>
      <c r="C1153" s="431">
        <v>44774</v>
      </c>
      <c r="D1153" s="415" t="s">
        <v>271</v>
      </c>
      <c r="E1153" s="415" t="s">
        <v>71</v>
      </c>
      <c r="F1153" s="425">
        <v>11</v>
      </c>
      <c r="G1153" s="427" t="s">
        <v>6755</v>
      </c>
      <c r="H1153" s="415" t="s">
        <v>758</v>
      </c>
      <c r="I1153" s="398" t="s">
        <v>881</v>
      </c>
      <c r="J1153" s="418" t="s">
        <v>882</v>
      </c>
      <c r="K1153" s="418" t="s">
        <v>883</v>
      </c>
      <c r="L1153" s="399" t="s">
        <v>798</v>
      </c>
      <c r="M1153" s="544" t="s">
        <v>310</v>
      </c>
      <c r="N1153" s="413">
        <v>44796</v>
      </c>
      <c r="O1153" s="414" t="s">
        <v>400</v>
      </c>
      <c r="P1153" s="655">
        <f t="shared" si="51"/>
        <v>8</v>
      </c>
      <c r="Q1153" s="655">
        <f t="shared" si="52"/>
        <v>8</v>
      </c>
      <c r="R1153" s="695" t="str">
        <f t="shared" si="53"/>
        <v>Gastos_Gerais</v>
      </c>
      <c r="S1153" s="697" t="s">
        <v>310</v>
      </c>
      <c r="T1153" s="697" t="s">
        <v>310</v>
      </c>
    </row>
    <row r="1154" spans="1:20" ht="36" x14ac:dyDescent="0.2">
      <c r="A1154" s="432">
        <f>IF(B1154="","",COUNT('Diário 1º PA'!$A$4:$A$2635)+COUNT('Diário 2º PA'!$A$4:$A$3040)+ROW()-3)</f>
        <v>5250</v>
      </c>
      <c r="B1154" s="413">
        <v>44796</v>
      </c>
      <c r="C1154" s="431">
        <v>44774</v>
      </c>
      <c r="D1154" s="415" t="s">
        <v>271</v>
      </c>
      <c r="E1154" s="415" t="s">
        <v>71</v>
      </c>
      <c r="F1154" s="425">
        <v>11</v>
      </c>
      <c r="G1154" s="427" t="s">
        <v>6756</v>
      </c>
      <c r="H1154" s="415" t="s">
        <v>752</v>
      </c>
      <c r="I1154" s="398" t="s">
        <v>881</v>
      </c>
      <c r="J1154" s="418" t="s">
        <v>882</v>
      </c>
      <c r="K1154" s="418" t="s">
        <v>883</v>
      </c>
      <c r="L1154" s="399" t="s">
        <v>798</v>
      </c>
      <c r="M1154" s="544" t="s">
        <v>310</v>
      </c>
      <c r="N1154" s="413">
        <v>44796</v>
      </c>
      <c r="O1154" s="414" t="s">
        <v>400</v>
      </c>
      <c r="P1154" s="655">
        <f t="shared" si="51"/>
        <v>8</v>
      </c>
      <c r="Q1154" s="655">
        <f t="shared" si="52"/>
        <v>8</v>
      </c>
      <c r="R1154" s="695" t="str">
        <f t="shared" si="53"/>
        <v>Gastos_Gerais</v>
      </c>
      <c r="S1154" s="697" t="s">
        <v>310</v>
      </c>
      <c r="T1154" s="697" t="s">
        <v>310</v>
      </c>
    </row>
    <row r="1155" spans="1:20" ht="36" x14ac:dyDescent="0.2">
      <c r="A1155" s="432">
        <f>IF(B1155="","",COUNT('Diário 1º PA'!$A$4:$A$2635)+COUNT('Diário 2º PA'!$A$4:$A$3040)+ROW()-3)</f>
        <v>5251</v>
      </c>
      <c r="B1155" s="413">
        <v>44796</v>
      </c>
      <c r="C1155" s="431">
        <v>44774</v>
      </c>
      <c r="D1155" s="415" t="s">
        <v>271</v>
      </c>
      <c r="E1155" s="415" t="s">
        <v>71</v>
      </c>
      <c r="F1155" s="425">
        <v>11</v>
      </c>
      <c r="G1155" s="427" t="s">
        <v>6757</v>
      </c>
      <c r="H1155" s="415" t="s">
        <v>758</v>
      </c>
      <c r="I1155" s="398" t="s">
        <v>881</v>
      </c>
      <c r="J1155" s="418" t="s">
        <v>882</v>
      </c>
      <c r="K1155" s="418" t="s">
        <v>883</v>
      </c>
      <c r="L1155" s="399" t="s">
        <v>798</v>
      </c>
      <c r="M1155" s="544" t="s">
        <v>310</v>
      </c>
      <c r="N1155" s="413">
        <v>44796</v>
      </c>
      <c r="O1155" s="414" t="s">
        <v>400</v>
      </c>
      <c r="P1155" s="655">
        <f t="shared" si="51"/>
        <v>8</v>
      </c>
      <c r="Q1155" s="655">
        <f t="shared" si="52"/>
        <v>8</v>
      </c>
      <c r="R1155" s="695" t="str">
        <f t="shared" si="53"/>
        <v>Gastos_Gerais</v>
      </c>
      <c r="S1155" s="697" t="s">
        <v>310</v>
      </c>
      <c r="T1155" s="697" t="s">
        <v>310</v>
      </c>
    </row>
    <row r="1156" spans="1:20" ht="48" x14ac:dyDescent="0.2">
      <c r="A1156" s="432">
        <f>IF(B1156="","",COUNT('Diário 1º PA'!$A$4:$A$2635)+COUNT('Diário 2º PA'!$A$4:$A$3040)+ROW()-3)</f>
        <v>5252</v>
      </c>
      <c r="B1156" s="413">
        <v>44796</v>
      </c>
      <c r="C1156" s="431">
        <v>44713</v>
      </c>
      <c r="D1156" s="415" t="s">
        <v>468</v>
      </c>
      <c r="E1156" s="415" t="s">
        <v>468</v>
      </c>
      <c r="F1156" s="425">
        <v>625</v>
      </c>
      <c r="G1156" s="427" t="s">
        <v>5478</v>
      </c>
      <c r="H1156" s="415" t="s">
        <v>468</v>
      </c>
      <c r="I1156" s="398" t="s">
        <v>2139</v>
      </c>
      <c r="J1156" s="415" t="s">
        <v>1094</v>
      </c>
      <c r="K1156" s="418" t="s">
        <v>830</v>
      </c>
      <c r="L1156" s="399" t="s">
        <v>2140</v>
      </c>
      <c r="M1156" s="544">
        <v>332</v>
      </c>
      <c r="N1156" s="413">
        <v>44795</v>
      </c>
      <c r="O1156" s="414" t="s">
        <v>3762</v>
      </c>
      <c r="P1156" s="655">
        <f t="shared" si="51"/>
        <v>8</v>
      </c>
      <c r="Q1156" s="655">
        <f t="shared" si="52"/>
        <v>6</v>
      </c>
      <c r="R1156" s="695" t="str">
        <f t="shared" si="53"/>
        <v>Gastos_custeados_por_captação</v>
      </c>
      <c r="S1156" s="697" t="s">
        <v>998</v>
      </c>
      <c r="T1156" s="697">
        <v>4016</v>
      </c>
    </row>
    <row r="1157" spans="1:20" ht="48" x14ac:dyDescent="0.2">
      <c r="A1157" s="432">
        <f>IF(B1157="","",COUNT('Diário 1º PA'!$A$4:$A$2635)+COUNT('Diário 2º PA'!$A$4:$A$3040)+ROW()-3)</f>
        <v>5253</v>
      </c>
      <c r="B1157" s="413">
        <v>44796</v>
      </c>
      <c r="C1157" s="431">
        <v>44774</v>
      </c>
      <c r="D1157" s="415" t="s">
        <v>468</v>
      </c>
      <c r="E1157" s="415" t="s">
        <v>468</v>
      </c>
      <c r="F1157" s="425">
        <v>11</v>
      </c>
      <c r="G1157" s="415" t="s">
        <v>6516</v>
      </c>
      <c r="H1157" s="415" t="s">
        <v>468</v>
      </c>
      <c r="I1157" s="639" t="s">
        <v>881</v>
      </c>
      <c r="J1157" s="418" t="s">
        <v>882</v>
      </c>
      <c r="K1157" s="418" t="s">
        <v>883</v>
      </c>
      <c r="L1157" s="399" t="s">
        <v>798</v>
      </c>
      <c r="M1157" s="544" t="s">
        <v>310</v>
      </c>
      <c r="N1157" s="413">
        <v>44796</v>
      </c>
      <c r="O1157" s="414" t="s">
        <v>3762</v>
      </c>
      <c r="P1157" s="655">
        <f t="shared" ref="P1157:P1220" si="54">IF(B1157=0,0,IF(YEAR(B1157)=$Q$1,MONTH(B1157)-$P$1+1,(YEAR(B1157)-$Q$1)*12-$P$1+1+MONTH(B1157)))</f>
        <v>8</v>
      </c>
      <c r="Q1157" s="655">
        <f t="shared" ref="Q1157:Q1220" si="55">IF(C1157=0,0,IF(YEAR(C1157)=$Q$1,MONTH(C1157)-$P$1+1,(YEAR(C1157)-$Q$1)*12-$P$1+1+MONTH(C1157)))</f>
        <v>8</v>
      </c>
      <c r="R1157" s="695" t="str">
        <f t="shared" ref="R1157:R1220" si="56">SUBSTITUTE(D1157," ","_")</f>
        <v>Gastos_custeados_por_captação</v>
      </c>
      <c r="S1157" s="697" t="s">
        <v>310</v>
      </c>
      <c r="T1157" s="697" t="s">
        <v>310</v>
      </c>
    </row>
    <row r="1158" spans="1:20" ht="36" x14ac:dyDescent="0.2">
      <c r="A1158" s="432">
        <f>IF(B1158="","",COUNT('Diário 1º PA'!$A$4:$A$2635)+COUNT('Diário 2º PA'!$A$4:$A$3040)+ROW()-3)</f>
        <v>5254</v>
      </c>
      <c r="B1158" s="413">
        <v>44796</v>
      </c>
      <c r="C1158" s="431">
        <v>44713</v>
      </c>
      <c r="D1158" s="415" t="s">
        <v>468</v>
      </c>
      <c r="E1158" s="415" t="s">
        <v>468</v>
      </c>
      <c r="F1158" s="425">
        <v>6303.05</v>
      </c>
      <c r="G1158" s="427" t="s">
        <v>2330</v>
      </c>
      <c r="H1158" s="415" t="s">
        <v>468</v>
      </c>
      <c r="I1158" s="398" t="s">
        <v>6422</v>
      </c>
      <c r="J1158" s="415" t="s">
        <v>2329</v>
      </c>
      <c r="K1158" s="418" t="s">
        <v>830</v>
      </c>
      <c r="L1158" s="399" t="s">
        <v>32</v>
      </c>
      <c r="M1158" s="418" t="s">
        <v>2681</v>
      </c>
      <c r="N1158" s="413">
        <v>44795</v>
      </c>
      <c r="O1158" s="414" t="s">
        <v>408</v>
      </c>
      <c r="P1158" s="655">
        <f t="shared" si="54"/>
        <v>8</v>
      </c>
      <c r="Q1158" s="655">
        <f t="shared" si="55"/>
        <v>6</v>
      </c>
      <c r="R1158" s="695" t="str">
        <f t="shared" si="56"/>
        <v>Gastos_custeados_por_captação</v>
      </c>
      <c r="S1158" s="697" t="s">
        <v>1000</v>
      </c>
      <c r="T1158" s="697">
        <v>3094</v>
      </c>
    </row>
    <row r="1159" spans="1:20" ht="36" x14ac:dyDescent="0.2">
      <c r="A1159" s="432">
        <f>IF(B1159="","",COUNT('Diário 1º PA'!$A$4:$A$2635)+COUNT('Diário 2º PA'!$A$4:$A$3040)+ROW()-3)</f>
        <v>5255</v>
      </c>
      <c r="B1159" s="413">
        <v>44796</v>
      </c>
      <c r="C1159" s="431">
        <v>44713</v>
      </c>
      <c r="D1159" s="415" t="s">
        <v>468</v>
      </c>
      <c r="E1159" s="415" t="s">
        <v>468</v>
      </c>
      <c r="F1159" s="425">
        <v>587.94000000000005</v>
      </c>
      <c r="G1159" s="427" t="s">
        <v>2268</v>
      </c>
      <c r="H1159" s="415" t="s">
        <v>468</v>
      </c>
      <c r="I1159" s="398" t="s">
        <v>4123</v>
      </c>
      <c r="J1159" s="415" t="s">
        <v>2269</v>
      </c>
      <c r="K1159" s="418" t="s">
        <v>830</v>
      </c>
      <c r="L1159" s="399" t="s">
        <v>32</v>
      </c>
      <c r="M1159" s="418" t="s">
        <v>1935</v>
      </c>
      <c r="N1159" s="413">
        <v>44795</v>
      </c>
      <c r="O1159" s="414" t="s">
        <v>408</v>
      </c>
      <c r="P1159" s="655">
        <f t="shared" si="54"/>
        <v>8</v>
      </c>
      <c r="Q1159" s="655">
        <f t="shared" si="55"/>
        <v>6</v>
      </c>
      <c r="R1159" s="695" t="str">
        <f t="shared" si="56"/>
        <v>Gastos_custeados_por_captação</v>
      </c>
      <c r="S1159" s="697" t="s">
        <v>1000</v>
      </c>
      <c r="T1159" s="697">
        <v>3093</v>
      </c>
    </row>
    <row r="1160" spans="1:20" ht="36" x14ac:dyDescent="0.2">
      <c r="A1160" s="432">
        <f>IF(B1160="","",COUNT('Diário 1º PA'!$A$4:$A$2635)+COUNT('Diário 2º PA'!$A$4:$A$3040)+ROW()-3)</f>
        <v>5256</v>
      </c>
      <c r="B1160" s="413">
        <v>44796</v>
      </c>
      <c r="C1160" s="431">
        <v>44774</v>
      </c>
      <c r="D1160" s="415" t="s">
        <v>468</v>
      </c>
      <c r="E1160" s="415" t="s">
        <v>468</v>
      </c>
      <c r="F1160" s="425">
        <v>11</v>
      </c>
      <c r="G1160" s="427" t="s">
        <v>2469</v>
      </c>
      <c r="H1160" s="415" t="s">
        <v>468</v>
      </c>
      <c r="I1160" s="639" t="s">
        <v>881</v>
      </c>
      <c r="J1160" s="418" t="s">
        <v>882</v>
      </c>
      <c r="K1160" s="418" t="s">
        <v>883</v>
      </c>
      <c r="L1160" s="399" t="s">
        <v>798</v>
      </c>
      <c r="M1160" s="544" t="s">
        <v>310</v>
      </c>
      <c r="N1160" s="413">
        <v>44796</v>
      </c>
      <c r="O1160" s="414" t="s">
        <v>408</v>
      </c>
      <c r="P1160" s="655">
        <f t="shared" si="54"/>
        <v>8</v>
      </c>
      <c r="Q1160" s="655">
        <f t="shared" si="55"/>
        <v>8</v>
      </c>
      <c r="R1160" s="695" t="str">
        <f t="shared" si="56"/>
        <v>Gastos_custeados_por_captação</v>
      </c>
      <c r="S1160" s="697" t="s">
        <v>310</v>
      </c>
      <c r="T1160" s="697" t="s">
        <v>310</v>
      </c>
    </row>
    <row r="1161" spans="1:20" ht="60" x14ac:dyDescent="0.2">
      <c r="A1161" s="432">
        <f>IF(B1161="","",COUNT('Diário 1º PA'!$A$4:$A$2635)+COUNT('Diário 2º PA'!$A$4:$A$3040)+ROW()-3)</f>
        <v>5257</v>
      </c>
      <c r="B1161" s="413">
        <v>44796</v>
      </c>
      <c r="C1161" s="431">
        <v>44682</v>
      </c>
      <c r="D1161" s="415" t="s">
        <v>468</v>
      </c>
      <c r="E1161" s="415" t="s">
        <v>468</v>
      </c>
      <c r="F1161" s="425">
        <v>15641.6</v>
      </c>
      <c r="G1161" s="427" t="s">
        <v>4333</v>
      </c>
      <c r="H1161" s="415" t="s">
        <v>468</v>
      </c>
      <c r="I1161" s="398" t="s">
        <v>6867</v>
      </c>
      <c r="J1161" s="415" t="s">
        <v>4334</v>
      </c>
      <c r="K1161" s="419" t="s">
        <v>806</v>
      </c>
      <c r="L1161" s="399" t="s">
        <v>32</v>
      </c>
      <c r="M1161" s="544">
        <v>126.375</v>
      </c>
      <c r="N1161" s="413">
        <v>44795</v>
      </c>
      <c r="O1161" s="414" t="s">
        <v>404</v>
      </c>
      <c r="P1161" s="655">
        <f t="shared" si="54"/>
        <v>8</v>
      </c>
      <c r="Q1161" s="655">
        <f t="shared" si="55"/>
        <v>5</v>
      </c>
      <c r="R1161" s="695" t="str">
        <f t="shared" si="56"/>
        <v>Gastos_custeados_por_captação</v>
      </c>
      <c r="S1161" s="697" t="s">
        <v>998</v>
      </c>
      <c r="T1161" s="697">
        <v>3813</v>
      </c>
    </row>
    <row r="1162" spans="1:20" ht="72" x14ac:dyDescent="0.2">
      <c r="A1162" s="432">
        <f>IF(B1162="","",COUNT('Diário 1º PA'!$A$4:$A$2635)+COUNT('Diário 2º PA'!$A$4:$A$3040)+ROW()-3)</f>
        <v>5258</v>
      </c>
      <c r="B1162" s="413">
        <v>44796</v>
      </c>
      <c r="C1162" s="431">
        <v>44774</v>
      </c>
      <c r="D1162" s="415" t="s">
        <v>468</v>
      </c>
      <c r="E1162" s="415" t="s">
        <v>468</v>
      </c>
      <c r="F1162" s="425">
        <v>500</v>
      </c>
      <c r="G1162" s="427" t="s">
        <v>5792</v>
      </c>
      <c r="H1162" s="415" t="s">
        <v>468</v>
      </c>
      <c r="I1162" s="398" t="s">
        <v>3773</v>
      </c>
      <c r="J1162" s="415" t="s">
        <v>2543</v>
      </c>
      <c r="K1162" s="418" t="s">
        <v>812</v>
      </c>
      <c r="L1162" s="415" t="s">
        <v>826</v>
      </c>
      <c r="M1162" s="544" t="s">
        <v>6804</v>
      </c>
      <c r="N1162" s="413">
        <v>44791</v>
      </c>
      <c r="O1162" s="414" t="s">
        <v>404</v>
      </c>
      <c r="P1162" s="655">
        <f t="shared" si="54"/>
        <v>8</v>
      </c>
      <c r="Q1162" s="655">
        <f t="shared" si="55"/>
        <v>8</v>
      </c>
      <c r="R1162" s="695" t="str">
        <f t="shared" si="56"/>
        <v>Gastos_custeados_por_captação</v>
      </c>
      <c r="S1162" s="697" t="s">
        <v>998</v>
      </c>
      <c r="T1162" s="697">
        <v>3994</v>
      </c>
    </row>
    <row r="1163" spans="1:20" ht="84" x14ac:dyDescent="0.2">
      <c r="A1163" s="432">
        <f>IF(B1163="","",COUNT('Diário 1º PA'!$A$4:$A$2635)+COUNT('Diário 2º PA'!$A$4:$A$3040)+ROW()-3)</f>
        <v>5259</v>
      </c>
      <c r="B1163" s="413">
        <v>44797</v>
      </c>
      <c r="C1163" s="431">
        <v>44713</v>
      </c>
      <c r="D1163" s="415" t="s">
        <v>271</v>
      </c>
      <c r="E1163" s="415" t="s">
        <v>451</v>
      </c>
      <c r="F1163" s="425">
        <v>2462.5500000000002</v>
      </c>
      <c r="G1163" s="427" t="s">
        <v>4551</v>
      </c>
      <c r="H1163" s="415" t="s">
        <v>758</v>
      </c>
      <c r="I1163" s="415" t="s">
        <v>6759</v>
      </c>
      <c r="J1163" s="415" t="s">
        <v>4552</v>
      </c>
      <c r="K1163" s="419" t="s">
        <v>806</v>
      </c>
      <c r="L1163" s="415" t="s">
        <v>839</v>
      </c>
      <c r="M1163" s="419">
        <v>1962</v>
      </c>
      <c r="N1163" s="413">
        <v>44796</v>
      </c>
      <c r="O1163" s="414" t="s">
        <v>400</v>
      </c>
      <c r="P1163" s="655">
        <f t="shared" si="54"/>
        <v>8</v>
      </c>
      <c r="Q1163" s="655">
        <f t="shared" si="55"/>
        <v>6</v>
      </c>
      <c r="R1163" s="695" t="str">
        <f t="shared" si="56"/>
        <v>Gastos_Gerais</v>
      </c>
      <c r="S1163" s="697" t="s">
        <v>998</v>
      </c>
      <c r="T1163" s="697">
        <v>3856</v>
      </c>
    </row>
    <row r="1164" spans="1:20" ht="48" x14ac:dyDescent="0.2">
      <c r="A1164" s="432">
        <f>IF(B1164="","",COUNT('Diário 1º PA'!$A$4:$A$2635)+COUNT('Diário 2º PA'!$A$4:$A$3040)+ROW()-3)</f>
        <v>5260</v>
      </c>
      <c r="B1164" s="413">
        <v>44797</v>
      </c>
      <c r="C1164" s="431">
        <v>44743</v>
      </c>
      <c r="D1164" s="415" t="s">
        <v>271</v>
      </c>
      <c r="E1164" s="415" t="s">
        <v>442</v>
      </c>
      <c r="F1164" s="425">
        <v>1376</v>
      </c>
      <c r="G1164" s="427" t="s">
        <v>6021</v>
      </c>
      <c r="H1164" s="415" t="s">
        <v>758</v>
      </c>
      <c r="I1164" s="415" t="s">
        <v>6763</v>
      </c>
      <c r="J1164" s="415" t="s">
        <v>6022</v>
      </c>
      <c r="K1164" s="419" t="s">
        <v>806</v>
      </c>
      <c r="L1164" s="415" t="s">
        <v>839</v>
      </c>
      <c r="M1164" s="419">
        <v>1960</v>
      </c>
      <c r="N1164" s="413">
        <v>44796</v>
      </c>
      <c r="O1164" s="414" t="s">
        <v>400</v>
      </c>
      <c r="P1164" s="655">
        <f t="shared" si="54"/>
        <v>8</v>
      </c>
      <c r="Q1164" s="655">
        <f t="shared" si="55"/>
        <v>7</v>
      </c>
      <c r="R1164" s="695" t="str">
        <f t="shared" si="56"/>
        <v>Gastos_Gerais</v>
      </c>
      <c r="S1164" s="697" t="s">
        <v>998</v>
      </c>
      <c r="T1164" s="697">
        <v>4134</v>
      </c>
    </row>
    <row r="1165" spans="1:20" ht="84" x14ac:dyDescent="0.2">
      <c r="A1165" s="432">
        <f>IF(B1165="","",COUNT('Diário 1º PA'!$A$4:$A$2635)+COUNT('Diário 2º PA'!$A$4:$A$3040)+ROW()-3)</f>
        <v>5261</v>
      </c>
      <c r="B1165" s="413">
        <v>44797</v>
      </c>
      <c r="C1165" s="431">
        <v>44743</v>
      </c>
      <c r="D1165" s="415" t="s">
        <v>271</v>
      </c>
      <c r="E1165" s="415" t="s">
        <v>457</v>
      </c>
      <c r="F1165" s="425">
        <v>1000</v>
      </c>
      <c r="G1165" s="427" t="s">
        <v>6098</v>
      </c>
      <c r="H1165" s="415" t="s">
        <v>758</v>
      </c>
      <c r="I1165" s="415" t="s">
        <v>6766</v>
      </c>
      <c r="J1165" s="415" t="s">
        <v>6099</v>
      </c>
      <c r="K1165" s="419" t="s">
        <v>830</v>
      </c>
      <c r="L1165" s="415" t="s">
        <v>32</v>
      </c>
      <c r="M1165" s="419">
        <v>21</v>
      </c>
      <c r="N1165" s="413">
        <v>44796</v>
      </c>
      <c r="O1165" s="414" t="s">
        <v>400</v>
      </c>
      <c r="P1165" s="655">
        <f t="shared" si="54"/>
        <v>8</v>
      </c>
      <c r="Q1165" s="655">
        <f t="shared" si="55"/>
        <v>7</v>
      </c>
      <c r="R1165" s="695" t="str">
        <f t="shared" si="56"/>
        <v>Gastos_Gerais</v>
      </c>
      <c r="S1165" s="697" t="s">
        <v>998</v>
      </c>
      <c r="T1165" s="697">
        <v>4162</v>
      </c>
    </row>
    <row r="1166" spans="1:20" ht="36" x14ac:dyDescent="0.2">
      <c r="A1166" s="432">
        <f>IF(B1166="","",COUNT('Diário 1º PA'!$A$4:$A$2635)+COUNT('Diário 2º PA'!$A$4:$A$3040)+ROW()-3)</f>
        <v>5262</v>
      </c>
      <c r="B1166" s="413">
        <v>44797</v>
      </c>
      <c r="C1166" s="431">
        <v>44743</v>
      </c>
      <c r="D1166" s="415" t="s">
        <v>271</v>
      </c>
      <c r="E1166" s="415" t="s">
        <v>467</v>
      </c>
      <c r="F1166" s="425">
        <v>2000</v>
      </c>
      <c r="G1166" s="427" t="s">
        <v>6215</v>
      </c>
      <c r="H1166" s="415" t="s">
        <v>758</v>
      </c>
      <c r="I1166" s="415" t="s">
        <v>6767</v>
      </c>
      <c r="J1166" s="415" t="s">
        <v>6216</v>
      </c>
      <c r="K1166" s="419" t="s">
        <v>830</v>
      </c>
      <c r="L1166" s="415" t="s">
        <v>32</v>
      </c>
      <c r="M1166" s="419">
        <v>16</v>
      </c>
      <c r="N1166" s="413">
        <v>44796</v>
      </c>
      <c r="O1166" s="414" t="s">
        <v>400</v>
      </c>
      <c r="P1166" s="655">
        <f t="shared" si="54"/>
        <v>8</v>
      </c>
      <c r="Q1166" s="655">
        <f t="shared" si="55"/>
        <v>7</v>
      </c>
      <c r="R1166" s="695" t="str">
        <f t="shared" si="56"/>
        <v>Gastos_Gerais</v>
      </c>
      <c r="S1166" s="697" t="s">
        <v>998</v>
      </c>
      <c r="T1166" s="697">
        <v>4200</v>
      </c>
    </row>
    <row r="1167" spans="1:20" ht="36" x14ac:dyDescent="0.2">
      <c r="A1167" s="432">
        <f>IF(B1167="","",COUNT('Diário 1º PA'!$A$4:$A$2635)+COUNT('Diário 2º PA'!$A$4:$A$3040)+ROW()-3)</f>
        <v>5263</v>
      </c>
      <c r="B1167" s="413">
        <v>44797</v>
      </c>
      <c r="C1167" s="431">
        <v>44743</v>
      </c>
      <c r="D1167" s="415" t="s">
        <v>271</v>
      </c>
      <c r="E1167" s="415" t="s">
        <v>442</v>
      </c>
      <c r="F1167" s="425">
        <v>1500</v>
      </c>
      <c r="G1167" s="427" t="s">
        <v>5795</v>
      </c>
      <c r="H1167" s="415" t="s">
        <v>790</v>
      </c>
      <c r="I1167" s="415" t="s">
        <v>6768</v>
      </c>
      <c r="J1167" s="419" t="s">
        <v>5796</v>
      </c>
      <c r="K1167" s="419" t="s">
        <v>830</v>
      </c>
      <c r="L1167" s="415" t="s">
        <v>32</v>
      </c>
      <c r="M1167" s="419" t="s">
        <v>842</v>
      </c>
      <c r="N1167" s="413">
        <v>44796</v>
      </c>
      <c r="O1167" s="414" t="s">
        <v>400</v>
      </c>
      <c r="P1167" s="655">
        <f t="shared" si="54"/>
        <v>8</v>
      </c>
      <c r="Q1167" s="655">
        <f t="shared" si="55"/>
        <v>7</v>
      </c>
      <c r="R1167" s="695" t="str">
        <f t="shared" si="56"/>
        <v>Gastos_Gerais</v>
      </c>
      <c r="S1167" s="697" t="s">
        <v>998</v>
      </c>
      <c r="T1167" s="697">
        <v>4092</v>
      </c>
    </row>
    <row r="1168" spans="1:20" ht="60" x14ac:dyDescent="0.2">
      <c r="A1168" s="432">
        <f>IF(B1168="","",COUNT('Diário 1º PA'!$A$4:$A$2635)+COUNT('Diário 2º PA'!$A$4:$A$3040)+ROW()-3)</f>
        <v>5264</v>
      </c>
      <c r="B1168" s="413">
        <v>44797</v>
      </c>
      <c r="C1168" s="431">
        <v>44774</v>
      </c>
      <c r="D1168" s="415" t="s">
        <v>271</v>
      </c>
      <c r="E1168" s="415" t="s">
        <v>446</v>
      </c>
      <c r="F1168" s="425">
        <v>10200</v>
      </c>
      <c r="G1168" s="427" t="s">
        <v>6220</v>
      </c>
      <c r="H1168" s="415" t="s">
        <v>758</v>
      </c>
      <c r="I1168" s="415" t="s">
        <v>6769</v>
      </c>
      <c r="J1168" s="415" t="s">
        <v>6221</v>
      </c>
      <c r="K1168" s="419" t="s">
        <v>830</v>
      </c>
      <c r="L1168" s="415" t="s">
        <v>32</v>
      </c>
      <c r="M1168" s="419" t="s">
        <v>1308</v>
      </c>
      <c r="N1168" s="413">
        <v>44796</v>
      </c>
      <c r="O1168" s="414" t="s">
        <v>400</v>
      </c>
      <c r="P1168" s="655">
        <f t="shared" si="54"/>
        <v>8</v>
      </c>
      <c r="Q1168" s="655">
        <f t="shared" si="55"/>
        <v>8</v>
      </c>
      <c r="R1168" s="695" t="str">
        <f t="shared" si="56"/>
        <v>Gastos_Gerais</v>
      </c>
      <c r="S1168" s="697" t="s">
        <v>998</v>
      </c>
      <c r="T1168" s="697">
        <v>4040</v>
      </c>
    </row>
    <row r="1169" spans="1:20" ht="48" x14ac:dyDescent="0.2">
      <c r="A1169" s="432">
        <f>IF(B1169="","",COUNT('Diário 1º PA'!$A$4:$A$2635)+COUNT('Diário 2º PA'!$A$4:$A$3040)+ROW()-3)</f>
        <v>5265</v>
      </c>
      <c r="B1169" s="413">
        <v>44797</v>
      </c>
      <c r="C1169" s="431">
        <v>44743</v>
      </c>
      <c r="D1169" s="415" t="s">
        <v>271</v>
      </c>
      <c r="E1169" s="415" t="s">
        <v>62</v>
      </c>
      <c r="F1169" s="422">
        <v>2278.27</v>
      </c>
      <c r="G1169" s="427" t="s">
        <v>6180</v>
      </c>
      <c r="H1169" s="415" t="s">
        <v>758</v>
      </c>
      <c r="I1169" s="415" t="s">
        <v>5925</v>
      </c>
      <c r="J1169" s="415" t="s">
        <v>1119</v>
      </c>
      <c r="K1169" s="419" t="s">
        <v>830</v>
      </c>
      <c r="L1169" s="415" t="s">
        <v>32</v>
      </c>
      <c r="M1169" s="419" t="s">
        <v>1503</v>
      </c>
      <c r="N1169" s="413">
        <v>44797</v>
      </c>
      <c r="O1169" s="414" t="s">
        <v>400</v>
      </c>
      <c r="P1169" s="655">
        <f t="shared" si="54"/>
        <v>8</v>
      </c>
      <c r="Q1169" s="655">
        <f t="shared" si="55"/>
        <v>7</v>
      </c>
      <c r="R1169" s="695" t="str">
        <f t="shared" si="56"/>
        <v>Gastos_Gerais</v>
      </c>
      <c r="S1169" s="697" t="s">
        <v>998</v>
      </c>
      <c r="T1169" s="697">
        <v>4178</v>
      </c>
    </row>
    <row r="1170" spans="1:20" ht="36" x14ac:dyDescent="0.2">
      <c r="A1170" s="432">
        <f>IF(B1170="","",COUNT('Diário 1º PA'!$A$4:$A$2635)+COUNT('Diário 2º PA'!$A$4:$A$3040)+ROW()-3)</f>
        <v>5266</v>
      </c>
      <c r="B1170" s="413">
        <v>44797</v>
      </c>
      <c r="C1170" s="431">
        <v>44774</v>
      </c>
      <c r="D1170" s="415" t="s">
        <v>271</v>
      </c>
      <c r="E1170" s="415" t="s">
        <v>71</v>
      </c>
      <c r="F1170" s="425">
        <v>11</v>
      </c>
      <c r="G1170" s="427" t="s">
        <v>6771</v>
      </c>
      <c r="H1170" s="415" t="s">
        <v>758</v>
      </c>
      <c r="I1170" s="398" t="s">
        <v>881</v>
      </c>
      <c r="J1170" s="418" t="s">
        <v>882</v>
      </c>
      <c r="K1170" s="418" t="s">
        <v>883</v>
      </c>
      <c r="L1170" s="399" t="s">
        <v>798</v>
      </c>
      <c r="M1170" s="544" t="s">
        <v>310</v>
      </c>
      <c r="N1170" s="413">
        <v>44797</v>
      </c>
      <c r="O1170" s="414" t="s">
        <v>400</v>
      </c>
      <c r="P1170" s="655">
        <f t="shared" si="54"/>
        <v>8</v>
      </c>
      <c r="Q1170" s="655">
        <f t="shared" si="55"/>
        <v>8</v>
      </c>
      <c r="R1170" s="695" t="str">
        <f t="shared" si="56"/>
        <v>Gastos_Gerais</v>
      </c>
      <c r="S1170" s="697" t="s">
        <v>310</v>
      </c>
      <c r="T1170" s="697" t="s">
        <v>310</v>
      </c>
    </row>
    <row r="1171" spans="1:20" ht="36" x14ac:dyDescent="0.2">
      <c r="A1171" s="432">
        <f>IF(B1171="","",COUNT('Diário 1º PA'!$A$4:$A$2635)+COUNT('Diário 2º PA'!$A$4:$A$3040)+ROW()-3)</f>
        <v>5267</v>
      </c>
      <c r="B1171" s="413">
        <v>44797</v>
      </c>
      <c r="C1171" s="431">
        <v>44774</v>
      </c>
      <c r="D1171" s="415" t="s">
        <v>271</v>
      </c>
      <c r="E1171" s="415" t="s">
        <v>71</v>
      </c>
      <c r="F1171" s="425">
        <v>11</v>
      </c>
      <c r="G1171" s="427" t="s">
        <v>6772</v>
      </c>
      <c r="H1171" s="415" t="s">
        <v>758</v>
      </c>
      <c r="I1171" s="398" t="s">
        <v>881</v>
      </c>
      <c r="J1171" s="418" t="s">
        <v>882</v>
      </c>
      <c r="K1171" s="418" t="s">
        <v>883</v>
      </c>
      <c r="L1171" s="399" t="s">
        <v>798</v>
      </c>
      <c r="M1171" s="544" t="s">
        <v>310</v>
      </c>
      <c r="N1171" s="413">
        <v>44797</v>
      </c>
      <c r="O1171" s="414" t="s">
        <v>400</v>
      </c>
      <c r="P1171" s="655">
        <f t="shared" si="54"/>
        <v>8</v>
      </c>
      <c r="Q1171" s="655">
        <f t="shared" si="55"/>
        <v>8</v>
      </c>
      <c r="R1171" s="695" t="str">
        <f t="shared" si="56"/>
        <v>Gastos_Gerais</v>
      </c>
      <c r="S1171" s="697" t="s">
        <v>310</v>
      </c>
      <c r="T1171" s="697" t="s">
        <v>310</v>
      </c>
    </row>
    <row r="1172" spans="1:20" ht="36" x14ac:dyDescent="0.2">
      <c r="A1172" s="432">
        <f>IF(B1172="","",COUNT('Diário 1º PA'!$A$4:$A$2635)+COUNT('Diário 2º PA'!$A$4:$A$3040)+ROW()-3)</f>
        <v>5268</v>
      </c>
      <c r="B1172" s="413">
        <v>44797</v>
      </c>
      <c r="C1172" s="431">
        <v>44774</v>
      </c>
      <c r="D1172" s="415" t="s">
        <v>271</v>
      </c>
      <c r="E1172" s="415" t="s">
        <v>71</v>
      </c>
      <c r="F1172" s="425">
        <v>11</v>
      </c>
      <c r="G1172" s="427" t="s">
        <v>6773</v>
      </c>
      <c r="H1172" s="415" t="s">
        <v>790</v>
      </c>
      <c r="I1172" s="398" t="s">
        <v>881</v>
      </c>
      <c r="J1172" s="418" t="s">
        <v>882</v>
      </c>
      <c r="K1172" s="418" t="s">
        <v>883</v>
      </c>
      <c r="L1172" s="399" t="s">
        <v>798</v>
      </c>
      <c r="M1172" s="544" t="s">
        <v>310</v>
      </c>
      <c r="N1172" s="413">
        <v>44797</v>
      </c>
      <c r="O1172" s="414" t="s">
        <v>400</v>
      </c>
      <c r="P1172" s="655">
        <f t="shared" si="54"/>
        <v>8</v>
      </c>
      <c r="Q1172" s="655">
        <f t="shared" si="55"/>
        <v>8</v>
      </c>
      <c r="R1172" s="695" t="str">
        <f t="shared" si="56"/>
        <v>Gastos_Gerais</v>
      </c>
      <c r="S1172" s="697" t="s">
        <v>310</v>
      </c>
      <c r="T1172" s="697" t="s">
        <v>310</v>
      </c>
    </row>
    <row r="1173" spans="1:20" ht="36" x14ac:dyDescent="0.2">
      <c r="A1173" s="432">
        <f>IF(B1173="","",COUNT('Diário 1º PA'!$A$4:$A$2635)+COUNT('Diário 2º PA'!$A$4:$A$3040)+ROW()-3)</f>
        <v>5269</v>
      </c>
      <c r="B1173" s="413">
        <v>44797</v>
      </c>
      <c r="C1173" s="431">
        <v>44774</v>
      </c>
      <c r="D1173" s="415" t="s">
        <v>271</v>
      </c>
      <c r="E1173" s="415" t="s">
        <v>71</v>
      </c>
      <c r="F1173" s="425">
        <v>11</v>
      </c>
      <c r="G1173" s="427" t="s">
        <v>6774</v>
      </c>
      <c r="H1173" s="415" t="s">
        <v>758</v>
      </c>
      <c r="I1173" s="398" t="s">
        <v>881</v>
      </c>
      <c r="J1173" s="418" t="s">
        <v>882</v>
      </c>
      <c r="K1173" s="418" t="s">
        <v>883</v>
      </c>
      <c r="L1173" s="399" t="s">
        <v>798</v>
      </c>
      <c r="M1173" s="544" t="s">
        <v>310</v>
      </c>
      <c r="N1173" s="413">
        <v>44797</v>
      </c>
      <c r="O1173" s="414" t="s">
        <v>400</v>
      </c>
      <c r="P1173" s="655">
        <f t="shared" si="54"/>
        <v>8</v>
      </c>
      <c r="Q1173" s="655">
        <f t="shared" si="55"/>
        <v>8</v>
      </c>
      <c r="R1173" s="695" t="str">
        <f t="shared" si="56"/>
        <v>Gastos_Gerais</v>
      </c>
      <c r="S1173" s="697" t="s">
        <v>310</v>
      </c>
      <c r="T1173" s="697" t="s">
        <v>310</v>
      </c>
    </row>
    <row r="1174" spans="1:20" ht="36" x14ac:dyDescent="0.2">
      <c r="A1174" s="432">
        <f>IF(B1174="","",COUNT('Diário 1º PA'!$A$4:$A$2635)+COUNT('Diário 2º PA'!$A$4:$A$3040)+ROW()-3)</f>
        <v>5270</v>
      </c>
      <c r="B1174" s="413">
        <v>44797</v>
      </c>
      <c r="C1174" s="431">
        <v>44774</v>
      </c>
      <c r="D1174" s="415" t="s">
        <v>271</v>
      </c>
      <c r="E1174" s="415" t="s">
        <v>71</v>
      </c>
      <c r="F1174" s="425">
        <v>11</v>
      </c>
      <c r="G1174" s="427" t="s">
        <v>6775</v>
      </c>
      <c r="H1174" s="415" t="s">
        <v>758</v>
      </c>
      <c r="I1174" s="398" t="s">
        <v>881</v>
      </c>
      <c r="J1174" s="418" t="s">
        <v>882</v>
      </c>
      <c r="K1174" s="418" t="s">
        <v>883</v>
      </c>
      <c r="L1174" s="399" t="s">
        <v>798</v>
      </c>
      <c r="M1174" s="544" t="s">
        <v>310</v>
      </c>
      <c r="N1174" s="413">
        <v>44797</v>
      </c>
      <c r="O1174" s="414" t="s">
        <v>400</v>
      </c>
      <c r="P1174" s="655">
        <f t="shared" si="54"/>
        <v>8</v>
      </c>
      <c r="Q1174" s="655">
        <f t="shared" si="55"/>
        <v>8</v>
      </c>
      <c r="R1174" s="695" t="str">
        <f t="shared" si="56"/>
        <v>Gastos_Gerais</v>
      </c>
      <c r="S1174" s="697" t="s">
        <v>310</v>
      </c>
      <c r="T1174" s="697" t="s">
        <v>310</v>
      </c>
    </row>
    <row r="1175" spans="1:20" ht="60" x14ac:dyDescent="0.2">
      <c r="A1175" s="432">
        <f>IF(B1175="","",COUNT('Diário 1º PA'!$A$4:$A$2635)+COUNT('Diário 2º PA'!$A$4:$A$3040)+ROW()-3)</f>
        <v>5271</v>
      </c>
      <c r="B1175" s="413">
        <v>44797</v>
      </c>
      <c r="C1175" s="431">
        <v>44743</v>
      </c>
      <c r="D1175" s="415" t="s">
        <v>468</v>
      </c>
      <c r="E1175" s="415" t="s">
        <v>468</v>
      </c>
      <c r="F1175" s="425">
        <v>2500</v>
      </c>
      <c r="G1175" s="427" t="s">
        <v>4311</v>
      </c>
      <c r="H1175" s="415" t="s">
        <v>468</v>
      </c>
      <c r="I1175" s="398" t="s">
        <v>6428</v>
      </c>
      <c r="J1175" s="415" t="s">
        <v>4312</v>
      </c>
      <c r="K1175" s="418" t="s">
        <v>830</v>
      </c>
      <c r="L1175" s="399" t="s">
        <v>32</v>
      </c>
      <c r="M1175" s="418" t="s">
        <v>1608</v>
      </c>
      <c r="N1175" s="413">
        <v>44796</v>
      </c>
      <c r="O1175" s="414" t="s">
        <v>408</v>
      </c>
      <c r="P1175" s="655">
        <f t="shared" si="54"/>
        <v>8</v>
      </c>
      <c r="Q1175" s="655">
        <f t="shared" si="55"/>
        <v>7</v>
      </c>
      <c r="R1175" s="695" t="str">
        <f t="shared" si="56"/>
        <v>Gastos_custeados_por_captação</v>
      </c>
      <c r="S1175" s="697" t="s">
        <v>1000</v>
      </c>
      <c r="T1175" s="697">
        <v>3688</v>
      </c>
    </row>
    <row r="1176" spans="1:20" ht="36" x14ac:dyDescent="0.2">
      <c r="A1176" s="432">
        <f>IF(B1176="","",COUNT('Diário 1º PA'!$A$4:$A$2635)+COUNT('Diário 2º PA'!$A$4:$A$3040)+ROW()-3)</f>
        <v>5272</v>
      </c>
      <c r="B1176" s="413">
        <v>44797</v>
      </c>
      <c r="C1176" s="431">
        <v>44774</v>
      </c>
      <c r="D1176" s="415" t="s">
        <v>468</v>
      </c>
      <c r="E1176" s="415" t="s">
        <v>468</v>
      </c>
      <c r="F1176" s="425">
        <v>11</v>
      </c>
      <c r="G1176" s="427" t="s">
        <v>2469</v>
      </c>
      <c r="H1176" s="415" t="s">
        <v>468</v>
      </c>
      <c r="I1176" s="639" t="s">
        <v>881</v>
      </c>
      <c r="J1176" s="418" t="s">
        <v>882</v>
      </c>
      <c r="K1176" s="418" t="s">
        <v>883</v>
      </c>
      <c r="L1176" s="399" t="s">
        <v>798</v>
      </c>
      <c r="M1176" s="544" t="s">
        <v>310</v>
      </c>
      <c r="N1176" s="413">
        <v>44797</v>
      </c>
      <c r="O1176" s="414" t="s">
        <v>408</v>
      </c>
      <c r="P1176" s="655">
        <f t="shared" si="54"/>
        <v>8</v>
      </c>
      <c r="Q1176" s="655">
        <f t="shared" si="55"/>
        <v>8</v>
      </c>
      <c r="R1176" s="695" t="str">
        <f t="shared" si="56"/>
        <v>Gastos_custeados_por_captação</v>
      </c>
      <c r="S1176" s="697" t="s">
        <v>310</v>
      </c>
      <c r="T1176" s="697" t="s">
        <v>310</v>
      </c>
    </row>
    <row r="1177" spans="1:20" ht="60" x14ac:dyDescent="0.2">
      <c r="A1177" s="432">
        <f>IF(B1177="","",COUNT('Diário 1º PA'!$A$4:$A$2635)+COUNT('Diário 2º PA'!$A$4:$A$3040)+ROW()-3)</f>
        <v>5273</v>
      </c>
      <c r="B1177" s="413">
        <v>44797</v>
      </c>
      <c r="C1177" s="431">
        <v>44743</v>
      </c>
      <c r="D1177" s="415" t="s">
        <v>468</v>
      </c>
      <c r="E1177" s="415" t="s">
        <v>468</v>
      </c>
      <c r="F1177" s="425">
        <v>1998.6</v>
      </c>
      <c r="G1177" s="427" t="s">
        <v>4728</v>
      </c>
      <c r="H1177" s="415" t="s">
        <v>468</v>
      </c>
      <c r="I1177" s="398" t="s">
        <v>2829</v>
      </c>
      <c r="J1177" s="415" t="s">
        <v>1834</v>
      </c>
      <c r="K1177" s="418" t="s">
        <v>830</v>
      </c>
      <c r="L1177" s="399" t="s">
        <v>1341</v>
      </c>
      <c r="M1177" s="544">
        <v>1966</v>
      </c>
      <c r="N1177" s="413">
        <v>44796</v>
      </c>
      <c r="O1177" s="414" t="s">
        <v>404</v>
      </c>
      <c r="P1177" s="655">
        <f t="shared" si="54"/>
        <v>8</v>
      </c>
      <c r="Q1177" s="655">
        <f t="shared" si="55"/>
        <v>7</v>
      </c>
      <c r="R1177" s="695" t="str">
        <f t="shared" si="56"/>
        <v>Gastos_custeados_por_captação</v>
      </c>
      <c r="S1177" s="697" t="s">
        <v>1000</v>
      </c>
      <c r="T1177" s="697">
        <v>3906</v>
      </c>
    </row>
    <row r="1178" spans="1:20" ht="72" x14ac:dyDescent="0.2">
      <c r="A1178" s="432">
        <f>IF(B1178="","",COUNT('Diário 1º PA'!$A$4:$A$2635)+COUNT('Diário 2º PA'!$A$4:$A$3040)+ROW()-3)</f>
        <v>5274</v>
      </c>
      <c r="B1178" s="413">
        <v>44797</v>
      </c>
      <c r="C1178" s="431">
        <v>44774</v>
      </c>
      <c r="D1178" s="415" t="s">
        <v>468</v>
      </c>
      <c r="E1178" s="415" t="s">
        <v>468</v>
      </c>
      <c r="F1178" s="425">
        <v>899.6</v>
      </c>
      <c r="G1178" s="427" t="s">
        <v>4475</v>
      </c>
      <c r="H1178" s="415" t="s">
        <v>468</v>
      </c>
      <c r="I1178" s="639" t="s">
        <v>6547</v>
      </c>
      <c r="J1178" s="415" t="s">
        <v>4476</v>
      </c>
      <c r="K1178" s="418" t="s">
        <v>830</v>
      </c>
      <c r="L1178" s="399" t="s">
        <v>839</v>
      </c>
      <c r="M1178" s="544">
        <v>1967</v>
      </c>
      <c r="N1178" s="413">
        <v>44796</v>
      </c>
      <c r="O1178" s="414" t="s">
        <v>404</v>
      </c>
      <c r="P1178" s="655">
        <f t="shared" si="54"/>
        <v>8</v>
      </c>
      <c r="Q1178" s="655">
        <f t="shared" si="55"/>
        <v>8</v>
      </c>
      <c r="R1178" s="695" t="str">
        <f t="shared" si="56"/>
        <v>Gastos_custeados_por_captação</v>
      </c>
      <c r="S1178" s="698" t="s">
        <v>1000</v>
      </c>
      <c r="T1178" s="697">
        <v>3806</v>
      </c>
    </row>
    <row r="1179" spans="1:20" ht="132" x14ac:dyDescent="0.2">
      <c r="A1179" s="432">
        <f>IF(B1179="","",COUNT('Diário 1º PA'!$A$4:$A$2635)+COUNT('Diário 2º PA'!$A$4:$A$3040)+ROW()-3)</f>
        <v>5275</v>
      </c>
      <c r="B1179" s="413">
        <v>44797</v>
      </c>
      <c r="C1179" s="431">
        <v>44713</v>
      </c>
      <c r="D1179" s="415" t="s">
        <v>468</v>
      </c>
      <c r="E1179" s="415" t="s">
        <v>468</v>
      </c>
      <c r="F1179" s="425">
        <v>11758.8</v>
      </c>
      <c r="G1179" s="427" t="s">
        <v>4474</v>
      </c>
      <c r="H1179" s="415" t="s">
        <v>468</v>
      </c>
      <c r="I1179" s="639" t="s">
        <v>2381</v>
      </c>
      <c r="J1179" s="415" t="s">
        <v>2382</v>
      </c>
      <c r="K1179" s="418" t="s">
        <v>830</v>
      </c>
      <c r="L1179" s="399" t="s">
        <v>32</v>
      </c>
      <c r="M1179" s="418" t="s">
        <v>1540</v>
      </c>
      <c r="N1179" s="413">
        <v>44795</v>
      </c>
      <c r="O1179" s="414" t="s">
        <v>405</v>
      </c>
      <c r="P1179" s="655">
        <f t="shared" si="54"/>
        <v>8</v>
      </c>
      <c r="Q1179" s="655">
        <f t="shared" si="55"/>
        <v>6</v>
      </c>
      <c r="R1179" s="695" t="str">
        <f t="shared" si="56"/>
        <v>Gastos_custeados_por_captação</v>
      </c>
      <c r="S1179" s="698" t="s">
        <v>1000</v>
      </c>
      <c r="T1179" s="697">
        <v>3779</v>
      </c>
    </row>
    <row r="1180" spans="1:20" ht="60" x14ac:dyDescent="0.2">
      <c r="A1180" s="432">
        <f>IF(B1180="","",COUNT('Diário 1º PA'!$A$4:$A$2635)+COUNT('Diário 2º PA'!$A$4:$A$3040)+ROW()-3)</f>
        <v>5276</v>
      </c>
      <c r="B1180" s="413">
        <v>44797</v>
      </c>
      <c r="C1180" s="431">
        <v>44743</v>
      </c>
      <c r="D1180" s="415" t="s">
        <v>468</v>
      </c>
      <c r="E1180" s="415" t="s">
        <v>468</v>
      </c>
      <c r="F1180" s="425">
        <v>489.95</v>
      </c>
      <c r="G1180" s="427" t="s">
        <v>5799</v>
      </c>
      <c r="H1180" s="415" t="s">
        <v>468</v>
      </c>
      <c r="I1180" s="639" t="s">
        <v>2557</v>
      </c>
      <c r="J1180" s="415" t="s">
        <v>2342</v>
      </c>
      <c r="K1180" s="418" t="s">
        <v>830</v>
      </c>
      <c r="L1180" s="399" t="s">
        <v>32</v>
      </c>
      <c r="M1180" s="418" t="s">
        <v>1793</v>
      </c>
      <c r="N1180" s="413">
        <v>44795</v>
      </c>
      <c r="O1180" s="414" t="s">
        <v>405</v>
      </c>
      <c r="P1180" s="655">
        <f t="shared" si="54"/>
        <v>8</v>
      </c>
      <c r="Q1180" s="655">
        <f t="shared" si="55"/>
        <v>7</v>
      </c>
      <c r="R1180" s="695" t="str">
        <f t="shared" si="56"/>
        <v>Gastos_custeados_por_captação</v>
      </c>
      <c r="S1180" s="698" t="s">
        <v>998</v>
      </c>
      <c r="T1180" s="697">
        <v>4063</v>
      </c>
    </row>
    <row r="1181" spans="1:20" ht="60" x14ac:dyDescent="0.2">
      <c r="A1181" s="432">
        <f>IF(B1181="","",COUNT('Diário 1º PA'!$A$4:$A$2635)+COUNT('Diário 2º PA'!$A$4:$A$3040)+ROW()-3)</f>
        <v>5277</v>
      </c>
      <c r="B1181" s="413">
        <v>44797</v>
      </c>
      <c r="C1181" s="431">
        <v>44743</v>
      </c>
      <c r="D1181" s="415" t="s">
        <v>468</v>
      </c>
      <c r="E1181" s="415" t="s">
        <v>468</v>
      </c>
      <c r="F1181" s="425">
        <v>3233.67</v>
      </c>
      <c r="G1181" s="427" t="s">
        <v>2341</v>
      </c>
      <c r="H1181" s="415" t="s">
        <v>468</v>
      </c>
      <c r="I1181" s="639" t="s">
        <v>2557</v>
      </c>
      <c r="J1181" s="415" t="s">
        <v>2342</v>
      </c>
      <c r="K1181" s="418" t="s">
        <v>830</v>
      </c>
      <c r="L1181" s="399" t="s">
        <v>32</v>
      </c>
      <c r="M1181" s="418" t="s">
        <v>1428</v>
      </c>
      <c r="N1181" s="413">
        <v>44796</v>
      </c>
      <c r="O1181" s="414" t="s">
        <v>405</v>
      </c>
      <c r="P1181" s="655">
        <f t="shared" si="54"/>
        <v>8</v>
      </c>
      <c r="Q1181" s="655">
        <f t="shared" si="55"/>
        <v>7</v>
      </c>
      <c r="R1181" s="695" t="str">
        <f t="shared" si="56"/>
        <v>Gastos_custeados_por_captação</v>
      </c>
      <c r="S1181" s="698" t="s">
        <v>1000</v>
      </c>
      <c r="T1181" s="697">
        <v>3187</v>
      </c>
    </row>
    <row r="1182" spans="1:20" ht="60" x14ac:dyDescent="0.2">
      <c r="A1182" s="432">
        <f>IF(B1182="","",COUNT('Diário 1º PA'!$A$4:$A$2635)+COUNT('Diário 2º PA'!$A$4:$A$3040)+ROW()-3)</f>
        <v>5278</v>
      </c>
      <c r="B1182" s="413">
        <v>44797</v>
      </c>
      <c r="C1182" s="431">
        <v>44774</v>
      </c>
      <c r="D1182" s="415" t="s">
        <v>468</v>
      </c>
      <c r="E1182" s="415" t="s">
        <v>468</v>
      </c>
      <c r="F1182" s="425">
        <v>3429.65</v>
      </c>
      <c r="G1182" s="427" t="s">
        <v>3260</v>
      </c>
      <c r="H1182" s="415" t="s">
        <v>468</v>
      </c>
      <c r="I1182" s="639" t="s">
        <v>7181</v>
      </c>
      <c r="J1182" s="415" t="s">
        <v>1141</v>
      </c>
      <c r="K1182" s="418" t="s">
        <v>830</v>
      </c>
      <c r="L1182" s="399" t="s">
        <v>32</v>
      </c>
      <c r="M1182" s="418" t="s">
        <v>1703</v>
      </c>
      <c r="N1182" s="413">
        <v>44796</v>
      </c>
      <c r="O1182" s="414" t="s">
        <v>405</v>
      </c>
      <c r="P1182" s="655">
        <f t="shared" si="54"/>
        <v>8</v>
      </c>
      <c r="Q1182" s="655">
        <f t="shared" si="55"/>
        <v>8</v>
      </c>
      <c r="R1182" s="695" t="str">
        <f t="shared" si="56"/>
        <v>Gastos_custeados_por_captação</v>
      </c>
      <c r="S1182" s="698" t="s">
        <v>1000</v>
      </c>
      <c r="T1182" s="697">
        <v>3295</v>
      </c>
    </row>
    <row r="1183" spans="1:20" ht="48" x14ac:dyDescent="0.2">
      <c r="A1183" s="432">
        <f>IF(B1183="","",COUNT('Diário 1º PA'!$A$4:$A$2635)+COUNT('Diário 2º PA'!$A$4:$A$3040)+ROW()-3)</f>
        <v>5279</v>
      </c>
      <c r="B1183" s="414">
        <v>44798</v>
      </c>
      <c r="C1183" s="431">
        <v>44743</v>
      </c>
      <c r="D1183" s="415" t="s">
        <v>271</v>
      </c>
      <c r="E1183" s="415" t="s">
        <v>92</v>
      </c>
      <c r="F1183" s="425">
        <v>-114.88</v>
      </c>
      <c r="G1183" s="427" t="s">
        <v>6807</v>
      </c>
      <c r="H1183" s="415" t="s">
        <v>309</v>
      </c>
      <c r="I1183" s="474" t="s">
        <v>795</v>
      </c>
      <c r="J1183" s="434" t="s">
        <v>796</v>
      </c>
      <c r="K1183" s="434" t="s">
        <v>797</v>
      </c>
      <c r="L1183" s="434" t="s">
        <v>798</v>
      </c>
      <c r="M1183" s="436" t="s">
        <v>310</v>
      </c>
      <c r="N1183" s="414">
        <v>44798</v>
      </c>
      <c r="O1183" s="414" t="s">
        <v>400</v>
      </c>
      <c r="P1183" s="655">
        <f t="shared" si="54"/>
        <v>8</v>
      </c>
      <c r="Q1183" s="655">
        <f t="shared" si="55"/>
        <v>7</v>
      </c>
      <c r="R1183" s="695" t="str">
        <f t="shared" si="56"/>
        <v>Gastos_Gerais</v>
      </c>
      <c r="S1183" s="697" t="s">
        <v>310</v>
      </c>
      <c r="T1183" s="697" t="s">
        <v>310</v>
      </c>
    </row>
    <row r="1184" spans="1:20" ht="48" x14ac:dyDescent="0.2">
      <c r="A1184" s="432">
        <f>IF(B1184="","",COUNT('Diário 1º PA'!$A$4:$A$2635)+COUNT('Diário 2º PA'!$A$4:$A$3040)+ROW()-3)</f>
        <v>5280</v>
      </c>
      <c r="B1184" s="414">
        <v>44798</v>
      </c>
      <c r="C1184" s="431">
        <v>44743</v>
      </c>
      <c r="D1184" s="415" t="s">
        <v>271</v>
      </c>
      <c r="E1184" s="415" t="s">
        <v>164</v>
      </c>
      <c r="F1184" s="435">
        <v>-204.33</v>
      </c>
      <c r="G1184" s="427" t="s">
        <v>6524</v>
      </c>
      <c r="H1184" s="415" t="s">
        <v>309</v>
      </c>
      <c r="I1184" s="473" t="s">
        <v>795</v>
      </c>
      <c r="J1184" s="415" t="s">
        <v>796</v>
      </c>
      <c r="K1184" s="415" t="s">
        <v>797</v>
      </c>
      <c r="L1184" s="415" t="s">
        <v>798</v>
      </c>
      <c r="M1184" s="415" t="s">
        <v>310</v>
      </c>
      <c r="N1184" s="414">
        <v>44798</v>
      </c>
      <c r="O1184" s="414" t="s">
        <v>400</v>
      </c>
      <c r="P1184" s="655">
        <f t="shared" si="54"/>
        <v>8</v>
      </c>
      <c r="Q1184" s="655">
        <f t="shared" si="55"/>
        <v>7</v>
      </c>
      <c r="R1184" s="695" t="str">
        <f t="shared" si="56"/>
        <v>Gastos_Gerais</v>
      </c>
      <c r="S1184" s="697" t="s">
        <v>310</v>
      </c>
      <c r="T1184" s="697" t="s">
        <v>310</v>
      </c>
    </row>
    <row r="1185" spans="1:20" ht="48" x14ac:dyDescent="0.2">
      <c r="A1185" s="432">
        <f>IF(B1185="","",COUNT('Diário 1º PA'!$A$4:$A$2635)+COUNT('Diário 2º PA'!$A$4:$A$3040)+ROW()-3)</f>
        <v>5281</v>
      </c>
      <c r="B1185" s="414">
        <v>44798</v>
      </c>
      <c r="C1185" s="431">
        <v>44743</v>
      </c>
      <c r="D1185" s="415" t="s">
        <v>315</v>
      </c>
      <c r="E1185" s="415" t="s">
        <v>315</v>
      </c>
      <c r="F1185" s="425">
        <v>17635.68</v>
      </c>
      <c r="G1185" s="427" t="s">
        <v>6227</v>
      </c>
      <c r="H1185" s="415" t="s">
        <v>310</v>
      </c>
      <c r="I1185" s="427" t="s">
        <v>1473</v>
      </c>
      <c r="J1185" s="415" t="s">
        <v>796</v>
      </c>
      <c r="K1185" s="419" t="s">
        <v>806</v>
      </c>
      <c r="L1185" s="415" t="s">
        <v>798</v>
      </c>
      <c r="M1185" s="415" t="s">
        <v>310</v>
      </c>
      <c r="N1185" s="685">
        <v>44798</v>
      </c>
      <c r="O1185" s="414" t="s">
        <v>400</v>
      </c>
      <c r="P1185" s="655">
        <f t="shared" si="54"/>
        <v>8</v>
      </c>
      <c r="Q1185" s="655">
        <f t="shared" si="55"/>
        <v>7</v>
      </c>
      <c r="R1185" s="695" t="str">
        <f t="shared" si="56"/>
        <v>Transferência_para_Reserva_de_Recursos</v>
      </c>
      <c r="S1185" s="697" t="s">
        <v>310</v>
      </c>
      <c r="T1185" s="697" t="s">
        <v>310</v>
      </c>
    </row>
    <row r="1186" spans="1:20" ht="60" x14ac:dyDescent="0.2">
      <c r="A1186" s="432">
        <f>IF(B1186="","",COUNT('Diário 1º PA'!$A$4:$A$2635)+COUNT('Diário 2º PA'!$A$4:$A$3040)+ROW()-3)</f>
        <v>5282</v>
      </c>
      <c r="B1186" s="414">
        <v>44798</v>
      </c>
      <c r="C1186" s="431">
        <v>44713</v>
      </c>
      <c r="D1186" s="415" t="s">
        <v>271</v>
      </c>
      <c r="E1186" s="415" t="s">
        <v>452</v>
      </c>
      <c r="F1186" s="425">
        <v>2462.5500000000002</v>
      </c>
      <c r="G1186" s="427" t="s">
        <v>4894</v>
      </c>
      <c r="H1186" s="415" t="s">
        <v>758</v>
      </c>
      <c r="I1186" s="415" t="s">
        <v>6808</v>
      </c>
      <c r="J1186" s="415" t="s">
        <v>2306</v>
      </c>
      <c r="K1186" s="419" t="s">
        <v>806</v>
      </c>
      <c r="L1186" s="415" t="s">
        <v>839</v>
      </c>
      <c r="M1186" s="419">
        <v>1959</v>
      </c>
      <c r="N1186" s="413">
        <v>44795</v>
      </c>
      <c r="O1186" s="414" t="s">
        <v>400</v>
      </c>
      <c r="P1186" s="655">
        <f t="shared" si="54"/>
        <v>8</v>
      </c>
      <c r="Q1186" s="655">
        <f t="shared" si="55"/>
        <v>6</v>
      </c>
      <c r="R1186" s="695" t="str">
        <f t="shared" si="56"/>
        <v>Gastos_Gerais</v>
      </c>
      <c r="S1186" s="697" t="s">
        <v>998</v>
      </c>
      <c r="T1186" s="697">
        <v>3853</v>
      </c>
    </row>
    <row r="1187" spans="1:20" ht="25.5" x14ac:dyDescent="0.2">
      <c r="A1187" s="432">
        <f>IF(B1187="","",COUNT('Diário 1º PA'!$A$4:$A$2635)+COUNT('Diário 2º PA'!$A$4:$A$3040)+ROW()-3)</f>
        <v>5283</v>
      </c>
      <c r="B1187" s="414">
        <v>44798</v>
      </c>
      <c r="C1187" s="431">
        <v>44743</v>
      </c>
      <c r="D1187" s="415" t="s">
        <v>271</v>
      </c>
      <c r="E1187" s="415" t="s">
        <v>67</v>
      </c>
      <c r="F1187" s="425">
        <v>864.87</v>
      </c>
      <c r="G1187" s="427" t="s">
        <v>6226</v>
      </c>
      <c r="H1187" s="415" t="s">
        <v>310</v>
      </c>
      <c r="I1187" s="427" t="s">
        <v>1461</v>
      </c>
      <c r="J1187" s="418" t="s">
        <v>310</v>
      </c>
      <c r="K1187" s="418" t="s">
        <v>1220</v>
      </c>
      <c r="L1187" s="399" t="s">
        <v>1368</v>
      </c>
      <c r="M1187" s="544" t="s">
        <v>310</v>
      </c>
      <c r="N1187" s="413">
        <v>44798</v>
      </c>
      <c r="O1187" s="393" t="s">
        <v>400</v>
      </c>
      <c r="P1187" s="655">
        <f t="shared" si="54"/>
        <v>8</v>
      </c>
      <c r="Q1187" s="655">
        <f t="shared" si="55"/>
        <v>7</v>
      </c>
      <c r="R1187" s="695" t="str">
        <f t="shared" si="56"/>
        <v>Gastos_Gerais</v>
      </c>
      <c r="S1187" s="696" t="s">
        <v>310</v>
      </c>
      <c r="T1187" s="696" t="s">
        <v>310</v>
      </c>
    </row>
    <row r="1188" spans="1:20" ht="24" x14ac:dyDescent="0.2">
      <c r="A1188" s="432">
        <f>IF(B1188="","",COUNT('Diário 1º PA'!$A$4:$A$2635)+COUNT('Diário 2º PA'!$A$4:$A$3040)+ROW()-3)</f>
        <v>5284</v>
      </c>
      <c r="B1188" s="414">
        <v>44798</v>
      </c>
      <c r="C1188" s="431">
        <v>44743</v>
      </c>
      <c r="D1188" s="415" t="s">
        <v>182</v>
      </c>
      <c r="E1188" s="415" t="s">
        <v>267</v>
      </c>
      <c r="F1188" s="435">
        <v>2490.15</v>
      </c>
      <c r="G1188" s="437" t="s">
        <v>6812</v>
      </c>
      <c r="H1188" s="434" t="s">
        <v>310</v>
      </c>
      <c r="I1188" s="398" t="s">
        <v>1461</v>
      </c>
      <c r="J1188" s="434" t="s">
        <v>310</v>
      </c>
      <c r="K1188" s="434" t="s">
        <v>1220</v>
      </c>
      <c r="L1188" s="434" t="s">
        <v>1368</v>
      </c>
      <c r="M1188" s="415" t="s">
        <v>310</v>
      </c>
      <c r="N1188" s="413">
        <v>44798</v>
      </c>
      <c r="O1188" s="414" t="s">
        <v>400</v>
      </c>
      <c r="P1188" s="655">
        <f t="shared" si="54"/>
        <v>8</v>
      </c>
      <c r="Q1188" s="655">
        <f t="shared" si="55"/>
        <v>7</v>
      </c>
      <c r="R1188" s="695" t="str">
        <f t="shared" si="56"/>
        <v>Gastos_com_Pessoal</v>
      </c>
      <c r="S1188" s="697" t="s">
        <v>310</v>
      </c>
      <c r="T1188" s="697" t="s">
        <v>310</v>
      </c>
    </row>
    <row r="1189" spans="1:20" ht="24" x14ac:dyDescent="0.2">
      <c r="A1189" s="432">
        <f>IF(B1189="","",COUNT('Diário 1º PA'!$A$4:$A$2635)+COUNT('Diário 2º PA'!$A$4:$A$3040)+ROW()-3)</f>
        <v>5285</v>
      </c>
      <c r="B1189" s="414">
        <v>44798</v>
      </c>
      <c r="C1189" s="433">
        <v>44743</v>
      </c>
      <c r="D1189" s="434" t="s">
        <v>271</v>
      </c>
      <c r="E1189" s="434" t="s">
        <v>164</v>
      </c>
      <c r="F1189" s="435">
        <v>773.69</v>
      </c>
      <c r="G1189" s="437" t="s">
        <v>502</v>
      </c>
      <c r="H1189" s="434" t="s">
        <v>309</v>
      </c>
      <c r="I1189" s="437" t="s">
        <v>769</v>
      </c>
      <c r="J1189" s="434" t="s">
        <v>1478</v>
      </c>
      <c r="K1189" s="434" t="s">
        <v>1404</v>
      </c>
      <c r="L1189" s="434" t="s">
        <v>1372</v>
      </c>
      <c r="M1189" s="419">
        <v>4774208904</v>
      </c>
      <c r="N1189" s="413">
        <v>44780</v>
      </c>
      <c r="O1189" s="414" t="s">
        <v>400</v>
      </c>
      <c r="P1189" s="655">
        <f t="shared" si="54"/>
        <v>8</v>
      </c>
      <c r="Q1189" s="655">
        <f t="shared" si="55"/>
        <v>7</v>
      </c>
      <c r="R1189" s="695" t="str">
        <f t="shared" si="56"/>
        <v>Gastos_Gerais</v>
      </c>
      <c r="S1189" s="697" t="s">
        <v>310</v>
      </c>
      <c r="T1189" s="697" t="s">
        <v>310</v>
      </c>
    </row>
    <row r="1190" spans="1:20" ht="24" x14ac:dyDescent="0.2">
      <c r="A1190" s="432">
        <f>IF(B1190="","",COUNT('Diário 1º PA'!$A$4:$A$2635)+COUNT('Diário 2º PA'!$A$4:$A$3040)+ROW()-3)</f>
        <v>5286</v>
      </c>
      <c r="B1190" s="414">
        <v>44798</v>
      </c>
      <c r="C1190" s="431">
        <v>44774</v>
      </c>
      <c r="D1190" s="415" t="s">
        <v>271</v>
      </c>
      <c r="E1190" s="415" t="s">
        <v>297</v>
      </c>
      <c r="F1190" s="425">
        <v>342</v>
      </c>
      <c r="G1190" s="427" t="s">
        <v>1484</v>
      </c>
      <c r="H1190" s="415" t="s">
        <v>309</v>
      </c>
      <c r="I1190" s="415" t="s">
        <v>1485</v>
      </c>
      <c r="J1190" s="415" t="s">
        <v>1483</v>
      </c>
      <c r="K1190" s="419" t="s">
        <v>812</v>
      </c>
      <c r="L1190" s="434" t="s">
        <v>807</v>
      </c>
      <c r="M1190" s="415">
        <v>6719819</v>
      </c>
      <c r="N1190" s="414">
        <v>44799</v>
      </c>
      <c r="O1190" s="414" t="s">
        <v>400</v>
      </c>
      <c r="P1190" s="655">
        <f t="shared" si="54"/>
        <v>8</v>
      </c>
      <c r="Q1190" s="655">
        <f t="shared" si="55"/>
        <v>8</v>
      </c>
      <c r="R1190" s="695" t="str">
        <f t="shared" si="56"/>
        <v>Gastos_Gerais</v>
      </c>
      <c r="S1190" s="696" t="s">
        <v>1000</v>
      </c>
      <c r="T1190" s="696">
        <v>1551</v>
      </c>
    </row>
    <row r="1191" spans="1:20" ht="24" x14ac:dyDescent="0.2">
      <c r="A1191" s="432">
        <f>IF(B1191="","",COUNT('Diário 1º PA'!$A$4:$A$2635)+COUNT('Diário 2º PA'!$A$4:$A$3040)+ROW()-3)</f>
        <v>5287</v>
      </c>
      <c r="B1191" s="414">
        <v>44798</v>
      </c>
      <c r="C1191" s="433">
        <v>44743</v>
      </c>
      <c r="D1191" s="434" t="s">
        <v>182</v>
      </c>
      <c r="E1191" s="434" t="s">
        <v>161</v>
      </c>
      <c r="F1191" s="435">
        <v>1151.8399999999999</v>
      </c>
      <c r="G1191" s="437" t="s">
        <v>1495</v>
      </c>
      <c r="H1191" s="415" t="s">
        <v>310</v>
      </c>
      <c r="I1191" s="473" t="s">
        <v>1496</v>
      </c>
      <c r="J1191" s="548" t="s">
        <v>1497</v>
      </c>
      <c r="K1191" s="415" t="s">
        <v>812</v>
      </c>
      <c r="L1191" s="415" t="s">
        <v>807</v>
      </c>
      <c r="M1191" s="415" t="s">
        <v>7153</v>
      </c>
      <c r="N1191" s="414">
        <v>44799</v>
      </c>
      <c r="O1191" s="414" t="s">
        <v>400</v>
      </c>
      <c r="P1191" s="655">
        <f t="shared" si="54"/>
        <v>8</v>
      </c>
      <c r="Q1191" s="655">
        <f t="shared" si="55"/>
        <v>7</v>
      </c>
      <c r="R1191" s="695" t="str">
        <f t="shared" si="56"/>
        <v>Gastos_com_Pessoal</v>
      </c>
      <c r="S1191" s="697" t="s">
        <v>310</v>
      </c>
      <c r="T1191" s="697" t="s">
        <v>310</v>
      </c>
    </row>
    <row r="1192" spans="1:20" ht="24" x14ac:dyDescent="0.2">
      <c r="A1192" s="432">
        <f>IF(B1192="","",COUNT('Diário 1º PA'!$A$4:$A$2635)+COUNT('Diário 2º PA'!$A$4:$A$3040)+ROW()-3)</f>
        <v>5288</v>
      </c>
      <c r="B1192" s="414">
        <v>44798</v>
      </c>
      <c r="C1192" s="431">
        <v>44774</v>
      </c>
      <c r="D1192" s="434" t="s">
        <v>182</v>
      </c>
      <c r="E1192" s="434" t="s">
        <v>161</v>
      </c>
      <c r="F1192" s="435">
        <v>2385.4899999999998</v>
      </c>
      <c r="G1192" s="437" t="s">
        <v>1495</v>
      </c>
      <c r="H1192" s="434" t="s">
        <v>310</v>
      </c>
      <c r="I1192" s="473" t="s">
        <v>2008</v>
      </c>
      <c r="J1192" s="548" t="s">
        <v>2009</v>
      </c>
      <c r="K1192" s="419" t="s">
        <v>812</v>
      </c>
      <c r="L1192" s="415" t="s">
        <v>32</v>
      </c>
      <c r="M1192" s="415" t="s">
        <v>7154</v>
      </c>
      <c r="N1192" s="414">
        <v>44803</v>
      </c>
      <c r="O1192" s="414" t="s">
        <v>400</v>
      </c>
      <c r="P1192" s="655">
        <f t="shared" si="54"/>
        <v>8</v>
      </c>
      <c r="Q1192" s="655">
        <f t="shared" si="55"/>
        <v>8</v>
      </c>
      <c r="R1192" s="695" t="str">
        <f t="shared" si="56"/>
        <v>Gastos_com_Pessoal</v>
      </c>
      <c r="S1192" s="697" t="s">
        <v>310</v>
      </c>
      <c r="T1192" s="697" t="s">
        <v>310</v>
      </c>
    </row>
    <row r="1193" spans="1:20" ht="36" x14ac:dyDescent="0.2">
      <c r="A1193" s="432">
        <f>IF(B1193="","",COUNT('Diário 1º PA'!$A$4:$A$2635)+COUNT('Diário 2º PA'!$A$4:$A$3040)+ROW()-3)</f>
        <v>5289</v>
      </c>
      <c r="B1193" s="414">
        <v>44798</v>
      </c>
      <c r="C1193" s="431">
        <v>44743</v>
      </c>
      <c r="D1193" s="415" t="s">
        <v>271</v>
      </c>
      <c r="E1193" s="415" t="s">
        <v>92</v>
      </c>
      <c r="F1193" s="425">
        <v>500</v>
      </c>
      <c r="G1193" s="427" t="s">
        <v>1590</v>
      </c>
      <c r="H1193" s="415" t="s">
        <v>309</v>
      </c>
      <c r="I1193" s="415" t="s">
        <v>1304</v>
      </c>
      <c r="J1193" s="415" t="s">
        <v>1033</v>
      </c>
      <c r="K1193" s="419" t="s">
        <v>830</v>
      </c>
      <c r="L1193" s="415" t="s">
        <v>1305</v>
      </c>
      <c r="M1193" s="419" t="s">
        <v>310</v>
      </c>
      <c r="N1193" s="413">
        <v>44774</v>
      </c>
      <c r="O1193" s="414" t="s">
        <v>400</v>
      </c>
      <c r="P1193" s="655">
        <f t="shared" si="54"/>
        <v>8</v>
      </c>
      <c r="Q1193" s="655">
        <f t="shared" si="55"/>
        <v>7</v>
      </c>
      <c r="R1193" s="695" t="str">
        <f t="shared" si="56"/>
        <v>Gastos_Gerais</v>
      </c>
      <c r="S1193" s="697" t="s">
        <v>1000</v>
      </c>
      <c r="T1193" s="697">
        <v>2842</v>
      </c>
    </row>
    <row r="1194" spans="1:20" ht="48" x14ac:dyDescent="0.2">
      <c r="A1194" s="432">
        <f>IF(B1194="","",COUNT('Diário 1º PA'!$A$4:$A$2635)+COUNT('Diário 2º PA'!$A$4:$A$3040)+ROW()-3)</f>
        <v>5290</v>
      </c>
      <c r="B1194" s="414">
        <v>44798</v>
      </c>
      <c r="C1194" s="431">
        <v>44743</v>
      </c>
      <c r="D1194" s="415" t="s">
        <v>271</v>
      </c>
      <c r="E1194" s="415" t="s">
        <v>92</v>
      </c>
      <c r="F1194" s="435">
        <v>435</v>
      </c>
      <c r="G1194" s="427" t="s">
        <v>655</v>
      </c>
      <c r="H1194" s="434" t="s">
        <v>309</v>
      </c>
      <c r="I1194" s="460" t="s">
        <v>1488</v>
      </c>
      <c r="J1194" s="418" t="s">
        <v>1078</v>
      </c>
      <c r="K1194" s="418" t="s">
        <v>830</v>
      </c>
      <c r="L1194" s="419" t="s">
        <v>7238</v>
      </c>
      <c r="M1194" s="415">
        <v>223890</v>
      </c>
      <c r="N1194" s="414">
        <v>44798</v>
      </c>
      <c r="O1194" s="414" t="s">
        <v>400</v>
      </c>
      <c r="P1194" s="655">
        <f t="shared" si="54"/>
        <v>8</v>
      </c>
      <c r="Q1194" s="655">
        <f t="shared" si="55"/>
        <v>7</v>
      </c>
      <c r="R1194" s="695" t="str">
        <f t="shared" si="56"/>
        <v>Gastos_Gerais</v>
      </c>
      <c r="S1194" s="697" t="s">
        <v>1000</v>
      </c>
      <c r="T1194" s="697">
        <v>2667</v>
      </c>
    </row>
    <row r="1195" spans="1:20" ht="36" x14ac:dyDescent="0.2">
      <c r="A1195" s="432">
        <f>IF(B1195="","",COUNT('Diário 1º PA'!$A$4:$A$2635)+COUNT('Diário 2º PA'!$A$4:$A$3040)+ROW()-3)</f>
        <v>5291</v>
      </c>
      <c r="B1195" s="414">
        <v>44798</v>
      </c>
      <c r="C1195" s="431">
        <v>44743</v>
      </c>
      <c r="D1195" s="415" t="s">
        <v>271</v>
      </c>
      <c r="E1195" s="415" t="s">
        <v>442</v>
      </c>
      <c r="F1195" s="425">
        <v>1600</v>
      </c>
      <c r="G1195" s="427" t="s">
        <v>6023</v>
      </c>
      <c r="H1195" s="415" t="s">
        <v>758</v>
      </c>
      <c r="I1195" s="415" t="s">
        <v>2333</v>
      </c>
      <c r="J1195" s="415" t="s">
        <v>1693</v>
      </c>
      <c r="K1195" s="415" t="s">
        <v>830</v>
      </c>
      <c r="L1195" s="415" t="s">
        <v>32</v>
      </c>
      <c r="M1195" s="419">
        <v>62</v>
      </c>
      <c r="N1195" s="414">
        <v>44798</v>
      </c>
      <c r="O1195" s="414" t="s">
        <v>400</v>
      </c>
      <c r="P1195" s="655">
        <f t="shared" si="54"/>
        <v>8</v>
      </c>
      <c r="Q1195" s="655">
        <f t="shared" si="55"/>
        <v>7</v>
      </c>
      <c r="R1195" s="695" t="str">
        <f t="shared" si="56"/>
        <v>Gastos_Gerais</v>
      </c>
      <c r="S1195" s="697" t="s">
        <v>998</v>
      </c>
      <c r="T1195" s="697">
        <v>4135</v>
      </c>
    </row>
    <row r="1196" spans="1:20" ht="108" x14ac:dyDescent="0.2">
      <c r="A1196" s="432">
        <f>IF(B1196="","",COUNT('Diário 1º PA'!$A$4:$A$2635)+COUNT('Diário 2º PA'!$A$4:$A$3040)+ROW()-3)</f>
        <v>5292</v>
      </c>
      <c r="B1196" s="414">
        <v>44798</v>
      </c>
      <c r="C1196" s="431">
        <v>44713</v>
      </c>
      <c r="D1196" s="415" t="s">
        <v>271</v>
      </c>
      <c r="E1196" s="415" t="s">
        <v>456</v>
      </c>
      <c r="F1196" s="425">
        <v>2000</v>
      </c>
      <c r="G1196" s="427" t="s">
        <v>4558</v>
      </c>
      <c r="H1196" s="415" t="s">
        <v>758</v>
      </c>
      <c r="I1196" s="415" t="s">
        <v>6813</v>
      </c>
      <c r="J1196" s="415" t="s">
        <v>4559</v>
      </c>
      <c r="K1196" s="415" t="s">
        <v>830</v>
      </c>
      <c r="L1196" s="415" t="s">
        <v>32</v>
      </c>
      <c r="M1196" s="419" t="s">
        <v>1608</v>
      </c>
      <c r="N1196" s="413">
        <v>44795</v>
      </c>
      <c r="O1196" s="414" t="s">
        <v>400</v>
      </c>
      <c r="P1196" s="655">
        <f t="shared" si="54"/>
        <v>8</v>
      </c>
      <c r="Q1196" s="655">
        <f t="shared" si="55"/>
        <v>6</v>
      </c>
      <c r="R1196" s="695" t="str">
        <f t="shared" si="56"/>
        <v>Gastos_Gerais</v>
      </c>
      <c r="S1196" s="697" t="s">
        <v>998</v>
      </c>
      <c r="T1196" s="697">
        <v>3835</v>
      </c>
    </row>
    <row r="1197" spans="1:20" ht="60" x14ac:dyDescent="0.2">
      <c r="A1197" s="432">
        <f>IF(B1197="","",COUNT('Diário 1º PA'!$A$4:$A$2635)+COUNT('Diário 2º PA'!$A$4:$A$3040)+ROW()-3)</f>
        <v>5293</v>
      </c>
      <c r="B1197" s="414">
        <v>44798</v>
      </c>
      <c r="C1197" s="431">
        <v>44774</v>
      </c>
      <c r="D1197" s="415" t="s">
        <v>271</v>
      </c>
      <c r="E1197" s="415" t="s">
        <v>90</v>
      </c>
      <c r="F1197" s="425">
        <v>3334.79</v>
      </c>
      <c r="G1197" s="427" t="s">
        <v>4276</v>
      </c>
      <c r="H1197" s="415" t="s">
        <v>309</v>
      </c>
      <c r="I1197" s="415" t="s">
        <v>4548</v>
      </c>
      <c r="J1197" s="415" t="s">
        <v>4277</v>
      </c>
      <c r="K1197" s="415" t="s">
        <v>830</v>
      </c>
      <c r="L1197" s="415" t="s">
        <v>32</v>
      </c>
      <c r="M1197" s="419" t="s">
        <v>1724</v>
      </c>
      <c r="N1197" s="413">
        <v>44797</v>
      </c>
      <c r="O1197" s="414" t="s">
        <v>400</v>
      </c>
      <c r="P1197" s="655">
        <f t="shared" si="54"/>
        <v>8</v>
      </c>
      <c r="Q1197" s="655">
        <f t="shared" si="55"/>
        <v>8</v>
      </c>
      <c r="R1197" s="695" t="str">
        <f t="shared" si="56"/>
        <v>Gastos_Gerais</v>
      </c>
      <c r="S1197" s="697" t="s">
        <v>998</v>
      </c>
      <c r="T1197" s="697">
        <v>3658</v>
      </c>
    </row>
    <row r="1198" spans="1:20" ht="60" x14ac:dyDescent="0.2">
      <c r="A1198" s="432">
        <f>IF(B1198="","",COUNT('Diário 1º PA'!$A$4:$A$2635)+COUNT('Diário 2º PA'!$A$4:$A$3040)+ROW()-3)</f>
        <v>5294</v>
      </c>
      <c r="B1198" s="414">
        <v>44798</v>
      </c>
      <c r="C1198" s="431">
        <v>44713</v>
      </c>
      <c r="D1198" s="415" t="s">
        <v>271</v>
      </c>
      <c r="E1198" s="415" t="s">
        <v>450</v>
      </c>
      <c r="F1198" s="425">
        <v>4158.2</v>
      </c>
      <c r="G1198" s="427" t="s">
        <v>4419</v>
      </c>
      <c r="H1198" s="415" t="s">
        <v>758</v>
      </c>
      <c r="I1198" s="415" t="s">
        <v>4966</v>
      </c>
      <c r="J1198" s="415" t="s">
        <v>4420</v>
      </c>
      <c r="K1198" s="415" t="s">
        <v>830</v>
      </c>
      <c r="L1198" s="415" t="s">
        <v>32</v>
      </c>
      <c r="M1198" s="419" t="s">
        <v>1795</v>
      </c>
      <c r="N1198" s="413">
        <v>44797</v>
      </c>
      <c r="O1198" s="414" t="s">
        <v>400</v>
      </c>
      <c r="P1198" s="655">
        <f t="shared" si="54"/>
        <v>8</v>
      </c>
      <c r="Q1198" s="655">
        <f t="shared" si="55"/>
        <v>6</v>
      </c>
      <c r="R1198" s="695" t="str">
        <f t="shared" si="56"/>
        <v>Gastos_Gerais</v>
      </c>
      <c r="S1198" s="697" t="s">
        <v>998</v>
      </c>
      <c r="T1198" s="697">
        <v>3785</v>
      </c>
    </row>
    <row r="1199" spans="1:20" ht="96" x14ac:dyDescent="0.2">
      <c r="A1199" s="432">
        <f>IF(B1199="","",COUNT('Diário 1º PA'!$A$4:$A$2635)+COUNT('Diário 2º PA'!$A$4:$A$3040)+ROW()-3)</f>
        <v>5295</v>
      </c>
      <c r="B1199" s="414">
        <v>44798</v>
      </c>
      <c r="C1199" s="431">
        <v>44774</v>
      </c>
      <c r="D1199" s="415" t="s">
        <v>271</v>
      </c>
      <c r="E1199" s="415" t="s">
        <v>446</v>
      </c>
      <c r="F1199" s="425">
        <v>2436.75</v>
      </c>
      <c r="G1199" s="427" t="s">
        <v>5783</v>
      </c>
      <c r="H1199" s="415" t="s">
        <v>758</v>
      </c>
      <c r="I1199" s="415" t="s">
        <v>6106</v>
      </c>
      <c r="J1199" s="415" t="s">
        <v>5784</v>
      </c>
      <c r="K1199" s="415" t="s">
        <v>830</v>
      </c>
      <c r="L1199" s="415" t="s">
        <v>32</v>
      </c>
      <c r="M1199" s="419" t="s">
        <v>6816</v>
      </c>
      <c r="N1199" s="413">
        <v>44796</v>
      </c>
      <c r="O1199" s="414" t="s">
        <v>400</v>
      </c>
      <c r="P1199" s="655">
        <f t="shared" si="54"/>
        <v>8</v>
      </c>
      <c r="Q1199" s="655">
        <f t="shared" si="55"/>
        <v>8</v>
      </c>
      <c r="R1199" s="695" t="str">
        <f t="shared" si="56"/>
        <v>Gastos_Gerais</v>
      </c>
      <c r="S1199" s="697" t="s">
        <v>998</v>
      </c>
      <c r="T1199" s="697">
        <v>4055</v>
      </c>
    </row>
    <row r="1200" spans="1:20" ht="36" x14ac:dyDescent="0.2">
      <c r="A1200" s="432">
        <f>IF(B1200="","",COUNT('Diário 1º PA'!$A$4:$A$2635)+COUNT('Diário 2º PA'!$A$4:$A$3040)+ROW()-3)</f>
        <v>5296</v>
      </c>
      <c r="B1200" s="414">
        <v>44798</v>
      </c>
      <c r="C1200" s="431">
        <v>44774</v>
      </c>
      <c r="D1200" s="415" t="s">
        <v>271</v>
      </c>
      <c r="E1200" s="415" t="s">
        <v>71</v>
      </c>
      <c r="F1200" s="425">
        <v>11</v>
      </c>
      <c r="G1200" s="427" t="s">
        <v>6818</v>
      </c>
      <c r="H1200" s="415" t="s">
        <v>309</v>
      </c>
      <c r="I1200" s="398" t="s">
        <v>881</v>
      </c>
      <c r="J1200" s="418" t="s">
        <v>882</v>
      </c>
      <c r="K1200" s="418" t="s">
        <v>883</v>
      </c>
      <c r="L1200" s="399" t="s">
        <v>798</v>
      </c>
      <c r="M1200" s="544" t="s">
        <v>310</v>
      </c>
      <c r="N1200" s="413">
        <v>44798</v>
      </c>
      <c r="O1200" s="414" t="s">
        <v>400</v>
      </c>
      <c r="P1200" s="655">
        <f t="shared" si="54"/>
        <v>8</v>
      </c>
      <c r="Q1200" s="655">
        <f t="shared" si="55"/>
        <v>8</v>
      </c>
      <c r="R1200" s="695" t="str">
        <f t="shared" si="56"/>
        <v>Gastos_Gerais</v>
      </c>
      <c r="S1200" s="697" t="s">
        <v>310</v>
      </c>
      <c r="T1200" s="697" t="s">
        <v>310</v>
      </c>
    </row>
    <row r="1201" spans="1:20" ht="36" x14ac:dyDescent="0.2">
      <c r="A1201" s="432">
        <f>IF(B1201="","",COUNT('Diário 1º PA'!$A$4:$A$2635)+COUNT('Diário 2º PA'!$A$4:$A$3040)+ROW()-3)</f>
        <v>5297</v>
      </c>
      <c r="B1201" s="414">
        <v>44798</v>
      </c>
      <c r="C1201" s="431">
        <v>44774</v>
      </c>
      <c r="D1201" s="415" t="s">
        <v>271</v>
      </c>
      <c r="E1201" s="415" t="s">
        <v>71</v>
      </c>
      <c r="F1201" s="425">
        <v>11</v>
      </c>
      <c r="G1201" s="427" t="s">
        <v>6819</v>
      </c>
      <c r="H1201" s="434" t="s">
        <v>309</v>
      </c>
      <c r="I1201" s="398" t="s">
        <v>881</v>
      </c>
      <c r="J1201" s="418" t="s">
        <v>882</v>
      </c>
      <c r="K1201" s="418" t="s">
        <v>883</v>
      </c>
      <c r="L1201" s="399" t="s">
        <v>798</v>
      </c>
      <c r="M1201" s="544" t="s">
        <v>310</v>
      </c>
      <c r="N1201" s="413">
        <v>44798</v>
      </c>
      <c r="O1201" s="414" t="s">
        <v>400</v>
      </c>
      <c r="P1201" s="655">
        <f t="shared" si="54"/>
        <v>8</v>
      </c>
      <c r="Q1201" s="655">
        <f t="shared" si="55"/>
        <v>8</v>
      </c>
      <c r="R1201" s="695" t="str">
        <f t="shared" si="56"/>
        <v>Gastos_Gerais</v>
      </c>
      <c r="S1201" s="697" t="s">
        <v>310</v>
      </c>
      <c r="T1201" s="697" t="s">
        <v>310</v>
      </c>
    </row>
    <row r="1202" spans="1:20" ht="36" x14ac:dyDescent="0.2">
      <c r="A1202" s="432">
        <f>IF(B1202="","",COUNT('Diário 1º PA'!$A$4:$A$2635)+COUNT('Diário 2º PA'!$A$4:$A$3040)+ROW()-3)</f>
        <v>5298</v>
      </c>
      <c r="B1202" s="414">
        <v>44798</v>
      </c>
      <c r="C1202" s="431">
        <v>44774</v>
      </c>
      <c r="D1202" s="415" t="s">
        <v>271</v>
      </c>
      <c r="E1202" s="415" t="s">
        <v>71</v>
      </c>
      <c r="F1202" s="425">
        <v>11</v>
      </c>
      <c r="G1202" s="427" t="s">
        <v>6820</v>
      </c>
      <c r="H1202" s="415" t="s">
        <v>758</v>
      </c>
      <c r="I1202" s="398" t="s">
        <v>881</v>
      </c>
      <c r="J1202" s="418" t="s">
        <v>882</v>
      </c>
      <c r="K1202" s="418" t="s">
        <v>883</v>
      </c>
      <c r="L1202" s="399" t="s">
        <v>798</v>
      </c>
      <c r="M1202" s="544" t="s">
        <v>310</v>
      </c>
      <c r="N1202" s="413">
        <v>44798</v>
      </c>
      <c r="O1202" s="414" t="s">
        <v>400</v>
      </c>
      <c r="P1202" s="655">
        <f t="shared" si="54"/>
        <v>8</v>
      </c>
      <c r="Q1202" s="655">
        <f t="shared" si="55"/>
        <v>8</v>
      </c>
      <c r="R1202" s="695" t="str">
        <f t="shared" si="56"/>
        <v>Gastos_Gerais</v>
      </c>
      <c r="S1202" s="697" t="s">
        <v>310</v>
      </c>
      <c r="T1202" s="697" t="s">
        <v>310</v>
      </c>
    </row>
    <row r="1203" spans="1:20" ht="36" x14ac:dyDescent="0.2">
      <c r="A1203" s="432">
        <f>IF(B1203="","",COUNT('Diário 1º PA'!$A$4:$A$2635)+COUNT('Diário 2º PA'!$A$4:$A$3040)+ROW()-3)</f>
        <v>5299</v>
      </c>
      <c r="B1203" s="414">
        <v>44798</v>
      </c>
      <c r="C1203" s="431">
        <v>44774</v>
      </c>
      <c r="D1203" s="415" t="s">
        <v>271</v>
      </c>
      <c r="E1203" s="415" t="s">
        <v>71</v>
      </c>
      <c r="F1203" s="425">
        <v>11</v>
      </c>
      <c r="G1203" s="427" t="s">
        <v>6757</v>
      </c>
      <c r="H1203" s="415" t="s">
        <v>758</v>
      </c>
      <c r="I1203" s="398" t="s">
        <v>881</v>
      </c>
      <c r="J1203" s="418" t="s">
        <v>882</v>
      </c>
      <c r="K1203" s="418" t="s">
        <v>883</v>
      </c>
      <c r="L1203" s="399" t="s">
        <v>798</v>
      </c>
      <c r="M1203" s="544" t="s">
        <v>310</v>
      </c>
      <c r="N1203" s="413">
        <v>44798</v>
      </c>
      <c r="O1203" s="414" t="s">
        <v>400</v>
      </c>
      <c r="P1203" s="655">
        <f t="shared" si="54"/>
        <v>8</v>
      </c>
      <c r="Q1203" s="655">
        <f t="shared" si="55"/>
        <v>8</v>
      </c>
      <c r="R1203" s="695" t="str">
        <f t="shared" si="56"/>
        <v>Gastos_Gerais</v>
      </c>
      <c r="S1203" s="697" t="s">
        <v>310</v>
      </c>
      <c r="T1203" s="697" t="s">
        <v>310</v>
      </c>
    </row>
    <row r="1204" spans="1:20" ht="36" x14ac:dyDescent="0.2">
      <c r="A1204" s="432">
        <f>IF(B1204="","",COUNT('Diário 1º PA'!$A$4:$A$2635)+COUNT('Diário 2º PA'!$A$4:$A$3040)+ROW()-3)</f>
        <v>5300</v>
      </c>
      <c r="B1204" s="414">
        <v>44798</v>
      </c>
      <c r="C1204" s="431">
        <v>44774</v>
      </c>
      <c r="D1204" s="415" t="s">
        <v>271</v>
      </c>
      <c r="E1204" s="415" t="s">
        <v>71</v>
      </c>
      <c r="F1204" s="425">
        <v>11</v>
      </c>
      <c r="G1204" s="427" t="s">
        <v>6821</v>
      </c>
      <c r="H1204" s="415" t="s">
        <v>309</v>
      </c>
      <c r="I1204" s="398" t="s">
        <v>881</v>
      </c>
      <c r="J1204" s="418" t="s">
        <v>882</v>
      </c>
      <c r="K1204" s="418" t="s">
        <v>883</v>
      </c>
      <c r="L1204" s="399" t="s">
        <v>798</v>
      </c>
      <c r="M1204" s="544" t="s">
        <v>310</v>
      </c>
      <c r="N1204" s="413">
        <v>44798</v>
      </c>
      <c r="O1204" s="414" t="s">
        <v>400</v>
      </c>
      <c r="P1204" s="655">
        <f t="shared" si="54"/>
        <v>8</v>
      </c>
      <c r="Q1204" s="655">
        <f t="shared" si="55"/>
        <v>8</v>
      </c>
      <c r="R1204" s="695" t="str">
        <f t="shared" si="56"/>
        <v>Gastos_Gerais</v>
      </c>
      <c r="S1204" s="697" t="s">
        <v>310</v>
      </c>
      <c r="T1204" s="697" t="s">
        <v>310</v>
      </c>
    </row>
    <row r="1205" spans="1:20" ht="36" x14ac:dyDescent="0.2">
      <c r="A1205" s="432">
        <f>IF(B1205="","",COUNT('Diário 1º PA'!$A$4:$A$2635)+COUNT('Diário 2º PA'!$A$4:$A$3040)+ROW()-3)</f>
        <v>5301</v>
      </c>
      <c r="B1205" s="414">
        <v>44798</v>
      </c>
      <c r="C1205" s="431">
        <v>44774</v>
      </c>
      <c r="D1205" s="415" t="s">
        <v>271</v>
      </c>
      <c r="E1205" s="415" t="s">
        <v>71</v>
      </c>
      <c r="F1205" s="425">
        <v>11</v>
      </c>
      <c r="G1205" s="427" t="s">
        <v>6822</v>
      </c>
      <c r="H1205" s="415" t="s">
        <v>758</v>
      </c>
      <c r="I1205" s="398" t="s">
        <v>881</v>
      </c>
      <c r="J1205" s="418" t="s">
        <v>882</v>
      </c>
      <c r="K1205" s="418" t="s">
        <v>883</v>
      </c>
      <c r="L1205" s="399" t="s">
        <v>798</v>
      </c>
      <c r="M1205" s="544" t="s">
        <v>310</v>
      </c>
      <c r="N1205" s="413">
        <v>44798</v>
      </c>
      <c r="O1205" s="414" t="s">
        <v>400</v>
      </c>
      <c r="P1205" s="655">
        <f t="shared" si="54"/>
        <v>8</v>
      </c>
      <c r="Q1205" s="655">
        <f t="shared" si="55"/>
        <v>8</v>
      </c>
      <c r="R1205" s="695" t="str">
        <f t="shared" si="56"/>
        <v>Gastos_Gerais</v>
      </c>
      <c r="S1205" s="697" t="s">
        <v>310</v>
      </c>
      <c r="T1205" s="697" t="s">
        <v>310</v>
      </c>
    </row>
    <row r="1206" spans="1:20" ht="36" x14ac:dyDescent="0.2">
      <c r="A1206" s="432">
        <f>IF(B1206="","",COUNT('Diário 1º PA'!$A$4:$A$2635)+COUNT('Diário 2º PA'!$A$4:$A$3040)+ROW()-3)</f>
        <v>5302</v>
      </c>
      <c r="B1206" s="414">
        <v>44798</v>
      </c>
      <c r="C1206" s="431">
        <v>44774</v>
      </c>
      <c r="D1206" s="415" t="s">
        <v>271</v>
      </c>
      <c r="E1206" s="415" t="s">
        <v>71</v>
      </c>
      <c r="F1206" s="425">
        <v>11</v>
      </c>
      <c r="G1206" s="427" t="s">
        <v>6823</v>
      </c>
      <c r="H1206" s="415" t="s">
        <v>758</v>
      </c>
      <c r="I1206" s="398" t="s">
        <v>881</v>
      </c>
      <c r="J1206" s="418" t="s">
        <v>882</v>
      </c>
      <c r="K1206" s="418" t="s">
        <v>883</v>
      </c>
      <c r="L1206" s="399" t="s">
        <v>798</v>
      </c>
      <c r="M1206" s="544" t="s">
        <v>310</v>
      </c>
      <c r="N1206" s="413">
        <v>44798</v>
      </c>
      <c r="O1206" s="414" t="s">
        <v>400</v>
      </c>
      <c r="P1206" s="655">
        <f t="shared" si="54"/>
        <v>8</v>
      </c>
      <c r="Q1206" s="655">
        <f t="shared" si="55"/>
        <v>8</v>
      </c>
      <c r="R1206" s="695" t="str">
        <f t="shared" si="56"/>
        <v>Gastos_Gerais</v>
      </c>
      <c r="S1206" s="697" t="s">
        <v>310</v>
      </c>
      <c r="T1206" s="697" t="s">
        <v>310</v>
      </c>
    </row>
    <row r="1207" spans="1:20" ht="36" x14ac:dyDescent="0.2">
      <c r="A1207" s="432">
        <f>IF(B1207="","",COUNT('Diário 1º PA'!$A$4:$A$2635)+COUNT('Diário 2º PA'!$A$4:$A$3040)+ROW()-3)</f>
        <v>5303</v>
      </c>
      <c r="B1207" s="414">
        <v>44798</v>
      </c>
      <c r="C1207" s="431">
        <v>44774</v>
      </c>
      <c r="D1207" s="415" t="s">
        <v>271</v>
      </c>
      <c r="E1207" s="415" t="s">
        <v>71</v>
      </c>
      <c r="F1207" s="425">
        <v>11</v>
      </c>
      <c r="G1207" s="427" t="s">
        <v>6824</v>
      </c>
      <c r="H1207" s="415" t="s">
        <v>758</v>
      </c>
      <c r="I1207" s="398" t="s">
        <v>881</v>
      </c>
      <c r="J1207" s="418" t="s">
        <v>882</v>
      </c>
      <c r="K1207" s="418" t="s">
        <v>883</v>
      </c>
      <c r="L1207" s="399" t="s">
        <v>798</v>
      </c>
      <c r="M1207" s="544" t="s">
        <v>310</v>
      </c>
      <c r="N1207" s="413">
        <v>44798</v>
      </c>
      <c r="O1207" s="414" t="s">
        <v>400</v>
      </c>
      <c r="P1207" s="655">
        <f t="shared" si="54"/>
        <v>8</v>
      </c>
      <c r="Q1207" s="655">
        <f t="shared" si="55"/>
        <v>8</v>
      </c>
      <c r="R1207" s="695" t="str">
        <f t="shared" si="56"/>
        <v>Gastos_Gerais</v>
      </c>
      <c r="S1207" s="697" t="s">
        <v>310</v>
      </c>
      <c r="T1207" s="697" t="s">
        <v>310</v>
      </c>
    </row>
    <row r="1208" spans="1:20" ht="48" x14ac:dyDescent="0.2">
      <c r="A1208" s="432">
        <f>IF(B1208="","",COUNT('Diário 1º PA'!$A$4:$A$2635)+COUNT('Diário 2º PA'!$A$4:$A$3040)+ROW()-3)</f>
        <v>5304</v>
      </c>
      <c r="B1208" s="414">
        <v>44798</v>
      </c>
      <c r="C1208" s="431">
        <v>44743</v>
      </c>
      <c r="D1208" s="419" t="s">
        <v>468</v>
      </c>
      <c r="E1208" s="419" t="s">
        <v>468</v>
      </c>
      <c r="F1208" s="422">
        <v>115.8</v>
      </c>
      <c r="G1208" s="427" t="s">
        <v>6904</v>
      </c>
      <c r="H1208" s="419" t="s">
        <v>468</v>
      </c>
      <c r="I1208" s="639" t="s">
        <v>1461</v>
      </c>
      <c r="J1208" s="418" t="s">
        <v>310</v>
      </c>
      <c r="K1208" s="418" t="s">
        <v>1220</v>
      </c>
      <c r="L1208" s="399" t="s">
        <v>1368</v>
      </c>
      <c r="M1208" s="544" t="s">
        <v>310</v>
      </c>
      <c r="N1208" s="413">
        <v>44798</v>
      </c>
      <c r="O1208" s="414" t="s">
        <v>3762</v>
      </c>
      <c r="P1208" s="655">
        <f t="shared" si="54"/>
        <v>8</v>
      </c>
      <c r="Q1208" s="655">
        <f t="shared" si="55"/>
        <v>7</v>
      </c>
      <c r="R1208" s="695" t="str">
        <f t="shared" si="56"/>
        <v>Gastos_custeados_por_captação</v>
      </c>
      <c r="S1208" s="697" t="s">
        <v>310</v>
      </c>
      <c r="T1208" s="697" t="s">
        <v>310</v>
      </c>
    </row>
    <row r="1209" spans="1:20" ht="48" x14ac:dyDescent="0.2">
      <c r="A1209" s="432">
        <f>IF(B1209="","",COUNT('Diário 1º PA'!$A$4:$A$2635)+COUNT('Diário 2º PA'!$A$4:$A$3040)+ROW()-3)</f>
        <v>5305</v>
      </c>
      <c r="B1209" s="414">
        <v>44798</v>
      </c>
      <c r="C1209" s="431">
        <v>44743</v>
      </c>
      <c r="D1209" s="419" t="s">
        <v>468</v>
      </c>
      <c r="E1209" s="419" t="s">
        <v>468</v>
      </c>
      <c r="F1209" s="422">
        <v>2615.6</v>
      </c>
      <c r="G1209" s="427" t="s">
        <v>5902</v>
      </c>
      <c r="H1209" s="419" t="s">
        <v>468</v>
      </c>
      <c r="I1209" s="415" t="s">
        <v>6475</v>
      </c>
      <c r="J1209" s="415" t="s">
        <v>1991</v>
      </c>
      <c r="K1209" s="419" t="s">
        <v>830</v>
      </c>
      <c r="L1209" s="415" t="s">
        <v>839</v>
      </c>
      <c r="M1209" s="419">
        <v>1964</v>
      </c>
      <c r="N1209" s="413">
        <v>44796</v>
      </c>
      <c r="O1209" s="414" t="s">
        <v>3762</v>
      </c>
      <c r="P1209" s="655">
        <f t="shared" si="54"/>
        <v>8</v>
      </c>
      <c r="Q1209" s="655">
        <f t="shared" si="55"/>
        <v>7</v>
      </c>
      <c r="R1209" s="695" t="str">
        <f t="shared" si="56"/>
        <v>Gastos_custeados_por_captação</v>
      </c>
      <c r="S1209" s="696" t="s">
        <v>1000</v>
      </c>
      <c r="T1209" s="696">
        <v>4131</v>
      </c>
    </row>
    <row r="1210" spans="1:20" ht="48" x14ac:dyDescent="0.2">
      <c r="A1210" s="432">
        <f>IF(B1210="","",COUNT('Diário 1º PA'!$A$4:$A$2635)+COUNT('Diário 2º PA'!$A$4:$A$3040)+ROW()-3)</f>
        <v>5306</v>
      </c>
      <c r="B1210" s="414">
        <v>44798</v>
      </c>
      <c r="C1210" s="431">
        <v>44743</v>
      </c>
      <c r="D1210" s="419" t="s">
        <v>468</v>
      </c>
      <c r="E1210" s="419" t="s">
        <v>468</v>
      </c>
      <c r="F1210" s="422">
        <v>2615.6</v>
      </c>
      <c r="G1210" s="427" t="s">
        <v>5902</v>
      </c>
      <c r="H1210" s="419" t="s">
        <v>468</v>
      </c>
      <c r="I1210" s="415" t="s">
        <v>6907</v>
      </c>
      <c r="J1210" s="415" t="s">
        <v>1989</v>
      </c>
      <c r="K1210" s="419" t="s">
        <v>830</v>
      </c>
      <c r="L1210" s="415" t="s">
        <v>839</v>
      </c>
      <c r="M1210" s="419">
        <v>1963</v>
      </c>
      <c r="N1210" s="413">
        <v>44796</v>
      </c>
      <c r="O1210" s="414" t="s">
        <v>3762</v>
      </c>
      <c r="P1210" s="655">
        <f t="shared" si="54"/>
        <v>8</v>
      </c>
      <c r="Q1210" s="655">
        <f t="shared" si="55"/>
        <v>7</v>
      </c>
      <c r="R1210" s="695" t="str">
        <f t="shared" si="56"/>
        <v>Gastos_custeados_por_captação</v>
      </c>
      <c r="S1210" s="697" t="s">
        <v>1000</v>
      </c>
      <c r="T1210" s="696">
        <v>4130</v>
      </c>
    </row>
    <row r="1211" spans="1:20" ht="48" x14ac:dyDescent="0.2">
      <c r="A1211" s="432">
        <f>IF(B1211="","",COUNT('Diário 1º PA'!$A$4:$A$2635)+COUNT('Diário 2º PA'!$A$4:$A$3040)+ROW()-3)</f>
        <v>5307</v>
      </c>
      <c r="B1211" s="414">
        <v>44798</v>
      </c>
      <c r="C1211" s="431">
        <v>44774</v>
      </c>
      <c r="D1211" s="419" t="s">
        <v>468</v>
      </c>
      <c r="E1211" s="419" t="s">
        <v>468</v>
      </c>
      <c r="F1211" s="422">
        <v>11</v>
      </c>
      <c r="G1211" s="415" t="s">
        <v>6516</v>
      </c>
      <c r="H1211" s="419" t="s">
        <v>468</v>
      </c>
      <c r="I1211" s="639" t="s">
        <v>881</v>
      </c>
      <c r="J1211" s="418" t="s">
        <v>882</v>
      </c>
      <c r="K1211" s="418" t="s">
        <v>883</v>
      </c>
      <c r="L1211" s="399" t="s">
        <v>798</v>
      </c>
      <c r="M1211" s="544" t="s">
        <v>310</v>
      </c>
      <c r="N1211" s="414">
        <v>44798</v>
      </c>
      <c r="O1211" s="414" t="s">
        <v>3762</v>
      </c>
      <c r="P1211" s="655">
        <f t="shared" si="54"/>
        <v>8</v>
      </c>
      <c r="Q1211" s="655">
        <f t="shared" si="55"/>
        <v>8</v>
      </c>
      <c r="R1211" s="695" t="str">
        <f t="shared" si="56"/>
        <v>Gastos_custeados_por_captação</v>
      </c>
      <c r="S1211" s="697" t="s">
        <v>310</v>
      </c>
      <c r="T1211" s="697" t="s">
        <v>310</v>
      </c>
    </row>
    <row r="1212" spans="1:20" ht="48" x14ac:dyDescent="0.2">
      <c r="A1212" s="432">
        <f>IF(B1212="","",COUNT('Diário 1º PA'!$A$4:$A$2635)+COUNT('Diário 2º PA'!$A$4:$A$3040)+ROW()-3)</f>
        <v>5308</v>
      </c>
      <c r="B1212" s="414">
        <v>44798</v>
      </c>
      <c r="C1212" s="431">
        <v>44774</v>
      </c>
      <c r="D1212" s="419" t="s">
        <v>468</v>
      </c>
      <c r="E1212" s="419" t="s">
        <v>468</v>
      </c>
      <c r="F1212" s="422">
        <v>11</v>
      </c>
      <c r="G1212" s="415" t="s">
        <v>6516</v>
      </c>
      <c r="H1212" s="419" t="s">
        <v>468</v>
      </c>
      <c r="I1212" s="639" t="s">
        <v>881</v>
      </c>
      <c r="J1212" s="418" t="s">
        <v>882</v>
      </c>
      <c r="K1212" s="418" t="s">
        <v>883</v>
      </c>
      <c r="L1212" s="399" t="s">
        <v>798</v>
      </c>
      <c r="M1212" s="544" t="s">
        <v>310</v>
      </c>
      <c r="N1212" s="414">
        <v>44798</v>
      </c>
      <c r="O1212" s="414" t="s">
        <v>3762</v>
      </c>
      <c r="P1212" s="655">
        <f t="shared" si="54"/>
        <v>8</v>
      </c>
      <c r="Q1212" s="655">
        <f t="shared" si="55"/>
        <v>8</v>
      </c>
      <c r="R1212" s="695" t="str">
        <f t="shared" si="56"/>
        <v>Gastos_custeados_por_captação</v>
      </c>
      <c r="S1212" s="697" t="s">
        <v>310</v>
      </c>
      <c r="T1212" s="697" t="s">
        <v>310</v>
      </c>
    </row>
    <row r="1213" spans="1:20" ht="48" x14ac:dyDescent="0.2">
      <c r="A1213" s="432">
        <f>IF(B1213="","",COUNT('Diário 1º PA'!$A$4:$A$2635)+COUNT('Diário 2º PA'!$A$4:$A$3040)+ROW()-3)</f>
        <v>5309</v>
      </c>
      <c r="B1213" s="414">
        <v>44798</v>
      </c>
      <c r="C1213" s="431">
        <v>44774</v>
      </c>
      <c r="D1213" s="419" t="s">
        <v>468</v>
      </c>
      <c r="E1213" s="419" t="s">
        <v>468</v>
      </c>
      <c r="F1213" s="422">
        <v>11</v>
      </c>
      <c r="G1213" s="415" t="s">
        <v>6516</v>
      </c>
      <c r="H1213" s="419" t="s">
        <v>468</v>
      </c>
      <c r="I1213" s="639" t="s">
        <v>881</v>
      </c>
      <c r="J1213" s="418" t="s">
        <v>882</v>
      </c>
      <c r="K1213" s="418" t="s">
        <v>883</v>
      </c>
      <c r="L1213" s="399" t="s">
        <v>798</v>
      </c>
      <c r="M1213" s="544" t="s">
        <v>310</v>
      </c>
      <c r="N1213" s="414">
        <v>44798</v>
      </c>
      <c r="O1213" s="414" t="s">
        <v>3762</v>
      </c>
      <c r="P1213" s="655">
        <f t="shared" si="54"/>
        <v>8</v>
      </c>
      <c r="Q1213" s="655">
        <f t="shared" si="55"/>
        <v>8</v>
      </c>
      <c r="R1213" s="695" t="str">
        <f t="shared" si="56"/>
        <v>Gastos_custeados_por_captação</v>
      </c>
      <c r="S1213" s="697" t="s">
        <v>310</v>
      </c>
      <c r="T1213" s="697" t="s">
        <v>310</v>
      </c>
    </row>
    <row r="1214" spans="1:20" ht="60" x14ac:dyDescent="0.2">
      <c r="A1214" s="432">
        <f>IF(B1214="","",COUNT('Diário 1º PA'!$A$4:$A$2635)+COUNT('Diário 2º PA'!$A$4:$A$3040)+ROW()-3)</f>
        <v>5310</v>
      </c>
      <c r="B1214" s="414">
        <v>44798</v>
      </c>
      <c r="C1214" s="466">
        <v>44774</v>
      </c>
      <c r="D1214" s="419" t="s">
        <v>468</v>
      </c>
      <c r="E1214" s="419" t="s">
        <v>468</v>
      </c>
      <c r="F1214" s="422">
        <v>440.26</v>
      </c>
      <c r="G1214" s="427" t="s">
        <v>6873</v>
      </c>
      <c r="H1214" s="419" t="s">
        <v>468</v>
      </c>
      <c r="I1214" s="639" t="s">
        <v>1461</v>
      </c>
      <c r="J1214" s="418" t="s">
        <v>310</v>
      </c>
      <c r="K1214" s="418" t="s">
        <v>1220</v>
      </c>
      <c r="L1214" s="399" t="s">
        <v>1368</v>
      </c>
      <c r="M1214" s="544" t="s">
        <v>310</v>
      </c>
      <c r="N1214" s="413">
        <v>44798</v>
      </c>
      <c r="O1214" s="414" t="s">
        <v>404</v>
      </c>
      <c r="P1214" s="655">
        <f t="shared" si="54"/>
        <v>8</v>
      </c>
      <c r="Q1214" s="655">
        <f t="shared" si="55"/>
        <v>8</v>
      </c>
      <c r="R1214" s="695" t="str">
        <f t="shared" si="56"/>
        <v>Gastos_custeados_por_captação</v>
      </c>
      <c r="S1214" s="697" t="s">
        <v>310</v>
      </c>
      <c r="T1214" s="697" t="s">
        <v>310</v>
      </c>
    </row>
    <row r="1215" spans="1:20" ht="60" x14ac:dyDescent="0.2">
      <c r="A1215" s="432">
        <f>IF(B1215="","",COUNT('Diário 1º PA'!$A$4:$A$2635)+COUNT('Diário 2º PA'!$A$4:$A$3040)+ROW()-3)</f>
        <v>5311</v>
      </c>
      <c r="B1215" s="414">
        <v>44798</v>
      </c>
      <c r="C1215" s="431">
        <v>44743</v>
      </c>
      <c r="D1215" s="419" t="s">
        <v>468</v>
      </c>
      <c r="E1215" s="419" t="s">
        <v>468</v>
      </c>
      <c r="F1215" s="422">
        <v>840</v>
      </c>
      <c r="G1215" s="427" t="s">
        <v>5811</v>
      </c>
      <c r="H1215" s="419" t="s">
        <v>468</v>
      </c>
      <c r="I1215" s="415" t="s">
        <v>5449</v>
      </c>
      <c r="J1215" s="415" t="s">
        <v>3440</v>
      </c>
      <c r="K1215" s="419" t="s">
        <v>812</v>
      </c>
      <c r="L1215" s="415" t="s">
        <v>32</v>
      </c>
      <c r="M1215" s="419">
        <v>9200</v>
      </c>
      <c r="N1215" s="413">
        <v>44778</v>
      </c>
      <c r="O1215" s="414" t="s">
        <v>404</v>
      </c>
      <c r="P1215" s="655">
        <f t="shared" si="54"/>
        <v>8</v>
      </c>
      <c r="Q1215" s="655">
        <f t="shared" si="55"/>
        <v>7</v>
      </c>
      <c r="R1215" s="695" t="str">
        <f t="shared" si="56"/>
        <v>Gastos_custeados_por_captação</v>
      </c>
      <c r="S1215" s="697" t="s">
        <v>999</v>
      </c>
      <c r="T1215" s="697">
        <v>4072</v>
      </c>
    </row>
    <row r="1216" spans="1:20" ht="60" x14ac:dyDescent="0.2">
      <c r="A1216" s="432">
        <f>IF(B1216="","",COUNT('Diário 1º PA'!$A$4:$A$2635)+COUNT('Diário 2º PA'!$A$4:$A$3040)+ROW()-3)</f>
        <v>5312</v>
      </c>
      <c r="B1216" s="414">
        <v>44798</v>
      </c>
      <c r="C1216" s="431">
        <v>44743</v>
      </c>
      <c r="D1216" s="419" t="s">
        <v>468</v>
      </c>
      <c r="E1216" s="419" t="s">
        <v>468</v>
      </c>
      <c r="F1216" s="422">
        <v>899.6</v>
      </c>
      <c r="G1216" s="427" t="s">
        <v>4426</v>
      </c>
      <c r="H1216" s="419" t="s">
        <v>468</v>
      </c>
      <c r="I1216" s="415" t="s">
        <v>6874</v>
      </c>
      <c r="J1216" s="415" t="s">
        <v>1163</v>
      </c>
      <c r="K1216" s="419" t="s">
        <v>830</v>
      </c>
      <c r="L1216" s="415" t="s">
        <v>839</v>
      </c>
      <c r="M1216" s="419">
        <v>1968</v>
      </c>
      <c r="N1216" s="413">
        <v>44796</v>
      </c>
      <c r="O1216" s="414" t="s">
        <v>404</v>
      </c>
      <c r="P1216" s="655">
        <f t="shared" si="54"/>
        <v>8</v>
      </c>
      <c r="Q1216" s="655">
        <f t="shared" si="55"/>
        <v>7</v>
      </c>
      <c r="R1216" s="695" t="str">
        <f t="shared" si="56"/>
        <v>Gastos_custeados_por_captação</v>
      </c>
      <c r="S1216" s="697" t="s">
        <v>1000</v>
      </c>
      <c r="T1216" s="697">
        <v>3810</v>
      </c>
    </row>
    <row r="1217" spans="1:20" ht="60" x14ac:dyDescent="0.2">
      <c r="A1217" s="432">
        <f>IF(B1217="","",COUNT('Diário 1º PA'!$A$4:$A$2635)+COUNT('Diário 2º PA'!$A$4:$A$3040)+ROW()-3)</f>
        <v>5313</v>
      </c>
      <c r="B1217" s="414">
        <v>44798</v>
      </c>
      <c r="C1217" s="431">
        <v>44713</v>
      </c>
      <c r="D1217" s="419" t="s">
        <v>468</v>
      </c>
      <c r="E1217" s="419" t="s">
        <v>468</v>
      </c>
      <c r="F1217" s="422">
        <v>5389.45</v>
      </c>
      <c r="G1217" s="427" t="s">
        <v>4891</v>
      </c>
      <c r="H1217" s="419" t="s">
        <v>468</v>
      </c>
      <c r="I1217" s="415" t="s">
        <v>4132</v>
      </c>
      <c r="J1217" s="415" t="s">
        <v>1089</v>
      </c>
      <c r="K1217" s="419" t="s">
        <v>830</v>
      </c>
      <c r="L1217" s="415" t="s">
        <v>32</v>
      </c>
      <c r="M1217" s="419" t="s">
        <v>2186</v>
      </c>
      <c r="N1217" s="413">
        <v>44797</v>
      </c>
      <c r="O1217" s="414" t="s">
        <v>404</v>
      </c>
      <c r="P1217" s="655">
        <f t="shared" si="54"/>
        <v>8</v>
      </c>
      <c r="Q1217" s="655">
        <f t="shared" si="55"/>
        <v>6</v>
      </c>
      <c r="R1217" s="695" t="str">
        <f t="shared" si="56"/>
        <v>Gastos_custeados_por_captação</v>
      </c>
      <c r="S1217" s="697" t="s">
        <v>998</v>
      </c>
      <c r="T1217" s="697">
        <v>3916</v>
      </c>
    </row>
    <row r="1218" spans="1:20" ht="60" x14ac:dyDescent="0.2">
      <c r="A1218" s="432">
        <f>IF(B1218="","",COUNT('Diário 1º PA'!$A$4:$A$2635)+COUNT('Diário 2º PA'!$A$4:$A$3040)+ROW()-3)</f>
        <v>5314</v>
      </c>
      <c r="B1218" s="414">
        <v>44798</v>
      </c>
      <c r="C1218" s="431">
        <v>44682</v>
      </c>
      <c r="D1218" s="419" t="s">
        <v>468</v>
      </c>
      <c r="E1218" s="419" t="s">
        <v>468</v>
      </c>
      <c r="F1218" s="422">
        <v>15082.2</v>
      </c>
      <c r="G1218" s="427" t="s">
        <v>3828</v>
      </c>
      <c r="H1218" s="419" t="s">
        <v>468</v>
      </c>
      <c r="I1218" s="415" t="s">
        <v>3600</v>
      </c>
      <c r="J1218" s="415" t="s">
        <v>1293</v>
      </c>
      <c r="K1218" s="419" t="s">
        <v>830</v>
      </c>
      <c r="L1218" s="415" t="s">
        <v>32</v>
      </c>
      <c r="M1218" s="419" t="s">
        <v>6878</v>
      </c>
      <c r="N1218" s="413">
        <v>44797</v>
      </c>
      <c r="O1218" s="414" t="s">
        <v>404</v>
      </c>
      <c r="P1218" s="655">
        <f t="shared" si="54"/>
        <v>8</v>
      </c>
      <c r="Q1218" s="655">
        <f t="shared" si="55"/>
        <v>5</v>
      </c>
      <c r="R1218" s="695" t="str">
        <f t="shared" si="56"/>
        <v>Gastos_custeados_por_captação</v>
      </c>
      <c r="S1218" s="697" t="s">
        <v>1000</v>
      </c>
      <c r="T1218" s="697">
        <v>3421</v>
      </c>
    </row>
    <row r="1219" spans="1:20" ht="60" x14ac:dyDescent="0.2">
      <c r="A1219" s="432">
        <f>IF(B1219="","",COUNT('Diário 1º PA'!$A$4:$A$2635)+COUNT('Diário 2º PA'!$A$4:$A$3040)+ROW()-3)</f>
        <v>5315</v>
      </c>
      <c r="B1219" s="414">
        <v>44798</v>
      </c>
      <c r="C1219" s="424">
        <v>44409</v>
      </c>
      <c r="D1219" s="419" t="s">
        <v>468</v>
      </c>
      <c r="E1219" s="419" t="s">
        <v>468</v>
      </c>
      <c r="F1219" s="422">
        <v>4272.3599999999997</v>
      </c>
      <c r="G1219" s="419" t="s">
        <v>6881</v>
      </c>
      <c r="H1219" s="419" t="s">
        <v>468</v>
      </c>
      <c r="I1219" s="415" t="s">
        <v>6882</v>
      </c>
      <c r="J1219" s="419" t="s">
        <v>1038</v>
      </c>
      <c r="K1219" s="419" t="s">
        <v>830</v>
      </c>
      <c r="L1219" s="415" t="s">
        <v>32</v>
      </c>
      <c r="M1219" s="419" t="s">
        <v>6518</v>
      </c>
      <c r="N1219" s="413">
        <v>44797</v>
      </c>
      <c r="O1219" s="414" t="s">
        <v>404</v>
      </c>
      <c r="P1219" s="655">
        <f t="shared" si="54"/>
        <v>8</v>
      </c>
      <c r="Q1219" s="655">
        <f t="shared" si="55"/>
        <v>-4</v>
      </c>
      <c r="R1219" s="695" t="str">
        <f t="shared" si="56"/>
        <v>Gastos_custeados_por_captação</v>
      </c>
      <c r="S1219" s="697" t="s">
        <v>998</v>
      </c>
      <c r="T1219" s="697">
        <v>1850</v>
      </c>
    </row>
    <row r="1220" spans="1:20" ht="72" x14ac:dyDescent="0.2">
      <c r="A1220" s="432">
        <f>IF(B1220="","",COUNT('Diário 1º PA'!$A$4:$A$2635)+COUNT('Diário 2º PA'!$A$4:$A$3040)+ROW()-3)</f>
        <v>5316</v>
      </c>
      <c r="B1220" s="414">
        <v>44798</v>
      </c>
      <c r="C1220" s="424">
        <v>44409</v>
      </c>
      <c r="D1220" s="419" t="s">
        <v>468</v>
      </c>
      <c r="E1220" s="419" t="s">
        <v>468</v>
      </c>
      <c r="F1220" s="422">
        <v>3135.68</v>
      </c>
      <c r="G1220" s="419" t="s">
        <v>6884</v>
      </c>
      <c r="H1220" s="419" t="s">
        <v>468</v>
      </c>
      <c r="I1220" s="415" t="s">
        <v>6882</v>
      </c>
      <c r="J1220" s="419" t="s">
        <v>1038</v>
      </c>
      <c r="K1220" s="419" t="s">
        <v>830</v>
      </c>
      <c r="L1220" s="415" t="s">
        <v>32</v>
      </c>
      <c r="M1220" s="419" t="s">
        <v>1621</v>
      </c>
      <c r="N1220" s="413">
        <v>44797</v>
      </c>
      <c r="O1220" s="414" t="s">
        <v>404</v>
      </c>
      <c r="P1220" s="655">
        <f t="shared" si="54"/>
        <v>8</v>
      </c>
      <c r="Q1220" s="655">
        <f t="shared" si="55"/>
        <v>-4</v>
      </c>
      <c r="R1220" s="695" t="str">
        <f t="shared" si="56"/>
        <v>Gastos_custeados_por_captação</v>
      </c>
      <c r="S1220" s="697" t="s">
        <v>998</v>
      </c>
      <c r="T1220" s="697">
        <v>1851</v>
      </c>
    </row>
    <row r="1221" spans="1:20" ht="60" x14ac:dyDescent="0.2">
      <c r="A1221" s="432">
        <f>IF(B1221="","",COUNT('Diário 1º PA'!$A$4:$A$2635)+COUNT('Diário 2º PA'!$A$4:$A$3040)+ROW()-3)</f>
        <v>5317</v>
      </c>
      <c r="B1221" s="414">
        <v>44798</v>
      </c>
      <c r="C1221" s="424">
        <v>44743</v>
      </c>
      <c r="D1221" s="419" t="s">
        <v>468</v>
      </c>
      <c r="E1221" s="419" t="s">
        <v>468</v>
      </c>
      <c r="F1221" s="422">
        <v>362.12</v>
      </c>
      <c r="G1221" s="427" t="s">
        <v>7449</v>
      </c>
      <c r="H1221" s="419" t="s">
        <v>468</v>
      </c>
      <c r="I1221" s="427" t="s">
        <v>1461</v>
      </c>
      <c r="J1221" s="418" t="s">
        <v>310</v>
      </c>
      <c r="K1221" s="418" t="s">
        <v>1220</v>
      </c>
      <c r="L1221" s="399" t="s">
        <v>1368</v>
      </c>
      <c r="M1221" s="544" t="s">
        <v>310</v>
      </c>
      <c r="N1221" s="413">
        <v>44798</v>
      </c>
      <c r="O1221" s="414" t="s">
        <v>405</v>
      </c>
      <c r="P1221" s="655">
        <f t="shared" ref="P1221:P1279" si="57">IF(B1221=0,0,IF(YEAR(B1221)=$Q$1,MONTH(B1221)-$P$1+1,(YEAR(B1221)-$Q$1)*12-$P$1+1+MONTH(B1221)))</f>
        <v>8</v>
      </c>
      <c r="Q1221" s="655">
        <f t="shared" ref="Q1221:Q1279" si="58">IF(C1221=0,0,IF(YEAR(C1221)=$Q$1,MONTH(C1221)-$P$1+1,(YEAR(C1221)-$Q$1)*12-$P$1+1+MONTH(C1221)))</f>
        <v>7</v>
      </c>
      <c r="R1221" s="695" t="str">
        <f t="shared" ref="R1221:R1279" si="59">SUBSTITUTE(D1221," ","_")</f>
        <v>Gastos_custeados_por_captação</v>
      </c>
      <c r="S1221" s="697" t="s">
        <v>310</v>
      </c>
      <c r="T1221" s="697" t="s">
        <v>310</v>
      </c>
    </row>
    <row r="1222" spans="1:20" ht="72" x14ac:dyDescent="0.2">
      <c r="A1222" s="432">
        <f>IF(B1222="","",COUNT('Diário 1º PA'!$A$4:$A$2635)+COUNT('Diário 2º PA'!$A$4:$A$3040)+ROW()-3)</f>
        <v>5318</v>
      </c>
      <c r="B1222" s="414">
        <v>44798</v>
      </c>
      <c r="C1222" s="431">
        <v>44743</v>
      </c>
      <c r="D1222" s="419" t="s">
        <v>468</v>
      </c>
      <c r="E1222" s="419" t="s">
        <v>468</v>
      </c>
      <c r="F1222" s="422">
        <v>23.57</v>
      </c>
      <c r="G1222" s="427" t="s">
        <v>6895</v>
      </c>
      <c r="H1222" s="419" t="s">
        <v>468</v>
      </c>
      <c r="I1222" s="639" t="s">
        <v>881</v>
      </c>
      <c r="J1222" s="418" t="s">
        <v>882</v>
      </c>
      <c r="K1222" s="418" t="s">
        <v>883</v>
      </c>
      <c r="L1222" s="399" t="s">
        <v>798</v>
      </c>
      <c r="M1222" s="544" t="s">
        <v>310</v>
      </c>
      <c r="N1222" s="413">
        <v>44798</v>
      </c>
      <c r="O1222" s="414" t="s">
        <v>402</v>
      </c>
      <c r="P1222" s="655">
        <f t="shared" si="57"/>
        <v>8</v>
      </c>
      <c r="Q1222" s="655">
        <f t="shared" si="58"/>
        <v>7</v>
      </c>
      <c r="R1222" s="695" t="str">
        <f t="shared" si="59"/>
        <v>Gastos_custeados_por_captação</v>
      </c>
      <c r="S1222" s="697" t="s">
        <v>310</v>
      </c>
      <c r="T1222" s="697" t="s">
        <v>310</v>
      </c>
    </row>
    <row r="1223" spans="1:20" ht="36" x14ac:dyDescent="0.2">
      <c r="A1223" s="432">
        <f>IF(B1223="","",COUNT('Diário 1º PA'!$A$4:$A$2635)+COUNT('Diário 2º PA'!$A$4:$A$3040)+ROW()-3)</f>
        <v>5319</v>
      </c>
      <c r="B1223" s="413">
        <v>44799</v>
      </c>
      <c r="C1223" s="431">
        <v>44774</v>
      </c>
      <c r="D1223" s="415" t="s">
        <v>271</v>
      </c>
      <c r="E1223" s="415" t="s">
        <v>453</v>
      </c>
      <c r="F1223" s="425">
        <v>860</v>
      </c>
      <c r="G1223" s="427" t="s">
        <v>6218</v>
      </c>
      <c r="H1223" s="415" t="s">
        <v>758</v>
      </c>
      <c r="I1223" s="415" t="s">
        <v>6837</v>
      </c>
      <c r="J1223" s="419" t="s">
        <v>6219</v>
      </c>
      <c r="K1223" s="419" t="s">
        <v>830</v>
      </c>
      <c r="L1223" s="415" t="s">
        <v>839</v>
      </c>
      <c r="M1223" s="419">
        <v>1961</v>
      </c>
      <c r="N1223" s="413">
        <v>44796</v>
      </c>
      <c r="O1223" s="414" t="s">
        <v>400</v>
      </c>
      <c r="P1223" s="655">
        <f t="shared" si="57"/>
        <v>8</v>
      </c>
      <c r="Q1223" s="655">
        <f t="shared" si="58"/>
        <v>8</v>
      </c>
      <c r="R1223" s="695" t="str">
        <f t="shared" si="59"/>
        <v>Gastos_Gerais</v>
      </c>
      <c r="S1223" s="697" t="s">
        <v>998</v>
      </c>
      <c r="T1223" s="697">
        <v>4194</v>
      </c>
    </row>
    <row r="1224" spans="1:20" ht="60" x14ac:dyDescent="0.2">
      <c r="A1224" s="432">
        <f>IF(B1224="","",COUNT('Diário 1º PA'!$A$4:$A$2635)+COUNT('Diário 2º PA'!$A$4:$A$3040)+ROW()-3)</f>
        <v>5320</v>
      </c>
      <c r="B1224" s="413">
        <v>44799</v>
      </c>
      <c r="C1224" s="431">
        <v>44713</v>
      </c>
      <c r="D1224" s="415" t="s">
        <v>271</v>
      </c>
      <c r="E1224" s="415" t="s">
        <v>467</v>
      </c>
      <c r="F1224" s="425">
        <v>1000</v>
      </c>
      <c r="G1224" s="427" t="s">
        <v>4560</v>
      </c>
      <c r="H1224" s="415" t="s">
        <v>758</v>
      </c>
      <c r="I1224" s="415" t="s">
        <v>6813</v>
      </c>
      <c r="J1224" s="415" t="s">
        <v>4559</v>
      </c>
      <c r="K1224" s="419" t="s">
        <v>830</v>
      </c>
      <c r="L1224" s="415" t="s">
        <v>32</v>
      </c>
      <c r="M1224" s="419" t="s">
        <v>1786</v>
      </c>
      <c r="N1224" s="413">
        <v>44795</v>
      </c>
      <c r="O1224" s="414" t="s">
        <v>400</v>
      </c>
      <c r="P1224" s="655">
        <f t="shared" si="57"/>
        <v>8</v>
      </c>
      <c r="Q1224" s="655">
        <f t="shared" si="58"/>
        <v>6</v>
      </c>
      <c r="R1224" s="695" t="str">
        <f t="shared" si="59"/>
        <v>Gastos_Gerais</v>
      </c>
      <c r="S1224" s="697" t="s">
        <v>998</v>
      </c>
      <c r="T1224" s="697">
        <v>3865</v>
      </c>
    </row>
    <row r="1225" spans="1:20" ht="48" x14ac:dyDescent="0.2">
      <c r="A1225" s="432">
        <f>IF(B1225="","",COUNT('Diário 1º PA'!$A$4:$A$2635)+COUNT('Diário 2º PA'!$A$4:$A$3040)+ROW()-3)</f>
        <v>5321</v>
      </c>
      <c r="B1225" s="413">
        <v>44799</v>
      </c>
      <c r="C1225" s="431">
        <v>44682</v>
      </c>
      <c r="D1225" s="415" t="s">
        <v>271</v>
      </c>
      <c r="E1225" s="415" t="s">
        <v>453</v>
      </c>
      <c r="F1225" s="425">
        <v>500</v>
      </c>
      <c r="G1225" s="427" t="s">
        <v>4285</v>
      </c>
      <c r="H1225" s="415" t="s">
        <v>761</v>
      </c>
      <c r="I1225" s="415" t="s">
        <v>6840</v>
      </c>
      <c r="J1225" s="415" t="s">
        <v>4286</v>
      </c>
      <c r="K1225" s="419" t="s">
        <v>830</v>
      </c>
      <c r="L1225" s="415" t="s">
        <v>32</v>
      </c>
      <c r="M1225" s="419" t="s">
        <v>1308</v>
      </c>
      <c r="N1225" s="413">
        <v>44798</v>
      </c>
      <c r="O1225" s="414" t="s">
        <v>400</v>
      </c>
      <c r="P1225" s="655">
        <f t="shared" si="57"/>
        <v>8</v>
      </c>
      <c r="Q1225" s="655">
        <f t="shared" si="58"/>
        <v>5</v>
      </c>
      <c r="R1225" s="695" t="str">
        <f t="shared" si="59"/>
        <v>Gastos_Gerais</v>
      </c>
      <c r="S1225" s="697" t="s">
        <v>998</v>
      </c>
      <c r="T1225" s="697">
        <v>3720</v>
      </c>
    </row>
    <row r="1226" spans="1:20" ht="36" x14ac:dyDescent="0.2">
      <c r="A1226" s="432">
        <f>IF(B1226="","",COUNT('Diário 1º PA'!$A$4:$A$2635)+COUNT('Diário 2º PA'!$A$4:$A$3040)+ROW()-3)</f>
        <v>5322</v>
      </c>
      <c r="B1226" s="413">
        <v>44799</v>
      </c>
      <c r="C1226" s="431">
        <v>44799</v>
      </c>
      <c r="D1226" s="415" t="s">
        <v>271</v>
      </c>
      <c r="E1226" s="419" t="s">
        <v>452</v>
      </c>
      <c r="F1226" s="422">
        <v>1000</v>
      </c>
      <c r="G1226" s="419" t="s">
        <v>6841</v>
      </c>
      <c r="H1226" s="419" t="s">
        <v>758</v>
      </c>
      <c r="I1226" s="415" t="s">
        <v>6842</v>
      </c>
      <c r="J1226" s="419" t="s">
        <v>6843</v>
      </c>
      <c r="K1226" s="419" t="s">
        <v>830</v>
      </c>
      <c r="L1226" s="415" t="s">
        <v>32</v>
      </c>
      <c r="M1226" s="419" t="s">
        <v>1503</v>
      </c>
      <c r="N1226" s="413">
        <v>44794</v>
      </c>
      <c r="O1226" s="414" t="s">
        <v>400</v>
      </c>
      <c r="P1226" s="655">
        <f t="shared" si="57"/>
        <v>8</v>
      </c>
      <c r="Q1226" s="655">
        <f t="shared" si="58"/>
        <v>8</v>
      </c>
      <c r="R1226" s="695" t="str">
        <f t="shared" si="59"/>
        <v>Gastos_Gerais</v>
      </c>
      <c r="S1226" s="697" t="s">
        <v>998</v>
      </c>
      <c r="T1226" s="697">
        <v>4141</v>
      </c>
    </row>
    <row r="1227" spans="1:20" ht="84" x14ac:dyDescent="0.2">
      <c r="A1227" s="432">
        <f>IF(B1227="","",COUNT('Diário 1º PA'!$A$4:$A$2635)+COUNT('Diário 2º PA'!$A$4:$A$3040)+ROW()-3)</f>
        <v>5323</v>
      </c>
      <c r="B1227" s="413">
        <v>44799</v>
      </c>
      <c r="C1227" s="431">
        <v>44652</v>
      </c>
      <c r="D1227" s="415" t="s">
        <v>271</v>
      </c>
      <c r="E1227" s="415" t="s">
        <v>456</v>
      </c>
      <c r="F1227" s="422">
        <v>3467.5</v>
      </c>
      <c r="G1227" s="427" t="s">
        <v>3281</v>
      </c>
      <c r="H1227" s="415" t="s">
        <v>752</v>
      </c>
      <c r="I1227" s="415" t="s">
        <v>3671</v>
      </c>
      <c r="J1227" s="415" t="s">
        <v>3282</v>
      </c>
      <c r="K1227" s="419" t="s">
        <v>830</v>
      </c>
      <c r="L1227" s="415" t="s">
        <v>32</v>
      </c>
      <c r="M1227" s="419" t="s">
        <v>1711</v>
      </c>
      <c r="N1227" s="413">
        <v>44791</v>
      </c>
      <c r="O1227" s="414" t="s">
        <v>400</v>
      </c>
      <c r="P1227" s="655">
        <f t="shared" si="57"/>
        <v>8</v>
      </c>
      <c r="Q1227" s="655">
        <f t="shared" si="58"/>
        <v>4</v>
      </c>
      <c r="R1227" s="695" t="str">
        <f t="shared" si="59"/>
        <v>Gastos_Gerais</v>
      </c>
      <c r="S1227" s="697" t="s">
        <v>998</v>
      </c>
      <c r="T1227" s="697">
        <v>3327</v>
      </c>
    </row>
    <row r="1228" spans="1:20" ht="60" x14ac:dyDescent="0.2">
      <c r="A1228" s="432">
        <f>IF(B1228="","",COUNT('Diário 1º PA'!$A$4:$A$2635)+COUNT('Diário 2º PA'!$A$4:$A$3040)+ROW()-3)</f>
        <v>5324</v>
      </c>
      <c r="B1228" s="413">
        <v>44799</v>
      </c>
      <c r="C1228" s="431">
        <v>44682</v>
      </c>
      <c r="D1228" s="415" t="s">
        <v>271</v>
      </c>
      <c r="E1228" s="415" t="s">
        <v>456</v>
      </c>
      <c r="F1228" s="425">
        <v>2000</v>
      </c>
      <c r="G1228" s="427" t="s">
        <v>4372</v>
      </c>
      <c r="H1228" s="415" t="s">
        <v>758</v>
      </c>
      <c r="I1228" s="415" t="s">
        <v>4153</v>
      </c>
      <c r="J1228" s="415" t="s">
        <v>4373</v>
      </c>
      <c r="K1228" s="419" t="s">
        <v>830</v>
      </c>
      <c r="L1228" s="415" t="s">
        <v>32</v>
      </c>
      <c r="M1228" s="419" t="s">
        <v>1813</v>
      </c>
      <c r="N1228" s="413">
        <v>44797</v>
      </c>
      <c r="O1228" s="414" t="s">
        <v>400</v>
      </c>
      <c r="P1228" s="655">
        <f t="shared" si="57"/>
        <v>8</v>
      </c>
      <c r="Q1228" s="655">
        <f t="shared" si="58"/>
        <v>5</v>
      </c>
      <c r="R1228" s="695" t="str">
        <f t="shared" si="59"/>
        <v>Gastos_Gerais</v>
      </c>
      <c r="S1228" s="697" t="s">
        <v>998</v>
      </c>
      <c r="T1228" s="697">
        <v>3787</v>
      </c>
    </row>
    <row r="1229" spans="1:20" ht="72" x14ac:dyDescent="0.2">
      <c r="A1229" s="432">
        <f>IF(B1229="","",COUNT('Diário 1º PA'!$A$4:$A$2635)+COUNT('Diário 2º PA'!$A$4:$A$3040)+ROW()-3)</f>
        <v>5325</v>
      </c>
      <c r="B1229" s="413">
        <v>44799</v>
      </c>
      <c r="C1229" s="431">
        <v>44562</v>
      </c>
      <c r="D1229" s="415" t="s">
        <v>271</v>
      </c>
      <c r="E1229" s="415" t="s">
        <v>454</v>
      </c>
      <c r="F1229" s="425">
        <v>964.3</v>
      </c>
      <c r="G1229" s="427" t="s">
        <v>601</v>
      </c>
      <c r="H1229" s="415" t="s">
        <v>752</v>
      </c>
      <c r="I1229" s="415" t="s">
        <v>1307</v>
      </c>
      <c r="J1229" s="415" t="s">
        <v>1055</v>
      </c>
      <c r="K1229" s="419" t="s">
        <v>830</v>
      </c>
      <c r="L1229" s="415" t="s">
        <v>32</v>
      </c>
      <c r="M1229" s="419" t="s">
        <v>3374</v>
      </c>
      <c r="N1229" s="413">
        <v>44799</v>
      </c>
      <c r="O1229" s="414" t="s">
        <v>400</v>
      </c>
      <c r="P1229" s="655">
        <f t="shared" si="57"/>
        <v>8</v>
      </c>
      <c r="Q1229" s="655">
        <f t="shared" si="58"/>
        <v>1</v>
      </c>
      <c r="R1229" s="695" t="str">
        <f t="shared" si="59"/>
        <v>Gastos_Gerais</v>
      </c>
      <c r="S1229" s="697" t="s">
        <v>998</v>
      </c>
      <c r="T1229" s="697">
        <v>2534</v>
      </c>
    </row>
    <row r="1230" spans="1:20" ht="36" x14ac:dyDescent="0.2">
      <c r="A1230" s="432">
        <f>IF(B1230="","",COUNT('Diário 1º PA'!$A$4:$A$2635)+COUNT('Diário 2º PA'!$A$4:$A$3040)+ROW()-3)</f>
        <v>5326</v>
      </c>
      <c r="B1230" s="414">
        <v>44799</v>
      </c>
      <c r="C1230" s="431">
        <v>44774</v>
      </c>
      <c r="D1230" s="415" t="s">
        <v>271</v>
      </c>
      <c r="E1230" s="415" t="s">
        <v>71</v>
      </c>
      <c r="F1230" s="425">
        <v>11</v>
      </c>
      <c r="G1230" s="427" t="s">
        <v>6846</v>
      </c>
      <c r="H1230" s="415" t="s">
        <v>758</v>
      </c>
      <c r="I1230" s="398" t="s">
        <v>881</v>
      </c>
      <c r="J1230" s="418" t="s">
        <v>882</v>
      </c>
      <c r="K1230" s="418" t="s">
        <v>883</v>
      </c>
      <c r="L1230" s="399" t="s">
        <v>798</v>
      </c>
      <c r="M1230" s="544" t="s">
        <v>310</v>
      </c>
      <c r="N1230" s="414">
        <v>44799</v>
      </c>
      <c r="O1230" s="414" t="s">
        <v>400</v>
      </c>
      <c r="P1230" s="655">
        <f t="shared" si="57"/>
        <v>8</v>
      </c>
      <c r="Q1230" s="655">
        <f t="shared" si="58"/>
        <v>8</v>
      </c>
      <c r="R1230" s="695" t="str">
        <f t="shared" si="59"/>
        <v>Gastos_Gerais</v>
      </c>
      <c r="S1230" s="697" t="s">
        <v>310</v>
      </c>
      <c r="T1230" s="697" t="s">
        <v>310</v>
      </c>
    </row>
    <row r="1231" spans="1:20" ht="36" x14ac:dyDescent="0.2">
      <c r="A1231" s="432">
        <f>IF(B1231="","",COUNT('Diário 1º PA'!$A$4:$A$2635)+COUNT('Diário 2º PA'!$A$4:$A$3040)+ROW()-3)</f>
        <v>5327</v>
      </c>
      <c r="B1231" s="414">
        <v>44799</v>
      </c>
      <c r="C1231" s="431">
        <v>44774</v>
      </c>
      <c r="D1231" s="415" t="s">
        <v>271</v>
      </c>
      <c r="E1231" s="415" t="s">
        <v>71</v>
      </c>
      <c r="F1231" s="425">
        <v>11</v>
      </c>
      <c r="G1231" s="427" t="s">
        <v>6847</v>
      </c>
      <c r="H1231" s="415" t="s">
        <v>758</v>
      </c>
      <c r="I1231" s="398" t="s">
        <v>881</v>
      </c>
      <c r="J1231" s="418" t="s">
        <v>882</v>
      </c>
      <c r="K1231" s="418" t="s">
        <v>883</v>
      </c>
      <c r="L1231" s="399" t="s">
        <v>798</v>
      </c>
      <c r="M1231" s="544" t="s">
        <v>310</v>
      </c>
      <c r="N1231" s="414">
        <v>44799</v>
      </c>
      <c r="O1231" s="414" t="s">
        <v>400</v>
      </c>
      <c r="P1231" s="655">
        <f t="shared" si="57"/>
        <v>8</v>
      </c>
      <c r="Q1231" s="655">
        <f t="shared" si="58"/>
        <v>8</v>
      </c>
      <c r="R1231" s="695" t="str">
        <f t="shared" si="59"/>
        <v>Gastos_Gerais</v>
      </c>
      <c r="S1231" s="697" t="s">
        <v>310</v>
      </c>
      <c r="T1231" s="697" t="s">
        <v>310</v>
      </c>
    </row>
    <row r="1232" spans="1:20" ht="36" x14ac:dyDescent="0.2">
      <c r="A1232" s="432">
        <f>IF(B1232="","",COUNT('Diário 1º PA'!$A$4:$A$2635)+COUNT('Diário 2º PA'!$A$4:$A$3040)+ROW()-3)</f>
        <v>5328</v>
      </c>
      <c r="B1232" s="414">
        <v>44799</v>
      </c>
      <c r="C1232" s="431">
        <v>44774</v>
      </c>
      <c r="D1232" s="415" t="s">
        <v>271</v>
      </c>
      <c r="E1232" s="415" t="s">
        <v>71</v>
      </c>
      <c r="F1232" s="425">
        <v>11</v>
      </c>
      <c r="G1232" s="427" t="s">
        <v>6848</v>
      </c>
      <c r="H1232" s="415" t="s">
        <v>761</v>
      </c>
      <c r="I1232" s="398" t="s">
        <v>881</v>
      </c>
      <c r="J1232" s="418" t="s">
        <v>882</v>
      </c>
      <c r="K1232" s="418" t="s">
        <v>883</v>
      </c>
      <c r="L1232" s="399" t="s">
        <v>798</v>
      </c>
      <c r="M1232" s="544" t="s">
        <v>310</v>
      </c>
      <c r="N1232" s="414">
        <v>44799</v>
      </c>
      <c r="O1232" s="414" t="s">
        <v>400</v>
      </c>
      <c r="P1232" s="655">
        <f t="shared" si="57"/>
        <v>8</v>
      </c>
      <c r="Q1232" s="655">
        <f t="shared" si="58"/>
        <v>8</v>
      </c>
      <c r="R1232" s="695" t="str">
        <f t="shared" si="59"/>
        <v>Gastos_Gerais</v>
      </c>
      <c r="S1232" s="697" t="s">
        <v>310</v>
      </c>
      <c r="T1232" s="697" t="s">
        <v>310</v>
      </c>
    </row>
    <row r="1233" spans="1:20" ht="36" x14ac:dyDescent="0.2">
      <c r="A1233" s="432">
        <f>IF(B1233="","",COUNT('Diário 1º PA'!$A$4:$A$2635)+COUNT('Diário 2º PA'!$A$4:$A$3040)+ROW()-3)</f>
        <v>5329</v>
      </c>
      <c r="B1233" s="414">
        <v>44799</v>
      </c>
      <c r="C1233" s="431">
        <v>44774</v>
      </c>
      <c r="D1233" s="415" t="s">
        <v>271</v>
      </c>
      <c r="E1233" s="415" t="s">
        <v>71</v>
      </c>
      <c r="F1233" s="425">
        <v>11</v>
      </c>
      <c r="G1233" s="427" t="s">
        <v>6824</v>
      </c>
      <c r="H1233" s="419" t="s">
        <v>758</v>
      </c>
      <c r="I1233" s="398" t="s">
        <v>881</v>
      </c>
      <c r="J1233" s="418" t="s">
        <v>882</v>
      </c>
      <c r="K1233" s="418" t="s">
        <v>883</v>
      </c>
      <c r="L1233" s="399" t="s">
        <v>798</v>
      </c>
      <c r="M1233" s="544" t="s">
        <v>310</v>
      </c>
      <c r="N1233" s="414">
        <v>44799</v>
      </c>
      <c r="O1233" s="414" t="s">
        <v>400</v>
      </c>
      <c r="P1233" s="655">
        <f t="shared" si="57"/>
        <v>8</v>
      </c>
      <c r="Q1233" s="655">
        <f t="shared" si="58"/>
        <v>8</v>
      </c>
      <c r="R1233" s="695" t="str">
        <f t="shared" si="59"/>
        <v>Gastos_Gerais</v>
      </c>
      <c r="S1233" s="697" t="s">
        <v>310</v>
      </c>
      <c r="T1233" s="697" t="s">
        <v>310</v>
      </c>
    </row>
    <row r="1234" spans="1:20" ht="36" x14ac:dyDescent="0.2">
      <c r="A1234" s="432">
        <f>IF(B1234="","",COUNT('Diário 1º PA'!$A$4:$A$2635)+COUNT('Diário 2º PA'!$A$4:$A$3040)+ROW()-3)</f>
        <v>5330</v>
      </c>
      <c r="B1234" s="414">
        <v>44799</v>
      </c>
      <c r="C1234" s="431">
        <v>44774</v>
      </c>
      <c r="D1234" s="415" t="s">
        <v>271</v>
      </c>
      <c r="E1234" s="415" t="s">
        <v>71</v>
      </c>
      <c r="F1234" s="425">
        <v>11</v>
      </c>
      <c r="G1234" s="427" t="s">
        <v>6849</v>
      </c>
      <c r="H1234" s="415" t="s">
        <v>752</v>
      </c>
      <c r="I1234" s="398" t="s">
        <v>881</v>
      </c>
      <c r="J1234" s="418" t="s">
        <v>882</v>
      </c>
      <c r="K1234" s="418" t="s">
        <v>883</v>
      </c>
      <c r="L1234" s="399" t="s">
        <v>798</v>
      </c>
      <c r="M1234" s="544" t="s">
        <v>310</v>
      </c>
      <c r="N1234" s="414">
        <v>44799</v>
      </c>
      <c r="O1234" s="414" t="s">
        <v>400</v>
      </c>
      <c r="P1234" s="655">
        <f t="shared" si="57"/>
        <v>8</v>
      </c>
      <c r="Q1234" s="655">
        <f t="shared" si="58"/>
        <v>8</v>
      </c>
      <c r="R1234" s="695" t="str">
        <f t="shared" si="59"/>
        <v>Gastos_Gerais</v>
      </c>
      <c r="S1234" s="697" t="s">
        <v>310</v>
      </c>
      <c r="T1234" s="697" t="s">
        <v>310</v>
      </c>
    </row>
    <row r="1235" spans="1:20" ht="36" x14ac:dyDescent="0.2">
      <c r="A1235" s="432">
        <f>IF(B1235="","",COUNT('Diário 1º PA'!$A$4:$A$2635)+COUNT('Diário 2º PA'!$A$4:$A$3040)+ROW()-3)</f>
        <v>5331</v>
      </c>
      <c r="B1235" s="414">
        <v>44799</v>
      </c>
      <c r="C1235" s="431">
        <v>44774</v>
      </c>
      <c r="D1235" s="415" t="s">
        <v>271</v>
      </c>
      <c r="E1235" s="415" t="s">
        <v>71</v>
      </c>
      <c r="F1235" s="425">
        <v>11</v>
      </c>
      <c r="G1235" s="427" t="s">
        <v>6850</v>
      </c>
      <c r="H1235" s="415" t="s">
        <v>758</v>
      </c>
      <c r="I1235" s="398" t="s">
        <v>881</v>
      </c>
      <c r="J1235" s="418" t="s">
        <v>882</v>
      </c>
      <c r="K1235" s="418" t="s">
        <v>883</v>
      </c>
      <c r="L1235" s="399" t="s">
        <v>798</v>
      </c>
      <c r="M1235" s="544" t="s">
        <v>310</v>
      </c>
      <c r="N1235" s="414">
        <v>44799</v>
      </c>
      <c r="O1235" s="414" t="s">
        <v>400</v>
      </c>
      <c r="P1235" s="655">
        <f t="shared" si="57"/>
        <v>8</v>
      </c>
      <c r="Q1235" s="655">
        <f t="shared" si="58"/>
        <v>8</v>
      </c>
      <c r="R1235" s="695" t="str">
        <f t="shared" si="59"/>
        <v>Gastos_Gerais</v>
      </c>
      <c r="S1235" s="697" t="s">
        <v>310</v>
      </c>
      <c r="T1235" s="697" t="s">
        <v>310</v>
      </c>
    </row>
    <row r="1236" spans="1:20" ht="36" x14ac:dyDescent="0.2">
      <c r="A1236" s="432">
        <f>IF(B1236="","",COUNT('Diário 1º PA'!$A$4:$A$2635)+COUNT('Diário 2º PA'!$A$4:$A$3040)+ROW()-3)</f>
        <v>5332</v>
      </c>
      <c r="B1236" s="414">
        <v>44799</v>
      </c>
      <c r="C1236" s="431">
        <v>44774</v>
      </c>
      <c r="D1236" s="415" t="s">
        <v>271</v>
      </c>
      <c r="E1236" s="415" t="s">
        <v>71</v>
      </c>
      <c r="F1236" s="425">
        <v>11</v>
      </c>
      <c r="G1236" s="427" t="s">
        <v>6851</v>
      </c>
      <c r="H1236" s="415" t="s">
        <v>752</v>
      </c>
      <c r="I1236" s="398" t="s">
        <v>881</v>
      </c>
      <c r="J1236" s="418" t="s">
        <v>882</v>
      </c>
      <c r="K1236" s="418" t="s">
        <v>883</v>
      </c>
      <c r="L1236" s="399" t="s">
        <v>798</v>
      </c>
      <c r="M1236" s="544" t="s">
        <v>310</v>
      </c>
      <c r="N1236" s="414">
        <v>44799</v>
      </c>
      <c r="O1236" s="414" t="s">
        <v>400</v>
      </c>
      <c r="P1236" s="655">
        <f t="shared" si="57"/>
        <v>8</v>
      </c>
      <c r="Q1236" s="655">
        <f t="shared" si="58"/>
        <v>8</v>
      </c>
      <c r="R1236" s="695" t="str">
        <f t="shared" si="59"/>
        <v>Gastos_Gerais</v>
      </c>
      <c r="S1236" s="697" t="s">
        <v>310</v>
      </c>
      <c r="T1236" s="697" t="s">
        <v>310</v>
      </c>
    </row>
    <row r="1237" spans="1:20" ht="60" x14ac:dyDescent="0.2">
      <c r="A1237" s="432">
        <f>IF(B1237="","",COUNT('Diário 1º PA'!$A$4:$A$2635)+COUNT('Diário 2º PA'!$A$4:$A$3040)+ROW()-3)</f>
        <v>5333</v>
      </c>
      <c r="B1237" s="414">
        <v>44799</v>
      </c>
      <c r="C1237" s="431">
        <v>44743</v>
      </c>
      <c r="D1237" s="415" t="s">
        <v>468</v>
      </c>
      <c r="E1237" s="415" t="s">
        <v>468</v>
      </c>
      <c r="F1237" s="425">
        <v>2785.16</v>
      </c>
      <c r="G1237" s="427" t="s">
        <v>5678</v>
      </c>
      <c r="H1237" s="415" t="s">
        <v>468</v>
      </c>
      <c r="I1237" s="398" t="s">
        <v>6886</v>
      </c>
      <c r="J1237" s="415" t="s">
        <v>5679</v>
      </c>
      <c r="K1237" s="419" t="s">
        <v>830</v>
      </c>
      <c r="L1237" s="399" t="s">
        <v>839</v>
      </c>
      <c r="M1237" s="544">
        <v>1970</v>
      </c>
      <c r="N1237" s="414">
        <v>44798</v>
      </c>
      <c r="O1237" s="414" t="s">
        <v>404</v>
      </c>
      <c r="P1237" s="655">
        <f t="shared" si="57"/>
        <v>8</v>
      </c>
      <c r="Q1237" s="655">
        <f t="shared" si="58"/>
        <v>7</v>
      </c>
      <c r="R1237" s="695" t="str">
        <f t="shared" si="59"/>
        <v>Gastos_custeados_por_captação</v>
      </c>
      <c r="S1237" s="697" t="s">
        <v>1000</v>
      </c>
      <c r="T1237" s="697">
        <v>4013</v>
      </c>
    </row>
    <row r="1238" spans="1:20" ht="60" x14ac:dyDescent="0.2">
      <c r="A1238" s="432">
        <f>IF(B1238="","",COUNT('Diário 1º PA'!$A$4:$A$2635)+COUNT('Diário 2º PA'!$A$4:$A$3040)+ROW()-3)</f>
        <v>5334</v>
      </c>
      <c r="B1238" s="414">
        <v>44799</v>
      </c>
      <c r="C1238" s="431">
        <v>44713</v>
      </c>
      <c r="D1238" s="415" t="s">
        <v>468</v>
      </c>
      <c r="E1238" s="415" t="s">
        <v>468</v>
      </c>
      <c r="F1238" s="425">
        <v>10450</v>
      </c>
      <c r="G1238" s="427" t="s">
        <v>6453</v>
      </c>
      <c r="H1238" s="415" t="s">
        <v>468</v>
      </c>
      <c r="I1238" s="398" t="s">
        <v>3671</v>
      </c>
      <c r="J1238" s="415" t="s">
        <v>3282</v>
      </c>
      <c r="K1238" s="419" t="s">
        <v>830</v>
      </c>
      <c r="L1238" s="399" t="s">
        <v>32</v>
      </c>
      <c r="M1238" s="418" t="s">
        <v>1724</v>
      </c>
      <c r="N1238" s="414">
        <v>44798</v>
      </c>
      <c r="O1238" s="414" t="s">
        <v>404</v>
      </c>
      <c r="P1238" s="655">
        <f t="shared" si="57"/>
        <v>8</v>
      </c>
      <c r="Q1238" s="655">
        <f t="shared" si="58"/>
        <v>6</v>
      </c>
      <c r="R1238" s="695" t="str">
        <f t="shared" si="59"/>
        <v>Gastos_custeados_por_captação</v>
      </c>
      <c r="S1238" s="697" t="s">
        <v>1000</v>
      </c>
      <c r="T1238" s="697">
        <v>3913</v>
      </c>
    </row>
    <row r="1239" spans="1:20" ht="48" x14ac:dyDescent="0.2">
      <c r="A1239" s="432">
        <f>IF(B1239="","",COUNT('Diário 1º PA'!$A$4:$A$2635)+COUNT('Diário 2º PA'!$A$4:$A$3040)+ROW()-3)</f>
        <v>5335</v>
      </c>
      <c r="B1239" s="414">
        <v>44799</v>
      </c>
      <c r="C1239" s="431">
        <v>44743</v>
      </c>
      <c r="D1239" s="415" t="s">
        <v>468</v>
      </c>
      <c r="E1239" s="415" t="s">
        <v>468</v>
      </c>
      <c r="F1239" s="425">
        <v>2462.5500000000002</v>
      </c>
      <c r="G1239" s="427" t="s">
        <v>5902</v>
      </c>
      <c r="H1239" s="415" t="s">
        <v>468</v>
      </c>
      <c r="I1239" s="398" t="s">
        <v>6910</v>
      </c>
      <c r="J1239" s="415" t="s">
        <v>1990</v>
      </c>
      <c r="K1239" s="418" t="s">
        <v>830</v>
      </c>
      <c r="L1239" s="399" t="s">
        <v>839</v>
      </c>
      <c r="M1239" s="544">
        <v>1965</v>
      </c>
      <c r="N1239" s="414">
        <v>44796</v>
      </c>
      <c r="O1239" s="414" t="s">
        <v>3762</v>
      </c>
      <c r="P1239" s="655">
        <f t="shared" si="57"/>
        <v>8</v>
      </c>
      <c r="Q1239" s="655">
        <f t="shared" si="58"/>
        <v>7</v>
      </c>
      <c r="R1239" s="695" t="str">
        <f t="shared" si="59"/>
        <v>Gastos_custeados_por_captação</v>
      </c>
      <c r="S1239" s="696" t="s">
        <v>1000</v>
      </c>
      <c r="T1239" s="697">
        <v>4129</v>
      </c>
    </row>
    <row r="1240" spans="1:20" ht="48" x14ac:dyDescent="0.2">
      <c r="A1240" s="432">
        <f>IF(B1240="","",COUNT('Diário 1º PA'!$A$4:$A$2635)+COUNT('Diário 2º PA'!$A$4:$A$3040)+ROW()-3)</f>
        <v>5336</v>
      </c>
      <c r="B1240" s="414">
        <v>44799</v>
      </c>
      <c r="C1240" s="431">
        <v>44774</v>
      </c>
      <c r="D1240" s="415" t="s">
        <v>468</v>
      </c>
      <c r="E1240" s="415" t="s">
        <v>468</v>
      </c>
      <c r="F1240" s="425">
        <v>11</v>
      </c>
      <c r="G1240" s="415" t="s">
        <v>6516</v>
      </c>
      <c r="H1240" s="415" t="s">
        <v>468</v>
      </c>
      <c r="I1240" s="639" t="s">
        <v>881</v>
      </c>
      <c r="J1240" s="418" t="s">
        <v>882</v>
      </c>
      <c r="K1240" s="418" t="s">
        <v>883</v>
      </c>
      <c r="L1240" s="399" t="s">
        <v>798</v>
      </c>
      <c r="M1240" s="544" t="s">
        <v>310</v>
      </c>
      <c r="N1240" s="414">
        <v>44798</v>
      </c>
      <c r="O1240" s="414" t="s">
        <v>3762</v>
      </c>
      <c r="P1240" s="655">
        <f t="shared" si="57"/>
        <v>8</v>
      </c>
      <c r="Q1240" s="655">
        <f t="shared" si="58"/>
        <v>8</v>
      </c>
      <c r="R1240" s="695" t="str">
        <f t="shared" si="59"/>
        <v>Gastos_custeados_por_captação</v>
      </c>
      <c r="S1240" s="697" t="s">
        <v>310</v>
      </c>
      <c r="T1240" s="697" t="s">
        <v>310</v>
      </c>
    </row>
    <row r="1241" spans="1:20" ht="72" x14ac:dyDescent="0.2">
      <c r="A1241" s="432">
        <f>IF(B1241="","",COUNT('Diário 1º PA'!$A$4:$A$2635)+COUNT('Diário 2º PA'!$A$4:$A$3040)+ROW()-3)</f>
        <v>5337</v>
      </c>
      <c r="B1241" s="414">
        <v>44799</v>
      </c>
      <c r="C1241" s="431">
        <v>44774</v>
      </c>
      <c r="D1241" s="415" t="s">
        <v>468</v>
      </c>
      <c r="E1241" s="415" t="s">
        <v>468</v>
      </c>
      <c r="F1241" s="425">
        <v>1720.86</v>
      </c>
      <c r="G1241" s="427" t="s">
        <v>6634</v>
      </c>
      <c r="H1241" s="415" t="s">
        <v>468</v>
      </c>
      <c r="I1241" s="398" t="s">
        <v>5401</v>
      </c>
      <c r="J1241" s="415" t="s">
        <v>5402</v>
      </c>
      <c r="K1241" s="418" t="s">
        <v>830</v>
      </c>
      <c r="L1241" s="399" t="s">
        <v>32</v>
      </c>
      <c r="M1241" s="418" t="s">
        <v>6896</v>
      </c>
      <c r="N1241" s="414">
        <v>44798</v>
      </c>
      <c r="O1241" s="414" t="s">
        <v>402</v>
      </c>
      <c r="P1241" s="655">
        <f t="shared" si="57"/>
        <v>8</v>
      </c>
      <c r="Q1241" s="655">
        <f t="shared" si="58"/>
        <v>8</v>
      </c>
      <c r="R1241" s="695" t="str">
        <f t="shared" si="59"/>
        <v>Gastos_custeados_por_captação</v>
      </c>
      <c r="S1241" s="697" t="s">
        <v>998</v>
      </c>
      <c r="T1241" s="697">
        <v>4279</v>
      </c>
    </row>
    <row r="1242" spans="1:20" ht="25.5" x14ac:dyDescent="0.2">
      <c r="A1242" s="432">
        <f>IF(B1242="","",COUNT('Diário 1º PA'!$A$4:$A$2635)+COUNT('Diário 2º PA'!$A$4:$A$3040)+ROW()-3)</f>
        <v>5338</v>
      </c>
      <c r="B1242" s="414">
        <v>44802</v>
      </c>
      <c r="C1242" s="431">
        <v>44774</v>
      </c>
      <c r="D1242" s="434" t="s">
        <v>182</v>
      </c>
      <c r="E1242" s="434" t="s">
        <v>6</v>
      </c>
      <c r="F1242" s="435">
        <v>5654.44</v>
      </c>
      <c r="G1242" s="437" t="s">
        <v>6102</v>
      </c>
      <c r="H1242" s="434" t="s">
        <v>310</v>
      </c>
      <c r="I1242" s="474" t="s">
        <v>1486</v>
      </c>
      <c r="J1242" s="418" t="s">
        <v>1487</v>
      </c>
      <c r="K1242" s="419" t="s">
        <v>812</v>
      </c>
      <c r="L1242" s="415" t="s">
        <v>32</v>
      </c>
      <c r="M1242" s="415">
        <v>904995</v>
      </c>
      <c r="N1242" s="414">
        <v>44805</v>
      </c>
      <c r="O1242" s="393" t="s">
        <v>400</v>
      </c>
      <c r="P1242" s="655">
        <f t="shared" si="57"/>
        <v>8</v>
      </c>
      <c r="Q1242" s="655">
        <f t="shared" si="58"/>
        <v>8</v>
      </c>
      <c r="R1242" s="695" t="str">
        <f t="shared" si="59"/>
        <v>Gastos_com_Pessoal</v>
      </c>
      <c r="S1242" s="697" t="s">
        <v>310</v>
      </c>
      <c r="T1242" s="697" t="s">
        <v>310</v>
      </c>
    </row>
    <row r="1243" spans="1:20" ht="49.5" customHeight="1" x14ac:dyDescent="0.2">
      <c r="A1243" s="432">
        <f>IF(B1243="","",COUNT('Diário 1º PA'!$A$4:$A$2635)+COUNT('Diário 2º PA'!$A$4:$A$3040)+ROW()-3)</f>
        <v>5339</v>
      </c>
      <c r="B1243" s="414">
        <v>44802</v>
      </c>
      <c r="C1243" s="433">
        <v>44774</v>
      </c>
      <c r="D1243" s="434" t="s">
        <v>182</v>
      </c>
      <c r="E1243" s="434" t="s">
        <v>6</v>
      </c>
      <c r="F1243" s="435">
        <v>26248.05</v>
      </c>
      <c r="G1243" s="437" t="s">
        <v>6101</v>
      </c>
      <c r="H1243" s="434" t="s">
        <v>310</v>
      </c>
      <c r="I1243" s="474" t="s">
        <v>1486</v>
      </c>
      <c r="J1243" s="418" t="s">
        <v>1487</v>
      </c>
      <c r="K1243" s="419" t="s">
        <v>812</v>
      </c>
      <c r="L1243" s="415" t="s">
        <v>32</v>
      </c>
      <c r="M1243" s="415">
        <v>893554</v>
      </c>
      <c r="N1243" s="414">
        <v>44805</v>
      </c>
      <c r="O1243" s="393" t="s">
        <v>400</v>
      </c>
      <c r="P1243" s="655">
        <f t="shared" si="57"/>
        <v>8</v>
      </c>
      <c r="Q1243" s="655">
        <f t="shared" si="58"/>
        <v>8</v>
      </c>
      <c r="R1243" s="695" t="str">
        <f t="shared" si="59"/>
        <v>Gastos_com_Pessoal</v>
      </c>
      <c r="S1243" s="697" t="s">
        <v>310</v>
      </c>
      <c r="T1243" s="697" t="s">
        <v>310</v>
      </c>
    </row>
    <row r="1244" spans="1:20" ht="108" x14ac:dyDescent="0.2">
      <c r="A1244" s="432">
        <f>IF(B1244="","",COUNT('Diário 1º PA'!$A$4:$A$2635)+COUNT('Diário 2º PA'!$A$4:$A$3040)+ROW()-3)</f>
        <v>5340</v>
      </c>
      <c r="B1244" s="414">
        <v>44802</v>
      </c>
      <c r="C1244" s="431">
        <v>44409</v>
      </c>
      <c r="D1244" s="415" t="s">
        <v>271</v>
      </c>
      <c r="E1244" s="415" t="s">
        <v>452</v>
      </c>
      <c r="F1244" s="425">
        <v>450</v>
      </c>
      <c r="G1244" s="427" t="s">
        <v>549</v>
      </c>
      <c r="H1244" s="415" t="s">
        <v>755</v>
      </c>
      <c r="I1244" s="415" t="s">
        <v>6852</v>
      </c>
      <c r="J1244" s="415" t="s">
        <v>1042</v>
      </c>
      <c r="K1244" s="419" t="s">
        <v>830</v>
      </c>
      <c r="L1244" s="415" t="s">
        <v>32</v>
      </c>
      <c r="M1244" s="419">
        <v>7444</v>
      </c>
      <c r="N1244" s="413">
        <v>44796</v>
      </c>
      <c r="O1244" s="393" t="s">
        <v>400</v>
      </c>
      <c r="P1244" s="655">
        <f t="shared" si="57"/>
        <v>8</v>
      </c>
      <c r="Q1244" s="655">
        <f t="shared" si="58"/>
        <v>-4</v>
      </c>
      <c r="R1244" s="695" t="str">
        <f t="shared" si="59"/>
        <v>Gastos_Gerais</v>
      </c>
      <c r="S1244" s="697" t="s">
        <v>999</v>
      </c>
      <c r="T1244" s="697">
        <v>1939</v>
      </c>
    </row>
    <row r="1245" spans="1:20" ht="36" x14ac:dyDescent="0.2">
      <c r="A1245" s="432">
        <f>IF(B1245="","",COUNT('Diário 1º PA'!$A$4:$A$2635)+COUNT('Diário 2º PA'!$A$4:$A$3040)+ROW()-3)</f>
        <v>5341</v>
      </c>
      <c r="B1245" s="414">
        <v>44802</v>
      </c>
      <c r="C1245" s="431">
        <v>44774</v>
      </c>
      <c r="D1245" s="426" t="s">
        <v>271</v>
      </c>
      <c r="E1245" s="426" t="s">
        <v>456</v>
      </c>
      <c r="F1245" s="425">
        <v>163.04</v>
      </c>
      <c r="G1245" s="419" t="s">
        <v>6853</v>
      </c>
      <c r="H1245" s="419" t="s">
        <v>757</v>
      </c>
      <c r="I1245" s="434" t="s">
        <v>6854</v>
      </c>
      <c r="J1245" s="426" t="s">
        <v>6855</v>
      </c>
      <c r="K1245" s="426" t="s">
        <v>812</v>
      </c>
      <c r="L1245" s="434" t="s">
        <v>2973</v>
      </c>
      <c r="M1245" s="434">
        <v>154863</v>
      </c>
      <c r="N1245" s="685">
        <v>44802</v>
      </c>
      <c r="O1245" s="393" t="s">
        <v>400</v>
      </c>
      <c r="P1245" s="655">
        <f t="shared" si="57"/>
        <v>8</v>
      </c>
      <c r="Q1245" s="655">
        <f t="shared" si="58"/>
        <v>8</v>
      </c>
      <c r="R1245" s="695" t="str">
        <f t="shared" si="59"/>
        <v>Gastos_Gerais</v>
      </c>
      <c r="S1245" s="697" t="s">
        <v>999</v>
      </c>
      <c r="T1245" s="697">
        <v>4298</v>
      </c>
    </row>
    <row r="1246" spans="1:20" ht="36" x14ac:dyDescent="0.2">
      <c r="A1246" s="432">
        <f>IF(B1246="","",COUNT('Diário 1º PA'!$A$4:$A$2635)+COUNT('Diário 2º PA'!$A$4:$A$3040)+ROW()-3)</f>
        <v>5342</v>
      </c>
      <c r="B1246" s="414">
        <v>44802</v>
      </c>
      <c r="C1246" s="431">
        <v>44774</v>
      </c>
      <c r="D1246" s="415" t="s">
        <v>271</v>
      </c>
      <c r="E1246" s="415" t="s">
        <v>71</v>
      </c>
      <c r="F1246" s="425">
        <v>11</v>
      </c>
      <c r="G1246" s="427" t="s">
        <v>6856</v>
      </c>
      <c r="H1246" s="415" t="s">
        <v>752</v>
      </c>
      <c r="I1246" s="398" t="s">
        <v>881</v>
      </c>
      <c r="J1246" s="418" t="s">
        <v>882</v>
      </c>
      <c r="K1246" s="418" t="s">
        <v>883</v>
      </c>
      <c r="L1246" s="399" t="s">
        <v>798</v>
      </c>
      <c r="M1246" s="544" t="s">
        <v>310</v>
      </c>
      <c r="N1246" s="414">
        <v>44802</v>
      </c>
      <c r="O1246" s="414" t="s">
        <v>400</v>
      </c>
      <c r="P1246" s="655">
        <f t="shared" si="57"/>
        <v>8</v>
      </c>
      <c r="Q1246" s="655">
        <f t="shared" si="58"/>
        <v>8</v>
      </c>
      <c r="R1246" s="695" t="str">
        <f t="shared" si="59"/>
        <v>Gastos_Gerais</v>
      </c>
      <c r="S1246" s="697" t="s">
        <v>310</v>
      </c>
      <c r="T1246" s="697" t="s">
        <v>310</v>
      </c>
    </row>
    <row r="1247" spans="1:20" ht="48" x14ac:dyDescent="0.2">
      <c r="A1247" s="432">
        <f>IF(B1247="","",COUNT('Diário 1º PA'!$A$4:$A$2635)+COUNT('Diário 2º PA'!$A$4:$A$3040)+ROW()-3)</f>
        <v>5343</v>
      </c>
      <c r="B1247" s="414">
        <v>44802</v>
      </c>
      <c r="C1247" s="431">
        <v>44743</v>
      </c>
      <c r="D1247" s="415" t="s">
        <v>468</v>
      </c>
      <c r="E1247" s="415" t="s">
        <v>468</v>
      </c>
      <c r="F1247" s="686">
        <v>153.05000000000001</v>
      </c>
      <c r="G1247" s="427" t="s">
        <v>6913</v>
      </c>
      <c r="H1247" s="426" t="s">
        <v>468</v>
      </c>
      <c r="I1247" s="398" t="s">
        <v>6910</v>
      </c>
      <c r="J1247" s="415" t="s">
        <v>1990</v>
      </c>
      <c r="K1247" s="418" t="s">
        <v>830</v>
      </c>
      <c r="L1247" s="399" t="s">
        <v>839</v>
      </c>
      <c r="M1247" s="544">
        <v>1965</v>
      </c>
      <c r="N1247" s="414">
        <v>44796</v>
      </c>
      <c r="O1247" s="414" t="s">
        <v>3762</v>
      </c>
      <c r="P1247" s="655">
        <f t="shared" si="57"/>
        <v>8</v>
      </c>
      <c r="Q1247" s="655">
        <f t="shared" si="58"/>
        <v>7</v>
      </c>
      <c r="R1247" s="695" t="str">
        <f t="shared" si="59"/>
        <v>Gastos_custeados_por_captação</v>
      </c>
      <c r="S1247" s="696" t="s">
        <v>1000</v>
      </c>
      <c r="T1247" s="697">
        <v>4129</v>
      </c>
    </row>
    <row r="1248" spans="1:20" ht="48" x14ac:dyDescent="0.2">
      <c r="A1248" s="432">
        <f>IF(B1248="","",COUNT('Diário 1º PA'!$A$4:$A$2635)+COUNT('Diário 2º PA'!$A$4:$A$3040)+ROW()-3)</f>
        <v>5344</v>
      </c>
      <c r="B1248" s="414">
        <v>44802</v>
      </c>
      <c r="C1248" s="431">
        <v>44774</v>
      </c>
      <c r="D1248" s="415" t="s">
        <v>468</v>
      </c>
      <c r="E1248" s="415" t="s">
        <v>468</v>
      </c>
      <c r="F1248" s="686">
        <v>11</v>
      </c>
      <c r="G1248" s="415" t="s">
        <v>6516</v>
      </c>
      <c r="H1248" s="426" t="s">
        <v>468</v>
      </c>
      <c r="I1248" s="639" t="s">
        <v>881</v>
      </c>
      <c r="J1248" s="418" t="s">
        <v>882</v>
      </c>
      <c r="K1248" s="418" t="s">
        <v>883</v>
      </c>
      <c r="L1248" s="399" t="s">
        <v>798</v>
      </c>
      <c r="M1248" s="544" t="s">
        <v>310</v>
      </c>
      <c r="N1248" s="413">
        <v>44802</v>
      </c>
      <c r="O1248" s="414" t="s">
        <v>3762</v>
      </c>
      <c r="P1248" s="655">
        <f t="shared" si="57"/>
        <v>8</v>
      </c>
      <c r="Q1248" s="655">
        <f t="shared" si="58"/>
        <v>8</v>
      </c>
      <c r="R1248" s="695" t="str">
        <f t="shared" si="59"/>
        <v>Gastos_custeados_por_captação</v>
      </c>
      <c r="S1248" s="697" t="s">
        <v>310</v>
      </c>
      <c r="T1248" s="697" t="s">
        <v>310</v>
      </c>
    </row>
    <row r="1249" spans="1:20" ht="24" x14ac:dyDescent="0.2">
      <c r="A1249" s="432">
        <f>IF(B1249="","",COUNT('Diário 1º PA'!$A$4:$A$2635)+COUNT('Diário 2º PA'!$A$4:$A$3040)+ROW()-3)</f>
        <v>5345</v>
      </c>
      <c r="B1249" s="685">
        <v>44803</v>
      </c>
      <c r="C1249" s="431">
        <v>44774</v>
      </c>
      <c r="D1249" s="415" t="s">
        <v>271</v>
      </c>
      <c r="E1249" s="426" t="s">
        <v>297</v>
      </c>
      <c r="F1249" s="686">
        <v>241.92</v>
      </c>
      <c r="G1249" s="427" t="s">
        <v>6915</v>
      </c>
      <c r="H1249" s="415" t="s">
        <v>309</v>
      </c>
      <c r="I1249" s="415" t="s">
        <v>1517</v>
      </c>
      <c r="J1249" s="415" t="s">
        <v>3749</v>
      </c>
      <c r="K1249" s="419" t="s">
        <v>812</v>
      </c>
      <c r="L1249" s="415" t="s">
        <v>32</v>
      </c>
      <c r="M1249" s="419">
        <v>38311</v>
      </c>
      <c r="N1249" s="413">
        <v>44799</v>
      </c>
      <c r="O1249" s="414" t="s">
        <v>400</v>
      </c>
      <c r="P1249" s="655">
        <f t="shared" si="57"/>
        <v>8</v>
      </c>
      <c r="Q1249" s="655">
        <f t="shared" si="58"/>
        <v>8</v>
      </c>
      <c r="R1249" s="695" t="str">
        <f t="shared" si="59"/>
        <v>Gastos_Gerais</v>
      </c>
      <c r="S1249" s="697" t="s">
        <v>1000</v>
      </c>
      <c r="T1249" s="697">
        <v>4297</v>
      </c>
    </row>
    <row r="1250" spans="1:20" ht="36" x14ac:dyDescent="0.2">
      <c r="A1250" s="432">
        <f>IF(B1250="","",COUNT('Diário 1º PA'!$A$4:$A$2635)+COUNT('Diário 2º PA'!$A$4:$A$3040)+ROW()-3)</f>
        <v>5346</v>
      </c>
      <c r="B1250" s="685">
        <v>44803</v>
      </c>
      <c r="C1250" s="431">
        <v>44774</v>
      </c>
      <c r="D1250" s="415" t="s">
        <v>271</v>
      </c>
      <c r="E1250" s="415" t="s">
        <v>297</v>
      </c>
      <c r="F1250" s="425">
        <v>39.799999999999997</v>
      </c>
      <c r="G1250" s="427" t="s">
        <v>6859</v>
      </c>
      <c r="H1250" s="415" t="s">
        <v>757</v>
      </c>
      <c r="I1250" s="415" t="s">
        <v>6916</v>
      </c>
      <c r="J1250" s="415" t="s">
        <v>6860</v>
      </c>
      <c r="K1250" s="419" t="s">
        <v>830</v>
      </c>
      <c r="L1250" s="415" t="s">
        <v>32</v>
      </c>
      <c r="M1250" s="419">
        <v>14824</v>
      </c>
      <c r="N1250" s="413">
        <v>44803</v>
      </c>
      <c r="O1250" s="414" t="s">
        <v>400</v>
      </c>
      <c r="P1250" s="655">
        <f t="shared" si="57"/>
        <v>8</v>
      </c>
      <c r="Q1250" s="655">
        <f t="shared" si="58"/>
        <v>8</v>
      </c>
      <c r="R1250" s="695" t="str">
        <f t="shared" si="59"/>
        <v>Gastos_Gerais</v>
      </c>
      <c r="S1250" s="697" t="s">
        <v>999</v>
      </c>
      <c r="T1250" s="697">
        <v>4299</v>
      </c>
    </row>
    <row r="1251" spans="1:20" ht="36" x14ac:dyDescent="0.2">
      <c r="A1251" s="432">
        <f>IF(B1251="","",COUNT('Diário 1º PA'!$A$4:$A$2635)+COUNT('Diário 2º PA'!$A$4:$A$3040)+ROW()-3)</f>
        <v>5347</v>
      </c>
      <c r="B1251" s="685">
        <v>44803</v>
      </c>
      <c r="C1251" s="431">
        <v>44713</v>
      </c>
      <c r="D1251" s="415" t="s">
        <v>271</v>
      </c>
      <c r="E1251" s="415" t="s">
        <v>456</v>
      </c>
      <c r="F1251" s="425">
        <v>1848</v>
      </c>
      <c r="G1251" s="427" t="s">
        <v>4430</v>
      </c>
      <c r="H1251" s="415" t="s">
        <v>758</v>
      </c>
      <c r="I1251" s="415" t="s">
        <v>6917</v>
      </c>
      <c r="J1251" s="415" t="s">
        <v>4431</v>
      </c>
      <c r="K1251" s="419" t="s">
        <v>830</v>
      </c>
      <c r="L1251" s="415" t="s">
        <v>839</v>
      </c>
      <c r="M1251" s="419">
        <v>1955</v>
      </c>
      <c r="N1251" s="413">
        <v>44791</v>
      </c>
      <c r="O1251" s="414" t="s">
        <v>400</v>
      </c>
      <c r="P1251" s="655">
        <f t="shared" si="57"/>
        <v>8</v>
      </c>
      <c r="Q1251" s="655">
        <f t="shared" si="58"/>
        <v>6</v>
      </c>
      <c r="R1251" s="695" t="str">
        <f t="shared" si="59"/>
        <v>Gastos_Gerais</v>
      </c>
      <c r="S1251" s="697" t="s">
        <v>998</v>
      </c>
      <c r="T1251" s="697">
        <v>3790</v>
      </c>
    </row>
    <row r="1252" spans="1:20" ht="36" x14ac:dyDescent="0.2">
      <c r="A1252" s="432">
        <f>IF(B1252="","",COUNT('Diário 1º PA'!$A$4:$A$2635)+COUNT('Diário 2º PA'!$A$4:$A$3040)+ROW()-3)</f>
        <v>5348</v>
      </c>
      <c r="B1252" s="414">
        <v>44803</v>
      </c>
      <c r="C1252" s="431">
        <v>44774</v>
      </c>
      <c r="D1252" s="415" t="s">
        <v>271</v>
      </c>
      <c r="E1252" s="415" t="s">
        <v>71</v>
      </c>
      <c r="F1252" s="425">
        <v>11</v>
      </c>
      <c r="G1252" s="427" t="s">
        <v>6920</v>
      </c>
      <c r="H1252" s="415" t="s">
        <v>757</v>
      </c>
      <c r="I1252" s="398" t="s">
        <v>881</v>
      </c>
      <c r="J1252" s="418" t="s">
        <v>882</v>
      </c>
      <c r="K1252" s="418" t="s">
        <v>883</v>
      </c>
      <c r="L1252" s="399" t="s">
        <v>798</v>
      </c>
      <c r="M1252" s="544" t="s">
        <v>310</v>
      </c>
      <c r="N1252" s="414">
        <v>44803</v>
      </c>
      <c r="O1252" s="414" t="s">
        <v>400</v>
      </c>
      <c r="P1252" s="655">
        <f t="shared" si="57"/>
        <v>8</v>
      </c>
      <c r="Q1252" s="655">
        <f t="shared" si="58"/>
        <v>8</v>
      </c>
      <c r="R1252" s="695" t="str">
        <f t="shared" si="59"/>
        <v>Gastos_Gerais</v>
      </c>
      <c r="S1252" s="697" t="s">
        <v>310</v>
      </c>
      <c r="T1252" s="697" t="s">
        <v>310</v>
      </c>
    </row>
    <row r="1253" spans="1:20" ht="36" x14ac:dyDescent="0.2">
      <c r="A1253" s="432">
        <f>IF(B1253="","",COUNT('Diário 1º PA'!$A$4:$A$2635)+COUNT('Diário 2º PA'!$A$4:$A$3040)+ROW()-3)</f>
        <v>5349</v>
      </c>
      <c r="B1253" s="414">
        <v>44803</v>
      </c>
      <c r="C1253" s="431">
        <v>44774</v>
      </c>
      <c r="D1253" s="415" t="s">
        <v>271</v>
      </c>
      <c r="E1253" s="415" t="s">
        <v>71</v>
      </c>
      <c r="F1253" s="425">
        <v>11</v>
      </c>
      <c r="G1253" s="427" t="s">
        <v>6921</v>
      </c>
      <c r="H1253" s="415" t="s">
        <v>758</v>
      </c>
      <c r="I1253" s="398" t="s">
        <v>881</v>
      </c>
      <c r="J1253" s="418" t="s">
        <v>882</v>
      </c>
      <c r="K1253" s="418" t="s">
        <v>883</v>
      </c>
      <c r="L1253" s="399" t="s">
        <v>798</v>
      </c>
      <c r="M1253" s="544" t="s">
        <v>310</v>
      </c>
      <c r="N1253" s="414">
        <v>44803</v>
      </c>
      <c r="O1253" s="414" t="s">
        <v>400</v>
      </c>
      <c r="P1253" s="655">
        <f t="shared" si="57"/>
        <v>8</v>
      </c>
      <c r="Q1253" s="655">
        <f t="shared" si="58"/>
        <v>8</v>
      </c>
      <c r="R1253" s="695" t="str">
        <f t="shared" si="59"/>
        <v>Gastos_Gerais</v>
      </c>
      <c r="S1253" s="697" t="s">
        <v>310</v>
      </c>
      <c r="T1253" s="697" t="s">
        <v>310</v>
      </c>
    </row>
    <row r="1254" spans="1:20" ht="24" x14ac:dyDescent="0.2">
      <c r="A1254" s="432">
        <f>IF(B1254="","",COUNT('Diário 1º PA'!$A$4:$A$2635)+COUNT('Diário 2º PA'!$A$4:$A$3040)+ROW()-3)</f>
        <v>5350</v>
      </c>
      <c r="B1254" s="414">
        <v>44803</v>
      </c>
      <c r="C1254" s="466">
        <v>44774</v>
      </c>
      <c r="D1254" s="415" t="s">
        <v>182</v>
      </c>
      <c r="E1254" s="415" t="s">
        <v>161</v>
      </c>
      <c r="F1254" s="425">
        <v>401.78</v>
      </c>
      <c r="G1254" s="427" t="s">
        <v>1495</v>
      </c>
      <c r="H1254" s="415" t="s">
        <v>310</v>
      </c>
      <c r="I1254" s="473" t="s">
        <v>2008</v>
      </c>
      <c r="J1254" s="548" t="s">
        <v>2009</v>
      </c>
      <c r="K1254" s="415" t="s">
        <v>812</v>
      </c>
      <c r="L1254" s="415" t="s">
        <v>807</v>
      </c>
      <c r="M1254" s="415" t="s">
        <v>7155</v>
      </c>
      <c r="N1254" s="414">
        <v>44803</v>
      </c>
      <c r="O1254" s="414" t="s">
        <v>400</v>
      </c>
      <c r="P1254" s="655">
        <f t="shared" si="57"/>
        <v>8</v>
      </c>
      <c r="Q1254" s="655">
        <f t="shared" si="58"/>
        <v>8</v>
      </c>
      <c r="R1254" s="695" t="str">
        <f t="shared" si="59"/>
        <v>Gastos_com_Pessoal</v>
      </c>
      <c r="S1254" s="696" t="s">
        <v>310</v>
      </c>
      <c r="T1254" s="696" t="s">
        <v>310</v>
      </c>
    </row>
    <row r="1255" spans="1:20" ht="48" x14ac:dyDescent="0.2">
      <c r="A1255" s="432">
        <f>IF(B1255="","",COUNT('Diário 1º PA'!$A$4:$A$2635)+COUNT('Diário 2º PA'!$A$4:$A$3040)+ROW()-3)</f>
        <v>5351</v>
      </c>
      <c r="B1255" s="455">
        <v>44804</v>
      </c>
      <c r="C1255" s="431">
        <v>44774</v>
      </c>
      <c r="D1255" s="415" t="s">
        <v>295</v>
      </c>
      <c r="E1255" s="415" t="s">
        <v>295</v>
      </c>
      <c r="F1255" s="425">
        <v>28875.759999999998</v>
      </c>
      <c r="G1255" s="427" t="s">
        <v>6932</v>
      </c>
      <c r="H1255" s="415" t="s">
        <v>310</v>
      </c>
      <c r="I1255" s="473" t="s">
        <v>1520</v>
      </c>
      <c r="J1255" s="415" t="s">
        <v>796</v>
      </c>
      <c r="K1255" s="415" t="s">
        <v>797</v>
      </c>
      <c r="L1255" s="415" t="s">
        <v>798</v>
      </c>
      <c r="M1255" s="415" t="s">
        <v>310</v>
      </c>
      <c r="N1255" s="455">
        <v>44804</v>
      </c>
      <c r="O1255" s="414" t="s">
        <v>400</v>
      </c>
      <c r="P1255" s="655">
        <f t="shared" si="57"/>
        <v>8</v>
      </c>
      <c r="Q1255" s="655">
        <f t="shared" si="58"/>
        <v>8</v>
      </c>
      <c r="R1255" s="695" t="str">
        <f t="shared" si="59"/>
        <v>Rendimentos_de_Aplicações_Fin.</v>
      </c>
      <c r="S1255" s="697" t="s">
        <v>310</v>
      </c>
      <c r="T1255" s="697" t="s">
        <v>310</v>
      </c>
    </row>
    <row r="1256" spans="1:20" ht="24" x14ac:dyDescent="0.2">
      <c r="A1256" s="432">
        <f>IF(B1256="","",COUNT('Diário 1º PA'!$A$4:$A$2635)+COUNT('Diário 2º PA'!$A$4:$A$3040)+ROW()-3)</f>
        <v>5352</v>
      </c>
      <c r="B1256" s="455">
        <v>44804</v>
      </c>
      <c r="C1256" s="431">
        <v>44774</v>
      </c>
      <c r="D1256" s="415" t="s">
        <v>271</v>
      </c>
      <c r="E1256" s="415" t="s">
        <v>78</v>
      </c>
      <c r="F1256" s="425">
        <v>4295.07</v>
      </c>
      <c r="G1256" s="427" t="s">
        <v>6933</v>
      </c>
      <c r="H1256" s="415" t="s">
        <v>310</v>
      </c>
      <c r="I1256" s="473" t="s">
        <v>1461</v>
      </c>
      <c r="J1256" s="415" t="s">
        <v>310</v>
      </c>
      <c r="K1256" s="415" t="s">
        <v>1220</v>
      </c>
      <c r="L1256" s="415" t="s">
        <v>1368</v>
      </c>
      <c r="M1256" s="415" t="s">
        <v>310</v>
      </c>
      <c r="N1256" s="455">
        <v>44804</v>
      </c>
      <c r="O1256" s="414" t="s">
        <v>400</v>
      </c>
      <c r="P1256" s="655">
        <f t="shared" si="57"/>
        <v>8</v>
      </c>
      <c r="Q1256" s="655">
        <f t="shared" si="58"/>
        <v>8</v>
      </c>
      <c r="R1256" s="695" t="str">
        <f t="shared" si="59"/>
        <v>Gastos_Gerais</v>
      </c>
      <c r="S1256" s="697" t="s">
        <v>310</v>
      </c>
      <c r="T1256" s="697" t="s">
        <v>310</v>
      </c>
    </row>
    <row r="1257" spans="1:20" ht="60" x14ac:dyDescent="0.2">
      <c r="A1257" s="432">
        <f>IF(B1257="","",COUNT('Diário 1º PA'!$A$4:$A$2635)+COUNT('Diário 2º PA'!$A$4:$A$3040)+ROW()-3)</f>
        <v>5353</v>
      </c>
      <c r="B1257" s="455">
        <v>44804</v>
      </c>
      <c r="C1257" s="431">
        <v>44774</v>
      </c>
      <c r="D1257" s="415" t="s">
        <v>468</v>
      </c>
      <c r="E1257" s="415" t="s">
        <v>468</v>
      </c>
      <c r="F1257" s="425">
        <v>6000</v>
      </c>
      <c r="G1257" s="427" t="s">
        <v>6958</v>
      </c>
      <c r="H1257" s="415" t="s">
        <v>468</v>
      </c>
      <c r="I1257" s="473" t="s">
        <v>3030</v>
      </c>
      <c r="J1257" s="415" t="s">
        <v>796</v>
      </c>
      <c r="K1257" s="419" t="s">
        <v>806</v>
      </c>
      <c r="L1257" s="415" t="s">
        <v>798</v>
      </c>
      <c r="M1257" s="415" t="s">
        <v>310</v>
      </c>
      <c r="N1257" s="455">
        <v>44804</v>
      </c>
      <c r="O1257" s="414" t="s">
        <v>404</v>
      </c>
      <c r="P1257" s="655">
        <f t="shared" si="57"/>
        <v>8</v>
      </c>
      <c r="Q1257" s="655">
        <f t="shared" si="58"/>
        <v>8</v>
      </c>
      <c r="R1257" s="695" t="str">
        <f t="shared" si="59"/>
        <v>Gastos_custeados_por_captação</v>
      </c>
      <c r="S1257" s="697" t="s">
        <v>310</v>
      </c>
      <c r="T1257" s="697" t="s">
        <v>310</v>
      </c>
    </row>
    <row r="1258" spans="1:20" ht="60" x14ac:dyDescent="0.2">
      <c r="A1258" s="432">
        <f>IF(B1258="","",COUNT('Diário 1º PA'!$A$4:$A$2635)+COUNT('Diário 2º PA'!$A$4:$A$3040)+ROW()-3)</f>
        <v>5354</v>
      </c>
      <c r="B1258" s="455">
        <v>44804</v>
      </c>
      <c r="C1258" s="431">
        <v>44774</v>
      </c>
      <c r="D1258" s="415" t="s">
        <v>468</v>
      </c>
      <c r="E1258" s="415" t="s">
        <v>468</v>
      </c>
      <c r="F1258" s="425">
        <v>5000</v>
      </c>
      <c r="G1258" s="427" t="s">
        <v>4713</v>
      </c>
      <c r="H1258" s="415" t="s">
        <v>468</v>
      </c>
      <c r="I1258" s="473" t="s">
        <v>3030</v>
      </c>
      <c r="J1258" s="415" t="s">
        <v>796</v>
      </c>
      <c r="K1258" s="419" t="s">
        <v>806</v>
      </c>
      <c r="L1258" s="415" t="s">
        <v>798</v>
      </c>
      <c r="M1258" s="415" t="s">
        <v>310</v>
      </c>
      <c r="N1258" s="455">
        <v>44804</v>
      </c>
      <c r="O1258" s="414" t="s">
        <v>404</v>
      </c>
      <c r="P1258" s="655">
        <f t="shared" si="57"/>
        <v>8</v>
      </c>
      <c r="Q1258" s="655">
        <f t="shared" si="58"/>
        <v>8</v>
      </c>
      <c r="R1258" s="695" t="str">
        <f t="shared" si="59"/>
        <v>Gastos_custeados_por_captação</v>
      </c>
      <c r="S1258" s="697" t="s">
        <v>310</v>
      </c>
      <c r="T1258" s="697" t="s">
        <v>310</v>
      </c>
    </row>
    <row r="1259" spans="1:20" ht="60" x14ac:dyDescent="0.2">
      <c r="A1259" s="432">
        <f>IF(B1259="","",COUNT('Diário 1º PA'!$A$4:$A$2635)+COUNT('Diário 2º PA'!$A$4:$A$3040)+ROW()-3)</f>
        <v>5355</v>
      </c>
      <c r="B1259" s="455">
        <v>44804</v>
      </c>
      <c r="C1259" s="431">
        <v>44774</v>
      </c>
      <c r="D1259" s="415" t="s">
        <v>468</v>
      </c>
      <c r="E1259" s="415" t="s">
        <v>468</v>
      </c>
      <c r="F1259" s="425">
        <v>6000</v>
      </c>
      <c r="G1259" s="427" t="s">
        <v>6959</v>
      </c>
      <c r="H1259" s="415" t="s">
        <v>468</v>
      </c>
      <c r="I1259" s="473" t="s">
        <v>3030</v>
      </c>
      <c r="J1259" s="415" t="s">
        <v>796</v>
      </c>
      <c r="K1259" s="419" t="s">
        <v>806</v>
      </c>
      <c r="L1259" s="415" t="s">
        <v>798</v>
      </c>
      <c r="M1259" s="415" t="s">
        <v>310</v>
      </c>
      <c r="N1259" s="455">
        <v>44804</v>
      </c>
      <c r="O1259" s="414" t="s">
        <v>404</v>
      </c>
      <c r="P1259" s="655">
        <f t="shared" si="57"/>
        <v>8</v>
      </c>
      <c r="Q1259" s="655">
        <f t="shared" si="58"/>
        <v>8</v>
      </c>
      <c r="R1259" s="695" t="str">
        <f t="shared" si="59"/>
        <v>Gastos_custeados_por_captação</v>
      </c>
      <c r="S1259" s="697" t="s">
        <v>310</v>
      </c>
      <c r="T1259" s="697" t="s">
        <v>310</v>
      </c>
    </row>
    <row r="1260" spans="1:20" ht="60" x14ac:dyDescent="0.2">
      <c r="A1260" s="432">
        <f>IF(B1260="","",COUNT('Diário 1º PA'!$A$4:$A$2635)+COUNT('Diário 2º PA'!$A$4:$A$3040)+ROW()-3)</f>
        <v>5356</v>
      </c>
      <c r="B1260" s="455">
        <v>44804</v>
      </c>
      <c r="C1260" s="431">
        <v>44774</v>
      </c>
      <c r="D1260" s="415" t="s">
        <v>468</v>
      </c>
      <c r="E1260" s="415" t="s">
        <v>468</v>
      </c>
      <c r="F1260" s="425">
        <v>5000</v>
      </c>
      <c r="G1260" s="427" t="s">
        <v>4713</v>
      </c>
      <c r="H1260" s="415" t="s">
        <v>468</v>
      </c>
      <c r="I1260" s="473" t="s">
        <v>2437</v>
      </c>
      <c r="J1260" s="415" t="s">
        <v>796</v>
      </c>
      <c r="K1260" s="419" t="s">
        <v>806</v>
      </c>
      <c r="L1260" s="415" t="s">
        <v>798</v>
      </c>
      <c r="M1260" s="415" t="s">
        <v>310</v>
      </c>
      <c r="N1260" s="455">
        <v>44804</v>
      </c>
      <c r="O1260" s="414" t="s">
        <v>405</v>
      </c>
      <c r="P1260" s="655">
        <f t="shared" si="57"/>
        <v>8</v>
      </c>
      <c r="Q1260" s="655">
        <f t="shared" si="58"/>
        <v>8</v>
      </c>
      <c r="R1260" s="695" t="str">
        <f t="shared" si="59"/>
        <v>Gastos_custeados_por_captação</v>
      </c>
      <c r="S1260" s="697" t="s">
        <v>310</v>
      </c>
      <c r="T1260" s="697" t="s">
        <v>310</v>
      </c>
    </row>
    <row r="1261" spans="1:20" ht="60" x14ac:dyDescent="0.2">
      <c r="A1261" s="432">
        <f>IF(B1261="","",COUNT('Diário 1º PA'!$A$4:$A$2635)+COUNT('Diário 2º PA'!$A$4:$A$3040)+ROW()-3)</f>
        <v>5357</v>
      </c>
      <c r="B1261" s="455">
        <v>44804</v>
      </c>
      <c r="C1261" s="431">
        <v>44774</v>
      </c>
      <c r="D1261" s="415" t="s">
        <v>468</v>
      </c>
      <c r="E1261" s="415" t="s">
        <v>468</v>
      </c>
      <c r="F1261" s="425">
        <v>5000</v>
      </c>
      <c r="G1261" s="427" t="s">
        <v>6958</v>
      </c>
      <c r="H1261" s="415" t="s">
        <v>468</v>
      </c>
      <c r="I1261" s="473" t="s">
        <v>2437</v>
      </c>
      <c r="J1261" s="415" t="s">
        <v>796</v>
      </c>
      <c r="K1261" s="419" t="s">
        <v>806</v>
      </c>
      <c r="L1261" s="415" t="s">
        <v>798</v>
      </c>
      <c r="M1261" s="415" t="s">
        <v>310</v>
      </c>
      <c r="N1261" s="455">
        <v>44804</v>
      </c>
      <c r="O1261" s="414" t="s">
        <v>405</v>
      </c>
      <c r="P1261" s="655">
        <f t="shared" si="57"/>
        <v>8</v>
      </c>
      <c r="Q1261" s="655">
        <f t="shared" si="58"/>
        <v>8</v>
      </c>
      <c r="R1261" s="695" t="str">
        <f t="shared" si="59"/>
        <v>Gastos_custeados_por_captação</v>
      </c>
      <c r="S1261" s="697" t="s">
        <v>310</v>
      </c>
      <c r="T1261" s="697" t="s">
        <v>310</v>
      </c>
    </row>
    <row r="1262" spans="1:20" ht="60" x14ac:dyDescent="0.2">
      <c r="A1262" s="432">
        <f>IF(B1262="","",COUNT('Diário 1º PA'!$A$4:$A$2635)+COUNT('Diário 2º PA'!$A$4:$A$3040)+ROW()-3)</f>
        <v>5358</v>
      </c>
      <c r="B1262" s="455">
        <v>44804</v>
      </c>
      <c r="C1262" s="431">
        <v>44774</v>
      </c>
      <c r="D1262" s="415" t="s">
        <v>468</v>
      </c>
      <c r="E1262" s="415" t="s">
        <v>468</v>
      </c>
      <c r="F1262" s="425">
        <v>5000</v>
      </c>
      <c r="G1262" s="427" t="s">
        <v>6960</v>
      </c>
      <c r="H1262" s="415" t="s">
        <v>468</v>
      </c>
      <c r="I1262" s="473" t="s">
        <v>2437</v>
      </c>
      <c r="J1262" s="415" t="s">
        <v>796</v>
      </c>
      <c r="K1262" s="419" t="s">
        <v>806</v>
      </c>
      <c r="L1262" s="415" t="s">
        <v>798</v>
      </c>
      <c r="M1262" s="415" t="s">
        <v>310</v>
      </c>
      <c r="N1262" s="455">
        <v>44804</v>
      </c>
      <c r="O1262" s="414" t="s">
        <v>405</v>
      </c>
      <c r="P1262" s="655">
        <f t="shared" si="57"/>
        <v>8</v>
      </c>
      <c r="Q1262" s="655">
        <f t="shared" si="58"/>
        <v>8</v>
      </c>
      <c r="R1262" s="695" t="str">
        <f t="shared" si="59"/>
        <v>Gastos_custeados_por_captação</v>
      </c>
      <c r="S1262" s="697" t="s">
        <v>310</v>
      </c>
      <c r="T1262" s="697" t="s">
        <v>310</v>
      </c>
    </row>
    <row r="1263" spans="1:20" ht="60" x14ac:dyDescent="0.2">
      <c r="A1263" s="432">
        <f>IF(B1263="","",COUNT('Diário 1º PA'!$A$4:$A$2635)+COUNT('Diário 2º PA'!$A$4:$A$3040)+ROW()-3)</f>
        <v>5359</v>
      </c>
      <c r="B1263" s="455">
        <v>44804</v>
      </c>
      <c r="C1263" s="431">
        <v>44774</v>
      </c>
      <c r="D1263" s="415" t="s">
        <v>468</v>
      </c>
      <c r="E1263" s="415" t="s">
        <v>468</v>
      </c>
      <c r="F1263" s="425">
        <v>5000</v>
      </c>
      <c r="G1263" s="427" t="s">
        <v>6961</v>
      </c>
      <c r="H1263" s="415" t="s">
        <v>468</v>
      </c>
      <c r="I1263" s="473" t="s">
        <v>2437</v>
      </c>
      <c r="J1263" s="415" t="s">
        <v>796</v>
      </c>
      <c r="K1263" s="419" t="s">
        <v>806</v>
      </c>
      <c r="L1263" s="415" t="s">
        <v>798</v>
      </c>
      <c r="M1263" s="415" t="s">
        <v>310</v>
      </c>
      <c r="N1263" s="455">
        <v>44804</v>
      </c>
      <c r="O1263" s="414" t="s">
        <v>405</v>
      </c>
      <c r="P1263" s="655">
        <f t="shared" si="57"/>
        <v>8</v>
      </c>
      <c r="Q1263" s="655">
        <f t="shared" si="58"/>
        <v>8</v>
      </c>
      <c r="R1263" s="695" t="str">
        <f t="shared" si="59"/>
        <v>Gastos_custeados_por_captação</v>
      </c>
      <c r="S1263" s="697" t="s">
        <v>310</v>
      </c>
      <c r="T1263" s="697" t="s">
        <v>310</v>
      </c>
    </row>
    <row r="1264" spans="1:20" ht="48" x14ac:dyDescent="0.2">
      <c r="A1264" s="432">
        <f>IF(B1264="","",COUNT('Diário 1º PA'!$A$4:$A$2635)+COUNT('Diário 2º PA'!$A$4:$A$3040)+ROW()-3)</f>
        <v>5360</v>
      </c>
      <c r="B1264" s="455">
        <v>44804</v>
      </c>
      <c r="C1264" s="431">
        <v>44774</v>
      </c>
      <c r="D1264" s="415" t="s">
        <v>468</v>
      </c>
      <c r="E1264" s="415" t="s">
        <v>468</v>
      </c>
      <c r="F1264" s="425">
        <v>5900</v>
      </c>
      <c r="G1264" s="427" t="s">
        <v>5216</v>
      </c>
      <c r="H1264" s="415" t="s">
        <v>468</v>
      </c>
      <c r="I1264" s="437" t="s">
        <v>2437</v>
      </c>
      <c r="J1264" s="434" t="s">
        <v>796</v>
      </c>
      <c r="K1264" s="419" t="s">
        <v>806</v>
      </c>
      <c r="L1264" s="399" t="s">
        <v>798</v>
      </c>
      <c r="M1264" s="544" t="s">
        <v>310</v>
      </c>
      <c r="N1264" s="455">
        <v>44804</v>
      </c>
      <c r="O1264" s="414" t="s">
        <v>3762</v>
      </c>
      <c r="P1264" s="655">
        <f t="shared" si="57"/>
        <v>8</v>
      </c>
      <c r="Q1264" s="655">
        <f t="shared" si="58"/>
        <v>8</v>
      </c>
      <c r="R1264" s="695" t="str">
        <f t="shared" si="59"/>
        <v>Gastos_custeados_por_captação</v>
      </c>
      <c r="S1264" s="697" t="s">
        <v>310</v>
      </c>
      <c r="T1264" s="697" t="s">
        <v>310</v>
      </c>
    </row>
    <row r="1265" spans="1:20" ht="48" x14ac:dyDescent="0.2">
      <c r="A1265" s="432">
        <f>IF(B1265="","",COUNT('Diário 1º PA'!$A$4:$A$2635)+COUNT('Diário 2º PA'!$A$4:$A$3040)+ROW()-3)</f>
        <v>5361</v>
      </c>
      <c r="B1265" s="455">
        <v>44804</v>
      </c>
      <c r="C1265" s="431">
        <v>44774</v>
      </c>
      <c r="D1265" s="415" t="s">
        <v>468</v>
      </c>
      <c r="E1265" s="415" t="s">
        <v>468</v>
      </c>
      <c r="F1265" s="425">
        <v>6950</v>
      </c>
      <c r="G1265" s="427" t="s">
        <v>5586</v>
      </c>
      <c r="H1265" s="415" t="s">
        <v>468</v>
      </c>
      <c r="I1265" s="437" t="s">
        <v>2437</v>
      </c>
      <c r="J1265" s="434" t="s">
        <v>796</v>
      </c>
      <c r="K1265" s="419" t="s">
        <v>806</v>
      </c>
      <c r="L1265" s="399" t="s">
        <v>798</v>
      </c>
      <c r="M1265" s="544" t="s">
        <v>310</v>
      </c>
      <c r="N1265" s="455">
        <v>44804</v>
      </c>
      <c r="O1265" s="414" t="s">
        <v>3762</v>
      </c>
      <c r="P1265" s="655">
        <f t="shared" si="57"/>
        <v>8</v>
      </c>
      <c r="Q1265" s="655">
        <f t="shared" si="58"/>
        <v>8</v>
      </c>
      <c r="R1265" s="695" t="str">
        <f t="shared" si="59"/>
        <v>Gastos_custeados_por_captação</v>
      </c>
      <c r="S1265" s="697" t="s">
        <v>310</v>
      </c>
      <c r="T1265" s="697" t="s">
        <v>310</v>
      </c>
    </row>
    <row r="1266" spans="1:20" ht="48" x14ac:dyDescent="0.2">
      <c r="A1266" s="432">
        <f>IF(B1266="","",COUNT('Diário 1º PA'!$A$4:$A$2635)+COUNT('Diário 2º PA'!$A$4:$A$3040)+ROW()-3)</f>
        <v>5362</v>
      </c>
      <c r="B1266" s="455">
        <v>44804</v>
      </c>
      <c r="C1266" s="431">
        <v>44774</v>
      </c>
      <c r="D1266" s="415" t="s">
        <v>468</v>
      </c>
      <c r="E1266" s="415" t="s">
        <v>468</v>
      </c>
      <c r="F1266" s="425">
        <v>5900</v>
      </c>
      <c r="G1266" s="427" t="s">
        <v>6964</v>
      </c>
      <c r="H1266" s="415" t="s">
        <v>468</v>
      </c>
      <c r="I1266" s="437" t="s">
        <v>2437</v>
      </c>
      <c r="J1266" s="434" t="s">
        <v>796</v>
      </c>
      <c r="K1266" s="419" t="s">
        <v>806</v>
      </c>
      <c r="L1266" s="399" t="s">
        <v>798</v>
      </c>
      <c r="M1266" s="544" t="s">
        <v>310</v>
      </c>
      <c r="N1266" s="455">
        <v>44804</v>
      </c>
      <c r="O1266" s="414" t="s">
        <v>3762</v>
      </c>
      <c r="P1266" s="655">
        <f t="shared" si="57"/>
        <v>8</v>
      </c>
      <c r="Q1266" s="655">
        <f t="shared" si="58"/>
        <v>8</v>
      </c>
      <c r="R1266" s="695" t="str">
        <f t="shared" si="59"/>
        <v>Gastos_custeados_por_captação</v>
      </c>
      <c r="S1266" s="697" t="s">
        <v>310</v>
      </c>
      <c r="T1266" s="697" t="s">
        <v>310</v>
      </c>
    </row>
    <row r="1267" spans="1:20" ht="36" x14ac:dyDescent="0.2">
      <c r="A1267" s="432">
        <f>IF(B1267="","",COUNT('Diário 1º PA'!$A$4:$A$2635)+COUNT('Diário 2º PA'!$A$4:$A$3040)+ROW()-3)</f>
        <v>5363</v>
      </c>
      <c r="B1267" s="455">
        <v>44804</v>
      </c>
      <c r="C1267" s="431">
        <v>44774</v>
      </c>
      <c r="D1267" s="415" t="s">
        <v>468</v>
      </c>
      <c r="E1267" s="415" t="s">
        <v>468</v>
      </c>
      <c r="F1267" s="425">
        <v>-2900</v>
      </c>
      <c r="G1267" s="427" t="s">
        <v>6962</v>
      </c>
      <c r="H1267" s="415" t="s">
        <v>468</v>
      </c>
      <c r="I1267" s="427" t="s">
        <v>2437</v>
      </c>
      <c r="J1267" s="415" t="s">
        <v>796</v>
      </c>
      <c r="K1267" s="415" t="s">
        <v>797</v>
      </c>
      <c r="L1267" s="415" t="s">
        <v>798</v>
      </c>
      <c r="M1267" s="415" t="s">
        <v>310</v>
      </c>
      <c r="N1267" s="455">
        <v>44804</v>
      </c>
      <c r="O1267" s="414" t="s">
        <v>408</v>
      </c>
      <c r="P1267" s="655">
        <f t="shared" si="57"/>
        <v>8</v>
      </c>
      <c r="Q1267" s="655">
        <f t="shared" si="58"/>
        <v>8</v>
      </c>
      <c r="R1267" s="695" t="str">
        <f t="shared" si="59"/>
        <v>Gastos_custeados_por_captação</v>
      </c>
      <c r="S1267" s="697" t="s">
        <v>310</v>
      </c>
      <c r="T1267" s="697" t="s">
        <v>310</v>
      </c>
    </row>
    <row r="1268" spans="1:20" ht="36" x14ac:dyDescent="0.2">
      <c r="A1268" s="432">
        <f>IF(B1268="","",COUNT('Diário 1º PA'!$A$4:$A$2635)+COUNT('Diário 2º PA'!$A$4:$A$3040)+ROW()-3)</f>
        <v>5364</v>
      </c>
      <c r="B1268" s="455">
        <v>44804</v>
      </c>
      <c r="C1268" s="431">
        <v>44774</v>
      </c>
      <c r="D1268" s="415" t="s">
        <v>468</v>
      </c>
      <c r="E1268" s="415" t="s">
        <v>468</v>
      </c>
      <c r="F1268" s="425">
        <v>-4500</v>
      </c>
      <c r="G1268" s="427" t="s">
        <v>6963</v>
      </c>
      <c r="H1268" s="415" t="s">
        <v>468</v>
      </c>
      <c r="I1268" s="427" t="s">
        <v>2437</v>
      </c>
      <c r="J1268" s="415" t="s">
        <v>796</v>
      </c>
      <c r="K1268" s="415" t="s">
        <v>797</v>
      </c>
      <c r="L1268" s="415" t="s">
        <v>798</v>
      </c>
      <c r="M1268" s="415" t="s">
        <v>310</v>
      </c>
      <c r="N1268" s="455">
        <v>44804</v>
      </c>
      <c r="O1268" s="414" t="s">
        <v>408</v>
      </c>
      <c r="P1268" s="655">
        <f t="shared" si="57"/>
        <v>8</v>
      </c>
      <c r="Q1268" s="655">
        <f t="shared" si="58"/>
        <v>8</v>
      </c>
      <c r="R1268" s="695" t="str">
        <f t="shared" si="59"/>
        <v>Gastos_custeados_por_captação</v>
      </c>
      <c r="S1268" s="697" t="s">
        <v>310</v>
      </c>
      <c r="T1268" s="697" t="s">
        <v>310</v>
      </c>
    </row>
    <row r="1269" spans="1:20" ht="36" x14ac:dyDescent="0.2">
      <c r="A1269" s="432">
        <f>IF(B1269="","",COUNT('Diário 1º PA'!$A$4:$A$2635)+COUNT('Diário 2º PA'!$A$4:$A$3040)+ROW()-3)</f>
        <v>5365</v>
      </c>
      <c r="B1269" s="455">
        <v>44804</v>
      </c>
      <c r="C1269" s="431">
        <v>44774</v>
      </c>
      <c r="D1269" s="415" t="s">
        <v>468</v>
      </c>
      <c r="E1269" s="415" t="s">
        <v>468</v>
      </c>
      <c r="F1269" s="425">
        <v>-6000</v>
      </c>
      <c r="G1269" s="427" t="s">
        <v>2440</v>
      </c>
      <c r="H1269" s="415" t="s">
        <v>468</v>
      </c>
      <c r="I1269" s="427" t="s">
        <v>2437</v>
      </c>
      <c r="J1269" s="415" t="s">
        <v>796</v>
      </c>
      <c r="K1269" s="415" t="s">
        <v>797</v>
      </c>
      <c r="L1269" s="415" t="s">
        <v>798</v>
      </c>
      <c r="M1269" s="415" t="s">
        <v>310</v>
      </c>
      <c r="N1269" s="455">
        <v>44804</v>
      </c>
      <c r="O1269" s="414" t="s">
        <v>408</v>
      </c>
      <c r="P1269" s="655">
        <f t="shared" si="57"/>
        <v>8</v>
      </c>
      <c r="Q1269" s="655">
        <f t="shared" si="58"/>
        <v>8</v>
      </c>
      <c r="R1269" s="695" t="str">
        <f t="shared" si="59"/>
        <v>Gastos_custeados_por_captação</v>
      </c>
      <c r="S1269" s="697" t="s">
        <v>310</v>
      </c>
      <c r="T1269" s="697" t="s">
        <v>310</v>
      </c>
    </row>
    <row r="1270" spans="1:20" ht="36" x14ac:dyDescent="0.2">
      <c r="A1270" s="432">
        <f>IF(B1270="","",COUNT('Diário 1º PA'!$A$4:$A$2635)+COUNT('Diário 2º PA'!$A$4:$A$3040)+ROW()-3)</f>
        <v>5366</v>
      </c>
      <c r="B1270" s="455">
        <v>44804</v>
      </c>
      <c r="C1270" s="431">
        <v>44774</v>
      </c>
      <c r="D1270" s="415" t="s">
        <v>468</v>
      </c>
      <c r="E1270" s="415" t="s">
        <v>468</v>
      </c>
      <c r="F1270" s="425">
        <v>-5000</v>
      </c>
      <c r="G1270" s="427" t="s">
        <v>4713</v>
      </c>
      <c r="H1270" s="415" t="s">
        <v>468</v>
      </c>
      <c r="I1270" s="427" t="s">
        <v>2437</v>
      </c>
      <c r="J1270" s="415" t="s">
        <v>796</v>
      </c>
      <c r="K1270" s="415" t="s">
        <v>797</v>
      </c>
      <c r="L1270" s="415" t="s">
        <v>798</v>
      </c>
      <c r="M1270" s="415" t="s">
        <v>310</v>
      </c>
      <c r="N1270" s="455">
        <v>44804</v>
      </c>
      <c r="O1270" s="414" t="s">
        <v>408</v>
      </c>
      <c r="P1270" s="655">
        <f t="shared" si="57"/>
        <v>8</v>
      </c>
      <c r="Q1270" s="655">
        <f t="shared" si="58"/>
        <v>8</v>
      </c>
      <c r="R1270" s="695" t="str">
        <f t="shared" si="59"/>
        <v>Gastos_custeados_por_captação</v>
      </c>
      <c r="S1270" s="697" t="s">
        <v>310</v>
      </c>
      <c r="T1270" s="697" t="s">
        <v>310</v>
      </c>
    </row>
    <row r="1271" spans="1:20" ht="36" x14ac:dyDescent="0.2">
      <c r="A1271" s="432">
        <f>IF(B1271="","",COUNT('Diário 1º PA'!$A$4:$A$2635)+COUNT('Diário 2º PA'!$A$4:$A$3040)+ROW()-3)</f>
        <v>5367</v>
      </c>
      <c r="B1271" s="455">
        <v>44804</v>
      </c>
      <c r="C1271" s="431">
        <v>44774</v>
      </c>
      <c r="D1271" s="415" t="s">
        <v>468</v>
      </c>
      <c r="E1271" s="415" t="s">
        <v>468</v>
      </c>
      <c r="F1271" s="425">
        <v>-5000</v>
      </c>
      <c r="G1271" s="427" t="s">
        <v>6958</v>
      </c>
      <c r="H1271" s="415" t="s">
        <v>468</v>
      </c>
      <c r="I1271" s="427" t="s">
        <v>2437</v>
      </c>
      <c r="J1271" s="415" t="s">
        <v>796</v>
      </c>
      <c r="K1271" s="415" t="s">
        <v>797</v>
      </c>
      <c r="L1271" s="415" t="s">
        <v>798</v>
      </c>
      <c r="M1271" s="415" t="s">
        <v>310</v>
      </c>
      <c r="N1271" s="455">
        <v>44804</v>
      </c>
      <c r="O1271" s="414" t="s">
        <v>408</v>
      </c>
      <c r="P1271" s="655">
        <f t="shared" si="57"/>
        <v>8</v>
      </c>
      <c r="Q1271" s="655">
        <f t="shared" si="58"/>
        <v>8</v>
      </c>
      <c r="R1271" s="695" t="str">
        <f t="shared" si="59"/>
        <v>Gastos_custeados_por_captação</v>
      </c>
      <c r="S1271" s="697" t="s">
        <v>310</v>
      </c>
      <c r="T1271" s="697" t="s">
        <v>310</v>
      </c>
    </row>
    <row r="1272" spans="1:20" ht="36" x14ac:dyDescent="0.2">
      <c r="A1272" s="432">
        <f>IF(B1272="","",COUNT('Diário 1º PA'!$A$4:$A$2635)+COUNT('Diário 2º PA'!$A$4:$A$3040)+ROW()-3)</f>
        <v>5368</v>
      </c>
      <c r="B1272" s="455">
        <v>44804</v>
      </c>
      <c r="C1272" s="431">
        <v>44774</v>
      </c>
      <c r="D1272" s="415" t="s">
        <v>468</v>
      </c>
      <c r="E1272" s="415" t="s">
        <v>468</v>
      </c>
      <c r="F1272" s="425">
        <v>-5000</v>
      </c>
      <c r="G1272" s="427" t="s">
        <v>6959</v>
      </c>
      <c r="H1272" s="415" t="s">
        <v>468</v>
      </c>
      <c r="I1272" s="427" t="s">
        <v>2437</v>
      </c>
      <c r="J1272" s="415" t="s">
        <v>796</v>
      </c>
      <c r="K1272" s="415" t="s">
        <v>797</v>
      </c>
      <c r="L1272" s="415" t="s">
        <v>798</v>
      </c>
      <c r="M1272" s="415" t="s">
        <v>310</v>
      </c>
      <c r="N1272" s="455">
        <v>44804</v>
      </c>
      <c r="O1272" s="414" t="s">
        <v>408</v>
      </c>
      <c r="P1272" s="655">
        <f t="shared" si="57"/>
        <v>8</v>
      </c>
      <c r="Q1272" s="655">
        <f t="shared" si="58"/>
        <v>8</v>
      </c>
      <c r="R1272" s="695" t="str">
        <f t="shared" si="59"/>
        <v>Gastos_custeados_por_captação</v>
      </c>
      <c r="S1272" s="697" t="s">
        <v>310</v>
      </c>
      <c r="T1272" s="697" t="s">
        <v>310</v>
      </c>
    </row>
    <row r="1273" spans="1:20" ht="36" x14ac:dyDescent="0.2">
      <c r="A1273" s="432">
        <f>IF(B1273="","",COUNT('Diário 1º PA'!$A$4:$A$2635)+COUNT('Diário 2º PA'!$A$4:$A$3040)+ROW()-3)</f>
        <v>5369</v>
      </c>
      <c r="B1273" s="455">
        <v>44804</v>
      </c>
      <c r="C1273" s="431">
        <v>44774</v>
      </c>
      <c r="D1273" s="415" t="s">
        <v>468</v>
      </c>
      <c r="E1273" s="415" t="s">
        <v>468</v>
      </c>
      <c r="F1273" s="425">
        <v>-5000</v>
      </c>
      <c r="G1273" s="427" t="s">
        <v>6961</v>
      </c>
      <c r="H1273" s="415" t="s">
        <v>468</v>
      </c>
      <c r="I1273" s="427" t="s">
        <v>2437</v>
      </c>
      <c r="J1273" s="415" t="s">
        <v>796</v>
      </c>
      <c r="K1273" s="415" t="s">
        <v>797</v>
      </c>
      <c r="L1273" s="415" t="s">
        <v>798</v>
      </c>
      <c r="M1273" s="415" t="s">
        <v>310</v>
      </c>
      <c r="N1273" s="455">
        <v>44804</v>
      </c>
      <c r="O1273" s="414" t="s">
        <v>408</v>
      </c>
      <c r="P1273" s="655">
        <f t="shared" si="57"/>
        <v>8</v>
      </c>
      <c r="Q1273" s="655">
        <f t="shared" si="58"/>
        <v>8</v>
      </c>
      <c r="R1273" s="695" t="str">
        <f t="shared" si="59"/>
        <v>Gastos_custeados_por_captação</v>
      </c>
      <c r="S1273" s="697" t="s">
        <v>310</v>
      </c>
      <c r="T1273" s="697" t="s">
        <v>310</v>
      </c>
    </row>
    <row r="1274" spans="1:20" ht="36" x14ac:dyDescent="0.2">
      <c r="A1274" s="432">
        <f>IF(B1274="","",COUNT('Diário 1º PA'!$A$4:$A$2635)+COUNT('Diário 2º PA'!$A$4:$A$3040)+ROW()-3)</f>
        <v>5370</v>
      </c>
      <c r="B1274" s="455">
        <v>44804</v>
      </c>
      <c r="C1274" s="431">
        <v>44774</v>
      </c>
      <c r="D1274" s="415" t="s">
        <v>468</v>
      </c>
      <c r="E1274" s="415" t="s">
        <v>468</v>
      </c>
      <c r="F1274" s="425">
        <v>-6000</v>
      </c>
      <c r="G1274" s="427" t="s">
        <v>6958</v>
      </c>
      <c r="H1274" s="415" t="s">
        <v>468</v>
      </c>
      <c r="I1274" s="427" t="s">
        <v>2437</v>
      </c>
      <c r="J1274" s="415" t="s">
        <v>796</v>
      </c>
      <c r="K1274" s="415" t="s">
        <v>797</v>
      </c>
      <c r="L1274" s="415" t="s">
        <v>798</v>
      </c>
      <c r="M1274" s="415" t="s">
        <v>310</v>
      </c>
      <c r="N1274" s="455">
        <v>44804</v>
      </c>
      <c r="O1274" s="414" t="s">
        <v>408</v>
      </c>
      <c r="P1274" s="655">
        <f t="shared" si="57"/>
        <v>8</v>
      </c>
      <c r="Q1274" s="655">
        <f t="shared" si="58"/>
        <v>8</v>
      </c>
      <c r="R1274" s="695" t="str">
        <f t="shared" si="59"/>
        <v>Gastos_custeados_por_captação</v>
      </c>
      <c r="S1274" s="697" t="s">
        <v>310</v>
      </c>
      <c r="T1274" s="697" t="s">
        <v>310</v>
      </c>
    </row>
    <row r="1275" spans="1:20" ht="36" x14ac:dyDescent="0.2">
      <c r="A1275" s="432">
        <f>IF(B1275="","",COUNT('Diário 1º PA'!$A$4:$A$2635)+COUNT('Diário 2º PA'!$A$4:$A$3040)+ROW()-3)</f>
        <v>5371</v>
      </c>
      <c r="B1275" s="455">
        <v>44804</v>
      </c>
      <c r="C1275" s="431">
        <v>44774</v>
      </c>
      <c r="D1275" s="415" t="s">
        <v>468</v>
      </c>
      <c r="E1275" s="415" t="s">
        <v>468</v>
      </c>
      <c r="F1275" s="425">
        <v>-5000</v>
      </c>
      <c r="G1275" s="427" t="s">
        <v>4713</v>
      </c>
      <c r="H1275" s="415" t="s">
        <v>468</v>
      </c>
      <c r="I1275" s="427" t="s">
        <v>2437</v>
      </c>
      <c r="J1275" s="415" t="s">
        <v>796</v>
      </c>
      <c r="K1275" s="415" t="s">
        <v>797</v>
      </c>
      <c r="L1275" s="415" t="s">
        <v>798</v>
      </c>
      <c r="M1275" s="415" t="s">
        <v>310</v>
      </c>
      <c r="N1275" s="455">
        <v>44804</v>
      </c>
      <c r="O1275" s="414" t="s">
        <v>408</v>
      </c>
      <c r="P1275" s="655">
        <f t="shared" si="57"/>
        <v>8</v>
      </c>
      <c r="Q1275" s="655">
        <f t="shared" si="58"/>
        <v>8</v>
      </c>
      <c r="R1275" s="695" t="str">
        <f t="shared" si="59"/>
        <v>Gastos_custeados_por_captação</v>
      </c>
      <c r="S1275" s="697" t="s">
        <v>310</v>
      </c>
      <c r="T1275" s="697" t="s">
        <v>310</v>
      </c>
    </row>
    <row r="1276" spans="1:20" ht="36" x14ac:dyDescent="0.2">
      <c r="A1276" s="432">
        <f>IF(B1276="","",COUNT('Diário 1º PA'!$A$4:$A$2635)+COUNT('Diário 2º PA'!$A$4:$A$3040)+ROW()-3)</f>
        <v>5372</v>
      </c>
      <c r="B1276" s="455">
        <v>44804</v>
      </c>
      <c r="C1276" s="431">
        <v>44774</v>
      </c>
      <c r="D1276" s="415" t="s">
        <v>468</v>
      </c>
      <c r="E1276" s="415" t="s">
        <v>468</v>
      </c>
      <c r="F1276" s="425">
        <v>-6000</v>
      </c>
      <c r="G1276" s="427" t="s">
        <v>6959</v>
      </c>
      <c r="H1276" s="415" t="s">
        <v>468</v>
      </c>
      <c r="I1276" s="427" t="s">
        <v>2437</v>
      </c>
      <c r="J1276" s="415" t="s">
        <v>796</v>
      </c>
      <c r="K1276" s="415" t="s">
        <v>797</v>
      </c>
      <c r="L1276" s="415" t="s">
        <v>798</v>
      </c>
      <c r="M1276" s="415" t="s">
        <v>310</v>
      </c>
      <c r="N1276" s="455">
        <v>44804</v>
      </c>
      <c r="O1276" s="414" t="s">
        <v>408</v>
      </c>
      <c r="P1276" s="655">
        <f t="shared" si="57"/>
        <v>8</v>
      </c>
      <c r="Q1276" s="655">
        <f t="shared" si="58"/>
        <v>8</v>
      </c>
      <c r="R1276" s="695" t="str">
        <f t="shared" si="59"/>
        <v>Gastos_custeados_por_captação</v>
      </c>
      <c r="S1276" s="697" t="s">
        <v>310</v>
      </c>
      <c r="T1276" s="697" t="s">
        <v>310</v>
      </c>
    </row>
    <row r="1277" spans="1:20" ht="36" x14ac:dyDescent="0.2">
      <c r="A1277" s="432">
        <f>IF(B1277="","",COUNT('Diário 1º PA'!$A$4:$A$2635)+COUNT('Diário 2º PA'!$A$4:$A$3040)+ROW()-3)</f>
        <v>5373</v>
      </c>
      <c r="B1277" s="455">
        <v>44804</v>
      </c>
      <c r="C1277" s="431">
        <v>44774</v>
      </c>
      <c r="D1277" s="415" t="s">
        <v>468</v>
      </c>
      <c r="E1277" s="415" t="s">
        <v>468</v>
      </c>
      <c r="F1277" s="425">
        <v>-5900</v>
      </c>
      <c r="G1277" s="427" t="s">
        <v>5585</v>
      </c>
      <c r="H1277" s="415" t="s">
        <v>468</v>
      </c>
      <c r="I1277" s="427" t="s">
        <v>2437</v>
      </c>
      <c r="J1277" s="415" t="s">
        <v>796</v>
      </c>
      <c r="K1277" s="415" t="s">
        <v>797</v>
      </c>
      <c r="L1277" s="415" t="s">
        <v>798</v>
      </c>
      <c r="M1277" s="415" t="s">
        <v>310</v>
      </c>
      <c r="N1277" s="455">
        <v>44804</v>
      </c>
      <c r="O1277" s="414" t="s">
        <v>408</v>
      </c>
      <c r="P1277" s="655">
        <f t="shared" si="57"/>
        <v>8</v>
      </c>
      <c r="Q1277" s="655">
        <f t="shared" si="58"/>
        <v>8</v>
      </c>
      <c r="R1277" s="695" t="str">
        <f t="shared" si="59"/>
        <v>Gastos_custeados_por_captação</v>
      </c>
      <c r="S1277" s="697" t="s">
        <v>310</v>
      </c>
      <c r="T1277" s="697" t="s">
        <v>310</v>
      </c>
    </row>
    <row r="1278" spans="1:20" ht="36" x14ac:dyDescent="0.2">
      <c r="A1278" s="432">
        <f>IF(B1278="","",COUNT('Diário 1º PA'!$A$4:$A$2635)+COUNT('Diário 2º PA'!$A$4:$A$3040)+ROW()-3)</f>
        <v>5374</v>
      </c>
      <c r="B1278" s="455">
        <v>44804</v>
      </c>
      <c r="C1278" s="431">
        <v>44774</v>
      </c>
      <c r="D1278" s="415" t="s">
        <v>468</v>
      </c>
      <c r="E1278" s="415" t="s">
        <v>468</v>
      </c>
      <c r="F1278" s="425">
        <v>-6950</v>
      </c>
      <c r="G1278" s="427" t="s">
        <v>5586</v>
      </c>
      <c r="H1278" s="415" t="s">
        <v>468</v>
      </c>
      <c r="I1278" s="427" t="s">
        <v>2437</v>
      </c>
      <c r="J1278" s="415" t="s">
        <v>796</v>
      </c>
      <c r="K1278" s="415" t="s">
        <v>797</v>
      </c>
      <c r="L1278" s="415" t="s">
        <v>798</v>
      </c>
      <c r="M1278" s="415" t="s">
        <v>310</v>
      </c>
      <c r="N1278" s="455">
        <v>44804</v>
      </c>
      <c r="O1278" s="414" t="s">
        <v>408</v>
      </c>
      <c r="P1278" s="655">
        <f t="shared" si="57"/>
        <v>8</v>
      </c>
      <c r="Q1278" s="655">
        <f t="shared" si="58"/>
        <v>8</v>
      </c>
      <c r="R1278" s="695" t="str">
        <f t="shared" si="59"/>
        <v>Gastos_custeados_por_captação</v>
      </c>
      <c r="S1278" s="697" t="s">
        <v>310</v>
      </c>
      <c r="T1278" s="697" t="s">
        <v>310</v>
      </c>
    </row>
    <row r="1279" spans="1:20" ht="36" x14ac:dyDescent="0.2">
      <c r="A1279" s="432">
        <f>IF(B1279="","",COUNT('Diário 1º PA'!$A$4:$A$2635)+COUNT('Diário 2º PA'!$A$4:$A$3040)+ROW()-3)</f>
        <v>5375</v>
      </c>
      <c r="B1279" s="455">
        <v>44804</v>
      </c>
      <c r="C1279" s="431">
        <v>44774</v>
      </c>
      <c r="D1279" s="415" t="s">
        <v>468</v>
      </c>
      <c r="E1279" s="415" t="s">
        <v>468</v>
      </c>
      <c r="F1279" s="425">
        <v>-5900</v>
      </c>
      <c r="G1279" s="427" t="s">
        <v>6964</v>
      </c>
      <c r="H1279" s="415" t="s">
        <v>468</v>
      </c>
      <c r="I1279" s="427" t="s">
        <v>2437</v>
      </c>
      <c r="J1279" s="415" t="s">
        <v>796</v>
      </c>
      <c r="K1279" s="415" t="s">
        <v>797</v>
      </c>
      <c r="L1279" s="415" t="s">
        <v>798</v>
      </c>
      <c r="M1279" s="415" t="s">
        <v>310</v>
      </c>
      <c r="N1279" s="455">
        <v>44804</v>
      </c>
      <c r="O1279" s="414" t="s">
        <v>408</v>
      </c>
      <c r="P1279" s="655">
        <f t="shared" si="57"/>
        <v>8</v>
      </c>
      <c r="Q1279" s="655">
        <f t="shared" si="58"/>
        <v>8</v>
      </c>
      <c r="R1279" s="695" t="str">
        <f t="shared" si="59"/>
        <v>Gastos_custeados_por_captação</v>
      </c>
      <c r="S1279" s="697" t="s">
        <v>310</v>
      </c>
      <c r="T1279" s="697" t="s">
        <v>310</v>
      </c>
    </row>
    <row r="1280" spans="1:20" ht="36" x14ac:dyDescent="0.2">
      <c r="A1280" s="432">
        <f>IF(B1280="","",COUNT('Diário 1º PA'!$A$4:$A$2635)+COUNT('Diário 2º PA'!$A$4:$A$3040)+ROW()-3)</f>
        <v>5376</v>
      </c>
      <c r="B1280" s="414">
        <v>44805</v>
      </c>
      <c r="C1280" s="431">
        <v>44774</v>
      </c>
      <c r="D1280" s="415" t="s">
        <v>182</v>
      </c>
      <c r="E1280" s="415" t="s">
        <v>8</v>
      </c>
      <c r="F1280" s="425">
        <v>-25.92</v>
      </c>
      <c r="G1280" s="427" t="s">
        <v>6943</v>
      </c>
      <c r="H1280" s="415" t="s">
        <v>310</v>
      </c>
      <c r="I1280" s="473" t="s">
        <v>795</v>
      </c>
      <c r="J1280" s="415" t="s">
        <v>796</v>
      </c>
      <c r="K1280" s="415" t="s">
        <v>797</v>
      </c>
      <c r="L1280" s="415" t="s">
        <v>798</v>
      </c>
      <c r="M1280" s="415" t="s">
        <v>310</v>
      </c>
      <c r="N1280" s="414">
        <v>44805</v>
      </c>
      <c r="O1280" s="414" t="s">
        <v>400</v>
      </c>
      <c r="P1280" s="655">
        <v>8</v>
      </c>
      <c r="Q1280" s="655">
        <v>7</v>
      </c>
      <c r="R1280" s="695" t="s">
        <v>6942</v>
      </c>
      <c r="S1280" s="697" t="s">
        <v>310</v>
      </c>
      <c r="T1280" s="697" t="s">
        <v>310</v>
      </c>
    </row>
    <row r="1281" spans="1:20" ht="36" x14ac:dyDescent="0.2">
      <c r="A1281" s="432">
        <f>IF(B1281="","",COUNT('Diário 1º PA'!$A$4:$A$2635)+COUNT('Diário 2º PA'!$A$4:$A$3040)+ROW()-3)</f>
        <v>5377</v>
      </c>
      <c r="B1281" s="414">
        <v>44805</v>
      </c>
      <c r="C1281" s="431">
        <v>44774</v>
      </c>
      <c r="D1281" s="415" t="s">
        <v>182</v>
      </c>
      <c r="E1281" s="415" t="s">
        <v>179</v>
      </c>
      <c r="F1281" s="425">
        <v>-15.12</v>
      </c>
      <c r="G1281" s="427" t="s">
        <v>6945</v>
      </c>
      <c r="H1281" s="415" t="s">
        <v>310</v>
      </c>
      <c r="I1281" s="473" t="s">
        <v>795</v>
      </c>
      <c r="J1281" s="415" t="s">
        <v>796</v>
      </c>
      <c r="K1281" s="415" t="s">
        <v>797</v>
      </c>
      <c r="L1281" s="415" t="s">
        <v>798</v>
      </c>
      <c r="M1281" s="415" t="s">
        <v>310</v>
      </c>
      <c r="N1281" s="414">
        <v>44805</v>
      </c>
      <c r="O1281" s="414" t="s">
        <v>400</v>
      </c>
      <c r="P1281" s="655">
        <f t="shared" ref="P1281:Q1283" si="60">IF(B1281=0,0,IF(YEAR(B1281)=$Q$1,MONTH(B1281)-$P$1+1,(YEAR(B1281)-$Q$1)*12-$P$1+1+MONTH(B1281)))</f>
        <v>9</v>
      </c>
      <c r="Q1281" s="655">
        <f t="shared" si="60"/>
        <v>8</v>
      </c>
      <c r="R1281" s="695" t="str">
        <f>SUBSTITUTE(D1281," ","_")</f>
        <v>Gastos_com_Pessoal</v>
      </c>
      <c r="S1281" s="697" t="s">
        <v>310</v>
      </c>
      <c r="T1281" s="697" t="s">
        <v>310</v>
      </c>
    </row>
    <row r="1282" spans="1:20" ht="36" x14ac:dyDescent="0.2">
      <c r="A1282" s="432">
        <f>IF(B1282="","",COUNT('Diário 1º PA'!$A$4:$A$2635)+COUNT('Diário 2º PA'!$A$4:$A$3040)+ROW()-3)</f>
        <v>5378</v>
      </c>
      <c r="B1282" s="414">
        <v>44805</v>
      </c>
      <c r="C1282" s="431">
        <v>44774</v>
      </c>
      <c r="D1282" s="415" t="s">
        <v>182</v>
      </c>
      <c r="E1282" s="415" t="s">
        <v>8</v>
      </c>
      <c r="F1282" s="425">
        <v>-25.92</v>
      </c>
      <c r="G1282" s="427" t="s">
        <v>6946</v>
      </c>
      <c r="H1282" s="415" t="s">
        <v>310</v>
      </c>
      <c r="I1282" s="473" t="s">
        <v>795</v>
      </c>
      <c r="J1282" s="415" t="s">
        <v>796</v>
      </c>
      <c r="K1282" s="415" t="s">
        <v>797</v>
      </c>
      <c r="L1282" s="415" t="s">
        <v>798</v>
      </c>
      <c r="M1282" s="415" t="s">
        <v>310</v>
      </c>
      <c r="N1282" s="414">
        <v>44805</v>
      </c>
      <c r="O1282" s="414" t="s">
        <v>400</v>
      </c>
      <c r="P1282" s="655">
        <f t="shared" si="60"/>
        <v>9</v>
      </c>
      <c r="Q1282" s="655">
        <f t="shared" si="60"/>
        <v>8</v>
      </c>
      <c r="R1282" s="695" t="str">
        <f>SUBSTITUTE(D1282," ","_")</f>
        <v>Gastos_com_Pessoal</v>
      </c>
      <c r="S1282" s="697" t="s">
        <v>310</v>
      </c>
      <c r="T1282" s="697" t="s">
        <v>310</v>
      </c>
    </row>
    <row r="1283" spans="1:20" ht="36" x14ac:dyDescent="0.2">
      <c r="A1283" s="432">
        <f>IF(B1283="","",COUNT('Diário 1º PA'!$A$4:$A$2635)+COUNT('Diário 2º PA'!$A$4:$A$3040)+ROW()-3)</f>
        <v>5379</v>
      </c>
      <c r="B1283" s="414">
        <v>44805</v>
      </c>
      <c r="C1283" s="431">
        <v>44774</v>
      </c>
      <c r="D1283" s="415" t="s">
        <v>182</v>
      </c>
      <c r="E1283" s="415" t="s">
        <v>179</v>
      </c>
      <c r="F1283" s="425">
        <v>-105.84</v>
      </c>
      <c r="G1283" s="427" t="s">
        <v>6947</v>
      </c>
      <c r="H1283" s="415" t="s">
        <v>310</v>
      </c>
      <c r="I1283" s="473" t="s">
        <v>795</v>
      </c>
      <c r="J1283" s="415" t="s">
        <v>796</v>
      </c>
      <c r="K1283" s="415" t="s">
        <v>797</v>
      </c>
      <c r="L1283" s="415" t="s">
        <v>798</v>
      </c>
      <c r="M1283" s="415" t="s">
        <v>310</v>
      </c>
      <c r="N1283" s="414">
        <v>44805</v>
      </c>
      <c r="O1283" s="414" t="s">
        <v>400</v>
      </c>
      <c r="P1283" s="655">
        <f t="shared" si="60"/>
        <v>9</v>
      </c>
      <c r="Q1283" s="655">
        <f t="shared" si="60"/>
        <v>8</v>
      </c>
      <c r="R1283" s="695" t="str">
        <f>SUBSTITUTE(D1283," ","_")</f>
        <v>Gastos_com_Pessoal</v>
      </c>
      <c r="S1283" s="697" t="s">
        <v>310</v>
      </c>
      <c r="T1283" s="697" t="s">
        <v>310</v>
      </c>
    </row>
    <row r="1284" spans="1:20" ht="36" x14ac:dyDescent="0.2">
      <c r="A1284" s="432">
        <f>IF(B1284="","",COUNT('Diário 1º PA'!$A$4:$A$2635)+COUNT('Diário 2º PA'!$A$4:$A$3040)+ROW()-3)</f>
        <v>5380</v>
      </c>
      <c r="B1284" s="414">
        <v>44805</v>
      </c>
      <c r="C1284" s="431">
        <v>44774</v>
      </c>
      <c r="D1284" s="415" t="s">
        <v>182</v>
      </c>
      <c r="E1284" s="415" t="s">
        <v>8</v>
      </c>
      <c r="F1284" s="425">
        <v>-181.44</v>
      </c>
      <c r="G1284" s="427" t="s">
        <v>6944</v>
      </c>
      <c r="H1284" s="415" t="s">
        <v>310</v>
      </c>
      <c r="I1284" s="473" t="s">
        <v>795</v>
      </c>
      <c r="J1284" s="415" t="s">
        <v>796</v>
      </c>
      <c r="K1284" s="415" t="s">
        <v>797</v>
      </c>
      <c r="L1284" s="415" t="s">
        <v>798</v>
      </c>
      <c r="M1284" s="415" t="s">
        <v>310</v>
      </c>
      <c r="N1284" s="414">
        <v>44805</v>
      </c>
      <c r="O1284" s="414" t="s">
        <v>400</v>
      </c>
      <c r="P1284" s="655">
        <v>8</v>
      </c>
      <c r="Q1284" s="655">
        <v>7</v>
      </c>
      <c r="R1284" s="695" t="s">
        <v>6942</v>
      </c>
      <c r="S1284" s="697" t="s">
        <v>310</v>
      </c>
      <c r="T1284" s="697" t="s">
        <v>310</v>
      </c>
    </row>
    <row r="1285" spans="1:20" ht="48" x14ac:dyDescent="0.2">
      <c r="A1285" s="432">
        <f>IF(B1285="","",COUNT('Diário 1º PA'!$A$4:$A$2635)+COUNT('Diário 2º PA'!$A$4:$A$3040)+ROW()-3)</f>
        <v>5381</v>
      </c>
      <c r="B1285" s="414">
        <v>44805</v>
      </c>
      <c r="C1285" s="431">
        <v>44743</v>
      </c>
      <c r="D1285" s="415" t="s">
        <v>271</v>
      </c>
      <c r="E1285" s="415" t="s">
        <v>453</v>
      </c>
      <c r="F1285" s="422">
        <v>1998.6</v>
      </c>
      <c r="G1285" s="427" t="s">
        <v>5905</v>
      </c>
      <c r="H1285" s="415" t="s">
        <v>752</v>
      </c>
      <c r="I1285" s="419" t="s">
        <v>6948</v>
      </c>
      <c r="J1285" s="415" t="s">
        <v>5827</v>
      </c>
      <c r="K1285" s="419" t="s">
        <v>806</v>
      </c>
      <c r="L1285" s="415" t="s">
        <v>839</v>
      </c>
      <c r="M1285" s="419">
        <v>1971</v>
      </c>
      <c r="N1285" s="413">
        <v>44798</v>
      </c>
      <c r="O1285" s="414" t="s">
        <v>400</v>
      </c>
      <c r="P1285" s="655">
        <f t="shared" ref="P1285:P1316" si="61">IF(B1285=0,0,IF(YEAR(B1285)=$Q$1,MONTH(B1285)-$P$1+1,(YEAR(B1285)-$Q$1)*12-$P$1+1+MONTH(B1285)))</f>
        <v>9</v>
      </c>
      <c r="Q1285" s="655">
        <f t="shared" ref="Q1285:Q1316" si="62">IF(C1285=0,0,IF(YEAR(C1285)=$Q$1,MONTH(C1285)-$P$1+1,(YEAR(C1285)-$Q$1)*12-$P$1+1+MONTH(C1285)))</f>
        <v>7</v>
      </c>
      <c r="R1285" s="695" t="str">
        <f t="shared" ref="R1285:R1316" si="63">SUBSTITUTE(D1285," ","_")</f>
        <v>Gastos_Gerais</v>
      </c>
      <c r="S1285" s="697" t="s">
        <v>1000</v>
      </c>
      <c r="T1285" s="697">
        <v>4143</v>
      </c>
    </row>
    <row r="1286" spans="1:20" ht="48" x14ac:dyDescent="0.2">
      <c r="A1286" s="432">
        <f>IF(B1286="","",COUNT('Diário 1º PA'!$A$4:$A$2635)+COUNT('Diário 2º PA'!$A$4:$A$3040)+ROW()-3)</f>
        <v>5382</v>
      </c>
      <c r="B1286" s="413">
        <v>44805</v>
      </c>
      <c r="C1286" s="431">
        <v>44805</v>
      </c>
      <c r="D1286" s="415" t="s">
        <v>271</v>
      </c>
      <c r="E1286" s="415" t="s">
        <v>297</v>
      </c>
      <c r="F1286" s="425">
        <v>89.99</v>
      </c>
      <c r="G1286" s="427" t="s">
        <v>6925</v>
      </c>
      <c r="H1286" s="415" t="s">
        <v>757</v>
      </c>
      <c r="I1286" s="415" t="s">
        <v>6952</v>
      </c>
      <c r="J1286" s="415" t="s">
        <v>6926</v>
      </c>
      <c r="K1286" s="419" t="s">
        <v>830</v>
      </c>
      <c r="L1286" s="415" t="s">
        <v>32</v>
      </c>
      <c r="M1286" s="419">
        <v>697</v>
      </c>
      <c r="N1286" s="413">
        <v>44804</v>
      </c>
      <c r="O1286" s="414" t="s">
        <v>400</v>
      </c>
      <c r="P1286" s="655">
        <f t="shared" si="61"/>
        <v>9</v>
      </c>
      <c r="Q1286" s="655">
        <f t="shared" si="62"/>
        <v>9</v>
      </c>
      <c r="R1286" s="695" t="str">
        <f t="shared" si="63"/>
        <v>Gastos_Gerais</v>
      </c>
      <c r="S1286" s="697" t="s">
        <v>999</v>
      </c>
      <c r="T1286" s="697">
        <v>4305</v>
      </c>
    </row>
    <row r="1287" spans="1:20" ht="24" x14ac:dyDescent="0.2">
      <c r="A1287" s="432">
        <f>IF(B1287="","",COUNT('Diário 1º PA'!$A$4:$A$2635)+COUNT('Diário 2º PA'!$A$4:$A$3040)+ROW()-3)</f>
        <v>5383</v>
      </c>
      <c r="B1287" s="413">
        <v>44805</v>
      </c>
      <c r="C1287" s="433">
        <v>44774</v>
      </c>
      <c r="D1287" s="434" t="s">
        <v>182</v>
      </c>
      <c r="E1287" s="434" t="s">
        <v>8</v>
      </c>
      <c r="F1287" s="435">
        <v>1918.16</v>
      </c>
      <c r="G1287" s="437" t="s">
        <v>506</v>
      </c>
      <c r="H1287" s="434" t="s">
        <v>310</v>
      </c>
      <c r="I1287" s="415" t="s">
        <v>770</v>
      </c>
      <c r="J1287" s="419" t="s">
        <v>825</v>
      </c>
      <c r="K1287" s="419" t="s">
        <v>812</v>
      </c>
      <c r="L1287" s="415" t="s">
        <v>826</v>
      </c>
      <c r="M1287" s="419">
        <v>8134322</v>
      </c>
      <c r="N1287" s="413">
        <v>44790</v>
      </c>
      <c r="O1287" s="414" t="s">
        <v>400</v>
      </c>
      <c r="P1287" s="655">
        <f t="shared" si="61"/>
        <v>9</v>
      </c>
      <c r="Q1287" s="655">
        <f t="shared" si="62"/>
        <v>8</v>
      </c>
      <c r="R1287" s="695" t="str">
        <f t="shared" si="63"/>
        <v>Gastos_com_Pessoal</v>
      </c>
      <c r="S1287" s="697" t="s">
        <v>310</v>
      </c>
      <c r="T1287" s="697" t="s">
        <v>310</v>
      </c>
    </row>
    <row r="1288" spans="1:20" ht="24" x14ac:dyDescent="0.2">
      <c r="A1288" s="432">
        <f>IF(B1288="","",COUNT('Diário 1º PA'!$A$4:$A$2635)+COUNT('Diário 2º PA'!$A$4:$A$3040)+ROW()-3)</f>
        <v>5384</v>
      </c>
      <c r="B1288" s="413">
        <v>44805</v>
      </c>
      <c r="C1288" s="433">
        <v>44774</v>
      </c>
      <c r="D1288" s="434" t="s">
        <v>182</v>
      </c>
      <c r="E1288" s="434" t="s">
        <v>179</v>
      </c>
      <c r="F1288" s="435">
        <v>595.78</v>
      </c>
      <c r="G1288" s="437" t="s">
        <v>5701</v>
      </c>
      <c r="H1288" s="434" t="s">
        <v>310</v>
      </c>
      <c r="I1288" s="415" t="s">
        <v>771</v>
      </c>
      <c r="J1288" s="419" t="s">
        <v>819</v>
      </c>
      <c r="K1288" s="419" t="s">
        <v>812</v>
      </c>
      <c r="L1288" s="415" t="s">
        <v>32</v>
      </c>
      <c r="M1288" s="419">
        <v>20221522</v>
      </c>
      <c r="N1288" s="413">
        <v>44789</v>
      </c>
      <c r="O1288" s="414" t="s">
        <v>400</v>
      </c>
      <c r="P1288" s="655">
        <f t="shared" si="61"/>
        <v>9</v>
      </c>
      <c r="Q1288" s="655">
        <f t="shared" si="62"/>
        <v>8</v>
      </c>
      <c r="R1288" s="695" t="str">
        <f t="shared" si="63"/>
        <v>Gastos_com_Pessoal</v>
      </c>
      <c r="S1288" s="696" t="s">
        <v>310</v>
      </c>
      <c r="T1288" s="696" t="s">
        <v>310</v>
      </c>
    </row>
    <row r="1289" spans="1:20" ht="24" x14ac:dyDescent="0.2">
      <c r="A1289" s="432">
        <f>IF(B1289="","",COUNT('Diário 1º PA'!$A$4:$A$2635)+COUNT('Diário 2º PA'!$A$4:$A$3040)+ROW()-3)</f>
        <v>5385</v>
      </c>
      <c r="B1289" s="413">
        <v>44805</v>
      </c>
      <c r="C1289" s="433">
        <v>44774</v>
      </c>
      <c r="D1289" s="434" t="s">
        <v>182</v>
      </c>
      <c r="E1289" s="434" t="s">
        <v>179</v>
      </c>
      <c r="F1289" s="435">
        <v>411.8</v>
      </c>
      <c r="G1289" s="437" t="s">
        <v>5701</v>
      </c>
      <c r="H1289" s="434" t="s">
        <v>310</v>
      </c>
      <c r="I1289" s="415" t="s">
        <v>771</v>
      </c>
      <c r="J1289" s="419" t="s">
        <v>819</v>
      </c>
      <c r="K1289" s="419" t="s">
        <v>812</v>
      </c>
      <c r="L1289" s="415" t="s">
        <v>32</v>
      </c>
      <c r="M1289" s="419">
        <v>202215121</v>
      </c>
      <c r="N1289" s="413">
        <v>44789</v>
      </c>
      <c r="O1289" s="414" t="s">
        <v>400</v>
      </c>
      <c r="P1289" s="655">
        <f t="shared" si="61"/>
        <v>9</v>
      </c>
      <c r="Q1289" s="655">
        <f t="shared" si="62"/>
        <v>8</v>
      </c>
      <c r="R1289" s="695" t="str">
        <f t="shared" si="63"/>
        <v>Gastos_com_Pessoal</v>
      </c>
      <c r="S1289" s="696" t="s">
        <v>310</v>
      </c>
      <c r="T1289" s="696" t="s">
        <v>310</v>
      </c>
    </row>
    <row r="1290" spans="1:20" ht="60" x14ac:dyDescent="0.2">
      <c r="A1290" s="432">
        <f>IF(B1290="","",COUNT('Diário 1º PA'!$A$4:$A$2635)+COUNT('Diário 2º PA'!$A$4:$A$3040)+ROW()-3)</f>
        <v>5386</v>
      </c>
      <c r="B1290" s="413">
        <v>44805</v>
      </c>
      <c r="C1290" s="424">
        <v>44743</v>
      </c>
      <c r="D1290" s="415" t="s">
        <v>468</v>
      </c>
      <c r="E1290" s="415" t="s">
        <v>468</v>
      </c>
      <c r="F1290" s="422">
        <v>350</v>
      </c>
      <c r="G1290" s="419" t="s">
        <v>6190</v>
      </c>
      <c r="H1290" s="415" t="s">
        <v>468</v>
      </c>
      <c r="I1290" s="415" t="s">
        <v>5449</v>
      </c>
      <c r="J1290" s="419" t="s">
        <v>3440</v>
      </c>
      <c r="K1290" s="419" t="s">
        <v>812</v>
      </c>
      <c r="L1290" s="415" t="s">
        <v>807</v>
      </c>
      <c r="M1290" s="419">
        <v>9222</v>
      </c>
      <c r="N1290" s="413">
        <v>44795</v>
      </c>
      <c r="O1290" s="414" t="s">
        <v>404</v>
      </c>
      <c r="P1290" s="655">
        <f t="shared" si="61"/>
        <v>9</v>
      </c>
      <c r="Q1290" s="655">
        <f t="shared" si="62"/>
        <v>7</v>
      </c>
      <c r="R1290" s="695" t="str">
        <f t="shared" si="63"/>
        <v>Gastos_custeados_por_captação</v>
      </c>
      <c r="S1290" s="698" t="s">
        <v>999</v>
      </c>
      <c r="T1290" s="696">
        <v>4182</v>
      </c>
    </row>
    <row r="1291" spans="1:20" ht="72" x14ac:dyDescent="0.2">
      <c r="A1291" s="432">
        <f>IF(B1291="","",COUNT('Diário 1º PA'!$A$4:$A$2635)+COUNT('Diário 2º PA'!$A$4:$A$3040)+ROW()-3)</f>
        <v>5387</v>
      </c>
      <c r="B1291" s="414">
        <v>44806</v>
      </c>
      <c r="C1291" s="592">
        <v>44774</v>
      </c>
      <c r="D1291" s="415" t="s">
        <v>271</v>
      </c>
      <c r="E1291" s="415" t="s">
        <v>90</v>
      </c>
      <c r="F1291" s="425">
        <v>-1980.75</v>
      </c>
      <c r="G1291" s="427" t="s">
        <v>6967</v>
      </c>
      <c r="H1291" s="415" t="s">
        <v>309</v>
      </c>
      <c r="I1291" s="473" t="s">
        <v>795</v>
      </c>
      <c r="J1291" s="415" t="s">
        <v>796</v>
      </c>
      <c r="K1291" s="415" t="s">
        <v>797</v>
      </c>
      <c r="L1291" s="415" t="s">
        <v>798</v>
      </c>
      <c r="M1291" s="415" t="s">
        <v>310</v>
      </c>
      <c r="N1291" s="414">
        <v>44806</v>
      </c>
      <c r="O1291" s="414" t="s">
        <v>400</v>
      </c>
      <c r="P1291" s="655">
        <f t="shared" si="61"/>
        <v>9</v>
      </c>
      <c r="Q1291" s="655">
        <f t="shared" si="62"/>
        <v>8</v>
      </c>
      <c r="R1291" s="695" t="str">
        <f t="shared" si="63"/>
        <v>Gastos_Gerais</v>
      </c>
      <c r="S1291" s="697" t="s">
        <v>310</v>
      </c>
      <c r="T1291" s="697" t="s">
        <v>310</v>
      </c>
    </row>
    <row r="1292" spans="1:20" ht="48" x14ac:dyDescent="0.2">
      <c r="A1292" s="432">
        <f>IF(B1292="","",COUNT('Diário 1º PA'!$A$4:$A$2635)+COUNT('Diário 2º PA'!$A$4:$A$3040)+ROW()-3)</f>
        <v>5388</v>
      </c>
      <c r="B1292" s="414">
        <v>44806</v>
      </c>
      <c r="C1292" s="431">
        <v>44743</v>
      </c>
      <c r="D1292" s="415" t="s">
        <v>271</v>
      </c>
      <c r="E1292" s="415" t="s">
        <v>450</v>
      </c>
      <c r="F1292" s="425">
        <v>2307.9</v>
      </c>
      <c r="G1292" s="427" t="s">
        <v>4418</v>
      </c>
      <c r="H1292" s="415" t="s">
        <v>758</v>
      </c>
      <c r="I1292" s="415" t="s">
        <v>5985</v>
      </c>
      <c r="J1292" s="415" t="s">
        <v>4417</v>
      </c>
      <c r="K1292" s="419" t="s">
        <v>806</v>
      </c>
      <c r="L1292" s="415" t="s">
        <v>839</v>
      </c>
      <c r="M1292" s="419">
        <v>1974</v>
      </c>
      <c r="N1292" s="414">
        <v>44805</v>
      </c>
      <c r="O1292" s="414" t="s">
        <v>400</v>
      </c>
      <c r="P1292" s="655">
        <f t="shared" si="61"/>
        <v>9</v>
      </c>
      <c r="Q1292" s="655">
        <f t="shared" si="62"/>
        <v>7</v>
      </c>
      <c r="R1292" s="695" t="str">
        <f t="shared" si="63"/>
        <v>Gastos_Gerais</v>
      </c>
      <c r="S1292" s="697" t="s">
        <v>1000</v>
      </c>
      <c r="T1292" s="697">
        <v>3589</v>
      </c>
    </row>
    <row r="1293" spans="1:20" ht="60" x14ac:dyDescent="0.2">
      <c r="A1293" s="432">
        <f>IF(B1293="","",COUNT('Diário 1º PA'!$A$4:$A$2635)+COUNT('Diário 2º PA'!$A$4:$A$3040)+ROW()-3)</f>
        <v>5389</v>
      </c>
      <c r="B1293" s="414">
        <v>44806</v>
      </c>
      <c r="C1293" s="431">
        <v>44774</v>
      </c>
      <c r="D1293" s="415" t="s">
        <v>271</v>
      </c>
      <c r="E1293" s="415" t="s">
        <v>90</v>
      </c>
      <c r="F1293" s="425">
        <v>3000</v>
      </c>
      <c r="G1293" s="427" t="s">
        <v>3964</v>
      </c>
      <c r="H1293" s="415" t="s">
        <v>750</v>
      </c>
      <c r="I1293" s="415" t="s">
        <v>785</v>
      </c>
      <c r="J1293" s="415" t="s">
        <v>1126</v>
      </c>
      <c r="K1293" s="419" t="s">
        <v>806</v>
      </c>
      <c r="L1293" s="415" t="s">
        <v>32</v>
      </c>
      <c r="M1293" s="419" t="s">
        <v>1795</v>
      </c>
      <c r="N1293" s="414">
        <v>44805</v>
      </c>
      <c r="O1293" s="414" t="s">
        <v>400</v>
      </c>
      <c r="P1293" s="655">
        <f t="shared" si="61"/>
        <v>9</v>
      </c>
      <c r="Q1293" s="655">
        <f t="shared" si="62"/>
        <v>8</v>
      </c>
      <c r="R1293" s="695" t="str">
        <f t="shared" si="63"/>
        <v>Gastos_Gerais</v>
      </c>
      <c r="S1293" s="697" t="s">
        <v>998</v>
      </c>
      <c r="T1293" s="697">
        <v>3528</v>
      </c>
    </row>
    <row r="1294" spans="1:20" ht="72" x14ac:dyDescent="0.2">
      <c r="A1294" s="432">
        <f>IF(B1294="","",COUNT('Diário 1º PA'!$A$4:$A$2635)+COUNT('Diário 2º PA'!$A$4:$A$3040)+ROW()-3)</f>
        <v>5390</v>
      </c>
      <c r="B1294" s="414">
        <v>44806</v>
      </c>
      <c r="C1294" s="431">
        <v>44774</v>
      </c>
      <c r="D1294" s="415" t="s">
        <v>144</v>
      </c>
      <c r="E1294" s="415" t="s">
        <v>235</v>
      </c>
      <c r="F1294" s="425">
        <v>566.24</v>
      </c>
      <c r="G1294" s="427" t="s">
        <v>6969</v>
      </c>
      <c r="H1294" s="415" t="s">
        <v>310</v>
      </c>
      <c r="I1294" s="415" t="s">
        <v>6968</v>
      </c>
      <c r="J1294" s="415" t="s">
        <v>6957</v>
      </c>
      <c r="K1294" s="419" t="s">
        <v>812</v>
      </c>
      <c r="L1294" s="415" t="s">
        <v>32</v>
      </c>
      <c r="M1294" s="419">
        <v>34604</v>
      </c>
      <c r="N1294" s="413">
        <v>44809</v>
      </c>
      <c r="O1294" s="414" t="s">
        <v>400</v>
      </c>
      <c r="P1294" s="655">
        <f t="shared" si="61"/>
        <v>9</v>
      </c>
      <c r="Q1294" s="655">
        <f t="shared" si="62"/>
        <v>8</v>
      </c>
      <c r="R1294" s="695" t="str">
        <f t="shared" si="63"/>
        <v>Aquisição_de_Bens_Permanentes</v>
      </c>
      <c r="S1294" s="697" t="s">
        <v>999</v>
      </c>
      <c r="T1294" s="697">
        <v>4250</v>
      </c>
    </row>
    <row r="1295" spans="1:20" ht="48" x14ac:dyDescent="0.2">
      <c r="A1295" s="432">
        <f>IF(B1295="","",COUNT('Diário 1º PA'!$A$4:$A$2635)+COUNT('Diário 2º PA'!$A$4:$A$3040)+ROW()-3)</f>
        <v>5391</v>
      </c>
      <c r="B1295" s="414">
        <v>44806</v>
      </c>
      <c r="C1295" s="431">
        <v>44805</v>
      </c>
      <c r="D1295" s="415" t="s">
        <v>271</v>
      </c>
      <c r="E1295" s="415" t="s">
        <v>297</v>
      </c>
      <c r="F1295" s="425">
        <v>199.9</v>
      </c>
      <c r="G1295" s="427" t="s">
        <v>6931</v>
      </c>
      <c r="H1295" s="415" t="s">
        <v>757</v>
      </c>
      <c r="I1295" s="415" t="s">
        <v>5409</v>
      </c>
      <c r="J1295" s="415" t="s">
        <v>4224</v>
      </c>
      <c r="K1295" s="419" t="s">
        <v>830</v>
      </c>
      <c r="L1295" s="415" t="s">
        <v>32</v>
      </c>
      <c r="M1295" s="419">
        <v>331</v>
      </c>
      <c r="N1295" s="413">
        <v>44806</v>
      </c>
      <c r="O1295" s="414" t="s">
        <v>400</v>
      </c>
      <c r="P1295" s="655">
        <f t="shared" si="61"/>
        <v>9</v>
      </c>
      <c r="Q1295" s="655">
        <f t="shared" si="62"/>
        <v>9</v>
      </c>
      <c r="R1295" s="695" t="str">
        <f t="shared" si="63"/>
        <v>Gastos_Gerais</v>
      </c>
      <c r="S1295" s="697" t="s">
        <v>999</v>
      </c>
      <c r="T1295" s="697">
        <v>4309</v>
      </c>
    </row>
    <row r="1296" spans="1:20" ht="36" x14ac:dyDescent="0.2">
      <c r="A1296" s="432">
        <f>IF(B1296="","",COUNT('Diário 1º PA'!$A$4:$A$2635)+COUNT('Diário 2º PA'!$A$4:$A$3040)+ROW()-3)</f>
        <v>5392</v>
      </c>
      <c r="B1296" s="414">
        <v>44806</v>
      </c>
      <c r="C1296" s="431">
        <v>44805</v>
      </c>
      <c r="D1296" s="415" t="s">
        <v>271</v>
      </c>
      <c r="E1296" s="415" t="s">
        <v>451</v>
      </c>
      <c r="F1296" s="425">
        <v>159.97999999999999</v>
      </c>
      <c r="G1296" s="427" t="s">
        <v>6990</v>
      </c>
      <c r="H1296" s="415" t="s">
        <v>748</v>
      </c>
      <c r="I1296" s="415" t="s">
        <v>6973</v>
      </c>
      <c r="J1296" s="415" t="s">
        <v>6926</v>
      </c>
      <c r="K1296" s="419" t="s">
        <v>830</v>
      </c>
      <c r="L1296" s="415" t="s">
        <v>32</v>
      </c>
      <c r="M1296" s="419">
        <v>699</v>
      </c>
      <c r="N1296" s="413">
        <v>44805</v>
      </c>
      <c r="O1296" s="414" t="s">
        <v>400</v>
      </c>
      <c r="P1296" s="655">
        <f t="shared" si="61"/>
        <v>9</v>
      </c>
      <c r="Q1296" s="655">
        <f t="shared" si="62"/>
        <v>9</v>
      </c>
      <c r="R1296" s="695" t="str">
        <f t="shared" si="63"/>
        <v>Gastos_Gerais</v>
      </c>
      <c r="S1296" s="697" t="s">
        <v>999</v>
      </c>
      <c r="T1296" s="697">
        <v>4325</v>
      </c>
    </row>
    <row r="1297" spans="1:20" ht="72" x14ac:dyDescent="0.2">
      <c r="A1297" s="432">
        <f>IF(B1297="","",COUNT('Diário 1º PA'!$A$4:$A$2635)+COUNT('Diário 2º PA'!$A$4:$A$3040)+ROW()-3)</f>
        <v>5393</v>
      </c>
      <c r="B1297" s="414">
        <v>44806</v>
      </c>
      <c r="C1297" s="431">
        <v>44774</v>
      </c>
      <c r="D1297" s="415" t="s">
        <v>271</v>
      </c>
      <c r="E1297" s="415" t="s">
        <v>462</v>
      </c>
      <c r="F1297" s="425">
        <v>1371.99</v>
      </c>
      <c r="G1297" s="427" t="s">
        <v>6343</v>
      </c>
      <c r="H1297" s="415" t="s">
        <v>793</v>
      </c>
      <c r="I1297" s="415" t="s">
        <v>6303</v>
      </c>
      <c r="J1297" s="419" t="s">
        <v>6030</v>
      </c>
      <c r="K1297" s="419" t="s">
        <v>830</v>
      </c>
      <c r="L1297" s="415" t="s">
        <v>839</v>
      </c>
      <c r="M1297" s="419">
        <v>1972</v>
      </c>
      <c r="N1297" s="413">
        <v>44805</v>
      </c>
      <c r="O1297" s="414" t="s">
        <v>400</v>
      </c>
      <c r="P1297" s="655">
        <f t="shared" si="61"/>
        <v>9</v>
      </c>
      <c r="Q1297" s="655">
        <f t="shared" si="62"/>
        <v>8</v>
      </c>
      <c r="R1297" s="695" t="str">
        <f t="shared" si="63"/>
        <v>Gastos_Gerais</v>
      </c>
      <c r="S1297" s="696" t="s">
        <v>998</v>
      </c>
      <c r="T1297" s="696">
        <v>4122</v>
      </c>
    </row>
    <row r="1298" spans="1:20" ht="60" x14ac:dyDescent="0.2">
      <c r="A1298" s="432">
        <f>IF(B1298="","",COUNT('Diário 1º PA'!$A$4:$A$2635)+COUNT('Diário 2º PA'!$A$4:$A$3040)+ROW()-3)</f>
        <v>5394</v>
      </c>
      <c r="B1298" s="414">
        <v>44806</v>
      </c>
      <c r="C1298" s="431">
        <v>44774</v>
      </c>
      <c r="D1298" s="415" t="s">
        <v>271</v>
      </c>
      <c r="E1298" s="415" t="s">
        <v>90</v>
      </c>
      <c r="F1298" s="425">
        <v>3000</v>
      </c>
      <c r="G1298" s="427" t="s">
        <v>3964</v>
      </c>
      <c r="H1298" s="415" t="s">
        <v>750</v>
      </c>
      <c r="I1298" s="415" t="s">
        <v>6976</v>
      </c>
      <c r="J1298" s="415" t="s">
        <v>1077</v>
      </c>
      <c r="K1298" s="419" t="s">
        <v>830</v>
      </c>
      <c r="L1298" s="415" t="s">
        <v>32</v>
      </c>
      <c r="M1298" s="419">
        <v>150</v>
      </c>
      <c r="N1298" s="413">
        <v>44805</v>
      </c>
      <c r="O1298" s="414" t="s">
        <v>400</v>
      </c>
      <c r="P1298" s="655">
        <f t="shared" si="61"/>
        <v>9</v>
      </c>
      <c r="Q1298" s="655">
        <f t="shared" si="62"/>
        <v>8</v>
      </c>
      <c r="R1298" s="695" t="str">
        <f t="shared" si="63"/>
        <v>Gastos_Gerais</v>
      </c>
      <c r="S1298" s="697" t="s">
        <v>998</v>
      </c>
      <c r="T1298" s="697">
        <v>3527</v>
      </c>
    </row>
    <row r="1299" spans="1:20" ht="36" x14ac:dyDescent="0.2">
      <c r="A1299" s="432">
        <f>IF(B1299="","",COUNT('Diário 1º PA'!$A$4:$A$2635)+COUNT('Diário 2º PA'!$A$4:$A$3040)+ROW()-3)</f>
        <v>5395</v>
      </c>
      <c r="B1299" s="414">
        <v>44806</v>
      </c>
      <c r="C1299" s="431">
        <v>44774</v>
      </c>
      <c r="D1299" s="415" t="s">
        <v>271</v>
      </c>
      <c r="E1299" s="415" t="s">
        <v>456</v>
      </c>
      <c r="F1299" s="425">
        <v>1512</v>
      </c>
      <c r="G1299" s="427" t="s">
        <v>4448</v>
      </c>
      <c r="H1299" s="415" t="s">
        <v>760</v>
      </c>
      <c r="I1299" s="415" t="s">
        <v>5951</v>
      </c>
      <c r="J1299" s="415" t="s">
        <v>4449</v>
      </c>
      <c r="K1299" s="419" t="s">
        <v>830</v>
      </c>
      <c r="L1299" s="415" t="s">
        <v>839</v>
      </c>
      <c r="M1299" s="419">
        <v>1973</v>
      </c>
      <c r="N1299" s="413">
        <v>44805</v>
      </c>
      <c r="O1299" s="414" t="s">
        <v>400</v>
      </c>
      <c r="P1299" s="655">
        <f t="shared" si="61"/>
        <v>9</v>
      </c>
      <c r="Q1299" s="655">
        <f t="shared" si="62"/>
        <v>8</v>
      </c>
      <c r="R1299" s="695" t="str">
        <f t="shared" si="63"/>
        <v>Gastos_Gerais</v>
      </c>
      <c r="S1299" s="697" t="s">
        <v>998</v>
      </c>
      <c r="T1299" s="697">
        <v>3824</v>
      </c>
    </row>
    <row r="1300" spans="1:20" ht="36" x14ac:dyDescent="0.2">
      <c r="A1300" s="432">
        <f>IF(B1300="","",COUNT('Diário 1º PA'!$A$4:$A$2635)+COUNT('Diário 2º PA'!$A$4:$A$3040)+ROW()-3)</f>
        <v>5396</v>
      </c>
      <c r="B1300" s="414">
        <v>44806</v>
      </c>
      <c r="C1300" s="431">
        <v>44774</v>
      </c>
      <c r="D1300" s="415" t="s">
        <v>271</v>
      </c>
      <c r="E1300" s="415" t="s">
        <v>453</v>
      </c>
      <c r="F1300" s="425">
        <v>737</v>
      </c>
      <c r="G1300" s="427" t="s">
        <v>6350</v>
      </c>
      <c r="H1300" s="415" t="s">
        <v>760</v>
      </c>
      <c r="I1300" s="415" t="s">
        <v>6979</v>
      </c>
      <c r="J1300" s="415" t="s">
        <v>1807</v>
      </c>
      <c r="K1300" s="419" t="s">
        <v>830</v>
      </c>
      <c r="L1300" s="415" t="s">
        <v>32</v>
      </c>
      <c r="M1300" s="419" t="s">
        <v>1503</v>
      </c>
      <c r="N1300" s="413">
        <v>44805</v>
      </c>
      <c r="O1300" s="414" t="s">
        <v>400</v>
      </c>
      <c r="P1300" s="655">
        <f t="shared" si="61"/>
        <v>9</v>
      </c>
      <c r="Q1300" s="655">
        <f t="shared" si="62"/>
        <v>8</v>
      </c>
      <c r="R1300" s="695" t="str">
        <f t="shared" si="63"/>
        <v>Gastos_Gerais</v>
      </c>
      <c r="S1300" s="697" t="s">
        <v>998</v>
      </c>
      <c r="T1300" s="697">
        <v>4247</v>
      </c>
    </row>
    <row r="1301" spans="1:20" ht="168" x14ac:dyDescent="0.2">
      <c r="A1301" s="432">
        <f>IF(B1301="","",COUNT('Diário 1º PA'!$A$4:$A$2635)+COUNT('Diário 2º PA'!$A$4:$A$3040)+ROW()-3)</f>
        <v>5397</v>
      </c>
      <c r="B1301" s="414">
        <v>44806</v>
      </c>
      <c r="C1301" s="431">
        <v>44774</v>
      </c>
      <c r="D1301" s="415" t="s">
        <v>468</v>
      </c>
      <c r="E1301" s="415" t="s">
        <v>90</v>
      </c>
      <c r="F1301" s="425">
        <v>2000</v>
      </c>
      <c r="G1301" s="427" t="s">
        <v>656</v>
      </c>
      <c r="H1301" s="415" t="s">
        <v>760</v>
      </c>
      <c r="I1301" s="415" t="s">
        <v>6980</v>
      </c>
      <c r="J1301" s="415" t="s">
        <v>1016</v>
      </c>
      <c r="K1301" s="419" t="s">
        <v>830</v>
      </c>
      <c r="L1301" s="415" t="s">
        <v>32</v>
      </c>
      <c r="M1301" s="419" t="s">
        <v>1795</v>
      </c>
      <c r="N1301" s="413">
        <v>44805</v>
      </c>
      <c r="O1301" s="414" t="s">
        <v>400</v>
      </c>
      <c r="P1301" s="655">
        <f t="shared" si="61"/>
        <v>9</v>
      </c>
      <c r="Q1301" s="655">
        <f t="shared" si="62"/>
        <v>8</v>
      </c>
      <c r="R1301" s="695" t="str">
        <f t="shared" si="63"/>
        <v>Gastos_custeados_por_captação</v>
      </c>
      <c r="S1301" s="697" t="s">
        <v>998</v>
      </c>
      <c r="T1301" s="697">
        <v>3610</v>
      </c>
    </row>
    <row r="1302" spans="1:20" ht="72" x14ac:dyDescent="0.2">
      <c r="A1302" s="432">
        <f>IF(B1302="","",COUNT('Diário 1º PA'!$A$4:$A$2635)+COUNT('Diário 2º PA'!$A$4:$A$3040)+ROW()-3)</f>
        <v>5398</v>
      </c>
      <c r="B1302" s="414">
        <v>44806</v>
      </c>
      <c r="C1302" s="431">
        <v>44774</v>
      </c>
      <c r="D1302" s="415" t="s">
        <v>271</v>
      </c>
      <c r="E1302" s="415" t="s">
        <v>297</v>
      </c>
      <c r="F1302" s="425">
        <v>97.2</v>
      </c>
      <c r="G1302" s="427" t="s">
        <v>5949</v>
      </c>
      <c r="H1302" s="415" t="s">
        <v>793</v>
      </c>
      <c r="I1302" s="415" t="s">
        <v>1803</v>
      </c>
      <c r="J1302" s="415" t="s">
        <v>991</v>
      </c>
      <c r="K1302" s="419" t="s">
        <v>830</v>
      </c>
      <c r="L1302" s="415" t="s">
        <v>798</v>
      </c>
      <c r="M1302" s="415" t="s">
        <v>310</v>
      </c>
      <c r="N1302" s="413">
        <v>44804</v>
      </c>
      <c r="O1302" s="414" t="s">
        <v>400</v>
      </c>
      <c r="P1302" s="655">
        <f t="shared" si="61"/>
        <v>9</v>
      </c>
      <c r="Q1302" s="655">
        <f t="shared" si="62"/>
        <v>8</v>
      </c>
      <c r="R1302" s="695" t="str">
        <f t="shared" si="63"/>
        <v>Gastos_Gerais</v>
      </c>
      <c r="S1302" s="697" t="s">
        <v>1000</v>
      </c>
      <c r="T1302" s="697">
        <v>2768</v>
      </c>
    </row>
    <row r="1303" spans="1:20" ht="120" x14ac:dyDescent="0.2">
      <c r="A1303" s="432">
        <f>IF(B1303="","",COUNT('Diário 1º PA'!$A$4:$A$2635)+COUNT('Diário 2º PA'!$A$4:$A$3040)+ROW()-3)</f>
        <v>5399</v>
      </c>
      <c r="B1303" s="414">
        <v>44806</v>
      </c>
      <c r="C1303" s="431">
        <v>44774</v>
      </c>
      <c r="D1303" s="434" t="s">
        <v>271</v>
      </c>
      <c r="E1303" s="434" t="s">
        <v>90</v>
      </c>
      <c r="F1303" s="425">
        <v>7296</v>
      </c>
      <c r="G1303" s="427" t="s">
        <v>862</v>
      </c>
      <c r="H1303" s="415" t="s">
        <v>309</v>
      </c>
      <c r="I1303" s="415" t="s">
        <v>850</v>
      </c>
      <c r="J1303" s="415" t="s">
        <v>863</v>
      </c>
      <c r="K1303" s="419" t="s">
        <v>830</v>
      </c>
      <c r="L1303" s="415" t="s">
        <v>32</v>
      </c>
      <c r="M1303" s="419" t="s">
        <v>6981</v>
      </c>
      <c r="N1303" s="413">
        <v>44805</v>
      </c>
      <c r="O1303" s="414" t="s">
        <v>400</v>
      </c>
      <c r="P1303" s="655">
        <f t="shared" si="61"/>
        <v>9</v>
      </c>
      <c r="Q1303" s="655">
        <f t="shared" si="62"/>
        <v>8</v>
      </c>
      <c r="R1303" s="695" t="str">
        <f t="shared" si="63"/>
        <v>Gastos_Gerais</v>
      </c>
      <c r="S1303" s="697" t="s">
        <v>1000</v>
      </c>
      <c r="T1303" s="697">
        <v>1134</v>
      </c>
    </row>
    <row r="1304" spans="1:20" ht="180" x14ac:dyDescent="0.2">
      <c r="A1304" s="432">
        <f>IF(B1304="","",COUNT('Diário 1º PA'!$A$4:$A$2635)+COUNT('Diário 2º PA'!$A$4:$A$3040)+ROW()-3)</f>
        <v>5400</v>
      </c>
      <c r="B1304" s="414">
        <v>44806</v>
      </c>
      <c r="C1304" s="431">
        <v>44774</v>
      </c>
      <c r="D1304" s="415" t="s">
        <v>271</v>
      </c>
      <c r="E1304" s="415" t="s">
        <v>90</v>
      </c>
      <c r="F1304" s="425">
        <v>3919.6</v>
      </c>
      <c r="G1304" s="427" t="s">
        <v>4109</v>
      </c>
      <c r="H1304" s="415" t="s">
        <v>758</v>
      </c>
      <c r="I1304" s="415" t="s">
        <v>2079</v>
      </c>
      <c r="J1304" s="415" t="s">
        <v>866</v>
      </c>
      <c r="K1304" s="419" t="s">
        <v>830</v>
      </c>
      <c r="L1304" s="415" t="s">
        <v>807</v>
      </c>
      <c r="M1304" s="419" t="s">
        <v>6983</v>
      </c>
      <c r="N1304" s="413">
        <v>44805</v>
      </c>
      <c r="O1304" s="414" t="s">
        <v>400</v>
      </c>
      <c r="P1304" s="655">
        <f t="shared" si="61"/>
        <v>9</v>
      </c>
      <c r="Q1304" s="655">
        <f t="shared" si="62"/>
        <v>8</v>
      </c>
      <c r="R1304" s="695" t="str">
        <f t="shared" si="63"/>
        <v>Gastos_Gerais</v>
      </c>
      <c r="S1304" s="697" t="s">
        <v>998</v>
      </c>
      <c r="T1304" s="697">
        <v>3609</v>
      </c>
    </row>
    <row r="1305" spans="1:20" ht="36" x14ac:dyDescent="0.2">
      <c r="A1305" s="432">
        <f>IF(B1305="","",COUNT('Diário 1º PA'!$A$4:$A$2635)+COUNT('Diário 2º PA'!$A$4:$A$3040)+ROW()-3)</f>
        <v>5401</v>
      </c>
      <c r="B1305" s="414">
        <v>44806</v>
      </c>
      <c r="C1305" s="431">
        <v>44774</v>
      </c>
      <c r="D1305" s="415" t="s">
        <v>271</v>
      </c>
      <c r="E1305" s="415" t="s">
        <v>90</v>
      </c>
      <c r="F1305" s="425">
        <v>1564.7</v>
      </c>
      <c r="G1305" s="427" t="s">
        <v>4060</v>
      </c>
      <c r="H1305" s="415" t="s">
        <v>793</v>
      </c>
      <c r="I1305" s="415" t="s">
        <v>2628</v>
      </c>
      <c r="J1305" s="415" t="s">
        <v>4061</v>
      </c>
      <c r="K1305" s="419" t="s">
        <v>830</v>
      </c>
      <c r="L1305" s="415" t="s">
        <v>807</v>
      </c>
      <c r="M1305" s="419" t="s">
        <v>1724</v>
      </c>
      <c r="N1305" s="413">
        <v>44805</v>
      </c>
      <c r="O1305" s="414" t="s">
        <v>400</v>
      </c>
      <c r="P1305" s="655">
        <f t="shared" si="61"/>
        <v>9</v>
      </c>
      <c r="Q1305" s="655">
        <f t="shared" si="62"/>
        <v>8</v>
      </c>
      <c r="R1305" s="695" t="str">
        <f t="shared" si="63"/>
        <v>Gastos_Gerais</v>
      </c>
      <c r="S1305" s="697" t="s">
        <v>998</v>
      </c>
      <c r="T1305" s="697">
        <v>3568</v>
      </c>
    </row>
    <row r="1306" spans="1:20" ht="108" x14ac:dyDescent="0.2">
      <c r="A1306" s="432">
        <f>IF(B1306="","",COUNT('Diário 1º PA'!$A$4:$A$2635)+COUNT('Diário 2º PA'!$A$4:$A$3040)+ROW()-3)</f>
        <v>5402</v>
      </c>
      <c r="B1306" s="414">
        <v>44806</v>
      </c>
      <c r="C1306" s="431">
        <v>44774</v>
      </c>
      <c r="D1306" s="419" t="s">
        <v>271</v>
      </c>
      <c r="E1306" s="419" t="s">
        <v>456</v>
      </c>
      <c r="F1306" s="422">
        <v>1000</v>
      </c>
      <c r="G1306" s="415" t="s">
        <v>6986</v>
      </c>
      <c r="H1306" s="419" t="s">
        <v>760</v>
      </c>
      <c r="I1306" s="415" t="s">
        <v>1230</v>
      </c>
      <c r="J1306" s="419" t="s">
        <v>1039</v>
      </c>
      <c r="K1306" s="419" t="s">
        <v>830</v>
      </c>
      <c r="L1306" s="415" t="s">
        <v>807</v>
      </c>
      <c r="M1306" s="419" t="s">
        <v>1333</v>
      </c>
      <c r="N1306" s="413">
        <v>44805</v>
      </c>
      <c r="O1306" s="414" t="s">
        <v>400</v>
      </c>
      <c r="P1306" s="655">
        <f t="shared" si="61"/>
        <v>9</v>
      </c>
      <c r="Q1306" s="655">
        <f t="shared" si="62"/>
        <v>8</v>
      </c>
      <c r="R1306" s="695" t="str">
        <f t="shared" si="63"/>
        <v>Gastos_Gerais</v>
      </c>
      <c r="S1306" s="696" t="s">
        <v>1000</v>
      </c>
      <c r="T1306" s="696">
        <v>3520</v>
      </c>
    </row>
    <row r="1307" spans="1:20" ht="36" x14ac:dyDescent="0.2">
      <c r="A1307" s="432">
        <f>IF(B1307="","",COUNT('Diário 1º PA'!$A$4:$A$2635)+COUNT('Diário 2º PA'!$A$4:$A$3040)+ROW()-3)</f>
        <v>5403</v>
      </c>
      <c r="B1307" s="414">
        <v>44806</v>
      </c>
      <c r="C1307" s="431">
        <v>44805</v>
      </c>
      <c r="D1307" s="415" t="s">
        <v>271</v>
      </c>
      <c r="E1307" s="415" t="s">
        <v>71</v>
      </c>
      <c r="F1307" s="425">
        <v>11</v>
      </c>
      <c r="G1307" s="427" t="s">
        <v>6987</v>
      </c>
      <c r="H1307" s="415" t="s">
        <v>758</v>
      </c>
      <c r="I1307" s="398" t="s">
        <v>881</v>
      </c>
      <c r="J1307" s="418" t="s">
        <v>882</v>
      </c>
      <c r="K1307" s="418" t="s">
        <v>883</v>
      </c>
      <c r="L1307" s="399" t="s">
        <v>798</v>
      </c>
      <c r="M1307" s="544" t="s">
        <v>310</v>
      </c>
      <c r="N1307" s="414">
        <v>44806</v>
      </c>
      <c r="O1307" s="414" t="s">
        <v>400</v>
      </c>
      <c r="P1307" s="655">
        <f t="shared" si="61"/>
        <v>9</v>
      </c>
      <c r="Q1307" s="655">
        <f t="shared" si="62"/>
        <v>9</v>
      </c>
      <c r="R1307" s="695" t="str">
        <f t="shared" si="63"/>
        <v>Gastos_Gerais</v>
      </c>
      <c r="S1307" s="697" t="s">
        <v>310</v>
      </c>
      <c r="T1307" s="697" t="s">
        <v>310</v>
      </c>
    </row>
    <row r="1308" spans="1:20" ht="36" x14ac:dyDescent="0.2">
      <c r="A1308" s="432">
        <f>IF(B1308="","",COUNT('Diário 1º PA'!$A$4:$A$2635)+COUNT('Diário 2º PA'!$A$4:$A$3040)+ROW()-3)</f>
        <v>5404</v>
      </c>
      <c r="B1308" s="414">
        <v>44806</v>
      </c>
      <c r="C1308" s="431">
        <v>44805</v>
      </c>
      <c r="D1308" s="415" t="s">
        <v>271</v>
      </c>
      <c r="E1308" s="415" t="s">
        <v>71</v>
      </c>
      <c r="F1308" s="425">
        <v>11</v>
      </c>
      <c r="G1308" s="427" t="s">
        <v>6988</v>
      </c>
      <c r="H1308" s="415" t="s">
        <v>793</v>
      </c>
      <c r="I1308" s="398" t="s">
        <v>881</v>
      </c>
      <c r="J1308" s="418" t="s">
        <v>882</v>
      </c>
      <c r="K1308" s="418" t="s">
        <v>883</v>
      </c>
      <c r="L1308" s="399" t="s">
        <v>798</v>
      </c>
      <c r="M1308" s="544" t="s">
        <v>310</v>
      </c>
      <c r="N1308" s="414">
        <v>44806</v>
      </c>
      <c r="O1308" s="414" t="s">
        <v>400</v>
      </c>
      <c r="P1308" s="655">
        <f t="shared" si="61"/>
        <v>9</v>
      </c>
      <c r="Q1308" s="655">
        <f t="shared" si="62"/>
        <v>9</v>
      </c>
      <c r="R1308" s="695" t="str">
        <f t="shared" si="63"/>
        <v>Gastos_Gerais</v>
      </c>
      <c r="S1308" s="697" t="s">
        <v>310</v>
      </c>
      <c r="T1308" s="697" t="s">
        <v>310</v>
      </c>
    </row>
    <row r="1309" spans="1:20" ht="36" x14ac:dyDescent="0.2">
      <c r="A1309" s="432">
        <f>IF(B1309="","",COUNT('Diário 1º PA'!$A$4:$A$2635)+COUNT('Diário 2º PA'!$A$4:$A$3040)+ROW()-3)</f>
        <v>5405</v>
      </c>
      <c r="B1309" s="414">
        <v>44806</v>
      </c>
      <c r="C1309" s="431">
        <v>44805</v>
      </c>
      <c r="D1309" s="415" t="s">
        <v>271</v>
      </c>
      <c r="E1309" s="415" t="s">
        <v>71</v>
      </c>
      <c r="F1309" s="425">
        <v>11</v>
      </c>
      <c r="G1309" s="427" t="s">
        <v>6989</v>
      </c>
      <c r="H1309" s="419" t="s">
        <v>760</v>
      </c>
      <c r="I1309" s="398" t="s">
        <v>881</v>
      </c>
      <c r="J1309" s="418" t="s">
        <v>882</v>
      </c>
      <c r="K1309" s="418" t="s">
        <v>883</v>
      </c>
      <c r="L1309" s="399" t="s">
        <v>798</v>
      </c>
      <c r="M1309" s="544" t="s">
        <v>310</v>
      </c>
      <c r="N1309" s="414">
        <v>44806</v>
      </c>
      <c r="O1309" s="414" t="s">
        <v>400</v>
      </c>
      <c r="P1309" s="655">
        <f t="shared" si="61"/>
        <v>9</v>
      </c>
      <c r="Q1309" s="655">
        <f t="shared" si="62"/>
        <v>9</v>
      </c>
      <c r="R1309" s="695" t="str">
        <f t="shared" si="63"/>
        <v>Gastos_Gerais</v>
      </c>
      <c r="S1309" s="697" t="s">
        <v>310</v>
      </c>
      <c r="T1309" s="697" t="s">
        <v>310</v>
      </c>
    </row>
    <row r="1310" spans="1:20" ht="48" x14ac:dyDescent="0.2">
      <c r="A1310" s="432">
        <f>IF(B1310="","",COUNT('Diário 1º PA'!$A$4:$A$2635)+COUNT('Diário 2º PA'!$A$4:$A$3040)+ROW()-3)</f>
        <v>5406</v>
      </c>
      <c r="B1310" s="414">
        <v>44806</v>
      </c>
      <c r="C1310" s="431">
        <v>44774</v>
      </c>
      <c r="D1310" s="415" t="s">
        <v>468</v>
      </c>
      <c r="E1310" s="415" t="s">
        <v>468</v>
      </c>
      <c r="F1310" s="425">
        <v>2750</v>
      </c>
      <c r="G1310" s="427" t="s">
        <v>4338</v>
      </c>
      <c r="H1310" s="419" t="s">
        <v>468</v>
      </c>
      <c r="I1310" s="398" t="s">
        <v>5867</v>
      </c>
      <c r="J1310" s="415" t="s">
        <v>4337</v>
      </c>
      <c r="K1310" s="418" t="s">
        <v>830</v>
      </c>
      <c r="L1310" s="399" t="s">
        <v>32</v>
      </c>
      <c r="M1310" s="544">
        <v>68</v>
      </c>
      <c r="N1310" s="414">
        <v>44805</v>
      </c>
      <c r="O1310" s="414" t="s">
        <v>408</v>
      </c>
      <c r="P1310" s="655">
        <f t="shared" si="61"/>
        <v>9</v>
      </c>
      <c r="Q1310" s="655">
        <f t="shared" si="62"/>
        <v>8</v>
      </c>
      <c r="R1310" s="695" t="str">
        <f t="shared" si="63"/>
        <v>Gastos_custeados_por_captação</v>
      </c>
      <c r="S1310" s="697" t="s">
        <v>1000</v>
      </c>
      <c r="T1310" s="697">
        <v>3767</v>
      </c>
    </row>
    <row r="1311" spans="1:20" ht="60" x14ac:dyDescent="0.2">
      <c r="A1311" s="432">
        <f>IF(B1311="","",COUNT('Diário 1º PA'!$A$4:$A$2635)+COUNT('Diário 2º PA'!$A$4:$A$3040)+ROW()-3)</f>
        <v>5407</v>
      </c>
      <c r="B1311" s="414">
        <v>44806</v>
      </c>
      <c r="C1311" s="431">
        <v>44774</v>
      </c>
      <c r="D1311" s="415" t="s">
        <v>468</v>
      </c>
      <c r="E1311" s="415" t="s">
        <v>468</v>
      </c>
      <c r="F1311" s="425">
        <v>2200</v>
      </c>
      <c r="G1311" s="427" t="s">
        <v>4477</v>
      </c>
      <c r="H1311" s="419" t="s">
        <v>468</v>
      </c>
      <c r="I1311" s="398" t="s">
        <v>6401</v>
      </c>
      <c r="J1311" s="415" t="s">
        <v>4478</v>
      </c>
      <c r="K1311" s="418" t="s">
        <v>830</v>
      </c>
      <c r="L1311" s="399" t="s">
        <v>32</v>
      </c>
      <c r="M1311" s="544">
        <v>674</v>
      </c>
      <c r="N1311" s="414">
        <v>44805</v>
      </c>
      <c r="O1311" s="414" t="s">
        <v>408</v>
      </c>
      <c r="P1311" s="655">
        <f t="shared" si="61"/>
        <v>9</v>
      </c>
      <c r="Q1311" s="655">
        <f t="shared" si="62"/>
        <v>8</v>
      </c>
      <c r="R1311" s="695" t="str">
        <f t="shared" si="63"/>
        <v>Gastos_custeados_por_captação</v>
      </c>
      <c r="S1311" s="697" t="s">
        <v>1000</v>
      </c>
      <c r="T1311" s="697">
        <v>3829</v>
      </c>
    </row>
    <row r="1312" spans="1:20" ht="60" x14ac:dyDescent="0.2">
      <c r="A1312" s="432">
        <f>IF(B1312="","",COUNT('Diário 1º PA'!$A$4:$A$2635)+COUNT('Diário 2º PA'!$A$4:$A$3040)+ROW()-3)</f>
        <v>5408</v>
      </c>
      <c r="B1312" s="414">
        <v>44806</v>
      </c>
      <c r="C1312" s="431">
        <v>44774</v>
      </c>
      <c r="D1312" s="415" t="s">
        <v>468</v>
      </c>
      <c r="E1312" s="415" t="s">
        <v>468</v>
      </c>
      <c r="F1312" s="425">
        <v>4400</v>
      </c>
      <c r="G1312" s="427" t="s">
        <v>701</v>
      </c>
      <c r="H1312" s="419" t="s">
        <v>468</v>
      </c>
      <c r="I1312" s="398" t="s">
        <v>2465</v>
      </c>
      <c r="J1312" s="415" t="s">
        <v>1131</v>
      </c>
      <c r="K1312" s="418" t="s">
        <v>830</v>
      </c>
      <c r="L1312" s="399" t="s">
        <v>32</v>
      </c>
      <c r="M1312" s="418" t="s">
        <v>1795</v>
      </c>
      <c r="N1312" s="414">
        <v>44805</v>
      </c>
      <c r="O1312" s="414" t="s">
        <v>408</v>
      </c>
      <c r="P1312" s="655">
        <f t="shared" si="61"/>
        <v>9</v>
      </c>
      <c r="Q1312" s="655">
        <f t="shared" si="62"/>
        <v>8</v>
      </c>
      <c r="R1312" s="695" t="str">
        <f t="shared" si="63"/>
        <v>Gastos_custeados_por_captação</v>
      </c>
      <c r="S1312" s="697" t="s">
        <v>1000</v>
      </c>
      <c r="T1312" s="697">
        <v>2641</v>
      </c>
    </row>
    <row r="1313" spans="1:20" ht="36" x14ac:dyDescent="0.2">
      <c r="A1313" s="432">
        <f>IF(B1313="","",COUNT('Diário 1º PA'!$A$4:$A$2635)+COUNT('Diário 2º PA'!$A$4:$A$3040)+ROW()-3)</f>
        <v>5409</v>
      </c>
      <c r="B1313" s="414">
        <v>44806</v>
      </c>
      <c r="C1313" s="431">
        <v>44774</v>
      </c>
      <c r="D1313" s="415" t="s">
        <v>468</v>
      </c>
      <c r="E1313" s="415" t="s">
        <v>468</v>
      </c>
      <c r="F1313" s="425">
        <v>3820</v>
      </c>
      <c r="G1313" s="427" t="s">
        <v>695</v>
      </c>
      <c r="H1313" s="419" t="s">
        <v>468</v>
      </c>
      <c r="I1313" s="398" t="s">
        <v>7240</v>
      </c>
      <c r="J1313" s="415" t="s">
        <v>1125</v>
      </c>
      <c r="K1313" s="418" t="s">
        <v>830</v>
      </c>
      <c r="L1313" s="399" t="s">
        <v>32</v>
      </c>
      <c r="M1313" s="418" t="s">
        <v>3672</v>
      </c>
      <c r="N1313" s="414">
        <v>44805</v>
      </c>
      <c r="O1313" s="414" t="s">
        <v>408</v>
      </c>
      <c r="P1313" s="655">
        <f t="shared" si="61"/>
        <v>9</v>
      </c>
      <c r="Q1313" s="655">
        <f t="shared" si="62"/>
        <v>8</v>
      </c>
      <c r="R1313" s="695" t="str">
        <f t="shared" si="63"/>
        <v>Gastos_custeados_por_captação</v>
      </c>
      <c r="S1313" s="697" t="s">
        <v>1000</v>
      </c>
      <c r="T1313" s="697">
        <v>2631</v>
      </c>
    </row>
    <row r="1314" spans="1:20" ht="48" x14ac:dyDescent="0.2">
      <c r="A1314" s="432">
        <f>IF(B1314="","",COUNT('Diário 1º PA'!$A$4:$A$2635)+COUNT('Diário 2º PA'!$A$4:$A$3040)+ROW()-3)</f>
        <v>5410</v>
      </c>
      <c r="B1314" s="414">
        <v>44806</v>
      </c>
      <c r="C1314" s="431">
        <v>44774</v>
      </c>
      <c r="D1314" s="415" t="s">
        <v>468</v>
      </c>
      <c r="E1314" s="415" t="s">
        <v>468</v>
      </c>
      <c r="F1314" s="425">
        <v>2750</v>
      </c>
      <c r="G1314" s="427" t="s">
        <v>694</v>
      </c>
      <c r="H1314" s="419" t="s">
        <v>468</v>
      </c>
      <c r="I1314" s="398" t="s">
        <v>2468</v>
      </c>
      <c r="J1314" s="415" t="s">
        <v>1127</v>
      </c>
      <c r="K1314" s="418" t="s">
        <v>830</v>
      </c>
      <c r="L1314" s="399" t="s">
        <v>32</v>
      </c>
      <c r="M1314" s="418" t="s">
        <v>1428</v>
      </c>
      <c r="N1314" s="414">
        <v>44805</v>
      </c>
      <c r="O1314" s="414" t="s">
        <v>408</v>
      </c>
      <c r="P1314" s="655">
        <f t="shared" si="61"/>
        <v>9</v>
      </c>
      <c r="Q1314" s="655">
        <f t="shared" si="62"/>
        <v>8</v>
      </c>
      <c r="R1314" s="695" t="str">
        <f t="shared" si="63"/>
        <v>Gastos_custeados_por_captação</v>
      </c>
      <c r="S1314" s="697" t="s">
        <v>1000</v>
      </c>
      <c r="T1314" s="697">
        <v>2661</v>
      </c>
    </row>
    <row r="1315" spans="1:20" ht="36" x14ac:dyDescent="0.2">
      <c r="A1315" s="432">
        <f>IF(B1315="","",COUNT('Diário 1º PA'!$A$4:$A$2635)+COUNT('Diário 2º PA'!$A$4:$A$3040)+ROW()-3)</f>
        <v>5411</v>
      </c>
      <c r="B1315" s="414">
        <v>44806</v>
      </c>
      <c r="C1315" s="431">
        <v>44774</v>
      </c>
      <c r="D1315" s="415" t="s">
        <v>468</v>
      </c>
      <c r="E1315" s="415" t="s">
        <v>468</v>
      </c>
      <c r="F1315" s="425">
        <v>2750</v>
      </c>
      <c r="G1315" s="427" t="s">
        <v>4429</v>
      </c>
      <c r="H1315" s="419" t="s">
        <v>468</v>
      </c>
      <c r="I1315" s="398" t="s">
        <v>5610</v>
      </c>
      <c r="J1315" s="415" t="s">
        <v>2456</v>
      </c>
      <c r="K1315" s="418" t="s">
        <v>830</v>
      </c>
      <c r="L1315" s="399" t="s">
        <v>32</v>
      </c>
      <c r="M1315" s="418" t="s">
        <v>1428</v>
      </c>
      <c r="N1315" s="414">
        <v>44805</v>
      </c>
      <c r="O1315" s="414" t="s">
        <v>408</v>
      </c>
      <c r="P1315" s="655">
        <f t="shared" si="61"/>
        <v>9</v>
      </c>
      <c r="Q1315" s="655">
        <f t="shared" si="62"/>
        <v>8</v>
      </c>
      <c r="R1315" s="695" t="str">
        <f t="shared" si="63"/>
        <v>Gastos_custeados_por_captação</v>
      </c>
      <c r="S1315" s="697" t="s">
        <v>1000</v>
      </c>
      <c r="T1315" s="697">
        <v>3804</v>
      </c>
    </row>
    <row r="1316" spans="1:20" ht="36" x14ac:dyDescent="0.2">
      <c r="A1316" s="432">
        <f>IF(B1316="","",COUNT('Diário 1º PA'!$A$4:$A$2635)+COUNT('Diário 2º PA'!$A$4:$A$3040)+ROW()-3)</f>
        <v>5412</v>
      </c>
      <c r="B1316" s="414">
        <v>44806</v>
      </c>
      <c r="C1316" s="431">
        <v>44774</v>
      </c>
      <c r="D1316" s="415" t="s">
        <v>468</v>
      </c>
      <c r="E1316" s="415" t="s">
        <v>468</v>
      </c>
      <c r="F1316" s="425">
        <v>378.53</v>
      </c>
      <c r="G1316" s="427" t="s">
        <v>6496</v>
      </c>
      <c r="H1316" s="419" t="s">
        <v>468</v>
      </c>
      <c r="I1316" s="398" t="s">
        <v>1803</v>
      </c>
      <c r="J1316" s="415" t="s">
        <v>991</v>
      </c>
      <c r="K1316" s="415" t="s">
        <v>830</v>
      </c>
      <c r="L1316" s="415" t="s">
        <v>798</v>
      </c>
      <c r="M1316" s="415" t="s">
        <v>310</v>
      </c>
      <c r="N1316" s="414">
        <v>44806</v>
      </c>
      <c r="O1316" s="414" t="s">
        <v>408</v>
      </c>
      <c r="P1316" s="655">
        <f t="shared" si="61"/>
        <v>9</v>
      </c>
      <c r="Q1316" s="655">
        <f t="shared" si="62"/>
        <v>8</v>
      </c>
      <c r="R1316" s="695" t="str">
        <f t="shared" si="63"/>
        <v>Gastos_custeados_por_captação</v>
      </c>
      <c r="S1316" s="697" t="s">
        <v>998</v>
      </c>
      <c r="T1316" s="697">
        <v>4319</v>
      </c>
    </row>
    <row r="1317" spans="1:20" ht="36" x14ac:dyDescent="0.2">
      <c r="A1317" s="432">
        <f>IF(B1317="","",COUNT('Diário 1º PA'!$A$4:$A$2635)+COUNT('Diário 2º PA'!$A$4:$A$3040)+ROW()-3)</f>
        <v>5413</v>
      </c>
      <c r="B1317" s="414">
        <v>44806</v>
      </c>
      <c r="C1317" s="431">
        <v>44774</v>
      </c>
      <c r="D1317" s="415" t="s">
        <v>468</v>
      </c>
      <c r="E1317" s="415" t="s">
        <v>468</v>
      </c>
      <c r="F1317" s="425">
        <v>145.24</v>
      </c>
      <c r="G1317" s="427" t="s">
        <v>6404</v>
      </c>
      <c r="H1317" s="419" t="s">
        <v>468</v>
      </c>
      <c r="I1317" s="398" t="s">
        <v>1803</v>
      </c>
      <c r="J1317" s="415" t="s">
        <v>991</v>
      </c>
      <c r="K1317" s="415" t="s">
        <v>830</v>
      </c>
      <c r="L1317" s="415" t="s">
        <v>798</v>
      </c>
      <c r="M1317" s="415" t="s">
        <v>310</v>
      </c>
      <c r="N1317" s="414">
        <v>44806</v>
      </c>
      <c r="O1317" s="414" t="s">
        <v>408</v>
      </c>
      <c r="P1317" s="655">
        <f t="shared" ref="P1317:P1348" si="64">IF(B1317=0,0,IF(YEAR(B1317)=$Q$1,MONTH(B1317)-$P$1+1,(YEAR(B1317)-$Q$1)*12-$P$1+1+MONTH(B1317)))</f>
        <v>9</v>
      </c>
      <c r="Q1317" s="655">
        <f t="shared" ref="Q1317:Q1348" si="65">IF(C1317=0,0,IF(YEAR(C1317)=$Q$1,MONTH(C1317)-$P$1+1,(YEAR(C1317)-$Q$1)*12-$P$1+1+MONTH(C1317)))</f>
        <v>8</v>
      </c>
      <c r="R1317" s="695" t="str">
        <f t="shared" ref="R1317:R1348" si="66">SUBSTITUTE(D1317," ","_")</f>
        <v>Gastos_custeados_por_captação</v>
      </c>
      <c r="S1317" s="697" t="s">
        <v>1000</v>
      </c>
      <c r="T1317" s="697">
        <v>2859</v>
      </c>
    </row>
    <row r="1318" spans="1:20" ht="48" x14ac:dyDescent="0.2">
      <c r="A1318" s="432">
        <f>IF(B1318="","",COUNT('Diário 1º PA'!$A$4:$A$2635)+COUNT('Diário 2º PA'!$A$4:$A$3040)+ROW()-3)</f>
        <v>5414</v>
      </c>
      <c r="B1318" s="414">
        <v>44806</v>
      </c>
      <c r="C1318" s="431">
        <v>44774</v>
      </c>
      <c r="D1318" s="415" t="s">
        <v>468</v>
      </c>
      <c r="E1318" s="415" t="s">
        <v>468</v>
      </c>
      <c r="F1318" s="425">
        <v>2750</v>
      </c>
      <c r="G1318" s="427" t="s">
        <v>694</v>
      </c>
      <c r="H1318" s="419" t="s">
        <v>468</v>
      </c>
      <c r="I1318" s="398" t="s">
        <v>2406</v>
      </c>
      <c r="J1318" s="415" t="s">
        <v>1148</v>
      </c>
      <c r="K1318" s="415" t="s">
        <v>830</v>
      </c>
      <c r="L1318" s="399" t="s">
        <v>32</v>
      </c>
      <c r="M1318" s="418" t="s">
        <v>1333</v>
      </c>
      <c r="N1318" s="414">
        <v>44805</v>
      </c>
      <c r="O1318" s="414" t="s">
        <v>408</v>
      </c>
      <c r="P1318" s="655">
        <f t="shared" si="64"/>
        <v>9</v>
      </c>
      <c r="Q1318" s="655">
        <f t="shared" si="65"/>
        <v>8</v>
      </c>
      <c r="R1318" s="695" t="str">
        <f t="shared" si="66"/>
        <v>Gastos_custeados_por_captação</v>
      </c>
      <c r="S1318" s="697" t="s">
        <v>1000</v>
      </c>
      <c r="T1318" s="697">
        <v>2662</v>
      </c>
    </row>
    <row r="1319" spans="1:20" ht="48" x14ac:dyDescent="0.2">
      <c r="A1319" s="432">
        <f>IF(B1319="","",COUNT('Diário 1º PA'!$A$4:$A$2635)+COUNT('Diário 2º PA'!$A$4:$A$3040)+ROW()-3)</f>
        <v>5415</v>
      </c>
      <c r="B1319" s="414">
        <v>44806</v>
      </c>
      <c r="C1319" s="431">
        <v>44774</v>
      </c>
      <c r="D1319" s="415" t="s">
        <v>468</v>
      </c>
      <c r="E1319" s="415" t="s">
        <v>468</v>
      </c>
      <c r="F1319" s="425">
        <v>2650</v>
      </c>
      <c r="G1319" s="427" t="s">
        <v>697</v>
      </c>
      <c r="H1319" s="419" t="s">
        <v>468</v>
      </c>
      <c r="I1319" s="398" t="s">
        <v>2466</v>
      </c>
      <c r="J1319" s="415" t="s">
        <v>1128</v>
      </c>
      <c r="K1319" s="415" t="s">
        <v>830</v>
      </c>
      <c r="L1319" s="399" t="s">
        <v>32</v>
      </c>
      <c r="M1319" s="418" t="s">
        <v>1333</v>
      </c>
      <c r="N1319" s="414">
        <v>44805</v>
      </c>
      <c r="O1319" s="414" t="s">
        <v>408</v>
      </c>
      <c r="P1319" s="655">
        <f t="shared" si="64"/>
        <v>9</v>
      </c>
      <c r="Q1319" s="655">
        <f t="shared" si="65"/>
        <v>8</v>
      </c>
      <c r="R1319" s="695" t="str">
        <f t="shared" si="66"/>
        <v>Gastos_custeados_por_captação</v>
      </c>
      <c r="S1319" s="697" t="s">
        <v>1000</v>
      </c>
      <c r="T1319" s="697">
        <v>2687</v>
      </c>
    </row>
    <row r="1320" spans="1:20" ht="156" x14ac:dyDescent="0.2">
      <c r="A1320" s="432">
        <f>IF(B1320="","",COUNT('Diário 1º PA'!$A$4:$A$2635)+COUNT('Diário 2º PA'!$A$4:$A$3040)+ROW()-3)</f>
        <v>5416</v>
      </c>
      <c r="B1320" s="414">
        <v>44806</v>
      </c>
      <c r="C1320" s="431">
        <v>44774</v>
      </c>
      <c r="D1320" s="415" t="s">
        <v>468</v>
      </c>
      <c r="E1320" s="415" t="s">
        <v>468</v>
      </c>
      <c r="F1320" s="425">
        <v>1950</v>
      </c>
      <c r="G1320" s="427" t="s">
        <v>4470</v>
      </c>
      <c r="H1320" s="419" t="s">
        <v>468</v>
      </c>
      <c r="I1320" s="398" t="s">
        <v>6450</v>
      </c>
      <c r="J1320" s="415" t="s">
        <v>4522</v>
      </c>
      <c r="K1320" s="418" t="s">
        <v>830</v>
      </c>
      <c r="L1320" s="399" t="s">
        <v>807</v>
      </c>
      <c r="M1320" s="418" t="s">
        <v>1608</v>
      </c>
      <c r="N1320" s="414">
        <v>44805</v>
      </c>
      <c r="O1320" s="414" t="s">
        <v>3762</v>
      </c>
      <c r="P1320" s="655">
        <f t="shared" si="64"/>
        <v>9</v>
      </c>
      <c r="Q1320" s="655">
        <f t="shared" si="65"/>
        <v>8</v>
      </c>
      <c r="R1320" s="695" t="str">
        <f t="shared" si="66"/>
        <v>Gastos_custeados_por_captação</v>
      </c>
      <c r="S1320" s="697" t="s">
        <v>1000</v>
      </c>
      <c r="T1320" s="697">
        <v>3766</v>
      </c>
    </row>
    <row r="1321" spans="1:20" ht="60" x14ac:dyDescent="0.2">
      <c r="A1321" s="432">
        <f>IF(B1321="","",COUNT('Diário 1º PA'!$A$4:$A$2635)+COUNT('Diário 2º PA'!$A$4:$A$3040)+ROW()-3)</f>
        <v>5417</v>
      </c>
      <c r="B1321" s="414">
        <v>44806</v>
      </c>
      <c r="C1321" s="431">
        <v>44774</v>
      </c>
      <c r="D1321" s="415" t="s">
        <v>468</v>
      </c>
      <c r="E1321" s="415" t="s">
        <v>468</v>
      </c>
      <c r="F1321" s="425">
        <v>2939.7</v>
      </c>
      <c r="G1321" s="427" t="s">
        <v>713</v>
      </c>
      <c r="H1321" s="419" t="s">
        <v>468</v>
      </c>
      <c r="I1321" s="398" t="s">
        <v>4414</v>
      </c>
      <c r="J1321" s="415" t="s">
        <v>1137</v>
      </c>
      <c r="K1321" s="418" t="s">
        <v>830</v>
      </c>
      <c r="L1321" s="399" t="s">
        <v>32</v>
      </c>
      <c r="M1321" s="418" t="s">
        <v>5916</v>
      </c>
      <c r="N1321" s="414">
        <v>44805</v>
      </c>
      <c r="O1321" s="414" t="s">
        <v>405</v>
      </c>
      <c r="P1321" s="655">
        <f t="shared" si="64"/>
        <v>9</v>
      </c>
      <c r="Q1321" s="655">
        <f t="shared" si="65"/>
        <v>8</v>
      </c>
      <c r="R1321" s="695" t="str">
        <f t="shared" si="66"/>
        <v>Gastos_custeados_por_captação</v>
      </c>
      <c r="S1321" s="697" t="s">
        <v>998</v>
      </c>
      <c r="T1321" s="697">
        <v>3760</v>
      </c>
    </row>
    <row r="1322" spans="1:20" ht="72" x14ac:dyDescent="0.2">
      <c r="A1322" s="432">
        <f>IF(B1322="","",COUNT('Diário 1º PA'!$A$4:$A$2635)+COUNT('Diário 2º PA'!$A$4:$A$3040)+ROW()-3)</f>
        <v>5418</v>
      </c>
      <c r="B1322" s="414">
        <v>44806</v>
      </c>
      <c r="C1322" s="431">
        <v>44774</v>
      </c>
      <c r="D1322" s="415" t="s">
        <v>468</v>
      </c>
      <c r="E1322" s="415" t="s">
        <v>468</v>
      </c>
      <c r="F1322" s="425">
        <v>3754</v>
      </c>
      <c r="G1322" s="427" t="s">
        <v>5900</v>
      </c>
      <c r="H1322" s="419" t="s">
        <v>468</v>
      </c>
      <c r="I1322" s="398" t="s">
        <v>6468</v>
      </c>
      <c r="J1322" s="415" t="s">
        <v>5901</v>
      </c>
      <c r="K1322" s="418" t="s">
        <v>830</v>
      </c>
      <c r="L1322" s="399" t="s">
        <v>807</v>
      </c>
      <c r="M1322" s="419" t="s">
        <v>3672</v>
      </c>
      <c r="N1322" s="414">
        <v>44806</v>
      </c>
      <c r="O1322" s="414" t="s">
        <v>404</v>
      </c>
      <c r="P1322" s="655">
        <f t="shared" si="64"/>
        <v>9</v>
      </c>
      <c r="Q1322" s="655">
        <f t="shared" si="65"/>
        <v>8</v>
      </c>
      <c r="R1322" s="695" t="str">
        <f t="shared" si="66"/>
        <v>Gastos_custeados_por_captação</v>
      </c>
      <c r="S1322" s="697" t="s">
        <v>1000</v>
      </c>
      <c r="T1322" s="697">
        <v>4098</v>
      </c>
    </row>
    <row r="1323" spans="1:20" ht="60" x14ac:dyDescent="0.2">
      <c r="A1323" s="432">
        <f>IF(B1323="","",COUNT('Diário 1º PA'!$A$4:$A$2635)+COUNT('Diário 2º PA'!$A$4:$A$3040)+ROW()-3)</f>
        <v>5419</v>
      </c>
      <c r="B1323" s="413">
        <v>44809</v>
      </c>
      <c r="C1323" s="424">
        <v>44774</v>
      </c>
      <c r="D1323" s="419" t="s">
        <v>271</v>
      </c>
      <c r="E1323" s="419" t="s">
        <v>59</v>
      </c>
      <c r="F1323" s="422">
        <v>-2244.85</v>
      </c>
      <c r="G1323" s="427" t="s">
        <v>6996</v>
      </c>
      <c r="H1323" s="419" t="s">
        <v>309</v>
      </c>
      <c r="I1323" s="415" t="s">
        <v>795</v>
      </c>
      <c r="J1323" s="415" t="s">
        <v>796</v>
      </c>
      <c r="K1323" s="415" t="s">
        <v>797</v>
      </c>
      <c r="L1323" s="415" t="s">
        <v>798</v>
      </c>
      <c r="M1323" s="419" t="s">
        <v>310</v>
      </c>
      <c r="N1323" s="413">
        <v>44809</v>
      </c>
      <c r="O1323" s="414" t="s">
        <v>400</v>
      </c>
      <c r="P1323" s="655">
        <f t="shared" si="64"/>
        <v>9</v>
      </c>
      <c r="Q1323" s="655">
        <f t="shared" si="65"/>
        <v>8</v>
      </c>
      <c r="R1323" s="695" t="str">
        <f t="shared" si="66"/>
        <v>Gastos_Gerais</v>
      </c>
      <c r="S1323" s="696" t="s">
        <v>310</v>
      </c>
      <c r="T1323" s="696" t="s">
        <v>310</v>
      </c>
    </row>
    <row r="1324" spans="1:20" ht="48" x14ac:dyDescent="0.2">
      <c r="A1324" s="432">
        <f>IF(B1324="","",COUNT('Diário 1º PA'!$A$4:$A$2635)+COUNT('Diário 2º PA'!$A$4:$A$3040)+ROW()-3)</f>
        <v>5420</v>
      </c>
      <c r="B1324" s="413">
        <v>44809</v>
      </c>
      <c r="C1324" s="431">
        <v>44774</v>
      </c>
      <c r="D1324" s="415" t="s">
        <v>271</v>
      </c>
      <c r="E1324" s="415" t="s">
        <v>9</v>
      </c>
      <c r="F1324" s="435">
        <v>-1741.71</v>
      </c>
      <c r="G1324" s="437" t="s">
        <v>1622</v>
      </c>
      <c r="H1324" s="415" t="s">
        <v>309</v>
      </c>
      <c r="I1324" s="474" t="s">
        <v>795</v>
      </c>
      <c r="J1324" s="434" t="s">
        <v>796</v>
      </c>
      <c r="K1324" s="434" t="s">
        <v>797</v>
      </c>
      <c r="L1324" s="434" t="s">
        <v>798</v>
      </c>
      <c r="M1324" s="436" t="s">
        <v>310</v>
      </c>
      <c r="N1324" s="413">
        <v>44809</v>
      </c>
      <c r="O1324" s="414" t="s">
        <v>400</v>
      </c>
      <c r="P1324" s="655">
        <f t="shared" si="64"/>
        <v>9</v>
      </c>
      <c r="Q1324" s="655">
        <f t="shared" si="65"/>
        <v>8</v>
      </c>
      <c r="R1324" s="695" t="str">
        <f t="shared" si="66"/>
        <v>Gastos_Gerais</v>
      </c>
      <c r="S1324" s="697" t="s">
        <v>310</v>
      </c>
      <c r="T1324" s="697" t="s">
        <v>310</v>
      </c>
    </row>
    <row r="1325" spans="1:20" ht="24" x14ac:dyDescent="0.2">
      <c r="A1325" s="432">
        <f>IF(B1325="","",COUNT('Diário 1º PA'!$A$4:$A$2635)+COUNT('Diário 2º PA'!$A$4:$A$3040)+ROW()-3)</f>
        <v>5421</v>
      </c>
      <c r="B1325" s="413">
        <v>44809</v>
      </c>
      <c r="C1325" s="431">
        <v>44774</v>
      </c>
      <c r="D1325" s="415" t="s">
        <v>271</v>
      </c>
      <c r="E1325" s="415" t="s">
        <v>9</v>
      </c>
      <c r="F1325" s="425">
        <v>6309.32</v>
      </c>
      <c r="G1325" s="427" t="s">
        <v>729</v>
      </c>
      <c r="H1325" s="415" t="s">
        <v>309</v>
      </c>
      <c r="I1325" s="415" t="s">
        <v>1620</v>
      </c>
      <c r="J1325" s="419" t="s">
        <v>841</v>
      </c>
      <c r="K1325" s="419" t="s">
        <v>806</v>
      </c>
      <c r="L1325" s="415" t="s">
        <v>807</v>
      </c>
      <c r="M1325" s="419" t="s">
        <v>6997</v>
      </c>
      <c r="N1325" s="413">
        <v>44806</v>
      </c>
      <c r="O1325" s="414" t="s">
        <v>400</v>
      </c>
      <c r="P1325" s="655">
        <f t="shared" si="64"/>
        <v>9</v>
      </c>
      <c r="Q1325" s="655">
        <f t="shared" si="65"/>
        <v>8</v>
      </c>
      <c r="R1325" s="695" t="str">
        <f t="shared" si="66"/>
        <v>Gastos_Gerais</v>
      </c>
      <c r="S1325" s="697" t="s">
        <v>1000</v>
      </c>
      <c r="T1325" s="697">
        <v>2780</v>
      </c>
    </row>
    <row r="1326" spans="1:20" ht="24" x14ac:dyDescent="0.2">
      <c r="A1326" s="432">
        <f>IF(B1326="","",COUNT('Diário 1º PA'!$A$4:$A$2635)+COUNT('Diário 2º PA'!$A$4:$A$3040)+ROW()-3)</f>
        <v>5422</v>
      </c>
      <c r="B1326" s="413">
        <v>44809</v>
      </c>
      <c r="C1326" s="431">
        <v>44774</v>
      </c>
      <c r="D1326" s="419" t="s">
        <v>271</v>
      </c>
      <c r="E1326" s="419" t="s">
        <v>297</v>
      </c>
      <c r="F1326" s="422">
        <v>21908.73</v>
      </c>
      <c r="G1326" s="427" t="s">
        <v>5667</v>
      </c>
      <c r="H1326" s="419" t="s">
        <v>750</v>
      </c>
      <c r="I1326" s="415" t="s">
        <v>774</v>
      </c>
      <c r="J1326" s="419" t="s">
        <v>844</v>
      </c>
      <c r="K1326" s="419" t="s">
        <v>812</v>
      </c>
      <c r="L1326" s="415" t="s">
        <v>310</v>
      </c>
      <c r="M1326" s="419" t="s">
        <v>310</v>
      </c>
      <c r="N1326" s="413">
        <v>44809</v>
      </c>
      <c r="O1326" s="414" t="s">
        <v>400</v>
      </c>
      <c r="P1326" s="655">
        <f t="shared" si="64"/>
        <v>9</v>
      </c>
      <c r="Q1326" s="655">
        <f t="shared" si="65"/>
        <v>8</v>
      </c>
      <c r="R1326" s="695" t="str">
        <f t="shared" si="66"/>
        <v>Gastos_Gerais</v>
      </c>
      <c r="S1326" s="696" t="s">
        <v>310</v>
      </c>
      <c r="T1326" s="696" t="s">
        <v>310</v>
      </c>
    </row>
    <row r="1327" spans="1:20" ht="84" x14ac:dyDescent="0.2">
      <c r="A1327" s="432">
        <f>IF(B1327="","",COUNT('Diário 1º PA'!$A$4:$A$2635)+COUNT('Diário 2º PA'!$A$4:$A$3040)+ROW()-3)</f>
        <v>5423</v>
      </c>
      <c r="B1327" s="413">
        <v>44809</v>
      </c>
      <c r="C1327" s="431">
        <v>44743</v>
      </c>
      <c r="D1327" s="415" t="s">
        <v>271</v>
      </c>
      <c r="E1327" s="415" t="s">
        <v>453</v>
      </c>
      <c r="F1327" s="422">
        <v>3000</v>
      </c>
      <c r="G1327" s="419" t="s">
        <v>4751</v>
      </c>
      <c r="H1327" s="415" t="s">
        <v>757</v>
      </c>
      <c r="I1327" s="415" t="s">
        <v>6999</v>
      </c>
      <c r="J1327" s="419" t="s">
        <v>4752</v>
      </c>
      <c r="K1327" s="419" t="s">
        <v>830</v>
      </c>
      <c r="L1327" s="415" t="s">
        <v>807</v>
      </c>
      <c r="M1327" s="419">
        <v>3177</v>
      </c>
      <c r="N1327" s="413">
        <v>44806</v>
      </c>
      <c r="O1327" s="414" t="s">
        <v>400</v>
      </c>
      <c r="P1327" s="655">
        <f t="shared" si="64"/>
        <v>9</v>
      </c>
      <c r="Q1327" s="655">
        <f t="shared" si="65"/>
        <v>7</v>
      </c>
      <c r="R1327" s="695" t="str">
        <f t="shared" si="66"/>
        <v>Gastos_Gerais</v>
      </c>
      <c r="S1327" s="696" t="s">
        <v>998</v>
      </c>
      <c r="T1327" s="696">
        <v>3844</v>
      </c>
    </row>
    <row r="1328" spans="1:20" ht="108" x14ac:dyDescent="0.2">
      <c r="A1328" s="432">
        <f>IF(B1328="","",COUNT('Diário 1º PA'!$A$4:$A$2635)+COUNT('Diário 2º PA'!$A$4:$A$3040)+ROW()-3)</f>
        <v>5424</v>
      </c>
      <c r="B1328" s="413">
        <v>44809</v>
      </c>
      <c r="C1328" s="431">
        <v>44774</v>
      </c>
      <c r="D1328" s="415" t="s">
        <v>271</v>
      </c>
      <c r="E1328" s="415" t="s">
        <v>90</v>
      </c>
      <c r="F1328" s="422">
        <v>2537.5500000000002</v>
      </c>
      <c r="G1328" s="419" t="s">
        <v>4128</v>
      </c>
      <c r="H1328" s="415" t="s">
        <v>760</v>
      </c>
      <c r="I1328" s="415" t="s">
        <v>5918</v>
      </c>
      <c r="J1328" s="419" t="s">
        <v>4127</v>
      </c>
      <c r="K1328" s="419" t="s">
        <v>830</v>
      </c>
      <c r="L1328" s="415" t="s">
        <v>839</v>
      </c>
      <c r="M1328" s="419">
        <v>1981</v>
      </c>
      <c r="N1328" s="413">
        <v>44805</v>
      </c>
      <c r="O1328" s="414" t="s">
        <v>400</v>
      </c>
      <c r="P1328" s="655">
        <f t="shared" si="64"/>
        <v>9</v>
      </c>
      <c r="Q1328" s="655">
        <f t="shared" si="65"/>
        <v>8</v>
      </c>
      <c r="R1328" s="695" t="str">
        <f t="shared" si="66"/>
        <v>Gastos_Gerais</v>
      </c>
      <c r="S1328" s="696" t="s">
        <v>998</v>
      </c>
      <c r="T1328" s="696">
        <v>3718</v>
      </c>
    </row>
    <row r="1329" spans="1:20" ht="48" x14ac:dyDescent="0.2">
      <c r="A1329" s="432">
        <f>IF(B1329="","",COUNT('Diário 1º PA'!$A$4:$A$2635)+COUNT('Diário 2º PA'!$A$4:$A$3040)+ROW()-3)</f>
        <v>5425</v>
      </c>
      <c r="B1329" s="413">
        <v>44809</v>
      </c>
      <c r="C1329" s="431">
        <v>44774</v>
      </c>
      <c r="D1329" s="415" t="s">
        <v>271</v>
      </c>
      <c r="E1329" s="415" t="s">
        <v>453</v>
      </c>
      <c r="F1329" s="422">
        <v>756.5</v>
      </c>
      <c r="G1329" s="419" t="s">
        <v>6378</v>
      </c>
      <c r="H1329" s="415" t="s">
        <v>758</v>
      </c>
      <c r="I1329" s="415" t="s">
        <v>7003</v>
      </c>
      <c r="J1329" s="419" t="s">
        <v>6379</v>
      </c>
      <c r="K1329" s="419" t="s">
        <v>830</v>
      </c>
      <c r="L1329" s="415" t="s">
        <v>839</v>
      </c>
      <c r="M1329" s="419">
        <v>1984</v>
      </c>
      <c r="N1329" s="413">
        <v>44806</v>
      </c>
      <c r="O1329" s="414" t="s">
        <v>400</v>
      </c>
      <c r="P1329" s="655">
        <f t="shared" si="64"/>
        <v>9</v>
      </c>
      <c r="Q1329" s="655">
        <f t="shared" si="65"/>
        <v>8</v>
      </c>
      <c r="R1329" s="695" t="str">
        <f t="shared" si="66"/>
        <v>Gastos_Gerais</v>
      </c>
      <c r="S1329" s="696" t="s">
        <v>998</v>
      </c>
      <c r="T1329" s="696">
        <v>4248</v>
      </c>
    </row>
    <row r="1330" spans="1:20" ht="84" x14ac:dyDescent="0.2">
      <c r="A1330" s="432">
        <f>IF(B1330="","",COUNT('Diário 1º PA'!$A$4:$A$2635)+COUNT('Diário 2º PA'!$A$4:$A$3040)+ROW()-3)</f>
        <v>5426</v>
      </c>
      <c r="B1330" s="413">
        <v>44809</v>
      </c>
      <c r="C1330" s="431">
        <v>44774</v>
      </c>
      <c r="D1330" s="419" t="s">
        <v>271</v>
      </c>
      <c r="E1330" s="419" t="s">
        <v>59</v>
      </c>
      <c r="F1330" s="422">
        <v>7977.25</v>
      </c>
      <c r="G1330" s="427" t="s">
        <v>1615</v>
      </c>
      <c r="H1330" s="419" t="s">
        <v>309</v>
      </c>
      <c r="I1330" s="415" t="s">
        <v>5246</v>
      </c>
      <c r="J1330" s="419" t="s">
        <v>860</v>
      </c>
      <c r="K1330" s="419" t="s">
        <v>830</v>
      </c>
      <c r="L1330" s="415" t="s">
        <v>807</v>
      </c>
      <c r="M1330" s="419" t="s">
        <v>7005</v>
      </c>
      <c r="N1330" s="413">
        <v>44783</v>
      </c>
      <c r="O1330" s="414" t="s">
        <v>400</v>
      </c>
      <c r="P1330" s="655">
        <f t="shared" si="64"/>
        <v>9</v>
      </c>
      <c r="Q1330" s="655">
        <f t="shared" si="65"/>
        <v>8</v>
      </c>
      <c r="R1330" s="695" t="str">
        <f t="shared" si="66"/>
        <v>Gastos_Gerais</v>
      </c>
      <c r="S1330" s="696" t="s">
        <v>1000</v>
      </c>
      <c r="T1330" s="696">
        <v>1114</v>
      </c>
    </row>
    <row r="1331" spans="1:20" ht="48" x14ac:dyDescent="0.2">
      <c r="A1331" s="432">
        <f>IF(B1331="","",COUNT('Diário 1º PA'!$A$4:$A$2635)+COUNT('Diário 2º PA'!$A$4:$A$3040)+ROW()-3)</f>
        <v>5427</v>
      </c>
      <c r="B1331" s="413">
        <v>44809</v>
      </c>
      <c r="C1331" s="431">
        <v>44713</v>
      </c>
      <c r="D1331" s="415" t="s">
        <v>271</v>
      </c>
      <c r="E1331" s="415" t="s">
        <v>459</v>
      </c>
      <c r="F1331" s="422">
        <v>4313</v>
      </c>
      <c r="G1331" s="419" t="s">
        <v>6929</v>
      </c>
      <c r="H1331" s="415" t="s">
        <v>758</v>
      </c>
      <c r="I1331" s="415" t="s">
        <v>5982</v>
      </c>
      <c r="J1331" s="419" t="s">
        <v>6930</v>
      </c>
      <c r="K1331" s="419" t="s">
        <v>830</v>
      </c>
      <c r="L1331" s="415" t="s">
        <v>807</v>
      </c>
      <c r="M1331" s="419" t="s">
        <v>3672</v>
      </c>
      <c r="N1331" s="413">
        <v>44806</v>
      </c>
      <c r="O1331" s="414" t="s">
        <v>400</v>
      </c>
      <c r="P1331" s="655">
        <f t="shared" si="64"/>
        <v>9</v>
      </c>
      <c r="Q1331" s="655">
        <f t="shared" si="65"/>
        <v>6</v>
      </c>
      <c r="R1331" s="695" t="str">
        <f t="shared" si="66"/>
        <v>Gastos_Gerais</v>
      </c>
      <c r="S1331" s="696" t="s">
        <v>998</v>
      </c>
      <c r="T1331" s="696">
        <v>3772</v>
      </c>
    </row>
    <row r="1332" spans="1:20" ht="48" x14ac:dyDescent="0.2">
      <c r="A1332" s="432">
        <f>IF(B1332="","",COUNT('Diário 1º PA'!$A$4:$A$2635)+COUNT('Diário 2º PA'!$A$4:$A$3040)+ROW()-3)</f>
        <v>5428</v>
      </c>
      <c r="B1332" s="413">
        <v>44809</v>
      </c>
      <c r="C1332" s="431">
        <v>44805</v>
      </c>
      <c r="D1332" s="415" t="s">
        <v>271</v>
      </c>
      <c r="E1332" s="415" t="s">
        <v>71</v>
      </c>
      <c r="F1332" s="425">
        <v>11</v>
      </c>
      <c r="G1332" s="427" t="s">
        <v>7009</v>
      </c>
      <c r="H1332" s="415" t="s">
        <v>757</v>
      </c>
      <c r="I1332" s="398" t="s">
        <v>881</v>
      </c>
      <c r="J1332" s="418" t="s">
        <v>882</v>
      </c>
      <c r="K1332" s="418" t="s">
        <v>883</v>
      </c>
      <c r="L1332" s="399" t="s">
        <v>798</v>
      </c>
      <c r="M1332" s="544" t="s">
        <v>310</v>
      </c>
      <c r="N1332" s="413">
        <v>44809</v>
      </c>
      <c r="O1332" s="414" t="s">
        <v>400</v>
      </c>
      <c r="P1332" s="655">
        <f t="shared" si="64"/>
        <v>9</v>
      </c>
      <c r="Q1332" s="655">
        <f t="shared" si="65"/>
        <v>9</v>
      </c>
      <c r="R1332" s="695" t="str">
        <f t="shared" si="66"/>
        <v>Gastos_Gerais</v>
      </c>
      <c r="S1332" s="697" t="s">
        <v>310</v>
      </c>
      <c r="T1332" s="697" t="s">
        <v>310</v>
      </c>
    </row>
    <row r="1333" spans="1:20" ht="36" x14ac:dyDescent="0.2">
      <c r="A1333" s="432">
        <f>IF(B1333="","",COUNT('Diário 1º PA'!$A$4:$A$2635)+COUNT('Diário 2º PA'!$A$4:$A$3040)+ROW()-3)</f>
        <v>5429</v>
      </c>
      <c r="B1333" s="413">
        <v>44809</v>
      </c>
      <c r="C1333" s="431">
        <v>44805</v>
      </c>
      <c r="D1333" s="415" t="s">
        <v>271</v>
      </c>
      <c r="E1333" s="415" t="s">
        <v>71</v>
      </c>
      <c r="F1333" s="425">
        <v>11</v>
      </c>
      <c r="G1333" s="427" t="s">
        <v>7010</v>
      </c>
      <c r="H1333" s="415" t="s">
        <v>760</v>
      </c>
      <c r="I1333" s="398" t="s">
        <v>881</v>
      </c>
      <c r="J1333" s="418" t="s">
        <v>882</v>
      </c>
      <c r="K1333" s="418" t="s">
        <v>883</v>
      </c>
      <c r="L1333" s="399" t="s">
        <v>798</v>
      </c>
      <c r="M1333" s="544" t="s">
        <v>310</v>
      </c>
      <c r="N1333" s="413">
        <v>44809</v>
      </c>
      <c r="O1333" s="414" t="s">
        <v>400</v>
      </c>
      <c r="P1333" s="655">
        <f t="shared" si="64"/>
        <v>9</v>
      </c>
      <c r="Q1333" s="655">
        <f t="shared" si="65"/>
        <v>9</v>
      </c>
      <c r="R1333" s="695" t="str">
        <f t="shared" si="66"/>
        <v>Gastos_Gerais</v>
      </c>
      <c r="S1333" s="697" t="s">
        <v>310</v>
      </c>
      <c r="T1333" s="697" t="s">
        <v>310</v>
      </c>
    </row>
    <row r="1334" spans="1:20" ht="36" x14ac:dyDescent="0.2">
      <c r="A1334" s="432">
        <f>IF(B1334="","",COUNT('Diário 1º PA'!$A$4:$A$2635)+COUNT('Diário 2º PA'!$A$4:$A$3040)+ROW()-3)</f>
        <v>5430</v>
      </c>
      <c r="B1334" s="413">
        <v>44809</v>
      </c>
      <c r="C1334" s="431">
        <v>44805</v>
      </c>
      <c r="D1334" s="415" t="s">
        <v>271</v>
      </c>
      <c r="E1334" s="415" t="s">
        <v>71</v>
      </c>
      <c r="F1334" s="425">
        <v>11</v>
      </c>
      <c r="G1334" s="427" t="s">
        <v>7011</v>
      </c>
      <c r="H1334" s="415" t="s">
        <v>758</v>
      </c>
      <c r="I1334" s="398" t="s">
        <v>881</v>
      </c>
      <c r="J1334" s="418" t="s">
        <v>882</v>
      </c>
      <c r="K1334" s="418" t="s">
        <v>883</v>
      </c>
      <c r="L1334" s="399" t="s">
        <v>798</v>
      </c>
      <c r="M1334" s="544" t="s">
        <v>310</v>
      </c>
      <c r="N1334" s="413">
        <v>44809</v>
      </c>
      <c r="O1334" s="414" t="s">
        <v>400</v>
      </c>
      <c r="P1334" s="655">
        <f t="shared" si="64"/>
        <v>9</v>
      </c>
      <c r="Q1334" s="655">
        <f t="shared" si="65"/>
        <v>9</v>
      </c>
      <c r="R1334" s="695" t="str">
        <f t="shared" si="66"/>
        <v>Gastos_Gerais</v>
      </c>
      <c r="S1334" s="697" t="s">
        <v>310</v>
      </c>
      <c r="T1334" s="697" t="s">
        <v>310</v>
      </c>
    </row>
    <row r="1335" spans="1:20" ht="36" x14ac:dyDescent="0.2">
      <c r="A1335" s="432">
        <f>IF(B1335="","",COUNT('Diário 1º PA'!$A$4:$A$2635)+COUNT('Diário 2º PA'!$A$4:$A$3040)+ROW()-3)</f>
        <v>5431</v>
      </c>
      <c r="B1335" s="413">
        <v>44809</v>
      </c>
      <c r="C1335" s="431">
        <v>44805</v>
      </c>
      <c r="D1335" s="415" t="s">
        <v>271</v>
      </c>
      <c r="E1335" s="415" t="s">
        <v>71</v>
      </c>
      <c r="F1335" s="425">
        <v>11</v>
      </c>
      <c r="G1335" s="427" t="s">
        <v>7012</v>
      </c>
      <c r="H1335" s="419" t="s">
        <v>309</v>
      </c>
      <c r="I1335" s="398" t="s">
        <v>881</v>
      </c>
      <c r="J1335" s="418" t="s">
        <v>882</v>
      </c>
      <c r="K1335" s="418" t="s">
        <v>883</v>
      </c>
      <c r="L1335" s="399" t="s">
        <v>798</v>
      </c>
      <c r="M1335" s="544" t="s">
        <v>310</v>
      </c>
      <c r="N1335" s="413">
        <v>44809</v>
      </c>
      <c r="O1335" s="414" t="s">
        <v>400</v>
      </c>
      <c r="P1335" s="655">
        <f t="shared" si="64"/>
        <v>9</v>
      </c>
      <c r="Q1335" s="655">
        <f t="shared" si="65"/>
        <v>9</v>
      </c>
      <c r="R1335" s="695" t="str">
        <f t="shared" si="66"/>
        <v>Gastos_Gerais</v>
      </c>
      <c r="S1335" s="697" t="s">
        <v>310</v>
      </c>
      <c r="T1335" s="697" t="s">
        <v>310</v>
      </c>
    </row>
    <row r="1336" spans="1:20" ht="36" x14ac:dyDescent="0.2">
      <c r="A1336" s="432">
        <f>IF(B1336="","",COUNT('Diário 1º PA'!$A$4:$A$2635)+COUNT('Diário 2º PA'!$A$4:$A$3040)+ROW()-3)</f>
        <v>5432</v>
      </c>
      <c r="B1336" s="413">
        <v>44809</v>
      </c>
      <c r="C1336" s="431">
        <v>44805</v>
      </c>
      <c r="D1336" s="415" t="s">
        <v>271</v>
      </c>
      <c r="E1336" s="415" t="s">
        <v>71</v>
      </c>
      <c r="F1336" s="425">
        <v>11</v>
      </c>
      <c r="G1336" s="427" t="s">
        <v>7013</v>
      </c>
      <c r="H1336" s="415" t="s">
        <v>758</v>
      </c>
      <c r="I1336" s="398" t="s">
        <v>881</v>
      </c>
      <c r="J1336" s="418" t="s">
        <v>882</v>
      </c>
      <c r="K1336" s="418" t="s">
        <v>883</v>
      </c>
      <c r="L1336" s="399" t="s">
        <v>798</v>
      </c>
      <c r="M1336" s="544" t="s">
        <v>310</v>
      </c>
      <c r="N1336" s="413">
        <v>44809</v>
      </c>
      <c r="O1336" s="414" t="s">
        <v>400</v>
      </c>
      <c r="P1336" s="655">
        <f t="shared" si="64"/>
        <v>9</v>
      </c>
      <c r="Q1336" s="655">
        <f t="shared" si="65"/>
        <v>9</v>
      </c>
      <c r="R1336" s="695" t="str">
        <f t="shared" si="66"/>
        <v>Gastos_Gerais</v>
      </c>
      <c r="S1336" s="697" t="s">
        <v>310</v>
      </c>
      <c r="T1336" s="697" t="s">
        <v>310</v>
      </c>
    </row>
    <row r="1337" spans="1:20" ht="24" x14ac:dyDescent="0.2">
      <c r="A1337" s="432">
        <f>IF(B1337="","",COUNT('Diário 1º PA'!$A$4:$A$2635)+COUNT('Diário 2º PA'!$A$4:$A$3040)+ROW()-3)</f>
        <v>5433</v>
      </c>
      <c r="B1337" s="413">
        <v>44809</v>
      </c>
      <c r="C1337" s="431">
        <v>44805</v>
      </c>
      <c r="D1337" s="415" t="s">
        <v>271</v>
      </c>
      <c r="E1337" s="415" t="s">
        <v>71</v>
      </c>
      <c r="F1337" s="425">
        <v>153</v>
      </c>
      <c r="G1337" s="427" t="s">
        <v>880</v>
      </c>
      <c r="H1337" s="415" t="s">
        <v>309</v>
      </c>
      <c r="I1337" s="473" t="s">
        <v>881</v>
      </c>
      <c r="J1337" s="415" t="s">
        <v>882</v>
      </c>
      <c r="K1337" s="415" t="s">
        <v>883</v>
      </c>
      <c r="L1337" s="415" t="s">
        <v>798</v>
      </c>
      <c r="M1337" s="415" t="s">
        <v>310</v>
      </c>
      <c r="N1337" s="413">
        <v>44809</v>
      </c>
      <c r="O1337" s="414" t="s">
        <v>400</v>
      </c>
      <c r="P1337" s="655">
        <f t="shared" si="64"/>
        <v>9</v>
      </c>
      <c r="Q1337" s="655">
        <f t="shared" si="65"/>
        <v>9</v>
      </c>
      <c r="R1337" s="695" t="str">
        <f t="shared" si="66"/>
        <v>Gastos_Gerais</v>
      </c>
      <c r="S1337" s="697" t="s">
        <v>310</v>
      </c>
      <c r="T1337" s="697" t="s">
        <v>310</v>
      </c>
    </row>
    <row r="1338" spans="1:20" ht="48" x14ac:dyDescent="0.2">
      <c r="A1338" s="432">
        <f>IF(B1338="","",COUNT('Diário 1º PA'!$A$4:$A$2635)+COUNT('Diário 2º PA'!$A$4:$A$3040)+ROW()-3)</f>
        <v>5434</v>
      </c>
      <c r="B1338" s="413">
        <v>44809</v>
      </c>
      <c r="C1338" s="431">
        <v>44774</v>
      </c>
      <c r="D1338" s="419" t="s">
        <v>468</v>
      </c>
      <c r="E1338" s="419" t="s">
        <v>468</v>
      </c>
      <c r="F1338" s="422">
        <v>4000</v>
      </c>
      <c r="G1338" s="427" t="s">
        <v>710</v>
      </c>
      <c r="H1338" s="419" t="s">
        <v>468</v>
      </c>
      <c r="I1338" s="415" t="s">
        <v>7242</v>
      </c>
      <c r="J1338" s="415" t="s">
        <v>1135</v>
      </c>
      <c r="K1338" s="415" t="s">
        <v>830</v>
      </c>
      <c r="L1338" s="399" t="s">
        <v>32</v>
      </c>
      <c r="M1338" s="418" t="s">
        <v>1696</v>
      </c>
      <c r="N1338" s="414">
        <v>44805</v>
      </c>
      <c r="O1338" s="414" t="s">
        <v>408</v>
      </c>
      <c r="P1338" s="655">
        <f t="shared" si="64"/>
        <v>9</v>
      </c>
      <c r="Q1338" s="655">
        <f t="shared" si="65"/>
        <v>8</v>
      </c>
      <c r="R1338" s="695" t="str">
        <f t="shared" si="66"/>
        <v>Gastos_custeados_por_captação</v>
      </c>
      <c r="S1338" s="697" t="s">
        <v>1000</v>
      </c>
      <c r="T1338" s="697">
        <v>2757</v>
      </c>
    </row>
    <row r="1339" spans="1:20" ht="36" x14ac:dyDescent="0.2">
      <c r="A1339" s="432">
        <f>IF(B1339="","",COUNT('Diário 1º PA'!$A$4:$A$2635)+COUNT('Diário 2º PA'!$A$4:$A$3040)+ROW()-3)</f>
        <v>5435</v>
      </c>
      <c r="B1339" s="413">
        <v>44809</v>
      </c>
      <c r="C1339" s="431">
        <v>44774</v>
      </c>
      <c r="D1339" s="419" t="s">
        <v>468</v>
      </c>
      <c r="E1339" s="419" t="s">
        <v>468</v>
      </c>
      <c r="F1339" s="422">
        <v>4311.5600000000004</v>
      </c>
      <c r="G1339" s="427" t="s">
        <v>693</v>
      </c>
      <c r="H1339" s="419" t="s">
        <v>468</v>
      </c>
      <c r="I1339" s="415" t="s">
        <v>2464</v>
      </c>
      <c r="J1339" s="415" t="s">
        <v>1124</v>
      </c>
      <c r="K1339" s="415" t="s">
        <v>830</v>
      </c>
      <c r="L1339" s="399" t="s">
        <v>32</v>
      </c>
      <c r="M1339" s="419" t="s">
        <v>3672</v>
      </c>
      <c r="N1339" s="414">
        <v>44805</v>
      </c>
      <c r="O1339" s="414" t="s">
        <v>408</v>
      </c>
      <c r="P1339" s="655">
        <f t="shared" si="64"/>
        <v>9</v>
      </c>
      <c r="Q1339" s="655">
        <f t="shared" si="65"/>
        <v>8</v>
      </c>
      <c r="R1339" s="695" t="str">
        <f t="shared" si="66"/>
        <v>Gastos_custeados_por_captação</v>
      </c>
      <c r="S1339" s="697" t="s">
        <v>1000</v>
      </c>
      <c r="T1339" s="697">
        <v>2642</v>
      </c>
    </row>
    <row r="1340" spans="1:20" ht="36" x14ac:dyDescent="0.2">
      <c r="A1340" s="432">
        <f>IF(B1340="","",COUNT('Diário 1º PA'!$A$4:$A$2635)+COUNT('Diário 2º PA'!$A$4:$A$3040)+ROW()-3)</f>
        <v>5436</v>
      </c>
      <c r="B1340" s="413">
        <v>44809</v>
      </c>
      <c r="C1340" s="431">
        <v>44805</v>
      </c>
      <c r="D1340" s="419" t="s">
        <v>468</v>
      </c>
      <c r="E1340" s="419" t="s">
        <v>468</v>
      </c>
      <c r="F1340" s="422">
        <v>11</v>
      </c>
      <c r="G1340" s="427" t="s">
        <v>2469</v>
      </c>
      <c r="H1340" s="419" t="s">
        <v>468</v>
      </c>
      <c r="I1340" s="639" t="s">
        <v>881</v>
      </c>
      <c r="J1340" s="418" t="s">
        <v>882</v>
      </c>
      <c r="K1340" s="418" t="s">
        <v>883</v>
      </c>
      <c r="L1340" s="399" t="s">
        <v>798</v>
      </c>
      <c r="M1340" s="544" t="s">
        <v>310</v>
      </c>
      <c r="N1340" s="414">
        <v>44809</v>
      </c>
      <c r="O1340" s="414" t="s">
        <v>408</v>
      </c>
      <c r="P1340" s="655">
        <f t="shared" si="64"/>
        <v>9</v>
      </c>
      <c r="Q1340" s="655">
        <f t="shared" si="65"/>
        <v>9</v>
      </c>
      <c r="R1340" s="695" t="str">
        <f t="shared" si="66"/>
        <v>Gastos_custeados_por_captação</v>
      </c>
      <c r="S1340" s="697" t="s">
        <v>310</v>
      </c>
      <c r="T1340" s="697" t="s">
        <v>310</v>
      </c>
    </row>
    <row r="1341" spans="1:20" ht="36" x14ac:dyDescent="0.2">
      <c r="A1341" s="432">
        <f>IF(B1341="","",COUNT('Diário 1º PA'!$A$4:$A$2635)+COUNT('Diário 2º PA'!$A$4:$A$3040)+ROW()-3)</f>
        <v>5437</v>
      </c>
      <c r="B1341" s="413">
        <v>44809</v>
      </c>
      <c r="C1341" s="431">
        <v>44805</v>
      </c>
      <c r="D1341" s="419" t="s">
        <v>468</v>
      </c>
      <c r="E1341" s="419" t="s">
        <v>468</v>
      </c>
      <c r="F1341" s="422">
        <v>11</v>
      </c>
      <c r="G1341" s="427" t="s">
        <v>2469</v>
      </c>
      <c r="H1341" s="419" t="s">
        <v>468</v>
      </c>
      <c r="I1341" s="639" t="s">
        <v>881</v>
      </c>
      <c r="J1341" s="418" t="s">
        <v>882</v>
      </c>
      <c r="K1341" s="418" t="s">
        <v>883</v>
      </c>
      <c r="L1341" s="399" t="s">
        <v>798</v>
      </c>
      <c r="M1341" s="544" t="s">
        <v>310</v>
      </c>
      <c r="N1341" s="414">
        <v>44809</v>
      </c>
      <c r="O1341" s="414" t="s">
        <v>408</v>
      </c>
      <c r="P1341" s="655">
        <f t="shared" si="64"/>
        <v>9</v>
      </c>
      <c r="Q1341" s="655">
        <f t="shared" si="65"/>
        <v>9</v>
      </c>
      <c r="R1341" s="695" t="str">
        <f t="shared" si="66"/>
        <v>Gastos_custeados_por_captação</v>
      </c>
      <c r="S1341" s="697" t="s">
        <v>310</v>
      </c>
      <c r="T1341" s="697" t="s">
        <v>310</v>
      </c>
    </row>
    <row r="1342" spans="1:20" ht="48" x14ac:dyDescent="0.2">
      <c r="A1342" s="432">
        <f>IF(B1342="","",COUNT('Diário 1º PA'!$A$4:$A$2635)+COUNT('Diário 2º PA'!$A$4:$A$3040)+ROW()-3)</f>
        <v>5438</v>
      </c>
      <c r="B1342" s="413">
        <v>44809</v>
      </c>
      <c r="C1342" s="431">
        <v>44805</v>
      </c>
      <c r="D1342" s="419" t="s">
        <v>468</v>
      </c>
      <c r="E1342" s="419" t="s">
        <v>468</v>
      </c>
      <c r="F1342" s="422">
        <v>153</v>
      </c>
      <c r="G1342" s="440" t="s">
        <v>880</v>
      </c>
      <c r="H1342" s="419" t="s">
        <v>468</v>
      </c>
      <c r="I1342" s="639" t="s">
        <v>881</v>
      </c>
      <c r="J1342" s="418" t="s">
        <v>882</v>
      </c>
      <c r="K1342" s="418" t="s">
        <v>883</v>
      </c>
      <c r="L1342" s="399" t="s">
        <v>798</v>
      </c>
      <c r="M1342" s="544" t="s">
        <v>310</v>
      </c>
      <c r="N1342" s="413">
        <v>44809</v>
      </c>
      <c r="O1342" s="414" t="s">
        <v>3762</v>
      </c>
      <c r="P1342" s="655">
        <f t="shared" si="64"/>
        <v>9</v>
      </c>
      <c r="Q1342" s="655">
        <f t="shared" si="65"/>
        <v>9</v>
      </c>
      <c r="R1342" s="695" t="str">
        <f t="shared" si="66"/>
        <v>Gastos_custeados_por_captação</v>
      </c>
      <c r="S1342" s="697" t="s">
        <v>310</v>
      </c>
      <c r="T1342" s="697" t="s">
        <v>310</v>
      </c>
    </row>
    <row r="1343" spans="1:20" ht="60" x14ac:dyDescent="0.2">
      <c r="A1343" s="432">
        <f>IF(B1343="","",COUNT('Diário 1º PA'!$A$4:$A$2635)+COUNT('Diário 2º PA'!$A$4:$A$3040)+ROW()-3)</f>
        <v>5439</v>
      </c>
      <c r="B1343" s="413">
        <v>44809</v>
      </c>
      <c r="C1343" s="431">
        <v>44774</v>
      </c>
      <c r="D1343" s="419" t="s">
        <v>468</v>
      </c>
      <c r="E1343" s="419" t="s">
        <v>468</v>
      </c>
      <c r="F1343" s="422">
        <v>2522.5500000000002</v>
      </c>
      <c r="G1343" s="427" t="s">
        <v>670</v>
      </c>
      <c r="H1343" s="419" t="s">
        <v>468</v>
      </c>
      <c r="I1343" s="415" t="s">
        <v>2358</v>
      </c>
      <c r="J1343" s="415" t="s">
        <v>1132</v>
      </c>
      <c r="K1343" s="419" t="s">
        <v>830</v>
      </c>
      <c r="L1343" s="415" t="s">
        <v>839</v>
      </c>
      <c r="M1343" s="419">
        <v>1979</v>
      </c>
      <c r="N1343" s="414">
        <v>44805</v>
      </c>
      <c r="O1343" s="414" t="s">
        <v>405</v>
      </c>
      <c r="P1343" s="655">
        <f t="shared" si="64"/>
        <v>9</v>
      </c>
      <c r="Q1343" s="655">
        <f t="shared" si="65"/>
        <v>8</v>
      </c>
      <c r="R1343" s="695" t="str">
        <f t="shared" si="66"/>
        <v>Gastos_custeados_por_captação</v>
      </c>
      <c r="S1343" s="697" t="s">
        <v>998</v>
      </c>
      <c r="T1343" s="697">
        <v>3724</v>
      </c>
    </row>
    <row r="1344" spans="1:20" ht="60" x14ac:dyDescent="0.2">
      <c r="A1344" s="432">
        <f>IF(B1344="","",COUNT('Diário 1º PA'!$A$4:$A$2635)+COUNT('Diário 2º PA'!$A$4:$A$3040)+ROW()-3)</f>
        <v>5440</v>
      </c>
      <c r="B1344" s="414">
        <v>44810</v>
      </c>
      <c r="C1344" s="424">
        <v>44774</v>
      </c>
      <c r="D1344" s="415" t="s">
        <v>182</v>
      </c>
      <c r="E1344" s="415" t="s">
        <v>4</v>
      </c>
      <c r="F1344" s="425">
        <v>-2788.51</v>
      </c>
      <c r="G1344" s="427" t="s">
        <v>7019</v>
      </c>
      <c r="H1344" s="415" t="s">
        <v>310</v>
      </c>
      <c r="I1344" s="473" t="s">
        <v>795</v>
      </c>
      <c r="J1344" s="415" t="s">
        <v>796</v>
      </c>
      <c r="K1344" s="415" t="s">
        <v>797</v>
      </c>
      <c r="L1344" s="415" t="s">
        <v>798</v>
      </c>
      <c r="M1344" s="415" t="s">
        <v>310</v>
      </c>
      <c r="N1344" s="414">
        <v>44810</v>
      </c>
      <c r="O1344" s="414" t="s">
        <v>400</v>
      </c>
      <c r="P1344" s="655">
        <f t="shared" si="64"/>
        <v>9</v>
      </c>
      <c r="Q1344" s="655">
        <f t="shared" si="65"/>
        <v>8</v>
      </c>
      <c r="R1344" s="695" t="str">
        <f t="shared" si="66"/>
        <v>Gastos_com_Pessoal</v>
      </c>
      <c r="S1344" s="697" t="s">
        <v>310</v>
      </c>
      <c r="T1344" s="697" t="s">
        <v>310</v>
      </c>
    </row>
    <row r="1345" spans="1:20" ht="36" x14ac:dyDescent="0.2">
      <c r="A1345" s="432">
        <f>IF(B1345="","",COUNT('Diário 1º PA'!$A$4:$A$2635)+COUNT('Diário 2º PA'!$A$4:$A$3040)+ROW()-3)</f>
        <v>5441</v>
      </c>
      <c r="B1345" s="414">
        <v>44810</v>
      </c>
      <c r="C1345" s="424">
        <v>44774</v>
      </c>
      <c r="D1345" s="415" t="s">
        <v>182</v>
      </c>
      <c r="E1345" s="415" t="s">
        <v>4</v>
      </c>
      <c r="F1345" s="425">
        <v>-132</v>
      </c>
      <c r="G1345" s="427" t="s">
        <v>7018</v>
      </c>
      <c r="H1345" s="415" t="s">
        <v>310</v>
      </c>
      <c r="I1345" s="473" t="s">
        <v>795</v>
      </c>
      <c r="J1345" s="415" t="s">
        <v>796</v>
      </c>
      <c r="K1345" s="415" t="s">
        <v>797</v>
      </c>
      <c r="L1345" s="415" t="s">
        <v>798</v>
      </c>
      <c r="M1345" s="415" t="s">
        <v>310</v>
      </c>
      <c r="N1345" s="414">
        <v>44810</v>
      </c>
      <c r="O1345" s="414" t="s">
        <v>400</v>
      </c>
      <c r="P1345" s="655">
        <f t="shared" si="64"/>
        <v>9</v>
      </c>
      <c r="Q1345" s="655">
        <f t="shared" si="65"/>
        <v>8</v>
      </c>
      <c r="R1345" s="695" t="str">
        <f t="shared" si="66"/>
        <v>Gastos_com_Pessoal</v>
      </c>
      <c r="S1345" s="697" t="s">
        <v>310</v>
      </c>
      <c r="T1345" s="697" t="s">
        <v>310</v>
      </c>
    </row>
    <row r="1346" spans="1:20" ht="99.95" customHeight="1" x14ac:dyDescent="0.2">
      <c r="A1346" s="432">
        <f>IF(B1346="","",COUNT('Diário 1º PA'!$A$4:$A$2635)+COUNT('Diário 2º PA'!$A$4:$A$3040)+ROW()-3)</f>
        <v>5442</v>
      </c>
      <c r="B1346" s="414">
        <v>44810</v>
      </c>
      <c r="C1346" s="424">
        <v>44774</v>
      </c>
      <c r="D1346" s="415" t="s">
        <v>182</v>
      </c>
      <c r="E1346" s="415" t="s">
        <v>1</v>
      </c>
      <c r="F1346" s="425">
        <v>2761.75</v>
      </c>
      <c r="G1346" s="427" t="s">
        <v>7020</v>
      </c>
      <c r="H1346" s="415" t="s">
        <v>310</v>
      </c>
      <c r="I1346" s="473" t="s">
        <v>907</v>
      </c>
      <c r="J1346" s="415" t="s">
        <v>908</v>
      </c>
      <c r="K1346" s="419" t="s">
        <v>806</v>
      </c>
      <c r="L1346" s="415" t="s">
        <v>909</v>
      </c>
      <c r="M1346" s="415" t="s">
        <v>310</v>
      </c>
      <c r="N1346" s="414">
        <v>44810</v>
      </c>
      <c r="O1346" s="414" t="s">
        <v>400</v>
      </c>
      <c r="P1346" s="655">
        <f t="shared" si="64"/>
        <v>9</v>
      </c>
      <c r="Q1346" s="655">
        <f t="shared" si="65"/>
        <v>8</v>
      </c>
      <c r="R1346" s="695" t="str">
        <f t="shared" si="66"/>
        <v>Gastos_com_Pessoal</v>
      </c>
      <c r="S1346" s="697" t="s">
        <v>310</v>
      </c>
      <c r="T1346" s="697" t="s">
        <v>310</v>
      </c>
    </row>
    <row r="1347" spans="1:20" ht="36" x14ac:dyDescent="0.2">
      <c r="A1347" s="432">
        <f>IF(B1347="","",COUNT('Diário 1º PA'!$A$4:$A$2635)+COUNT('Diário 2º PA'!$A$4:$A$3040)+ROW()-3)</f>
        <v>5443</v>
      </c>
      <c r="B1347" s="414">
        <v>44810</v>
      </c>
      <c r="C1347" s="431">
        <v>44774</v>
      </c>
      <c r="D1347" s="415" t="s">
        <v>182</v>
      </c>
      <c r="E1347" s="415" t="s">
        <v>1</v>
      </c>
      <c r="F1347" s="425">
        <v>2261.98</v>
      </c>
      <c r="G1347" s="427" t="s">
        <v>7021</v>
      </c>
      <c r="H1347" s="415" t="s">
        <v>310</v>
      </c>
      <c r="I1347" s="473" t="s">
        <v>914</v>
      </c>
      <c r="J1347" s="415" t="s">
        <v>915</v>
      </c>
      <c r="K1347" s="419" t="s">
        <v>806</v>
      </c>
      <c r="L1347" s="415" t="s">
        <v>909</v>
      </c>
      <c r="M1347" s="415" t="s">
        <v>310</v>
      </c>
      <c r="N1347" s="414">
        <v>44810</v>
      </c>
      <c r="O1347" s="414" t="s">
        <v>400</v>
      </c>
      <c r="P1347" s="655">
        <f t="shared" si="64"/>
        <v>9</v>
      </c>
      <c r="Q1347" s="655">
        <f t="shared" si="65"/>
        <v>8</v>
      </c>
      <c r="R1347" s="695" t="str">
        <f t="shared" si="66"/>
        <v>Gastos_com_Pessoal</v>
      </c>
      <c r="S1347" s="697" t="s">
        <v>310</v>
      </c>
      <c r="T1347" s="697" t="s">
        <v>310</v>
      </c>
    </row>
    <row r="1348" spans="1:20" ht="36" x14ac:dyDescent="0.2">
      <c r="A1348" s="432">
        <f>IF(B1348="","",COUNT('Diário 1º PA'!$A$4:$A$2635)+COUNT('Diário 2º PA'!$A$4:$A$3040)+ROW()-3)</f>
        <v>5444</v>
      </c>
      <c r="B1348" s="414">
        <v>44810</v>
      </c>
      <c r="C1348" s="431">
        <v>44774</v>
      </c>
      <c r="D1348" s="415" t="s">
        <v>182</v>
      </c>
      <c r="E1348" s="415" t="s">
        <v>1</v>
      </c>
      <c r="F1348" s="425">
        <v>1997.52</v>
      </c>
      <c r="G1348" s="427" t="s">
        <v>7022</v>
      </c>
      <c r="H1348" s="415" t="s">
        <v>310</v>
      </c>
      <c r="I1348" s="473" t="s">
        <v>916</v>
      </c>
      <c r="J1348" s="415" t="s">
        <v>917</v>
      </c>
      <c r="K1348" s="419" t="s">
        <v>806</v>
      </c>
      <c r="L1348" s="415" t="s">
        <v>909</v>
      </c>
      <c r="M1348" s="415" t="s">
        <v>310</v>
      </c>
      <c r="N1348" s="414">
        <v>44810</v>
      </c>
      <c r="O1348" s="414" t="s">
        <v>400</v>
      </c>
      <c r="P1348" s="655">
        <f t="shared" si="64"/>
        <v>9</v>
      </c>
      <c r="Q1348" s="655">
        <f t="shared" si="65"/>
        <v>8</v>
      </c>
      <c r="R1348" s="695" t="str">
        <f t="shared" si="66"/>
        <v>Gastos_com_Pessoal</v>
      </c>
      <c r="S1348" s="697" t="s">
        <v>310</v>
      </c>
      <c r="T1348" s="697" t="s">
        <v>310</v>
      </c>
    </row>
    <row r="1349" spans="1:20" ht="36" x14ac:dyDescent="0.2">
      <c r="A1349" s="432">
        <f>IF(B1349="","",COUNT('Diário 1º PA'!$A$4:$A$2635)+COUNT('Diário 2º PA'!$A$4:$A$3040)+ROW()-3)</f>
        <v>5445</v>
      </c>
      <c r="B1349" s="414">
        <v>44810</v>
      </c>
      <c r="C1349" s="431">
        <v>44774</v>
      </c>
      <c r="D1349" s="415" t="s">
        <v>182</v>
      </c>
      <c r="E1349" s="415" t="s">
        <v>1</v>
      </c>
      <c r="F1349" s="425">
        <v>1087.75</v>
      </c>
      <c r="G1349" s="427" t="s">
        <v>7022</v>
      </c>
      <c r="H1349" s="415" t="s">
        <v>310</v>
      </c>
      <c r="I1349" s="427" t="s">
        <v>918</v>
      </c>
      <c r="J1349" s="415" t="s">
        <v>919</v>
      </c>
      <c r="K1349" s="419" t="s">
        <v>806</v>
      </c>
      <c r="L1349" s="415" t="s">
        <v>909</v>
      </c>
      <c r="M1349" s="415" t="s">
        <v>310</v>
      </c>
      <c r="N1349" s="414">
        <v>44810</v>
      </c>
      <c r="O1349" s="414" t="s">
        <v>400</v>
      </c>
      <c r="P1349" s="655">
        <f t="shared" ref="P1349:P1380" si="67">IF(B1349=0,0,IF(YEAR(B1349)=$Q$1,MONTH(B1349)-$P$1+1,(YEAR(B1349)-$Q$1)*12-$P$1+1+MONTH(B1349)))</f>
        <v>9</v>
      </c>
      <c r="Q1349" s="655">
        <f t="shared" ref="Q1349:Q1380" si="68">IF(C1349=0,0,IF(YEAR(C1349)=$Q$1,MONTH(C1349)-$P$1+1,(YEAR(C1349)-$Q$1)*12-$P$1+1+MONTH(C1349)))</f>
        <v>8</v>
      </c>
      <c r="R1349" s="695" t="str">
        <f t="shared" ref="R1349:R1380" si="69">SUBSTITUTE(D1349," ","_")</f>
        <v>Gastos_com_Pessoal</v>
      </c>
      <c r="S1349" s="697" t="s">
        <v>310</v>
      </c>
      <c r="T1349" s="697" t="s">
        <v>310</v>
      </c>
    </row>
    <row r="1350" spans="1:20" ht="36" x14ac:dyDescent="0.2">
      <c r="A1350" s="432">
        <f>IF(B1350="","",COUNT('Diário 1º PA'!$A$4:$A$2635)+COUNT('Diário 2º PA'!$A$4:$A$3040)+ROW()-3)</f>
        <v>5446</v>
      </c>
      <c r="B1350" s="414">
        <v>44810</v>
      </c>
      <c r="C1350" s="431">
        <v>44774</v>
      </c>
      <c r="D1350" s="415" t="s">
        <v>182</v>
      </c>
      <c r="E1350" s="415" t="s">
        <v>1</v>
      </c>
      <c r="F1350" s="425">
        <v>2095.64</v>
      </c>
      <c r="G1350" s="427" t="s">
        <v>7022</v>
      </c>
      <c r="H1350" s="415" t="s">
        <v>310</v>
      </c>
      <c r="I1350" s="473" t="s">
        <v>920</v>
      </c>
      <c r="J1350" s="415" t="s">
        <v>921</v>
      </c>
      <c r="K1350" s="419" t="s">
        <v>806</v>
      </c>
      <c r="L1350" s="415" t="s">
        <v>909</v>
      </c>
      <c r="M1350" s="415" t="s">
        <v>310</v>
      </c>
      <c r="N1350" s="414">
        <v>44810</v>
      </c>
      <c r="O1350" s="414" t="s">
        <v>400</v>
      </c>
      <c r="P1350" s="655">
        <f t="shared" si="67"/>
        <v>9</v>
      </c>
      <c r="Q1350" s="655">
        <f t="shared" si="68"/>
        <v>8</v>
      </c>
      <c r="R1350" s="695" t="str">
        <f t="shared" si="69"/>
        <v>Gastos_com_Pessoal</v>
      </c>
      <c r="S1350" s="697" t="s">
        <v>310</v>
      </c>
      <c r="T1350" s="697" t="s">
        <v>310</v>
      </c>
    </row>
    <row r="1351" spans="1:20" ht="36" x14ac:dyDescent="0.2">
      <c r="A1351" s="432">
        <f>IF(B1351="","",COUNT('Diário 1º PA'!$A$4:$A$2635)+COUNT('Diário 2º PA'!$A$4:$A$3040)+ROW()-3)</f>
        <v>5447</v>
      </c>
      <c r="B1351" s="414">
        <v>44810</v>
      </c>
      <c r="C1351" s="431">
        <v>44774</v>
      </c>
      <c r="D1351" s="415" t="s">
        <v>182</v>
      </c>
      <c r="E1351" s="415" t="s">
        <v>1</v>
      </c>
      <c r="F1351" s="425">
        <v>4781.55</v>
      </c>
      <c r="G1351" s="427" t="s">
        <v>7090</v>
      </c>
      <c r="H1351" s="415" t="s">
        <v>310</v>
      </c>
      <c r="I1351" s="427" t="s">
        <v>923</v>
      </c>
      <c r="J1351" s="415" t="s">
        <v>924</v>
      </c>
      <c r="K1351" s="419" t="s">
        <v>806</v>
      </c>
      <c r="L1351" s="415" t="s">
        <v>909</v>
      </c>
      <c r="M1351" s="415" t="s">
        <v>310</v>
      </c>
      <c r="N1351" s="414">
        <v>44810</v>
      </c>
      <c r="O1351" s="414" t="s">
        <v>400</v>
      </c>
      <c r="P1351" s="655">
        <f t="shared" si="67"/>
        <v>9</v>
      </c>
      <c r="Q1351" s="655">
        <f t="shared" si="68"/>
        <v>8</v>
      </c>
      <c r="R1351" s="695" t="str">
        <f t="shared" si="69"/>
        <v>Gastos_com_Pessoal</v>
      </c>
      <c r="S1351" s="697" t="s">
        <v>310</v>
      </c>
      <c r="T1351" s="697" t="s">
        <v>310</v>
      </c>
    </row>
    <row r="1352" spans="1:20" ht="36" x14ac:dyDescent="0.2">
      <c r="A1352" s="432">
        <f>IF(B1352="","",COUNT('Diário 1º PA'!$A$4:$A$2635)+COUNT('Diário 2º PA'!$A$4:$A$3040)+ROW()-3)</f>
        <v>5448</v>
      </c>
      <c r="B1352" s="414">
        <v>44810</v>
      </c>
      <c r="C1352" s="431">
        <v>44774</v>
      </c>
      <c r="D1352" s="415" t="s">
        <v>182</v>
      </c>
      <c r="E1352" s="415" t="s">
        <v>1</v>
      </c>
      <c r="F1352" s="425">
        <v>2077.66</v>
      </c>
      <c r="G1352" s="427" t="s">
        <v>7022</v>
      </c>
      <c r="H1352" s="415" t="s">
        <v>310</v>
      </c>
      <c r="I1352" s="427" t="s">
        <v>926</v>
      </c>
      <c r="J1352" s="415" t="s">
        <v>927</v>
      </c>
      <c r="K1352" s="419" t="s">
        <v>806</v>
      </c>
      <c r="L1352" s="415" t="s">
        <v>909</v>
      </c>
      <c r="M1352" s="415" t="s">
        <v>310</v>
      </c>
      <c r="N1352" s="414">
        <v>44810</v>
      </c>
      <c r="O1352" s="414" t="s">
        <v>400</v>
      </c>
      <c r="P1352" s="655">
        <f t="shared" si="67"/>
        <v>9</v>
      </c>
      <c r="Q1352" s="655">
        <f t="shared" si="68"/>
        <v>8</v>
      </c>
      <c r="R1352" s="695" t="str">
        <f t="shared" si="69"/>
        <v>Gastos_com_Pessoal</v>
      </c>
      <c r="S1352" s="697" t="s">
        <v>310</v>
      </c>
      <c r="T1352" s="697" t="s">
        <v>310</v>
      </c>
    </row>
    <row r="1353" spans="1:20" ht="36" x14ac:dyDescent="0.2">
      <c r="A1353" s="432">
        <f>IF(B1353="","",COUNT('Diário 1º PA'!$A$4:$A$2635)+COUNT('Diário 2º PA'!$A$4:$A$3040)+ROW()-3)</f>
        <v>5449</v>
      </c>
      <c r="B1353" s="414">
        <v>44810</v>
      </c>
      <c r="C1353" s="431">
        <v>44774</v>
      </c>
      <c r="D1353" s="415" t="s">
        <v>182</v>
      </c>
      <c r="E1353" s="415" t="s">
        <v>1</v>
      </c>
      <c r="F1353" s="425">
        <v>1526.49</v>
      </c>
      <c r="G1353" s="427" t="s">
        <v>7023</v>
      </c>
      <c r="H1353" s="415" t="s">
        <v>310</v>
      </c>
      <c r="I1353" s="427" t="s">
        <v>929</v>
      </c>
      <c r="J1353" s="415" t="s">
        <v>930</v>
      </c>
      <c r="K1353" s="419" t="s">
        <v>806</v>
      </c>
      <c r="L1353" s="415" t="s">
        <v>909</v>
      </c>
      <c r="M1353" s="415" t="s">
        <v>310</v>
      </c>
      <c r="N1353" s="414">
        <v>44810</v>
      </c>
      <c r="O1353" s="414" t="s">
        <v>400</v>
      </c>
      <c r="P1353" s="655">
        <f t="shared" si="67"/>
        <v>9</v>
      </c>
      <c r="Q1353" s="655">
        <f t="shared" si="68"/>
        <v>8</v>
      </c>
      <c r="R1353" s="695" t="str">
        <f t="shared" si="69"/>
        <v>Gastos_com_Pessoal</v>
      </c>
      <c r="S1353" s="697" t="s">
        <v>310</v>
      </c>
      <c r="T1353" s="697" t="s">
        <v>310</v>
      </c>
    </row>
    <row r="1354" spans="1:20" ht="36" x14ac:dyDescent="0.2">
      <c r="A1354" s="432">
        <f>IF(B1354="","",COUNT('Diário 1º PA'!$A$4:$A$2635)+COUNT('Diário 2º PA'!$A$4:$A$3040)+ROW()-3)</f>
        <v>5450</v>
      </c>
      <c r="B1354" s="414">
        <v>44810</v>
      </c>
      <c r="C1354" s="431">
        <v>44774</v>
      </c>
      <c r="D1354" s="415" t="s">
        <v>182</v>
      </c>
      <c r="E1354" s="415" t="s">
        <v>1</v>
      </c>
      <c r="F1354" s="425">
        <v>1957.64</v>
      </c>
      <c r="G1354" s="427" t="s">
        <v>7024</v>
      </c>
      <c r="H1354" s="415" t="s">
        <v>310</v>
      </c>
      <c r="I1354" s="427" t="s">
        <v>932</v>
      </c>
      <c r="J1354" s="415" t="s">
        <v>933</v>
      </c>
      <c r="K1354" s="419" t="s">
        <v>806</v>
      </c>
      <c r="L1354" s="415" t="s">
        <v>909</v>
      </c>
      <c r="M1354" s="415" t="s">
        <v>310</v>
      </c>
      <c r="N1354" s="414">
        <v>44810</v>
      </c>
      <c r="O1354" s="414" t="s">
        <v>400</v>
      </c>
      <c r="P1354" s="655">
        <f t="shared" si="67"/>
        <v>9</v>
      </c>
      <c r="Q1354" s="655">
        <f t="shared" si="68"/>
        <v>8</v>
      </c>
      <c r="R1354" s="695" t="str">
        <f t="shared" si="69"/>
        <v>Gastos_com_Pessoal</v>
      </c>
      <c r="S1354" s="697" t="s">
        <v>310</v>
      </c>
      <c r="T1354" s="697" t="s">
        <v>310</v>
      </c>
    </row>
    <row r="1355" spans="1:20" ht="36" x14ac:dyDescent="0.2">
      <c r="A1355" s="432">
        <f>IF(B1355="","",COUNT('Diário 1º PA'!$A$4:$A$2635)+COUNT('Diário 2º PA'!$A$4:$A$3040)+ROW()-3)</f>
        <v>5451</v>
      </c>
      <c r="B1355" s="414">
        <v>44810</v>
      </c>
      <c r="C1355" s="431">
        <v>44774</v>
      </c>
      <c r="D1355" s="415" t="s">
        <v>182</v>
      </c>
      <c r="E1355" s="415" t="s">
        <v>1</v>
      </c>
      <c r="F1355" s="425">
        <v>2095.64</v>
      </c>
      <c r="G1355" s="427" t="s">
        <v>7022</v>
      </c>
      <c r="H1355" s="415" t="s">
        <v>310</v>
      </c>
      <c r="I1355" s="427" t="s">
        <v>935</v>
      </c>
      <c r="J1355" s="415" t="s">
        <v>936</v>
      </c>
      <c r="K1355" s="419" t="s">
        <v>806</v>
      </c>
      <c r="L1355" s="415" t="s">
        <v>909</v>
      </c>
      <c r="M1355" s="415" t="s">
        <v>310</v>
      </c>
      <c r="N1355" s="414">
        <v>44810</v>
      </c>
      <c r="O1355" s="414" t="s">
        <v>400</v>
      </c>
      <c r="P1355" s="655">
        <f t="shared" si="67"/>
        <v>9</v>
      </c>
      <c r="Q1355" s="655">
        <f t="shared" si="68"/>
        <v>8</v>
      </c>
      <c r="R1355" s="695" t="str">
        <f t="shared" si="69"/>
        <v>Gastos_com_Pessoal</v>
      </c>
      <c r="S1355" s="697" t="s">
        <v>310</v>
      </c>
      <c r="T1355" s="697" t="s">
        <v>310</v>
      </c>
    </row>
    <row r="1356" spans="1:20" ht="36" x14ac:dyDescent="0.2">
      <c r="A1356" s="432">
        <f>IF(B1356="","",COUNT('Diário 1º PA'!$A$4:$A$2635)+COUNT('Diário 2º PA'!$A$4:$A$3040)+ROW()-3)</f>
        <v>5452</v>
      </c>
      <c r="B1356" s="414">
        <v>44810</v>
      </c>
      <c r="C1356" s="431">
        <v>44774</v>
      </c>
      <c r="D1356" s="415" t="s">
        <v>182</v>
      </c>
      <c r="E1356" s="415" t="s">
        <v>1</v>
      </c>
      <c r="F1356" s="425">
        <v>3102.92</v>
      </c>
      <c r="G1356" s="427" t="s">
        <v>7025</v>
      </c>
      <c r="H1356" s="415" t="s">
        <v>310</v>
      </c>
      <c r="I1356" s="427" t="s">
        <v>938</v>
      </c>
      <c r="J1356" s="415" t="s">
        <v>939</v>
      </c>
      <c r="K1356" s="419" t="s">
        <v>806</v>
      </c>
      <c r="L1356" s="415" t="s">
        <v>909</v>
      </c>
      <c r="M1356" s="415" t="s">
        <v>310</v>
      </c>
      <c r="N1356" s="414">
        <v>44810</v>
      </c>
      <c r="O1356" s="414" t="s">
        <v>400</v>
      </c>
      <c r="P1356" s="655">
        <f t="shared" si="67"/>
        <v>9</v>
      </c>
      <c r="Q1356" s="655">
        <f t="shared" si="68"/>
        <v>8</v>
      </c>
      <c r="R1356" s="695" t="str">
        <f t="shared" si="69"/>
        <v>Gastos_com_Pessoal</v>
      </c>
      <c r="S1356" s="697" t="s">
        <v>310</v>
      </c>
      <c r="T1356" s="697" t="s">
        <v>310</v>
      </c>
    </row>
    <row r="1357" spans="1:20" ht="36" x14ac:dyDescent="0.2">
      <c r="A1357" s="432">
        <f>IF(B1357="","",COUNT('Diário 1º PA'!$A$4:$A$2635)+COUNT('Diário 2º PA'!$A$4:$A$3040)+ROW()-3)</f>
        <v>5453</v>
      </c>
      <c r="B1357" s="414">
        <v>44810</v>
      </c>
      <c r="C1357" s="431">
        <v>44774</v>
      </c>
      <c r="D1357" s="415" t="s">
        <v>182</v>
      </c>
      <c r="E1357" s="415" t="s">
        <v>1</v>
      </c>
      <c r="F1357" s="425">
        <v>13699.79</v>
      </c>
      <c r="G1357" s="427" t="s">
        <v>7026</v>
      </c>
      <c r="H1357" s="415" t="s">
        <v>310</v>
      </c>
      <c r="I1357" s="427" t="s">
        <v>941</v>
      </c>
      <c r="J1357" s="415" t="s">
        <v>942</v>
      </c>
      <c r="K1357" s="419" t="s">
        <v>806</v>
      </c>
      <c r="L1357" s="415" t="s">
        <v>909</v>
      </c>
      <c r="M1357" s="415" t="s">
        <v>310</v>
      </c>
      <c r="N1357" s="414">
        <v>44810</v>
      </c>
      <c r="O1357" s="414" t="s">
        <v>400</v>
      </c>
      <c r="P1357" s="655">
        <f t="shared" si="67"/>
        <v>9</v>
      </c>
      <c r="Q1357" s="655">
        <f t="shared" si="68"/>
        <v>8</v>
      </c>
      <c r="R1357" s="695" t="str">
        <f t="shared" si="69"/>
        <v>Gastos_com_Pessoal</v>
      </c>
      <c r="S1357" s="697" t="s">
        <v>310</v>
      </c>
      <c r="T1357" s="697" t="s">
        <v>310</v>
      </c>
    </row>
    <row r="1358" spans="1:20" ht="36" x14ac:dyDescent="0.2">
      <c r="A1358" s="432">
        <f>IF(B1358="","",COUNT('Diário 1º PA'!$A$4:$A$2635)+COUNT('Diário 2º PA'!$A$4:$A$3040)+ROW()-3)</f>
        <v>5454</v>
      </c>
      <c r="B1358" s="414">
        <v>44810</v>
      </c>
      <c r="C1358" s="431">
        <v>44774</v>
      </c>
      <c r="D1358" s="415" t="s">
        <v>182</v>
      </c>
      <c r="E1358" s="415" t="s">
        <v>1</v>
      </c>
      <c r="F1358" s="425">
        <v>2095.64</v>
      </c>
      <c r="G1358" s="427" t="s">
        <v>7022</v>
      </c>
      <c r="H1358" s="415" t="s">
        <v>310</v>
      </c>
      <c r="I1358" s="427" t="s">
        <v>943</v>
      </c>
      <c r="J1358" s="415" t="s">
        <v>1553</v>
      </c>
      <c r="K1358" s="419" t="s">
        <v>806</v>
      </c>
      <c r="L1358" s="415" t="s">
        <v>909</v>
      </c>
      <c r="M1358" s="415" t="s">
        <v>310</v>
      </c>
      <c r="N1358" s="414">
        <v>44810</v>
      </c>
      <c r="O1358" s="414" t="s">
        <v>400</v>
      </c>
      <c r="P1358" s="655">
        <f t="shared" si="67"/>
        <v>9</v>
      </c>
      <c r="Q1358" s="655">
        <f t="shared" si="68"/>
        <v>8</v>
      </c>
      <c r="R1358" s="695" t="str">
        <f t="shared" si="69"/>
        <v>Gastos_com_Pessoal</v>
      </c>
      <c r="S1358" s="697" t="s">
        <v>310</v>
      </c>
      <c r="T1358" s="697" t="s">
        <v>310</v>
      </c>
    </row>
    <row r="1359" spans="1:20" ht="36" x14ac:dyDescent="0.2">
      <c r="A1359" s="432">
        <f>IF(B1359="","",COUNT('Diário 1º PA'!$A$4:$A$2635)+COUNT('Diário 2º PA'!$A$4:$A$3040)+ROW()-3)</f>
        <v>5455</v>
      </c>
      <c r="B1359" s="414">
        <v>44810</v>
      </c>
      <c r="C1359" s="431">
        <v>44774</v>
      </c>
      <c r="D1359" s="415" t="s">
        <v>182</v>
      </c>
      <c r="E1359" s="415" t="s">
        <v>1</v>
      </c>
      <c r="F1359" s="425">
        <v>3150.46</v>
      </c>
      <c r="G1359" s="427" t="s">
        <v>7027</v>
      </c>
      <c r="H1359" s="415" t="s">
        <v>310</v>
      </c>
      <c r="I1359" s="427" t="s">
        <v>946</v>
      </c>
      <c r="J1359" s="415" t="s">
        <v>947</v>
      </c>
      <c r="K1359" s="419" t="s">
        <v>806</v>
      </c>
      <c r="L1359" s="415" t="s">
        <v>909</v>
      </c>
      <c r="M1359" s="415" t="s">
        <v>310</v>
      </c>
      <c r="N1359" s="414">
        <v>44810</v>
      </c>
      <c r="O1359" s="414" t="s">
        <v>400</v>
      </c>
      <c r="P1359" s="655">
        <f t="shared" si="67"/>
        <v>9</v>
      </c>
      <c r="Q1359" s="655">
        <f t="shared" si="68"/>
        <v>8</v>
      </c>
      <c r="R1359" s="695" t="str">
        <f t="shared" si="69"/>
        <v>Gastos_com_Pessoal</v>
      </c>
      <c r="S1359" s="697" t="s">
        <v>310</v>
      </c>
      <c r="T1359" s="697" t="s">
        <v>310</v>
      </c>
    </row>
    <row r="1360" spans="1:20" ht="36" x14ac:dyDescent="0.2">
      <c r="A1360" s="432">
        <f>IF(B1360="","",COUNT('Diário 1º PA'!$A$4:$A$2635)+COUNT('Diário 2º PA'!$A$4:$A$3040)+ROW()-3)</f>
        <v>5456</v>
      </c>
      <c r="B1360" s="414">
        <v>44810</v>
      </c>
      <c r="C1360" s="431">
        <v>44774</v>
      </c>
      <c r="D1360" s="415" t="s">
        <v>182</v>
      </c>
      <c r="E1360" s="415" t="s">
        <v>1</v>
      </c>
      <c r="F1360" s="425">
        <v>4254.2</v>
      </c>
      <c r="G1360" s="427" t="s">
        <v>7028</v>
      </c>
      <c r="H1360" s="415" t="s">
        <v>310</v>
      </c>
      <c r="I1360" s="427" t="s">
        <v>949</v>
      </c>
      <c r="J1360" s="415" t="s">
        <v>950</v>
      </c>
      <c r="K1360" s="419" t="s">
        <v>806</v>
      </c>
      <c r="L1360" s="415" t="s">
        <v>909</v>
      </c>
      <c r="M1360" s="415" t="s">
        <v>310</v>
      </c>
      <c r="N1360" s="414">
        <v>44810</v>
      </c>
      <c r="O1360" s="414" t="s">
        <v>400</v>
      </c>
      <c r="P1360" s="655">
        <f t="shared" si="67"/>
        <v>9</v>
      </c>
      <c r="Q1360" s="655">
        <f t="shared" si="68"/>
        <v>8</v>
      </c>
      <c r="R1360" s="695" t="str">
        <f t="shared" si="69"/>
        <v>Gastos_com_Pessoal</v>
      </c>
      <c r="S1360" s="697" t="s">
        <v>310</v>
      </c>
      <c r="T1360" s="697" t="s">
        <v>310</v>
      </c>
    </row>
    <row r="1361" spans="1:20" ht="36" x14ac:dyDescent="0.2">
      <c r="A1361" s="432">
        <f>IF(B1361="","",COUNT('Diário 1º PA'!$A$4:$A$2635)+COUNT('Diário 2º PA'!$A$4:$A$3040)+ROW()-3)</f>
        <v>5457</v>
      </c>
      <c r="B1361" s="414">
        <v>44810</v>
      </c>
      <c r="C1361" s="431">
        <v>44774</v>
      </c>
      <c r="D1361" s="415" t="s">
        <v>182</v>
      </c>
      <c r="E1361" s="415" t="s">
        <v>1</v>
      </c>
      <c r="F1361" s="425">
        <v>3053.79</v>
      </c>
      <c r="G1361" s="440" t="s">
        <v>7029</v>
      </c>
      <c r="H1361" s="415" t="s">
        <v>310</v>
      </c>
      <c r="I1361" s="427" t="s">
        <v>1179</v>
      </c>
      <c r="J1361" s="415" t="s">
        <v>1180</v>
      </c>
      <c r="K1361" s="415" t="s">
        <v>830</v>
      </c>
      <c r="L1361" s="415" t="s">
        <v>909</v>
      </c>
      <c r="M1361" s="415" t="s">
        <v>310</v>
      </c>
      <c r="N1361" s="414">
        <v>44810</v>
      </c>
      <c r="O1361" s="414" t="s">
        <v>400</v>
      </c>
      <c r="P1361" s="655">
        <f t="shared" si="67"/>
        <v>9</v>
      </c>
      <c r="Q1361" s="655">
        <f t="shared" si="68"/>
        <v>8</v>
      </c>
      <c r="R1361" s="695" t="str">
        <f t="shared" si="69"/>
        <v>Gastos_com_Pessoal</v>
      </c>
      <c r="S1361" s="697" t="s">
        <v>310</v>
      </c>
      <c r="T1361" s="697" t="s">
        <v>310</v>
      </c>
    </row>
    <row r="1362" spans="1:20" ht="36" x14ac:dyDescent="0.2">
      <c r="A1362" s="432">
        <f>IF(B1362="","",COUNT('Diário 1º PA'!$A$4:$A$2635)+COUNT('Diário 2º PA'!$A$4:$A$3040)+ROW()-3)</f>
        <v>5458</v>
      </c>
      <c r="B1362" s="414">
        <v>44810</v>
      </c>
      <c r="C1362" s="431">
        <v>44774</v>
      </c>
      <c r="D1362" s="415" t="s">
        <v>182</v>
      </c>
      <c r="E1362" s="415" t="s">
        <v>1</v>
      </c>
      <c r="F1362" s="425">
        <v>2095.64</v>
      </c>
      <c r="G1362" s="440" t="s">
        <v>7030</v>
      </c>
      <c r="H1362" s="415" t="s">
        <v>310</v>
      </c>
      <c r="I1362" s="427" t="s">
        <v>1182</v>
      </c>
      <c r="J1362" s="415" t="s">
        <v>1183</v>
      </c>
      <c r="K1362" s="415" t="s">
        <v>830</v>
      </c>
      <c r="L1362" s="415" t="s">
        <v>909</v>
      </c>
      <c r="M1362" s="415" t="s">
        <v>310</v>
      </c>
      <c r="N1362" s="414">
        <v>44810</v>
      </c>
      <c r="O1362" s="414" t="s">
        <v>400</v>
      </c>
      <c r="P1362" s="655">
        <f t="shared" si="67"/>
        <v>9</v>
      </c>
      <c r="Q1362" s="655">
        <f t="shared" si="68"/>
        <v>8</v>
      </c>
      <c r="R1362" s="695" t="str">
        <f t="shared" si="69"/>
        <v>Gastos_com_Pessoal</v>
      </c>
      <c r="S1362" s="697" t="s">
        <v>310</v>
      </c>
      <c r="T1362" s="697" t="s">
        <v>310</v>
      </c>
    </row>
    <row r="1363" spans="1:20" ht="36" x14ac:dyDescent="0.2">
      <c r="A1363" s="432">
        <f>IF(B1363="","",COUNT('Diário 1º PA'!$A$4:$A$2635)+COUNT('Diário 2º PA'!$A$4:$A$3040)+ROW()-3)</f>
        <v>5459</v>
      </c>
      <c r="B1363" s="414">
        <v>44810</v>
      </c>
      <c r="C1363" s="431">
        <v>44774</v>
      </c>
      <c r="D1363" s="415" t="s">
        <v>182</v>
      </c>
      <c r="E1363" s="415" t="s">
        <v>1</v>
      </c>
      <c r="F1363" s="425">
        <v>3486.99</v>
      </c>
      <c r="G1363" s="427" t="s">
        <v>7031</v>
      </c>
      <c r="H1363" s="415" t="s">
        <v>310</v>
      </c>
      <c r="I1363" s="427" t="s">
        <v>963</v>
      </c>
      <c r="J1363" s="415" t="s">
        <v>964</v>
      </c>
      <c r="K1363" s="415" t="s">
        <v>830</v>
      </c>
      <c r="L1363" s="415" t="s">
        <v>909</v>
      </c>
      <c r="M1363" s="415" t="s">
        <v>310</v>
      </c>
      <c r="N1363" s="414">
        <v>44810</v>
      </c>
      <c r="O1363" s="414" t="s">
        <v>400</v>
      </c>
      <c r="P1363" s="655">
        <f t="shared" si="67"/>
        <v>9</v>
      </c>
      <c r="Q1363" s="655">
        <f t="shared" si="68"/>
        <v>8</v>
      </c>
      <c r="R1363" s="695" t="str">
        <f t="shared" si="69"/>
        <v>Gastos_com_Pessoal</v>
      </c>
      <c r="S1363" s="697" t="s">
        <v>310</v>
      </c>
      <c r="T1363" s="697" t="s">
        <v>310</v>
      </c>
    </row>
    <row r="1364" spans="1:20" ht="36" x14ac:dyDescent="0.2">
      <c r="A1364" s="432">
        <f>IF(B1364="","",COUNT('Diário 1º PA'!$A$4:$A$2635)+COUNT('Diário 2º PA'!$A$4:$A$3040)+ROW()-3)</f>
        <v>5460</v>
      </c>
      <c r="B1364" s="414">
        <v>44810</v>
      </c>
      <c r="C1364" s="431">
        <v>44774</v>
      </c>
      <c r="D1364" s="415" t="s">
        <v>182</v>
      </c>
      <c r="E1364" s="415" t="s">
        <v>1</v>
      </c>
      <c r="F1364" s="435">
        <v>2077.66</v>
      </c>
      <c r="G1364" s="440" t="s">
        <v>7024</v>
      </c>
      <c r="H1364" s="415" t="s">
        <v>310</v>
      </c>
      <c r="I1364" s="437" t="s">
        <v>1167</v>
      </c>
      <c r="J1364" s="434" t="s">
        <v>1168</v>
      </c>
      <c r="K1364" s="415" t="s">
        <v>830</v>
      </c>
      <c r="L1364" s="434" t="s">
        <v>909</v>
      </c>
      <c r="M1364" s="415" t="s">
        <v>310</v>
      </c>
      <c r="N1364" s="414">
        <v>44810</v>
      </c>
      <c r="O1364" s="414" t="s">
        <v>400</v>
      </c>
      <c r="P1364" s="655">
        <f t="shared" si="67"/>
        <v>9</v>
      </c>
      <c r="Q1364" s="655">
        <f t="shared" si="68"/>
        <v>8</v>
      </c>
      <c r="R1364" s="695" t="str">
        <f t="shared" si="69"/>
        <v>Gastos_com_Pessoal</v>
      </c>
      <c r="S1364" s="697" t="s">
        <v>310</v>
      </c>
      <c r="T1364" s="697" t="s">
        <v>310</v>
      </c>
    </row>
    <row r="1365" spans="1:20" ht="36" x14ac:dyDescent="0.2">
      <c r="A1365" s="432">
        <f>IF(B1365="","",COUNT('Diário 1º PA'!$A$4:$A$2635)+COUNT('Diário 2º PA'!$A$4:$A$3040)+ROW()-3)</f>
        <v>5461</v>
      </c>
      <c r="B1365" s="414">
        <v>44810</v>
      </c>
      <c r="C1365" s="431">
        <v>44774</v>
      </c>
      <c r="D1365" s="415" t="s">
        <v>182</v>
      </c>
      <c r="E1365" s="415" t="s">
        <v>1</v>
      </c>
      <c r="F1365" s="425">
        <v>3129.42</v>
      </c>
      <c r="G1365" s="427" t="s">
        <v>7032</v>
      </c>
      <c r="H1365" s="415" t="s">
        <v>310</v>
      </c>
      <c r="I1365" s="427" t="s">
        <v>959</v>
      </c>
      <c r="J1365" s="415" t="s">
        <v>960</v>
      </c>
      <c r="K1365" s="415" t="s">
        <v>830</v>
      </c>
      <c r="L1365" s="415" t="s">
        <v>909</v>
      </c>
      <c r="M1365" s="415" t="s">
        <v>310</v>
      </c>
      <c r="N1365" s="414">
        <v>44810</v>
      </c>
      <c r="O1365" s="414" t="s">
        <v>400</v>
      </c>
      <c r="P1365" s="655">
        <f t="shared" si="67"/>
        <v>9</v>
      </c>
      <c r="Q1365" s="655">
        <f t="shared" si="68"/>
        <v>8</v>
      </c>
      <c r="R1365" s="695" t="str">
        <f t="shared" si="69"/>
        <v>Gastos_com_Pessoal</v>
      </c>
      <c r="S1365" s="697" t="s">
        <v>310</v>
      </c>
      <c r="T1365" s="697" t="s">
        <v>310</v>
      </c>
    </row>
    <row r="1366" spans="1:20" ht="36" x14ac:dyDescent="0.2">
      <c r="A1366" s="432">
        <f>IF(B1366="","",COUNT('Diário 1º PA'!$A$4:$A$2635)+COUNT('Diário 2º PA'!$A$4:$A$3040)+ROW()-3)</f>
        <v>5462</v>
      </c>
      <c r="B1366" s="414">
        <v>44810</v>
      </c>
      <c r="C1366" s="431">
        <v>44774</v>
      </c>
      <c r="D1366" s="415" t="s">
        <v>182</v>
      </c>
      <c r="E1366" s="415" t="s">
        <v>1</v>
      </c>
      <c r="F1366" s="425">
        <v>2261.98</v>
      </c>
      <c r="G1366" s="427" t="s">
        <v>7033</v>
      </c>
      <c r="H1366" s="415" t="s">
        <v>310</v>
      </c>
      <c r="I1366" s="427" t="s">
        <v>972</v>
      </c>
      <c r="J1366" s="415" t="s">
        <v>973</v>
      </c>
      <c r="K1366" s="415" t="s">
        <v>830</v>
      </c>
      <c r="L1366" s="415" t="s">
        <v>909</v>
      </c>
      <c r="M1366" s="415" t="s">
        <v>310</v>
      </c>
      <c r="N1366" s="414">
        <v>44810</v>
      </c>
      <c r="O1366" s="414" t="s">
        <v>400</v>
      </c>
      <c r="P1366" s="655">
        <f t="shared" si="67"/>
        <v>9</v>
      </c>
      <c r="Q1366" s="655">
        <f t="shared" si="68"/>
        <v>8</v>
      </c>
      <c r="R1366" s="695" t="str">
        <f t="shared" si="69"/>
        <v>Gastos_com_Pessoal</v>
      </c>
      <c r="S1366" s="697" t="s">
        <v>310</v>
      </c>
      <c r="T1366" s="697" t="s">
        <v>310</v>
      </c>
    </row>
    <row r="1367" spans="1:20" ht="36" x14ac:dyDescent="0.2">
      <c r="A1367" s="432">
        <f>IF(B1367="","",COUNT('Diário 1º PA'!$A$4:$A$2635)+COUNT('Diário 2º PA'!$A$4:$A$3040)+ROW()-3)</f>
        <v>5463</v>
      </c>
      <c r="B1367" s="414">
        <v>44810</v>
      </c>
      <c r="C1367" s="431">
        <v>44774</v>
      </c>
      <c r="D1367" s="415" t="s">
        <v>182</v>
      </c>
      <c r="E1367" s="415" t="s">
        <v>1</v>
      </c>
      <c r="F1367" s="425">
        <v>1157.17</v>
      </c>
      <c r="G1367" s="440" t="s">
        <v>7034</v>
      </c>
      <c r="H1367" s="415" t="s">
        <v>310</v>
      </c>
      <c r="I1367" s="427" t="s">
        <v>1194</v>
      </c>
      <c r="J1367" s="415" t="s">
        <v>1193</v>
      </c>
      <c r="K1367" s="415" t="s">
        <v>830</v>
      </c>
      <c r="L1367" s="415" t="s">
        <v>909</v>
      </c>
      <c r="M1367" s="415" t="s">
        <v>310</v>
      </c>
      <c r="N1367" s="414">
        <v>44810</v>
      </c>
      <c r="O1367" s="414" t="s">
        <v>400</v>
      </c>
      <c r="P1367" s="655">
        <f t="shared" si="67"/>
        <v>9</v>
      </c>
      <c r="Q1367" s="655">
        <f t="shared" si="68"/>
        <v>8</v>
      </c>
      <c r="R1367" s="695" t="str">
        <f t="shared" si="69"/>
        <v>Gastos_com_Pessoal</v>
      </c>
      <c r="S1367" s="697" t="s">
        <v>310</v>
      </c>
      <c r="T1367" s="697" t="s">
        <v>310</v>
      </c>
    </row>
    <row r="1368" spans="1:20" ht="36" x14ac:dyDescent="0.2">
      <c r="A1368" s="432">
        <f>IF(B1368="","",COUNT('Diário 1º PA'!$A$4:$A$2635)+COUNT('Diário 2º PA'!$A$4:$A$3040)+ROW()-3)</f>
        <v>5464</v>
      </c>
      <c r="B1368" s="414">
        <v>44810</v>
      </c>
      <c r="C1368" s="431">
        <v>44774</v>
      </c>
      <c r="D1368" s="415" t="s">
        <v>182</v>
      </c>
      <c r="E1368" s="415" t="s">
        <v>1</v>
      </c>
      <c r="F1368" s="425">
        <v>2077.66</v>
      </c>
      <c r="G1368" s="440" t="s">
        <v>6308</v>
      </c>
      <c r="H1368" s="415" t="s">
        <v>310</v>
      </c>
      <c r="I1368" s="427" t="s">
        <v>3519</v>
      </c>
      <c r="J1368" s="415" t="s">
        <v>988</v>
      </c>
      <c r="K1368" s="415" t="s">
        <v>830</v>
      </c>
      <c r="L1368" s="415" t="s">
        <v>909</v>
      </c>
      <c r="M1368" s="415" t="s">
        <v>310</v>
      </c>
      <c r="N1368" s="414">
        <v>44810</v>
      </c>
      <c r="O1368" s="414" t="s">
        <v>400</v>
      </c>
      <c r="P1368" s="655">
        <f t="shared" si="67"/>
        <v>9</v>
      </c>
      <c r="Q1368" s="655">
        <f t="shared" si="68"/>
        <v>8</v>
      </c>
      <c r="R1368" s="695" t="str">
        <f t="shared" si="69"/>
        <v>Gastos_com_Pessoal</v>
      </c>
      <c r="S1368" s="697" t="s">
        <v>310</v>
      </c>
      <c r="T1368" s="697" t="s">
        <v>310</v>
      </c>
    </row>
    <row r="1369" spans="1:20" ht="36" x14ac:dyDescent="0.2">
      <c r="A1369" s="432">
        <f>IF(B1369="","",COUNT('Diário 1º PA'!$A$4:$A$2635)+COUNT('Diário 2º PA'!$A$4:$A$3040)+ROW()-3)</f>
        <v>5465</v>
      </c>
      <c r="B1369" s="414">
        <v>44810</v>
      </c>
      <c r="C1369" s="431">
        <v>44774</v>
      </c>
      <c r="D1369" s="415" t="s">
        <v>182</v>
      </c>
      <c r="E1369" s="415" t="s">
        <v>1</v>
      </c>
      <c r="F1369" s="425">
        <v>3147.4</v>
      </c>
      <c r="G1369" s="440" t="s">
        <v>7035</v>
      </c>
      <c r="H1369" s="415" t="s">
        <v>310</v>
      </c>
      <c r="I1369" s="427" t="s">
        <v>3195</v>
      </c>
      <c r="J1369" s="415" t="s">
        <v>3518</v>
      </c>
      <c r="K1369" s="415" t="s">
        <v>830</v>
      </c>
      <c r="L1369" s="415" t="s">
        <v>909</v>
      </c>
      <c r="M1369" s="415" t="s">
        <v>310</v>
      </c>
      <c r="N1369" s="414">
        <v>44810</v>
      </c>
      <c r="O1369" s="414" t="s">
        <v>400</v>
      </c>
      <c r="P1369" s="655">
        <f t="shared" si="67"/>
        <v>9</v>
      </c>
      <c r="Q1369" s="655">
        <f t="shared" si="68"/>
        <v>8</v>
      </c>
      <c r="R1369" s="695" t="str">
        <f t="shared" si="69"/>
        <v>Gastos_com_Pessoal</v>
      </c>
      <c r="S1369" s="697" t="s">
        <v>310</v>
      </c>
      <c r="T1369" s="697" t="s">
        <v>310</v>
      </c>
    </row>
    <row r="1370" spans="1:20" ht="36" x14ac:dyDescent="0.2">
      <c r="A1370" s="432">
        <f>IF(B1370="","",COUNT('Diário 1º PA'!$A$4:$A$2635)+COUNT('Diário 2º PA'!$A$4:$A$3040)+ROW()-3)</f>
        <v>5466</v>
      </c>
      <c r="B1370" s="414">
        <v>44810</v>
      </c>
      <c r="C1370" s="431">
        <v>44774</v>
      </c>
      <c r="D1370" s="415" t="s">
        <v>182</v>
      </c>
      <c r="E1370" s="415" t="s">
        <v>1</v>
      </c>
      <c r="F1370" s="425">
        <v>2077.66</v>
      </c>
      <c r="G1370" s="427" t="s">
        <v>7022</v>
      </c>
      <c r="H1370" s="415" t="s">
        <v>310</v>
      </c>
      <c r="I1370" s="427" t="s">
        <v>954</v>
      </c>
      <c r="J1370" s="415" t="s">
        <v>955</v>
      </c>
      <c r="K1370" s="415" t="s">
        <v>830</v>
      </c>
      <c r="L1370" s="415" t="s">
        <v>909</v>
      </c>
      <c r="M1370" s="415" t="s">
        <v>310</v>
      </c>
      <c r="N1370" s="414">
        <v>44810</v>
      </c>
      <c r="O1370" s="414" t="s">
        <v>400</v>
      </c>
      <c r="P1370" s="655">
        <f t="shared" si="67"/>
        <v>9</v>
      </c>
      <c r="Q1370" s="655">
        <f t="shared" si="68"/>
        <v>8</v>
      </c>
      <c r="R1370" s="695" t="str">
        <f t="shared" si="69"/>
        <v>Gastos_com_Pessoal</v>
      </c>
      <c r="S1370" s="697" t="s">
        <v>310</v>
      </c>
      <c r="T1370" s="697" t="s">
        <v>310</v>
      </c>
    </row>
    <row r="1371" spans="1:20" ht="36" x14ac:dyDescent="0.2">
      <c r="A1371" s="432">
        <f>IF(B1371="","",COUNT('Diário 1º PA'!$A$4:$A$2635)+COUNT('Diário 2º PA'!$A$4:$A$3040)+ROW()-3)</f>
        <v>5467</v>
      </c>
      <c r="B1371" s="414">
        <v>44810</v>
      </c>
      <c r="C1371" s="431">
        <v>44774</v>
      </c>
      <c r="D1371" s="415" t="s">
        <v>182</v>
      </c>
      <c r="E1371" s="415" t="s">
        <v>1</v>
      </c>
      <c r="F1371" s="425">
        <v>2796.53</v>
      </c>
      <c r="G1371" s="440" t="s">
        <v>7036</v>
      </c>
      <c r="H1371" s="415" t="s">
        <v>310</v>
      </c>
      <c r="I1371" s="427" t="s">
        <v>1169</v>
      </c>
      <c r="J1371" s="415" t="s">
        <v>1170</v>
      </c>
      <c r="K1371" s="415" t="s">
        <v>830</v>
      </c>
      <c r="L1371" s="415" t="s">
        <v>909</v>
      </c>
      <c r="M1371" s="415" t="s">
        <v>310</v>
      </c>
      <c r="N1371" s="414">
        <v>44810</v>
      </c>
      <c r="O1371" s="414" t="s">
        <v>400</v>
      </c>
      <c r="P1371" s="655">
        <f t="shared" si="67"/>
        <v>9</v>
      </c>
      <c r="Q1371" s="655">
        <f t="shared" si="68"/>
        <v>8</v>
      </c>
      <c r="R1371" s="695" t="str">
        <f t="shared" si="69"/>
        <v>Gastos_com_Pessoal</v>
      </c>
      <c r="S1371" s="697" t="s">
        <v>310</v>
      </c>
      <c r="T1371" s="697" t="s">
        <v>310</v>
      </c>
    </row>
    <row r="1372" spans="1:20" ht="36" x14ac:dyDescent="0.2">
      <c r="A1372" s="432">
        <f>IF(B1372="","",COUNT('Diário 1º PA'!$A$4:$A$2635)+COUNT('Diário 2º PA'!$A$4:$A$3040)+ROW()-3)</f>
        <v>5468</v>
      </c>
      <c r="B1372" s="414">
        <v>44810</v>
      </c>
      <c r="C1372" s="431">
        <v>44774</v>
      </c>
      <c r="D1372" s="415" t="s">
        <v>182</v>
      </c>
      <c r="E1372" s="415" t="s">
        <v>1</v>
      </c>
      <c r="F1372" s="425">
        <v>1904.49</v>
      </c>
      <c r="G1372" s="440" t="s">
        <v>7022</v>
      </c>
      <c r="H1372" s="415" t="s">
        <v>310</v>
      </c>
      <c r="I1372" s="427" t="s">
        <v>1173</v>
      </c>
      <c r="J1372" s="415" t="s">
        <v>1174</v>
      </c>
      <c r="K1372" s="415" t="s">
        <v>830</v>
      </c>
      <c r="L1372" s="415" t="s">
        <v>909</v>
      </c>
      <c r="M1372" s="415" t="s">
        <v>310</v>
      </c>
      <c r="N1372" s="414">
        <v>44810</v>
      </c>
      <c r="O1372" s="414" t="s">
        <v>400</v>
      </c>
      <c r="P1372" s="655">
        <f t="shared" si="67"/>
        <v>9</v>
      </c>
      <c r="Q1372" s="655">
        <f t="shared" si="68"/>
        <v>8</v>
      </c>
      <c r="R1372" s="695" t="str">
        <f t="shared" si="69"/>
        <v>Gastos_com_Pessoal</v>
      </c>
      <c r="S1372" s="697" t="s">
        <v>310</v>
      </c>
      <c r="T1372" s="697" t="s">
        <v>310</v>
      </c>
    </row>
    <row r="1373" spans="1:20" ht="36" x14ac:dyDescent="0.2">
      <c r="A1373" s="432">
        <f>IF(B1373="","",COUNT('Diário 1º PA'!$A$4:$A$2635)+COUNT('Diário 2º PA'!$A$4:$A$3040)+ROW()-3)</f>
        <v>5469</v>
      </c>
      <c r="B1373" s="414">
        <v>44810</v>
      </c>
      <c r="C1373" s="431">
        <v>44774</v>
      </c>
      <c r="D1373" s="415" t="s">
        <v>182</v>
      </c>
      <c r="E1373" s="415" t="s">
        <v>1</v>
      </c>
      <c r="F1373" s="435">
        <v>3116.01</v>
      </c>
      <c r="G1373" s="440" t="s">
        <v>7035</v>
      </c>
      <c r="H1373" s="415" t="s">
        <v>310</v>
      </c>
      <c r="I1373" s="437" t="s">
        <v>1181</v>
      </c>
      <c r="J1373" s="434" t="s">
        <v>933</v>
      </c>
      <c r="K1373" s="415" t="s">
        <v>830</v>
      </c>
      <c r="L1373" s="434" t="s">
        <v>909</v>
      </c>
      <c r="M1373" s="415" t="s">
        <v>310</v>
      </c>
      <c r="N1373" s="414">
        <v>44810</v>
      </c>
      <c r="O1373" s="414" t="s">
        <v>400</v>
      </c>
      <c r="P1373" s="655">
        <f t="shared" si="67"/>
        <v>9</v>
      </c>
      <c r="Q1373" s="655">
        <f t="shared" si="68"/>
        <v>8</v>
      </c>
      <c r="R1373" s="695" t="str">
        <f t="shared" si="69"/>
        <v>Gastos_com_Pessoal</v>
      </c>
      <c r="S1373" s="697" t="s">
        <v>310</v>
      </c>
      <c r="T1373" s="697" t="s">
        <v>310</v>
      </c>
    </row>
    <row r="1374" spans="1:20" ht="36" x14ac:dyDescent="0.2">
      <c r="A1374" s="432">
        <f>IF(B1374="","",COUNT('Diário 1º PA'!$A$4:$A$2635)+COUNT('Diário 2º PA'!$A$4:$A$3040)+ROW()-3)</f>
        <v>5470</v>
      </c>
      <c r="B1374" s="414">
        <v>44810</v>
      </c>
      <c r="C1374" s="431">
        <v>44774</v>
      </c>
      <c r="D1374" s="415" t="s">
        <v>182</v>
      </c>
      <c r="E1374" s="415" t="s">
        <v>1</v>
      </c>
      <c r="F1374" s="425">
        <v>1976.22</v>
      </c>
      <c r="G1374" s="427" t="s">
        <v>7037</v>
      </c>
      <c r="H1374" s="415" t="s">
        <v>310</v>
      </c>
      <c r="I1374" s="427" t="s">
        <v>969</v>
      </c>
      <c r="J1374" s="415" t="s">
        <v>970</v>
      </c>
      <c r="K1374" s="415" t="s">
        <v>830</v>
      </c>
      <c r="L1374" s="415" t="s">
        <v>909</v>
      </c>
      <c r="M1374" s="415" t="s">
        <v>310</v>
      </c>
      <c r="N1374" s="414">
        <v>44810</v>
      </c>
      <c r="O1374" s="414" t="s">
        <v>400</v>
      </c>
      <c r="P1374" s="655">
        <f t="shared" si="67"/>
        <v>9</v>
      </c>
      <c r="Q1374" s="655">
        <f t="shared" si="68"/>
        <v>8</v>
      </c>
      <c r="R1374" s="695" t="str">
        <f t="shared" si="69"/>
        <v>Gastos_com_Pessoal</v>
      </c>
      <c r="S1374" s="697" t="s">
        <v>310</v>
      </c>
      <c r="T1374" s="697" t="s">
        <v>310</v>
      </c>
    </row>
    <row r="1375" spans="1:20" ht="36" x14ac:dyDescent="0.2">
      <c r="A1375" s="432">
        <f>IF(B1375="","",COUNT('Diário 1º PA'!$A$4:$A$2635)+COUNT('Diário 2º PA'!$A$4:$A$3040)+ROW()-3)</f>
        <v>5471</v>
      </c>
      <c r="B1375" s="414">
        <v>44810</v>
      </c>
      <c r="C1375" s="431">
        <v>44774</v>
      </c>
      <c r="D1375" s="415" t="s">
        <v>182</v>
      </c>
      <c r="E1375" s="415" t="s">
        <v>1</v>
      </c>
      <c r="F1375" s="425">
        <v>3147.4</v>
      </c>
      <c r="G1375" s="427" t="s">
        <v>7035</v>
      </c>
      <c r="H1375" s="415" t="s">
        <v>310</v>
      </c>
      <c r="I1375" s="427" t="s">
        <v>3665</v>
      </c>
      <c r="J1375" s="415" t="s">
        <v>3193</v>
      </c>
      <c r="K1375" s="415" t="s">
        <v>830</v>
      </c>
      <c r="L1375" s="415" t="s">
        <v>909</v>
      </c>
      <c r="M1375" s="415" t="s">
        <v>310</v>
      </c>
      <c r="N1375" s="414">
        <v>44810</v>
      </c>
      <c r="O1375" s="414" t="s">
        <v>400</v>
      </c>
      <c r="P1375" s="655">
        <f t="shared" si="67"/>
        <v>9</v>
      </c>
      <c r="Q1375" s="655">
        <f t="shared" si="68"/>
        <v>8</v>
      </c>
      <c r="R1375" s="695" t="str">
        <f t="shared" si="69"/>
        <v>Gastos_com_Pessoal</v>
      </c>
      <c r="S1375" s="697" t="s">
        <v>310</v>
      </c>
      <c r="T1375" s="697" t="s">
        <v>310</v>
      </c>
    </row>
    <row r="1376" spans="1:20" ht="36" x14ac:dyDescent="0.2">
      <c r="A1376" s="432">
        <f>IF(B1376="","",COUNT('Diário 1º PA'!$A$4:$A$2635)+COUNT('Diário 2º PA'!$A$4:$A$3040)+ROW()-3)</f>
        <v>5472</v>
      </c>
      <c r="B1376" s="414">
        <v>44810</v>
      </c>
      <c r="C1376" s="431">
        <v>44774</v>
      </c>
      <c r="D1376" s="415" t="s">
        <v>182</v>
      </c>
      <c r="E1376" s="415" t="s">
        <v>1</v>
      </c>
      <c r="F1376" s="425">
        <v>1957.64</v>
      </c>
      <c r="G1376" s="427" t="s">
        <v>7024</v>
      </c>
      <c r="H1376" s="415" t="s">
        <v>310</v>
      </c>
      <c r="I1376" s="427" t="s">
        <v>975</v>
      </c>
      <c r="J1376" s="415" t="s">
        <v>1565</v>
      </c>
      <c r="K1376" s="415" t="s">
        <v>830</v>
      </c>
      <c r="L1376" s="415" t="s">
        <v>909</v>
      </c>
      <c r="M1376" s="415" t="s">
        <v>310</v>
      </c>
      <c r="N1376" s="414">
        <v>44810</v>
      </c>
      <c r="O1376" s="414" t="s">
        <v>400</v>
      </c>
      <c r="P1376" s="655">
        <f t="shared" si="67"/>
        <v>9</v>
      </c>
      <c r="Q1376" s="655">
        <f t="shared" si="68"/>
        <v>8</v>
      </c>
      <c r="R1376" s="695" t="str">
        <f t="shared" si="69"/>
        <v>Gastos_com_Pessoal</v>
      </c>
      <c r="S1376" s="697" t="s">
        <v>310</v>
      </c>
      <c r="T1376" s="697" t="s">
        <v>310</v>
      </c>
    </row>
    <row r="1377" spans="1:20" ht="36" x14ac:dyDescent="0.2">
      <c r="A1377" s="432">
        <f>IF(B1377="","",COUNT('Diário 1º PA'!$A$4:$A$2635)+COUNT('Diário 2º PA'!$A$4:$A$3040)+ROW()-3)</f>
        <v>5473</v>
      </c>
      <c r="B1377" s="414">
        <v>44810</v>
      </c>
      <c r="C1377" s="431">
        <v>44774</v>
      </c>
      <c r="D1377" s="415" t="s">
        <v>182</v>
      </c>
      <c r="E1377" s="415" t="s">
        <v>1</v>
      </c>
      <c r="F1377" s="425">
        <v>2093.1999999999998</v>
      </c>
      <c r="G1377" s="440" t="s">
        <v>7022</v>
      </c>
      <c r="H1377" s="415" t="s">
        <v>310</v>
      </c>
      <c r="I1377" s="427" t="s">
        <v>3197</v>
      </c>
      <c r="J1377" s="415" t="s">
        <v>3198</v>
      </c>
      <c r="K1377" s="415" t="s">
        <v>830</v>
      </c>
      <c r="L1377" s="415" t="s">
        <v>909</v>
      </c>
      <c r="M1377" s="415" t="s">
        <v>310</v>
      </c>
      <c r="N1377" s="414">
        <v>44810</v>
      </c>
      <c r="O1377" s="414" t="s">
        <v>400</v>
      </c>
      <c r="P1377" s="655">
        <f t="shared" si="67"/>
        <v>9</v>
      </c>
      <c r="Q1377" s="655">
        <f t="shared" si="68"/>
        <v>8</v>
      </c>
      <c r="R1377" s="695" t="str">
        <f t="shared" si="69"/>
        <v>Gastos_com_Pessoal</v>
      </c>
      <c r="S1377" s="697" t="s">
        <v>310</v>
      </c>
      <c r="T1377" s="697" t="s">
        <v>310</v>
      </c>
    </row>
    <row r="1378" spans="1:20" ht="36" x14ac:dyDescent="0.2">
      <c r="A1378" s="432">
        <f>IF(B1378="","",COUNT('Diário 1º PA'!$A$4:$A$2635)+COUNT('Diário 2º PA'!$A$4:$A$3040)+ROW()-3)</f>
        <v>5474</v>
      </c>
      <c r="B1378" s="414">
        <v>44810</v>
      </c>
      <c r="C1378" s="431">
        <v>44774</v>
      </c>
      <c r="D1378" s="415" t="s">
        <v>182</v>
      </c>
      <c r="E1378" s="415" t="s">
        <v>1</v>
      </c>
      <c r="F1378" s="435">
        <v>3712.78</v>
      </c>
      <c r="G1378" s="440" t="s">
        <v>7038</v>
      </c>
      <c r="H1378" s="415" t="s">
        <v>310</v>
      </c>
      <c r="I1378" s="437" t="s">
        <v>2061</v>
      </c>
      <c r="J1378" s="434" t="s">
        <v>2062</v>
      </c>
      <c r="K1378" s="415" t="s">
        <v>830</v>
      </c>
      <c r="L1378" s="434" t="s">
        <v>909</v>
      </c>
      <c r="M1378" s="415" t="s">
        <v>310</v>
      </c>
      <c r="N1378" s="414">
        <v>44810</v>
      </c>
      <c r="O1378" s="414" t="s">
        <v>400</v>
      </c>
      <c r="P1378" s="655">
        <f t="shared" si="67"/>
        <v>9</v>
      </c>
      <c r="Q1378" s="655">
        <f t="shared" si="68"/>
        <v>8</v>
      </c>
      <c r="R1378" s="695" t="str">
        <f t="shared" si="69"/>
        <v>Gastos_com_Pessoal</v>
      </c>
      <c r="S1378" s="697" t="s">
        <v>310</v>
      </c>
      <c r="T1378" s="697" t="s">
        <v>310</v>
      </c>
    </row>
    <row r="1379" spans="1:20" ht="36" x14ac:dyDescent="0.2">
      <c r="A1379" s="432">
        <f>IF(B1379="","",COUNT('Diário 1º PA'!$A$4:$A$2635)+COUNT('Diário 2º PA'!$A$4:$A$3040)+ROW()-3)</f>
        <v>5475</v>
      </c>
      <c r="B1379" s="414">
        <v>44810</v>
      </c>
      <c r="C1379" s="431">
        <v>44774</v>
      </c>
      <c r="D1379" s="415" t="s">
        <v>182</v>
      </c>
      <c r="E1379" s="415" t="s">
        <v>1</v>
      </c>
      <c r="F1379" s="425">
        <v>2077.66</v>
      </c>
      <c r="G1379" s="427" t="s">
        <v>7039</v>
      </c>
      <c r="H1379" s="415" t="s">
        <v>310</v>
      </c>
      <c r="I1379" s="427" t="s">
        <v>980</v>
      </c>
      <c r="J1379" s="415" t="s">
        <v>981</v>
      </c>
      <c r="K1379" s="415" t="s">
        <v>830</v>
      </c>
      <c r="L1379" s="415" t="s">
        <v>909</v>
      </c>
      <c r="M1379" s="415" t="s">
        <v>310</v>
      </c>
      <c r="N1379" s="414">
        <v>44810</v>
      </c>
      <c r="O1379" s="414" t="s">
        <v>400</v>
      </c>
      <c r="P1379" s="655">
        <f t="shared" si="67"/>
        <v>9</v>
      </c>
      <c r="Q1379" s="655">
        <f t="shared" si="68"/>
        <v>8</v>
      </c>
      <c r="R1379" s="695" t="str">
        <f t="shared" si="69"/>
        <v>Gastos_com_Pessoal</v>
      </c>
      <c r="S1379" s="697" t="s">
        <v>310</v>
      </c>
      <c r="T1379" s="697" t="s">
        <v>310</v>
      </c>
    </row>
    <row r="1380" spans="1:20" ht="36" x14ac:dyDescent="0.2">
      <c r="A1380" s="432">
        <f>IF(B1380="","",COUNT('Diário 1º PA'!$A$4:$A$2635)+COUNT('Diário 2º PA'!$A$4:$A$3040)+ROW()-3)</f>
        <v>5476</v>
      </c>
      <c r="B1380" s="414">
        <v>44810</v>
      </c>
      <c r="C1380" s="431">
        <v>44774</v>
      </c>
      <c r="D1380" s="415" t="s">
        <v>182</v>
      </c>
      <c r="E1380" s="415" t="s">
        <v>1</v>
      </c>
      <c r="F1380" s="425">
        <v>2111.1799999999998</v>
      </c>
      <c r="G1380" s="427" t="s">
        <v>7024</v>
      </c>
      <c r="H1380" s="415" t="s">
        <v>310</v>
      </c>
      <c r="I1380" s="427" t="s">
        <v>994</v>
      </c>
      <c r="J1380" s="415" t="s">
        <v>995</v>
      </c>
      <c r="K1380" s="415" t="s">
        <v>830</v>
      </c>
      <c r="L1380" s="415" t="s">
        <v>909</v>
      </c>
      <c r="M1380" s="415" t="s">
        <v>310</v>
      </c>
      <c r="N1380" s="414">
        <v>44810</v>
      </c>
      <c r="O1380" s="414" t="s">
        <v>400</v>
      </c>
      <c r="P1380" s="655">
        <f t="shared" si="67"/>
        <v>9</v>
      </c>
      <c r="Q1380" s="655">
        <f t="shared" si="68"/>
        <v>8</v>
      </c>
      <c r="R1380" s="695" t="str">
        <f t="shared" si="69"/>
        <v>Gastos_com_Pessoal</v>
      </c>
      <c r="S1380" s="697" t="s">
        <v>310</v>
      </c>
      <c r="T1380" s="697" t="s">
        <v>310</v>
      </c>
    </row>
    <row r="1381" spans="1:20" ht="36" x14ac:dyDescent="0.2">
      <c r="A1381" s="432">
        <f>IF(B1381="","",COUNT('Diário 1º PA'!$A$4:$A$2635)+COUNT('Diário 2º PA'!$A$4:$A$3040)+ROW()-3)</f>
        <v>5477</v>
      </c>
      <c r="B1381" s="414">
        <v>44810</v>
      </c>
      <c r="C1381" s="431">
        <v>44774</v>
      </c>
      <c r="D1381" s="415" t="s">
        <v>182</v>
      </c>
      <c r="E1381" s="415" t="s">
        <v>1</v>
      </c>
      <c r="F1381" s="422">
        <v>2095.64</v>
      </c>
      <c r="G1381" s="427" t="s">
        <v>7039</v>
      </c>
      <c r="H1381" s="419" t="s">
        <v>310</v>
      </c>
      <c r="I1381" s="427" t="s">
        <v>7040</v>
      </c>
      <c r="J1381" s="419" t="s">
        <v>6358</v>
      </c>
      <c r="K1381" s="415" t="s">
        <v>830</v>
      </c>
      <c r="L1381" s="415" t="s">
        <v>909</v>
      </c>
      <c r="M1381" s="415" t="s">
        <v>310</v>
      </c>
      <c r="N1381" s="414">
        <v>44810</v>
      </c>
      <c r="O1381" s="414" t="s">
        <v>400</v>
      </c>
      <c r="P1381" s="655">
        <f t="shared" ref="P1381:P1412" si="70">IF(B1381=0,0,IF(YEAR(B1381)=$Q$1,MONTH(B1381)-$P$1+1,(YEAR(B1381)-$Q$1)*12-$P$1+1+MONTH(B1381)))</f>
        <v>9</v>
      </c>
      <c r="Q1381" s="655">
        <f t="shared" ref="Q1381:Q1412" si="71">IF(C1381=0,0,IF(YEAR(C1381)=$Q$1,MONTH(C1381)-$P$1+1,(YEAR(C1381)-$Q$1)*12-$P$1+1+MONTH(C1381)))</f>
        <v>8</v>
      </c>
      <c r="R1381" s="695" t="str">
        <f t="shared" ref="R1381:R1412" si="72">SUBSTITUTE(D1381," ","_")</f>
        <v>Gastos_com_Pessoal</v>
      </c>
      <c r="S1381" s="697" t="s">
        <v>310</v>
      </c>
      <c r="T1381" s="697" t="s">
        <v>310</v>
      </c>
    </row>
    <row r="1382" spans="1:20" ht="36" x14ac:dyDescent="0.2">
      <c r="A1382" s="432">
        <f>IF(B1382="","",COUNT('Diário 1º PA'!$A$4:$A$2635)+COUNT('Diário 2º PA'!$A$4:$A$3040)+ROW()-3)</f>
        <v>5478</v>
      </c>
      <c r="B1382" s="414">
        <v>44810</v>
      </c>
      <c r="C1382" s="431">
        <v>44774</v>
      </c>
      <c r="D1382" s="415" t="s">
        <v>182</v>
      </c>
      <c r="E1382" s="415" t="s">
        <v>1</v>
      </c>
      <c r="F1382" s="435">
        <v>3147.4</v>
      </c>
      <c r="G1382" s="440" t="s">
        <v>7041</v>
      </c>
      <c r="H1382" s="415" t="s">
        <v>310</v>
      </c>
      <c r="I1382" s="437" t="s">
        <v>1184</v>
      </c>
      <c r="J1382" s="434" t="s">
        <v>1185</v>
      </c>
      <c r="K1382" s="415" t="s">
        <v>830</v>
      </c>
      <c r="L1382" s="434" t="s">
        <v>909</v>
      </c>
      <c r="M1382" s="415" t="s">
        <v>310</v>
      </c>
      <c r="N1382" s="414">
        <v>44810</v>
      </c>
      <c r="O1382" s="414" t="s">
        <v>400</v>
      </c>
      <c r="P1382" s="655">
        <f t="shared" si="70"/>
        <v>9</v>
      </c>
      <c r="Q1382" s="655">
        <f t="shared" si="71"/>
        <v>8</v>
      </c>
      <c r="R1382" s="695" t="str">
        <f t="shared" si="72"/>
        <v>Gastos_com_Pessoal</v>
      </c>
      <c r="S1382" s="697" t="s">
        <v>310</v>
      </c>
      <c r="T1382" s="697" t="s">
        <v>310</v>
      </c>
    </row>
    <row r="1383" spans="1:20" ht="36" x14ac:dyDescent="0.2">
      <c r="A1383" s="432">
        <f>IF(B1383="","",COUNT('Diário 1º PA'!$A$4:$A$2635)+COUNT('Diário 2º PA'!$A$4:$A$3040)+ROW()-3)</f>
        <v>5479</v>
      </c>
      <c r="B1383" s="414">
        <v>44810</v>
      </c>
      <c r="C1383" s="431">
        <v>44774</v>
      </c>
      <c r="D1383" s="415" t="s">
        <v>182</v>
      </c>
      <c r="E1383" s="415" t="s">
        <v>1</v>
      </c>
      <c r="F1383" s="425">
        <v>3129.42</v>
      </c>
      <c r="G1383" s="427" t="s">
        <v>7041</v>
      </c>
      <c r="H1383" s="415" t="s">
        <v>310</v>
      </c>
      <c r="I1383" s="427" t="s">
        <v>977</v>
      </c>
      <c r="J1383" s="415" t="s">
        <v>978</v>
      </c>
      <c r="K1383" s="415" t="s">
        <v>830</v>
      </c>
      <c r="L1383" s="415" t="s">
        <v>909</v>
      </c>
      <c r="M1383" s="415" t="s">
        <v>310</v>
      </c>
      <c r="N1383" s="414">
        <v>44810</v>
      </c>
      <c r="O1383" s="414" t="s">
        <v>400</v>
      </c>
      <c r="P1383" s="655">
        <f t="shared" si="70"/>
        <v>9</v>
      </c>
      <c r="Q1383" s="655">
        <f t="shared" si="71"/>
        <v>8</v>
      </c>
      <c r="R1383" s="695" t="str">
        <f t="shared" si="72"/>
        <v>Gastos_com_Pessoal</v>
      </c>
      <c r="S1383" s="697" t="s">
        <v>310</v>
      </c>
      <c r="T1383" s="697" t="s">
        <v>310</v>
      </c>
    </row>
    <row r="1384" spans="1:20" ht="36" x14ac:dyDescent="0.2">
      <c r="A1384" s="432">
        <f>IF(B1384="","",COUNT('Diário 1º PA'!$A$4:$A$2635)+COUNT('Diário 2º PA'!$A$4:$A$3040)+ROW()-3)</f>
        <v>5480</v>
      </c>
      <c r="B1384" s="414">
        <v>44810</v>
      </c>
      <c r="C1384" s="431">
        <v>44774</v>
      </c>
      <c r="D1384" s="415" t="s">
        <v>182</v>
      </c>
      <c r="E1384" s="415" t="s">
        <v>1</v>
      </c>
      <c r="F1384" s="425">
        <v>2077.66</v>
      </c>
      <c r="G1384" s="440" t="s">
        <v>7022</v>
      </c>
      <c r="H1384" s="415" t="s">
        <v>310</v>
      </c>
      <c r="I1384" s="427" t="s">
        <v>1171</v>
      </c>
      <c r="J1384" s="415" t="s">
        <v>1172</v>
      </c>
      <c r="K1384" s="415" t="s">
        <v>830</v>
      </c>
      <c r="L1384" s="415" t="s">
        <v>909</v>
      </c>
      <c r="M1384" s="415" t="s">
        <v>310</v>
      </c>
      <c r="N1384" s="414">
        <v>44810</v>
      </c>
      <c r="O1384" s="414" t="s">
        <v>400</v>
      </c>
      <c r="P1384" s="655">
        <f t="shared" si="70"/>
        <v>9</v>
      </c>
      <c r="Q1384" s="655">
        <f t="shared" si="71"/>
        <v>8</v>
      </c>
      <c r="R1384" s="695" t="str">
        <f t="shared" si="72"/>
        <v>Gastos_com_Pessoal</v>
      </c>
      <c r="S1384" s="697" t="s">
        <v>310</v>
      </c>
      <c r="T1384" s="697" t="s">
        <v>310</v>
      </c>
    </row>
    <row r="1385" spans="1:20" ht="36" x14ac:dyDescent="0.2">
      <c r="A1385" s="432">
        <f>IF(B1385="","",COUNT('Diário 1º PA'!$A$4:$A$2635)+COUNT('Diário 2º PA'!$A$4:$A$3040)+ROW()-3)</f>
        <v>5481</v>
      </c>
      <c r="B1385" s="414">
        <v>44810</v>
      </c>
      <c r="C1385" s="431">
        <v>44774</v>
      </c>
      <c r="D1385" s="415" t="s">
        <v>182</v>
      </c>
      <c r="E1385" s="415" t="s">
        <v>1</v>
      </c>
      <c r="F1385" s="425">
        <v>1957.64</v>
      </c>
      <c r="G1385" s="427" t="s">
        <v>7035</v>
      </c>
      <c r="H1385" s="415" t="s">
        <v>310</v>
      </c>
      <c r="I1385" s="427" t="s">
        <v>996</v>
      </c>
      <c r="J1385" s="415" t="s">
        <v>997</v>
      </c>
      <c r="K1385" s="415" t="s">
        <v>830</v>
      </c>
      <c r="L1385" s="415" t="s">
        <v>909</v>
      </c>
      <c r="M1385" s="415" t="s">
        <v>310</v>
      </c>
      <c r="N1385" s="414">
        <v>44810</v>
      </c>
      <c r="O1385" s="414" t="s">
        <v>400</v>
      </c>
      <c r="P1385" s="655">
        <f t="shared" si="70"/>
        <v>9</v>
      </c>
      <c r="Q1385" s="655">
        <f t="shared" si="71"/>
        <v>8</v>
      </c>
      <c r="R1385" s="695" t="str">
        <f t="shared" si="72"/>
        <v>Gastos_com_Pessoal</v>
      </c>
      <c r="S1385" s="697" t="s">
        <v>310</v>
      </c>
      <c r="T1385" s="697" t="s">
        <v>310</v>
      </c>
    </row>
    <row r="1386" spans="1:20" ht="36" x14ac:dyDescent="0.2">
      <c r="A1386" s="432">
        <f>IF(B1386="","",COUNT('Diário 1º PA'!$A$4:$A$2635)+COUNT('Diário 2º PA'!$A$4:$A$3040)+ROW()-3)</f>
        <v>5482</v>
      </c>
      <c r="B1386" s="414">
        <v>44810</v>
      </c>
      <c r="C1386" s="431">
        <v>44774</v>
      </c>
      <c r="D1386" s="415" t="s">
        <v>182</v>
      </c>
      <c r="E1386" s="415" t="s">
        <v>1</v>
      </c>
      <c r="F1386" s="425">
        <v>2010.61</v>
      </c>
      <c r="G1386" s="427" t="s">
        <v>7042</v>
      </c>
      <c r="H1386" s="415" t="s">
        <v>310</v>
      </c>
      <c r="I1386" s="427" t="s">
        <v>961</v>
      </c>
      <c r="J1386" s="415" t="s">
        <v>962</v>
      </c>
      <c r="K1386" s="415" t="s">
        <v>830</v>
      </c>
      <c r="L1386" s="415" t="s">
        <v>909</v>
      </c>
      <c r="M1386" s="415" t="s">
        <v>310</v>
      </c>
      <c r="N1386" s="414">
        <v>44810</v>
      </c>
      <c r="O1386" s="414" t="s">
        <v>400</v>
      </c>
      <c r="P1386" s="655">
        <f t="shared" si="70"/>
        <v>9</v>
      </c>
      <c r="Q1386" s="655">
        <f t="shared" si="71"/>
        <v>8</v>
      </c>
      <c r="R1386" s="695" t="str">
        <f t="shared" si="72"/>
        <v>Gastos_com_Pessoal</v>
      </c>
      <c r="S1386" s="697" t="s">
        <v>310</v>
      </c>
      <c r="T1386" s="697" t="s">
        <v>310</v>
      </c>
    </row>
    <row r="1387" spans="1:20" ht="36" x14ac:dyDescent="0.2">
      <c r="A1387" s="432">
        <f>IF(B1387="","",COUNT('Diário 1º PA'!$A$4:$A$2635)+COUNT('Diário 2º PA'!$A$4:$A$3040)+ROW()-3)</f>
        <v>5483</v>
      </c>
      <c r="B1387" s="414">
        <v>44810</v>
      </c>
      <c r="C1387" s="431">
        <v>44774</v>
      </c>
      <c r="D1387" s="415" t="s">
        <v>182</v>
      </c>
      <c r="E1387" s="415" t="s">
        <v>1</v>
      </c>
      <c r="F1387" s="425">
        <v>1830.17</v>
      </c>
      <c r="G1387" s="427" t="s">
        <v>7039</v>
      </c>
      <c r="H1387" s="415" t="s">
        <v>310</v>
      </c>
      <c r="I1387" s="427" t="s">
        <v>982</v>
      </c>
      <c r="J1387" s="415" t="s">
        <v>983</v>
      </c>
      <c r="K1387" s="415" t="s">
        <v>830</v>
      </c>
      <c r="L1387" s="415" t="s">
        <v>909</v>
      </c>
      <c r="M1387" s="415" t="s">
        <v>310</v>
      </c>
      <c r="N1387" s="414">
        <v>44810</v>
      </c>
      <c r="O1387" s="414" t="s">
        <v>400</v>
      </c>
      <c r="P1387" s="655">
        <f t="shared" si="70"/>
        <v>9</v>
      </c>
      <c r="Q1387" s="655">
        <f t="shared" si="71"/>
        <v>8</v>
      </c>
      <c r="R1387" s="695" t="str">
        <f t="shared" si="72"/>
        <v>Gastos_com_Pessoal</v>
      </c>
      <c r="S1387" s="697" t="s">
        <v>310</v>
      </c>
      <c r="T1387" s="697" t="s">
        <v>310</v>
      </c>
    </row>
    <row r="1388" spans="1:20" ht="36" x14ac:dyDescent="0.2">
      <c r="A1388" s="432">
        <f>IF(B1388="","",COUNT('Diário 1º PA'!$A$4:$A$2635)+COUNT('Diário 2º PA'!$A$4:$A$3040)+ROW()-3)</f>
        <v>5484</v>
      </c>
      <c r="B1388" s="414">
        <v>44810</v>
      </c>
      <c r="C1388" s="431">
        <v>44774</v>
      </c>
      <c r="D1388" s="415" t="s">
        <v>182</v>
      </c>
      <c r="E1388" s="415" t="s">
        <v>1</v>
      </c>
      <c r="F1388" s="425">
        <v>1844.46</v>
      </c>
      <c r="G1388" s="440" t="s">
        <v>7022</v>
      </c>
      <c r="H1388" s="415" t="s">
        <v>310</v>
      </c>
      <c r="I1388" s="427" t="s">
        <v>1175</v>
      </c>
      <c r="J1388" s="415" t="s">
        <v>1176</v>
      </c>
      <c r="K1388" s="415" t="s">
        <v>830</v>
      </c>
      <c r="L1388" s="415" t="s">
        <v>909</v>
      </c>
      <c r="M1388" s="415" t="s">
        <v>310</v>
      </c>
      <c r="N1388" s="414">
        <v>44810</v>
      </c>
      <c r="O1388" s="414" t="s">
        <v>400</v>
      </c>
      <c r="P1388" s="655">
        <f t="shared" si="70"/>
        <v>9</v>
      </c>
      <c r="Q1388" s="655">
        <f t="shared" si="71"/>
        <v>8</v>
      </c>
      <c r="R1388" s="695" t="str">
        <f t="shared" si="72"/>
        <v>Gastos_com_Pessoal</v>
      </c>
      <c r="S1388" s="697" t="s">
        <v>310</v>
      </c>
      <c r="T1388" s="697" t="s">
        <v>310</v>
      </c>
    </row>
    <row r="1389" spans="1:20" ht="36" x14ac:dyDescent="0.2">
      <c r="A1389" s="432">
        <f>IF(B1389="","",COUNT('Diário 1º PA'!$A$4:$A$2635)+COUNT('Diário 2º PA'!$A$4:$A$3040)+ROW()-3)</f>
        <v>5485</v>
      </c>
      <c r="B1389" s="414">
        <v>44810</v>
      </c>
      <c r="C1389" s="431">
        <v>44774</v>
      </c>
      <c r="D1389" s="415" t="s">
        <v>182</v>
      </c>
      <c r="E1389" s="415" t="s">
        <v>1</v>
      </c>
      <c r="F1389" s="425">
        <v>1670.11</v>
      </c>
      <c r="G1389" s="440" t="s">
        <v>7045</v>
      </c>
      <c r="H1389" s="415" t="s">
        <v>310</v>
      </c>
      <c r="I1389" s="427" t="s">
        <v>1196</v>
      </c>
      <c r="J1389" s="415" t="s">
        <v>1195</v>
      </c>
      <c r="K1389" s="415" t="s">
        <v>830</v>
      </c>
      <c r="L1389" s="415" t="s">
        <v>909</v>
      </c>
      <c r="M1389" s="415" t="s">
        <v>310</v>
      </c>
      <c r="N1389" s="414">
        <v>44810</v>
      </c>
      <c r="O1389" s="414" t="s">
        <v>400</v>
      </c>
      <c r="P1389" s="655">
        <f t="shared" si="70"/>
        <v>9</v>
      </c>
      <c r="Q1389" s="655">
        <f t="shared" si="71"/>
        <v>8</v>
      </c>
      <c r="R1389" s="695" t="str">
        <f t="shared" si="72"/>
        <v>Gastos_com_Pessoal</v>
      </c>
      <c r="S1389" s="697" t="s">
        <v>310</v>
      </c>
      <c r="T1389" s="697" t="s">
        <v>310</v>
      </c>
    </row>
    <row r="1390" spans="1:20" ht="36" x14ac:dyDescent="0.2">
      <c r="A1390" s="432">
        <f>IF(B1390="","",COUNT('Diário 1º PA'!$A$4:$A$2635)+COUNT('Diário 2º PA'!$A$4:$A$3040)+ROW()-3)</f>
        <v>5486</v>
      </c>
      <c r="B1390" s="414">
        <v>44810</v>
      </c>
      <c r="C1390" s="431">
        <v>44774</v>
      </c>
      <c r="D1390" s="415" t="s">
        <v>182</v>
      </c>
      <c r="E1390" s="415" t="s">
        <v>1</v>
      </c>
      <c r="F1390" s="425">
        <v>1886.02</v>
      </c>
      <c r="G1390" s="440" t="s">
        <v>7043</v>
      </c>
      <c r="H1390" s="415" t="s">
        <v>310</v>
      </c>
      <c r="I1390" s="427" t="s">
        <v>1198</v>
      </c>
      <c r="J1390" s="415" t="s">
        <v>1197</v>
      </c>
      <c r="K1390" s="415" t="s">
        <v>830</v>
      </c>
      <c r="L1390" s="415" t="s">
        <v>909</v>
      </c>
      <c r="M1390" s="415" t="s">
        <v>310</v>
      </c>
      <c r="N1390" s="414">
        <v>44810</v>
      </c>
      <c r="O1390" s="414" t="s">
        <v>400</v>
      </c>
      <c r="P1390" s="655">
        <f t="shared" si="70"/>
        <v>9</v>
      </c>
      <c r="Q1390" s="655">
        <f t="shared" si="71"/>
        <v>8</v>
      </c>
      <c r="R1390" s="695" t="str">
        <f t="shared" si="72"/>
        <v>Gastos_com_Pessoal</v>
      </c>
      <c r="S1390" s="697" t="s">
        <v>310</v>
      </c>
      <c r="T1390" s="697" t="s">
        <v>310</v>
      </c>
    </row>
    <row r="1391" spans="1:20" ht="36" x14ac:dyDescent="0.2">
      <c r="A1391" s="432">
        <f>IF(B1391="","",COUNT('Diário 1º PA'!$A$4:$A$2635)+COUNT('Diário 2º PA'!$A$4:$A$3040)+ROW()-3)</f>
        <v>5487</v>
      </c>
      <c r="B1391" s="414">
        <v>44810</v>
      </c>
      <c r="C1391" s="431">
        <v>44774</v>
      </c>
      <c r="D1391" s="415" t="s">
        <v>182</v>
      </c>
      <c r="E1391" s="415" t="s">
        <v>1</v>
      </c>
      <c r="F1391" s="425">
        <v>11753.48</v>
      </c>
      <c r="G1391" s="427" t="s">
        <v>7044</v>
      </c>
      <c r="H1391" s="415" t="s">
        <v>310</v>
      </c>
      <c r="I1391" s="427" t="s">
        <v>990</v>
      </c>
      <c r="J1391" s="415" t="s">
        <v>991</v>
      </c>
      <c r="K1391" s="415" t="s">
        <v>830</v>
      </c>
      <c r="L1391" s="415" t="s">
        <v>909</v>
      </c>
      <c r="M1391" s="415" t="s">
        <v>310</v>
      </c>
      <c r="N1391" s="414">
        <v>44810</v>
      </c>
      <c r="O1391" s="414" t="s">
        <v>400</v>
      </c>
      <c r="P1391" s="655">
        <f t="shared" si="70"/>
        <v>9</v>
      </c>
      <c r="Q1391" s="655">
        <f t="shared" si="71"/>
        <v>8</v>
      </c>
      <c r="R1391" s="695" t="str">
        <f t="shared" si="72"/>
        <v>Gastos_com_Pessoal</v>
      </c>
      <c r="S1391" s="697" t="s">
        <v>310</v>
      </c>
      <c r="T1391" s="697" t="s">
        <v>310</v>
      </c>
    </row>
    <row r="1392" spans="1:20" ht="36" x14ac:dyDescent="0.2">
      <c r="A1392" s="432">
        <f>IF(B1392="","",COUNT('Diário 1º PA'!$A$4:$A$2635)+COUNT('Diário 2º PA'!$A$4:$A$3040)+ROW()-3)</f>
        <v>5488</v>
      </c>
      <c r="B1392" s="414">
        <v>44810</v>
      </c>
      <c r="C1392" s="431">
        <v>44774</v>
      </c>
      <c r="D1392" s="415" t="s">
        <v>182</v>
      </c>
      <c r="E1392" s="415" t="s">
        <v>1</v>
      </c>
      <c r="F1392" s="425">
        <v>3116.01</v>
      </c>
      <c r="G1392" s="440" t="s">
        <v>7041</v>
      </c>
      <c r="H1392" s="415" t="s">
        <v>310</v>
      </c>
      <c r="I1392" s="427" t="s">
        <v>1186</v>
      </c>
      <c r="J1392" s="415" t="s">
        <v>1187</v>
      </c>
      <c r="K1392" s="415" t="s">
        <v>830</v>
      </c>
      <c r="L1392" s="415" t="s">
        <v>909</v>
      </c>
      <c r="M1392" s="415" t="s">
        <v>310</v>
      </c>
      <c r="N1392" s="414">
        <v>44810</v>
      </c>
      <c r="O1392" s="414" t="s">
        <v>400</v>
      </c>
      <c r="P1392" s="655">
        <f t="shared" si="70"/>
        <v>9</v>
      </c>
      <c r="Q1392" s="655">
        <f t="shared" si="71"/>
        <v>8</v>
      </c>
      <c r="R1392" s="695" t="str">
        <f t="shared" si="72"/>
        <v>Gastos_com_Pessoal</v>
      </c>
      <c r="S1392" s="697" t="s">
        <v>310</v>
      </c>
      <c r="T1392" s="697" t="s">
        <v>310</v>
      </c>
    </row>
    <row r="1393" spans="1:20" ht="36" x14ac:dyDescent="0.2">
      <c r="A1393" s="432">
        <f>IF(B1393="","",COUNT('Diário 1º PA'!$A$4:$A$2635)+COUNT('Diário 2º PA'!$A$4:$A$3040)+ROW()-3)</f>
        <v>5489</v>
      </c>
      <c r="B1393" s="414">
        <v>44810</v>
      </c>
      <c r="C1393" s="431">
        <v>44774</v>
      </c>
      <c r="D1393" s="415" t="s">
        <v>182</v>
      </c>
      <c r="E1393" s="415" t="s">
        <v>1</v>
      </c>
      <c r="F1393" s="425">
        <v>2746.32</v>
      </c>
      <c r="G1393" s="440" t="s">
        <v>7041</v>
      </c>
      <c r="H1393" s="415" t="s">
        <v>310</v>
      </c>
      <c r="I1393" s="427" t="s">
        <v>1188</v>
      </c>
      <c r="J1393" s="415" t="s">
        <v>1189</v>
      </c>
      <c r="K1393" s="415" t="s">
        <v>830</v>
      </c>
      <c r="L1393" s="415" t="s">
        <v>909</v>
      </c>
      <c r="M1393" s="415" t="s">
        <v>310</v>
      </c>
      <c r="N1393" s="414">
        <v>44810</v>
      </c>
      <c r="O1393" s="414" t="s">
        <v>400</v>
      </c>
      <c r="P1393" s="655">
        <f t="shared" si="70"/>
        <v>9</v>
      </c>
      <c r="Q1393" s="655">
        <f t="shared" si="71"/>
        <v>8</v>
      </c>
      <c r="R1393" s="695" t="str">
        <f t="shared" si="72"/>
        <v>Gastos_com_Pessoal</v>
      </c>
      <c r="S1393" s="697" t="s">
        <v>310</v>
      </c>
      <c r="T1393" s="697" t="s">
        <v>310</v>
      </c>
    </row>
    <row r="1394" spans="1:20" ht="36" x14ac:dyDescent="0.2">
      <c r="A1394" s="432">
        <f>IF(B1394="","",COUNT('Diário 1º PA'!$A$4:$A$2635)+COUNT('Diário 2º PA'!$A$4:$A$3040)+ROW()-3)</f>
        <v>5490</v>
      </c>
      <c r="B1394" s="414">
        <v>44810</v>
      </c>
      <c r="C1394" s="431">
        <v>44774</v>
      </c>
      <c r="D1394" s="415" t="s">
        <v>182</v>
      </c>
      <c r="E1394" s="415" t="s">
        <v>1</v>
      </c>
      <c r="F1394" s="425">
        <v>3093.76</v>
      </c>
      <c r="G1394" s="427" t="s">
        <v>7046</v>
      </c>
      <c r="H1394" s="415" t="s">
        <v>310</v>
      </c>
      <c r="I1394" s="427" t="s">
        <v>985</v>
      </c>
      <c r="J1394" s="415" t="s">
        <v>986</v>
      </c>
      <c r="K1394" s="415" t="s">
        <v>830</v>
      </c>
      <c r="L1394" s="415" t="s">
        <v>909</v>
      </c>
      <c r="M1394" s="415" t="s">
        <v>310</v>
      </c>
      <c r="N1394" s="414">
        <v>44810</v>
      </c>
      <c r="O1394" s="414" t="s">
        <v>400</v>
      </c>
      <c r="P1394" s="655">
        <f t="shared" si="70"/>
        <v>9</v>
      </c>
      <c r="Q1394" s="655">
        <f t="shared" si="71"/>
        <v>8</v>
      </c>
      <c r="R1394" s="695" t="str">
        <f t="shared" si="72"/>
        <v>Gastos_com_Pessoal</v>
      </c>
      <c r="S1394" s="697" t="s">
        <v>310</v>
      </c>
      <c r="T1394" s="697" t="s">
        <v>310</v>
      </c>
    </row>
    <row r="1395" spans="1:20" ht="36" x14ac:dyDescent="0.2">
      <c r="A1395" s="432">
        <f>IF(B1395="","",COUNT('Diário 1º PA'!$A$4:$A$2635)+COUNT('Diário 2º PA'!$A$4:$A$3040)+ROW()-3)</f>
        <v>5491</v>
      </c>
      <c r="B1395" s="414">
        <v>44810</v>
      </c>
      <c r="C1395" s="431">
        <v>44774</v>
      </c>
      <c r="D1395" s="415" t="s">
        <v>182</v>
      </c>
      <c r="E1395" s="415" t="s">
        <v>1</v>
      </c>
      <c r="F1395" s="425">
        <v>2077.66</v>
      </c>
      <c r="G1395" s="440" t="s">
        <v>7022</v>
      </c>
      <c r="H1395" s="415" t="s">
        <v>310</v>
      </c>
      <c r="I1395" s="639" t="s">
        <v>1190</v>
      </c>
      <c r="J1395" s="399" t="s">
        <v>1191</v>
      </c>
      <c r="K1395" s="415" t="s">
        <v>830</v>
      </c>
      <c r="L1395" s="415" t="s">
        <v>909</v>
      </c>
      <c r="M1395" s="415" t="s">
        <v>310</v>
      </c>
      <c r="N1395" s="414">
        <v>44810</v>
      </c>
      <c r="O1395" s="414" t="s">
        <v>400</v>
      </c>
      <c r="P1395" s="655">
        <f t="shared" si="70"/>
        <v>9</v>
      </c>
      <c r="Q1395" s="655">
        <f t="shared" si="71"/>
        <v>8</v>
      </c>
      <c r="R1395" s="695" t="str">
        <f t="shared" si="72"/>
        <v>Gastos_com_Pessoal</v>
      </c>
      <c r="S1395" s="697" t="s">
        <v>310</v>
      </c>
      <c r="T1395" s="697" t="s">
        <v>310</v>
      </c>
    </row>
    <row r="1396" spans="1:20" ht="36" x14ac:dyDescent="0.2">
      <c r="A1396" s="432">
        <f>IF(B1396="","",COUNT('Diário 1º PA'!$A$4:$A$2635)+COUNT('Diário 2º PA'!$A$4:$A$3040)+ROW()-3)</f>
        <v>5492</v>
      </c>
      <c r="B1396" s="414">
        <v>44810</v>
      </c>
      <c r="C1396" s="431">
        <v>44774</v>
      </c>
      <c r="D1396" s="415" t="s">
        <v>182</v>
      </c>
      <c r="E1396" s="415" t="s">
        <v>1</v>
      </c>
      <c r="F1396" s="425">
        <v>11757.99</v>
      </c>
      <c r="G1396" s="427" t="s">
        <v>7047</v>
      </c>
      <c r="H1396" s="415" t="s">
        <v>310</v>
      </c>
      <c r="I1396" s="427" t="s">
        <v>952</v>
      </c>
      <c r="J1396" s="415" t="s">
        <v>953</v>
      </c>
      <c r="K1396" s="415" t="s">
        <v>830</v>
      </c>
      <c r="L1396" s="415" t="s">
        <v>909</v>
      </c>
      <c r="M1396" s="415" t="s">
        <v>310</v>
      </c>
      <c r="N1396" s="414">
        <v>44810</v>
      </c>
      <c r="O1396" s="414" t="s">
        <v>400</v>
      </c>
      <c r="P1396" s="655">
        <f t="shared" si="70"/>
        <v>9</v>
      </c>
      <c r="Q1396" s="655">
        <f t="shared" si="71"/>
        <v>8</v>
      </c>
      <c r="R1396" s="695" t="str">
        <f t="shared" si="72"/>
        <v>Gastos_com_Pessoal</v>
      </c>
      <c r="S1396" s="697" t="s">
        <v>310</v>
      </c>
      <c r="T1396" s="697" t="s">
        <v>310</v>
      </c>
    </row>
    <row r="1397" spans="1:20" ht="36" x14ac:dyDescent="0.2">
      <c r="A1397" s="432">
        <f>IF(B1397="","",COUNT('Diário 1º PA'!$A$4:$A$2635)+COUNT('Diário 2º PA'!$A$4:$A$3040)+ROW()-3)</f>
        <v>5493</v>
      </c>
      <c r="B1397" s="414">
        <v>44810</v>
      </c>
      <c r="C1397" s="431">
        <v>44774</v>
      </c>
      <c r="D1397" s="415" t="s">
        <v>182</v>
      </c>
      <c r="E1397" s="415" t="s">
        <v>1</v>
      </c>
      <c r="F1397" s="425">
        <v>2020.09</v>
      </c>
      <c r="G1397" s="427" t="s">
        <v>7022</v>
      </c>
      <c r="H1397" s="415" t="s">
        <v>310</v>
      </c>
      <c r="I1397" s="427" t="s">
        <v>992</v>
      </c>
      <c r="J1397" s="415" t="s">
        <v>993</v>
      </c>
      <c r="K1397" s="415" t="s">
        <v>830</v>
      </c>
      <c r="L1397" s="415" t="s">
        <v>909</v>
      </c>
      <c r="M1397" s="415" t="s">
        <v>310</v>
      </c>
      <c r="N1397" s="414">
        <v>44810</v>
      </c>
      <c r="O1397" s="414" t="s">
        <v>400</v>
      </c>
      <c r="P1397" s="655">
        <f t="shared" si="70"/>
        <v>9</v>
      </c>
      <c r="Q1397" s="655">
        <f t="shared" si="71"/>
        <v>8</v>
      </c>
      <c r="R1397" s="695" t="str">
        <f t="shared" si="72"/>
        <v>Gastos_com_Pessoal</v>
      </c>
      <c r="S1397" s="697" t="s">
        <v>310</v>
      </c>
      <c r="T1397" s="697" t="s">
        <v>310</v>
      </c>
    </row>
    <row r="1398" spans="1:20" ht="36" x14ac:dyDescent="0.2">
      <c r="A1398" s="432">
        <f>IF(B1398="","",COUNT('Diário 1º PA'!$A$4:$A$2635)+COUNT('Diário 2º PA'!$A$4:$A$3040)+ROW()-3)</f>
        <v>5494</v>
      </c>
      <c r="B1398" s="414">
        <v>44810</v>
      </c>
      <c r="C1398" s="431">
        <v>44774</v>
      </c>
      <c r="D1398" s="415" t="s">
        <v>182</v>
      </c>
      <c r="E1398" s="415" t="s">
        <v>1</v>
      </c>
      <c r="F1398" s="425">
        <v>1619.7</v>
      </c>
      <c r="G1398" s="427" t="s">
        <v>7023</v>
      </c>
      <c r="H1398" s="415" t="s">
        <v>310</v>
      </c>
      <c r="I1398" s="427" t="s">
        <v>828</v>
      </c>
      <c r="J1398" s="415" t="s">
        <v>829</v>
      </c>
      <c r="K1398" s="415" t="s">
        <v>830</v>
      </c>
      <c r="L1398" s="415" t="s">
        <v>909</v>
      </c>
      <c r="M1398" s="415" t="s">
        <v>310</v>
      </c>
      <c r="N1398" s="414">
        <v>44810</v>
      </c>
      <c r="O1398" s="414" t="s">
        <v>400</v>
      </c>
      <c r="P1398" s="655">
        <f t="shared" si="70"/>
        <v>9</v>
      </c>
      <c r="Q1398" s="655">
        <f t="shared" si="71"/>
        <v>8</v>
      </c>
      <c r="R1398" s="695" t="str">
        <f t="shared" si="72"/>
        <v>Gastos_com_Pessoal</v>
      </c>
      <c r="S1398" s="697" t="s">
        <v>310</v>
      </c>
      <c r="T1398" s="697" t="s">
        <v>310</v>
      </c>
    </row>
    <row r="1399" spans="1:20" ht="36" x14ac:dyDescent="0.2">
      <c r="A1399" s="432">
        <f>IF(B1399="","",COUNT('Diário 1º PA'!$A$4:$A$2635)+COUNT('Diário 2º PA'!$A$4:$A$3040)+ROW()-3)</f>
        <v>5495</v>
      </c>
      <c r="B1399" s="414">
        <v>44810</v>
      </c>
      <c r="C1399" s="431">
        <v>44774</v>
      </c>
      <c r="D1399" s="415" t="s">
        <v>182</v>
      </c>
      <c r="E1399" s="415" t="s">
        <v>1</v>
      </c>
      <c r="F1399" s="425">
        <v>2095.64</v>
      </c>
      <c r="G1399" s="440" t="s">
        <v>6308</v>
      </c>
      <c r="H1399" s="415" t="s">
        <v>310</v>
      </c>
      <c r="I1399" s="427" t="s">
        <v>1202</v>
      </c>
      <c r="J1399" s="415" t="s">
        <v>1201</v>
      </c>
      <c r="K1399" s="415" t="s">
        <v>830</v>
      </c>
      <c r="L1399" s="415" t="s">
        <v>909</v>
      </c>
      <c r="M1399" s="415" t="s">
        <v>310</v>
      </c>
      <c r="N1399" s="414">
        <v>44810</v>
      </c>
      <c r="O1399" s="414" t="s">
        <v>400</v>
      </c>
      <c r="P1399" s="655">
        <f t="shared" si="70"/>
        <v>9</v>
      </c>
      <c r="Q1399" s="655">
        <f t="shared" si="71"/>
        <v>8</v>
      </c>
      <c r="R1399" s="695" t="str">
        <f t="shared" si="72"/>
        <v>Gastos_com_Pessoal</v>
      </c>
      <c r="S1399" s="697" t="s">
        <v>310</v>
      </c>
      <c r="T1399" s="697" t="s">
        <v>310</v>
      </c>
    </row>
    <row r="1400" spans="1:20" ht="36" x14ac:dyDescent="0.2">
      <c r="A1400" s="432">
        <f>IF(B1400="","",COUNT('Diário 1º PA'!$A$4:$A$2635)+COUNT('Diário 2º PA'!$A$4:$A$3040)+ROW()-3)</f>
        <v>5496</v>
      </c>
      <c r="B1400" s="414">
        <v>44810</v>
      </c>
      <c r="C1400" s="431">
        <v>44774</v>
      </c>
      <c r="D1400" s="415" t="s">
        <v>182</v>
      </c>
      <c r="E1400" s="415" t="s">
        <v>1</v>
      </c>
      <c r="F1400" s="425">
        <v>2059.64</v>
      </c>
      <c r="G1400" s="440" t="s">
        <v>7048</v>
      </c>
      <c r="H1400" s="415" t="s">
        <v>310</v>
      </c>
      <c r="I1400" s="427" t="s">
        <v>1203</v>
      </c>
      <c r="J1400" s="415" t="s">
        <v>1201</v>
      </c>
      <c r="K1400" s="415" t="s">
        <v>830</v>
      </c>
      <c r="L1400" s="415" t="s">
        <v>909</v>
      </c>
      <c r="M1400" s="415" t="s">
        <v>310</v>
      </c>
      <c r="N1400" s="414">
        <v>44810</v>
      </c>
      <c r="O1400" s="414" t="s">
        <v>400</v>
      </c>
      <c r="P1400" s="655">
        <f t="shared" si="70"/>
        <v>9</v>
      </c>
      <c r="Q1400" s="655">
        <f t="shared" si="71"/>
        <v>8</v>
      </c>
      <c r="R1400" s="695" t="str">
        <f t="shared" si="72"/>
        <v>Gastos_com_Pessoal</v>
      </c>
      <c r="S1400" s="697" t="s">
        <v>310</v>
      </c>
      <c r="T1400" s="697" t="s">
        <v>310</v>
      </c>
    </row>
    <row r="1401" spans="1:20" ht="36" x14ac:dyDescent="0.2">
      <c r="A1401" s="432">
        <f>IF(B1401="","",COUNT('Diário 1º PA'!$A$4:$A$2635)+COUNT('Diário 2º PA'!$A$4:$A$3040)+ROW()-3)</f>
        <v>5497</v>
      </c>
      <c r="B1401" s="414">
        <v>44810</v>
      </c>
      <c r="C1401" s="431">
        <v>44774</v>
      </c>
      <c r="D1401" s="415" t="s">
        <v>182</v>
      </c>
      <c r="E1401" s="415" t="s">
        <v>1</v>
      </c>
      <c r="F1401" s="425">
        <v>1991.64</v>
      </c>
      <c r="G1401" s="440" t="s">
        <v>7049</v>
      </c>
      <c r="H1401" s="415" t="s">
        <v>310</v>
      </c>
      <c r="I1401" s="427" t="s">
        <v>1205</v>
      </c>
      <c r="J1401" s="415" t="s">
        <v>1204</v>
      </c>
      <c r="K1401" s="415" t="s">
        <v>830</v>
      </c>
      <c r="L1401" s="415" t="s">
        <v>909</v>
      </c>
      <c r="M1401" s="415" t="s">
        <v>310</v>
      </c>
      <c r="N1401" s="414">
        <v>44810</v>
      </c>
      <c r="O1401" s="414" t="s">
        <v>400</v>
      </c>
      <c r="P1401" s="655">
        <f t="shared" si="70"/>
        <v>9</v>
      </c>
      <c r="Q1401" s="655">
        <f t="shared" si="71"/>
        <v>8</v>
      </c>
      <c r="R1401" s="695" t="str">
        <f t="shared" si="72"/>
        <v>Gastos_com_Pessoal</v>
      </c>
      <c r="S1401" s="697" t="s">
        <v>310</v>
      </c>
      <c r="T1401" s="697" t="s">
        <v>310</v>
      </c>
    </row>
    <row r="1402" spans="1:20" ht="36" x14ac:dyDescent="0.2">
      <c r="A1402" s="432">
        <f>IF(B1402="","",COUNT('Diário 1º PA'!$A$4:$A$2635)+COUNT('Diário 2º PA'!$A$4:$A$3040)+ROW()-3)</f>
        <v>5498</v>
      </c>
      <c r="B1402" s="414">
        <v>44810</v>
      </c>
      <c r="C1402" s="431">
        <v>44774</v>
      </c>
      <c r="D1402" s="415" t="s">
        <v>182</v>
      </c>
      <c r="E1402" s="415" t="s">
        <v>1</v>
      </c>
      <c r="F1402" s="425">
        <v>484.8</v>
      </c>
      <c r="G1402" s="440" t="s">
        <v>7051</v>
      </c>
      <c r="H1402" s="415" t="s">
        <v>310</v>
      </c>
      <c r="I1402" s="473" t="s">
        <v>6297</v>
      </c>
      <c r="J1402" s="415" t="s">
        <v>6298</v>
      </c>
      <c r="K1402" s="415" t="s">
        <v>830</v>
      </c>
      <c r="L1402" s="415" t="s">
        <v>909</v>
      </c>
      <c r="M1402" s="415" t="s">
        <v>310</v>
      </c>
      <c r="N1402" s="414">
        <v>44810</v>
      </c>
      <c r="O1402" s="414" t="s">
        <v>400</v>
      </c>
      <c r="P1402" s="655">
        <f t="shared" si="70"/>
        <v>9</v>
      </c>
      <c r="Q1402" s="655">
        <f t="shared" si="71"/>
        <v>8</v>
      </c>
      <c r="R1402" s="695" t="str">
        <f t="shared" si="72"/>
        <v>Gastos_com_Pessoal</v>
      </c>
      <c r="S1402" s="697" t="s">
        <v>310</v>
      </c>
      <c r="T1402" s="697" t="s">
        <v>310</v>
      </c>
    </row>
    <row r="1403" spans="1:20" ht="36" x14ac:dyDescent="0.2">
      <c r="A1403" s="432">
        <f>IF(B1403="","",COUNT('Diário 1º PA'!$A$4:$A$2635)+COUNT('Diário 2º PA'!$A$4:$A$3040)+ROW()-3)</f>
        <v>5499</v>
      </c>
      <c r="B1403" s="414">
        <v>44810</v>
      </c>
      <c r="C1403" s="431">
        <v>44774</v>
      </c>
      <c r="D1403" s="415" t="s">
        <v>182</v>
      </c>
      <c r="E1403" s="415" t="s">
        <v>1</v>
      </c>
      <c r="F1403" s="425">
        <v>2938.86</v>
      </c>
      <c r="G1403" s="427" t="s">
        <v>7035</v>
      </c>
      <c r="H1403" s="415" t="s">
        <v>310</v>
      </c>
      <c r="I1403" s="427" t="s">
        <v>996</v>
      </c>
      <c r="J1403" s="415" t="s">
        <v>997</v>
      </c>
      <c r="K1403" s="415" t="s">
        <v>830</v>
      </c>
      <c r="L1403" s="415" t="s">
        <v>909</v>
      </c>
      <c r="M1403" s="415" t="s">
        <v>310</v>
      </c>
      <c r="N1403" s="414">
        <v>44810</v>
      </c>
      <c r="O1403" s="414" t="s">
        <v>400</v>
      </c>
      <c r="P1403" s="655">
        <f t="shared" si="70"/>
        <v>9</v>
      </c>
      <c r="Q1403" s="655">
        <f t="shared" si="71"/>
        <v>8</v>
      </c>
      <c r="R1403" s="695" t="str">
        <f t="shared" si="72"/>
        <v>Gastos_com_Pessoal</v>
      </c>
      <c r="S1403" s="697" t="s">
        <v>310</v>
      </c>
      <c r="T1403" s="697" t="s">
        <v>310</v>
      </c>
    </row>
    <row r="1404" spans="1:20" ht="36" x14ac:dyDescent="0.2">
      <c r="A1404" s="432">
        <f>IF(B1404="","",COUNT('Diário 1º PA'!$A$4:$A$2635)+COUNT('Diário 2º PA'!$A$4:$A$3040)+ROW()-3)</f>
        <v>5500</v>
      </c>
      <c r="B1404" s="414">
        <v>44810</v>
      </c>
      <c r="C1404" s="431">
        <v>44774</v>
      </c>
      <c r="D1404" s="415" t="s">
        <v>182</v>
      </c>
      <c r="E1404" s="415" t="s">
        <v>1</v>
      </c>
      <c r="F1404" s="425">
        <v>2857.98</v>
      </c>
      <c r="G1404" s="440" t="s">
        <v>7041</v>
      </c>
      <c r="H1404" s="415" t="s">
        <v>310</v>
      </c>
      <c r="I1404" s="427" t="s">
        <v>1192</v>
      </c>
      <c r="J1404" s="434" t="s">
        <v>1191</v>
      </c>
      <c r="K1404" s="415" t="s">
        <v>830</v>
      </c>
      <c r="L1404" s="415" t="s">
        <v>909</v>
      </c>
      <c r="M1404" s="415" t="s">
        <v>310</v>
      </c>
      <c r="N1404" s="414">
        <v>44810</v>
      </c>
      <c r="O1404" s="414" t="s">
        <v>400</v>
      </c>
      <c r="P1404" s="655">
        <f t="shared" si="70"/>
        <v>9</v>
      </c>
      <c r="Q1404" s="655">
        <f t="shared" si="71"/>
        <v>8</v>
      </c>
      <c r="R1404" s="695" t="str">
        <f t="shared" si="72"/>
        <v>Gastos_com_Pessoal</v>
      </c>
      <c r="S1404" s="697" t="s">
        <v>310</v>
      </c>
      <c r="T1404" s="697" t="s">
        <v>310</v>
      </c>
    </row>
    <row r="1405" spans="1:20" ht="36" x14ac:dyDescent="0.2">
      <c r="A1405" s="432">
        <f>IF(B1405="","",COUNT('Diário 1º PA'!$A$4:$A$2635)+COUNT('Diário 2º PA'!$A$4:$A$3040)+ROW()-3)</f>
        <v>5501</v>
      </c>
      <c r="B1405" s="414">
        <v>44810</v>
      </c>
      <c r="C1405" s="431">
        <v>44774</v>
      </c>
      <c r="D1405" s="415" t="s">
        <v>182</v>
      </c>
      <c r="E1405" s="415" t="s">
        <v>1</v>
      </c>
      <c r="F1405" s="425">
        <v>1424.57</v>
      </c>
      <c r="G1405" s="440" t="s">
        <v>7022</v>
      </c>
      <c r="H1405" s="415" t="s">
        <v>310</v>
      </c>
      <c r="I1405" s="427" t="s">
        <v>1200</v>
      </c>
      <c r="J1405" s="415" t="s">
        <v>1201</v>
      </c>
      <c r="K1405" s="415" t="s">
        <v>830</v>
      </c>
      <c r="L1405" s="415" t="s">
        <v>909</v>
      </c>
      <c r="M1405" s="415" t="s">
        <v>310</v>
      </c>
      <c r="N1405" s="414">
        <v>44810</v>
      </c>
      <c r="O1405" s="414" t="s">
        <v>400</v>
      </c>
      <c r="P1405" s="655">
        <f t="shared" si="70"/>
        <v>9</v>
      </c>
      <c r="Q1405" s="655">
        <f t="shared" si="71"/>
        <v>8</v>
      </c>
      <c r="R1405" s="695" t="str">
        <f t="shared" si="72"/>
        <v>Gastos_com_Pessoal</v>
      </c>
      <c r="S1405" s="697" t="s">
        <v>310</v>
      </c>
      <c r="T1405" s="697" t="s">
        <v>310</v>
      </c>
    </row>
    <row r="1406" spans="1:20" ht="44.25" customHeight="1" x14ac:dyDescent="0.2">
      <c r="A1406" s="432">
        <f>IF(B1406="","",COUNT('Diário 1º PA'!$A$4:$A$2635)+COUNT('Diário 2º PA'!$A$4:$A$3040)+ROW()-3)</f>
        <v>5502</v>
      </c>
      <c r="B1406" s="414">
        <v>44810</v>
      </c>
      <c r="C1406" s="431">
        <v>44774</v>
      </c>
      <c r="D1406" s="415" t="s">
        <v>182</v>
      </c>
      <c r="E1406" s="415" t="s">
        <v>4</v>
      </c>
      <c r="F1406" s="425">
        <v>21220.11</v>
      </c>
      <c r="G1406" s="440" t="s">
        <v>7052</v>
      </c>
      <c r="H1406" s="415" t="s">
        <v>310</v>
      </c>
      <c r="I1406" s="398" t="s">
        <v>1219</v>
      </c>
      <c r="J1406" s="418" t="s">
        <v>310</v>
      </c>
      <c r="K1406" s="418" t="s">
        <v>1220</v>
      </c>
      <c r="L1406" s="399" t="s">
        <v>4</v>
      </c>
      <c r="M1406" s="543" t="s">
        <v>310</v>
      </c>
      <c r="N1406" s="414">
        <v>44810</v>
      </c>
      <c r="O1406" s="414" t="s">
        <v>400</v>
      </c>
      <c r="P1406" s="655">
        <f t="shared" si="70"/>
        <v>9</v>
      </c>
      <c r="Q1406" s="655">
        <f t="shared" si="71"/>
        <v>8</v>
      </c>
      <c r="R1406" s="695" t="str">
        <f t="shared" si="72"/>
        <v>Gastos_com_Pessoal</v>
      </c>
      <c r="S1406" s="697" t="s">
        <v>310</v>
      </c>
      <c r="T1406" s="697" t="s">
        <v>310</v>
      </c>
    </row>
    <row r="1407" spans="1:20" ht="24" x14ac:dyDescent="0.2">
      <c r="A1407" s="432">
        <f>IF(B1407="","",COUNT('Diário 1º PA'!$A$4:$A$2635)+COUNT('Diário 2º PA'!$A$4:$A$3040)+ROW()-3)</f>
        <v>5503</v>
      </c>
      <c r="B1407" s="414">
        <v>44810</v>
      </c>
      <c r="C1407" s="433">
        <v>44774</v>
      </c>
      <c r="D1407" s="415" t="s">
        <v>271</v>
      </c>
      <c r="E1407" s="415" t="s">
        <v>85</v>
      </c>
      <c r="F1407" s="425">
        <v>85.34</v>
      </c>
      <c r="G1407" s="437" t="s">
        <v>5715</v>
      </c>
      <c r="H1407" s="415" t="s">
        <v>750</v>
      </c>
      <c r="I1407" s="474" t="s">
        <v>765</v>
      </c>
      <c r="J1407" s="434" t="s">
        <v>892</v>
      </c>
      <c r="K1407" s="415" t="s">
        <v>893</v>
      </c>
      <c r="L1407" s="415" t="s">
        <v>807</v>
      </c>
      <c r="M1407" s="415">
        <v>84969998</v>
      </c>
      <c r="N1407" s="414">
        <v>44790</v>
      </c>
      <c r="O1407" s="414" t="s">
        <v>400</v>
      </c>
      <c r="P1407" s="655">
        <f t="shared" si="70"/>
        <v>9</v>
      </c>
      <c r="Q1407" s="655">
        <f t="shared" si="71"/>
        <v>8</v>
      </c>
      <c r="R1407" s="695" t="str">
        <f t="shared" si="72"/>
        <v>Gastos_Gerais</v>
      </c>
      <c r="S1407" s="697" t="s">
        <v>310</v>
      </c>
      <c r="T1407" s="697" t="s">
        <v>310</v>
      </c>
    </row>
    <row r="1408" spans="1:20" ht="36" x14ac:dyDescent="0.2">
      <c r="A1408" s="432">
        <f>IF(B1408="","",COUNT('Diário 1º PA'!$A$4:$A$2635)+COUNT('Diário 2º PA'!$A$4:$A$3040)+ROW()-3)</f>
        <v>5504</v>
      </c>
      <c r="B1408" s="414">
        <v>44810</v>
      </c>
      <c r="C1408" s="431">
        <v>44774</v>
      </c>
      <c r="D1408" s="415" t="s">
        <v>271</v>
      </c>
      <c r="E1408" s="415" t="s">
        <v>297</v>
      </c>
      <c r="F1408" s="425">
        <v>33.799999999999997</v>
      </c>
      <c r="G1408" s="427" t="s">
        <v>7016</v>
      </c>
      <c r="H1408" s="415" t="s">
        <v>751</v>
      </c>
      <c r="I1408" s="415" t="s">
        <v>7053</v>
      </c>
      <c r="J1408" s="415" t="s">
        <v>7017</v>
      </c>
      <c r="K1408" s="419" t="s">
        <v>830</v>
      </c>
      <c r="L1408" s="415" t="s">
        <v>32</v>
      </c>
      <c r="M1408" s="419">
        <v>462</v>
      </c>
      <c r="N1408" s="414">
        <v>44810</v>
      </c>
      <c r="O1408" s="414" t="s">
        <v>400</v>
      </c>
      <c r="P1408" s="655">
        <f t="shared" si="70"/>
        <v>9</v>
      </c>
      <c r="Q1408" s="655">
        <f t="shared" si="71"/>
        <v>8</v>
      </c>
      <c r="R1408" s="695" t="str">
        <f t="shared" si="72"/>
        <v>Gastos_Gerais</v>
      </c>
      <c r="S1408" s="697" t="s">
        <v>998</v>
      </c>
      <c r="T1408" s="697">
        <v>4328</v>
      </c>
    </row>
    <row r="1409" spans="1:20" ht="36" x14ac:dyDescent="0.2">
      <c r="A1409" s="432">
        <f>IF(B1409="","",COUNT('Diário 1º PA'!$A$4:$A$2635)+COUNT('Diário 2º PA'!$A$4:$A$3040)+ROW()-3)</f>
        <v>5505</v>
      </c>
      <c r="B1409" s="414">
        <v>44810</v>
      </c>
      <c r="C1409" s="431">
        <v>44774</v>
      </c>
      <c r="D1409" s="415" t="s">
        <v>182</v>
      </c>
      <c r="E1409" s="415" t="s">
        <v>1</v>
      </c>
      <c r="F1409" s="425">
        <v>1957.64</v>
      </c>
      <c r="G1409" s="440" t="s">
        <v>7054</v>
      </c>
      <c r="H1409" s="415" t="s">
        <v>310</v>
      </c>
      <c r="I1409" s="473" t="s">
        <v>6317</v>
      </c>
      <c r="J1409" s="415" t="s">
        <v>6318</v>
      </c>
      <c r="K1409" s="415" t="s">
        <v>830</v>
      </c>
      <c r="L1409" s="415" t="s">
        <v>909</v>
      </c>
      <c r="M1409" s="415" t="s">
        <v>310</v>
      </c>
      <c r="N1409" s="414">
        <v>44810</v>
      </c>
      <c r="O1409" s="414" t="s">
        <v>400</v>
      </c>
      <c r="P1409" s="655">
        <f t="shared" si="70"/>
        <v>9</v>
      </c>
      <c r="Q1409" s="655">
        <f t="shared" si="71"/>
        <v>8</v>
      </c>
      <c r="R1409" s="695" t="str">
        <f t="shared" si="72"/>
        <v>Gastos_com_Pessoal</v>
      </c>
      <c r="S1409" s="697" t="s">
        <v>310</v>
      </c>
      <c r="T1409" s="697" t="s">
        <v>310</v>
      </c>
    </row>
    <row r="1410" spans="1:20" ht="36" x14ac:dyDescent="0.2">
      <c r="A1410" s="432">
        <f>IF(B1410="","",COUNT('Diário 1º PA'!$A$4:$A$2635)+COUNT('Diário 2º PA'!$A$4:$A$3040)+ROW()-3)</f>
        <v>5506</v>
      </c>
      <c r="B1410" s="414">
        <v>44810</v>
      </c>
      <c r="C1410" s="431">
        <v>44774</v>
      </c>
      <c r="D1410" s="415" t="s">
        <v>182</v>
      </c>
      <c r="E1410" s="415" t="s">
        <v>1</v>
      </c>
      <c r="F1410" s="425">
        <v>2095.64</v>
      </c>
      <c r="G1410" s="440" t="s">
        <v>7054</v>
      </c>
      <c r="H1410" s="415" t="s">
        <v>310</v>
      </c>
      <c r="I1410" s="724" t="s">
        <v>6359</v>
      </c>
      <c r="J1410" s="415" t="s">
        <v>6311</v>
      </c>
      <c r="K1410" s="415" t="s">
        <v>830</v>
      </c>
      <c r="L1410" s="415" t="s">
        <v>909</v>
      </c>
      <c r="M1410" s="415" t="s">
        <v>310</v>
      </c>
      <c r="N1410" s="414">
        <v>44810</v>
      </c>
      <c r="O1410" s="414" t="s">
        <v>400</v>
      </c>
      <c r="P1410" s="655">
        <f t="shared" si="70"/>
        <v>9</v>
      </c>
      <c r="Q1410" s="655">
        <f t="shared" si="71"/>
        <v>8</v>
      </c>
      <c r="R1410" s="695" t="str">
        <f t="shared" si="72"/>
        <v>Gastos_com_Pessoal</v>
      </c>
      <c r="S1410" s="697" t="s">
        <v>310</v>
      </c>
      <c r="T1410" s="697" t="s">
        <v>310</v>
      </c>
    </row>
    <row r="1411" spans="1:20" ht="36" x14ac:dyDescent="0.2">
      <c r="A1411" s="432">
        <f>IF(B1411="","",COUNT('Diário 1º PA'!$A$4:$A$2635)+COUNT('Diário 2º PA'!$A$4:$A$3040)+ROW()-3)</f>
        <v>5507</v>
      </c>
      <c r="B1411" s="414">
        <v>44810</v>
      </c>
      <c r="C1411" s="431">
        <v>44774</v>
      </c>
      <c r="D1411" s="415" t="s">
        <v>182</v>
      </c>
      <c r="E1411" s="415" t="s">
        <v>1</v>
      </c>
      <c r="F1411" s="422">
        <v>2888.02</v>
      </c>
      <c r="G1411" s="440" t="s">
        <v>7055</v>
      </c>
      <c r="H1411" s="415" t="s">
        <v>310</v>
      </c>
      <c r="I1411" s="415" t="s">
        <v>5864</v>
      </c>
      <c r="J1411" s="419" t="s">
        <v>5865</v>
      </c>
      <c r="K1411" s="415" t="s">
        <v>830</v>
      </c>
      <c r="L1411" s="415" t="s">
        <v>909</v>
      </c>
      <c r="M1411" s="415" t="s">
        <v>310</v>
      </c>
      <c r="N1411" s="414">
        <v>44810</v>
      </c>
      <c r="O1411" s="414" t="s">
        <v>400</v>
      </c>
      <c r="P1411" s="655">
        <f t="shared" si="70"/>
        <v>9</v>
      </c>
      <c r="Q1411" s="655">
        <f t="shared" si="71"/>
        <v>8</v>
      </c>
      <c r="R1411" s="695" t="str">
        <f t="shared" si="72"/>
        <v>Gastos_com_Pessoal</v>
      </c>
      <c r="S1411" s="697" t="s">
        <v>310</v>
      </c>
      <c r="T1411" s="697" t="s">
        <v>310</v>
      </c>
    </row>
    <row r="1412" spans="1:20" ht="36" x14ac:dyDescent="0.2">
      <c r="A1412" s="432">
        <f>IF(B1412="","",COUNT('Diário 1º PA'!$A$4:$A$2635)+COUNT('Diário 2º PA'!$A$4:$A$3040)+ROW()-3)</f>
        <v>5508</v>
      </c>
      <c r="B1412" s="414">
        <v>44810</v>
      </c>
      <c r="C1412" s="431">
        <v>44774</v>
      </c>
      <c r="D1412" s="415" t="s">
        <v>182</v>
      </c>
      <c r="E1412" s="415" t="s">
        <v>1</v>
      </c>
      <c r="F1412" s="425">
        <v>1116.92</v>
      </c>
      <c r="G1412" s="440" t="s">
        <v>7056</v>
      </c>
      <c r="H1412" s="415" t="s">
        <v>310</v>
      </c>
      <c r="I1412" s="427" t="s">
        <v>1207</v>
      </c>
      <c r="J1412" s="415" t="s">
        <v>1206</v>
      </c>
      <c r="K1412" s="415" t="s">
        <v>6327</v>
      </c>
      <c r="L1412" s="415" t="s">
        <v>909</v>
      </c>
      <c r="M1412" s="415" t="s">
        <v>310</v>
      </c>
      <c r="N1412" s="414">
        <v>44810</v>
      </c>
      <c r="O1412" s="414" t="s">
        <v>400</v>
      </c>
      <c r="P1412" s="655">
        <f t="shared" si="70"/>
        <v>9</v>
      </c>
      <c r="Q1412" s="655">
        <f t="shared" si="71"/>
        <v>8</v>
      </c>
      <c r="R1412" s="695" t="str">
        <f t="shared" si="72"/>
        <v>Gastos_com_Pessoal</v>
      </c>
      <c r="S1412" s="697" t="s">
        <v>310</v>
      </c>
      <c r="T1412" s="697" t="s">
        <v>310</v>
      </c>
    </row>
    <row r="1413" spans="1:20" ht="24" x14ac:dyDescent="0.2">
      <c r="A1413" s="432">
        <f>IF(B1413="","",COUNT('Diário 1º PA'!$A$4:$A$2635)+COUNT('Diário 2º PA'!$A$4:$A$3040)+ROW()-3)</f>
        <v>5509</v>
      </c>
      <c r="B1413" s="414">
        <v>44810</v>
      </c>
      <c r="C1413" s="431">
        <v>44805</v>
      </c>
      <c r="D1413" s="415" t="s">
        <v>271</v>
      </c>
      <c r="E1413" s="415" t="s">
        <v>71</v>
      </c>
      <c r="F1413" s="425">
        <v>11</v>
      </c>
      <c r="G1413" s="440" t="s">
        <v>7060</v>
      </c>
      <c r="H1413" s="415" t="s">
        <v>310</v>
      </c>
      <c r="I1413" s="398" t="s">
        <v>881</v>
      </c>
      <c r="J1413" s="418" t="s">
        <v>882</v>
      </c>
      <c r="K1413" s="418" t="s">
        <v>883</v>
      </c>
      <c r="L1413" s="399" t="s">
        <v>798</v>
      </c>
      <c r="M1413" s="544" t="s">
        <v>310</v>
      </c>
      <c r="N1413" s="414">
        <v>44810</v>
      </c>
      <c r="O1413" s="414" t="s">
        <v>400</v>
      </c>
      <c r="P1413" s="655">
        <f t="shared" ref="P1413:P1444" si="73">IF(B1413=0,0,IF(YEAR(B1413)=$Q$1,MONTH(B1413)-$P$1+1,(YEAR(B1413)-$Q$1)*12-$P$1+1+MONTH(B1413)))</f>
        <v>9</v>
      </c>
      <c r="Q1413" s="655">
        <f t="shared" ref="Q1413:Q1444" si="74">IF(C1413=0,0,IF(YEAR(C1413)=$Q$1,MONTH(C1413)-$P$1+1,(YEAR(C1413)-$Q$1)*12-$P$1+1+MONTH(C1413)))</f>
        <v>9</v>
      </c>
      <c r="R1413" s="695" t="str">
        <f t="shared" ref="R1413:R1444" si="75">SUBSTITUTE(D1413," ","_")</f>
        <v>Gastos_Gerais</v>
      </c>
      <c r="S1413" s="697" t="s">
        <v>310</v>
      </c>
      <c r="T1413" s="697" t="s">
        <v>310</v>
      </c>
    </row>
    <row r="1414" spans="1:20" ht="24" x14ac:dyDescent="0.2">
      <c r="A1414" s="432">
        <f>IF(B1414="","",COUNT('Diário 1º PA'!$A$4:$A$2635)+COUNT('Diário 2º PA'!$A$4:$A$3040)+ROW()-3)</f>
        <v>5510</v>
      </c>
      <c r="B1414" s="414">
        <v>44810</v>
      </c>
      <c r="C1414" s="431">
        <v>44805</v>
      </c>
      <c r="D1414" s="415" t="s">
        <v>271</v>
      </c>
      <c r="E1414" s="415" t="s">
        <v>71</v>
      </c>
      <c r="F1414" s="425">
        <v>11</v>
      </c>
      <c r="G1414" s="440" t="s">
        <v>7059</v>
      </c>
      <c r="H1414" s="415" t="s">
        <v>310</v>
      </c>
      <c r="I1414" s="398" t="s">
        <v>881</v>
      </c>
      <c r="J1414" s="418" t="s">
        <v>882</v>
      </c>
      <c r="K1414" s="418" t="s">
        <v>883</v>
      </c>
      <c r="L1414" s="399" t="s">
        <v>798</v>
      </c>
      <c r="M1414" s="544" t="s">
        <v>310</v>
      </c>
      <c r="N1414" s="414">
        <v>44810</v>
      </c>
      <c r="O1414" s="414" t="s">
        <v>400</v>
      </c>
      <c r="P1414" s="655">
        <f t="shared" si="73"/>
        <v>9</v>
      </c>
      <c r="Q1414" s="655">
        <f t="shared" si="74"/>
        <v>9</v>
      </c>
      <c r="R1414" s="695" t="str">
        <f t="shared" si="75"/>
        <v>Gastos_Gerais</v>
      </c>
      <c r="S1414" s="697" t="s">
        <v>310</v>
      </c>
      <c r="T1414" s="697" t="s">
        <v>310</v>
      </c>
    </row>
    <row r="1415" spans="1:20" ht="24" x14ac:dyDescent="0.2">
      <c r="A1415" s="432">
        <f>IF(B1415="","",COUNT('Diário 1º PA'!$A$4:$A$2635)+COUNT('Diário 2º PA'!$A$4:$A$3040)+ROW()-3)</f>
        <v>5511</v>
      </c>
      <c r="B1415" s="414">
        <v>44810</v>
      </c>
      <c r="C1415" s="431">
        <v>44805</v>
      </c>
      <c r="D1415" s="415" t="s">
        <v>271</v>
      </c>
      <c r="E1415" s="415" t="s">
        <v>71</v>
      </c>
      <c r="F1415" s="425">
        <v>11</v>
      </c>
      <c r="G1415" s="427" t="s">
        <v>7058</v>
      </c>
      <c r="H1415" s="415" t="s">
        <v>310</v>
      </c>
      <c r="I1415" s="398" t="s">
        <v>881</v>
      </c>
      <c r="J1415" s="418" t="s">
        <v>882</v>
      </c>
      <c r="K1415" s="418" t="s">
        <v>883</v>
      </c>
      <c r="L1415" s="399" t="s">
        <v>798</v>
      </c>
      <c r="M1415" s="544" t="s">
        <v>310</v>
      </c>
      <c r="N1415" s="414">
        <v>44810</v>
      </c>
      <c r="O1415" s="414" t="s">
        <v>400</v>
      </c>
      <c r="P1415" s="655">
        <f t="shared" si="73"/>
        <v>9</v>
      </c>
      <c r="Q1415" s="655">
        <f t="shared" si="74"/>
        <v>9</v>
      </c>
      <c r="R1415" s="695" t="str">
        <f t="shared" si="75"/>
        <v>Gastos_Gerais</v>
      </c>
      <c r="S1415" s="697" t="s">
        <v>310</v>
      </c>
      <c r="T1415" s="697" t="s">
        <v>310</v>
      </c>
    </row>
    <row r="1416" spans="1:20" ht="24" x14ac:dyDescent="0.2">
      <c r="A1416" s="432">
        <f>IF(B1416="","",COUNT('Diário 1º PA'!$A$4:$A$2635)+COUNT('Diário 2º PA'!$A$4:$A$3040)+ROW()-3)</f>
        <v>5512</v>
      </c>
      <c r="B1416" s="414">
        <v>44810</v>
      </c>
      <c r="C1416" s="431">
        <v>44805</v>
      </c>
      <c r="D1416" s="415" t="s">
        <v>271</v>
      </c>
      <c r="E1416" s="415" t="s">
        <v>71</v>
      </c>
      <c r="F1416" s="425">
        <v>11</v>
      </c>
      <c r="G1416" s="440" t="s">
        <v>5874</v>
      </c>
      <c r="H1416" s="415" t="s">
        <v>310</v>
      </c>
      <c r="I1416" s="398" t="s">
        <v>881</v>
      </c>
      <c r="J1416" s="418" t="s">
        <v>882</v>
      </c>
      <c r="K1416" s="418" t="s">
        <v>883</v>
      </c>
      <c r="L1416" s="399" t="s">
        <v>798</v>
      </c>
      <c r="M1416" s="544" t="s">
        <v>310</v>
      </c>
      <c r="N1416" s="414">
        <v>44810</v>
      </c>
      <c r="O1416" s="414" t="s">
        <v>400</v>
      </c>
      <c r="P1416" s="655">
        <f t="shared" si="73"/>
        <v>9</v>
      </c>
      <c r="Q1416" s="655">
        <f t="shared" si="74"/>
        <v>9</v>
      </c>
      <c r="R1416" s="695" t="str">
        <f t="shared" si="75"/>
        <v>Gastos_Gerais</v>
      </c>
      <c r="S1416" s="697" t="s">
        <v>310</v>
      </c>
      <c r="T1416" s="697" t="s">
        <v>310</v>
      </c>
    </row>
    <row r="1417" spans="1:20" ht="24" x14ac:dyDescent="0.2">
      <c r="A1417" s="432">
        <f>IF(B1417="","",COUNT('Diário 1º PA'!$A$4:$A$2635)+COUNT('Diário 2º PA'!$A$4:$A$3040)+ROW()-3)</f>
        <v>5513</v>
      </c>
      <c r="B1417" s="414">
        <v>44810</v>
      </c>
      <c r="C1417" s="431">
        <v>44805</v>
      </c>
      <c r="D1417" s="415" t="s">
        <v>271</v>
      </c>
      <c r="E1417" s="415" t="s">
        <v>71</v>
      </c>
      <c r="F1417" s="425">
        <v>11</v>
      </c>
      <c r="G1417" s="427" t="s">
        <v>7057</v>
      </c>
      <c r="H1417" s="415" t="s">
        <v>310</v>
      </c>
      <c r="I1417" s="398" t="s">
        <v>881</v>
      </c>
      <c r="J1417" s="418" t="s">
        <v>882</v>
      </c>
      <c r="K1417" s="418" t="s">
        <v>883</v>
      </c>
      <c r="L1417" s="399" t="s">
        <v>798</v>
      </c>
      <c r="M1417" s="544" t="s">
        <v>310</v>
      </c>
      <c r="N1417" s="414">
        <v>44810</v>
      </c>
      <c r="O1417" s="414" t="s">
        <v>400</v>
      </c>
      <c r="P1417" s="655">
        <f t="shared" si="73"/>
        <v>9</v>
      </c>
      <c r="Q1417" s="655">
        <f t="shared" si="74"/>
        <v>9</v>
      </c>
      <c r="R1417" s="695" t="str">
        <f t="shared" si="75"/>
        <v>Gastos_Gerais</v>
      </c>
      <c r="S1417" s="697" t="s">
        <v>310</v>
      </c>
      <c r="T1417" s="697" t="s">
        <v>310</v>
      </c>
    </row>
    <row r="1418" spans="1:20" ht="24" x14ac:dyDescent="0.2">
      <c r="A1418" s="432">
        <f>IF(B1418="","",COUNT('Diário 1º PA'!$A$4:$A$2635)+COUNT('Diário 2º PA'!$A$4:$A$3040)+ROW()-3)</f>
        <v>5514</v>
      </c>
      <c r="B1418" s="414">
        <v>44810</v>
      </c>
      <c r="C1418" s="431">
        <v>44805</v>
      </c>
      <c r="D1418" s="415" t="s">
        <v>271</v>
      </c>
      <c r="E1418" s="415" t="s">
        <v>71</v>
      </c>
      <c r="F1418" s="425">
        <v>11</v>
      </c>
      <c r="G1418" s="427" t="s">
        <v>7061</v>
      </c>
      <c r="H1418" s="415" t="s">
        <v>310</v>
      </c>
      <c r="I1418" s="398" t="s">
        <v>881</v>
      </c>
      <c r="J1418" s="418" t="s">
        <v>882</v>
      </c>
      <c r="K1418" s="418" t="s">
        <v>883</v>
      </c>
      <c r="L1418" s="399" t="s">
        <v>798</v>
      </c>
      <c r="M1418" s="544" t="s">
        <v>310</v>
      </c>
      <c r="N1418" s="414">
        <v>44810</v>
      </c>
      <c r="O1418" s="414" t="s">
        <v>400</v>
      </c>
      <c r="P1418" s="655">
        <f t="shared" si="73"/>
        <v>9</v>
      </c>
      <c r="Q1418" s="655">
        <f t="shared" si="74"/>
        <v>9</v>
      </c>
      <c r="R1418" s="695" t="str">
        <f t="shared" si="75"/>
        <v>Gastos_Gerais</v>
      </c>
      <c r="S1418" s="697" t="s">
        <v>310</v>
      </c>
      <c r="T1418" s="697" t="s">
        <v>310</v>
      </c>
    </row>
    <row r="1419" spans="1:20" ht="24" x14ac:dyDescent="0.2">
      <c r="A1419" s="432">
        <f>IF(B1419="","",COUNT('Diário 1º PA'!$A$4:$A$2635)+COUNT('Diário 2º PA'!$A$4:$A$3040)+ROW()-3)</f>
        <v>5515</v>
      </c>
      <c r="B1419" s="414">
        <v>44810</v>
      </c>
      <c r="C1419" s="431">
        <v>44805</v>
      </c>
      <c r="D1419" s="415" t="s">
        <v>271</v>
      </c>
      <c r="E1419" s="415" t="s">
        <v>71</v>
      </c>
      <c r="F1419" s="425">
        <v>11</v>
      </c>
      <c r="G1419" s="440" t="s">
        <v>7062</v>
      </c>
      <c r="H1419" s="415" t="s">
        <v>310</v>
      </c>
      <c r="I1419" s="398" t="s">
        <v>881</v>
      </c>
      <c r="J1419" s="418" t="s">
        <v>882</v>
      </c>
      <c r="K1419" s="418" t="s">
        <v>883</v>
      </c>
      <c r="L1419" s="399" t="s">
        <v>798</v>
      </c>
      <c r="M1419" s="544" t="s">
        <v>310</v>
      </c>
      <c r="N1419" s="414">
        <v>44810</v>
      </c>
      <c r="O1419" s="414" t="s">
        <v>400</v>
      </c>
      <c r="P1419" s="655">
        <f t="shared" si="73"/>
        <v>9</v>
      </c>
      <c r="Q1419" s="655">
        <f t="shared" si="74"/>
        <v>9</v>
      </c>
      <c r="R1419" s="695" t="str">
        <f t="shared" si="75"/>
        <v>Gastos_Gerais</v>
      </c>
      <c r="S1419" s="697" t="s">
        <v>310</v>
      </c>
      <c r="T1419" s="697" t="s">
        <v>310</v>
      </c>
    </row>
    <row r="1420" spans="1:20" ht="24" x14ac:dyDescent="0.2">
      <c r="A1420" s="432">
        <f>IF(B1420="","",COUNT('Diário 1º PA'!$A$4:$A$2635)+COUNT('Diário 2º PA'!$A$4:$A$3040)+ROW()-3)</f>
        <v>5516</v>
      </c>
      <c r="B1420" s="414">
        <v>44810</v>
      </c>
      <c r="C1420" s="431">
        <v>44805</v>
      </c>
      <c r="D1420" s="415" t="s">
        <v>271</v>
      </c>
      <c r="E1420" s="415" t="s">
        <v>71</v>
      </c>
      <c r="F1420" s="425">
        <v>11</v>
      </c>
      <c r="G1420" s="440" t="s">
        <v>7063</v>
      </c>
      <c r="H1420" s="415" t="s">
        <v>310</v>
      </c>
      <c r="I1420" s="398" t="s">
        <v>881</v>
      </c>
      <c r="J1420" s="418" t="s">
        <v>882</v>
      </c>
      <c r="K1420" s="418" t="s">
        <v>883</v>
      </c>
      <c r="L1420" s="399" t="s">
        <v>798</v>
      </c>
      <c r="M1420" s="544" t="s">
        <v>310</v>
      </c>
      <c r="N1420" s="414">
        <v>44810</v>
      </c>
      <c r="O1420" s="414" t="s">
        <v>400</v>
      </c>
      <c r="P1420" s="655">
        <f t="shared" si="73"/>
        <v>9</v>
      </c>
      <c r="Q1420" s="655">
        <f t="shared" si="74"/>
        <v>9</v>
      </c>
      <c r="R1420" s="695" t="str">
        <f t="shared" si="75"/>
        <v>Gastos_Gerais</v>
      </c>
      <c r="S1420" s="697" t="s">
        <v>310</v>
      </c>
      <c r="T1420" s="697" t="s">
        <v>310</v>
      </c>
    </row>
    <row r="1421" spans="1:20" ht="24" x14ac:dyDescent="0.2">
      <c r="A1421" s="432">
        <f>IF(B1421="","",COUNT('Diário 1º PA'!$A$4:$A$2635)+COUNT('Diário 2º PA'!$A$4:$A$3040)+ROW()-3)</f>
        <v>5517</v>
      </c>
      <c r="B1421" s="414">
        <v>44810</v>
      </c>
      <c r="C1421" s="431">
        <v>44805</v>
      </c>
      <c r="D1421" s="415" t="s">
        <v>271</v>
      </c>
      <c r="E1421" s="415" t="s">
        <v>71</v>
      </c>
      <c r="F1421" s="425">
        <v>11</v>
      </c>
      <c r="G1421" s="440" t="s">
        <v>7064</v>
      </c>
      <c r="H1421" s="415" t="s">
        <v>310</v>
      </c>
      <c r="I1421" s="398" t="s">
        <v>881</v>
      </c>
      <c r="J1421" s="418" t="s">
        <v>882</v>
      </c>
      <c r="K1421" s="418" t="s">
        <v>883</v>
      </c>
      <c r="L1421" s="399" t="s">
        <v>798</v>
      </c>
      <c r="M1421" s="544" t="s">
        <v>310</v>
      </c>
      <c r="N1421" s="414">
        <v>44810</v>
      </c>
      <c r="O1421" s="414" t="s">
        <v>400</v>
      </c>
      <c r="P1421" s="655">
        <f t="shared" si="73"/>
        <v>9</v>
      </c>
      <c r="Q1421" s="655">
        <f t="shared" si="74"/>
        <v>9</v>
      </c>
      <c r="R1421" s="695" t="str">
        <f t="shared" si="75"/>
        <v>Gastos_Gerais</v>
      </c>
      <c r="S1421" s="697" t="s">
        <v>310</v>
      </c>
      <c r="T1421" s="697" t="s">
        <v>310</v>
      </c>
    </row>
    <row r="1422" spans="1:20" ht="24" x14ac:dyDescent="0.2">
      <c r="A1422" s="432">
        <f>IF(B1422="","",COUNT('Diário 1º PA'!$A$4:$A$2635)+COUNT('Diário 2º PA'!$A$4:$A$3040)+ROW()-3)</f>
        <v>5518</v>
      </c>
      <c r="B1422" s="414">
        <v>44810</v>
      </c>
      <c r="C1422" s="431">
        <v>44805</v>
      </c>
      <c r="D1422" s="415" t="s">
        <v>271</v>
      </c>
      <c r="E1422" s="415" t="s">
        <v>71</v>
      </c>
      <c r="F1422" s="425">
        <v>11</v>
      </c>
      <c r="G1422" s="427" t="s">
        <v>7065</v>
      </c>
      <c r="H1422" s="415" t="s">
        <v>310</v>
      </c>
      <c r="I1422" s="398" t="s">
        <v>881</v>
      </c>
      <c r="J1422" s="418" t="s">
        <v>882</v>
      </c>
      <c r="K1422" s="418" t="s">
        <v>883</v>
      </c>
      <c r="L1422" s="399" t="s">
        <v>798</v>
      </c>
      <c r="M1422" s="544" t="s">
        <v>310</v>
      </c>
      <c r="N1422" s="414">
        <v>44810</v>
      </c>
      <c r="O1422" s="414" t="s">
        <v>400</v>
      </c>
      <c r="P1422" s="655">
        <f t="shared" si="73"/>
        <v>9</v>
      </c>
      <c r="Q1422" s="655">
        <f t="shared" si="74"/>
        <v>9</v>
      </c>
      <c r="R1422" s="695" t="str">
        <f t="shared" si="75"/>
        <v>Gastos_Gerais</v>
      </c>
      <c r="S1422" s="697" t="s">
        <v>310</v>
      </c>
      <c r="T1422" s="697" t="s">
        <v>310</v>
      </c>
    </row>
    <row r="1423" spans="1:20" ht="36" x14ac:dyDescent="0.2">
      <c r="A1423" s="432">
        <f>IF(B1423="","",COUNT('Diário 1º PA'!$A$4:$A$2635)+COUNT('Diário 2º PA'!$A$4:$A$3040)+ROW()-3)</f>
        <v>5519</v>
      </c>
      <c r="B1423" s="414">
        <v>44810</v>
      </c>
      <c r="C1423" s="431">
        <v>44805</v>
      </c>
      <c r="D1423" s="415" t="s">
        <v>271</v>
      </c>
      <c r="E1423" s="415" t="s">
        <v>71</v>
      </c>
      <c r="F1423" s="425">
        <v>11</v>
      </c>
      <c r="G1423" s="440" t="s">
        <v>7066</v>
      </c>
      <c r="H1423" s="415" t="s">
        <v>310</v>
      </c>
      <c r="I1423" s="398" t="s">
        <v>881</v>
      </c>
      <c r="J1423" s="418" t="s">
        <v>882</v>
      </c>
      <c r="K1423" s="418" t="s">
        <v>883</v>
      </c>
      <c r="L1423" s="399" t="s">
        <v>798</v>
      </c>
      <c r="M1423" s="544" t="s">
        <v>310</v>
      </c>
      <c r="N1423" s="414">
        <v>44810</v>
      </c>
      <c r="O1423" s="414" t="s">
        <v>400</v>
      </c>
      <c r="P1423" s="655">
        <f t="shared" si="73"/>
        <v>9</v>
      </c>
      <c r="Q1423" s="655">
        <f t="shared" si="74"/>
        <v>9</v>
      </c>
      <c r="R1423" s="695" t="str">
        <f t="shared" si="75"/>
        <v>Gastos_Gerais</v>
      </c>
      <c r="S1423" s="697" t="s">
        <v>310</v>
      </c>
      <c r="T1423" s="697" t="s">
        <v>310</v>
      </c>
    </row>
    <row r="1424" spans="1:20" ht="24" x14ac:dyDescent="0.2">
      <c r="A1424" s="432">
        <f>IF(B1424="","",COUNT('Diário 1º PA'!$A$4:$A$2635)+COUNT('Diário 2º PA'!$A$4:$A$3040)+ROW()-3)</f>
        <v>5520</v>
      </c>
      <c r="B1424" s="414">
        <v>44810</v>
      </c>
      <c r="C1424" s="431">
        <v>44805</v>
      </c>
      <c r="D1424" s="415" t="s">
        <v>271</v>
      </c>
      <c r="E1424" s="415" t="s">
        <v>71</v>
      </c>
      <c r="F1424" s="425">
        <v>11</v>
      </c>
      <c r="G1424" s="440" t="s">
        <v>7065</v>
      </c>
      <c r="H1424" s="415" t="s">
        <v>310</v>
      </c>
      <c r="I1424" s="398" t="s">
        <v>881</v>
      </c>
      <c r="J1424" s="418" t="s">
        <v>882</v>
      </c>
      <c r="K1424" s="418" t="s">
        <v>883</v>
      </c>
      <c r="L1424" s="399" t="s">
        <v>798</v>
      </c>
      <c r="M1424" s="544" t="s">
        <v>310</v>
      </c>
      <c r="N1424" s="414">
        <v>44810</v>
      </c>
      <c r="O1424" s="414" t="s">
        <v>400</v>
      </c>
      <c r="P1424" s="655">
        <f t="shared" si="73"/>
        <v>9</v>
      </c>
      <c r="Q1424" s="655">
        <f t="shared" si="74"/>
        <v>9</v>
      </c>
      <c r="R1424" s="695" t="str">
        <f t="shared" si="75"/>
        <v>Gastos_Gerais</v>
      </c>
      <c r="S1424" s="697" t="s">
        <v>310</v>
      </c>
      <c r="T1424" s="697" t="s">
        <v>310</v>
      </c>
    </row>
    <row r="1425" spans="1:20" ht="24" x14ac:dyDescent="0.2">
      <c r="A1425" s="432">
        <f>IF(B1425="","",COUNT('Diário 1º PA'!$A$4:$A$2635)+COUNT('Diário 2º PA'!$A$4:$A$3040)+ROW()-3)</f>
        <v>5521</v>
      </c>
      <c r="B1425" s="414">
        <v>44810</v>
      </c>
      <c r="C1425" s="431">
        <v>44805</v>
      </c>
      <c r="D1425" s="415" t="s">
        <v>271</v>
      </c>
      <c r="E1425" s="415" t="s">
        <v>71</v>
      </c>
      <c r="F1425" s="425">
        <v>11</v>
      </c>
      <c r="G1425" s="440" t="s">
        <v>7064</v>
      </c>
      <c r="H1425" s="415" t="s">
        <v>310</v>
      </c>
      <c r="I1425" s="398" t="s">
        <v>881</v>
      </c>
      <c r="J1425" s="418" t="s">
        <v>882</v>
      </c>
      <c r="K1425" s="418" t="s">
        <v>883</v>
      </c>
      <c r="L1425" s="399" t="s">
        <v>798</v>
      </c>
      <c r="M1425" s="544" t="s">
        <v>310</v>
      </c>
      <c r="N1425" s="414">
        <v>44810</v>
      </c>
      <c r="O1425" s="414" t="s">
        <v>400</v>
      </c>
      <c r="P1425" s="655">
        <f t="shared" si="73"/>
        <v>9</v>
      </c>
      <c r="Q1425" s="655">
        <f t="shared" si="74"/>
        <v>9</v>
      </c>
      <c r="R1425" s="695" t="str">
        <f t="shared" si="75"/>
        <v>Gastos_Gerais</v>
      </c>
      <c r="S1425" s="697" t="s">
        <v>310</v>
      </c>
      <c r="T1425" s="697" t="s">
        <v>310</v>
      </c>
    </row>
    <row r="1426" spans="1:20" ht="24" x14ac:dyDescent="0.2">
      <c r="A1426" s="432">
        <f>IF(B1426="","",COUNT('Diário 1º PA'!$A$4:$A$2635)+COUNT('Diário 2º PA'!$A$4:$A$3040)+ROW()-3)</f>
        <v>5522</v>
      </c>
      <c r="B1426" s="414">
        <v>44810</v>
      </c>
      <c r="C1426" s="431">
        <v>44805</v>
      </c>
      <c r="D1426" s="415" t="s">
        <v>271</v>
      </c>
      <c r="E1426" s="415" t="s">
        <v>71</v>
      </c>
      <c r="F1426" s="425">
        <v>11</v>
      </c>
      <c r="G1426" s="427" t="s">
        <v>7067</v>
      </c>
      <c r="H1426" s="415" t="s">
        <v>310</v>
      </c>
      <c r="I1426" s="398" t="s">
        <v>881</v>
      </c>
      <c r="J1426" s="418" t="s">
        <v>882</v>
      </c>
      <c r="K1426" s="418" t="s">
        <v>883</v>
      </c>
      <c r="L1426" s="399" t="s">
        <v>798</v>
      </c>
      <c r="M1426" s="544" t="s">
        <v>310</v>
      </c>
      <c r="N1426" s="414">
        <v>44810</v>
      </c>
      <c r="O1426" s="414" t="s">
        <v>400</v>
      </c>
      <c r="P1426" s="655">
        <f t="shared" si="73"/>
        <v>9</v>
      </c>
      <c r="Q1426" s="655">
        <f t="shared" si="74"/>
        <v>9</v>
      </c>
      <c r="R1426" s="695" t="str">
        <f t="shared" si="75"/>
        <v>Gastos_Gerais</v>
      </c>
      <c r="S1426" s="697" t="s">
        <v>310</v>
      </c>
      <c r="T1426" s="697" t="s">
        <v>310</v>
      </c>
    </row>
    <row r="1427" spans="1:20" ht="24" x14ac:dyDescent="0.2">
      <c r="A1427" s="432">
        <f>IF(B1427="","",COUNT('Diário 1º PA'!$A$4:$A$2635)+COUNT('Diário 2º PA'!$A$4:$A$3040)+ROW()-3)</f>
        <v>5523</v>
      </c>
      <c r="B1427" s="414">
        <v>44810</v>
      </c>
      <c r="C1427" s="431">
        <v>44805</v>
      </c>
      <c r="D1427" s="415" t="s">
        <v>271</v>
      </c>
      <c r="E1427" s="415" t="s">
        <v>71</v>
      </c>
      <c r="F1427" s="425">
        <v>11</v>
      </c>
      <c r="G1427" s="427" t="s">
        <v>7064</v>
      </c>
      <c r="H1427" s="415" t="s">
        <v>310</v>
      </c>
      <c r="I1427" s="398" t="s">
        <v>881</v>
      </c>
      <c r="J1427" s="418" t="s">
        <v>882</v>
      </c>
      <c r="K1427" s="418" t="s">
        <v>883</v>
      </c>
      <c r="L1427" s="399" t="s">
        <v>798</v>
      </c>
      <c r="M1427" s="544" t="s">
        <v>310</v>
      </c>
      <c r="N1427" s="414">
        <v>44810</v>
      </c>
      <c r="O1427" s="414" t="s">
        <v>400</v>
      </c>
      <c r="P1427" s="655">
        <f t="shared" si="73"/>
        <v>9</v>
      </c>
      <c r="Q1427" s="655">
        <f t="shared" si="74"/>
        <v>9</v>
      </c>
      <c r="R1427" s="695" t="str">
        <f t="shared" si="75"/>
        <v>Gastos_Gerais</v>
      </c>
      <c r="S1427" s="697" t="s">
        <v>310</v>
      </c>
      <c r="T1427" s="697" t="s">
        <v>310</v>
      </c>
    </row>
    <row r="1428" spans="1:20" ht="24" x14ac:dyDescent="0.2">
      <c r="A1428" s="432">
        <f>IF(B1428="","",COUNT('Diário 1º PA'!$A$4:$A$2635)+COUNT('Diário 2º PA'!$A$4:$A$3040)+ROW()-3)</f>
        <v>5524</v>
      </c>
      <c r="B1428" s="414">
        <v>44810</v>
      </c>
      <c r="C1428" s="431">
        <v>44805</v>
      </c>
      <c r="D1428" s="415" t="s">
        <v>271</v>
      </c>
      <c r="E1428" s="415" t="s">
        <v>71</v>
      </c>
      <c r="F1428" s="425">
        <v>11</v>
      </c>
      <c r="G1428" s="427" t="s">
        <v>7068</v>
      </c>
      <c r="H1428" s="415" t="s">
        <v>310</v>
      </c>
      <c r="I1428" s="398" t="s">
        <v>881</v>
      </c>
      <c r="J1428" s="418" t="s">
        <v>882</v>
      </c>
      <c r="K1428" s="418" t="s">
        <v>883</v>
      </c>
      <c r="L1428" s="399" t="s">
        <v>798</v>
      </c>
      <c r="M1428" s="544" t="s">
        <v>310</v>
      </c>
      <c r="N1428" s="414">
        <v>44810</v>
      </c>
      <c r="O1428" s="414" t="s">
        <v>400</v>
      </c>
      <c r="P1428" s="655">
        <f t="shared" si="73"/>
        <v>9</v>
      </c>
      <c r="Q1428" s="655">
        <f t="shared" si="74"/>
        <v>9</v>
      </c>
      <c r="R1428" s="695" t="str">
        <f t="shared" si="75"/>
        <v>Gastos_Gerais</v>
      </c>
      <c r="S1428" s="697" t="s">
        <v>310</v>
      </c>
      <c r="T1428" s="697" t="s">
        <v>310</v>
      </c>
    </row>
    <row r="1429" spans="1:20" ht="24" x14ac:dyDescent="0.2">
      <c r="A1429" s="432">
        <f>IF(B1429="","",COUNT('Diário 1º PA'!$A$4:$A$2635)+COUNT('Diário 2º PA'!$A$4:$A$3040)+ROW()-3)</f>
        <v>5525</v>
      </c>
      <c r="B1429" s="414">
        <v>44810</v>
      </c>
      <c r="C1429" s="431">
        <v>44805</v>
      </c>
      <c r="D1429" s="415" t="s">
        <v>271</v>
      </c>
      <c r="E1429" s="415" t="s">
        <v>71</v>
      </c>
      <c r="F1429" s="425">
        <v>11</v>
      </c>
      <c r="G1429" s="440" t="s">
        <v>7065</v>
      </c>
      <c r="H1429" s="415" t="s">
        <v>310</v>
      </c>
      <c r="I1429" s="398" t="s">
        <v>881</v>
      </c>
      <c r="J1429" s="418" t="s">
        <v>882</v>
      </c>
      <c r="K1429" s="418" t="s">
        <v>883</v>
      </c>
      <c r="L1429" s="399" t="s">
        <v>798</v>
      </c>
      <c r="M1429" s="544" t="s">
        <v>310</v>
      </c>
      <c r="N1429" s="414">
        <v>44810</v>
      </c>
      <c r="O1429" s="414" t="s">
        <v>400</v>
      </c>
      <c r="P1429" s="655">
        <f t="shared" si="73"/>
        <v>9</v>
      </c>
      <c r="Q1429" s="655">
        <f t="shared" si="74"/>
        <v>9</v>
      </c>
      <c r="R1429" s="695" t="str">
        <f t="shared" si="75"/>
        <v>Gastos_Gerais</v>
      </c>
      <c r="S1429" s="697" t="s">
        <v>310</v>
      </c>
      <c r="T1429" s="697" t="s">
        <v>310</v>
      </c>
    </row>
    <row r="1430" spans="1:20" ht="24" x14ac:dyDescent="0.2">
      <c r="A1430" s="432">
        <f>IF(B1430="","",COUNT('Diário 1º PA'!$A$4:$A$2635)+COUNT('Diário 2º PA'!$A$4:$A$3040)+ROW()-3)</f>
        <v>5526</v>
      </c>
      <c r="B1430" s="414">
        <v>44810</v>
      </c>
      <c r="C1430" s="431">
        <v>44805</v>
      </c>
      <c r="D1430" s="415" t="s">
        <v>271</v>
      </c>
      <c r="E1430" s="415" t="s">
        <v>71</v>
      </c>
      <c r="F1430" s="425">
        <v>11</v>
      </c>
      <c r="G1430" s="440" t="s">
        <v>7069</v>
      </c>
      <c r="H1430" s="415" t="s">
        <v>310</v>
      </c>
      <c r="I1430" s="398" t="s">
        <v>881</v>
      </c>
      <c r="J1430" s="418" t="s">
        <v>882</v>
      </c>
      <c r="K1430" s="418" t="s">
        <v>883</v>
      </c>
      <c r="L1430" s="399" t="s">
        <v>798</v>
      </c>
      <c r="M1430" s="544" t="s">
        <v>310</v>
      </c>
      <c r="N1430" s="414">
        <v>44810</v>
      </c>
      <c r="O1430" s="414" t="s">
        <v>400</v>
      </c>
      <c r="P1430" s="655">
        <f t="shared" si="73"/>
        <v>9</v>
      </c>
      <c r="Q1430" s="655">
        <f t="shared" si="74"/>
        <v>9</v>
      </c>
      <c r="R1430" s="695" t="str">
        <f t="shared" si="75"/>
        <v>Gastos_Gerais</v>
      </c>
      <c r="S1430" s="697" t="s">
        <v>310</v>
      </c>
      <c r="T1430" s="697" t="s">
        <v>310</v>
      </c>
    </row>
    <row r="1431" spans="1:20" ht="24" x14ac:dyDescent="0.2">
      <c r="A1431" s="432">
        <f>IF(B1431="","",COUNT('Diário 1º PA'!$A$4:$A$2635)+COUNT('Diário 2º PA'!$A$4:$A$3040)+ROW()-3)</f>
        <v>5527</v>
      </c>
      <c r="B1431" s="414">
        <v>44810</v>
      </c>
      <c r="C1431" s="431">
        <v>44805</v>
      </c>
      <c r="D1431" s="415" t="s">
        <v>271</v>
      </c>
      <c r="E1431" s="415" t="s">
        <v>71</v>
      </c>
      <c r="F1431" s="425">
        <v>11</v>
      </c>
      <c r="G1431" s="427" t="s">
        <v>7070</v>
      </c>
      <c r="H1431" s="415" t="s">
        <v>310</v>
      </c>
      <c r="I1431" s="398" t="s">
        <v>881</v>
      </c>
      <c r="J1431" s="418" t="s">
        <v>882</v>
      </c>
      <c r="K1431" s="418" t="s">
        <v>883</v>
      </c>
      <c r="L1431" s="399" t="s">
        <v>798</v>
      </c>
      <c r="M1431" s="544" t="s">
        <v>310</v>
      </c>
      <c r="N1431" s="414">
        <v>44810</v>
      </c>
      <c r="O1431" s="414" t="s">
        <v>400</v>
      </c>
      <c r="P1431" s="655">
        <f t="shared" si="73"/>
        <v>9</v>
      </c>
      <c r="Q1431" s="655">
        <f t="shared" si="74"/>
        <v>9</v>
      </c>
      <c r="R1431" s="695" t="str">
        <f t="shared" si="75"/>
        <v>Gastos_Gerais</v>
      </c>
      <c r="S1431" s="697" t="s">
        <v>310</v>
      </c>
      <c r="T1431" s="697" t="s">
        <v>310</v>
      </c>
    </row>
    <row r="1432" spans="1:20" ht="24" x14ac:dyDescent="0.2">
      <c r="A1432" s="432">
        <f>IF(B1432="","",COUNT('Diário 1º PA'!$A$4:$A$2635)+COUNT('Diário 2º PA'!$A$4:$A$3040)+ROW()-3)</f>
        <v>5528</v>
      </c>
      <c r="B1432" s="414">
        <v>44810</v>
      </c>
      <c r="C1432" s="431">
        <v>44805</v>
      </c>
      <c r="D1432" s="415" t="s">
        <v>271</v>
      </c>
      <c r="E1432" s="415" t="s">
        <v>71</v>
      </c>
      <c r="F1432" s="425">
        <v>11</v>
      </c>
      <c r="G1432" s="427" t="s">
        <v>7068</v>
      </c>
      <c r="H1432" s="415" t="s">
        <v>310</v>
      </c>
      <c r="I1432" s="398" t="s">
        <v>881</v>
      </c>
      <c r="J1432" s="418" t="s">
        <v>882</v>
      </c>
      <c r="K1432" s="418" t="s">
        <v>883</v>
      </c>
      <c r="L1432" s="399" t="s">
        <v>798</v>
      </c>
      <c r="M1432" s="544" t="s">
        <v>310</v>
      </c>
      <c r="N1432" s="414">
        <v>44810</v>
      </c>
      <c r="O1432" s="414" t="s">
        <v>400</v>
      </c>
      <c r="P1432" s="655">
        <f t="shared" si="73"/>
        <v>9</v>
      </c>
      <c r="Q1432" s="655">
        <f t="shared" si="74"/>
        <v>9</v>
      </c>
      <c r="R1432" s="695" t="str">
        <f t="shared" si="75"/>
        <v>Gastos_Gerais</v>
      </c>
      <c r="S1432" s="697" t="s">
        <v>310</v>
      </c>
      <c r="T1432" s="697" t="s">
        <v>310</v>
      </c>
    </row>
    <row r="1433" spans="1:20" ht="24" x14ac:dyDescent="0.2">
      <c r="A1433" s="432">
        <f>IF(B1433="","",COUNT('Diário 1º PA'!$A$4:$A$2635)+COUNT('Diário 2º PA'!$A$4:$A$3040)+ROW()-3)</f>
        <v>5529</v>
      </c>
      <c r="B1433" s="414">
        <v>44810</v>
      </c>
      <c r="C1433" s="431">
        <v>44805</v>
      </c>
      <c r="D1433" s="415" t="s">
        <v>271</v>
      </c>
      <c r="E1433" s="415" t="s">
        <v>71</v>
      </c>
      <c r="F1433" s="425">
        <v>11</v>
      </c>
      <c r="G1433" s="427" t="s">
        <v>7070</v>
      </c>
      <c r="H1433" s="415" t="s">
        <v>310</v>
      </c>
      <c r="I1433" s="398" t="s">
        <v>881</v>
      </c>
      <c r="J1433" s="418" t="s">
        <v>882</v>
      </c>
      <c r="K1433" s="418" t="s">
        <v>883</v>
      </c>
      <c r="L1433" s="399" t="s">
        <v>798</v>
      </c>
      <c r="M1433" s="544" t="s">
        <v>310</v>
      </c>
      <c r="N1433" s="414">
        <v>44810</v>
      </c>
      <c r="O1433" s="414" t="s">
        <v>400</v>
      </c>
      <c r="P1433" s="655">
        <f t="shared" si="73"/>
        <v>9</v>
      </c>
      <c r="Q1433" s="655">
        <f t="shared" si="74"/>
        <v>9</v>
      </c>
      <c r="R1433" s="695" t="str">
        <f t="shared" si="75"/>
        <v>Gastos_Gerais</v>
      </c>
      <c r="S1433" s="697" t="s">
        <v>310</v>
      </c>
      <c r="T1433" s="697" t="s">
        <v>310</v>
      </c>
    </row>
    <row r="1434" spans="1:20" ht="24" x14ac:dyDescent="0.2">
      <c r="A1434" s="432">
        <f>IF(B1434="","",COUNT('Diário 1º PA'!$A$4:$A$2635)+COUNT('Diário 2º PA'!$A$4:$A$3040)+ROW()-3)</f>
        <v>5530</v>
      </c>
      <c r="B1434" s="414">
        <v>44810</v>
      </c>
      <c r="C1434" s="431">
        <v>44805</v>
      </c>
      <c r="D1434" s="415" t="s">
        <v>271</v>
      </c>
      <c r="E1434" s="415" t="s">
        <v>71</v>
      </c>
      <c r="F1434" s="425">
        <v>11</v>
      </c>
      <c r="G1434" s="440" t="s">
        <v>7071</v>
      </c>
      <c r="H1434" s="415" t="s">
        <v>310</v>
      </c>
      <c r="I1434" s="398" t="s">
        <v>881</v>
      </c>
      <c r="J1434" s="418" t="s">
        <v>882</v>
      </c>
      <c r="K1434" s="418" t="s">
        <v>883</v>
      </c>
      <c r="L1434" s="399" t="s">
        <v>798</v>
      </c>
      <c r="M1434" s="544" t="s">
        <v>310</v>
      </c>
      <c r="N1434" s="414">
        <v>44810</v>
      </c>
      <c r="O1434" s="414" t="s">
        <v>400</v>
      </c>
      <c r="P1434" s="655">
        <f t="shared" si="73"/>
        <v>9</v>
      </c>
      <c r="Q1434" s="655">
        <f t="shared" si="74"/>
        <v>9</v>
      </c>
      <c r="R1434" s="695" t="str">
        <f t="shared" si="75"/>
        <v>Gastos_Gerais</v>
      </c>
      <c r="S1434" s="697" t="s">
        <v>310</v>
      </c>
      <c r="T1434" s="697" t="s">
        <v>310</v>
      </c>
    </row>
    <row r="1435" spans="1:20" ht="24" x14ac:dyDescent="0.2">
      <c r="A1435" s="432">
        <f>IF(B1435="","",COUNT('Diário 1º PA'!$A$4:$A$2635)+COUNT('Diário 2º PA'!$A$4:$A$3040)+ROW()-3)</f>
        <v>5531</v>
      </c>
      <c r="B1435" s="414">
        <v>44810</v>
      </c>
      <c r="C1435" s="431">
        <v>44805</v>
      </c>
      <c r="D1435" s="415" t="s">
        <v>271</v>
      </c>
      <c r="E1435" s="415" t="s">
        <v>71</v>
      </c>
      <c r="F1435" s="425">
        <v>11</v>
      </c>
      <c r="G1435" s="427" t="s">
        <v>7071</v>
      </c>
      <c r="H1435" s="415" t="s">
        <v>310</v>
      </c>
      <c r="I1435" s="398" t="s">
        <v>881</v>
      </c>
      <c r="J1435" s="418" t="s">
        <v>882</v>
      </c>
      <c r="K1435" s="418" t="s">
        <v>883</v>
      </c>
      <c r="L1435" s="399" t="s">
        <v>798</v>
      </c>
      <c r="M1435" s="544" t="s">
        <v>310</v>
      </c>
      <c r="N1435" s="414">
        <v>44810</v>
      </c>
      <c r="O1435" s="414" t="s">
        <v>400</v>
      </c>
      <c r="P1435" s="655">
        <f t="shared" si="73"/>
        <v>9</v>
      </c>
      <c r="Q1435" s="655">
        <f t="shared" si="74"/>
        <v>9</v>
      </c>
      <c r="R1435" s="695" t="str">
        <f t="shared" si="75"/>
        <v>Gastos_Gerais</v>
      </c>
      <c r="S1435" s="697" t="s">
        <v>310</v>
      </c>
      <c r="T1435" s="697" t="s">
        <v>310</v>
      </c>
    </row>
    <row r="1436" spans="1:20" ht="24" x14ac:dyDescent="0.2">
      <c r="A1436" s="432">
        <f>IF(B1436="","",COUNT('Diário 1º PA'!$A$4:$A$2635)+COUNT('Diário 2º PA'!$A$4:$A$3040)+ROW()-3)</f>
        <v>5532</v>
      </c>
      <c r="B1436" s="414">
        <v>44810</v>
      </c>
      <c r="C1436" s="431">
        <v>44805</v>
      </c>
      <c r="D1436" s="415" t="s">
        <v>271</v>
      </c>
      <c r="E1436" s="415" t="s">
        <v>71</v>
      </c>
      <c r="F1436" s="425">
        <v>11</v>
      </c>
      <c r="G1436" s="440" t="s">
        <v>7065</v>
      </c>
      <c r="H1436" s="415" t="s">
        <v>310</v>
      </c>
      <c r="I1436" s="398" t="s">
        <v>881</v>
      </c>
      <c r="J1436" s="418" t="s">
        <v>882</v>
      </c>
      <c r="K1436" s="418" t="s">
        <v>883</v>
      </c>
      <c r="L1436" s="399" t="s">
        <v>798</v>
      </c>
      <c r="M1436" s="544" t="s">
        <v>310</v>
      </c>
      <c r="N1436" s="414">
        <v>44810</v>
      </c>
      <c r="O1436" s="414" t="s">
        <v>400</v>
      </c>
      <c r="P1436" s="655">
        <f t="shared" si="73"/>
        <v>9</v>
      </c>
      <c r="Q1436" s="655">
        <f t="shared" si="74"/>
        <v>9</v>
      </c>
      <c r="R1436" s="695" t="str">
        <f t="shared" si="75"/>
        <v>Gastos_Gerais</v>
      </c>
      <c r="S1436" s="697" t="s">
        <v>310</v>
      </c>
      <c r="T1436" s="697" t="s">
        <v>310</v>
      </c>
    </row>
    <row r="1437" spans="1:20" ht="24" x14ac:dyDescent="0.2">
      <c r="A1437" s="432">
        <f>IF(B1437="","",COUNT('Diário 1º PA'!$A$4:$A$2635)+COUNT('Diário 2º PA'!$A$4:$A$3040)+ROW()-3)</f>
        <v>5533</v>
      </c>
      <c r="B1437" s="414">
        <v>44810</v>
      </c>
      <c r="C1437" s="431">
        <v>44805</v>
      </c>
      <c r="D1437" s="415" t="s">
        <v>271</v>
      </c>
      <c r="E1437" s="415" t="s">
        <v>71</v>
      </c>
      <c r="F1437" s="425">
        <v>11</v>
      </c>
      <c r="G1437" s="427" t="s">
        <v>7035</v>
      </c>
      <c r="H1437" s="415" t="s">
        <v>310</v>
      </c>
      <c r="I1437" s="398" t="s">
        <v>881</v>
      </c>
      <c r="J1437" s="418" t="s">
        <v>882</v>
      </c>
      <c r="K1437" s="418" t="s">
        <v>883</v>
      </c>
      <c r="L1437" s="399" t="s">
        <v>798</v>
      </c>
      <c r="M1437" s="544" t="s">
        <v>310</v>
      </c>
      <c r="N1437" s="414">
        <v>44810</v>
      </c>
      <c r="O1437" s="414" t="s">
        <v>400</v>
      </c>
      <c r="P1437" s="655">
        <f t="shared" si="73"/>
        <v>9</v>
      </c>
      <c r="Q1437" s="655">
        <f t="shared" si="74"/>
        <v>9</v>
      </c>
      <c r="R1437" s="695" t="str">
        <f t="shared" si="75"/>
        <v>Gastos_Gerais</v>
      </c>
      <c r="S1437" s="697" t="s">
        <v>310</v>
      </c>
      <c r="T1437" s="697" t="s">
        <v>310</v>
      </c>
    </row>
    <row r="1438" spans="1:20" ht="24" x14ac:dyDescent="0.2">
      <c r="A1438" s="432">
        <f>IF(B1438="","",COUNT('Diário 1º PA'!$A$4:$A$2635)+COUNT('Diário 2º PA'!$A$4:$A$3040)+ROW()-3)</f>
        <v>5534</v>
      </c>
      <c r="B1438" s="414">
        <v>44810</v>
      </c>
      <c r="C1438" s="431">
        <v>44805</v>
      </c>
      <c r="D1438" s="415" t="s">
        <v>271</v>
      </c>
      <c r="E1438" s="415" t="s">
        <v>71</v>
      </c>
      <c r="F1438" s="425">
        <v>11</v>
      </c>
      <c r="G1438" s="427" t="s">
        <v>7072</v>
      </c>
      <c r="H1438" s="415" t="s">
        <v>310</v>
      </c>
      <c r="I1438" s="398" t="s">
        <v>881</v>
      </c>
      <c r="J1438" s="418" t="s">
        <v>882</v>
      </c>
      <c r="K1438" s="418" t="s">
        <v>883</v>
      </c>
      <c r="L1438" s="399" t="s">
        <v>798</v>
      </c>
      <c r="M1438" s="544" t="s">
        <v>310</v>
      </c>
      <c r="N1438" s="414">
        <v>44810</v>
      </c>
      <c r="O1438" s="414" t="s">
        <v>400</v>
      </c>
      <c r="P1438" s="655">
        <f t="shared" si="73"/>
        <v>9</v>
      </c>
      <c r="Q1438" s="655">
        <f t="shared" si="74"/>
        <v>9</v>
      </c>
      <c r="R1438" s="695" t="str">
        <f t="shared" si="75"/>
        <v>Gastos_Gerais</v>
      </c>
      <c r="S1438" s="697" t="s">
        <v>310</v>
      </c>
      <c r="T1438" s="697" t="s">
        <v>310</v>
      </c>
    </row>
    <row r="1439" spans="1:20" ht="24" x14ac:dyDescent="0.2">
      <c r="A1439" s="432">
        <f>IF(B1439="","",COUNT('Diário 1º PA'!$A$4:$A$2635)+COUNT('Diário 2º PA'!$A$4:$A$3040)+ROW()-3)</f>
        <v>5535</v>
      </c>
      <c r="B1439" s="414">
        <v>44810</v>
      </c>
      <c r="C1439" s="431">
        <v>44805</v>
      </c>
      <c r="D1439" s="415" t="s">
        <v>271</v>
      </c>
      <c r="E1439" s="415" t="s">
        <v>71</v>
      </c>
      <c r="F1439" s="425">
        <v>11</v>
      </c>
      <c r="G1439" s="427" t="s">
        <v>7070</v>
      </c>
      <c r="H1439" s="415" t="s">
        <v>310</v>
      </c>
      <c r="I1439" s="398" t="s">
        <v>881</v>
      </c>
      <c r="J1439" s="418" t="s">
        <v>882</v>
      </c>
      <c r="K1439" s="418" t="s">
        <v>883</v>
      </c>
      <c r="L1439" s="399" t="s">
        <v>798</v>
      </c>
      <c r="M1439" s="544" t="s">
        <v>310</v>
      </c>
      <c r="N1439" s="414">
        <v>44810</v>
      </c>
      <c r="O1439" s="414" t="s">
        <v>400</v>
      </c>
      <c r="P1439" s="655">
        <f t="shared" si="73"/>
        <v>9</v>
      </c>
      <c r="Q1439" s="655">
        <f t="shared" si="74"/>
        <v>9</v>
      </c>
      <c r="R1439" s="695" t="str">
        <f t="shared" si="75"/>
        <v>Gastos_Gerais</v>
      </c>
      <c r="S1439" s="697" t="s">
        <v>310</v>
      </c>
      <c r="T1439" s="697" t="s">
        <v>310</v>
      </c>
    </row>
    <row r="1440" spans="1:20" ht="24" x14ac:dyDescent="0.2">
      <c r="A1440" s="432">
        <f>IF(B1440="","",COUNT('Diário 1º PA'!$A$4:$A$2635)+COUNT('Diário 2º PA'!$A$4:$A$3040)+ROW()-3)</f>
        <v>5536</v>
      </c>
      <c r="B1440" s="414">
        <v>44810</v>
      </c>
      <c r="C1440" s="431">
        <v>44805</v>
      </c>
      <c r="D1440" s="415" t="s">
        <v>271</v>
      </c>
      <c r="E1440" s="415" t="s">
        <v>71</v>
      </c>
      <c r="F1440" s="425">
        <v>11</v>
      </c>
      <c r="G1440" s="440" t="s">
        <v>7065</v>
      </c>
      <c r="H1440" s="415" t="s">
        <v>310</v>
      </c>
      <c r="I1440" s="398" t="s">
        <v>881</v>
      </c>
      <c r="J1440" s="418" t="s">
        <v>882</v>
      </c>
      <c r="K1440" s="418" t="s">
        <v>883</v>
      </c>
      <c r="L1440" s="399" t="s">
        <v>798</v>
      </c>
      <c r="M1440" s="544" t="s">
        <v>310</v>
      </c>
      <c r="N1440" s="414">
        <v>44810</v>
      </c>
      <c r="O1440" s="414" t="s">
        <v>400</v>
      </c>
      <c r="P1440" s="655">
        <f t="shared" si="73"/>
        <v>9</v>
      </c>
      <c r="Q1440" s="655">
        <f t="shared" si="74"/>
        <v>9</v>
      </c>
      <c r="R1440" s="695" t="str">
        <f t="shared" si="75"/>
        <v>Gastos_Gerais</v>
      </c>
      <c r="S1440" s="697" t="s">
        <v>310</v>
      </c>
      <c r="T1440" s="697" t="s">
        <v>310</v>
      </c>
    </row>
    <row r="1441" spans="1:20" ht="24" x14ac:dyDescent="0.2">
      <c r="A1441" s="432">
        <f>IF(B1441="","",COUNT('Diário 1º PA'!$A$4:$A$2635)+COUNT('Diário 2º PA'!$A$4:$A$3040)+ROW()-3)</f>
        <v>5537</v>
      </c>
      <c r="B1441" s="414">
        <v>44810</v>
      </c>
      <c r="C1441" s="431">
        <v>44805</v>
      </c>
      <c r="D1441" s="415" t="s">
        <v>271</v>
      </c>
      <c r="E1441" s="415" t="s">
        <v>71</v>
      </c>
      <c r="F1441" s="425">
        <v>11</v>
      </c>
      <c r="G1441" s="440" t="s">
        <v>7073</v>
      </c>
      <c r="H1441" s="415" t="s">
        <v>310</v>
      </c>
      <c r="I1441" s="398" t="s">
        <v>881</v>
      </c>
      <c r="J1441" s="418" t="s">
        <v>882</v>
      </c>
      <c r="K1441" s="418" t="s">
        <v>883</v>
      </c>
      <c r="L1441" s="399" t="s">
        <v>798</v>
      </c>
      <c r="M1441" s="544" t="s">
        <v>310</v>
      </c>
      <c r="N1441" s="414">
        <v>44810</v>
      </c>
      <c r="O1441" s="414" t="s">
        <v>400</v>
      </c>
      <c r="P1441" s="655">
        <f t="shared" si="73"/>
        <v>9</v>
      </c>
      <c r="Q1441" s="655">
        <f t="shared" si="74"/>
        <v>9</v>
      </c>
      <c r="R1441" s="695" t="str">
        <f t="shared" si="75"/>
        <v>Gastos_Gerais</v>
      </c>
      <c r="S1441" s="697" t="s">
        <v>310</v>
      </c>
      <c r="T1441" s="697" t="s">
        <v>310</v>
      </c>
    </row>
    <row r="1442" spans="1:20" ht="24" x14ac:dyDescent="0.2">
      <c r="A1442" s="432">
        <f>IF(B1442="","",COUNT('Diário 1º PA'!$A$4:$A$2635)+COUNT('Diário 2º PA'!$A$4:$A$3040)+ROW()-3)</f>
        <v>5538</v>
      </c>
      <c r="B1442" s="414">
        <v>44810</v>
      </c>
      <c r="C1442" s="431">
        <v>44805</v>
      </c>
      <c r="D1442" s="415" t="s">
        <v>271</v>
      </c>
      <c r="E1442" s="415" t="s">
        <v>71</v>
      </c>
      <c r="F1442" s="425">
        <v>11</v>
      </c>
      <c r="G1442" s="440" t="s">
        <v>7074</v>
      </c>
      <c r="H1442" s="415" t="s">
        <v>310</v>
      </c>
      <c r="I1442" s="398" t="s">
        <v>881</v>
      </c>
      <c r="J1442" s="418" t="s">
        <v>882</v>
      </c>
      <c r="K1442" s="418" t="s">
        <v>883</v>
      </c>
      <c r="L1442" s="399" t="s">
        <v>798</v>
      </c>
      <c r="M1442" s="544" t="s">
        <v>310</v>
      </c>
      <c r="N1442" s="414">
        <v>44810</v>
      </c>
      <c r="O1442" s="414" t="s">
        <v>400</v>
      </c>
      <c r="P1442" s="655">
        <f t="shared" si="73"/>
        <v>9</v>
      </c>
      <c r="Q1442" s="655">
        <f t="shared" si="74"/>
        <v>9</v>
      </c>
      <c r="R1442" s="695" t="str">
        <f t="shared" si="75"/>
        <v>Gastos_Gerais</v>
      </c>
      <c r="S1442" s="697" t="s">
        <v>310</v>
      </c>
      <c r="T1442" s="697" t="s">
        <v>310</v>
      </c>
    </row>
    <row r="1443" spans="1:20" ht="24" x14ac:dyDescent="0.2">
      <c r="A1443" s="432">
        <f>IF(B1443="","",COUNT('Diário 1º PA'!$A$4:$A$2635)+COUNT('Diário 2º PA'!$A$4:$A$3040)+ROW()-3)</f>
        <v>5539</v>
      </c>
      <c r="B1443" s="414">
        <v>44810</v>
      </c>
      <c r="C1443" s="431">
        <v>44805</v>
      </c>
      <c r="D1443" s="415" t="s">
        <v>271</v>
      </c>
      <c r="E1443" s="415" t="s">
        <v>71</v>
      </c>
      <c r="F1443" s="425">
        <v>11</v>
      </c>
      <c r="G1443" s="427" t="s">
        <v>7075</v>
      </c>
      <c r="H1443" s="415" t="s">
        <v>310</v>
      </c>
      <c r="I1443" s="398" t="s">
        <v>881</v>
      </c>
      <c r="J1443" s="418" t="s">
        <v>882</v>
      </c>
      <c r="K1443" s="418" t="s">
        <v>883</v>
      </c>
      <c r="L1443" s="399" t="s">
        <v>798</v>
      </c>
      <c r="M1443" s="544" t="s">
        <v>310</v>
      </c>
      <c r="N1443" s="414">
        <v>44810</v>
      </c>
      <c r="O1443" s="414" t="s">
        <v>400</v>
      </c>
      <c r="P1443" s="655">
        <f t="shared" si="73"/>
        <v>9</v>
      </c>
      <c r="Q1443" s="655">
        <f t="shared" si="74"/>
        <v>9</v>
      </c>
      <c r="R1443" s="695" t="str">
        <f t="shared" si="75"/>
        <v>Gastos_Gerais</v>
      </c>
      <c r="S1443" s="697" t="s">
        <v>310</v>
      </c>
      <c r="T1443" s="697" t="s">
        <v>310</v>
      </c>
    </row>
    <row r="1444" spans="1:20" ht="24" x14ac:dyDescent="0.2">
      <c r="A1444" s="432">
        <f>IF(B1444="","",COUNT('Diário 1º PA'!$A$4:$A$2635)+COUNT('Diário 2º PA'!$A$4:$A$3040)+ROW()-3)</f>
        <v>5540</v>
      </c>
      <c r="B1444" s="414">
        <v>44810</v>
      </c>
      <c r="C1444" s="431">
        <v>44805</v>
      </c>
      <c r="D1444" s="415" t="s">
        <v>271</v>
      </c>
      <c r="E1444" s="415" t="s">
        <v>71</v>
      </c>
      <c r="F1444" s="425">
        <v>11</v>
      </c>
      <c r="G1444" s="440" t="s">
        <v>7071</v>
      </c>
      <c r="H1444" s="415" t="s">
        <v>310</v>
      </c>
      <c r="I1444" s="398" t="s">
        <v>881</v>
      </c>
      <c r="J1444" s="418" t="s">
        <v>882</v>
      </c>
      <c r="K1444" s="418" t="s">
        <v>883</v>
      </c>
      <c r="L1444" s="399" t="s">
        <v>798</v>
      </c>
      <c r="M1444" s="544" t="s">
        <v>310</v>
      </c>
      <c r="N1444" s="414">
        <v>44810</v>
      </c>
      <c r="O1444" s="414" t="s">
        <v>400</v>
      </c>
      <c r="P1444" s="655">
        <f t="shared" si="73"/>
        <v>9</v>
      </c>
      <c r="Q1444" s="655">
        <f t="shared" si="74"/>
        <v>9</v>
      </c>
      <c r="R1444" s="695" t="str">
        <f t="shared" si="75"/>
        <v>Gastos_Gerais</v>
      </c>
      <c r="S1444" s="697" t="s">
        <v>310</v>
      </c>
      <c r="T1444" s="697" t="s">
        <v>310</v>
      </c>
    </row>
    <row r="1445" spans="1:20" ht="24" x14ac:dyDescent="0.2">
      <c r="A1445" s="432">
        <f>IF(B1445="","",COUNT('Diário 1º PA'!$A$4:$A$2635)+COUNT('Diário 2º PA'!$A$4:$A$3040)+ROW()-3)</f>
        <v>5541</v>
      </c>
      <c r="B1445" s="414">
        <v>44810</v>
      </c>
      <c r="C1445" s="431">
        <v>44805</v>
      </c>
      <c r="D1445" s="415" t="s">
        <v>271</v>
      </c>
      <c r="E1445" s="415" t="s">
        <v>71</v>
      </c>
      <c r="F1445" s="425">
        <v>11</v>
      </c>
      <c r="G1445" s="440" t="s">
        <v>7071</v>
      </c>
      <c r="H1445" s="415" t="s">
        <v>310</v>
      </c>
      <c r="I1445" s="398" t="s">
        <v>881</v>
      </c>
      <c r="J1445" s="418" t="s">
        <v>882</v>
      </c>
      <c r="K1445" s="418" t="s">
        <v>883</v>
      </c>
      <c r="L1445" s="399" t="s">
        <v>798</v>
      </c>
      <c r="M1445" s="544" t="s">
        <v>310</v>
      </c>
      <c r="N1445" s="414">
        <v>44810</v>
      </c>
      <c r="O1445" s="414" t="s">
        <v>400</v>
      </c>
      <c r="P1445" s="655">
        <f t="shared" ref="P1445:P1466" si="76">IF(B1445=0,0,IF(YEAR(B1445)=$Q$1,MONTH(B1445)-$P$1+1,(YEAR(B1445)-$Q$1)*12-$P$1+1+MONTH(B1445)))</f>
        <v>9</v>
      </c>
      <c r="Q1445" s="655">
        <f t="shared" ref="Q1445:Q1466" si="77">IF(C1445=0,0,IF(YEAR(C1445)=$Q$1,MONTH(C1445)-$P$1+1,(YEAR(C1445)-$Q$1)*12-$P$1+1+MONTH(C1445)))</f>
        <v>9</v>
      </c>
      <c r="R1445" s="695" t="str">
        <f t="shared" ref="R1445:R1466" si="78">SUBSTITUTE(D1445," ","_")</f>
        <v>Gastos_Gerais</v>
      </c>
      <c r="S1445" s="697" t="s">
        <v>310</v>
      </c>
      <c r="T1445" s="697" t="s">
        <v>310</v>
      </c>
    </row>
    <row r="1446" spans="1:20" ht="24" x14ac:dyDescent="0.2">
      <c r="A1446" s="432">
        <f>IF(B1446="","",COUNT('Diário 1º PA'!$A$4:$A$2635)+COUNT('Diário 2º PA'!$A$4:$A$3040)+ROW()-3)</f>
        <v>5542</v>
      </c>
      <c r="B1446" s="414">
        <v>44810</v>
      </c>
      <c r="C1446" s="431">
        <v>44805</v>
      </c>
      <c r="D1446" s="415" t="s">
        <v>271</v>
      </c>
      <c r="E1446" s="415" t="s">
        <v>71</v>
      </c>
      <c r="F1446" s="425">
        <v>11</v>
      </c>
      <c r="G1446" s="427" t="s">
        <v>7076</v>
      </c>
      <c r="H1446" s="415" t="s">
        <v>310</v>
      </c>
      <c r="I1446" s="398" t="s">
        <v>881</v>
      </c>
      <c r="J1446" s="418" t="s">
        <v>882</v>
      </c>
      <c r="K1446" s="418" t="s">
        <v>883</v>
      </c>
      <c r="L1446" s="399" t="s">
        <v>798</v>
      </c>
      <c r="M1446" s="544" t="s">
        <v>310</v>
      </c>
      <c r="N1446" s="414">
        <v>44810</v>
      </c>
      <c r="O1446" s="414" t="s">
        <v>400</v>
      </c>
      <c r="P1446" s="655">
        <f t="shared" si="76"/>
        <v>9</v>
      </c>
      <c r="Q1446" s="655">
        <f t="shared" si="77"/>
        <v>9</v>
      </c>
      <c r="R1446" s="695" t="str">
        <f t="shared" si="78"/>
        <v>Gastos_Gerais</v>
      </c>
      <c r="S1446" s="697" t="s">
        <v>310</v>
      </c>
      <c r="T1446" s="697" t="s">
        <v>310</v>
      </c>
    </row>
    <row r="1447" spans="1:20" ht="24" x14ac:dyDescent="0.2">
      <c r="A1447" s="432">
        <f>IF(B1447="","",COUNT('Diário 1º PA'!$A$4:$A$2635)+COUNT('Diário 2º PA'!$A$4:$A$3040)+ROW()-3)</f>
        <v>5543</v>
      </c>
      <c r="B1447" s="414">
        <v>44810</v>
      </c>
      <c r="C1447" s="431">
        <v>44805</v>
      </c>
      <c r="D1447" s="415" t="s">
        <v>271</v>
      </c>
      <c r="E1447" s="415" t="s">
        <v>71</v>
      </c>
      <c r="F1447" s="425">
        <v>11</v>
      </c>
      <c r="G1447" s="440" t="s">
        <v>7065</v>
      </c>
      <c r="H1447" s="415" t="s">
        <v>310</v>
      </c>
      <c r="I1447" s="398" t="s">
        <v>881</v>
      </c>
      <c r="J1447" s="418" t="s">
        <v>882</v>
      </c>
      <c r="K1447" s="418" t="s">
        <v>883</v>
      </c>
      <c r="L1447" s="399" t="s">
        <v>798</v>
      </c>
      <c r="M1447" s="544" t="s">
        <v>310</v>
      </c>
      <c r="N1447" s="414">
        <v>44810</v>
      </c>
      <c r="O1447" s="414" t="s">
        <v>400</v>
      </c>
      <c r="P1447" s="655">
        <f t="shared" si="76"/>
        <v>9</v>
      </c>
      <c r="Q1447" s="655">
        <f t="shared" si="77"/>
        <v>9</v>
      </c>
      <c r="R1447" s="695" t="str">
        <f t="shared" si="78"/>
        <v>Gastos_Gerais</v>
      </c>
      <c r="S1447" s="697" t="s">
        <v>310</v>
      </c>
      <c r="T1447" s="697" t="s">
        <v>310</v>
      </c>
    </row>
    <row r="1448" spans="1:20" ht="24" x14ac:dyDescent="0.2">
      <c r="A1448" s="432">
        <f>IF(B1448="","",COUNT('Diário 1º PA'!$A$4:$A$2635)+COUNT('Diário 2º PA'!$A$4:$A$3040)+ROW()-3)</f>
        <v>5544</v>
      </c>
      <c r="B1448" s="414">
        <v>44810</v>
      </c>
      <c r="C1448" s="431">
        <v>44805</v>
      </c>
      <c r="D1448" s="415" t="s">
        <v>271</v>
      </c>
      <c r="E1448" s="415" t="s">
        <v>71</v>
      </c>
      <c r="F1448" s="425">
        <v>11</v>
      </c>
      <c r="G1448" s="427" t="s">
        <v>7077</v>
      </c>
      <c r="H1448" s="415" t="s">
        <v>310</v>
      </c>
      <c r="I1448" s="398" t="s">
        <v>881</v>
      </c>
      <c r="J1448" s="418" t="s">
        <v>882</v>
      </c>
      <c r="K1448" s="418" t="s">
        <v>883</v>
      </c>
      <c r="L1448" s="399" t="s">
        <v>798</v>
      </c>
      <c r="M1448" s="544" t="s">
        <v>310</v>
      </c>
      <c r="N1448" s="414">
        <v>44810</v>
      </c>
      <c r="O1448" s="414" t="s">
        <v>400</v>
      </c>
      <c r="P1448" s="655">
        <f t="shared" si="76"/>
        <v>9</v>
      </c>
      <c r="Q1448" s="655">
        <f t="shared" si="77"/>
        <v>9</v>
      </c>
      <c r="R1448" s="695" t="str">
        <f t="shared" si="78"/>
        <v>Gastos_Gerais</v>
      </c>
      <c r="S1448" s="697" t="s">
        <v>310</v>
      </c>
      <c r="T1448" s="697" t="s">
        <v>310</v>
      </c>
    </row>
    <row r="1449" spans="1:20" ht="24" x14ac:dyDescent="0.2">
      <c r="A1449" s="432">
        <f>IF(B1449="","",COUNT('Diário 1º PA'!$A$4:$A$2635)+COUNT('Diário 2º PA'!$A$4:$A$3040)+ROW()-3)</f>
        <v>5545</v>
      </c>
      <c r="B1449" s="414">
        <v>44810</v>
      </c>
      <c r="C1449" s="431">
        <v>44805</v>
      </c>
      <c r="D1449" s="415" t="s">
        <v>271</v>
      </c>
      <c r="E1449" s="415" t="s">
        <v>71</v>
      </c>
      <c r="F1449" s="425">
        <v>11</v>
      </c>
      <c r="G1449" s="427" t="s">
        <v>7065</v>
      </c>
      <c r="H1449" s="415" t="s">
        <v>310</v>
      </c>
      <c r="I1449" s="398" t="s">
        <v>881</v>
      </c>
      <c r="J1449" s="418" t="s">
        <v>882</v>
      </c>
      <c r="K1449" s="418" t="s">
        <v>883</v>
      </c>
      <c r="L1449" s="399" t="s">
        <v>798</v>
      </c>
      <c r="M1449" s="544" t="s">
        <v>310</v>
      </c>
      <c r="N1449" s="414">
        <v>44810</v>
      </c>
      <c r="O1449" s="414" t="s">
        <v>400</v>
      </c>
      <c r="P1449" s="655">
        <f t="shared" si="76"/>
        <v>9</v>
      </c>
      <c r="Q1449" s="655">
        <f t="shared" si="77"/>
        <v>9</v>
      </c>
      <c r="R1449" s="695" t="str">
        <f t="shared" si="78"/>
        <v>Gastos_Gerais</v>
      </c>
      <c r="S1449" s="697" t="s">
        <v>310</v>
      </c>
      <c r="T1449" s="697" t="s">
        <v>310</v>
      </c>
    </row>
    <row r="1450" spans="1:20" ht="24" x14ac:dyDescent="0.2">
      <c r="A1450" s="432">
        <f>IF(B1450="","",COUNT('Diário 1º PA'!$A$4:$A$2635)+COUNT('Diário 2º PA'!$A$4:$A$3040)+ROW()-3)</f>
        <v>5546</v>
      </c>
      <c r="B1450" s="414">
        <v>44810</v>
      </c>
      <c r="C1450" s="431">
        <v>44805</v>
      </c>
      <c r="D1450" s="415" t="s">
        <v>271</v>
      </c>
      <c r="E1450" s="415" t="s">
        <v>71</v>
      </c>
      <c r="F1450" s="425">
        <v>11</v>
      </c>
      <c r="G1450" s="427" t="s">
        <v>7078</v>
      </c>
      <c r="H1450" s="415" t="s">
        <v>310</v>
      </c>
      <c r="I1450" s="398" t="s">
        <v>881</v>
      </c>
      <c r="J1450" s="418" t="s">
        <v>882</v>
      </c>
      <c r="K1450" s="418" t="s">
        <v>883</v>
      </c>
      <c r="L1450" s="399" t="s">
        <v>798</v>
      </c>
      <c r="M1450" s="544" t="s">
        <v>310</v>
      </c>
      <c r="N1450" s="414">
        <v>44810</v>
      </c>
      <c r="O1450" s="414" t="s">
        <v>400</v>
      </c>
      <c r="P1450" s="655">
        <f t="shared" si="76"/>
        <v>9</v>
      </c>
      <c r="Q1450" s="655">
        <f t="shared" si="77"/>
        <v>9</v>
      </c>
      <c r="R1450" s="695" t="str">
        <f t="shared" si="78"/>
        <v>Gastos_Gerais</v>
      </c>
      <c r="S1450" s="697" t="s">
        <v>310</v>
      </c>
      <c r="T1450" s="697" t="s">
        <v>310</v>
      </c>
    </row>
    <row r="1451" spans="1:20" ht="24" x14ac:dyDescent="0.2">
      <c r="A1451" s="432">
        <f>IF(B1451="","",COUNT('Diário 1º PA'!$A$4:$A$2635)+COUNT('Diário 2º PA'!$A$4:$A$3040)+ROW()-3)</f>
        <v>5547</v>
      </c>
      <c r="B1451" s="414">
        <v>44810</v>
      </c>
      <c r="C1451" s="431">
        <v>44805</v>
      </c>
      <c r="D1451" s="415" t="s">
        <v>271</v>
      </c>
      <c r="E1451" s="415" t="s">
        <v>71</v>
      </c>
      <c r="F1451" s="425">
        <v>11</v>
      </c>
      <c r="G1451" s="440" t="s">
        <v>7063</v>
      </c>
      <c r="H1451" s="415" t="s">
        <v>310</v>
      </c>
      <c r="I1451" s="398" t="s">
        <v>881</v>
      </c>
      <c r="J1451" s="418" t="s">
        <v>882</v>
      </c>
      <c r="K1451" s="418" t="s">
        <v>883</v>
      </c>
      <c r="L1451" s="399" t="s">
        <v>798</v>
      </c>
      <c r="M1451" s="544" t="s">
        <v>310</v>
      </c>
      <c r="N1451" s="414">
        <v>44810</v>
      </c>
      <c r="O1451" s="414" t="s">
        <v>400</v>
      </c>
      <c r="P1451" s="655">
        <f t="shared" si="76"/>
        <v>9</v>
      </c>
      <c r="Q1451" s="655">
        <f t="shared" si="77"/>
        <v>9</v>
      </c>
      <c r="R1451" s="695" t="str">
        <f t="shared" si="78"/>
        <v>Gastos_Gerais</v>
      </c>
      <c r="S1451" s="697" t="s">
        <v>310</v>
      </c>
      <c r="T1451" s="697" t="s">
        <v>310</v>
      </c>
    </row>
    <row r="1452" spans="1:20" ht="24" x14ac:dyDescent="0.2">
      <c r="A1452" s="432">
        <f>IF(B1452="","",COUNT('Diário 1º PA'!$A$4:$A$2635)+COUNT('Diário 2º PA'!$A$4:$A$3040)+ROW()-3)</f>
        <v>5548</v>
      </c>
      <c r="B1452" s="414">
        <v>44810</v>
      </c>
      <c r="C1452" s="431">
        <v>44805</v>
      </c>
      <c r="D1452" s="415" t="s">
        <v>271</v>
      </c>
      <c r="E1452" s="415" t="s">
        <v>71</v>
      </c>
      <c r="F1452" s="425">
        <v>11</v>
      </c>
      <c r="G1452" s="440" t="s">
        <v>7079</v>
      </c>
      <c r="H1452" s="415" t="s">
        <v>310</v>
      </c>
      <c r="I1452" s="398" t="s">
        <v>881</v>
      </c>
      <c r="J1452" s="418" t="s">
        <v>882</v>
      </c>
      <c r="K1452" s="418" t="s">
        <v>883</v>
      </c>
      <c r="L1452" s="399" t="s">
        <v>798</v>
      </c>
      <c r="M1452" s="544" t="s">
        <v>310</v>
      </c>
      <c r="N1452" s="414">
        <v>44810</v>
      </c>
      <c r="O1452" s="414" t="s">
        <v>400</v>
      </c>
      <c r="P1452" s="655">
        <f t="shared" si="76"/>
        <v>9</v>
      </c>
      <c r="Q1452" s="655">
        <f t="shared" si="77"/>
        <v>9</v>
      </c>
      <c r="R1452" s="695" t="str">
        <f t="shared" si="78"/>
        <v>Gastos_Gerais</v>
      </c>
      <c r="S1452" s="697" t="s">
        <v>310</v>
      </c>
      <c r="T1452" s="697" t="s">
        <v>310</v>
      </c>
    </row>
    <row r="1453" spans="1:20" ht="24" x14ac:dyDescent="0.2">
      <c r="A1453" s="432">
        <f>IF(B1453="","",COUNT('Diário 1º PA'!$A$4:$A$2635)+COUNT('Diário 2º PA'!$A$4:$A$3040)+ROW()-3)</f>
        <v>5549</v>
      </c>
      <c r="B1453" s="414">
        <v>44810</v>
      </c>
      <c r="C1453" s="431">
        <v>44805</v>
      </c>
      <c r="D1453" s="415" t="s">
        <v>271</v>
      </c>
      <c r="E1453" s="415" t="s">
        <v>71</v>
      </c>
      <c r="F1453" s="425">
        <v>11</v>
      </c>
      <c r="G1453" s="440" t="s">
        <v>7080</v>
      </c>
      <c r="H1453" s="415" t="s">
        <v>310</v>
      </c>
      <c r="I1453" s="398" t="s">
        <v>881</v>
      </c>
      <c r="J1453" s="418" t="s">
        <v>882</v>
      </c>
      <c r="K1453" s="418" t="s">
        <v>883</v>
      </c>
      <c r="L1453" s="399" t="s">
        <v>798</v>
      </c>
      <c r="M1453" s="544" t="s">
        <v>310</v>
      </c>
      <c r="N1453" s="414">
        <v>44810</v>
      </c>
      <c r="O1453" s="414" t="s">
        <v>400</v>
      </c>
      <c r="P1453" s="655">
        <f t="shared" si="76"/>
        <v>9</v>
      </c>
      <c r="Q1453" s="655">
        <f t="shared" si="77"/>
        <v>9</v>
      </c>
      <c r="R1453" s="695" t="str">
        <f t="shared" si="78"/>
        <v>Gastos_Gerais</v>
      </c>
      <c r="S1453" s="697" t="s">
        <v>310</v>
      </c>
      <c r="T1453" s="697" t="s">
        <v>310</v>
      </c>
    </row>
    <row r="1454" spans="1:20" ht="36" x14ac:dyDescent="0.2">
      <c r="A1454" s="432">
        <f>IF(B1454="","",COUNT('Diário 1º PA'!$A$4:$A$2635)+COUNT('Diário 2º PA'!$A$4:$A$3040)+ROW()-3)</f>
        <v>5550</v>
      </c>
      <c r="B1454" s="414">
        <v>44810</v>
      </c>
      <c r="C1454" s="431">
        <v>44805</v>
      </c>
      <c r="D1454" s="415" t="s">
        <v>271</v>
      </c>
      <c r="E1454" s="415" t="s">
        <v>71</v>
      </c>
      <c r="F1454" s="425">
        <v>11</v>
      </c>
      <c r="G1454" s="440" t="s">
        <v>7081</v>
      </c>
      <c r="H1454" s="415" t="s">
        <v>310</v>
      </c>
      <c r="I1454" s="398" t="s">
        <v>881</v>
      </c>
      <c r="J1454" s="418" t="s">
        <v>882</v>
      </c>
      <c r="K1454" s="418" t="s">
        <v>883</v>
      </c>
      <c r="L1454" s="399" t="s">
        <v>798</v>
      </c>
      <c r="M1454" s="544" t="s">
        <v>310</v>
      </c>
      <c r="N1454" s="414">
        <v>44810</v>
      </c>
      <c r="O1454" s="414" t="s">
        <v>400</v>
      </c>
      <c r="P1454" s="655">
        <f t="shared" si="76"/>
        <v>9</v>
      </c>
      <c r="Q1454" s="655">
        <f t="shared" si="77"/>
        <v>9</v>
      </c>
      <c r="R1454" s="695" t="str">
        <f t="shared" si="78"/>
        <v>Gastos_Gerais</v>
      </c>
      <c r="S1454" s="697" t="s">
        <v>310</v>
      </c>
      <c r="T1454" s="697" t="s">
        <v>310</v>
      </c>
    </row>
    <row r="1455" spans="1:20" ht="24" x14ac:dyDescent="0.2">
      <c r="A1455" s="432">
        <f>IF(B1455="","",COUNT('Diário 1º PA'!$A$4:$A$2635)+COUNT('Diário 2º PA'!$A$4:$A$3040)+ROW()-3)</f>
        <v>5551</v>
      </c>
      <c r="B1455" s="414">
        <v>44810</v>
      </c>
      <c r="C1455" s="431">
        <v>44805</v>
      </c>
      <c r="D1455" s="415" t="s">
        <v>271</v>
      </c>
      <c r="E1455" s="415" t="s">
        <v>71</v>
      </c>
      <c r="F1455" s="425">
        <v>11</v>
      </c>
      <c r="G1455" s="427" t="s">
        <v>7064</v>
      </c>
      <c r="H1455" s="415" t="s">
        <v>310</v>
      </c>
      <c r="I1455" s="398" t="s">
        <v>881</v>
      </c>
      <c r="J1455" s="418" t="s">
        <v>882</v>
      </c>
      <c r="K1455" s="418" t="s">
        <v>883</v>
      </c>
      <c r="L1455" s="399" t="s">
        <v>798</v>
      </c>
      <c r="M1455" s="544" t="s">
        <v>310</v>
      </c>
      <c r="N1455" s="414">
        <v>44810</v>
      </c>
      <c r="O1455" s="414" t="s">
        <v>400</v>
      </c>
      <c r="P1455" s="655">
        <f t="shared" si="76"/>
        <v>9</v>
      </c>
      <c r="Q1455" s="655">
        <f t="shared" si="77"/>
        <v>9</v>
      </c>
      <c r="R1455" s="695" t="str">
        <f t="shared" si="78"/>
        <v>Gastos_Gerais</v>
      </c>
      <c r="S1455" s="697" t="s">
        <v>310</v>
      </c>
      <c r="T1455" s="697" t="s">
        <v>310</v>
      </c>
    </row>
    <row r="1456" spans="1:20" ht="24" x14ac:dyDescent="0.2">
      <c r="A1456" s="432">
        <f>IF(B1456="","",COUNT('Diário 1º PA'!$A$4:$A$2635)+COUNT('Diário 2º PA'!$A$4:$A$3040)+ROW()-3)</f>
        <v>5552</v>
      </c>
      <c r="B1456" s="414">
        <v>44810</v>
      </c>
      <c r="C1456" s="431">
        <v>44805</v>
      </c>
      <c r="D1456" s="415" t="s">
        <v>271</v>
      </c>
      <c r="E1456" s="415" t="s">
        <v>71</v>
      </c>
      <c r="F1456" s="425">
        <v>11</v>
      </c>
      <c r="G1456" s="440" t="s">
        <v>7071</v>
      </c>
      <c r="H1456" s="415" t="s">
        <v>310</v>
      </c>
      <c r="I1456" s="398" t="s">
        <v>881</v>
      </c>
      <c r="J1456" s="418" t="s">
        <v>882</v>
      </c>
      <c r="K1456" s="418" t="s">
        <v>883</v>
      </c>
      <c r="L1456" s="399" t="s">
        <v>798</v>
      </c>
      <c r="M1456" s="544" t="s">
        <v>310</v>
      </c>
      <c r="N1456" s="414">
        <v>44810</v>
      </c>
      <c r="O1456" s="414" t="s">
        <v>400</v>
      </c>
      <c r="P1456" s="655">
        <f t="shared" si="76"/>
        <v>9</v>
      </c>
      <c r="Q1456" s="655">
        <f t="shared" si="77"/>
        <v>9</v>
      </c>
      <c r="R1456" s="695" t="str">
        <f t="shared" si="78"/>
        <v>Gastos_Gerais</v>
      </c>
      <c r="S1456" s="697" t="s">
        <v>310</v>
      </c>
      <c r="T1456" s="697" t="s">
        <v>310</v>
      </c>
    </row>
    <row r="1457" spans="1:20" ht="24" x14ac:dyDescent="0.2">
      <c r="A1457" s="432">
        <f>IF(B1457="","",COUNT('Diário 1º PA'!$A$4:$A$2635)+COUNT('Diário 2º PA'!$A$4:$A$3040)+ROW()-3)</f>
        <v>5553</v>
      </c>
      <c r="B1457" s="414">
        <v>44810</v>
      </c>
      <c r="C1457" s="431">
        <v>44805</v>
      </c>
      <c r="D1457" s="415" t="s">
        <v>271</v>
      </c>
      <c r="E1457" s="415" t="s">
        <v>71</v>
      </c>
      <c r="F1457" s="425">
        <v>11</v>
      </c>
      <c r="G1457" s="440" t="s">
        <v>7065</v>
      </c>
      <c r="H1457" s="415" t="s">
        <v>310</v>
      </c>
      <c r="I1457" s="398" t="s">
        <v>881</v>
      </c>
      <c r="J1457" s="418" t="s">
        <v>882</v>
      </c>
      <c r="K1457" s="418" t="s">
        <v>883</v>
      </c>
      <c r="L1457" s="399" t="s">
        <v>798</v>
      </c>
      <c r="M1457" s="544" t="s">
        <v>310</v>
      </c>
      <c r="N1457" s="414">
        <v>44810</v>
      </c>
      <c r="O1457" s="414" t="s">
        <v>400</v>
      </c>
      <c r="P1457" s="655">
        <f t="shared" si="76"/>
        <v>9</v>
      </c>
      <c r="Q1457" s="655">
        <f t="shared" si="77"/>
        <v>9</v>
      </c>
      <c r="R1457" s="695" t="str">
        <f t="shared" si="78"/>
        <v>Gastos_Gerais</v>
      </c>
      <c r="S1457" s="697" t="s">
        <v>310</v>
      </c>
      <c r="T1457" s="697" t="s">
        <v>310</v>
      </c>
    </row>
    <row r="1458" spans="1:20" ht="24" x14ac:dyDescent="0.2">
      <c r="A1458" s="432">
        <f>IF(B1458="","",COUNT('Diário 1º PA'!$A$4:$A$2635)+COUNT('Diário 2º PA'!$A$4:$A$3040)+ROW()-3)</f>
        <v>5554</v>
      </c>
      <c r="B1458" s="414">
        <v>44810</v>
      </c>
      <c r="C1458" s="431">
        <v>44805</v>
      </c>
      <c r="D1458" s="415" t="s">
        <v>271</v>
      </c>
      <c r="E1458" s="415" t="s">
        <v>71</v>
      </c>
      <c r="F1458" s="425">
        <v>11</v>
      </c>
      <c r="G1458" s="440" t="s">
        <v>7082</v>
      </c>
      <c r="H1458" s="415" t="s">
        <v>310</v>
      </c>
      <c r="I1458" s="398" t="s">
        <v>881</v>
      </c>
      <c r="J1458" s="418" t="s">
        <v>882</v>
      </c>
      <c r="K1458" s="418" t="s">
        <v>883</v>
      </c>
      <c r="L1458" s="399" t="s">
        <v>798</v>
      </c>
      <c r="M1458" s="544" t="s">
        <v>310</v>
      </c>
      <c r="N1458" s="414">
        <v>44810</v>
      </c>
      <c r="O1458" s="414" t="s">
        <v>400</v>
      </c>
      <c r="P1458" s="655">
        <f t="shared" si="76"/>
        <v>9</v>
      </c>
      <c r="Q1458" s="655">
        <f t="shared" si="77"/>
        <v>9</v>
      </c>
      <c r="R1458" s="695" t="str">
        <f t="shared" si="78"/>
        <v>Gastos_Gerais</v>
      </c>
      <c r="S1458" s="697" t="s">
        <v>310</v>
      </c>
      <c r="T1458" s="697" t="s">
        <v>310</v>
      </c>
    </row>
    <row r="1459" spans="1:20" ht="24" x14ac:dyDescent="0.2">
      <c r="A1459" s="432">
        <f>IF(B1459="","",COUNT('Diário 1º PA'!$A$4:$A$2635)+COUNT('Diário 2º PA'!$A$4:$A$3040)+ROW()-3)</f>
        <v>5555</v>
      </c>
      <c r="B1459" s="414">
        <v>44810</v>
      </c>
      <c r="C1459" s="431">
        <v>44805</v>
      </c>
      <c r="D1459" s="415" t="s">
        <v>271</v>
      </c>
      <c r="E1459" s="415" t="s">
        <v>71</v>
      </c>
      <c r="F1459" s="425">
        <v>11</v>
      </c>
      <c r="G1459" s="440" t="s">
        <v>7082</v>
      </c>
      <c r="H1459" s="415" t="s">
        <v>310</v>
      </c>
      <c r="I1459" s="398" t="s">
        <v>881</v>
      </c>
      <c r="J1459" s="418" t="s">
        <v>882</v>
      </c>
      <c r="K1459" s="418" t="s">
        <v>883</v>
      </c>
      <c r="L1459" s="399" t="s">
        <v>798</v>
      </c>
      <c r="M1459" s="544" t="s">
        <v>310</v>
      </c>
      <c r="N1459" s="414">
        <v>44810</v>
      </c>
      <c r="O1459" s="414" t="s">
        <v>400</v>
      </c>
      <c r="P1459" s="655">
        <f t="shared" si="76"/>
        <v>9</v>
      </c>
      <c r="Q1459" s="655">
        <f t="shared" si="77"/>
        <v>9</v>
      </c>
      <c r="R1459" s="695" t="str">
        <f t="shared" si="78"/>
        <v>Gastos_Gerais</v>
      </c>
      <c r="S1459" s="697" t="s">
        <v>310</v>
      </c>
      <c r="T1459" s="697" t="s">
        <v>310</v>
      </c>
    </row>
    <row r="1460" spans="1:20" ht="24" x14ac:dyDescent="0.2">
      <c r="A1460" s="432">
        <f>IF(B1460="","",COUNT('Diário 1º PA'!$A$4:$A$2635)+COUNT('Diário 2º PA'!$A$4:$A$3040)+ROW()-3)</f>
        <v>5556</v>
      </c>
      <c r="B1460" s="414">
        <v>44810</v>
      </c>
      <c r="C1460" s="431">
        <v>44805</v>
      </c>
      <c r="D1460" s="415" t="s">
        <v>271</v>
      </c>
      <c r="E1460" s="415" t="s">
        <v>71</v>
      </c>
      <c r="F1460" s="425">
        <v>11</v>
      </c>
      <c r="G1460" s="440" t="s">
        <v>7083</v>
      </c>
      <c r="H1460" s="415" t="s">
        <v>310</v>
      </c>
      <c r="I1460" s="398" t="s">
        <v>881</v>
      </c>
      <c r="J1460" s="418" t="s">
        <v>882</v>
      </c>
      <c r="K1460" s="418" t="s">
        <v>883</v>
      </c>
      <c r="L1460" s="399" t="s">
        <v>798</v>
      </c>
      <c r="M1460" s="544" t="s">
        <v>310</v>
      </c>
      <c r="N1460" s="414">
        <v>44810</v>
      </c>
      <c r="O1460" s="414" t="s">
        <v>400</v>
      </c>
      <c r="P1460" s="655">
        <f t="shared" si="76"/>
        <v>9</v>
      </c>
      <c r="Q1460" s="655">
        <f t="shared" si="77"/>
        <v>9</v>
      </c>
      <c r="R1460" s="695" t="str">
        <f t="shared" si="78"/>
        <v>Gastos_Gerais</v>
      </c>
      <c r="S1460" s="697" t="s">
        <v>310</v>
      </c>
      <c r="T1460" s="697" t="s">
        <v>310</v>
      </c>
    </row>
    <row r="1461" spans="1:20" ht="24" x14ac:dyDescent="0.2">
      <c r="A1461" s="432">
        <f>IF(B1461="","",COUNT('Diário 1º PA'!$A$4:$A$2635)+COUNT('Diário 2º PA'!$A$4:$A$3040)+ROW()-3)</f>
        <v>5557</v>
      </c>
      <c r="B1461" s="414">
        <v>44810</v>
      </c>
      <c r="C1461" s="431">
        <v>44805</v>
      </c>
      <c r="D1461" s="415" t="s">
        <v>271</v>
      </c>
      <c r="E1461" s="415" t="s">
        <v>71</v>
      </c>
      <c r="F1461" s="425">
        <v>11</v>
      </c>
      <c r="G1461" s="440" t="s">
        <v>7084</v>
      </c>
      <c r="H1461" s="415" t="s">
        <v>310</v>
      </c>
      <c r="I1461" s="398" t="s">
        <v>881</v>
      </c>
      <c r="J1461" s="418" t="s">
        <v>882</v>
      </c>
      <c r="K1461" s="418" t="s">
        <v>883</v>
      </c>
      <c r="L1461" s="399" t="s">
        <v>798</v>
      </c>
      <c r="M1461" s="544" t="s">
        <v>310</v>
      </c>
      <c r="N1461" s="414">
        <v>44810</v>
      </c>
      <c r="O1461" s="414" t="s">
        <v>400</v>
      </c>
      <c r="P1461" s="655">
        <f t="shared" si="76"/>
        <v>9</v>
      </c>
      <c r="Q1461" s="655">
        <f t="shared" si="77"/>
        <v>9</v>
      </c>
      <c r="R1461" s="695" t="str">
        <f t="shared" si="78"/>
        <v>Gastos_Gerais</v>
      </c>
      <c r="S1461" s="697" t="s">
        <v>310</v>
      </c>
      <c r="T1461" s="697" t="s">
        <v>310</v>
      </c>
    </row>
    <row r="1462" spans="1:20" ht="24" x14ac:dyDescent="0.2">
      <c r="A1462" s="432">
        <f>IF(B1462="","",COUNT('Diário 1º PA'!$A$4:$A$2635)+COUNT('Diário 2º PA'!$A$4:$A$3040)+ROW()-3)</f>
        <v>5558</v>
      </c>
      <c r="B1462" s="414">
        <v>44810</v>
      </c>
      <c r="C1462" s="431">
        <v>44805</v>
      </c>
      <c r="D1462" s="415" t="s">
        <v>271</v>
      </c>
      <c r="E1462" s="415" t="s">
        <v>71</v>
      </c>
      <c r="F1462" s="425">
        <v>11</v>
      </c>
      <c r="G1462" s="440" t="s">
        <v>7085</v>
      </c>
      <c r="H1462" s="415" t="s">
        <v>310</v>
      </c>
      <c r="I1462" s="398" t="s">
        <v>881</v>
      </c>
      <c r="J1462" s="418" t="s">
        <v>882</v>
      </c>
      <c r="K1462" s="418" t="s">
        <v>883</v>
      </c>
      <c r="L1462" s="399" t="s">
        <v>798</v>
      </c>
      <c r="M1462" s="544" t="s">
        <v>310</v>
      </c>
      <c r="N1462" s="414">
        <v>44810</v>
      </c>
      <c r="O1462" s="414" t="s">
        <v>400</v>
      </c>
      <c r="P1462" s="655">
        <f t="shared" si="76"/>
        <v>9</v>
      </c>
      <c r="Q1462" s="655">
        <f t="shared" si="77"/>
        <v>9</v>
      </c>
      <c r="R1462" s="695" t="str">
        <f t="shared" si="78"/>
        <v>Gastos_Gerais</v>
      </c>
      <c r="S1462" s="697" t="s">
        <v>310</v>
      </c>
      <c r="T1462" s="697" t="s">
        <v>310</v>
      </c>
    </row>
    <row r="1463" spans="1:20" ht="24" x14ac:dyDescent="0.2">
      <c r="A1463" s="432">
        <f>IF(B1463="","",COUNT('Diário 1º PA'!$A$4:$A$2635)+COUNT('Diário 2º PA'!$A$4:$A$3040)+ROW()-3)</f>
        <v>5559</v>
      </c>
      <c r="B1463" s="414">
        <v>44810</v>
      </c>
      <c r="C1463" s="431">
        <v>44805</v>
      </c>
      <c r="D1463" s="415" t="s">
        <v>271</v>
      </c>
      <c r="E1463" s="415" t="s">
        <v>71</v>
      </c>
      <c r="F1463" s="425">
        <v>11</v>
      </c>
      <c r="G1463" s="440" t="s">
        <v>7086</v>
      </c>
      <c r="H1463" s="415" t="s">
        <v>310</v>
      </c>
      <c r="I1463" s="398" t="s">
        <v>881</v>
      </c>
      <c r="J1463" s="418" t="s">
        <v>882</v>
      </c>
      <c r="K1463" s="418" t="s">
        <v>883</v>
      </c>
      <c r="L1463" s="399" t="s">
        <v>798</v>
      </c>
      <c r="M1463" s="544" t="s">
        <v>310</v>
      </c>
      <c r="N1463" s="414">
        <v>44810</v>
      </c>
      <c r="O1463" s="414" t="s">
        <v>400</v>
      </c>
      <c r="P1463" s="655">
        <f t="shared" si="76"/>
        <v>9</v>
      </c>
      <c r="Q1463" s="655">
        <f t="shared" si="77"/>
        <v>9</v>
      </c>
      <c r="R1463" s="695" t="str">
        <f t="shared" si="78"/>
        <v>Gastos_Gerais</v>
      </c>
      <c r="S1463" s="697" t="s">
        <v>310</v>
      </c>
      <c r="T1463" s="697" t="s">
        <v>310</v>
      </c>
    </row>
    <row r="1464" spans="1:20" ht="96" x14ac:dyDescent="0.2">
      <c r="A1464" s="432">
        <f>IF(B1464="","",COUNT('Diário 1º PA'!$A$4:$A$2635)+COUNT('Diário 2º PA'!$A$4:$A$3040)+ROW()-3)</f>
        <v>5560</v>
      </c>
      <c r="B1464" s="414">
        <v>44810</v>
      </c>
      <c r="C1464" s="431">
        <v>44774</v>
      </c>
      <c r="D1464" s="415" t="s">
        <v>468</v>
      </c>
      <c r="E1464" s="415" t="s">
        <v>468</v>
      </c>
      <c r="F1464" s="425">
        <v>2939.7</v>
      </c>
      <c r="G1464" s="427" t="s">
        <v>2344</v>
      </c>
      <c r="H1464" s="415" t="s">
        <v>468</v>
      </c>
      <c r="I1464" s="398" t="s">
        <v>5470</v>
      </c>
      <c r="J1464" s="415" t="s">
        <v>2345</v>
      </c>
      <c r="K1464" s="418" t="s">
        <v>830</v>
      </c>
      <c r="L1464" s="399" t="s">
        <v>32</v>
      </c>
      <c r="M1464" s="419" t="s">
        <v>1700</v>
      </c>
      <c r="N1464" s="414">
        <v>44809</v>
      </c>
      <c r="O1464" s="414" t="s">
        <v>405</v>
      </c>
      <c r="P1464" s="655">
        <f t="shared" si="76"/>
        <v>9</v>
      </c>
      <c r="Q1464" s="655">
        <f t="shared" si="77"/>
        <v>8</v>
      </c>
      <c r="R1464" s="695" t="str">
        <f t="shared" si="78"/>
        <v>Gastos_custeados_por_captação</v>
      </c>
      <c r="S1464" s="697" t="s">
        <v>1000</v>
      </c>
      <c r="T1464" s="697">
        <v>3185</v>
      </c>
    </row>
    <row r="1465" spans="1:20" ht="53.25" customHeight="1" x14ac:dyDescent="0.2">
      <c r="A1465" s="432">
        <f>IF(B1465="","",COUNT('Diário 1º PA'!$A$4:$A$2635)+COUNT('Diário 2º PA'!$A$4:$A$3040)+ROW()-3)</f>
        <v>5561</v>
      </c>
      <c r="B1465" s="414">
        <v>44812</v>
      </c>
      <c r="C1465" s="431">
        <v>44774</v>
      </c>
      <c r="D1465" s="415" t="s">
        <v>271</v>
      </c>
      <c r="E1465" s="415" t="s">
        <v>297</v>
      </c>
      <c r="F1465" s="425">
        <v>-14.47</v>
      </c>
      <c r="G1465" s="427" t="s">
        <v>3907</v>
      </c>
      <c r="H1465" s="415" t="s">
        <v>309</v>
      </c>
      <c r="I1465" s="473" t="s">
        <v>795</v>
      </c>
      <c r="J1465" s="415" t="s">
        <v>796</v>
      </c>
      <c r="K1465" s="415" t="s">
        <v>797</v>
      </c>
      <c r="L1465" s="415" t="s">
        <v>798</v>
      </c>
      <c r="M1465" s="415" t="s">
        <v>310</v>
      </c>
      <c r="N1465" s="414">
        <v>44812</v>
      </c>
      <c r="O1465" s="414" t="s">
        <v>400</v>
      </c>
      <c r="P1465" s="655">
        <f t="shared" si="76"/>
        <v>9</v>
      </c>
      <c r="Q1465" s="655">
        <f t="shared" si="77"/>
        <v>8</v>
      </c>
      <c r="R1465" s="695" t="str">
        <f t="shared" si="78"/>
        <v>Gastos_Gerais</v>
      </c>
      <c r="S1465" s="697" t="s">
        <v>310</v>
      </c>
      <c r="T1465" s="697" t="s">
        <v>310</v>
      </c>
    </row>
    <row r="1466" spans="1:20" ht="62.25" customHeight="1" x14ac:dyDescent="0.2">
      <c r="A1466" s="432">
        <f>IF(B1466="","",COUNT('Diário 1º PA'!$A$4:$A$2635)+COUNT('Diário 2º PA'!$A$4:$A$3040)+ROW()-3)</f>
        <v>5562</v>
      </c>
      <c r="B1466" s="414">
        <v>44812</v>
      </c>
      <c r="C1466" s="431">
        <v>44774</v>
      </c>
      <c r="D1466" s="415" t="s">
        <v>271</v>
      </c>
      <c r="E1466" s="415" t="s">
        <v>297</v>
      </c>
      <c r="F1466" s="425">
        <v>-14.47</v>
      </c>
      <c r="G1466" s="427" t="s">
        <v>3909</v>
      </c>
      <c r="H1466" s="415" t="s">
        <v>309</v>
      </c>
      <c r="I1466" s="473" t="s">
        <v>795</v>
      </c>
      <c r="J1466" s="415" t="s">
        <v>796</v>
      </c>
      <c r="K1466" s="415" t="s">
        <v>797</v>
      </c>
      <c r="L1466" s="415" t="s">
        <v>798</v>
      </c>
      <c r="M1466" s="415" t="s">
        <v>310</v>
      </c>
      <c r="N1466" s="414">
        <v>44812</v>
      </c>
      <c r="O1466" s="414" t="s">
        <v>400</v>
      </c>
      <c r="P1466" s="655">
        <f t="shared" si="76"/>
        <v>9</v>
      </c>
      <c r="Q1466" s="655">
        <f t="shared" si="77"/>
        <v>8</v>
      </c>
      <c r="R1466" s="695" t="str">
        <f t="shared" si="78"/>
        <v>Gastos_Gerais</v>
      </c>
      <c r="S1466" s="697" t="s">
        <v>310</v>
      </c>
      <c r="T1466" s="697" t="s">
        <v>310</v>
      </c>
    </row>
    <row r="1467" spans="1:20" ht="36" x14ac:dyDescent="0.2">
      <c r="A1467" s="432">
        <f>IF(B1467="","",COUNT('Diário 1º PA'!$A$4:$A$2635)+COUNT('Diário 2º PA'!$A$4:$A$3040)+ROW()-3)</f>
        <v>5563</v>
      </c>
      <c r="B1467" s="414">
        <v>44812</v>
      </c>
      <c r="C1467" s="431">
        <v>44774</v>
      </c>
      <c r="D1467" s="415" t="s">
        <v>271</v>
      </c>
      <c r="E1467" s="415" t="s">
        <v>297</v>
      </c>
      <c r="F1467" s="425">
        <v>-274.93</v>
      </c>
      <c r="G1467" s="427" t="s">
        <v>6345</v>
      </c>
      <c r="H1467" s="415" t="s">
        <v>309</v>
      </c>
      <c r="I1467" s="473" t="s">
        <v>795</v>
      </c>
      <c r="J1467" s="415" t="s">
        <v>796</v>
      </c>
      <c r="K1467" s="415" t="s">
        <v>797</v>
      </c>
      <c r="L1467" s="415" t="s">
        <v>798</v>
      </c>
      <c r="M1467" s="415" t="s">
        <v>310</v>
      </c>
      <c r="N1467" s="414">
        <v>44812</v>
      </c>
      <c r="O1467" s="414" t="s">
        <v>400</v>
      </c>
      <c r="P1467" s="655">
        <v>8</v>
      </c>
      <c r="Q1467" s="655">
        <v>7</v>
      </c>
      <c r="R1467" s="695" t="s">
        <v>1531</v>
      </c>
      <c r="S1467" s="697" t="s">
        <v>310</v>
      </c>
      <c r="T1467" s="697" t="s">
        <v>310</v>
      </c>
    </row>
    <row r="1468" spans="1:20" ht="48" x14ac:dyDescent="0.2">
      <c r="A1468" s="432">
        <f>IF(B1468="","",COUNT('Diário 1º PA'!$A$4:$A$2635)+COUNT('Diário 2º PA'!$A$4:$A$3040)+ROW()-3)</f>
        <v>5564</v>
      </c>
      <c r="B1468" s="414">
        <v>44812</v>
      </c>
      <c r="C1468" s="431">
        <v>44774</v>
      </c>
      <c r="D1468" s="415" t="s">
        <v>271</v>
      </c>
      <c r="E1468" s="415" t="s">
        <v>297</v>
      </c>
      <c r="F1468" s="425">
        <v>-101.29</v>
      </c>
      <c r="G1468" s="427" t="s">
        <v>3426</v>
      </c>
      <c r="H1468" s="415" t="s">
        <v>309</v>
      </c>
      <c r="I1468" s="473" t="s">
        <v>795</v>
      </c>
      <c r="J1468" s="415" t="s">
        <v>796</v>
      </c>
      <c r="K1468" s="415" t="s">
        <v>797</v>
      </c>
      <c r="L1468" s="415" t="s">
        <v>798</v>
      </c>
      <c r="M1468" s="415" t="s">
        <v>310</v>
      </c>
      <c r="N1468" s="414">
        <v>44812</v>
      </c>
      <c r="O1468" s="414" t="s">
        <v>400</v>
      </c>
      <c r="P1468" s="655">
        <v>8</v>
      </c>
      <c r="Q1468" s="655">
        <v>7</v>
      </c>
      <c r="R1468" s="695" t="s">
        <v>1531</v>
      </c>
      <c r="S1468" s="697" t="s">
        <v>310</v>
      </c>
      <c r="T1468" s="697" t="s">
        <v>310</v>
      </c>
    </row>
    <row r="1469" spans="1:20" ht="36" x14ac:dyDescent="0.2">
      <c r="A1469" s="432">
        <f>IF(B1469="","",COUNT('Diário 1º PA'!$A$4:$A$2635)+COUNT('Diário 2º PA'!$A$4:$A$3040)+ROW()-3)</f>
        <v>5565</v>
      </c>
      <c r="B1469" s="413">
        <v>44812</v>
      </c>
      <c r="C1469" s="433">
        <v>44805</v>
      </c>
      <c r="D1469" s="415" t="s">
        <v>34</v>
      </c>
      <c r="E1469" s="415" t="s">
        <v>167</v>
      </c>
      <c r="F1469" s="422">
        <v>110</v>
      </c>
      <c r="G1469" s="427" t="s">
        <v>6825</v>
      </c>
      <c r="H1469" s="415" t="s">
        <v>310</v>
      </c>
      <c r="I1469" s="427" t="s">
        <v>795</v>
      </c>
      <c r="J1469" s="415" t="s">
        <v>796</v>
      </c>
      <c r="K1469" s="415" t="s">
        <v>797</v>
      </c>
      <c r="L1469" s="415" t="s">
        <v>798</v>
      </c>
      <c r="M1469" s="415" t="s">
        <v>310</v>
      </c>
      <c r="N1469" s="414">
        <v>44812</v>
      </c>
      <c r="O1469" s="414" t="s">
        <v>400</v>
      </c>
      <c r="P1469" s="655">
        <f t="shared" ref="P1469:P1500" si="79">IF(B1469=0,0,IF(YEAR(B1469)=$Q$1,MONTH(B1469)-$P$1+1,(YEAR(B1469)-$Q$1)*12-$P$1+1+MONTH(B1469)))</f>
        <v>9</v>
      </c>
      <c r="Q1469" s="655">
        <f t="shared" ref="Q1469:Q1500" si="80">IF(C1469=0,0,IF(YEAR(C1469)=$Q$1,MONTH(C1469)-$P$1+1,(YEAR(C1469)-$Q$1)*12-$P$1+1+MONTH(C1469)))</f>
        <v>9</v>
      </c>
      <c r="R1469" s="695" t="str">
        <f t="shared" ref="R1469:R1500" si="81">SUBSTITUTE(D1469," ","_")</f>
        <v>Receitas</v>
      </c>
      <c r="S1469" s="697" t="s">
        <v>310</v>
      </c>
      <c r="T1469" s="697" t="s">
        <v>310</v>
      </c>
    </row>
    <row r="1470" spans="1:20" ht="120" x14ac:dyDescent="0.2">
      <c r="A1470" s="432">
        <f>IF(B1470="","",COUNT('Diário 1º PA'!$A$4:$A$2635)+COUNT('Diário 2º PA'!$A$4:$A$3040)+ROW()-3)</f>
        <v>5566</v>
      </c>
      <c r="B1470" s="413">
        <v>44812</v>
      </c>
      <c r="C1470" s="431">
        <v>44774</v>
      </c>
      <c r="D1470" s="415" t="s">
        <v>271</v>
      </c>
      <c r="E1470" s="415" t="s">
        <v>297</v>
      </c>
      <c r="F1470" s="422">
        <v>1287.83</v>
      </c>
      <c r="G1470" s="427" t="s">
        <v>3925</v>
      </c>
      <c r="H1470" s="415" t="s">
        <v>309</v>
      </c>
      <c r="I1470" s="415" t="s">
        <v>776</v>
      </c>
      <c r="J1470" s="415" t="s">
        <v>1036</v>
      </c>
      <c r="K1470" s="419" t="s">
        <v>812</v>
      </c>
      <c r="L1470" s="415" t="s">
        <v>807</v>
      </c>
      <c r="M1470" s="419">
        <v>50010</v>
      </c>
      <c r="N1470" s="414">
        <v>44805</v>
      </c>
      <c r="O1470" s="414" t="s">
        <v>400</v>
      </c>
      <c r="P1470" s="655">
        <f t="shared" si="79"/>
        <v>9</v>
      </c>
      <c r="Q1470" s="655">
        <f t="shared" si="80"/>
        <v>8</v>
      </c>
      <c r="R1470" s="695" t="str">
        <f t="shared" si="81"/>
        <v>Gastos_Gerais</v>
      </c>
      <c r="S1470" s="697" t="s">
        <v>1000</v>
      </c>
      <c r="T1470" s="697">
        <v>1141</v>
      </c>
    </row>
    <row r="1471" spans="1:20" ht="48" x14ac:dyDescent="0.2">
      <c r="A1471" s="432">
        <f>IF(B1471="","",COUNT('Diário 1º PA'!$A$4:$A$2635)+COUNT('Diário 2º PA'!$A$4:$A$3040)+ROW()-3)</f>
        <v>5567</v>
      </c>
      <c r="B1471" s="413">
        <v>44812</v>
      </c>
      <c r="C1471" s="431">
        <v>44743</v>
      </c>
      <c r="D1471" s="415" t="s">
        <v>271</v>
      </c>
      <c r="E1471" s="415" t="s">
        <v>90</v>
      </c>
      <c r="F1471" s="422">
        <v>3180.8</v>
      </c>
      <c r="G1471" s="427" t="s">
        <v>6324</v>
      </c>
      <c r="H1471" s="415" t="s">
        <v>752</v>
      </c>
      <c r="I1471" s="415" t="s">
        <v>7093</v>
      </c>
      <c r="J1471" s="415" t="s">
        <v>1109</v>
      </c>
      <c r="K1471" s="419" t="s">
        <v>830</v>
      </c>
      <c r="L1471" s="415" t="s">
        <v>839</v>
      </c>
      <c r="M1471" s="419">
        <v>1991</v>
      </c>
      <c r="N1471" s="414">
        <v>44810</v>
      </c>
      <c r="O1471" s="414" t="s">
        <v>400</v>
      </c>
      <c r="P1471" s="655">
        <f t="shared" si="79"/>
        <v>9</v>
      </c>
      <c r="Q1471" s="655">
        <f t="shared" si="80"/>
        <v>7</v>
      </c>
      <c r="R1471" s="695" t="str">
        <f t="shared" si="81"/>
        <v>Gastos_Gerais</v>
      </c>
      <c r="S1471" s="697" t="s">
        <v>1000</v>
      </c>
      <c r="T1471" s="697">
        <v>4205</v>
      </c>
    </row>
    <row r="1472" spans="1:20" ht="36" x14ac:dyDescent="0.2">
      <c r="A1472" s="432">
        <f>IF(B1472="","",COUNT('Diário 1º PA'!$A$4:$A$2635)+COUNT('Diário 2º PA'!$A$4:$A$3040)+ROW()-3)</f>
        <v>5568</v>
      </c>
      <c r="B1472" s="413">
        <v>44812</v>
      </c>
      <c r="C1472" s="431">
        <v>44774</v>
      </c>
      <c r="D1472" s="415" t="s">
        <v>182</v>
      </c>
      <c r="E1472" s="415" t="s">
        <v>1</v>
      </c>
      <c r="F1472" s="422">
        <v>1436.02</v>
      </c>
      <c r="G1472" s="440" t="s">
        <v>7048</v>
      </c>
      <c r="H1472" s="415" t="s">
        <v>310</v>
      </c>
      <c r="I1472" s="415" t="s">
        <v>6328</v>
      </c>
      <c r="J1472" s="419">
        <v>12909142655</v>
      </c>
      <c r="K1472" s="415" t="s">
        <v>830</v>
      </c>
      <c r="L1472" s="415" t="s">
        <v>909</v>
      </c>
      <c r="M1472" s="415" t="s">
        <v>310</v>
      </c>
      <c r="N1472" s="414">
        <v>44812</v>
      </c>
      <c r="O1472" s="414" t="s">
        <v>400</v>
      </c>
      <c r="P1472" s="655">
        <f t="shared" si="79"/>
        <v>9</v>
      </c>
      <c r="Q1472" s="655">
        <f t="shared" si="80"/>
        <v>8</v>
      </c>
      <c r="R1472" s="695" t="str">
        <f t="shared" si="81"/>
        <v>Gastos_com_Pessoal</v>
      </c>
      <c r="S1472" s="697" t="s">
        <v>310</v>
      </c>
      <c r="T1472" s="697" t="s">
        <v>310</v>
      </c>
    </row>
    <row r="1473" spans="1:20" ht="24" x14ac:dyDescent="0.2">
      <c r="A1473" s="432">
        <f>IF(B1473="","",COUNT('Diário 1º PA'!$A$4:$A$2635)+COUNT('Diário 2º PA'!$A$4:$A$3040)+ROW()-3)</f>
        <v>5569</v>
      </c>
      <c r="B1473" s="413">
        <v>44812</v>
      </c>
      <c r="C1473" s="431">
        <v>44774</v>
      </c>
      <c r="D1473" s="434" t="s">
        <v>271</v>
      </c>
      <c r="E1473" s="434" t="s">
        <v>178</v>
      </c>
      <c r="F1473" s="422">
        <v>10.07</v>
      </c>
      <c r="G1473" s="427" t="s">
        <v>7097</v>
      </c>
      <c r="H1473" s="415" t="s">
        <v>309</v>
      </c>
      <c r="I1473" s="473" t="s">
        <v>764</v>
      </c>
      <c r="J1473" s="415" t="s">
        <v>310</v>
      </c>
      <c r="K1473" s="415" t="s">
        <v>1220</v>
      </c>
      <c r="L1473" s="415" t="s">
        <v>3443</v>
      </c>
      <c r="M1473" s="597">
        <v>222205617895</v>
      </c>
      <c r="N1473" s="414">
        <v>44812</v>
      </c>
      <c r="O1473" s="414" t="s">
        <v>400</v>
      </c>
      <c r="P1473" s="655">
        <f t="shared" si="79"/>
        <v>9</v>
      </c>
      <c r="Q1473" s="655">
        <f t="shared" si="80"/>
        <v>8</v>
      </c>
      <c r="R1473" s="695" t="str">
        <f t="shared" si="81"/>
        <v>Gastos_Gerais</v>
      </c>
      <c r="S1473" s="697" t="s">
        <v>310</v>
      </c>
      <c r="T1473" s="697" t="s">
        <v>310</v>
      </c>
    </row>
    <row r="1474" spans="1:20" ht="24" x14ac:dyDescent="0.2">
      <c r="A1474" s="432">
        <f>IF(B1474="","",COUNT('Diário 1º PA'!$A$4:$A$2635)+COUNT('Diário 2º PA'!$A$4:$A$3040)+ROW()-3)</f>
        <v>5570</v>
      </c>
      <c r="B1474" s="413">
        <v>44812</v>
      </c>
      <c r="C1474" s="431">
        <v>44682</v>
      </c>
      <c r="D1474" s="415" t="s">
        <v>271</v>
      </c>
      <c r="E1474" s="415" t="s">
        <v>456</v>
      </c>
      <c r="F1474" s="425">
        <v>100</v>
      </c>
      <c r="G1474" s="427" t="s">
        <v>6570</v>
      </c>
      <c r="H1474" s="415" t="s">
        <v>758</v>
      </c>
      <c r="I1474" s="473" t="s">
        <v>764</v>
      </c>
      <c r="J1474" s="415" t="s">
        <v>310</v>
      </c>
      <c r="K1474" s="415" t="s">
        <v>1220</v>
      </c>
      <c r="L1474" s="415" t="s">
        <v>3443</v>
      </c>
      <c r="M1474" s="597">
        <v>222205619758</v>
      </c>
      <c r="N1474" s="414">
        <v>44812</v>
      </c>
      <c r="O1474" s="414" t="s">
        <v>400</v>
      </c>
      <c r="P1474" s="655">
        <f t="shared" si="79"/>
        <v>9</v>
      </c>
      <c r="Q1474" s="655">
        <f t="shared" si="80"/>
        <v>5</v>
      </c>
      <c r="R1474" s="695" t="str">
        <f t="shared" si="81"/>
        <v>Gastos_Gerais</v>
      </c>
      <c r="S1474" s="697" t="s">
        <v>310</v>
      </c>
      <c r="T1474" s="697" t="s">
        <v>310</v>
      </c>
    </row>
    <row r="1475" spans="1:20" ht="36" x14ac:dyDescent="0.2">
      <c r="A1475" s="432">
        <f>IF(B1475="","",COUNT('Diário 1º PA'!$A$4:$A$2635)+COUNT('Diário 2º PA'!$A$4:$A$3040)+ROW()-3)</f>
        <v>5571</v>
      </c>
      <c r="B1475" s="413">
        <v>44812</v>
      </c>
      <c r="C1475" s="431">
        <v>44743</v>
      </c>
      <c r="D1475" s="415" t="s">
        <v>271</v>
      </c>
      <c r="E1475" s="415" t="s">
        <v>90</v>
      </c>
      <c r="F1475" s="425">
        <v>75</v>
      </c>
      <c r="G1475" s="427" t="s">
        <v>6223</v>
      </c>
      <c r="H1475" s="415" t="s">
        <v>760</v>
      </c>
      <c r="I1475" s="473" t="s">
        <v>764</v>
      </c>
      <c r="J1475" s="415" t="s">
        <v>310</v>
      </c>
      <c r="K1475" s="415" t="s">
        <v>1220</v>
      </c>
      <c r="L1475" s="415" t="s">
        <v>3443</v>
      </c>
      <c r="M1475" s="597">
        <v>222205614101</v>
      </c>
      <c r="N1475" s="414">
        <v>44812</v>
      </c>
      <c r="O1475" s="414" t="s">
        <v>400</v>
      </c>
      <c r="P1475" s="655">
        <f t="shared" si="79"/>
        <v>9</v>
      </c>
      <c r="Q1475" s="655">
        <f t="shared" si="80"/>
        <v>7</v>
      </c>
      <c r="R1475" s="695" t="str">
        <f t="shared" si="81"/>
        <v>Gastos_Gerais</v>
      </c>
      <c r="S1475" s="697" t="s">
        <v>310</v>
      </c>
      <c r="T1475" s="697" t="s">
        <v>310</v>
      </c>
    </row>
    <row r="1476" spans="1:20" ht="36" x14ac:dyDescent="0.2">
      <c r="A1476" s="432">
        <f>IF(B1476="","",COUNT('Diário 1º PA'!$A$4:$A$2635)+COUNT('Diário 2º PA'!$A$4:$A$3040)+ROW()-3)</f>
        <v>5572</v>
      </c>
      <c r="B1476" s="413">
        <v>44812</v>
      </c>
      <c r="C1476" s="431">
        <v>44743</v>
      </c>
      <c r="D1476" s="415" t="s">
        <v>271</v>
      </c>
      <c r="E1476" s="415" t="s">
        <v>453</v>
      </c>
      <c r="F1476" s="422">
        <v>7.2</v>
      </c>
      <c r="G1476" s="415" t="s">
        <v>7098</v>
      </c>
      <c r="H1476" s="415" t="s">
        <v>757</v>
      </c>
      <c r="I1476" s="415" t="s">
        <v>764</v>
      </c>
      <c r="J1476" s="415" t="s">
        <v>310</v>
      </c>
      <c r="K1476" s="415" t="s">
        <v>1220</v>
      </c>
      <c r="L1476" s="415" t="s">
        <v>3443</v>
      </c>
      <c r="M1476" s="597">
        <v>222205615922</v>
      </c>
      <c r="N1476" s="414">
        <v>44812</v>
      </c>
      <c r="O1476" s="414" t="s">
        <v>400</v>
      </c>
      <c r="P1476" s="655">
        <f t="shared" si="79"/>
        <v>9</v>
      </c>
      <c r="Q1476" s="655">
        <f t="shared" si="80"/>
        <v>7</v>
      </c>
      <c r="R1476" s="695" t="str">
        <f t="shared" si="81"/>
        <v>Gastos_Gerais</v>
      </c>
      <c r="S1476" s="697" t="s">
        <v>310</v>
      </c>
      <c r="T1476" s="697" t="s">
        <v>310</v>
      </c>
    </row>
    <row r="1477" spans="1:20" ht="24" x14ac:dyDescent="0.2">
      <c r="A1477" s="432">
        <f>IF(B1477="","",COUNT('Diário 1º PA'!$A$4:$A$2635)+COUNT('Diário 2º PA'!$A$4:$A$3040)+ROW()-3)</f>
        <v>5573</v>
      </c>
      <c r="B1477" s="413">
        <v>44812</v>
      </c>
      <c r="C1477" s="431">
        <v>44713</v>
      </c>
      <c r="D1477" s="415" t="s">
        <v>271</v>
      </c>
      <c r="E1477" s="415" t="s">
        <v>450</v>
      </c>
      <c r="F1477" s="425">
        <v>140</v>
      </c>
      <c r="G1477" s="427" t="s">
        <v>6271</v>
      </c>
      <c r="H1477" s="415" t="s">
        <v>758</v>
      </c>
      <c r="I1477" s="415" t="s">
        <v>764</v>
      </c>
      <c r="J1477" s="415" t="s">
        <v>310</v>
      </c>
      <c r="K1477" s="415" t="s">
        <v>1220</v>
      </c>
      <c r="L1477" s="415" t="s">
        <v>3443</v>
      </c>
      <c r="M1477" s="597">
        <v>222205617380</v>
      </c>
      <c r="N1477" s="414">
        <v>44812</v>
      </c>
      <c r="O1477" s="414" t="s">
        <v>400</v>
      </c>
      <c r="P1477" s="655">
        <f t="shared" si="79"/>
        <v>9</v>
      </c>
      <c r="Q1477" s="655">
        <f t="shared" si="80"/>
        <v>6</v>
      </c>
      <c r="R1477" s="695" t="str">
        <f t="shared" si="81"/>
        <v>Gastos_Gerais</v>
      </c>
      <c r="S1477" s="697" t="s">
        <v>310</v>
      </c>
      <c r="T1477" s="697" t="s">
        <v>310</v>
      </c>
    </row>
    <row r="1478" spans="1:20" ht="24" x14ac:dyDescent="0.2">
      <c r="A1478" s="432">
        <f>IF(B1478="","",COUNT('Diário 1º PA'!$A$4:$A$2635)+COUNT('Diário 2º PA'!$A$4:$A$3040)+ROW()-3)</f>
        <v>5574</v>
      </c>
      <c r="B1478" s="413">
        <v>44812</v>
      </c>
      <c r="C1478" s="431">
        <v>44743</v>
      </c>
      <c r="D1478" s="415" t="s">
        <v>271</v>
      </c>
      <c r="E1478" s="415" t="s">
        <v>456</v>
      </c>
      <c r="F1478" s="425">
        <v>90</v>
      </c>
      <c r="G1478" s="427" t="s">
        <v>6739</v>
      </c>
      <c r="H1478" s="415" t="s">
        <v>758</v>
      </c>
      <c r="I1478" s="415" t="s">
        <v>764</v>
      </c>
      <c r="J1478" s="415" t="s">
        <v>310</v>
      </c>
      <c r="K1478" s="415" t="s">
        <v>1220</v>
      </c>
      <c r="L1478" s="415" t="s">
        <v>3443</v>
      </c>
      <c r="M1478" s="597">
        <v>222205622970</v>
      </c>
      <c r="N1478" s="414">
        <v>44812</v>
      </c>
      <c r="O1478" s="414" t="s">
        <v>400</v>
      </c>
      <c r="P1478" s="655">
        <f t="shared" si="79"/>
        <v>9</v>
      </c>
      <c r="Q1478" s="655">
        <f t="shared" si="80"/>
        <v>7</v>
      </c>
      <c r="R1478" s="695" t="str">
        <f t="shared" si="81"/>
        <v>Gastos_Gerais</v>
      </c>
      <c r="S1478" s="697" t="s">
        <v>310</v>
      </c>
      <c r="T1478" s="697" t="s">
        <v>310</v>
      </c>
    </row>
    <row r="1479" spans="1:20" ht="24" x14ac:dyDescent="0.2">
      <c r="A1479" s="432">
        <f>IF(B1479="","",COUNT('Diário 1º PA'!$A$4:$A$2635)+COUNT('Diário 2º PA'!$A$4:$A$3040)+ROW()-3)</f>
        <v>5575</v>
      </c>
      <c r="B1479" s="413">
        <v>44812</v>
      </c>
      <c r="C1479" s="431">
        <v>44743</v>
      </c>
      <c r="D1479" s="415" t="s">
        <v>182</v>
      </c>
      <c r="E1479" s="415" t="s">
        <v>161</v>
      </c>
      <c r="F1479" s="425">
        <v>0.1</v>
      </c>
      <c r="G1479" s="427" t="s">
        <v>7099</v>
      </c>
      <c r="H1479" s="415" t="s">
        <v>310</v>
      </c>
      <c r="I1479" s="473" t="s">
        <v>764</v>
      </c>
      <c r="J1479" s="415" t="s">
        <v>310</v>
      </c>
      <c r="K1479" s="415" t="s">
        <v>1220</v>
      </c>
      <c r="L1479" s="415" t="s">
        <v>3443</v>
      </c>
      <c r="M1479" s="546">
        <v>222205620683</v>
      </c>
      <c r="N1479" s="414">
        <v>44812</v>
      </c>
      <c r="O1479" s="414" t="s">
        <v>400</v>
      </c>
      <c r="P1479" s="655">
        <f t="shared" si="79"/>
        <v>9</v>
      </c>
      <c r="Q1479" s="655">
        <f t="shared" si="80"/>
        <v>7</v>
      </c>
      <c r="R1479" s="695" t="str">
        <f t="shared" si="81"/>
        <v>Gastos_com_Pessoal</v>
      </c>
      <c r="S1479" s="697" t="s">
        <v>310</v>
      </c>
      <c r="T1479" s="697" t="s">
        <v>310</v>
      </c>
    </row>
    <row r="1480" spans="1:20" ht="24" x14ac:dyDescent="0.2">
      <c r="A1480" s="432">
        <f>IF(B1480="","",COUNT('Diário 1º PA'!$A$4:$A$2635)+COUNT('Diário 2º PA'!$A$4:$A$3040)+ROW()-3)</f>
        <v>5576</v>
      </c>
      <c r="B1480" s="413">
        <v>44812</v>
      </c>
      <c r="C1480" s="431">
        <v>44682</v>
      </c>
      <c r="D1480" s="415" t="s">
        <v>271</v>
      </c>
      <c r="E1480" s="415" t="s">
        <v>456</v>
      </c>
      <c r="F1480" s="425">
        <v>110</v>
      </c>
      <c r="G1480" s="427" t="s">
        <v>6742</v>
      </c>
      <c r="H1480" s="415" t="s">
        <v>758</v>
      </c>
      <c r="I1480" s="473" t="s">
        <v>764</v>
      </c>
      <c r="J1480" s="415" t="s">
        <v>310</v>
      </c>
      <c r="K1480" s="415" t="s">
        <v>1220</v>
      </c>
      <c r="L1480" s="415" t="s">
        <v>3443</v>
      </c>
      <c r="M1480" s="546">
        <v>222205622384</v>
      </c>
      <c r="N1480" s="414">
        <v>44812</v>
      </c>
      <c r="O1480" s="414" t="s">
        <v>400</v>
      </c>
      <c r="P1480" s="655">
        <f t="shared" si="79"/>
        <v>9</v>
      </c>
      <c r="Q1480" s="655">
        <f t="shared" si="80"/>
        <v>5</v>
      </c>
      <c r="R1480" s="695" t="str">
        <f t="shared" si="81"/>
        <v>Gastos_Gerais</v>
      </c>
      <c r="S1480" s="697" t="s">
        <v>310</v>
      </c>
      <c r="T1480" s="697" t="s">
        <v>310</v>
      </c>
    </row>
    <row r="1481" spans="1:20" ht="24" x14ac:dyDescent="0.2">
      <c r="A1481" s="432">
        <f>IF(B1481="","",COUNT('Diário 1º PA'!$A$4:$A$2635)+COUNT('Diário 2º PA'!$A$4:$A$3040)+ROW()-3)</f>
        <v>5577</v>
      </c>
      <c r="B1481" s="413">
        <v>44812</v>
      </c>
      <c r="C1481" s="433">
        <v>44774</v>
      </c>
      <c r="D1481" s="434" t="s">
        <v>182</v>
      </c>
      <c r="E1481" s="434" t="s">
        <v>179</v>
      </c>
      <c r="F1481" s="435">
        <v>19.350000000000001</v>
      </c>
      <c r="G1481" s="437" t="s">
        <v>6955</v>
      </c>
      <c r="H1481" s="434" t="s">
        <v>310</v>
      </c>
      <c r="I1481" s="473" t="s">
        <v>764</v>
      </c>
      <c r="J1481" s="415" t="s">
        <v>310</v>
      </c>
      <c r="K1481" s="415" t="s">
        <v>1220</v>
      </c>
      <c r="L1481" s="415" t="s">
        <v>3443</v>
      </c>
      <c r="M1481" s="546">
        <v>222205621302</v>
      </c>
      <c r="N1481" s="414">
        <v>44812</v>
      </c>
      <c r="O1481" s="414" t="s">
        <v>400</v>
      </c>
      <c r="P1481" s="655">
        <f t="shared" si="79"/>
        <v>9</v>
      </c>
      <c r="Q1481" s="655">
        <f t="shared" si="80"/>
        <v>8</v>
      </c>
      <c r="R1481" s="695" t="str">
        <f t="shared" si="81"/>
        <v>Gastos_com_Pessoal</v>
      </c>
      <c r="S1481" s="697" t="s">
        <v>310</v>
      </c>
      <c r="T1481" s="697" t="s">
        <v>310</v>
      </c>
    </row>
    <row r="1482" spans="1:20" ht="24" x14ac:dyDescent="0.2">
      <c r="A1482" s="432">
        <f>IF(B1482="","",COUNT('Diário 1º PA'!$A$4:$A$2635)+COUNT('Diário 2º PA'!$A$4:$A$3040)+ROW()-3)</f>
        <v>5578</v>
      </c>
      <c r="B1482" s="413">
        <v>44812</v>
      </c>
      <c r="C1482" s="431">
        <v>44713</v>
      </c>
      <c r="D1482" s="415" t="s">
        <v>271</v>
      </c>
      <c r="E1482" s="415" t="s">
        <v>452</v>
      </c>
      <c r="F1482" s="425">
        <v>150</v>
      </c>
      <c r="G1482" s="427" t="s">
        <v>6809</v>
      </c>
      <c r="H1482" s="415" t="s">
        <v>758</v>
      </c>
      <c r="I1482" s="473" t="s">
        <v>764</v>
      </c>
      <c r="J1482" s="415" t="s">
        <v>310</v>
      </c>
      <c r="K1482" s="415" t="s">
        <v>1220</v>
      </c>
      <c r="L1482" s="415" t="s">
        <v>3443</v>
      </c>
      <c r="M1482" s="546">
        <v>222205623003</v>
      </c>
      <c r="N1482" s="414">
        <v>44812</v>
      </c>
      <c r="O1482" s="414" t="s">
        <v>400</v>
      </c>
      <c r="P1482" s="655">
        <f t="shared" si="79"/>
        <v>9</v>
      </c>
      <c r="Q1482" s="655">
        <f t="shared" si="80"/>
        <v>6</v>
      </c>
      <c r="R1482" s="695" t="str">
        <f t="shared" si="81"/>
        <v>Gastos_Gerais</v>
      </c>
      <c r="S1482" s="697" t="s">
        <v>310</v>
      </c>
      <c r="T1482" s="697" t="s">
        <v>310</v>
      </c>
    </row>
    <row r="1483" spans="1:20" ht="24" x14ac:dyDescent="0.2">
      <c r="A1483" s="432">
        <f>IF(B1483="","",COUNT('Diário 1º PA'!$A$4:$A$2635)+COUNT('Diário 2º PA'!$A$4:$A$3040)+ROW()-3)</f>
        <v>5579</v>
      </c>
      <c r="B1483" s="413">
        <v>44812</v>
      </c>
      <c r="C1483" s="431">
        <v>44682</v>
      </c>
      <c r="D1483" s="415" t="s">
        <v>271</v>
      </c>
      <c r="E1483" s="415" t="s">
        <v>442</v>
      </c>
      <c r="F1483" s="425">
        <v>110</v>
      </c>
      <c r="G1483" s="427" t="s">
        <v>6576</v>
      </c>
      <c r="H1483" s="415" t="s">
        <v>758</v>
      </c>
      <c r="I1483" s="473" t="s">
        <v>764</v>
      </c>
      <c r="J1483" s="415" t="s">
        <v>310</v>
      </c>
      <c r="K1483" s="415" t="s">
        <v>1220</v>
      </c>
      <c r="L1483" s="415" t="s">
        <v>3443</v>
      </c>
      <c r="M1483" s="546">
        <v>222205619243</v>
      </c>
      <c r="N1483" s="414">
        <v>44812</v>
      </c>
      <c r="O1483" s="414" t="s">
        <v>400</v>
      </c>
      <c r="P1483" s="655">
        <f t="shared" si="79"/>
        <v>9</v>
      </c>
      <c r="Q1483" s="655">
        <f t="shared" si="80"/>
        <v>5</v>
      </c>
      <c r="R1483" s="695" t="str">
        <f t="shared" si="81"/>
        <v>Gastos_Gerais</v>
      </c>
      <c r="S1483" s="697" t="s">
        <v>310</v>
      </c>
      <c r="T1483" s="697" t="s">
        <v>310</v>
      </c>
    </row>
    <row r="1484" spans="1:20" ht="24" x14ac:dyDescent="0.2">
      <c r="A1484" s="432">
        <f>IF(B1484="","",COUNT('Diário 1º PA'!$A$4:$A$2635)+COUNT('Diário 2º PA'!$A$4:$A$3040)+ROW()-3)</f>
        <v>5580</v>
      </c>
      <c r="B1484" s="413">
        <v>44812</v>
      </c>
      <c r="C1484" s="431">
        <v>44743</v>
      </c>
      <c r="D1484" s="415" t="s">
        <v>271</v>
      </c>
      <c r="E1484" s="415" t="s">
        <v>297</v>
      </c>
      <c r="F1484" s="425">
        <v>0.96</v>
      </c>
      <c r="G1484" s="427" t="s">
        <v>6748</v>
      </c>
      <c r="H1484" s="415" t="s">
        <v>752</v>
      </c>
      <c r="I1484" s="473" t="s">
        <v>764</v>
      </c>
      <c r="J1484" s="415" t="s">
        <v>310</v>
      </c>
      <c r="K1484" s="415" t="s">
        <v>1220</v>
      </c>
      <c r="L1484" s="415" t="s">
        <v>3443</v>
      </c>
      <c r="M1484" s="546">
        <v>222205623194</v>
      </c>
      <c r="N1484" s="414">
        <v>44812</v>
      </c>
      <c r="O1484" s="414" t="s">
        <v>400</v>
      </c>
      <c r="P1484" s="655">
        <f t="shared" si="79"/>
        <v>9</v>
      </c>
      <c r="Q1484" s="655">
        <f t="shared" si="80"/>
        <v>7</v>
      </c>
      <c r="R1484" s="695" t="str">
        <f t="shared" si="81"/>
        <v>Gastos_Gerais</v>
      </c>
      <c r="S1484" s="697" t="s">
        <v>310</v>
      </c>
      <c r="T1484" s="697" t="s">
        <v>310</v>
      </c>
    </row>
    <row r="1485" spans="1:20" ht="36" x14ac:dyDescent="0.2">
      <c r="A1485" s="432">
        <f>IF(B1485="","",COUNT('Diário 1º PA'!$A$4:$A$2635)+COUNT('Diário 2º PA'!$A$4:$A$3040)+ROW()-3)</f>
        <v>5581</v>
      </c>
      <c r="B1485" s="413">
        <v>44812</v>
      </c>
      <c r="C1485" s="431">
        <v>44743</v>
      </c>
      <c r="D1485" s="415" t="s">
        <v>271</v>
      </c>
      <c r="E1485" s="415" t="s">
        <v>456</v>
      </c>
      <c r="F1485" s="425">
        <v>107.46</v>
      </c>
      <c r="G1485" s="427" t="s">
        <v>6256</v>
      </c>
      <c r="H1485" s="415" t="s">
        <v>755</v>
      </c>
      <c r="I1485" s="473" t="s">
        <v>764</v>
      </c>
      <c r="J1485" s="415" t="s">
        <v>310</v>
      </c>
      <c r="K1485" s="415" t="s">
        <v>1220</v>
      </c>
      <c r="L1485" s="415" t="s">
        <v>3443</v>
      </c>
      <c r="M1485" s="546">
        <v>222205616066</v>
      </c>
      <c r="N1485" s="414">
        <v>44812</v>
      </c>
      <c r="O1485" s="414" t="s">
        <v>400</v>
      </c>
      <c r="P1485" s="655">
        <f t="shared" si="79"/>
        <v>9</v>
      </c>
      <c r="Q1485" s="655">
        <f t="shared" si="80"/>
        <v>7</v>
      </c>
      <c r="R1485" s="695" t="str">
        <f t="shared" si="81"/>
        <v>Gastos_Gerais</v>
      </c>
      <c r="S1485" s="697" t="s">
        <v>310</v>
      </c>
      <c r="T1485" s="697" t="s">
        <v>310</v>
      </c>
    </row>
    <row r="1486" spans="1:20" ht="24" x14ac:dyDescent="0.2">
      <c r="A1486" s="432">
        <f>IF(B1486="","",COUNT('Diário 1º PA'!$A$4:$A$2635)+COUNT('Diário 2º PA'!$A$4:$A$3040)+ROW()-3)</f>
        <v>5582</v>
      </c>
      <c r="B1486" s="413">
        <v>44812</v>
      </c>
      <c r="C1486" s="431">
        <v>44743</v>
      </c>
      <c r="D1486" s="415" t="s">
        <v>271</v>
      </c>
      <c r="E1486" s="415" t="s">
        <v>462</v>
      </c>
      <c r="F1486" s="425">
        <v>81.67</v>
      </c>
      <c r="G1486" s="427" t="s">
        <v>6304</v>
      </c>
      <c r="H1486" s="415" t="s">
        <v>793</v>
      </c>
      <c r="I1486" s="473" t="s">
        <v>764</v>
      </c>
      <c r="J1486" s="415" t="s">
        <v>310</v>
      </c>
      <c r="K1486" s="415" t="s">
        <v>1220</v>
      </c>
      <c r="L1486" s="415" t="s">
        <v>3443</v>
      </c>
      <c r="M1486" s="546">
        <v>222205617704</v>
      </c>
      <c r="N1486" s="414">
        <v>44812</v>
      </c>
      <c r="O1486" s="414" t="s">
        <v>400</v>
      </c>
      <c r="P1486" s="655">
        <f t="shared" si="79"/>
        <v>9</v>
      </c>
      <c r="Q1486" s="655">
        <f t="shared" si="80"/>
        <v>7</v>
      </c>
      <c r="R1486" s="695" t="str">
        <f t="shared" si="81"/>
        <v>Gastos_Gerais</v>
      </c>
      <c r="S1486" s="697" t="s">
        <v>310</v>
      </c>
      <c r="T1486" s="697" t="s">
        <v>310</v>
      </c>
    </row>
    <row r="1487" spans="1:20" ht="24" x14ac:dyDescent="0.2">
      <c r="A1487" s="432">
        <f>IF(B1487="","",COUNT('Diário 1º PA'!$A$4:$A$2635)+COUNT('Diário 2º PA'!$A$4:$A$3040)+ROW()-3)</f>
        <v>5583</v>
      </c>
      <c r="B1487" s="413">
        <v>44812</v>
      </c>
      <c r="C1487" s="431">
        <v>44562</v>
      </c>
      <c r="D1487" s="415" t="s">
        <v>271</v>
      </c>
      <c r="E1487" s="415" t="s">
        <v>454</v>
      </c>
      <c r="F1487" s="425">
        <v>35.700000000000003</v>
      </c>
      <c r="G1487" s="427" t="s">
        <v>6845</v>
      </c>
      <c r="H1487" s="415" t="s">
        <v>752</v>
      </c>
      <c r="I1487" s="473" t="s">
        <v>764</v>
      </c>
      <c r="J1487" s="415" t="s">
        <v>310</v>
      </c>
      <c r="K1487" s="415" t="s">
        <v>1220</v>
      </c>
      <c r="L1487" s="415" t="s">
        <v>3443</v>
      </c>
      <c r="M1487" s="546">
        <v>222205625219</v>
      </c>
      <c r="N1487" s="414">
        <v>44812</v>
      </c>
      <c r="O1487" s="414" t="s">
        <v>400</v>
      </c>
      <c r="P1487" s="655">
        <f t="shared" si="79"/>
        <v>9</v>
      </c>
      <c r="Q1487" s="655">
        <f t="shared" si="80"/>
        <v>1</v>
      </c>
      <c r="R1487" s="695" t="str">
        <f t="shared" si="81"/>
        <v>Gastos_Gerais</v>
      </c>
      <c r="S1487" s="697" t="s">
        <v>310</v>
      </c>
      <c r="T1487" s="697" t="s">
        <v>310</v>
      </c>
    </row>
    <row r="1488" spans="1:20" ht="24" x14ac:dyDescent="0.2">
      <c r="A1488" s="432">
        <f>IF(B1488="","",COUNT('Diário 1º PA'!$A$4:$A$2635)+COUNT('Diário 2º PA'!$A$4:$A$3040)+ROW()-3)</f>
        <v>5584</v>
      </c>
      <c r="B1488" s="413">
        <v>44812</v>
      </c>
      <c r="C1488" s="431">
        <v>44743</v>
      </c>
      <c r="D1488" s="415" t="s">
        <v>271</v>
      </c>
      <c r="E1488" s="415" t="s">
        <v>90</v>
      </c>
      <c r="F1488" s="425">
        <v>80</v>
      </c>
      <c r="G1488" s="427" t="s">
        <v>6253</v>
      </c>
      <c r="H1488" s="415" t="s">
        <v>758</v>
      </c>
      <c r="I1488" s="473" t="s">
        <v>764</v>
      </c>
      <c r="J1488" s="415" t="s">
        <v>310</v>
      </c>
      <c r="K1488" s="415" t="s">
        <v>1220</v>
      </c>
      <c r="L1488" s="415" t="s">
        <v>3443</v>
      </c>
      <c r="M1488" s="546">
        <v>222205614284</v>
      </c>
      <c r="N1488" s="414">
        <v>44812</v>
      </c>
      <c r="O1488" s="414" t="s">
        <v>400</v>
      </c>
      <c r="P1488" s="655">
        <f t="shared" si="79"/>
        <v>9</v>
      </c>
      <c r="Q1488" s="655">
        <f t="shared" si="80"/>
        <v>7</v>
      </c>
      <c r="R1488" s="695" t="str">
        <f t="shared" si="81"/>
        <v>Gastos_Gerais</v>
      </c>
      <c r="S1488" s="697" t="s">
        <v>310</v>
      </c>
      <c r="T1488" s="697" t="s">
        <v>310</v>
      </c>
    </row>
    <row r="1489" spans="1:20" ht="36" x14ac:dyDescent="0.2">
      <c r="A1489" s="432">
        <f>IF(B1489="","",COUNT('Diário 1º PA'!$A$4:$A$2635)+COUNT('Diário 2º PA'!$A$4:$A$3040)+ROW()-3)</f>
        <v>5585</v>
      </c>
      <c r="B1489" s="413">
        <v>44812</v>
      </c>
      <c r="C1489" s="431">
        <v>44713</v>
      </c>
      <c r="D1489" s="415" t="s">
        <v>271</v>
      </c>
      <c r="E1489" s="415" t="s">
        <v>442</v>
      </c>
      <c r="F1489" s="425">
        <v>34.5</v>
      </c>
      <c r="G1489" s="427" t="s">
        <v>6723</v>
      </c>
      <c r="H1489" s="415" t="s">
        <v>755</v>
      </c>
      <c r="I1489" s="473" t="s">
        <v>764</v>
      </c>
      <c r="J1489" s="415" t="s">
        <v>310</v>
      </c>
      <c r="K1489" s="415" t="s">
        <v>1220</v>
      </c>
      <c r="L1489" s="415" t="s">
        <v>3443</v>
      </c>
      <c r="M1489" s="546">
        <v>222205622708</v>
      </c>
      <c r="N1489" s="414">
        <v>44812</v>
      </c>
      <c r="O1489" s="414" t="s">
        <v>400</v>
      </c>
      <c r="P1489" s="655">
        <f t="shared" si="79"/>
        <v>9</v>
      </c>
      <c r="Q1489" s="655">
        <f t="shared" si="80"/>
        <v>6</v>
      </c>
      <c r="R1489" s="695" t="str">
        <f t="shared" si="81"/>
        <v>Gastos_Gerais</v>
      </c>
      <c r="S1489" s="697" t="s">
        <v>310</v>
      </c>
      <c r="T1489" s="697" t="s">
        <v>310</v>
      </c>
    </row>
    <row r="1490" spans="1:20" ht="24" x14ac:dyDescent="0.2">
      <c r="A1490" s="432">
        <f>IF(B1490="","",COUNT('Diário 1º PA'!$A$4:$A$2635)+COUNT('Diário 2º PA'!$A$4:$A$3040)+ROW()-3)</f>
        <v>5586</v>
      </c>
      <c r="B1490" s="413">
        <v>44812</v>
      </c>
      <c r="C1490" s="431">
        <v>44743</v>
      </c>
      <c r="D1490" s="415" t="s">
        <v>271</v>
      </c>
      <c r="E1490" s="415" t="s">
        <v>90</v>
      </c>
      <c r="F1490" s="425">
        <v>38</v>
      </c>
      <c r="G1490" s="427" t="s">
        <v>6232</v>
      </c>
      <c r="H1490" s="415" t="s">
        <v>753</v>
      </c>
      <c r="I1490" s="473" t="s">
        <v>764</v>
      </c>
      <c r="J1490" s="415" t="s">
        <v>310</v>
      </c>
      <c r="K1490" s="415" t="s">
        <v>1220</v>
      </c>
      <c r="L1490" s="415" t="s">
        <v>3443</v>
      </c>
      <c r="M1490" s="546">
        <v>222205613717</v>
      </c>
      <c r="N1490" s="414">
        <v>44812</v>
      </c>
      <c r="O1490" s="414" t="s">
        <v>400</v>
      </c>
      <c r="P1490" s="655">
        <f t="shared" si="79"/>
        <v>9</v>
      </c>
      <c r="Q1490" s="655">
        <f t="shared" si="80"/>
        <v>7</v>
      </c>
      <c r="R1490" s="695" t="str">
        <f t="shared" si="81"/>
        <v>Gastos_Gerais</v>
      </c>
      <c r="S1490" s="697" t="s">
        <v>310</v>
      </c>
      <c r="T1490" s="697" t="s">
        <v>310</v>
      </c>
    </row>
    <row r="1491" spans="1:20" ht="24" x14ac:dyDescent="0.2">
      <c r="A1491" s="432">
        <f>IF(B1491="","",COUNT('Diário 1º PA'!$A$4:$A$2635)+COUNT('Diário 2º PA'!$A$4:$A$3040)+ROW()-3)</f>
        <v>5587</v>
      </c>
      <c r="B1491" s="413">
        <v>44812</v>
      </c>
      <c r="C1491" s="431">
        <v>44774</v>
      </c>
      <c r="D1491" s="415" t="s">
        <v>271</v>
      </c>
      <c r="E1491" s="415" t="s">
        <v>465</v>
      </c>
      <c r="F1491" s="425">
        <v>30</v>
      </c>
      <c r="G1491" s="427" t="s">
        <v>7100</v>
      </c>
      <c r="H1491" s="415" t="s">
        <v>758</v>
      </c>
      <c r="I1491" s="473" t="s">
        <v>764</v>
      </c>
      <c r="J1491" s="415" t="s">
        <v>310</v>
      </c>
      <c r="K1491" s="415" t="s">
        <v>1220</v>
      </c>
      <c r="L1491" s="415" t="s">
        <v>3443</v>
      </c>
      <c r="M1491" s="546">
        <v>222205620330</v>
      </c>
      <c r="N1491" s="414">
        <v>44812</v>
      </c>
      <c r="O1491" s="414" t="s">
        <v>400</v>
      </c>
      <c r="P1491" s="655">
        <f t="shared" si="79"/>
        <v>9</v>
      </c>
      <c r="Q1491" s="655">
        <f t="shared" si="80"/>
        <v>8</v>
      </c>
      <c r="R1491" s="695" t="str">
        <f t="shared" si="81"/>
        <v>Gastos_Gerais</v>
      </c>
      <c r="S1491" s="697" t="s">
        <v>310</v>
      </c>
      <c r="T1491" s="697" t="s">
        <v>310</v>
      </c>
    </row>
    <row r="1492" spans="1:20" ht="36" x14ac:dyDescent="0.2">
      <c r="A1492" s="432">
        <f>IF(B1492="","",COUNT('Diário 1º PA'!$A$4:$A$2635)+COUNT('Diário 2º PA'!$A$4:$A$3040)+ROW()-3)</f>
        <v>5588</v>
      </c>
      <c r="B1492" s="413">
        <v>44812</v>
      </c>
      <c r="C1492" s="431">
        <v>44743</v>
      </c>
      <c r="D1492" s="415" t="s">
        <v>271</v>
      </c>
      <c r="E1492" s="415" t="s">
        <v>456</v>
      </c>
      <c r="F1492" s="425">
        <v>16</v>
      </c>
      <c r="G1492" s="427" t="s">
        <v>6531</v>
      </c>
      <c r="H1492" s="415" t="s">
        <v>760</v>
      </c>
      <c r="I1492" s="473" t="s">
        <v>764</v>
      </c>
      <c r="J1492" s="415" t="s">
        <v>310</v>
      </c>
      <c r="K1492" s="415" t="s">
        <v>1220</v>
      </c>
      <c r="L1492" s="415" t="s">
        <v>3443</v>
      </c>
      <c r="M1492" s="546">
        <v>222205621060</v>
      </c>
      <c r="N1492" s="414">
        <v>44812</v>
      </c>
      <c r="O1492" s="414" t="s">
        <v>400</v>
      </c>
      <c r="P1492" s="655">
        <f t="shared" si="79"/>
        <v>9</v>
      </c>
      <c r="Q1492" s="655">
        <f t="shared" si="80"/>
        <v>7</v>
      </c>
      <c r="R1492" s="695" t="str">
        <f t="shared" si="81"/>
        <v>Gastos_Gerais</v>
      </c>
      <c r="S1492" s="697" t="s">
        <v>310</v>
      </c>
      <c r="T1492" s="697" t="s">
        <v>310</v>
      </c>
    </row>
    <row r="1493" spans="1:20" ht="24" x14ac:dyDescent="0.2">
      <c r="A1493" s="432">
        <f>IF(B1493="","",COUNT('Diário 1º PA'!$A$4:$A$2635)+COUNT('Diário 2º PA'!$A$4:$A$3040)+ROW()-3)</f>
        <v>5589</v>
      </c>
      <c r="B1493" s="413">
        <v>44812</v>
      </c>
      <c r="C1493" s="431">
        <v>44682</v>
      </c>
      <c r="D1493" s="415" t="s">
        <v>271</v>
      </c>
      <c r="E1493" s="415" t="s">
        <v>466</v>
      </c>
      <c r="F1493" s="425">
        <v>122.5</v>
      </c>
      <c r="G1493" s="427" t="s">
        <v>6720</v>
      </c>
      <c r="H1493" s="415" t="s">
        <v>758</v>
      </c>
      <c r="I1493" s="473" t="s">
        <v>764</v>
      </c>
      <c r="J1493" s="415" t="s">
        <v>310</v>
      </c>
      <c r="K1493" s="415" t="s">
        <v>1220</v>
      </c>
      <c r="L1493" s="415" t="s">
        <v>3443</v>
      </c>
      <c r="M1493" s="546">
        <v>222205622899</v>
      </c>
      <c r="N1493" s="414">
        <v>44812</v>
      </c>
      <c r="O1493" s="414" t="s">
        <v>400</v>
      </c>
      <c r="P1493" s="655">
        <f t="shared" si="79"/>
        <v>9</v>
      </c>
      <c r="Q1493" s="655">
        <f t="shared" si="80"/>
        <v>5</v>
      </c>
      <c r="R1493" s="695" t="str">
        <f t="shared" si="81"/>
        <v>Gastos_Gerais</v>
      </c>
      <c r="S1493" s="697" t="s">
        <v>310</v>
      </c>
      <c r="T1493" s="697" t="s">
        <v>310</v>
      </c>
    </row>
    <row r="1494" spans="1:20" ht="24" x14ac:dyDescent="0.2">
      <c r="A1494" s="432">
        <f>IF(B1494="","",COUNT('Diário 1º PA'!$A$4:$A$2635)+COUNT('Diário 2º PA'!$A$4:$A$3040)+ROW()-3)</f>
        <v>5590</v>
      </c>
      <c r="B1494" s="413">
        <v>44812</v>
      </c>
      <c r="C1494" s="431">
        <v>44774</v>
      </c>
      <c r="D1494" s="415" t="s">
        <v>271</v>
      </c>
      <c r="E1494" s="415" t="s">
        <v>446</v>
      </c>
      <c r="F1494" s="425">
        <v>63.25</v>
      </c>
      <c r="G1494" s="427" t="s">
        <v>6817</v>
      </c>
      <c r="H1494" s="415" t="s">
        <v>758</v>
      </c>
      <c r="I1494" s="473" t="s">
        <v>764</v>
      </c>
      <c r="J1494" s="415" t="s">
        <v>310</v>
      </c>
      <c r="K1494" s="415" t="s">
        <v>1220</v>
      </c>
      <c r="L1494" s="415" t="s">
        <v>3443</v>
      </c>
      <c r="M1494" s="546">
        <v>222205623941</v>
      </c>
      <c r="N1494" s="414">
        <v>44812</v>
      </c>
      <c r="O1494" s="414" t="s">
        <v>400</v>
      </c>
      <c r="P1494" s="655">
        <f t="shared" si="79"/>
        <v>9</v>
      </c>
      <c r="Q1494" s="655">
        <f t="shared" si="80"/>
        <v>8</v>
      </c>
      <c r="R1494" s="695" t="str">
        <f t="shared" si="81"/>
        <v>Gastos_Gerais</v>
      </c>
      <c r="S1494" s="697" t="s">
        <v>310</v>
      </c>
      <c r="T1494" s="697" t="s">
        <v>310</v>
      </c>
    </row>
    <row r="1495" spans="1:20" ht="24" x14ac:dyDescent="0.2">
      <c r="A1495" s="432">
        <f>IF(B1495="","",COUNT('Diário 1º PA'!$A$4:$A$2635)+COUNT('Diário 2º PA'!$A$4:$A$3040)+ROW()-3)</f>
        <v>5591</v>
      </c>
      <c r="B1495" s="413">
        <v>44812</v>
      </c>
      <c r="C1495" s="433">
        <v>44774</v>
      </c>
      <c r="D1495" s="434" t="s">
        <v>182</v>
      </c>
      <c r="E1495" s="434" t="s">
        <v>179</v>
      </c>
      <c r="F1495" s="435">
        <v>11.09</v>
      </c>
      <c r="G1495" s="437" t="s">
        <v>6953</v>
      </c>
      <c r="H1495" s="434" t="s">
        <v>310</v>
      </c>
      <c r="I1495" s="473" t="s">
        <v>764</v>
      </c>
      <c r="J1495" s="415" t="s">
        <v>310</v>
      </c>
      <c r="K1495" s="415" t="s">
        <v>1220</v>
      </c>
      <c r="L1495" s="415" t="s">
        <v>3443</v>
      </c>
      <c r="M1495" s="546">
        <v>222205621140</v>
      </c>
      <c r="N1495" s="414">
        <v>44812</v>
      </c>
      <c r="O1495" s="414" t="s">
        <v>400</v>
      </c>
      <c r="P1495" s="655">
        <f t="shared" si="79"/>
        <v>9</v>
      </c>
      <c r="Q1495" s="655">
        <f t="shared" si="80"/>
        <v>8</v>
      </c>
      <c r="R1495" s="695" t="str">
        <f t="shared" si="81"/>
        <v>Gastos_com_Pessoal</v>
      </c>
      <c r="S1495" s="697" t="s">
        <v>310</v>
      </c>
      <c r="T1495" s="697" t="s">
        <v>310</v>
      </c>
    </row>
    <row r="1496" spans="1:20" ht="24" x14ac:dyDescent="0.2">
      <c r="A1496" s="432">
        <f>IF(B1496="","",COUNT('Diário 1º PA'!$A$4:$A$2635)+COUNT('Diário 2º PA'!$A$4:$A$3040)+ROW()-3)</f>
        <v>5592</v>
      </c>
      <c r="B1496" s="413">
        <v>44812</v>
      </c>
      <c r="C1496" s="431">
        <v>44743</v>
      </c>
      <c r="D1496" s="415" t="s">
        <v>271</v>
      </c>
      <c r="E1496" s="415" t="s">
        <v>453</v>
      </c>
      <c r="F1496" s="425">
        <v>120</v>
      </c>
      <c r="G1496" s="427" t="s">
        <v>6949</v>
      </c>
      <c r="H1496" s="415" t="s">
        <v>752</v>
      </c>
      <c r="I1496" s="473" t="s">
        <v>764</v>
      </c>
      <c r="J1496" s="415" t="s">
        <v>310</v>
      </c>
      <c r="K1496" s="415" t="s">
        <v>1220</v>
      </c>
      <c r="L1496" s="415" t="s">
        <v>3443</v>
      </c>
      <c r="M1496" s="546">
        <v>222205625138</v>
      </c>
      <c r="N1496" s="414">
        <v>44812</v>
      </c>
      <c r="O1496" s="414" t="s">
        <v>400</v>
      </c>
      <c r="P1496" s="655">
        <f t="shared" si="79"/>
        <v>9</v>
      </c>
      <c r="Q1496" s="655">
        <f t="shared" si="80"/>
        <v>7</v>
      </c>
      <c r="R1496" s="695" t="str">
        <f t="shared" si="81"/>
        <v>Gastos_Gerais</v>
      </c>
      <c r="S1496" s="697" t="s">
        <v>310</v>
      </c>
      <c r="T1496" s="697" t="s">
        <v>310</v>
      </c>
    </row>
    <row r="1497" spans="1:20" ht="36" x14ac:dyDescent="0.2">
      <c r="A1497" s="432">
        <f>IF(B1497="","",COUNT('Diário 1º PA'!$A$4:$A$2635)+COUNT('Diário 2º PA'!$A$4:$A$3040)+ROW()-3)</f>
        <v>5593</v>
      </c>
      <c r="B1497" s="413">
        <v>44812</v>
      </c>
      <c r="C1497" s="433">
        <v>44743</v>
      </c>
      <c r="D1497" s="434" t="s">
        <v>182</v>
      </c>
      <c r="E1497" s="434" t="s">
        <v>1</v>
      </c>
      <c r="F1497" s="425">
        <v>18.28</v>
      </c>
      <c r="G1497" s="427" t="s">
        <v>7101</v>
      </c>
      <c r="H1497" s="415" t="s">
        <v>310</v>
      </c>
      <c r="I1497" s="473" t="s">
        <v>764</v>
      </c>
      <c r="J1497" s="415" t="s">
        <v>310</v>
      </c>
      <c r="K1497" s="415" t="s">
        <v>1220</v>
      </c>
      <c r="L1497" s="415" t="s">
        <v>3443</v>
      </c>
      <c r="M1497" s="546">
        <v>222205614950</v>
      </c>
      <c r="N1497" s="414">
        <v>44812</v>
      </c>
      <c r="O1497" s="414" t="s">
        <v>400</v>
      </c>
      <c r="P1497" s="655">
        <f t="shared" si="79"/>
        <v>9</v>
      </c>
      <c r="Q1497" s="655">
        <f t="shared" si="80"/>
        <v>7</v>
      </c>
      <c r="R1497" s="695" t="str">
        <f t="shared" si="81"/>
        <v>Gastos_com_Pessoal</v>
      </c>
      <c r="S1497" s="697" t="s">
        <v>310</v>
      </c>
      <c r="T1497" s="697" t="s">
        <v>310</v>
      </c>
    </row>
    <row r="1498" spans="1:20" ht="36" x14ac:dyDescent="0.2">
      <c r="A1498" s="432">
        <f>IF(B1498="","",COUNT('Diário 1º PA'!$A$4:$A$2635)+COUNT('Diário 2º PA'!$A$4:$A$3040)+ROW()-3)</f>
        <v>5594</v>
      </c>
      <c r="B1498" s="413">
        <v>44812</v>
      </c>
      <c r="C1498" s="431">
        <v>44713</v>
      </c>
      <c r="D1498" s="415" t="s">
        <v>271</v>
      </c>
      <c r="E1498" s="415" t="s">
        <v>297</v>
      </c>
      <c r="F1498" s="425">
        <v>61.86</v>
      </c>
      <c r="G1498" s="427" t="s">
        <v>6252</v>
      </c>
      <c r="H1498" s="415" t="s">
        <v>751</v>
      </c>
      <c r="I1498" s="473" t="s">
        <v>764</v>
      </c>
      <c r="J1498" s="415" t="s">
        <v>310</v>
      </c>
      <c r="K1498" s="415" t="s">
        <v>1220</v>
      </c>
      <c r="L1498" s="415" t="s">
        <v>3443</v>
      </c>
      <c r="M1498" s="546">
        <v>222205614527</v>
      </c>
      <c r="N1498" s="414">
        <v>44812</v>
      </c>
      <c r="O1498" s="414" t="s">
        <v>400</v>
      </c>
      <c r="P1498" s="655">
        <f t="shared" si="79"/>
        <v>9</v>
      </c>
      <c r="Q1498" s="655">
        <f t="shared" si="80"/>
        <v>6</v>
      </c>
      <c r="R1498" s="695" t="str">
        <f t="shared" si="81"/>
        <v>Gastos_Gerais</v>
      </c>
      <c r="S1498" s="697" t="s">
        <v>310</v>
      </c>
      <c r="T1498" s="697" t="s">
        <v>310</v>
      </c>
    </row>
    <row r="1499" spans="1:20" ht="24" x14ac:dyDescent="0.2">
      <c r="A1499" s="432">
        <f>IF(B1499="","",COUNT('Diário 1º PA'!$A$4:$A$2635)+COUNT('Diário 2º PA'!$A$4:$A$3040)+ROW()-3)</f>
        <v>5595</v>
      </c>
      <c r="B1499" s="413">
        <v>44812</v>
      </c>
      <c r="C1499" s="431">
        <v>44652</v>
      </c>
      <c r="D1499" s="415" t="s">
        <v>271</v>
      </c>
      <c r="E1499" s="415" t="s">
        <v>456</v>
      </c>
      <c r="F1499" s="425">
        <v>182.5</v>
      </c>
      <c r="G1499" s="427" t="s">
        <v>6844</v>
      </c>
      <c r="H1499" s="415" t="s">
        <v>752</v>
      </c>
      <c r="I1499" s="473" t="s">
        <v>764</v>
      </c>
      <c r="J1499" s="415" t="s">
        <v>310</v>
      </c>
      <c r="K1499" s="415" t="s">
        <v>1220</v>
      </c>
      <c r="L1499" s="415" t="s">
        <v>3443</v>
      </c>
      <c r="M1499" s="546">
        <v>222205622627</v>
      </c>
      <c r="N1499" s="414">
        <v>44812</v>
      </c>
      <c r="O1499" s="414" t="s">
        <v>400</v>
      </c>
      <c r="P1499" s="655">
        <f t="shared" si="79"/>
        <v>9</v>
      </c>
      <c r="Q1499" s="655">
        <f t="shared" si="80"/>
        <v>4</v>
      </c>
      <c r="R1499" s="695" t="str">
        <f t="shared" si="81"/>
        <v>Gastos_Gerais</v>
      </c>
      <c r="S1499" s="697" t="s">
        <v>310</v>
      </c>
      <c r="T1499" s="697" t="s">
        <v>310</v>
      </c>
    </row>
    <row r="1500" spans="1:20" ht="24" x14ac:dyDescent="0.2">
      <c r="A1500" s="432">
        <f>IF(B1500="","",COUNT('Diário 1º PA'!$A$4:$A$2635)+COUNT('Diário 2º PA'!$A$4:$A$3040)+ROW()-3)</f>
        <v>5596</v>
      </c>
      <c r="B1500" s="413">
        <v>44812</v>
      </c>
      <c r="C1500" s="431">
        <v>44713</v>
      </c>
      <c r="D1500" s="415" t="s">
        <v>271</v>
      </c>
      <c r="E1500" s="415" t="s">
        <v>451</v>
      </c>
      <c r="F1500" s="425">
        <v>150</v>
      </c>
      <c r="G1500" s="427" t="s">
        <v>6760</v>
      </c>
      <c r="H1500" s="415" t="s">
        <v>758</v>
      </c>
      <c r="I1500" s="473" t="s">
        <v>764</v>
      </c>
      <c r="J1500" s="415" t="s">
        <v>310</v>
      </c>
      <c r="K1500" s="415" t="s">
        <v>1220</v>
      </c>
      <c r="L1500" s="415" t="s">
        <v>3443</v>
      </c>
      <c r="M1500" s="546">
        <v>222205623607</v>
      </c>
      <c r="N1500" s="414">
        <v>44812</v>
      </c>
      <c r="O1500" s="414" t="s">
        <v>400</v>
      </c>
      <c r="P1500" s="655">
        <f t="shared" si="79"/>
        <v>9</v>
      </c>
      <c r="Q1500" s="655">
        <f t="shared" si="80"/>
        <v>6</v>
      </c>
      <c r="R1500" s="695" t="str">
        <f t="shared" si="81"/>
        <v>Gastos_Gerais</v>
      </c>
      <c r="S1500" s="697" t="s">
        <v>310</v>
      </c>
      <c r="T1500" s="697" t="s">
        <v>310</v>
      </c>
    </row>
    <row r="1501" spans="1:20" ht="24" x14ac:dyDescent="0.2">
      <c r="A1501" s="432">
        <f>IF(B1501="","",COUNT('Diário 1º PA'!$A$4:$A$2635)+COUNT('Diário 2º PA'!$A$4:$A$3040)+ROW()-3)</f>
        <v>5597</v>
      </c>
      <c r="B1501" s="413">
        <v>44812</v>
      </c>
      <c r="C1501" s="431">
        <v>44743</v>
      </c>
      <c r="D1501" s="415" t="s">
        <v>271</v>
      </c>
      <c r="E1501" s="415" t="s">
        <v>9</v>
      </c>
      <c r="F1501" s="425">
        <v>287.54000000000002</v>
      </c>
      <c r="G1501" s="427" t="s">
        <v>6250</v>
      </c>
      <c r="H1501" s="415" t="s">
        <v>309</v>
      </c>
      <c r="I1501" s="473" t="s">
        <v>764</v>
      </c>
      <c r="J1501" s="415" t="s">
        <v>310</v>
      </c>
      <c r="K1501" s="415" t="s">
        <v>1220</v>
      </c>
      <c r="L1501" s="415" t="s">
        <v>3443</v>
      </c>
      <c r="M1501" s="546">
        <v>222205616570</v>
      </c>
      <c r="N1501" s="414">
        <v>44812</v>
      </c>
      <c r="O1501" s="414" t="s">
        <v>400</v>
      </c>
      <c r="P1501" s="655">
        <f t="shared" ref="P1501:P1532" si="82">IF(B1501=0,0,IF(YEAR(B1501)=$Q$1,MONTH(B1501)-$P$1+1,(YEAR(B1501)-$Q$1)*12-$P$1+1+MONTH(B1501)))</f>
        <v>9</v>
      </c>
      <c r="Q1501" s="655">
        <f t="shared" ref="Q1501:Q1532" si="83">IF(C1501=0,0,IF(YEAR(C1501)=$Q$1,MONTH(C1501)-$P$1+1,(YEAR(C1501)-$Q$1)*12-$P$1+1+MONTH(C1501)))</f>
        <v>7</v>
      </c>
      <c r="R1501" s="695" t="str">
        <f t="shared" ref="R1501:R1532" si="84">SUBSTITUTE(D1501," ","_")</f>
        <v>Gastos_Gerais</v>
      </c>
      <c r="S1501" s="697" t="s">
        <v>310</v>
      </c>
      <c r="T1501" s="697" t="s">
        <v>310</v>
      </c>
    </row>
    <row r="1502" spans="1:20" ht="24" x14ac:dyDescent="0.2">
      <c r="A1502" s="432">
        <f>IF(B1502="","",COUNT('Diário 1º PA'!$A$4:$A$2635)+COUNT('Diário 2º PA'!$A$4:$A$3040)+ROW()-3)</f>
        <v>5598</v>
      </c>
      <c r="B1502" s="413">
        <v>44812</v>
      </c>
      <c r="C1502" s="431">
        <v>44743</v>
      </c>
      <c r="D1502" s="415" t="s">
        <v>182</v>
      </c>
      <c r="E1502" s="415" t="s">
        <v>161</v>
      </c>
      <c r="F1502" s="425">
        <v>1.28</v>
      </c>
      <c r="G1502" s="427" t="s">
        <v>7102</v>
      </c>
      <c r="H1502" s="415" t="s">
        <v>310</v>
      </c>
      <c r="I1502" s="473" t="s">
        <v>764</v>
      </c>
      <c r="J1502" s="415" t="s">
        <v>310</v>
      </c>
      <c r="K1502" s="415" t="s">
        <v>1220</v>
      </c>
      <c r="L1502" s="415" t="s">
        <v>3443</v>
      </c>
      <c r="M1502" s="546">
        <v>222205625642</v>
      </c>
      <c r="N1502" s="414">
        <v>44812</v>
      </c>
      <c r="O1502" s="414" t="s">
        <v>400</v>
      </c>
      <c r="P1502" s="655">
        <f t="shared" si="82"/>
        <v>9</v>
      </c>
      <c r="Q1502" s="655">
        <f t="shared" si="83"/>
        <v>7</v>
      </c>
      <c r="R1502" s="695" t="str">
        <f t="shared" si="84"/>
        <v>Gastos_com_Pessoal</v>
      </c>
      <c r="S1502" s="697" t="s">
        <v>310</v>
      </c>
      <c r="T1502" s="697" t="s">
        <v>310</v>
      </c>
    </row>
    <row r="1503" spans="1:20" ht="24" x14ac:dyDescent="0.2">
      <c r="A1503" s="432">
        <f>IF(B1503="","",COUNT('Diário 1º PA'!$A$4:$A$2635)+COUNT('Diário 2º PA'!$A$4:$A$3040)+ROW()-3)</f>
        <v>5599</v>
      </c>
      <c r="B1503" s="413">
        <v>44812</v>
      </c>
      <c r="C1503" s="431">
        <v>44743</v>
      </c>
      <c r="D1503" s="415" t="s">
        <v>271</v>
      </c>
      <c r="E1503" s="415" t="s">
        <v>62</v>
      </c>
      <c r="F1503" s="425">
        <v>46.73</v>
      </c>
      <c r="G1503" s="427" t="s">
        <v>6770</v>
      </c>
      <c r="H1503" s="415" t="s">
        <v>758</v>
      </c>
      <c r="I1503" s="473" t="s">
        <v>764</v>
      </c>
      <c r="J1503" s="415" t="s">
        <v>310</v>
      </c>
      <c r="K1503" s="415" t="s">
        <v>1220</v>
      </c>
      <c r="L1503" s="415" t="s">
        <v>3443</v>
      </c>
      <c r="M1503" s="546">
        <v>222205624166</v>
      </c>
      <c r="N1503" s="414">
        <v>44812</v>
      </c>
      <c r="O1503" s="414" t="s">
        <v>400</v>
      </c>
      <c r="P1503" s="655">
        <f t="shared" si="82"/>
        <v>9</v>
      </c>
      <c r="Q1503" s="655">
        <f t="shared" si="83"/>
        <v>7</v>
      </c>
      <c r="R1503" s="695" t="str">
        <f t="shared" si="84"/>
        <v>Gastos_Gerais</v>
      </c>
      <c r="S1503" s="697" t="s">
        <v>310</v>
      </c>
      <c r="T1503" s="697" t="s">
        <v>310</v>
      </c>
    </row>
    <row r="1504" spans="1:20" ht="24" x14ac:dyDescent="0.2">
      <c r="A1504" s="432">
        <f>IF(B1504="","",COUNT('Diário 1º PA'!$A$4:$A$2635)+COUNT('Diário 2º PA'!$A$4:$A$3040)+ROW()-3)</f>
        <v>5600</v>
      </c>
      <c r="B1504" s="413">
        <v>44812</v>
      </c>
      <c r="C1504" s="431">
        <v>44713</v>
      </c>
      <c r="D1504" s="415" t="s">
        <v>271</v>
      </c>
      <c r="E1504" s="415" t="s">
        <v>450</v>
      </c>
      <c r="F1504" s="425">
        <v>91.8</v>
      </c>
      <c r="G1504" s="427" t="s">
        <v>6815</v>
      </c>
      <c r="H1504" s="415" t="s">
        <v>758</v>
      </c>
      <c r="I1504" s="473" t="s">
        <v>764</v>
      </c>
      <c r="J1504" s="415" t="s">
        <v>310</v>
      </c>
      <c r="K1504" s="415" t="s">
        <v>1220</v>
      </c>
      <c r="L1504" s="415" t="s">
        <v>3443</v>
      </c>
      <c r="M1504" s="546">
        <v>222205624409</v>
      </c>
      <c r="N1504" s="414">
        <v>44812</v>
      </c>
      <c r="O1504" s="414" t="s">
        <v>400</v>
      </c>
      <c r="P1504" s="655">
        <f t="shared" si="82"/>
        <v>9</v>
      </c>
      <c r="Q1504" s="655">
        <f t="shared" si="83"/>
        <v>6</v>
      </c>
      <c r="R1504" s="695" t="str">
        <f t="shared" si="84"/>
        <v>Gastos_Gerais</v>
      </c>
      <c r="S1504" s="697" t="s">
        <v>310</v>
      </c>
      <c r="T1504" s="697" t="s">
        <v>310</v>
      </c>
    </row>
    <row r="1505" spans="1:20" ht="36" x14ac:dyDescent="0.2">
      <c r="A1505" s="432">
        <f>IF(B1505="","",COUNT('Diário 1º PA'!$A$4:$A$2635)+COUNT('Diário 2º PA'!$A$4:$A$3040)+ROW()-3)</f>
        <v>5601</v>
      </c>
      <c r="B1505" s="413">
        <v>44812</v>
      </c>
      <c r="C1505" s="431">
        <v>44501</v>
      </c>
      <c r="D1505" s="415" t="s">
        <v>271</v>
      </c>
      <c r="E1505" s="415" t="s">
        <v>453</v>
      </c>
      <c r="F1505" s="425">
        <v>30</v>
      </c>
      <c r="G1505" s="415" t="s">
        <v>7111</v>
      </c>
      <c r="H1505" s="415" t="s">
        <v>751</v>
      </c>
      <c r="I1505" s="473" t="s">
        <v>764</v>
      </c>
      <c r="J1505" s="415" t="s">
        <v>310</v>
      </c>
      <c r="K1505" s="415" t="s">
        <v>1220</v>
      </c>
      <c r="L1505" s="415" t="s">
        <v>3443</v>
      </c>
      <c r="M1505" s="546">
        <v>222205621817</v>
      </c>
      <c r="N1505" s="414">
        <v>44812</v>
      </c>
      <c r="O1505" s="414" t="s">
        <v>400</v>
      </c>
      <c r="P1505" s="655">
        <f t="shared" si="82"/>
        <v>9</v>
      </c>
      <c r="Q1505" s="655">
        <f t="shared" si="83"/>
        <v>-1</v>
      </c>
      <c r="R1505" s="695" t="str">
        <f t="shared" si="84"/>
        <v>Gastos_Gerais</v>
      </c>
      <c r="S1505" s="697" t="s">
        <v>310</v>
      </c>
      <c r="T1505" s="697" t="s">
        <v>310</v>
      </c>
    </row>
    <row r="1506" spans="1:20" ht="24" x14ac:dyDescent="0.2">
      <c r="A1506" s="432">
        <f>IF(B1506="","",COUNT('Diário 1º PA'!$A$4:$A$2635)+COUNT('Diário 2º PA'!$A$4:$A$3040)+ROW()-3)</f>
        <v>5602</v>
      </c>
      <c r="B1506" s="413">
        <v>44812</v>
      </c>
      <c r="C1506" s="431">
        <v>44743</v>
      </c>
      <c r="D1506" s="415" t="s">
        <v>182</v>
      </c>
      <c r="E1506" s="415" t="s">
        <v>161</v>
      </c>
      <c r="F1506" s="425">
        <v>0.12</v>
      </c>
      <c r="G1506" s="427" t="s">
        <v>7103</v>
      </c>
      <c r="H1506" s="415" t="s">
        <v>310</v>
      </c>
      <c r="I1506" s="473" t="s">
        <v>764</v>
      </c>
      <c r="J1506" s="415" t="s">
        <v>310</v>
      </c>
      <c r="K1506" s="415" t="s">
        <v>1220</v>
      </c>
      <c r="L1506" s="415" t="s">
        <v>3443</v>
      </c>
      <c r="M1506" s="546">
        <v>222205617038</v>
      </c>
      <c r="N1506" s="414">
        <v>44812</v>
      </c>
      <c r="O1506" s="414" t="s">
        <v>400</v>
      </c>
      <c r="P1506" s="655">
        <f t="shared" si="82"/>
        <v>9</v>
      </c>
      <c r="Q1506" s="655">
        <f t="shared" si="83"/>
        <v>7</v>
      </c>
      <c r="R1506" s="695" t="str">
        <f t="shared" si="84"/>
        <v>Gastos_com_Pessoal</v>
      </c>
      <c r="S1506" s="697" t="s">
        <v>310</v>
      </c>
      <c r="T1506" s="697" t="s">
        <v>310</v>
      </c>
    </row>
    <row r="1507" spans="1:20" ht="24" x14ac:dyDescent="0.2">
      <c r="A1507" s="432">
        <f>IF(B1507="","",COUNT('Diário 1º PA'!$A$4:$A$2635)+COUNT('Diário 2º PA'!$A$4:$A$3040)+ROW()-3)</f>
        <v>5603</v>
      </c>
      <c r="B1507" s="413">
        <v>44812</v>
      </c>
      <c r="C1507" s="431">
        <v>44743</v>
      </c>
      <c r="D1507" s="415" t="s">
        <v>182</v>
      </c>
      <c r="E1507" s="415" t="s">
        <v>161</v>
      </c>
      <c r="F1507" s="425">
        <v>0.57999999999999996</v>
      </c>
      <c r="G1507" s="427" t="s">
        <v>7104</v>
      </c>
      <c r="H1507" s="415" t="s">
        <v>310</v>
      </c>
      <c r="I1507" s="473" t="s">
        <v>764</v>
      </c>
      <c r="J1507" s="415" t="s">
        <v>310</v>
      </c>
      <c r="K1507" s="415" t="s">
        <v>1220</v>
      </c>
      <c r="L1507" s="415" t="s">
        <v>3443</v>
      </c>
      <c r="M1507" s="546">
        <v>222205625480</v>
      </c>
      <c r="N1507" s="414">
        <v>44812</v>
      </c>
      <c r="O1507" s="414" t="s">
        <v>400</v>
      </c>
      <c r="P1507" s="655">
        <f t="shared" si="82"/>
        <v>9</v>
      </c>
      <c r="Q1507" s="655">
        <f t="shared" si="83"/>
        <v>7</v>
      </c>
      <c r="R1507" s="695" t="str">
        <f t="shared" si="84"/>
        <v>Gastos_com_Pessoal</v>
      </c>
      <c r="S1507" s="697" t="s">
        <v>310</v>
      </c>
      <c r="T1507" s="697" t="s">
        <v>310</v>
      </c>
    </row>
    <row r="1508" spans="1:20" ht="36" x14ac:dyDescent="0.2">
      <c r="A1508" s="432">
        <f>IF(B1508="","",COUNT('Diário 1º PA'!$A$4:$A$2635)+COUNT('Diário 2º PA'!$A$4:$A$3040)+ROW()-3)</f>
        <v>5604</v>
      </c>
      <c r="B1508" s="413">
        <v>44812</v>
      </c>
      <c r="C1508" s="431">
        <v>44713</v>
      </c>
      <c r="D1508" s="415" t="s">
        <v>271</v>
      </c>
      <c r="E1508" s="415" t="s">
        <v>465</v>
      </c>
      <c r="F1508" s="425">
        <v>17.41</v>
      </c>
      <c r="G1508" s="427" t="s">
        <v>6255</v>
      </c>
      <c r="H1508" s="415" t="s">
        <v>755</v>
      </c>
      <c r="I1508" s="473" t="s">
        <v>764</v>
      </c>
      <c r="J1508" s="415" t="s">
        <v>310</v>
      </c>
      <c r="K1508" s="415" t="s">
        <v>1220</v>
      </c>
      <c r="L1508" s="415" t="s">
        <v>3443</v>
      </c>
      <c r="M1508" s="546">
        <v>222205616902</v>
      </c>
      <c r="N1508" s="414">
        <v>44812</v>
      </c>
      <c r="O1508" s="414" t="s">
        <v>400</v>
      </c>
      <c r="P1508" s="655">
        <f t="shared" si="82"/>
        <v>9</v>
      </c>
      <c r="Q1508" s="655">
        <f t="shared" si="83"/>
        <v>6</v>
      </c>
      <c r="R1508" s="695" t="str">
        <f t="shared" si="84"/>
        <v>Gastos_Gerais</v>
      </c>
      <c r="S1508" s="697" t="s">
        <v>310</v>
      </c>
      <c r="T1508" s="697" t="s">
        <v>310</v>
      </c>
    </row>
    <row r="1509" spans="1:20" ht="36" x14ac:dyDescent="0.2">
      <c r="A1509" s="432">
        <f>IF(B1509="","",COUNT('Diário 1º PA'!$A$4:$A$2635)+COUNT('Diário 2º PA'!$A$4:$A$3040)+ROW()-3)</f>
        <v>5605</v>
      </c>
      <c r="B1509" s="413">
        <v>44812</v>
      </c>
      <c r="C1509" s="431">
        <v>44743</v>
      </c>
      <c r="D1509" s="415" t="s">
        <v>271</v>
      </c>
      <c r="E1509" s="415" t="s">
        <v>186</v>
      </c>
      <c r="F1509" s="425">
        <v>75.7</v>
      </c>
      <c r="G1509" s="427" t="s">
        <v>6729</v>
      </c>
      <c r="H1509" s="415" t="s">
        <v>751</v>
      </c>
      <c r="I1509" s="473" t="s">
        <v>764</v>
      </c>
      <c r="J1509" s="415" t="s">
        <v>310</v>
      </c>
      <c r="K1509" s="415" t="s">
        <v>1220</v>
      </c>
      <c r="L1509" s="415" t="s">
        <v>3443</v>
      </c>
      <c r="M1509" s="546">
        <v>222205618190</v>
      </c>
      <c r="N1509" s="414">
        <v>44812</v>
      </c>
      <c r="O1509" s="414" t="s">
        <v>400</v>
      </c>
      <c r="P1509" s="655">
        <f t="shared" si="82"/>
        <v>9</v>
      </c>
      <c r="Q1509" s="655">
        <f t="shared" si="83"/>
        <v>7</v>
      </c>
      <c r="R1509" s="695" t="str">
        <f t="shared" si="84"/>
        <v>Gastos_Gerais</v>
      </c>
      <c r="S1509" s="697" t="s">
        <v>310</v>
      </c>
      <c r="T1509" s="697" t="s">
        <v>310</v>
      </c>
    </row>
    <row r="1510" spans="1:20" ht="24" x14ac:dyDescent="0.2">
      <c r="A1510" s="432">
        <f>IF(B1510="","",COUNT('Diário 1º PA'!$A$4:$A$2635)+COUNT('Diário 2º PA'!$A$4:$A$3040)+ROW()-3)</f>
        <v>5606</v>
      </c>
      <c r="B1510" s="413">
        <v>44812</v>
      </c>
      <c r="C1510" s="431">
        <v>44743</v>
      </c>
      <c r="D1510" s="434" t="s">
        <v>271</v>
      </c>
      <c r="E1510" s="434" t="s">
        <v>90</v>
      </c>
      <c r="F1510" s="425">
        <v>171.75</v>
      </c>
      <c r="G1510" s="427" t="s">
        <v>6230</v>
      </c>
      <c r="H1510" s="415" t="s">
        <v>309</v>
      </c>
      <c r="I1510" s="473" t="s">
        <v>764</v>
      </c>
      <c r="J1510" s="415" t="s">
        <v>310</v>
      </c>
      <c r="K1510" s="415" t="s">
        <v>1220</v>
      </c>
      <c r="L1510" s="415" t="s">
        <v>3443</v>
      </c>
      <c r="M1510" s="546">
        <v>222205613989</v>
      </c>
      <c r="N1510" s="414">
        <v>44812</v>
      </c>
      <c r="O1510" s="414" t="s">
        <v>400</v>
      </c>
      <c r="P1510" s="655">
        <f t="shared" si="82"/>
        <v>9</v>
      </c>
      <c r="Q1510" s="655">
        <f t="shared" si="83"/>
        <v>7</v>
      </c>
      <c r="R1510" s="695" t="str">
        <f t="shared" si="84"/>
        <v>Gastos_Gerais</v>
      </c>
      <c r="S1510" s="697" t="s">
        <v>310</v>
      </c>
      <c r="T1510" s="697" t="s">
        <v>310</v>
      </c>
    </row>
    <row r="1511" spans="1:20" ht="36" x14ac:dyDescent="0.2">
      <c r="A1511" s="432">
        <f>IF(B1511="","",COUNT('Diário 1º PA'!$A$4:$A$2635)+COUNT('Diário 2º PA'!$A$4:$A$3040)+ROW()-3)</f>
        <v>5607</v>
      </c>
      <c r="B1511" s="413">
        <v>44812</v>
      </c>
      <c r="C1511" s="431">
        <v>44743</v>
      </c>
      <c r="D1511" s="415" t="s">
        <v>271</v>
      </c>
      <c r="E1511" s="415" t="s">
        <v>456</v>
      </c>
      <c r="F1511" s="425">
        <v>90</v>
      </c>
      <c r="G1511" s="427" t="s">
        <v>6301</v>
      </c>
      <c r="H1511" s="415" t="s">
        <v>760</v>
      </c>
      <c r="I1511" s="473" t="s">
        <v>764</v>
      </c>
      <c r="J1511" s="415" t="s">
        <v>310</v>
      </c>
      <c r="K1511" s="415" t="s">
        <v>1220</v>
      </c>
      <c r="L1511" s="415" t="s">
        <v>3443</v>
      </c>
      <c r="M1511" s="546">
        <v>222205615175</v>
      </c>
      <c r="N1511" s="414">
        <v>44812</v>
      </c>
      <c r="O1511" s="414" t="s">
        <v>400</v>
      </c>
      <c r="P1511" s="655">
        <f t="shared" si="82"/>
        <v>9</v>
      </c>
      <c r="Q1511" s="655">
        <f t="shared" si="83"/>
        <v>7</v>
      </c>
      <c r="R1511" s="695" t="str">
        <f t="shared" si="84"/>
        <v>Gastos_Gerais</v>
      </c>
      <c r="S1511" s="697" t="s">
        <v>310</v>
      </c>
      <c r="T1511" s="697" t="s">
        <v>310</v>
      </c>
    </row>
    <row r="1512" spans="1:20" ht="24" x14ac:dyDescent="0.2">
      <c r="A1512" s="432">
        <f>IF(B1512="","",COUNT('Diário 1º PA'!$A$4:$A$2635)+COUNT('Diário 2º PA'!$A$4:$A$3040)+ROW()-3)</f>
        <v>5608</v>
      </c>
      <c r="B1512" s="413">
        <v>44812</v>
      </c>
      <c r="C1512" s="431">
        <v>44743</v>
      </c>
      <c r="D1512" s="415" t="s">
        <v>271</v>
      </c>
      <c r="E1512" s="415" t="s">
        <v>326</v>
      </c>
      <c r="F1512" s="425">
        <v>65.7</v>
      </c>
      <c r="G1512" s="427" t="s">
        <v>6728</v>
      </c>
      <c r="H1512" s="415" t="s">
        <v>309</v>
      </c>
      <c r="I1512" s="473" t="s">
        <v>764</v>
      </c>
      <c r="J1512" s="415" t="s">
        <v>310</v>
      </c>
      <c r="K1512" s="415" t="s">
        <v>1220</v>
      </c>
      <c r="L1512" s="415" t="s">
        <v>3443</v>
      </c>
      <c r="M1512" s="546">
        <v>222205618786</v>
      </c>
      <c r="N1512" s="414">
        <v>44812</v>
      </c>
      <c r="O1512" s="414" t="s">
        <v>400</v>
      </c>
      <c r="P1512" s="655">
        <f t="shared" si="82"/>
        <v>9</v>
      </c>
      <c r="Q1512" s="655">
        <f t="shared" si="83"/>
        <v>7</v>
      </c>
      <c r="R1512" s="695" t="str">
        <f t="shared" si="84"/>
        <v>Gastos_Gerais</v>
      </c>
      <c r="S1512" s="697" t="s">
        <v>310</v>
      </c>
      <c r="T1512" s="697" t="s">
        <v>310</v>
      </c>
    </row>
    <row r="1513" spans="1:20" ht="24" x14ac:dyDescent="0.2">
      <c r="A1513" s="432">
        <f>IF(B1513="","",COUNT('Diário 1º PA'!$A$4:$A$2635)+COUNT('Diário 2º PA'!$A$4:$A$3040)+ROW()-3)</f>
        <v>5609</v>
      </c>
      <c r="B1513" s="413">
        <v>44812</v>
      </c>
      <c r="C1513" s="431">
        <v>44743</v>
      </c>
      <c r="D1513" s="415" t="s">
        <v>271</v>
      </c>
      <c r="E1513" s="415" t="s">
        <v>90</v>
      </c>
      <c r="F1513" s="425">
        <v>110.55</v>
      </c>
      <c r="G1513" s="427" t="s">
        <v>6367</v>
      </c>
      <c r="H1513" s="415" t="s">
        <v>793</v>
      </c>
      <c r="I1513" s="473" t="s">
        <v>764</v>
      </c>
      <c r="J1513" s="415" t="s">
        <v>310</v>
      </c>
      <c r="K1513" s="415" t="s">
        <v>1220</v>
      </c>
      <c r="L1513" s="415" t="s">
        <v>3443</v>
      </c>
      <c r="M1513" s="546">
        <v>222205619162</v>
      </c>
      <c r="N1513" s="414">
        <v>44812</v>
      </c>
      <c r="O1513" s="414" t="s">
        <v>400</v>
      </c>
      <c r="P1513" s="655">
        <f t="shared" si="82"/>
        <v>9</v>
      </c>
      <c r="Q1513" s="655">
        <f t="shared" si="83"/>
        <v>7</v>
      </c>
      <c r="R1513" s="695" t="str">
        <f t="shared" si="84"/>
        <v>Gastos_Gerais</v>
      </c>
      <c r="S1513" s="697" t="s">
        <v>310</v>
      </c>
      <c r="T1513" s="697" t="s">
        <v>310</v>
      </c>
    </row>
    <row r="1514" spans="1:20" ht="24" x14ac:dyDescent="0.2">
      <c r="A1514" s="432">
        <f>IF(B1514="","",COUNT('Diário 1º PA'!$A$4:$A$2635)+COUNT('Diário 2º PA'!$A$4:$A$3040)+ROW()-3)</f>
        <v>5610</v>
      </c>
      <c r="B1514" s="413">
        <v>44812</v>
      </c>
      <c r="C1514" s="431">
        <v>44774</v>
      </c>
      <c r="D1514" s="415" t="s">
        <v>271</v>
      </c>
      <c r="E1514" s="415" t="s">
        <v>90</v>
      </c>
      <c r="F1514" s="425">
        <v>86.21</v>
      </c>
      <c r="G1514" s="427" t="s">
        <v>6814</v>
      </c>
      <c r="H1514" s="415" t="s">
        <v>309</v>
      </c>
      <c r="I1514" s="473" t="s">
        <v>764</v>
      </c>
      <c r="J1514" s="415" t="s">
        <v>310</v>
      </c>
      <c r="K1514" s="415" t="s">
        <v>1220</v>
      </c>
      <c r="L1514" s="415" t="s">
        <v>3443</v>
      </c>
      <c r="M1514" s="546">
        <v>222205624670</v>
      </c>
      <c r="N1514" s="414">
        <v>44812</v>
      </c>
      <c r="O1514" s="414" t="s">
        <v>400</v>
      </c>
      <c r="P1514" s="655">
        <f t="shared" si="82"/>
        <v>9</v>
      </c>
      <c r="Q1514" s="655">
        <f t="shared" si="83"/>
        <v>8</v>
      </c>
      <c r="R1514" s="695" t="str">
        <f t="shared" si="84"/>
        <v>Gastos_Gerais</v>
      </c>
      <c r="S1514" s="697" t="s">
        <v>310</v>
      </c>
      <c r="T1514" s="697" t="s">
        <v>310</v>
      </c>
    </row>
    <row r="1515" spans="1:20" ht="36" x14ac:dyDescent="0.2">
      <c r="A1515" s="432">
        <f>IF(B1515="","",COUNT('Diário 1º PA'!$A$4:$A$2635)+COUNT('Diário 2º PA'!$A$4:$A$3040)+ROW()-3)</f>
        <v>5611</v>
      </c>
      <c r="B1515" s="413">
        <v>44812</v>
      </c>
      <c r="C1515" s="431">
        <v>44743</v>
      </c>
      <c r="D1515" s="415" t="s">
        <v>271</v>
      </c>
      <c r="E1515" s="415" t="s">
        <v>442</v>
      </c>
      <c r="F1515" s="425">
        <v>38.4</v>
      </c>
      <c r="G1515" s="427" t="s">
        <v>6385</v>
      </c>
      <c r="H1515" s="415" t="s">
        <v>757</v>
      </c>
      <c r="I1515" s="473" t="s">
        <v>764</v>
      </c>
      <c r="J1515" s="415" t="s">
        <v>310</v>
      </c>
      <c r="K1515" s="415" t="s">
        <v>1220</v>
      </c>
      <c r="L1515" s="415" t="s">
        <v>3443</v>
      </c>
      <c r="M1515" s="546">
        <v>222205615507</v>
      </c>
      <c r="N1515" s="414">
        <v>44812</v>
      </c>
      <c r="O1515" s="414" t="s">
        <v>400</v>
      </c>
      <c r="P1515" s="655">
        <f t="shared" si="82"/>
        <v>9</v>
      </c>
      <c r="Q1515" s="655">
        <f t="shared" si="83"/>
        <v>7</v>
      </c>
      <c r="R1515" s="695" t="str">
        <f t="shared" si="84"/>
        <v>Gastos_Gerais</v>
      </c>
      <c r="S1515" s="697" t="s">
        <v>310</v>
      </c>
      <c r="T1515" s="697" t="s">
        <v>310</v>
      </c>
    </row>
    <row r="1516" spans="1:20" ht="24" x14ac:dyDescent="0.2">
      <c r="A1516" s="432">
        <f>IF(B1516="","",COUNT('Diário 1º PA'!$A$4:$A$2635)+COUNT('Diário 2º PA'!$A$4:$A$3040)+ROW()-3)</f>
        <v>5612</v>
      </c>
      <c r="B1516" s="413">
        <v>44812</v>
      </c>
      <c r="C1516" s="431">
        <v>44682</v>
      </c>
      <c r="D1516" s="415" t="s">
        <v>271</v>
      </c>
      <c r="E1516" s="415" t="s">
        <v>442</v>
      </c>
      <c r="F1516" s="425">
        <v>110</v>
      </c>
      <c r="G1516" s="427" t="s">
        <v>6526</v>
      </c>
      <c r="H1516" s="415" t="s">
        <v>758</v>
      </c>
      <c r="I1516" s="473" t="s">
        <v>764</v>
      </c>
      <c r="J1516" s="415" t="s">
        <v>310</v>
      </c>
      <c r="K1516" s="415" t="s">
        <v>1220</v>
      </c>
      <c r="L1516" s="415" t="s">
        <v>3443</v>
      </c>
      <c r="M1516" s="546">
        <v>222205620179</v>
      </c>
      <c r="N1516" s="414">
        <v>44812</v>
      </c>
      <c r="O1516" s="414" t="s">
        <v>400</v>
      </c>
      <c r="P1516" s="655">
        <f t="shared" si="82"/>
        <v>9</v>
      </c>
      <c r="Q1516" s="655">
        <f t="shared" si="83"/>
        <v>5</v>
      </c>
      <c r="R1516" s="695" t="str">
        <f t="shared" si="84"/>
        <v>Gastos_Gerais</v>
      </c>
      <c r="S1516" s="697" t="s">
        <v>310</v>
      </c>
      <c r="T1516" s="697" t="s">
        <v>310</v>
      </c>
    </row>
    <row r="1517" spans="1:20" ht="24" x14ac:dyDescent="0.2">
      <c r="A1517" s="432">
        <f>IF(B1517="","",COUNT('Diário 1º PA'!$A$4:$A$2635)+COUNT('Diário 2º PA'!$A$4:$A$3040)+ROW()-3)</f>
        <v>5613</v>
      </c>
      <c r="B1517" s="413">
        <v>44812</v>
      </c>
      <c r="C1517" s="431">
        <v>44713</v>
      </c>
      <c r="D1517" s="415" t="s">
        <v>271</v>
      </c>
      <c r="E1517" s="415" t="s">
        <v>456</v>
      </c>
      <c r="F1517" s="425">
        <v>110</v>
      </c>
      <c r="G1517" s="427" t="s">
        <v>6918</v>
      </c>
      <c r="H1517" s="415" t="s">
        <v>758</v>
      </c>
      <c r="I1517" s="473" t="s">
        <v>764</v>
      </c>
      <c r="J1517" s="415" t="s">
        <v>310</v>
      </c>
      <c r="K1517" s="415" t="s">
        <v>1220</v>
      </c>
      <c r="L1517" s="415" t="s">
        <v>3443</v>
      </c>
      <c r="M1517" s="546">
        <v>222205622465</v>
      </c>
      <c r="N1517" s="414">
        <v>44812</v>
      </c>
      <c r="O1517" s="414" t="s">
        <v>400</v>
      </c>
      <c r="P1517" s="655">
        <f t="shared" si="82"/>
        <v>9</v>
      </c>
      <c r="Q1517" s="655">
        <f t="shared" si="83"/>
        <v>6</v>
      </c>
      <c r="R1517" s="695" t="str">
        <f t="shared" si="84"/>
        <v>Gastos_Gerais</v>
      </c>
      <c r="S1517" s="697" t="s">
        <v>310</v>
      </c>
      <c r="T1517" s="697" t="s">
        <v>310</v>
      </c>
    </row>
    <row r="1518" spans="1:20" ht="24" x14ac:dyDescent="0.2">
      <c r="A1518" s="432">
        <f>IF(B1518="","",COUNT('Diário 1º PA'!$A$4:$A$2635)+COUNT('Diário 2º PA'!$A$4:$A$3040)+ROW()-3)</f>
        <v>5614</v>
      </c>
      <c r="B1518" s="413">
        <v>44812</v>
      </c>
      <c r="C1518" s="431">
        <v>44743</v>
      </c>
      <c r="D1518" s="415" t="s">
        <v>271</v>
      </c>
      <c r="E1518" s="415" t="s">
        <v>442</v>
      </c>
      <c r="F1518" s="425">
        <v>48</v>
      </c>
      <c r="G1518" s="427" t="s">
        <v>6764</v>
      </c>
      <c r="H1518" s="415" t="s">
        <v>758</v>
      </c>
      <c r="I1518" s="473" t="s">
        <v>764</v>
      </c>
      <c r="J1518" s="415" t="s">
        <v>310</v>
      </c>
      <c r="K1518" s="415" t="s">
        <v>1220</v>
      </c>
      <c r="L1518" s="415" t="s">
        <v>3443</v>
      </c>
      <c r="M1518" s="546">
        <v>222205623437</v>
      </c>
      <c r="N1518" s="414">
        <v>44812</v>
      </c>
      <c r="O1518" s="414" t="s">
        <v>400</v>
      </c>
      <c r="P1518" s="655">
        <f t="shared" si="82"/>
        <v>9</v>
      </c>
      <c r="Q1518" s="655">
        <f t="shared" si="83"/>
        <v>7</v>
      </c>
      <c r="R1518" s="695" t="str">
        <f t="shared" si="84"/>
        <v>Gastos_Gerais</v>
      </c>
      <c r="S1518" s="697" t="s">
        <v>310</v>
      </c>
      <c r="T1518" s="697" t="s">
        <v>310</v>
      </c>
    </row>
    <row r="1519" spans="1:20" ht="24" x14ac:dyDescent="0.2">
      <c r="A1519" s="432">
        <f>IF(B1519="","",COUNT('Diário 1º PA'!$A$4:$A$2635)+COUNT('Diário 2º PA'!$A$4:$A$3040)+ROW()-3)</f>
        <v>5615</v>
      </c>
      <c r="B1519" s="413">
        <v>44812</v>
      </c>
      <c r="C1519" s="431">
        <v>44774</v>
      </c>
      <c r="D1519" s="415" t="s">
        <v>271</v>
      </c>
      <c r="E1519" s="415" t="s">
        <v>453</v>
      </c>
      <c r="F1519" s="425">
        <v>30</v>
      </c>
      <c r="G1519" s="427" t="s">
        <v>6838</v>
      </c>
      <c r="H1519" s="415" t="s">
        <v>758</v>
      </c>
      <c r="I1519" s="473" t="s">
        <v>764</v>
      </c>
      <c r="J1519" s="415" t="s">
        <v>310</v>
      </c>
      <c r="K1519" s="415" t="s">
        <v>1220</v>
      </c>
      <c r="L1519" s="415" t="s">
        <v>3443</v>
      </c>
      <c r="M1519" s="546">
        <v>222205623518</v>
      </c>
      <c r="N1519" s="414">
        <v>44812</v>
      </c>
      <c r="O1519" s="414" t="s">
        <v>400</v>
      </c>
      <c r="P1519" s="655">
        <f t="shared" si="82"/>
        <v>9</v>
      </c>
      <c r="Q1519" s="655">
        <f t="shared" si="83"/>
        <v>8</v>
      </c>
      <c r="R1519" s="695" t="str">
        <f t="shared" si="84"/>
        <v>Gastos_Gerais</v>
      </c>
      <c r="S1519" s="697" t="s">
        <v>310</v>
      </c>
      <c r="T1519" s="697" t="s">
        <v>310</v>
      </c>
    </row>
    <row r="1520" spans="1:20" ht="24" x14ac:dyDescent="0.2">
      <c r="A1520" s="432">
        <f>IF(B1520="","",COUNT('Diário 1º PA'!$A$4:$A$2635)+COUNT('Diário 2º PA'!$A$4:$A$3040)+ROW()-3)</f>
        <v>5616</v>
      </c>
      <c r="B1520" s="413">
        <v>44812</v>
      </c>
      <c r="C1520" s="431">
        <v>44743</v>
      </c>
      <c r="D1520" s="415" t="s">
        <v>271</v>
      </c>
      <c r="E1520" s="415" t="s">
        <v>450</v>
      </c>
      <c r="F1520" s="425">
        <v>60.3</v>
      </c>
      <c r="G1520" s="427" t="s">
        <v>6530</v>
      </c>
      <c r="H1520" s="415" t="s">
        <v>752</v>
      </c>
      <c r="I1520" s="473" t="s">
        <v>764</v>
      </c>
      <c r="J1520" s="415" t="s">
        <v>310</v>
      </c>
      <c r="K1520" s="415" t="s">
        <v>1220</v>
      </c>
      <c r="L1520" s="415" t="s">
        <v>3443</v>
      </c>
      <c r="M1520" s="546">
        <v>222205620926</v>
      </c>
      <c r="N1520" s="414">
        <v>44812</v>
      </c>
      <c r="O1520" s="414" t="s">
        <v>400</v>
      </c>
      <c r="P1520" s="655">
        <f t="shared" si="82"/>
        <v>9</v>
      </c>
      <c r="Q1520" s="655">
        <f t="shared" si="83"/>
        <v>7</v>
      </c>
      <c r="R1520" s="695" t="str">
        <f t="shared" si="84"/>
        <v>Gastos_Gerais</v>
      </c>
      <c r="S1520" s="697" t="s">
        <v>310</v>
      </c>
      <c r="T1520" s="697" t="s">
        <v>310</v>
      </c>
    </row>
    <row r="1521" spans="1:20" ht="36" x14ac:dyDescent="0.2">
      <c r="A1521" s="432">
        <f>IF(B1521="","",COUNT('Diário 1º PA'!$A$4:$A$2635)+COUNT('Diário 2º PA'!$A$4:$A$3040)+ROW()-3)</f>
        <v>5617</v>
      </c>
      <c r="B1521" s="413">
        <v>44812</v>
      </c>
      <c r="C1521" s="433">
        <v>44743</v>
      </c>
      <c r="D1521" s="434" t="s">
        <v>182</v>
      </c>
      <c r="E1521" s="434" t="s">
        <v>1</v>
      </c>
      <c r="F1521" s="425">
        <v>250.43</v>
      </c>
      <c r="G1521" s="427" t="s">
        <v>7105</v>
      </c>
      <c r="H1521" s="415" t="s">
        <v>310</v>
      </c>
      <c r="I1521" s="473" t="s">
        <v>764</v>
      </c>
      <c r="J1521" s="415" t="s">
        <v>310</v>
      </c>
      <c r="K1521" s="415" t="s">
        <v>1220</v>
      </c>
      <c r="L1521" s="415" t="s">
        <v>3443</v>
      </c>
      <c r="M1521" s="546">
        <v>222205618948</v>
      </c>
      <c r="N1521" s="414">
        <v>44812</v>
      </c>
      <c r="O1521" s="414" t="s">
        <v>400</v>
      </c>
      <c r="P1521" s="655">
        <f t="shared" si="82"/>
        <v>9</v>
      </c>
      <c r="Q1521" s="655">
        <f t="shared" si="83"/>
        <v>7</v>
      </c>
      <c r="R1521" s="695" t="str">
        <f t="shared" si="84"/>
        <v>Gastos_com_Pessoal</v>
      </c>
      <c r="S1521" s="697" t="s">
        <v>310</v>
      </c>
      <c r="T1521" s="697" t="s">
        <v>310</v>
      </c>
    </row>
    <row r="1522" spans="1:20" ht="36" x14ac:dyDescent="0.2">
      <c r="A1522" s="432">
        <f>IF(B1522="","",COUNT('Diário 1º PA'!$A$4:$A$2635)+COUNT('Diário 2º PA'!$A$4:$A$3040)+ROW()-3)</f>
        <v>5618</v>
      </c>
      <c r="B1522" s="413">
        <v>44812</v>
      </c>
      <c r="C1522" s="431">
        <v>44805</v>
      </c>
      <c r="D1522" s="415" t="s">
        <v>271</v>
      </c>
      <c r="E1522" s="415" t="s">
        <v>71</v>
      </c>
      <c r="F1522" s="425">
        <v>11</v>
      </c>
      <c r="G1522" s="440" t="s">
        <v>7106</v>
      </c>
      <c r="H1522" s="415" t="s">
        <v>752</v>
      </c>
      <c r="I1522" s="398" t="s">
        <v>881</v>
      </c>
      <c r="J1522" s="418" t="s">
        <v>882</v>
      </c>
      <c r="K1522" s="418" t="s">
        <v>883</v>
      </c>
      <c r="L1522" s="399" t="s">
        <v>798</v>
      </c>
      <c r="M1522" s="544" t="s">
        <v>310</v>
      </c>
      <c r="N1522" s="414">
        <v>44812</v>
      </c>
      <c r="O1522" s="414" t="s">
        <v>400</v>
      </c>
      <c r="P1522" s="655">
        <f t="shared" si="82"/>
        <v>9</v>
      </c>
      <c r="Q1522" s="655">
        <f t="shared" si="83"/>
        <v>9</v>
      </c>
      <c r="R1522" s="695" t="str">
        <f t="shared" si="84"/>
        <v>Gastos_Gerais</v>
      </c>
      <c r="S1522" s="697" t="s">
        <v>310</v>
      </c>
      <c r="T1522" s="697" t="s">
        <v>310</v>
      </c>
    </row>
    <row r="1523" spans="1:20" ht="24" x14ac:dyDescent="0.2">
      <c r="A1523" s="432">
        <f>IF(B1523="","",COUNT('Diário 1º PA'!$A$4:$A$2635)+COUNT('Diário 2º PA'!$A$4:$A$3040)+ROW()-3)</f>
        <v>5619</v>
      </c>
      <c r="B1523" s="413">
        <v>44812</v>
      </c>
      <c r="C1523" s="431">
        <v>44805</v>
      </c>
      <c r="D1523" s="415" t="s">
        <v>271</v>
      </c>
      <c r="E1523" s="415" t="s">
        <v>71</v>
      </c>
      <c r="F1523" s="425">
        <v>11</v>
      </c>
      <c r="G1523" s="440" t="s">
        <v>7107</v>
      </c>
      <c r="H1523" s="415" t="s">
        <v>310</v>
      </c>
      <c r="I1523" s="398" t="s">
        <v>881</v>
      </c>
      <c r="J1523" s="418" t="s">
        <v>882</v>
      </c>
      <c r="K1523" s="418" t="s">
        <v>883</v>
      </c>
      <c r="L1523" s="399" t="s">
        <v>798</v>
      </c>
      <c r="M1523" s="544" t="s">
        <v>310</v>
      </c>
      <c r="N1523" s="414">
        <v>44812</v>
      </c>
      <c r="O1523" s="414" t="s">
        <v>400</v>
      </c>
      <c r="P1523" s="655">
        <f t="shared" si="82"/>
        <v>9</v>
      </c>
      <c r="Q1523" s="655">
        <f t="shared" si="83"/>
        <v>9</v>
      </c>
      <c r="R1523" s="695" t="str">
        <f t="shared" si="84"/>
        <v>Gastos_Gerais</v>
      </c>
      <c r="S1523" s="697" t="s">
        <v>310</v>
      </c>
      <c r="T1523" s="697" t="s">
        <v>310</v>
      </c>
    </row>
    <row r="1524" spans="1:20" ht="24" x14ac:dyDescent="0.2">
      <c r="A1524" s="432">
        <f>IF(B1524="","",COUNT('Diário 1º PA'!$A$4:$A$2635)+COUNT('Diário 2º PA'!$A$4:$A$3040)+ROW()-3)</f>
        <v>5620</v>
      </c>
      <c r="B1524" s="413">
        <v>44812</v>
      </c>
      <c r="C1524" s="431">
        <v>44805</v>
      </c>
      <c r="D1524" s="415" t="s">
        <v>271</v>
      </c>
      <c r="E1524" s="415" t="s">
        <v>71</v>
      </c>
      <c r="F1524" s="425">
        <v>10</v>
      </c>
      <c r="G1524" s="427" t="s">
        <v>7108</v>
      </c>
      <c r="H1524" s="415" t="s">
        <v>310</v>
      </c>
      <c r="I1524" s="398" t="s">
        <v>881</v>
      </c>
      <c r="J1524" s="418" t="s">
        <v>882</v>
      </c>
      <c r="K1524" s="418" t="s">
        <v>883</v>
      </c>
      <c r="L1524" s="399" t="s">
        <v>798</v>
      </c>
      <c r="M1524" s="544" t="s">
        <v>310</v>
      </c>
      <c r="N1524" s="414">
        <v>44812</v>
      </c>
      <c r="O1524" s="414" t="s">
        <v>400</v>
      </c>
      <c r="P1524" s="655">
        <f t="shared" si="82"/>
        <v>9</v>
      </c>
      <c r="Q1524" s="655">
        <f t="shared" si="83"/>
        <v>9</v>
      </c>
      <c r="R1524" s="695" t="str">
        <f t="shared" si="84"/>
        <v>Gastos_Gerais</v>
      </c>
      <c r="S1524" s="697" t="s">
        <v>310</v>
      </c>
      <c r="T1524" s="697" t="s">
        <v>310</v>
      </c>
    </row>
    <row r="1525" spans="1:20" ht="60" x14ac:dyDescent="0.2">
      <c r="A1525" s="432">
        <f>IF(B1525="","",COUNT('Diário 1º PA'!$A$4:$A$2635)+COUNT('Diário 2º PA'!$A$4:$A$3040)+ROW()-3)</f>
        <v>5621</v>
      </c>
      <c r="B1525" s="413">
        <v>44812</v>
      </c>
      <c r="C1525" s="431">
        <v>44743</v>
      </c>
      <c r="D1525" s="419" t="s">
        <v>468</v>
      </c>
      <c r="E1525" s="419" t="s">
        <v>468</v>
      </c>
      <c r="F1525" s="425">
        <v>120</v>
      </c>
      <c r="G1525" s="427" t="s">
        <v>6776</v>
      </c>
      <c r="H1525" s="415" t="s">
        <v>468</v>
      </c>
      <c r="I1525" s="427" t="s">
        <v>764</v>
      </c>
      <c r="J1525" s="415" t="s">
        <v>310</v>
      </c>
      <c r="K1525" s="415" t="s">
        <v>1220</v>
      </c>
      <c r="L1525" s="415" t="s">
        <v>3443</v>
      </c>
      <c r="M1525" s="544">
        <v>222205681550</v>
      </c>
      <c r="N1525" s="414">
        <v>44812</v>
      </c>
      <c r="O1525" s="414" t="s">
        <v>404</v>
      </c>
      <c r="P1525" s="655">
        <f t="shared" si="82"/>
        <v>9</v>
      </c>
      <c r="Q1525" s="655">
        <f t="shared" si="83"/>
        <v>7</v>
      </c>
      <c r="R1525" s="695" t="str">
        <f t="shared" si="84"/>
        <v>Gastos_custeados_por_captação</v>
      </c>
      <c r="S1525" s="697" t="s">
        <v>310</v>
      </c>
      <c r="T1525" s="697" t="s">
        <v>310</v>
      </c>
    </row>
    <row r="1526" spans="1:20" ht="60" x14ac:dyDescent="0.2">
      <c r="A1526" s="432">
        <f>IF(B1526="","",COUNT('Diário 1º PA'!$A$4:$A$2635)+COUNT('Diário 2º PA'!$A$4:$A$3040)+ROW()-3)</f>
        <v>5622</v>
      </c>
      <c r="B1526" s="413">
        <v>44812</v>
      </c>
      <c r="C1526" s="431">
        <v>44713</v>
      </c>
      <c r="D1526" s="419" t="s">
        <v>468</v>
      </c>
      <c r="E1526" s="419" t="s">
        <v>468</v>
      </c>
      <c r="F1526" s="425">
        <v>132</v>
      </c>
      <c r="G1526" s="427" t="s">
        <v>6789</v>
      </c>
      <c r="H1526" s="415" t="s">
        <v>468</v>
      </c>
      <c r="I1526" s="427" t="s">
        <v>764</v>
      </c>
      <c r="J1526" s="415" t="s">
        <v>310</v>
      </c>
      <c r="K1526" s="415" t="s">
        <v>1220</v>
      </c>
      <c r="L1526" s="415" t="s">
        <v>3443</v>
      </c>
      <c r="M1526" s="544">
        <v>222205681801</v>
      </c>
      <c r="N1526" s="414">
        <v>44812</v>
      </c>
      <c r="O1526" s="414" t="s">
        <v>404</v>
      </c>
      <c r="P1526" s="655">
        <f t="shared" si="82"/>
        <v>9</v>
      </c>
      <c r="Q1526" s="655">
        <f t="shared" si="83"/>
        <v>6</v>
      </c>
      <c r="R1526" s="695" t="str">
        <f t="shared" si="84"/>
        <v>Gastos_custeados_por_captação</v>
      </c>
      <c r="S1526" s="697" t="s">
        <v>310</v>
      </c>
      <c r="T1526" s="697" t="s">
        <v>310</v>
      </c>
    </row>
    <row r="1527" spans="1:20" ht="60" x14ac:dyDescent="0.2">
      <c r="A1527" s="432">
        <f>IF(B1527="","",COUNT('Diário 1º PA'!$A$4:$A$2635)+COUNT('Diário 2º PA'!$A$4:$A$3040)+ROW()-3)</f>
        <v>5623</v>
      </c>
      <c r="B1527" s="413">
        <v>44812</v>
      </c>
      <c r="C1527" s="431">
        <v>44713</v>
      </c>
      <c r="D1527" s="419" t="s">
        <v>468</v>
      </c>
      <c r="E1527" s="419" t="s">
        <v>468</v>
      </c>
      <c r="F1527" s="425">
        <v>550</v>
      </c>
      <c r="G1527" s="427" t="s">
        <v>6889</v>
      </c>
      <c r="H1527" s="415" t="s">
        <v>468</v>
      </c>
      <c r="I1527" s="427" t="s">
        <v>764</v>
      </c>
      <c r="J1527" s="415" t="s">
        <v>310</v>
      </c>
      <c r="K1527" s="415" t="s">
        <v>1220</v>
      </c>
      <c r="L1527" s="415" t="s">
        <v>3443</v>
      </c>
      <c r="M1527" s="544">
        <v>222205685890</v>
      </c>
      <c r="N1527" s="414">
        <v>44812</v>
      </c>
      <c r="O1527" s="414" t="s">
        <v>404</v>
      </c>
      <c r="P1527" s="655">
        <f t="shared" si="82"/>
        <v>9</v>
      </c>
      <c r="Q1527" s="655">
        <f t="shared" si="83"/>
        <v>6</v>
      </c>
      <c r="R1527" s="695" t="str">
        <f t="shared" si="84"/>
        <v>Gastos_custeados_por_captação</v>
      </c>
      <c r="S1527" s="697" t="s">
        <v>310</v>
      </c>
      <c r="T1527" s="697" t="s">
        <v>310</v>
      </c>
    </row>
    <row r="1528" spans="1:20" ht="60" x14ac:dyDescent="0.2">
      <c r="A1528" s="432">
        <f>IF(B1528="","",COUNT('Diário 1º PA'!$A$4:$A$2635)+COUNT('Diário 2º PA'!$A$4:$A$3040)+ROW()-3)</f>
        <v>5624</v>
      </c>
      <c r="B1528" s="413">
        <v>44812</v>
      </c>
      <c r="C1528" s="431">
        <v>44713</v>
      </c>
      <c r="D1528" s="419" t="s">
        <v>468</v>
      </c>
      <c r="E1528" s="419" t="s">
        <v>468</v>
      </c>
      <c r="F1528" s="425">
        <v>132</v>
      </c>
      <c r="G1528" s="427" t="s">
        <v>6798</v>
      </c>
      <c r="H1528" s="415" t="s">
        <v>468</v>
      </c>
      <c r="I1528" s="427" t="s">
        <v>764</v>
      </c>
      <c r="J1528" s="415" t="s">
        <v>310</v>
      </c>
      <c r="K1528" s="415" t="s">
        <v>1220</v>
      </c>
      <c r="L1528" s="415" t="s">
        <v>3443</v>
      </c>
      <c r="M1528" s="544">
        <v>222205682018</v>
      </c>
      <c r="N1528" s="414">
        <v>44812</v>
      </c>
      <c r="O1528" s="414" t="s">
        <v>404</v>
      </c>
      <c r="P1528" s="655">
        <f t="shared" si="82"/>
        <v>9</v>
      </c>
      <c r="Q1528" s="655">
        <f t="shared" si="83"/>
        <v>6</v>
      </c>
      <c r="R1528" s="695" t="str">
        <f t="shared" si="84"/>
        <v>Gastos_custeados_por_captação</v>
      </c>
      <c r="S1528" s="697" t="s">
        <v>310</v>
      </c>
      <c r="T1528" s="697" t="s">
        <v>310</v>
      </c>
    </row>
    <row r="1529" spans="1:20" ht="60" x14ac:dyDescent="0.2">
      <c r="A1529" s="432">
        <f>IF(B1529="","",COUNT('Diário 1º PA'!$A$4:$A$2635)+COUNT('Diário 2º PA'!$A$4:$A$3040)+ROW()-3)</f>
        <v>5625</v>
      </c>
      <c r="B1529" s="413">
        <v>44812</v>
      </c>
      <c r="C1529" s="431">
        <v>44743</v>
      </c>
      <c r="D1529" s="419" t="s">
        <v>468</v>
      </c>
      <c r="E1529" s="419" t="s">
        <v>468</v>
      </c>
      <c r="F1529" s="425">
        <v>172</v>
      </c>
      <c r="G1529" s="427" t="s">
        <v>6887</v>
      </c>
      <c r="H1529" s="415" t="s">
        <v>468</v>
      </c>
      <c r="I1529" s="427" t="s">
        <v>764</v>
      </c>
      <c r="J1529" s="415" t="s">
        <v>310</v>
      </c>
      <c r="K1529" s="415" t="s">
        <v>1220</v>
      </c>
      <c r="L1529" s="415" t="s">
        <v>3443</v>
      </c>
      <c r="M1529" s="544">
        <v>222205685629</v>
      </c>
      <c r="N1529" s="414">
        <v>44812</v>
      </c>
      <c r="O1529" s="414" t="s">
        <v>404</v>
      </c>
      <c r="P1529" s="655">
        <f t="shared" si="82"/>
        <v>9</v>
      </c>
      <c r="Q1529" s="655">
        <f t="shared" si="83"/>
        <v>7</v>
      </c>
      <c r="R1529" s="695" t="str">
        <f t="shared" si="84"/>
        <v>Gastos_custeados_por_captação</v>
      </c>
      <c r="S1529" s="697" t="s">
        <v>310</v>
      </c>
      <c r="T1529" s="697" t="s">
        <v>310</v>
      </c>
    </row>
    <row r="1530" spans="1:20" ht="60" x14ac:dyDescent="0.2">
      <c r="A1530" s="432">
        <f>IF(B1530="","",COUNT('Diário 1º PA'!$A$4:$A$2635)+COUNT('Diário 2º PA'!$A$4:$A$3040)+ROW()-3)</f>
        <v>5626</v>
      </c>
      <c r="B1530" s="413">
        <v>44812</v>
      </c>
      <c r="C1530" s="431">
        <v>44713</v>
      </c>
      <c r="D1530" s="419" t="s">
        <v>468</v>
      </c>
      <c r="E1530" s="419" t="s">
        <v>468</v>
      </c>
      <c r="F1530" s="425">
        <v>1655.92</v>
      </c>
      <c r="G1530" s="427" t="s">
        <v>6806</v>
      </c>
      <c r="H1530" s="415" t="s">
        <v>468</v>
      </c>
      <c r="I1530" s="427" t="s">
        <v>764</v>
      </c>
      <c r="J1530" s="415" t="s">
        <v>310</v>
      </c>
      <c r="K1530" s="415" t="s">
        <v>1220</v>
      </c>
      <c r="L1530" s="415" t="s">
        <v>3443</v>
      </c>
      <c r="M1530" s="544">
        <v>222205722680</v>
      </c>
      <c r="N1530" s="414">
        <v>44812</v>
      </c>
      <c r="O1530" s="414" t="s">
        <v>404</v>
      </c>
      <c r="P1530" s="655">
        <f t="shared" si="82"/>
        <v>9</v>
      </c>
      <c r="Q1530" s="655">
        <f t="shared" si="83"/>
        <v>6</v>
      </c>
      <c r="R1530" s="695" t="str">
        <f t="shared" si="84"/>
        <v>Gastos_custeados_por_captação</v>
      </c>
      <c r="S1530" s="697" t="s">
        <v>310</v>
      </c>
      <c r="T1530" s="697" t="s">
        <v>310</v>
      </c>
    </row>
    <row r="1531" spans="1:20" ht="60" x14ac:dyDescent="0.2">
      <c r="A1531" s="432">
        <f>IF(B1531="","",COUNT('Diário 1º PA'!$A$4:$A$2635)+COUNT('Diário 2º PA'!$A$4:$A$3040)+ROW()-3)</f>
        <v>5627</v>
      </c>
      <c r="B1531" s="413">
        <v>44812</v>
      </c>
      <c r="C1531" s="431">
        <v>44774</v>
      </c>
      <c r="D1531" s="419" t="s">
        <v>468</v>
      </c>
      <c r="E1531" s="419" t="s">
        <v>468</v>
      </c>
      <c r="F1531" s="425">
        <v>87.64</v>
      </c>
      <c r="G1531" s="427" t="s">
        <v>6883</v>
      </c>
      <c r="H1531" s="415" t="s">
        <v>468</v>
      </c>
      <c r="I1531" s="427" t="s">
        <v>764</v>
      </c>
      <c r="J1531" s="415" t="s">
        <v>310</v>
      </c>
      <c r="K1531" s="415" t="s">
        <v>1220</v>
      </c>
      <c r="L1531" s="415" t="s">
        <v>3443</v>
      </c>
      <c r="M1531" s="544">
        <v>222205684738</v>
      </c>
      <c r="N1531" s="414">
        <v>44812</v>
      </c>
      <c r="O1531" s="414" t="s">
        <v>404</v>
      </c>
      <c r="P1531" s="655">
        <f t="shared" si="82"/>
        <v>9</v>
      </c>
      <c r="Q1531" s="655">
        <f t="shared" si="83"/>
        <v>8</v>
      </c>
      <c r="R1531" s="695" t="str">
        <f t="shared" si="84"/>
        <v>Gastos_custeados_por_captação</v>
      </c>
      <c r="S1531" s="697" t="s">
        <v>310</v>
      </c>
      <c r="T1531" s="697" t="s">
        <v>310</v>
      </c>
    </row>
    <row r="1532" spans="1:20" ht="60" x14ac:dyDescent="0.2">
      <c r="A1532" s="432">
        <f>IF(B1532="","",COUNT('Diário 1º PA'!$A$4:$A$2635)+COUNT('Diário 2º PA'!$A$4:$A$3040)+ROW()-3)</f>
        <v>5628</v>
      </c>
      <c r="B1532" s="413">
        <v>44812</v>
      </c>
      <c r="C1532" s="431">
        <v>44774</v>
      </c>
      <c r="D1532" s="419" t="s">
        <v>468</v>
      </c>
      <c r="E1532" s="419" t="s">
        <v>468</v>
      </c>
      <c r="F1532" s="425">
        <v>60</v>
      </c>
      <c r="G1532" s="427" t="s">
        <v>6871</v>
      </c>
      <c r="H1532" s="415" t="s">
        <v>468</v>
      </c>
      <c r="I1532" s="427" t="s">
        <v>764</v>
      </c>
      <c r="J1532" s="415" t="s">
        <v>310</v>
      </c>
      <c r="K1532" s="415" t="s">
        <v>1220</v>
      </c>
      <c r="L1532" s="415" t="s">
        <v>3443</v>
      </c>
      <c r="M1532" s="544">
        <v>222205684304</v>
      </c>
      <c r="N1532" s="414">
        <v>44812</v>
      </c>
      <c r="O1532" s="414" t="s">
        <v>404</v>
      </c>
      <c r="P1532" s="655">
        <f t="shared" si="82"/>
        <v>9</v>
      </c>
      <c r="Q1532" s="655">
        <f t="shared" si="83"/>
        <v>8</v>
      </c>
      <c r="R1532" s="695" t="str">
        <f t="shared" si="84"/>
        <v>Gastos_custeados_por_captação</v>
      </c>
      <c r="S1532" s="697" t="s">
        <v>310</v>
      </c>
      <c r="T1532" s="697" t="s">
        <v>310</v>
      </c>
    </row>
    <row r="1533" spans="1:20" ht="60" x14ac:dyDescent="0.2">
      <c r="A1533" s="432">
        <f>IF(B1533="","",COUNT('Diário 1º PA'!$A$4:$A$2635)+COUNT('Diário 2º PA'!$A$4:$A$3040)+ROW()-3)</f>
        <v>5629</v>
      </c>
      <c r="B1533" s="413">
        <v>44812</v>
      </c>
      <c r="C1533" s="431">
        <v>44713</v>
      </c>
      <c r="D1533" s="419" t="s">
        <v>468</v>
      </c>
      <c r="E1533" s="419" t="s">
        <v>468</v>
      </c>
      <c r="F1533" s="425">
        <v>132</v>
      </c>
      <c r="G1533" s="427" t="s">
        <v>6796</v>
      </c>
      <c r="H1533" s="415" t="s">
        <v>468</v>
      </c>
      <c r="I1533" s="427" t="s">
        <v>764</v>
      </c>
      <c r="J1533" s="415" t="s">
        <v>310</v>
      </c>
      <c r="K1533" s="415" t="s">
        <v>1220</v>
      </c>
      <c r="L1533" s="415" t="s">
        <v>3443</v>
      </c>
      <c r="M1533" s="544">
        <v>222205682280</v>
      </c>
      <c r="N1533" s="414">
        <v>44812</v>
      </c>
      <c r="O1533" s="414" t="s">
        <v>404</v>
      </c>
      <c r="P1533" s="655">
        <f t="shared" ref="P1533:P1564" si="85">IF(B1533=0,0,IF(YEAR(B1533)=$Q$1,MONTH(B1533)-$P$1+1,(YEAR(B1533)-$Q$1)*12-$P$1+1+MONTH(B1533)))</f>
        <v>9</v>
      </c>
      <c r="Q1533" s="655">
        <f t="shared" ref="Q1533:Q1564" si="86">IF(C1533=0,0,IF(YEAR(C1533)=$Q$1,MONTH(C1533)-$P$1+1,(YEAR(C1533)-$Q$1)*12-$P$1+1+MONTH(C1533)))</f>
        <v>6</v>
      </c>
      <c r="R1533" s="695" t="str">
        <f t="shared" ref="R1533:R1564" si="87">SUBSTITUTE(D1533," ","_")</f>
        <v>Gastos_custeados_por_captação</v>
      </c>
      <c r="S1533" s="697" t="s">
        <v>310</v>
      </c>
      <c r="T1533" s="697" t="s">
        <v>310</v>
      </c>
    </row>
    <row r="1534" spans="1:20" ht="60" x14ac:dyDescent="0.2">
      <c r="A1534" s="432">
        <f>IF(B1534="","",COUNT('Diário 1º PA'!$A$4:$A$2635)+COUNT('Diário 2º PA'!$A$4:$A$3040)+ROW()-3)</f>
        <v>5630</v>
      </c>
      <c r="B1534" s="413">
        <v>44812</v>
      </c>
      <c r="C1534" s="431">
        <v>44682</v>
      </c>
      <c r="D1534" s="419" t="s">
        <v>468</v>
      </c>
      <c r="E1534" s="419" t="s">
        <v>468</v>
      </c>
      <c r="F1534" s="425">
        <v>358.4</v>
      </c>
      <c r="G1534" s="427" t="s">
        <v>6868</v>
      </c>
      <c r="H1534" s="415" t="s">
        <v>468</v>
      </c>
      <c r="I1534" s="427" t="s">
        <v>764</v>
      </c>
      <c r="J1534" s="415" t="s">
        <v>310</v>
      </c>
      <c r="K1534" s="415" t="s">
        <v>1220</v>
      </c>
      <c r="L1534" s="415" t="s">
        <v>3443</v>
      </c>
      <c r="M1534" s="544">
        <v>222205683928</v>
      </c>
      <c r="N1534" s="414">
        <v>44812</v>
      </c>
      <c r="O1534" s="414" t="s">
        <v>404</v>
      </c>
      <c r="P1534" s="655">
        <f t="shared" si="85"/>
        <v>9</v>
      </c>
      <c r="Q1534" s="655">
        <f t="shared" si="86"/>
        <v>5</v>
      </c>
      <c r="R1534" s="695" t="str">
        <f t="shared" si="87"/>
        <v>Gastos_custeados_por_captação</v>
      </c>
      <c r="S1534" s="697" t="s">
        <v>310</v>
      </c>
      <c r="T1534" s="697" t="s">
        <v>310</v>
      </c>
    </row>
    <row r="1535" spans="1:20" ht="60" x14ac:dyDescent="0.2">
      <c r="A1535" s="432">
        <f>IF(B1535="","",COUNT('Diário 1º PA'!$A$4:$A$2635)+COUNT('Diário 2º PA'!$A$4:$A$3040)+ROW()-3)</f>
        <v>5631</v>
      </c>
      <c r="B1535" s="413">
        <v>44812</v>
      </c>
      <c r="C1535" s="431">
        <v>44713</v>
      </c>
      <c r="D1535" s="419" t="s">
        <v>468</v>
      </c>
      <c r="E1535" s="419" t="s">
        <v>468</v>
      </c>
      <c r="F1535" s="425">
        <v>132</v>
      </c>
      <c r="G1535" s="427" t="s">
        <v>6800</v>
      </c>
      <c r="H1535" s="415" t="s">
        <v>468</v>
      </c>
      <c r="I1535" s="427" t="s">
        <v>764</v>
      </c>
      <c r="J1535" s="415" t="s">
        <v>310</v>
      </c>
      <c r="K1535" s="415" t="s">
        <v>1220</v>
      </c>
      <c r="L1535" s="415" t="s">
        <v>3443</v>
      </c>
      <c r="M1535" s="544">
        <v>222205682441</v>
      </c>
      <c r="N1535" s="414">
        <v>44812</v>
      </c>
      <c r="O1535" s="414" t="s">
        <v>404</v>
      </c>
      <c r="P1535" s="655">
        <f t="shared" si="85"/>
        <v>9</v>
      </c>
      <c r="Q1535" s="655">
        <f t="shared" si="86"/>
        <v>6</v>
      </c>
      <c r="R1535" s="695" t="str">
        <f t="shared" si="87"/>
        <v>Gastos_custeados_por_captação</v>
      </c>
      <c r="S1535" s="697" t="s">
        <v>310</v>
      </c>
      <c r="T1535" s="697" t="s">
        <v>310</v>
      </c>
    </row>
    <row r="1536" spans="1:20" ht="60" x14ac:dyDescent="0.2">
      <c r="A1536" s="432">
        <f>IF(B1536="","",COUNT('Diário 1º PA'!$A$4:$A$2635)+COUNT('Diário 2º PA'!$A$4:$A$3040)+ROW()-3)</f>
        <v>5632</v>
      </c>
      <c r="B1536" s="413">
        <v>44812</v>
      </c>
      <c r="C1536" s="431">
        <v>44682</v>
      </c>
      <c r="D1536" s="419" t="s">
        <v>468</v>
      </c>
      <c r="E1536" s="419" t="s">
        <v>468</v>
      </c>
      <c r="F1536" s="425">
        <v>174.15</v>
      </c>
      <c r="G1536" s="427" t="s">
        <v>6866</v>
      </c>
      <c r="H1536" s="415" t="s">
        <v>468</v>
      </c>
      <c r="I1536" s="427" t="s">
        <v>764</v>
      </c>
      <c r="J1536" s="415" t="s">
        <v>310</v>
      </c>
      <c r="K1536" s="415" t="s">
        <v>1220</v>
      </c>
      <c r="L1536" s="415" t="s">
        <v>3443</v>
      </c>
      <c r="M1536" s="544">
        <v>222205683847</v>
      </c>
      <c r="N1536" s="414">
        <v>44812</v>
      </c>
      <c r="O1536" s="414" t="s">
        <v>404</v>
      </c>
      <c r="P1536" s="655">
        <f t="shared" si="85"/>
        <v>9</v>
      </c>
      <c r="Q1536" s="655">
        <f t="shared" si="86"/>
        <v>5</v>
      </c>
      <c r="R1536" s="695" t="str">
        <f t="shared" si="87"/>
        <v>Gastos_custeados_por_captação</v>
      </c>
      <c r="S1536" s="697" t="s">
        <v>310</v>
      </c>
      <c r="T1536" s="697" t="s">
        <v>310</v>
      </c>
    </row>
    <row r="1537" spans="1:20" ht="60" x14ac:dyDescent="0.2">
      <c r="A1537" s="432">
        <f>IF(B1537="","",COUNT('Diário 1º PA'!$A$4:$A$2635)+COUNT('Diário 2º PA'!$A$4:$A$3040)+ROW()-3)</f>
        <v>5633</v>
      </c>
      <c r="B1537" s="413">
        <v>44812</v>
      </c>
      <c r="C1537" s="431">
        <v>44743</v>
      </c>
      <c r="D1537" s="419" t="s">
        <v>468</v>
      </c>
      <c r="E1537" s="419" t="s">
        <v>468</v>
      </c>
      <c r="F1537" s="425">
        <v>60</v>
      </c>
      <c r="G1537" s="427" t="s">
        <v>6875</v>
      </c>
      <c r="H1537" s="415" t="s">
        <v>468</v>
      </c>
      <c r="I1537" s="427" t="s">
        <v>764</v>
      </c>
      <c r="J1537" s="415" t="s">
        <v>310</v>
      </c>
      <c r="K1537" s="415" t="s">
        <v>1220</v>
      </c>
      <c r="L1537" s="415" t="s">
        <v>3443</v>
      </c>
      <c r="M1537" s="544">
        <v>222205684657</v>
      </c>
      <c r="N1537" s="414">
        <v>44812</v>
      </c>
      <c r="O1537" s="414" t="s">
        <v>404</v>
      </c>
      <c r="P1537" s="655">
        <f t="shared" si="85"/>
        <v>9</v>
      </c>
      <c r="Q1537" s="655">
        <f t="shared" si="86"/>
        <v>7</v>
      </c>
      <c r="R1537" s="695" t="str">
        <f t="shared" si="87"/>
        <v>Gastos_custeados_por_captação</v>
      </c>
      <c r="S1537" s="697" t="s">
        <v>310</v>
      </c>
      <c r="T1537" s="697" t="s">
        <v>310</v>
      </c>
    </row>
    <row r="1538" spans="1:20" ht="60" x14ac:dyDescent="0.2">
      <c r="A1538" s="432">
        <f>IF(B1538="","",COUNT('Diário 1º PA'!$A$4:$A$2635)+COUNT('Diário 2º PA'!$A$4:$A$3040)+ROW()-3)</f>
        <v>5634</v>
      </c>
      <c r="B1538" s="413">
        <v>44812</v>
      </c>
      <c r="C1538" s="431">
        <v>44743</v>
      </c>
      <c r="D1538" s="419" t="s">
        <v>468</v>
      </c>
      <c r="E1538" s="419" t="s">
        <v>468</v>
      </c>
      <c r="F1538" s="425">
        <v>1365</v>
      </c>
      <c r="G1538" s="427" t="s">
        <v>6864</v>
      </c>
      <c r="H1538" s="415" t="s">
        <v>468</v>
      </c>
      <c r="I1538" s="427" t="s">
        <v>764</v>
      </c>
      <c r="J1538" s="415" t="s">
        <v>310</v>
      </c>
      <c r="K1538" s="415" t="s">
        <v>1220</v>
      </c>
      <c r="L1538" s="415" t="s">
        <v>3443</v>
      </c>
      <c r="M1538" s="544">
        <v>222205683685</v>
      </c>
      <c r="N1538" s="414">
        <v>44812</v>
      </c>
      <c r="O1538" s="414" t="s">
        <v>404</v>
      </c>
      <c r="P1538" s="655">
        <f t="shared" si="85"/>
        <v>9</v>
      </c>
      <c r="Q1538" s="655">
        <f t="shared" si="86"/>
        <v>7</v>
      </c>
      <c r="R1538" s="695" t="str">
        <f t="shared" si="87"/>
        <v>Gastos_custeados_por_captação</v>
      </c>
      <c r="S1538" s="697" t="s">
        <v>310</v>
      </c>
      <c r="T1538" s="697" t="s">
        <v>310</v>
      </c>
    </row>
    <row r="1539" spans="1:20" ht="60" x14ac:dyDescent="0.2">
      <c r="A1539" s="432">
        <f>IF(B1539="","",COUNT('Diário 1º PA'!$A$4:$A$2635)+COUNT('Diário 2º PA'!$A$4:$A$3040)+ROW()-3)</f>
        <v>5635</v>
      </c>
      <c r="B1539" s="413">
        <v>44812</v>
      </c>
      <c r="C1539" s="431">
        <v>44682</v>
      </c>
      <c r="D1539" s="419" t="s">
        <v>468</v>
      </c>
      <c r="E1539" s="419" t="s">
        <v>468</v>
      </c>
      <c r="F1539" s="425">
        <v>897.75</v>
      </c>
      <c r="G1539" s="427" t="s">
        <v>6879</v>
      </c>
      <c r="H1539" s="415" t="s">
        <v>468</v>
      </c>
      <c r="I1539" s="427" t="s">
        <v>764</v>
      </c>
      <c r="J1539" s="415" t="s">
        <v>310</v>
      </c>
      <c r="K1539" s="415" t="s">
        <v>1220</v>
      </c>
      <c r="L1539" s="415" t="s">
        <v>3443</v>
      </c>
      <c r="M1539" s="544">
        <v>222205685548</v>
      </c>
      <c r="N1539" s="414">
        <v>44812</v>
      </c>
      <c r="O1539" s="414" t="s">
        <v>404</v>
      </c>
      <c r="P1539" s="655">
        <f t="shared" si="85"/>
        <v>9</v>
      </c>
      <c r="Q1539" s="655">
        <f t="shared" si="86"/>
        <v>5</v>
      </c>
      <c r="R1539" s="695" t="str">
        <f t="shared" si="87"/>
        <v>Gastos_custeados_por_captação</v>
      </c>
      <c r="S1539" s="697" t="s">
        <v>310</v>
      </c>
      <c r="T1539" s="697" t="s">
        <v>310</v>
      </c>
    </row>
    <row r="1540" spans="1:20" ht="60" x14ac:dyDescent="0.2">
      <c r="A1540" s="432">
        <f>IF(B1540="","",COUNT('Diário 1º PA'!$A$4:$A$2635)+COUNT('Diário 2º PA'!$A$4:$A$3040)+ROW()-3)</f>
        <v>5636</v>
      </c>
      <c r="B1540" s="413">
        <v>44812</v>
      </c>
      <c r="C1540" s="431">
        <v>44713</v>
      </c>
      <c r="D1540" s="419" t="s">
        <v>468</v>
      </c>
      <c r="E1540" s="419" t="s">
        <v>468</v>
      </c>
      <c r="F1540" s="425">
        <v>120</v>
      </c>
      <c r="G1540" s="427" t="s">
        <v>6779</v>
      </c>
      <c r="H1540" s="415" t="s">
        <v>468</v>
      </c>
      <c r="I1540" s="427" t="s">
        <v>764</v>
      </c>
      <c r="J1540" s="415" t="s">
        <v>310</v>
      </c>
      <c r="K1540" s="415" t="s">
        <v>1220</v>
      </c>
      <c r="L1540" s="415" t="s">
        <v>3443</v>
      </c>
      <c r="M1540" s="544">
        <v>222205681712</v>
      </c>
      <c r="N1540" s="414">
        <v>44812</v>
      </c>
      <c r="O1540" s="414" t="s">
        <v>404</v>
      </c>
      <c r="P1540" s="655">
        <f t="shared" si="85"/>
        <v>9</v>
      </c>
      <c r="Q1540" s="655">
        <f t="shared" si="86"/>
        <v>6</v>
      </c>
      <c r="R1540" s="695" t="str">
        <f t="shared" si="87"/>
        <v>Gastos_custeados_por_captação</v>
      </c>
      <c r="S1540" s="697" t="s">
        <v>310</v>
      </c>
      <c r="T1540" s="697" t="s">
        <v>310</v>
      </c>
    </row>
    <row r="1541" spans="1:20" ht="60" x14ac:dyDescent="0.2">
      <c r="A1541" s="432">
        <f>IF(B1541="","",COUNT('Diário 1º PA'!$A$4:$A$2635)+COUNT('Diário 2º PA'!$A$4:$A$3040)+ROW()-3)</f>
        <v>5637</v>
      </c>
      <c r="B1541" s="413">
        <v>44812</v>
      </c>
      <c r="C1541" s="431">
        <v>44713</v>
      </c>
      <c r="D1541" s="419" t="s">
        <v>468</v>
      </c>
      <c r="E1541" s="419" t="s">
        <v>468</v>
      </c>
      <c r="F1541" s="425">
        <v>132</v>
      </c>
      <c r="G1541" s="427" t="s">
        <v>6783</v>
      </c>
      <c r="H1541" s="415" t="s">
        <v>468</v>
      </c>
      <c r="I1541" s="427" t="s">
        <v>764</v>
      </c>
      <c r="J1541" s="415" t="s">
        <v>310</v>
      </c>
      <c r="K1541" s="415" t="s">
        <v>1220</v>
      </c>
      <c r="L1541" s="415" t="s">
        <v>3443</v>
      </c>
      <c r="M1541" s="544">
        <v>222205682603</v>
      </c>
      <c r="N1541" s="414">
        <v>44812</v>
      </c>
      <c r="O1541" s="414" t="s">
        <v>404</v>
      </c>
      <c r="P1541" s="655">
        <f t="shared" si="85"/>
        <v>9</v>
      </c>
      <c r="Q1541" s="655">
        <f t="shared" si="86"/>
        <v>6</v>
      </c>
      <c r="R1541" s="695" t="str">
        <f t="shared" si="87"/>
        <v>Gastos_custeados_por_captação</v>
      </c>
      <c r="S1541" s="697" t="s">
        <v>310</v>
      </c>
      <c r="T1541" s="697" t="s">
        <v>310</v>
      </c>
    </row>
    <row r="1542" spans="1:20" ht="60" x14ac:dyDescent="0.2">
      <c r="A1542" s="432">
        <f>IF(B1542="","",COUNT('Diário 1º PA'!$A$4:$A$2635)+COUNT('Diário 2º PA'!$A$4:$A$3040)+ROW()-3)</f>
        <v>5638</v>
      </c>
      <c r="B1542" s="413">
        <v>44812</v>
      </c>
      <c r="C1542" s="431">
        <v>44713</v>
      </c>
      <c r="D1542" s="419" t="s">
        <v>468</v>
      </c>
      <c r="E1542" s="419" t="s">
        <v>468</v>
      </c>
      <c r="F1542" s="425">
        <v>132</v>
      </c>
      <c r="G1542" s="427" t="s">
        <v>6793</v>
      </c>
      <c r="H1542" s="415" t="s">
        <v>468</v>
      </c>
      <c r="I1542" s="427" t="s">
        <v>764</v>
      </c>
      <c r="J1542" s="415" t="s">
        <v>310</v>
      </c>
      <c r="K1542" s="415" t="s">
        <v>1220</v>
      </c>
      <c r="L1542" s="415" t="s">
        <v>3443</v>
      </c>
      <c r="M1542" s="544">
        <v>222205682875</v>
      </c>
      <c r="N1542" s="414">
        <v>44812</v>
      </c>
      <c r="O1542" s="414" t="s">
        <v>404</v>
      </c>
      <c r="P1542" s="655">
        <f t="shared" si="85"/>
        <v>9</v>
      </c>
      <c r="Q1542" s="655">
        <f t="shared" si="86"/>
        <v>6</v>
      </c>
      <c r="R1542" s="695" t="str">
        <f t="shared" si="87"/>
        <v>Gastos_custeados_por_captação</v>
      </c>
      <c r="S1542" s="697" t="s">
        <v>310</v>
      </c>
      <c r="T1542" s="697" t="s">
        <v>310</v>
      </c>
    </row>
    <row r="1543" spans="1:20" ht="60" x14ac:dyDescent="0.2">
      <c r="A1543" s="432">
        <f>IF(B1543="","",COUNT('Diário 1º PA'!$A$4:$A$2635)+COUNT('Diário 2º PA'!$A$4:$A$3040)+ROW()-3)</f>
        <v>5639</v>
      </c>
      <c r="B1543" s="413">
        <v>44812</v>
      </c>
      <c r="C1543" s="431">
        <v>44713</v>
      </c>
      <c r="D1543" s="419" t="s">
        <v>468</v>
      </c>
      <c r="E1543" s="419" t="s">
        <v>468</v>
      </c>
      <c r="F1543" s="425">
        <v>132</v>
      </c>
      <c r="G1543" s="427" t="s">
        <v>6786</v>
      </c>
      <c r="H1543" s="415" t="s">
        <v>468</v>
      </c>
      <c r="I1543" s="427" t="s">
        <v>764</v>
      </c>
      <c r="J1543" s="415" t="s">
        <v>310</v>
      </c>
      <c r="K1543" s="415" t="s">
        <v>1220</v>
      </c>
      <c r="L1543" s="415" t="s">
        <v>3443</v>
      </c>
      <c r="M1543" s="544">
        <v>222205683251</v>
      </c>
      <c r="N1543" s="414">
        <v>44812</v>
      </c>
      <c r="O1543" s="414" t="s">
        <v>404</v>
      </c>
      <c r="P1543" s="655">
        <f t="shared" si="85"/>
        <v>9</v>
      </c>
      <c r="Q1543" s="655">
        <f t="shared" si="86"/>
        <v>6</v>
      </c>
      <c r="R1543" s="695" t="str">
        <f t="shared" si="87"/>
        <v>Gastos_custeados_por_captação</v>
      </c>
      <c r="S1543" s="697" t="s">
        <v>310</v>
      </c>
      <c r="T1543" s="697" t="s">
        <v>310</v>
      </c>
    </row>
    <row r="1544" spans="1:20" ht="60" x14ac:dyDescent="0.2">
      <c r="A1544" s="432">
        <f>IF(B1544="","",COUNT('Diário 1º PA'!$A$4:$A$2635)+COUNT('Diário 2º PA'!$A$4:$A$3040)+ROW()-3)</f>
        <v>5640</v>
      </c>
      <c r="B1544" s="413">
        <v>44812</v>
      </c>
      <c r="C1544" s="431">
        <v>44774</v>
      </c>
      <c r="D1544" s="419" t="s">
        <v>468</v>
      </c>
      <c r="E1544" s="419" t="s">
        <v>468</v>
      </c>
      <c r="F1544" s="425">
        <v>64.319999999999993</v>
      </c>
      <c r="G1544" s="427" t="s">
        <v>6885</v>
      </c>
      <c r="H1544" s="415" t="s">
        <v>468</v>
      </c>
      <c r="I1544" s="427" t="s">
        <v>764</v>
      </c>
      <c r="J1544" s="415" t="s">
        <v>310</v>
      </c>
      <c r="K1544" s="415" t="s">
        <v>1220</v>
      </c>
      <c r="L1544" s="415" t="s">
        <v>3443</v>
      </c>
      <c r="M1544" s="544">
        <v>222205685033</v>
      </c>
      <c r="N1544" s="414">
        <v>44812</v>
      </c>
      <c r="O1544" s="414" t="s">
        <v>404</v>
      </c>
      <c r="P1544" s="655">
        <f t="shared" si="85"/>
        <v>9</v>
      </c>
      <c r="Q1544" s="655">
        <f t="shared" si="86"/>
        <v>8</v>
      </c>
      <c r="R1544" s="695" t="str">
        <f t="shared" si="87"/>
        <v>Gastos_custeados_por_captação</v>
      </c>
      <c r="S1544" s="697" t="s">
        <v>310</v>
      </c>
      <c r="T1544" s="697" t="s">
        <v>310</v>
      </c>
    </row>
    <row r="1545" spans="1:20" ht="60" x14ac:dyDescent="0.2">
      <c r="A1545" s="432">
        <f>IF(B1545="","",COUNT('Diário 1º PA'!$A$4:$A$2635)+COUNT('Diário 2º PA'!$A$4:$A$3040)+ROW()-3)</f>
        <v>5641</v>
      </c>
      <c r="B1545" s="413">
        <v>44812</v>
      </c>
      <c r="C1545" s="431">
        <v>44713</v>
      </c>
      <c r="D1545" s="419" t="s">
        <v>468</v>
      </c>
      <c r="E1545" s="419" t="s">
        <v>468</v>
      </c>
      <c r="F1545" s="425">
        <v>132</v>
      </c>
      <c r="G1545" s="427" t="s">
        <v>6791</v>
      </c>
      <c r="H1545" s="415" t="s">
        <v>468</v>
      </c>
      <c r="I1545" s="427" t="s">
        <v>764</v>
      </c>
      <c r="J1545" s="415" t="s">
        <v>310</v>
      </c>
      <c r="K1545" s="415" t="s">
        <v>1220</v>
      </c>
      <c r="L1545" s="415" t="s">
        <v>3443</v>
      </c>
      <c r="M1545" s="544">
        <v>222205683413</v>
      </c>
      <c r="N1545" s="414">
        <v>44812</v>
      </c>
      <c r="O1545" s="414" t="s">
        <v>404</v>
      </c>
      <c r="P1545" s="655">
        <f t="shared" si="85"/>
        <v>9</v>
      </c>
      <c r="Q1545" s="655">
        <f t="shared" si="86"/>
        <v>6</v>
      </c>
      <c r="R1545" s="695" t="str">
        <f t="shared" si="87"/>
        <v>Gastos_custeados_por_captação</v>
      </c>
      <c r="S1545" s="697" t="s">
        <v>310</v>
      </c>
      <c r="T1545" s="697" t="s">
        <v>310</v>
      </c>
    </row>
    <row r="1546" spans="1:20" ht="60" x14ac:dyDescent="0.2">
      <c r="A1546" s="432">
        <f>IF(B1546="","",COUNT('Diário 1º PA'!$A$4:$A$2635)+COUNT('Diário 2º PA'!$A$4:$A$3040)+ROW()-3)</f>
        <v>5642</v>
      </c>
      <c r="B1546" s="413">
        <v>44812</v>
      </c>
      <c r="C1546" s="431">
        <v>44743</v>
      </c>
      <c r="D1546" s="419" t="s">
        <v>468</v>
      </c>
      <c r="E1546" s="419" t="s">
        <v>468</v>
      </c>
      <c r="F1546" s="425">
        <v>120</v>
      </c>
      <c r="G1546" s="427" t="s">
        <v>6869</v>
      </c>
      <c r="H1546" s="415" t="s">
        <v>468</v>
      </c>
      <c r="I1546" s="427" t="s">
        <v>764</v>
      </c>
      <c r="J1546" s="415" t="s">
        <v>310</v>
      </c>
      <c r="K1546" s="415" t="s">
        <v>1220</v>
      </c>
      <c r="L1546" s="415" t="s">
        <v>3443</v>
      </c>
      <c r="M1546" s="544">
        <v>222205684223</v>
      </c>
      <c r="N1546" s="414">
        <v>44812</v>
      </c>
      <c r="O1546" s="414" t="s">
        <v>404</v>
      </c>
      <c r="P1546" s="655">
        <f t="shared" si="85"/>
        <v>9</v>
      </c>
      <c r="Q1546" s="655">
        <f t="shared" si="86"/>
        <v>7</v>
      </c>
      <c r="R1546" s="695" t="str">
        <f t="shared" si="87"/>
        <v>Gastos_custeados_por_captação</v>
      </c>
      <c r="S1546" s="697" t="s">
        <v>310</v>
      </c>
      <c r="T1546" s="697" t="s">
        <v>310</v>
      </c>
    </row>
    <row r="1547" spans="1:20" ht="60" x14ac:dyDescent="0.2">
      <c r="A1547" s="432">
        <f>IF(B1547="","",COUNT('Diário 1º PA'!$A$4:$A$2635)+COUNT('Diário 2º PA'!$A$4:$A$3040)+ROW()-3)</f>
        <v>5643</v>
      </c>
      <c r="B1547" s="413">
        <v>44812</v>
      </c>
      <c r="C1547" s="431">
        <v>44713</v>
      </c>
      <c r="D1547" s="419" t="s">
        <v>468</v>
      </c>
      <c r="E1547" s="419" t="s">
        <v>468</v>
      </c>
      <c r="F1547" s="425">
        <v>110.55</v>
      </c>
      <c r="G1547" s="427" t="s">
        <v>6877</v>
      </c>
      <c r="H1547" s="415" t="s">
        <v>468</v>
      </c>
      <c r="I1547" s="427" t="s">
        <v>764</v>
      </c>
      <c r="J1547" s="415" t="s">
        <v>310</v>
      </c>
      <c r="K1547" s="415" t="s">
        <v>1220</v>
      </c>
      <c r="L1547" s="415" t="s">
        <v>3443</v>
      </c>
      <c r="M1547" s="544">
        <v>222205685386</v>
      </c>
      <c r="N1547" s="414">
        <v>44812</v>
      </c>
      <c r="O1547" s="414" t="s">
        <v>404</v>
      </c>
      <c r="P1547" s="655">
        <f t="shared" si="85"/>
        <v>9</v>
      </c>
      <c r="Q1547" s="655">
        <f t="shared" si="86"/>
        <v>6</v>
      </c>
      <c r="R1547" s="695" t="str">
        <f t="shared" si="87"/>
        <v>Gastos_custeados_por_captação</v>
      </c>
      <c r="S1547" s="697" t="s">
        <v>310</v>
      </c>
      <c r="T1547" s="697" t="s">
        <v>310</v>
      </c>
    </row>
    <row r="1548" spans="1:20" ht="60" x14ac:dyDescent="0.2">
      <c r="A1548" s="432">
        <f>IF(B1548="","",COUNT('Diário 1º PA'!$A$4:$A$2635)+COUNT('Diário 2º PA'!$A$4:$A$3040)+ROW()-3)</f>
        <v>5644</v>
      </c>
      <c r="B1548" s="413">
        <v>44812</v>
      </c>
      <c r="C1548" s="431">
        <v>44743</v>
      </c>
      <c r="D1548" s="419" t="s">
        <v>468</v>
      </c>
      <c r="E1548" s="419" t="s">
        <v>468</v>
      </c>
      <c r="F1548" s="425">
        <v>25</v>
      </c>
      <c r="G1548" s="427" t="s">
        <v>7187</v>
      </c>
      <c r="H1548" s="415" t="s">
        <v>468</v>
      </c>
      <c r="I1548" s="398" t="s">
        <v>764</v>
      </c>
      <c r="J1548" s="415" t="s">
        <v>310</v>
      </c>
      <c r="K1548" s="415" t="s">
        <v>1220</v>
      </c>
      <c r="L1548" s="415" t="s">
        <v>3443</v>
      </c>
      <c r="M1548" s="544">
        <v>222205630484</v>
      </c>
      <c r="N1548" s="413">
        <v>44812</v>
      </c>
      <c r="O1548" s="414" t="s">
        <v>405</v>
      </c>
      <c r="P1548" s="655">
        <f t="shared" si="85"/>
        <v>9</v>
      </c>
      <c r="Q1548" s="655">
        <f t="shared" si="86"/>
        <v>7</v>
      </c>
      <c r="R1548" s="695" t="str">
        <f t="shared" si="87"/>
        <v>Gastos_custeados_por_captação</v>
      </c>
      <c r="S1548" s="697" t="s">
        <v>310</v>
      </c>
      <c r="T1548" s="697" t="s">
        <v>310</v>
      </c>
    </row>
    <row r="1549" spans="1:20" ht="60" x14ac:dyDescent="0.2">
      <c r="A1549" s="432">
        <f>IF(B1549="","",COUNT('Diário 1º PA'!$A$4:$A$2635)+COUNT('Diário 2º PA'!$A$4:$A$3040)+ROW()-3)</f>
        <v>5645</v>
      </c>
      <c r="B1549" s="413">
        <v>44812</v>
      </c>
      <c r="C1549" s="431">
        <v>44743</v>
      </c>
      <c r="D1549" s="419" t="s">
        <v>468</v>
      </c>
      <c r="E1549" s="419" t="s">
        <v>468</v>
      </c>
      <c r="F1549" s="425">
        <v>10.050000000000001</v>
      </c>
      <c r="G1549" s="427" t="s">
        <v>6901</v>
      </c>
      <c r="H1549" s="415" t="s">
        <v>468</v>
      </c>
      <c r="I1549" s="398" t="s">
        <v>764</v>
      </c>
      <c r="J1549" s="415" t="s">
        <v>310</v>
      </c>
      <c r="K1549" s="415" t="s">
        <v>1220</v>
      </c>
      <c r="L1549" s="415" t="s">
        <v>3443</v>
      </c>
      <c r="M1549" s="544">
        <v>222205633904</v>
      </c>
      <c r="N1549" s="413">
        <v>44812</v>
      </c>
      <c r="O1549" s="414" t="s">
        <v>405</v>
      </c>
      <c r="P1549" s="655">
        <f t="shared" si="85"/>
        <v>9</v>
      </c>
      <c r="Q1549" s="655">
        <f t="shared" si="86"/>
        <v>7</v>
      </c>
      <c r="R1549" s="695" t="str">
        <f t="shared" si="87"/>
        <v>Gastos_custeados_por_captação</v>
      </c>
      <c r="S1549" s="697" t="s">
        <v>310</v>
      </c>
      <c r="T1549" s="697" t="s">
        <v>310</v>
      </c>
    </row>
    <row r="1550" spans="1:20" ht="60" x14ac:dyDescent="0.2">
      <c r="A1550" s="432">
        <f>IF(B1550="","",COUNT('Diário 1º PA'!$A$4:$A$2635)+COUNT('Diário 2º PA'!$A$4:$A$3040)+ROW()-3)</f>
        <v>5646</v>
      </c>
      <c r="B1550" s="413">
        <v>44812</v>
      </c>
      <c r="C1550" s="431">
        <v>44743</v>
      </c>
      <c r="D1550" s="419" t="s">
        <v>468</v>
      </c>
      <c r="E1550" s="419" t="s">
        <v>468</v>
      </c>
      <c r="F1550" s="425">
        <v>25</v>
      </c>
      <c r="G1550" s="427" t="s">
        <v>6648</v>
      </c>
      <c r="H1550" s="415" t="s">
        <v>468</v>
      </c>
      <c r="I1550" s="398" t="s">
        <v>764</v>
      </c>
      <c r="J1550" s="415" t="s">
        <v>310</v>
      </c>
      <c r="K1550" s="415" t="s">
        <v>1220</v>
      </c>
      <c r="L1550" s="415" t="s">
        <v>3443</v>
      </c>
      <c r="M1550" s="544">
        <v>222205630565</v>
      </c>
      <c r="N1550" s="413">
        <v>44812</v>
      </c>
      <c r="O1550" s="414" t="s">
        <v>405</v>
      </c>
      <c r="P1550" s="655">
        <f t="shared" si="85"/>
        <v>9</v>
      </c>
      <c r="Q1550" s="655">
        <f t="shared" si="86"/>
        <v>7</v>
      </c>
      <c r="R1550" s="695" t="str">
        <f t="shared" si="87"/>
        <v>Gastos_custeados_por_captação</v>
      </c>
      <c r="S1550" s="697" t="s">
        <v>310</v>
      </c>
      <c r="T1550" s="697" t="s">
        <v>310</v>
      </c>
    </row>
    <row r="1551" spans="1:20" ht="60" x14ac:dyDescent="0.2">
      <c r="A1551" s="432">
        <f>IF(B1551="","",COUNT('Diário 1º PA'!$A$4:$A$2635)+COUNT('Diário 2º PA'!$A$4:$A$3040)+ROW()-3)</f>
        <v>5647</v>
      </c>
      <c r="B1551" s="413">
        <v>44812</v>
      </c>
      <c r="C1551" s="431">
        <v>44743</v>
      </c>
      <c r="D1551" s="419" t="s">
        <v>468</v>
      </c>
      <c r="E1551" s="419" t="s">
        <v>468</v>
      </c>
      <c r="F1551" s="425">
        <v>66.33</v>
      </c>
      <c r="G1551" s="427" t="s">
        <v>6902</v>
      </c>
      <c r="H1551" s="415" t="s">
        <v>468</v>
      </c>
      <c r="I1551" s="398" t="s">
        <v>764</v>
      </c>
      <c r="J1551" s="415" t="s">
        <v>310</v>
      </c>
      <c r="K1551" s="415" t="s">
        <v>1220</v>
      </c>
      <c r="L1551" s="415" t="s">
        <v>3443</v>
      </c>
      <c r="M1551" s="544">
        <v>222205634048</v>
      </c>
      <c r="N1551" s="413">
        <v>44812</v>
      </c>
      <c r="O1551" s="414" t="s">
        <v>405</v>
      </c>
      <c r="P1551" s="655">
        <f t="shared" si="85"/>
        <v>9</v>
      </c>
      <c r="Q1551" s="655">
        <f t="shared" si="86"/>
        <v>7</v>
      </c>
      <c r="R1551" s="695" t="str">
        <f t="shared" si="87"/>
        <v>Gastos_custeados_por_captação</v>
      </c>
      <c r="S1551" s="697" t="s">
        <v>310</v>
      </c>
      <c r="T1551" s="697" t="s">
        <v>310</v>
      </c>
    </row>
    <row r="1552" spans="1:20" ht="60" x14ac:dyDescent="0.2">
      <c r="A1552" s="432">
        <f>IF(B1552="","",COUNT('Diário 1º PA'!$A$4:$A$2635)+COUNT('Diário 2º PA'!$A$4:$A$3040)+ROW()-3)</f>
        <v>5648</v>
      </c>
      <c r="B1552" s="413">
        <v>44812</v>
      </c>
      <c r="C1552" s="431">
        <v>44774</v>
      </c>
      <c r="D1552" s="419" t="s">
        <v>468</v>
      </c>
      <c r="E1552" s="419" t="s">
        <v>468</v>
      </c>
      <c r="F1552" s="425">
        <v>70.349999999999994</v>
      </c>
      <c r="G1552" s="427" t="s">
        <v>7182</v>
      </c>
      <c r="H1552" s="415" t="s">
        <v>468</v>
      </c>
      <c r="I1552" s="398" t="s">
        <v>764</v>
      </c>
      <c r="J1552" s="415" t="s">
        <v>310</v>
      </c>
      <c r="K1552" s="415" t="s">
        <v>1220</v>
      </c>
      <c r="L1552" s="415" t="s">
        <v>3443</v>
      </c>
      <c r="M1552" s="544">
        <v>222205634200</v>
      </c>
      <c r="N1552" s="413">
        <v>44812</v>
      </c>
      <c r="O1552" s="414" t="s">
        <v>405</v>
      </c>
      <c r="P1552" s="655">
        <f t="shared" si="85"/>
        <v>9</v>
      </c>
      <c r="Q1552" s="655">
        <f t="shared" si="86"/>
        <v>8</v>
      </c>
      <c r="R1552" s="695" t="str">
        <f t="shared" si="87"/>
        <v>Gastos_custeados_por_captação</v>
      </c>
      <c r="S1552" s="697" t="s">
        <v>310</v>
      </c>
      <c r="T1552" s="697" t="s">
        <v>310</v>
      </c>
    </row>
    <row r="1553" spans="1:20" ht="60" x14ac:dyDescent="0.2">
      <c r="A1553" s="432">
        <f>IF(B1553="","",COUNT('Diário 1º PA'!$A$4:$A$2635)+COUNT('Diário 2º PA'!$A$4:$A$3040)+ROW()-3)</f>
        <v>5649</v>
      </c>
      <c r="B1553" s="413">
        <v>44812</v>
      </c>
      <c r="C1553" s="431">
        <v>44774</v>
      </c>
      <c r="D1553" s="419" t="s">
        <v>468</v>
      </c>
      <c r="E1553" s="419" t="s">
        <v>468</v>
      </c>
      <c r="F1553" s="425">
        <v>2694.72</v>
      </c>
      <c r="G1553" s="427" t="s">
        <v>3896</v>
      </c>
      <c r="H1553" s="415" t="s">
        <v>468</v>
      </c>
      <c r="I1553" s="398" t="s">
        <v>1811</v>
      </c>
      <c r="J1553" s="415" t="s">
        <v>1023</v>
      </c>
      <c r="K1553" s="418" t="s">
        <v>830</v>
      </c>
      <c r="L1553" s="418" t="s">
        <v>32</v>
      </c>
      <c r="M1553" s="399" t="s">
        <v>3487</v>
      </c>
      <c r="N1553" s="414">
        <v>44810</v>
      </c>
      <c r="O1553" s="414" t="s">
        <v>405</v>
      </c>
      <c r="P1553" s="655">
        <f t="shared" si="85"/>
        <v>9</v>
      </c>
      <c r="Q1553" s="655">
        <f t="shared" si="86"/>
        <v>8</v>
      </c>
      <c r="R1553" s="695" t="str">
        <f t="shared" si="87"/>
        <v>Gastos_custeados_por_captação</v>
      </c>
      <c r="S1553" s="697" t="s">
        <v>998</v>
      </c>
      <c r="T1553" s="697">
        <v>3620</v>
      </c>
    </row>
    <row r="1554" spans="1:20" ht="60" x14ac:dyDescent="0.2">
      <c r="A1554" s="432">
        <f>IF(B1554="","",COUNT('Diário 1º PA'!$A$4:$A$2635)+COUNT('Diário 2º PA'!$A$4:$A$3040)+ROW()-3)</f>
        <v>5650</v>
      </c>
      <c r="B1554" s="413">
        <v>44812</v>
      </c>
      <c r="C1554" s="431">
        <v>44743</v>
      </c>
      <c r="D1554" s="419" t="s">
        <v>468</v>
      </c>
      <c r="E1554" s="419" t="s">
        <v>468</v>
      </c>
      <c r="F1554" s="425">
        <v>55.27</v>
      </c>
      <c r="G1554" s="427" t="s">
        <v>6663</v>
      </c>
      <c r="H1554" s="415" t="s">
        <v>468</v>
      </c>
      <c r="I1554" s="398" t="s">
        <v>764</v>
      </c>
      <c r="J1554" s="415" t="s">
        <v>310</v>
      </c>
      <c r="K1554" s="415" t="s">
        <v>1220</v>
      </c>
      <c r="L1554" s="415" t="s">
        <v>3443</v>
      </c>
      <c r="M1554" s="544">
        <v>222205632509</v>
      </c>
      <c r="N1554" s="413">
        <v>44812</v>
      </c>
      <c r="O1554" s="414" t="s">
        <v>405</v>
      </c>
      <c r="P1554" s="655">
        <f t="shared" si="85"/>
        <v>9</v>
      </c>
      <c r="Q1554" s="655">
        <f t="shared" si="86"/>
        <v>7</v>
      </c>
      <c r="R1554" s="695" t="str">
        <f t="shared" si="87"/>
        <v>Gastos_custeados_por_captação</v>
      </c>
      <c r="S1554" s="697" t="s">
        <v>310</v>
      </c>
      <c r="T1554" s="697" t="s">
        <v>310</v>
      </c>
    </row>
    <row r="1555" spans="1:20" ht="60" x14ac:dyDescent="0.2">
      <c r="A1555" s="432">
        <f>IF(B1555="","",COUNT('Diário 1º PA'!$A$4:$A$2635)+COUNT('Diário 2º PA'!$A$4:$A$3040)+ROW()-3)</f>
        <v>5651</v>
      </c>
      <c r="B1555" s="413">
        <v>44812</v>
      </c>
      <c r="C1555" s="431">
        <v>44743</v>
      </c>
      <c r="D1555" s="419" t="s">
        <v>468</v>
      </c>
      <c r="E1555" s="419" t="s">
        <v>468</v>
      </c>
      <c r="F1555" s="425">
        <v>25</v>
      </c>
      <c r="G1555" s="427" t="s">
        <v>6650</v>
      </c>
      <c r="H1555" s="415" t="s">
        <v>468</v>
      </c>
      <c r="I1555" s="398" t="s">
        <v>764</v>
      </c>
      <c r="J1555" s="415" t="s">
        <v>310</v>
      </c>
      <c r="K1555" s="415" t="s">
        <v>1220</v>
      </c>
      <c r="L1555" s="415" t="s">
        <v>3443</v>
      </c>
      <c r="M1555" s="544">
        <v>222205630999</v>
      </c>
      <c r="N1555" s="413">
        <v>44812</v>
      </c>
      <c r="O1555" s="414" t="s">
        <v>405</v>
      </c>
      <c r="P1555" s="655">
        <f t="shared" si="85"/>
        <v>9</v>
      </c>
      <c r="Q1555" s="655">
        <f t="shared" si="86"/>
        <v>7</v>
      </c>
      <c r="R1555" s="695" t="str">
        <f t="shared" si="87"/>
        <v>Gastos_custeados_por_captação</v>
      </c>
      <c r="S1555" s="697" t="s">
        <v>310</v>
      </c>
      <c r="T1555" s="697" t="s">
        <v>310</v>
      </c>
    </row>
    <row r="1556" spans="1:20" ht="60" x14ac:dyDescent="0.2">
      <c r="A1556" s="432">
        <f>IF(B1556="","",COUNT('Diário 1º PA'!$A$4:$A$2635)+COUNT('Diário 2º PA'!$A$4:$A$3040)+ROW()-3)</f>
        <v>5652</v>
      </c>
      <c r="B1556" s="413">
        <v>44812</v>
      </c>
      <c r="C1556" s="431">
        <v>44743</v>
      </c>
      <c r="D1556" s="419" t="s">
        <v>468</v>
      </c>
      <c r="E1556" s="419" t="s">
        <v>468</v>
      </c>
      <c r="F1556" s="425">
        <v>137.5</v>
      </c>
      <c r="G1556" s="427" t="s">
        <v>6658</v>
      </c>
      <c r="H1556" s="415" t="s">
        <v>468</v>
      </c>
      <c r="I1556" s="398" t="s">
        <v>764</v>
      </c>
      <c r="J1556" s="415" t="s">
        <v>310</v>
      </c>
      <c r="K1556" s="415" t="s">
        <v>1220</v>
      </c>
      <c r="L1556" s="415" t="s">
        <v>3443</v>
      </c>
      <c r="M1556" s="544">
        <v>222205631537</v>
      </c>
      <c r="N1556" s="413">
        <v>44812</v>
      </c>
      <c r="O1556" s="414" t="s">
        <v>405</v>
      </c>
      <c r="P1556" s="655">
        <f t="shared" si="85"/>
        <v>9</v>
      </c>
      <c r="Q1556" s="655">
        <f t="shared" si="86"/>
        <v>7</v>
      </c>
      <c r="R1556" s="695" t="str">
        <f t="shared" si="87"/>
        <v>Gastos_custeados_por_captação</v>
      </c>
      <c r="S1556" s="697" t="s">
        <v>310</v>
      </c>
      <c r="T1556" s="697" t="s">
        <v>310</v>
      </c>
    </row>
    <row r="1557" spans="1:20" ht="60" x14ac:dyDescent="0.2">
      <c r="A1557" s="432">
        <f>IF(B1557="","",COUNT('Diário 1º PA'!$A$4:$A$2635)+COUNT('Diário 2º PA'!$A$4:$A$3040)+ROW()-3)</f>
        <v>5653</v>
      </c>
      <c r="B1557" s="413">
        <v>44812</v>
      </c>
      <c r="C1557" s="431">
        <v>44713</v>
      </c>
      <c r="D1557" s="419" t="s">
        <v>468</v>
      </c>
      <c r="E1557" s="419" t="s">
        <v>468</v>
      </c>
      <c r="F1557" s="425">
        <v>250</v>
      </c>
      <c r="G1557" s="427" t="s">
        <v>6662</v>
      </c>
      <c r="H1557" s="415" t="s">
        <v>468</v>
      </c>
      <c r="I1557" s="398" t="s">
        <v>764</v>
      </c>
      <c r="J1557" s="415" t="s">
        <v>310</v>
      </c>
      <c r="K1557" s="415" t="s">
        <v>1220</v>
      </c>
      <c r="L1557" s="415" t="s">
        <v>3443</v>
      </c>
      <c r="M1557" s="544">
        <v>222205632347</v>
      </c>
      <c r="N1557" s="413">
        <v>44812</v>
      </c>
      <c r="O1557" s="414" t="s">
        <v>405</v>
      </c>
      <c r="P1557" s="655">
        <f t="shared" si="85"/>
        <v>9</v>
      </c>
      <c r="Q1557" s="655">
        <f t="shared" si="86"/>
        <v>6</v>
      </c>
      <c r="R1557" s="695" t="str">
        <f t="shared" si="87"/>
        <v>Gastos_custeados_por_captação</v>
      </c>
      <c r="S1557" s="697" t="s">
        <v>310</v>
      </c>
      <c r="T1557" s="697" t="s">
        <v>310</v>
      </c>
    </row>
    <row r="1558" spans="1:20" ht="60" x14ac:dyDescent="0.2">
      <c r="A1558" s="432">
        <f>IF(B1558="","",COUNT('Diário 1º PA'!$A$4:$A$2635)+COUNT('Diário 2º PA'!$A$4:$A$3040)+ROW()-3)</f>
        <v>5654</v>
      </c>
      <c r="B1558" s="413">
        <v>44812</v>
      </c>
      <c r="C1558" s="431">
        <v>44743</v>
      </c>
      <c r="D1558" s="419" t="s">
        <v>468</v>
      </c>
      <c r="E1558" s="419" t="s">
        <v>468</v>
      </c>
      <c r="F1558" s="425">
        <v>25</v>
      </c>
      <c r="G1558" s="427" t="s">
        <v>6670</v>
      </c>
      <c r="H1558" s="415" t="s">
        <v>468</v>
      </c>
      <c r="I1558" s="398" t="s">
        <v>764</v>
      </c>
      <c r="J1558" s="415" t="s">
        <v>310</v>
      </c>
      <c r="K1558" s="415" t="s">
        <v>1220</v>
      </c>
      <c r="L1558" s="415" t="s">
        <v>3443</v>
      </c>
      <c r="M1558" s="544">
        <v>222205633076</v>
      </c>
      <c r="N1558" s="413">
        <v>44812</v>
      </c>
      <c r="O1558" s="414" t="s">
        <v>405</v>
      </c>
      <c r="P1558" s="655">
        <f t="shared" si="85"/>
        <v>9</v>
      </c>
      <c r="Q1558" s="655">
        <f t="shared" si="86"/>
        <v>7</v>
      </c>
      <c r="R1558" s="695" t="str">
        <f t="shared" si="87"/>
        <v>Gastos_custeados_por_captação</v>
      </c>
      <c r="S1558" s="697" t="s">
        <v>310</v>
      </c>
      <c r="T1558" s="697" t="s">
        <v>310</v>
      </c>
    </row>
    <row r="1559" spans="1:20" ht="60" x14ac:dyDescent="0.2">
      <c r="A1559" s="432">
        <f>IF(B1559="","",COUNT('Diário 1º PA'!$A$4:$A$2635)+COUNT('Diário 2º PA'!$A$4:$A$3040)+ROW()-3)</f>
        <v>5655</v>
      </c>
      <c r="B1559" s="413">
        <v>44812</v>
      </c>
      <c r="C1559" s="431">
        <v>44713</v>
      </c>
      <c r="D1559" s="419" t="s">
        <v>468</v>
      </c>
      <c r="E1559" s="419" t="s">
        <v>468</v>
      </c>
      <c r="F1559" s="425">
        <v>241.2</v>
      </c>
      <c r="G1559" s="427" t="s">
        <v>6900</v>
      </c>
      <c r="H1559" s="415" t="s">
        <v>468</v>
      </c>
      <c r="I1559" s="398" t="s">
        <v>764</v>
      </c>
      <c r="J1559" s="415" t="s">
        <v>310</v>
      </c>
      <c r="K1559" s="415" t="s">
        <v>1220</v>
      </c>
      <c r="L1559" s="415" t="s">
        <v>3443</v>
      </c>
      <c r="M1559" s="544">
        <v>222205633742</v>
      </c>
      <c r="N1559" s="413">
        <v>44812</v>
      </c>
      <c r="O1559" s="414" t="s">
        <v>405</v>
      </c>
      <c r="P1559" s="655">
        <f t="shared" si="85"/>
        <v>9</v>
      </c>
      <c r="Q1559" s="655">
        <f t="shared" si="86"/>
        <v>6</v>
      </c>
      <c r="R1559" s="695" t="str">
        <f t="shared" si="87"/>
        <v>Gastos_custeados_por_captação</v>
      </c>
      <c r="S1559" s="697" t="s">
        <v>310</v>
      </c>
      <c r="T1559" s="697" t="s">
        <v>310</v>
      </c>
    </row>
    <row r="1560" spans="1:20" ht="60" x14ac:dyDescent="0.2">
      <c r="A1560" s="432">
        <f>IF(B1560="","",COUNT('Diário 1º PA'!$A$4:$A$2635)+COUNT('Diário 2º PA'!$A$4:$A$3040)+ROW()-3)</f>
        <v>5656</v>
      </c>
      <c r="B1560" s="413">
        <v>44812</v>
      </c>
      <c r="C1560" s="431">
        <v>44774</v>
      </c>
      <c r="D1560" s="419" t="s">
        <v>468</v>
      </c>
      <c r="E1560" s="419" t="s">
        <v>468</v>
      </c>
      <c r="F1560" s="425">
        <v>2269.2399999999998</v>
      </c>
      <c r="G1560" s="427" t="s">
        <v>3898</v>
      </c>
      <c r="H1560" s="415" t="s">
        <v>468</v>
      </c>
      <c r="I1560" s="398" t="s">
        <v>5494</v>
      </c>
      <c r="J1560" s="415" t="s">
        <v>3899</v>
      </c>
      <c r="K1560" s="418" t="s">
        <v>830</v>
      </c>
      <c r="L1560" s="418" t="s">
        <v>839</v>
      </c>
      <c r="M1560" s="544">
        <v>1990</v>
      </c>
      <c r="N1560" s="413">
        <v>44809</v>
      </c>
      <c r="O1560" s="414" t="s">
        <v>405</v>
      </c>
      <c r="P1560" s="655">
        <f t="shared" si="85"/>
        <v>9</v>
      </c>
      <c r="Q1560" s="655">
        <f t="shared" si="86"/>
        <v>8</v>
      </c>
      <c r="R1560" s="695" t="str">
        <f t="shared" si="87"/>
        <v>Gastos_custeados_por_captação</v>
      </c>
      <c r="S1560" s="697" t="s">
        <v>998</v>
      </c>
      <c r="T1560" s="697">
        <v>3617</v>
      </c>
    </row>
    <row r="1561" spans="1:20" ht="60" x14ac:dyDescent="0.2">
      <c r="A1561" s="432">
        <f>IF(B1561="","",COUNT('Diário 1º PA'!$A$4:$A$2635)+COUNT('Diário 2º PA'!$A$4:$A$3040)+ROW()-3)</f>
        <v>5657</v>
      </c>
      <c r="B1561" s="413">
        <v>44812</v>
      </c>
      <c r="C1561" s="431">
        <v>44743</v>
      </c>
      <c r="D1561" s="419" t="s">
        <v>468</v>
      </c>
      <c r="E1561" s="419" t="s">
        <v>468</v>
      </c>
      <c r="F1561" s="425">
        <v>90</v>
      </c>
      <c r="G1561" s="427" t="s">
        <v>6642</v>
      </c>
      <c r="H1561" s="415" t="s">
        <v>468</v>
      </c>
      <c r="I1561" s="398" t="s">
        <v>764</v>
      </c>
      <c r="J1561" s="415" t="s">
        <v>310</v>
      </c>
      <c r="K1561" s="415" t="s">
        <v>1220</v>
      </c>
      <c r="L1561" s="415" t="s">
        <v>3443</v>
      </c>
      <c r="M1561" s="544">
        <v>222205630131</v>
      </c>
      <c r="N1561" s="413">
        <v>44812</v>
      </c>
      <c r="O1561" s="414" t="s">
        <v>405</v>
      </c>
      <c r="P1561" s="655">
        <f t="shared" si="85"/>
        <v>9</v>
      </c>
      <c r="Q1561" s="655">
        <f t="shared" si="86"/>
        <v>7</v>
      </c>
      <c r="R1561" s="695" t="str">
        <f t="shared" si="87"/>
        <v>Gastos_custeados_por_captação</v>
      </c>
      <c r="S1561" s="697" t="s">
        <v>310</v>
      </c>
      <c r="T1561" s="697" t="s">
        <v>310</v>
      </c>
    </row>
    <row r="1562" spans="1:20" ht="60" x14ac:dyDescent="0.2">
      <c r="A1562" s="432">
        <f>IF(B1562="","",COUNT('Diário 1º PA'!$A$4:$A$2635)+COUNT('Diário 2º PA'!$A$4:$A$3040)+ROW()-3)</f>
        <v>5658</v>
      </c>
      <c r="B1562" s="413">
        <v>44812</v>
      </c>
      <c r="C1562" s="431">
        <v>44743</v>
      </c>
      <c r="D1562" s="419" t="s">
        <v>468</v>
      </c>
      <c r="E1562" s="419" t="s">
        <v>468</v>
      </c>
      <c r="F1562" s="425">
        <v>25</v>
      </c>
      <c r="G1562" s="427" t="s">
        <v>6667</v>
      </c>
      <c r="H1562" s="415" t="s">
        <v>468</v>
      </c>
      <c r="I1562" s="398" t="s">
        <v>764</v>
      </c>
      <c r="J1562" s="415" t="s">
        <v>310</v>
      </c>
      <c r="K1562" s="415" t="s">
        <v>1220</v>
      </c>
      <c r="L1562" s="415" t="s">
        <v>3443</v>
      </c>
      <c r="M1562" s="544">
        <v>222205633319</v>
      </c>
      <c r="N1562" s="413">
        <v>44812</v>
      </c>
      <c r="O1562" s="414" t="s">
        <v>405</v>
      </c>
      <c r="P1562" s="655">
        <f t="shared" si="85"/>
        <v>9</v>
      </c>
      <c r="Q1562" s="655">
        <f t="shared" si="86"/>
        <v>7</v>
      </c>
      <c r="R1562" s="695" t="str">
        <f t="shared" si="87"/>
        <v>Gastos_custeados_por_captação</v>
      </c>
      <c r="S1562" s="697" t="s">
        <v>310</v>
      </c>
      <c r="T1562" s="697" t="s">
        <v>310</v>
      </c>
    </row>
    <row r="1563" spans="1:20" ht="60" x14ac:dyDescent="0.2">
      <c r="A1563" s="432">
        <f>IF(B1563="","",COUNT('Diário 1º PA'!$A$4:$A$2635)+COUNT('Diário 2º PA'!$A$4:$A$3040)+ROW()-3)</f>
        <v>5659</v>
      </c>
      <c r="B1563" s="413">
        <v>44812</v>
      </c>
      <c r="C1563" s="431">
        <v>44774</v>
      </c>
      <c r="D1563" s="419" t="s">
        <v>468</v>
      </c>
      <c r="E1563" s="419" t="s">
        <v>468</v>
      </c>
      <c r="F1563" s="425">
        <v>83.35</v>
      </c>
      <c r="G1563" s="427" t="s">
        <v>6664</v>
      </c>
      <c r="H1563" s="415" t="s">
        <v>468</v>
      </c>
      <c r="I1563" s="398" t="s">
        <v>764</v>
      </c>
      <c r="J1563" s="415" t="s">
        <v>310</v>
      </c>
      <c r="K1563" s="415" t="s">
        <v>1220</v>
      </c>
      <c r="L1563" s="415" t="s">
        <v>3443</v>
      </c>
      <c r="M1563" s="544">
        <v>222205632185</v>
      </c>
      <c r="N1563" s="413">
        <v>44812</v>
      </c>
      <c r="O1563" s="414" t="s">
        <v>405</v>
      </c>
      <c r="P1563" s="655">
        <f t="shared" si="85"/>
        <v>9</v>
      </c>
      <c r="Q1563" s="655">
        <f t="shared" si="86"/>
        <v>8</v>
      </c>
      <c r="R1563" s="695" t="str">
        <f t="shared" si="87"/>
        <v>Gastos_custeados_por_captação</v>
      </c>
      <c r="S1563" s="697" t="s">
        <v>310</v>
      </c>
      <c r="T1563" s="697" t="s">
        <v>310</v>
      </c>
    </row>
    <row r="1564" spans="1:20" ht="60" x14ac:dyDescent="0.2">
      <c r="A1564" s="432">
        <f>IF(B1564="","",COUNT('Diário 1º PA'!$A$4:$A$2635)+COUNT('Diário 2º PA'!$A$4:$A$3040)+ROW()-3)</f>
        <v>5660</v>
      </c>
      <c r="B1564" s="413">
        <v>44812</v>
      </c>
      <c r="C1564" s="431">
        <v>44743</v>
      </c>
      <c r="D1564" s="419" t="s">
        <v>468</v>
      </c>
      <c r="E1564" s="419" t="s">
        <v>468</v>
      </c>
      <c r="F1564" s="425">
        <v>60.3</v>
      </c>
      <c r="G1564" s="427" t="s">
        <v>6652</v>
      </c>
      <c r="H1564" s="415" t="s">
        <v>468</v>
      </c>
      <c r="I1564" s="398" t="s">
        <v>764</v>
      </c>
      <c r="J1564" s="415" t="s">
        <v>310</v>
      </c>
      <c r="K1564" s="415" t="s">
        <v>1220</v>
      </c>
      <c r="L1564" s="415" t="s">
        <v>3443</v>
      </c>
      <c r="M1564" s="544">
        <v>222205630301</v>
      </c>
      <c r="N1564" s="413">
        <v>44812</v>
      </c>
      <c r="O1564" s="414" t="s">
        <v>405</v>
      </c>
      <c r="P1564" s="655">
        <f t="shared" si="85"/>
        <v>9</v>
      </c>
      <c r="Q1564" s="655">
        <f t="shared" si="86"/>
        <v>7</v>
      </c>
      <c r="R1564" s="695" t="str">
        <f t="shared" si="87"/>
        <v>Gastos_custeados_por_captação</v>
      </c>
      <c r="S1564" s="697" t="s">
        <v>310</v>
      </c>
      <c r="T1564" s="697" t="s">
        <v>310</v>
      </c>
    </row>
    <row r="1565" spans="1:20" ht="60" x14ac:dyDescent="0.2">
      <c r="A1565" s="432">
        <f>IF(B1565="","",COUNT('Diário 1º PA'!$A$4:$A$2635)+COUNT('Diário 2º PA'!$A$4:$A$3040)+ROW()-3)</f>
        <v>5661</v>
      </c>
      <c r="B1565" s="413">
        <v>44812</v>
      </c>
      <c r="C1565" s="431">
        <v>44743</v>
      </c>
      <c r="D1565" s="419" t="s">
        <v>468</v>
      </c>
      <c r="E1565" s="419" t="s">
        <v>468</v>
      </c>
      <c r="F1565" s="425">
        <v>25</v>
      </c>
      <c r="G1565" s="427" t="s">
        <v>6656</v>
      </c>
      <c r="H1565" s="415" t="s">
        <v>468</v>
      </c>
      <c r="I1565" s="398" t="s">
        <v>764</v>
      </c>
      <c r="J1565" s="415" t="s">
        <v>310</v>
      </c>
      <c r="K1565" s="415" t="s">
        <v>1220</v>
      </c>
      <c r="L1565" s="415" t="s">
        <v>3443</v>
      </c>
      <c r="M1565" s="544">
        <v>222205631375</v>
      </c>
      <c r="N1565" s="413">
        <v>44812</v>
      </c>
      <c r="O1565" s="414" t="s">
        <v>405</v>
      </c>
      <c r="P1565" s="655">
        <f t="shared" ref="P1565:P1596" si="88">IF(B1565=0,0,IF(YEAR(B1565)=$Q$1,MONTH(B1565)-$P$1+1,(YEAR(B1565)-$Q$1)*12-$P$1+1+MONTH(B1565)))</f>
        <v>9</v>
      </c>
      <c r="Q1565" s="655">
        <f t="shared" ref="Q1565:Q1596" si="89">IF(C1565=0,0,IF(YEAR(C1565)=$Q$1,MONTH(C1565)-$P$1+1,(YEAR(C1565)-$Q$1)*12-$P$1+1+MONTH(C1565)))</f>
        <v>7</v>
      </c>
      <c r="R1565" s="695" t="str">
        <f t="shared" ref="R1565:R1596" si="90">SUBSTITUTE(D1565," ","_")</f>
        <v>Gastos_custeados_por_captação</v>
      </c>
      <c r="S1565" s="697" t="s">
        <v>310</v>
      </c>
      <c r="T1565" s="697" t="s">
        <v>310</v>
      </c>
    </row>
    <row r="1566" spans="1:20" ht="60" x14ac:dyDescent="0.2">
      <c r="A1566" s="432">
        <f>IF(B1566="","",COUNT('Diário 1º PA'!$A$4:$A$2635)+COUNT('Diário 2º PA'!$A$4:$A$3040)+ROW()-3)</f>
        <v>5662</v>
      </c>
      <c r="B1566" s="413">
        <v>44812</v>
      </c>
      <c r="C1566" s="431">
        <v>44743</v>
      </c>
      <c r="D1566" s="419" t="s">
        <v>468</v>
      </c>
      <c r="E1566" s="419" t="s">
        <v>468</v>
      </c>
      <c r="F1566" s="425">
        <v>60.3</v>
      </c>
      <c r="G1566" s="427" t="s">
        <v>6654</v>
      </c>
      <c r="H1566" s="415" t="s">
        <v>468</v>
      </c>
      <c r="I1566" s="398" t="s">
        <v>764</v>
      </c>
      <c r="J1566" s="415" t="s">
        <v>310</v>
      </c>
      <c r="K1566" s="415" t="s">
        <v>1220</v>
      </c>
      <c r="L1566" s="415" t="s">
        <v>3443</v>
      </c>
      <c r="M1566" s="544">
        <v>222205631960</v>
      </c>
      <c r="N1566" s="413">
        <v>44812</v>
      </c>
      <c r="O1566" s="414" t="s">
        <v>405</v>
      </c>
      <c r="P1566" s="655">
        <f t="shared" si="88"/>
        <v>9</v>
      </c>
      <c r="Q1566" s="655">
        <f t="shared" si="89"/>
        <v>7</v>
      </c>
      <c r="R1566" s="695" t="str">
        <f t="shared" si="90"/>
        <v>Gastos_custeados_por_captação</v>
      </c>
      <c r="S1566" s="697" t="s">
        <v>310</v>
      </c>
      <c r="T1566" s="697" t="s">
        <v>310</v>
      </c>
    </row>
    <row r="1567" spans="1:20" ht="60" x14ac:dyDescent="0.2">
      <c r="A1567" s="432">
        <f>IF(B1567="","",COUNT('Diário 1º PA'!$A$4:$A$2635)+COUNT('Diário 2º PA'!$A$4:$A$3040)+ROW()-3)</f>
        <v>5663</v>
      </c>
      <c r="B1567" s="413">
        <v>44812</v>
      </c>
      <c r="C1567" s="431">
        <v>44774</v>
      </c>
      <c r="D1567" s="419" t="s">
        <v>468</v>
      </c>
      <c r="E1567" s="419" t="s">
        <v>468</v>
      </c>
      <c r="F1567" s="425">
        <v>489.95</v>
      </c>
      <c r="G1567" s="427" t="s">
        <v>6262</v>
      </c>
      <c r="H1567" s="415" t="s">
        <v>468</v>
      </c>
      <c r="I1567" s="398" t="s">
        <v>1811</v>
      </c>
      <c r="J1567" s="415" t="s">
        <v>6263</v>
      </c>
      <c r="K1567" s="418" t="s">
        <v>830</v>
      </c>
      <c r="L1567" s="399" t="s">
        <v>32</v>
      </c>
      <c r="M1567" s="418" t="s">
        <v>1935</v>
      </c>
      <c r="N1567" s="413">
        <v>44810</v>
      </c>
      <c r="O1567" s="414" t="s">
        <v>405</v>
      </c>
      <c r="P1567" s="655">
        <f t="shared" si="88"/>
        <v>9</v>
      </c>
      <c r="Q1567" s="655">
        <f t="shared" si="89"/>
        <v>8</v>
      </c>
      <c r="R1567" s="695" t="str">
        <f t="shared" si="90"/>
        <v>Gastos_custeados_por_captação</v>
      </c>
      <c r="S1567" s="697" t="s">
        <v>998</v>
      </c>
      <c r="T1567" s="697">
        <v>4236</v>
      </c>
    </row>
    <row r="1568" spans="1:20" ht="48" x14ac:dyDescent="0.2">
      <c r="A1568" s="432">
        <f>IF(B1568="","",COUNT('Diário 1º PA'!$A$4:$A$2635)+COUNT('Diário 2º PA'!$A$4:$A$3040)+ROW()-3)</f>
        <v>5664</v>
      </c>
      <c r="B1568" s="413">
        <v>44812</v>
      </c>
      <c r="C1568" s="431">
        <v>44743</v>
      </c>
      <c r="D1568" s="419" t="s">
        <v>468</v>
      </c>
      <c r="E1568" s="419" t="s">
        <v>468</v>
      </c>
      <c r="F1568" s="425">
        <v>160</v>
      </c>
      <c r="G1568" s="427" t="s">
        <v>6908</v>
      </c>
      <c r="H1568" s="415" t="s">
        <v>468</v>
      </c>
      <c r="I1568" s="398" t="s">
        <v>764</v>
      </c>
      <c r="J1568" s="418" t="s">
        <v>310</v>
      </c>
      <c r="K1568" s="418" t="s">
        <v>1220</v>
      </c>
      <c r="L1568" s="399" t="s">
        <v>3443</v>
      </c>
      <c r="M1568" s="544">
        <v>222205671326</v>
      </c>
      <c r="N1568" s="413">
        <v>44812</v>
      </c>
      <c r="O1568" s="414" t="s">
        <v>3762</v>
      </c>
      <c r="P1568" s="655">
        <f t="shared" si="88"/>
        <v>9</v>
      </c>
      <c r="Q1568" s="655">
        <f t="shared" si="89"/>
        <v>7</v>
      </c>
      <c r="R1568" s="695" t="str">
        <f t="shared" si="90"/>
        <v>Gastos_custeados_por_captação</v>
      </c>
      <c r="S1568" s="697" t="s">
        <v>310</v>
      </c>
      <c r="T1568" s="697" t="s">
        <v>310</v>
      </c>
    </row>
    <row r="1569" spans="1:20" ht="48" x14ac:dyDescent="0.2">
      <c r="A1569" s="432">
        <f>IF(B1569="","",COUNT('Diário 1º PA'!$A$4:$A$2635)+COUNT('Diário 2º PA'!$A$4:$A$3040)+ROW()-3)</f>
        <v>5665</v>
      </c>
      <c r="B1569" s="413">
        <v>44812</v>
      </c>
      <c r="C1569" s="431">
        <v>44743</v>
      </c>
      <c r="D1569" s="419" t="s">
        <v>468</v>
      </c>
      <c r="E1569" s="419" t="s">
        <v>468</v>
      </c>
      <c r="F1569" s="425">
        <v>56.44</v>
      </c>
      <c r="G1569" s="427" t="s">
        <v>6505</v>
      </c>
      <c r="H1569" s="415" t="s">
        <v>468</v>
      </c>
      <c r="I1569" s="398" t="s">
        <v>764</v>
      </c>
      <c r="J1569" s="418" t="s">
        <v>310</v>
      </c>
      <c r="K1569" s="418" t="s">
        <v>1220</v>
      </c>
      <c r="L1569" s="399" t="s">
        <v>3443</v>
      </c>
      <c r="M1569" s="544">
        <v>222205666322</v>
      </c>
      <c r="N1569" s="413">
        <v>44812</v>
      </c>
      <c r="O1569" s="414" t="s">
        <v>3762</v>
      </c>
      <c r="P1569" s="655">
        <f t="shared" si="88"/>
        <v>9</v>
      </c>
      <c r="Q1569" s="655">
        <f t="shared" si="89"/>
        <v>7</v>
      </c>
      <c r="R1569" s="695" t="str">
        <f t="shared" si="90"/>
        <v>Gastos_custeados_por_captação</v>
      </c>
      <c r="S1569" s="697" t="s">
        <v>310</v>
      </c>
      <c r="T1569" s="697" t="s">
        <v>310</v>
      </c>
    </row>
    <row r="1570" spans="1:20" ht="48" x14ac:dyDescent="0.2">
      <c r="A1570" s="432">
        <f>IF(B1570="","",COUNT('Diário 1º PA'!$A$4:$A$2635)+COUNT('Diário 2º PA'!$A$4:$A$3040)+ROW()-3)</f>
        <v>5666</v>
      </c>
      <c r="B1570" s="413">
        <v>44812</v>
      </c>
      <c r="C1570" s="431">
        <v>44743</v>
      </c>
      <c r="D1570" s="419" t="s">
        <v>468</v>
      </c>
      <c r="E1570" s="419" t="s">
        <v>468</v>
      </c>
      <c r="F1570" s="425">
        <v>160</v>
      </c>
      <c r="G1570" s="427" t="s">
        <v>6905</v>
      </c>
      <c r="H1570" s="415" t="s">
        <v>468</v>
      </c>
      <c r="I1570" s="398" t="s">
        <v>764</v>
      </c>
      <c r="J1570" s="418" t="s">
        <v>310</v>
      </c>
      <c r="K1570" s="418" t="s">
        <v>1220</v>
      </c>
      <c r="L1570" s="399" t="s">
        <v>3443</v>
      </c>
      <c r="M1570" s="544">
        <v>222205671598</v>
      </c>
      <c r="N1570" s="413">
        <v>44812</v>
      </c>
      <c r="O1570" s="414" t="s">
        <v>3762</v>
      </c>
      <c r="P1570" s="655">
        <f t="shared" si="88"/>
        <v>9</v>
      </c>
      <c r="Q1570" s="655">
        <f t="shared" si="89"/>
        <v>7</v>
      </c>
      <c r="R1570" s="695" t="str">
        <f t="shared" si="90"/>
        <v>Gastos_custeados_por_captação</v>
      </c>
      <c r="S1570" s="697" t="s">
        <v>310</v>
      </c>
      <c r="T1570" s="697" t="s">
        <v>310</v>
      </c>
    </row>
    <row r="1571" spans="1:20" ht="48" x14ac:dyDescent="0.2">
      <c r="A1571" s="432">
        <f>IF(B1571="","",COUNT('Diário 1º PA'!$A$4:$A$2635)+COUNT('Diário 2º PA'!$A$4:$A$3040)+ROW()-3)</f>
        <v>5667</v>
      </c>
      <c r="B1571" s="413">
        <v>44812</v>
      </c>
      <c r="C1571" s="431">
        <v>44743</v>
      </c>
      <c r="D1571" s="419" t="s">
        <v>468</v>
      </c>
      <c r="E1571" s="419" t="s">
        <v>468</v>
      </c>
      <c r="F1571" s="425">
        <v>160</v>
      </c>
      <c r="G1571" s="427" t="s">
        <v>6911</v>
      </c>
      <c r="H1571" s="415" t="s">
        <v>468</v>
      </c>
      <c r="I1571" s="398" t="s">
        <v>764</v>
      </c>
      <c r="J1571" s="418" t="s">
        <v>310</v>
      </c>
      <c r="K1571" s="418" t="s">
        <v>1220</v>
      </c>
      <c r="L1571" s="399" t="s">
        <v>3443</v>
      </c>
      <c r="M1571" s="544">
        <v>222205671750</v>
      </c>
      <c r="N1571" s="413">
        <v>44812</v>
      </c>
      <c r="O1571" s="414" t="s">
        <v>3762</v>
      </c>
      <c r="P1571" s="655">
        <f t="shared" si="88"/>
        <v>9</v>
      </c>
      <c r="Q1571" s="655">
        <f t="shared" si="89"/>
        <v>7</v>
      </c>
      <c r="R1571" s="695" t="str">
        <f t="shared" si="90"/>
        <v>Gastos_custeados_por_captação</v>
      </c>
      <c r="S1571" s="697" t="s">
        <v>310</v>
      </c>
      <c r="T1571" s="697" t="s">
        <v>310</v>
      </c>
    </row>
    <row r="1572" spans="1:20" ht="48" x14ac:dyDescent="0.2">
      <c r="A1572" s="432">
        <f>IF(B1572="","",COUNT('Diário 1º PA'!$A$4:$A$2635)+COUNT('Diário 2º PA'!$A$4:$A$3040)+ROW()-3)</f>
        <v>5668</v>
      </c>
      <c r="B1572" s="413">
        <v>44812</v>
      </c>
      <c r="C1572" s="431">
        <v>44743</v>
      </c>
      <c r="D1572" s="419" t="s">
        <v>468</v>
      </c>
      <c r="E1572" s="419" t="s">
        <v>468</v>
      </c>
      <c r="F1572" s="425">
        <v>5.8</v>
      </c>
      <c r="G1572" s="427" t="s">
        <v>6502</v>
      </c>
      <c r="H1572" s="415" t="s">
        <v>468</v>
      </c>
      <c r="I1572" s="398" t="s">
        <v>764</v>
      </c>
      <c r="J1572" s="418" t="s">
        <v>310</v>
      </c>
      <c r="K1572" s="418" t="s">
        <v>1220</v>
      </c>
      <c r="L1572" s="399" t="s">
        <v>3443</v>
      </c>
      <c r="M1572" s="544">
        <v>222205667051</v>
      </c>
      <c r="N1572" s="413">
        <v>44812</v>
      </c>
      <c r="O1572" s="414" t="s">
        <v>3762</v>
      </c>
      <c r="P1572" s="655">
        <f t="shared" si="88"/>
        <v>9</v>
      </c>
      <c r="Q1572" s="655">
        <f t="shared" si="89"/>
        <v>7</v>
      </c>
      <c r="R1572" s="695" t="str">
        <f t="shared" si="90"/>
        <v>Gastos_custeados_por_captação</v>
      </c>
      <c r="S1572" s="697" t="s">
        <v>310</v>
      </c>
      <c r="T1572" s="697" t="s">
        <v>310</v>
      </c>
    </row>
    <row r="1573" spans="1:20" ht="48" x14ac:dyDescent="0.2">
      <c r="A1573" s="432">
        <f>IF(B1573="","",COUNT('Diário 1º PA'!$A$4:$A$2635)+COUNT('Diário 2º PA'!$A$4:$A$3040)+ROW()-3)</f>
        <v>5669</v>
      </c>
      <c r="B1573" s="413">
        <v>44812</v>
      </c>
      <c r="C1573" s="431">
        <v>44743</v>
      </c>
      <c r="D1573" s="419" t="s">
        <v>468</v>
      </c>
      <c r="E1573" s="419" t="s">
        <v>468</v>
      </c>
      <c r="F1573" s="425">
        <v>27.5</v>
      </c>
      <c r="G1573" s="427" t="s">
        <v>6513</v>
      </c>
      <c r="H1573" s="415" t="s">
        <v>468</v>
      </c>
      <c r="I1573" s="398" t="s">
        <v>764</v>
      </c>
      <c r="J1573" s="418" t="s">
        <v>310</v>
      </c>
      <c r="K1573" s="418" t="s">
        <v>1220</v>
      </c>
      <c r="L1573" s="399" t="s">
        <v>3443</v>
      </c>
      <c r="M1573" s="544">
        <v>222205667485</v>
      </c>
      <c r="N1573" s="413">
        <v>44812</v>
      </c>
      <c r="O1573" s="414" t="s">
        <v>3762</v>
      </c>
      <c r="P1573" s="655">
        <f t="shared" si="88"/>
        <v>9</v>
      </c>
      <c r="Q1573" s="655">
        <f t="shared" si="89"/>
        <v>7</v>
      </c>
      <c r="R1573" s="695" t="str">
        <f t="shared" si="90"/>
        <v>Gastos_custeados_por_captação</v>
      </c>
      <c r="S1573" s="697" t="s">
        <v>310</v>
      </c>
      <c r="T1573" s="697" t="s">
        <v>310</v>
      </c>
    </row>
    <row r="1574" spans="1:20" ht="48" x14ac:dyDescent="0.2">
      <c r="A1574" s="432">
        <f>IF(B1574="","",COUNT('Diário 1º PA'!$A$4:$A$2635)+COUNT('Diário 2º PA'!$A$4:$A$3040)+ROW()-3)</f>
        <v>5670</v>
      </c>
      <c r="B1574" s="413">
        <v>44812</v>
      </c>
      <c r="C1574" s="431">
        <v>44743</v>
      </c>
      <c r="D1574" s="419" t="s">
        <v>468</v>
      </c>
      <c r="E1574" s="419" t="s">
        <v>468</v>
      </c>
      <c r="F1574" s="425">
        <v>100</v>
      </c>
      <c r="G1574" s="427" t="s">
        <v>6509</v>
      </c>
      <c r="H1574" s="415" t="s">
        <v>468</v>
      </c>
      <c r="I1574" s="398" t="s">
        <v>764</v>
      </c>
      <c r="J1574" s="418" t="s">
        <v>310</v>
      </c>
      <c r="K1574" s="418" t="s">
        <v>1220</v>
      </c>
      <c r="L1574" s="399" t="s">
        <v>3443</v>
      </c>
      <c r="M1574" s="544">
        <v>222205666080</v>
      </c>
      <c r="N1574" s="413">
        <v>44812</v>
      </c>
      <c r="O1574" s="414" t="s">
        <v>3762</v>
      </c>
      <c r="P1574" s="655">
        <f t="shared" si="88"/>
        <v>9</v>
      </c>
      <c r="Q1574" s="655">
        <f t="shared" si="89"/>
        <v>7</v>
      </c>
      <c r="R1574" s="695" t="str">
        <f t="shared" si="90"/>
        <v>Gastos_custeados_por_captação</v>
      </c>
      <c r="S1574" s="697" t="s">
        <v>310</v>
      </c>
      <c r="T1574" s="697" t="s">
        <v>310</v>
      </c>
    </row>
    <row r="1575" spans="1:20" ht="48" x14ac:dyDescent="0.2">
      <c r="A1575" s="432">
        <f>IF(B1575="","",COUNT('Diário 1º PA'!$A$4:$A$2635)+COUNT('Diário 2º PA'!$A$4:$A$3040)+ROW()-3)</f>
        <v>5671</v>
      </c>
      <c r="B1575" s="413">
        <v>44812</v>
      </c>
      <c r="C1575" s="431">
        <v>44743</v>
      </c>
      <c r="D1575" s="419" t="s">
        <v>468</v>
      </c>
      <c r="E1575" s="419" t="s">
        <v>468</v>
      </c>
      <c r="F1575" s="425">
        <v>45</v>
      </c>
      <c r="G1575" s="427" t="s">
        <v>6522</v>
      </c>
      <c r="H1575" s="415" t="s">
        <v>468</v>
      </c>
      <c r="I1575" s="398" t="s">
        <v>764</v>
      </c>
      <c r="J1575" s="418" t="s">
        <v>310</v>
      </c>
      <c r="K1575" s="418" t="s">
        <v>1220</v>
      </c>
      <c r="L1575" s="399" t="s">
        <v>3443</v>
      </c>
      <c r="M1575" s="544">
        <v>222205668295</v>
      </c>
      <c r="N1575" s="413">
        <v>44812</v>
      </c>
      <c r="O1575" s="414" t="s">
        <v>3762</v>
      </c>
      <c r="P1575" s="655">
        <f t="shared" si="88"/>
        <v>9</v>
      </c>
      <c r="Q1575" s="655">
        <f t="shared" si="89"/>
        <v>7</v>
      </c>
      <c r="R1575" s="695" t="str">
        <f t="shared" si="90"/>
        <v>Gastos_custeados_por_captação</v>
      </c>
      <c r="S1575" s="697" t="s">
        <v>310</v>
      </c>
      <c r="T1575" s="697" t="s">
        <v>310</v>
      </c>
    </row>
    <row r="1576" spans="1:20" ht="48" x14ac:dyDescent="0.2">
      <c r="A1576" s="432">
        <f>IF(B1576="","",COUNT('Diário 1º PA'!$A$4:$A$2635)+COUNT('Diário 2º PA'!$A$4:$A$3040)+ROW()-3)</f>
        <v>5672</v>
      </c>
      <c r="B1576" s="413">
        <v>44812</v>
      </c>
      <c r="C1576" s="431">
        <v>44743</v>
      </c>
      <c r="D1576" s="419" t="s">
        <v>468</v>
      </c>
      <c r="E1576" s="419" t="s">
        <v>468</v>
      </c>
      <c r="F1576" s="425">
        <v>50</v>
      </c>
      <c r="G1576" s="427" t="s">
        <v>6508</v>
      </c>
      <c r="H1576" s="415" t="s">
        <v>468</v>
      </c>
      <c r="I1576" s="398" t="s">
        <v>764</v>
      </c>
      <c r="J1576" s="418" t="s">
        <v>310</v>
      </c>
      <c r="K1576" s="418" t="s">
        <v>1220</v>
      </c>
      <c r="L1576" s="399" t="s">
        <v>3443</v>
      </c>
      <c r="M1576" s="544">
        <v>222205666837</v>
      </c>
      <c r="N1576" s="413">
        <v>44812</v>
      </c>
      <c r="O1576" s="414" t="s">
        <v>3762</v>
      </c>
      <c r="P1576" s="655">
        <f t="shared" si="88"/>
        <v>9</v>
      </c>
      <c r="Q1576" s="655">
        <f t="shared" si="89"/>
        <v>7</v>
      </c>
      <c r="R1576" s="695" t="str">
        <f t="shared" si="90"/>
        <v>Gastos_custeados_por_captação</v>
      </c>
      <c r="S1576" s="697" t="s">
        <v>310</v>
      </c>
      <c r="T1576" s="697" t="s">
        <v>310</v>
      </c>
    </row>
    <row r="1577" spans="1:20" ht="48" x14ac:dyDescent="0.2">
      <c r="A1577" s="432">
        <f>IF(B1577="","",COUNT('Diário 1º PA'!$A$4:$A$2635)+COUNT('Diário 2º PA'!$A$4:$A$3040)+ROW()-3)</f>
        <v>5673</v>
      </c>
      <c r="B1577" s="413">
        <v>44812</v>
      </c>
      <c r="C1577" s="431">
        <v>44743</v>
      </c>
      <c r="D1577" s="419" t="s">
        <v>468</v>
      </c>
      <c r="E1577" s="419" t="s">
        <v>468</v>
      </c>
      <c r="F1577" s="425">
        <v>50</v>
      </c>
      <c r="G1577" s="427" t="s">
        <v>6519</v>
      </c>
      <c r="H1577" s="415" t="s">
        <v>468</v>
      </c>
      <c r="I1577" s="398" t="s">
        <v>764</v>
      </c>
      <c r="J1577" s="418" t="s">
        <v>310</v>
      </c>
      <c r="K1577" s="418" t="s">
        <v>1220</v>
      </c>
      <c r="L1577" s="399" t="s">
        <v>3443</v>
      </c>
      <c r="M1577" s="544">
        <v>222205667132</v>
      </c>
      <c r="N1577" s="413">
        <v>44812</v>
      </c>
      <c r="O1577" s="414" t="s">
        <v>3762</v>
      </c>
      <c r="P1577" s="655">
        <f t="shared" si="88"/>
        <v>9</v>
      </c>
      <c r="Q1577" s="655">
        <f t="shared" si="89"/>
        <v>7</v>
      </c>
      <c r="R1577" s="695" t="str">
        <f t="shared" si="90"/>
        <v>Gastos_custeados_por_captação</v>
      </c>
      <c r="S1577" s="697" t="s">
        <v>310</v>
      </c>
      <c r="T1577" s="697" t="s">
        <v>310</v>
      </c>
    </row>
    <row r="1578" spans="1:20" ht="48" x14ac:dyDescent="0.2">
      <c r="A1578" s="432">
        <f>IF(B1578="","",COUNT('Diário 1º PA'!$A$4:$A$2635)+COUNT('Diário 2º PA'!$A$4:$A$3040)+ROW()-3)</f>
        <v>5674</v>
      </c>
      <c r="B1578" s="413">
        <v>44812</v>
      </c>
      <c r="C1578" s="431">
        <v>44743</v>
      </c>
      <c r="D1578" s="419" t="s">
        <v>468</v>
      </c>
      <c r="E1578" s="419" t="s">
        <v>468</v>
      </c>
      <c r="F1578" s="425">
        <v>892.5</v>
      </c>
      <c r="G1578" s="427" t="s">
        <v>6511</v>
      </c>
      <c r="H1578" s="415" t="s">
        <v>468</v>
      </c>
      <c r="I1578" s="398" t="s">
        <v>764</v>
      </c>
      <c r="J1578" s="418" t="s">
        <v>310</v>
      </c>
      <c r="K1578" s="418" t="s">
        <v>1220</v>
      </c>
      <c r="L1578" s="399" t="s">
        <v>3443</v>
      </c>
      <c r="M1578" s="544">
        <v>222205667809</v>
      </c>
      <c r="N1578" s="413">
        <v>44812</v>
      </c>
      <c r="O1578" s="414" t="s">
        <v>3762</v>
      </c>
      <c r="P1578" s="655">
        <f t="shared" si="88"/>
        <v>9</v>
      </c>
      <c r="Q1578" s="655">
        <f t="shared" si="89"/>
        <v>7</v>
      </c>
      <c r="R1578" s="695" t="str">
        <f t="shared" si="90"/>
        <v>Gastos_custeados_por_captação</v>
      </c>
      <c r="S1578" s="697" t="s">
        <v>310</v>
      </c>
      <c r="T1578" s="697" t="s">
        <v>310</v>
      </c>
    </row>
    <row r="1579" spans="1:20" ht="48" x14ac:dyDescent="0.2">
      <c r="A1579" s="432">
        <f>IF(B1579="","",COUNT('Diário 1º PA'!$A$4:$A$2635)+COUNT('Diário 2º PA'!$A$4:$A$3040)+ROW()-3)</f>
        <v>5675</v>
      </c>
      <c r="B1579" s="413">
        <v>44812</v>
      </c>
      <c r="C1579" s="431">
        <v>44743</v>
      </c>
      <c r="D1579" s="419" t="s">
        <v>468</v>
      </c>
      <c r="E1579" s="419" t="s">
        <v>468</v>
      </c>
      <c r="F1579" s="425">
        <v>55.27</v>
      </c>
      <c r="G1579" s="427" t="s">
        <v>6517</v>
      </c>
      <c r="H1579" s="415" t="s">
        <v>468</v>
      </c>
      <c r="I1579" s="398" t="s">
        <v>764</v>
      </c>
      <c r="J1579" s="418" t="s">
        <v>310</v>
      </c>
      <c r="K1579" s="418" t="s">
        <v>1220</v>
      </c>
      <c r="L1579" s="399" t="s">
        <v>3443</v>
      </c>
      <c r="M1579" s="544">
        <v>222205668457</v>
      </c>
      <c r="N1579" s="413">
        <v>44812</v>
      </c>
      <c r="O1579" s="414" t="s">
        <v>3762</v>
      </c>
      <c r="P1579" s="655">
        <f t="shared" si="88"/>
        <v>9</v>
      </c>
      <c r="Q1579" s="655">
        <f t="shared" si="89"/>
        <v>7</v>
      </c>
      <c r="R1579" s="695" t="str">
        <f t="shared" si="90"/>
        <v>Gastos_custeados_por_captação</v>
      </c>
      <c r="S1579" s="697" t="s">
        <v>310</v>
      </c>
      <c r="T1579" s="697" t="s">
        <v>310</v>
      </c>
    </row>
    <row r="1580" spans="1:20" ht="48" x14ac:dyDescent="0.2">
      <c r="A1580" s="432">
        <f>IF(B1580="","",COUNT('Diário 1º PA'!$A$4:$A$2635)+COUNT('Diário 2º PA'!$A$4:$A$3040)+ROW()-3)</f>
        <v>5676</v>
      </c>
      <c r="B1580" s="413">
        <v>44812</v>
      </c>
      <c r="C1580" s="431">
        <v>44713</v>
      </c>
      <c r="D1580" s="419" t="s">
        <v>468</v>
      </c>
      <c r="E1580" s="419" t="s">
        <v>468</v>
      </c>
      <c r="F1580" s="425">
        <v>196.95</v>
      </c>
      <c r="G1580" s="427" t="s">
        <v>6890</v>
      </c>
      <c r="H1580" s="415" t="s">
        <v>468</v>
      </c>
      <c r="I1580" s="398" t="s">
        <v>764</v>
      </c>
      <c r="J1580" s="418" t="s">
        <v>310</v>
      </c>
      <c r="K1580" s="418" t="s">
        <v>1220</v>
      </c>
      <c r="L1580" s="399" t="s">
        <v>3443</v>
      </c>
      <c r="M1580" s="544">
        <v>222205627424</v>
      </c>
      <c r="N1580" s="413">
        <v>44812</v>
      </c>
      <c r="O1580" s="414" t="s">
        <v>408</v>
      </c>
      <c r="P1580" s="655">
        <f t="shared" si="88"/>
        <v>9</v>
      </c>
      <c r="Q1580" s="655">
        <f t="shared" si="89"/>
        <v>6</v>
      </c>
      <c r="R1580" s="695" t="str">
        <f t="shared" si="90"/>
        <v>Gastos_custeados_por_captação</v>
      </c>
      <c r="S1580" s="697" t="s">
        <v>310</v>
      </c>
      <c r="T1580" s="697" t="s">
        <v>310</v>
      </c>
    </row>
    <row r="1581" spans="1:20" ht="36" x14ac:dyDescent="0.2">
      <c r="A1581" s="432">
        <f>IF(B1581="","",COUNT('Diário 1º PA'!$A$4:$A$2635)+COUNT('Diário 2º PA'!$A$4:$A$3040)+ROW()-3)</f>
        <v>5677</v>
      </c>
      <c r="B1581" s="413">
        <v>44812</v>
      </c>
      <c r="C1581" s="431">
        <v>44713</v>
      </c>
      <c r="D1581" s="419" t="s">
        <v>468</v>
      </c>
      <c r="E1581" s="419" t="s">
        <v>468</v>
      </c>
      <c r="F1581" s="425">
        <v>12.06</v>
      </c>
      <c r="G1581" s="427" t="s">
        <v>6891</v>
      </c>
      <c r="H1581" s="415" t="s">
        <v>468</v>
      </c>
      <c r="I1581" s="398" t="s">
        <v>764</v>
      </c>
      <c r="J1581" s="418" t="s">
        <v>310</v>
      </c>
      <c r="K1581" s="418" t="s">
        <v>1220</v>
      </c>
      <c r="L1581" s="399" t="s">
        <v>3443</v>
      </c>
      <c r="M1581" s="544">
        <v>222205627505</v>
      </c>
      <c r="N1581" s="413">
        <v>44812</v>
      </c>
      <c r="O1581" s="414" t="s">
        <v>408</v>
      </c>
      <c r="P1581" s="655">
        <f t="shared" si="88"/>
        <v>9</v>
      </c>
      <c r="Q1581" s="655">
        <f t="shared" si="89"/>
        <v>6</v>
      </c>
      <c r="R1581" s="695" t="str">
        <f t="shared" si="90"/>
        <v>Gastos_custeados_por_captação</v>
      </c>
      <c r="S1581" s="697" t="s">
        <v>310</v>
      </c>
      <c r="T1581" s="697" t="s">
        <v>310</v>
      </c>
    </row>
    <row r="1582" spans="1:20" ht="36" x14ac:dyDescent="0.2">
      <c r="A1582" s="432">
        <f>IF(B1582="","",COUNT('Diário 1º PA'!$A$4:$A$2635)+COUNT('Diário 2º PA'!$A$4:$A$3040)+ROW()-3)</f>
        <v>5678</v>
      </c>
      <c r="B1582" s="413">
        <v>44812</v>
      </c>
      <c r="C1582" s="431">
        <v>44743</v>
      </c>
      <c r="D1582" s="419" t="s">
        <v>468</v>
      </c>
      <c r="E1582" s="419" t="s">
        <v>468</v>
      </c>
      <c r="F1582" s="425">
        <v>114.57</v>
      </c>
      <c r="G1582" s="427" t="s">
        <v>6830</v>
      </c>
      <c r="H1582" s="415" t="s">
        <v>468</v>
      </c>
      <c r="I1582" s="398" t="s">
        <v>764</v>
      </c>
      <c r="J1582" s="418" t="s">
        <v>310</v>
      </c>
      <c r="K1582" s="418" t="s">
        <v>1220</v>
      </c>
      <c r="L1582" s="399" t="s">
        <v>3443</v>
      </c>
      <c r="M1582" s="544">
        <v>222205627009</v>
      </c>
      <c r="N1582" s="413">
        <v>44812</v>
      </c>
      <c r="O1582" s="414" t="s">
        <v>408</v>
      </c>
      <c r="P1582" s="655">
        <f t="shared" si="88"/>
        <v>9</v>
      </c>
      <c r="Q1582" s="655">
        <f t="shared" si="89"/>
        <v>7</v>
      </c>
      <c r="R1582" s="695" t="str">
        <f t="shared" si="90"/>
        <v>Gastos_custeados_por_captação</v>
      </c>
      <c r="S1582" s="697" t="s">
        <v>310</v>
      </c>
      <c r="T1582" s="697" t="s">
        <v>310</v>
      </c>
    </row>
    <row r="1583" spans="1:20" ht="36" x14ac:dyDescent="0.2">
      <c r="A1583" s="432">
        <f>IF(B1583="","",COUNT('Diário 1º PA'!$A$4:$A$2635)+COUNT('Diário 2º PA'!$A$4:$A$3040)+ROW()-3)</f>
        <v>5679</v>
      </c>
      <c r="B1583" s="413">
        <v>44812</v>
      </c>
      <c r="C1583" s="431">
        <v>44743</v>
      </c>
      <c r="D1583" s="419" t="s">
        <v>468</v>
      </c>
      <c r="E1583" s="419" t="s">
        <v>468</v>
      </c>
      <c r="F1583" s="425">
        <v>88.44</v>
      </c>
      <c r="G1583" s="427" t="s">
        <v>6489</v>
      </c>
      <c r="H1583" s="415" t="s">
        <v>468</v>
      </c>
      <c r="I1583" s="398" t="s">
        <v>764</v>
      </c>
      <c r="J1583" s="418" t="s">
        <v>310</v>
      </c>
      <c r="K1583" s="418" t="s">
        <v>1220</v>
      </c>
      <c r="L1583" s="399" t="s">
        <v>3443</v>
      </c>
      <c r="M1583" s="544">
        <v>222205626614</v>
      </c>
      <c r="N1583" s="413">
        <v>44812</v>
      </c>
      <c r="O1583" s="414" t="s">
        <v>408</v>
      </c>
      <c r="P1583" s="655">
        <f t="shared" si="88"/>
        <v>9</v>
      </c>
      <c r="Q1583" s="655">
        <f t="shared" si="89"/>
        <v>7</v>
      </c>
      <c r="R1583" s="695" t="str">
        <f t="shared" si="90"/>
        <v>Gastos_custeados_por_captação</v>
      </c>
      <c r="S1583" s="697" t="s">
        <v>310</v>
      </c>
      <c r="T1583" s="697" t="s">
        <v>310</v>
      </c>
    </row>
    <row r="1584" spans="1:20" ht="36" x14ac:dyDescent="0.2">
      <c r="A1584" s="432">
        <f>IF(B1584="","",COUNT('Diário 1º PA'!$A$4:$A$2635)+COUNT('Diário 2º PA'!$A$4:$A$3040)+ROW()-3)</f>
        <v>5680</v>
      </c>
      <c r="B1584" s="413">
        <v>44812</v>
      </c>
      <c r="C1584" s="431">
        <v>44743</v>
      </c>
      <c r="D1584" s="419" t="s">
        <v>468</v>
      </c>
      <c r="E1584" s="419" t="s">
        <v>468</v>
      </c>
      <c r="F1584" s="425">
        <v>220</v>
      </c>
      <c r="G1584" s="427" t="s">
        <v>6832</v>
      </c>
      <c r="H1584" s="415" t="s">
        <v>468</v>
      </c>
      <c r="I1584" s="398" t="s">
        <v>764</v>
      </c>
      <c r="J1584" s="418" t="s">
        <v>310</v>
      </c>
      <c r="K1584" s="418" t="s">
        <v>1220</v>
      </c>
      <c r="L1584" s="399" t="s">
        <v>3443</v>
      </c>
      <c r="M1584" s="544">
        <v>222205627262</v>
      </c>
      <c r="N1584" s="413">
        <v>44812</v>
      </c>
      <c r="O1584" s="414" t="s">
        <v>408</v>
      </c>
      <c r="P1584" s="655">
        <f t="shared" si="88"/>
        <v>9</v>
      </c>
      <c r="Q1584" s="655">
        <f t="shared" si="89"/>
        <v>7</v>
      </c>
      <c r="R1584" s="695" t="str">
        <f t="shared" si="90"/>
        <v>Gastos_custeados_por_captação</v>
      </c>
      <c r="S1584" s="697" t="s">
        <v>310</v>
      </c>
      <c r="T1584" s="697" t="s">
        <v>310</v>
      </c>
    </row>
    <row r="1585" spans="1:20" ht="72" x14ac:dyDescent="0.2">
      <c r="A1585" s="432">
        <f>IF(B1585="","",COUNT('Diário 1º PA'!$A$4:$A$2635)+COUNT('Diário 2º PA'!$A$4:$A$3040)+ROW()-3)</f>
        <v>5681</v>
      </c>
      <c r="B1585" s="413">
        <v>44812</v>
      </c>
      <c r="C1585" s="431">
        <v>44774</v>
      </c>
      <c r="D1585" s="419" t="s">
        <v>468</v>
      </c>
      <c r="E1585" s="419" t="s">
        <v>468</v>
      </c>
      <c r="F1585" s="425">
        <v>39.56</v>
      </c>
      <c r="G1585" s="427" t="s">
        <v>6897</v>
      </c>
      <c r="H1585" s="415" t="s">
        <v>468</v>
      </c>
      <c r="I1585" s="427" t="s">
        <v>764</v>
      </c>
      <c r="J1585" s="415" t="s">
        <v>310</v>
      </c>
      <c r="K1585" s="415" t="s">
        <v>1220</v>
      </c>
      <c r="L1585" s="415" t="s">
        <v>3443</v>
      </c>
      <c r="M1585" s="544">
        <v>222205644604</v>
      </c>
      <c r="N1585" s="413">
        <v>44812</v>
      </c>
      <c r="O1585" s="414" t="s">
        <v>402</v>
      </c>
      <c r="P1585" s="655">
        <f t="shared" si="88"/>
        <v>9</v>
      </c>
      <c r="Q1585" s="655">
        <f t="shared" si="89"/>
        <v>8</v>
      </c>
      <c r="R1585" s="695" t="str">
        <f t="shared" si="90"/>
        <v>Gastos_custeados_por_captação</v>
      </c>
      <c r="S1585" s="697" t="s">
        <v>310</v>
      </c>
      <c r="T1585" s="697" t="s">
        <v>310</v>
      </c>
    </row>
    <row r="1586" spans="1:20" ht="72" x14ac:dyDescent="0.2">
      <c r="A1586" s="432">
        <f>IF(B1586="","",COUNT('Diário 1º PA'!$A$4:$A$2635)+COUNT('Diário 2º PA'!$A$4:$A$3040)+ROW()-3)</f>
        <v>5682</v>
      </c>
      <c r="B1586" s="413">
        <v>44812</v>
      </c>
      <c r="C1586" s="431">
        <v>44774</v>
      </c>
      <c r="D1586" s="419" t="s">
        <v>468</v>
      </c>
      <c r="E1586" s="419" t="s">
        <v>468</v>
      </c>
      <c r="F1586" s="425">
        <v>5.64</v>
      </c>
      <c r="G1586" s="427" t="s">
        <v>6638</v>
      </c>
      <c r="H1586" s="415" t="s">
        <v>468</v>
      </c>
      <c r="I1586" s="427" t="s">
        <v>764</v>
      </c>
      <c r="J1586" s="415" t="s">
        <v>310</v>
      </c>
      <c r="K1586" s="415" t="s">
        <v>1220</v>
      </c>
      <c r="L1586" s="415" t="s">
        <v>3443</v>
      </c>
      <c r="M1586" s="544">
        <v>222205642733</v>
      </c>
      <c r="N1586" s="413">
        <v>44812</v>
      </c>
      <c r="O1586" s="414" t="s">
        <v>407</v>
      </c>
      <c r="P1586" s="655">
        <f t="shared" si="88"/>
        <v>9</v>
      </c>
      <c r="Q1586" s="655">
        <f t="shared" si="89"/>
        <v>8</v>
      </c>
      <c r="R1586" s="695" t="str">
        <f t="shared" si="90"/>
        <v>Gastos_custeados_por_captação</v>
      </c>
      <c r="S1586" s="697" t="s">
        <v>310</v>
      </c>
      <c r="T1586" s="697" t="s">
        <v>310</v>
      </c>
    </row>
    <row r="1587" spans="1:20" ht="84" x14ac:dyDescent="0.2">
      <c r="A1587" s="432">
        <f>IF(B1587="","",COUNT('Diário 1º PA'!$A$4:$A$2635)+COUNT('Diário 2º PA'!$A$4:$A$3040)+ROW()-3)</f>
        <v>5683</v>
      </c>
      <c r="B1587" s="414">
        <v>44813</v>
      </c>
      <c r="C1587" s="431">
        <v>44774</v>
      </c>
      <c r="D1587" s="415" t="s">
        <v>271</v>
      </c>
      <c r="E1587" s="415" t="s">
        <v>186</v>
      </c>
      <c r="F1587" s="435">
        <v>-1901.52</v>
      </c>
      <c r="G1587" s="437" t="s">
        <v>3362</v>
      </c>
      <c r="H1587" s="434" t="s">
        <v>309</v>
      </c>
      <c r="I1587" s="474" t="s">
        <v>795</v>
      </c>
      <c r="J1587" s="434" t="s">
        <v>796</v>
      </c>
      <c r="K1587" s="434" t="s">
        <v>797</v>
      </c>
      <c r="L1587" s="434" t="s">
        <v>798</v>
      </c>
      <c r="M1587" s="436" t="s">
        <v>310</v>
      </c>
      <c r="N1587" s="414">
        <v>44813</v>
      </c>
      <c r="O1587" s="414" t="s">
        <v>400</v>
      </c>
      <c r="P1587" s="655">
        <f t="shared" si="88"/>
        <v>9</v>
      </c>
      <c r="Q1587" s="655">
        <f t="shared" si="89"/>
        <v>8</v>
      </c>
      <c r="R1587" s="695" t="str">
        <f t="shared" si="90"/>
        <v>Gastos_Gerais</v>
      </c>
      <c r="S1587" s="697" t="s">
        <v>310</v>
      </c>
      <c r="T1587" s="697" t="s">
        <v>310</v>
      </c>
    </row>
    <row r="1588" spans="1:20" ht="48" x14ac:dyDescent="0.2">
      <c r="A1588" s="432">
        <f>IF(B1588="","",COUNT('Diário 1º PA'!$A$4:$A$2635)+COUNT('Diário 2º PA'!$A$4:$A$3040)+ROW()-3)</f>
        <v>5684</v>
      </c>
      <c r="B1588" s="414">
        <v>44813</v>
      </c>
      <c r="C1588" s="433">
        <v>44774</v>
      </c>
      <c r="D1588" s="415" t="s">
        <v>271</v>
      </c>
      <c r="E1588" s="415" t="s">
        <v>2</v>
      </c>
      <c r="F1588" s="435">
        <v>-2750.01</v>
      </c>
      <c r="G1588" s="427" t="s">
        <v>7130</v>
      </c>
      <c r="H1588" s="415" t="s">
        <v>309</v>
      </c>
      <c r="I1588" s="473" t="s">
        <v>795</v>
      </c>
      <c r="J1588" s="415" t="s">
        <v>796</v>
      </c>
      <c r="K1588" s="415" t="s">
        <v>797</v>
      </c>
      <c r="L1588" s="415" t="s">
        <v>798</v>
      </c>
      <c r="M1588" s="415" t="s">
        <v>310</v>
      </c>
      <c r="N1588" s="414">
        <v>44753</v>
      </c>
      <c r="O1588" s="414" t="s">
        <v>400</v>
      </c>
      <c r="P1588" s="655">
        <f t="shared" si="88"/>
        <v>9</v>
      </c>
      <c r="Q1588" s="655">
        <f t="shared" si="89"/>
        <v>8</v>
      </c>
      <c r="R1588" s="695" t="str">
        <f t="shared" si="90"/>
        <v>Gastos_Gerais</v>
      </c>
      <c r="S1588" s="697" t="s">
        <v>310</v>
      </c>
      <c r="T1588" s="697" t="s">
        <v>310</v>
      </c>
    </row>
    <row r="1589" spans="1:20" ht="36" x14ac:dyDescent="0.2">
      <c r="A1589" s="432">
        <f>IF(B1589="","",COUNT('Diário 1º PA'!$A$4:$A$2635)+COUNT('Diário 2º PA'!$A$4:$A$3040)+ROW()-3)</f>
        <v>5685</v>
      </c>
      <c r="B1589" s="414">
        <v>44813</v>
      </c>
      <c r="C1589" s="433">
        <v>44774</v>
      </c>
      <c r="D1589" s="415" t="s">
        <v>271</v>
      </c>
      <c r="E1589" s="415" t="s">
        <v>3</v>
      </c>
      <c r="F1589" s="425">
        <v>-451.27</v>
      </c>
      <c r="G1589" s="427" t="s">
        <v>7131</v>
      </c>
      <c r="H1589" s="415" t="s">
        <v>309</v>
      </c>
      <c r="I1589" s="427" t="s">
        <v>795</v>
      </c>
      <c r="J1589" s="415" t="s">
        <v>796</v>
      </c>
      <c r="K1589" s="415" t="s">
        <v>797</v>
      </c>
      <c r="L1589" s="415" t="s">
        <v>798</v>
      </c>
      <c r="M1589" s="415" t="s">
        <v>310</v>
      </c>
      <c r="N1589" s="414">
        <v>44813</v>
      </c>
      <c r="O1589" s="414" t="s">
        <v>400</v>
      </c>
      <c r="P1589" s="655">
        <f t="shared" si="88"/>
        <v>9</v>
      </c>
      <c r="Q1589" s="655">
        <f t="shared" si="89"/>
        <v>8</v>
      </c>
      <c r="R1589" s="695" t="str">
        <f t="shared" si="90"/>
        <v>Gastos_Gerais</v>
      </c>
      <c r="S1589" s="697" t="s">
        <v>310</v>
      </c>
      <c r="T1589" s="697" t="s">
        <v>310</v>
      </c>
    </row>
    <row r="1590" spans="1:20" ht="36" x14ac:dyDescent="0.2">
      <c r="A1590" s="432">
        <f>IF(B1590="","",COUNT('Diário 1º PA'!$A$4:$A$2635)+COUNT('Diário 2º PA'!$A$4:$A$3040)+ROW()-3)</f>
        <v>5686</v>
      </c>
      <c r="B1590" s="414">
        <v>44813</v>
      </c>
      <c r="C1590" s="433">
        <v>44805</v>
      </c>
      <c r="D1590" s="415" t="s">
        <v>34</v>
      </c>
      <c r="E1590" s="415" t="s">
        <v>167</v>
      </c>
      <c r="F1590" s="422">
        <v>50</v>
      </c>
      <c r="G1590" s="427" t="s">
        <v>7132</v>
      </c>
      <c r="H1590" s="415" t="s">
        <v>310</v>
      </c>
      <c r="I1590" s="427" t="s">
        <v>795</v>
      </c>
      <c r="J1590" s="415" t="s">
        <v>796</v>
      </c>
      <c r="K1590" s="415" t="s">
        <v>797</v>
      </c>
      <c r="L1590" s="415" t="s">
        <v>798</v>
      </c>
      <c r="M1590" s="415" t="s">
        <v>310</v>
      </c>
      <c r="N1590" s="414">
        <v>44813</v>
      </c>
      <c r="O1590" s="414" t="s">
        <v>400</v>
      </c>
      <c r="P1590" s="655">
        <f t="shared" si="88"/>
        <v>9</v>
      </c>
      <c r="Q1590" s="655">
        <f t="shared" si="89"/>
        <v>9</v>
      </c>
      <c r="R1590" s="695" t="str">
        <f t="shared" si="90"/>
        <v>Receitas</v>
      </c>
      <c r="S1590" s="697" t="s">
        <v>310</v>
      </c>
      <c r="T1590" s="697" t="s">
        <v>310</v>
      </c>
    </row>
    <row r="1591" spans="1:20" ht="48" x14ac:dyDescent="0.2">
      <c r="A1591" s="432">
        <f>IF(B1591="","",COUNT('Diário 1º PA'!$A$4:$A$2635)+COUNT('Diário 2º PA'!$A$4:$A$3040)+ROW()-3)</f>
        <v>5687</v>
      </c>
      <c r="B1591" s="414">
        <v>44813</v>
      </c>
      <c r="C1591" s="431">
        <v>44774</v>
      </c>
      <c r="D1591" s="415" t="s">
        <v>271</v>
      </c>
      <c r="E1591" s="415" t="s">
        <v>453</v>
      </c>
      <c r="F1591" s="422">
        <v>584.79999999999995</v>
      </c>
      <c r="G1591" s="427" t="s">
        <v>6711</v>
      </c>
      <c r="H1591" s="415" t="s">
        <v>748</v>
      </c>
      <c r="I1591" s="415" t="s">
        <v>7133</v>
      </c>
      <c r="J1591" s="415" t="s">
        <v>6712</v>
      </c>
      <c r="K1591" s="419" t="s">
        <v>806</v>
      </c>
      <c r="L1591" s="415" t="s">
        <v>839</v>
      </c>
      <c r="M1591" s="415">
        <v>2007</v>
      </c>
      <c r="N1591" s="414">
        <v>44813</v>
      </c>
      <c r="O1591" s="393" t="s">
        <v>400</v>
      </c>
      <c r="P1591" s="655">
        <f t="shared" si="88"/>
        <v>9</v>
      </c>
      <c r="Q1591" s="655">
        <f t="shared" si="89"/>
        <v>8</v>
      </c>
      <c r="R1591" s="695" t="str">
        <f t="shared" si="90"/>
        <v>Gastos_Gerais</v>
      </c>
      <c r="S1591" s="697" t="s">
        <v>310</v>
      </c>
      <c r="T1591" s="697" t="s">
        <v>310</v>
      </c>
    </row>
    <row r="1592" spans="1:20" ht="72" x14ac:dyDescent="0.2">
      <c r="A1592" s="432">
        <f>IF(B1592="","",COUNT('Diário 1º PA'!$A$4:$A$2635)+COUNT('Diário 2º PA'!$A$4:$A$3040)+ROW()-3)</f>
        <v>5688</v>
      </c>
      <c r="B1592" s="413">
        <v>44813</v>
      </c>
      <c r="C1592" s="424">
        <v>44743</v>
      </c>
      <c r="D1592" s="415" t="s">
        <v>271</v>
      </c>
      <c r="E1592" s="419" t="s">
        <v>456</v>
      </c>
      <c r="F1592" s="422">
        <v>672</v>
      </c>
      <c r="G1592" s="419" t="s">
        <v>7136</v>
      </c>
      <c r="H1592" s="419" t="s">
        <v>749</v>
      </c>
      <c r="I1592" s="415" t="s">
        <v>3998</v>
      </c>
      <c r="J1592" s="419" t="s">
        <v>1833</v>
      </c>
      <c r="K1592" s="419" t="s">
        <v>830</v>
      </c>
      <c r="L1592" s="415" t="s">
        <v>839</v>
      </c>
      <c r="M1592" s="419">
        <v>1996</v>
      </c>
      <c r="N1592" s="414">
        <v>44810</v>
      </c>
      <c r="O1592" s="393" t="s">
        <v>400</v>
      </c>
      <c r="P1592" s="655">
        <f t="shared" si="88"/>
        <v>9</v>
      </c>
      <c r="Q1592" s="655">
        <f t="shared" si="89"/>
        <v>7</v>
      </c>
      <c r="R1592" s="695" t="str">
        <f t="shared" si="90"/>
        <v>Gastos_Gerais</v>
      </c>
      <c r="S1592" s="697" t="s">
        <v>998</v>
      </c>
      <c r="T1592" s="697">
        <v>4144</v>
      </c>
    </row>
    <row r="1593" spans="1:20" ht="84" x14ac:dyDescent="0.2">
      <c r="A1593" s="432">
        <f>IF(B1593="","",COUNT('Diário 1º PA'!$A$4:$A$2635)+COUNT('Diário 2º PA'!$A$4:$A$3040)+ROW()-3)</f>
        <v>5689</v>
      </c>
      <c r="B1593" s="413">
        <v>44813</v>
      </c>
      <c r="C1593" s="431">
        <v>44774</v>
      </c>
      <c r="D1593" s="415" t="s">
        <v>271</v>
      </c>
      <c r="E1593" s="415" t="s">
        <v>186</v>
      </c>
      <c r="F1593" s="422">
        <v>7200</v>
      </c>
      <c r="G1593" s="427" t="s">
        <v>2347</v>
      </c>
      <c r="H1593" s="415" t="s">
        <v>309</v>
      </c>
      <c r="I1593" s="415" t="s">
        <v>3366</v>
      </c>
      <c r="J1593" s="415" t="s">
        <v>2348</v>
      </c>
      <c r="K1593" s="419" t="s">
        <v>830</v>
      </c>
      <c r="L1593" s="415" t="s">
        <v>6409</v>
      </c>
      <c r="M1593" s="419">
        <v>257</v>
      </c>
      <c r="N1593" s="413">
        <v>44810</v>
      </c>
      <c r="O1593" s="393" t="s">
        <v>400</v>
      </c>
      <c r="P1593" s="655">
        <f t="shared" si="88"/>
        <v>9</v>
      </c>
      <c r="Q1593" s="655">
        <f t="shared" si="89"/>
        <v>8</v>
      </c>
      <c r="R1593" s="695" t="str">
        <f t="shared" si="90"/>
        <v>Gastos_Gerais</v>
      </c>
      <c r="S1593" s="697" t="s">
        <v>1000</v>
      </c>
      <c r="T1593" s="697">
        <v>3106</v>
      </c>
    </row>
    <row r="1594" spans="1:20" ht="48" x14ac:dyDescent="0.2">
      <c r="A1594" s="432">
        <f>IF(B1594="","",COUNT('Diário 1º PA'!$A$4:$A$2635)+COUNT('Diário 2º PA'!$A$4:$A$3040)+ROW()-3)</f>
        <v>5690</v>
      </c>
      <c r="B1594" s="413">
        <v>44813</v>
      </c>
      <c r="C1594" s="431">
        <v>44774</v>
      </c>
      <c r="D1594" s="415" t="s">
        <v>271</v>
      </c>
      <c r="E1594" s="415" t="s">
        <v>465</v>
      </c>
      <c r="F1594" s="425">
        <v>970</v>
      </c>
      <c r="G1594" s="427" t="s">
        <v>6234</v>
      </c>
      <c r="H1594" s="415" t="s">
        <v>758</v>
      </c>
      <c r="I1594" s="415" t="s">
        <v>2325</v>
      </c>
      <c r="J1594" s="415" t="s">
        <v>1110</v>
      </c>
      <c r="K1594" s="419" t="s">
        <v>830</v>
      </c>
      <c r="L1594" s="415" t="s">
        <v>32</v>
      </c>
      <c r="M1594" s="415" t="s">
        <v>7139</v>
      </c>
      <c r="N1594" s="413">
        <v>44785</v>
      </c>
      <c r="O1594" s="414" t="s">
        <v>400</v>
      </c>
      <c r="P1594" s="655">
        <f t="shared" si="88"/>
        <v>9</v>
      </c>
      <c r="Q1594" s="655">
        <f t="shared" si="89"/>
        <v>8</v>
      </c>
      <c r="R1594" s="695" t="str">
        <f t="shared" si="90"/>
        <v>Gastos_Gerais</v>
      </c>
      <c r="S1594" s="697" t="s">
        <v>998</v>
      </c>
      <c r="T1594" s="697">
        <v>4220</v>
      </c>
    </row>
    <row r="1595" spans="1:20" ht="36" x14ac:dyDescent="0.2">
      <c r="A1595" s="432">
        <f>IF(B1595="","",COUNT('Diário 1º PA'!$A$4:$A$2635)+COUNT('Diário 2º PA'!$A$4:$A$3040)+ROW()-3)</f>
        <v>5691</v>
      </c>
      <c r="B1595" s="413">
        <v>44813</v>
      </c>
      <c r="C1595" s="431">
        <v>44743</v>
      </c>
      <c r="D1595" s="415" t="s">
        <v>271</v>
      </c>
      <c r="E1595" s="415" t="s">
        <v>456</v>
      </c>
      <c r="F1595" s="425">
        <v>800</v>
      </c>
      <c r="G1595" s="427" t="s">
        <v>5832</v>
      </c>
      <c r="H1595" s="415" t="s">
        <v>760</v>
      </c>
      <c r="I1595" s="415" t="s">
        <v>3800</v>
      </c>
      <c r="J1595" s="415" t="s">
        <v>1933</v>
      </c>
      <c r="K1595" s="419" t="s">
        <v>830</v>
      </c>
      <c r="L1595" s="415" t="s">
        <v>32</v>
      </c>
      <c r="M1595" s="419" t="s">
        <v>1608</v>
      </c>
      <c r="N1595" s="414">
        <v>44813</v>
      </c>
      <c r="O1595" s="414" t="s">
        <v>400</v>
      </c>
      <c r="P1595" s="655">
        <f t="shared" si="88"/>
        <v>9</v>
      </c>
      <c r="Q1595" s="655">
        <f t="shared" si="89"/>
        <v>7</v>
      </c>
      <c r="R1595" s="695" t="str">
        <f t="shared" si="90"/>
        <v>Gastos_Gerais</v>
      </c>
      <c r="S1595" s="697" t="s">
        <v>998</v>
      </c>
      <c r="T1595" s="697">
        <v>4126</v>
      </c>
    </row>
    <row r="1596" spans="1:20" ht="24" x14ac:dyDescent="0.2">
      <c r="A1596" s="432">
        <f>IF(B1596="","",COUNT('Diário 1º PA'!$A$4:$A$2635)+COUNT('Diário 2º PA'!$A$4:$A$3040)+ROW()-3)</f>
        <v>5692</v>
      </c>
      <c r="B1596" s="413">
        <v>44813</v>
      </c>
      <c r="C1596" s="433">
        <v>44774</v>
      </c>
      <c r="D1596" s="434" t="s">
        <v>271</v>
      </c>
      <c r="E1596" s="434" t="s">
        <v>2</v>
      </c>
      <c r="F1596" s="686">
        <v>8128.76</v>
      </c>
      <c r="G1596" s="427" t="s">
        <v>5705</v>
      </c>
      <c r="H1596" s="434" t="s">
        <v>309</v>
      </c>
      <c r="I1596" s="437" t="s">
        <v>767</v>
      </c>
      <c r="J1596" s="415" t="s">
        <v>1020</v>
      </c>
      <c r="K1596" s="419" t="s">
        <v>812</v>
      </c>
      <c r="L1596" s="415" t="s">
        <v>1305</v>
      </c>
      <c r="M1596" s="419">
        <v>9</v>
      </c>
      <c r="N1596" s="414">
        <v>44790</v>
      </c>
      <c r="O1596" s="414" t="s">
        <v>400</v>
      </c>
      <c r="P1596" s="655">
        <f t="shared" si="88"/>
        <v>9</v>
      </c>
      <c r="Q1596" s="655">
        <f t="shared" si="89"/>
        <v>8</v>
      </c>
      <c r="R1596" s="695" t="str">
        <f t="shared" si="90"/>
        <v>Gastos_Gerais</v>
      </c>
      <c r="S1596" s="697" t="s">
        <v>310</v>
      </c>
      <c r="T1596" s="697" t="s">
        <v>310</v>
      </c>
    </row>
    <row r="1597" spans="1:20" ht="24" x14ac:dyDescent="0.2">
      <c r="A1597" s="432">
        <f>IF(B1597="","",COUNT('Diário 1º PA'!$A$4:$A$2635)+COUNT('Diário 2º PA'!$A$4:$A$3040)+ROW()-3)</f>
        <v>5693</v>
      </c>
      <c r="B1597" s="413">
        <v>44813</v>
      </c>
      <c r="C1597" s="433">
        <v>44774</v>
      </c>
      <c r="D1597" s="434" t="s">
        <v>271</v>
      </c>
      <c r="E1597" s="434" t="s">
        <v>3</v>
      </c>
      <c r="F1597" s="686">
        <v>1708.71</v>
      </c>
      <c r="G1597" s="437" t="s">
        <v>5706</v>
      </c>
      <c r="H1597" s="434" t="s">
        <v>309</v>
      </c>
      <c r="I1597" s="437" t="s">
        <v>767</v>
      </c>
      <c r="J1597" s="434" t="s">
        <v>1020</v>
      </c>
      <c r="K1597" s="419" t="s">
        <v>812</v>
      </c>
      <c r="L1597" s="415" t="s">
        <v>1305</v>
      </c>
      <c r="M1597" s="419">
        <v>9</v>
      </c>
      <c r="N1597" s="414">
        <v>44790</v>
      </c>
      <c r="O1597" s="414" t="s">
        <v>400</v>
      </c>
      <c r="P1597" s="655">
        <f t="shared" ref="P1597:P1628" si="91">IF(B1597=0,0,IF(YEAR(B1597)=$Q$1,MONTH(B1597)-$P$1+1,(YEAR(B1597)-$Q$1)*12-$P$1+1+MONTH(B1597)))</f>
        <v>9</v>
      </c>
      <c r="Q1597" s="655">
        <f t="shared" ref="Q1597:Q1628" si="92">IF(C1597=0,0,IF(YEAR(C1597)=$Q$1,MONTH(C1597)-$P$1+1,(YEAR(C1597)-$Q$1)*12-$P$1+1+MONTH(C1597)))</f>
        <v>8</v>
      </c>
      <c r="R1597" s="695" t="str">
        <f t="shared" ref="R1597:R1628" si="93">SUBSTITUTE(D1597," ","_")</f>
        <v>Gastos_Gerais</v>
      </c>
      <c r="S1597" s="697" t="s">
        <v>310</v>
      </c>
      <c r="T1597" s="697" t="s">
        <v>310</v>
      </c>
    </row>
    <row r="1598" spans="1:20" ht="60" x14ac:dyDescent="0.2">
      <c r="A1598" s="432">
        <f>IF(B1598="","",COUNT('Diário 1º PA'!$A$4:$A$2635)+COUNT('Diário 2º PA'!$A$4:$A$3040)+ROW()-3)</f>
        <v>5694</v>
      </c>
      <c r="B1598" s="413">
        <v>44813</v>
      </c>
      <c r="C1598" s="431">
        <v>44743</v>
      </c>
      <c r="D1598" s="415" t="s">
        <v>271</v>
      </c>
      <c r="E1598" s="415" t="s">
        <v>90</v>
      </c>
      <c r="F1598" s="425">
        <v>800</v>
      </c>
      <c r="G1598" s="427" t="s">
        <v>6033</v>
      </c>
      <c r="H1598" s="415" t="s">
        <v>793</v>
      </c>
      <c r="I1598" s="415" t="s">
        <v>7141</v>
      </c>
      <c r="J1598" s="415" t="s">
        <v>1871</v>
      </c>
      <c r="K1598" s="419" t="s">
        <v>830</v>
      </c>
      <c r="L1598" s="415" t="s">
        <v>32</v>
      </c>
      <c r="M1598" s="419">
        <v>8</v>
      </c>
      <c r="N1598" s="414">
        <v>44810</v>
      </c>
      <c r="O1598" s="414" t="s">
        <v>400</v>
      </c>
      <c r="P1598" s="655">
        <f t="shared" si="91"/>
        <v>9</v>
      </c>
      <c r="Q1598" s="655">
        <f t="shared" si="92"/>
        <v>7</v>
      </c>
      <c r="R1598" s="695" t="str">
        <f t="shared" si="93"/>
        <v>Gastos_Gerais</v>
      </c>
      <c r="S1598" s="697" t="s">
        <v>998</v>
      </c>
      <c r="T1598" s="697">
        <v>4133</v>
      </c>
    </row>
    <row r="1599" spans="1:20" ht="48" x14ac:dyDescent="0.2">
      <c r="A1599" s="432">
        <f>IF(B1599="","",COUNT('Diário 1º PA'!$A$4:$A$2635)+COUNT('Diário 2º PA'!$A$4:$A$3040)+ROW()-3)</f>
        <v>5695</v>
      </c>
      <c r="B1599" s="413">
        <v>44813</v>
      </c>
      <c r="C1599" s="431">
        <v>44743</v>
      </c>
      <c r="D1599" s="415" t="s">
        <v>271</v>
      </c>
      <c r="E1599" s="415" t="s">
        <v>456</v>
      </c>
      <c r="F1599" s="422">
        <v>800</v>
      </c>
      <c r="G1599" s="419" t="s">
        <v>7142</v>
      </c>
      <c r="H1599" s="419" t="s">
        <v>760</v>
      </c>
      <c r="I1599" s="415" t="s">
        <v>7143</v>
      </c>
      <c r="J1599" s="419" t="s">
        <v>1914</v>
      </c>
      <c r="K1599" s="419" t="s">
        <v>830</v>
      </c>
      <c r="L1599" s="415" t="s">
        <v>807</v>
      </c>
      <c r="M1599" s="419" t="s">
        <v>1608</v>
      </c>
      <c r="N1599" s="414">
        <v>44810</v>
      </c>
      <c r="O1599" s="414" t="s">
        <v>400</v>
      </c>
      <c r="P1599" s="655">
        <f t="shared" si="91"/>
        <v>9</v>
      </c>
      <c r="Q1599" s="655">
        <f t="shared" si="92"/>
        <v>7</v>
      </c>
      <c r="R1599" s="695" t="str">
        <f t="shared" si="93"/>
        <v>Gastos_Gerais</v>
      </c>
      <c r="S1599" s="697" t="s">
        <v>998</v>
      </c>
      <c r="T1599" s="697">
        <v>4166</v>
      </c>
    </row>
    <row r="1600" spans="1:20" ht="36" x14ac:dyDescent="0.2">
      <c r="A1600" s="432">
        <f>IF(B1600="","",COUNT('Diário 1º PA'!$A$4:$A$2635)+COUNT('Diário 2º PA'!$A$4:$A$3040)+ROW()-3)</f>
        <v>5696</v>
      </c>
      <c r="B1600" s="413">
        <v>44813</v>
      </c>
      <c r="C1600" s="431">
        <v>44743</v>
      </c>
      <c r="D1600" s="415" t="s">
        <v>271</v>
      </c>
      <c r="E1600" s="415" t="s">
        <v>297</v>
      </c>
      <c r="F1600" s="422">
        <v>672</v>
      </c>
      <c r="G1600" s="427" t="s">
        <v>5894</v>
      </c>
      <c r="H1600" s="415" t="s">
        <v>793</v>
      </c>
      <c r="I1600" s="415" t="s">
        <v>2691</v>
      </c>
      <c r="J1600" s="415" t="s">
        <v>1163</v>
      </c>
      <c r="K1600" s="419" t="s">
        <v>830</v>
      </c>
      <c r="L1600" s="415" t="s">
        <v>839</v>
      </c>
      <c r="M1600" s="419">
        <v>1995</v>
      </c>
      <c r="N1600" s="413">
        <v>44810</v>
      </c>
      <c r="O1600" s="414" t="s">
        <v>400</v>
      </c>
      <c r="P1600" s="655">
        <f t="shared" si="91"/>
        <v>9</v>
      </c>
      <c r="Q1600" s="655">
        <f t="shared" si="92"/>
        <v>7</v>
      </c>
      <c r="R1600" s="695" t="str">
        <f t="shared" si="93"/>
        <v>Gastos_Gerais</v>
      </c>
      <c r="S1600" s="697" t="s">
        <v>998</v>
      </c>
      <c r="T1600" s="697">
        <v>4139</v>
      </c>
    </row>
    <row r="1601" spans="1:20" ht="36" x14ac:dyDescent="0.2">
      <c r="A1601" s="432">
        <f>IF(B1601="","",COUNT('Diário 1º PA'!$A$4:$A$2635)+COUNT('Diário 2º PA'!$A$4:$A$3040)+ROW()-3)</f>
        <v>5697</v>
      </c>
      <c r="B1601" s="413">
        <v>44813</v>
      </c>
      <c r="C1601" s="431">
        <v>44805</v>
      </c>
      <c r="D1601" s="415" t="s">
        <v>271</v>
      </c>
      <c r="E1601" s="415" t="s">
        <v>71</v>
      </c>
      <c r="F1601" s="425">
        <v>11</v>
      </c>
      <c r="G1601" s="440" t="s">
        <v>7146</v>
      </c>
      <c r="H1601" s="419" t="s">
        <v>749</v>
      </c>
      <c r="I1601" s="398" t="s">
        <v>881</v>
      </c>
      <c r="J1601" s="418" t="s">
        <v>882</v>
      </c>
      <c r="K1601" s="418" t="s">
        <v>883</v>
      </c>
      <c r="L1601" s="399" t="s">
        <v>798</v>
      </c>
      <c r="M1601" s="544" t="s">
        <v>310</v>
      </c>
      <c r="N1601" s="413">
        <v>44813</v>
      </c>
      <c r="O1601" s="414" t="s">
        <v>400</v>
      </c>
      <c r="P1601" s="655">
        <f t="shared" si="91"/>
        <v>9</v>
      </c>
      <c r="Q1601" s="655">
        <f t="shared" si="92"/>
        <v>9</v>
      </c>
      <c r="R1601" s="695" t="str">
        <f t="shared" si="93"/>
        <v>Gastos_Gerais</v>
      </c>
      <c r="S1601" s="697" t="s">
        <v>310</v>
      </c>
      <c r="T1601" s="697" t="s">
        <v>310</v>
      </c>
    </row>
    <row r="1602" spans="1:20" ht="36" x14ac:dyDescent="0.2">
      <c r="A1602" s="432">
        <f>IF(B1602="","",COUNT('Diário 1º PA'!$A$4:$A$2635)+COUNT('Diário 2º PA'!$A$4:$A$3040)+ROW()-3)</f>
        <v>5698</v>
      </c>
      <c r="B1602" s="413">
        <v>44813</v>
      </c>
      <c r="C1602" s="431">
        <v>44805</v>
      </c>
      <c r="D1602" s="415" t="s">
        <v>271</v>
      </c>
      <c r="E1602" s="415" t="s">
        <v>71</v>
      </c>
      <c r="F1602" s="425">
        <v>11</v>
      </c>
      <c r="G1602" s="440" t="s">
        <v>7147</v>
      </c>
      <c r="H1602" s="415" t="s">
        <v>309</v>
      </c>
      <c r="I1602" s="398" t="s">
        <v>881</v>
      </c>
      <c r="J1602" s="418" t="s">
        <v>882</v>
      </c>
      <c r="K1602" s="418" t="s">
        <v>883</v>
      </c>
      <c r="L1602" s="399" t="s">
        <v>798</v>
      </c>
      <c r="M1602" s="544" t="s">
        <v>310</v>
      </c>
      <c r="N1602" s="413">
        <v>44813</v>
      </c>
      <c r="O1602" s="414" t="s">
        <v>400</v>
      </c>
      <c r="P1602" s="655">
        <f t="shared" si="91"/>
        <v>9</v>
      </c>
      <c r="Q1602" s="655">
        <f t="shared" si="92"/>
        <v>9</v>
      </c>
      <c r="R1602" s="695" t="str">
        <f t="shared" si="93"/>
        <v>Gastos_Gerais</v>
      </c>
      <c r="S1602" s="697" t="s">
        <v>310</v>
      </c>
      <c r="T1602" s="697" t="s">
        <v>310</v>
      </c>
    </row>
    <row r="1603" spans="1:20" ht="36" x14ac:dyDescent="0.2">
      <c r="A1603" s="432">
        <f>IF(B1603="","",COUNT('Diário 1º PA'!$A$4:$A$2635)+COUNT('Diário 2º PA'!$A$4:$A$3040)+ROW()-3)</f>
        <v>5699</v>
      </c>
      <c r="B1603" s="413">
        <v>44813</v>
      </c>
      <c r="C1603" s="431">
        <v>44805</v>
      </c>
      <c r="D1603" s="415" t="s">
        <v>271</v>
      </c>
      <c r="E1603" s="415" t="s">
        <v>71</v>
      </c>
      <c r="F1603" s="425">
        <v>11</v>
      </c>
      <c r="G1603" s="440" t="s">
        <v>7148</v>
      </c>
      <c r="H1603" s="415" t="s">
        <v>758</v>
      </c>
      <c r="I1603" s="398" t="s">
        <v>881</v>
      </c>
      <c r="J1603" s="418" t="s">
        <v>882</v>
      </c>
      <c r="K1603" s="418" t="s">
        <v>883</v>
      </c>
      <c r="L1603" s="399" t="s">
        <v>798</v>
      </c>
      <c r="M1603" s="544" t="s">
        <v>310</v>
      </c>
      <c r="N1603" s="413">
        <v>44813</v>
      </c>
      <c r="O1603" s="414" t="s">
        <v>400</v>
      </c>
      <c r="P1603" s="655">
        <f t="shared" si="91"/>
        <v>9</v>
      </c>
      <c r="Q1603" s="655">
        <f t="shared" si="92"/>
        <v>9</v>
      </c>
      <c r="R1603" s="695" t="str">
        <f t="shared" si="93"/>
        <v>Gastos_Gerais</v>
      </c>
      <c r="S1603" s="697" t="s">
        <v>310</v>
      </c>
      <c r="T1603" s="697" t="s">
        <v>310</v>
      </c>
    </row>
    <row r="1604" spans="1:20" ht="36" x14ac:dyDescent="0.2">
      <c r="A1604" s="432">
        <f>IF(B1604="","",COUNT('Diário 1º PA'!$A$4:$A$2635)+COUNT('Diário 2º PA'!$A$4:$A$3040)+ROW()-3)</f>
        <v>5700</v>
      </c>
      <c r="B1604" s="413">
        <v>44813</v>
      </c>
      <c r="C1604" s="431">
        <v>44805</v>
      </c>
      <c r="D1604" s="415" t="s">
        <v>271</v>
      </c>
      <c r="E1604" s="415" t="s">
        <v>71</v>
      </c>
      <c r="F1604" s="425">
        <v>11</v>
      </c>
      <c r="G1604" s="440" t="s">
        <v>7149</v>
      </c>
      <c r="H1604" s="415" t="s">
        <v>760</v>
      </c>
      <c r="I1604" s="398" t="s">
        <v>881</v>
      </c>
      <c r="J1604" s="418" t="s">
        <v>882</v>
      </c>
      <c r="K1604" s="418" t="s">
        <v>883</v>
      </c>
      <c r="L1604" s="399" t="s">
        <v>798</v>
      </c>
      <c r="M1604" s="544" t="s">
        <v>310</v>
      </c>
      <c r="N1604" s="413">
        <v>44813</v>
      </c>
      <c r="O1604" s="414" t="s">
        <v>400</v>
      </c>
      <c r="P1604" s="655">
        <f t="shared" si="91"/>
        <v>9</v>
      </c>
      <c r="Q1604" s="655">
        <f t="shared" si="92"/>
        <v>9</v>
      </c>
      <c r="R1604" s="695" t="str">
        <f t="shared" si="93"/>
        <v>Gastos_Gerais</v>
      </c>
      <c r="S1604" s="697" t="s">
        <v>310</v>
      </c>
      <c r="T1604" s="697" t="s">
        <v>310</v>
      </c>
    </row>
    <row r="1605" spans="1:20" ht="36" x14ac:dyDescent="0.2">
      <c r="A1605" s="432">
        <f>IF(B1605="","",COUNT('Diário 1º PA'!$A$4:$A$2635)+COUNT('Diário 2º PA'!$A$4:$A$3040)+ROW()-3)</f>
        <v>5701</v>
      </c>
      <c r="B1605" s="413">
        <v>44813</v>
      </c>
      <c r="C1605" s="431">
        <v>44805</v>
      </c>
      <c r="D1605" s="415" t="s">
        <v>271</v>
      </c>
      <c r="E1605" s="415" t="s">
        <v>71</v>
      </c>
      <c r="F1605" s="425">
        <v>11</v>
      </c>
      <c r="G1605" s="440" t="s">
        <v>7150</v>
      </c>
      <c r="H1605" s="415" t="s">
        <v>793</v>
      </c>
      <c r="I1605" s="398" t="s">
        <v>881</v>
      </c>
      <c r="J1605" s="418" t="s">
        <v>882</v>
      </c>
      <c r="K1605" s="418" t="s">
        <v>883</v>
      </c>
      <c r="L1605" s="399" t="s">
        <v>798</v>
      </c>
      <c r="M1605" s="544" t="s">
        <v>310</v>
      </c>
      <c r="N1605" s="413">
        <v>44813</v>
      </c>
      <c r="O1605" s="414" t="s">
        <v>400</v>
      </c>
      <c r="P1605" s="655">
        <f t="shared" si="91"/>
        <v>9</v>
      </c>
      <c r="Q1605" s="655">
        <f t="shared" si="92"/>
        <v>9</v>
      </c>
      <c r="R1605" s="695" t="str">
        <f t="shared" si="93"/>
        <v>Gastos_Gerais</v>
      </c>
      <c r="S1605" s="697" t="s">
        <v>310</v>
      </c>
      <c r="T1605" s="697" t="s">
        <v>310</v>
      </c>
    </row>
    <row r="1606" spans="1:20" ht="36" x14ac:dyDescent="0.2">
      <c r="A1606" s="432">
        <f>IF(B1606="","",COUNT('Diário 1º PA'!$A$4:$A$2635)+COUNT('Diário 2º PA'!$A$4:$A$3040)+ROW()-3)</f>
        <v>5702</v>
      </c>
      <c r="B1606" s="413">
        <v>44813</v>
      </c>
      <c r="C1606" s="431">
        <v>44805</v>
      </c>
      <c r="D1606" s="415" t="s">
        <v>271</v>
      </c>
      <c r="E1606" s="415" t="s">
        <v>71</v>
      </c>
      <c r="F1606" s="425">
        <v>11</v>
      </c>
      <c r="G1606" s="440" t="s">
        <v>7151</v>
      </c>
      <c r="H1606" s="419" t="s">
        <v>760</v>
      </c>
      <c r="I1606" s="398" t="s">
        <v>881</v>
      </c>
      <c r="J1606" s="418" t="s">
        <v>882</v>
      </c>
      <c r="K1606" s="418" t="s">
        <v>883</v>
      </c>
      <c r="L1606" s="399" t="s">
        <v>798</v>
      </c>
      <c r="M1606" s="544" t="s">
        <v>310</v>
      </c>
      <c r="N1606" s="413">
        <v>44813</v>
      </c>
      <c r="O1606" s="414" t="s">
        <v>400</v>
      </c>
      <c r="P1606" s="655">
        <f t="shared" si="91"/>
        <v>9</v>
      </c>
      <c r="Q1606" s="655">
        <f t="shared" si="92"/>
        <v>9</v>
      </c>
      <c r="R1606" s="695" t="str">
        <f t="shared" si="93"/>
        <v>Gastos_Gerais</v>
      </c>
      <c r="S1606" s="697" t="s">
        <v>310</v>
      </c>
      <c r="T1606" s="697" t="s">
        <v>310</v>
      </c>
    </row>
    <row r="1607" spans="1:20" ht="36" x14ac:dyDescent="0.2">
      <c r="A1607" s="432">
        <f>IF(B1607="","",COUNT('Diário 1º PA'!$A$4:$A$2635)+COUNT('Diário 2º PA'!$A$4:$A$3040)+ROW()-3)</f>
        <v>5703</v>
      </c>
      <c r="B1607" s="413">
        <v>44813</v>
      </c>
      <c r="C1607" s="431">
        <v>44805</v>
      </c>
      <c r="D1607" s="415" t="s">
        <v>271</v>
      </c>
      <c r="E1607" s="415" t="s">
        <v>71</v>
      </c>
      <c r="F1607" s="425">
        <v>11</v>
      </c>
      <c r="G1607" s="440" t="s">
        <v>7152</v>
      </c>
      <c r="H1607" s="415" t="s">
        <v>793</v>
      </c>
      <c r="I1607" s="398" t="s">
        <v>881</v>
      </c>
      <c r="J1607" s="418" t="s">
        <v>882</v>
      </c>
      <c r="K1607" s="418" t="s">
        <v>883</v>
      </c>
      <c r="L1607" s="399" t="s">
        <v>798</v>
      </c>
      <c r="M1607" s="544" t="s">
        <v>310</v>
      </c>
      <c r="N1607" s="413">
        <v>44813</v>
      </c>
      <c r="O1607" s="414" t="s">
        <v>400</v>
      </c>
      <c r="P1607" s="655">
        <f t="shared" si="91"/>
        <v>9</v>
      </c>
      <c r="Q1607" s="655">
        <f t="shared" si="92"/>
        <v>9</v>
      </c>
      <c r="R1607" s="695" t="str">
        <f t="shared" si="93"/>
        <v>Gastos_Gerais</v>
      </c>
      <c r="S1607" s="697" t="s">
        <v>310</v>
      </c>
      <c r="T1607" s="697" t="s">
        <v>310</v>
      </c>
    </row>
    <row r="1608" spans="1:20" ht="60" x14ac:dyDescent="0.2">
      <c r="A1608" s="432">
        <f>IF(B1608="","",COUNT('Diário 1º PA'!$A$4:$A$2635)+COUNT('Diário 2º PA'!$A$4:$A$3040)+ROW()-3)</f>
        <v>5704</v>
      </c>
      <c r="B1608" s="413">
        <v>44813</v>
      </c>
      <c r="C1608" s="431">
        <v>44743</v>
      </c>
      <c r="D1608" s="419" t="s">
        <v>468</v>
      </c>
      <c r="E1608" s="419" t="s">
        <v>468</v>
      </c>
      <c r="F1608" s="425">
        <v>1998.6</v>
      </c>
      <c r="G1608" s="427" t="s">
        <v>5759</v>
      </c>
      <c r="H1608" s="415" t="s">
        <v>468</v>
      </c>
      <c r="I1608" s="398" t="s">
        <v>7208</v>
      </c>
      <c r="J1608" s="415" t="s">
        <v>5760</v>
      </c>
      <c r="K1608" s="419" t="s">
        <v>806</v>
      </c>
      <c r="L1608" s="399" t="s">
        <v>839</v>
      </c>
      <c r="M1608" s="544">
        <v>2001</v>
      </c>
      <c r="N1608" s="413">
        <v>44812</v>
      </c>
      <c r="O1608" s="414" t="s">
        <v>404</v>
      </c>
      <c r="P1608" s="655">
        <f t="shared" si="91"/>
        <v>9</v>
      </c>
      <c r="Q1608" s="655">
        <f t="shared" si="92"/>
        <v>7</v>
      </c>
      <c r="R1608" s="695" t="str">
        <f t="shared" si="93"/>
        <v>Gastos_custeados_por_captação</v>
      </c>
      <c r="S1608" s="697" t="s">
        <v>1000</v>
      </c>
      <c r="T1608" s="697">
        <v>3986</v>
      </c>
    </row>
    <row r="1609" spans="1:20" ht="60" x14ac:dyDescent="0.2">
      <c r="A1609" s="432">
        <f>IF(B1609="","",COUNT('Diário 1º PA'!$A$4:$A$2635)+COUNT('Diário 2º PA'!$A$4:$A$3040)+ROW()-3)</f>
        <v>5705</v>
      </c>
      <c r="B1609" s="413">
        <v>44813</v>
      </c>
      <c r="C1609" s="431">
        <v>44743</v>
      </c>
      <c r="D1609" s="419" t="s">
        <v>468</v>
      </c>
      <c r="E1609" s="419" t="s">
        <v>468</v>
      </c>
      <c r="F1609" s="425">
        <v>1998.6</v>
      </c>
      <c r="G1609" s="427" t="s">
        <v>5767</v>
      </c>
      <c r="H1609" s="415" t="s">
        <v>468</v>
      </c>
      <c r="I1609" s="398" t="s">
        <v>7211</v>
      </c>
      <c r="J1609" s="415" t="s">
        <v>5768</v>
      </c>
      <c r="K1609" s="419" t="s">
        <v>806</v>
      </c>
      <c r="L1609" s="399" t="s">
        <v>839</v>
      </c>
      <c r="M1609" s="544">
        <v>1999</v>
      </c>
      <c r="N1609" s="413">
        <v>44812</v>
      </c>
      <c r="O1609" s="414" t="s">
        <v>404</v>
      </c>
      <c r="P1609" s="655">
        <f t="shared" si="91"/>
        <v>9</v>
      </c>
      <c r="Q1609" s="655">
        <f t="shared" si="92"/>
        <v>7</v>
      </c>
      <c r="R1609" s="695" t="str">
        <f t="shared" si="93"/>
        <v>Gastos_custeados_por_captação</v>
      </c>
      <c r="S1609" s="697" t="s">
        <v>1000</v>
      </c>
      <c r="T1609" s="697">
        <v>3988</v>
      </c>
    </row>
    <row r="1610" spans="1:20" ht="60" x14ac:dyDescent="0.2">
      <c r="A1610" s="432">
        <f>IF(B1610="","",COUNT('Diário 1º PA'!$A$4:$A$2635)+COUNT('Diário 2º PA'!$A$4:$A$3040)+ROW()-3)</f>
        <v>5706</v>
      </c>
      <c r="B1610" s="413">
        <v>44813</v>
      </c>
      <c r="C1610" s="431">
        <v>44743</v>
      </c>
      <c r="D1610" s="419" t="s">
        <v>468</v>
      </c>
      <c r="E1610" s="419" t="s">
        <v>468</v>
      </c>
      <c r="F1610" s="425">
        <v>1998.6</v>
      </c>
      <c r="G1610" s="427" t="s">
        <v>5770</v>
      </c>
      <c r="H1610" s="415" t="s">
        <v>468</v>
      </c>
      <c r="I1610" s="398" t="s">
        <v>7214</v>
      </c>
      <c r="J1610" s="415" t="s">
        <v>5771</v>
      </c>
      <c r="K1610" s="419" t="s">
        <v>806</v>
      </c>
      <c r="L1610" s="399" t="s">
        <v>839</v>
      </c>
      <c r="M1610" s="544">
        <v>2005</v>
      </c>
      <c r="N1610" s="413">
        <v>44812</v>
      </c>
      <c r="O1610" s="414" t="s">
        <v>404</v>
      </c>
      <c r="P1610" s="655">
        <f t="shared" si="91"/>
        <v>9</v>
      </c>
      <c r="Q1610" s="655">
        <f t="shared" si="92"/>
        <v>7</v>
      </c>
      <c r="R1610" s="695" t="str">
        <f t="shared" si="93"/>
        <v>Gastos_custeados_por_captação</v>
      </c>
      <c r="S1610" s="697" t="s">
        <v>1000</v>
      </c>
      <c r="T1610" s="697">
        <v>3981</v>
      </c>
    </row>
    <row r="1611" spans="1:20" ht="60" x14ac:dyDescent="0.2">
      <c r="A1611" s="432">
        <f>IF(B1611="","",COUNT('Diário 1º PA'!$A$4:$A$2635)+COUNT('Diário 2º PA'!$A$4:$A$3040)+ROW()-3)</f>
        <v>5707</v>
      </c>
      <c r="B1611" s="413">
        <v>44813</v>
      </c>
      <c r="C1611" s="431">
        <v>44743</v>
      </c>
      <c r="D1611" s="419" t="s">
        <v>468</v>
      </c>
      <c r="E1611" s="419" t="s">
        <v>468</v>
      </c>
      <c r="F1611" s="425">
        <v>1998.6</v>
      </c>
      <c r="G1611" s="427" t="s">
        <v>5766</v>
      </c>
      <c r="H1611" s="415" t="s">
        <v>468</v>
      </c>
      <c r="I1611" s="398" t="s">
        <v>2834</v>
      </c>
      <c r="J1611" s="415" t="s">
        <v>1162</v>
      </c>
      <c r="K1611" s="419" t="s">
        <v>806</v>
      </c>
      <c r="L1611" s="399" t="s">
        <v>839</v>
      </c>
      <c r="M1611" s="544">
        <v>1998</v>
      </c>
      <c r="N1611" s="413">
        <v>44812</v>
      </c>
      <c r="O1611" s="414" t="s">
        <v>404</v>
      </c>
      <c r="P1611" s="655">
        <f t="shared" si="91"/>
        <v>9</v>
      </c>
      <c r="Q1611" s="655">
        <f t="shared" si="92"/>
        <v>7</v>
      </c>
      <c r="R1611" s="695" t="str">
        <f t="shared" si="93"/>
        <v>Gastos_custeados_por_captação</v>
      </c>
      <c r="S1611" s="697" t="s">
        <v>1000</v>
      </c>
      <c r="T1611" s="697">
        <v>3990</v>
      </c>
    </row>
    <row r="1612" spans="1:20" ht="60" x14ac:dyDescent="0.2">
      <c r="A1612" s="432">
        <f>IF(B1612="","",COUNT('Diário 1º PA'!$A$4:$A$2635)+COUNT('Diário 2º PA'!$A$4:$A$3040)+ROW()-3)</f>
        <v>5708</v>
      </c>
      <c r="B1612" s="413">
        <v>44813</v>
      </c>
      <c r="C1612" s="431">
        <v>44743</v>
      </c>
      <c r="D1612" s="419" t="s">
        <v>468</v>
      </c>
      <c r="E1612" s="419" t="s">
        <v>468</v>
      </c>
      <c r="F1612" s="425">
        <v>1998.6</v>
      </c>
      <c r="G1612" s="427" t="s">
        <v>5769</v>
      </c>
      <c r="H1612" s="415" t="s">
        <v>468</v>
      </c>
      <c r="I1612" s="398" t="s">
        <v>1267</v>
      </c>
      <c r="J1612" s="415" t="s">
        <v>1059</v>
      </c>
      <c r="K1612" s="419" t="s">
        <v>806</v>
      </c>
      <c r="L1612" s="399" t="s">
        <v>839</v>
      </c>
      <c r="M1612" s="544">
        <v>2000</v>
      </c>
      <c r="N1612" s="413">
        <v>44812</v>
      </c>
      <c r="O1612" s="414" t="s">
        <v>404</v>
      </c>
      <c r="P1612" s="655">
        <f t="shared" si="91"/>
        <v>9</v>
      </c>
      <c r="Q1612" s="655">
        <f t="shared" si="92"/>
        <v>7</v>
      </c>
      <c r="R1612" s="695" t="str">
        <f t="shared" si="93"/>
        <v>Gastos_custeados_por_captação</v>
      </c>
      <c r="S1612" s="697" t="s">
        <v>1000</v>
      </c>
      <c r="T1612" s="697">
        <v>3987</v>
      </c>
    </row>
    <row r="1613" spans="1:20" ht="84" x14ac:dyDescent="0.2">
      <c r="A1613" s="432">
        <f>IF(B1613="","",COUNT('Diário 1º PA'!$A$4:$A$2635)+COUNT('Diário 2º PA'!$A$4:$A$3040)+ROW()-3)</f>
        <v>5709</v>
      </c>
      <c r="B1613" s="413">
        <v>44813</v>
      </c>
      <c r="C1613" s="431">
        <v>44136</v>
      </c>
      <c r="D1613" s="419" t="s">
        <v>468</v>
      </c>
      <c r="E1613" s="419" t="s">
        <v>468</v>
      </c>
      <c r="F1613" s="425">
        <v>480.65</v>
      </c>
      <c r="G1613" s="437" t="s">
        <v>480</v>
      </c>
      <c r="H1613" s="415" t="s">
        <v>468</v>
      </c>
      <c r="I1613" s="398" t="s">
        <v>1464</v>
      </c>
      <c r="J1613" s="434" t="s">
        <v>1010</v>
      </c>
      <c r="K1613" s="418" t="s">
        <v>830</v>
      </c>
      <c r="L1613" s="399" t="s">
        <v>807</v>
      </c>
      <c r="M1613" s="418" t="s">
        <v>7221</v>
      </c>
      <c r="N1613" s="413">
        <v>44810</v>
      </c>
      <c r="O1613" s="414" t="s">
        <v>404</v>
      </c>
      <c r="P1613" s="655">
        <f t="shared" si="91"/>
        <v>9</v>
      </c>
      <c r="Q1613" s="655">
        <f t="shared" si="92"/>
        <v>-13</v>
      </c>
      <c r="R1613" s="695" t="str">
        <f t="shared" si="93"/>
        <v>Gastos_custeados_por_captação</v>
      </c>
      <c r="S1613" s="697" t="s">
        <v>998</v>
      </c>
      <c r="T1613" s="697">
        <v>1064</v>
      </c>
    </row>
    <row r="1614" spans="1:20" ht="60" x14ac:dyDescent="0.2">
      <c r="A1614" s="432">
        <f>IF(B1614="","",COUNT('Diário 1º PA'!$A$4:$A$2635)+COUNT('Diário 2º PA'!$A$4:$A$3040)+ROW()-3)</f>
        <v>5710</v>
      </c>
      <c r="B1614" s="413">
        <v>44813</v>
      </c>
      <c r="C1614" s="431">
        <v>44743</v>
      </c>
      <c r="D1614" s="419" t="s">
        <v>468</v>
      </c>
      <c r="E1614" s="419" t="s">
        <v>468</v>
      </c>
      <c r="F1614" s="425">
        <v>1998.6</v>
      </c>
      <c r="G1614" s="427" t="s">
        <v>5763</v>
      </c>
      <c r="H1614" s="415" t="s">
        <v>468</v>
      </c>
      <c r="I1614" s="398" t="s">
        <v>6795</v>
      </c>
      <c r="J1614" s="415" t="s">
        <v>5764</v>
      </c>
      <c r="K1614" s="418" t="s">
        <v>830</v>
      </c>
      <c r="L1614" s="399" t="s">
        <v>839</v>
      </c>
      <c r="M1614" s="544">
        <v>2003</v>
      </c>
      <c r="N1614" s="413">
        <v>44812</v>
      </c>
      <c r="O1614" s="414" t="s">
        <v>404</v>
      </c>
      <c r="P1614" s="655">
        <f t="shared" si="91"/>
        <v>9</v>
      </c>
      <c r="Q1614" s="655">
        <f t="shared" si="92"/>
        <v>7</v>
      </c>
      <c r="R1614" s="695" t="str">
        <f t="shared" si="93"/>
        <v>Gastos_custeados_por_captação</v>
      </c>
      <c r="S1614" s="697" t="s">
        <v>1000</v>
      </c>
      <c r="T1614" s="697">
        <v>3984</v>
      </c>
    </row>
    <row r="1615" spans="1:20" ht="60" x14ac:dyDescent="0.2">
      <c r="A1615" s="432">
        <f>IF(B1615="","",COUNT('Diário 1º PA'!$A$4:$A$2635)+COUNT('Diário 2º PA'!$A$4:$A$3040)+ROW()-3)</f>
        <v>5711</v>
      </c>
      <c r="B1615" s="413">
        <v>44813</v>
      </c>
      <c r="C1615" s="431">
        <v>44287</v>
      </c>
      <c r="D1615" s="419" t="s">
        <v>468</v>
      </c>
      <c r="E1615" s="419" t="s">
        <v>468</v>
      </c>
      <c r="F1615" s="425">
        <v>173.03</v>
      </c>
      <c r="G1615" s="427" t="s">
        <v>523</v>
      </c>
      <c r="H1615" s="415" t="s">
        <v>468</v>
      </c>
      <c r="I1615" s="398" t="s">
        <v>7225</v>
      </c>
      <c r="J1615" s="434" t="s">
        <v>1010</v>
      </c>
      <c r="K1615" s="418" t="s">
        <v>830</v>
      </c>
      <c r="L1615" s="399" t="s">
        <v>807</v>
      </c>
      <c r="M1615" s="418" t="s">
        <v>5188</v>
      </c>
      <c r="N1615" s="413">
        <v>44810</v>
      </c>
      <c r="O1615" s="414" t="s">
        <v>404</v>
      </c>
      <c r="P1615" s="655">
        <f t="shared" si="91"/>
        <v>9</v>
      </c>
      <c r="Q1615" s="655">
        <f t="shared" si="92"/>
        <v>-8</v>
      </c>
      <c r="R1615" s="695" t="str">
        <f t="shared" si="93"/>
        <v>Gastos_custeados_por_captação</v>
      </c>
      <c r="S1615" s="697" t="s">
        <v>998</v>
      </c>
      <c r="T1615" s="697">
        <v>1340</v>
      </c>
    </row>
    <row r="1616" spans="1:20" ht="72" x14ac:dyDescent="0.2">
      <c r="A1616" s="432">
        <f>IF(B1616="","",COUNT('Diário 1º PA'!$A$4:$A$2635)+COUNT('Diário 2º PA'!$A$4:$A$3040)+ROW()-3)</f>
        <v>5712</v>
      </c>
      <c r="B1616" s="413">
        <v>44813</v>
      </c>
      <c r="C1616" s="431">
        <v>44105</v>
      </c>
      <c r="D1616" s="419" t="s">
        <v>468</v>
      </c>
      <c r="E1616" s="419" t="s">
        <v>468</v>
      </c>
      <c r="F1616" s="425">
        <v>96.13</v>
      </c>
      <c r="G1616" s="437" t="s">
        <v>472</v>
      </c>
      <c r="H1616" s="415" t="s">
        <v>468</v>
      </c>
      <c r="I1616" s="398" t="s">
        <v>7225</v>
      </c>
      <c r="J1616" s="434" t="s">
        <v>1010</v>
      </c>
      <c r="K1616" s="418" t="s">
        <v>830</v>
      </c>
      <c r="L1616" s="399" t="s">
        <v>807</v>
      </c>
      <c r="M1616" s="418" t="s">
        <v>7226</v>
      </c>
      <c r="N1616" s="413">
        <v>44810</v>
      </c>
      <c r="O1616" s="414" t="s">
        <v>404</v>
      </c>
      <c r="P1616" s="655">
        <f t="shared" si="91"/>
        <v>9</v>
      </c>
      <c r="Q1616" s="655">
        <f t="shared" si="92"/>
        <v>-14</v>
      </c>
      <c r="R1616" s="695" t="str">
        <f t="shared" si="93"/>
        <v>Gastos_custeados_por_captação</v>
      </c>
      <c r="S1616" s="697" t="s">
        <v>998</v>
      </c>
      <c r="T1616" s="697">
        <v>907</v>
      </c>
    </row>
    <row r="1617" spans="1:20" ht="60" x14ac:dyDescent="0.2">
      <c r="A1617" s="432">
        <f>IF(B1617="","",COUNT('Diário 1º PA'!$A$4:$A$2635)+COUNT('Diário 2º PA'!$A$4:$A$3040)+ROW()-3)</f>
        <v>5713</v>
      </c>
      <c r="B1617" s="413">
        <v>44813</v>
      </c>
      <c r="C1617" s="431">
        <v>44743</v>
      </c>
      <c r="D1617" s="419" t="s">
        <v>468</v>
      </c>
      <c r="E1617" s="419" t="s">
        <v>468</v>
      </c>
      <c r="F1617" s="425">
        <v>1998.6</v>
      </c>
      <c r="G1617" s="427" t="s">
        <v>5762</v>
      </c>
      <c r="H1617" s="415" t="s">
        <v>468</v>
      </c>
      <c r="I1617" s="398" t="s">
        <v>2170</v>
      </c>
      <c r="J1617" s="415" t="s">
        <v>2171</v>
      </c>
      <c r="K1617" s="418" t="s">
        <v>830</v>
      </c>
      <c r="L1617" s="399" t="s">
        <v>1341</v>
      </c>
      <c r="M1617" s="544">
        <v>2002</v>
      </c>
      <c r="N1617" s="413">
        <v>44812</v>
      </c>
      <c r="O1617" s="414" t="s">
        <v>404</v>
      </c>
      <c r="P1617" s="655">
        <f t="shared" si="91"/>
        <v>9</v>
      </c>
      <c r="Q1617" s="655">
        <f t="shared" si="92"/>
        <v>7</v>
      </c>
      <c r="R1617" s="695" t="str">
        <f t="shared" si="93"/>
        <v>Gastos_custeados_por_captação</v>
      </c>
      <c r="S1617" s="697" t="s">
        <v>1000</v>
      </c>
      <c r="T1617" s="697">
        <v>3985</v>
      </c>
    </row>
    <row r="1618" spans="1:20" ht="60" x14ac:dyDescent="0.2">
      <c r="A1618" s="432">
        <f>IF(B1618="","",COUNT('Diário 1º PA'!$A$4:$A$2635)+COUNT('Diário 2º PA'!$A$4:$A$3040)+ROW()-3)</f>
        <v>5714</v>
      </c>
      <c r="B1618" s="413">
        <v>44813</v>
      </c>
      <c r="C1618" s="431">
        <v>44743</v>
      </c>
      <c r="D1618" s="419" t="s">
        <v>468</v>
      </c>
      <c r="E1618" s="419" t="s">
        <v>468</v>
      </c>
      <c r="F1618" s="425">
        <v>1998.6</v>
      </c>
      <c r="G1618" s="427" t="s">
        <v>5765</v>
      </c>
      <c r="H1618" s="415" t="s">
        <v>468</v>
      </c>
      <c r="I1618" s="398" t="s">
        <v>4564</v>
      </c>
      <c r="J1618" s="415" t="s">
        <v>1637</v>
      </c>
      <c r="K1618" s="418" t="s">
        <v>830</v>
      </c>
      <c r="L1618" s="399" t="s">
        <v>1341</v>
      </c>
      <c r="M1618" s="544">
        <v>2004</v>
      </c>
      <c r="N1618" s="413">
        <v>44812</v>
      </c>
      <c r="O1618" s="414" t="s">
        <v>404</v>
      </c>
      <c r="P1618" s="655">
        <f t="shared" si="91"/>
        <v>9</v>
      </c>
      <c r="Q1618" s="655">
        <f t="shared" si="92"/>
        <v>7</v>
      </c>
      <c r="R1618" s="695" t="str">
        <f t="shared" si="93"/>
        <v>Gastos_custeados_por_captação</v>
      </c>
      <c r="S1618" s="697" t="s">
        <v>1000</v>
      </c>
      <c r="T1618" s="697">
        <v>3983</v>
      </c>
    </row>
    <row r="1619" spans="1:20" ht="60" x14ac:dyDescent="0.2">
      <c r="A1619" s="432">
        <f>IF(B1619="","",COUNT('Diário 1º PA'!$A$4:$A$2635)+COUNT('Diário 2º PA'!$A$4:$A$3040)+ROW()-3)</f>
        <v>5715</v>
      </c>
      <c r="B1619" s="413">
        <v>44813</v>
      </c>
      <c r="C1619" s="431">
        <v>44774</v>
      </c>
      <c r="D1619" s="419" t="s">
        <v>468</v>
      </c>
      <c r="E1619" s="419" t="s">
        <v>468</v>
      </c>
      <c r="F1619" s="425">
        <v>2500</v>
      </c>
      <c r="G1619" s="427" t="s">
        <v>1986</v>
      </c>
      <c r="H1619" s="415" t="s">
        <v>468</v>
      </c>
      <c r="I1619" s="398" t="s">
        <v>4694</v>
      </c>
      <c r="J1619" s="415" t="s">
        <v>1987</v>
      </c>
      <c r="K1619" s="418" t="s">
        <v>830</v>
      </c>
      <c r="L1619" s="399" t="s">
        <v>807</v>
      </c>
      <c r="M1619" s="418" t="s">
        <v>1503</v>
      </c>
      <c r="N1619" s="413">
        <v>44812</v>
      </c>
      <c r="O1619" s="414" t="s">
        <v>404</v>
      </c>
      <c r="P1619" s="655">
        <f t="shared" si="91"/>
        <v>9</v>
      </c>
      <c r="Q1619" s="655">
        <f t="shared" si="92"/>
        <v>8</v>
      </c>
      <c r="R1619" s="695" t="str">
        <f t="shared" si="93"/>
        <v>Gastos_custeados_por_captação</v>
      </c>
      <c r="S1619" s="697" t="s">
        <v>1000</v>
      </c>
      <c r="T1619" s="697">
        <v>3045</v>
      </c>
    </row>
    <row r="1620" spans="1:20" ht="60" x14ac:dyDescent="0.2">
      <c r="A1620" s="432">
        <f>IF(B1620="","",COUNT('Diário 1º PA'!$A$4:$A$2635)+COUNT('Diário 2º PA'!$A$4:$A$3040)+ROW()-3)</f>
        <v>5716</v>
      </c>
      <c r="B1620" s="413">
        <v>44813</v>
      </c>
      <c r="C1620" s="431">
        <v>44774</v>
      </c>
      <c r="D1620" s="419" t="s">
        <v>468</v>
      </c>
      <c r="E1620" s="419" t="s">
        <v>468</v>
      </c>
      <c r="F1620" s="425">
        <v>420</v>
      </c>
      <c r="G1620" s="427" t="s">
        <v>6709</v>
      </c>
      <c r="H1620" s="415" t="s">
        <v>468</v>
      </c>
      <c r="I1620" s="398" t="s">
        <v>7192</v>
      </c>
      <c r="J1620" s="415" t="s">
        <v>6710</v>
      </c>
      <c r="K1620" s="419" t="s">
        <v>806</v>
      </c>
      <c r="L1620" s="399" t="s">
        <v>839</v>
      </c>
      <c r="M1620" s="544">
        <v>1997</v>
      </c>
      <c r="N1620" s="413">
        <v>44810</v>
      </c>
      <c r="O1620" s="414" t="s">
        <v>405</v>
      </c>
      <c r="P1620" s="655">
        <f t="shared" si="91"/>
        <v>9</v>
      </c>
      <c r="Q1620" s="655">
        <f t="shared" si="92"/>
        <v>8</v>
      </c>
      <c r="R1620" s="695" t="str">
        <f t="shared" si="93"/>
        <v>Gastos_custeados_por_captação</v>
      </c>
      <c r="S1620" s="697" t="s">
        <v>998</v>
      </c>
      <c r="T1620" s="697">
        <v>4226</v>
      </c>
    </row>
    <row r="1621" spans="1:20" ht="60" x14ac:dyDescent="0.2">
      <c r="A1621" s="432">
        <f>IF(B1621="","",COUNT('Diário 1º PA'!$A$4:$A$2635)+COUNT('Diário 2º PA'!$A$4:$A$3040)+ROW()-3)</f>
        <v>5717</v>
      </c>
      <c r="B1621" s="413">
        <v>44813</v>
      </c>
      <c r="C1621" s="431">
        <v>44774</v>
      </c>
      <c r="D1621" s="419" t="s">
        <v>468</v>
      </c>
      <c r="E1621" s="419" t="s">
        <v>468</v>
      </c>
      <c r="F1621" s="425">
        <v>2694.72</v>
      </c>
      <c r="G1621" s="427" t="s">
        <v>3897</v>
      </c>
      <c r="H1621" s="415" t="s">
        <v>468</v>
      </c>
      <c r="I1621" s="398" t="s">
        <v>1811</v>
      </c>
      <c r="J1621" s="415" t="s">
        <v>1023</v>
      </c>
      <c r="K1621" s="418" t="s">
        <v>830</v>
      </c>
      <c r="L1621" s="399" t="s">
        <v>32</v>
      </c>
      <c r="M1621" s="418" t="s">
        <v>3805</v>
      </c>
      <c r="N1621" s="413">
        <v>44810</v>
      </c>
      <c r="O1621" s="414" t="s">
        <v>3762</v>
      </c>
      <c r="P1621" s="655">
        <f t="shared" si="91"/>
        <v>9</v>
      </c>
      <c r="Q1621" s="655">
        <f t="shared" si="92"/>
        <v>8</v>
      </c>
      <c r="R1621" s="695" t="str">
        <f t="shared" si="93"/>
        <v>Gastos_custeados_por_captação</v>
      </c>
      <c r="S1621" s="697" t="s">
        <v>998</v>
      </c>
      <c r="T1621" s="697">
        <v>3618</v>
      </c>
    </row>
    <row r="1622" spans="1:20" ht="48" x14ac:dyDescent="0.2">
      <c r="A1622" s="432">
        <f>IF(B1622="","",COUNT('Diário 1º PA'!$A$4:$A$2635)+COUNT('Diário 2º PA'!$A$4:$A$3040)+ROW()-3)</f>
        <v>5718</v>
      </c>
      <c r="B1622" s="413">
        <v>44813</v>
      </c>
      <c r="C1622" s="431">
        <v>44774</v>
      </c>
      <c r="D1622" s="419" t="s">
        <v>468</v>
      </c>
      <c r="E1622" s="419" t="s">
        <v>468</v>
      </c>
      <c r="F1622" s="425">
        <v>728.02</v>
      </c>
      <c r="G1622" s="427" t="s">
        <v>6382</v>
      </c>
      <c r="H1622" s="415" t="s">
        <v>468</v>
      </c>
      <c r="I1622" s="398" t="s">
        <v>872</v>
      </c>
      <c r="J1622" s="415" t="s">
        <v>6383</v>
      </c>
      <c r="K1622" s="418" t="s">
        <v>830</v>
      </c>
      <c r="L1622" s="399" t="s">
        <v>32</v>
      </c>
      <c r="M1622" s="418" t="s">
        <v>7247</v>
      </c>
      <c r="N1622" s="413">
        <v>44810</v>
      </c>
      <c r="O1622" s="414" t="s">
        <v>3762</v>
      </c>
      <c r="P1622" s="655">
        <f t="shared" si="91"/>
        <v>9</v>
      </c>
      <c r="Q1622" s="655">
        <f t="shared" si="92"/>
        <v>8</v>
      </c>
      <c r="R1622" s="695" t="str">
        <f t="shared" si="93"/>
        <v>Gastos_custeados_por_captação</v>
      </c>
      <c r="S1622" s="697" t="s">
        <v>998</v>
      </c>
      <c r="T1622" s="697">
        <v>4245</v>
      </c>
    </row>
    <row r="1623" spans="1:20" ht="48" x14ac:dyDescent="0.2">
      <c r="A1623" s="432">
        <f>IF(B1623="","",COUNT('Diário 1º PA'!$A$4:$A$2635)+COUNT('Diário 2º PA'!$A$4:$A$3040)+ROW()-3)</f>
        <v>5719</v>
      </c>
      <c r="B1623" s="413">
        <v>44813</v>
      </c>
      <c r="C1623" s="431">
        <v>44774</v>
      </c>
      <c r="D1623" s="419" t="s">
        <v>468</v>
      </c>
      <c r="E1623" s="419" t="s">
        <v>468</v>
      </c>
      <c r="F1623" s="425">
        <v>3500</v>
      </c>
      <c r="G1623" s="427" t="s">
        <v>5676</v>
      </c>
      <c r="H1623" s="415" t="s">
        <v>468</v>
      </c>
      <c r="I1623" s="398" t="s">
        <v>7244</v>
      </c>
      <c r="J1623" s="415" t="s">
        <v>5677</v>
      </c>
      <c r="K1623" s="418" t="s">
        <v>830</v>
      </c>
      <c r="L1623" s="399" t="s">
        <v>32</v>
      </c>
      <c r="M1623" s="544">
        <v>26</v>
      </c>
      <c r="N1623" s="413">
        <v>44812</v>
      </c>
      <c r="O1623" s="414" t="s">
        <v>408</v>
      </c>
      <c r="P1623" s="655">
        <f t="shared" si="91"/>
        <v>9</v>
      </c>
      <c r="Q1623" s="655">
        <f t="shared" si="92"/>
        <v>8</v>
      </c>
      <c r="R1623" s="695" t="str">
        <f t="shared" si="93"/>
        <v>Gastos_custeados_por_captação</v>
      </c>
      <c r="S1623" s="697" t="s">
        <v>1000</v>
      </c>
      <c r="T1623" s="697">
        <v>4019</v>
      </c>
    </row>
    <row r="1624" spans="1:20" ht="36" x14ac:dyDescent="0.2">
      <c r="A1624" s="432">
        <f>IF(B1624="","",COUNT('Diário 1º PA'!$A$4:$A$2635)+COUNT('Diário 2º PA'!$A$4:$A$3040)+ROW()-3)</f>
        <v>5720</v>
      </c>
      <c r="B1624" s="413">
        <v>44813</v>
      </c>
      <c r="C1624" s="431">
        <v>44805</v>
      </c>
      <c r="D1624" s="419" t="s">
        <v>468</v>
      </c>
      <c r="E1624" s="419" t="s">
        <v>468</v>
      </c>
      <c r="F1624" s="425">
        <v>11</v>
      </c>
      <c r="G1624" s="427" t="s">
        <v>2469</v>
      </c>
      <c r="H1624" s="415" t="s">
        <v>468</v>
      </c>
      <c r="I1624" s="639" t="s">
        <v>881</v>
      </c>
      <c r="J1624" s="418" t="s">
        <v>882</v>
      </c>
      <c r="K1624" s="418" t="s">
        <v>883</v>
      </c>
      <c r="L1624" s="399" t="s">
        <v>798</v>
      </c>
      <c r="M1624" s="544" t="s">
        <v>310</v>
      </c>
      <c r="N1624" s="413">
        <v>44813</v>
      </c>
      <c r="O1624" s="414" t="s">
        <v>408</v>
      </c>
      <c r="P1624" s="655">
        <f t="shared" si="91"/>
        <v>9</v>
      </c>
      <c r="Q1624" s="655">
        <f t="shared" si="92"/>
        <v>9</v>
      </c>
      <c r="R1624" s="695" t="str">
        <f t="shared" si="93"/>
        <v>Gastos_custeados_por_captação</v>
      </c>
      <c r="S1624" s="697" t="s">
        <v>310</v>
      </c>
      <c r="T1624" s="697" t="s">
        <v>310</v>
      </c>
    </row>
    <row r="1625" spans="1:20" ht="48" x14ac:dyDescent="0.2">
      <c r="A1625" s="432">
        <f>IF(B1625="","",COUNT('Diário 1º PA'!$A$4:$A$2635)+COUNT('Diário 2º PA'!$A$4:$A$3040)+ROW()-3)</f>
        <v>5721</v>
      </c>
      <c r="B1625" s="414">
        <v>44816</v>
      </c>
      <c r="C1625" s="431">
        <v>44774</v>
      </c>
      <c r="D1625" s="415" t="s">
        <v>271</v>
      </c>
      <c r="E1625" s="415" t="s">
        <v>64</v>
      </c>
      <c r="F1625" s="425">
        <v>-19.100000000000001</v>
      </c>
      <c r="G1625" s="427" t="s">
        <v>7156</v>
      </c>
      <c r="H1625" s="415" t="s">
        <v>309</v>
      </c>
      <c r="I1625" s="427" t="s">
        <v>795</v>
      </c>
      <c r="J1625" s="415" t="s">
        <v>796</v>
      </c>
      <c r="K1625" s="415" t="s">
        <v>797</v>
      </c>
      <c r="L1625" s="415" t="s">
        <v>798</v>
      </c>
      <c r="M1625" s="415" t="s">
        <v>310</v>
      </c>
      <c r="N1625" s="413">
        <v>44816</v>
      </c>
      <c r="O1625" s="414" t="s">
        <v>400</v>
      </c>
      <c r="P1625" s="655">
        <f t="shared" si="91"/>
        <v>9</v>
      </c>
      <c r="Q1625" s="655">
        <f t="shared" si="92"/>
        <v>8</v>
      </c>
      <c r="R1625" s="695" t="str">
        <f t="shared" si="93"/>
        <v>Gastos_Gerais</v>
      </c>
      <c r="S1625" s="697" t="s">
        <v>310</v>
      </c>
      <c r="T1625" s="697" t="s">
        <v>310</v>
      </c>
    </row>
    <row r="1626" spans="1:20" ht="48" x14ac:dyDescent="0.2">
      <c r="A1626" s="432">
        <f>IF(B1626="","",COUNT('Diário 1º PA'!$A$4:$A$2635)+COUNT('Diário 2º PA'!$A$4:$A$3040)+ROW()-3)</f>
        <v>5722</v>
      </c>
      <c r="B1626" s="414">
        <v>44816</v>
      </c>
      <c r="C1626" s="431">
        <v>44774</v>
      </c>
      <c r="D1626" s="415" t="s">
        <v>271</v>
      </c>
      <c r="E1626" s="415" t="s">
        <v>178</v>
      </c>
      <c r="F1626" s="425">
        <v>-69.989999999999995</v>
      </c>
      <c r="G1626" s="427" t="s">
        <v>7157</v>
      </c>
      <c r="H1626" s="415" t="s">
        <v>309</v>
      </c>
      <c r="I1626" s="473" t="s">
        <v>795</v>
      </c>
      <c r="J1626" s="415" t="s">
        <v>796</v>
      </c>
      <c r="K1626" s="415" t="s">
        <v>797</v>
      </c>
      <c r="L1626" s="415" t="s">
        <v>798</v>
      </c>
      <c r="M1626" s="415" t="s">
        <v>310</v>
      </c>
      <c r="N1626" s="413">
        <v>44816</v>
      </c>
      <c r="O1626" s="414" t="s">
        <v>400</v>
      </c>
      <c r="P1626" s="655">
        <f t="shared" si="91"/>
        <v>9</v>
      </c>
      <c r="Q1626" s="655">
        <f t="shared" si="92"/>
        <v>8</v>
      </c>
      <c r="R1626" s="695" t="str">
        <f t="shared" si="93"/>
        <v>Gastos_Gerais</v>
      </c>
      <c r="S1626" s="697" t="s">
        <v>310</v>
      </c>
      <c r="T1626" s="697" t="s">
        <v>310</v>
      </c>
    </row>
    <row r="1627" spans="1:20" ht="72" x14ac:dyDescent="0.2">
      <c r="A1627" s="432">
        <f>IF(B1627="","",COUNT('Diário 1º PA'!$A$4:$A$2635)+COUNT('Diário 2º PA'!$A$4:$A$3040)+ROW()-3)</f>
        <v>5723</v>
      </c>
      <c r="B1627" s="414">
        <v>44816</v>
      </c>
      <c r="C1627" s="431">
        <v>44805</v>
      </c>
      <c r="D1627" s="415" t="s">
        <v>271</v>
      </c>
      <c r="E1627" s="415" t="s">
        <v>67</v>
      </c>
      <c r="F1627" s="435">
        <v>-99.9</v>
      </c>
      <c r="G1627" s="427" t="s">
        <v>7158</v>
      </c>
      <c r="H1627" s="415" t="s">
        <v>309</v>
      </c>
      <c r="I1627" s="427" t="s">
        <v>795</v>
      </c>
      <c r="J1627" s="415" t="s">
        <v>796</v>
      </c>
      <c r="K1627" s="415" t="s">
        <v>797</v>
      </c>
      <c r="L1627" s="415" t="s">
        <v>798</v>
      </c>
      <c r="M1627" s="415" t="s">
        <v>310</v>
      </c>
      <c r="N1627" s="414">
        <v>44816</v>
      </c>
      <c r="O1627" s="414" t="s">
        <v>400</v>
      </c>
      <c r="P1627" s="655">
        <f t="shared" si="91"/>
        <v>9</v>
      </c>
      <c r="Q1627" s="655">
        <f t="shared" si="92"/>
        <v>9</v>
      </c>
      <c r="R1627" s="695" t="str">
        <f t="shared" si="93"/>
        <v>Gastos_Gerais</v>
      </c>
      <c r="S1627" s="697" t="s">
        <v>310</v>
      </c>
      <c r="T1627" s="697" t="s">
        <v>310</v>
      </c>
    </row>
    <row r="1628" spans="1:20" ht="48" x14ac:dyDescent="0.2">
      <c r="A1628" s="432">
        <f>IF(B1628="","",COUNT('Diário 1º PA'!$A$4:$A$2635)+COUNT('Diário 2º PA'!$A$4:$A$3040)+ROW()-3)</f>
        <v>5724</v>
      </c>
      <c r="B1628" s="414">
        <v>44816</v>
      </c>
      <c r="C1628" s="433">
        <v>44774</v>
      </c>
      <c r="D1628" s="415" t="s">
        <v>271</v>
      </c>
      <c r="E1628" s="415" t="s">
        <v>183</v>
      </c>
      <c r="F1628" s="425">
        <v>-77.22</v>
      </c>
      <c r="G1628" s="440" t="s">
        <v>7159</v>
      </c>
      <c r="H1628" s="415" t="s">
        <v>309</v>
      </c>
      <c r="I1628" s="473" t="s">
        <v>795</v>
      </c>
      <c r="J1628" s="415" t="s">
        <v>796</v>
      </c>
      <c r="K1628" s="415" t="s">
        <v>797</v>
      </c>
      <c r="L1628" s="415" t="s">
        <v>798</v>
      </c>
      <c r="M1628" s="415" t="s">
        <v>310</v>
      </c>
      <c r="N1628" s="413">
        <v>44816</v>
      </c>
      <c r="O1628" s="414" t="s">
        <v>400</v>
      </c>
      <c r="P1628" s="655">
        <f t="shared" si="91"/>
        <v>9</v>
      </c>
      <c r="Q1628" s="655">
        <f t="shared" si="92"/>
        <v>8</v>
      </c>
      <c r="R1628" s="695" t="str">
        <f t="shared" si="93"/>
        <v>Gastos_Gerais</v>
      </c>
      <c r="S1628" s="697" t="s">
        <v>310</v>
      </c>
      <c r="T1628" s="697" t="s">
        <v>310</v>
      </c>
    </row>
    <row r="1629" spans="1:20" ht="48" x14ac:dyDescent="0.2">
      <c r="A1629" s="432">
        <f>IF(B1629="","",COUNT('Diário 1º PA'!$A$4:$A$2635)+COUNT('Diário 2º PA'!$A$4:$A$3040)+ROW()-3)</f>
        <v>5725</v>
      </c>
      <c r="B1629" s="414">
        <v>44816</v>
      </c>
      <c r="C1629" s="433">
        <v>44774</v>
      </c>
      <c r="D1629" s="415" t="s">
        <v>271</v>
      </c>
      <c r="E1629" s="415" t="s">
        <v>92</v>
      </c>
      <c r="F1629" s="425">
        <v>-132.05000000000001</v>
      </c>
      <c r="G1629" s="427" t="s">
        <v>7160</v>
      </c>
      <c r="H1629" s="415" t="s">
        <v>309</v>
      </c>
      <c r="I1629" s="473" t="s">
        <v>795</v>
      </c>
      <c r="J1629" s="415" t="s">
        <v>796</v>
      </c>
      <c r="K1629" s="415" t="s">
        <v>797</v>
      </c>
      <c r="L1629" s="399" t="s">
        <v>798</v>
      </c>
      <c r="M1629" s="544" t="s">
        <v>310</v>
      </c>
      <c r="N1629" s="413">
        <v>44816</v>
      </c>
      <c r="O1629" s="414" t="s">
        <v>400</v>
      </c>
      <c r="P1629" s="655">
        <f t="shared" ref="P1629:P1660" si="94">IF(B1629=0,0,IF(YEAR(B1629)=$Q$1,MONTH(B1629)-$P$1+1,(YEAR(B1629)-$Q$1)*12-$P$1+1+MONTH(B1629)))</f>
        <v>9</v>
      </c>
      <c r="Q1629" s="655">
        <f t="shared" ref="Q1629:Q1660" si="95">IF(C1629=0,0,IF(YEAR(C1629)=$Q$1,MONTH(C1629)-$P$1+1,(YEAR(C1629)-$Q$1)*12-$P$1+1+MONTH(C1629)))</f>
        <v>8</v>
      </c>
      <c r="R1629" s="695" t="str">
        <f t="shared" ref="R1629:R1660" si="96">SUBSTITUTE(D1629," ","_")</f>
        <v>Gastos_Gerais</v>
      </c>
      <c r="S1629" s="697" t="s">
        <v>310</v>
      </c>
      <c r="T1629" s="697" t="s">
        <v>310</v>
      </c>
    </row>
    <row r="1630" spans="1:20" ht="60" x14ac:dyDescent="0.2">
      <c r="A1630" s="432">
        <f>IF(B1630="","",COUNT('Diário 1º PA'!$A$4:$A$2635)+COUNT('Diário 2º PA'!$A$4:$A$3040)+ROW()-3)</f>
        <v>5726</v>
      </c>
      <c r="B1630" s="414">
        <v>44816</v>
      </c>
      <c r="C1630" s="431">
        <v>44774</v>
      </c>
      <c r="D1630" s="415" t="s">
        <v>271</v>
      </c>
      <c r="E1630" s="415" t="s">
        <v>187</v>
      </c>
      <c r="F1630" s="435">
        <v>-184.87</v>
      </c>
      <c r="G1630" s="427" t="s">
        <v>7161</v>
      </c>
      <c r="H1630" s="415" t="s">
        <v>309</v>
      </c>
      <c r="I1630" s="473" t="s">
        <v>795</v>
      </c>
      <c r="J1630" s="415" t="s">
        <v>796</v>
      </c>
      <c r="K1630" s="415" t="s">
        <v>797</v>
      </c>
      <c r="L1630" s="415" t="s">
        <v>798</v>
      </c>
      <c r="M1630" s="415" t="s">
        <v>310</v>
      </c>
      <c r="N1630" s="414">
        <v>44816</v>
      </c>
      <c r="O1630" s="414" t="s">
        <v>400</v>
      </c>
      <c r="P1630" s="655">
        <f t="shared" si="94"/>
        <v>9</v>
      </c>
      <c r="Q1630" s="655">
        <f t="shared" si="95"/>
        <v>8</v>
      </c>
      <c r="R1630" s="695" t="str">
        <f t="shared" si="96"/>
        <v>Gastos_Gerais</v>
      </c>
      <c r="S1630" s="697" t="s">
        <v>310</v>
      </c>
      <c r="T1630" s="697" t="s">
        <v>310</v>
      </c>
    </row>
    <row r="1631" spans="1:20" ht="48" x14ac:dyDescent="0.2">
      <c r="A1631" s="432">
        <f>IF(B1631="","",COUNT('Diário 1º PA'!$A$4:$A$2635)+COUNT('Diário 2º PA'!$A$4:$A$3040)+ROW()-3)</f>
        <v>5727</v>
      </c>
      <c r="B1631" s="413">
        <v>44816</v>
      </c>
      <c r="C1631" s="431">
        <v>44774</v>
      </c>
      <c r="D1631" s="415" t="s">
        <v>271</v>
      </c>
      <c r="E1631" s="419" t="s">
        <v>453</v>
      </c>
      <c r="F1631" s="422">
        <v>584.79999999999995</v>
      </c>
      <c r="G1631" s="419" t="s">
        <v>7162</v>
      </c>
      <c r="H1631" s="419" t="s">
        <v>748</v>
      </c>
      <c r="I1631" s="415" t="s">
        <v>7133</v>
      </c>
      <c r="J1631" s="419" t="s">
        <v>6712</v>
      </c>
      <c r="K1631" s="419" t="s">
        <v>806</v>
      </c>
      <c r="L1631" s="415" t="s">
        <v>839</v>
      </c>
      <c r="M1631" s="419">
        <v>2007</v>
      </c>
      <c r="N1631" s="413">
        <v>44813</v>
      </c>
      <c r="O1631" s="414" t="s">
        <v>400</v>
      </c>
      <c r="P1631" s="655">
        <f t="shared" si="94"/>
        <v>9</v>
      </c>
      <c r="Q1631" s="655">
        <f t="shared" si="95"/>
        <v>8</v>
      </c>
      <c r="R1631" s="695" t="str">
        <f t="shared" si="96"/>
        <v>Gastos_Gerais</v>
      </c>
      <c r="S1631" s="697" t="s">
        <v>998</v>
      </c>
      <c r="T1631" s="697">
        <v>4263</v>
      </c>
    </row>
    <row r="1632" spans="1:20" ht="84" x14ac:dyDescent="0.2">
      <c r="A1632" s="432">
        <f>IF(B1632="","",COUNT('Diário 1º PA'!$A$4:$A$2635)+COUNT('Diário 2º PA'!$A$4:$A$3040)+ROW()-3)</f>
        <v>5728</v>
      </c>
      <c r="B1632" s="413">
        <v>44816</v>
      </c>
      <c r="C1632" s="431">
        <v>44743</v>
      </c>
      <c r="D1632" s="415" t="s">
        <v>271</v>
      </c>
      <c r="E1632" s="415" t="s">
        <v>456</v>
      </c>
      <c r="F1632" s="425">
        <v>1050</v>
      </c>
      <c r="G1632" s="427" t="s">
        <v>6173</v>
      </c>
      <c r="H1632" s="415" t="s">
        <v>748</v>
      </c>
      <c r="I1632" s="415" t="s">
        <v>7163</v>
      </c>
      <c r="J1632" s="415" t="s">
        <v>6174</v>
      </c>
      <c r="K1632" s="419" t="s">
        <v>806</v>
      </c>
      <c r="L1632" s="415" t="s">
        <v>839</v>
      </c>
      <c r="M1632" s="419">
        <v>2006</v>
      </c>
      <c r="N1632" s="413">
        <v>44812</v>
      </c>
      <c r="O1632" s="414" t="s">
        <v>400</v>
      </c>
      <c r="P1632" s="655">
        <f t="shared" si="94"/>
        <v>9</v>
      </c>
      <c r="Q1632" s="655">
        <f t="shared" si="95"/>
        <v>7</v>
      </c>
      <c r="R1632" s="695" t="str">
        <f t="shared" si="96"/>
        <v>Gastos_Gerais</v>
      </c>
      <c r="S1632" s="697" t="s">
        <v>1000</v>
      </c>
      <c r="T1632" s="697">
        <v>4060</v>
      </c>
    </row>
    <row r="1633" spans="1:20" ht="48" x14ac:dyDescent="0.2">
      <c r="A1633" s="432">
        <f>IF(B1633="","",COUNT('Diário 1º PA'!$A$4:$A$2635)+COUNT('Diário 2º PA'!$A$4:$A$3040)+ROW()-3)</f>
        <v>5729</v>
      </c>
      <c r="B1633" s="413">
        <v>44816</v>
      </c>
      <c r="C1633" s="431">
        <v>44805</v>
      </c>
      <c r="D1633" s="415" t="s">
        <v>271</v>
      </c>
      <c r="E1633" s="415" t="s">
        <v>67</v>
      </c>
      <c r="F1633" s="425">
        <v>378.25</v>
      </c>
      <c r="G1633" s="427" t="s">
        <v>7166</v>
      </c>
      <c r="H1633" s="415" t="s">
        <v>309</v>
      </c>
      <c r="I1633" s="427" t="s">
        <v>764</v>
      </c>
      <c r="J1633" s="415" t="s">
        <v>310</v>
      </c>
      <c r="K1633" s="419" t="s">
        <v>1220</v>
      </c>
      <c r="L1633" s="415" t="s">
        <v>3973</v>
      </c>
      <c r="M1633" s="419" t="s">
        <v>7167</v>
      </c>
      <c r="N1633" s="413">
        <v>44816</v>
      </c>
      <c r="O1633" s="414" t="s">
        <v>400</v>
      </c>
      <c r="P1633" s="655">
        <f t="shared" si="94"/>
        <v>9</v>
      </c>
      <c r="Q1633" s="655">
        <f t="shared" si="95"/>
        <v>9</v>
      </c>
      <c r="R1633" s="695" t="str">
        <f t="shared" si="96"/>
        <v>Gastos_Gerais</v>
      </c>
      <c r="S1633" s="697" t="s">
        <v>310</v>
      </c>
      <c r="T1633" s="697" t="s">
        <v>310</v>
      </c>
    </row>
    <row r="1634" spans="1:20" ht="36" x14ac:dyDescent="0.2">
      <c r="A1634" s="432">
        <f>IF(B1634="","",COUNT('Diário 1º PA'!$A$4:$A$2635)+COUNT('Diário 2º PA'!$A$4:$A$3040)+ROW()-3)</f>
        <v>5730</v>
      </c>
      <c r="B1634" s="413">
        <v>44816</v>
      </c>
      <c r="C1634" s="431">
        <v>44774</v>
      </c>
      <c r="D1634" s="415" t="s">
        <v>271</v>
      </c>
      <c r="E1634" s="415" t="s">
        <v>64</v>
      </c>
      <c r="F1634" s="425">
        <v>78.349999999999994</v>
      </c>
      <c r="G1634" s="427" t="s">
        <v>7168</v>
      </c>
      <c r="H1634" s="415" t="s">
        <v>309</v>
      </c>
      <c r="I1634" s="415" t="s">
        <v>6337</v>
      </c>
      <c r="J1634" s="415" t="s">
        <v>1330</v>
      </c>
      <c r="K1634" s="419" t="s">
        <v>6338</v>
      </c>
      <c r="L1634" s="415" t="s">
        <v>32</v>
      </c>
      <c r="M1634" s="419" t="s">
        <v>7169</v>
      </c>
      <c r="N1634" s="413">
        <v>44809</v>
      </c>
      <c r="O1634" s="414" t="s">
        <v>400</v>
      </c>
      <c r="P1634" s="655">
        <f t="shared" si="94"/>
        <v>9</v>
      </c>
      <c r="Q1634" s="655">
        <f t="shared" si="95"/>
        <v>8</v>
      </c>
      <c r="R1634" s="695" t="str">
        <f t="shared" si="96"/>
        <v>Gastos_Gerais</v>
      </c>
      <c r="S1634" s="697" t="s">
        <v>310</v>
      </c>
      <c r="T1634" s="697" t="s">
        <v>310</v>
      </c>
    </row>
    <row r="1635" spans="1:20" ht="48" x14ac:dyDescent="0.2">
      <c r="A1635" s="432">
        <f>IF(B1635="","",COUNT('Diário 1º PA'!$A$4:$A$2635)+COUNT('Diário 2º PA'!$A$4:$A$3040)+ROW()-3)</f>
        <v>5731</v>
      </c>
      <c r="B1635" s="413">
        <v>44816</v>
      </c>
      <c r="C1635" s="431">
        <v>44743</v>
      </c>
      <c r="D1635" s="415" t="s">
        <v>271</v>
      </c>
      <c r="E1635" s="415" t="s">
        <v>456</v>
      </c>
      <c r="F1635" s="425">
        <v>783.92</v>
      </c>
      <c r="G1635" s="427" t="s">
        <v>7177</v>
      </c>
      <c r="H1635" s="415" t="s">
        <v>760</v>
      </c>
      <c r="I1635" s="415" t="s">
        <v>3975</v>
      </c>
      <c r="J1635" s="415" t="s">
        <v>1921</v>
      </c>
      <c r="K1635" s="419" t="s">
        <v>830</v>
      </c>
      <c r="L1635" s="415" t="s">
        <v>32</v>
      </c>
      <c r="M1635" s="419" t="s">
        <v>1890</v>
      </c>
      <c r="N1635" s="413">
        <v>44813</v>
      </c>
      <c r="O1635" s="414" t="s">
        <v>400</v>
      </c>
      <c r="P1635" s="655">
        <f t="shared" si="94"/>
        <v>9</v>
      </c>
      <c r="Q1635" s="655">
        <f t="shared" si="95"/>
        <v>7</v>
      </c>
      <c r="R1635" s="695" t="str">
        <f t="shared" si="96"/>
        <v>Gastos_Gerais</v>
      </c>
      <c r="S1635" s="697" t="s">
        <v>998</v>
      </c>
      <c r="T1635" s="697">
        <v>4137</v>
      </c>
    </row>
    <row r="1636" spans="1:20" ht="48" x14ac:dyDescent="0.2">
      <c r="A1636" s="432">
        <f>IF(B1636="","",COUNT('Diário 1º PA'!$A$4:$A$2635)+COUNT('Diário 2º PA'!$A$4:$A$3040)+ROW()-3)</f>
        <v>5732</v>
      </c>
      <c r="B1636" s="413">
        <v>44816</v>
      </c>
      <c r="C1636" s="431">
        <v>44774</v>
      </c>
      <c r="D1636" s="415" t="s">
        <v>271</v>
      </c>
      <c r="E1636" s="415" t="s">
        <v>92</v>
      </c>
      <c r="F1636" s="425">
        <v>500</v>
      </c>
      <c r="G1636" s="427" t="s">
        <v>692</v>
      </c>
      <c r="H1636" s="415" t="s">
        <v>309</v>
      </c>
      <c r="I1636" s="398" t="s">
        <v>5969</v>
      </c>
      <c r="J1636" s="415" t="s">
        <v>1123</v>
      </c>
      <c r="K1636" s="418" t="s">
        <v>812</v>
      </c>
      <c r="L1636" s="415" t="s">
        <v>1372</v>
      </c>
      <c r="M1636" s="544" t="s">
        <v>7171</v>
      </c>
      <c r="N1636" s="414">
        <v>44805</v>
      </c>
      <c r="O1636" s="414" t="s">
        <v>400</v>
      </c>
      <c r="P1636" s="655">
        <f t="shared" si="94"/>
        <v>9</v>
      </c>
      <c r="Q1636" s="655">
        <f t="shared" si="95"/>
        <v>8</v>
      </c>
      <c r="R1636" s="695" t="str">
        <f t="shared" si="96"/>
        <v>Gastos_Gerais</v>
      </c>
      <c r="S1636" s="697" t="s">
        <v>1000</v>
      </c>
      <c r="T1636" s="697">
        <v>2665</v>
      </c>
    </row>
    <row r="1637" spans="1:20" ht="24" x14ac:dyDescent="0.2">
      <c r="A1637" s="432">
        <f>IF(B1637="","",COUNT('Diário 1º PA'!$A$4:$A$2635)+COUNT('Diário 2º PA'!$A$4:$A$3040)+ROW()-3)</f>
        <v>5733</v>
      </c>
      <c r="B1637" s="413">
        <v>44816</v>
      </c>
      <c r="C1637" s="433">
        <v>44774</v>
      </c>
      <c r="D1637" s="434" t="s">
        <v>271</v>
      </c>
      <c r="E1637" s="434" t="s">
        <v>183</v>
      </c>
      <c r="F1637" s="425">
        <v>292.39</v>
      </c>
      <c r="G1637" s="437" t="s">
        <v>5718</v>
      </c>
      <c r="H1637" s="434" t="s">
        <v>309</v>
      </c>
      <c r="I1637" s="437" t="s">
        <v>768</v>
      </c>
      <c r="J1637" s="434" t="s">
        <v>1021</v>
      </c>
      <c r="K1637" s="419" t="s">
        <v>1404</v>
      </c>
      <c r="L1637" s="415" t="s">
        <v>807</v>
      </c>
      <c r="M1637" s="419" t="s">
        <v>7172</v>
      </c>
      <c r="N1637" s="413">
        <v>44792</v>
      </c>
      <c r="O1637" s="414" t="s">
        <v>400</v>
      </c>
      <c r="P1637" s="655">
        <f t="shared" si="94"/>
        <v>9</v>
      </c>
      <c r="Q1637" s="655">
        <f t="shared" si="95"/>
        <v>8</v>
      </c>
      <c r="R1637" s="695" t="str">
        <f t="shared" si="96"/>
        <v>Gastos_Gerais</v>
      </c>
      <c r="S1637" s="697" t="s">
        <v>310</v>
      </c>
      <c r="T1637" s="697" t="s">
        <v>310</v>
      </c>
    </row>
    <row r="1638" spans="1:20" ht="48" x14ac:dyDescent="0.2">
      <c r="A1638" s="432">
        <f>IF(B1638="","",COUNT('Diário 1º PA'!$A$4:$A$2635)+COUNT('Diário 2º PA'!$A$4:$A$3040)+ROW()-3)</f>
        <v>5734</v>
      </c>
      <c r="B1638" s="413">
        <v>44816</v>
      </c>
      <c r="C1638" s="431">
        <v>44743</v>
      </c>
      <c r="D1638" s="415" t="s">
        <v>271</v>
      </c>
      <c r="E1638" s="415" t="s">
        <v>297</v>
      </c>
      <c r="F1638" s="425">
        <v>783.92</v>
      </c>
      <c r="G1638" s="427" t="s">
        <v>5862</v>
      </c>
      <c r="H1638" s="415" t="s">
        <v>760</v>
      </c>
      <c r="I1638" s="415" t="s">
        <v>3975</v>
      </c>
      <c r="J1638" s="415" t="s">
        <v>1921</v>
      </c>
      <c r="K1638" s="419" t="s">
        <v>830</v>
      </c>
      <c r="L1638" s="415" t="s">
        <v>32</v>
      </c>
      <c r="M1638" s="419" t="s">
        <v>1540</v>
      </c>
      <c r="N1638" s="413">
        <v>44813</v>
      </c>
      <c r="O1638" s="414" t="s">
        <v>400</v>
      </c>
      <c r="P1638" s="655">
        <f t="shared" si="94"/>
        <v>9</v>
      </c>
      <c r="Q1638" s="655">
        <f t="shared" si="95"/>
        <v>7</v>
      </c>
      <c r="R1638" s="695" t="str">
        <f t="shared" si="96"/>
        <v>Gastos_Gerais</v>
      </c>
      <c r="S1638" s="697" t="s">
        <v>998</v>
      </c>
      <c r="T1638" s="697">
        <v>4127</v>
      </c>
    </row>
    <row r="1639" spans="1:20" ht="60" x14ac:dyDescent="0.2">
      <c r="A1639" s="432">
        <f>IF(B1639="","",COUNT('Diário 1º PA'!$A$4:$A$2635)+COUNT('Diário 2º PA'!$A$4:$A$3040)+ROW()-3)</f>
        <v>5735</v>
      </c>
      <c r="B1639" s="413">
        <v>44816</v>
      </c>
      <c r="C1639" s="431">
        <v>44774</v>
      </c>
      <c r="D1639" s="415" t="s">
        <v>271</v>
      </c>
      <c r="E1639" s="415" t="s">
        <v>183</v>
      </c>
      <c r="F1639" s="425">
        <v>137.59</v>
      </c>
      <c r="G1639" s="427" t="s">
        <v>551</v>
      </c>
      <c r="H1639" s="415" t="s">
        <v>753</v>
      </c>
      <c r="I1639" s="415" t="s">
        <v>6366</v>
      </c>
      <c r="J1639" s="415" t="s">
        <v>1704</v>
      </c>
      <c r="K1639" s="415" t="s">
        <v>1404</v>
      </c>
      <c r="L1639" s="415" t="s">
        <v>32</v>
      </c>
      <c r="M1639" s="546">
        <v>2208953715938</v>
      </c>
      <c r="N1639" s="413">
        <v>44796</v>
      </c>
      <c r="O1639" s="414" t="s">
        <v>400</v>
      </c>
      <c r="P1639" s="655">
        <f t="shared" si="94"/>
        <v>9</v>
      </c>
      <c r="Q1639" s="655">
        <f t="shared" si="95"/>
        <v>8</v>
      </c>
      <c r="R1639" s="695" t="str">
        <f t="shared" si="96"/>
        <v>Gastos_Gerais</v>
      </c>
      <c r="S1639" s="696" t="s">
        <v>1000</v>
      </c>
      <c r="T1639" s="697">
        <v>1997</v>
      </c>
    </row>
    <row r="1640" spans="1:20" ht="84" x14ac:dyDescent="0.2">
      <c r="A1640" s="432">
        <f>IF(B1640="","",COUNT('Diário 1º PA'!$A$4:$A$2635)+COUNT('Diário 2º PA'!$A$4:$A$3040)+ROW()-3)</f>
        <v>5736</v>
      </c>
      <c r="B1640" s="413">
        <v>44816</v>
      </c>
      <c r="C1640" s="431">
        <v>44774</v>
      </c>
      <c r="D1640" s="415" t="s">
        <v>271</v>
      </c>
      <c r="E1640" s="415" t="s">
        <v>178</v>
      </c>
      <c r="F1640" s="425">
        <v>254.93</v>
      </c>
      <c r="G1640" s="427" t="s">
        <v>482</v>
      </c>
      <c r="H1640" s="415" t="s">
        <v>309</v>
      </c>
      <c r="I1640" s="415" t="s">
        <v>1276</v>
      </c>
      <c r="J1640" s="415" t="s">
        <v>1017</v>
      </c>
      <c r="K1640" s="419" t="s">
        <v>812</v>
      </c>
      <c r="L1640" s="415" t="s">
        <v>32</v>
      </c>
      <c r="M1640" s="419" t="s">
        <v>7173</v>
      </c>
      <c r="N1640" s="413">
        <v>44777</v>
      </c>
      <c r="O1640" s="414" t="s">
        <v>400</v>
      </c>
      <c r="P1640" s="655">
        <f t="shared" si="94"/>
        <v>9</v>
      </c>
      <c r="Q1640" s="655">
        <f t="shared" si="95"/>
        <v>8</v>
      </c>
      <c r="R1640" s="695" t="str">
        <f t="shared" si="96"/>
        <v>Gastos_Gerais</v>
      </c>
      <c r="S1640" s="697" t="s">
        <v>1000</v>
      </c>
      <c r="T1640" s="697">
        <v>1133</v>
      </c>
    </row>
    <row r="1641" spans="1:20" ht="96" x14ac:dyDescent="0.2">
      <c r="A1641" s="432">
        <f>IF(B1641="","",COUNT('Diário 1º PA'!$A$4:$A$2635)+COUNT('Diário 2º PA'!$A$4:$A$3040)+ROW()-3)</f>
        <v>5737</v>
      </c>
      <c r="B1641" s="413">
        <v>44816</v>
      </c>
      <c r="C1641" s="431">
        <v>44774</v>
      </c>
      <c r="D1641" s="415" t="s">
        <v>271</v>
      </c>
      <c r="E1641" s="415" t="s">
        <v>187</v>
      </c>
      <c r="F1641" s="422">
        <v>700</v>
      </c>
      <c r="G1641" s="427" t="s">
        <v>5670</v>
      </c>
      <c r="H1641" s="415" t="s">
        <v>309</v>
      </c>
      <c r="I1641" s="419" t="s">
        <v>1701</v>
      </c>
      <c r="J1641" s="415" t="s">
        <v>1071</v>
      </c>
      <c r="K1641" s="419" t="s">
        <v>812</v>
      </c>
      <c r="L1641" s="415" t="s">
        <v>32</v>
      </c>
      <c r="M1641" s="419" t="s">
        <v>7174</v>
      </c>
      <c r="N1641" s="413">
        <v>44806</v>
      </c>
      <c r="O1641" s="414" t="s">
        <v>400</v>
      </c>
      <c r="P1641" s="655">
        <f t="shared" si="94"/>
        <v>9</v>
      </c>
      <c r="Q1641" s="655">
        <f t="shared" si="95"/>
        <v>8</v>
      </c>
      <c r="R1641" s="695" t="str">
        <f t="shared" si="96"/>
        <v>Gastos_Gerais</v>
      </c>
      <c r="S1641" s="697" t="s">
        <v>1000</v>
      </c>
      <c r="T1641" s="697">
        <v>2666</v>
      </c>
    </row>
    <row r="1642" spans="1:20" ht="84" x14ac:dyDescent="0.2">
      <c r="A1642" s="432">
        <f>IF(B1642="","",COUNT('Diário 1º PA'!$A$4:$A$2635)+COUNT('Diário 2º PA'!$A$4:$A$3040)+ROW()-3)</f>
        <v>5738</v>
      </c>
      <c r="B1642" s="413">
        <v>44816</v>
      </c>
      <c r="C1642" s="431">
        <v>44805</v>
      </c>
      <c r="D1642" s="415" t="s">
        <v>271</v>
      </c>
      <c r="E1642" s="415" t="s">
        <v>297</v>
      </c>
      <c r="F1642" s="425">
        <v>210</v>
      </c>
      <c r="G1642" s="427" t="s">
        <v>7129</v>
      </c>
      <c r="H1642" s="415" t="s">
        <v>309</v>
      </c>
      <c r="I1642" s="415" t="s">
        <v>4874</v>
      </c>
      <c r="J1642" s="415" t="s">
        <v>4875</v>
      </c>
      <c r="K1642" s="419" t="s">
        <v>830</v>
      </c>
      <c r="L1642" s="415" t="s">
        <v>32</v>
      </c>
      <c r="M1642" s="419">
        <v>1878</v>
      </c>
      <c r="N1642" s="413">
        <v>44816</v>
      </c>
      <c r="O1642" s="414" t="s">
        <v>400</v>
      </c>
      <c r="P1642" s="655">
        <f t="shared" si="94"/>
        <v>9</v>
      </c>
      <c r="Q1642" s="655">
        <f t="shared" si="95"/>
        <v>9</v>
      </c>
      <c r="R1642" s="695" t="str">
        <f t="shared" si="96"/>
        <v>Gastos_Gerais</v>
      </c>
      <c r="S1642" s="697" t="s">
        <v>1000</v>
      </c>
      <c r="T1642" s="697">
        <v>4348</v>
      </c>
    </row>
    <row r="1643" spans="1:20" ht="144" x14ac:dyDescent="0.2">
      <c r="A1643" s="432">
        <f>IF(B1643="","",COUNT('Diário 1º PA'!$A$4:$A$2635)+COUNT('Diário 2º PA'!$A$4:$A$3040)+ROW()-3)</f>
        <v>5739</v>
      </c>
      <c r="B1643" s="413">
        <v>44816</v>
      </c>
      <c r="C1643" s="431">
        <v>44166</v>
      </c>
      <c r="D1643" s="434" t="s">
        <v>271</v>
      </c>
      <c r="E1643" s="434" t="s">
        <v>183</v>
      </c>
      <c r="F1643" s="435">
        <v>602.70000000000005</v>
      </c>
      <c r="G1643" s="437" t="s">
        <v>470</v>
      </c>
      <c r="H1643" s="434" t="s">
        <v>748</v>
      </c>
      <c r="I1643" s="474" t="s">
        <v>1486</v>
      </c>
      <c r="J1643" s="418" t="s">
        <v>1487</v>
      </c>
      <c r="K1643" s="418" t="s">
        <v>812</v>
      </c>
      <c r="L1643" s="399" t="s">
        <v>807</v>
      </c>
      <c r="M1643" s="415">
        <v>354117</v>
      </c>
      <c r="N1643" s="414">
        <v>44818</v>
      </c>
      <c r="O1643" s="393" t="s">
        <v>400</v>
      </c>
      <c r="P1643" s="655">
        <f t="shared" si="94"/>
        <v>9</v>
      </c>
      <c r="Q1643" s="655">
        <f t="shared" si="95"/>
        <v>-12</v>
      </c>
      <c r="R1643" s="695" t="str">
        <f t="shared" si="96"/>
        <v>Gastos_Gerais</v>
      </c>
      <c r="S1643" s="697" t="s">
        <v>998</v>
      </c>
      <c r="T1643" s="697">
        <v>528</v>
      </c>
    </row>
    <row r="1644" spans="1:20" ht="36" x14ac:dyDescent="0.2">
      <c r="A1644" s="432">
        <f>IF(B1644="","",COUNT('Diário 1º PA'!$A$4:$A$2635)+COUNT('Diário 2º PA'!$A$4:$A$3040)+ROW()-3)</f>
        <v>5740</v>
      </c>
      <c r="B1644" s="413">
        <v>44816</v>
      </c>
      <c r="C1644" s="431">
        <v>44805</v>
      </c>
      <c r="D1644" s="415" t="s">
        <v>271</v>
      </c>
      <c r="E1644" s="415" t="s">
        <v>71</v>
      </c>
      <c r="F1644" s="425">
        <v>11</v>
      </c>
      <c r="G1644" s="440" t="s">
        <v>7175</v>
      </c>
      <c r="H1644" s="415" t="s">
        <v>760</v>
      </c>
      <c r="I1644" s="398" t="s">
        <v>881</v>
      </c>
      <c r="J1644" s="418" t="s">
        <v>882</v>
      </c>
      <c r="K1644" s="418" t="s">
        <v>883</v>
      </c>
      <c r="L1644" s="399" t="s">
        <v>798</v>
      </c>
      <c r="M1644" s="544" t="s">
        <v>310</v>
      </c>
      <c r="N1644" s="413">
        <v>44816</v>
      </c>
      <c r="O1644" s="414" t="s">
        <v>400</v>
      </c>
      <c r="P1644" s="655">
        <f t="shared" si="94"/>
        <v>9</v>
      </c>
      <c r="Q1644" s="655">
        <f t="shared" si="95"/>
        <v>9</v>
      </c>
      <c r="R1644" s="695" t="str">
        <f t="shared" si="96"/>
        <v>Gastos_Gerais</v>
      </c>
      <c r="S1644" s="697" t="s">
        <v>310</v>
      </c>
      <c r="T1644" s="697" t="s">
        <v>310</v>
      </c>
    </row>
    <row r="1645" spans="1:20" ht="36" x14ac:dyDescent="0.2">
      <c r="A1645" s="432">
        <f>IF(B1645="","",COUNT('Diário 1º PA'!$A$4:$A$2635)+COUNT('Diário 2º PA'!$A$4:$A$3040)+ROW()-3)</f>
        <v>5741</v>
      </c>
      <c r="B1645" s="413">
        <v>44816</v>
      </c>
      <c r="C1645" s="431">
        <v>44805</v>
      </c>
      <c r="D1645" s="415" t="s">
        <v>271</v>
      </c>
      <c r="E1645" s="415" t="s">
        <v>71</v>
      </c>
      <c r="F1645" s="425">
        <v>11</v>
      </c>
      <c r="G1645" s="440" t="s">
        <v>7176</v>
      </c>
      <c r="H1645" s="415" t="s">
        <v>309</v>
      </c>
      <c r="I1645" s="398" t="s">
        <v>881</v>
      </c>
      <c r="J1645" s="418" t="s">
        <v>882</v>
      </c>
      <c r="K1645" s="418" t="s">
        <v>883</v>
      </c>
      <c r="L1645" s="399" t="s">
        <v>798</v>
      </c>
      <c r="M1645" s="544" t="s">
        <v>310</v>
      </c>
      <c r="N1645" s="413">
        <v>44816</v>
      </c>
      <c r="O1645" s="414" t="s">
        <v>400</v>
      </c>
      <c r="P1645" s="655">
        <f t="shared" si="94"/>
        <v>9</v>
      </c>
      <c r="Q1645" s="655">
        <f t="shared" si="95"/>
        <v>9</v>
      </c>
      <c r="R1645" s="695" t="str">
        <f t="shared" si="96"/>
        <v>Gastos_Gerais</v>
      </c>
      <c r="S1645" s="697" t="s">
        <v>310</v>
      </c>
      <c r="T1645" s="697" t="s">
        <v>310</v>
      </c>
    </row>
    <row r="1646" spans="1:20" ht="36" x14ac:dyDescent="0.2">
      <c r="A1646" s="432">
        <f>IF(B1646="","",COUNT('Diário 1º PA'!$A$4:$A$2635)+COUNT('Diário 2º PA'!$A$4:$A$3040)+ROW()-3)</f>
        <v>5742</v>
      </c>
      <c r="B1646" s="413">
        <v>44816</v>
      </c>
      <c r="C1646" s="431">
        <v>44805</v>
      </c>
      <c r="D1646" s="415" t="s">
        <v>271</v>
      </c>
      <c r="E1646" s="415" t="s">
        <v>71</v>
      </c>
      <c r="F1646" s="425">
        <v>11</v>
      </c>
      <c r="G1646" s="440" t="s">
        <v>7179</v>
      </c>
      <c r="H1646" s="415" t="s">
        <v>760</v>
      </c>
      <c r="I1646" s="398" t="s">
        <v>881</v>
      </c>
      <c r="J1646" s="418" t="s">
        <v>882</v>
      </c>
      <c r="K1646" s="418" t="s">
        <v>883</v>
      </c>
      <c r="L1646" s="399" t="s">
        <v>798</v>
      </c>
      <c r="M1646" s="544" t="s">
        <v>310</v>
      </c>
      <c r="N1646" s="413">
        <v>44816</v>
      </c>
      <c r="O1646" s="414" t="s">
        <v>400</v>
      </c>
      <c r="P1646" s="655">
        <f t="shared" si="94"/>
        <v>9</v>
      </c>
      <c r="Q1646" s="655">
        <f t="shared" si="95"/>
        <v>9</v>
      </c>
      <c r="R1646" s="695" t="str">
        <f t="shared" si="96"/>
        <v>Gastos_Gerais</v>
      </c>
      <c r="S1646" s="697" t="s">
        <v>310</v>
      </c>
      <c r="T1646" s="697" t="s">
        <v>310</v>
      </c>
    </row>
    <row r="1647" spans="1:20" ht="36" x14ac:dyDescent="0.2">
      <c r="A1647" s="432">
        <f>IF(B1647="","",COUNT('Diário 1º PA'!$A$4:$A$2635)+COUNT('Diário 2º PA'!$A$4:$A$3040)+ROW()-3)</f>
        <v>5743</v>
      </c>
      <c r="B1647" s="413">
        <v>44816</v>
      </c>
      <c r="C1647" s="431">
        <v>44805</v>
      </c>
      <c r="D1647" s="415" t="s">
        <v>271</v>
      </c>
      <c r="E1647" s="415" t="s">
        <v>71</v>
      </c>
      <c r="F1647" s="425">
        <v>11</v>
      </c>
      <c r="G1647" s="440" t="s">
        <v>7180</v>
      </c>
      <c r="H1647" s="415" t="s">
        <v>760</v>
      </c>
      <c r="I1647" s="398" t="s">
        <v>881</v>
      </c>
      <c r="J1647" s="418" t="s">
        <v>882</v>
      </c>
      <c r="K1647" s="418" t="s">
        <v>883</v>
      </c>
      <c r="L1647" s="399" t="s">
        <v>798</v>
      </c>
      <c r="M1647" s="544" t="s">
        <v>310</v>
      </c>
      <c r="N1647" s="413">
        <v>44816</v>
      </c>
      <c r="O1647" s="414" t="s">
        <v>400</v>
      </c>
      <c r="P1647" s="655">
        <f t="shared" si="94"/>
        <v>9</v>
      </c>
      <c r="Q1647" s="655">
        <f t="shared" si="95"/>
        <v>9</v>
      </c>
      <c r="R1647" s="695" t="str">
        <f t="shared" si="96"/>
        <v>Gastos_Gerais</v>
      </c>
      <c r="S1647" s="697" t="s">
        <v>310</v>
      </c>
      <c r="T1647" s="697" t="s">
        <v>310</v>
      </c>
    </row>
    <row r="1648" spans="1:20" ht="108" x14ac:dyDescent="0.2">
      <c r="A1648" s="432">
        <f>IF(B1648="","",COUNT('Diário 1º PA'!$A$4:$A$2635)+COUNT('Diário 2º PA'!$A$4:$A$3040)+ROW()-3)</f>
        <v>5744</v>
      </c>
      <c r="B1648" s="413">
        <v>44816</v>
      </c>
      <c r="C1648" s="431">
        <v>44774</v>
      </c>
      <c r="D1648" s="419" t="s">
        <v>468</v>
      </c>
      <c r="E1648" s="419" t="s">
        <v>468</v>
      </c>
      <c r="F1648" s="422">
        <v>2082.29</v>
      </c>
      <c r="G1648" s="427" t="s">
        <v>6186</v>
      </c>
      <c r="H1648" s="419" t="s">
        <v>468</v>
      </c>
      <c r="I1648" s="415" t="s">
        <v>7194</v>
      </c>
      <c r="J1648" s="415" t="s">
        <v>6187</v>
      </c>
      <c r="K1648" s="419" t="s">
        <v>830</v>
      </c>
      <c r="L1648" s="415" t="s">
        <v>807</v>
      </c>
      <c r="M1648" s="419" t="s">
        <v>2681</v>
      </c>
      <c r="N1648" s="413">
        <v>44812</v>
      </c>
      <c r="O1648" s="414" t="s">
        <v>405</v>
      </c>
      <c r="P1648" s="655">
        <f t="shared" si="94"/>
        <v>9</v>
      </c>
      <c r="Q1648" s="655">
        <f t="shared" si="95"/>
        <v>8</v>
      </c>
      <c r="R1648" s="695" t="str">
        <f t="shared" si="96"/>
        <v>Gastos_custeados_por_captação</v>
      </c>
      <c r="S1648" s="697" t="s">
        <v>1000</v>
      </c>
      <c r="T1648" s="697">
        <v>4184</v>
      </c>
    </row>
    <row r="1649" spans="1:20" ht="72" x14ac:dyDescent="0.2">
      <c r="A1649" s="432">
        <f>IF(B1649="","",COUNT('Diário 1º PA'!$A$4:$A$2635)+COUNT('Diário 2º PA'!$A$4:$A$3040)+ROW()-3)</f>
        <v>5745</v>
      </c>
      <c r="B1649" s="413">
        <v>44816</v>
      </c>
      <c r="C1649" s="431">
        <v>44805</v>
      </c>
      <c r="D1649" s="419" t="s">
        <v>468</v>
      </c>
      <c r="E1649" s="419" t="s">
        <v>468</v>
      </c>
      <c r="F1649" s="422">
        <v>153</v>
      </c>
      <c r="G1649" s="427" t="s">
        <v>880</v>
      </c>
      <c r="H1649" s="419" t="s">
        <v>468</v>
      </c>
      <c r="I1649" s="398" t="s">
        <v>881</v>
      </c>
      <c r="J1649" s="418" t="s">
        <v>882</v>
      </c>
      <c r="K1649" s="418" t="s">
        <v>883</v>
      </c>
      <c r="L1649" s="399" t="s">
        <v>798</v>
      </c>
      <c r="M1649" s="544" t="s">
        <v>310</v>
      </c>
      <c r="N1649" s="413">
        <v>44816</v>
      </c>
      <c r="O1649" s="414" t="s">
        <v>402</v>
      </c>
      <c r="P1649" s="655">
        <f t="shared" si="94"/>
        <v>9</v>
      </c>
      <c r="Q1649" s="655">
        <f t="shared" si="95"/>
        <v>9</v>
      </c>
      <c r="R1649" s="695" t="str">
        <f t="shared" si="96"/>
        <v>Gastos_custeados_por_captação</v>
      </c>
      <c r="S1649" s="697" t="s">
        <v>310</v>
      </c>
      <c r="T1649" s="697" t="s">
        <v>310</v>
      </c>
    </row>
    <row r="1650" spans="1:20" ht="36" x14ac:dyDescent="0.2">
      <c r="A1650" s="432">
        <f>IF(B1650="","",COUNT('Diário 1º PA'!$A$4:$A$2635)+COUNT('Diário 2º PA'!$A$4:$A$3040)+ROW()-3)</f>
        <v>5746</v>
      </c>
      <c r="B1650" s="414">
        <v>44817</v>
      </c>
      <c r="C1650" s="433">
        <v>44805</v>
      </c>
      <c r="D1650" s="415" t="s">
        <v>34</v>
      </c>
      <c r="E1650" s="415" t="s">
        <v>167</v>
      </c>
      <c r="F1650" s="422">
        <v>25</v>
      </c>
      <c r="G1650" s="427" t="s">
        <v>7284</v>
      </c>
      <c r="H1650" s="415" t="s">
        <v>310</v>
      </c>
      <c r="I1650" s="427" t="s">
        <v>795</v>
      </c>
      <c r="J1650" s="415" t="s">
        <v>796</v>
      </c>
      <c r="K1650" s="415" t="s">
        <v>797</v>
      </c>
      <c r="L1650" s="415" t="s">
        <v>798</v>
      </c>
      <c r="M1650" s="415" t="s">
        <v>310</v>
      </c>
      <c r="N1650" s="414">
        <v>44817</v>
      </c>
      <c r="O1650" s="414" t="s">
        <v>400</v>
      </c>
      <c r="P1650" s="655">
        <f t="shared" si="94"/>
        <v>9</v>
      </c>
      <c r="Q1650" s="655">
        <f t="shared" si="95"/>
        <v>9</v>
      </c>
      <c r="R1650" s="695" t="str">
        <f t="shared" si="96"/>
        <v>Receitas</v>
      </c>
      <c r="S1650" s="697" t="s">
        <v>310</v>
      </c>
      <c r="T1650" s="697" t="s">
        <v>310</v>
      </c>
    </row>
    <row r="1651" spans="1:20" ht="84" x14ac:dyDescent="0.2">
      <c r="A1651" s="432">
        <f>IF(B1651="","",COUNT('Diário 1º PA'!$A$4:$A$2635)+COUNT('Diário 2º PA'!$A$4:$A$3040)+ROW()-3)</f>
        <v>5747</v>
      </c>
      <c r="B1651" s="413">
        <v>44817</v>
      </c>
      <c r="C1651" s="431">
        <v>44774</v>
      </c>
      <c r="D1651" s="415" t="s">
        <v>271</v>
      </c>
      <c r="E1651" s="415" t="s">
        <v>456</v>
      </c>
      <c r="F1651" s="425">
        <v>1050</v>
      </c>
      <c r="G1651" s="427" t="s">
        <v>6173</v>
      </c>
      <c r="H1651" s="415" t="s">
        <v>748</v>
      </c>
      <c r="I1651" s="415" t="s">
        <v>7163</v>
      </c>
      <c r="J1651" s="415" t="s">
        <v>6174</v>
      </c>
      <c r="K1651" s="419" t="s">
        <v>806</v>
      </c>
      <c r="L1651" s="415" t="s">
        <v>839</v>
      </c>
      <c r="M1651" s="419">
        <v>2006</v>
      </c>
      <c r="N1651" s="413">
        <v>44812</v>
      </c>
      <c r="O1651" s="393" t="s">
        <v>400</v>
      </c>
      <c r="P1651" s="655">
        <f t="shared" si="94"/>
        <v>9</v>
      </c>
      <c r="Q1651" s="655">
        <f t="shared" si="95"/>
        <v>8</v>
      </c>
      <c r="R1651" s="695" t="str">
        <f t="shared" si="96"/>
        <v>Gastos_Gerais</v>
      </c>
      <c r="S1651" s="697" t="s">
        <v>1000</v>
      </c>
      <c r="T1651" s="697">
        <v>4060</v>
      </c>
    </row>
    <row r="1652" spans="1:20" ht="48" x14ac:dyDescent="0.2">
      <c r="A1652" s="432">
        <f>IF(B1652="","",COUNT('Diário 1º PA'!$A$4:$A$2635)+COUNT('Diário 2º PA'!$A$4:$A$3040)+ROW()-3)</f>
        <v>5748</v>
      </c>
      <c r="B1652" s="413">
        <v>44817</v>
      </c>
      <c r="C1652" s="431">
        <v>44743</v>
      </c>
      <c r="D1652" s="415" t="s">
        <v>271</v>
      </c>
      <c r="E1652" s="415" t="s">
        <v>456</v>
      </c>
      <c r="F1652" s="422">
        <v>800</v>
      </c>
      <c r="G1652" s="419" t="s">
        <v>7199</v>
      </c>
      <c r="H1652" s="415" t="s">
        <v>760</v>
      </c>
      <c r="I1652" s="415" t="s">
        <v>6979</v>
      </c>
      <c r="J1652" s="419" t="s">
        <v>1807</v>
      </c>
      <c r="K1652" s="419" t="s">
        <v>830</v>
      </c>
      <c r="L1652" s="415" t="s">
        <v>807</v>
      </c>
      <c r="M1652" s="419" t="s">
        <v>1890</v>
      </c>
      <c r="N1652" s="413">
        <v>44812</v>
      </c>
      <c r="O1652" s="393" t="s">
        <v>400</v>
      </c>
      <c r="P1652" s="655">
        <f t="shared" si="94"/>
        <v>9</v>
      </c>
      <c r="Q1652" s="655">
        <f t="shared" si="95"/>
        <v>7</v>
      </c>
      <c r="R1652" s="695" t="str">
        <f t="shared" si="96"/>
        <v>Gastos_Gerais</v>
      </c>
      <c r="S1652" s="697" t="s">
        <v>998</v>
      </c>
      <c r="T1652" s="697">
        <v>4140</v>
      </c>
    </row>
    <row r="1653" spans="1:20" ht="36" x14ac:dyDescent="0.2">
      <c r="A1653" s="432">
        <f>IF(B1653="","",COUNT('Diário 1º PA'!$A$4:$A$2635)+COUNT('Diário 2º PA'!$A$4:$A$3040)+ROW()-3)</f>
        <v>5749</v>
      </c>
      <c r="B1653" s="413">
        <v>44817</v>
      </c>
      <c r="C1653" s="431">
        <v>44743</v>
      </c>
      <c r="D1653" s="415" t="s">
        <v>271</v>
      </c>
      <c r="E1653" s="415" t="s">
        <v>456</v>
      </c>
      <c r="F1653" s="425">
        <v>800</v>
      </c>
      <c r="G1653" s="427" t="s">
        <v>6072</v>
      </c>
      <c r="H1653" s="415" t="s">
        <v>760</v>
      </c>
      <c r="I1653" s="415" t="s">
        <v>7200</v>
      </c>
      <c r="J1653" s="415" t="s">
        <v>2602</v>
      </c>
      <c r="K1653" s="419" t="s">
        <v>830</v>
      </c>
      <c r="L1653" s="415" t="s">
        <v>807</v>
      </c>
      <c r="M1653" s="419" t="s">
        <v>1696</v>
      </c>
      <c r="N1653" s="413">
        <v>44816</v>
      </c>
      <c r="O1653" s="393" t="s">
        <v>400</v>
      </c>
      <c r="P1653" s="655">
        <f t="shared" si="94"/>
        <v>9</v>
      </c>
      <c r="Q1653" s="655">
        <f t="shared" si="95"/>
        <v>7</v>
      </c>
      <c r="R1653" s="695" t="str">
        <f t="shared" si="96"/>
        <v>Gastos_Gerais</v>
      </c>
      <c r="S1653" s="697" t="s">
        <v>998</v>
      </c>
      <c r="T1653" s="697">
        <v>4153</v>
      </c>
    </row>
    <row r="1654" spans="1:20" ht="48" x14ac:dyDescent="0.2">
      <c r="A1654" s="432">
        <f>IF(B1654="","",COUNT('Diário 1º PA'!$A$4:$A$2635)+COUNT('Diário 2º PA'!$A$4:$A$3040)+ROW()-3)</f>
        <v>5750</v>
      </c>
      <c r="B1654" s="413">
        <v>44817</v>
      </c>
      <c r="C1654" s="431">
        <v>44743</v>
      </c>
      <c r="D1654" s="415" t="s">
        <v>271</v>
      </c>
      <c r="E1654" s="415" t="s">
        <v>456</v>
      </c>
      <c r="F1654" s="425">
        <v>800</v>
      </c>
      <c r="G1654" s="419" t="s">
        <v>7201</v>
      </c>
      <c r="H1654" s="419" t="s">
        <v>758</v>
      </c>
      <c r="I1654" s="415" t="s">
        <v>4153</v>
      </c>
      <c r="J1654" s="419" t="s">
        <v>7202</v>
      </c>
      <c r="K1654" s="419" t="s">
        <v>830</v>
      </c>
      <c r="L1654" s="415" t="s">
        <v>807</v>
      </c>
      <c r="M1654" s="419" t="s">
        <v>2619</v>
      </c>
      <c r="N1654" s="413">
        <v>44814</v>
      </c>
      <c r="O1654" s="393" t="s">
        <v>400</v>
      </c>
      <c r="P1654" s="655">
        <f t="shared" si="94"/>
        <v>9</v>
      </c>
      <c r="Q1654" s="655">
        <f t="shared" si="95"/>
        <v>7</v>
      </c>
      <c r="R1654" s="695" t="str">
        <f t="shared" si="96"/>
        <v>Gastos_Gerais</v>
      </c>
      <c r="S1654" s="697" t="s">
        <v>998</v>
      </c>
      <c r="T1654" s="697">
        <v>4152</v>
      </c>
    </row>
    <row r="1655" spans="1:20" ht="36" x14ac:dyDescent="0.2">
      <c r="A1655" s="432">
        <f>IF(B1655="","",COUNT('Diário 1º PA'!$A$4:$A$2635)+COUNT('Diário 2º PA'!$A$4:$A$3040)+ROW()-3)</f>
        <v>5751</v>
      </c>
      <c r="B1655" s="413">
        <v>44817</v>
      </c>
      <c r="C1655" s="431">
        <v>44805</v>
      </c>
      <c r="D1655" s="415" t="s">
        <v>271</v>
      </c>
      <c r="E1655" s="415" t="s">
        <v>71</v>
      </c>
      <c r="F1655" s="425">
        <v>11</v>
      </c>
      <c r="G1655" s="440" t="s">
        <v>7180</v>
      </c>
      <c r="H1655" s="415" t="s">
        <v>760</v>
      </c>
      <c r="I1655" s="398" t="s">
        <v>881</v>
      </c>
      <c r="J1655" s="418" t="s">
        <v>882</v>
      </c>
      <c r="K1655" s="418" t="s">
        <v>883</v>
      </c>
      <c r="L1655" s="399" t="s">
        <v>798</v>
      </c>
      <c r="M1655" s="544" t="s">
        <v>310</v>
      </c>
      <c r="N1655" s="413">
        <v>44817</v>
      </c>
      <c r="O1655" s="414" t="s">
        <v>400</v>
      </c>
      <c r="P1655" s="655">
        <f t="shared" si="94"/>
        <v>9</v>
      </c>
      <c r="Q1655" s="655">
        <f t="shared" si="95"/>
        <v>9</v>
      </c>
      <c r="R1655" s="695" t="str">
        <f t="shared" si="96"/>
        <v>Gastos_Gerais</v>
      </c>
      <c r="S1655" s="697" t="s">
        <v>310</v>
      </c>
      <c r="T1655" s="697" t="s">
        <v>310</v>
      </c>
    </row>
    <row r="1656" spans="1:20" ht="36" x14ac:dyDescent="0.2">
      <c r="A1656" s="432">
        <f>IF(B1656="","",COUNT('Diário 1º PA'!$A$4:$A$2635)+COUNT('Diário 2º PA'!$A$4:$A$3040)+ROW()-3)</f>
        <v>5752</v>
      </c>
      <c r="B1656" s="413">
        <v>44817</v>
      </c>
      <c r="C1656" s="431">
        <v>44805</v>
      </c>
      <c r="D1656" s="415" t="s">
        <v>271</v>
      </c>
      <c r="E1656" s="415" t="s">
        <v>71</v>
      </c>
      <c r="F1656" s="425">
        <v>11</v>
      </c>
      <c r="G1656" s="440" t="s">
        <v>7203</v>
      </c>
      <c r="H1656" s="415" t="s">
        <v>760</v>
      </c>
      <c r="I1656" s="398" t="s">
        <v>881</v>
      </c>
      <c r="J1656" s="418" t="s">
        <v>882</v>
      </c>
      <c r="K1656" s="418" t="s">
        <v>883</v>
      </c>
      <c r="L1656" s="399" t="s">
        <v>798</v>
      </c>
      <c r="M1656" s="544" t="s">
        <v>310</v>
      </c>
      <c r="N1656" s="413">
        <v>44817</v>
      </c>
      <c r="O1656" s="414" t="s">
        <v>400</v>
      </c>
      <c r="P1656" s="655">
        <f t="shared" si="94"/>
        <v>9</v>
      </c>
      <c r="Q1656" s="655">
        <f t="shared" si="95"/>
        <v>9</v>
      </c>
      <c r="R1656" s="695" t="str">
        <f t="shared" si="96"/>
        <v>Gastos_Gerais</v>
      </c>
      <c r="S1656" s="697" t="s">
        <v>310</v>
      </c>
      <c r="T1656" s="697" t="s">
        <v>310</v>
      </c>
    </row>
    <row r="1657" spans="1:20" ht="36" x14ac:dyDescent="0.2">
      <c r="A1657" s="432">
        <f>IF(B1657="","",COUNT('Diário 1º PA'!$A$4:$A$2635)+COUNT('Diário 2º PA'!$A$4:$A$3040)+ROW()-3)</f>
        <v>5753</v>
      </c>
      <c r="B1657" s="413">
        <v>44817</v>
      </c>
      <c r="C1657" s="431">
        <v>44805</v>
      </c>
      <c r="D1657" s="415" t="s">
        <v>271</v>
      </c>
      <c r="E1657" s="415" t="s">
        <v>71</v>
      </c>
      <c r="F1657" s="425">
        <v>11</v>
      </c>
      <c r="G1657" s="440" t="s">
        <v>7204</v>
      </c>
      <c r="H1657" s="419" t="s">
        <v>758</v>
      </c>
      <c r="I1657" s="398" t="s">
        <v>881</v>
      </c>
      <c r="J1657" s="418" t="s">
        <v>882</v>
      </c>
      <c r="K1657" s="418" t="s">
        <v>883</v>
      </c>
      <c r="L1657" s="399" t="s">
        <v>798</v>
      </c>
      <c r="M1657" s="544" t="s">
        <v>310</v>
      </c>
      <c r="N1657" s="413">
        <v>44817</v>
      </c>
      <c r="O1657" s="414" t="s">
        <v>400</v>
      </c>
      <c r="P1657" s="655">
        <f t="shared" si="94"/>
        <v>9</v>
      </c>
      <c r="Q1657" s="655">
        <f t="shared" si="95"/>
        <v>9</v>
      </c>
      <c r="R1657" s="695" t="str">
        <f t="shared" si="96"/>
        <v>Gastos_Gerais</v>
      </c>
      <c r="S1657" s="697" t="s">
        <v>310</v>
      </c>
      <c r="T1657" s="697" t="s">
        <v>310</v>
      </c>
    </row>
    <row r="1658" spans="1:20" ht="108" x14ac:dyDescent="0.2">
      <c r="A1658" s="432">
        <f>IF(B1658="","",COUNT('Diário 1º PA'!$A$4:$A$2635)+COUNT('Diário 2º PA'!$A$4:$A$3040)+ROW()-3)</f>
        <v>5754</v>
      </c>
      <c r="B1658" s="413">
        <v>44817</v>
      </c>
      <c r="C1658" s="431">
        <v>44774</v>
      </c>
      <c r="D1658" s="419" t="s">
        <v>468</v>
      </c>
      <c r="E1658" s="419" t="s">
        <v>468</v>
      </c>
      <c r="F1658" s="425">
        <v>3623.67</v>
      </c>
      <c r="G1658" s="427" t="s">
        <v>6265</v>
      </c>
      <c r="H1658" s="419" t="s">
        <v>468</v>
      </c>
      <c r="I1658" s="398" t="s">
        <v>7254</v>
      </c>
      <c r="J1658" s="415" t="s">
        <v>2345</v>
      </c>
      <c r="K1658" s="418" t="s">
        <v>830</v>
      </c>
      <c r="L1658" s="399" t="s">
        <v>32</v>
      </c>
      <c r="M1658" s="418" t="s">
        <v>1428</v>
      </c>
      <c r="N1658" s="413">
        <v>44816</v>
      </c>
      <c r="O1658" s="414" t="s">
        <v>3762</v>
      </c>
      <c r="P1658" s="655">
        <f t="shared" si="94"/>
        <v>9</v>
      </c>
      <c r="Q1658" s="655">
        <f t="shared" si="95"/>
        <v>8</v>
      </c>
      <c r="R1658" s="695" t="str">
        <f t="shared" si="96"/>
        <v>Gastos_custeados_por_captação</v>
      </c>
      <c r="S1658" s="697" t="s">
        <v>1000</v>
      </c>
      <c r="T1658" s="697">
        <v>4210</v>
      </c>
    </row>
    <row r="1659" spans="1:20" ht="36" x14ac:dyDescent="0.2">
      <c r="A1659" s="432">
        <f>IF(B1659="","",COUNT('Diário 1º PA'!$A$4:$A$2635)+COUNT('Diário 2º PA'!$A$4:$A$3040)+ROW()-3)</f>
        <v>5755</v>
      </c>
      <c r="B1659" s="413">
        <v>44817</v>
      </c>
      <c r="C1659" s="431">
        <v>44805</v>
      </c>
      <c r="D1659" s="419" t="s">
        <v>468</v>
      </c>
      <c r="E1659" s="419" t="s">
        <v>468</v>
      </c>
      <c r="F1659" s="425">
        <v>153</v>
      </c>
      <c r="G1659" s="427" t="s">
        <v>880</v>
      </c>
      <c r="H1659" s="419" t="s">
        <v>468</v>
      </c>
      <c r="I1659" s="398" t="s">
        <v>881</v>
      </c>
      <c r="J1659" s="418" t="s">
        <v>882</v>
      </c>
      <c r="K1659" s="418" t="s">
        <v>883</v>
      </c>
      <c r="L1659" s="399" t="s">
        <v>798</v>
      </c>
      <c r="M1659" s="544" t="s">
        <v>310</v>
      </c>
      <c r="N1659" s="413">
        <v>44817</v>
      </c>
      <c r="O1659" s="414" t="s">
        <v>408</v>
      </c>
      <c r="P1659" s="655">
        <f t="shared" si="94"/>
        <v>9</v>
      </c>
      <c r="Q1659" s="655">
        <f t="shared" si="95"/>
        <v>9</v>
      </c>
      <c r="R1659" s="695" t="str">
        <f t="shared" si="96"/>
        <v>Gastos_custeados_por_captação</v>
      </c>
      <c r="S1659" s="696" t="s">
        <v>310</v>
      </c>
      <c r="T1659" s="696" t="s">
        <v>310</v>
      </c>
    </row>
    <row r="1660" spans="1:20" ht="48" x14ac:dyDescent="0.2">
      <c r="A1660" s="432">
        <f>IF(B1660="","",COUNT('Diário 1º PA'!$A$4:$A$2635)+COUNT('Diário 2º PA'!$A$4:$A$3040)+ROW()-3)</f>
        <v>5756</v>
      </c>
      <c r="B1660" s="414">
        <v>44818</v>
      </c>
      <c r="C1660" s="433">
        <v>44774</v>
      </c>
      <c r="D1660" s="415" t="s">
        <v>271</v>
      </c>
      <c r="E1660" s="415" t="s">
        <v>84</v>
      </c>
      <c r="F1660" s="425">
        <v>-13.12</v>
      </c>
      <c r="G1660" s="427" t="s">
        <v>7233</v>
      </c>
      <c r="H1660" s="415" t="s">
        <v>309</v>
      </c>
      <c r="I1660" s="427" t="s">
        <v>795</v>
      </c>
      <c r="J1660" s="415" t="s">
        <v>796</v>
      </c>
      <c r="K1660" s="415" t="s">
        <v>797</v>
      </c>
      <c r="L1660" s="415" t="s">
        <v>798</v>
      </c>
      <c r="M1660" s="415" t="s">
        <v>310</v>
      </c>
      <c r="N1660" s="414">
        <v>44818</v>
      </c>
      <c r="O1660" s="414" t="s">
        <v>400</v>
      </c>
      <c r="P1660" s="655">
        <f t="shared" si="94"/>
        <v>9</v>
      </c>
      <c r="Q1660" s="655">
        <f t="shared" si="95"/>
        <v>8</v>
      </c>
      <c r="R1660" s="695" t="str">
        <f t="shared" si="96"/>
        <v>Gastos_Gerais</v>
      </c>
      <c r="S1660" s="697" t="s">
        <v>310</v>
      </c>
      <c r="T1660" s="697" t="s">
        <v>310</v>
      </c>
    </row>
    <row r="1661" spans="1:20" ht="60" x14ac:dyDescent="0.2">
      <c r="A1661" s="432">
        <f>IF(B1661="","",COUNT('Diário 1º PA'!$A$4:$A$2635)+COUNT('Diário 2º PA'!$A$4:$A$3040)+ROW()-3)</f>
        <v>5757</v>
      </c>
      <c r="B1661" s="414">
        <v>44818</v>
      </c>
      <c r="C1661" s="431">
        <v>44774</v>
      </c>
      <c r="D1661" s="415" t="s">
        <v>271</v>
      </c>
      <c r="E1661" s="419" t="s">
        <v>453</v>
      </c>
      <c r="F1661" s="422">
        <v>-584.79999999999995</v>
      </c>
      <c r="G1661" s="427" t="s">
        <v>7234</v>
      </c>
      <c r="H1661" s="419" t="s">
        <v>748</v>
      </c>
      <c r="I1661" s="427" t="s">
        <v>2437</v>
      </c>
      <c r="J1661" s="415" t="s">
        <v>796</v>
      </c>
      <c r="K1661" s="415" t="s">
        <v>797</v>
      </c>
      <c r="L1661" s="415" t="s">
        <v>798</v>
      </c>
      <c r="M1661" s="415" t="s">
        <v>310</v>
      </c>
      <c r="N1661" s="413">
        <v>44818</v>
      </c>
      <c r="O1661" s="414" t="s">
        <v>400</v>
      </c>
      <c r="P1661" s="655">
        <f t="shared" ref="P1661:P1667" si="97">IF(B1661=0,0,IF(YEAR(B1661)=$Q$1,MONTH(B1661)-$P$1+1,(YEAR(B1661)-$Q$1)*12-$P$1+1+MONTH(B1661)))</f>
        <v>9</v>
      </c>
      <c r="Q1661" s="655">
        <f t="shared" ref="Q1661:Q1667" si="98">IF(C1661=0,0,IF(YEAR(C1661)=$Q$1,MONTH(C1661)-$P$1+1,(YEAR(C1661)-$Q$1)*12-$P$1+1+MONTH(C1661)))</f>
        <v>8</v>
      </c>
      <c r="R1661" s="695" t="str">
        <f t="shared" ref="R1661:R1667" si="99">SUBSTITUTE(D1661," ","_")</f>
        <v>Gastos_Gerais</v>
      </c>
      <c r="S1661" s="697" t="s">
        <v>310</v>
      </c>
      <c r="T1661" s="697" t="s">
        <v>310</v>
      </c>
    </row>
    <row r="1662" spans="1:20" ht="24" x14ac:dyDescent="0.2">
      <c r="A1662" s="432">
        <f>IF(B1662="","",COUNT('Diário 1º PA'!$A$4:$A$2635)+COUNT('Diário 2º PA'!$A$4:$A$3040)+ROW()-3)</f>
        <v>5758</v>
      </c>
      <c r="B1662" s="413">
        <v>44818</v>
      </c>
      <c r="C1662" s="431">
        <v>44774</v>
      </c>
      <c r="D1662" s="434" t="s">
        <v>271</v>
      </c>
      <c r="E1662" s="434" t="s">
        <v>84</v>
      </c>
      <c r="F1662" s="422">
        <v>49.69</v>
      </c>
      <c r="G1662" s="427" t="s">
        <v>5709</v>
      </c>
      <c r="H1662" s="434" t="s">
        <v>309</v>
      </c>
      <c r="I1662" s="437" t="s">
        <v>766</v>
      </c>
      <c r="J1662" s="415" t="s">
        <v>1019</v>
      </c>
      <c r="K1662" s="418" t="s">
        <v>1392</v>
      </c>
      <c r="L1662" s="399" t="s">
        <v>1372</v>
      </c>
      <c r="M1662" s="419" t="s">
        <v>7235</v>
      </c>
      <c r="N1662" s="413">
        <v>44814</v>
      </c>
      <c r="O1662" s="414" t="s">
        <v>400</v>
      </c>
      <c r="P1662" s="655">
        <f t="shared" si="97"/>
        <v>9</v>
      </c>
      <c r="Q1662" s="655">
        <f t="shared" si="98"/>
        <v>8</v>
      </c>
      <c r="R1662" s="695" t="str">
        <f t="shared" si="99"/>
        <v>Gastos_Gerais</v>
      </c>
      <c r="S1662" s="697" t="s">
        <v>310</v>
      </c>
      <c r="T1662" s="697" t="s">
        <v>310</v>
      </c>
    </row>
    <row r="1663" spans="1:20" ht="60" x14ac:dyDescent="0.2">
      <c r="A1663" s="432">
        <f>IF(B1663="","",COUNT('Diário 1º PA'!$A$4:$A$2635)+COUNT('Diário 2º PA'!$A$4:$A$3040)+ROW()-3)</f>
        <v>5759</v>
      </c>
      <c r="B1663" s="413">
        <v>44818</v>
      </c>
      <c r="C1663" s="431">
        <v>44743</v>
      </c>
      <c r="D1663" s="415" t="s">
        <v>271</v>
      </c>
      <c r="E1663" s="415" t="s">
        <v>454</v>
      </c>
      <c r="F1663" s="425">
        <v>912</v>
      </c>
      <c r="G1663" s="427" t="s">
        <v>6197</v>
      </c>
      <c r="H1663" s="415" t="s">
        <v>758</v>
      </c>
      <c r="I1663" s="415" t="s">
        <v>7236</v>
      </c>
      <c r="J1663" s="415" t="s">
        <v>6198</v>
      </c>
      <c r="K1663" s="419" t="s">
        <v>830</v>
      </c>
      <c r="L1663" s="419" t="s">
        <v>7238</v>
      </c>
      <c r="M1663" s="415" t="s">
        <v>7237</v>
      </c>
      <c r="N1663" s="413">
        <v>44790</v>
      </c>
      <c r="O1663" s="414" t="s">
        <v>400</v>
      </c>
      <c r="P1663" s="655">
        <f t="shared" si="97"/>
        <v>9</v>
      </c>
      <c r="Q1663" s="655">
        <f t="shared" si="98"/>
        <v>7</v>
      </c>
      <c r="R1663" s="695" t="str">
        <f t="shared" si="99"/>
        <v>Gastos_Gerais</v>
      </c>
      <c r="S1663" s="697" t="s">
        <v>998</v>
      </c>
      <c r="T1663" s="697">
        <v>4206</v>
      </c>
    </row>
    <row r="1664" spans="1:20" ht="36" x14ac:dyDescent="0.2">
      <c r="A1664" s="432">
        <f>IF(B1664="","",COUNT('Diário 1º PA'!$A$4:$A$2635)+COUNT('Diário 2º PA'!$A$4:$A$3040)+ROW()-3)</f>
        <v>5760</v>
      </c>
      <c r="B1664" s="413">
        <v>44818</v>
      </c>
      <c r="C1664" s="431">
        <v>44805</v>
      </c>
      <c r="D1664" s="415" t="s">
        <v>271</v>
      </c>
      <c r="E1664" s="415" t="s">
        <v>71</v>
      </c>
      <c r="F1664" s="425">
        <v>11</v>
      </c>
      <c r="G1664" s="440" t="s">
        <v>7239</v>
      </c>
      <c r="H1664" s="415" t="s">
        <v>758</v>
      </c>
      <c r="I1664" s="398" t="s">
        <v>881</v>
      </c>
      <c r="J1664" s="418" t="s">
        <v>882</v>
      </c>
      <c r="K1664" s="418" t="s">
        <v>883</v>
      </c>
      <c r="L1664" s="399" t="s">
        <v>798</v>
      </c>
      <c r="M1664" s="544" t="s">
        <v>310</v>
      </c>
      <c r="N1664" s="413">
        <v>44818</v>
      </c>
      <c r="O1664" s="414" t="s">
        <v>400</v>
      </c>
      <c r="P1664" s="655">
        <f t="shared" si="97"/>
        <v>9</v>
      </c>
      <c r="Q1664" s="655">
        <f t="shared" si="98"/>
        <v>9</v>
      </c>
      <c r="R1664" s="695" t="str">
        <f t="shared" si="99"/>
        <v>Gastos_Gerais</v>
      </c>
      <c r="S1664" s="697" t="s">
        <v>310</v>
      </c>
      <c r="T1664" s="697" t="s">
        <v>310</v>
      </c>
    </row>
    <row r="1665" spans="1:20" ht="48" x14ac:dyDescent="0.2">
      <c r="A1665" s="432">
        <f>IF(B1665="","",COUNT('Diário 1º PA'!$A$4:$A$2635)+COUNT('Diário 2º PA'!$A$4:$A$3040)+ROW()-3)</f>
        <v>5761</v>
      </c>
      <c r="B1665" s="413">
        <v>44818</v>
      </c>
      <c r="C1665" s="431">
        <v>44774</v>
      </c>
      <c r="D1665" s="419" t="s">
        <v>468</v>
      </c>
      <c r="E1665" s="419" t="s">
        <v>468</v>
      </c>
      <c r="F1665" s="422">
        <v>1680</v>
      </c>
      <c r="G1665" s="427" t="s">
        <v>5902</v>
      </c>
      <c r="H1665" s="419" t="s">
        <v>468</v>
      </c>
      <c r="I1665" s="415" t="s">
        <v>6475</v>
      </c>
      <c r="J1665" s="415" t="s">
        <v>1991</v>
      </c>
      <c r="K1665" s="419" t="s">
        <v>830</v>
      </c>
      <c r="L1665" s="415" t="s">
        <v>839</v>
      </c>
      <c r="M1665" s="419">
        <v>2010</v>
      </c>
      <c r="N1665" s="413">
        <v>44817</v>
      </c>
      <c r="O1665" s="414" t="s">
        <v>3762</v>
      </c>
      <c r="P1665" s="655">
        <f t="shared" si="97"/>
        <v>9</v>
      </c>
      <c r="Q1665" s="655">
        <f t="shared" si="98"/>
        <v>8</v>
      </c>
      <c r="R1665" s="695" t="str">
        <f t="shared" si="99"/>
        <v>Gastos_custeados_por_captação</v>
      </c>
      <c r="S1665" s="696" t="s">
        <v>1000</v>
      </c>
      <c r="T1665" s="696">
        <v>4131</v>
      </c>
    </row>
    <row r="1666" spans="1:20" ht="48" x14ac:dyDescent="0.2">
      <c r="A1666" s="432">
        <f>IF(B1666="","",COUNT('Diário 1º PA'!$A$4:$A$2635)+COUNT('Diário 2º PA'!$A$4:$A$3040)+ROW()-3)</f>
        <v>5762</v>
      </c>
      <c r="B1666" s="413">
        <v>44818</v>
      </c>
      <c r="C1666" s="431">
        <v>44774</v>
      </c>
      <c r="D1666" s="419" t="s">
        <v>468</v>
      </c>
      <c r="E1666" s="419" t="s">
        <v>468</v>
      </c>
      <c r="F1666" s="422">
        <v>1680</v>
      </c>
      <c r="G1666" s="427" t="s">
        <v>5902</v>
      </c>
      <c r="H1666" s="419" t="s">
        <v>468</v>
      </c>
      <c r="I1666" s="415" t="s">
        <v>3690</v>
      </c>
      <c r="J1666" s="415" t="s">
        <v>1989</v>
      </c>
      <c r="K1666" s="419" t="s">
        <v>830</v>
      </c>
      <c r="L1666" s="415" t="s">
        <v>839</v>
      </c>
      <c r="M1666" s="419">
        <v>2011</v>
      </c>
      <c r="N1666" s="413">
        <v>44817</v>
      </c>
      <c r="O1666" s="414" t="s">
        <v>3762</v>
      </c>
      <c r="P1666" s="655">
        <f t="shared" si="97"/>
        <v>9</v>
      </c>
      <c r="Q1666" s="655">
        <f t="shared" si="98"/>
        <v>8</v>
      </c>
      <c r="R1666" s="695" t="str">
        <f t="shared" si="99"/>
        <v>Gastos_custeados_por_captação</v>
      </c>
      <c r="S1666" s="697" t="s">
        <v>1000</v>
      </c>
      <c r="T1666" s="696">
        <v>4130</v>
      </c>
    </row>
    <row r="1667" spans="1:20" ht="48" x14ac:dyDescent="0.2">
      <c r="A1667" s="432">
        <f>IF(B1667="","",COUNT('Diário 1º PA'!$A$4:$A$2635)+COUNT('Diário 2º PA'!$A$4:$A$3040)+ROW()-3)</f>
        <v>5763</v>
      </c>
      <c r="B1667" s="413">
        <v>44818</v>
      </c>
      <c r="C1667" s="424">
        <v>44774</v>
      </c>
      <c r="D1667" s="419" t="s">
        <v>468</v>
      </c>
      <c r="E1667" s="419" t="s">
        <v>468</v>
      </c>
      <c r="F1667" s="422">
        <v>1500</v>
      </c>
      <c r="G1667" s="419" t="s">
        <v>7253</v>
      </c>
      <c r="H1667" s="415" t="s">
        <v>468</v>
      </c>
      <c r="I1667" s="427" t="s">
        <v>2948</v>
      </c>
      <c r="J1667" s="415" t="s">
        <v>2414</v>
      </c>
      <c r="K1667" s="419" t="s">
        <v>812</v>
      </c>
      <c r="L1667" s="415" t="s">
        <v>32</v>
      </c>
      <c r="M1667" s="419">
        <v>64919</v>
      </c>
      <c r="N1667" s="413">
        <v>44789</v>
      </c>
      <c r="O1667" s="414" t="s">
        <v>408</v>
      </c>
      <c r="P1667" s="655">
        <f t="shared" si="97"/>
        <v>9</v>
      </c>
      <c r="Q1667" s="655">
        <f t="shared" si="98"/>
        <v>8</v>
      </c>
      <c r="R1667" s="695" t="str">
        <f t="shared" si="99"/>
        <v>Gastos_custeados_por_captação</v>
      </c>
      <c r="S1667" s="698" t="s">
        <v>1000</v>
      </c>
      <c r="T1667" s="698">
        <v>2456</v>
      </c>
    </row>
    <row r="1668" spans="1:20" ht="36" x14ac:dyDescent="0.2">
      <c r="A1668" s="432">
        <f>IF(B1668="","",COUNT('Diário 1º PA'!$A$4:$A$2635)+COUNT('Diário 2º PA'!$A$4:$A$3040)+ROW()-3)</f>
        <v>5764</v>
      </c>
      <c r="B1668" s="413">
        <v>44819</v>
      </c>
      <c r="C1668" s="433">
        <v>44805</v>
      </c>
      <c r="D1668" s="415" t="s">
        <v>182</v>
      </c>
      <c r="E1668" s="415" t="s">
        <v>325</v>
      </c>
      <c r="F1668" s="425">
        <v>-222.88</v>
      </c>
      <c r="G1668" s="427" t="s">
        <v>1378</v>
      </c>
      <c r="H1668" s="415" t="s">
        <v>310</v>
      </c>
      <c r="I1668" s="427" t="s">
        <v>795</v>
      </c>
      <c r="J1668" s="415" t="s">
        <v>796</v>
      </c>
      <c r="K1668" s="415" t="s">
        <v>797</v>
      </c>
      <c r="L1668" s="415" t="s">
        <v>798</v>
      </c>
      <c r="M1668" s="415" t="s">
        <v>310</v>
      </c>
      <c r="N1668" s="413">
        <v>44819</v>
      </c>
      <c r="O1668" s="414" t="s">
        <v>400</v>
      </c>
      <c r="P1668" s="655">
        <v>8</v>
      </c>
      <c r="Q1668" s="655">
        <v>8</v>
      </c>
      <c r="R1668" s="695" t="s">
        <v>6942</v>
      </c>
      <c r="S1668" s="697" t="s">
        <v>310</v>
      </c>
      <c r="T1668" s="697" t="s">
        <v>310</v>
      </c>
    </row>
    <row r="1669" spans="1:20" ht="36" x14ac:dyDescent="0.2">
      <c r="A1669" s="432">
        <f>IF(B1669="","",COUNT('Diário 1º PA'!$A$4:$A$2635)+COUNT('Diário 2º PA'!$A$4:$A$3040)+ROW()-3)</f>
        <v>5765</v>
      </c>
      <c r="B1669" s="413">
        <v>44819</v>
      </c>
      <c r="C1669" s="433">
        <v>44805</v>
      </c>
      <c r="D1669" s="415" t="s">
        <v>182</v>
      </c>
      <c r="E1669" s="415" t="s">
        <v>325</v>
      </c>
      <c r="F1669" s="425">
        <v>-2914.37</v>
      </c>
      <c r="G1669" s="427" t="s">
        <v>1382</v>
      </c>
      <c r="H1669" s="415" t="s">
        <v>310</v>
      </c>
      <c r="I1669" s="427" t="s">
        <v>795</v>
      </c>
      <c r="J1669" s="415" t="s">
        <v>796</v>
      </c>
      <c r="K1669" s="415" t="s">
        <v>797</v>
      </c>
      <c r="L1669" s="415" t="s">
        <v>798</v>
      </c>
      <c r="M1669" s="415" t="s">
        <v>310</v>
      </c>
      <c r="N1669" s="413">
        <v>44819</v>
      </c>
      <c r="O1669" s="414" t="s">
        <v>400</v>
      </c>
      <c r="P1669" s="655">
        <v>8</v>
      </c>
      <c r="Q1669" s="655">
        <v>8</v>
      </c>
      <c r="R1669" s="695" t="s">
        <v>6942</v>
      </c>
      <c r="S1669" s="697" t="s">
        <v>310</v>
      </c>
      <c r="T1669" s="697" t="s">
        <v>310</v>
      </c>
    </row>
    <row r="1670" spans="1:20" ht="48" x14ac:dyDescent="0.2">
      <c r="A1670" s="432">
        <f>IF(B1670="","",COUNT('Diário 1º PA'!$A$4:$A$2635)+COUNT('Diário 2º PA'!$A$4:$A$3040)+ROW()-3)</f>
        <v>5766</v>
      </c>
      <c r="B1670" s="413">
        <v>44819</v>
      </c>
      <c r="C1670" s="433">
        <v>44743</v>
      </c>
      <c r="D1670" s="415" t="s">
        <v>182</v>
      </c>
      <c r="E1670" s="415" t="s">
        <v>1</v>
      </c>
      <c r="F1670" s="425">
        <v>-299.19</v>
      </c>
      <c r="G1670" s="427" t="s">
        <v>1384</v>
      </c>
      <c r="H1670" s="415" t="s">
        <v>310</v>
      </c>
      <c r="I1670" s="427" t="s">
        <v>795</v>
      </c>
      <c r="J1670" s="415" t="s">
        <v>796</v>
      </c>
      <c r="K1670" s="415" t="s">
        <v>797</v>
      </c>
      <c r="L1670" s="415" t="s">
        <v>798</v>
      </c>
      <c r="M1670" s="415" t="s">
        <v>310</v>
      </c>
      <c r="N1670" s="413">
        <v>44819</v>
      </c>
      <c r="O1670" s="414" t="s">
        <v>400</v>
      </c>
      <c r="P1670" s="655">
        <f t="shared" ref="P1670:P1733" si="100">IF(B1670=0,0,IF(YEAR(B1670)=$Q$1,MONTH(B1670)-$P$1+1,(YEAR(B1670)-$Q$1)*12-$P$1+1+MONTH(B1670)))</f>
        <v>9</v>
      </c>
      <c r="Q1670" s="655">
        <f t="shared" ref="Q1670:Q1733" si="101">IF(C1670=0,0,IF(YEAR(C1670)=$Q$1,MONTH(C1670)-$P$1+1,(YEAR(C1670)-$Q$1)*12-$P$1+1+MONTH(C1670)))</f>
        <v>7</v>
      </c>
      <c r="R1670" s="695" t="str">
        <f t="shared" ref="R1670:R1733" si="102">SUBSTITUTE(D1670," ","_")</f>
        <v>Gastos_com_Pessoal</v>
      </c>
      <c r="S1670" s="697" t="s">
        <v>310</v>
      </c>
      <c r="T1670" s="697" t="s">
        <v>310</v>
      </c>
    </row>
    <row r="1671" spans="1:20" ht="24" x14ac:dyDescent="0.2">
      <c r="A1671" s="432">
        <f>IF(B1671="","",COUNT('Diário 1º PA'!$A$4:$A$2635)+COUNT('Diário 2º PA'!$A$4:$A$3040)+ROW()-3)</f>
        <v>5767</v>
      </c>
      <c r="B1671" s="414">
        <v>44819</v>
      </c>
      <c r="C1671" s="466">
        <v>44805</v>
      </c>
      <c r="D1671" s="415" t="s">
        <v>182</v>
      </c>
      <c r="E1671" s="415" t="s">
        <v>6</v>
      </c>
      <c r="F1671" s="425">
        <v>180</v>
      </c>
      <c r="G1671" s="427" t="s">
        <v>7250</v>
      </c>
      <c r="H1671" s="415" t="s">
        <v>310</v>
      </c>
      <c r="I1671" s="427" t="s">
        <v>918</v>
      </c>
      <c r="J1671" s="415" t="s">
        <v>919</v>
      </c>
      <c r="K1671" s="419" t="s">
        <v>806</v>
      </c>
      <c r="L1671" s="415" t="s">
        <v>1305</v>
      </c>
      <c r="M1671" s="415" t="s">
        <v>310</v>
      </c>
      <c r="N1671" s="414">
        <v>44819</v>
      </c>
      <c r="O1671" s="414" t="s">
        <v>400</v>
      </c>
      <c r="P1671" s="655">
        <f t="shared" si="100"/>
        <v>9</v>
      </c>
      <c r="Q1671" s="655">
        <f t="shared" si="101"/>
        <v>9</v>
      </c>
      <c r="R1671" s="695" t="str">
        <f t="shared" si="102"/>
        <v>Gastos_com_Pessoal</v>
      </c>
      <c r="S1671" s="697" t="s">
        <v>310</v>
      </c>
      <c r="T1671" s="697" t="s">
        <v>310</v>
      </c>
    </row>
    <row r="1672" spans="1:20" ht="24" x14ac:dyDescent="0.2">
      <c r="A1672" s="432">
        <f>IF(B1672="","",COUNT('Diário 1º PA'!$A$4:$A$2635)+COUNT('Diário 2º PA'!$A$4:$A$3040)+ROW()-3)</f>
        <v>5768</v>
      </c>
      <c r="B1672" s="414">
        <v>44819</v>
      </c>
      <c r="C1672" s="466">
        <v>44805</v>
      </c>
      <c r="D1672" s="415" t="s">
        <v>182</v>
      </c>
      <c r="E1672" s="415" t="s">
        <v>6</v>
      </c>
      <c r="F1672" s="425">
        <v>180</v>
      </c>
      <c r="G1672" s="427" t="s">
        <v>7250</v>
      </c>
      <c r="H1672" s="415" t="s">
        <v>310</v>
      </c>
      <c r="I1672" s="473" t="s">
        <v>920</v>
      </c>
      <c r="J1672" s="415" t="s">
        <v>921</v>
      </c>
      <c r="K1672" s="419" t="s">
        <v>806</v>
      </c>
      <c r="L1672" s="415" t="s">
        <v>1305</v>
      </c>
      <c r="M1672" s="415" t="s">
        <v>310</v>
      </c>
      <c r="N1672" s="414">
        <v>44819</v>
      </c>
      <c r="O1672" s="414" t="s">
        <v>400</v>
      </c>
      <c r="P1672" s="655">
        <f t="shared" si="100"/>
        <v>9</v>
      </c>
      <c r="Q1672" s="655">
        <f t="shared" si="101"/>
        <v>9</v>
      </c>
      <c r="R1672" s="695" t="str">
        <f t="shared" si="102"/>
        <v>Gastos_com_Pessoal</v>
      </c>
      <c r="S1672" s="697" t="s">
        <v>310</v>
      </c>
      <c r="T1672" s="697" t="s">
        <v>310</v>
      </c>
    </row>
    <row r="1673" spans="1:20" ht="24" x14ac:dyDescent="0.2">
      <c r="A1673" s="432">
        <f>IF(B1673="","",COUNT('Diário 1º PA'!$A$4:$A$2635)+COUNT('Diário 2º PA'!$A$4:$A$3040)+ROW()-3)</f>
        <v>5769</v>
      </c>
      <c r="B1673" s="414">
        <v>44819</v>
      </c>
      <c r="C1673" s="466">
        <v>44805</v>
      </c>
      <c r="D1673" s="415" t="s">
        <v>182</v>
      </c>
      <c r="E1673" s="415" t="s">
        <v>6</v>
      </c>
      <c r="F1673" s="425">
        <v>180</v>
      </c>
      <c r="G1673" s="427" t="s">
        <v>7250</v>
      </c>
      <c r="H1673" s="415" t="s">
        <v>310</v>
      </c>
      <c r="I1673" s="427" t="s">
        <v>926</v>
      </c>
      <c r="J1673" s="415" t="s">
        <v>927</v>
      </c>
      <c r="K1673" s="419" t="s">
        <v>806</v>
      </c>
      <c r="L1673" s="415" t="s">
        <v>1305</v>
      </c>
      <c r="M1673" s="415" t="s">
        <v>310</v>
      </c>
      <c r="N1673" s="414">
        <v>44819</v>
      </c>
      <c r="O1673" s="414" t="s">
        <v>400</v>
      </c>
      <c r="P1673" s="655">
        <f t="shared" si="100"/>
        <v>9</v>
      </c>
      <c r="Q1673" s="655">
        <f t="shared" si="101"/>
        <v>9</v>
      </c>
      <c r="R1673" s="695" t="str">
        <f t="shared" si="102"/>
        <v>Gastos_com_Pessoal</v>
      </c>
      <c r="S1673" s="697" t="s">
        <v>310</v>
      </c>
      <c r="T1673" s="697" t="s">
        <v>310</v>
      </c>
    </row>
    <row r="1674" spans="1:20" ht="24" x14ac:dyDescent="0.2">
      <c r="A1674" s="432">
        <f>IF(B1674="","",COUNT('Diário 1º PA'!$A$4:$A$2635)+COUNT('Diário 2º PA'!$A$4:$A$3040)+ROW()-3)</f>
        <v>5770</v>
      </c>
      <c r="B1674" s="414">
        <v>44819</v>
      </c>
      <c r="C1674" s="466">
        <v>44805</v>
      </c>
      <c r="D1674" s="415" t="s">
        <v>182</v>
      </c>
      <c r="E1674" s="415" t="s">
        <v>6</v>
      </c>
      <c r="F1674" s="425">
        <v>180</v>
      </c>
      <c r="G1674" s="427" t="s">
        <v>7250</v>
      </c>
      <c r="H1674" s="415" t="s">
        <v>310</v>
      </c>
      <c r="I1674" s="473" t="s">
        <v>929</v>
      </c>
      <c r="J1674" s="415" t="s">
        <v>930</v>
      </c>
      <c r="K1674" s="419" t="s">
        <v>806</v>
      </c>
      <c r="L1674" s="415" t="s">
        <v>1305</v>
      </c>
      <c r="M1674" s="415" t="s">
        <v>310</v>
      </c>
      <c r="N1674" s="414">
        <v>44819</v>
      </c>
      <c r="O1674" s="414" t="s">
        <v>400</v>
      </c>
      <c r="P1674" s="655">
        <f t="shared" si="100"/>
        <v>9</v>
      </c>
      <c r="Q1674" s="655">
        <f t="shared" si="101"/>
        <v>9</v>
      </c>
      <c r="R1674" s="695" t="str">
        <f t="shared" si="102"/>
        <v>Gastos_com_Pessoal</v>
      </c>
      <c r="S1674" s="697" t="s">
        <v>310</v>
      </c>
      <c r="T1674" s="697" t="s">
        <v>310</v>
      </c>
    </row>
    <row r="1675" spans="1:20" ht="24" x14ac:dyDescent="0.2">
      <c r="A1675" s="432">
        <f>IF(B1675="","",COUNT('Diário 1º PA'!$A$4:$A$2635)+COUNT('Diário 2º PA'!$A$4:$A$3040)+ROW()-3)</f>
        <v>5771</v>
      </c>
      <c r="B1675" s="414">
        <v>44819</v>
      </c>
      <c r="C1675" s="466">
        <v>44805</v>
      </c>
      <c r="D1675" s="415" t="s">
        <v>182</v>
      </c>
      <c r="E1675" s="415" t="s">
        <v>6</v>
      </c>
      <c r="F1675" s="425">
        <v>240</v>
      </c>
      <c r="G1675" s="427" t="s">
        <v>7250</v>
      </c>
      <c r="H1675" s="415" t="s">
        <v>310</v>
      </c>
      <c r="I1675" s="473" t="s">
        <v>932</v>
      </c>
      <c r="J1675" s="415" t="s">
        <v>933</v>
      </c>
      <c r="K1675" s="419" t="s">
        <v>806</v>
      </c>
      <c r="L1675" s="415" t="s">
        <v>1305</v>
      </c>
      <c r="M1675" s="415" t="s">
        <v>310</v>
      </c>
      <c r="N1675" s="414">
        <v>44819</v>
      </c>
      <c r="O1675" s="414" t="s">
        <v>400</v>
      </c>
      <c r="P1675" s="655">
        <f t="shared" si="100"/>
        <v>9</v>
      </c>
      <c r="Q1675" s="655">
        <f t="shared" si="101"/>
        <v>9</v>
      </c>
      <c r="R1675" s="695" t="str">
        <f t="shared" si="102"/>
        <v>Gastos_com_Pessoal</v>
      </c>
      <c r="S1675" s="697" t="s">
        <v>310</v>
      </c>
      <c r="T1675" s="697" t="s">
        <v>310</v>
      </c>
    </row>
    <row r="1676" spans="1:20" ht="24" x14ac:dyDescent="0.2">
      <c r="A1676" s="432">
        <f>IF(B1676="","",COUNT('Diário 1º PA'!$A$4:$A$2635)+COUNT('Diário 2º PA'!$A$4:$A$3040)+ROW()-3)</f>
        <v>5772</v>
      </c>
      <c r="B1676" s="414">
        <v>44819</v>
      </c>
      <c r="C1676" s="466">
        <v>44805</v>
      </c>
      <c r="D1676" s="415" t="s">
        <v>182</v>
      </c>
      <c r="E1676" s="415" t="s">
        <v>6</v>
      </c>
      <c r="F1676" s="425">
        <v>180</v>
      </c>
      <c r="G1676" s="427" t="s">
        <v>7250</v>
      </c>
      <c r="H1676" s="415" t="s">
        <v>310</v>
      </c>
      <c r="I1676" s="473" t="s">
        <v>935</v>
      </c>
      <c r="J1676" s="415" t="s">
        <v>936</v>
      </c>
      <c r="K1676" s="419" t="s">
        <v>806</v>
      </c>
      <c r="L1676" s="415" t="s">
        <v>1305</v>
      </c>
      <c r="M1676" s="415" t="s">
        <v>310</v>
      </c>
      <c r="N1676" s="414">
        <v>44819</v>
      </c>
      <c r="O1676" s="414" t="s">
        <v>400</v>
      </c>
      <c r="P1676" s="655">
        <f t="shared" si="100"/>
        <v>9</v>
      </c>
      <c r="Q1676" s="655">
        <f t="shared" si="101"/>
        <v>9</v>
      </c>
      <c r="R1676" s="695" t="str">
        <f t="shared" si="102"/>
        <v>Gastos_com_Pessoal</v>
      </c>
      <c r="S1676" s="697" t="s">
        <v>310</v>
      </c>
      <c r="T1676" s="697" t="s">
        <v>310</v>
      </c>
    </row>
    <row r="1677" spans="1:20" ht="36" x14ac:dyDescent="0.2">
      <c r="A1677" s="432">
        <f>IF(B1677="","",COUNT('Diário 1º PA'!$A$4:$A$2635)+COUNT('Diário 2º PA'!$A$4:$A$3040)+ROW()-3)</f>
        <v>5773</v>
      </c>
      <c r="B1677" s="414">
        <v>44819</v>
      </c>
      <c r="C1677" s="433">
        <v>44743</v>
      </c>
      <c r="D1677" s="434" t="s">
        <v>182</v>
      </c>
      <c r="E1677" s="434" t="s">
        <v>1</v>
      </c>
      <c r="F1677" s="422">
        <v>1953.08</v>
      </c>
      <c r="G1677" s="427" t="s">
        <v>4117</v>
      </c>
      <c r="H1677" s="415" t="s">
        <v>310</v>
      </c>
      <c r="I1677" s="437" t="s">
        <v>773</v>
      </c>
      <c r="J1677" s="434" t="s">
        <v>1397</v>
      </c>
      <c r="K1677" s="419" t="s">
        <v>812</v>
      </c>
      <c r="L1677" s="415" t="s">
        <v>32</v>
      </c>
      <c r="M1677" s="725" t="s">
        <v>7251</v>
      </c>
      <c r="N1677" s="414">
        <v>44775</v>
      </c>
      <c r="O1677" s="414" t="s">
        <v>400</v>
      </c>
      <c r="P1677" s="655">
        <f t="shared" si="100"/>
        <v>9</v>
      </c>
      <c r="Q1677" s="655">
        <f t="shared" si="101"/>
        <v>7</v>
      </c>
      <c r="R1677" s="695" t="str">
        <f t="shared" si="102"/>
        <v>Gastos_com_Pessoal</v>
      </c>
      <c r="S1677" s="697" t="s">
        <v>310</v>
      </c>
      <c r="T1677" s="699" t="s">
        <v>310</v>
      </c>
    </row>
    <row r="1678" spans="1:20" ht="24" x14ac:dyDescent="0.2">
      <c r="A1678" s="432">
        <f>IF(B1678="","",COUNT('Diário 1º PA'!$A$4:$A$2635)+COUNT('Diário 2º PA'!$A$4:$A$3040)+ROW()-3)</f>
        <v>5774</v>
      </c>
      <c r="B1678" s="414">
        <v>44819</v>
      </c>
      <c r="C1678" s="421">
        <v>44805</v>
      </c>
      <c r="D1678" s="415" t="s">
        <v>271</v>
      </c>
      <c r="E1678" s="415" t="s">
        <v>60</v>
      </c>
      <c r="F1678" s="435">
        <v>23.46</v>
      </c>
      <c r="G1678" s="437" t="s">
        <v>688</v>
      </c>
      <c r="H1678" s="434" t="s">
        <v>309</v>
      </c>
      <c r="I1678" s="437" t="s">
        <v>1390</v>
      </c>
      <c r="J1678" s="434" t="s">
        <v>1391</v>
      </c>
      <c r="K1678" s="434" t="s">
        <v>812</v>
      </c>
      <c r="L1678" s="434" t="s">
        <v>1372</v>
      </c>
      <c r="M1678" s="434">
        <v>88802</v>
      </c>
      <c r="N1678" s="455">
        <v>44805</v>
      </c>
      <c r="O1678" s="414" t="s">
        <v>400</v>
      </c>
      <c r="P1678" s="655">
        <f t="shared" si="100"/>
        <v>9</v>
      </c>
      <c r="Q1678" s="655">
        <f t="shared" si="101"/>
        <v>9</v>
      </c>
      <c r="R1678" s="695" t="str">
        <f t="shared" si="102"/>
        <v>Gastos_Gerais</v>
      </c>
      <c r="S1678" s="697" t="s">
        <v>310</v>
      </c>
      <c r="T1678" s="699" t="s">
        <v>310</v>
      </c>
    </row>
    <row r="1679" spans="1:20" ht="60" x14ac:dyDescent="0.2">
      <c r="A1679" s="432">
        <f>IF(B1679="","",COUNT('Diário 1º PA'!$A$4:$A$2635)+COUNT('Diário 2º PA'!$A$4:$A$3040)+ROW()-3)</f>
        <v>5775</v>
      </c>
      <c r="B1679" s="414">
        <v>44819</v>
      </c>
      <c r="C1679" s="431">
        <v>44774</v>
      </c>
      <c r="D1679" s="434" t="s">
        <v>271</v>
      </c>
      <c r="E1679" s="434" t="s">
        <v>91</v>
      </c>
      <c r="F1679" s="435">
        <v>296.48</v>
      </c>
      <c r="G1679" s="437" t="s">
        <v>471</v>
      </c>
      <c r="H1679" s="434" t="s">
        <v>309</v>
      </c>
      <c r="I1679" s="415" t="s">
        <v>6484</v>
      </c>
      <c r="J1679" s="434" t="s">
        <v>1009</v>
      </c>
      <c r="K1679" s="434" t="s">
        <v>812</v>
      </c>
      <c r="L1679" s="415" t="s">
        <v>807</v>
      </c>
      <c r="M1679" s="419">
        <v>4394867</v>
      </c>
      <c r="N1679" s="413">
        <v>44805</v>
      </c>
      <c r="O1679" s="414" t="s">
        <v>400</v>
      </c>
      <c r="P1679" s="655">
        <f t="shared" si="100"/>
        <v>9</v>
      </c>
      <c r="Q1679" s="655">
        <f t="shared" si="101"/>
        <v>8</v>
      </c>
      <c r="R1679" s="695" t="str">
        <f t="shared" si="102"/>
        <v>Gastos_Gerais</v>
      </c>
      <c r="S1679" s="697" t="s">
        <v>1000</v>
      </c>
      <c r="T1679" s="697">
        <v>1142</v>
      </c>
    </row>
    <row r="1680" spans="1:20" ht="108" x14ac:dyDescent="0.2">
      <c r="A1680" s="432">
        <f>IF(B1680="","",COUNT('Diário 1º PA'!$A$4:$A$2635)+COUNT('Diário 2º PA'!$A$4:$A$3040)+ROW()-3)</f>
        <v>5776</v>
      </c>
      <c r="B1680" s="414">
        <v>44819</v>
      </c>
      <c r="C1680" s="433">
        <v>44805</v>
      </c>
      <c r="D1680" s="415" t="s">
        <v>182</v>
      </c>
      <c r="E1680" s="415" t="s">
        <v>325</v>
      </c>
      <c r="F1680" s="422">
        <v>27574.97</v>
      </c>
      <c r="G1680" s="427" t="s">
        <v>1399</v>
      </c>
      <c r="H1680" s="415" t="s">
        <v>310</v>
      </c>
      <c r="I1680" s="437" t="s">
        <v>773</v>
      </c>
      <c r="J1680" s="434" t="s">
        <v>1397</v>
      </c>
      <c r="K1680" s="419" t="s">
        <v>812</v>
      </c>
      <c r="L1680" s="415" t="s">
        <v>32</v>
      </c>
      <c r="M1680" s="725" t="s">
        <v>7252</v>
      </c>
      <c r="N1680" s="414">
        <v>44778</v>
      </c>
      <c r="O1680" s="414" t="s">
        <v>400</v>
      </c>
      <c r="P1680" s="655">
        <f t="shared" si="100"/>
        <v>9</v>
      </c>
      <c r="Q1680" s="655">
        <f t="shared" si="101"/>
        <v>9</v>
      </c>
      <c r="R1680" s="695" t="str">
        <f t="shared" si="102"/>
        <v>Gastos_com_Pessoal</v>
      </c>
      <c r="S1680" s="697" t="s">
        <v>310</v>
      </c>
      <c r="T1680" s="699" t="s">
        <v>310</v>
      </c>
    </row>
    <row r="1681" spans="1:20" ht="48" x14ac:dyDescent="0.2">
      <c r="A1681" s="432">
        <f>IF(B1681="","",COUNT('Diário 1º PA'!$A$4:$A$2635)+COUNT('Diário 2º PA'!$A$4:$A$3040)+ROW()-3)</f>
        <v>5777</v>
      </c>
      <c r="B1681" s="414">
        <v>44819</v>
      </c>
      <c r="C1681" s="431">
        <v>44774</v>
      </c>
      <c r="D1681" s="419" t="s">
        <v>468</v>
      </c>
      <c r="E1681" s="419" t="s">
        <v>468</v>
      </c>
      <c r="F1681" s="422">
        <v>1680</v>
      </c>
      <c r="G1681" s="419" t="s">
        <v>5902</v>
      </c>
      <c r="H1681" s="419" t="s">
        <v>468</v>
      </c>
      <c r="I1681" s="415" t="s">
        <v>6910</v>
      </c>
      <c r="J1681" s="419" t="s">
        <v>1990</v>
      </c>
      <c r="K1681" s="419" t="s">
        <v>830</v>
      </c>
      <c r="L1681" s="415" t="s">
        <v>839</v>
      </c>
      <c r="M1681" s="419">
        <v>2012</v>
      </c>
      <c r="N1681" s="413">
        <v>44817</v>
      </c>
      <c r="O1681" s="414" t="s">
        <v>3762</v>
      </c>
      <c r="P1681" s="655">
        <f t="shared" si="100"/>
        <v>9</v>
      </c>
      <c r="Q1681" s="655">
        <f t="shared" si="101"/>
        <v>8</v>
      </c>
      <c r="R1681" s="695" t="str">
        <f t="shared" si="102"/>
        <v>Gastos_custeados_por_captação</v>
      </c>
      <c r="S1681" s="696" t="s">
        <v>998</v>
      </c>
      <c r="T1681" s="696">
        <v>4129</v>
      </c>
    </row>
    <row r="1682" spans="1:20" ht="96" x14ac:dyDescent="0.2">
      <c r="A1682" s="432">
        <f>IF(B1682="","",COUNT('Diário 1º PA'!$A$4:$A$2635)+COUNT('Diário 2º PA'!$A$4:$A$3040)+ROW()-3)</f>
        <v>5778</v>
      </c>
      <c r="B1682" s="414">
        <v>44820</v>
      </c>
      <c r="C1682" s="431">
        <v>44713</v>
      </c>
      <c r="D1682" s="419" t="s">
        <v>468</v>
      </c>
      <c r="E1682" s="419" t="s">
        <v>468</v>
      </c>
      <c r="F1682" s="422">
        <v>44524.13</v>
      </c>
      <c r="G1682" s="419" t="s">
        <v>5406</v>
      </c>
      <c r="H1682" s="419" t="s">
        <v>468</v>
      </c>
      <c r="I1682" s="415" t="s">
        <v>7291</v>
      </c>
      <c r="J1682" s="419" t="s">
        <v>5407</v>
      </c>
      <c r="K1682" s="419" t="s">
        <v>830</v>
      </c>
      <c r="L1682" s="415" t="s">
        <v>32</v>
      </c>
      <c r="M1682" s="419">
        <v>290</v>
      </c>
      <c r="N1682" s="413">
        <v>44819</v>
      </c>
      <c r="O1682" s="414" t="s">
        <v>3762</v>
      </c>
      <c r="P1682" s="655">
        <f t="shared" si="100"/>
        <v>9</v>
      </c>
      <c r="Q1682" s="655">
        <f t="shared" si="101"/>
        <v>6</v>
      </c>
      <c r="R1682" s="695" t="str">
        <f t="shared" si="102"/>
        <v>Gastos_custeados_por_captação</v>
      </c>
      <c r="S1682" s="696" t="s">
        <v>1000</v>
      </c>
      <c r="T1682" s="696">
        <v>3999</v>
      </c>
    </row>
    <row r="1683" spans="1:20" ht="60" x14ac:dyDescent="0.2">
      <c r="A1683" s="432">
        <f>IF(B1683="","",COUNT('Diário 1º PA'!$A$4:$A$2635)+COUNT('Diário 2º PA'!$A$4:$A$3040)+ROW()-3)</f>
        <v>5779</v>
      </c>
      <c r="B1683" s="414">
        <v>44820</v>
      </c>
      <c r="C1683" s="431">
        <v>44805</v>
      </c>
      <c r="D1683" s="419" t="s">
        <v>468</v>
      </c>
      <c r="E1683" s="419" t="s">
        <v>468</v>
      </c>
      <c r="F1683" s="422">
        <v>6860</v>
      </c>
      <c r="G1683" s="427" t="s">
        <v>3260</v>
      </c>
      <c r="H1683" s="419" t="s">
        <v>468</v>
      </c>
      <c r="I1683" s="415" t="s">
        <v>7181</v>
      </c>
      <c r="J1683" s="419" t="s">
        <v>1141</v>
      </c>
      <c r="K1683" s="419" t="s">
        <v>830</v>
      </c>
      <c r="L1683" s="415" t="s">
        <v>32</v>
      </c>
      <c r="M1683" s="419" t="s">
        <v>3508</v>
      </c>
      <c r="N1683" s="413">
        <v>44818</v>
      </c>
      <c r="O1683" s="414" t="s">
        <v>405</v>
      </c>
      <c r="P1683" s="655">
        <f t="shared" si="100"/>
        <v>9</v>
      </c>
      <c r="Q1683" s="655">
        <f t="shared" si="101"/>
        <v>9</v>
      </c>
      <c r="R1683" s="695" t="str">
        <f t="shared" si="102"/>
        <v>Gastos_custeados_por_captação</v>
      </c>
      <c r="S1683" s="696" t="s">
        <v>1000</v>
      </c>
      <c r="T1683" s="696">
        <v>3295</v>
      </c>
    </row>
    <row r="1684" spans="1:20" ht="60" x14ac:dyDescent="0.2">
      <c r="A1684" s="432">
        <f>IF(B1684="","",COUNT('Diário 1º PA'!$A$4:$A$2635)+COUNT('Diário 2º PA'!$A$4:$A$3040)+ROW()-3)</f>
        <v>5780</v>
      </c>
      <c r="B1684" s="414">
        <v>44820</v>
      </c>
      <c r="C1684" s="431">
        <v>44774</v>
      </c>
      <c r="D1684" s="415" t="s">
        <v>271</v>
      </c>
      <c r="E1684" s="415" t="s">
        <v>456</v>
      </c>
      <c r="F1684" s="422">
        <v>-1000</v>
      </c>
      <c r="G1684" s="427" t="s">
        <v>7261</v>
      </c>
      <c r="H1684" s="415" t="s">
        <v>748</v>
      </c>
      <c r="I1684" s="427" t="s">
        <v>2437</v>
      </c>
      <c r="J1684" s="415" t="s">
        <v>796</v>
      </c>
      <c r="K1684" s="415" t="s">
        <v>797</v>
      </c>
      <c r="L1684" s="415" t="s">
        <v>798</v>
      </c>
      <c r="M1684" s="415" t="s">
        <v>310</v>
      </c>
      <c r="N1684" s="413">
        <v>44820</v>
      </c>
      <c r="O1684" s="414" t="s">
        <v>400</v>
      </c>
      <c r="P1684" s="655">
        <f t="shared" si="100"/>
        <v>9</v>
      </c>
      <c r="Q1684" s="655">
        <f t="shared" si="101"/>
        <v>8</v>
      </c>
      <c r="R1684" s="695" t="str">
        <f t="shared" si="102"/>
        <v>Gastos_Gerais</v>
      </c>
      <c r="S1684" s="697" t="s">
        <v>310</v>
      </c>
      <c r="T1684" s="697" t="s">
        <v>310</v>
      </c>
    </row>
    <row r="1685" spans="1:20" ht="36" x14ac:dyDescent="0.2">
      <c r="A1685" s="432">
        <f>IF(B1685="","",COUNT('Diário 1º PA'!$A$4:$A$2635)+COUNT('Diário 2º PA'!$A$4:$A$3040)+ROW()-3)</f>
        <v>5781</v>
      </c>
      <c r="B1685" s="414">
        <v>44820</v>
      </c>
      <c r="C1685" s="433">
        <v>44805</v>
      </c>
      <c r="D1685" s="415" t="s">
        <v>34</v>
      </c>
      <c r="E1685" s="415" t="s">
        <v>167</v>
      </c>
      <c r="F1685" s="422">
        <v>135</v>
      </c>
      <c r="G1685" s="427" t="s">
        <v>7283</v>
      </c>
      <c r="H1685" s="415" t="s">
        <v>310</v>
      </c>
      <c r="I1685" s="427" t="s">
        <v>795</v>
      </c>
      <c r="J1685" s="415" t="s">
        <v>796</v>
      </c>
      <c r="K1685" s="415" t="s">
        <v>797</v>
      </c>
      <c r="L1685" s="415" t="s">
        <v>798</v>
      </c>
      <c r="M1685" s="415" t="s">
        <v>310</v>
      </c>
      <c r="N1685" s="414">
        <v>44820</v>
      </c>
      <c r="O1685" s="414" t="s">
        <v>400</v>
      </c>
      <c r="P1685" s="655">
        <f t="shared" si="100"/>
        <v>9</v>
      </c>
      <c r="Q1685" s="655">
        <f t="shared" si="101"/>
        <v>9</v>
      </c>
      <c r="R1685" s="695" t="str">
        <f t="shared" si="102"/>
        <v>Receitas</v>
      </c>
      <c r="S1685" s="697" t="s">
        <v>310</v>
      </c>
      <c r="T1685" s="697" t="s">
        <v>310</v>
      </c>
    </row>
    <row r="1686" spans="1:20" ht="36" x14ac:dyDescent="0.2">
      <c r="A1686" s="432">
        <f>IF(B1686="","",COUNT('Diário 1º PA'!$A$4:$A$2635)+COUNT('Diário 2º PA'!$A$4:$A$3040)+ROW()-3)</f>
        <v>5782</v>
      </c>
      <c r="B1686" s="414">
        <v>44820</v>
      </c>
      <c r="C1686" s="433">
        <v>44805</v>
      </c>
      <c r="D1686" s="415" t="s">
        <v>34</v>
      </c>
      <c r="E1686" s="415" t="s">
        <v>167</v>
      </c>
      <c r="F1686" s="422">
        <v>30</v>
      </c>
      <c r="G1686" s="427" t="s">
        <v>7293</v>
      </c>
      <c r="H1686" s="415" t="s">
        <v>310</v>
      </c>
      <c r="I1686" s="427" t="s">
        <v>795</v>
      </c>
      <c r="J1686" s="415" t="s">
        <v>796</v>
      </c>
      <c r="K1686" s="415" t="s">
        <v>797</v>
      </c>
      <c r="L1686" s="415" t="s">
        <v>798</v>
      </c>
      <c r="M1686" s="415" t="s">
        <v>310</v>
      </c>
      <c r="N1686" s="414">
        <v>44820</v>
      </c>
      <c r="O1686" s="414" t="s">
        <v>400</v>
      </c>
      <c r="P1686" s="655">
        <f t="shared" si="100"/>
        <v>9</v>
      </c>
      <c r="Q1686" s="655">
        <f t="shared" si="101"/>
        <v>9</v>
      </c>
      <c r="R1686" s="695" t="str">
        <f t="shared" si="102"/>
        <v>Receitas</v>
      </c>
      <c r="S1686" s="697" t="s">
        <v>310</v>
      </c>
      <c r="T1686" s="697" t="s">
        <v>310</v>
      </c>
    </row>
    <row r="1687" spans="1:20" ht="24" x14ac:dyDescent="0.2">
      <c r="A1687" s="432">
        <f>IF(B1687="","",COUNT('Diário 1º PA'!$A$4:$A$2635)+COUNT('Diário 2º PA'!$A$4:$A$3040)+ROW()-3)</f>
        <v>5783</v>
      </c>
      <c r="B1687" s="414">
        <v>44820</v>
      </c>
      <c r="C1687" s="466">
        <v>44805</v>
      </c>
      <c r="D1687" s="415" t="s">
        <v>182</v>
      </c>
      <c r="E1687" s="415" t="s">
        <v>6</v>
      </c>
      <c r="F1687" s="425">
        <v>240</v>
      </c>
      <c r="G1687" s="427" t="s">
        <v>7250</v>
      </c>
      <c r="H1687" s="415" t="s">
        <v>310</v>
      </c>
      <c r="I1687" s="473" t="s">
        <v>1182</v>
      </c>
      <c r="J1687" s="415" t="s">
        <v>1183</v>
      </c>
      <c r="K1687" s="415" t="s">
        <v>830</v>
      </c>
      <c r="L1687" s="415" t="s">
        <v>1305</v>
      </c>
      <c r="M1687" s="415" t="s">
        <v>310</v>
      </c>
      <c r="N1687" s="414">
        <v>44820</v>
      </c>
      <c r="O1687" s="414" t="s">
        <v>400</v>
      </c>
      <c r="P1687" s="655">
        <f t="shared" si="100"/>
        <v>9</v>
      </c>
      <c r="Q1687" s="655">
        <f t="shared" si="101"/>
        <v>9</v>
      </c>
      <c r="R1687" s="695" t="str">
        <f t="shared" si="102"/>
        <v>Gastos_com_Pessoal</v>
      </c>
      <c r="S1687" s="697" t="s">
        <v>310</v>
      </c>
      <c r="T1687" s="697" t="s">
        <v>310</v>
      </c>
    </row>
    <row r="1688" spans="1:20" ht="24" x14ac:dyDescent="0.2">
      <c r="A1688" s="432">
        <f>IF(B1688="","",COUNT('Diário 1º PA'!$A$4:$A$2635)+COUNT('Diário 2º PA'!$A$4:$A$3040)+ROW()-3)</f>
        <v>5784</v>
      </c>
      <c r="B1688" s="414">
        <v>44820</v>
      </c>
      <c r="C1688" s="466">
        <v>44805</v>
      </c>
      <c r="D1688" s="415" t="s">
        <v>182</v>
      </c>
      <c r="E1688" s="415" t="s">
        <v>6</v>
      </c>
      <c r="F1688" s="425">
        <v>180</v>
      </c>
      <c r="G1688" s="427" t="s">
        <v>7250</v>
      </c>
      <c r="H1688" s="415" t="s">
        <v>310</v>
      </c>
      <c r="I1688" s="473" t="s">
        <v>3519</v>
      </c>
      <c r="J1688" s="415" t="s">
        <v>988</v>
      </c>
      <c r="K1688" s="415" t="s">
        <v>830</v>
      </c>
      <c r="L1688" s="415" t="s">
        <v>1305</v>
      </c>
      <c r="M1688" s="415" t="s">
        <v>310</v>
      </c>
      <c r="N1688" s="414">
        <v>44820</v>
      </c>
      <c r="O1688" s="414" t="s">
        <v>400</v>
      </c>
      <c r="P1688" s="655">
        <f t="shared" si="100"/>
        <v>9</v>
      </c>
      <c r="Q1688" s="655">
        <f t="shared" si="101"/>
        <v>9</v>
      </c>
      <c r="R1688" s="695" t="str">
        <f t="shared" si="102"/>
        <v>Gastos_com_Pessoal</v>
      </c>
      <c r="S1688" s="697" t="s">
        <v>310</v>
      </c>
      <c r="T1688" s="697" t="s">
        <v>310</v>
      </c>
    </row>
    <row r="1689" spans="1:20" ht="24" x14ac:dyDescent="0.2">
      <c r="A1689" s="432">
        <f>IF(B1689="","",COUNT('Diário 1º PA'!$A$4:$A$2635)+COUNT('Diário 2º PA'!$A$4:$A$3040)+ROW()-3)</f>
        <v>5785</v>
      </c>
      <c r="B1689" s="414">
        <v>44820</v>
      </c>
      <c r="C1689" s="466">
        <v>44805</v>
      </c>
      <c r="D1689" s="415" t="s">
        <v>182</v>
      </c>
      <c r="E1689" s="415" t="s">
        <v>6</v>
      </c>
      <c r="F1689" s="425">
        <v>180</v>
      </c>
      <c r="G1689" s="427" t="s">
        <v>7250</v>
      </c>
      <c r="H1689" s="415" t="s">
        <v>310</v>
      </c>
      <c r="I1689" s="473" t="s">
        <v>1202</v>
      </c>
      <c r="J1689" s="415" t="s">
        <v>1201</v>
      </c>
      <c r="K1689" s="415" t="s">
        <v>830</v>
      </c>
      <c r="L1689" s="415" t="s">
        <v>1305</v>
      </c>
      <c r="M1689" s="415" t="s">
        <v>310</v>
      </c>
      <c r="N1689" s="414">
        <v>44820</v>
      </c>
      <c r="O1689" s="414" t="s">
        <v>400</v>
      </c>
      <c r="P1689" s="655">
        <f t="shared" si="100"/>
        <v>9</v>
      </c>
      <c r="Q1689" s="655">
        <f t="shared" si="101"/>
        <v>9</v>
      </c>
      <c r="R1689" s="695" t="str">
        <f t="shared" si="102"/>
        <v>Gastos_com_Pessoal</v>
      </c>
      <c r="S1689" s="697" t="s">
        <v>310</v>
      </c>
      <c r="T1689" s="697" t="s">
        <v>310</v>
      </c>
    </row>
    <row r="1690" spans="1:20" ht="24" x14ac:dyDescent="0.2">
      <c r="A1690" s="432">
        <f>IF(B1690="","",COUNT('Diário 1º PA'!$A$4:$A$2635)+COUNT('Diário 2º PA'!$A$4:$A$3040)+ROW()-3)</f>
        <v>5786</v>
      </c>
      <c r="B1690" s="414">
        <v>44820</v>
      </c>
      <c r="C1690" s="466">
        <v>44805</v>
      </c>
      <c r="D1690" s="415" t="s">
        <v>182</v>
      </c>
      <c r="E1690" s="415" t="s">
        <v>6</v>
      </c>
      <c r="F1690" s="425">
        <v>180</v>
      </c>
      <c r="G1690" s="427" t="s">
        <v>7250</v>
      </c>
      <c r="H1690" s="415" t="s">
        <v>310</v>
      </c>
      <c r="I1690" s="473" t="s">
        <v>6019</v>
      </c>
      <c r="J1690" s="415" t="s">
        <v>1178</v>
      </c>
      <c r="K1690" s="415" t="s">
        <v>830</v>
      </c>
      <c r="L1690" s="415" t="s">
        <v>1305</v>
      </c>
      <c r="M1690" s="415" t="s">
        <v>310</v>
      </c>
      <c r="N1690" s="414">
        <v>44820</v>
      </c>
      <c r="O1690" s="414" t="s">
        <v>400</v>
      </c>
      <c r="P1690" s="655">
        <f t="shared" si="100"/>
        <v>9</v>
      </c>
      <c r="Q1690" s="655">
        <f t="shared" si="101"/>
        <v>9</v>
      </c>
      <c r="R1690" s="695" t="str">
        <f t="shared" si="102"/>
        <v>Gastos_com_Pessoal</v>
      </c>
      <c r="S1690" s="697" t="s">
        <v>310</v>
      </c>
      <c r="T1690" s="697" t="s">
        <v>310</v>
      </c>
    </row>
    <row r="1691" spans="1:20" ht="24" x14ac:dyDescent="0.2">
      <c r="A1691" s="432">
        <f>IF(B1691="","",COUNT('Diário 1º PA'!$A$4:$A$2635)+COUNT('Diário 2º PA'!$A$4:$A$3040)+ROW()-3)</f>
        <v>5787</v>
      </c>
      <c r="B1691" s="414">
        <v>44820</v>
      </c>
      <c r="C1691" s="466">
        <v>44805</v>
      </c>
      <c r="D1691" s="415" t="s">
        <v>182</v>
      </c>
      <c r="E1691" s="415" t="s">
        <v>6</v>
      </c>
      <c r="F1691" s="425">
        <v>180</v>
      </c>
      <c r="G1691" s="427" t="s">
        <v>7250</v>
      </c>
      <c r="H1691" s="415" t="s">
        <v>310</v>
      </c>
      <c r="I1691" s="473" t="s">
        <v>1173</v>
      </c>
      <c r="J1691" s="415" t="s">
        <v>1174</v>
      </c>
      <c r="K1691" s="415" t="s">
        <v>830</v>
      </c>
      <c r="L1691" s="415" t="s">
        <v>1305</v>
      </c>
      <c r="M1691" s="415" t="s">
        <v>310</v>
      </c>
      <c r="N1691" s="414">
        <v>44820</v>
      </c>
      <c r="O1691" s="414" t="s">
        <v>400</v>
      </c>
      <c r="P1691" s="655">
        <f t="shared" si="100"/>
        <v>9</v>
      </c>
      <c r="Q1691" s="655">
        <f t="shared" si="101"/>
        <v>9</v>
      </c>
      <c r="R1691" s="695" t="str">
        <f t="shared" si="102"/>
        <v>Gastos_com_Pessoal</v>
      </c>
      <c r="S1691" s="697" t="s">
        <v>310</v>
      </c>
      <c r="T1691" s="697" t="s">
        <v>310</v>
      </c>
    </row>
    <row r="1692" spans="1:20" ht="24" x14ac:dyDescent="0.2">
      <c r="A1692" s="432">
        <f>IF(B1692="","",COUNT('Diário 1º PA'!$A$4:$A$2635)+COUNT('Diário 2º PA'!$A$4:$A$3040)+ROW()-3)</f>
        <v>5788</v>
      </c>
      <c r="B1692" s="414">
        <v>44820</v>
      </c>
      <c r="C1692" s="466">
        <v>44805</v>
      </c>
      <c r="D1692" s="415" t="s">
        <v>182</v>
      </c>
      <c r="E1692" s="415" t="s">
        <v>6</v>
      </c>
      <c r="F1692" s="425">
        <v>180</v>
      </c>
      <c r="G1692" s="427" t="s">
        <v>7250</v>
      </c>
      <c r="H1692" s="415" t="s">
        <v>310</v>
      </c>
      <c r="I1692" s="473" t="s">
        <v>828</v>
      </c>
      <c r="J1692" s="415" t="s">
        <v>829</v>
      </c>
      <c r="K1692" s="415" t="s">
        <v>830</v>
      </c>
      <c r="L1692" s="415" t="s">
        <v>1305</v>
      </c>
      <c r="M1692" s="415" t="s">
        <v>310</v>
      </c>
      <c r="N1692" s="414">
        <v>44820</v>
      </c>
      <c r="O1692" s="414" t="s">
        <v>400</v>
      </c>
      <c r="P1692" s="655">
        <f t="shared" si="100"/>
        <v>9</v>
      </c>
      <c r="Q1692" s="655">
        <f t="shared" si="101"/>
        <v>9</v>
      </c>
      <c r="R1692" s="695" t="str">
        <f t="shared" si="102"/>
        <v>Gastos_com_Pessoal</v>
      </c>
      <c r="S1692" s="697" t="s">
        <v>310</v>
      </c>
      <c r="T1692" s="697" t="s">
        <v>310</v>
      </c>
    </row>
    <row r="1693" spans="1:20" ht="24" x14ac:dyDescent="0.2">
      <c r="A1693" s="432">
        <f>IF(B1693="","",COUNT('Diário 1º PA'!$A$4:$A$2635)+COUNT('Diário 2º PA'!$A$4:$A$3040)+ROW()-3)</f>
        <v>5789</v>
      </c>
      <c r="B1693" s="414">
        <v>44820</v>
      </c>
      <c r="C1693" s="466">
        <v>44805</v>
      </c>
      <c r="D1693" s="415" t="s">
        <v>182</v>
      </c>
      <c r="E1693" s="415" t="s">
        <v>6</v>
      </c>
      <c r="F1693" s="425">
        <v>180</v>
      </c>
      <c r="G1693" s="427" t="s">
        <v>7250</v>
      </c>
      <c r="H1693" s="415" t="s">
        <v>310</v>
      </c>
      <c r="I1693" s="473" t="s">
        <v>1205</v>
      </c>
      <c r="J1693" s="415" t="s">
        <v>1204</v>
      </c>
      <c r="K1693" s="415" t="s">
        <v>830</v>
      </c>
      <c r="L1693" s="415" t="s">
        <v>1305</v>
      </c>
      <c r="M1693" s="415" t="s">
        <v>310</v>
      </c>
      <c r="N1693" s="414">
        <v>44820</v>
      </c>
      <c r="O1693" s="414" t="s">
        <v>400</v>
      </c>
      <c r="P1693" s="655">
        <f t="shared" si="100"/>
        <v>9</v>
      </c>
      <c r="Q1693" s="655">
        <f t="shared" si="101"/>
        <v>9</v>
      </c>
      <c r="R1693" s="695" t="str">
        <f t="shared" si="102"/>
        <v>Gastos_com_Pessoal</v>
      </c>
      <c r="S1693" s="697" t="s">
        <v>310</v>
      </c>
      <c r="T1693" s="697" t="s">
        <v>310</v>
      </c>
    </row>
    <row r="1694" spans="1:20" ht="24" x14ac:dyDescent="0.2">
      <c r="A1694" s="432">
        <f>IF(B1694="","",COUNT('Diário 1º PA'!$A$4:$A$2635)+COUNT('Diário 2º PA'!$A$4:$A$3040)+ROW()-3)</f>
        <v>5790</v>
      </c>
      <c r="B1694" s="414">
        <v>44820</v>
      </c>
      <c r="C1694" s="466">
        <v>44805</v>
      </c>
      <c r="D1694" s="415" t="s">
        <v>182</v>
      </c>
      <c r="E1694" s="415" t="s">
        <v>6</v>
      </c>
      <c r="F1694" s="425">
        <v>180</v>
      </c>
      <c r="G1694" s="427" t="s">
        <v>7250</v>
      </c>
      <c r="H1694" s="415" t="s">
        <v>310</v>
      </c>
      <c r="I1694" s="473" t="s">
        <v>1190</v>
      </c>
      <c r="J1694" s="399" t="s">
        <v>1191</v>
      </c>
      <c r="K1694" s="415" t="s">
        <v>830</v>
      </c>
      <c r="L1694" s="415" t="s">
        <v>1305</v>
      </c>
      <c r="M1694" s="415" t="s">
        <v>310</v>
      </c>
      <c r="N1694" s="414">
        <v>44820</v>
      </c>
      <c r="O1694" s="414" t="s">
        <v>400</v>
      </c>
      <c r="P1694" s="655">
        <f t="shared" si="100"/>
        <v>9</v>
      </c>
      <c r="Q1694" s="655">
        <f t="shared" si="101"/>
        <v>9</v>
      </c>
      <c r="R1694" s="695" t="str">
        <f t="shared" si="102"/>
        <v>Gastos_com_Pessoal</v>
      </c>
      <c r="S1694" s="697" t="s">
        <v>310</v>
      </c>
      <c r="T1694" s="697" t="s">
        <v>310</v>
      </c>
    </row>
    <row r="1695" spans="1:20" ht="24" x14ac:dyDescent="0.2">
      <c r="A1695" s="432">
        <f>IF(B1695="","",COUNT('Diário 1º PA'!$A$4:$A$2635)+COUNT('Diário 2º PA'!$A$4:$A$3040)+ROW()-3)</f>
        <v>5791</v>
      </c>
      <c r="B1695" s="414">
        <v>44820</v>
      </c>
      <c r="C1695" s="466">
        <v>44805</v>
      </c>
      <c r="D1695" s="415" t="s">
        <v>182</v>
      </c>
      <c r="E1695" s="415" t="s">
        <v>6</v>
      </c>
      <c r="F1695" s="425">
        <v>240</v>
      </c>
      <c r="G1695" s="427" t="s">
        <v>7250</v>
      </c>
      <c r="H1695" s="415" t="s">
        <v>310</v>
      </c>
      <c r="I1695" s="473" t="s">
        <v>982</v>
      </c>
      <c r="J1695" s="415" t="s">
        <v>983</v>
      </c>
      <c r="K1695" s="415" t="s">
        <v>830</v>
      </c>
      <c r="L1695" s="415" t="s">
        <v>1305</v>
      </c>
      <c r="M1695" s="415" t="s">
        <v>310</v>
      </c>
      <c r="N1695" s="414">
        <v>44820</v>
      </c>
      <c r="O1695" s="414" t="s">
        <v>400</v>
      </c>
      <c r="P1695" s="655">
        <f t="shared" si="100"/>
        <v>9</v>
      </c>
      <c r="Q1695" s="655">
        <f t="shared" si="101"/>
        <v>9</v>
      </c>
      <c r="R1695" s="695" t="str">
        <f t="shared" si="102"/>
        <v>Gastos_com_Pessoal</v>
      </c>
      <c r="S1695" s="697" t="s">
        <v>310</v>
      </c>
      <c r="T1695" s="697" t="s">
        <v>310</v>
      </c>
    </row>
    <row r="1696" spans="1:20" ht="24" x14ac:dyDescent="0.2">
      <c r="A1696" s="432">
        <f>IF(B1696="","",COUNT('Diário 1º PA'!$A$4:$A$2635)+COUNT('Diário 2º PA'!$A$4:$A$3040)+ROW()-3)</f>
        <v>5792</v>
      </c>
      <c r="B1696" s="414">
        <v>44820</v>
      </c>
      <c r="C1696" s="466">
        <v>44805</v>
      </c>
      <c r="D1696" s="415" t="s">
        <v>182</v>
      </c>
      <c r="E1696" s="415" t="s">
        <v>6</v>
      </c>
      <c r="F1696" s="425">
        <v>240</v>
      </c>
      <c r="G1696" s="427" t="s">
        <v>7250</v>
      </c>
      <c r="H1696" s="415" t="s">
        <v>310</v>
      </c>
      <c r="I1696" s="473" t="s">
        <v>972</v>
      </c>
      <c r="J1696" s="415" t="s">
        <v>973</v>
      </c>
      <c r="K1696" s="415" t="s">
        <v>830</v>
      </c>
      <c r="L1696" s="415" t="s">
        <v>1305</v>
      </c>
      <c r="M1696" s="415" t="s">
        <v>310</v>
      </c>
      <c r="N1696" s="414">
        <v>44820</v>
      </c>
      <c r="O1696" s="414" t="s">
        <v>400</v>
      </c>
      <c r="P1696" s="655">
        <f t="shared" si="100"/>
        <v>9</v>
      </c>
      <c r="Q1696" s="655">
        <f t="shared" si="101"/>
        <v>9</v>
      </c>
      <c r="R1696" s="695" t="str">
        <f t="shared" si="102"/>
        <v>Gastos_com_Pessoal</v>
      </c>
      <c r="S1696" s="697" t="s">
        <v>310</v>
      </c>
      <c r="T1696" s="697" t="s">
        <v>310</v>
      </c>
    </row>
    <row r="1697" spans="1:20" ht="24" x14ac:dyDescent="0.2">
      <c r="A1697" s="432">
        <f>IF(B1697="","",COUNT('Diário 1º PA'!$A$4:$A$2635)+COUNT('Diário 2º PA'!$A$4:$A$3040)+ROW()-3)</f>
        <v>5793</v>
      </c>
      <c r="B1697" s="414">
        <v>44820</v>
      </c>
      <c r="C1697" s="466">
        <v>44805</v>
      </c>
      <c r="D1697" s="415" t="s">
        <v>182</v>
      </c>
      <c r="E1697" s="415" t="s">
        <v>6</v>
      </c>
      <c r="F1697" s="425">
        <v>180</v>
      </c>
      <c r="G1697" s="427" t="s">
        <v>7250</v>
      </c>
      <c r="H1697" s="415" t="s">
        <v>310</v>
      </c>
      <c r="I1697" s="473" t="s">
        <v>1175</v>
      </c>
      <c r="J1697" s="415" t="s">
        <v>1176</v>
      </c>
      <c r="K1697" s="415" t="s">
        <v>830</v>
      </c>
      <c r="L1697" s="415" t="s">
        <v>1305</v>
      </c>
      <c r="M1697" s="415" t="s">
        <v>310</v>
      </c>
      <c r="N1697" s="414">
        <v>44820</v>
      </c>
      <c r="O1697" s="414" t="s">
        <v>400</v>
      </c>
      <c r="P1697" s="655">
        <f t="shared" si="100"/>
        <v>9</v>
      </c>
      <c r="Q1697" s="655">
        <f t="shared" si="101"/>
        <v>9</v>
      </c>
      <c r="R1697" s="695" t="str">
        <f t="shared" si="102"/>
        <v>Gastos_com_Pessoal</v>
      </c>
      <c r="S1697" s="697" t="s">
        <v>310</v>
      </c>
      <c r="T1697" s="697" t="s">
        <v>310</v>
      </c>
    </row>
    <row r="1698" spans="1:20" ht="24" x14ac:dyDescent="0.2">
      <c r="A1698" s="432">
        <f>IF(B1698="","",COUNT('Diário 1º PA'!$A$4:$A$2635)+COUNT('Diário 2º PA'!$A$4:$A$3040)+ROW()-3)</f>
        <v>5794</v>
      </c>
      <c r="B1698" s="414">
        <v>44820</v>
      </c>
      <c r="C1698" s="466">
        <v>44805</v>
      </c>
      <c r="D1698" s="415" t="s">
        <v>182</v>
      </c>
      <c r="E1698" s="415" t="s">
        <v>6</v>
      </c>
      <c r="F1698" s="425">
        <v>240</v>
      </c>
      <c r="G1698" s="427" t="s">
        <v>7250</v>
      </c>
      <c r="H1698" s="415" t="s">
        <v>310</v>
      </c>
      <c r="I1698" s="473" t="s">
        <v>6328</v>
      </c>
      <c r="J1698" s="419">
        <v>12909142655</v>
      </c>
      <c r="K1698" s="415" t="s">
        <v>830</v>
      </c>
      <c r="L1698" s="415" t="s">
        <v>1305</v>
      </c>
      <c r="M1698" s="415" t="s">
        <v>310</v>
      </c>
      <c r="N1698" s="414">
        <v>44820</v>
      </c>
      <c r="O1698" s="414" t="s">
        <v>400</v>
      </c>
      <c r="P1698" s="655">
        <f t="shared" si="100"/>
        <v>9</v>
      </c>
      <c r="Q1698" s="655">
        <f t="shared" si="101"/>
        <v>9</v>
      </c>
      <c r="R1698" s="695" t="str">
        <f t="shared" si="102"/>
        <v>Gastos_com_Pessoal</v>
      </c>
      <c r="S1698" s="697" t="s">
        <v>310</v>
      </c>
      <c r="T1698" s="697" t="s">
        <v>310</v>
      </c>
    </row>
    <row r="1699" spans="1:20" ht="24" x14ac:dyDescent="0.2">
      <c r="A1699" s="432">
        <f>IF(B1699="","",COUNT('Diário 1º PA'!$A$4:$A$2635)+COUNT('Diário 2º PA'!$A$4:$A$3040)+ROW()-3)</f>
        <v>5795</v>
      </c>
      <c r="B1699" s="414">
        <v>44820</v>
      </c>
      <c r="C1699" s="466">
        <v>44805</v>
      </c>
      <c r="D1699" s="415" t="s">
        <v>182</v>
      </c>
      <c r="E1699" s="415" t="s">
        <v>6</v>
      </c>
      <c r="F1699" s="425">
        <v>240</v>
      </c>
      <c r="G1699" s="427" t="s">
        <v>7250</v>
      </c>
      <c r="H1699" s="415" t="s">
        <v>310</v>
      </c>
      <c r="I1699" s="473" t="s">
        <v>6359</v>
      </c>
      <c r="J1699" s="415" t="s">
        <v>6311</v>
      </c>
      <c r="K1699" s="415" t="s">
        <v>830</v>
      </c>
      <c r="L1699" s="415" t="s">
        <v>1305</v>
      </c>
      <c r="M1699" s="415" t="s">
        <v>310</v>
      </c>
      <c r="N1699" s="414">
        <v>44820</v>
      </c>
      <c r="O1699" s="414" t="s">
        <v>400</v>
      </c>
      <c r="P1699" s="655">
        <f t="shared" si="100"/>
        <v>9</v>
      </c>
      <c r="Q1699" s="655">
        <f t="shared" si="101"/>
        <v>9</v>
      </c>
      <c r="R1699" s="695" t="str">
        <f t="shared" si="102"/>
        <v>Gastos_com_Pessoal</v>
      </c>
      <c r="S1699" s="697" t="s">
        <v>310</v>
      </c>
      <c r="T1699" s="697" t="s">
        <v>310</v>
      </c>
    </row>
    <row r="1700" spans="1:20" ht="24" x14ac:dyDescent="0.2">
      <c r="A1700" s="432">
        <f>IF(B1700="","",COUNT('Diário 1º PA'!$A$4:$A$2635)+COUNT('Diário 2º PA'!$A$4:$A$3040)+ROW()-3)</f>
        <v>5796</v>
      </c>
      <c r="B1700" s="414">
        <v>44820</v>
      </c>
      <c r="C1700" s="466">
        <v>44805</v>
      </c>
      <c r="D1700" s="415" t="s">
        <v>182</v>
      </c>
      <c r="E1700" s="415" t="s">
        <v>6</v>
      </c>
      <c r="F1700" s="425">
        <v>240</v>
      </c>
      <c r="G1700" s="427" t="s">
        <v>7250</v>
      </c>
      <c r="H1700" s="415" t="s">
        <v>310</v>
      </c>
      <c r="I1700" s="473" t="s">
        <v>1203</v>
      </c>
      <c r="J1700" s="415" t="s">
        <v>1201</v>
      </c>
      <c r="K1700" s="415" t="s">
        <v>830</v>
      </c>
      <c r="L1700" s="415" t="s">
        <v>1305</v>
      </c>
      <c r="M1700" s="415" t="s">
        <v>310</v>
      </c>
      <c r="N1700" s="414">
        <v>44820</v>
      </c>
      <c r="O1700" s="414" t="s">
        <v>400</v>
      </c>
      <c r="P1700" s="655">
        <f t="shared" si="100"/>
        <v>9</v>
      </c>
      <c r="Q1700" s="655">
        <f t="shared" si="101"/>
        <v>9</v>
      </c>
      <c r="R1700" s="695" t="str">
        <f t="shared" si="102"/>
        <v>Gastos_com_Pessoal</v>
      </c>
      <c r="S1700" s="697" t="s">
        <v>310</v>
      </c>
      <c r="T1700" s="697" t="s">
        <v>310</v>
      </c>
    </row>
    <row r="1701" spans="1:20" ht="24" x14ac:dyDescent="0.2">
      <c r="A1701" s="432">
        <f>IF(B1701="","",COUNT('Diário 1º PA'!$A$4:$A$2635)+COUNT('Diário 2º PA'!$A$4:$A$3040)+ROW()-3)</f>
        <v>5797</v>
      </c>
      <c r="B1701" s="414">
        <v>44820</v>
      </c>
      <c r="C1701" s="466">
        <v>44805</v>
      </c>
      <c r="D1701" s="415" t="s">
        <v>182</v>
      </c>
      <c r="E1701" s="415" t="s">
        <v>6</v>
      </c>
      <c r="F1701" s="425">
        <v>240</v>
      </c>
      <c r="G1701" s="427" t="s">
        <v>7250</v>
      </c>
      <c r="H1701" s="415" t="s">
        <v>310</v>
      </c>
      <c r="I1701" s="473" t="s">
        <v>6317</v>
      </c>
      <c r="J1701" s="415" t="s">
        <v>6318</v>
      </c>
      <c r="K1701" s="415" t="s">
        <v>830</v>
      </c>
      <c r="L1701" s="415" t="s">
        <v>1305</v>
      </c>
      <c r="M1701" s="415" t="s">
        <v>310</v>
      </c>
      <c r="N1701" s="414">
        <v>44820</v>
      </c>
      <c r="O1701" s="414" t="s">
        <v>400</v>
      </c>
      <c r="P1701" s="655">
        <f t="shared" si="100"/>
        <v>9</v>
      </c>
      <c r="Q1701" s="655">
        <f t="shared" si="101"/>
        <v>9</v>
      </c>
      <c r="R1701" s="695" t="str">
        <f t="shared" si="102"/>
        <v>Gastos_com_Pessoal</v>
      </c>
      <c r="S1701" s="697" t="s">
        <v>310</v>
      </c>
      <c r="T1701" s="697" t="s">
        <v>310</v>
      </c>
    </row>
    <row r="1702" spans="1:20" ht="24" x14ac:dyDescent="0.2">
      <c r="A1702" s="432">
        <f>IF(B1702="","",COUNT('Diário 1º PA'!$A$4:$A$2635)+COUNT('Diário 2º PA'!$A$4:$A$3040)+ROW()-3)</f>
        <v>5798</v>
      </c>
      <c r="B1702" s="414">
        <v>44820</v>
      </c>
      <c r="C1702" s="466">
        <v>44805</v>
      </c>
      <c r="D1702" s="415" t="s">
        <v>182</v>
      </c>
      <c r="E1702" s="415" t="s">
        <v>6</v>
      </c>
      <c r="F1702" s="425">
        <v>240</v>
      </c>
      <c r="G1702" s="427" t="s">
        <v>7250</v>
      </c>
      <c r="H1702" s="415" t="s">
        <v>310</v>
      </c>
      <c r="I1702" s="473" t="s">
        <v>969</v>
      </c>
      <c r="J1702" s="415" t="s">
        <v>970</v>
      </c>
      <c r="K1702" s="415" t="s">
        <v>830</v>
      </c>
      <c r="L1702" s="415" t="s">
        <v>1305</v>
      </c>
      <c r="M1702" s="415" t="s">
        <v>310</v>
      </c>
      <c r="N1702" s="414">
        <v>44820</v>
      </c>
      <c r="O1702" s="414" t="s">
        <v>400</v>
      </c>
      <c r="P1702" s="655">
        <f t="shared" si="100"/>
        <v>9</v>
      </c>
      <c r="Q1702" s="655">
        <f t="shared" si="101"/>
        <v>9</v>
      </c>
      <c r="R1702" s="695" t="str">
        <f t="shared" si="102"/>
        <v>Gastos_com_Pessoal</v>
      </c>
      <c r="S1702" s="697" t="s">
        <v>310</v>
      </c>
      <c r="T1702" s="697" t="s">
        <v>310</v>
      </c>
    </row>
    <row r="1703" spans="1:20" ht="72" x14ac:dyDescent="0.2">
      <c r="A1703" s="432">
        <f>IF(B1703="","",COUNT('Diário 1º PA'!$A$4:$A$2635)+COUNT('Diário 2º PA'!$A$4:$A$3040)+ROW()-3)</f>
        <v>5799</v>
      </c>
      <c r="B1703" s="414">
        <v>44820</v>
      </c>
      <c r="C1703" s="431">
        <v>44805</v>
      </c>
      <c r="D1703" s="415" t="s">
        <v>271</v>
      </c>
      <c r="E1703" s="415" t="s">
        <v>178</v>
      </c>
      <c r="F1703" s="425">
        <v>1131</v>
      </c>
      <c r="G1703" s="427" t="s">
        <v>7091</v>
      </c>
      <c r="H1703" s="415" t="s">
        <v>755</v>
      </c>
      <c r="I1703" s="415" t="s">
        <v>5401</v>
      </c>
      <c r="J1703" s="415" t="s">
        <v>5402</v>
      </c>
      <c r="K1703" s="419" t="s">
        <v>830</v>
      </c>
      <c r="L1703" s="415" t="s">
        <v>32</v>
      </c>
      <c r="M1703" s="419" t="s">
        <v>7262</v>
      </c>
      <c r="N1703" s="414">
        <v>44818</v>
      </c>
      <c r="O1703" s="414" t="s">
        <v>400</v>
      </c>
      <c r="P1703" s="655">
        <f t="shared" si="100"/>
        <v>9</v>
      </c>
      <c r="Q1703" s="655">
        <f t="shared" si="101"/>
        <v>9</v>
      </c>
      <c r="R1703" s="695" t="str">
        <f t="shared" si="102"/>
        <v>Gastos_Gerais</v>
      </c>
      <c r="S1703" s="697" t="s">
        <v>998</v>
      </c>
      <c r="T1703" s="697">
        <v>4340</v>
      </c>
    </row>
    <row r="1704" spans="1:20" ht="36" x14ac:dyDescent="0.2">
      <c r="A1704" s="432">
        <f>IF(B1704="","",COUNT('Diário 1º PA'!$A$4:$A$2635)+COUNT('Diário 2º PA'!$A$4:$A$3040)+ROW()-3)</f>
        <v>5800</v>
      </c>
      <c r="B1704" s="414">
        <v>44820</v>
      </c>
      <c r="C1704" s="431">
        <v>44805</v>
      </c>
      <c r="D1704" s="415" t="s">
        <v>271</v>
      </c>
      <c r="E1704" s="415" t="s">
        <v>71</v>
      </c>
      <c r="F1704" s="425">
        <v>11</v>
      </c>
      <c r="G1704" s="440" t="s">
        <v>7265</v>
      </c>
      <c r="H1704" s="415" t="s">
        <v>310</v>
      </c>
      <c r="I1704" s="398" t="s">
        <v>881</v>
      </c>
      <c r="J1704" s="418" t="s">
        <v>882</v>
      </c>
      <c r="K1704" s="418" t="s">
        <v>883</v>
      </c>
      <c r="L1704" s="399" t="s">
        <v>798</v>
      </c>
      <c r="M1704" s="544" t="s">
        <v>310</v>
      </c>
      <c r="N1704" s="413">
        <v>44820</v>
      </c>
      <c r="O1704" s="414" t="s">
        <v>400</v>
      </c>
      <c r="P1704" s="655">
        <f t="shared" si="100"/>
        <v>9</v>
      </c>
      <c r="Q1704" s="655">
        <f t="shared" si="101"/>
        <v>9</v>
      </c>
      <c r="R1704" s="695" t="str">
        <f t="shared" si="102"/>
        <v>Gastos_Gerais</v>
      </c>
      <c r="S1704" s="697" t="s">
        <v>310</v>
      </c>
      <c r="T1704" s="697" t="s">
        <v>310</v>
      </c>
    </row>
    <row r="1705" spans="1:20" ht="36" x14ac:dyDescent="0.2">
      <c r="A1705" s="432">
        <f>IF(B1705="","",COUNT('Diário 1º PA'!$A$4:$A$2635)+COUNT('Diário 2º PA'!$A$4:$A$3040)+ROW()-3)</f>
        <v>5801</v>
      </c>
      <c r="B1705" s="414">
        <v>44820</v>
      </c>
      <c r="C1705" s="431">
        <v>44805</v>
      </c>
      <c r="D1705" s="415" t="s">
        <v>271</v>
      </c>
      <c r="E1705" s="415" t="s">
        <v>71</v>
      </c>
      <c r="F1705" s="425">
        <v>11</v>
      </c>
      <c r="G1705" s="440" t="s">
        <v>7266</v>
      </c>
      <c r="H1705" s="415" t="s">
        <v>310</v>
      </c>
      <c r="I1705" s="398" t="s">
        <v>881</v>
      </c>
      <c r="J1705" s="418" t="s">
        <v>882</v>
      </c>
      <c r="K1705" s="418" t="s">
        <v>883</v>
      </c>
      <c r="L1705" s="399" t="s">
        <v>798</v>
      </c>
      <c r="M1705" s="544" t="s">
        <v>310</v>
      </c>
      <c r="N1705" s="413">
        <v>44820</v>
      </c>
      <c r="O1705" s="414" t="s">
        <v>400</v>
      </c>
      <c r="P1705" s="655">
        <f t="shared" si="100"/>
        <v>9</v>
      </c>
      <c r="Q1705" s="655">
        <f t="shared" si="101"/>
        <v>9</v>
      </c>
      <c r="R1705" s="695" t="str">
        <f t="shared" si="102"/>
        <v>Gastos_Gerais</v>
      </c>
      <c r="S1705" s="697" t="s">
        <v>310</v>
      </c>
      <c r="T1705" s="697" t="s">
        <v>310</v>
      </c>
    </row>
    <row r="1706" spans="1:20" ht="36" x14ac:dyDescent="0.2">
      <c r="A1706" s="432">
        <f>IF(B1706="","",COUNT('Diário 1º PA'!$A$4:$A$2635)+COUNT('Diário 2º PA'!$A$4:$A$3040)+ROW()-3)</f>
        <v>5802</v>
      </c>
      <c r="B1706" s="414">
        <v>44820</v>
      </c>
      <c r="C1706" s="431">
        <v>44805</v>
      </c>
      <c r="D1706" s="415" t="s">
        <v>271</v>
      </c>
      <c r="E1706" s="415" t="s">
        <v>71</v>
      </c>
      <c r="F1706" s="425">
        <v>11</v>
      </c>
      <c r="G1706" s="440" t="s">
        <v>7269</v>
      </c>
      <c r="H1706" s="415" t="s">
        <v>310</v>
      </c>
      <c r="I1706" s="398" t="s">
        <v>881</v>
      </c>
      <c r="J1706" s="418" t="s">
        <v>882</v>
      </c>
      <c r="K1706" s="418" t="s">
        <v>883</v>
      </c>
      <c r="L1706" s="399" t="s">
        <v>798</v>
      </c>
      <c r="M1706" s="544" t="s">
        <v>310</v>
      </c>
      <c r="N1706" s="413">
        <v>44820</v>
      </c>
      <c r="O1706" s="414" t="s">
        <v>400</v>
      </c>
      <c r="P1706" s="655">
        <f t="shared" si="100"/>
        <v>9</v>
      </c>
      <c r="Q1706" s="655">
        <f t="shared" si="101"/>
        <v>9</v>
      </c>
      <c r="R1706" s="695" t="str">
        <f t="shared" si="102"/>
        <v>Gastos_Gerais</v>
      </c>
      <c r="S1706" s="697" t="s">
        <v>310</v>
      </c>
      <c r="T1706" s="697" t="s">
        <v>310</v>
      </c>
    </row>
    <row r="1707" spans="1:20" ht="24" x14ac:dyDescent="0.2">
      <c r="A1707" s="432">
        <f>IF(B1707="","",COUNT('Diário 1º PA'!$A$4:$A$2635)+COUNT('Diário 2º PA'!$A$4:$A$3040)+ROW()-3)</f>
        <v>5803</v>
      </c>
      <c r="B1707" s="414">
        <v>44820</v>
      </c>
      <c r="C1707" s="431">
        <v>44805</v>
      </c>
      <c r="D1707" s="415" t="s">
        <v>271</v>
      </c>
      <c r="E1707" s="415" t="s">
        <v>71</v>
      </c>
      <c r="F1707" s="425">
        <v>11</v>
      </c>
      <c r="G1707" s="440" t="s">
        <v>7268</v>
      </c>
      <c r="H1707" s="415" t="s">
        <v>310</v>
      </c>
      <c r="I1707" s="398" t="s">
        <v>881</v>
      </c>
      <c r="J1707" s="418" t="s">
        <v>882</v>
      </c>
      <c r="K1707" s="418" t="s">
        <v>883</v>
      </c>
      <c r="L1707" s="399" t="s">
        <v>798</v>
      </c>
      <c r="M1707" s="544" t="s">
        <v>310</v>
      </c>
      <c r="N1707" s="413">
        <v>44820</v>
      </c>
      <c r="O1707" s="414" t="s">
        <v>400</v>
      </c>
      <c r="P1707" s="655">
        <f t="shared" si="100"/>
        <v>9</v>
      </c>
      <c r="Q1707" s="655">
        <f t="shared" si="101"/>
        <v>9</v>
      </c>
      <c r="R1707" s="695" t="str">
        <f t="shared" si="102"/>
        <v>Gastos_Gerais</v>
      </c>
      <c r="S1707" s="697" t="s">
        <v>310</v>
      </c>
      <c r="T1707" s="697" t="s">
        <v>310</v>
      </c>
    </row>
    <row r="1708" spans="1:20" ht="36" x14ac:dyDescent="0.2">
      <c r="A1708" s="432">
        <f>IF(B1708="","",COUNT('Diário 1º PA'!$A$4:$A$2635)+COUNT('Diário 2º PA'!$A$4:$A$3040)+ROW()-3)</f>
        <v>5804</v>
      </c>
      <c r="B1708" s="414">
        <v>44820</v>
      </c>
      <c r="C1708" s="431">
        <v>44805</v>
      </c>
      <c r="D1708" s="415" t="s">
        <v>271</v>
      </c>
      <c r="E1708" s="415" t="s">
        <v>71</v>
      </c>
      <c r="F1708" s="425">
        <v>11</v>
      </c>
      <c r="G1708" s="440" t="s">
        <v>7267</v>
      </c>
      <c r="H1708" s="415" t="s">
        <v>310</v>
      </c>
      <c r="I1708" s="398" t="s">
        <v>881</v>
      </c>
      <c r="J1708" s="418" t="s">
        <v>882</v>
      </c>
      <c r="K1708" s="418" t="s">
        <v>883</v>
      </c>
      <c r="L1708" s="399" t="s">
        <v>798</v>
      </c>
      <c r="M1708" s="544" t="s">
        <v>310</v>
      </c>
      <c r="N1708" s="413">
        <v>44820</v>
      </c>
      <c r="O1708" s="414" t="s">
        <v>400</v>
      </c>
      <c r="P1708" s="655">
        <f t="shared" si="100"/>
        <v>9</v>
      </c>
      <c r="Q1708" s="655">
        <f t="shared" si="101"/>
        <v>9</v>
      </c>
      <c r="R1708" s="695" t="str">
        <f t="shared" si="102"/>
        <v>Gastos_Gerais</v>
      </c>
      <c r="S1708" s="697" t="s">
        <v>310</v>
      </c>
      <c r="T1708" s="697" t="s">
        <v>310</v>
      </c>
    </row>
    <row r="1709" spans="1:20" ht="36" x14ac:dyDescent="0.2">
      <c r="A1709" s="432">
        <f>IF(B1709="","",COUNT('Diário 1º PA'!$A$4:$A$2635)+COUNT('Diário 2º PA'!$A$4:$A$3040)+ROW()-3)</f>
        <v>5805</v>
      </c>
      <c r="B1709" s="414">
        <v>44820</v>
      </c>
      <c r="C1709" s="431">
        <v>44805</v>
      </c>
      <c r="D1709" s="415" t="s">
        <v>271</v>
      </c>
      <c r="E1709" s="415" t="s">
        <v>71</v>
      </c>
      <c r="F1709" s="425">
        <v>11</v>
      </c>
      <c r="G1709" s="440" t="s">
        <v>7270</v>
      </c>
      <c r="H1709" s="415" t="s">
        <v>310</v>
      </c>
      <c r="I1709" s="398" t="s">
        <v>881</v>
      </c>
      <c r="J1709" s="418" t="s">
        <v>882</v>
      </c>
      <c r="K1709" s="418" t="s">
        <v>883</v>
      </c>
      <c r="L1709" s="399" t="s">
        <v>798</v>
      </c>
      <c r="M1709" s="544" t="s">
        <v>310</v>
      </c>
      <c r="N1709" s="413">
        <v>44820</v>
      </c>
      <c r="O1709" s="414" t="s">
        <v>400</v>
      </c>
      <c r="P1709" s="655">
        <f t="shared" si="100"/>
        <v>9</v>
      </c>
      <c r="Q1709" s="655">
        <f t="shared" si="101"/>
        <v>9</v>
      </c>
      <c r="R1709" s="695" t="str">
        <f t="shared" si="102"/>
        <v>Gastos_Gerais</v>
      </c>
      <c r="S1709" s="697" t="s">
        <v>310</v>
      </c>
      <c r="T1709" s="697" t="s">
        <v>310</v>
      </c>
    </row>
    <row r="1710" spans="1:20" ht="24" x14ac:dyDescent="0.2">
      <c r="A1710" s="432">
        <f>IF(B1710="","",COUNT('Diário 1º PA'!$A$4:$A$2635)+COUNT('Diário 2º PA'!$A$4:$A$3040)+ROW()-3)</f>
        <v>5806</v>
      </c>
      <c r="B1710" s="414">
        <v>44820</v>
      </c>
      <c r="C1710" s="431">
        <v>44805</v>
      </c>
      <c r="D1710" s="415" t="s">
        <v>271</v>
      </c>
      <c r="E1710" s="415" t="s">
        <v>71</v>
      </c>
      <c r="F1710" s="425">
        <v>11</v>
      </c>
      <c r="G1710" s="440" t="s">
        <v>7271</v>
      </c>
      <c r="H1710" s="415" t="s">
        <v>310</v>
      </c>
      <c r="I1710" s="398" t="s">
        <v>881</v>
      </c>
      <c r="J1710" s="418" t="s">
        <v>882</v>
      </c>
      <c r="K1710" s="418" t="s">
        <v>883</v>
      </c>
      <c r="L1710" s="399" t="s">
        <v>798</v>
      </c>
      <c r="M1710" s="544" t="s">
        <v>310</v>
      </c>
      <c r="N1710" s="413">
        <v>44820</v>
      </c>
      <c r="O1710" s="414" t="s">
        <v>400</v>
      </c>
      <c r="P1710" s="655">
        <f t="shared" si="100"/>
        <v>9</v>
      </c>
      <c r="Q1710" s="655">
        <f t="shared" si="101"/>
        <v>9</v>
      </c>
      <c r="R1710" s="695" t="str">
        <f t="shared" si="102"/>
        <v>Gastos_Gerais</v>
      </c>
      <c r="S1710" s="697" t="s">
        <v>310</v>
      </c>
      <c r="T1710" s="697" t="s">
        <v>310</v>
      </c>
    </row>
    <row r="1711" spans="1:20" ht="24" x14ac:dyDescent="0.2">
      <c r="A1711" s="432">
        <f>IF(B1711="","",COUNT('Diário 1º PA'!$A$4:$A$2635)+COUNT('Diário 2º PA'!$A$4:$A$3040)+ROW()-3)</f>
        <v>5807</v>
      </c>
      <c r="B1711" s="414">
        <v>44820</v>
      </c>
      <c r="C1711" s="431">
        <v>44805</v>
      </c>
      <c r="D1711" s="415" t="s">
        <v>271</v>
      </c>
      <c r="E1711" s="415" t="s">
        <v>71</v>
      </c>
      <c r="F1711" s="425">
        <v>11</v>
      </c>
      <c r="G1711" s="440" t="s">
        <v>7272</v>
      </c>
      <c r="H1711" s="415" t="s">
        <v>310</v>
      </c>
      <c r="I1711" s="398" t="s">
        <v>881</v>
      </c>
      <c r="J1711" s="418" t="s">
        <v>882</v>
      </c>
      <c r="K1711" s="418" t="s">
        <v>883</v>
      </c>
      <c r="L1711" s="399" t="s">
        <v>798</v>
      </c>
      <c r="M1711" s="544" t="s">
        <v>310</v>
      </c>
      <c r="N1711" s="413">
        <v>44820</v>
      </c>
      <c r="O1711" s="414" t="s">
        <v>400</v>
      </c>
      <c r="P1711" s="655">
        <f t="shared" si="100"/>
        <v>9</v>
      </c>
      <c r="Q1711" s="655">
        <f t="shared" si="101"/>
        <v>9</v>
      </c>
      <c r="R1711" s="695" t="str">
        <f t="shared" si="102"/>
        <v>Gastos_Gerais</v>
      </c>
      <c r="S1711" s="697" t="s">
        <v>310</v>
      </c>
      <c r="T1711" s="697" t="s">
        <v>310</v>
      </c>
    </row>
    <row r="1712" spans="1:20" ht="24" x14ac:dyDescent="0.2">
      <c r="A1712" s="432">
        <f>IF(B1712="","",COUNT('Diário 1º PA'!$A$4:$A$2635)+COUNT('Diário 2º PA'!$A$4:$A$3040)+ROW()-3)</f>
        <v>5808</v>
      </c>
      <c r="B1712" s="414">
        <v>44820</v>
      </c>
      <c r="C1712" s="431">
        <v>44805</v>
      </c>
      <c r="D1712" s="415" t="s">
        <v>271</v>
      </c>
      <c r="E1712" s="415" t="s">
        <v>71</v>
      </c>
      <c r="F1712" s="425">
        <v>11</v>
      </c>
      <c r="G1712" s="440" t="s">
        <v>7273</v>
      </c>
      <c r="H1712" s="415" t="s">
        <v>310</v>
      </c>
      <c r="I1712" s="398" t="s">
        <v>881</v>
      </c>
      <c r="J1712" s="418" t="s">
        <v>882</v>
      </c>
      <c r="K1712" s="418" t="s">
        <v>883</v>
      </c>
      <c r="L1712" s="399" t="s">
        <v>798</v>
      </c>
      <c r="M1712" s="544" t="s">
        <v>310</v>
      </c>
      <c r="N1712" s="413">
        <v>44820</v>
      </c>
      <c r="O1712" s="414" t="s">
        <v>400</v>
      </c>
      <c r="P1712" s="655">
        <f t="shared" si="100"/>
        <v>9</v>
      </c>
      <c r="Q1712" s="655">
        <f t="shared" si="101"/>
        <v>9</v>
      </c>
      <c r="R1712" s="695" t="str">
        <f t="shared" si="102"/>
        <v>Gastos_Gerais</v>
      </c>
      <c r="S1712" s="697" t="s">
        <v>310</v>
      </c>
      <c r="T1712" s="697" t="s">
        <v>310</v>
      </c>
    </row>
    <row r="1713" spans="1:20" ht="36" x14ac:dyDescent="0.2">
      <c r="A1713" s="432">
        <f>IF(B1713="","",COUNT('Diário 1º PA'!$A$4:$A$2635)+COUNT('Diário 2º PA'!$A$4:$A$3040)+ROW()-3)</f>
        <v>5809</v>
      </c>
      <c r="B1713" s="414">
        <v>44820</v>
      </c>
      <c r="C1713" s="431">
        <v>44805</v>
      </c>
      <c r="D1713" s="415" t="s">
        <v>271</v>
      </c>
      <c r="E1713" s="415" t="s">
        <v>71</v>
      </c>
      <c r="F1713" s="425">
        <v>11</v>
      </c>
      <c r="G1713" s="440" t="s">
        <v>7274</v>
      </c>
      <c r="H1713" s="415" t="s">
        <v>310</v>
      </c>
      <c r="I1713" s="398" t="s">
        <v>881</v>
      </c>
      <c r="J1713" s="418" t="s">
        <v>882</v>
      </c>
      <c r="K1713" s="418" t="s">
        <v>883</v>
      </c>
      <c r="L1713" s="399" t="s">
        <v>798</v>
      </c>
      <c r="M1713" s="544" t="s">
        <v>310</v>
      </c>
      <c r="N1713" s="413">
        <v>44820</v>
      </c>
      <c r="O1713" s="414" t="s">
        <v>400</v>
      </c>
      <c r="P1713" s="655">
        <f t="shared" si="100"/>
        <v>9</v>
      </c>
      <c r="Q1713" s="655">
        <f t="shared" si="101"/>
        <v>9</v>
      </c>
      <c r="R1713" s="695" t="str">
        <f t="shared" si="102"/>
        <v>Gastos_Gerais</v>
      </c>
      <c r="S1713" s="697" t="s">
        <v>310</v>
      </c>
      <c r="T1713" s="697" t="s">
        <v>310</v>
      </c>
    </row>
    <row r="1714" spans="1:20" ht="36" x14ac:dyDescent="0.2">
      <c r="A1714" s="432">
        <f>IF(B1714="","",COUNT('Diário 1º PA'!$A$4:$A$2635)+COUNT('Diário 2º PA'!$A$4:$A$3040)+ROW()-3)</f>
        <v>5810</v>
      </c>
      <c r="B1714" s="414">
        <v>44820</v>
      </c>
      <c r="C1714" s="431">
        <v>44805</v>
      </c>
      <c r="D1714" s="415" t="s">
        <v>271</v>
      </c>
      <c r="E1714" s="415" t="s">
        <v>71</v>
      </c>
      <c r="F1714" s="425">
        <v>11</v>
      </c>
      <c r="G1714" s="440" t="s">
        <v>7275</v>
      </c>
      <c r="H1714" s="415" t="s">
        <v>310</v>
      </c>
      <c r="I1714" s="398" t="s">
        <v>881</v>
      </c>
      <c r="J1714" s="418" t="s">
        <v>882</v>
      </c>
      <c r="K1714" s="418" t="s">
        <v>883</v>
      </c>
      <c r="L1714" s="399" t="s">
        <v>798</v>
      </c>
      <c r="M1714" s="544" t="s">
        <v>310</v>
      </c>
      <c r="N1714" s="413">
        <v>44820</v>
      </c>
      <c r="O1714" s="414" t="s">
        <v>400</v>
      </c>
      <c r="P1714" s="655">
        <f t="shared" si="100"/>
        <v>9</v>
      </c>
      <c r="Q1714" s="655">
        <f t="shared" si="101"/>
        <v>9</v>
      </c>
      <c r="R1714" s="695" t="str">
        <f t="shared" si="102"/>
        <v>Gastos_Gerais</v>
      </c>
      <c r="S1714" s="697" t="s">
        <v>310</v>
      </c>
      <c r="T1714" s="697" t="s">
        <v>310</v>
      </c>
    </row>
    <row r="1715" spans="1:20" ht="24" x14ac:dyDescent="0.2">
      <c r="A1715" s="432">
        <f>IF(B1715="","",COUNT('Diário 1º PA'!$A$4:$A$2635)+COUNT('Diário 2º PA'!$A$4:$A$3040)+ROW()-3)</f>
        <v>5811</v>
      </c>
      <c r="B1715" s="414">
        <v>44820</v>
      </c>
      <c r="C1715" s="431">
        <v>44805</v>
      </c>
      <c r="D1715" s="415" t="s">
        <v>271</v>
      </c>
      <c r="E1715" s="415" t="s">
        <v>71</v>
      </c>
      <c r="F1715" s="425">
        <v>11</v>
      </c>
      <c r="G1715" s="440" t="s">
        <v>7276</v>
      </c>
      <c r="H1715" s="415" t="s">
        <v>310</v>
      </c>
      <c r="I1715" s="398" t="s">
        <v>881</v>
      </c>
      <c r="J1715" s="418" t="s">
        <v>882</v>
      </c>
      <c r="K1715" s="418" t="s">
        <v>883</v>
      </c>
      <c r="L1715" s="399" t="s">
        <v>798</v>
      </c>
      <c r="M1715" s="544" t="s">
        <v>310</v>
      </c>
      <c r="N1715" s="413">
        <v>44820</v>
      </c>
      <c r="O1715" s="414" t="s">
        <v>400</v>
      </c>
      <c r="P1715" s="655">
        <f t="shared" si="100"/>
        <v>9</v>
      </c>
      <c r="Q1715" s="655">
        <f t="shared" si="101"/>
        <v>9</v>
      </c>
      <c r="R1715" s="695" t="str">
        <f t="shared" si="102"/>
        <v>Gastos_Gerais</v>
      </c>
      <c r="S1715" s="697" t="s">
        <v>310</v>
      </c>
      <c r="T1715" s="697" t="s">
        <v>310</v>
      </c>
    </row>
    <row r="1716" spans="1:20" ht="36" x14ac:dyDescent="0.2">
      <c r="A1716" s="432">
        <f>IF(B1716="","",COUNT('Diário 1º PA'!$A$4:$A$2635)+COUNT('Diário 2º PA'!$A$4:$A$3040)+ROW()-3)</f>
        <v>5812</v>
      </c>
      <c r="B1716" s="414">
        <v>44820</v>
      </c>
      <c r="C1716" s="431">
        <v>44805</v>
      </c>
      <c r="D1716" s="415" t="s">
        <v>271</v>
      </c>
      <c r="E1716" s="415" t="s">
        <v>71</v>
      </c>
      <c r="F1716" s="425">
        <v>11</v>
      </c>
      <c r="G1716" s="440" t="s">
        <v>7277</v>
      </c>
      <c r="H1716" s="415" t="s">
        <v>310</v>
      </c>
      <c r="I1716" s="398" t="s">
        <v>881</v>
      </c>
      <c r="J1716" s="418" t="s">
        <v>882</v>
      </c>
      <c r="K1716" s="418" t="s">
        <v>883</v>
      </c>
      <c r="L1716" s="399" t="s">
        <v>798</v>
      </c>
      <c r="M1716" s="544" t="s">
        <v>310</v>
      </c>
      <c r="N1716" s="413">
        <v>44820</v>
      </c>
      <c r="O1716" s="414" t="s">
        <v>400</v>
      </c>
      <c r="P1716" s="655">
        <f t="shared" si="100"/>
        <v>9</v>
      </c>
      <c r="Q1716" s="655">
        <f t="shared" si="101"/>
        <v>9</v>
      </c>
      <c r="R1716" s="695" t="str">
        <f t="shared" si="102"/>
        <v>Gastos_Gerais</v>
      </c>
      <c r="S1716" s="697" t="s">
        <v>310</v>
      </c>
      <c r="T1716" s="697" t="s">
        <v>310</v>
      </c>
    </row>
    <row r="1717" spans="1:20" ht="24" x14ac:dyDescent="0.2">
      <c r="A1717" s="432">
        <f>IF(B1717="","",COUNT('Diário 1º PA'!$A$4:$A$2635)+COUNT('Diário 2º PA'!$A$4:$A$3040)+ROW()-3)</f>
        <v>5813</v>
      </c>
      <c r="B1717" s="414">
        <v>44820</v>
      </c>
      <c r="C1717" s="431">
        <v>44805</v>
      </c>
      <c r="D1717" s="415" t="s">
        <v>271</v>
      </c>
      <c r="E1717" s="415" t="s">
        <v>71</v>
      </c>
      <c r="F1717" s="425">
        <v>11</v>
      </c>
      <c r="G1717" s="440" t="s">
        <v>7278</v>
      </c>
      <c r="H1717" s="415" t="s">
        <v>310</v>
      </c>
      <c r="I1717" s="398" t="s">
        <v>881</v>
      </c>
      <c r="J1717" s="418" t="s">
        <v>882</v>
      </c>
      <c r="K1717" s="418" t="s">
        <v>883</v>
      </c>
      <c r="L1717" s="399" t="s">
        <v>798</v>
      </c>
      <c r="M1717" s="544" t="s">
        <v>310</v>
      </c>
      <c r="N1717" s="413">
        <v>44820</v>
      </c>
      <c r="O1717" s="414" t="s">
        <v>400</v>
      </c>
      <c r="P1717" s="655">
        <f t="shared" si="100"/>
        <v>9</v>
      </c>
      <c r="Q1717" s="655">
        <f t="shared" si="101"/>
        <v>9</v>
      </c>
      <c r="R1717" s="695" t="str">
        <f t="shared" si="102"/>
        <v>Gastos_Gerais</v>
      </c>
      <c r="S1717" s="697" t="s">
        <v>310</v>
      </c>
      <c r="T1717" s="697" t="s">
        <v>310</v>
      </c>
    </row>
    <row r="1718" spans="1:20" ht="24" x14ac:dyDescent="0.2">
      <c r="A1718" s="432">
        <f>IF(B1718="","",COUNT('Diário 1º PA'!$A$4:$A$2635)+COUNT('Diário 2º PA'!$A$4:$A$3040)+ROW()-3)</f>
        <v>5814</v>
      </c>
      <c r="B1718" s="414">
        <v>44820</v>
      </c>
      <c r="C1718" s="431">
        <v>44805</v>
      </c>
      <c r="D1718" s="415" t="s">
        <v>271</v>
      </c>
      <c r="E1718" s="415" t="s">
        <v>71</v>
      </c>
      <c r="F1718" s="425">
        <v>11</v>
      </c>
      <c r="G1718" s="440" t="s">
        <v>1653</v>
      </c>
      <c r="H1718" s="415" t="s">
        <v>310</v>
      </c>
      <c r="I1718" s="398" t="s">
        <v>881</v>
      </c>
      <c r="J1718" s="418" t="s">
        <v>882</v>
      </c>
      <c r="K1718" s="418" t="s">
        <v>883</v>
      </c>
      <c r="L1718" s="399" t="s">
        <v>798</v>
      </c>
      <c r="M1718" s="544" t="s">
        <v>310</v>
      </c>
      <c r="N1718" s="413">
        <v>44820</v>
      </c>
      <c r="O1718" s="414" t="s">
        <v>400</v>
      </c>
      <c r="P1718" s="655">
        <f t="shared" si="100"/>
        <v>9</v>
      </c>
      <c r="Q1718" s="655">
        <f t="shared" si="101"/>
        <v>9</v>
      </c>
      <c r="R1718" s="695" t="str">
        <f t="shared" si="102"/>
        <v>Gastos_Gerais</v>
      </c>
      <c r="S1718" s="697" t="s">
        <v>310</v>
      </c>
      <c r="T1718" s="697" t="s">
        <v>310</v>
      </c>
    </row>
    <row r="1719" spans="1:20" ht="36" x14ac:dyDescent="0.2">
      <c r="A1719" s="432">
        <f>IF(B1719="","",COUNT('Diário 1º PA'!$A$4:$A$2635)+COUNT('Diário 2º PA'!$A$4:$A$3040)+ROW()-3)</f>
        <v>5815</v>
      </c>
      <c r="B1719" s="414">
        <v>44820</v>
      </c>
      <c r="C1719" s="431">
        <v>44805</v>
      </c>
      <c r="D1719" s="415" t="s">
        <v>271</v>
      </c>
      <c r="E1719" s="415" t="s">
        <v>71</v>
      </c>
      <c r="F1719" s="425">
        <v>11</v>
      </c>
      <c r="G1719" s="440" t="s">
        <v>7279</v>
      </c>
      <c r="H1719" s="415" t="s">
        <v>310</v>
      </c>
      <c r="I1719" s="398" t="s">
        <v>881</v>
      </c>
      <c r="J1719" s="418" t="s">
        <v>882</v>
      </c>
      <c r="K1719" s="418" t="s">
        <v>883</v>
      </c>
      <c r="L1719" s="399" t="s">
        <v>798</v>
      </c>
      <c r="M1719" s="544" t="s">
        <v>310</v>
      </c>
      <c r="N1719" s="413">
        <v>44820</v>
      </c>
      <c r="O1719" s="414" t="s">
        <v>400</v>
      </c>
      <c r="P1719" s="655">
        <f t="shared" si="100"/>
        <v>9</v>
      </c>
      <c r="Q1719" s="655">
        <f t="shared" si="101"/>
        <v>9</v>
      </c>
      <c r="R1719" s="695" t="str">
        <f t="shared" si="102"/>
        <v>Gastos_Gerais</v>
      </c>
      <c r="S1719" s="697" t="s">
        <v>310</v>
      </c>
      <c r="T1719" s="697" t="s">
        <v>310</v>
      </c>
    </row>
    <row r="1720" spans="1:20" ht="24" x14ac:dyDescent="0.2">
      <c r="A1720" s="432">
        <f>IF(B1720="","",COUNT('Diário 1º PA'!$A$4:$A$2635)+COUNT('Diário 2º PA'!$A$4:$A$3040)+ROW()-3)</f>
        <v>5816</v>
      </c>
      <c r="B1720" s="414">
        <v>44820</v>
      </c>
      <c r="C1720" s="431">
        <v>44805</v>
      </c>
      <c r="D1720" s="415" t="s">
        <v>271</v>
      </c>
      <c r="E1720" s="415" t="s">
        <v>71</v>
      </c>
      <c r="F1720" s="425">
        <v>11</v>
      </c>
      <c r="G1720" s="440" t="s">
        <v>7280</v>
      </c>
      <c r="H1720" s="415" t="s">
        <v>310</v>
      </c>
      <c r="I1720" s="398" t="s">
        <v>881</v>
      </c>
      <c r="J1720" s="418" t="s">
        <v>882</v>
      </c>
      <c r="K1720" s="418" t="s">
        <v>883</v>
      </c>
      <c r="L1720" s="399" t="s">
        <v>798</v>
      </c>
      <c r="M1720" s="544" t="s">
        <v>310</v>
      </c>
      <c r="N1720" s="413">
        <v>44820</v>
      </c>
      <c r="O1720" s="414" t="s">
        <v>400</v>
      </c>
      <c r="P1720" s="655">
        <f t="shared" si="100"/>
        <v>9</v>
      </c>
      <c r="Q1720" s="655">
        <f t="shared" si="101"/>
        <v>9</v>
      </c>
      <c r="R1720" s="695" t="str">
        <f t="shared" si="102"/>
        <v>Gastos_Gerais</v>
      </c>
      <c r="S1720" s="697" t="s">
        <v>310</v>
      </c>
      <c r="T1720" s="697" t="s">
        <v>310</v>
      </c>
    </row>
    <row r="1721" spans="1:20" ht="48" x14ac:dyDescent="0.2">
      <c r="A1721" s="432">
        <f>IF(B1721="","",COUNT('Diário 1º PA'!$A$4:$A$2635)+COUNT('Diário 2º PA'!$A$4:$A$3040)+ROW()-3)</f>
        <v>5817</v>
      </c>
      <c r="B1721" s="414">
        <v>44823</v>
      </c>
      <c r="C1721" s="433">
        <v>44774</v>
      </c>
      <c r="D1721" s="415" t="s">
        <v>271</v>
      </c>
      <c r="E1721" s="415" t="s">
        <v>85</v>
      </c>
      <c r="F1721" s="425">
        <v>-68.12</v>
      </c>
      <c r="G1721" s="427" t="s">
        <v>7286</v>
      </c>
      <c r="H1721" s="415" t="s">
        <v>309</v>
      </c>
      <c r="I1721" s="427" t="s">
        <v>795</v>
      </c>
      <c r="J1721" s="415" t="s">
        <v>796</v>
      </c>
      <c r="K1721" s="415" t="s">
        <v>797</v>
      </c>
      <c r="L1721" s="415" t="s">
        <v>798</v>
      </c>
      <c r="M1721" s="415" t="s">
        <v>310</v>
      </c>
      <c r="N1721" s="414">
        <v>44823</v>
      </c>
      <c r="O1721" s="414" t="s">
        <v>400</v>
      </c>
      <c r="P1721" s="655">
        <f t="shared" si="100"/>
        <v>9</v>
      </c>
      <c r="Q1721" s="655">
        <f t="shared" si="101"/>
        <v>8</v>
      </c>
      <c r="R1721" s="695" t="str">
        <f t="shared" si="102"/>
        <v>Gastos_Gerais</v>
      </c>
      <c r="S1721" s="697" t="s">
        <v>310</v>
      </c>
      <c r="T1721" s="699" t="s">
        <v>310</v>
      </c>
    </row>
    <row r="1722" spans="1:20" ht="48" x14ac:dyDescent="0.2">
      <c r="A1722" s="432">
        <f>IF(B1722="","",COUNT('Diário 1º PA'!$A$4:$A$2635)+COUNT('Diário 2º PA'!$A$4:$A$3040)+ROW()-3)</f>
        <v>5818</v>
      </c>
      <c r="B1722" s="414">
        <v>44823</v>
      </c>
      <c r="C1722" s="433">
        <v>44774</v>
      </c>
      <c r="D1722" s="415" t="s">
        <v>271</v>
      </c>
      <c r="E1722" s="415" t="s">
        <v>164</v>
      </c>
      <c r="F1722" s="435">
        <v>-142.6</v>
      </c>
      <c r="G1722" s="427" t="s">
        <v>7287</v>
      </c>
      <c r="H1722" s="415" t="s">
        <v>309</v>
      </c>
      <c r="I1722" s="473" t="s">
        <v>795</v>
      </c>
      <c r="J1722" s="415" t="s">
        <v>796</v>
      </c>
      <c r="K1722" s="415" t="s">
        <v>797</v>
      </c>
      <c r="L1722" s="415" t="s">
        <v>798</v>
      </c>
      <c r="M1722" s="415" t="s">
        <v>310</v>
      </c>
      <c r="N1722" s="414">
        <v>44823</v>
      </c>
      <c r="O1722" s="414" t="s">
        <v>400</v>
      </c>
      <c r="P1722" s="655">
        <f t="shared" si="100"/>
        <v>9</v>
      </c>
      <c r="Q1722" s="655">
        <f t="shared" si="101"/>
        <v>8</v>
      </c>
      <c r="R1722" s="695" t="str">
        <f t="shared" si="102"/>
        <v>Gastos_Gerais</v>
      </c>
      <c r="S1722" s="697" t="s">
        <v>310</v>
      </c>
      <c r="T1722" s="699" t="s">
        <v>310</v>
      </c>
    </row>
    <row r="1723" spans="1:20" ht="72" x14ac:dyDescent="0.2">
      <c r="A1723" s="432">
        <f>IF(B1723="","",COUNT('Diário 1º PA'!$A$4:$A$2635)+COUNT('Diário 2º PA'!$A$4:$A$3040)+ROW()-3)</f>
        <v>5819</v>
      </c>
      <c r="B1723" s="414">
        <v>44823</v>
      </c>
      <c r="C1723" s="431">
        <v>44774</v>
      </c>
      <c r="D1723" s="415" t="s">
        <v>271</v>
      </c>
      <c r="E1723" s="415" t="s">
        <v>456</v>
      </c>
      <c r="F1723" s="422">
        <v>-50</v>
      </c>
      <c r="G1723" s="427" t="s">
        <v>7288</v>
      </c>
      <c r="H1723" s="415" t="s">
        <v>748</v>
      </c>
      <c r="I1723" s="427" t="s">
        <v>2437</v>
      </c>
      <c r="J1723" s="415" t="s">
        <v>796</v>
      </c>
      <c r="K1723" s="415" t="s">
        <v>797</v>
      </c>
      <c r="L1723" s="415" t="s">
        <v>798</v>
      </c>
      <c r="M1723" s="415" t="s">
        <v>310</v>
      </c>
      <c r="N1723" s="413">
        <v>44823</v>
      </c>
      <c r="O1723" s="414" t="s">
        <v>400</v>
      </c>
      <c r="P1723" s="655">
        <f t="shared" si="100"/>
        <v>9</v>
      </c>
      <c r="Q1723" s="655">
        <f t="shared" si="101"/>
        <v>8</v>
      </c>
      <c r="R1723" s="695" t="str">
        <f t="shared" si="102"/>
        <v>Gastos_Gerais</v>
      </c>
      <c r="S1723" s="697" t="s">
        <v>310</v>
      </c>
      <c r="T1723" s="697" t="s">
        <v>310</v>
      </c>
    </row>
    <row r="1724" spans="1:20" ht="24" x14ac:dyDescent="0.2">
      <c r="A1724" s="432">
        <f>IF(B1724="","",COUNT('Diário 1º PA'!$A$4:$A$2635)+COUNT('Diário 2º PA'!$A$4:$A$3040)+ROW()-3)</f>
        <v>5820</v>
      </c>
      <c r="B1724" s="414">
        <v>44823</v>
      </c>
      <c r="C1724" s="431">
        <v>44774</v>
      </c>
      <c r="D1724" s="434" t="s">
        <v>271</v>
      </c>
      <c r="E1724" s="434" t="s">
        <v>85</v>
      </c>
      <c r="F1724" s="422">
        <v>257.92</v>
      </c>
      <c r="G1724" s="437" t="s">
        <v>5712</v>
      </c>
      <c r="H1724" s="434" t="s">
        <v>309</v>
      </c>
      <c r="I1724" s="437" t="s">
        <v>765</v>
      </c>
      <c r="J1724" s="434" t="s">
        <v>892</v>
      </c>
      <c r="K1724" s="415" t="s">
        <v>893</v>
      </c>
      <c r="L1724" s="415" t="s">
        <v>807</v>
      </c>
      <c r="M1724" s="419">
        <v>85993074</v>
      </c>
      <c r="N1724" s="413">
        <v>44806</v>
      </c>
      <c r="O1724" s="414" t="s">
        <v>400</v>
      </c>
      <c r="P1724" s="655">
        <f t="shared" si="100"/>
        <v>9</v>
      </c>
      <c r="Q1724" s="655">
        <f t="shared" si="101"/>
        <v>8</v>
      </c>
      <c r="R1724" s="695" t="str">
        <f t="shared" si="102"/>
        <v>Gastos_Gerais</v>
      </c>
      <c r="S1724" s="697" t="s">
        <v>310</v>
      </c>
      <c r="T1724" s="697" t="s">
        <v>310</v>
      </c>
    </row>
    <row r="1725" spans="1:20" ht="24" x14ac:dyDescent="0.2">
      <c r="A1725" s="432">
        <f>IF(B1725="","",COUNT('Diário 1º PA'!$A$4:$A$2635)+COUNT('Diário 2º PA'!$A$4:$A$3040)+ROW()-3)</f>
        <v>5821</v>
      </c>
      <c r="B1725" s="413">
        <v>44823</v>
      </c>
      <c r="C1725" s="433">
        <v>44774</v>
      </c>
      <c r="D1725" s="434" t="s">
        <v>271</v>
      </c>
      <c r="E1725" s="434" t="s">
        <v>164</v>
      </c>
      <c r="F1725" s="435">
        <v>539.94000000000005</v>
      </c>
      <c r="G1725" s="437" t="s">
        <v>7289</v>
      </c>
      <c r="H1725" s="434" t="s">
        <v>309</v>
      </c>
      <c r="I1725" s="437" t="s">
        <v>768</v>
      </c>
      <c r="J1725" s="434" t="s">
        <v>1021</v>
      </c>
      <c r="K1725" s="419" t="s">
        <v>1404</v>
      </c>
      <c r="L1725" s="415" t="s">
        <v>1273</v>
      </c>
      <c r="M1725" s="415" t="s">
        <v>310</v>
      </c>
      <c r="N1725" s="413">
        <v>44805</v>
      </c>
      <c r="O1725" s="414" t="s">
        <v>400</v>
      </c>
      <c r="P1725" s="655">
        <f t="shared" si="100"/>
        <v>9</v>
      </c>
      <c r="Q1725" s="655">
        <f t="shared" si="101"/>
        <v>8</v>
      </c>
      <c r="R1725" s="695" t="str">
        <f t="shared" si="102"/>
        <v>Gastos_Gerais</v>
      </c>
      <c r="S1725" s="697" t="s">
        <v>310</v>
      </c>
      <c r="T1725" s="697" t="s">
        <v>310</v>
      </c>
    </row>
    <row r="1726" spans="1:20" ht="60" x14ac:dyDescent="0.2">
      <c r="A1726" s="432">
        <f>IF(B1726="","",COUNT('Diário 1º PA'!$A$4:$A$2635)+COUNT('Diário 2º PA'!$A$4:$A$3040)+ROW()-3)</f>
        <v>5822</v>
      </c>
      <c r="B1726" s="413">
        <v>44823</v>
      </c>
      <c r="C1726" s="431">
        <v>44774</v>
      </c>
      <c r="D1726" s="419" t="s">
        <v>468</v>
      </c>
      <c r="E1726" s="419" t="s">
        <v>468</v>
      </c>
      <c r="F1726" s="435">
        <v>156.12</v>
      </c>
      <c r="G1726" s="427" t="s">
        <v>6541</v>
      </c>
      <c r="H1726" s="434" t="s">
        <v>468</v>
      </c>
      <c r="I1726" s="437" t="s">
        <v>7348</v>
      </c>
      <c r="J1726" s="415" t="s">
        <v>6542</v>
      </c>
      <c r="K1726" s="419" t="s">
        <v>812</v>
      </c>
      <c r="L1726" s="415" t="s">
        <v>7349</v>
      </c>
      <c r="M1726" s="415">
        <v>434658</v>
      </c>
      <c r="N1726" s="413">
        <v>44795</v>
      </c>
      <c r="O1726" s="414" t="s">
        <v>404</v>
      </c>
      <c r="P1726" s="655">
        <f t="shared" si="100"/>
        <v>9</v>
      </c>
      <c r="Q1726" s="655">
        <f t="shared" si="101"/>
        <v>8</v>
      </c>
      <c r="R1726" s="695" t="str">
        <f t="shared" si="102"/>
        <v>Gastos_custeados_por_captação</v>
      </c>
      <c r="S1726" s="697" t="s">
        <v>999</v>
      </c>
      <c r="T1726" s="697">
        <v>4262</v>
      </c>
    </row>
    <row r="1727" spans="1:20" ht="48" x14ac:dyDescent="0.2">
      <c r="A1727" s="432">
        <f>IF(B1727="","",COUNT('Diário 1º PA'!$A$4:$A$2635)+COUNT('Diário 2º PA'!$A$4:$A$3040)+ROW()-3)</f>
        <v>5823</v>
      </c>
      <c r="B1727" s="413">
        <v>44823</v>
      </c>
      <c r="C1727" s="431">
        <v>44774</v>
      </c>
      <c r="D1727" s="419" t="s">
        <v>468</v>
      </c>
      <c r="E1727" s="419" t="s">
        <v>468</v>
      </c>
      <c r="F1727" s="435">
        <v>1371.86</v>
      </c>
      <c r="G1727" s="427" t="s">
        <v>5685</v>
      </c>
      <c r="H1727" s="434" t="s">
        <v>468</v>
      </c>
      <c r="I1727" s="437" t="s">
        <v>2512</v>
      </c>
      <c r="J1727" s="415" t="s">
        <v>1026</v>
      </c>
      <c r="K1727" s="419" t="s">
        <v>830</v>
      </c>
      <c r="L1727" s="415" t="s">
        <v>32</v>
      </c>
      <c r="M1727" s="415" t="s">
        <v>1795</v>
      </c>
      <c r="N1727" s="413">
        <v>44820</v>
      </c>
      <c r="O1727" s="414" t="s">
        <v>3762</v>
      </c>
      <c r="P1727" s="655">
        <f t="shared" si="100"/>
        <v>9</v>
      </c>
      <c r="Q1727" s="655">
        <f t="shared" si="101"/>
        <v>8</v>
      </c>
      <c r="R1727" s="695" t="str">
        <f t="shared" si="102"/>
        <v>Gastos_custeados_por_captação</v>
      </c>
      <c r="S1727" s="697" t="s">
        <v>998</v>
      </c>
      <c r="T1727" s="697">
        <v>3942</v>
      </c>
    </row>
    <row r="1728" spans="1:20" ht="120" x14ac:dyDescent="0.2">
      <c r="A1728" s="432">
        <f>IF(B1728="","",COUNT('Diário 1º PA'!$A$4:$A$2635)+COUNT('Diário 2º PA'!$A$4:$A$3040)+ROW()-3)</f>
        <v>5824</v>
      </c>
      <c r="B1728" s="413">
        <v>44823</v>
      </c>
      <c r="C1728" s="431">
        <v>44774</v>
      </c>
      <c r="D1728" s="419" t="s">
        <v>468</v>
      </c>
      <c r="E1728" s="419" t="s">
        <v>468</v>
      </c>
      <c r="F1728" s="435">
        <v>1700</v>
      </c>
      <c r="G1728" s="427" t="s">
        <v>6923</v>
      </c>
      <c r="H1728" s="434" t="s">
        <v>468</v>
      </c>
      <c r="I1728" s="437" t="s">
        <v>7354</v>
      </c>
      <c r="J1728" s="415" t="s">
        <v>6924</v>
      </c>
      <c r="K1728" s="419" t="s">
        <v>830</v>
      </c>
      <c r="L1728" s="415" t="s">
        <v>32</v>
      </c>
      <c r="M1728" s="415" t="s">
        <v>848</v>
      </c>
      <c r="N1728" s="413">
        <v>44820</v>
      </c>
      <c r="O1728" s="414" t="s">
        <v>3762</v>
      </c>
      <c r="P1728" s="655">
        <f t="shared" si="100"/>
        <v>9</v>
      </c>
      <c r="Q1728" s="655">
        <f t="shared" si="101"/>
        <v>8</v>
      </c>
      <c r="R1728" s="695" t="str">
        <f t="shared" si="102"/>
        <v>Gastos_custeados_por_captação</v>
      </c>
      <c r="S1728" s="697" t="s">
        <v>1000</v>
      </c>
      <c r="T1728" s="697">
        <v>4211</v>
      </c>
    </row>
    <row r="1729" spans="1:20" ht="36" x14ac:dyDescent="0.2">
      <c r="A1729" s="432">
        <f>IF(B1729="","",COUNT('Diário 1º PA'!$A$4:$A$2635)+COUNT('Diário 2º PA'!$A$4:$A$3040)+ROW()-3)</f>
        <v>5825</v>
      </c>
      <c r="B1729" s="414">
        <v>44824</v>
      </c>
      <c r="C1729" s="433">
        <v>44805</v>
      </c>
      <c r="D1729" s="415" t="s">
        <v>34</v>
      </c>
      <c r="E1729" s="415" t="s">
        <v>167</v>
      </c>
      <c r="F1729" s="422">
        <v>150</v>
      </c>
      <c r="G1729" s="427" t="s">
        <v>7327</v>
      </c>
      <c r="H1729" s="415" t="s">
        <v>310</v>
      </c>
      <c r="I1729" s="427" t="s">
        <v>795</v>
      </c>
      <c r="J1729" s="415" t="s">
        <v>796</v>
      </c>
      <c r="K1729" s="415" t="s">
        <v>797</v>
      </c>
      <c r="L1729" s="415" t="s">
        <v>798</v>
      </c>
      <c r="M1729" s="415" t="s">
        <v>310</v>
      </c>
      <c r="N1729" s="414">
        <v>44824</v>
      </c>
      <c r="O1729" s="414" t="s">
        <v>400</v>
      </c>
      <c r="P1729" s="655">
        <f t="shared" si="100"/>
        <v>9</v>
      </c>
      <c r="Q1729" s="655">
        <f t="shared" si="101"/>
        <v>9</v>
      </c>
      <c r="R1729" s="695" t="str">
        <f t="shared" si="102"/>
        <v>Receitas</v>
      </c>
      <c r="S1729" s="697" t="s">
        <v>310</v>
      </c>
      <c r="T1729" s="697" t="s">
        <v>310</v>
      </c>
    </row>
    <row r="1730" spans="1:20" ht="36" x14ac:dyDescent="0.2">
      <c r="A1730" s="432">
        <f>IF(B1730="","",COUNT('Diário 1º PA'!$A$4:$A$2635)+COUNT('Diário 2º PA'!$A$4:$A$3040)+ROW()-3)</f>
        <v>5826</v>
      </c>
      <c r="B1730" s="413">
        <v>44824</v>
      </c>
      <c r="C1730" s="431">
        <v>44774</v>
      </c>
      <c r="D1730" s="415" t="s">
        <v>468</v>
      </c>
      <c r="E1730" s="415" t="s">
        <v>468</v>
      </c>
      <c r="F1730" s="425">
        <v>-2015</v>
      </c>
      <c r="G1730" s="427" t="s">
        <v>7294</v>
      </c>
      <c r="H1730" s="415" t="s">
        <v>468</v>
      </c>
      <c r="I1730" s="427" t="s">
        <v>795</v>
      </c>
      <c r="J1730" s="415" t="s">
        <v>796</v>
      </c>
      <c r="K1730" s="419" t="s">
        <v>806</v>
      </c>
      <c r="L1730" s="415" t="s">
        <v>798</v>
      </c>
      <c r="M1730" s="415" t="s">
        <v>310</v>
      </c>
      <c r="N1730" s="413">
        <v>44824</v>
      </c>
      <c r="O1730" s="414" t="s">
        <v>400</v>
      </c>
      <c r="P1730" s="655">
        <f t="shared" si="100"/>
        <v>9</v>
      </c>
      <c r="Q1730" s="655">
        <f t="shared" si="101"/>
        <v>8</v>
      </c>
      <c r="R1730" s="695" t="str">
        <f t="shared" si="102"/>
        <v>Gastos_custeados_por_captação</v>
      </c>
      <c r="S1730" s="697" t="s">
        <v>310</v>
      </c>
      <c r="T1730" s="697" t="s">
        <v>310</v>
      </c>
    </row>
    <row r="1731" spans="1:20" ht="36" x14ac:dyDescent="0.2">
      <c r="A1731" s="432">
        <f>IF(B1731="","",COUNT('Diário 1º PA'!$A$4:$A$2635)+COUNT('Diário 2º PA'!$A$4:$A$3040)+ROW()-3)</f>
        <v>5827</v>
      </c>
      <c r="B1731" s="413">
        <v>44824</v>
      </c>
      <c r="C1731" s="431">
        <v>44774</v>
      </c>
      <c r="D1731" s="415" t="s">
        <v>468</v>
      </c>
      <c r="E1731" s="415" t="s">
        <v>468</v>
      </c>
      <c r="F1731" s="425">
        <v>-381.05</v>
      </c>
      <c r="G1731" s="427" t="s">
        <v>7295</v>
      </c>
      <c r="H1731" s="415" t="s">
        <v>468</v>
      </c>
      <c r="I1731" s="398" t="s">
        <v>795</v>
      </c>
      <c r="J1731" s="418" t="s">
        <v>796</v>
      </c>
      <c r="K1731" s="418" t="s">
        <v>797</v>
      </c>
      <c r="L1731" s="399" t="s">
        <v>798</v>
      </c>
      <c r="M1731" s="544" t="s">
        <v>310</v>
      </c>
      <c r="N1731" s="413">
        <v>44824</v>
      </c>
      <c r="O1731" s="414" t="s">
        <v>400</v>
      </c>
      <c r="P1731" s="655">
        <f t="shared" si="100"/>
        <v>9</v>
      </c>
      <c r="Q1731" s="655">
        <f t="shared" si="101"/>
        <v>8</v>
      </c>
      <c r="R1731" s="695" t="str">
        <f t="shared" si="102"/>
        <v>Gastos_custeados_por_captação</v>
      </c>
      <c r="S1731" s="697" t="s">
        <v>310</v>
      </c>
      <c r="T1731" s="697" t="s">
        <v>310</v>
      </c>
    </row>
    <row r="1732" spans="1:20" ht="36" x14ac:dyDescent="0.2">
      <c r="A1732" s="432">
        <f>IF(B1732="","",COUNT('Diário 1º PA'!$A$4:$A$2635)+COUNT('Diário 2º PA'!$A$4:$A$3040)+ROW()-3)</f>
        <v>5828</v>
      </c>
      <c r="B1732" s="413">
        <v>44824</v>
      </c>
      <c r="C1732" s="431">
        <v>44774</v>
      </c>
      <c r="D1732" s="415" t="s">
        <v>468</v>
      </c>
      <c r="E1732" s="415" t="s">
        <v>468</v>
      </c>
      <c r="F1732" s="425">
        <v>-930</v>
      </c>
      <c r="G1732" s="427" t="s">
        <v>7296</v>
      </c>
      <c r="H1732" s="415" t="s">
        <v>468</v>
      </c>
      <c r="I1732" s="398" t="s">
        <v>795</v>
      </c>
      <c r="J1732" s="418" t="s">
        <v>796</v>
      </c>
      <c r="K1732" s="418" t="s">
        <v>797</v>
      </c>
      <c r="L1732" s="399" t="s">
        <v>798</v>
      </c>
      <c r="M1732" s="544" t="s">
        <v>310</v>
      </c>
      <c r="N1732" s="413">
        <v>44824</v>
      </c>
      <c r="O1732" s="414" t="s">
        <v>400</v>
      </c>
      <c r="P1732" s="655">
        <f t="shared" si="100"/>
        <v>9</v>
      </c>
      <c r="Q1732" s="655">
        <f t="shared" si="101"/>
        <v>8</v>
      </c>
      <c r="R1732" s="695" t="str">
        <f t="shared" si="102"/>
        <v>Gastos_custeados_por_captação</v>
      </c>
      <c r="S1732" s="697" t="s">
        <v>310</v>
      </c>
      <c r="T1732" s="697" t="s">
        <v>310</v>
      </c>
    </row>
    <row r="1733" spans="1:20" ht="36" x14ac:dyDescent="0.2">
      <c r="A1733" s="432">
        <f>IF(B1733="","",COUNT('Diário 1º PA'!$A$4:$A$2635)+COUNT('Diário 2º PA'!$A$4:$A$3040)+ROW()-3)</f>
        <v>5829</v>
      </c>
      <c r="B1733" s="413">
        <v>44824</v>
      </c>
      <c r="C1733" s="431">
        <v>44774</v>
      </c>
      <c r="D1733" s="415" t="s">
        <v>468</v>
      </c>
      <c r="E1733" s="415" t="s">
        <v>468</v>
      </c>
      <c r="F1733" s="425">
        <v>-3229.27</v>
      </c>
      <c r="G1733" s="427" t="s">
        <v>7297</v>
      </c>
      <c r="H1733" s="415" t="s">
        <v>468</v>
      </c>
      <c r="I1733" s="398" t="s">
        <v>795</v>
      </c>
      <c r="J1733" s="418" t="s">
        <v>796</v>
      </c>
      <c r="K1733" s="418" t="s">
        <v>797</v>
      </c>
      <c r="L1733" s="399" t="s">
        <v>798</v>
      </c>
      <c r="M1733" s="544" t="s">
        <v>310</v>
      </c>
      <c r="N1733" s="413">
        <v>44824</v>
      </c>
      <c r="O1733" s="414" t="s">
        <v>400</v>
      </c>
      <c r="P1733" s="655">
        <f t="shared" si="100"/>
        <v>9</v>
      </c>
      <c r="Q1733" s="655">
        <f t="shared" si="101"/>
        <v>8</v>
      </c>
      <c r="R1733" s="695" t="str">
        <f t="shared" si="102"/>
        <v>Gastos_custeados_por_captação</v>
      </c>
      <c r="S1733" s="697" t="s">
        <v>310</v>
      </c>
      <c r="T1733" s="697" t="s">
        <v>310</v>
      </c>
    </row>
    <row r="1734" spans="1:20" ht="48" x14ac:dyDescent="0.2">
      <c r="A1734" s="432">
        <f>IF(B1734="","",COUNT('Diário 1º PA'!$A$4:$A$2635)+COUNT('Diário 2º PA'!$A$4:$A$3040)+ROW()-3)</f>
        <v>5830</v>
      </c>
      <c r="B1734" s="413">
        <v>44824</v>
      </c>
      <c r="C1734" s="431">
        <v>44774</v>
      </c>
      <c r="D1734" s="415" t="s">
        <v>182</v>
      </c>
      <c r="E1734" s="415" t="s">
        <v>1</v>
      </c>
      <c r="F1734" s="425">
        <v>-3527.71</v>
      </c>
      <c r="G1734" s="427" t="s">
        <v>7298</v>
      </c>
      <c r="H1734" s="415" t="s">
        <v>310</v>
      </c>
      <c r="I1734" s="473" t="s">
        <v>795</v>
      </c>
      <c r="J1734" s="415" t="s">
        <v>796</v>
      </c>
      <c r="K1734" s="415" t="s">
        <v>797</v>
      </c>
      <c r="L1734" s="415" t="s">
        <v>798</v>
      </c>
      <c r="M1734" s="415" t="s">
        <v>310</v>
      </c>
      <c r="N1734" s="413">
        <v>44824</v>
      </c>
      <c r="O1734" s="414" t="s">
        <v>400</v>
      </c>
      <c r="P1734" s="655">
        <f t="shared" ref="P1734:P1797" si="103">IF(B1734=0,0,IF(YEAR(B1734)=$Q$1,MONTH(B1734)-$P$1+1,(YEAR(B1734)-$Q$1)*12-$P$1+1+MONTH(B1734)))</f>
        <v>9</v>
      </c>
      <c r="Q1734" s="655">
        <f t="shared" ref="Q1734:Q1797" si="104">IF(C1734=0,0,IF(YEAR(C1734)=$Q$1,MONTH(C1734)-$P$1+1,(YEAR(C1734)-$Q$1)*12-$P$1+1+MONTH(C1734)))</f>
        <v>8</v>
      </c>
      <c r="R1734" s="695" t="str">
        <f t="shared" ref="R1734:R1797" si="105">SUBSTITUTE(D1734," ","_")</f>
        <v>Gastos_com_Pessoal</v>
      </c>
      <c r="S1734" s="697" t="s">
        <v>310</v>
      </c>
      <c r="T1734" s="697" t="s">
        <v>310</v>
      </c>
    </row>
    <row r="1735" spans="1:20" ht="48" x14ac:dyDescent="0.2">
      <c r="A1735" s="432">
        <f>IF(B1735="","",COUNT('Diário 1º PA'!$A$4:$A$2635)+COUNT('Diário 2º PA'!$A$4:$A$3040)+ROW()-3)</f>
        <v>5831</v>
      </c>
      <c r="B1735" s="413">
        <v>44824</v>
      </c>
      <c r="C1735" s="431">
        <v>44774</v>
      </c>
      <c r="D1735" s="415" t="s">
        <v>182</v>
      </c>
      <c r="E1735" s="415" t="s">
        <v>252</v>
      </c>
      <c r="F1735" s="425">
        <v>-8888.33</v>
      </c>
      <c r="G1735" s="427" t="s">
        <v>7299</v>
      </c>
      <c r="H1735" s="415" t="s">
        <v>310</v>
      </c>
      <c r="I1735" s="473" t="s">
        <v>795</v>
      </c>
      <c r="J1735" s="415" t="s">
        <v>796</v>
      </c>
      <c r="K1735" s="415" t="s">
        <v>797</v>
      </c>
      <c r="L1735" s="415" t="s">
        <v>798</v>
      </c>
      <c r="M1735" s="415" t="s">
        <v>310</v>
      </c>
      <c r="N1735" s="413">
        <v>44824</v>
      </c>
      <c r="O1735" s="414" t="s">
        <v>400</v>
      </c>
      <c r="P1735" s="655">
        <f t="shared" si="103"/>
        <v>9</v>
      </c>
      <c r="Q1735" s="655">
        <f t="shared" si="104"/>
        <v>8</v>
      </c>
      <c r="R1735" s="695" t="str">
        <f t="shared" si="105"/>
        <v>Gastos_com_Pessoal</v>
      </c>
      <c r="S1735" s="697" t="s">
        <v>310</v>
      </c>
      <c r="T1735" s="697" t="s">
        <v>310</v>
      </c>
    </row>
    <row r="1736" spans="1:20" ht="36" x14ac:dyDescent="0.2">
      <c r="A1736" s="432">
        <f>IF(B1736="","",COUNT('Diário 1º PA'!$A$4:$A$2635)+COUNT('Diário 2º PA'!$A$4:$A$3040)+ROW()-3)</f>
        <v>5832</v>
      </c>
      <c r="B1736" s="413">
        <v>44824</v>
      </c>
      <c r="C1736" s="431">
        <v>44774</v>
      </c>
      <c r="D1736" s="415" t="s">
        <v>271</v>
      </c>
      <c r="E1736" s="415" t="s">
        <v>90</v>
      </c>
      <c r="F1736" s="425">
        <v>-1302</v>
      </c>
      <c r="G1736" s="427" t="s">
        <v>7300</v>
      </c>
      <c r="H1736" s="415" t="s">
        <v>310</v>
      </c>
      <c r="I1736" s="398" t="s">
        <v>795</v>
      </c>
      <c r="J1736" s="418" t="s">
        <v>796</v>
      </c>
      <c r="K1736" s="418" t="s">
        <v>797</v>
      </c>
      <c r="L1736" s="399" t="s">
        <v>798</v>
      </c>
      <c r="M1736" s="544" t="s">
        <v>310</v>
      </c>
      <c r="N1736" s="413">
        <v>44824</v>
      </c>
      <c r="O1736" s="414" t="s">
        <v>400</v>
      </c>
      <c r="P1736" s="655">
        <f t="shared" si="103"/>
        <v>9</v>
      </c>
      <c r="Q1736" s="655">
        <f t="shared" si="104"/>
        <v>8</v>
      </c>
      <c r="R1736" s="695" t="str">
        <f t="shared" si="105"/>
        <v>Gastos_Gerais</v>
      </c>
      <c r="S1736" s="697" t="s">
        <v>310</v>
      </c>
      <c r="T1736" s="697" t="s">
        <v>310</v>
      </c>
    </row>
    <row r="1737" spans="1:20" ht="36" x14ac:dyDescent="0.2">
      <c r="A1737" s="432">
        <f>IF(B1737="","",COUNT('Diário 1º PA'!$A$4:$A$2635)+COUNT('Diário 2º PA'!$A$4:$A$3040)+ROW()-3)</f>
        <v>5833</v>
      </c>
      <c r="B1737" s="413">
        <v>44824</v>
      </c>
      <c r="C1737" s="431">
        <v>44774</v>
      </c>
      <c r="D1737" s="415" t="s">
        <v>468</v>
      </c>
      <c r="E1737" s="415" t="s">
        <v>468</v>
      </c>
      <c r="F1737" s="425">
        <v>-10589.6</v>
      </c>
      <c r="G1737" s="427" t="s">
        <v>7301</v>
      </c>
      <c r="H1737" s="415" t="s">
        <v>468</v>
      </c>
      <c r="I1737" s="427" t="s">
        <v>795</v>
      </c>
      <c r="J1737" s="415" t="s">
        <v>796</v>
      </c>
      <c r="K1737" s="415" t="s">
        <v>797</v>
      </c>
      <c r="L1737" s="415" t="s">
        <v>798</v>
      </c>
      <c r="M1737" s="415" t="s">
        <v>310</v>
      </c>
      <c r="N1737" s="413">
        <v>44824</v>
      </c>
      <c r="O1737" s="414" t="s">
        <v>400</v>
      </c>
      <c r="P1737" s="655">
        <f t="shared" si="103"/>
        <v>9</v>
      </c>
      <c r="Q1737" s="655">
        <f t="shared" si="104"/>
        <v>8</v>
      </c>
      <c r="R1737" s="695" t="str">
        <f t="shared" si="105"/>
        <v>Gastos_custeados_por_captação</v>
      </c>
      <c r="S1737" s="697" t="s">
        <v>310</v>
      </c>
      <c r="T1737" s="697" t="s">
        <v>310</v>
      </c>
    </row>
    <row r="1738" spans="1:20" ht="36" x14ac:dyDescent="0.2">
      <c r="A1738" s="432">
        <f>IF(B1738="","",COUNT('Diário 1º PA'!$A$4:$A$2635)+COUNT('Diário 2º PA'!$A$4:$A$3040)+ROW()-3)</f>
        <v>5834</v>
      </c>
      <c r="B1738" s="413">
        <v>44824</v>
      </c>
      <c r="C1738" s="431">
        <v>44774</v>
      </c>
      <c r="D1738" s="415" t="s">
        <v>468</v>
      </c>
      <c r="E1738" s="415" t="s">
        <v>468</v>
      </c>
      <c r="F1738" s="425">
        <v>-1751.5</v>
      </c>
      <c r="G1738" s="427" t="s">
        <v>7302</v>
      </c>
      <c r="H1738" s="415" t="s">
        <v>468</v>
      </c>
      <c r="I1738" s="427" t="s">
        <v>795</v>
      </c>
      <c r="J1738" s="415" t="s">
        <v>796</v>
      </c>
      <c r="K1738" s="415" t="s">
        <v>797</v>
      </c>
      <c r="L1738" s="415" t="s">
        <v>798</v>
      </c>
      <c r="M1738" s="415" t="s">
        <v>310</v>
      </c>
      <c r="N1738" s="413">
        <v>44824</v>
      </c>
      <c r="O1738" s="414" t="s">
        <v>400</v>
      </c>
      <c r="P1738" s="655">
        <f t="shared" si="103"/>
        <v>9</v>
      </c>
      <c r="Q1738" s="655">
        <f t="shared" si="104"/>
        <v>8</v>
      </c>
      <c r="R1738" s="695" t="str">
        <f t="shared" si="105"/>
        <v>Gastos_custeados_por_captação</v>
      </c>
      <c r="S1738" s="697" t="s">
        <v>310</v>
      </c>
      <c r="T1738" s="697" t="s">
        <v>310</v>
      </c>
    </row>
    <row r="1739" spans="1:20" ht="36" x14ac:dyDescent="0.2">
      <c r="A1739" s="432">
        <f>IF(B1739="","",COUNT('Diário 1º PA'!$A$4:$A$2635)+COUNT('Diário 2º PA'!$A$4:$A$3040)+ROW()-3)</f>
        <v>5835</v>
      </c>
      <c r="B1739" s="413">
        <v>44824</v>
      </c>
      <c r="C1739" s="431">
        <v>44774</v>
      </c>
      <c r="D1739" s="415" t="s">
        <v>468</v>
      </c>
      <c r="E1739" s="415" t="s">
        <v>468</v>
      </c>
      <c r="F1739" s="425">
        <v>-551.07000000000005</v>
      </c>
      <c r="G1739" s="427" t="s">
        <v>7303</v>
      </c>
      <c r="H1739" s="415" t="s">
        <v>468</v>
      </c>
      <c r="I1739" s="473" t="s">
        <v>795</v>
      </c>
      <c r="J1739" s="415" t="s">
        <v>796</v>
      </c>
      <c r="K1739" s="415" t="s">
        <v>797</v>
      </c>
      <c r="L1739" s="415" t="s">
        <v>798</v>
      </c>
      <c r="M1739" s="415" t="s">
        <v>310</v>
      </c>
      <c r="N1739" s="413">
        <v>44824</v>
      </c>
      <c r="O1739" s="414" t="s">
        <v>400</v>
      </c>
      <c r="P1739" s="655">
        <f t="shared" si="103"/>
        <v>9</v>
      </c>
      <c r="Q1739" s="655">
        <f t="shared" si="104"/>
        <v>8</v>
      </c>
      <c r="R1739" s="695" t="str">
        <f t="shared" si="105"/>
        <v>Gastos_custeados_por_captação</v>
      </c>
      <c r="S1739" s="697" t="s">
        <v>310</v>
      </c>
      <c r="T1739" s="697" t="s">
        <v>310</v>
      </c>
    </row>
    <row r="1740" spans="1:20" ht="36" x14ac:dyDescent="0.2">
      <c r="A1740" s="432">
        <f>IF(B1740="","",COUNT('Diário 1º PA'!$A$4:$A$2635)+COUNT('Diário 2º PA'!$A$4:$A$3040)+ROW()-3)</f>
        <v>5836</v>
      </c>
      <c r="B1740" s="413">
        <v>44824</v>
      </c>
      <c r="C1740" s="431">
        <v>44774</v>
      </c>
      <c r="D1740" s="415" t="s">
        <v>468</v>
      </c>
      <c r="E1740" s="415" t="s">
        <v>468</v>
      </c>
      <c r="F1740" s="425">
        <v>-3100</v>
      </c>
      <c r="G1740" s="427" t="s">
        <v>7304</v>
      </c>
      <c r="H1740" s="415" t="s">
        <v>468</v>
      </c>
      <c r="I1740" s="473" t="s">
        <v>795</v>
      </c>
      <c r="J1740" s="415" t="s">
        <v>796</v>
      </c>
      <c r="K1740" s="415" t="s">
        <v>797</v>
      </c>
      <c r="L1740" s="415" t="s">
        <v>798</v>
      </c>
      <c r="M1740" s="415" t="s">
        <v>310</v>
      </c>
      <c r="N1740" s="413">
        <v>44824</v>
      </c>
      <c r="O1740" s="414" t="s">
        <v>400</v>
      </c>
      <c r="P1740" s="655">
        <f t="shared" si="103"/>
        <v>9</v>
      </c>
      <c r="Q1740" s="655">
        <f t="shared" si="104"/>
        <v>8</v>
      </c>
      <c r="R1740" s="695" t="str">
        <f t="shared" si="105"/>
        <v>Gastos_custeados_por_captação</v>
      </c>
      <c r="S1740" s="697" t="s">
        <v>310</v>
      </c>
      <c r="T1740" s="697" t="s">
        <v>310</v>
      </c>
    </row>
    <row r="1741" spans="1:20" ht="36" x14ac:dyDescent="0.2">
      <c r="A1741" s="432">
        <f>IF(B1741="","",COUNT('Diário 1º PA'!$A$4:$A$2635)+COUNT('Diário 2º PA'!$A$4:$A$3040)+ROW()-3)</f>
        <v>5837</v>
      </c>
      <c r="B1741" s="413">
        <v>44824</v>
      </c>
      <c r="C1741" s="431">
        <v>44774</v>
      </c>
      <c r="D1741" s="415" t="s">
        <v>468</v>
      </c>
      <c r="E1741" s="415" t="s">
        <v>468</v>
      </c>
      <c r="F1741" s="425">
        <v>-3151.66</v>
      </c>
      <c r="G1741" s="427" t="s">
        <v>7305</v>
      </c>
      <c r="H1741" s="415" t="s">
        <v>468</v>
      </c>
      <c r="I1741" s="473" t="s">
        <v>795</v>
      </c>
      <c r="J1741" s="415" t="s">
        <v>796</v>
      </c>
      <c r="K1741" s="415" t="s">
        <v>797</v>
      </c>
      <c r="L1741" s="415" t="s">
        <v>798</v>
      </c>
      <c r="M1741" s="415" t="s">
        <v>310</v>
      </c>
      <c r="N1741" s="413">
        <v>44824</v>
      </c>
      <c r="O1741" s="414" t="s">
        <v>400</v>
      </c>
      <c r="P1741" s="655">
        <f t="shared" si="103"/>
        <v>9</v>
      </c>
      <c r="Q1741" s="655">
        <f t="shared" si="104"/>
        <v>8</v>
      </c>
      <c r="R1741" s="695" t="str">
        <f t="shared" si="105"/>
        <v>Gastos_custeados_por_captação</v>
      </c>
      <c r="S1741" s="697" t="s">
        <v>310</v>
      </c>
      <c r="T1741" s="697" t="s">
        <v>310</v>
      </c>
    </row>
    <row r="1742" spans="1:20" ht="36" x14ac:dyDescent="0.2">
      <c r="A1742" s="432">
        <f>IF(B1742="","",COUNT('Diário 1º PA'!$A$4:$A$2635)+COUNT('Diário 2º PA'!$A$4:$A$3040)+ROW()-3)</f>
        <v>5838</v>
      </c>
      <c r="B1742" s="413">
        <v>44824</v>
      </c>
      <c r="C1742" s="431">
        <v>44774</v>
      </c>
      <c r="D1742" s="415" t="s">
        <v>468</v>
      </c>
      <c r="E1742" s="415" t="s">
        <v>468</v>
      </c>
      <c r="F1742" s="425">
        <v>-3906</v>
      </c>
      <c r="G1742" s="427" t="s">
        <v>7306</v>
      </c>
      <c r="H1742" s="415" t="s">
        <v>468</v>
      </c>
      <c r="I1742" s="473" t="s">
        <v>795</v>
      </c>
      <c r="J1742" s="415" t="s">
        <v>796</v>
      </c>
      <c r="K1742" s="415" t="s">
        <v>797</v>
      </c>
      <c r="L1742" s="415" t="s">
        <v>798</v>
      </c>
      <c r="M1742" s="415" t="s">
        <v>310</v>
      </c>
      <c r="N1742" s="413">
        <v>44824</v>
      </c>
      <c r="O1742" s="414" t="s">
        <v>400</v>
      </c>
      <c r="P1742" s="655">
        <f t="shared" si="103"/>
        <v>9</v>
      </c>
      <c r="Q1742" s="655">
        <f t="shared" si="104"/>
        <v>8</v>
      </c>
      <c r="R1742" s="695" t="str">
        <f t="shared" si="105"/>
        <v>Gastos_custeados_por_captação</v>
      </c>
      <c r="S1742" s="697" t="s">
        <v>310</v>
      </c>
      <c r="T1742" s="697" t="s">
        <v>310</v>
      </c>
    </row>
    <row r="1743" spans="1:20" ht="48" x14ac:dyDescent="0.2">
      <c r="A1743" s="432">
        <f>IF(B1743="","",COUNT('Diário 1º PA'!$A$4:$A$2635)+COUNT('Diário 2º PA'!$A$4:$A$3040)+ROW()-3)</f>
        <v>5839</v>
      </c>
      <c r="B1743" s="413">
        <v>44824</v>
      </c>
      <c r="C1743" s="431">
        <v>44774</v>
      </c>
      <c r="D1743" s="415" t="s">
        <v>271</v>
      </c>
      <c r="E1743" s="415" t="s">
        <v>326</v>
      </c>
      <c r="F1743" s="425">
        <v>-396.15</v>
      </c>
      <c r="G1743" s="427" t="s">
        <v>4849</v>
      </c>
      <c r="H1743" s="415" t="s">
        <v>309</v>
      </c>
      <c r="I1743" s="473" t="s">
        <v>795</v>
      </c>
      <c r="J1743" s="415" t="s">
        <v>796</v>
      </c>
      <c r="K1743" s="415" t="s">
        <v>797</v>
      </c>
      <c r="L1743" s="415" t="s">
        <v>798</v>
      </c>
      <c r="M1743" s="415" t="s">
        <v>310</v>
      </c>
      <c r="N1743" s="413">
        <v>44824</v>
      </c>
      <c r="O1743" s="414" t="s">
        <v>400</v>
      </c>
      <c r="P1743" s="655">
        <f t="shared" si="103"/>
        <v>9</v>
      </c>
      <c r="Q1743" s="655">
        <f t="shared" si="104"/>
        <v>8</v>
      </c>
      <c r="R1743" s="695" t="str">
        <f t="shared" si="105"/>
        <v>Gastos_Gerais</v>
      </c>
      <c r="S1743" s="697" t="s">
        <v>310</v>
      </c>
      <c r="T1743" s="697" t="s">
        <v>310</v>
      </c>
    </row>
    <row r="1744" spans="1:20" ht="36" x14ac:dyDescent="0.2">
      <c r="A1744" s="432">
        <f>IF(B1744="","",COUNT('Diário 1º PA'!$A$4:$A$2635)+COUNT('Diário 2º PA'!$A$4:$A$3040)+ROW()-3)</f>
        <v>5840</v>
      </c>
      <c r="B1744" s="413">
        <v>44824</v>
      </c>
      <c r="C1744" s="431">
        <v>44774</v>
      </c>
      <c r="D1744" s="415" t="s">
        <v>271</v>
      </c>
      <c r="E1744" s="415" t="s">
        <v>163</v>
      </c>
      <c r="F1744" s="425">
        <v>-60.74</v>
      </c>
      <c r="G1744" s="427" t="s">
        <v>7307</v>
      </c>
      <c r="H1744" s="415" t="s">
        <v>309</v>
      </c>
      <c r="I1744" s="473" t="s">
        <v>795</v>
      </c>
      <c r="J1744" s="415" t="s">
        <v>796</v>
      </c>
      <c r="K1744" s="415" t="s">
        <v>797</v>
      </c>
      <c r="L1744" s="415" t="s">
        <v>798</v>
      </c>
      <c r="M1744" s="415" t="s">
        <v>310</v>
      </c>
      <c r="N1744" s="413">
        <v>44824</v>
      </c>
      <c r="O1744" s="414" t="s">
        <v>400</v>
      </c>
      <c r="P1744" s="655">
        <f t="shared" si="103"/>
        <v>9</v>
      </c>
      <c r="Q1744" s="655">
        <f t="shared" si="104"/>
        <v>8</v>
      </c>
      <c r="R1744" s="695" t="str">
        <f t="shared" si="105"/>
        <v>Gastos_Gerais</v>
      </c>
      <c r="S1744" s="697" t="s">
        <v>310</v>
      </c>
      <c r="T1744" s="697" t="s">
        <v>310</v>
      </c>
    </row>
    <row r="1745" spans="1:20" ht="24" x14ac:dyDescent="0.2">
      <c r="A1745" s="432">
        <f>IF(B1745="","",COUNT('Diário 1º PA'!$A$4:$A$2635)+COUNT('Diário 2º PA'!$A$4:$A$3040)+ROW()-3)</f>
        <v>5841</v>
      </c>
      <c r="B1745" s="413">
        <v>44824</v>
      </c>
      <c r="C1745" s="431">
        <v>44774</v>
      </c>
      <c r="D1745" s="415" t="s">
        <v>271</v>
      </c>
      <c r="E1745" s="415" t="s">
        <v>326</v>
      </c>
      <c r="F1745" s="425">
        <v>1434.45</v>
      </c>
      <c r="G1745" s="427" t="s">
        <v>7308</v>
      </c>
      <c r="H1745" s="415" t="s">
        <v>309</v>
      </c>
      <c r="I1745" s="473" t="s">
        <v>4856</v>
      </c>
      <c r="J1745" s="415" t="s">
        <v>3604</v>
      </c>
      <c r="K1745" s="415" t="s">
        <v>812</v>
      </c>
      <c r="L1745" s="415" t="s">
        <v>807</v>
      </c>
      <c r="M1745" s="415" t="s">
        <v>7309</v>
      </c>
      <c r="N1745" s="414">
        <v>44810</v>
      </c>
      <c r="O1745" s="414" t="s">
        <v>400</v>
      </c>
      <c r="P1745" s="655">
        <f t="shared" si="103"/>
        <v>9</v>
      </c>
      <c r="Q1745" s="655">
        <f t="shared" si="104"/>
        <v>8</v>
      </c>
      <c r="R1745" s="695" t="str">
        <f t="shared" si="105"/>
        <v>Gastos_Gerais</v>
      </c>
      <c r="S1745" s="697" t="s">
        <v>1000</v>
      </c>
      <c r="T1745" s="697">
        <v>3559</v>
      </c>
    </row>
    <row r="1746" spans="1:20" ht="24" x14ac:dyDescent="0.2">
      <c r="A1746" s="432">
        <f>IF(B1746="","",COUNT('Diário 1º PA'!$A$4:$A$2635)+COUNT('Diário 2º PA'!$A$4:$A$3040)+ROW()-3)</f>
        <v>5842</v>
      </c>
      <c r="B1746" s="413">
        <v>44824</v>
      </c>
      <c r="C1746" s="433">
        <v>44774</v>
      </c>
      <c r="D1746" s="434" t="s">
        <v>271</v>
      </c>
      <c r="E1746" s="434" t="s">
        <v>163</v>
      </c>
      <c r="F1746" s="422">
        <v>229.99</v>
      </c>
      <c r="G1746" s="437" t="s">
        <v>5721</v>
      </c>
      <c r="H1746" s="434" t="s">
        <v>309</v>
      </c>
      <c r="I1746" s="437" t="s">
        <v>768</v>
      </c>
      <c r="J1746" s="434" t="s">
        <v>1021</v>
      </c>
      <c r="K1746" s="419" t="s">
        <v>1404</v>
      </c>
      <c r="L1746" s="415" t="s">
        <v>807</v>
      </c>
      <c r="M1746" s="419" t="s">
        <v>7311</v>
      </c>
      <c r="N1746" s="413">
        <v>44805</v>
      </c>
      <c r="O1746" s="414" t="s">
        <v>400</v>
      </c>
      <c r="P1746" s="655">
        <f t="shared" si="103"/>
        <v>9</v>
      </c>
      <c r="Q1746" s="655">
        <f t="shared" si="104"/>
        <v>8</v>
      </c>
      <c r="R1746" s="695" t="str">
        <f t="shared" si="105"/>
        <v>Gastos_Gerais</v>
      </c>
      <c r="S1746" s="697" t="s">
        <v>310</v>
      </c>
      <c r="T1746" s="697" t="s">
        <v>310</v>
      </c>
    </row>
    <row r="1747" spans="1:20" ht="36" x14ac:dyDescent="0.2">
      <c r="A1747" s="432">
        <f>IF(B1747="","",COUNT('Diário 1º PA'!$A$4:$A$2635)+COUNT('Diário 2º PA'!$A$4:$A$3040)+ROW()-3)</f>
        <v>5843</v>
      </c>
      <c r="B1747" s="413">
        <v>44824</v>
      </c>
      <c r="C1747" s="431">
        <v>44743</v>
      </c>
      <c r="D1747" s="415" t="s">
        <v>271</v>
      </c>
      <c r="E1747" s="415" t="s">
        <v>90</v>
      </c>
      <c r="F1747" s="425">
        <v>930</v>
      </c>
      <c r="G1747" s="427" t="s">
        <v>6225</v>
      </c>
      <c r="H1747" s="415" t="s">
        <v>760</v>
      </c>
      <c r="I1747" s="473" t="s">
        <v>1461</v>
      </c>
      <c r="J1747" s="415" t="s">
        <v>310</v>
      </c>
      <c r="K1747" s="415" t="s">
        <v>1220</v>
      </c>
      <c r="L1747" s="415" t="s">
        <v>1368</v>
      </c>
      <c r="M1747" s="415" t="s">
        <v>310</v>
      </c>
      <c r="N1747" s="413">
        <v>44824</v>
      </c>
      <c r="O1747" s="414" t="s">
        <v>400</v>
      </c>
      <c r="P1747" s="655">
        <f t="shared" si="103"/>
        <v>9</v>
      </c>
      <c r="Q1747" s="655">
        <f t="shared" si="104"/>
        <v>7</v>
      </c>
      <c r="R1747" s="695" t="str">
        <f t="shared" si="105"/>
        <v>Gastos_Gerais</v>
      </c>
      <c r="S1747" s="697" t="s">
        <v>310</v>
      </c>
      <c r="T1747" s="697" t="s">
        <v>310</v>
      </c>
    </row>
    <row r="1748" spans="1:20" ht="36" x14ac:dyDescent="0.2">
      <c r="A1748" s="432">
        <f>IF(B1748="","",COUNT('Diário 1º PA'!$A$4:$A$2635)+COUNT('Diário 2º PA'!$A$4:$A$3040)+ROW()-3)</f>
        <v>5844</v>
      </c>
      <c r="B1748" s="413">
        <v>44824</v>
      </c>
      <c r="C1748" s="431">
        <v>44743</v>
      </c>
      <c r="D1748" s="415" t="s">
        <v>271</v>
      </c>
      <c r="E1748" s="415" t="s">
        <v>453</v>
      </c>
      <c r="F1748" s="425">
        <v>545.6</v>
      </c>
      <c r="G1748" s="427" t="s">
        <v>6335</v>
      </c>
      <c r="H1748" s="415" t="s">
        <v>790</v>
      </c>
      <c r="I1748" s="473" t="s">
        <v>1461</v>
      </c>
      <c r="J1748" s="415" t="s">
        <v>310</v>
      </c>
      <c r="K1748" s="415" t="s">
        <v>1220</v>
      </c>
      <c r="L1748" s="415" t="s">
        <v>1368</v>
      </c>
      <c r="M1748" s="415" t="s">
        <v>310</v>
      </c>
      <c r="N1748" s="413">
        <v>44824</v>
      </c>
      <c r="O1748" s="414" t="s">
        <v>400</v>
      </c>
      <c r="P1748" s="655">
        <f t="shared" si="103"/>
        <v>9</v>
      </c>
      <c r="Q1748" s="655">
        <f t="shared" si="104"/>
        <v>7</v>
      </c>
      <c r="R1748" s="695" t="str">
        <f t="shared" si="105"/>
        <v>Gastos_Gerais</v>
      </c>
      <c r="S1748" s="697" t="s">
        <v>310</v>
      </c>
      <c r="T1748" s="697" t="s">
        <v>310</v>
      </c>
    </row>
    <row r="1749" spans="1:20" ht="36" x14ac:dyDescent="0.2">
      <c r="A1749" s="432">
        <f>IF(B1749="","",COUNT('Diário 1º PA'!$A$4:$A$2635)+COUNT('Diário 2º PA'!$A$4:$A$3040)+ROW()-3)</f>
        <v>5845</v>
      </c>
      <c r="B1749" s="413">
        <v>44824</v>
      </c>
      <c r="C1749" s="431">
        <v>44713</v>
      </c>
      <c r="D1749" s="415" t="s">
        <v>271</v>
      </c>
      <c r="E1749" s="415" t="s">
        <v>456</v>
      </c>
      <c r="F1749" s="425">
        <v>558</v>
      </c>
      <c r="G1749" s="427" t="s">
        <v>6302</v>
      </c>
      <c r="H1749" s="415" t="s">
        <v>760</v>
      </c>
      <c r="I1749" s="473" t="s">
        <v>1461</v>
      </c>
      <c r="J1749" s="415" t="s">
        <v>310</v>
      </c>
      <c r="K1749" s="415" t="s">
        <v>1220</v>
      </c>
      <c r="L1749" s="415" t="s">
        <v>1368</v>
      </c>
      <c r="M1749" s="415" t="s">
        <v>310</v>
      </c>
      <c r="N1749" s="413">
        <v>44824</v>
      </c>
      <c r="O1749" s="414" t="s">
        <v>400</v>
      </c>
      <c r="P1749" s="655">
        <f t="shared" si="103"/>
        <v>9</v>
      </c>
      <c r="Q1749" s="655">
        <f t="shared" si="104"/>
        <v>6</v>
      </c>
      <c r="R1749" s="695" t="str">
        <f t="shared" si="105"/>
        <v>Gastos_Gerais</v>
      </c>
      <c r="S1749" s="697" t="s">
        <v>310</v>
      </c>
      <c r="T1749" s="697" t="s">
        <v>310</v>
      </c>
    </row>
    <row r="1750" spans="1:20" ht="36" x14ac:dyDescent="0.2">
      <c r="A1750" s="432">
        <f>IF(B1750="","",COUNT('Diário 1º PA'!$A$4:$A$2635)+COUNT('Diário 2º PA'!$A$4:$A$3040)+ROW()-3)</f>
        <v>5846</v>
      </c>
      <c r="B1750" s="413">
        <v>44824</v>
      </c>
      <c r="C1750" s="431">
        <v>44743</v>
      </c>
      <c r="D1750" s="415" t="s">
        <v>271</v>
      </c>
      <c r="E1750" s="415" t="s">
        <v>442</v>
      </c>
      <c r="F1750" s="425">
        <v>396.8</v>
      </c>
      <c r="G1750" s="427" t="s">
        <v>6386</v>
      </c>
      <c r="H1750" s="415" t="s">
        <v>757</v>
      </c>
      <c r="I1750" s="473" t="s">
        <v>1461</v>
      </c>
      <c r="J1750" s="415" t="s">
        <v>310</v>
      </c>
      <c r="K1750" s="415" t="s">
        <v>1220</v>
      </c>
      <c r="L1750" s="415" t="s">
        <v>1368</v>
      </c>
      <c r="M1750" s="415" t="s">
        <v>310</v>
      </c>
      <c r="N1750" s="413">
        <v>44824</v>
      </c>
      <c r="O1750" s="414" t="s">
        <v>400</v>
      </c>
      <c r="P1750" s="655">
        <f t="shared" si="103"/>
        <v>9</v>
      </c>
      <c r="Q1750" s="655">
        <f t="shared" si="104"/>
        <v>7</v>
      </c>
      <c r="R1750" s="695" t="str">
        <f t="shared" si="105"/>
        <v>Gastos_Gerais</v>
      </c>
      <c r="S1750" s="697" t="s">
        <v>310</v>
      </c>
      <c r="T1750" s="697" t="s">
        <v>310</v>
      </c>
    </row>
    <row r="1751" spans="1:20" ht="24" x14ac:dyDescent="0.2">
      <c r="A1751" s="432">
        <f>IF(B1751="","",COUNT('Diário 1º PA'!$A$4:$A$2635)+COUNT('Diário 2º PA'!$A$4:$A$3040)+ROW()-3)</f>
        <v>5847</v>
      </c>
      <c r="B1751" s="413">
        <v>44824</v>
      </c>
      <c r="C1751" s="431">
        <v>44713</v>
      </c>
      <c r="D1751" s="415" t="s">
        <v>271</v>
      </c>
      <c r="E1751" s="415" t="s">
        <v>450</v>
      </c>
      <c r="F1751" s="425">
        <v>868</v>
      </c>
      <c r="G1751" s="427" t="s">
        <v>6273</v>
      </c>
      <c r="H1751" s="415" t="s">
        <v>758</v>
      </c>
      <c r="I1751" s="473" t="s">
        <v>1461</v>
      </c>
      <c r="J1751" s="415" t="s">
        <v>310</v>
      </c>
      <c r="K1751" s="415" t="s">
        <v>1220</v>
      </c>
      <c r="L1751" s="415" t="s">
        <v>1368</v>
      </c>
      <c r="M1751" s="415" t="s">
        <v>310</v>
      </c>
      <c r="N1751" s="413">
        <v>44824</v>
      </c>
      <c r="O1751" s="414" t="s">
        <v>400</v>
      </c>
      <c r="P1751" s="655">
        <f t="shared" si="103"/>
        <v>9</v>
      </c>
      <c r="Q1751" s="655">
        <f t="shared" si="104"/>
        <v>6</v>
      </c>
      <c r="R1751" s="695" t="str">
        <f t="shared" si="105"/>
        <v>Gastos_Gerais</v>
      </c>
      <c r="S1751" s="697" t="s">
        <v>310</v>
      </c>
      <c r="T1751" s="697" t="s">
        <v>310</v>
      </c>
    </row>
    <row r="1752" spans="1:20" ht="24" x14ac:dyDescent="0.2">
      <c r="A1752" s="432">
        <f>IF(B1752="","",COUNT('Diário 1º PA'!$A$4:$A$2635)+COUNT('Diário 2º PA'!$A$4:$A$3040)+ROW()-3)</f>
        <v>5848</v>
      </c>
      <c r="B1752" s="413">
        <v>44824</v>
      </c>
      <c r="C1752" s="431">
        <v>44743</v>
      </c>
      <c r="D1752" s="415" t="s">
        <v>271</v>
      </c>
      <c r="E1752" s="415" t="s">
        <v>462</v>
      </c>
      <c r="F1752" s="425">
        <v>506.34</v>
      </c>
      <c r="G1752" s="427" t="s">
        <v>6305</v>
      </c>
      <c r="H1752" s="415" t="s">
        <v>793</v>
      </c>
      <c r="I1752" s="473" t="s">
        <v>1461</v>
      </c>
      <c r="J1752" s="415" t="s">
        <v>310</v>
      </c>
      <c r="K1752" s="415" t="s">
        <v>1220</v>
      </c>
      <c r="L1752" s="415" t="s">
        <v>1368</v>
      </c>
      <c r="M1752" s="415" t="s">
        <v>310</v>
      </c>
      <c r="N1752" s="413">
        <v>44824</v>
      </c>
      <c r="O1752" s="414" t="s">
        <v>400</v>
      </c>
      <c r="P1752" s="655">
        <f t="shared" si="103"/>
        <v>9</v>
      </c>
      <c r="Q1752" s="655">
        <f t="shared" si="104"/>
        <v>7</v>
      </c>
      <c r="R1752" s="695" t="str">
        <f t="shared" si="105"/>
        <v>Gastos_Gerais</v>
      </c>
      <c r="S1752" s="697" t="s">
        <v>310</v>
      </c>
      <c r="T1752" s="697" t="s">
        <v>310</v>
      </c>
    </row>
    <row r="1753" spans="1:20" ht="24" x14ac:dyDescent="0.2">
      <c r="A1753" s="432">
        <f>IF(B1753="","",COUNT('Diário 1º PA'!$A$4:$A$2635)+COUNT('Diário 2º PA'!$A$4:$A$3040)+ROW()-3)</f>
        <v>5849</v>
      </c>
      <c r="B1753" s="413">
        <v>44824</v>
      </c>
      <c r="C1753" s="431">
        <v>44682</v>
      </c>
      <c r="D1753" s="415" t="s">
        <v>271</v>
      </c>
      <c r="E1753" s="415" t="s">
        <v>442</v>
      </c>
      <c r="F1753" s="425">
        <v>682</v>
      </c>
      <c r="G1753" s="427" t="s">
        <v>6577</v>
      </c>
      <c r="H1753" s="415" t="s">
        <v>758</v>
      </c>
      <c r="I1753" s="473" t="s">
        <v>1461</v>
      </c>
      <c r="J1753" s="415" t="s">
        <v>310</v>
      </c>
      <c r="K1753" s="415" t="s">
        <v>1220</v>
      </c>
      <c r="L1753" s="415" t="s">
        <v>1368</v>
      </c>
      <c r="M1753" s="415" t="s">
        <v>310</v>
      </c>
      <c r="N1753" s="413">
        <v>44824</v>
      </c>
      <c r="O1753" s="414" t="s">
        <v>400</v>
      </c>
      <c r="P1753" s="655">
        <f t="shared" si="103"/>
        <v>9</v>
      </c>
      <c r="Q1753" s="655">
        <f t="shared" si="104"/>
        <v>5</v>
      </c>
      <c r="R1753" s="695" t="str">
        <f t="shared" si="105"/>
        <v>Gastos_Gerais</v>
      </c>
      <c r="S1753" s="697" t="s">
        <v>310</v>
      </c>
      <c r="T1753" s="697" t="s">
        <v>310</v>
      </c>
    </row>
    <row r="1754" spans="1:20" ht="24" x14ac:dyDescent="0.2">
      <c r="A1754" s="432">
        <f>IF(B1754="","",COUNT('Diário 1º PA'!$A$4:$A$2635)+COUNT('Diário 2º PA'!$A$4:$A$3040)+ROW()-3)</f>
        <v>5850</v>
      </c>
      <c r="B1754" s="413">
        <v>44824</v>
      </c>
      <c r="C1754" s="431">
        <v>44682</v>
      </c>
      <c r="D1754" s="415" t="s">
        <v>271</v>
      </c>
      <c r="E1754" s="415" t="s">
        <v>456</v>
      </c>
      <c r="F1754" s="425">
        <v>620</v>
      </c>
      <c r="G1754" s="427" t="s">
        <v>6571</v>
      </c>
      <c r="H1754" s="415" t="s">
        <v>758</v>
      </c>
      <c r="I1754" s="473" t="s">
        <v>1461</v>
      </c>
      <c r="J1754" s="415" t="s">
        <v>310</v>
      </c>
      <c r="K1754" s="415" t="s">
        <v>1220</v>
      </c>
      <c r="L1754" s="415" t="s">
        <v>1368</v>
      </c>
      <c r="M1754" s="415" t="s">
        <v>310</v>
      </c>
      <c r="N1754" s="413">
        <v>44824</v>
      </c>
      <c r="O1754" s="414" t="s">
        <v>400</v>
      </c>
      <c r="P1754" s="655">
        <f t="shared" si="103"/>
        <v>9</v>
      </c>
      <c r="Q1754" s="655">
        <f t="shared" si="104"/>
        <v>5</v>
      </c>
      <c r="R1754" s="695" t="str">
        <f t="shared" si="105"/>
        <v>Gastos_Gerais</v>
      </c>
      <c r="S1754" s="697" t="s">
        <v>310</v>
      </c>
      <c r="T1754" s="697" t="s">
        <v>310</v>
      </c>
    </row>
    <row r="1755" spans="1:20" ht="24" x14ac:dyDescent="0.2">
      <c r="A1755" s="432">
        <f>IF(B1755="","",COUNT('Diário 1º PA'!$A$4:$A$2635)+COUNT('Diário 2º PA'!$A$4:$A$3040)+ROW()-3)</f>
        <v>5851</v>
      </c>
      <c r="B1755" s="413">
        <v>44824</v>
      </c>
      <c r="C1755" s="431">
        <v>44682</v>
      </c>
      <c r="D1755" s="415" t="s">
        <v>271</v>
      </c>
      <c r="E1755" s="415" t="s">
        <v>442</v>
      </c>
      <c r="F1755" s="425">
        <v>682</v>
      </c>
      <c r="G1755" s="427" t="s">
        <v>6527</v>
      </c>
      <c r="H1755" s="415" t="s">
        <v>758</v>
      </c>
      <c r="I1755" s="473" t="s">
        <v>1461</v>
      </c>
      <c r="J1755" s="415" t="s">
        <v>310</v>
      </c>
      <c r="K1755" s="415" t="s">
        <v>1220</v>
      </c>
      <c r="L1755" s="415" t="s">
        <v>1368</v>
      </c>
      <c r="M1755" s="415" t="s">
        <v>310</v>
      </c>
      <c r="N1755" s="413">
        <v>44824</v>
      </c>
      <c r="O1755" s="414" t="s">
        <v>400</v>
      </c>
      <c r="P1755" s="655">
        <f t="shared" si="103"/>
        <v>9</v>
      </c>
      <c r="Q1755" s="655">
        <f t="shared" si="104"/>
        <v>5</v>
      </c>
      <c r="R1755" s="695" t="str">
        <f t="shared" si="105"/>
        <v>Gastos_Gerais</v>
      </c>
      <c r="S1755" s="697" t="s">
        <v>310</v>
      </c>
      <c r="T1755" s="697" t="s">
        <v>310</v>
      </c>
    </row>
    <row r="1756" spans="1:20" ht="24" x14ac:dyDescent="0.2">
      <c r="A1756" s="432">
        <f>IF(B1756="","",COUNT('Diário 1º PA'!$A$4:$A$2635)+COUNT('Diário 2º PA'!$A$4:$A$3040)+ROW()-3)</f>
        <v>5852</v>
      </c>
      <c r="B1756" s="413">
        <v>44824</v>
      </c>
      <c r="C1756" s="431">
        <v>44682</v>
      </c>
      <c r="D1756" s="415" t="s">
        <v>271</v>
      </c>
      <c r="E1756" s="415" t="s">
        <v>456</v>
      </c>
      <c r="F1756" s="425">
        <v>682</v>
      </c>
      <c r="G1756" s="427" t="s">
        <v>6743</v>
      </c>
      <c r="H1756" s="415" t="s">
        <v>758</v>
      </c>
      <c r="I1756" s="473" t="s">
        <v>1461</v>
      </c>
      <c r="J1756" s="415" t="s">
        <v>310</v>
      </c>
      <c r="K1756" s="415" t="s">
        <v>1220</v>
      </c>
      <c r="L1756" s="415" t="s">
        <v>1368</v>
      </c>
      <c r="M1756" s="415" t="s">
        <v>310</v>
      </c>
      <c r="N1756" s="413">
        <v>44824</v>
      </c>
      <c r="O1756" s="414" t="s">
        <v>400</v>
      </c>
      <c r="P1756" s="655">
        <f t="shared" si="103"/>
        <v>9</v>
      </c>
      <c r="Q1756" s="655">
        <f t="shared" si="104"/>
        <v>5</v>
      </c>
      <c r="R1756" s="695" t="str">
        <f t="shared" si="105"/>
        <v>Gastos_Gerais</v>
      </c>
      <c r="S1756" s="697" t="s">
        <v>310</v>
      </c>
      <c r="T1756" s="697" t="s">
        <v>310</v>
      </c>
    </row>
    <row r="1757" spans="1:20" ht="24" x14ac:dyDescent="0.2">
      <c r="A1757" s="432">
        <f>IF(B1757="","",COUNT('Diário 1º PA'!$A$4:$A$2635)+COUNT('Diário 2º PA'!$A$4:$A$3040)+ROW()-3)</f>
        <v>5853</v>
      </c>
      <c r="B1757" s="413">
        <v>44824</v>
      </c>
      <c r="C1757" s="431">
        <v>44713</v>
      </c>
      <c r="D1757" s="415" t="s">
        <v>271</v>
      </c>
      <c r="E1757" s="415" t="s">
        <v>456</v>
      </c>
      <c r="F1757" s="425">
        <v>682</v>
      </c>
      <c r="G1757" s="427" t="s">
        <v>6919</v>
      </c>
      <c r="H1757" s="415" t="s">
        <v>758</v>
      </c>
      <c r="I1757" s="473" t="s">
        <v>1461</v>
      </c>
      <c r="J1757" s="415" t="s">
        <v>310</v>
      </c>
      <c r="K1757" s="415" t="s">
        <v>1220</v>
      </c>
      <c r="L1757" s="415" t="s">
        <v>1368</v>
      </c>
      <c r="M1757" s="415" t="s">
        <v>310</v>
      </c>
      <c r="N1757" s="413">
        <v>44824</v>
      </c>
      <c r="O1757" s="414" t="s">
        <v>400</v>
      </c>
      <c r="P1757" s="655">
        <f t="shared" si="103"/>
        <v>9</v>
      </c>
      <c r="Q1757" s="655">
        <f t="shared" si="104"/>
        <v>6</v>
      </c>
      <c r="R1757" s="695" t="str">
        <f t="shared" si="105"/>
        <v>Gastos_Gerais</v>
      </c>
      <c r="S1757" s="697" t="s">
        <v>310</v>
      </c>
      <c r="T1757" s="697" t="s">
        <v>310</v>
      </c>
    </row>
    <row r="1758" spans="1:20" ht="36" x14ac:dyDescent="0.2">
      <c r="A1758" s="432">
        <f>IF(B1758="","",COUNT('Diário 1º PA'!$A$4:$A$2635)+COUNT('Diário 2º PA'!$A$4:$A$3040)+ROW()-3)</f>
        <v>5854</v>
      </c>
      <c r="B1758" s="413">
        <v>44824</v>
      </c>
      <c r="C1758" s="431">
        <v>44713</v>
      </c>
      <c r="D1758" s="415" t="s">
        <v>271</v>
      </c>
      <c r="E1758" s="415" t="s">
        <v>442</v>
      </c>
      <c r="F1758" s="425">
        <v>356.5</v>
      </c>
      <c r="G1758" s="427" t="s">
        <v>6724</v>
      </c>
      <c r="H1758" s="415" t="s">
        <v>755</v>
      </c>
      <c r="I1758" s="473" t="s">
        <v>1461</v>
      </c>
      <c r="J1758" s="415" t="s">
        <v>310</v>
      </c>
      <c r="K1758" s="415" t="s">
        <v>1220</v>
      </c>
      <c r="L1758" s="415" t="s">
        <v>1368</v>
      </c>
      <c r="M1758" s="415" t="s">
        <v>310</v>
      </c>
      <c r="N1758" s="413">
        <v>44824</v>
      </c>
      <c r="O1758" s="414" t="s">
        <v>400</v>
      </c>
      <c r="P1758" s="655">
        <f t="shared" si="103"/>
        <v>9</v>
      </c>
      <c r="Q1758" s="655">
        <f t="shared" si="104"/>
        <v>6</v>
      </c>
      <c r="R1758" s="695" t="str">
        <f t="shared" si="105"/>
        <v>Gastos_Gerais</v>
      </c>
      <c r="S1758" s="697" t="s">
        <v>310</v>
      </c>
      <c r="T1758" s="697" t="s">
        <v>310</v>
      </c>
    </row>
    <row r="1759" spans="1:20" ht="24" x14ac:dyDescent="0.2">
      <c r="A1759" s="432">
        <f>IF(B1759="","",COUNT('Diário 1º PA'!$A$4:$A$2635)+COUNT('Diário 2º PA'!$A$4:$A$3040)+ROW()-3)</f>
        <v>5855</v>
      </c>
      <c r="B1759" s="413">
        <v>44824</v>
      </c>
      <c r="C1759" s="431">
        <v>44682</v>
      </c>
      <c r="D1759" s="415" t="s">
        <v>271</v>
      </c>
      <c r="E1759" s="415" t="s">
        <v>466</v>
      </c>
      <c r="F1759" s="425">
        <v>759.5</v>
      </c>
      <c r="G1759" s="427" t="s">
        <v>6722</v>
      </c>
      <c r="H1759" s="415" t="s">
        <v>758</v>
      </c>
      <c r="I1759" s="473" t="s">
        <v>1461</v>
      </c>
      <c r="J1759" s="415" t="s">
        <v>310</v>
      </c>
      <c r="K1759" s="415" t="s">
        <v>1220</v>
      </c>
      <c r="L1759" s="415" t="s">
        <v>1368</v>
      </c>
      <c r="M1759" s="415" t="s">
        <v>310</v>
      </c>
      <c r="N1759" s="413">
        <v>44824</v>
      </c>
      <c r="O1759" s="414" t="s">
        <v>400</v>
      </c>
      <c r="P1759" s="655">
        <f t="shared" si="103"/>
        <v>9</v>
      </c>
      <c r="Q1759" s="655">
        <f t="shared" si="104"/>
        <v>5</v>
      </c>
      <c r="R1759" s="695" t="str">
        <f t="shared" si="105"/>
        <v>Gastos_Gerais</v>
      </c>
      <c r="S1759" s="697" t="s">
        <v>310</v>
      </c>
      <c r="T1759" s="697" t="s">
        <v>310</v>
      </c>
    </row>
    <row r="1760" spans="1:20" ht="24" x14ac:dyDescent="0.2">
      <c r="A1760" s="432">
        <f>IF(B1760="","",COUNT('Diário 1º PA'!$A$4:$A$2635)+COUNT('Diário 2º PA'!$A$4:$A$3040)+ROW()-3)</f>
        <v>5856</v>
      </c>
      <c r="B1760" s="413">
        <v>44824</v>
      </c>
      <c r="C1760" s="431">
        <v>44743</v>
      </c>
      <c r="D1760" s="415" t="s">
        <v>271</v>
      </c>
      <c r="E1760" s="415" t="s">
        <v>456</v>
      </c>
      <c r="F1760" s="425">
        <v>558</v>
      </c>
      <c r="G1760" s="427" t="s">
        <v>6740</v>
      </c>
      <c r="H1760" s="415" t="s">
        <v>758</v>
      </c>
      <c r="I1760" s="473" t="s">
        <v>1461</v>
      </c>
      <c r="J1760" s="415" t="s">
        <v>310</v>
      </c>
      <c r="K1760" s="415" t="s">
        <v>1220</v>
      </c>
      <c r="L1760" s="415" t="s">
        <v>1368</v>
      </c>
      <c r="M1760" s="415" t="s">
        <v>310</v>
      </c>
      <c r="N1760" s="413">
        <v>44824</v>
      </c>
      <c r="O1760" s="414" t="s">
        <v>400</v>
      </c>
      <c r="P1760" s="655">
        <f t="shared" si="103"/>
        <v>9</v>
      </c>
      <c r="Q1760" s="655">
        <f t="shared" si="104"/>
        <v>7</v>
      </c>
      <c r="R1760" s="695" t="str">
        <f t="shared" si="105"/>
        <v>Gastos_Gerais</v>
      </c>
      <c r="S1760" s="697" t="s">
        <v>310</v>
      </c>
      <c r="T1760" s="697" t="s">
        <v>310</v>
      </c>
    </row>
    <row r="1761" spans="1:20" ht="24" x14ac:dyDescent="0.2">
      <c r="A1761" s="432">
        <f>IF(B1761="","",COUNT('Diário 1º PA'!$A$4:$A$2635)+COUNT('Diário 2º PA'!$A$4:$A$3040)+ROW()-3)</f>
        <v>5857</v>
      </c>
      <c r="B1761" s="413">
        <v>44824</v>
      </c>
      <c r="C1761" s="431">
        <v>44713</v>
      </c>
      <c r="D1761" s="415" t="s">
        <v>271</v>
      </c>
      <c r="E1761" s="415" t="s">
        <v>452</v>
      </c>
      <c r="F1761" s="425">
        <v>930</v>
      </c>
      <c r="G1761" s="427" t="s">
        <v>6811</v>
      </c>
      <c r="H1761" s="415" t="s">
        <v>758</v>
      </c>
      <c r="I1761" s="473" t="s">
        <v>1461</v>
      </c>
      <c r="J1761" s="415" t="s">
        <v>310</v>
      </c>
      <c r="K1761" s="415" t="s">
        <v>1220</v>
      </c>
      <c r="L1761" s="415" t="s">
        <v>1368</v>
      </c>
      <c r="M1761" s="415" t="s">
        <v>310</v>
      </c>
      <c r="N1761" s="413">
        <v>44824</v>
      </c>
      <c r="O1761" s="414" t="s">
        <v>400</v>
      </c>
      <c r="P1761" s="655">
        <f t="shared" si="103"/>
        <v>9</v>
      </c>
      <c r="Q1761" s="655">
        <f t="shared" si="104"/>
        <v>6</v>
      </c>
      <c r="R1761" s="695" t="str">
        <f t="shared" si="105"/>
        <v>Gastos_Gerais</v>
      </c>
      <c r="S1761" s="697" t="s">
        <v>310</v>
      </c>
      <c r="T1761" s="697" t="s">
        <v>310</v>
      </c>
    </row>
    <row r="1762" spans="1:20" ht="24" x14ac:dyDescent="0.2">
      <c r="A1762" s="432">
        <f>IF(B1762="","",COUNT('Diário 1º PA'!$A$4:$A$2635)+COUNT('Diário 2º PA'!$A$4:$A$3040)+ROW()-3)</f>
        <v>5858</v>
      </c>
      <c r="B1762" s="413">
        <v>44824</v>
      </c>
      <c r="C1762" s="431">
        <v>44743</v>
      </c>
      <c r="D1762" s="415" t="s">
        <v>271</v>
      </c>
      <c r="E1762" s="415" t="s">
        <v>442</v>
      </c>
      <c r="F1762" s="425">
        <v>496</v>
      </c>
      <c r="G1762" s="427" t="s">
        <v>6765</v>
      </c>
      <c r="H1762" s="415" t="s">
        <v>758</v>
      </c>
      <c r="I1762" s="473" t="s">
        <v>1461</v>
      </c>
      <c r="J1762" s="415" t="s">
        <v>310</v>
      </c>
      <c r="K1762" s="415" t="s">
        <v>1220</v>
      </c>
      <c r="L1762" s="415" t="s">
        <v>1368</v>
      </c>
      <c r="M1762" s="415" t="s">
        <v>310</v>
      </c>
      <c r="N1762" s="413">
        <v>44824</v>
      </c>
      <c r="O1762" s="414" t="s">
        <v>400</v>
      </c>
      <c r="P1762" s="655">
        <f t="shared" si="103"/>
        <v>9</v>
      </c>
      <c r="Q1762" s="655">
        <f t="shared" si="104"/>
        <v>7</v>
      </c>
      <c r="R1762" s="695" t="str">
        <f t="shared" si="105"/>
        <v>Gastos_Gerais</v>
      </c>
      <c r="S1762" s="697" t="s">
        <v>310</v>
      </c>
      <c r="T1762" s="697" t="s">
        <v>310</v>
      </c>
    </row>
    <row r="1763" spans="1:20" ht="24" x14ac:dyDescent="0.2">
      <c r="A1763" s="432">
        <f>IF(B1763="","",COUNT('Diário 1º PA'!$A$4:$A$2635)+COUNT('Diário 2º PA'!$A$4:$A$3040)+ROW()-3)</f>
        <v>5859</v>
      </c>
      <c r="B1763" s="413">
        <v>44824</v>
      </c>
      <c r="C1763" s="431">
        <v>44774</v>
      </c>
      <c r="D1763" s="415" t="s">
        <v>271</v>
      </c>
      <c r="E1763" s="415" t="s">
        <v>453</v>
      </c>
      <c r="F1763" s="425">
        <v>310</v>
      </c>
      <c r="G1763" s="427" t="s">
        <v>6839</v>
      </c>
      <c r="H1763" s="415" t="s">
        <v>758</v>
      </c>
      <c r="I1763" s="473" t="s">
        <v>1461</v>
      </c>
      <c r="J1763" s="415" t="s">
        <v>310</v>
      </c>
      <c r="K1763" s="415" t="s">
        <v>1220</v>
      </c>
      <c r="L1763" s="415" t="s">
        <v>1368</v>
      </c>
      <c r="M1763" s="415" t="s">
        <v>310</v>
      </c>
      <c r="N1763" s="413">
        <v>44824</v>
      </c>
      <c r="O1763" s="414" t="s">
        <v>400</v>
      </c>
      <c r="P1763" s="655">
        <f t="shared" si="103"/>
        <v>9</v>
      </c>
      <c r="Q1763" s="655">
        <f t="shared" si="104"/>
        <v>8</v>
      </c>
      <c r="R1763" s="695" t="str">
        <f t="shared" si="105"/>
        <v>Gastos_Gerais</v>
      </c>
      <c r="S1763" s="697" t="s">
        <v>310</v>
      </c>
      <c r="T1763" s="697" t="s">
        <v>310</v>
      </c>
    </row>
    <row r="1764" spans="1:20" ht="24" x14ac:dyDescent="0.2">
      <c r="A1764" s="432">
        <f>IF(B1764="","",COUNT('Diário 1º PA'!$A$4:$A$2635)+COUNT('Diário 2º PA'!$A$4:$A$3040)+ROW()-3)</f>
        <v>5860</v>
      </c>
      <c r="B1764" s="413">
        <v>44824</v>
      </c>
      <c r="C1764" s="431">
        <v>44713</v>
      </c>
      <c r="D1764" s="415" t="s">
        <v>271</v>
      </c>
      <c r="E1764" s="415" t="s">
        <v>451</v>
      </c>
      <c r="F1764" s="425">
        <v>930</v>
      </c>
      <c r="G1764" s="427" t="s">
        <v>6762</v>
      </c>
      <c r="H1764" s="415" t="s">
        <v>758</v>
      </c>
      <c r="I1764" s="473" t="s">
        <v>1461</v>
      </c>
      <c r="J1764" s="415" t="s">
        <v>310</v>
      </c>
      <c r="K1764" s="415" t="s">
        <v>1220</v>
      </c>
      <c r="L1764" s="415" t="s">
        <v>1368</v>
      </c>
      <c r="M1764" s="415" t="s">
        <v>310</v>
      </c>
      <c r="N1764" s="413">
        <v>44824</v>
      </c>
      <c r="O1764" s="414" t="s">
        <v>400</v>
      </c>
      <c r="P1764" s="655">
        <f t="shared" si="103"/>
        <v>9</v>
      </c>
      <c r="Q1764" s="655">
        <f t="shared" si="104"/>
        <v>6</v>
      </c>
      <c r="R1764" s="695" t="str">
        <f t="shared" si="105"/>
        <v>Gastos_Gerais</v>
      </c>
      <c r="S1764" s="697" t="s">
        <v>310</v>
      </c>
      <c r="T1764" s="697" t="s">
        <v>310</v>
      </c>
    </row>
    <row r="1765" spans="1:20" ht="24" x14ac:dyDescent="0.2">
      <c r="A1765" s="432">
        <f>IF(B1765="","",COUNT('Diário 1º PA'!$A$4:$A$2635)+COUNT('Diário 2º PA'!$A$4:$A$3040)+ROW()-3)</f>
        <v>5861</v>
      </c>
      <c r="B1765" s="413">
        <v>44824</v>
      </c>
      <c r="C1765" s="431">
        <v>44743</v>
      </c>
      <c r="D1765" s="415" t="s">
        <v>271</v>
      </c>
      <c r="E1765" s="415" t="s">
        <v>453</v>
      </c>
      <c r="F1765" s="425">
        <v>744</v>
      </c>
      <c r="G1765" s="427" t="s">
        <v>6951</v>
      </c>
      <c r="H1765" s="415" t="s">
        <v>752</v>
      </c>
      <c r="I1765" s="473" t="s">
        <v>1461</v>
      </c>
      <c r="J1765" s="415" t="s">
        <v>310</v>
      </c>
      <c r="K1765" s="415" t="s">
        <v>1220</v>
      </c>
      <c r="L1765" s="415" t="s">
        <v>1368</v>
      </c>
      <c r="M1765" s="415" t="s">
        <v>310</v>
      </c>
      <c r="N1765" s="413">
        <v>44824</v>
      </c>
      <c r="O1765" s="414" t="s">
        <v>400</v>
      </c>
      <c r="P1765" s="655">
        <f t="shared" si="103"/>
        <v>9</v>
      </c>
      <c r="Q1765" s="655">
        <f t="shared" si="104"/>
        <v>7</v>
      </c>
      <c r="R1765" s="695" t="str">
        <f t="shared" si="105"/>
        <v>Gastos_Gerais</v>
      </c>
      <c r="S1765" s="697" t="s">
        <v>310</v>
      </c>
      <c r="T1765" s="697" t="s">
        <v>310</v>
      </c>
    </row>
    <row r="1766" spans="1:20" ht="36" x14ac:dyDescent="0.2">
      <c r="A1766" s="432">
        <f>IF(B1766="","",COUNT('Diário 1º PA'!$A$4:$A$2635)+COUNT('Diário 2º PA'!$A$4:$A$3040)+ROW()-3)</f>
        <v>5862</v>
      </c>
      <c r="B1766" s="413">
        <v>44824</v>
      </c>
      <c r="C1766" s="424">
        <v>44774</v>
      </c>
      <c r="D1766" s="415" t="s">
        <v>468</v>
      </c>
      <c r="E1766" s="415" t="s">
        <v>468</v>
      </c>
      <c r="F1766" s="425">
        <v>2015</v>
      </c>
      <c r="G1766" s="427" t="s">
        <v>7312</v>
      </c>
      <c r="H1766" s="415" t="s">
        <v>468</v>
      </c>
      <c r="I1766" s="427" t="s">
        <v>795</v>
      </c>
      <c r="J1766" s="415" t="s">
        <v>796</v>
      </c>
      <c r="K1766" s="419" t="s">
        <v>806</v>
      </c>
      <c r="L1766" s="415" t="s">
        <v>798</v>
      </c>
      <c r="M1766" s="415" t="s">
        <v>310</v>
      </c>
      <c r="N1766" s="414">
        <v>44824</v>
      </c>
      <c r="O1766" s="414" t="s">
        <v>400</v>
      </c>
      <c r="P1766" s="655">
        <f t="shared" si="103"/>
        <v>9</v>
      </c>
      <c r="Q1766" s="655">
        <f t="shared" si="104"/>
        <v>8</v>
      </c>
      <c r="R1766" s="695" t="str">
        <f t="shared" si="105"/>
        <v>Gastos_custeados_por_captação</v>
      </c>
      <c r="S1766" s="697" t="s">
        <v>310</v>
      </c>
      <c r="T1766" s="697" t="s">
        <v>310</v>
      </c>
    </row>
    <row r="1767" spans="1:20" ht="36" x14ac:dyDescent="0.2">
      <c r="A1767" s="432">
        <f>IF(B1767="","",COUNT('Diário 1º PA'!$A$4:$A$2635)+COUNT('Diário 2º PA'!$A$4:$A$3040)+ROW()-3)</f>
        <v>5863</v>
      </c>
      <c r="B1767" s="413">
        <v>44824</v>
      </c>
      <c r="C1767" s="424">
        <v>44774</v>
      </c>
      <c r="D1767" s="415" t="s">
        <v>468</v>
      </c>
      <c r="E1767" s="415" t="s">
        <v>468</v>
      </c>
      <c r="F1767" s="425">
        <v>3100</v>
      </c>
      <c r="G1767" s="427" t="s">
        <v>7313</v>
      </c>
      <c r="H1767" s="415" t="s">
        <v>468</v>
      </c>
      <c r="I1767" s="473" t="s">
        <v>795</v>
      </c>
      <c r="J1767" s="415" t="s">
        <v>796</v>
      </c>
      <c r="K1767" s="419" t="s">
        <v>806</v>
      </c>
      <c r="L1767" s="415" t="s">
        <v>798</v>
      </c>
      <c r="M1767" s="415" t="s">
        <v>310</v>
      </c>
      <c r="N1767" s="414">
        <v>44824</v>
      </c>
      <c r="O1767" s="414" t="s">
        <v>400</v>
      </c>
      <c r="P1767" s="655">
        <f t="shared" si="103"/>
        <v>9</v>
      </c>
      <c r="Q1767" s="655">
        <f t="shared" si="104"/>
        <v>8</v>
      </c>
      <c r="R1767" s="695" t="str">
        <f t="shared" si="105"/>
        <v>Gastos_custeados_por_captação</v>
      </c>
      <c r="S1767" s="697" t="s">
        <v>310</v>
      </c>
      <c r="T1767" s="697" t="s">
        <v>310</v>
      </c>
    </row>
    <row r="1768" spans="1:20" ht="36" x14ac:dyDescent="0.2">
      <c r="A1768" s="432">
        <f>IF(B1768="","",COUNT('Diário 1º PA'!$A$4:$A$2635)+COUNT('Diário 2º PA'!$A$4:$A$3040)+ROW()-3)</f>
        <v>5864</v>
      </c>
      <c r="B1768" s="413">
        <v>44824</v>
      </c>
      <c r="C1768" s="424">
        <v>44774</v>
      </c>
      <c r="D1768" s="415" t="s">
        <v>468</v>
      </c>
      <c r="E1768" s="415" t="s">
        <v>468</v>
      </c>
      <c r="F1768" s="425">
        <v>3229.27</v>
      </c>
      <c r="G1768" s="427" t="s">
        <v>7314</v>
      </c>
      <c r="H1768" s="415" t="s">
        <v>468</v>
      </c>
      <c r="I1768" s="473" t="s">
        <v>795</v>
      </c>
      <c r="J1768" s="415" t="s">
        <v>796</v>
      </c>
      <c r="K1768" s="419" t="s">
        <v>806</v>
      </c>
      <c r="L1768" s="415" t="s">
        <v>798</v>
      </c>
      <c r="M1768" s="415" t="s">
        <v>310</v>
      </c>
      <c r="N1768" s="414">
        <v>44824</v>
      </c>
      <c r="O1768" s="414" t="s">
        <v>400</v>
      </c>
      <c r="P1768" s="655">
        <f t="shared" si="103"/>
        <v>9</v>
      </c>
      <c r="Q1768" s="655">
        <f t="shared" si="104"/>
        <v>8</v>
      </c>
      <c r="R1768" s="695" t="str">
        <f t="shared" si="105"/>
        <v>Gastos_custeados_por_captação</v>
      </c>
      <c r="S1768" s="697" t="s">
        <v>310</v>
      </c>
      <c r="T1768" s="697" t="s">
        <v>310</v>
      </c>
    </row>
    <row r="1769" spans="1:20" ht="36" x14ac:dyDescent="0.2">
      <c r="A1769" s="432">
        <f>IF(B1769="","",COUNT('Diário 1º PA'!$A$4:$A$2635)+COUNT('Diário 2º PA'!$A$4:$A$3040)+ROW()-3)</f>
        <v>5865</v>
      </c>
      <c r="B1769" s="413">
        <v>44824</v>
      </c>
      <c r="C1769" s="424">
        <v>44774</v>
      </c>
      <c r="D1769" s="415" t="s">
        <v>468</v>
      </c>
      <c r="E1769" s="415" t="s">
        <v>468</v>
      </c>
      <c r="F1769" s="422">
        <v>1751.5</v>
      </c>
      <c r="G1769" s="427" t="s">
        <v>7315</v>
      </c>
      <c r="H1769" s="415" t="s">
        <v>468</v>
      </c>
      <c r="I1769" s="473" t="s">
        <v>795</v>
      </c>
      <c r="J1769" s="415" t="s">
        <v>796</v>
      </c>
      <c r="K1769" s="419" t="s">
        <v>806</v>
      </c>
      <c r="L1769" s="415" t="s">
        <v>798</v>
      </c>
      <c r="M1769" s="415" t="s">
        <v>310</v>
      </c>
      <c r="N1769" s="414">
        <v>44824</v>
      </c>
      <c r="O1769" s="414" t="s">
        <v>400</v>
      </c>
      <c r="P1769" s="655">
        <f t="shared" si="103"/>
        <v>9</v>
      </c>
      <c r="Q1769" s="655">
        <f t="shared" si="104"/>
        <v>8</v>
      </c>
      <c r="R1769" s="695" t="str">
        <f t="shared" si="105"/>
        <v>Gastos_custeados_por_captação</v>
      </c>
      <c r="S1769" s="697" t="s">
        <v>310</v>
      </c>
      <c r="T1769" s="697" t="s">
        <v>310</v>
      </c>
    </row>
    <row r="1770" spans="1:20" ht="36" x14ac:dyDescent="0.2">
      <c r="A1770" s="432">
        <f>IF(B1770="","",COUNT('Diário 1º PA'!$A$4:$A$2635)+COUNT('Diário 2º PA'!$A$4:$A$3040)+ROW()-3)</f>
        <v>5866</v>
      </c>
      <c r="B1770" s="413">
        <v>44824</v>
      </c>
      <c r="C1770" s="431">
        <v>44774</v>
      </c>
      <c r="D1770" s="415" t="s">
        <v>468</v>
      </c>
      <c r="E1770" s="415" t="s">
        <v>468</v>
      </c>
      <c r="F1770" s="425">
        <v>930</v>
      </c>
      <c r="G1770" s="427" t="s">
        <v>7316</v>
      </c>
      <c r="H1770" s="415" t="s">
        <v>468</v>
      </c>
      <c r="I1770" s="427" t="s">
        <v>795</v>
      </c>
      <c r="J1770" s="415" t="s">
        <v>796</v>
      </c>
      <c r="K1770" s="419" t="s">
        <v>806</v>
      </c>
      <c r="L1770" s="415" t="s">
        <v>798</v>
      </c>
      <c r="M1770" s="415" t="s">
        <v>310</v>
      </c>
      <c r="N1770" s="413">
        <v>44824</v>
      </c>
      <c r="O1770" s="414" t="s">
        <v>400</v>
      </c>
      <c r="P1770" s="655">
        <f t="shared" si="103"/>
        <v>9</v>
      </c>
      <c r="Q1770" s="655">
        <f t="shared" si="104"/>
        <v>8</v>
      </c>
      <c r="R1770" s="695" t="str">
        <f t="shared" si="105"/>
        <v>Gastos_custeados_por_captação</v>
      </c>
      <c r="S1770" s="697" t="s">
        <v>310</v>
      </c>
      <c r="T1770" s="697" t="s">
        <v>310</v>
      </c>
    </row>
    <row r="1771" spans="1:20" ht="36" x14ac:dyDescent="0.2">
      <c r="A1771" s="432">
        <f>IF(B1771="","",COUNT('Diário 1º PA'!$A$4:$A$2635)+COUNT('Diário 2º PA'!$A$4:$A$3040)+ROW()-3)</f>
        <v>5867</v>
      </c>
      <c r="B1771" s="413">
        <v>44824</v>
      </c>
      <c r="C1771" s="431">
        <v>44774</v>
      </c>
      <c r="D1771" s="415" t="s">
        <v>271</v>
      </c>
      <c r="E1771" s="415" t="s">
        <v>90</v>
      </c>
      <c r="F1771" s="686">
        <v>1302</v>
      </c>
      <c r="G1771" s="427" t="s">
        <v>7317</v>
      </c>
      <c r="H1771" s="415" t="s">
        <v>310</v>
      </c>
      <c r="I1771" s="473" t="s">
        <v>795</v>
      </c>
      <c r="J1771" s="415" t="s">
        <v>796</v>
      </c>
      <c r="K1771" s="419" t="s">
        <v>806</v>
      </c>
      <c r="L1771" s="415" t="s">
        <v>798</v>
      </c>
      <c r="M1771" s="415" t="s">
        <v>310</v>
      </c>
      <c r="N1771" s="413">
        <v>44824</v>
      </c>
      <c r="O1771" s="414" t="s">
        <v>400</v>
      </c>
      <c r="P1771" s="655">
        <f t="shared" si="103"/>
        <v>9</v>
      </c>
      <c r="Q1771" s="655">
        <f t="shared" si="104"/>
        <v>8</v>
      </c>
      <c r="R1771" s="695" t="str">
        <f t="shared" si="105"/>
        <v>Gastos_Gerais</v>
      </c>
      <c r="S1771" s="697" t="s">
        <v>310</v>
      </c>
      <c r="T1771" s="697" t="s">
        <v>310</v>
      </c>
    </row>
    <row r="1772" spans="1:20" ht="36" x14ac:dyDescent="0.2">
      <c r="A1772" s="432">
        <f>IF(B1772="","",COUNT('Diário 1º PA'!$A$4:$A$2635)+COUNT('Diário 2º PA'!$A$4:$A$3040)+ROW()-3)</f>
        <v>5868</v>
      </c>
      <c r="B1772" s="413">
        <v>44824</v>
      </c>
      <c r="C1772" s="431">
        <v>44774</v>
      </c>
      <c r="D1772" s="415" t="s">
        <v>468</v>
      </c>
      <c r="E1772" s="415" t="s">
        <v>468</v>
      </c>
      <c r="F1772" s="425">
        <v>3151.66</v>
      </c>
      <c r="G1772" s="427" t="s">
        <v>7318</v>
      </c>
      <c r="H1772" s="415" t="s">
        <v>468</v>
      </c>
      <c r="I1772" s="473" t="s">
        <v>795</v>
      </c>
      <c r="J1772" s="415" t="s">
        <v>796</v>
      </c>
      <c r="K1772" s="419" t="s">
        <v>806</v>
      </c>
      <c r="L1772" s="415" t="s">
        <v>798</v>
      </c>
      <c r="M1772" s="415" t="s">
        <v>310</v>
      </c>
      <c r="N1772" s="413">
        <v>44824</v>
      </c>
      <c r="O1772" s="414" t="s">
        <v>400</v>
      </c>
      <c r="P1772" s="655">
        <f t="shared" si="103"/>
        <v>9</v>
      </c>
      <c r="Q1772" s="655">
        <f t="shared" si="104"/>
        <v>8</v>
      </c>
      <c r="R1772" s="695" t="str">
        <f t="shared" si="105"/>
        <v>Gastos_custeados_por_captação</v>
      </c>
      <c r="S1772" s="697" t="s">
        <v>310</v>
      </c>
      <c r="T1772" s="697" t="s">
        <v>310</v>
      </c>
    </row>
    <row r="1773" spans="1:20" ht="36" x14ac:dyDescent="0.2">
      <c r="A1773" s="432">
        <f>IF(B1773="","",COUNT('Diário 1º PA'!$A$4:$A$2635)+COUNT('Diário 2º PA'!$A$4:$A$3040)+ROW()-3)</f>
        <v>5869</v>
      </c>
      <c r="B1773" s="413">
        <v>44824</v>
      </c>
      <c r="C1773" s="431">
        <v>44774</v>
      </c>
      <c r="D1773" s="415" t="s">
        <v>468</v>
      </c>
      <c r="E1773" s="415" t="s">
        <v>468</v>
      </c>
      <c r="F1773" s="686">
        <v>3906</v>
      </c>
      <c r="G1773" s="427" t="s">
        <v>7319</v>
      </c>
      <c r="H1773" s="415" t="s">
        <v>468</v>
      </c>
      <c r="I1773" s="473" t="s">
        <v>795</v>
      </c>
      <c r="J1773" s="415" t="s">
        <v>796</v>
      </c>
      <c r="K1773" s="415" t="s">
        <v>797</v>
      </c>
      <c r="L1773" s="415" t="s">
        <v>798</v>
      </c>
      <c r="M1773" s="415" t="s">
        <v>310</v>
      </c>
      <c r="N1773" s="413">
        <v>44824</v>
      </c>
      <c r="O1773" s="414" t="s">
        <v>400</v>
      </c>
      <c r="P1773" s="655">
        <f t="shared" si="103"/>
        <v>9</v>
      </c>
      <c r="Q1773" s="655">
        <f t="shared" si="104"/>
        <v>8</v>
      </c>
      <c r="R1773" s="695" t="str">
        <f t="shared" si="105"/>
        <v>Gastos_custeados_por_captação</v>
      </c>
      <c r="S1773" s="697" t="s">
        <v>310</v>
      </c>
      <c r="T1773" s="697" t="s">
        <v>310</v>
      </c>
    </row>
    <row r="1774" spans="1:20" ht="36" x14ac:dyDescent="0.2">
      <c r="A1774" s="432">
        <f>IF(B1774="","",COUNT('Diário 1º PA'!$A$4:$A$2635)+COUNT('Diário 2º PA'!$A$4:$A$3040)+ROW()-3)</f>
        <v>5870</v>
      </c>
      <c r="B1774" s="413">
        <v>44824</v>
      </c>
      <c r="C1774" s="431">
        <v>44774</v>
      </c>
      <c r="D1774" s="415" t="s">
        <v>468</v>
      </c>
      <c r="E1774" s="415" t="s">
        <v>468</v>
      </c>
      <c r="F1774" s="425">
        <v>10589.6</v>
      </c>
      <c r="G1774" s="427" t="s">
        <v>7320</v>
      </c>
      <c r="H1774" s="415" t="s">
        <v>468</v>
      </c>
      <c r="I1774" s="427" t="s">
        <v>795</v>
      </c>
      <c r="J1774" s="415" t="s">
        <v>796</v>
      </c>
      <c r="K1774" s="415" t="s">
        <v>797</v>
      </c>
      <c r="L1774" s="415" t="s">
        <v>798</v>
      </c>
      <c r="M1774" s="415" t="s">
        <v>310</v>
      </c>
      <c r="N1774" s="413">
        <v>44824</v>
      </c>
      <c r="O1774" s="414" t="s">
        <v>400</v>
      </c>
      <c r="P1774" s="655">
        <f t="shared" si="103"/>
        <v>9</v>
      </c>
      <c r="Q1774" s="655">
        <f t="shared" si="104"/>
        <v>8</v>
      </c>
      <c r="R1774" s="695" t="str">
        <f t="shared" si="105"/>
        <v>Gastos_custeados_por_captação</v>
      </c>
      <c r="S1774" s="697" t="s">
        <v>310</v>
      </c>
      <c r="T1774" s="697" t="s">
        <v>310</v>
      </c>
    </row>
    <row r="1775" spans="1:20" ht="36" x14ac:dyDescent="0.2">
      <c r="A1775" s="432">
        <f>IF(B1775="","",COUNT('Diário 1º PA'!$A$4:$A$2635)+COUNT('Diário 2º PA'!$A$4:$A$3040)+ROW()-3)</f>
        <v>5871</v>
      </c>
      <c r="B1775" s="413">
        <v>44824</v>
      </c>
      <c r="C1775" s="431">
        <v>44774</v>
      </c>
      <c r="D1775" s="415" t="s">
        <v>182</v>
      </c>
      <c r="E1775" s="415" t="s">
        <v>1</v>
      </c>
      <c r="F1775" s="425">
        <v>3527.71</v>
      </c>
      <c r="G1775" s="427" t="s">
        <v>7321</v>
      </c>
      <c r="H1775" s="415" t="s">
        <v>310</v>
      </c>
      <c r="I1775" s="473" t="s">
        <v>795</v>
      </c>
      <c r="J1775" s="415" t="s">
        <v>796</v>
      </c>
      <c r="K1775" s="419" t="s">
        <v>806</v>
      </c>
      <c r="L1775" s="415" t="s">
        <v>798</v>
      </c>
      <c r="M1775" s="415" t="s">
        <v>310</v>
      </c>
      <c r="N1775" s="414">
        <v>44824</v>
      </c>
      <c r="O1775" s="414" t="s">
        <v>400</v>
      </c>
      <c r="P1775" s="655">
        <f t="shared" si="103"/>
        <v>9</v>
      </c>
      <c r="Q1775" s="655">
        <f t="shared" si="104"/>
        <v>8</v>
      </c>
      <c r="R1775" s="695" t="str">
        <f t="shared" si="105"/>
        <v>Gastos_com_Pessoal</v>
      </c>
      <c r="S1775" s="697" t="s">
        <v>310</v>
      </c>
      <c r="T1775" s="697" t="s">
        <v>310</v>
      </c>
    </row>
    <row r="1776" spans="1:20" ht="36" x14ac:dyDescent="0.2">
      <c r="A1776" s="432">
        <f>IF(B1776="","",COUNT('Diário 1º PA'!$A$4:$A$2635)+COUNT('Diário 2º PA'!$A$4:$A$3040)+ROW()-3)</f>
        <v>5872</v>
      </c>
      <c r="B1776" s="413">
        <v>44824</v>
      </c>
      <c r="C1776" s="431">
        <v>44774</v>
      </c>
      <c r="D1776" s="415" t="s">
        <v>182</v>
      </c>
      <c r="E1776" s="415" t="s">
        <v>252</v>
      </c>
      <c r="F1776" s="425">
        <v>8888.33</v>
      </c>
      <c r="G1776" s="427" t="s">
        <v>7322</v>
      </c>
      <c r="H1776" s="415" t="s">
        <v>310</v>
      </c>
      <c r="I1776" s="473" t="s">
        <v>795</v>
      </c>
      <c r="J1776" s="415" t="s">
        <v>796</v>
      </c>
      <c r="K1776" s="419" t="s">
        <v>806</v>
      </c>
      <c r="L1776" s="415" t="s">
        <v>798</v>
      </c>
      <c r="M1776" s="415" t="s">
        <v>310</v>
      </c>
      <c r="N1776" s="414">
        <v>44824</v>
      </c>
      <c r="O1776" s="414" t="s">
        <v>400</v>
      </c>
      <c r="P1776" s="655">
        <f t="shared" si="103"/>
        <v>9</v>
      </c>
      <c r="Q1776" s="655">
        <f t="shared" si="104"/>
        <v>8</v>
      </c>
      <c r="R1776" s="695" t="str">
        <f t="shared" si="105"/>
        <v>Gastos_com_Pessoal</v>
      </c>
      <c r="S1776" s="697" t="s">
        <v>310</v>
      </c>
      <c r="T1776" s="697" t="s">
        <v>310</v>
      </c>
    </row>
    <row r="1777" spans="1:20" ht="36" x14ac:dyDescent="0.2">
      <c r="A1777" s="432">
        <f>IF(B1777="","",COUNT('Diário 1º PA'!$A$4:$A$2635)+COUNT('Diário 2º PA'!$A$4:$A$3040)+ROW()-3)</f>
        <v>5873</v>
      </c>
      <c r="B1777" s="413">
        <v>44824</v>
      </c>
      <c r="C1777" s="431">
        <v>44774</v>
      </c>
      <c r="D1777" s="415" t="s">
        <v>468</v>
      </c>
      <c r="E1777" s="415" t="s">
        <v>468</v>
      </c>
      <c r="F1777" s="425">
        <v>551.07000000000005</v>
      </c>
      <c r="G1777" s="427" t="s">
        <v>7323</v>
      </c>
      <c r="H1777" s="415" t="s">
        <v>468</v>
      </c>
      <c r="I1777" s="473" t="s">
        <v>795</v>
      </c>
      <c r="J1777" s="415" t="s">
        <v>796</v>
      </c>
      <c r="K1777" s="419" t="s">
        <v>806</v>
      </c>
      <c r="L1777" s="415" t="s">
        <v>798</v>
      </c>
      <c r="M1777" s="415" t="s">
        <v>310</v>
      </c>
      <c r="N1777" s="414">
        <v>44824</v>
      </c>
      <c r="O1777" s="414" t="s">
        <v>400</v>
      </c>
      <c r="P1777" s="655">
        <f t="shared" si="103"/>
        <v>9</v>
      </c>
      <c r="Q1777" s="655">
        <f t="shared" si="104"/>
        <v>8</v>
      </c>
      <c r="R1777" s="695" t="str">
        <f t="shared" si="105"/>
        <v>Gastos_custeados_por_captação</v>
      </c>
      <c r="S1777" s="697" t="s">
        <v>310</v>
      </c>
      <c r="T1777" s="697" t="s">
        <v>310</v>
      </c>
    </row>
    <row r="1778" spans="1:20" ht="24" x14ac:dyDescent="0.2">
      <c r="A1778" s="432">
        <f>IF(B1778="","",COUNT('Diário 1º PA'!$A$4:$A$2635)+COUNT('Diário 2º PA'!$A$4:$A$3040)+ROW()-3)</f>
        <v>5874</v>
      </c>
      <c r="B1778" s="413">
        <v>44824</v>
      </c>
      <c r="C1778" s="431">
        <v>44774</v>
      </c>
      <c r="D1778" s="415" t="s">
        <v>182</v>
      </c>
      <c r="E1778" s="415" t="s">
        <v>1</v>
      </c>
      <c r="F1778" s="425">
        <v>18535.16</v>
      </c>
      <c r="G1778" s="427" t="s">
        <v>7089</v>
      </c>
      <c r="H1778" s="415" t="s">
        <v>310</v>
      </c>
      <c r="I1778" s="473" t="s">
        <v>1461</v>
      </c>
      <c r="J1778" s="415" t="s">
        <v>310</v>
      </c>
      <c r="K1778" s="415" t="s">
        <v>1220</v>
      </c>
      <c r="L1778" s="415" t="s">
        <v>1368</v>
      </c>
      <c r="M1778" s="415" t="s">
        <v>310</v>
      </c>
      <c r="N1778" s="414">
        <v>44824</v>
      </c>
      <c r="O1778" s="414" t="s">
        <v>400</v>
      </c>
      <c r="P1778" s="655">
        <f t="shared" si="103"/>
        <v>9</v>
      </c>
      <c r="Q1778" s="655">
        <f t="shared" si="104"/>
        <v>8</v>
      </c>
      <c r="R1778" s="695" t="str">
        <f t="shared" si="105"/>
        <v>Gastos_com_Pessoal</v>
      </c>
      <c r="S1778" s="697" t="s">
        <v>310</v>
      </c>
      <c r="T1778" s="697" t="s">
        <v>310</v>
      </c>
    </row>
    <row r="1779" spans="1:20" ht="24" x14ac:dyDescent="0.2">
      <c r="A1779" s="432">
        <f>IF(B1779="","",COUNT('Diário 1º PA'!$A$4:$A$2635)+COUNT('Diário 2º PA'!$A$4:$A$3040)+ROW()-3)</f>
        <v>5875</v>
      </c>
      <c r="B1779" s="413">
        <v>44824</v>
      </c>
      <c r="C1779" s="431">
        <v>44774</v>
      </c>
      <c r="D1779" s="415" t="s">
        <v>182</v>
      </c>
      <c r="E1779" s="415" t="s">
        <v>252</v>
      </c>
      <c r="F1779" s="425">
        <v>57979.08</v>
      </c>
      <c r="G1779" s="427" t="s">
        <v>7324</v>
      </c>
      <c r="H1779" s="415" t="s">
        <v>310</v>
      </c>
      <c r="I1779" s="473" t="s">
        <v>1461</v>
      </c>
      <c r="J1779" s="415" t="s">
        <v>310</v>
      </c>
      <c r="K1779" s="415" t="s">
        <v>1220</v>
      </c>
      <c r="L1779" s="415" t="s">
        <v>1368</v>
      </c>
      <c r="M1779" s="415" t="s">
        <v>310</v>
      </c>
      <c r="N1779" s="414">
        <v>44824</v>
      </c>
      <c r="O1779" s="414" t="s">
        <v>400</v>
      </c>
      <c r="P1779" s="655">
        <f t="shared" si="103"/>
        <v>9</v>
      </c>
      <c r="Q1779" s="655">
        <f t="shared" si="104"/>
        <v>8</v>
      </c>
      <c r="R1779" s="695" t="str">
        <f t="shared" si="105"/>
        <v>Gastos_com_Pessoal</v>
      </c>
      <c r="S1779" s="697" t="s">
        <v>310</v>
      </c>
      <c r="T1779" s="697" t="s">
        <v>310</v>
      </c>
    </row>
    <row r="1780" spans="1:20" ht="36" x14ac:dyDescent="0.2">
      <c r="A1780" s="432">
        <f>IF(B1780="","",COUNT('Diário 1º PA'!$A$4:$A$2635)+COUNT('Diário 2º PA'!$A$4:$A$3040)+ROW()-3)</f>
        <v>5876</v>
      </c>
      <c r="B1780" s="413">
        <v>44824</v>
      </c>
      <c r="C1780" s="431">
        <v>44774</v>
      </c>
      <c r="D1780" s="415" t="s">
        <v>468</v>
      </c>
      <c r="E1780" s="415" t="s">
        <v>468</v>
      </c>
      <c r="F1780" s="425">
        <v>381.05</v>
      </c>
      <c r="G1780" s="427" t="s">
        <v>7325</v>
      </c>
      <c r="H1780" s="415" t="s">
        <v>468</v>
      </c>
      <c r="I1780" s="473" t="s">
        <v>795</v>
      </c>
      <c r="J1780" s="415" t="s">
        <v>796</v>
      </c>
      <c r="K1780" s="419" t="s">
        <v>806</v>
      </c>
      <c r="L1780" s="415" t="s">
        <v>798</v>
      </c>
      <c r="M1780" s="415" t="s">
        <v>310</v>
      </c>
      <c r="N1780" s="414">
        <v>44824</v>
      </c>
      <c r="O1780" s="414" t="s">
        <v>400</v>
      </c>
      <c r="P1780" s="655">
        <f t="shared" si="103"/>
        <v>9</v>
      </c>
      <c r="Q1780" s="655">
        <f t="shared" si="104"/>
        <v>8</v>
      </c>
      <c r="R1780" s="695" t="str">
        <f t="shared" si="105"/>
        <v>Gastos_custeados_por_captação</v>
      </c>
      <c r="S1780" s="697" t="s">
        <v>310</v>
      </c>
      <c r="T1780" s="697" t="s">
        <v>310</v>
      </c>
    </row>
    <row r="1781" spans="1:20" ht="24" x14ac:dyDescent="0.2">
      <c r="A1781" s="432">
        <f>IF(B1781="","",COUNT('Diário 1º PA'!$A$4:$A$2635)+COUNT('Diário 2º PA'!$A$4:$A$3040)+ROW()-3)</f>
        <v>5877</v>
      </c>
      <c r="B1781" s="413">
        <v>44824</v>
      </c>
      <c r="C1781" s="433">
        <v>44743</v>
      </c>
      <c r="D1781" s="434" t="s">
        <v>182</v>
      </c>
      <c r="E1781" s="434" t="s">
        <v>1</v>
      </c>
      <c r="F1781" s="435">
        <v>14.57</v>
      </c>
      <c r="G1781" s="437" t="s">
        <v>7326</v>
      </c>
      <c r="H1781" s="434" t="s">
        <v>310</v>
      </c>
      <c r="I1781" s="427" t="s">
        <v>1461</v>
      </c>
      <c r="J1781" s="415" t="s">
        <v>310</v>
      </c>
      <c r="K1781" s="415" t="s">
        <v>1220</v>
      </c>
      <c r="L1781" s="415" t="s">
        <v>1368</v>
      </c>
      <c r="M1781" s="415" t="s">
        <v>310</v>
      </c>
      <c r="N1781" s="414">
        <v>44824</v>
      </c>
      <c r="O1781" s="414" t="s">
        <v>400</v>
      </c>
      <c r="P1781" s="655">
        <f t="shared" si="103"/>
        <v>9</v>
      </c>
      <c r="Q1781" s="655">
        <f t="shared" si="104"/>
        <v>7</v>
      </c>
      <c r="R1781" s="695" t="str">
        <f t="shared" si="105"/>
        <v>Gastos_com_Pessoal</v>
      </c>
      <c r="S1781" s="697" t="s">
        <v>310</v>
      </c>
      <c r="T1781" s="697" t="s">
        <v>310</v>
      </c>
    </row>
    <row r="1782" spans="1:20" ht="24" x14ac:dyDescent="0.2">
      <c r="A1782" s="432">
        <f>IF(B1782="","",COUNT('Diário 1º PA'!$A$4:$A$2635)+COUNT('Diário 2º PA'!$A$4:$A$3040)+ROW()-3)</f>
        <v>5878</v>
      </c>
      <c r="B1782" s="413">
        <v>44824</v>
      </c>
      <c r="C1782" s="431">
        <v>44774</v>
      </c>
      <c r="D1782" s="415" t="s">
        <v>271</v>
      </c>
      <c r="E1782" s="415" t="s">
        <v>59</v>
      </c>
      <c r="F1782" s="425">
        <v>127.5</v>
      </c>
      <c r="G1782" s="427" t="s">
        <v>7006</v>
      </c>
      <c r="H1782" s="415" t="s">
        <v>309</v>
      </c>
      <c r="I1782" s="427" t="s">
        <v>1461</v>
      </c>
      <c r="J1782" s="415" t="s">
        <v>310</v>
      </c>
      <c r="K1782" s="415" t="s">
        <v>1220</v>
      </c>
      <c r="L1782" s="415" t="s">
        <v>1368</v>
      </c>
      <c r="M1782" s="415" t="s">
        <v>310</v>
      </c>
      <c r="N1782" s="414">
        <v>44824</v>
      </c>
      <c r="O1782" s="414" t="s">
        <v>400</v>
      </c>
      <c r="P1782" s="655">
        <f t="shared" si="103"/>
        <v>9</v>
      </c>
      <c r="Q1782" s="655">
        <f t="shared" si="104"/>
        <v>8</v>
      </c>
      <c r="R1782" s="695" t="str">
        <f t="shared" si="105"/>
        <v>Gastos_Gerais</v>
      </c>
      <c r="S1782" s="697" t="s">
        <v>310</v>
      </c>
      <c r="T1782" s="697" t="s">
        <v>310</v>
      </c>
    </row>
    <row r="1783" spans="1:20" ht="24" x14ac:dyDescent="0.2">
      <c r="A1783" s="432">
        <f>IF(B1783="","",COUNT('Diário 1º PA'!$A$4:$A$2635)+COUNT('Diário 2º PA'!$A$4:$A$3040)+ROW()-3)</f>
        <v>5879</v>
      </c>
      <c r="B1783" s="413">
        <v>44824</v>
      </c>
      <c r="C1783" s="433">
        <v>44743</v>
      </c>
      <c r="D1783" s="434" t="s">
        <v>182</v>
      </c>
      <c r="E1783" s="434" t="s">
        <v>179</v>
      </c>
      <c r="F1783" s="435">
        <v>19.760000000000002</v>
      </c>
      <c r="G1783" s="437" t="s">
        <v>6211</v>
      </c>
      <c r="H1783" s="434" t="s">
        <v>310</v>
      </c>
      <c r="I1783" s="427" t="s">
        <v>1461</v>
      </c>
      <c r="J1783" s="415" t="s">
        <v>310</v>
      </c>
      <c r="K1783" s="415" t="s">
        <v>1220</v>
      </c>
      <c r="L1783" s="415" t="s">
        <v>1368</v>
      </c>
      <c r="M1783" s="415" t="s">
        <v>310</v>
      </c>
      <c r="N1783" s="414">
        <v>44824</v>
      </c>
      <c r="O1783" s="414" t="s">
        <v>400</v>
      </c>
      <c r="P1783" s="655">
        <f t="shared" si="103"/>
        <v>9</v>
      </c>
      <c r="Q1783" s="655">
        <f t="shared" si="104"/>
        <v>7</v>
      </c>
      <c r="R1783" s="695" t="str">
        <f t="shared" si="105"/>
        <v>Gastos_com_Pessoal</v>
      </c>
      <c r="S1783" s="697" t="s">
        <v>310</v>
      </c>
      <c r="T1783" s="697" t="s">
        <v>310</v>
      </c>
    </row>
    <row r="1784" spans="1:20" ht="24" x14ac:dyDescent="0.2">
      <c r="A1784" s="432">
        <f>IF(B1784="","",COUNT('Diário 1º PA'!$A$4:$A$2635)+COUNT('Diário 2º PA'!$A$4:$A$3040)+ROW()-3)</f>
        <v>5880</v>
      </c>
      <c r="B1784" s="413">
        <v>44824</v>
      </c>
      <c r="C1784" s="433">
        <v>44743</v>
      </c>
      <c r="D1784" s="434" t="s">
        <v>271</v>
      </c>
      <c r="E1784" s="434" t="s">
        <v>2</v>
      </c>
      <c r="F1784" s="435">
        <v>1881</v>
      </c>
      <c r="G1784" s="427" t="s">
        <v>494</v>
      </c>
      <c r="H1784" s="434" t="s">
        <v>309</v>
      </c>
      <c r="I1784" s="427" t="s">
        <v>1461</v>
      </c>
      <c r="J1784" s="415" t="s">
        <v>310</v>
      </c>
      <c r="K1784" s="415" t="s">
        <v>1220</v>
      </c>
      <c r="L1784" s="415" t="s">
        <v>1368</v>
      </c>
      <c r="M1784" s="415" t="s">
        <v>310</v>
      </c>
      <c r="N1784" s="414">
        <v>44824</v>
      </c>
      <c r="O1784" s="414" t="s">
        <v>400</v>
      </c>
      <c r="P1784" s="655">
        <f t="shared" si="103"/>
        <v>9</v>
      </c>
      <c r="Q1784" s="655">
        <f t="shared" si="104"/>
        <v>7</v>
      </c>
      <c r="R1784" s="695" t="str">
        <f t="shared" si="105"/>
        <v>Gastos_Gerais</v>
      </c>
      <c r="S1784" s="697" t="s">
        <v>310</v>
      </c>
      <c r="T1784" s="697" t="s">
        <v>310</v>
      </c>
    </row>
    <row r="1785" spans="1:20" ht="24" x14ac:dyDescent="0.2">
      <c r="A1785" s="432">
        <f>IF(B1785="","",COUNT('Diário 1º PA'!$A$4:$A$2635)+COUNT('Diário 2º PA'!$A$4:$A$3040)+ROW()-3)</f>
        <v>5881</v>
      </c>
      <c r="B1785" s="413">
        <v>44824</v>
      </c>
      <c r="C1785" s="433">
        <v>44713</v>
      </c>
      <c r="D1785" s="415" t="s">
        <v>182</v>
      </c>
      <c r="E1785" s="415" t="s">
        <v>325</v>
      </c>
      <c r="F1785" s="435">
        <v>49.62</v>
      </c>
      <c r="G1785" s="437" t="s">
        <v>6488</v>
      </c>
      <c r="H1785" s="434" t="s">
        <v>310</v>
      </c>
      <c r="I1785" s="427" t="s">
        <v>1461</v>
      </c>
      <c r="J1785" s="415" t="s">
        <v>310</v>
      </c>
      <c r="K1785" s="415" t="s">
        <v>1220</v>
      </c>
      <c r="L1785" s="415" t="s">
        <v>1368</v>
      </c>
      <c r="M1785" s="415" t="s">
        <v>310</v>
      </c>
      <c r="N1785" s="414">
        <v>44824</v>
      </c>
      <c r="O1785" s="414" t="s">
        <v>400</v>
      </c>
      <c r="P1785" s="655">
        <f t="shared" si="103"/>
        <v>9</v>
      </c>
      <c r="Q1785" s="655">
        <f t="shared" si="104"/>
        <v>6</v>
      </c>
      <c r="R1785" s="695" t="str">
        <f t="shared" si="105"/>
        <v>Gastos_com_Pessoal</v>
      </c>
      <c r="S1785" s="697" t="s">
        <v>310</v>
      </c>
      <c r="T1785" s="697" t="s">
        <v>310</v>
      </c>
    </row>
    <row r="1786" spans="1:20" ht="24" x14ac:dyDescent="0.2">
      <c r="A1786" s="432">
        <f>IF(B1786="","",COUNT('Diário 1º PA'!$A$4:$A$2635)+COUNT('Diário 2º PA'!$A$4:$A$3040)+ROW()-3)</f>
        <v>5882</v>
      </c>
      <c r="B1786" s="413">
        <v>44824</v>
      </c>
      <c r="C1786" s="433">
        <v>44743</v>
      </c>
      <c r="D1786" s="434" t="s">
        <v>182</v>
      </c>
      <c r="E1786" s="434" t="s">
        <v>179</v>
      </c>
      <c r="F1786" s="435">
        <v>28.75</v>
      </c>
      <c r="G1786" s="437" t="s">
        <v>6213</v>
      </c>
      <c r="H1786" s="434" t="s">
        <v>310</v>
      </c>
      <c r="I1786" s="427" t="s">
        <v>1461</v>
      </c>
      <c r="J1786" s="415" t="s">
        <v>310</v>
      </c>
      <c r="K1786" s="415" t="s">
        <v>1220</v>
      </c>
      <c r="L1786" s="415" t="s">
        <v>1368</v>
      </c>
      <c r="M1786" s="415" t="s">
        <v>310</v>
      </c>
      <c r="N1786" s="414">
        <v>44824</v>
      </c>
      <c r="O1786" s="414" t="s">
        <v>400</v>
      </c>
      <c r="P1786" s="655">
        <f t="shared" si="103"/>
        <v>9</v>
      </c>
      <c r="Q1786" s="655">
        <f t="shared" si="104"/>
        <v>7</v>
      </c>
      <c r="R1786" s="695" t="str">
        <f t="shared" si="105"/>
        <v>Gastos_com_Pessoal</v>
      </c>
      <c r="S1786" s="697" t="s">
        <v>310</v>
      </c>
      <c r="T1786" s="697" t="s">
        <v>310</v>
      </c>
    </row>
    <row r="1787" spans="1:20" ht="36" x14ac:dyDescent="0.2">
      <c r="A1787" s="432">
        <f>IF(B1787="","",COUNT('Diário 1º PA'!$A$4:$A$2635)+COUNT('Diário 2º PA'!$A$4:$A$3040)+ROW()-3)</f>
        <v>5883</v>
      </c>
      <c r="B1787" s="413">
        <v>44824</v>
      </c>
      <c r="C1787" s="431">
        <v>44743</v>
      </c>
      <c r="D1787" s="415" t="s">
        <v>271</v>
      </c>
      <c r="E1787" s="415" t="s">
        <v>90</v>
      </c>
      <c r="F1787" s="425">
        <v>57.45</v>
      </c>
      <c r="G1787" s="427" t="s">
        <v>6224</v>
      </c>
      <c r="H1787" s="415" t="s">
        <v>760</v>
      </c>
      <c r="I1787" s="427" t="s">
        <v>1461</v>
      </c>
      <c r="J1787" s="415" t="s">
        <v>310</v>
      </c>
      <c r="K1787" s="415" t="s">
        <v>1220</v>
      </c>
      <c r="L1787" s="415" t="s">
        <v>1368</v>
      </c>
      <c r="M1787" s="415" t="s">
        <v>310</v>
      </c>
      <c r="N1787" s="414">
        <v>44824</v>
      </c>
      <c r="O1787" s="414" t="s">
        <v>400</v>
      </c>
      <c r="P1787" s="655">
        <f t="shared" si="103"/>
        <v>9</v>
      </c>
      <c r="Q1787" s="655">
        <f t="shared" si="104"/>
        <v>7</v>
      </c>
      <c r="R1787" s="695" t="str">
        <f t="shared" si="105"/>
        <v>Gastos_Gerais</v>
      </c>
      <c r="S1787" s="697" t="s">
        <v>310</v>
      </c>
      <c r="T1787" s="697" t="s">
        <v>310</v>
      </c>
    </row>
    <row r="1788" spans="1:20" ht="24" x14ac:dyDescent="0.2">
      <c r="A1788" s="432">
        <f>IF(B1788="","",COUNT('Diário 1º PA'!$A$4:$A$2635)+COUNT('Diário 2º PA'!$A$4:$A$3040)+ROW()-3)</f>
        <v>5884</v>
      </c>
      <c r="B1788" s="413">
        <v>44824</v>
      </c>
      <c r="C1788" s="431">
        <v>44713</v>
      </c>
      <c r="D1788" s="415" t="s">
        <v>271</v>
      </c>
      <c r="E1788" s="415" t="s">
        <v>451</v>
      </c>
      <c r="F1788" s="425">
        <v>57.45</v>
      </c>
      <c r="G1788" s="427" t="s">
        <v>6761</v>
      </c>
      <c r="H1788" s="415" t="s">
        <v>758</v>
      </c>
      <c r="I1788" s="427" t="s">
        <v>1461</v>
      </c>
      <c r="J1788" s="415" t="s">
        <v>310</v>
      </c>
      <c r="K1788" s="415" t="s">
        <v>1220</v>
      </c>
      <c r="L1788" s="415" t="s">
        <v>1368</v>
      </c>
      <c r="M1788" s="415" t="s">
        <v>310</v>
      </c>
      <c r="N1788" s="414">
        <v>44824</v>
      </c>
      <c r="O1788" s="414" t="s">
        <v>400</v>
      </c>
      <c r="P1788" s="655">
        <f t="shared" si="103"/>
        <v>9</v>
      </c>
      <c r="Q1788" s="655">
        <f t="shared" si="104"/>
        <v>6</v>
      </c>
      <c r="R1788" s="695" t="str">
        <f t="shared" si="105"/>
        <v>Gastos_Gerais</v>
      </c>
      <c r="S1788" s="697" t="s">
        <v>310</v>
      </c>
      <c r="T1788" s="697" t="s">
        <v>310</v>
      </c>
    </row>
    <row r="1789" spans="1:20" ht="24" x14ac:dyDescent="0.2">
      <c r="A1789" s="432">
        <f>IF(B1789="","",COUNT('Diário 1º PA'!$A$4:$A$2635)+COUNT('Diário 2º PA'!$A$4:$A$3040)+ROW()-3)</f>
        <v>5885</v>
      </c>
      <c r="B1789" s="413">
        <v>44824</v>
      </c>
      <c r="C1789" s="431">
        <v>44682</v>
      </c>
      <c r="D1789" s="415" t="s">
        <v>271</v>
      </c>
      <c r="E1789" s="415" t="s">
        <v>466</v>
      </c>
      <c r="F1789" s="425">
        <v>20.74</v>
      </c>
      <c r="G1789" s="427" t="s">
        <v>6721</v>
      </c>
      <c r="H1789" s="415" t="s">
        <v>758</v>
      </c>
      <c r="I1789" s="427" t="s">
        <v>1461</v>
      </c>
      <c r="J1789" s="415" t="s">
        <v>310</v>
      </c>
      <c r="K1789" s="415" t="s">
        <v>1220</v>
      </c>
      <c r="L1789" s="415" t="s">
        <v>1368</v>
      </c>
      <c r="M1789" s="415" t="s">
        <v>310</v>
      </c>
      <c r="N1789" s="414">
        <v>44824</v>
      </c>
      <c r="O1789" s="414" t="s">
        <v>400</v>
      </c>
      <c r="P1789" s="655">
        <f t="shared" si="103"/>
        <v>9</v>
      </c>
      <c r="Q1789" s="655">
        <f t="shared" si="104"/>
        <v>5</v>
      </c>
      <c r="R1789" s="695" t="str">
        <f t="shared" si="105"/>
        <v>Gastos_Gerais</v>
      </c>
      <c r="S1789" s="697" t="s">
        <v>310</v>
      </c>
      <c r="T1789" s="697" t="s">
        <v>310</v>
      </c>
    </row>
    <row r="1790" spans="1:20" ht="24" x14ac:dyDescent="0.2">
      <c r="A1790" s="432">
        <f>IF(B1790="","",COUNT('Diário 1º PA'!$A$4:$A$2635)+COUNT('Diário 2º PA'!$A$4:$A$3040)+ROW()-3)</f>
        <v>5886</v>
      </c>
      <c r="B1790" s="413">
        <v>44824</v>
      </c>
      <c r="C1790" s="431">
        <v>44713</v>
      </c>
      <c r="D1790" s="415" t="s">
        <v>271</v>
      </c>
      <c r="E1790" s="415" t="s">
        <v>450</v>
      </c>
      <c r="F1790" s="425">
        <v>44.1</v>
      </c>
      <c r="G1790" s="427" t="s">
        <v>6272</v>
      </c>
      <c r="H1790" s="415" t="s">
        <v>758</v>
      </c>
      <c r="I1790" s="427" t="s">
        <v>1461</v>
      </c>
      <c r="J1790" s="415" t="s">
        <v>310</v>
      </c>
      <c r="K1790" s="415" t="s">
        <v>1220</v>
      </c>
      <c r="L1790" s="415" t="s">
        <v>1368</v>
      </c>
      <c r="M1790" s="415" t="s">
        <v>310</v>
      </c>
      <c r="N1790" s="414">
        <v>44824</v>
      </c>
      <c r="O1790" s="414" t="s">
        <v>400</v>
      </c>
      <c r="P1790" s="655">
        <f t="shared" si="103"/>
        <v>9</v>
      </c>
      <c r="Q1790" s="655">
        <f t="shared" si="104"/>
        <v>6</v>
      </c>
      <c r="R1790" s="695" t="str">
        <f t="shared" si="105"/>
        <v>Gastos_Gerais</v>
      </c>
      <c r="S1790" s="697" t="s">
        <v>310</v>
      </c>
      <c r="T1790" s="697" t="s">
        <v>310</v>
      </c>
    </row>
    <row r="1791" spans="1:20" ht="24" x14ac:dyDescent="0.2">
      <c r="A1791" s="432">
        <f>IF(B1791="","",COUNT('Diário 1º PA'!$A$4:$A$2635)+COUNT('Diário 2º PA'!$A$4:$A$3040)+ROW()-3)</f>
        <v>5887</v>
      </c>
      <c r="B1791" s="413">
        <v>44824</v>
      </c>
      <c r="C1791" s="431">
        <v>44743</v>
      </c>
      <c r="D1791" s="415" t="s">
        <v>271</v>
      </c>
      <c r="E1791" s="415" t="s">
        <v>453</v>
      </c>
      <c r="F1791" s="425">
        <v>17.399999999999999</v>
      </c>
      <c r="G1791" s="427" t="s">
        <v>6950</v>
      </c>
      <c r="H1791" s="415" t="s">
        <v>752</v>
      </c>
      <c r="I1791" s="427" t="s">
        <v>1461</v>
      </c>
      <c r="J1791" s="415" t="s">
        <v>310</v>
      </c>
      <c r="K1791" s="415" t="s">
        <v>1220</v>
      </c>
      <c r="L1791" s="415" t="s">
        <v>1368</v>
      </c>
      <c r="M1791" s="415" t="s">
        <v>310</v>
      </c>
      <c r="N1791" s="414">
        <v>44824</v>
      </c>
      <c r="O1791" s="414" t="s">
        <v>400</v>
      </c>
      <c r="P1791" s="655">
        <f t="shared" si="103"/>
        <v>9</v>
      </c>
      <c r="Q1791" s="655">
        <f t="shared" si="104"/>
        <v>7</v>
      </c>
      <c r="R1791" s="695" t="str">
        <f t="shared" si="105"/>
        <v>Gastos_Gerais</v>
      </c>
      <c r="S1791" s="697" t="s">
        <v>310</v>
      </c>
      <c r="T1791" s="697" t="s">
        <v>310</v>
      </c>
    </row>
    <row r="1792" spans="1:20" ht="24.75" customHeight="1" x14ac:dyDescent="0.2">
      <c r="A1792" s="432">
        <f>IF(B1792="","",COUNT('Diário 1º PA'!$A$4:$A$2635)+COUNT('Diário 2º PA'!$A$4:$A$3040)+ROW()-3)</f>
        <v>5888</v>
      </c>
      <c r="B1792" s="413">
        <v>44824</v>
      </c>
      <c r="C1792" s="431">
        <v>44713</v>
      </c>
      <c r="D1792" s="415" t="s">
        <v>271</v>
      </c>
      <c r="E1792" s="415" t="s">
        <v>452</v>
      </c>
      <c r="F1792" s="425">
        <v>57.45</v>
      </c>
      <c r="G1792" s="427" t="s">
        <v>6810</v>
      </c>
      <c r="H1792" s="415" t="s">
        <v>758</v>
      </c>
      <c r="I1792" s="427" t="s">
        <v>1461</v>
      </c>
      <c r="J1792" s="415" t="s">
        <v>310</v>
      </c>
      <c r="K1792" s="415" t="s">
        <v>1220</v>
      </c>
      <c r="L1792" s="415" t="s">
        <v>1368</v>
      </c>
      <c r="M1792" s="415" t="s">
        <v>310</v>
      </c>
      <c r="N1792" s="414">
        <v>44824</v>
      </c>
      <c r="O1792" s="414" t="s">
        <v>400</v>
      </c>
      <c r="P1792" s="655">
        <f t="shared" si="103"/>
        <v>9</v>
      </c>
      <c r="Q1792" s="655">
        <f t="shared" si="104"/>
        <v>6</v>
      </c>
      <c r="R1792" s="695" t="str">
        <f t="shared" si="105"/>
        <v>Gastos_Gerais</v>
      </c>
      <c r="S1792" s="697" t="s">
        <v>310</v>
      </c>
      <c r="T1792" s="697" t="s">
        <v>310</v>
      </c>
    </row>
    <row r="1793" spans="1:20" ht="24" x14ac:dyDescent="0.2">
      <c r="A1793" s="432">
        <f>IF(B1793="","",COUNT('Diário 1º PA'!$A$4:$A$2635)+COUNT('Diário 2º PA'!$A$4:$A$3040)+ROW()-3)</f>
        <v>5889</v>
      </c>
      <c r="B1793" s="413">
        <v>44824</v>
      </c>
      <c r="C1793" s="424">
        <v>44743</v>
      </c>
      <c r="D1793" s="415" t="s">
        <v>182</v>
      </c>
      <c r="E1793" s="415" t="s">
        <v>1</v>
      </c>
      <c r="F1793" s="425">
        <v>20035.98</v>
      </c>
      <c r="G1793" s="427" t="s">
        <v>6322</v>
      </c>
      <c r="H1793" s="415" t="s">
        <v>310</v>
      </c>
      <c r="I1793" s="473" t="s">
        <v>1461</v>
      </c>
      <c r="J1793" s="415" t="s">
        <v>310</v>
      </c>
      <c r="K1793" s="415" t="s">
        <v>1220</v>
      </c>
      <c r="L1793" s="415" t="s">
        <v>1368</v>
      </c>
      <c r="M1793" s="415" t="s">
        <v>310</v>
      </c>
      <c r="N1793" s="414">
        <v>44824</v>
      </c>
      <c r="O1793" s="414" t="s">
        <v>400</v>
      </c>
      <c r="P1793" s="655">
        <f t="shared" si="103"/>
        <v>9</v>
      </c>
      <c r="Q1793" s="655">
        <f t="shared" si="104"/>
        <v>7</v>
      </c>
      <c r="R1793" s="695" t="str">
        <f t="shared" si="105"/>
        <v>Gastos_com_Pessoal</v>
      </c>
      <c r="S1793" s="697" t="s">
        <v>310</v>
      </c>
      <c r="T1793" s="697" t="s">
        <v>310</v>
      </c>
    </row>
    <row r="1794" spans="1:20" ht="72" x14ac:dyDescent="0.2">
      <c r="A1794" s="432">
        <f>IF(B1794="","",COUNT('Diário 1º PA'!$A$4:$A$2635)+COUNT('Diário 2º PA'!$A$4:$A$3040)+ROW()-3)</f>
        <v>5890</v>
      </c>
      <c r="B1794" s="413">
        <v>44824</v>
      </c>
      <c r="C1794" s="421">
        <v>44774</v>
      </c>
      <c r="D1794" s="415" t="s">
        <v>271</v>
      </c>
      <c r="E1794" s="415" t="s">
        <v>90</v>
      </c>
      <c r="F1794" s="422">
        <v>217.58</v>
      </c>
      <c r="G1794" s="419" t="s">
        <v>7330</v>
      </c>
      <c r="H1794" s="415" t="s">
        <v>310</v>
      </c>
      <c r="I1794" s="415" t="s">
        <v>7331</v>
      </c>
      <c r="J1794" s="419" t="s">
        <v>796</v>
      </c>
      <c r="K1794" s="419" t="s">
        <v>806</v>
      </c>
      <c r="L1794" s="415" t="s">
        <v>310</v>
      </c>
      <c r="M1794" s="419" t="s">
        <v>310</v>
      </c>
      <c r="N1794" s="413">
        <v>44824</v>
      </c>
      <c r="O1794" s="414" t="s">
        <v>402</v>
      </c>
      <c r="P1794" s="655">
        <f t="shared" si="103"/>
        <v>9</v>
      </c>
      <c r="Q1794" s="655">
        <f t="shared" si="104"/>
        <v>8</v>
      </c>
      <c r="R1794" s="695" t="str">
        <f t="shared" si="105"/>
        <v>Gastos_Gerais</v>
      </c>
      <c r="S1794" s="697" t="s">
        <v>310</v>
      </c>
      <c r="T1794" s="697" t="s">
        <v>310</v>
      </c>
    </row>
    <row r="1795" spans="1:20" ht="72" x14ac:dyDescent="0.2">
      <c r="A1795" s="432">
        <f>IF(B1795="","",COUNT('Diário 1º PA'!$A$4:$A$2635)+COUNT('Diário 2º PA'!$A$4:$A$3040)+ROW()-3)</f>
        <v>5891</v>
      </c>
      <c r="B1795" s="413">
        <v>44824</v>
      </c>
      <c r="C1795" s="421">
        <v>44774</v>
      </c>
      <c r="D1795" s="419" t="s">
        <v>468</v>
      </c>
      <c r="E1795" s="419" t="s">
        <v>468</v>
      </c>
      <c r="F1795" s="422">
        <v>18.7</v>
      </c>
      <c r="G1795" s="419" t="s">
        <v>6639</v>
      </c>
      <c r="H1795" s="419" t="s">
        <v>468</v>
      </c>
      <c r="I1795" s="415" t="s">
        <v>7333</v>
      </c>
      <c r="J1795" s="419" t="s">
        <v>796</v>
      </c>
      <c r="K1795" s="419" t="s">
        <v>806</v>
      </c>
      <c r="L1795" s="415" t="s">
        <v>310</v>
      </c>
      <c r="M1795" s="419" t="s">
        <v>310</v>
      </c>
      <c r="N1795" s="413">
        <v>44824</v>
      </c>
      <c r="O1795" s="414" t="s">
        <v>407</v>
      </c>
      <c r="P1795" s="655">
        <f t="shared" si="103"/>
        <v>9</v>
      </c>
      <c r="Q1795" s="655">
        <f t="shared" si="104"/>
        <v>8</v>
      </c>
      <c r="R1795" s="695" t="str">
        <f t="shared" si="105"/>
        <v>Gastos_custeados_por_captação</v>
      </c>
      <c r="S1795" s="697" t="s">
        <v>310</v>
      </c>
      <c r="T1795" s="697" t="s">
        <v>310</v>
      </c>
    </row>
    <row r="1796" spans="1:20" ht="60" x14ac:dyDescent="0.2">
      <c r="A1796" s="432">
        <f>IF(B1796="","",COUNT('Diário 1º PA'!$A$4:$A$2635)+COUNT('Diário 2º PA'!$A$4:$A$3040)+ROW()-3)</f>
        <v>5892</v>
      </c>
      <c r="B1796" s="413">
        <v>44824</v>
      </c>
      <c r="C1796" s="431">
        <v>44743</v>
      </c>
      <c r="D1796" s="419" t="s">
        <v>468</v>
      </c>
      <c r="E1796" s="419" t="s">
        <v>468</v>
      </c>
      <c r="F1796" s="425">
        <v>744</v>
      </c>
      <c r="G1796" s="427" t="s">
        <v>6778</v>
      </c>
      <c r="H1796" s="419" t="s">
        <v>468</v>
      </c>
      <c r="I1796" s="427" t="s">
        <v>795</v>
      </c>
      <c r="J1796" s="415" t="s">
        <v>796</v>
      </c>
      <c r="K1796" s="415" t="s">
        <v>806</v>
      </c>
      <c r="L1796" s="415" t="s">
        <v>798</v>
      </c>
      <c r="M1796" s="415" t="s">
        <v>310</v>
      </c>
      <c r="N1796" s="413">
        <v>44824</v>
      </c>
      <c r="O1796" s="414" t="s">
        <v>404</v>
      </c>
      <c r="P1796" s="655">
        <f t="shared" si="103"/>
        <v>9</v>
      </c>
      <c r="Q1796" s="655">
        <f t="shared" si="104"/>
        <v>7</v>
      </c>
      <c r="R1796" s="695" t="str">
        <f t="shared" si="105"/>
        <v>Gastos_custeados_por_captação</v>
      </c>
      <c r="S1796" s="697" t="s">
        <v>310</v>
      </c>
      <c r="T1796" s="697" t="s">
        <v>310</v>
      </c>
    </row>
    <row r="1797" spans="1:20" ht="60" x14ac:dyDescent="0.2">
      <c r="A1797" s="432">
        <f>IF(B1797="","",COUNT('Diário 1º PA'!$A$4:$A$2635)+COUNT('Diário 2º PA'!$A$4:$A$3040)+ROW()-3)</f>
        <v>5893</v>
      </c>
      <c r="B1797" s="413">
        <v>44824</v>
      </c>
      <c r="C1797" s="431">
        <v>44713</v>
      </c>
      <c r="D1797" s="419" t="s">
        <v>468</v>
      </c>
      <c r="E1797" s="419" t="s">
        <v>468</v>
      </c>
      <c r="F1797" s="425">
        <v>744</v>
      </c>
      <c r="G1797" s="427" t="s">
        <v>8392</v>
      </c>
      <c r="H1797" s="419" t="s">
        <v>468</v>
      </c>
      <c r="I1797" s="427" t="s">
        <v>795</v>
      </c>
      <c r="J1797" s="415" t="s">
        <v>796</v>
      </c>
      <c r="K1797" s="415" t="s">
        <v>806</v>
      </c>
      <c r="L1797" s="415" t="s">
        <v>798</v>
      </c>
      <c r="M1797" s="415" t="s">
        <v>310</v>
      </c>
      <c r="N1797" s="413">
        <v>44824</v>
      </c>
      <c r="O1797" s="414" t="s">
        <v>404</v>
      </c>
      <c r="P1797" s="655">
        <f t="shared" si="103"/>
        <v>9</v>
      </c>
      <c r="Q1797" s="655">
        <f t="shared" si="104"/>
        <v>6</v>
      </c>
      <c r="R1797" s="695" t="str">
        <f t="shared" si="105"/>
        <v>Gastos_custeados_por_captação</v>
      </c>
      <c r="S1797" s="697" t="s">
        <v>310</v>
      </c>
      <c r="T1797" s="697" t="s">
        <v>310</v>
      </c>
    </row>
    <row r="1798" spans="1:20" ht="60" x14ac:dyDescent="0.2">
      <c r="A1798" s="432">
        <f>IF(B1798="","",COUNT('Diário 1º PA'!$A$4:$A$2635)+COUNT('Diário 2º PA'!$A$4:$A$3040)+ROW()-3)</f>
        <v>5894</v>
      </c>
      <c r="B1798" s="413">
        <v>44824</v>
      </c>
      <c r="C1798" s="431">
        <v>44713</v>
      </c>
      <c r="D1798" s="419" t="s">
        <v>468</v>
      </c>
      <c r="E1798" s="419" t="s">
        <v>468</v>
      </c>
      <c r="F1798" s="425">
        <v>818.4</v>
      </c>
      <c r="G1798" s="427" t="s">
        <v>8393</v>
      </c>
      <c r="H1798" s="419" t="s">
        <v>468</v>
      </c>
      <c r="I1798" s="427" t="s">
        <v>795</v>
      </c>
      <c r="J1798" s="415" t="s">
        <v>796</v>
      </c>
      <c r="K1798" s="415" t="s">
        <v>806</v>
      </c>
      <c r="L1798" s="415" t="s">
        <v>798</v>
      </c>
      <c r="M1798" s="415" t="s">
        <v>310</v>
      </c>
      <c r="N1798" s="413">
        <v>44824</v>
      </c>
      <c r="O1798" s="414" t="s">
        <v>404</v>
      </c>
      <c r="P1798" s="655">
        <f t="shared" ref="P1798:P1861" si="106">IF(B1798=0,0,IF(YEAR(B1798)=$Q$1,MONTH(B1798)-$P$1+1,(YEAR(B1798)-$Q$1)*12-$P$1+1+MONTH(B1798)))</f>
        <v>9</v>
      </c>
      <c r="Q1798" s="655">
        <f t="shared" ref="Q1798:Q1861" si="107">IF(C1798=0,0,IF(YEAR(C1798)=$Q$1,MONTH(C1798)-$P$1+1,(YEAR(C1798)-$Q$1)*12-$P$1+1+MONTH(C1798)))</f>
        <v>6</v>
      </c>
      <c r="R1798" s="695" t="str">
        <f t="shared" ref="R1798:R1861" si="108">SUBSTITUTE(D1798," ","_")</f>
        <v>Gastos_custeados_por_captação</v>
      </c>
      <c r="S1798" s="697" t="s">
        <v>310</v>
      </c>
      <c r="T1798" s="697" t="s">
        <v>310</v>
      </c>
    </row>
    <row r="1799" spans="1:20" ht="60" x14ac:dyDescent="0.2">
      <c r="A1799" s="432">
        <f>IF(B1799="","",COUNT('Diário 1º PA'!$A$4:$A$2635)+COUNT('Diário 2º PA'!$A$4:$A$3040)+ROW()-3)</f>
        <v>5895</v>
      </c>
      <c r="B1799" s="413">
        <v>44824</v>
      </c>
      <c r="C1799" s="431">
        <v>44713</v>
      </c>
      <c r="D1799" s="419" t="s">
        <v>468</v>
      </c>
      <c r="E1799" s="419" t="s">
        <v>468</v>
      </c>
      <c r="F1799" s="425">
        <v>818.4</v>
      </c>
      <c r="G1799" s="427" t="s">
        <v>8394</v>
      </c>
      <c r="H1799" s="419" t="s">
        <v>468</v>
      </c>
      <c r="I1799" s="427" t="s">
        <v>795</v>
      </c>
      <c r="J1799" s="415" t="s">
        <v>796</v>
      </c>
      <c r="K1799" s="415" t="s">
        <v>806</v>
      </c>
      <c r="L1799" s="415" t="s">
        <v>798</v>
      </c>
      <c r="M1799" s="415" t="s">
        <v>310</v>
      </c>
      <c r="N1799" s="413">
        <v>44824</v>
      </c>
      <c r="O1799" s="414" t="s">
        <v>404</v>
      </c>
      <c r="P1799" s="655">
        <f t="shared" si="106"/>
        <v>9</v>
      </c>
      <c r="Q1799" s="655">
        <f t="shared" si="107"/>
        <v>6</v>
      </c>
      <c r="R1799" s="695" t="str">
        <f t="shared" si="108"/>
        <v>Gastos_custeados_por_captação</v>
      </c>
      <c r="S1799" s="697" t="s">
        <v>310</v>
      </c>
      <c r="T1799" s="697" t="s">
        <v>310</v>
      </c>
    </row>
    <row r="1800" spans="1:20" ht="60" x14ac:dyDescent="0.2">
      <c r="A1800" s="432">
        <f>IF(B1800="","",COUNT('Diário 1º PA'!$A$4:$A$2635)+COUNT('Diário 2º PA'!$A$4:$A$3040)+ROW()-3)</f>
        <v>5896</v>
      </c>
      <c r="B1800" s="413">
        <v>44824</v>
      </c>
      <c r="C1800" s="431">
        <v>44713</v>
      </c>
      <c r="D1800" s="419" t="s">
        <v>468</v>
      </c>
      <c r="E1800" s="419" t="s">
        <v>468</v>
      </c>
      <c r="F1800" s="425">
        <v>818.4</v>
      </c>
      <c r="G1800" s="427" t="s">
        <v>8395</v>
      </c>
      <c r="H1800" s="419" t="s">
        <v>468</v>
      </c>
      <c r="I1800" s="427" t="s">
        <v>795</v>
      </c>
      <c r="J1800" s="415" t="s">
        <v>796</v>
      </c>
      <c r="K1800" s="415" t="s">
        <v>806</v>
      </c>
      <c r="L1800" s="415" t="s">
        <v>798</v>
      </c>
      <c r="M1800" s="415" t="s">
        <v>310</v>
      </c>
      <c r="N1800" s="413">
        <v>44824</v>
      </c>
      <c r="O1800" s="414" t="s">
        <v>404</v>
      </c>
      <c r="P1800" s="655">
        <f t="shared" si="106"/>
        <v>9</v>
      </c>
      <c r="Q1800" s="655">
        <f t="shared" si="107"/>
        <v>6</v>
      </c>
      <c r="R1800" s="695" t="str">
        <f t="shared" si="108"/>
        <v>Gastos_custeados_por_captação</v>
      </c>
      <c r="S1800" s="697" t="s">
        <v>310</v>
      </c>
      <c r="T1800" s="697" t="s">
        <v>310</v>
      </c>
    </row>
    <row r="1801" spans="1:20" ht="60" x14ac:dyDescent="0.2">
      <c r="A1801" s="432">
        <f>IF(B1801="","",COUNT('Diário 1º PA'!$A$4:$A$2635)+COUNT('Diário 2º PA'!$A$4:$A$3040)+ROW()-3)</f>
        <v>5897</v>
      </c>
      <c r="B1801" s="413">
        <v>44824</v>
      </c>
      <c r="C1801" s="431">
        <v>44713</v>
      </c>
      <c r="D1801" s="419" t="s">
        <v>468</v>
      </c>
      <c r="E1801" s="419" t="s">
        <v>468</v>
      </c>
      <c r="F1801" s="425">
        <v>818.4</v>
      </c>
      <c r="G1801" s="427" t="s">
        <v>8396</v>
      </c>
      <c r="H1801" s="419" t="s">
        <v>468</v>
      </c>
      <c r="I1801" s="427" t="s">
        <v>795</v>
      </c>
      <c r="J1801" s="415" t="s">
        <v>796</v>
      </c>
      <c r="K1801" s="415" t="s">
        <v>806</v>
      </c>
      <c r="L1801" s="415" t="s">
        <v>798</v>
      </c>
      <c r="M1801" s="415" t="s">
        <v>310</v>
      </c>
      <c r="N1801" s="413">
        <v>44824</v>
      </c>
      <c r="O1801" s="414" t="s">
        <v>404</v>
      </c>
      <c r="P1801" s="655">
        <f t="shared" si="106"/>
        <v>9</v>
      </c>
      <c r="Q1801" s="655">
        <f t="shared" si="107"/>
        <v>6</v>
      </c>
      <c r="R1801" s="695" t="str">
        <f t="shared" si="108"/>
        <v>Gastos_custeados_por_captação</v>
      </c>
      <c r="S1801" s="697" t="s">
        <v>310</v>
      </c>
      <c r="T1801" s="697" t="s">
        <v>310</v>
      </c>
    </row>
    <row r="1802" spans="1:20" ht="60" x14ac:dyDescent="0.2">
      <c r="A1802" s="432">
        <f>IF(B1802="","",COUNT('Diário 1º PA'!$A$4:$A$2635)+COUNT('Diário 2º PA'!$A$4:$A$3040)+ROW()-3)</f>
        <v>5898</v>
      </c>
      <c r="B1802" s="413">
        <v>44824</v>
      </c>
      <c r="C1802" s="431">
        <v>44713</v>
      </c>
      <c r="D1802" s="419" t="s">
        <v>468</v>
      </c>
      <c r="E1802" s="419" t="s">
        <v>468</v>
      </c>
      <c r="F1802" s="425">
        <v>818.4</v>
      </c>
      <c r="G1802" s="427" t="s">
        <v>8397</v>
      </c>
      <c r="H1802" s="419" t="s">
        <v>468</v>
      </c>
      <c r="I1802" s="427" t="s">
        <v>795</v>
      </c>
      <c r="J1802" s="415" t="s">
        <v>796</v>
      </c>
      <c r="K1802" s="415" t="s">
        <v>806</v>
      </c>
      <c r="L1802" s="415" t="s">
        <v>798</v>
      </c>
      <c r="M1802" s="415" t="s">
        <v>310</v>
      </c>
      <c r="N1802" s="413">
        <v>44824</v>
      </c>
      <c r="O1802" s="414" t="s">
        <v>404</v>
      </c>
      <c r="P1802" s="655">
        <f t="shared" si="106"/>
        <v>9</v>
      </c>
      <c r="Q1802" s="655">
        <f t="shared" si="107"/>
        <v>6</v>
      </c>
      <c r="R1802" s="695" t="str">
        <f t="shared" si="108"/>
        <v>Gastos_custeados_por_captação</v>
      </c>
      <c r="S1802" s="697" t="s">
        <v>310</v>
      </c>
      <c r="T1802" s="697" t="s">
        <v>310</v>
      </c>
    </row>
    <row r="1803" spans="1:20" ht="60" x14ac:dyDescent="0.2">
      <c r="A1803" s="432">
        <f>IF(B1803="","",COUNT('Diário 1º PA'!$A$4:$A$2635)+COUNT('Diário 2º PA'!$A$4:$A$3040)+ROW()-3)</f>
        <v>5899</v>
      </c>
      <c r="B1803" s="413">
        <v>44824</v>
      </c>
      <c r="C1803" s="431">
        <v>44713</v>
      </c>
      <c r="D1803" s="419" t="s">
        <v>468</v>
      </c>
      <c r="E1803" s="419" t="s">
        <v>468</v>
      </c>
      <c r="F1803" s="425">
        <v>818.4</v>
      </c>
      <c r="G1803" s="427" t="s">
        <v>8398</v>
      </c>
      <c r="H1803" s="419" t="s">
        <v>468</v>
      </c>
      <c r="I1803" s="427" t="s">
        <v>795</v>
      </c>
      <c r="J1803" s="415" t="s">
        <v>796</v>
      </c>
      <c r="K1803" s="415" t="s">
        <v>806</v>
      </c>
      <c r="L1803" s="415" t="s">
        <v>798</v>
      </c>
      <c r="M1803" s="415" t="s">
        <v>310</v>
      </c>
      <c r="N1803" s="413">
        <v>44824</v>
      </c>
      <c r="O1803" s="414" t="s">
        <v>404</v>
      </c>
      <c r="P1803" s="655">
        <f t="shared" si="106"/>
        <v>9</v>
      </c>
      <c r="Q1803" s="655">
        <f t="shared" si="107"/>
        <v>6</v>
      </c>
      <c r="R1803" s="695" t="str">
        <f t="shared" si="108"/>
        <v>Gastos_custeados_por_captação</v>
      </c>
      <c r="S1803" s="697" t="s">
        <v>310</v>
      </c>
      <c r="T1803" s="697" t="s">
        <v>310</v>
      </c>
    </row>
    <row r="1804" spans="1:20" ht="60" x14ac:dyDescent="0.2">
      <c r="A1804" s="432">
        <f>IF(B1804="","",COUNT('Diário 1º PA'!$A$4:$A$2635)+COUNT('Diário 2º PA'!$A$4:$A$3040)+ROW()-3)</f>
        <v>5900</v>
      </c>
      <c r="B1804" s="413">
        <v>44824</v>
      </c>
      <c r="C1804" s="431">
        <v>44713</v>
      </c>
      <c r="D1804" s="419" t="s">
        <v>468</v>
      </c>
      <c r="E1804" s="419" t="s">
        <v>468</v>
      </c>
      <c r="F1804" s="425">
        <v>818.4</v>
      </c>
      <c r="G1804" s="427" t="s">
        <v>8399</v>
      </c>
      <c r="H1804" s="419" t="s">
        <v>468</v>
      </c>
      <c r="I1804" s="427" t="s">
        <v>795</v>
      </c>
      <c r="J1804" s="415" t="s">
        <v>796</v>
      </c>
      <c r="K1804" s="415" t="s">
        <v>806</v>
      </c>
      <c r="L1804" s="415" t="s">
        <v>798</v>
      </c>
      <c r="M1804" s="415" t="s">
        <v>310</v>
      </c>
      <c r="N1804" s="413">
        <v>44824</v>
      </c>
      <c r="O1804" s="414" t="s">
        <v>404</v>
      </c>
      <c r="P1804" s="655">
        <f t="shared" si="106"/>
        <v>9</v>
      </c>
      <c r="Q1804" s="655">
        <f t="shared" si="107"/>
        <v>6</v>
      </c>
      <c r="R1804" s="695" t="str">
        <f t="shared" si="108"/>
        <v>Gastos_custeados_por_captação</v>
      </c>
      <c r="S1804" s="697" t="s">
        <v>310</v>
      </c>
      <c r="T1804" s="697" t="s">
        <v>310</v>
      </c>
    </row>
    <row r="1805" spans="1:20" ht="60" x14ac:dyDescent="0.2">
      <c r="A1805" s="432">
        <f>IF(B1805="","",COUNT('Diário 1º PA'!$A$4:$A$2635)+COUNT('Diário 2º PA'!$A$4:$A$3040)+ROW()-3)</f>
        <v>5901</v>
      </c>
      <c r="B1805" s="413">
        <v>44824</v>
      </c>
      <c r="C1805" s="431">
        <v>44713</v>
      </c>
      <c r="D1805" s="419" t="s">
        <v>468</v>
      </c>
      <c r="E1805" s="419" t="s">
        <v>468</v>
      </c>
      <c r="F1805" s="425">
        <v>818.4</v>
      </c>
      <c r="G1805" s="427" t="s">
        <v>8400</v>
      </c>
      <c r="H1805" s="419" t="s">
        <v>468</v>
      </c>
      <c r="I1805" s="427" t="s">
        <v>795</v>
      </c>
      <c r="J1805" s="415" t="s">
        <v>796</v>
      </c>
      <c r="K1805" s="415" t="s">
        <v>806</v>
      </c>
      <c r="L1805" s="415" t="s">
        <v>798</v>
      </c>
      <c r="M1805" s="415" t="s">
        <v>310</v>
      </c>
      <c r="N1805" s="413">
        <v>44824</v>
      </c>
      <c r="O1805" s="414" t="s">
        <v>404</v>
      </c>
      <c r="P1805" s="655">
        <f t="shared" si="106"/>
        <v>9</v>
      </c>
      <c r="Q1805" s="655">
        <f t="shared" si="107"/>
        <v>6</v>
      </c>
      <c r="R1805" s="695" t="str">
        <f t="shared" si="108"/>
        <v>Gastos_custeados_por_captação</v>
      </c>
      <c r="S1805" s="697" t="s">
        <v>310</v>
      </c>
      <c r="T1805" s="697" t="s">
        <v>310</v>
      </c>
    </row>
    <row r="1806" spans="1:20" ht="60" x14ac:dyDescent="0.2">
      <c r="A1806" s="432">
        <f>IF(B1806="","",COUNT('Diário 1º PA'!$A$4:$A$2635)+COUNT('Diário 2º PA'!$A$4:$A$3040)+ROW()-3)</f>
        <v>5902</v>
      </c>
      <c r="B1806" s="413">
        <v>44824</v>
      </c>
      <c r="C1806" s="431">
        <v>44743</v>
      </c>
      <c r="D1806" s="419" t="s">
        <v>468</v>
      </c>
      <c r="E1806" s="419" t="s">
        <v>468</v>
      </c>
      <c r="F1806" s="425">
        <v>744</v>
      </c>
      <c r="G1806" s="427" t="s">
        <v>8401</v>
      </c>
      <c r="H1806" s="419" t="s">
        <v>468</v>
      </c>
      <c r="I1806" s="427" t="s">
        <v>795</v>
      </c>
      <c r="J1806" s="415" t="s">
        <v>796</v>
      </c>
      <c r="K1806" s="415" t="s">
        <v>806</v>
      </c>
      <c r="L1806" s="415" t="s">
        <v>798</v>
      </c>
      <c r="M1806" s="415" t="s">
        <v>310</v>
      </c>
      <c r="N1806" s="413">
        <v>44824</v>
      </c>
      <c r="O1806" s="414" t="s">
        <v>404</v>
      </c>
      <c r="P1806" s="655">
        <f t="shared" si="106"/>
        <v>9</v>
      </c>
      <c r="Q1806" s="655">
        <f t="shared" si="107"/>
        <v>7</v>
      </c>
      <c r="R1806" s="695" t="str">
        <f t="shared" si="108"/>
        <v>Gastos_custeados_por_captação</v>
      </c>
      <c r="S1806" s="697" t="s">
        <v>310</v>
      </c>
      <c r="T1806" s="697" t="s">
        <v>310</v>
      </c>
    </row>
    <row r="1807" spans="1:20" ht="60" x14ac:dyDescent="0.2">
      <c r="A1807" s="432">
        <f>IF(B1807="","",COUNT('Diário 1º PA'!$A$4:$A$2635)+COUNT('Diário 2º PA'!$A$4:$A$3040)+ROW()-3)</f>
        <v>5903</v>
      </c>
      <c r="B1807" s="413">
        <v>44824</v>
      </c>
      <c r="C1807" s="431">
        <v>44774</v>
      </c>
      <c r="D1807" s="419" t="s">
        <v>468</v>
      </c>
      <c r="E1807" s="419" t="s">
        <v>468</v>
      </c>
      <c r="F1807" s="425">
        <v>372</v>
      </c>
      <c r="G1807" s="427" t="s">
        <v>8402</v>
      </c>
      <c r="H1807" s="419" t="s">
        <v>468</v>
      </c>
      <c r="I1807" s="427" t="s">
        <v>795</v>
      </c>
      <c r="J1807" s="415" t="s">
        <v>796</v>
      </c>
      <c r="K1807" s="415" t="s">
        <v>806</v>
      </c>
      <c r="L1807" s="415" t="s">
        <v>798</v>
      </c>
      <c r="M1807" s="415" t="s">
        <v>310</v>
      </c>
      <c r="N1807" s="413">
        <v>44824</v>
      </c>
      <c r="O1807" s="414" t="s">
        <v>404</v>
      </c>
      <c r="P1807" s="655">
        <f t="shared" si="106"/>
        <v>9</v>
      </c>
      <c r="Q1807" s="655">
        <f t="shared" si="107"/>
        <v>8</v>
      </c>
      <c r="R1807" s="695" t="str">
        <f t="shared" si="108"/>
        <v>Gastos_custeados_por_captação</v>
      </c>
      <c r="S1807" s="697" t="s">
        <v>310</v>
      </c>
      <c r="T1807" s="697" t="s">
        <v>310</v>
      </c>
    </row>
    <row r="1808" spans="1:20" ht="60" x14ac:dyDescent="0.2">
      <c r="A1808" s="432">
        <f>IF(B1808="","",COUNT('Diário 1º PA'!$A$4:$A$2635)+COUNT('Diário 2º PA'!$A$4:$A$3040)+ROW()-3)</f>
        <v>5904</v>
      </c>
      <c r="B1808" s="413">
        <v>44824</v>
      </c>
      <c r="C1808" s="431">
        <v>44743</v>
      </c>
      <c r="D1808" s="419" t="s">
        <v>468</v>
      </c>
      <c r="E1808" s="419" t="s">
        <v>468</v>
      </c>
      <c r="F1808" s="425">
        <v>372</v>
      </c>
      <c r="G1808" s="427" t="s">
        <v>8403</v>
      </c>
      <c r="H1808" s="419" t="s">
        <v>468</v>
      </c>
      <c r="I1808" s="427" t="s">
        <v>795</v>
      </c>
      <c r="J1808" s="415" t="s">
        <v>796</v>
      </c>
      <c r="K1808" s="415" t="s">
        <v>806</v>
      </c>
      <c r="L1808" s="415" t="s">
        <v>798</v>
      </c>
      <c r="M1808" s="415" t="s">
        <v>310</v>
      </c>
      <c r="N1808" s="413">
        <v>44824</v>
      </c>
      <c r="O1808" s="414" t="s">
        <v>404</v>
      </c>
      <c r="P1808" s="655">
        <f t="shared" si="106"/>
        <v>9</v>
      </c>
      <c r="Q1808" s="655">
        <f t="shared" si="107"/>
        <v>7</v>
      </c>
      <c r="R1808" s="695" t="str">
        <f t="shared" si="108"/>
        <v>Gastos_custeados_por_captação</v>
      </c>
      <c r="S1808" s="697" t="s">
        <v>310</v>
      </c>
      <c r="T1808" s="697" t="s">
        <v>310</v>
      </c>
    </row>
    <row r="1809" spans="1:20" ht="60" x14ac:dyDescent="0.2">
      <c r="A1809" s="432">
        <f>IF(B1809="","",COUNT('Diário 1º PA'!$A$4:$A$2635)+COUNT('Diário 2º PA'!$A$4:$A$3040)+ROW()-3)</f>
        <v>5905</v>
      </c>
      <c r="B1809" s="413">
        <v>44824</v>
      </c>
      <c r="C1809" s="431">
        <v>44743</v>
      </c>
      <c r="D1809" s="419" t="s">
        <v>468</v>
      </c>
      <c r="E1809" s="419" t="s">
        <v>468</v>
      </c>
      <c r="F1809" s="425">
        <v>1066.4000000000001</v>
      </c>
      <c r="G1809" s="427" t="s">
        <v>8404</v>
      </c>
      <c r="H1809" s="419" t="s">
        <v>468</v>
      </c>
      <c r="I1809" s="427" t="s">
        <v>795</v>
      </c>
      <c r="J1809" s="415" t="s">
        <v>796</v>
      </c>
      <c r="K1809" s="415" t="s">
        <v>806</v>
      </c>
      <c r="L1809" s="415" t="s">
        <v>798</v>
      </c>
      <c r="M1809" s="415" t="s">
        <v>310</v>
      </c>
      <c r="N1809" s="413">
        <v>44824</v>
      </c>
      <c r="O1809" s="414" t="s">
        <v>404</v>
      </c>
      <c r="P1809" s="655">
        <f t="shared" si="106"/>
        <v>9</v>
      </c>
      <c r="Q1809" s="655">
        <f t="shared" si="107"/>
        <v>7</v>
      </c>
      <c r="R1809" s="695" t="str">
        <f t="shared" si="108"/>
        <v>Gastos_custeados_por_captação</v>
      </c>
      <c r="S1809" s="697" t="s">
        <v>310</v>
      </c>
      <c r="T1809" s="697" t="s">
        <v>310</v>
      </c>
    </row>
    <row r="1810" spans="1:20" ht="60" x14ac:dyDescent="0.2">
      <c r="A1810" s="432">
        <f>IF(B1810="","",COUNT('Diário 1º PA'!$A$4:$A$2635)+COUNT('Diário 2º PA'!$A$4:$A$3040)+ROW()-3)</f>
        <v>5906</v>
      </c>
      <c r="B1810" s="413">
        <v>44824</v>
      </c>
      <c r="C1810" s="431">
        <v>44774</v>
      </c>
      <c r="D1810" s="419" t="s">
        <v>468</v>
      </c>
      <c r="E1810" s="419" t="s">
        <v>468</v>
      </c>
      <c r="F1810" s="422">
        <v>2000</v>
      </c>
      <c r="G1810" s="427" t="s">
        <v>6826</v>
      </c>
      <c r="H1810" s="419" t="s">
        <v>468</v>
      </c>
      <c r="I1810" s="415" t="s">
        <v>7350</v>
      </c>
      <c r="J1810" s="415" t="s">
        <v>6827</v>
      </c>
      <c r="K1810" s="419" t="s">
        <v>806</v>
      </c>
      <c r="L1810" s="415" t="s">
        <v>32</v>
      </c>
      <c r="M1810" s="419" t="s">
        <v>1308</v>
      </c>
      <c r="N1810" s="413">
        <v>44823</v>
      </c>
      <c r="O1810" s="414" t="s">
        <v>404</v>
      </c>
      <c r="P1810" s="655">
        <f t="shared" si="106"/>
        <v>9</v>
      </c>
      <c r="Q1810" s="655">
        <f t="shared" si="107"/>
        <v>8</v>
      </c>
      <c r="R1810" s="695" t="str">
        <f t="shared" si="108"/>
        <v>Gastos_custeados_por_captação</v>
      </c>
      <c r="S1810" s="697" t="s">
        <v>998</v>
      </c>
      <c r="T1810" s="697">
        <v>4282</v>
      </c>
    </row>
    <row r="1811" spans="1:20" ht="60" x14ac:dyDescent="0.2">
      <c r="A1811" s="432">
        <f>IF(B1811="","",COUNT('Diário 1º PA'!$A$4:$A$2635)+COUNT('Diário 2º PA'!$A$4:$A$3040)+ROW()-3)</f>
        <v>5907</v>
      </c>
      <c r="B1811" s="413">
        <v>44824</v>
      </c>
      <c r="C1811" s="431">
        <v>44682</v>
      </c>
      <c r="D1811" s="419" t="s">
        <v>468</v>
      </c>
      <c r="E1811" s="419" t="s">
        <v>468</v>
      </c>
      <c r="F1811" s="422">
        <v>1975.05</v>
      </c>
      <c r="G1811" s="427" t="s">
        <v>6880</v>
      </c>
      <c r="H1811" s="419" t="s">
        <v>468</v>
      </c>
      <c r="I1811" s="639" t="s">
        <v>1461</v>
      </c>
      <c r="J1811" s="418" t="s">
        <v>310</v>
      </c>
      <c r="K1811" s="418" t="s">
        <v>1220</v>
      </c>
      <c r="L1811" s="399" t="s">
        <v>1368</v>
      </c>
      <c r="M1811" s="544" t="s">
        <v>310</v>
      </c>
      <c r="N1811" s="413">
        <v>44824</v>
      </c>
      <c r="O1811" s="414" t="s">
        <v>404</v>
      </c>
      <c r="P1811" s="655">
        <f t="shared" si="106"/>
        <v>9</v>
      </c>
      <c r="Q1811" s="655">
        <f t="shared" si="107"/>
        <v>5</v>
      </c>
      <c r="R1811" s="695" t="str">
        <f t="shared" si="108"/>
        <v>Gastos_custeados_por_captação</v>
      </c>
      <c r="S1811" s="697" t="s">
        <v>310</v>
      </c>
      <c r="T1811" s="697" t="s">
        <v>310</v>
      </c>
    </row>
    <row r="1812" spans="1:20" ht="60" x14ac:dyDescent="0.2">
      <c r="A1812" s="432">
        <f>IF(B1812="","",COUNT('Diário 1º PA'!$A$4:$A$2635)+COUNT('Diário 2º PA'!$A$4:$A$3040)+ROW()-3)</f>
        <v>5908</v>
      </c>
      <c r="B1812" s="413">
        <v>44824</v>
      </c>
      <c r="C1812" s="431">
        <v>44713</v>
      </c>
      <c r="D1812" s="419" t="s">
        <v>468</v>
      </c>
      <c r="E1812" s="419" t="s">
        <v>468</v>
      </c>
      <c r="F1812" s="425">
        <v>33.42</v>
      </c>
      <c r="G1812" s="427" t="s">
        <v>6792</v>
      </c>
      <c r="H1812" s="419" t="s">
        <v>468</v>
      </c>
      <c r="I1812" s="639" t="s">
        <v>1461</v>
      </c>
      <c r="J1812" s="418" t="s">
        <v>310</v>
      </c>
      <c r="K1812" s="418" t="s">
        <v>1220</v>
      </c>
      <c r="L1812" s="399" t="s">
        <v>1368</v>
      </c>
      <c r="M1812" s="544" t="s">
        <v>310</v>
      </c>
      <c r="N1812" s="413">
        <v>44824</v>
      </c>
      <c r="O1812" s="414" t="s">
        <v>404</v>
      </c>
      <c r="P1812" s="655">
        <f t="shared" si="106"/>
        <v>9</v>
      </c>
      <c r="Q1812" s="655">
        <f t="shared" si="107"/>
        <v>6</v>
      </c>
      <c r="R1812" s="695" t="str">
        <f t="shared" si="108"/>
        <v>Gastos_custeados_por_captação</v>
      </c>
      <c r="S1812" s="697" t="s">
        <v>310</v>
      </c>
      <c r="T1812" s="697" t="s">
        <v>310</v>
      </c>
    </row>
    <row r="1813" spans="1:20" ht="60" x14ac:dyDescent="0.2">
      <c r="A1813" s="432">
        <f>IF(B1813="","",COUNT('Diário 1º PA'!$A$4:$A$2635)+COUNT('Diário 2º PA'!$A$4:$A$3040)+ROW()-3)</f>
        <v>5909</v>
      </c>
      <c r="B1813" s="413">
        <v>44824</v>
      </c>
      <c r="C1813" s="431">
        <v>44713</v>
      </c>
      <c r="D1813" s="419" t="s">
        <v>468</v>
      </c>
      <c r="E1813" s="419" t="s">
        <v>468</v>
      </c>
      <c r="F1813" s="425">
        <v>17.399999999999999</v>
      </c>
      <c r="G1813" s="427" t="s">
        <v>6780</v>
      </c>
      <c r="H1813" s="419" t="s">
        <v>468</v>
      </c>
      <c r="I1813" s="639" t="s">
        <v>1461</v>
      </c>
      <c r="J1813" s="418" t="s">
        <v>310</v>
      </c>
      <c r="K1813" s="418" t="s">
        <v>1220</v>
      </c>
      <c r="L1813" s="399" t="s">
        <v>1368</v>
      </c>
      <c r="M1813" s="544" t="s">
        <v>310</v>
      </c>
      <c r="N1813" s="413">
        <v>44824</v>
      </c>
      <c r="O1813" s="414" t="s">
        <v>404</v>
      </c>
      <c r="P1813" s="655">
        <f t="shared" si="106"/>
        <v>9</v>
      </c>
      <c r="Q1813" s="655">
        <f t="shared" si="107"/>
        <v>6</v>
      </c>
      <c r="R1813" s="695" t="str">
        <f t="shared" si="108"/>
        <v>Gastos_custeados_por_captação</v>
      </c>
      <c r="S1813" s="697" t="s">
        <v>310</v>
      </c>
      <c r="T1813" s="697" t="s">
        <v>310</v>
      </c>
    </row>
    <row r="1814" spans="1:20" ht="60" x14ac:dyDescent="0.2">
      <c r="A1814" s="432">
        <f>IF(B1814="","",COUNT('Diário 1º PA'!$A$4:$A$2635)+COUNT('Diário 2º PA'!$A$4:$A$3040)+ROW()-3)</f>
        <v>5910</v>
      </c>
      <c r="B1814" s="413">
        <v>44824</v>
      </c>
      <c r="C1814" s="431">
        <v>44743</v>
      </c>
      <c r="D1814" s="419" t="s">
        <v>468</v>
      </c>
      <c r="E1814" s="419" t="s">
        <v>468</v>
      </c>
      <c r="F1814" s="425">
        <v>108.4</v>
      </c>
      <c r="G1814" s="427" t="s">
        <v>6876</v>
      </c>
      <c r="H1814" s="419" t="s">
        <v>468</v>
      </c>
      <c r="I1814" s="639" t="s">
        <v>1461</v>
      </c>
      <c r="J1814" s="418" t="s">
        <v>310</v>
      </c>
      <c r="K1814" s="418" t="s">
        <v>1220</v>
      </c>
      <c r="L1814" s="399" t="s">
        <v>1368</v>
      </c>
      <c r="M1814" s="544" t="s">
        <v>310</v>
      </c>
      <c r="N1814" s="413">
        <v>44824</v>
      </c>
      <c r="O1814" s="414" t="s">
        <v>404</v>
      </c>
      <c r="P1814" s="655">
        <f t="shared" si="106"/>
        <v>9</v>
      </c>
      <c r="Q1814" s="655">
        <f t="shared" si="107"/>
        <v>7</v>
      </c>
      <c r="R1814" s="695" t="str">
        <f t="shared" si="108"/>
        <v>Gastos_custeados_por_captação</v>
      </c>
      <c r="S1814" s="697" t="s">
        <v>310</v>
      </c>
      <c r="T1814" s="697" t="s">
        <v>310</v>
      </c>
    </row>
    <row r="1815" spans="1:20" ht="60" x14ac:dyDescent="0.2">
      <c r="A1815" s="432">
        <f>IF(B1815="","",COUNT('Diário 1º PA'!$A$4:$A$2635)+COUNT('Diário 2º PA'!$A$4:$A$3040)+ROW()-3)</f>
        <v>5911</v>
      </c>
      <c r="B1815" s="413">
        <v>44824</v>
      </c>
      <c r="C1815" s="431">
        <v>44713</v>
      </c>
      <c r="D1815" s="419" t="s">
        <v>468</v>
      </c>
      <c r="E1815" s="419" t="s">
        <v>468</v>
      </c>
      <c r="F1815" s="422">
        <v>33.42</v>
      </c>
      <c r="G1815" s="427" t="s">
        <v>6790</v>
      </c>
      <c r="H1815" s="419" t="s">
        <v>468</v>
      </c>
      <c r="I1815" s="639" t="s">
        <v>1461</v>
      </c>
      <c r="J1815" s="418" t="s">
        <v>310</v>
      </c>
      <c r="K1815" s="418" t="s">
        <v>1220</v>
      </c>
      <c r="L1815" s="399" t="s">
        <v>1368</v>
      </c>
      <c r="M1815" s="544" t="s">
        <v>310</v>
      </c>
      <c r="N1815" s="413">
        <v>44824</v>
      </c>
      <c r="O1815" s="414" t="s">
        <v>404</v>
      </c>
      <c r="P1815" s="655">
        <f t="shared" si="106"/>
        <v>9</v>
      </c>
      <c r="Q1815" s="655">
        <f t="shared" si="107"/>
        <v>6</v>
      </c>
      <c r="R1815" s="695" t="str">
        <f t="shared" si="108"/>
        <v>Gastos_custeados_por_captação</v>
      </c>
      <c r="S1815" s="697" t="s">
        <v>310</v>
      </c>
      <c r="T1815" s="697" t="s">
        <v>310</v>
      </c>
    </row>
    <row r="1816" spans="1:20" ht="60" x14ac:dyDescent="0.2">
      <c r="A1816" s="432">
        <f>IF(B1816="","",COUNT('Diário 1º PA'!$A$4:$A$2635)+COUNT('Diário 2º PA'!$A$4:$A$3040)+ROW()-3)</f>
        <v>5912</v>
      </c>
      <c r="B1816" s="413">
        <v>44824</v>
      </c>
      <c r="C1816" s="431">
        <v>44743</v>
      </c>
      <c r="D1816" s="419" t="s">
        <v>468</v>
      </c>
      <c r="E1816" s="419" t="s">
        <v>468</v>
      </c>
      <c r="F1816" s="425">
        <v>17.399999999999999</v>
      </c>
      <c r="G1816" s="427" t="s">
        <v>6870</v>
      </c>
      <c r="H1816" s="419" t="s">
        <v>468</v>
      </c>
      <c r="I1816" s="639" t="s">
        <v>1461</v>
      </c>
      <c r="J1816" s="418" t="s">
        <v>310</v>
      </c>
      <c r="K1816" s="418" t="s">
        <v>1220</v>
      </c>
      <c r="L1816" s="399" t="s">
        <v>1368</v>
      </c>
      <c r="M1816" s="544" t="s">
        <v>310</v>
      </c>
      <c r="N1816" s="413">
        <v>44824</v>
      </c>
      <c r="O1816" s="414" t="s">
        <v>404</v>
      </c>
      <c r="P1816" s="655">
        <f t="shared" si="106"/>
        <v>9</v>
      </c>
      <c r="Q1816" s="655">
        <f t="shared" si="107"/>
        <v>7</v>
      </c>
      <c r="R1816" s="695" t="str">
        <f t="shared" si="108"/>
        <v>Gastos_custeados_por_captação</v>
      </c>
      <c r="S1816" s="697" t="s">
        <v>310</v>
      </c>
      <c r="T1816" s="697" t="s">
        <v>310</v>
      </c>
    </row>
    <row r="1817" spans="1:20" ht="60" x14ac:dyDescent="0.2">
      <c r="A1817" s="432">
        <f>IF(B1817="","",COUNT('Diário 1º PA'!$A$4:$A$2635)+COUNT('Diário 2º PA'!$A$4:$A$3040)+ROW()-3)</f>
        <v>5913</v>
      </c>
      <c r="B1817" s="413">
        <v>44824</v>
      </c>
      <c r="C1817" s="431">
        <v>44713</v>
      </c>
      <c r="D1817" s="419" t="s">
        <v>468</v>
      </c>
      <c r="E1817" s="419" t="s">
        <v>468</v>
      </c>
      <c r="F1817" s="425">
        <v>33.42</v>
      </c>
      <c r="G1817" s="427" t="s">
        <v>6799</v>
      </c>
      <c r="H1817" s="419" t="s">
        <v>468</v>
      </c>
      <c r="I1817" s="639" t="s">
        <v>1461</v>
      </c>
      <c r="J1817" s="418" t="s">
        <v>310</v>
      </c>
      <c r="K1817" s="418" t="s">
        <v>1220</v>
      </c>
      <c r="L1817" s="399" t="s">
        <v>1368</v>
      </c>
      <c r="M1817" s="544" t="s">
        <v>310</v>
      </c>
      <c r="N1817" s="413">
        <v>44824</v>
      </c>
      <c r="O1817" s="414" t="s">
        <v>404</v>
      </c>
      <c r="P1817" s="655">
        <f t="shared" si="106"/>
        <v>9</v>
      </c>
      <c r="Q1817" s="655">
        <f t="shared" si="107"/>
        <v>6</v>
      </c>
      <c r="R1817" s="695" t="str">
        <f t="shared" si="108"/>
        <v>Gastos_custeados_por_captação</v>
      </c>
      <c r="S1817" s="697" t="s">
        <v>310</v>
      </c>
      <c r="T1817" s="697" t="s">
        <v>310</v>
      </c>
    </row>
    <row r="1818" spans="1:20" ht="60" x14ac:dyDescent="0.2">
      <c r="A1818" s="432">
        <f>IF(B1818="","",COUNT('Diário 1º PA'!$A$4:$A$2635)+COUNT('Diário 2º PA'!$A$4:$A$3040)+ROW()-3)</f>
        <v>5914</v>
      </c>
      <c r="B1818" s="413">
        <v>44824</v>
      </c>
      <c r="C1818" s="431">
        <v>44713</v>
      </c>
      <c r="D1818" s="419" t="s">
        <v>468</v>
      </c>
      <c r="E1818" s="419" t="s">
        <v>468</v>
      </c>
      <c r="F1818" s="425">
        <v>33.42</v>
      </c>
      <c r="G1818" s="427" t="s">
        <v>6797</v>
      </c>
      <c r="H1818" s="419" t="s">
        <v>468</v>
      </c>
      <c r="I1818" s="639" t="s">
        <v>1461</v>
      </c>
      <c r="J1818" s="418" t="s">
        <v>310</v>
      </c>
      <c r="K1818" s="418" t="s">
        <v>1220</v>
      </c>
      <c r="L1818" s="399" t="s">
        <v>1368</v>
      </c>
      <c r="M1818" s="544" t="s">
        <v>310</v>
      </c>
      <c r="N1818" s="413">
        <v>44824</v>
      </c>
      <c r="O1818" s="414" t="s">
        <v>404</v>
      </c>
      <c r="P1818" s="655">
        <f t="shared" si="106"/>
        <v>9</v>
      </c>
      <c r="Q1818" s="655">
        <f t="shared" si="107"/>
        <v>6</v>
      </c>
      <c r="R1818" s="695" t="str">
        <f t="shared" si="108"/>
        <v>Gastos_custeados_por_captação</v>
      </c>
      <c r="S1818" s="697" t="s">
        <v>310</v>
      </c>
      <c r="T1818" s="697" t="s">
        <v>310</v>
      </c>
    </row>
    <row r="1819" spans="1:20" ht="60" x14ac:dyDescent="0.2">
      <c r="A1819" s="432">
        <f>IF(B1819="","",COUNT('Diário 1º PA'!$A$4:$A$2635)+COUNT('Diário 2º PA'!$A$4:$A$3040)+ROW()-3)</f>
        <v>5915</v>
      </c>
      <c r="B1819" s="413">
        <v>44824</v>
      </c>
      <c r="C1819" s="431">
        <v>44713</v>
      </c>
      <c r="D1819" s="419" t="s">
        <v>468</v>
      </c>
      <c r="E1819" s="419" t="s">
        <v>468</v>
      </c>
      <c r="F1819" s="425">
        <v>33.42</v>
      </c>
      <c r="G1819" s="427" t="s">
        <v>6787</v>
      </c>
      <c r="H1819" s="419" t="s">
        <v>468</v>
      </c>
      <c r="I1819" s="639" t="s">
        <v>1461</v>
      </c>
      <c r="J1819" s="418" t="s">
        <v>310</v>
      </c>
      <c r="K1819" s="418" t="s">
        <v>1220</v>
      </c>
      <c r="L1819" s="399" t="s">
        <v>1368</v>
      </c>
      <c r="M1819" s="544" t="s">
        <v>310</v>
      </c>
      <c r="N1819" s="413">
        <v>44824</v>
      </c>
      <c r="O1819" s="414" t="s">
        <v>404</v>
      </c>
      <c r="P1819" s="655">
        <f t="shared" si="106"/>
        <v>9</v>
      </c>
      <c r="Q1819" s="655">
        <f t="shared" si="107"/>
        <v>6</v>
      </c>
      <c r="R1819" s="695" t="str">
        <f t="shared" si="108"/>
        <v>Gastos_custeados_por_captação</v>
      </c>
      <c r="S1819" s="697" t="s">
        <v>310</v>
      </c>
      <c r="T1819" s="697" t="s">
        <v>310</v>
      </c>
    </row>
    <row r="1820" spans="1:20" ht="60" x14ac:dyDescent="0.2">
      <c r="A1820" s="432">
        <f>IF(B1820="","",COUNT('Diário 1º PA'!$A$4:$A$2635)+COUNT('Diário 2º PA'!$A$4:$A$3040)+ROW()-3)</f>
        <v>5916</v>
      </c>
      <c r="B1820" s="413">
        <v>44824</v>
      </c>
      <c r="C1820" s="431">
        <v>44713</v>
      </c>
      <c r="D1820" s="419" t="s">
        <v>468</v>
      </c>
      <c r="E1820" s="419" t="s">
        <v>468</v>
      </c>
      <c r="F1820" s="425">
        <v>33.42</v>
      </c>
      <c r="G1820" s="427" t="s">
        <v>6801</v>
      </c>
      <c r="H1820" s="419" t="s">
        <v>468</v>
      </c>
      <c r="I1820" s="639" t="s">
        <v>1461</v>
      </c>
      <c r="J1820" s="418" t="s">
        <v>310</v>
      </c>
      <c r="K1820" s="418" t="s">
        <v>1220</v>
      </c>
      <c r="L1820" s="399" t="s">
        <v>1368</v>
      </c>
      <c r="M1820" s="544" t="s">
        <v>310</v>
      </c>
      <c r="N1820" s="413">
        <v>44824</v>
      </c>
      <c r="O1820" s="414" t="s">
        <v>404</v>
      </c>
      <c r="P1820" s="655">
        <f t="shared" si="106"/>
        <v>9</v>
      </c>
      <c r="Q1820" s="655">
        <f t="shared" si="107"/>
        <v>6</v>
      </c>
      <c r="R1820" s="695" t="str">
        <f t="shared" si="108"/>
        <v>Gastos_custeados_por_captação</v>
      </c>
      <c r="S1820" s="697" t="s">
        <v>310</v>
      </c>
      <c r="T1820" s="697" t="s">
        <v>310</v>
      </c>
    </row>
    <row r="1821" spans="1:20" ht="60" x14ac:dyDescent="0.2">
      <c r="A1821" s="432">
        <f>IF(B1821="","",COUNT('Diário 1º PA'!$A$4:$A$2635)+COUNT('Diário 2º PA'!$A$4:$A$3040)+ROW()-3)</f>
        <v>5917</v>
      </c>
      <c r="B1821" s="413">
        <v>44824</v>
      </c>
      <c r="C1821" s="431">
        <v>44713</v>
      </c>
      <c r="D1821" s="419" t="s">
        <v>468</v>
      </c>
      <c r="E1821" s="419" t="s">
        <v>468</v>
      </c>
      <c r="F1821" s="425">
        <v>33.42</v>
      </c>
      <c r="G1821" s="427" t="s">
        <v>6784</v>
      </c>
      <c r="H1821" s="419" t="s">
        <v>468</v>
      </c>
      <c r="I1821" s="639" t="s">
        <v>1461</v>
      </c>
      <c r="J1821" s="418" t="s">
        <v>310</v>
      </c>
      <c r="K1821" s="418" t="s">
        <v>1220</v>
      </c>
      <c r="L1821" s="399" t="s">
        <v>1368</v>
      </c>
      <c r="M1821" s="544" t="s">
        <v>310</v>
      </c>
      <c r="N1821" s="413">
        <v>44824</v>
      </c>
      <c r="O1821" s="414" t="s">
        <v>404</v>
      </c>
      <c r="P1821" s="655">
        <f t="shared" si="106"/>
        <v>9</v>
      </c>
      <c r="Q1821" s="655">
        <f t="shared" si="107"/>
        <v>6</v>
      </c>
      <c r="R1821" s="695" t="str">
        <f t="shared" si="108"/>
        <v>Gastos_custeados_por_captação</v>
      </c>
      <c r="S1821" s="697" t="s">
        <v>310</v>
      </c>
      <c r="T1821" s="697" t="s">
        <v>310</v>
      </c>
    </row>
    <row r="1822" spans="1:20" ht="60" x14ac:dyDescent="0.2">
      <c r="A1822" s="432">
        <f>IF(B1822="","",COUNT('Diário 1º PA'!$A$4:$A$2635)+COUNT('Diário 2º PA'!$A$4:$A$3040)+ROW()-3)</f>
        <v>5918</v>
      </c>
      <c r="B1822" s="413">
        <v>44824</v>
      </c>
      <c r="C1822" s="431">
        <v>44713</v>
      </c>
      <c r="D1822" s="419" t="s">
        <v>468</v>
      </c>
      <c r="E1822" s="419" t="s">
        <v>468</v>
      </c>
      <c r="F1822" s="425">
        <v>33.42</v>
      </c>
      <c r="G1822" s="427" t="s">
        <v>6794</v>
      </c>
      <c r="H1822" s="419" t="s">
        <v>468</v>
      </c>
      <c r="I1822" s="639" t="s">
        <v>1461</v>
      </c>
      <c r="J1822" s="418" t="s">
        <v>310</v>
      </c>
      <c r="K1822" s="418" t="s">
        <v>1220</v>
      </c>
      <c r="L1822" s="399" t="s">
        <v>1368</v>
      </c>
      <c r="M1822" s="544" t="s">
        <v>310</v>
      </c>
      <c r="N1822" s="413">
        <v>44824</v>
      </c>
      <c r="O1822" s="414" t="s">
        <v>404</v>
      </c>
      <c r="P1822" s="655">
        <f t="shared" si="106"/>
        <v>9</v>
      </c>
      <c r="Q1822" s="655">
        <f t="shared" si="107"/>
        <v>6</v>
      </c>
      <c r="R1822" s="695" t="str">
        <f t="shared" si="108"/>
        <v>Gastos_custeados_por_captação</v>
      </c>
      <c r="S1822" s="697" t="s">
        <v>310</v>
      </c>
      <c r="T1822" s="697" t="s">
        <v>310</v>
      </c>
    </row>
    <row r="1823" spans="1:20" ht="60" x14ac:dyDescent="0.2">
      <c r="A1823" s="432">
        <f>IF(B1823="","",COUNT('Diário 1º PA'!$A$4:$A$2635)+COUNT('Diário 2º PA'!$A$4:$A$3040)+ROW()-3)</f>
        <v>5919</v>
      </c>
      <c r="B1823" s="413">
        <v>44824</v>
      </c>
      <c r="C1823" s="431">
        <v>44743</v>
      </c>
      <c r="D1823" s="419" t="s">
        <v>468</v>
      </c>
      <c r="E1823" s="419" t="s">
        <v>468</v>
      </c>
      <c r="F1823" s="425">
        <v>17.399999999999999</v>
      </c>
      <c r="G1823" s="427" t="s">
        <v>6777</v>
      </c>
      <c r="H1823" s="419" t="s">
        <v>468</v>
      </c>
      <c r="I1823" s="639" t="s">
        <v>1461</v>
      </c>
      <c r="J1823" s="418" t="s">
        <v>310</v>
      </c>
      <c r="K1823" s="418" t="s">
        <v>1220</v>
      </c>
      <c r="L1823" s="399" t="s">
        <v>1368</v>
      </c>
      <c r="M1823" s="544" t="s">
        <v>310</v>
      </c>
      <c r="N1823" s="413">
        <v>44824</v>
      </c>
      <c r="O1823" s="414" t="s">
        <v>404</v>
      </c>
      <c r="P1823" s="655">
        <f t="shared" si="106"/>
        <v>9</v>
      </c>
      <c r="Q1823" s="655">
        <f t="shared" si="107"/>
        <v>7</v>
      </c>
      <c r="R1823" s="695" t="str">
        <f t="shared" si="108"/>
        <v>Gastos_custeados_por_captação</v>
      </c>
      <c r="S1823" s="697" t="s">
        <v>310</v>
      </c>
      <c r="T1823" s="697" t="s">
        <v>310</v>
      </c>
    </row>
    <row r="1824" spans="1:20" ht="60" x14ac:dyDescent="0.2">
      <c r="A1824" s="432">
        <f>IF(B1824="","",COUNT('Diário 1º PA'!$A$4:$A$2635)+COUNT('Diário 2º PA'!$A$4:$A$3040)+ROW()-3)</f>
        <v>5920</v>
      </c>
      <c r="B1824" s="413">
        <v>44824</v>
      </c>
      <c r="C1824" s="431">
        <v>44774</v>
      </c>
      <c r="D1824" s="419" t="s">
        <v>468</v>
      </c>
      <c r="E1824" s="419" t="s">
        <v>468</v>
      </c>
      <c r="F1824" s="425">
        <v>108.4</v>
      </c>
      <c r="G1824" s="427" t="s">
        <v>6872</v>
      </c>
      <c r="H1824" s="419" t="s">
        <v>468</v>
      </c>
      <c r="I1824" s="639" t="s">
        <v>1461</v>
      </c>
      <c r="J1824" s="418" t="s">
        <v>310</v>
      </c>
      <c r="K1824" s="418" t="s">
        <v>1220</v>
      </c>
      <c r="L1824" s="399" t="s">
        <v>1368</v>
      </c>
      <c r="M1824" s="544" t="s">
        <v>310</v>
      </c>
      <c r="N1824" s="413">
        <v>44824</v>
      </c>
      <c r="O1824" s="414" t="s">
        <v>404</v>
      </c>
      <c r="P1824" s="655">
        <f t="shared" si="106"/>
        <v>9</v>
      </c>
      <c r="Q1824" s="655">
        <f t="shared" si="107"/>
        <v>8</v>
      </c>
      <c r="R1824" s="695" t="str">
        <f t="shared" si="108"/>
        <v>Gastos_custeados_por_captação</v>
      </c>
      <c r="S1824" s="697" t="s">
        <v>310</v>
      </c>
      <c r="T1824" s="697" t="s">
        <v>310</v>
      </c>
    </row>
    <row r="1825" spans="1:20" ht="60" x14ac:dyDescent="0.2">
      <c r="A1825" s="432">
        <f>IF(B1825="","",COUNT('Diário 1º PA'!$A$4:$A$2635)+COUNT('Diário 2º PA'!$A$4:$A$3040)+ROW()-3)</f>
        <v>5921</v>
      </c>
      <c r="B1825" s="413">
        <v>44824</v>
      </c>
      <c r="C1825" s="431">
        <v>44743</v>
      </c>
      <c r="D1825" s="419" t="s">
        <v>468</v>
      </c>
      <c r="E1825" s="419" t="s">
        <v>468</v>
      </c>
      <c r="F1825" s="425">
        <v>104.44</v>
      </c>
      <c r="G1825" s="427" t="s">
        <v>6888</v>
      </c>
      <c r="H1825" s="419" t="s">
        <v>468</v>
      </c>
      <c r="I1825" s="639" t="s">
        <v>1461</v>
      </c>
      <c r="J1825" s="418" t="s">
        <v>310</v>
      </c>
      <c r="K1825" s="418" t="s">
        <v>1220</v>
      </c>
      <c r="L1825" s="399" t="s">
        <v>1368</v>
      </c>
      <c r="M1825" s="544" t="s">
        <v>310</v>
      </c>
      <c r="N1825" s="413">
        <v>44824</v>
      </c>
      <c r="O1825" s="414" t="s">
        <v>404</v>
      </c>
      <c r="P1825" s="655">
        <f t="shared" si="106"/>
        <v>9</v>
      </c>
      <c r="Q1825" s="655">
        <f t="shared" si="107"/>
        <v>7</v>
      </c>
      <c r="R1825" s="695" t="str">
        <f t="shared" si="108"/>
        <v>Gastos_custeados_por_captação</v>
      </c>
      <c r="S1825" s="697" t="s">
        <v>310</v>
      </c>
      <c r="T1825" s="697" t="s">
        <v>310</v>
      </c>
    </row>
    <row r="1826" spans="1:20" ht="60" x14ac:dyDescent="0.2">
      <c r="A1826" s="432">
        <f>IF(B1826="","",COUNT('Diário 1º PA'!$A$4:$A$2635)+COUNT('Diário 2º PA'!$A$4:$A$3040)+ROW()-3)</f>
        <v>5922</v>
      </c>
      <c r="B1826" s="413">
        <v>44824</v>
      </c>
      <c r="C1826" s="431">
        <v>44743</v>
      </c>
      <c r="D1826" s="419" t="s">
        <v>468</v>
      </c>
      <c r="E1826" s="419" t="s">
        <v>468</v>
      </c>
      <c r="F1826" s="425">
        <v>930</v>
      </c>
      <c r="G1826" s="427" t="s">
        <v>6644</v>
      </c>
      <c r="H1826" s="419" t="s">
        <v>468</v>
      </c>
      <c r="I1826" s="427" t="s">
        <v>1461</v>
      </c>
      <c r="J1826" s="418" t="s">
        <v>310</v>
      </c>
      <c r="K1826" s="418" t="s">
        <v>1220</v>
      </c>
      <c r="L1826" s="399" t="s">
        <v>1368</v>
      </c>
      <c r="M1826" s="544" t="s">
        <v>310</v>
      </c>
      <c r="N1826" s="413">
        <v>44824</v>
      </c>
      <c r="O1826" s="414" t="s">
        <v>405</v>
      </c>
      <c r="P1826" s="655">
        <f t="shared" si="106"/>
        <v>9</v>
      </c>
      <c r="Q1826" s="655">
        <f t="shared" si="107"/>
        <v>7</v>
      </c>
      <c r="R1826" s="695" t="str">
        <f t="shared" si="108"/>
        <v>Gastos_custeados_por_captação</v>
      </c>
      <c r="S1826" s="697" t="s">
        <v>310</v>
      </c>
      <c r="T1826" s="697" t="s">
        <v>310</v>
      </c>
    </row>
    <row r="1827" spans="1:20" ht="60" x14ac:dyDescent="0.2">
      <c r="A1827" s="432">
        <f>IF(B1827="","",COUNT('Diário 1º PA'!$A$4:$A$2635)+COUNT('Diário 2º PA'!$A$4:$A$3040)+ROW()-3)</f>
        <v>5923</v>
      </c>
      <c r="B1827" s="413">
        <v>44824</v>
      </c>
      <c r="C1827" s="431">
        <v>44743</v>
      </c>
      <c r="D1827" s="419" t="s">
        <v>468</v>
      </c>
      <c r="E1827" s="419" t="s">
        <v>468</v>
      </c>
      <c r="F1827" s="422">
        <v>155</v>
      </c>
      <c r="G1827" s="427" t="s">
        <v>7344</v>
      </c>
      <c r="H1827" s="419" t="s">
        <v>468</v>
      </c>
      <c r="I1827" s="427" t="s">
        <v>1461</v>
      </c>
      <c r="J1827" s="418" t="s">
        <v>310</v>
      </c>
      <c r="K1827" s="418" t="s">
        <v>1220</v>
      </c>
      <c r="L1827" s="399" t="s">
        <v>1368</v>
      </c>
      <c r="M1827" s="544" t="s">
        <v>310</v>
      </c>
      <c r="N1827" s="413">
        <v>44824</v>
      </c>
      <c r="O1827" s="414" t="s">
        <v>405</v>
      </c>
      <c r="P1827" s="655">
        <f t="shared" si="106"/>
        <v>9</v>
      </c>
      <c r="Q1827" s="655">
        <f t="shared" si="107"/>
        <v>7</v>
      </c>
      <c r="R1827" s="695" t="str">
        <f t="shared" si="108"/>
        <v>Gastos_custeados_por_captação</v>
      </c>
      <c r="S1827" s="697" t="s">
        <v>310</v>
      </c>
      <c r="T1827" s="697" t="s">
        <v>310</v>
      </c>
    </row>
    <row r="1828" spans="1:20" ht="60" x14ac:dyDescent="0.2">
      <c r="A1828" s="432">
        <f>IF(B1828="","",COUNT('Diário 1º PA'!$A$4:$A$2635)+COUNT('Diário 2º PA'!$A$4:$A$3040)+ROW()-3)</f>
        <v>5924</v>
      </c>
      <c r="B1828" s="413">
        <v>44824</v>
      </c>
      <c r="C1828" s="431">
        <v>44743</v>
      </c>
      <c r="D1828" s="419" t="s">
        <v>468</v>
      </c>
      <c r="E1828" s="419" t="s">
        <v>468</v>
      </c>
      <c r="F1828" s="425">
        <v>155</v>
      </c>
      <c r="G1828" s="427" t="s">
        <v>6649</v>
      </c>
      <c r="H1828" s="419" t="s">
        <v>468</v>
      </c>
      <c r="I1828" s="427" t="s">
        <v>1461</v>
      </c>
      <c r="J1828" s="418" t="s">
        <v>310</v>
      </c>
      <c r="K1828" s="418" t="s">
        <v>1220</v>
      </c>
      <c r="L1828" s="399" t="s">
        <v>1368</v>
      </c>
      <c r="M1828" s="544" t="s">
        <v>310</v>
      </c>
      <c r="N1828" s="413">
        <v>44824</v>
      </c>
      <c r="O1828" s="414" t="s">
        <v>405</v>
      </c>
      <c r="P1828" s="655">
        <f t="shared" si="106"/>
        <v>9</v>
      </c>
      <c r="Q1828" s="655">
        <f t="shared" si="107"/>
        <v>7</v>
      </c>
      <c r="R1828" s="695" t="str">
        <f t="shared" si="108"/>
        <v>Gastos_custeados_por_captação</v>
      </c>
      <c r="S1828" s="697" t="s">
        <v>310</v>
      </c>
      <c r="T1828" s="697" t="s">
        <v>310</v>
      </c>
    </row>
    <row r="1829" spans="1:20" ht="60" x14ac:dyDescent="0.2">
      <c r="A1829" s="432">
        <f>IF(B1829="","",COUNT('Diário 1º PA'!$A$4:$A$2635)+COUNT('Diário 2º PA'!$A$4:$A$3040)+ROW()-3)</f>
        <v>5925</v>
      </c>
      <c r="B1829" s="413">
        <v>44824</v>
      </c>
      <c r="C1829" s="431">
        <v>44743</v>
      </c>
      <c r="D1829" s="419" t="s">
        <v>468</v>
      </c>
      <c r="E1829" s="419" t="s">
        <v>468</v>
      </c>
      <c r="F1829" s="425">
        <v>155</v>
      </c>
      <c r="G1829" s="427" t="s">
        <v>6651</v>
      </c>
      <c r="H1829" s="419" t="s">
        <v>468</v>
      </c>
      <c r="I1829" s="427" t="s">
        <v>1461</v>
      </c>
      <c r="J1829" s="418" t="s">
        <v>310</v>
      </c>
      <c r="K1829" s="418" t="s">
        <v>1220</v>
      </c>
      <c r="L1829" s="399" t="s">
        <v>1368</v>
      </c>
      <c r="M1829" s="544" t="s">
        <v>310</v>
      </c>
      <c r="N1829" s="413">
        <v>44824</v>
      </c>
      <c r="O1829" s="414" t="s">
        <v>405</v>
      </c>
      <c r="P1829" s="655">
        <f t="shared" si="106"/>
        <v>9</v>
      </c>
      <c r="Q1829" s="655">
        <f t="shared" si="107"/>
        <v>7</v>
      </c>
      <c r="R1829" s="695" t="str">
        <f t="shared" si="108"/>
        <v>Gastos_custeados_por_captação</v>
      </c>
      <c r="S1829" s="697" t="s">
        <v>310</v>
      </c>
      <c r="T1829" s="697" t="s">
        <v>310</v>
      </c>
    </row>
    <row r="1830" spans="1:20" ht="60" x14ac:dyDescent="0.2">
      <c r="A1830" s="432">
        <f>IF(B1830="","",COUNT('Diário 1º PA'!$A$4:$A$2635)+COUNT('Diário 2º PA'!$A$4:$A$3040)+ROW()-3)</f>
        <v>5926</v>
      </c>
      <c r="B1830" s="413">
        <v>44824</v>
      </c>
      <c r="C1830" s="431">
        <v>44743</v>
      </c>
      <c r="D1830" s="419" t="s">
        <v>468</v>
      </c>
      <c r="E1830" s="419" t="s">
        <v>468</v>
      </c>
      <c r="F1830" s="425">
        <v>155</v>
      </c>
      <c r="G1830" s="427" t="s">
        <v>6657</v>
      </c>
      <c r="H1830" s="419" t="s">
        <v>468</v>
      </c>
      <c r="I1830" s="427" t="s">
        <v>1461</v>
      </c>
      <c r="J1830" s="418" t="s">
        <v>310</v>
      </c>
      <c r="K1830" s="418" t="s">
        <v>1220</v>
      </c>
      <c r="L1830" s="399" t="s">
        <v>1368</v>
      </c>
      <c r="M1830" s="544" t="s">
        <v>310</v>
      </c>
      <c r="N1830" s="413">
        <v>44824</v>
      </c>
      <c r="O1830" s="414" t="s">
        <v>405</v>
      </c>
      <c r="P1830" s="655">
        <f t="shared" si="106"/>
        <v>9</v>
      </c>
      <c r="Q1830" s="655">
        <f t="shared" si="107"/>
        <v>7</v>
      </c>
      <c r="R1830" s="695" t="str">
        <f t="shared" si="108"/>
        <v>Gastos_custeados_por_captação</v>
      </c>
      <c r="S1830" s="697" t="s">
        <v>310</v>
      </c>
      <c r="T1830" s="697" t="s">
        <v>310</v>
      </c>
    </row>
    <row r="1831" spans="1:20" ht="60" x14ac:dyDescent="0.2">
      <c r="A1831" s="432">
        <f>IF(B1831="","",COUNT('Diário 1º PA'!$A$4:$A$2635)+COUNT('Diário 2º PA'!$A$4:$A$3040)+ROW()-3)</f>
        <v>5927</v>
      </c>
      <c r="B1831" s="413">
        <v>44824</v>
      </c>
      <c r="C1831" s="431">
        <v>44743</v>
      </c>
      <c r="D1831" s="419" t="s">
        <v>468</v>
      </c>
      <c r="E1831" s="419" t="s">
        <v>468</v>
      </c>
      <c r="F1831" s="425">
        <v>852.5</v>
      </c>
      <c r="G1831" s="427" t="s">
        <v>6660</v>
      </c>
      <c r="H1831" s="419" t="s">
        <v>468</v>
      </c>
      <c r="I1831" s="427" t="s">
        <v>1461</v>
      </c>
      <c r="J1831" s="418" t="s">
        <v>310</v>
      </c>
      <c r="K1831" s="418" t="s">
        <v>1220</v>
      </c>
      <c r="L1831" s="399" t="s">
        <v>1368</v>
      </c>
      <c r="M1831" s="544" t="s">
        <v>310</v>
      </c>
      <c r="N1831" s="413">
        <v>44824</v>
      </c>
      <c r="O1831" s="414" t="s">
        <v>405</v>
      </c>
      <c r="P1831" s="655">
        <f t="shared" si="106"/>
        <v>9</v>
      </c>
      <c r="Q1831" s="655">
        <f t="shared" si="107"/>
        <v>7</v>
      </c>
      <c r="R1831" s="695" t="str">
        <f t="shared" si="108"/>
        <v>Gastos_custeados_por_captação</v>
      </c>
      <c r="S1831" s="697" t="s">
        <v>310</v>
      </c>
      <c r="T1831" s="697" t="s">
        <v>310</v>
      </c>
    </row>
    <row r="1832" spans="1:20" ht="60" x14ac:dyDescent="0.2">
      <c r="A1832" s="432">
        <f>IF(B1832="","",COUNT('Diário 1º PA'!$A$4:$A$2635)+COUNT('Diário 2º PA'!$A$4:$A$3040)+ROW()-3)</f>
        <v>5928</v>
      </c>
      <c r="B1832" s="413">
        <v>44824</v>
      </c>
      <c r="C1832" s="431">
        <v>44774</v>
      </c>
      <c r="D1832" s="419" t="s">
        <v>468</v>
      </c>
      <c r="E1832" s="419" t="s">
        <v>468</v>
      </c>
      <c r="F1832" s="425">
        <v>516.77</v>
      </c>
      <c r="G1832" s="427" t="s">
        <v>6665</v>
      </c>
      <c r="H1832" s="419" t="s">
        <v>468</v>
      </c>
      <c r="I1832" s="427" t="s">
        <v>1461</v>
      </c>
      <c r="J1832" s="418" t="s">
        <v>310</v>
      </c>
      <c r="K1832" s="418" t="s">
        <v>1220</v>
      </c>
      <c r="L1832" s="399" t="s">
        <v>1368</v>
      </c>
      <c r="M1832" s="544" t="s">
        <v>310</v>
      </c>
      <c r="N1832" s="413">
        <v>44824</v>
      </c>
      <c r="O1832" s="414" t="s">
        <v>405</v>
      </c>
      <c r="P1832" s="655">
        <f t="shared" si="106"/>
        <v>9</v>
      </c>
      <c r="Q1832" s="655">
        <f t="shared" si="107"/>
        <v>8</v>
      </c>
      <c r="R1832" s="695" t="str">
        <f t="shared" si="108"/>
        <v>Gastos_custeados_por_captação</v>
      </c>
      <c r="S1832" s="697" t="s">
        <v>310</v>
      </c>
      <c r="T1832" s="697" t="s">
        <v>310</v>
      </c>
    </row>
    <row r="1833" spans="1:20" ht="60" x14ac:dyDescent="0.2">
      <c r="A1833" s="432">
        <f>IF(B1833="","",COUNT('Diário 1º PA'!$A$4:$A$2635)+COUNT('Diário 2º PA'!$A$4:$A$3040)+ROW()-3)</f>
        <v>5929</v>
      </c>
      <c r="B1833" s="413">
        <v>44824</v>
      </c>
      <c r="C1833" s="431">
        <v>44743</v>
      </c>
      <c r="D1833" s="419" t="s">
        <v>468</v>
      </c>
      <c r="E1833" s="419" t="s">
        <v>468</v>
      </c>
      <c r="F1833" s="425">
        <v>155</v>
      </c>
      <c r="G1833" s="427" t="s">
        <v>6671</v>
      </c>
      <c r="H1833" s="419" t="s">
        <v>468</v>
      </c>
      <c r="I1833" s="427" t="s">
        <v>1461</v>
      </c>
      <c r="J1833" s="418" t="s">
        <v>310</v>
      </c>
      <c r="K1833" s="418" t="s">
        <v>1220</v>
      </c>
      <c r="L1833" s="399" t="s">
        <v>1368</v>
      </c>
      <c r="M1833" s="544" t="s">
        <v>310</v>
      </c>
      <c r="N1833" s="413">
        <v>44824</v>
      </c>
      <c r="O1833" s="414" t="s">
        <v>405</v>
      </c>
      <c r="P1833" s="655">
        <f t="shared" si="106"/>
        <v>9</v>
      </c>
      <c r="Q1833" s="655">
        <f t="shared" si="107"/>
        <v>7</v>
      </c>
      <c r="R1833" s="695" t="str">
        <f t="shared" si="108"/>
        <v>Gastos_custeados_por_captação</v>
      </c>
      <c r="S1833" s="697" t="s">
        <v>310</v>
      </c>
      <c r="T1833" s="697" t="s">
        <v>310</v>
      </c>
    </row>
    <row r="1834" spans="1:20" ht="60" x14ac:dyDescent="0.2">
      <c r="A1834" s="432">
        <f>IF(B1834="","",COUNT('Diário 1º PA'!$A$4:$A$2635)+COUNT('Diário 2º PA'!$A$4:$A$3040)+ROW()-3)</f>
        <v>5930</v>
      </c>
      <c r="B1834" s="413">
        <v>44824</v>
      </c>
      <c r="C1834" s="431">
        <v>44743</v>
      </c>
      <c r="D1834" s="419" t="s">
        <v>468</v>
      </c>
      <c r="E1834" s="419" t="s">
        <v>468</v>
      </c>
      <c r="F1834" s="425">
        <v>155</v>
      </c>
      <c r="G1834" s="427" t="s">
        <v>6668</v>
      </c>
      <c r="H1834" s="419" t="s">
        <v>468</v>
      </c>
      <c r="I1834" s="427" t="s">
        <v>1461</v>
      </c>
      <c r="J1834" s="418" t="s">
        <v>310</v>
      </c>
      <c r="K1834" s="418" t="s">
        <v>1220</v>
      </c>
      <c r="L1834" s="399" t="s">
        <v>1368</v>
      </c>
      <c r="M1834" s="544" t="s">
        <v>310</v>
      </c>
      <c r="N1834" s="413">
        <v>44824</v>
      </c>
      <c r="O1834" s="414" t="s">
        <v>405</v>
      </c>
      <c r="P1834" s="655">
        <f t="shared" si="106"/>
        <v>9</v>
      </c>
      <c r="Q1834" s="655">
        <f t="shared" si="107"/>
        <v>7</v>
      </c>
      <c r="R1834" s="695" t="str">
        <f t="shared" si="108"/>
        <v>Gastos_custeados_por_captação</v>
      </c>
      <c r="S1834" s="697" t="s">
        <v>310</v>
      </c>
      <c r="T1834" s="697" t="s">
        <v>310</v>
      </c>
    </row>
    <row r="1835" spans="1:20" ht="60" x14ac:dyDescent="0.2">
      <c r="A1835" s="432">
        <f>IF(B1835="","",COUNT('Diário 1º PA'!$A$4:$A$2635)+COUNT('Diário 2º PA'!$A$4:$A$3040)+ROW()-3)</f>
        <v>5931</v>
      </c>
      <c r="B1835" s="413">
        <v>44824</v>
      </c>
      <c r="C1835" s="431">
        <v>44743</v>
      </c>
      <c r="D1835" s="419" t="s">
        <v>468</v>
      </c>
      <c r="E1835" s="419" t="s">
        <v>468</v>
      </c>
      <c r="F1835" s="425">
        <v>57.45</v>
      </c>
      <c r="G1835" s="427" t="s">
        <v>6643</v>
      </c>
      <c r="H1835" s="419" t="s">
        <v>468</v>
      </c>
      <c r="I1835" s="427" t="s">
        <v>1461</v>
      </c>
      <c r="J1835" s="418" t="s">
        <v>310</v>
      </c>
      <c r="K1835" s="418" t="s">
        <v>1220</v>
      </c>
      <c r="L1835" s="399" t="s">
        <v>1368</v>
      </c>
      <c r="M1835" s="544" t="s">
        <v>310</v>
      </c>
      <c r="N1835" s="413">
        <v>44824</v>
      </c>
      <c r="O1835" s="414" t="s">
        <v>405</v>
      </c>
      <c r="P1835" s="655">
        <f t="shared" si="106"/>
        <v>9</v>
      </c>
      <c r="Q1835" s="655">
        <f t="shared" si="107"/>
        <v>7</v>
      </c>
      <c r="R1835" s="695" t="str">
        <f t="shared" si="108"/>
        <v>Gastos_custeados_por_captação</v>
      </c>
      <c r="S1835" s="697" t="s">
        <v>310</v>
      </c>
      <c r="T1835" s="697" t="s">
        <v>310</v>
      </c>
    </row>
    <row r="1836" spans="1:20" ht="60" x14ac:dyDescent="0.2">
      <c r="A1836" s="432">
        <f>IF(B1836="","",COUNT('Diário 1º PA'!$A$4:$A$2635)+COUNT('Diário 2º PA'!$A$4:$A$3040)+ROW()-3)</f>
        <v>5932</v>
      </c>
      <c r="B1836" s="413">
        <v>44824</v>
      </c>
      <c r="C1836" s="431">
        <v>44743</v>
      </c>
      <c r="D1836" s="419" t="s">
        <v>468</v>
      </c>
      <c r="E1836" s="419" t="s">
        <v>468</v>
      </c>
      <c r="F1836" s="425">
        <v>40.76</v>
      </c>
      <c r="G1836" s="427" t="s">
        <v>6659</v>
      </c>
      <c r="H1836" s="419" t="s">
        <v>468</v>
      </c>
      <c r="I1836" s="427" t="s">
        <v>1461</v>
      </c>
      <c r="J1836" s="418" t="s">
        <v>310</v>
      </c>
      <c r="K1836" s="418" t="s">
        <v>1220</v>
      </c>
      <c r="L1836" s="399" t="s">
        <v>1368</v>
      </c>
      <c r="M1836" s="544" t="s">
        <v>310</v>
      </c>
      <c r="N1836" s="413">
        <v>44824</v>
      </c>
      <c r="O1836" s="414" t="s">
        <v>405</v>
      </c>
      <c r="P1836" s="655">
        <f t="shared" si="106"/>
        <v>9</v>
      </c>
      <c r="Q1836" s="655">
        <f t="shared" si="107"/>
        <v>7</v>
      </c>
      <c r="R1836" s="695" t="str">
        <f t="shared" si="108"/>
        <v>Gastos_custeados_por_captação</v>
      </c>
      <c r="S1836" s="697" t="s">
        <v>310</v>
      </c>
      <c r="T1836" s="697" t="s">
        <v>310</v>
      </c>
    </row>
    <row r="1837" spans="1:20" ht="48" x14ac:dyDescent="0.2">
      <c r="A1837" s="432">
        <f>IF(B1837="","",COUNT('Diário 1º PA'!$A$4:$A$2635)+COUNT('Diário 2º PA'!$A$4:$A$3040)+ROW()-3)</f>
        <v>5933</v>
      </c>
      <c r="B1837" s="413">
        <v>44824</v>
      </c>
      <c r="C1837" s="431">
        <v>44774</v>
      </c>
      <c r="D1837" s="419" t="s">
        <v>468</v>
      </c>
      <c r="E1837" s="419" t="s">
        <v>468</v>
      </c>
      <c r="F1837" s="422">
        <v>-243.1</v>
      </c>
      <c r="G1837" s="419" t="s">
        <v>7302</v>
      </c>
      <c r="H1837" s="419" t="s">
        <v>468</v>
      </c>
      <c r="I1837" s="437" t="s">
        <v>2437</v>
      </c>
      <c r="J1837" s="434" t="s">
        <v>796</v>
      </c>
      <c r="K1837" s="419" t="s">
        <v>806</v>
      </c>
      <c r="L1837" s="399" t="s">
        <v>798</v>
      </c>
      <c r="M1837" s="544" t="s">
        <v>310</v>
      </c>
      <c r="N1837" s="413">
        <v>44824</v>
      </c>
      <c r="O1837" s="414" t="s">
        <v>3762</v>
      </c>
      <c r="P1837" s="655">
        <f t="shared" si="106"/>
        <v>9</v>
      </c>
      <c r="Q1837" s="655">
        <f t="shared" si="107"/>
        <v>8</v>
      </c>
      <c r="R1837" s="695" t="str">
        <f t="shared" si="108"/>
        <v>Gastos_custeados_por_captação</v>
      </c>
      <c r="S1837" s="697" t="s">
        <v>310</v>
      </c>
      <c r="T1837" s="697" t="s">
        <v>310</v>
      </c>
    </row>
    <row r="1838" spans="1:20" ht="48" x14ac:dyDescent="0.2">
      <c r="A1838" s="432">
        <f>IF(B1838="","",COUNT('Diário 1º PA'!$A$4:$A$2635)+COUNT('Diário 2º PA'!$A$4:$A$3040)+ROW()-3)</f>
        <v>5934</v>
      </c>
      <c r="B1838" s="413">
        <v>44824</v>
      </c>
      <c r="C1838" s="431">
        <v>44743</v>
      </c>
      <c r="D1838" s="419" t="s">
        <v>468</v>
      </c>
      <c r="E1838" s="419" t="s">
        <v>468</v>
      </c>
      <c r="F1838" s="425">
        <v>620</v>
      </c>
      <c r="G1838" s="427" t="s">
        <v>8481</v>
      </c>
      <c r="H1838" s="419" t="s">
        <v>468</v>
      </c>
      <c r="I1838" s="474" t="s">
        <v>2437</v>
      </c>
      <c r="J1838" s="434" t="s">
        <v>796</v>
      </c>
      <c r="K1838" s="434" t="s">
        <v>806</v>
      </c>
      <c r="L1838" s="434" t="s">
        <v>798</v>
      </c>
      <c r="M1838" s="436" t="s">
        <v>310</v>
      </c>
      <c r="N1838" s="413">
        <v>44824</v>
      </c>
      <c r="O1838" s="414" t="s">
        <v>3762</v>
      </c>
      <c r="P1838" s="655">
        <f t="shared" si="106"/>
        <v>9</v>
      </c>
      <c r="Q1838" s="655">
        <f t="shared" si="107"/>
        <v>7</v>
      </c>
      <c r="R1838" s="695" t="str">
        <f t="shared" si="108"/>
        <v>Gastos_custeados_por_captação</v>
      </c>
      <c r="S1838" s="697" t="s">
        <v>310</v>
      </c>
      <c r="T1838" s="697" t="s">
        <v>310</v>
      </c>
    </row>
    <row r="1839" spans="1:20" ht="48" x14ac:dyDescent="0.2">
      <c r="A1839" s="432">
        <f>IF(B1839="","",COUNT('Diário 1º PA'!$A$4:$A$2635)+COUNT('Diário 2º PA'!$A$4:$A$3040)+ROW()-3)</f>
        <v>5935</v>
      </c>
      <c r="B1839" s="413">
        <v>44824</v>
      </c>
      <c r="C1839" s="431">
        <v>44743</v>
      </c>
      <c r="D1839" s="419" t="s">
        <v>468</v>
      </c>
      <c r="E1839" s="419" t="s">
        <v>468</v>
      </c>
      <c r="F1839" s="425">
        <v>310</v>
      </c>
      <c r="G1839" s="427" t="s">
        <v>8482</v>
      </c>
      <c r="H1839" s="419" t="s">
        <v>468</v>
      </c>
      <c r="I1839" s="474" t="s">
        <v>2437</v>
      </c>
      <c r="J1839" s="434" t="s">
        <v>796</v>
      </c>
      <c r="K1839" s="434" t="s">
        <v>806</v>
      </c>
      <c r="L1839" s="434" t="s">
        <v>798</v>
      </c>
      <c r="M1839" s="436" t="s">
        <v>310</v>
      </c>
      <c r="N1839" s="413">
        <v>44824</v>
      </c>
      <c r="O1839" s="414" t="s">
        <v>3762</v>
      </c>
      <c r="P1839" s="655">
        <f t="shared" si="106"/>
        <v>9</v>
      </c>
      <c r="Q1839" s="655">
        <f t="shared" si="107"/>
        <v>7</v>
      </c>
      <c r="R1839" s="695" t="str">
        <f t="shared" si="108"/>
        <v>Gastos_custeados_por_captação</v>
      </c>
      <c r="S1839" s="697" t="s">
        <v>310</v>
      </c>
      <c r="T1839" s="697" t="s">
        <v>310</v>
      </c>
    </row>
    <row r="1840" spans="1:20" ht="48" x14ac:dyDescent="0.2">
      <c r="A1840" s="432">
        <f>IF(B1840="","",COUNT('Diário 1º PA'!$A$4:$A$2635)+COUNT('Diário 2º PA'!$A$4:$A$3040)+ROW()-3)</f>
        <v>5936</v>
      </c>
      <c r="B1840" s="413">
        <v>44824</v>
      </c>
      <c r="C1840" s="431">
        <v>44743</v>
      </c>
      <c r="D1840" s="419" t="s">
        <v>468</v>
      </c>
      <c r="E1840" s="419" t="s">
        <v>468</v>
      </c>
      <c r="F1840" s="425">
        <v>992</v>
      </c>
      <c r="G1840" s="427" t="s">
        <v>8483</v>
      </c>
      <c r="H1840" s="419" t="s">
        <v>468</v>
      </c>
      <c r="I1840" s="474" t="s">
        <v>2437</v>
      </c>
      <c r="J1840" s="434" t="s">
        <v>796</v>
      </c>
      <c r="K1840" s="434" t="s">
        <v>806</v>
      </c>
      <c r="L1840" s="434" t="s">
        <v>798</v>
      </c>
      <c r="M1840" s="436" t="s">
        <v>310</v>
      </c>
      <c r="N1840" s="413">
        <v>44824</v>
      </c>
      <c r="O1840" s="414" t="s">
        <v>3762</v>
      </c>
      <c r="P1840" s="655">
        <f t="shared" si="106"/>
        <v>9</v>
      </c>
      <c r="Q1840" s="655">
        <f t="shared" si="107"/>
        <v>7</v>
      </c>
      <c r="R1840" s="695" t="str">
        <f t="shared" si="108"/>
        <v>Gastos_custeados_por_captação</v>
      </c>
      <c r="S1840" s="697" t="s">
        <v>310</v>
      </c>
      <c r="T1840" s="697" t="s">
        <v>310</v>
      </c>
    </row>
    <row r="1841" spans="1:20" ht="48" x14ac:dyDescent="0.2">
      <c r="A1841" s="432">
        <f>IF(B1841="","",COUNT('Diário 1º PA'!$A$4:$A$2635)+COUNT('Diário 2º PA'!$A$4:$A$3040)+ROW()-3)</f>
        <v>5937</v>
      </c>
      <c r="B1841" s="413">
        <v>44824</v>
      </c>
      <c r="C1841" s="431">
        <v>44743</v>
      </c>
      <c r="D1841" s="419" t="s">
        <v>468</v>
      </c>
      <c r="E1841" s="419" t="s">
        <v>468</v>
      </c>
      <c r="F1841" s="425">
        <v>992</v>
      </c>
      <c r="G1841" s="427" t="s">
        <v>8484</v>
      </c>
      <c r="H1841" s="419" t="s">
        <v>468</v>
      </c>
      <c r="I1841" s="474" t="s">
        <v>2437</v>
      </c>
      <c r="J1841" s="434" t="s">
        <v>796</v>
      </c>
      <c r="K1841" s="434" t="s">
        <v>806</v>
      </c>
      <c r="L1841" s="434" t="s">
        <v>798</v>
      </c>
      <c r="M1841" s="436" t="s">
        <v>310</v>
      </c>
      <c r="N1841" s="413">
        <v>44824</v>
      </c>
      <c r="O1841" s="414" t="s">
        <v>3762</v>
      </c>
      <c r="P1841" s="655">
        <f t="shared" si="106"/>
        <v>9</v>
      </c>
      <c r="Q1841" s="655">
        <f t="shared" si="107"/>
        <v>7</v>
      </c>
      <c r="R1841" s="695" t="str">
        <f t="shared" si="108"/>
        <v>Gastos_custeados_por_captação</v>
      </c>
      <c r="S1841" s="697" t="s">
        <v>310</v>
      </c>
      <c r="T1841" s="697" t="s">
        <v>310</v>
      </c>
    </row>
    <row r="1842" spans="1:20" ht="48" x14ac:dyDescent="0.2">
      <c r="A1842" s="432">
        <f>IF(B1842="","",COUNT('Diário 1º PA'!$A$4:$A$2635)+COUNT('Diário 2º PA'!$A$4:$A$3040)+ROW()-3)</f>
        <v>5938</v>
      </c>
      <c r="B1842" s="413">
        <v>44824</v>
      </c>
      <c r="C1842" s="431">
        <v>44743</v>
      </c>
      <c r="D1842" s="419" t="s">
        <v>468</v>
      </c>
      <c r="E1842" s="419" t="s">
        <v>468</v>
      </c>
      <c r="F1842" s="425">
        <v>992</v>
      </c>
      <c r="G1842" s="427" t="s">
        <v>8485</v>
      </c>
      <c r="H1842" s="419" t="s">
        <v>468</v>
      </c>
      <c r="I1842" s="474" t="s">
        <v>2437</v>
      </c>
      <c r="J1842" s="434" t="s">
        <v>796</v>
      </c>
      <c r="K1842" s="434" t="s">
        <v>806</v>
      </c>
      <c r="L1842" s="434" t="s">
        <v>798</v>
      </c>
      <c r="M1842" s="436" t="s">
        <v>310</v>
      </c>
      <c r="N1842" s="413">
        <v>44824</v>
      </c>
      <c r="O1842" s="414" t="s">
        <v>3762</v>
      </c>
      <c r="P1842" s="655">
        <f t="shared" si="106"/>
        <v>9</v>
      </c>
      <c r="Q1842" s="655">
        <f t="shared" si="107"/>
        <v>7</v>
      </c>
      <c r="R1842" s="695" t="str">
        <f t="shared" si="108"/>
        <v>Gastos_custeados_por_captação</v>
      </c>
      <c r="S1842" s="697" t="s">
        <v>310</v>
      </c>
      <c r="T1842" s="697" t="s">
        <v>310</v>
      </c>
    </row>
    <row r="1843" spans="1:20" ht="48" x14ac:dyDescent="0.2">
      <c r="A1843" s="432">
        <f>IF(B1843="","",COUNT('Diário 1º PA'!$A$4:$A$2635)+COUNT('Diário 2º PA'!$A$4:$A$3040)+ROW()-3)</f>
        <v>5939</v>
      </c>
      <c r="B1843" s="413">
        <v>44824</v>
      </c>
      <c r="C1843" s="431">
        <v>44743</v>
      </c>
      <c r="D1843" s="419" t="s">
        <v>468</v>
      </c>
      <c r="E1843" s="419" t="s">
        <v>468</v>
      </c>
      <c r="F1843" s="422">
        <v>25.58</v>
      </c>
      <c r="G1843" s="427" t="s">
        <v>6515</v>
      </c>
      <c r="H1843" s="419" t="s">
        <v>468</v>
      </c>
      <c r="I1843" s="427" t="s">
        <v>1461</v>
      </c>
      <c r="J1843" s="415" t="s">
        <v>310</v>
      </c>
      <c r="K1843" s="415" t="s">
        <v>1220</v>
      </c>
      <c r="L1843" s="415" t="s">
        <v>1368</v>
      </c>
      <c r="M1843" s="415" t="s">
        <v>310</v>
      </c>
      <c r="N1843" s="413">
        <v>44824</v>
      </c>
      <c r="O1843" s="414" t="s">
        <v>3762</v>
      </c>
      <c r="P1843" s="655">
        <f t="shared" si="106"/>
        <v>9</v>
      </c>
      <c r="Q1843" s="655">
        <f t="shared" si="107"/>
        <v>7</v>
      </c>
      <c r="R1843" s="695" t="str">
        <f t="shared" si="108"/>
        <v>Gastos_custeados_por_captação</v>
      </c>
      <c r="S1843" s="697" t="s">
        <v>310</v>
      </c>
      <c r="T1843" s="697" t="s">
        <v>310</v>
      </c>
    </row>
    <row r="1844" spans="1:20" ht="48" x14ac:dyDescent="0.2">
      <c r="A1844" s="432">
        <f>IF(B1844="","",COUNT('Diário 1º PA'!$A$4:$A$2635)+COUNT('Diário 2º PA'!$A$4:$A$3040)+ROW()-3)</f>
        <v>5940</v>
      </c>
      <c r="B1844" s="413">
        <v>44824</v>
      </c>
      <c r="C1844" s="431">
        <v>44743</v>
      </c>
      <c r="D1844" s="419" t="s">
        <v>468</v>
      </c>
      <c r="E1844" s="419" t="s">
        <v>468</v>
      </c>
      <c r="F1844" s="422">
        <v>31.5</v>
      </c>
      <c r="G1844" s="427" t="s">
        <v>7355</v>
      </c>
      <c r="H1844" s="419" t="s">
        <v>468</v>
      </c>
      <c r="I1844" s="427" t="s">
        <v>1461</v>
      </c>
      <c r="J1844" s="415" t="s">
        <v>310</v>
      </c>
      <c r="K1844" s="415" t="s">
        <v>1220</v>
      </c>
      <c r="L1844" s="415" t="s">
        <v>1368</v>
      </c>
      <c r="M1844" s="415" t="s">
        <v>310</v>
      </c>
      <c r="N1844" s="413">
        <v>44824</v>
      </c>
      <c r="O1844" s="414" t="s">
        <v>3762</v>
      </c>
      <c r="P1844" s="655">
        <f t="shared" si="106"/>
        <v>9</v>
      </c>
      <c r="Q1844" s="655">
        <f t="shared" si="107"/>
        <v>7</v>
      </c>
      <c r="R1844" s="695" t="str">
        <f t="shared" si="108"/>
        <v>Gastos_custeados_por_captação</v>
      </c>
      <c r="S1844" s="697" t="s">
        <v>310</v>
      </c>
      <c r="T1844" s="697" t="s">
        <v>310</v>
      </c>
    </row>
    <row r="1845" spans="1:20" ht="48" x14ac:dyDescent="0.2">
      <c r="A1845" s="432">
        <f>IF(B1845="","",COUNT('Diário 1º PA'!$A$4:$A$2635)+COUNT('Diário 2º PA'!$A$4:$A$3040)+ROW()-3)</f>
        <v>5941</v>
      </c>
      <c r="B1845" s="413">
        <v>44824</v>
      </c>
      <c r="C1845" s="431">
        <v>44743</v>
      </c>
      <c r="D1845" s="419" t="s">
        <v>468</v>
      </c>
      <c r="E1845" s="419" t="s">
        <v>468</v>
      </c>
      <c r="F1845" s="422">
        <v>187</v>
      </c>
      <c r="G1845" s="427" t="s">
        <v>6506</v>
      </c>
      <c r="H1845" s="419" t="s">
        <v>468</v>
      </c>
      <c r="I1845" s="427" t="s">
        <v>1461</v>
      </c>
      <c r="J1845" s="415" t="s">
        <v>310</v>
      </c>
      <c r="K1845" s="415" t="s">
        <v>1220</v>
      </c>
      <c r="L1845" s="415" t="s">
        <v>1368</v>
      </c>
      <c r="M1845" s="415" t="s">
        <v>310</v>
      </c>
      <c r="N1845" s="413">
        <v>44824</v>
      </c>
      <c r="O1845" s="414" t="s">
        <v>3762</v>
      </c>
      <c r="P1845" s="655">
        <f t="shared" si="106"/>
        <v>9</v>
      </c>
      <c r="Q1845" s="655">
        <f t="shared" si="107"/>
        <v>7</v>
      </c>
      <c r="R1845" s="695" t="str">
        <f t="shared" si="108"/>
        <v>Gastos_custeados_por_captação</v>
      </c>
      <c r="S1845" s="697" t="s">
        <v>310</v>
      </c>
      <c r="T1845" s="697" t="s">
        <v>310</v>
      </c>
    </row>
    <row r="1846" spans="1:20" ht="48" x14ac:dyDescent="0.2">
      <c r="A1846" s="432">
        <f>IF(B1846="","",COUNT('Diário 1º PA'!$A$4:$A$2635)+COUNT('Diário 2º PA'!$A$4:$A$3040)+ROW()-3)</f>
        <v>5942</v>
      </c>
      <c r="B1846" s="413">
        <v>44824</v>
      </c>
      <c r="C1846" s="431">
        <v>44774</v>
      </c>
      <c r="D1846" s="419" t="s">
        <v>468</v>
      </c>
      <c r="E1846" s="419" t="s">
        <v>468</v>
      </c>
      <c r="F1846" s="422">
        <v>243.1</v>
      </c>
      <c r="G1846" s="427" t="s">
        <v>7356</v>
      </c>
      <c r="H1846" s="419" t="s">
        <v>468</v>
      </c>
      <c r="I1846" s="427" t="s">
        <v>1461</v>
      </c>
      <c r="J1846" s="415" t="s">
        <v>310</v>
      </c>
      <c r="K1846" s="415" t="s">
        <v>1220</v>
      </c>
      <c r="L1846" s="415" t="s">
        <v>1368</v>
      </c>
      <c r="M1846" s="415" t="s">
        <v>310</v>
      </c>
      <c r="N1846" s="413">
        <v>44824</v>
      </c>
      <c r="O1846" s="414" t="s">
        <v>3762</v>
      </c>
      <c r="P1846" s="655">
        <f t="shared" si="106"/>
        <v>9</v>
      </c>
      <c r="Q1846" s="655">
        <f t="shared" si="107"/>
        <v>8</v>
      </c>
      <c r="R1846" s="695" t="str">
        <f t="shared" si="108"/>
        <v>Gastos_custeados_por_captação</v>
      </c>
      <c r="S1846" s="697" t="s">
        <v>310</v>
      </c>
      <c r="T1846" s="697" t="s">
        <v>310</v>
      </c>
    </row>
    <row r="1847" spans="1:20" ht="48" x14ac:dyDescent="0.2">
      <c r="A1847" s="432">
        <f>IF(B1847="","",COUNT('Diário 1º PA'!$A$4:$A$2635)+COUNT('Diário 2º PA'!$A$4:$A$3040)+ROW()-3)</f>
        <v>5943</v>
      </c>
      <c r="B1847" s="413">
        <v>44824</v>
      </c>
      <c r="C1847" s="431">
        <v>44743</v>
      </c>
      <c r="D1847" s="419" t="s">
        <v>468</v>
      </c>
      <c r="E1847" s="419" t="s">
        <v>468</v>
      </c>
      <c r="F1847" s="425">
        <v>72.400000000000006</v>
      </c>
      <c r="G1847" s="427" t="s">
        <v>6912</v>
      </c>
      <c r="H1847" s="419" t="s">
        <v>468</v>
      </c>
      <c r="I1847" s="427" t="s">
        <v>1461</v>
      </c>
      <c r="J1847" s="415" t="s">
        <v>310</v>
      </c>
      <c r="K1847" s="415" t="s">
        <v>1220</v>
      </c>
      <c r="L1847" s="415" t="s">
        <v>1368</v>
      </c>
      <c r="M1847" s="415" t="s">
        <v>310</v>
      </c>
      <c r="N1847" s="413">
        <v>44824</v>
      </c>
      <c r="O1847" s="414" t="s">
        <v>3762</v>
      </c>
      <c r="P1847" s="655">
        <f t="shared" si="106"/>
        <v>9</v>
      </c>
      <c r="Q1847" s="655">
        <f t="shared" si="107"/>
        <v>7</v>
      </c>
      <c r="R1847" s="695" t="str">
        <f t="shared" si="108"/>
        <v>Gastos_custeados_por_captação</v>
      </c>
      <c r="S1847" s="697" t="s">
        <v>310</v>
      </c>
      <c r="T1847" s="697" t="s">
        <v>310</v>
      </c>
    </row>
    <row r="1848" spans="1:20" ht="48" x14ac:dyDescent="0.2">
      <c r="A1848" s="432">
        <f>IF(B1848="","",COUNT('Diário 1º PA'!$A$4:$A$2635)+COUNT('Diário 2º PA'!$A$4:$A$3040)+ROW()-3)</f>
        <v>5944</v>
      </c>
      <c r="B1848" s="413">
        <v>44824</v>
      </c>
      <c r="C1848" s="431">
        <v>44743</v>
      </c>
      <c r="D1848" s="419" t="s">
        <v>468</v>
      </c>
      <c r="E1848" s="419" t="s">
        <v>468</v>
      </c>
      <c r="F1848" s="425">
        <v>72.400000000000006</v>
      </c>
      <c r="G1848" s="427" t="s">
        <v>6906</v>
      </c>
      <c r="H1848" s="419" t="s">
        <v>468</v>
      </c>
      <c r="I1848" s="427" t="s">
        <v>1461</v>
      </c>
      <c r="J1848" s="415" t="s">
        <v>310</v>
      </c>
      <c r="K1848" s="415" t="s">
        <v>1220</v>
      </c>
      <c r="L1848" s="415" t="s">
        <v>1368</v>
      </c>
      <c r="M1848" s="415" t="s">
        <v>310</v>
      </c>
      <c r="N1848" s="413">
        <v>44824</v>
      </c>
      <c r="O1848" s="414" t="s">
        <v>3762</v>
      </c>
      <c r="P1848" s="655">
        <f t="shared" si="106"/>
        <v>9</v>
      </c>
      <c r="Q1848" s="655">
        <f t="shared" si="107"/>
        <v>7</v>
      </c>
      <c r="R1848" s="695" t="str">
        <f t="shared" si="108"/>
        <v>Gastos_custeados_por_captação</v>
      </c>
      <c r="S1848" s="697" t="s">
        <v>310</v>
      </c>
      <c r="T1848" s="697" t="s">
        <v>310</v>
      </c>
    </row>
    <row r="1849" spans="1:20" ht="48" x14ac:dyDescent="0.2">
      <c r="A1849" s="432">
        <f>IF(B1849="","",COUNT('Diário 1º PA'!$A$4:$A$2635)+COUNT('Diário 2º PA'!$A$4:$A$3040)+ROW()-3)</f>
        <v>5945</v>
      </c>
      <c r="B1849" s="413">
        <v>44824</v>
      </c>
      <c r="C1849" s="431">
        <v>44743</v>
      </c>
      <c r="D1849" s="419" t="s">
        <v>468</v>
      </c>
      <c r="E1849" s="419" t="s">
        <v>468</v>
      </c>
      <c r="F1849" s="425">
        <v>72.400000000000006</v>
      </c>
      <c r="G1849" s="427" t="s">
        <v>6909</v>
      </c>
      <c r="H1849" s="419" t="s">
        <v>468</v>
      </c>
      <c r="I1849" s="427" t="s">
        <v>1461</v>
      </c>
      <c r="J1849" s="415" t="s">
        <v>310</v>
      </c>
      <c r="K1849" s="415" t="s">
        <v>1220</v>
      </c>
      <c r="L1849" s="415" t="s">
        <v>1368</v>
      </c>
      <c r="M1849" s="415" t="s">
        <v>310</v>
      </c>
      <c r="N1849" s="413">
        <v>44824</v>
      </c>
      <c r="O1849" s="414" t="s">
        <v>3762</v>
      </c>
      <c r="P1849" s="655">
        <f t="shared" si="106"/>
        <v>9</v>
      </c>
      <c r="Q1849" s="655">
        <f t="shared" si="107"/>
        <v>7</v>
      </c>
      <c r="R1849" s="695" t="str">
        <f t="shared" si="108"/>
        <v>Gastos_custeados_por_captação</v>
      </c>
      <c r="S1849" s="697" t="s">
        <v>310</v>
      </c>
      <c r="T1849" s="697" t="s">
        <v>310</v>
      </c>
    </row>
    <row r="1850" spans="1:20" ht="48" x14ac:dyDescent="0.2">
      <c r="A1850" s="432">
        <f>IF(B1850="","",COUNT('Diário 1º PA'!$A$4:$A$2635)+COUNT('Diário 2º PA'!$A$4:$A$3040)+ROW()-3)</f>
        <v>5946</v>
      </c>
      <c r="B1850" s="413">
        <v>44824</v>
      </c>
      <c r="C1850" s="431">
        <v>44743</v>
      </c>
      <c r="D1850" s="419" t="s">
        <v>468</v>
      </c>
      <c r="E1850" s="419" t="s">
        <v>468</v>
      </c>
      <c r="F1850" s="422">
        <v>18.149999999999999</v>
      </c>
      <c r="G1850" s="427" t="s">
        <v>6514</v>
      </c>
      <c r="H1850" s="419" t="s">
        <v>468</v>
      </c>
      <c r="I1850" s="427" t="s">
        <v>1461</v>
      </c>
      <c r="J1850" s="415" t="s">
        <v>310</v>
      </c>
      <c r="K1850" s="415" t="s">
        <v>1220</v>
      </c>
      <c r="L1850" s="415" t="s">
        <v>1368</v>
      </c>
      <c r="M1850" s="415" t="s">
        <v>310</v>
      </c>
      <c r="N1850" s="413">
        <v>44824</v>
      </c>
      <c r="O1850" s="414" t="s">
        <v>3762</v>
      </c>
      <c r="P1850" s="655">
        <f t="shared" si="106"/>
        <v>9</v>
      </c>
      <c r="Q1850" s="655">
        <f t="shared" si="107"/>
        <v>7</v>
      </c>
      <c r="R1850" s="695" t="str">
        <f t="shared" si="108"/>
        <v>Gastos_custeados_por_captação</v>
      </c>
      <c r="S1850" s="697" t="s">
        <v>310</v>
      </c>
      <c r="T1850" s="697" t="s">
        <v>310</v>
      </c>
    </row>
    <row r="1851" spans="1:20" ht="36" x14ac:dyDescent="0.2">
      <c r="A1851" s="432">
        <f>IF(B1851="","",COUNT('Diário 1º PA'!$A$4:$A$2635)+COUNT('Diário 2º PA'!$A$4:$A$3040)+ROW()-3)</f>
        <v>5947</v>
      </c>
      <c r="B1851" s="413">
        <v>44824</v>
      </c>
      <c r="C1851" s="431">
        <v>44774</v>
      </c>
      <c r="D1851" s="419" t="s">
        <v>468</v>
      </c>
      <c r="E1851" s="419" t="s">
        <v>468</v>
      </c>
      <c r="F1851" s="422">
        <v>1000</v>
      </c>
      <c r="G1851" s="427" t="s">
        <v>4124</v>
      </c>
      <c r="H1851" s="419" t="s">
        <v>468</v>
      </c>
      <c r="I1851" s="398" t="s">
        <v>6421</v>
      </c>
      <c r="J1851" s="415" t="s">
        <v>2994</v>
      </c>
      <c r="K1851" s="418" t="s">
        <v>812</v>
      </c>
      <c r="L1851" s="399" t="s">
        <v>32</v>
      </c>
      <c r="M1851" s="419">
        <v>2108</v>
      </c>
      <c r="N1851" s="413">
        <v>44805</v>
      </c>
      <c r="O1851" s="414" t="s">
        <v>408</v>
      </c>
      <c r="P1851" s="655">
        <f t="shared" si="106"/>
        <v>9</v>
      </c>
      <c r="Q1851" s="655">
        <f t="shared" si="107"/>
        <v>8</v>
      </c>
      <c r="R1851" s="695" t="str">
        <f t="shared" si="108"/>
        <v>Gastos_custeados_por_captação</v>
      </c>
      <c r="S1851" s="697" t="s">
        <v>1000</v>
      </c>
      <c r="T1851" s="697">
        <v>2783</v>
      </c>
    </row>
    <row r="1852" spans="1:20" ht="36" x14ac:dyDescent="0.2">
      <c r="A1852" s="432">
        <f>IF(B1852="","",COUNT('Diário 1º PA'!$A$4:$A$2635)+COUNT('Diário 2º PA'!$A$4:$A$3040)+ROW()-3)</f>
        <v>5948</v>
      </c>
      <c r="B1852" s="413">
        <v>44824</v>
      </c>
      <c r="C1852" s="431">
        <v>44743</v>
      </c>
      <c r="D1852" s="419" t="s">
        <v>468</v>
      </c>
      <c r="E1852" s="419" t="s">
        <v>468</v>
      </c>
      <c r="F1852" s="422">
        <v>587.94000000000005</v>
      </c>
      <c r="G1852" s="427" t="s">
        <v>2268</v>
      </c>
      <c r="H1852" s="419" t="s">
        <v>468</v>
      </c>
      <c r="I1852" s="415" t="s">
        <v>4123</v>
      </c>
      <c r="J1852" s="415" t="s">
        <v>2269</v>
      </c>
      <c r="K1852" s="419" t="s">
        <v>830</v>
      </c>
      <c r="L1852" s="415" t="s">
        <v>32</v>
      </c>
      <c r="M1852" s="419" t="s">
        <v>5185</v>
      </c>
      <c r="N1852" s="413">
        <v>44823</v>
      </c>
      <c r="O1852" s="414" t="s">
        <v>408</v>
      </c>
      <c r="P1852" s="655">
        <f t="shared" si="106"/>
        <v>9</v>
      </c>
      <c r="Q1852" s="655">
        <f t="shared" si="107"/>
        <v>7</v>
      </c>
      <c r="R1852" s="695" t="str">
        <f t="shared" si="108"/>
        <v>Gastos_custeados_por_captação</v>
      </c>
      <c r="S1852" s="697" t="s">
        <v>1000</v>
      </c>
      <c r="T1852" s="697">
        <v>3093</v>
      </c>
    </row>
    <row r="1853" spans="1:20" ht="48" x14ac:dyDescent="0.2">
      <c r="A1853" s="432">
        <f>IF(B1853="","",COUNT('Diário 1º PA'!$A$4:$A$2635)+COUNT('Diário 2º PA'!$A$4:$A$3040)+ROW()-3)</f>
        <v>5949</v>
      </c>
      <c r="B1853" s="413">
        <v>44824</v>
      </c>
      <c r="C1853" s="431">
        <v>44743</v>
      </c>
      <c r="D1853" s="419" t="s">
        <v>468</v>
      </c>
      <c r="E1853" s="419" t="s">
        <v>468</v>
      </c>
      <c r="F1853" s="422">
        <v>6311.5</v>
      </c>
      <c r="G1853" s="427" t="s">
        <v>2330</v>
      </c>
      <c r="H1853" s="419" t="s">
        <v>468</v>
      </c>
      <c r="I1853" s="415" t="s">
        <v>7352</v>
      </c>
      <c r="J1853" s="415" t="s">
        <v>2329</v>
      </c>
      <c r="K1853" s="419" t="s">
        <v>830</v>
      </c>
      <c r="L1853" s="415" t="s">
        <v>32</v>
      </c>
      <c r="M1853" s="419" t="s">
        <v>1703</v>
      </c>
      <c r="N1853" s="413">
        <v>44823</v>
      </c>
      <c r="O1853" s="414" t="s">
        <v>408</v>
      </c>
      <c r="P1853" s="655">
        <f t="shared" si="106"/>
        <v>9</v>
      </c>
      <c r="Q1853" s="655">
        <f t="shared" si="107"/>
        <v>7</v>
      </c>
      <c r="R1853" s="695" t="str">
        <f t="shared" si="108"/>
        <v>Gastos_custeados_por_captação</v>
      </c>
      <c r="S1853" s="697" t="s">
        <v>1000</v>
      </c>
      <c r="T1853" s="697">
        <v>3094</v>
      </c>
    </row>
    <row r="1854" spans="1:20" ht="36" x14ac:dyDescent="0.2">
      <c r="A1854" s="432">
        <f>IF(B1854="","",COUNT('Diário 1º PA'!$A$4:$A$2635)+COUNT('Diário 2º PA'!$A$4:$A$3040)+ROW()-3)</f>
        <v>5950</v>
      </c>
      <c r="B1854" s="413">
        <v>44824</v>
      </c>
      <c r="C1854" s="431">
        <v>44805</v>
      </c>
      <c r="D1854" s="419" t="s">
        <v>468</v>
      </c>
      <c r="E1854" s="419" t="s">
        <v>468</v>
      </c>
      <c r="F1854" s="422">
        <v>11</v>
      </c>
      <c r="G1854" s="427" t="s">
        <v>2469</v>
      </c>
      <c r="H1854" s="419" t="s">
        <v>468</v>
      </c>
      <c r="I1854" s="398" t="s">
        <v>881</v>
      </c>
      <c r="J1854" s="418" t="s">
        <v>882</v>
      </c>
      <c r="K1854" s="418" t="s">
        <v>883</v>
      </c>
      <c r="L1854" s="399" t="s">
        <v>798</v>
      </c>
      <c r="M1854" s="544" t="s">
        <v>310</v>
      </c>
      <c r="N1854" s="413">
        <v>44824</v>
      </c>
      <c r="O1854" s="414" t="s">
        <v>408</v>
      </c>
      <c r="P1854" s="655">
        <f t="shared" si="106"/>
        <v>9</v>
      </c>
      <c r="Q1854" s="655">
        <f t="shared" si="107"/>
        <v>9</v>
      </c>
      <c r="R1854" s="695" t="str">
        <f t="shared" si="108"/>
        <v>Gastos_custeados_por_captação</v>
      </c>
      <c r="S1854" s="697" t="s">
        <v>310</v>
      </c>
      <c r="T1854" s="697" t="s">
        <v>310</v>
      </c>
    </row>
    <row r="1855" spans="1:20" ht="36" x14ac:dyDescent="0.2">
      <c r="A1855" s="432">
        <f>IF(B1855="","",COUNT('Diário 1º PA'!$A$4:$A$2635)+COUNT('Diário 2º PA'!$A$4:$A$3040)+ROW()-3)</f>
        <v>5951</v>
      </c>
      <c r="B1855" s="413">
        <v>44824</v>
      </c>
      <c r="C1855" s="431">
        <v>44805</v>
      </c>
      <c r="D1855" s="419" t="s">
        <v>468</v>
      </c>
      <c r="E1855" s="419" t="s">
        <v>468</v>
      </c>
      <c r="F1855" s="422">
        <v>11</v>
      </c>
      <c r="G1855" s="427" t="s">
        <v>2469</v>
      </c>
      <c r="H1855" s="419" t="s">
        <v>468</v>
      </c>
      <c r="I1855" s="398" t="s">
        <v>881</v>
      </c>
      <c r="J1855" s="418" t="s">
        <v>882</v>
      </c>
      <c r="K1855" s="418" t="s">
        <v>883</v>
      </c>
      <c r="L1855" s="399" t="s">
        <v>798</v>
      </c>
      <c r="M1855" s="544" t="s">
        <v>310</v>
      </c>
      <c r="N1855" s="413">
        <v>44824</v>
      </c>
      <c r="O1855" s="414" t="s">
        <v>408</v>
      </c>
      <c r="P1855" s="655">
        <f t="shared" si="106"/>
        <v>9</v>
      </c>
      <c r="Q1855" s="655">
        <f t="shared" si="107"/>
        <v>9</v>
      </c>
      <c r="R1855" s="695" t="str">
        <f t="shared" si="108"/>
        <v>Gastos_custeados_por_captação</v>
      </c>
      <c r="S1855" s="697" t="s">
        <v>310</v>
      </c>
      <c r="T1855" s="697" t="s">
        <v>310</v>
      </c>
    </row>
    <row r="1856" spans="1:20" ht="36" x14ac:dyDescent="0.2">
      <c r="A1856" s="432">
        <f>IF(B1856="","",COUNT('Diário 1º PA'!$A$4:$A$2635)+COUNT('Diário 2º PA'!$A$4:$A$3040)+ROW()-3)</f>
        <v>5952</v>
      </c>
      <c r="B1856" s="413">
        <v>44825</v>
      </c>
      <c r="C1856" s="421">
        <v>44805</v>
      </c>
      <c r="D1856" s="419" t="s">
        <v>271</v>
      </c>
      <c r="E1856" s="419" t="s">
        <v>297</v>
      </c>
      <c r="F1856" s="422">
        <v>75</v>
      </c>
      <c r="G1856" s="419" t="s">
        <v>7329</v>
      </c>
      <c r="H1856" s="415" t="s">
        <v>758</v>
      </c>
      <c r="I1856" s="415" t="s">
        <v>4878</v>
      </c>
      <c r="J1856" s="419" t="s">
        <v>4879</v>
      </c>
      <c r="K1856" s="419" t="s">
        <v>806</v>
      </c>
      <c r="L1856" s="415" t="s">
        <v>807</v>
      </c>
      <c r="M1856" s="419">
        <v>11698</v>
      </c>
      <c r="N1856" s="413">
        <v>44825</v>
      </c>
      <c r="O1856" s="414" t="s">
        <v>400</v>
      </c>
      <c r="P1856" s="655">
        <f t="shared" si="106"/>
        <v>9</v>
      </c>
      <c r="Q1856" s="655">
        <f t="shared" si="107"/>
        <v>9</v>
      </c>
      <c r="R1856" s="695" t="str">
        <f t="shared" si="108"/>
        <v>Gastos_Gerais</v>
      </c>
      <c r="S1856" s="697" t="s">
        <v>999</v>
      </c>
      <c r="T1856" s="697">
        <v>4382</v>
      </c>
    </row>
    <row r="1857" spans="1:20" ht="48" x14ac:dyDescent="0.2">
      <c r="A1857" s="432">
        <f>IF(B1857="","",COUNT('Diário 1º PA'!$A$4:$A$2635)+COUNT('Diário 2º PA'!$A$4:$A$3040)+ROW()-3)</f>
        <v>5953</v>
      </c>
      <c r="B1857" s="413">
        <v>44825</v>
      </c>
      <c r="C1857" s="421">
        <v>44743</v>
      </c>
      <c r="D1857" s="419" t="s">
        <v>271</v>
      </c>
      <c r="E1857" s="419" t="s">
        <v>456</v>
      </c>
      <c r="F1857" s="422">
        <v>672</v>
      </c>
      <c r="G1857" s="419" t="s">
        <v>7337</v>
      </c>
      <c r="H1857" s="419" t="s">
        <v>760</v>
      </c>
      <c r="I1857" s="415" t="s">
        <v>4366</v>
      </c>
      <c r="J1857" s="419" t="s">
        <v>1934</v>
      </c>
      <c r="K1857" s="419" t="s">
        <v>806</v>
      </c>
      <c r="L1857" s="415" t="s">
        <v>839</v>
      </c>
      <c r="M1857" s="419">
        <v>2008</v>
      </c>
      <c r="N1857" s="413">
        <v>44816</v>
      </c>
      <c r="O1857" s="414" t="s">
        <v>400</v>
      </c>
      <c r="P1857" s="655">
        <f t="shared" si="106"/>
        <v>9</v>
      </c>
      <c r="Q1857" s="655">
        <f t="shared" si="107"/>
        <v>7</v>
      </c>
      <c r="R1857" s="695" t="str">
        <f t="shared" si="108"/>
        <v>Gastos_Gerais</v>
      </c>
      <c r="S1857" s="697" t="s">
        <v>998</v>
      </c>
      <c r="T1857" s="697">
        <v>4132</v>
      </c>
    </row>
    <row r="1858" spans="1:20" ht="60" x14ac:dyDescent="0.2">
      <c r="A1858" s="432">
        <f>IF(B1858="","",COUNT('Diário 1º PA'!$A$4:$A$2635)+COUNT('Diário 2º PA'!$A$4:$A$3040)+ROW()-3)</f>
        <v>5954</v>
      </c>
      <c r="B1858" s="414">
        <v>44826</v>
      </c>
      <c r="C1858" s="431">
        <v>44774</v>
      </c>
      <c r="D1858" s="419" t="s">
        <v>468</v>
      </c>
      <c r="E1858" s="419" t="s">
        <v>468</v>
      </c>
      <c r="F1858" s="422">
        <v>2169.6799999999998</v>
      </c>
      <c r="G1858" s="427" t="s">
        <v>4426</v>
      </c>
      <c r="H1858" s="419" t="s">
        <v>468</v>
      </c>
      <c r="I1858" s="415" t="s">
        <v>6874</v>
      </c>
      <c r="J1858" s="415" t="s">
        <v>1163</v>
      </c>
      <c r="K1858" s="419" t="s">
        <v>830</v>
      </c>
      <c r="L1858" s="415" t="s">
        <v>839</v>
      </c>
      <c r="M1858" s="419">
        <v>2019</v>
      </c>
      <c r="N1858" s="413">
        <v>44824</v>
      </c>
      <c r="O1858" s="414" t="s">
        <v>404</v>
      </c>
      <c r="P1858" s="655">
        <f t="shared" si="106"/>
        <v>9</v>
      </c>
      <c r="Q1858" s="655">
        <f t="shared" si="107"/>
        <v>8</v>
      </c>
      <c r="R1858" s="695" t="str">
        <f t="shared" si="108"/>
        <v>Gastos_custeados_por_captação</v>
      </c>
      <c r="S1858" s="697" t="s">
        <v>998</v>
      </c>
      <c r="T1858" s="697">
        <v>3810</v>
      </c>
    </row>
    <row r="1859" spans="1:20" ht="96" x14ac:dyDescent="0.2">
      <c r="A1859" s="432">
        <f>IF(B1859="","",COUNT('Diário 1º PA'!$A$4:$A$2635)+COUNT('Diário 2º PA'!$A$4:$A$3040)+ROW()-3)</f>
        <v>5955</v>
      </c>
      <c r="B1859" s="413">
        <v>44826</v>
      </c>
      <c r="C1859" s="431">
        <v>44682</v>
      </c>
      <c r="D1859" s="419" t="s">
        <v>468</v>
      </c>
      <c r="E1859" s="419" t="s">
        <v>468</v>
      </c>
      <c r="F1859" s="422">
        <v>5302.55</v>
      </c>
      <c r="G1859" s="419" t="s">
        <v>4335</v>
      </c>
      <c r="H1859" s="419" t="s">
        <v>468</v>
      </c>
      <c r="I1859" s="415" t="s">
        <v>1307</v>
      </c>
      <c r="J1859" s="419" t="s">
        <v>1055</v>
      </c>
      <c r="K1859" s="419" t="s">
        <v>830</v>
      </c>
      <c r="L1859" s="415" t="s">
        <v>807</v>
      </c>
      <c r="M1859" s="419" t="s">
        <v>3605</v>
      </c>
      <c r="N1859" s="413">
        <v>44824</v>
      </c>
      <c r="O1859" s="414" t="s">
        <v>404</v>
      </c>
      <c r="P1859" s="655">
        <f t="shared" si="106"/>
        <v>9</v>
      </c>
      <c r="Q1859" s="655">
        <f t="shared" si="107"/>
        <v>5</v>
      </c>
      <c r="R1859" s="695" t="str">
        <f t="shared" si="108"/>
        <v>Gastos_custeados_por_captação</v>
      </c>
      <c r="S1859" s="697" t="s">
        <v>998</v>
      </c>
      <c r="T1859" s="697">
        <v>3805</v>
      </c>
    </row>
    <row r="1860" spans="1:20" ht="60" x14ac:dyDescent="0.2">
      <c r="A1860" s="432">
        <f>IF(B1860="","",COUNT('Diário 1º PA'!$A$4:$A$2635)+COUNT('Diário 2º PA'!$A$4:$A$3040)+ROW()-3)</f>
        <v>5956</v>
      </c>
      <c r="B1860" s="413">
        <v>44826</v>
      </c>
      <c r="C1860" s="431">
        <v>44774</v>
      </c>
      <c r="D1860" s="415" t="s">
        <v>468</v>
      </c>
      <c r="E1860" s="415" t="s">
        <v>468</v>
      </c>
      <c r="F1860" s="425">
        <v>2246.04</v>
      </c>
      <c r="G1860" s="427" t="s">
        <v>7374</v>
      </c>
      <c r="H1860" s="415" t="s">
        <v>468</v>
      </c>
      <c r="I1860" s="398" t="s">
        <v>6886</v>
      </c>
      <c r="J1860" s="415" t="s">
        <v>5679</v>
      </c>
      <c r="K1860" s="419" t="s">
        <v>830</v>
      </c>
      <c r="L1860" s="399" t="s">
        <v>839</v>
      </c>
      <c r="M1860" s="544">
        <v>2020</v>
      </c>
      <c r="N1860" s="414">
        <v>44824</v>
      </c>
      <c r="O1860" s="414" t="s">
        <v>404</v>
      </c>
      <c r="P1860" s="655">
        <f t="shared" si="106"/>
        <v>9</v>
      </c>
      <c r="Q1860" s="655">
        <f t="shared" si="107"/>
        <v>8</v>
      </c>
      <c r="R1860" s="695" t="str">
        <f t="shared" si="108"/>
        <v>Gastos_custeados_por_captação</v>
      </c>
      <c r="S1860" s="697" t="s">
        <v>998</v>
      </c>
      <c r="T1860" s="697">
        <v>4013</v>
      </c>
    </row>
    <row r="1861" spans="1:20" ht="60" x14ac:dyDescent="0.2">
      <c r="A1861" s="432">
        <f>IF(B1861="","",COUNT('Diário 1º PA'!$A$4:$A$2635)+COUNT('Diário 2º PA'!$A$4:$A$3040)+ROW()-3)</f>
        <v>5957</v>
      </c>
      <c r="B1861" s="413">
        <v>44827</v>
      </c>
      <c r="C1861" s="431">
        <v>44774</v>
      </c>
      <c r="D1861" s="415" t="s">
        <v>468</v>
      </c>
      <c r="E1861" s="415" t="s">
        <v>468</v>
      </c>
      <c r="F1861" s="425">
        <v>2246.04</v>
      </c>
      <c r="G1861" s="427" t="s">
        <v>4728</v>
      </c>
      <c r="H1861" s="415" t="s">
        <v>468</v>
      </c>
      <c r="I1861" s="398" t="s">
        <v>2829</v>
      </c>
      <c r="J1861" s="415" t="s">
        <v>1834</v>
      </c>
      <c r="K1861" s="418" t="s">
        <v>830</v>
      </c>
      <c r="L1861" s="399" t="s">
        <v>1341</v>
      </c>
      <c r="M1861" s="544">
        <v>2021</v>
      </c>
      <c r="N1861" s="413">
        <v>44824</v>
      </c>
      <c r="O1861" s="414" t="s">
        <v>404</v>
      </c>
      <c r="P1861" s="655">
        <f t="shared" si="106"/>
        <v>9</v>
      </c>
      <c r="Q1861" s="655">
        <f t="shared" si="107"/>
        <v>8</v>
      </c>
      <c r="R1861" s="695" t="str">
        <f t="shared" si="108"/>
        <v>Gastos_custeados_por_captação</v>
      </c>
      <c r="S1861" s="697" t="s">
        <v>998</v>
      </c>
      <c r="T1861" s="697">
        <v>3906</v>
      </c>
    </row>
    <row r="1862" spans="1:20" ht="60" x14ac:dyDescent="0.2">
      <c r="A1862" s="432">
        <f>IF(B1862="","",COUNT('Diário 1º PA'!$A$4:$A$2635)+COUNT('Diário 2º PA'!$A$4:$A$3040)+ROW()-3)</f>
        <v>5958</v>
      </c>
      <c r="B1862" s="413">
        <v>44827</v>
      </c>
      <c r="C1862" s="431">
        <v>44682</v>
      </c>
      <c r="D1862" s="419" t="s">
        <v>468</v>
      </c>
      <c r="E1862" s="419" t="s">
        <v>468</v>
      </c>
      <c r="F1862" s="422">
        <v>5027.3999999999996</v>
      </c>
      <c r="G1862" s="427" t="s">
        <v>3828</v>
      </c>
      <c r="H1862" s="419" t="s">
        <v>468</v>
      </c>
      <c r="I1862" s="415" t="s">
        <v>3600</v>
      </c>
      <c r="J1862" s="415" t="s">
        <v>1293</v>
      </c>
      <c r="K1862" s="419" t="s">
        <v>830</v>
      </c>
      <c r="L1862" s="415" t="s">
        <v>32</v>
      </c>
      <c r="M1862" s="419" t="s">
        <v>4520</v>
      </c>
      <c r="N1862" s="413">
        <v>44826</v>
      </c>
      <c r="O1862" s="414" t="s">
        <v>404</v>
      </c>
      <c r="P1862" s="655">
        <f t="shared" ref="P1862:P1872" si="109">IF(B1862=0,0,IF(YEAR(B1862)=$Q$1,MONTH(B1862)-$P$1+1,(YEAR(B1862)-$Q$1)*12-$P$1+1+MONTH(B1862)))</f>
        <v>9</v>
      </c>
      <c r="Q1862" s="655">
        <f t="shared" ref="Q1862:Q1872" si="110">IF(C1862=0,0,IF(YEAR(C1862)=$Q$1,MONTH(C1862)-$P$1+1,(YEAR(C1862)-$Q$1)*12-$P$1+1+MONTH(C1862)))</f>
        <v>5</v>
      </c>
      <c r="R1862" s="695" t="str">
        <f t="shared" ref="R1862:R1925" si="111">SUBSTITUTE(D1862," ","_")</f>
        <v>Gastos_custeados_por_captação</v>
      </c>
      <c r="S1862" s="697" t="s">
        <v>998</v>
      </c>
      <c r="T1862" s="697">
        <v>3421</v>
      </c>
    </row>
    <row r="1863" spans="1:20" ht="72" x14ac:dyDescent="0.2">
      <c r="A1863" s="432">
        <f>IF(B1863="","",COUNT('Diário 1º PA'!$A$4:$A$2635)+COUNT('Diário 2º PA'!$A$4:$A$3040)+ROW()-3)</f>
        <v>5959</v>
      </c>
      <c r="B1863" s="413">
        <v>44827</v>
      </c>
      <c r="C1863" s="431">
        <v>44774</v>
      </c>
      <c r="D1863" s="415" t="s">
        <v>468</v>
      </c>
      <c r="E1863" s="415" t="s">
        <v>468</v>
      </c>
      <c r="F1863" s="425">
        <v>2246.04</v>
      </c>
      <c r="G1863" s="427" t="s">
        <v>4475</v>
      </c>
      <c r="H1863" s="415" t="s">
        <v>468</v>
      </c>
      <c r="I1863" s="639" t="s">
        <v>6547</v>
      </c>
      <c r="J1863" s="415" t="s">
        <v>4476</v>
      </c>
      <c r="K1863" s="418" t="s">
        <v>830</v>
      </c>
      <c r="L1863" s="399" t="s">
        <v>839</v>
      </c>
      <c r="M1863" s="544">
        <v>2018</v>
      </c>
      <c r="N1863" s="413">
        <v>44823</v>
      </c>
      <c r="O1863" s="414" t="s">
        <v>404</v>
      </c>
      <c r="P1863" s="655">
        <f t="shared" si="109"/>
        <v>9</v>
      </c>
      <c r="Q1863" s="655">
        <f t="shared" si="110"/>
        <v>8</v>
      </c>
      <c r="R1863" s="695" t="str">
        <f t="shared" si="111"/>
        <v>Gastos_custeados_por_captação</v>
      </c>
      <c r="S1863" s="698" t="s">
        <v>998</v>
      </c>
      <c r="T1863" s="697">
        <v>3806</v>
      </c>
    </row>
    <row r="1864" spans="1:20" ht="60" x14ac:dyDescent="0.2">
      <c r="A1864" s="432">
        <f>IF(B1864="","",COUNT('Diário 1º PA'!$A$4:$A$2635)+COUNT('Diário 2º PA'!$A$4:$A$3040)+ROW()-3)</f>
        <v>5960</v>
      </c>
      <c r="B1864" s="413">
        <v>44827</v>
      </c>
      <c r="C1864" s="431">
        <v>44774</v>
      </c>
      <c r="D1864" s="419" t="s">
        <v>468</v>
      </c>
      <c r="E1864" s="419" t="s">
        <v>468</v>
      </c>
      <c r="F1864" s="422">
        <v>467.85</v>
      </c>
      <c r="G1864" s="427" t="s">
        <v>8557</v>
      </c>
      <c r="H1864" s="419" t="s">
        <v>468</v>
      </c>
      <c r="I1864" s="415" t="s">
        <v>1461</v>
      </c>
      <c r="J1864" s="419" t="s">
        <v>310</v>
      </c>
      <c r="K1864" s="419" t="s">
        <v>1220</v>
      </c>
      <c r="L1864" s="415" t="s">
        <v>1368</v>
      </c>
      <c r="M1864" s="419" t="s">
        <v>310</v>
      </c>
      <c r="N1864" s="413">
        <v>44827</v>
      </c>
      <c r="O1864" s="414" t="s">
        <v>404</v>
      </c>
      <c r="P1864" s="655">
        <f t="shared" si="109"/>
        <v>9</v>
      </c>
      <c r="Q1864" s="655">
        <f t="shared" si="110"/>
        <v>8</v>
      </c>
      <c r="R1864" s="695" t="str">
        <f t="shared" si="111"/>
        <v>Gastos_custeados_por_captação</v>
      </c>
      <c r="S1864" s="697" t="s">
        <v>310</v>
      </c>
      <c r="T1864" s="697" t="s">
        <v>310</v>
      </c>
    </row>
    <row r="1865" spans="1:20" ht="60" x14ac:dyDescent="0.2">
      <c r="A1865" s="432">
        <f>IF(B1865="","",COUNT('Diário 1º PA'!$A$4:$A$2635)+COUNT('Diário 2º PA'!$A$4:$A$3040)+ROW()-3)</f>
        <v>5961</v>
      </c>
      <c r="B1865" s="413">
        <v>44827</v>
      </c>
      <c r="C1865" s="431">
        <v>44774</v>
      </c>
      <c r="D1865" s="419" t="s">
        <v>468</v>
      </c>
      <c r="E1865" s="419" t="s">
        <v>468</v>
      </c>
      <c r="F1865" s="422">
        <v>384.85</v>
      </c>
      <c r="G1865" s="419" t="s">
        <v>7373</v>
      </c>
      <c r="H1865" s="419" t="s">
        <v>468</v>
      </c>
      <c r="I1865" s="427" t="s">
        <v>1461</v>
      </c>
      <c r="J1865" s="418" t="s">
        <v>310</v>
      </c>
      <c r="K1865" s="418" t="s">
        <v>1220</v>
      </c>
      <c r="L1865" s="399" t="s">
        <v>1368</v>
      </c>
      <c r="M1865" s="544" t="s">
        <v>310</v>
      </c>
      <c r="N1865" s="413">
        <v>44827</v>
      </c>
      <c r="O1865" s="414" t="s">
        <v>405</v>
      </c>
      <c r="P1865" s="655">
        <f t="shared" si="109"/>
        <v>9</v>
      </c>
      <c r="Q1865" s="655">
        <f t="shared" si="110"/>
        <v>8</v>
      </c>
      <c r="R1865" s="695" t="str">
        <f t="shared" si="111"/>
        <v>Gastos_custeados_por_captação</v>
      </c>
      <c r="S1865" s="697" t="s">
        <v>310</v>
      </c>
      <c r="T1865" s="697" t="s">
        <v>310</v>
      </c>
    </row>
    <row r="1866" spans="1:20" ht="48" x14ac:dyDescent="0.2">
      <c r="A1866" s="432">
        <f>IF(B1866="","",COUNT('Diário 1º PA'!$A$4:$A$2635)+COUNT('Diário 2º PA'!$A$4:$A$3040)+ROW()-3)</f>
        <v>5962</v>
      </c>
      <c r="B1866" s="413">
        <v>44827</v>
      </c>
      <c r="C1866" s="431">
        <v>44774</v>
      </c>
      <c r="D1866" s="419" t="s">
        <v>468</v>
      </c>
      <c r="E1866" s="419" t="s">
        <v>468</v>
      </c>
      <c r="F1866" s="422">
        <v>497.67</v>
      </c>
      <c r="G1866" s="427" t="s">
        <v>8009</v>
      </c>
      <c r="H1866" s="419" t="s">
        <v>468</v>
      </c>
      <c r="I1866" s="427" t="s">
        <v>1461</v>
      </c>
      <c r="J1866" s="415" t="s">
        <v>310</v>
      </c>
      <c r="K1866" s="415" t="s">
        <v>1220</v>
      </c>
      <c r="L1866" s="415" t="s">
        <v>1368</v>
      </c>
      <c r="M1866" s="415" t="s">
        <v>310</v>
      </c>
      <c r="N1866" s="413">
        <v>44827</v>
      </c>
      <c r="O1866" s="414" t="s">
        <v>3762</v>
      </c>
      <c r="P1866" s="655">
        <f t="shared" si="109"/>
        <v>9</v>
      </c>
      <c r="Q1866" s="655">
        <f t="shared" si="110"/>
        <v>8</v>
      </c>
      <c r="R1866" s="695" t="str">
        <f t="shared" si="111"/>
        <v>Gastos_custeados_por_captação</v>
      </c>
      <c r="S1866" s="697" t="s">
        <v>310</v>
      </c>
      <c r="T1866" s="697" t="s">
        <v>310</v>
      </c>
    </row>
    <row r="1867" spans="1:20" ht="36" x14ac:dyDescent="0.2">
      <c r="A1867" s="432">
        <f>IF(B1867="","",COUNT('Diário 1º PA'!$A$4:$A$2635)+COUNT('Diário 2º PA'!$A$4:$A$3040)+ROW()-3)</f>
        <v>5963</v>
      </c>
      <c r="B1867" s="413">
        <v>44827</v>
      </c>
      <c r="C1867" s="431">
        <v>44774</v>
      </c>
      <c r="D1867" s="419" t="s">
        <v>468</v>
      </c>
      <c r="E1867" s="419" t="s">
        <v>468</v>
      </c>
      <c r="F1867" s="422">
        <v>4180</v>
      </c>
      <c r="G1867" s="419" t="s">
        <v>5779</v>
      </c>
      <c r="H1867" s="419" t="s">
        <v>468</v>
      </c>
      <c r="I1867" s="415" t="s">
        <v>6831</v>
      </c>
      <c r="J1867" s="419" t="s">
        <v>5781</v>
      </c>
      <c r="K1867" s="419" t="s">
        <v>806</v>
      </c>
      <c r="L1867" s="415" t="s">
        <v>807</v>
      </c>
      <c r="M1867" s="419" t="s">
        <v>1608</v>
      </c>
      <c r="N1867" s="413">
        <v>44826</v>
      </c>
      <c r="O1867" s="414" t="s">
        <v>408</v>
      </c>
      <c r="P1867" s="655">
        <f t="shared" si="109"/>
        <v>9</v>
      </c>
      <c r="Q1867" s="655">
        <f t="shared" si="110"/>
        <v>8</v>
      </c>
      <c r="R1867" s="695" t="str">
        <f t="shared" si="111"/>
        <v>Gastos_custeados_por_captação</v>
      </c>
      <c r="S1867" s="697" t="s">
        <v>1000</v>
      </c>
      <c r="T1867" s="697">
        <v>4045</v>
      </c>
    </row>
    <row r="1868" spans="1:20" ht="48" x14ac:dyDescent="0.2">
      <c r="A1868" s="432">
        <f>IF(B1868="","",COUNT('Diário 1º PA'!$A$4:$A$2635)+COUNT('Diário 2º PA'!$A$4:$A$3040)+ROW()-3)</f>
        <v>5964</v>
      </c>
      <c r="B1868" s="414">
        <v>44827</v>
      </c>
      <c r="C1868" s="431">
        <v>44774</v>
      </c>
      <c r="D1868" s="415" t="s">
        <v>315</v>
      </c>
      <c r="E1868" s="415" t="s">
        <v>315</v>
      </c>
      <c r="F1868" s="425">
        <v>23363.33</v>
      </c>
      <c r="G1868" s="427" t="s">
        <v>7359</v>
      </c>
      <c r="H1868" s="415" t="s">
        <v>310</v>
      </c>
      <c r="I1868" s="427" t="s">
        <v>1473</v>
      </c>
      <c r="J1868" s="415" t="s">
        <v>796</v>
      </c>
      <c r="K1868" s="419" t="s">
        <v>806</v>
      </c>
      <c r="L1868" s="415" t="s">
        <v>798</v>
      </c>
      <c r="M1868" s="415" t="s">
        <v>310</v>
      </c>
      <c r="N1868" s="685">
        <v>44827</v>
      </c>
      <c r="O1868" s="414" t="s">
        <v>400</v>
      </c>
      <c r="P1868" s="655">
        <f t="shared" si="109"/>
        <v>9</v>
      </c>
      <c r="Q1868" s="655">
        <f t="shared" si="110"/>
        <v>8</v>
      </c>
      <c r="R1868" s="695" t="str">
        <f t="shared" si="111"/>
        <v>Transferência_para_Reserva_de_Recursos</v>
      </c>
      <c r="S1868" s="697" t="s">
        <v>310</v>
      </c>
      <c r="T1868" s="697" t="s">
        <v>310</v>
      </c>
    </row>
    <row r="1869" spans="1:20" ht="84" x14ac:dyDescent="0.2">
      <c r="A1869" s="432">
        <f>IF(B1869="","",COUNT('Diário 1º PA'!$A$4:$A$2635)+COUNT('Diário 2º PA'!$A$4:$A$3040)+ROW()-3)</f>
        <v>5965</v>
      </c>
      <c r="B1869" s="414">
        <v>44827</v>
      </c>
      <c r="C1869" s="431">
        <v>44805</v>
      </c>
      <c r="D1869" s="415" t="s">
        <v>271</v>
      </c>
      <c r="E1869" s="415" t="s">
        <v>297</v>
      </c>
      <c r="F1869" s="422">
        <v>210</v>
      </c>
      <c r="G1869" s="427" t="s">
        <v>7129</v>
      </c>
      <c r="H1869" s="415" t="s">
        <v>309</v>
      </c>
      <c r="I1869" s="415" t="s">
        <v>4874</v>
      </c>
      <c r="J1869" s="415" t="s">
        <v>4875</v>
      </c>
      <c r="K1869" s="419" t="s">
        <v>830</v>
      </c>
      <c r="L1869" s="415" t="s">
        <v>32</v>
      </c>
      <c r="M1869" s="419">
        <v>1878</v>
      </c>
      <c r="N1869" s="413">
        <v>44816</v>
      </c>
      <c r="O1869" s="414" t="s">
        <v>400</v>
      </c>
      <c r="P1869" s="655">
        <f t="shared" si="109"/>
        <v>9</v>
      </c>
      <c r="Q1869" s="655">
        <f t="shared" si="110"/>
        <v>9</v>
      </c>
      <c r="R1869" s="695" t="str">
        <f t="shared" si="111"/>
        <v>Gastos_Gerais</v>
      </c>
      <c r="S1869" s="697" t="s">
        <v>999</v>
      </c>
      <c r="T1869" s="697">
        <v>4348</v>
      </c>
    </row>
    <row r="1870" spans="1:20" ht="60" x14ac:dyDescent="0.2">
      <c r="A1870" s="432">
        <f>IF(B1870="","",COUNT('Diário 1º PA'!$A$4:$A$2635)+COUNT('Diário 2º PA'!$A$4:$A$3040)+ROW()-3)</f>
        <v>5966</v>
      </c>
      <c r="B1870" s="414">
        <v>44827</v>
      </c>
      <c r="C1870" s="431">
        <v>44805</v>
      </c>
      <c r="D1870" s="415" t="s">
        <v>271</v>
      </c>
      <c r="E1870" s="415" t="s">
        <v>464</v>
      </c>
      <c r="F1870" s="425">
        <v>219</v>
      </c>
      <c r="G1870" s="427" t="s">
        <v>7342</v>
      </c>
      <c r="H1870" s="415" t="s">
        <v>758</v>
      </c>
      <c r="I1870" s="415" t="s">
        <v>7360</v>
      </c>
      <c r="J1870" s="415" t="s">
        <v>7343</v>
      </c>
      <c r="K1870" s="419" t="s">
        <v>830</v>
      </c>
      <c r="L1870" s="415" t="s">
        <v>32</v>
      </c>
      <c r="M1870" s="419">
        <v>10</v>
      </c>
      <c r="N1870" s="413">
        <v>44827</v>
      </c>
      <c r="O1870" s="414" t="s">
        <v>400</v>
      </c>
      <c r="P1870" s="655">
        <f t="shared" si="109"/>
        <v>9</v>
      </c>
      <c r="Q1870" s="655">
        <f t="shared" si="110"/>
        <v>9</v>
      </c>
      <c r="R1870" s="695" t="str">
        <f t="shared" si="111"/>
        <v>Gastos_Gerais</v>
      </c>
      <c r="S1870" s="697" t="s">
        <v>999</v>
      </c>
      <c r="T1870" s="697">
        <v>4385</v>
      </c>
    </row>
    <row r="1871" spans="1:20" ht="36" x14ac:dyDescent="0.2">
      <c r="A1871" s="432">
        <f>IF(B1871="","",COUNT('Diário 1º PA'!$A$4:$A$2635)+COUNT('Diário 2º PA'!$A$4:$A$3040)+ROW()-3)</f>
        <v>5967</v>
      </c>
      <c r="B1871" s="414">
        <v>44827</v>
      </c>
      <c r="C1871" s="431">
        <v>44805</v>
      </c>
      <c r="D1871" s="415" t="s">
        <v>271</v>
      </c>
      <c r="E1871" s="415" t="s">
        <v>297</v>
      </c>
      <c r="F1871" s="425">
        <v>44.8</v>
      </c>
      <c r="G1871" s="427" t="s">
        <v>7345</v>
      </c>
      <c r="H1871" s="415" t="s">
        <v>758</v>
      </c>
      <c r="I1871" s="415" t="s">
        <v>6916</v>
      </c>
      <c r="J1871" s="415" t="s">
        <v>6860</v>
      </c>
      <c r="K1871" s="419" t="s">
        <v>830</v>
      </c>
      <c r="L1871" s="415" t="s">
        <v>32</v>
      </c>
      <c r="M1871" s="419">
        <v>15187</v>
      </c>
      <c r="N1871" s="413">
        <v>44827</v>
      </c>
      <c r="O1871" s="414" t="s">
        <v>400</v>
      </c>
      <c r="P1871" s="655">
        <f t="shared" si="109"/>
        <v>9</v>
      </c>
      <c r="Q1871" s="655">
        <f t="shared" si="110"/>
        <v>9</v>
      </c>
      <c r="R1871" s="695" t="str">
        <f t="shared" si="111"/>
        <v>Gastos_Gerais</v>
      </c>
      <c r="S1871" s="697" t="s">
        <v>999</v>
      </c>
      <c r="T1871" s="697">
        <v>4389</v>
      </c>
    </row>
    <row r="1872" spans="1:20" ht="36" x14ac:dyDescent="0.2">
      <c r="A1872" s="432">
        <f>IF(B1872="","",COUNT('Diário 1º PA'!$A$4:$A$2635)+COUNT('Diário 2º PA'!$A$4:$A$3040)+ROW()-3)</f>
        <v>5968</v>
      </c>
      <c r="B1872" s="414">
        <v>44827</v>
      </c>
      <c r="C1872" s="424">
        <v>44805</v>
      </c>
      <c r="D1872" s="415" t="s">
        <v>182</v>
      </c>
      <c r="E1872" s="415" t="s">
        <v>287</v>
      </c>
      <c r="F1872" s="425">
        <v>2606.7600000000002</v>
      </c>
      <c r="G1872" s="427" t="s">
        <v>7361</v>
      </c>
      <c r="H1872" s="415" t="s">
        <v>310</v>
      </c>
      <c r="I1872" s="473" t="s">
        <v>1169</v>
      </c>
      <c r="J1872" s="415" t="s">
        <v>1170</v>
      </c>
      <c r="K1872" s="419" t="s">
        <v>830</v>
      </c>
      <c r="L1872" s="415" t="s">
        <v>925</v>
      </c>
      <c r="M1872" s="415" t="s">
        <v>310</v>
      </c>
      <c r="N1872" s="413">
        <v>44827</v>
      </c>
      <c r="O1872" s="414" t="s">
        <v>400</v>
      </c>
      <c r="P1872" s="655">
        <f t="shared" si="109"/>
        <v>9</v>
      </c>
      <c r="Q1872" s="655">
        <f t="shared" si="110"/>
        <v>9</v>
      </c>
      <c r="R1872" s="695" t="str">
        <f t="shared" si="111"/>
        <v>Gastos_com_Pessoal</v>
      </c>
      <c r="S1872" s="697" t="s">
        <v>310</v>
      </c>
      <c r="T1872" s="697" t="s">
        <v>310</v>
      </c>
    </row>
    <row r="1873" spans="1:20" ht="24" x14ac:dyDescent="0.2">
      <c r="A1873" s="432">
        <f>IF(B1873="","",COUNT('Diário 1º PA'!$A$4:$A$2635)+COUNT('Diário 2º PA'!$A$4:$A$3040)+ROW()-3)</f>
        <v>5969</v>
      </c>
      <c r="B1873" s="414">
        <v>44827</v>
      </c>
      <c r="C1873" s="431">
        <v>44774</v>
      </c>
      <c r="D1873" s="415" t="s">
        <v>182</v>
      </c>
      <c r="E1873" s="415" t="s">
        <v>267</v>
      </c>
      <c r="F1873" s="435">
        <v>2268.2600000000002</v>
      </c>
      <c r="G1873" s="437" t="s">
        <v>7362</v>
      </c>
      <c r="H1873" s="434" t="s">
        <v>310</v>
      </c>
      <c r="I1873" s="398" t="s">
        <v>1461</v>
      </c>
      <c r="J1873" s="434" t="s">
        <v>310</v>
      </c>
      <c r="K1873" s="434" t="s">
        <v>1220</v>
      </c>
      <c r="L1873" s="434" t="s">
        <v>1368</v>
      </c>
      <c r="M1873" s="415" t="s">
        <v>310</v>
      </c>
      <c r="N1873" s="413">
        <v>44827</v>
      </c>
      <c r="O1873" s="414" t="s">
        <v>400</v>
      </c>
      <c r="P1873" s="655">
        <f>IF(B1874=0,0,IF(YEAR(B1874)=$Q$1,MONTH(B1874)-$P$1+1,(YEAR(B1874)-$Q$1)*12-$P$1+1+MONTH(B1874)))</f>
        <v>9</v>
      </c>
      <c r="Q1873" s="655">
        <f t="shared" ref="Q1873:Q1934" si="112">IF(C1873=0,0,IF(YEAR(C1873)=$Q$1,MONTH(C1873)-$P$1+1,(YEAR(C1873)-$Q$1)*12-$P$1+1+MONTH(C1873)))</f>
        <v>8</v>
      </c>
      <c r="R1873" s="695" t="str">
        <f t="shared" si="111"/>
        <v>Gastos_com_Pessoal</v>
      </c>
      <c r="S1873" s="697" t="s">
        <v>310</v>
      </c>
      <c r="T1873" s="697" t="s">
        <v>310</v>
      </c>
    </row>
    <row r="1874" spans="1:20" ht="24" x14ac:dyDescent="0.2">
      <c r="A1874" s="432">
        <f>IF(B1874="","",COUNT('Diário 1º PA'!$A$4:$A$2635)+COUNT('Diário 2º PA'!$A$4:$A$3040)+ROW()-3)</f>
        <v>5970</v>
      </c>
      <c r="B1874" s="414">
        <v>44827</v>
      </c>
      <c r="C1874" s="431">
        <v>44774</v>
      </c>
      <c r="D1874" s="415" t="s">
        <v>271</v>
      </c>
      <c r="E1874" s="415" t="s">
        <v>67</v>
      </c>
      <c r="F1874" s="425">
        <v>1217.3599999999999</v>
      </c>
      <c r="G1874" s="427" t="s">
        <v>6935</v>
      </c>
      <c r="H1874" s="415" t="s">
        <v>310</v>
      </c>
      <c r="I1874" s="427" t="s">
        <v>1461</v>
      </c>
      <c r="J1874" s="415" t="s">
        <v>310</v>
      </c>
      <c r="K1874" s="415" t="s">
        <v>1220</v>
      </c>
      <c r="L1874" s="415" t="s">
        <v>1368</v>
      </c>
      <c r="M1874" s="415" t="s">
        <v>310</v>
      </c>
      <c r="N1874" s="413">
        <v>44824</v>
      </c>
      <c r="O1874" s="414" t="s">
        <v>400</v>
      </c>
      <c r="P1874" s="655">
        <f>IF(B1875=0,0,IF(YEAR(B1875)=$Q$1,MONTH(B1875)-$P$1+1,(YEAR(B1875)-$Q$1)*12-$P$1+1+MONTH(B1875)))</f>
        <v>9</v>
      </c>
      <c r="Q1874" s="655">
        <f t="shared" si="112"/>
        <v>8</v>
      </c>
      <c r="R1874" s="695" t="str">
        <f t="shared" si="111"/>
        <v>Gastos_Gerais</v>
      </c>
      <c r="S1874" s="697" t="s">
        <v>310</v>
      </c>
      <c r="T1874" s="697" t="s">
        <v>310</v>
      </c>
    </row>
    <row r="1875" spans="1:20" ht="36" x14ac:dyDescent="0.2">
      <c r="A1875" s="432">
        <f>IF(B1875="","",COUNT('Diário 1º PA'!$A$4:$A$2635)+COUNT('Diário 2º PA'!$A$4:$A$3040)+ROW()-3)</f>
        <v>5971</v>
      </c>
      <c r="B1875" s="414">
        <v>44827</v>
      </c>
      <c r="C1875" s="431">
        <v>44774</v>
      </c>
      <c r="D1875" s="415" t="s">
        <v>271</v>
      </c>
      <c r="E1875" s="415" t="s">
        <v>92</v>
      </c>
      <c r="F1875" s="425">
        <v>500</v>
      </c>
      <c r="G1875" s="427" t="s">
        <v>1590</v>
      </c>
      <c r="H1875" s="415" t="s">
        <v>309</v>
      </c>
      <c r="I1875" s="415" t="s">
        <v>1304</v>
      </c>
      <c r="J1875" s="415" t="s">
        <v>1033</v>
      </c>
      <c r="K1875" s="419" t="s">
        <v>830</v>
      </c>
      <c r="L1875" s="415" t="s">
        <v>1305</v>
      </c>
      <c r="M1875" s="419" t="s">
        <v>310</v>
      </c>
      <c r="N1875" s="413">
        <v>44805</v>
      </c>
      <c r="O1875" s="414" t="s">
        <v>400</v>
      </c>
      <c r="P1875" s="655">
        <f t="shared" ref="P1875:P1936" si="113">IF(B1875=0,0,IF(YEAR(B1875)=$Q$1,MONTH(B1875)-$P$1+1,(YEAR(B1875)-$Q$1)*12-$P$1+1+MONTH(B1875)))</f>
        <v>9</v>
      </c>
      <c r="Q1875" s="655">
        <f t="shared" si="112"/>
        <v>8</v>
      </c>
      <c r="R1875" s="695" t="str">
        <f t="shared" si="111"/>
        <v>Gastos_Gerais</v>
      </c>
      <c r="S1875" s="697" t="s">
        <v>1000</v>
      </c>
      <c r="T1875" s="697">
        <v>2842</v>
      </c>
    </row>
    <row r="1876" spans="1:20" ht="36" x14ac:dyDescent="0.2">
      <c r="A1876" s="432">
        <f>IF(B1876="","",COUNT('Diário 1º PA'!$A$4:$A$2635)+COUNT('Diário 2º PA'!$A$4:$A$3040)+ROW()-3)</f>
        <v>5972</v>
      </c>
      <c r="B1876" s="414">
        <v>44827</v>
      </c>
      <c r="C1876" s="421">
        <v>44805</v>
      </c>
      <c r="D1876" s="415" t="s">
        <v>271</v>
      </c>
      <c r="E1876" s="415" t="s">
        <v>297</v>
      </c>
      <c r="F1876" s="422">
        <v>500</v>
      </c>
      <c r="G1876" s="419" t="s">
        <v>7363</v>
      </c>
      <c r="H1876" s="419" t="s">
        <v>755</v>
      </c>
      <c r="I1876" s="415" t="s">
        <v>7364</v>
      </c>
      <c r="J1876" s="419" t="s">
        <v>7365</v>
      </c>
      <c r="K1876" s="419" t="s">
        <v>6327</v>
      </c>
      <c r="L1876" s="415" t="s">
        <v>1305</v>
      </c>
      <c r="M1876" s="415" t="s">
        <v>310</v>
      </c>
      <c r="N1876" s="414">
        <v>44827</v>
      </c>
      <c r="O1876" s="414" t="s">
        <v>400</v>
      </c>
      <c r="P1876" s="655">
        <f t="shared" si="113"/>
        <v>9</v>
      </c>
      <c r="Q1876" s="655">
        <f t="shared" si="112"/>
        <v>9</v>
      </c>
      <c r="R1876" s="695" t="str">
        <f t="shared" si="111"/>
        <v>Gastos_Gerais</v>
      </c>
      <c r="S1876" s="697" t="s">
        <v>998</v>
      </c>
      <c r="T1876" s="697">
        <v>4400</v>
      </c>
    </row>
    <row r="1877" spans="1:20" ht="36" x14ac:dyDescent="0.2">
      <c r="A1877" s="432">
        <f>IF(B1877="","",COUNT('Diário 1º PA'!$A$4:$A$2635)+COUNT('Diário 2º PA'!$A$4:$A$3040)+ROW()-3)</f>
        <v>5973</v>
      </c>
      <c r="B1877" s="414">
        <v>44827</v>
      </c>
      <c r="C1877" s="431">
        <v>44805</v>
      </c>
      <c r="D1877" s="415" t="s">
        <v>271</v>
      </c>
      <c r="E1877" s="415" t="s">
        <v>71</v>
      </c>
      <c r="F1877" s="425">
        <v>11</v>
      </c>
      <c r="G1877" s="440" t="s">
        <v>7366</v>
      </c>
      <c r="H1877" s="415" t="s">
        <v>309</v>
      </c>
      <c r="I1877" s="398" t="s">
        <v>881</v>
      </c>
      <c r="J1877" s="418" t="s">
        <v>882</v>
      </c>
      <c r="K1877" s="418" t="s">
        <v>883</v>
      </c>
      <c r="L1877" s="399" t="s">
        <v>798</v>
      </c>
      <c r="M1877" s="544" t="s">
        <v>310</v>
      </c>
      <c r="N1877" s="413">
        <v>44827</v>
      </c>
      <c r="O1877" s="414" t="s">
        <v>400</v>
      </c>
      <c r="P1877" s="655">
        <f t="shared" si="113"/>
        <v>9</v>
      </c>
      <c r="Q1877" s="655">
        <f t="shared" si="112"/>
        <v>9</v>
      </c>
      <c r="R1877" s="695" t="str">
        <f t="shared" si="111"/>
        <v>Gastos_Gerais</v>
      </c>
      <c r="S1877" s="697" t="s">
        <v>310</v>
      </c>
      <c r="T1877" s="697" t="s">
        <v>310</v>
      </c>
    </row>
    <row r="1878" spans="1:20" ht="36" x14ac:dyDescent="0.2">
      <c r="A1878" s="432">
        <f>IF(B1878="","",COUNT('Diário 1º PA'!$A$4:$A$2635)+COUNT('Diário 2º PA'!$A$4:$A$3040)+ROW()-3)</f>
        <v>5974</v>
      </c>
      <c r="B1878" s="414">
        <v>44827</v>
      </c>
      <c r="C1878" s="431">
        <v>44805</v>
      </c>
      <c r="D1878" s="415" t="s">
        <v>271</v>
      </c>
      <c r="E1878" s="415" t="s">
        <v>71</v>
      </c>
      <c r="F1878" s="425">
        <v>11</v>
      </c>
      <c r="G1878" s="440" t="s">
        <v>7367</v>
      </c>
      <c r="H1878" s="415" t="s">
        <v>758</v>
      </c>
      <c r="I1878" s="398" t="s">
        <v>881</v>
      </c>
      <c r="J1878" s="418" t="s">
        <v>882</v>
      </c>
      <c r="K1878" s="418" t="s">
        <v>883</v>
      </c>
      <c r="L1878" s="399" t="s">
        <v>798</v>
      </c>
      <c r="M1878" s="544" t="s">
        <v>310</v>
      </c>
      <c r="N1878" s="413">
        <v>44827</v>
      </c>
      <c r="O1878" s="414" t="s">
        <v>400</v>
      </c>
      <c r="P1878" s="655">
        <f t="shared" si="113"/>
        <v>9</v>
      </c>
      <c r="Q1878" s="655">
        <f t="shared" si="112"/>
        <v>9</v>
      </c>
      <c r="R1878" s="695" t="str">
        <f t="shared" si="111"/>
        <v>Gastos_Gerais</v>
      </c>
      <c r="S1878" s="697" t="s">
        <v>310</v>
      </c>
      <c r="T1878" s="697" t="s">
        <v>310</v>
      </c>
    </row>
    <row r="1879" spans="1:20" ht="36" x14ac:dyDescent="0.2">
      <c r="A1879" s="432">
        <f>IF(B1879="","",COUNT('Diário 1º PA'!$A$4:$A$2635)+COUNT('Diário 2º PA'!$A$4:$A$3040)+ROW()-3)</f>
        <v>5975</v>
      </c>
      <c r="B1879" s="414">
        <v>44827</v>
      </c>
      <c r="C1879" s="431">
        <v>44805</v>
      </c>
      <c r="D1879" s="415" t="s">
        <v>271</v>
      </c>
      <c r="E1879" s="415" t="s">
        <v>71</v>
      </c>
      <c r="F1879" s="425">
        <v>11</v>
      </c>
      <c r="G1879" s="440" t="s">
        <v>7369</v>
      </c>
      <c r="H1879" s="415" t="s">
        <v>758</v>
      </c>
      <c r="I1879" s="398" t="s">
        <v>881</v>
      </c>
      <c r="J1879" s="418" t="s">
        <v>882</v>
      </c>
      <c r="K1879" s="418" t="s">
        <v>883</v>
      </c>
      <c r="L1879" s="399" t="s">
        <v>798</v>
      </c>
      <c r="M1879" s="544" t="s">
        <v>310</v>
      </c>
      <c r="N1879" s="413">
        <v>44827</v>
      </c>
      <c r="O1879" s="414" t="s">
        <v>400</v>
      </c>
      <c r="P1879" s="655">
        <f t="shared" si="113"/>
        <v>9</v>
      </c>
      <c r="Q1879" s="655">
        <f t="shared" si="112"/>
        <v>9</v>
      </c>
      <c r="R1879" s="695" t="str">
        <f t="shared" si="111"/>
        <v>Gastos_Gerais</v>
      </c>
      <c r="S1879" s="697" t="s">
        <v>310</v>
      </c>
      <c r="T1879" s="697" t="s">
        <v>310</v>
      </c>
    </row>
    <row r="1880" spans="1:20" ht="36" x14ac:dyDescent="0.2">
      <c r="A1880" s="432">
        <f>IF(B1880="","",COUNT('Diário 1º PA'!$A$4:$A$2635)+COUNT('Diário 2º PA'!$A$4:$A$3040)+ROW()-3)</f>
        <v>5976</v>
      </c>
      <c r="B1880" s="414">
        <v>44827</v>
      </c>
      <c r="C1880" s="431">
        <v>44805</v>
      </c>
      <c r="D1880" s="415" t="s">
        <v>271</v>
      </c>
      <c r="E1880" s="415" t="s">
        <v>71</v>
      </c>
      <c r="F1880" s="425">
        <v>11</v>
      </c>
      <c r="G1880" s="440" t="s">
        <v>7368</v>
      </c>
      <c r="H1880" s="415" t="s">
        <v>310</v>
      </c>
      <c r="I1880" s="398" t="s">
        <v>881</v>
      </c>
      <c r="J1880" s="418" t="s">
        <v>882</v>
      </c>
      <c r="K1880" s="418" t="s">
        <v>883</v>
      </c>
      <c r="L1880" s="399" t="s">
        <v>798</v>
      </c>
      <c r="M1880" s="544" t="s">
        <v>310</v>
      </c>
      <c r="N1880" s="413">
        <v>44827</v>
      </c>
      <c r="O1880" s="414" t="s">
        <v>400</v>
      </c>
      <c r="P1880" s="655">
        <f t="shared" si="113"/>
        <v>9</v>
      </c>
      <c r="Q1880" s="655">
        <f t="shared" si="112"/>
        <v>9</v>
      </c>
      <c r="R1880" s="695" t="str">
        <f t="shared" si="111"/>
        <v>Gastos_Gerais</v>
      </c>
      <c r="S1880" s="697" t="s">
        <v>310</v>
      </c>
      <c r="T1880" s="697" t="s">
        <v>310</v>
      </c>
    </row>
    <row r="1881" spans="1:20" ht="36" x14ac:dyDescent="0.2">
      <c r="A1881" s="432">
        <f>IF(B1881="","",COUNT('Diário 1º PA'!$A$4:$A$2635)+COUNT('Diário 2º PA'!$A$4:$A$3040)+ROW()-3)</f>
        <v>5977</v>
      </c>
      <c r="B1881" s="414">
        <v>44827</v>
      </c>
      <c r="C1881" s="431">
        <v>44805</v>
      </c>
      <c r="D1881" s="415" t="s">
        <v>271</v>
      </c>
      <c r="E1881" s="415" t="s">
        <v>71</v>
      </c>
      <c r="F1881" s="425">
        <v>11</v>
      </c>
      <c r="G1881" s="440" t="s">
        <v>7370</v>
      </c>
      <c r="H1881" s="415" t="s">
        <v>309</v>
      </c>
      <c r="I1881" s="398" t="s">
        <v>881</v>
      </c>
      <c r="J1881" s="418" t="s">
        <v>882</v>
      </c>
      <c r="K1881" s="418" t="s">
        <v>883</v>
      </c>
      <c r="L1881" s="399" t="s">
        <v>798</v>
      </c>
      <c r="M1881" s="544" t="s">
        <v>310</v>
      </c>
      <c r="N1881" s="413">
        <v>44827</v>
      </c>
      <c r="O1881" s="414" t="s">
        <v>400</v>
      </c>
      <c r="P1881" s="655">
        <f t="shared" si="113"/>
        <v>9</v>
      </c>
      <c r="Q1881" s="655">
        <f t="shared" si="112"/>
        <v>9</v>
      </c>
      <c r="R1881" s="695" t="str">
        <f t="shared" si="111"/>
        <v>Gastos_Gerais</v>
      </c>
      <c r="S1881" s="697" t="s">
        <v>310</v>
      </c>
      <c r="T1881" s="697" t="s">
        <v>310</v>
      </c>
    </row>
    <row r="1882" spans="1:20" ht="48" x14ac:dyDescent="0.2">
      <c r="A1882" s="432">
        <f>IF(B1882="","",COUNT('Diário 1º PA'!$A$4:$A$2635)+COUNT('Diário 2º PA'!$A$4:$A$3040)+ROW()-3)</f>
        <v>5978</v>
      </c>
      <c r="B1882" s="414">
        <v>44830</v>
      </c>
      <c r="C1882" s="431">
        <v>44774</v>
      </c>
      <c r="D1882" s="415" t="s">
        <v>271</v>
      </c>
      <c r="E1882" s="415" t="s">
        <v>92</v>
      </c>
      <c r="F1882" s="425">
        <v>-114.88</v>
      </c>
      <c r="G1882" s="427" t="s">
        <v>7386</v>
      </c>
      <c r="H1882" s="415" t="s">
        <v>309</v>
      </c>
      <c r="I1882" s="474" t="s">
        <v>795</v>
      </c>
      <c r="J1882" s="434" t="s">
        <v>796</v>
      </c>
      <c r="K1882" s="434" t="s">
        <v>797</v>
      </c>
      <c r="L1882" s="434" t="s">
        <v>798</v>
      </c>
      <c r="M1882" s="436" t="s">
        <v>310</v>
      </c>
      <c r="N1882" s="414">
        <v>44830</v>
      </c>
      <c r="O1882" s="414" t="s">
        <v>400</v>
      </c>
      <c r="P1882" s="655">
        <f t="shared" si="113"/>
        <v>9</v>
      </c>
      <c r="Q1882" s="655">
        <f t="shared" si="112"/>
        <v>8</v>
      </c>
      <c r="R1882" s="695" t="str">
        <f t="shared" si="111"/>
        <v>Gastos_Gerais</v>
      </c>
      <c r="S1882" s="697" t="s">
        <v>310</v>
      </c>
      <c r="T1882" s="697" t="s">
        <v>310</v>
      </c>
    </row>
    <row r="1883" spans="1:20" ht="48" x14ac:dyDescent="0.2">
      <c r="A1883" s="432">
        <f>IF(B1883="","",COUNT('Diário 1º PA'!$A$4:$A$2635)+COUNT('Diário 2º PA'!$A$4:$A$3040)+ROW()-3)</f>
        <v>5979</v>
      </c>
      <c r="B1883" s="414">
        <v>44830</v>
      </c>
      <c r="C1883" s="466">
        <v>44774</v>
      </c>
      <c r="D1883" s="415" t="s">
        <v>271</v>
      </c>
      <c r="E1883" s="415" t="s">
        <v>164</v>
      </c>
      <c r="F1883" s="435">
        <v>-204.23</v>
      </c>
      <c r="G1883" s="427" t="s">
        <v>7287</v>
      </c>
      <c r="H1883" s="415" t="s">
        <v>309</v>
      </c>
      <c r="I1883" s="473" t="s">
        <v>795</v>
      </c>
      <c r="J1883" s="415" t="s">
        <v>796</v>
      </c>
      <c r="K1883" s="415" t="s">
        <v>797</v>
      </c>
      <c r="L1883" s="415" t="s">
        <v>798</v>
      </c>
      <c r="M1883" s="415" t="s">
        <v>310</v>
      </c>
      <c r="N1883" s="414">
        <v>44830</v>
      </c>
      <c r="O1883" s="414" t="s">
        <v>400</v>
      </c>
      <c r="P1883" s="655">
        <f t="shared" si="113"/>
        <v>9</v>
      </c>
      <c r="Q1883" s="655">
        <f t="shared" si="112"/>
        <v>8</v>
      </c>
      <c r="R1883" s="695" t="str">
        <f t="shared" si="111"/>
        <v>Gastos_Gerais</v>
      </c>
      <c r="S1883" s="696" t="s">
        <v>310</v>
      </c>
      <c r="T1883" s="696" t="s">
        <v>310</v>
      </c>
    </row>
    <row r="1884" spans="1:20" ht="48" x14ac:dyDescent="0.2">
      <c r="A1884" s="432">
        <f>IF(B1884="","",COUNT('Diário 1º PA'!$A$4:$A$2635)+COUNT('Diário 2º PA'!$A$4:$A$3040)+ROW()-3)</f>
        <v>5980</v>
      </c>
      <c r="B1884" s="414">
        <v>44830</v>
      </c>
      <c r="C1884" s="431">
        <v>44805</v>
      </c>
      <c r="D1884" s="415" t="s">
        <v>271</v>
      </c>
      <c r="E1884" s="415" t="s">
        <v>297</v>
      </c>
      <c r="F1884" s="425">
        <v>75</v>
      </c>
      <c r="G1884" s="427" t="s">
        <v>7358</v>
      </c>
      <c r="H1884" s="415" t="s">
        <v>758</v>
      </c>
      <c r="I1884" s="415" t="s">
        <v>7387</v>
      </c>
      <c r="J1884" s="415" t="s">
        <v>7357</v>
      </c>
      <c r="K1884" s="419" t="s">
        <v>830</v>
      </c>
      <c r="L1884" s="415" t="s">
        <v>32</v>
      </c>
      <c r="M1884" s="415">
        <v>61</v>
      </c>
      <c r="N1884" s="414">
        <v>44831</v>
      </c>
      <c r="O1884" s="414" t="s">
        <v>400</v>
      </c>
      <c r="P1884" s="655">
        <f t="shared" si="113"/>
        <v>9</v>
      </c>
      <c r="Q1884" s="655">
        <f t="shared" si="112"/>
        <v>9</v>
      </c>
      <c r="R1884" s="695" t="str">
        <f t="shared" si="111"/>
        <v>Gastos_Gerais</v>
      </c>
      <c r="S1884" s="697" t="s">
        <v>999</v>
      </c>
      <c r="T1884" s="697">
        <v>4390</v>
      </c>
    </row>
    <row r="1885" spans="1:20" ht="24" x14ac:dyDescent="0.2">
      <c r="A1885" s="432">
        <f>IF(B1885="","",COUNT('Diário 1º PA'!$A$4:$A$2635)+COUNT('Diário 2º PA'!$A$4:$A$3040)+ROW()-3)</f>
        <v>5981</v>
      </c>
      <c r="B1885" s="413">
        <v>44830</v>
      </c>
      <c r="C1885" s="431">
        <v>44805</v>
      </c>
      <c r="D1885" s="434" t="s">
        <v>271</v>
      </c>
      <c r="E1885" s="434" t="s">
        <v>84</v>
      </c>
      <c r="F1885" s="422">
        <v>71.25</v>
      </c>
      <c r="G1885" s="437" t="s">
        <v>1479</v>
      </c>
      <c r="H1885" s="434" t="s">
        <v>750</v>
      </c>
      <c r="I1885" s="415" t="s">
        <v>766</v>
      </c>
      <c r="J1885" s="415" t="s">
        <v>1019</v>
      </c>
      <c r="K1885" s="418" t="s">
        <v>1392</v>
      </c>
      <c r="L1885" s="399" t="s">
        <v>1372</v>
      </c>
      <c r="M1885" s="419" t="s">
        <v>7388</v>
      </c>
      <c r="N1885" s="413">
        <v>44822</v>
      </c>
      <c r="O1885" s="414" t="s">
        <v>400</v>
      </c>
      <c r="P1885" s="655">
        <f t="shared" si="113"/>
        <v>9</v>
      </c>
      <c r="Q1885" s="655">
        <f t="shared" si="112"/>
        <v>9</v>
      </c>
      <c r="R1885" s="695" t="str">
        <f t="shared" si="111"/>
        <v>Gastos_Gerais</v>
      </c>
      <c r="S1885" s="697" t="s">
        <v>310</v>
      </c>
      <c r="T1885" s="697" t="s">
        <v>310</v>
      </c>
    </row>
    <row r="1886" spans="1:20" ht="48" x14ac:dyDescent="0.2">
      <c r="A1886" s="432">
        <f>IF(B1886="","",COUNT('Diário 1º PA'!$A$4:$A$2635)+COUNT('Diário 2º PA'!$A$4:$A$3040)+ROW()-3)</f>
        <v>5982</v>
      </c>
      <c r="B1886" s="413">
        <v>44830</v>
      </c>
      <c r="C1886" s="431">
        <v>44774</v>
      </c>
      <c r="D1886" s="415" t="s">
        <v>271</v>
      </c>
      <c r="E1886" s="415" t="s">
        <v>92</v>
      </c>
      <c r="F1886" s="422">
        <v>435</v>
      </c>
      <c r="G1886" s="427" t="s">
        <v>655</v>
      </c>
      <c r="H1886" s="415" t="s">
        <v>309</v>
      </c>
      <c r="I1886" s="415" t="s">
        <v>1488</v>
      </c>
      <c r="J1886" s="415" t="s">
        <v>1078</v>
      </c>
      <c r="K1886" s="419" t="s">
        <v>812</v>
      </c>
      <c r="L1886" s="419" t="s">
        <v>7238</v>
      </c>
      <c r="M1886" s="419">
        <v>22444</v>
      </c>
      <c r="N1886" s="413">
        <v>44830</v>
      </c>
      <c r="O1886" s="414" t="s">
        <v>400</v>
      </c>
      <c r="P1886" s="655">
        <f t="shared" si="113"/>
        <v>9</v>
      </c>
      <c r="Q1886" s="655">
        <f t="shared" si="112"/>
        <v>8</v>
      </c>
      <c r="R1886" s="695" t="str">
        <f t="shared" si="111"/>
        <v>Gastos_Gerais</v>
      </c>
      <c r="S1886" s="697" t="s">
        <v>1000</v>
      </c>
      <c r="T1886" s="697">
        <v>2667</v>
      </c>
    </row>
    <row r="1887" spans="1:20" ht="72" x14ac:dyDescent="0.2">
      <c r="A1887" s="432">
        <f>IF(B1887="","",COUNT('Diário 1º PA'!$A$4:$A$2635)+COUNT('Diário 2º PA'!$A$4:$A$3040)+ROW()-3)</f>
        <v>5983</v>
      </c>
      <c r="B1887" s="413">
        <v>44830</v>
      </c>
      <c r="C1887" s="431">
        <v>44774</v>
      </c>
      <c r="D1887" s="415" t="s">
        <v>271</v>
      </c>
      <c r="E1887" s="415" t="s">
        <v>186</v>
      </c>
      <c r="F1887" s="422">
        <v>2952.47</v>
      </c>
      <c r="G1887" s="427" t="s">
        <v>3151</v>
      </c>
      <c r="H1887" s="415" t="s">
        <v>751</v>
      </c>
      <c r="I1887" s="415" t="s">
        <v>3740</v>
      </c>
      <c r="J1887" s="415" t="s">
        <v>1029</v>
      </c>
      <c r="K1887" s="419" t="s">
        <v>812</v>
      </c>
      <c r="L1887" s="415" t="s">
        <v>32</v>
      </c>
      <c r="M1887" s="419" t="s">
        <v>7389</v>
      </c>
      <c r="N1887" s="413">
        <v>44818</v>
      </c>
      <c r="O1887" s="414" t="s">
        <v>400</v>
      </c>
      <c r="P1887" s="655">
        <f t="shared" si="113"/>
        <v>9</v>
      </c>
      <c r="Q1887" s="655">
        <f t="shared" si="112"/>
        <v>8</v>
      </c>
      <c r="R1887" s="695" t="str">
        <f t="shared" si="111"/>
        <v>Gastos_Gerais</v>
      </c>
      <c r="S1887" s="697" t="s">
        <v>1000</v>
      </c>
      <c r="T1887" s="697">
        <v>1501</v>
      </c>
    </row>
    <row r="1888" spans="1:20" ht="24" x14ac:dyDescent="0.2">
      <c r="A1888" s="432">
        <f>IF(B1888="","",COUNT('Diário 1º PA'!$A$4:$A$2635)+COUNT('Diário 2º PA'!$A$4:$A$3040)+ROW()-3)</f>
        <v>5984</v>
      </c>
      <c r="B1888" s="413">
        <v>44830</v>
      </c>
      <c r="C1888" s="433">
        <v>44774</v>
      </c>
      <c r="D1888" s="434" t="s">
        <v>271</v>
      </c>
      <c r="E1888" s="434" t="s">
        <v>164</v>
      </c>
      <c r="F1888" s="422">
        <v>773.3</v>
      </c>
      <c r="G1888" s="437" t="s">
        <v>502</v>
      </c>
      <c r="H1888" s="434" t="s">
        <v>309</v>
      </c>
      <c r="I1888" s="437" t="s">
        <v>769</v>
      </c>
      <c r="J1888" s="434" t="s">
        <v>1478</v>
      </c>
      <c r="K1888" s="434" t="s">
        <v>1404</v>
      </c>
      <c r="L1888" s="434" t="s">
        <v>1372</v>
      </c>
      <c r="M1888" s="419">
        <v>4794387010</v>
      </c>
      <c r="N1888" s="414">
        <v>44811</v>
      </c>
      <c r="O1888" s="414" t="s">
        <v>400</v>
      </c>
      <c r="P1888" s="655">
        <f t="shared" si="113"/>
        <v>9</v>
      </c>
      <c r="Q1888" s="655">
        <f t="shared" si="112"/>
        <v>8</v>
      </c>
      <c r="R1888" s="695" t="str">
        <f t="shared" si="111"/>
        <v>Gastos_Gerais</v>
      </c>
      <c r="S1888" s="697" t="s">
        <v>310</v>
      </c>
      <c r="T1888" s="697" t="s">
        <v>310</v>
      </c>
    </row>
    <row r="1889" spans="1:20" ht="36" x14ac:dyDescent="0.2">
      <c r="A1889" s="432">
        <f>IF(B1889="","",COUNT('Diário 1º PA'!$A$4:$A$2635)+COUNT('Diário 2º PA'!$A$4:$A$3040)+ROW()-3)</f>
        <v>5985</v>
      </c>
      <c r="B1889" s="413">
        <v>44830</v>
      </c>
      <c r="C1889" s="431">
        <v>44805</v>
      </c>
      <c r="D1889" s="415" t="s">
        <v>271</v>
      </c>
      <c r="E1889" s="415" t="s">
        <v>71</v>
      </c>
      <c r="F1889" s="425">
        <v>11</v>
      </c>
      <c r="G1889" s="440" t="s">
        <v>7391</v>
      </c>
      <c r="H1889" s="415" t="s">
        <v>758</v>
      </c>
      <c r="I1889" s="398" t="s">
        <v>881</v>
      </c>
      <c r="J1889" s="418" t="s">
        <v>882</v>
      </c>
      <c r="K1889" s="418" t="s">
        <v>883</v>
      </c>
      <c r="L1889" s="399" t="s">
        <v>798</v>
      </c>
      <c r="M1889" s="544" t="s">
        <v>310</v>
      </c>
      <c r="N1889" s="413">
        <v>44830</v>
      </c>
      <c r="O1889" s="414" t="s">
        <v>400</v>
      </c>
      <c r="P1889" s="655">
        <f t="shared" si="113"/>
        <v>9</v>
      </c>
      <c r="Q1889" s="655">
        <f t="shared" si="112"/>
        <v>9</v>
      </c>
      <c r="R1889" s="695" t="str">
        <f t="shared" si="111"/>
        <v>Gastos_Gerais</v>
      </c>
      <c r="S1889" s="697" t="s">
        <v>310</v>
      </c>
      <c r="T1889" s="697" t="s">
        <v>310</v>
      </c>
    </row>
    <row r="1890" spans="1:20" ht="60" x14ac:dyDescent="0.2">
      <c r="A1890" s="432">
        <f>IF(B1890="","",COUNT('Diário 1º PA'!$A$4:$A$2635)+COUNT('Diário 2º PA'!$A$4:$A$3040)+ROW()-3)</f>
        <v>5986</v>
      </c>
      <c r="B1890" s="413">
        <v>44830</v>
      </c>
      <c r="C1890" s="421">
        <v>44774</v>
      </c>
      <c r="D1890" s="415" t="s">
        <v>468</v>
      </c>
      <c r="E1890" s="415" t="s">
        <v>468</v>
      </c>
      <c r="F1890" s="422">
        <v>3500</v>
      </c>
      <c r="G1890" s="419" t="s">
        <v>7407</v>
      </c>
      <c r="H1890" s="419" t="s">
        <v>468</v>
      </c>
      <c r="I1890" s="474" t="s">
        <v>2437</v>
      </c>
      <c r="J1890" s="434" t="s">
        <v>796</v>
      </c>
      <c r="K1890" s="434" t="s">
        <v>806</v>
      </c>
      <c r="L1890" s="434" t="s">
        <v>798</v>
      </c>
      <c r="M1890" s="436" t="s">
        <v>310</v>
      </c>
      <c r="N1890" s="413">
        <v>44830</v>
      </c>
      <c r="O1890" s="414" t="s">
        <v>404</v>
      </c>
      <c r="P1890" s="655">
        <f t="shared" si="113"/>
        <v>9</v>
      </c>
      <c r="Q1890" s="655">
        <f t="shared" si="112"/>
        <v>8</v>
      </c>
      <c r="R1890" s="695" t="str">
        <f t="shared" si="111"/>
        <v>Gastos_custeados_por_captação</v>
      </c>
      <c r="S1890" s="697" t="s">
        <v>310</v>
      </c>
      <c r="T1890" s="697" t="s">
        <v>310</v>
      </c>
    </row>
    <row r="1891" spans="1:20" ht="60" x14ac:dyDescent="0.2">
      <c r="A1891" s="432">
        <f>IF(B1891="","",COUNT('Diário 1º PA'!$A$4:$A$2635)+COUNT('Diário 2º PA'!$A$4:$A$3040)+ROW()-3)</f>
        <v>5987</v>
      </c>
      <c r="B1891" s="413">
        <v>44830</v>
      </c>
      <c r="C1891" s="421">
        <v>44774</v>
      </c>
      <c r="D1891" s="415" t="s">
        <v>468</v>
      </c>
      <c r="E1891" s="415" t="s">
        <v>468</v>
      </c>
      <c r="F1891" s="422">
        <v>10000</v>
      </c>
      <c r="G1891" s="419" t="s">
        <v>7446</v>
      </c>
      <c r="H1891" s="419" t="s">
        <v>468</v>
      </c>
      <c r="I1891" s="474" t="s">
        <v>2437</v>
      </c>
      <c r="J1891" s="434" t="s">
        <v>796</v>
      </c>
      <c r="K1891" s="434" t="s">
        <v>806</v>
      </c>
      <c r="L1891" s="434" t="s">
        <v>798</v>
      </c>
      <c r="M1891" s="436" t="s">
        <v>310</v>
      </c>
      <c r="N1891" s="413">
        <v>44830</v>
      </c>
      <c r="O1891" s="414" t="s">
        <v>404</v>
      </c>
      <c r="P1891" s="655">
        <f t="shared" si="113"/>
        <v>9</v>
      </c>
      <c r="Q1891" s="655">
        <f t="shared" si="112"/>
        <v>8</v>
      </c>
      <c r="R1891" s="695" t="str">
        <f t="shared" si="111"/>
        <v>Gastos_custeados_por_captação</v>
      </c>
      <c r="S1891" s="697" t="s">
        <v>310</v>
      </c>
      <c r="T1891" s="697" t="s">
        <v>310</v>
      </c>
    </row>
    <row r="1892" spans="1:20" ht="108" x14ac:dyDescent="0.2">
      <c r="A1892" s="432">
        <f>IF(B1892="","",COUNT('Diário 1º PA'!$A$4:$A$2635)+COUNT('Diário 2º PA'!$A$4:$A$3040)+ROW()-3)</f>
        <v>5988</v>
      </c>
      <c r="B1892" s="413">
        <v>44830</v>
      </c>
      <c r="C1892" s="421">
        <v>44743</v>
      </c>
      <c r="D1892" s="415" t="s">
        <v>468</v>
      </c>
      <c r="E1892" s="415" t="s">
        <v>468</v>
      </c>
      <c r="F1892" s="422">
        <v>8000</v>
      </c>
      <c r="G1892" s="419" t="s">
        <v>5815</v>
      </c>
      <c r="H1892" s="419" t="s">
        <v>468</v>
      </c>
      <c r="I1892" s="474" t="s">
        <v>7408</v>
      </c>
      <c r="J1892" s="434" t="s">
        <v>3717</v>
      </c>
      <c r="K1892" s="434" t="s">
        <v>830</v>
      </c>
      <c r="L1892" s="434" t="s">
        <v>807</v>
      </c>
      <c r="M1892" s="436" t="s">
        <v>7409</v>
      </c>
      <c r="N1892" s="413">
        <v>44826</v>
      </c>
      <c r="O1892" s="414" t="s">
        <v>3762</v>
      </c>
      <c r="P1892" s="655">
        <f t="shared" si="113"/>
        <v>9</v>
      </c>
      <c r="Q1892" s="655">
        <f t="shared" si="112"/>
        <v>7</v>
      </c>
      <c r="R1892" s="695" t="str">
        <f t="shared" si="111"/>
        <v>Gastos_custeados_por_captação</v>
      </c>
      <c r="S1892" s="697" t="s">
        <v>998</v>
      </c>
      <c r="T1892" s="697">
        <v>3996</v>
      </c>
    </row>
    <row r="1893" spans="1:20" ht="48" x14ac:dyDescent="0.2">
      <c r="A1893" s="432">
        <f>IF(B1893="","",COUNT('Diário 1º PA'!$A$4:$A$2635)+COUNT('Diário 2º PA'!$A$4:$A$3040)+ROW()-3)</f>
        <v>5989</v>
      </c>
      <c r="B1893" s="413">
        <v>44830</v>
      </c>
      <c r="C1893" s="421">
        <v>44805</v>
      </c>
      <c r="D1893" s="415" t="s">
        <v>468</v>
      </c>
      <c r="E1893" s="415" t="s">
        <v>468</v>
      </c>
      <c r="F1893" s="422">
        <v>11</v>
      </c>
      <c r="G1893" s="419" t="s">
        <v>6516</v>
      </c>
      <c r="H1893" s="419" t="s">
        <v>468</v>
      </c>
      <c r="I1893" s="398" t="s">
        <v>881</v>
      </c>
      <c r="J1893" s="418" t="s">
        <v>882</v>
      </c>
      <c r="K1893" s="418" t="s">
        <v>883</v>
      </c>
      <c r="L1893" s="399" t="s">
        <v>798</v>
      </c>
      <c r="M1893" s="544" t="s">
        <v>310</v>
      </c>
      <c r="N1893" s="413">
        <v>44830</v>
      </c>
      <c r="O1893" s="414" t="s">
        <v>3762</v>
      </c>
      <c r="P1893" s="655">
        <f t="shared" si="113"/>
        <v>9</v>
      </c>
      <c r="Q1893" s="655">
        <f t="shared" si="112"/>
        <v>9</v>
      </c>
      <c r="R1893" s="695" t="str">
        <f t="shared" si="111"/>
        <v>Gastos_custeados_por_captação</v>
      </c>
      <c r="S1893" s="697" t="s">
        <v>310</v>
      </c>
      <c r="T1893" s="697" t="s">
        <v>310</v>
      </c>
    </row>
    <row r="1894" spans="1:20" ht="36" x14ac:dyDescent="0.2">
      <c r="A1894" s="432">
        <f>IF(B1894="","",COUNT('Diário 1º PA'!$A$4:$A$2635)+COUNT('Diário 2º PA'!$A$4:$A$3040)+ROW()-3)</f>
        <v>5990</v>
      </c>
      <c r="B1894" s="414">
        <v>44831</v>
      </c>
      <c r="C1894" s="424">
        <v>44805</v>
      </c>
      <c r="D1894" s="415" t="s">
        <v>182</v>
      </c>
      <c r="E1894" s="415" t="s">
        <v>287</v>
      </c>
      <c r="F1894" s="425">
        <v>3480.98</v>
      </c>
      <c r="G1894" s="427" t="s">
        <v>7406</v>
      </c>
      <c r="H1894" s="415" t="s">
        <v>310</v>
      </c>
      <c r="I1894" s="473" t="s">
        <v>907</v>
      </c>
      <c r="J1894" s="415" t="s">
        <v>908</v>
      </c>
      <c r="K1894" s="419" t="s">
        <v>806</v>
      </c>
      <c r="L1894" s="415" t="s">
        <v>925</v>
      </c>
      <c r="M1894" s="415" t="s">
        <v>310</v>
      </c>
      <c r="N1894" s="413">
        <v>44831</v>
      </c>
      <c r="O1894" s="414" t="s">
        <v>400</v>
      </c>
      <c r="P1894" s="655">
        <f t="shared" si="113"/>
        <v>9</v>
      </c>
      <c r="Q1894" s="655">
        <f t="shared" si="112"/>
        <v>9</v>
      </c>
      <c r="R1894" s="695" t="str">
        <f t="shared" si="111"/>
        <v>Gastos_com_Pessoal</v>
      </c>
      <c r="S1894" s="697" t="s">
        <v>310</v>
      </c>
      <c r="T1894" s="697" t="s">
        <v>310</v>
      </c>
    </row>
    <row r="1895" spans="1:20" ht="36" x14ac:dyDescent="0.2">
      <c r="A1895" s="432">
        <f>IF(B1895="","",COUNT('Diário 1º PA'!$A$4:$A$2635)+COUNT('Diário 2º PA'!$A$4:$A$3040)+ROW()-3)</f>
        <v>5991</v>
      </c>
      <c r="B1895" s="414">
        <v>44831</v>
      </c>
      <c r="C1895" s="431">
        <v>44805</v>
      </c>
      <c r="D1895" s="415" t="s">
        <v>271</v>
      </c>
      <c r="E1895" s="415" t="s">
        <v>297</v>
      </c>
      <c r="F1895" s="425">
        <v>85.97</v>
      </c>
      <c r="G1895" s="427" t="s">
        <v>7392</v>
      </c>
      <c r="H1895" s="415" t="s">
        <v>757</v>
      </c>
      <c r="I1895" s="427" t="s">
        <v>3357</v>
      </c>
      <c r="J1895" s="415" t="s">
        <v>1006</v>
      </c>
      <c r="K1895" s="419" t="s">
        <v>812</v>
      </c>
      <c r="L1895" s="415" t="s">
        <v>32</v>
      </c>
      <c r="M1895" s="415" t="s">
        <v>7432</v>
      </c>
      <c r="N1895" s="414">
        <v>44832</v>
      </c>
      <c r="O1895" s="414" t="s">
        <v>400</v>
      </c>
      <c r="P1895" s="655">
        <f t="shared" si="113"/>
        <v>9</v>
      </c>
      <c r="Q1895" s="655">
        <f t="shared" si="112"/>
        <v>9</v>
      </c>
      <c r="R1895" s="695" t="str">
        <f t="shared" si="111"/>
        <v>Gastos_Gerais</v>
      </c>
      <c r="S1895" s="697" t="s">
        <v>999</v>
      </c>
      <c r="T1895" s="697">
        <v>4404</v>
      </c>
    </row>
    <row r="1896" spans="1:20" ht="24" x14ac:dyDescent="0.2">
      <c r="A1896" s="432">
        <f>IF(B1896="","",COUNT('Diário 1º PA'!$A$4:$A$2635)+COUNT('Diário 2º PA'!$A$4:$A$3040)+ROW()-3)</f>
        <v>5992</v>
      </c>
      <c r="B1896" s="414">
        <v>44831</v>
      </c>
      <c r="C1896" s="433">
        <v>44774</v>
      </c>
      <c r="D1896" s="434" t="s">
        <v>182</v>
      </c>
      <c r="E1896" s="434" t="s">
        <v>161</v>
      </c>
      <c r="F1896" s="435">
        <v>940.99</v>
      </c>
      <c r="G1896" s="437" t="s">
        <v>1495</v>
      </c>
      <c r="H1896" s="415" t="s">
        <v>310</v>
      </c>
      <c r="I1896" s="473" t="s">
        <v>1496</v>
      </c>
      <c r="J1896" s="548" t="s">
        <v>1497</v>
      </c>
      <c r="K1896" s="415" t="s">
        <v>812</v>
      </c>
      <c r="L1896" s="415" t="s">
        <v>807</v>
      </c>
      <c r="M1896" s="415" t="s">
        <v>7433</v>
      </c>
      <c r="N1896" s="414">
        <v>44832</v>
      </c>
      <c r="O1896" s="414" t="s">
        <v>400</v>
      </c>
      <c r="P1896" s="655">
        <f t="shared" si="113"/>
        <v>9</v>
      </c>
      <c r="Q1896" s="655">
        <f t="shared" si="112"/>
        <v>8</v>
      </c>
      <c r="R1896" s="695" t="str">
        <f t="shared" si="111"/>
        <v>Gastos_com_Pessoal</v>
      </c>
      <c r="S1896" s="697" t="s">
        <v>310</v>
      </c>
      <c r="T1896" s="697" t="s">
        <v>310</v>
      </c>
    </row>
    <row r="1897" spans="1:20" ht="24" x14ac:dyDescent="0.2">
      <c r="A1897" s="432">
        <f>IF(B1897="","",COUNT('Diário 1º PA'!$A$4:$A$2635)+COUNT('Diário 2º PA'!$A$4:$A$3040)+ROW()-3)</f>
        <v>5993</v>
      </c>
      <c r="B1897" s="414">
        <v>44831</v>
      </c>
      <c r="C1897" s="431">
        <v>44805</v>
      </c>
      <c r="D1897" s="434" t="s">
        <v>182</v>
      </c>
      <c r="E1897" s="434" t="s">
        <v>161</v>
      </c>
      <c r="F1897" s="435">
        <v>2612.19</v>
      </c>
      <c r="G1897" s="437" t="s">
        <v>1495</v>
      </c>
      <c r="H1897" s="434" t="s">
        <v>310</v>
      </c>
      <c r="I1897" s="473" t="s">
        <v>2008</v>
      </c>
      <c r="J1897" s="548" t="s">
        <v>2009</v>
      </c>
      <c r="K1897" s="419" t="s">
        <v>812</v>
      </c>
      <c r="L1897" s="415" t="s">
        <v>32</v>
      </c>
      <c r="M1897" s="415" t="s">
        <v>7435</v>
      </c>
      <c r="N1897" s="414">
        <v>44833</v>
      </c>
      <c r="O1897" s="414" t="s">
        <v>400</v>
      </c>
      <c r="P1897" s="655">
        <f t="shared" si="113"/>
        <v>9</v>
      </c>
      <c r="Q1897" s="655">
        <f t="shared" si="112"/>
        <v>9</v>
      </c>
      <c r="R1897" s="695" t="str">
        <f t="shared" si="111"/>
        <v>Gastos_com_Pessoal</v>
      </c>
      <c r="S1897" s="697" t="s">
        <v>310</v>
      </c>
      <c r="T1897" s="697" t="s">
        <v>310</v>
      </c>
    </row>
    <row r="1898" spans="1:20" ht="49.5" customHeight="1" x14ac:dyDescent="0.2">
      <c r="A1898" s="432">
        <f>IF(B1898="","",COUNT('Diário 1º PA'!$A$4:$A$2635)+COUNT('Diário 2º PA'!$A$4:$A$3040)+ROW()-3)</f>
        <v>5994</v>
      </c>
      <c r="B1898" s="414">
        <v>44832</v>
      </c>
      <c r="C1898" s="433">
        <v>44805</v>
      </c>
      <c r="D1898" s="434" t="s">
        <v>182</v>
      </c>
      <c r="E1898" s="434" t="s">
        <v>6</v>
      </c>
      <c r="F1898" s="435">
        <v>25848.89</v>
      </c>
      <c r="G1898" s="437" t="s">
        <v>6101</v>
      </c>
      <c r="H1898" s="434" t="s">
        <v>310</v>
      </c>
      <c r="I1898" s="474" t="s">
        <v>1486</v>
      </c>
      <c r="J1898" s="418" t="s">
        <v>1487</v>
      </c>
      <c r="K1898" s="419" t="s">
        <v>812</v>
      </c>
      <c r="L1898" s="415" t="s">
        <v>32</v>
      </c>
      <c r="M1898" s="415" t="s">
        <v>7421</v>
      </c>
      <c r="N1898" s="414">
        <v>44837</v>
      </c>
      <c r="O1898" s="393" t="s">
        <v>400</v>
      </c>
      <c r="P1898" s="655">
        <f t="shared" si="113"/>
        <v>9</v>
      </c>
      <c r="Q1898" s="655">
        <f t="shared" si="112"/>
        <v>9</v>
      </c>
      <c r="R1898" s="695" t="str">
        <f t="shared" si="111"/>
        <v>Gastos_com_Pessoal</v>
      </c>
      <c r="S1898" s="697" t="s">
        <v>310</v>
      </c>
      <c r="T1898" s="697" t="s">
        <v>310</v>
      </c>
    </row>
    <row r="1899" spans="1:20" ht="25.5" x14ac:dyDescent="0.2">
      <c r="A1899" s="432">
        <f>IF(B1899="","",COUNT('Diário 1º PA'!$A$4:$A$2635)+COUNT('Diário 2º PA'!$A$4:$A$3040)+ROW()-3)</f>
        <v>5995</v>
      </c>
      <c r="B1899" s="414">
        <v>44832</v>
      </c>
      <c r="C1899" s="431">
        <v>44805</v>
      </c>
      <c r="D1899" s="434" t="s">
        <v>182</v>
      </c>
      <c r="E1899" s="434" t="s">
        <v>6</v>
      </c>
      <c r="F1899" s="435">
        <v>4429.3999999999996</v>
      </c>
      <c r="G1899" s="437" t="s">
        <v>6102</v>
      </c>
      <c r="H1899" s="434" t="s">
        <v>310</v>
      </c>
      <c r="I1899" s="474" t="s">
        <v>1486</v>
      </c>
      <c r="J1899" s="418" t="s">
        <v>1487</v>
      </c>
      <c r="K1899" s="419" t="s">
        <v>812</v>
      </c>
      <c r="L1899" s="415" t="s">
        <v>32</v>
      </c>
      <c r="M1899" s="415">
        <v>712972</v>
      </c>
      <c r="N1899" s="414">
        <v>44837</v>
      </c>
      <c r="O1899" s="393" t="s">
        <v>400</v>
      </c>
      <c r="P1899" s="655">
        <f t="shared" si="113"/>
        <v>9</v>
      </c>
      <c r="Q1899" s="655">
        <f t="shared" si="112"/>
        <v>9</v>
      </c>
      <c r="R1899" s="695" t="str">
        <f t="shared" si="111"/>
        <v>Gastos_com_Pessoal</v>
      </c>
      <c r="S1899" s="697" t="s">
        <v>310</v>
      </c>
      <c r="T1899" s="697" t="s">
        <v>310</v>
      </c>
    </row>
    <row r="1900" spans="1:20" ht="36" x14ac:dyDescent="0.2">
      <c r="A1900" s="432">
        <f>IF(B1900="","",COUNT('Diário 1º PA'!$A$4:$A$2635)+COUNT('Diário 2º PA'!$A$4:$A$3040)+ROW()-3)</f>
        <v>5996</v>
      </c>
      <c r="B1900" s="414">
        <v>44832</v>
      </c>
      <c r="C1900" s="431">
        <v>44805</v>
      </c>
      <c r="D1900" s="415" t="s">
        <v>271</v>
      </c>
      <c r="E1900" s="415" t="s">
        <v>297</v>
      </c>
      <c r="F1900" s="422">
        <v>59.9</v>
      </c>
      <c r="G1900" s="427" t="s">
        <v>7404</v>
      </c>
      <c r="H1900" s="415" t="s">
        <v>757</v>
      </c>
      <c r="I1900" s="415" t="s">
        <v>7414</v>
      </c>
      <c r="J1900" s="415" t="s">
        <v>7405</v>
      </c>
      <c r="K1900" s="419" t="s">
        <v>830</v>
      </c>
      <c r="L1900" s="415" t="s">
        <v>32</v>
      </c>
      <c r="M1900" s="419">
        <v>1018</v>
      </c>
      <c r="N1900" s="413">
        <v>44831</v>
      </c>
      <c r="O1900" s="393" t="s">
        <v>400</v>
      </c>
      <c r="P1900" s="655">
        <f t="shared" si="113"/>
        <v>9</v>
      </c>
      <c r="Q1900" s="655">
        <f t="shared" si="112"/>
        <v>9</v>
      </c>
      <c r="R1900" s="695" t="str">
        <f t="shared" si="111"/>
        <v>Gastos_Gerais</v>
      </c>
      <c r="S1900" s="697" t="s">
        <v>999</v>
      </c>
      <c r="T1900" s="697">
        <v>4378</v>
      </c>
    </row>
    <row r="1901" spans="1:20" ht="24" x14ac:dyDescent="0.2">
      <c r="A1901" s="432">
        <f>IF(B1901="","",COUNT('Diário 1º PA'!$A$4:$A$2635)+COUNT('Diário 2º PA'!$A$4:$A$3040)+ROW()-3)</f>
        <v>5997</v>
      </c>
      <c r="B1901" s="414">
        <v>44832</v>
      </c>
      <c r="C1901" s="431">
        <v>44774</v>
      </c>
      <c r="D1901" s="415" t="s">
        <v>271</v>
      </c>
      <c r="E1901" s="415" t="s">
        <v>297</v>
      </c>
      <c r="F1901" s="425">
        <v>342</v>
      </c>
      <c r="G1901" s="427" t="s">
        <v>5681</v>
      </c>
      <c r="H1901" s="415" t="s">
        <v>309</v>
      </c>
      <c r="I1901" s="415" t="s">
        <v>1485</v>
      </c>
      <c r="J1901" s="415" t="s">
        <v>1483</v>
      </c>
      <c r="K1901" s="415" t="s">
        <v>812</v>
      </c>
      <c r="L1901" s="434" t="s">
        <v>807</v>
      </c>
      <c r="M1901" s="415">
        <v>6929355</v>
      </c>
      <c r="N1901" s="414">
        <v>44834</v>
      </c>
      <c r="O1901" s="414" t="s">
        <v>400</v>
      </c>
      <c r="P1901" s="655">
        <f t="shared" si="113"/>
        <v>9</v>
      </c>
      <c r="Q1901" s="655">
        <f t="shared" si="112"/>
        <v>8</v>
      </c>
      <c r="R1901" s="695" t="str">
        <f t="shared" si="111"/>
        <v>Gastos_Gerais</v>
      </c>
      <c r="S1901" s="697" t="s">
        <v>1000</v>
      </c>
      <c r="T1901" s="697">
        <v>3953</v>
      </c>
    </row>
    <row r="1902" spans="1:20" ht="24" x14ac:dyDescent="0.2">
      <c r="A1902" s="432">
        <f>IF(B1902="","",COUNT('Diário 1º PA'!$A$4:$A$2635)+COUNT('Diário 2º PA'!$A$4:$A$3040)+ROW()-3)</f>
        <v>5998</v>
      </c>
      <c r="B1902" s="414">
        <v>44832</v>
      </c>
      <c r="C1902" s="431">
        <v>44805</v>
      </c>
      <c r="D1902" s="415" t="s">
        <v>271</v>
      </c>
      <c r="E1902" s="415" t="s">
        <v>297</v>
      </c>
      <c r="F1902" s="425">
        <v>402.65</v>
      </c>
      <c r="G1902" s="415" t="s">
        <v>7415</v>
      </c>
      <c r="H1902" s="415" t="s">
        <v>309</v>
      </c>
      <c r="I1902" s="415" t="s">
        <v>1485</v>
      </c>
      <c r="J1902" s="415" t="s">
        <v>1483</v>
      </c>
      <c r="K1902" s="415" t="s">
        <v>812</v>
      </c>
      <c r="L1902" s="434" t="s">
        <v>807</v>
      </c>
      <c r="M1902" s="415">
        <v>6929356</v>
      </c>
      <c r="N1902" s="414">
        <v>44834</v>
      </c>
      <c r="O1902" s="414" t="s">
        <v>400</v>
      </c>
      <c r="P1902" s="655">
        <f t="shared" si="113"/>
        <v>9</v>
      </c>
      <c r="Q1902" s="655">
        <f t="shared" si="112"/>
        <v>9</v>
      </c>
      <c r="R1902" s="695" t="str">
        <f t="shared" si="111"/>
        <v>Gastos_Gerais</v>
      </c>
      <c r="S1902" s="697" t="s">
        <v>1000</v>
      </c>
      <c r="T1902" s="697">
        <v>4413</v>
      </c>
    </row>
    <row r="1903" spans="1:20" ht="36" x14ac:dyDescent="0.2">
      <c r="A1903" s="432">
        <f>IF(B1903="","",COUNT('Diário 1º PA'!$A$4:$A$2635)+COUNT('Diário 2º PA'!$A$4:$A$3040)+ROW()-3)</f>
        <v>5999</v>
      </c>
      <c r="B1903" s="414">
        <v>44832</v>
      </c>
      <c r="C1903" s="431">
        <v>44805</v>
      </c>
      <c r="D1903" s="415" t="s">
        <v>271</v>
      </c>
      <c r="E1903" s="415" t="s">
        <v>71</v>
      </c>
      <c r="F1903" s="425">
        <v>11</v>
      </c>
      <c r="G1903" s="440" t="s">
        <v>7416</v>
      </c>
      <c r="H1903" s="415" t="s">
        <v>757</v>
      </c>
      <c r="I1903" s="398" t="s">
        <v>881</v>
      </c>
      <c r="J1903" s="418" t="s">
        <v>882</v>
      </c>
      <c r="K1903" s="418" t="s">
        <v>883</v>
      </c>
      <c r="L1903" s="399" t="s">
        <v>798</v>
      </c>
      <c r="M1903" s="544" t="s">
        <v>310</v>
      </c>
      <c r="N1903" s="413">
        <v>44832</v>
      </c>
      <c r="O1903" s="414" t="s">
        <v>400</v>
      </c>
      <c r="P1903" s="655">
        <f t="shared" si="113"/>
        <v>9</v>
      </c>
      <c r="Q1903" s="655">
        <f t="shared" si="112"/>
        <v>9</v>
      </c>
      <c r="R1903" s="695" t="str">
        <f t="shared" si="111"/>
        <v>Gastos_Gerais</v>
      </c>
      <c r="S1903" s="697" t="s">
        <v>310</v>
      </c>
      <c r="T1903" s="697" t="s">
        <v>310</v>
      </c>
    </row>
    <row r="1904" spans="1:20" ht="60" x14ac:dyDescent="0.2">
      <c r="A1904" s="432">
        <f>IF(B1904="","",COUNT('Diário 1º PA'!$A$4:$A$2635)+COUNT('Diário 2º PA'!$A$4:$A$3040)+ROW()-3)</f>
        <v>6000</v>
      </c>
      <c r="B1904" s="414">
        <v>44832</v>
      </c>
      <c r="C1904" s="421">
        <v>44774</v>
      </c>
      <c r="D1904" s="415" t="s">
        <v>468</v>
      </c>
      <c r="E1904" s="415" t="s">
        <v>468</v>
      </c>
      <c r="F1904" s="422">
        <v>5000</v>
      </c>
      <c r="G1904" s="419" t="s">
        <v>4713</v>
      </c>
      <c r="H1904" s="419" t="s">
        <v>468</v>
      </c>
      <c r="I1904" s="474" t="s">
        <v>2437</v>
      </c>
      <c r="J1904" s="434" t="s">
        <v>796</v>
      </c>
      <c r="K1904" s="434" t="s">
        <v>806</v>
      </c>
      <c r="L1904" s="434" t="s">
        <v>798</v>
      </c>
      <c r="M1904" s="436" t="s">
        <v>310</v>
      </c>
      <c r="N1904" s="413">
        <v>44832</v>
      </c>
      <c r="O1904" s="414" t="s">
        <v>404</v>
      </c>
      <c r="P1904" s="655">
        <f t="shared" si="113"/>
        <v>9</v>
      </c>
      <c r="Q1904" s="655">
        <f t="shared" si="112"/>
        <v>8</v>
      </c>
      <c r="R1904" s="695" t="str">
        <f t="shared" si="111"/>
        <v>Gastos_custeados_por_captação</v>
      </c>
      <c r="S1904" s="697" t="s">
        <v>310</v>
      </c>
      <c r="T1904" s="697" t="s">
        <v>310</v>
      </c>
    </row>
    <row r="1905" spans="1:20" ht="60" x14ac:dyDescent="0.2">
      <c r="A1905" s="432">
        <f>IF(B1905="","",COUNT('Diário 1º PA'!$A$4:$A$2635)+COUNT('Diário 2º PA'!$A$4:$A$3040)+ROW()-3)</f>
        <v>6001</v>
      </c>
      <c r="B1905" s="414">
        <v>44832</v>
      </c>
      <c r="C1905" s="431">
        <v>44805</v>
      </c>
      <c r="D1905" s="415" t="s">
        <v>468</v>
      </c>
      <c r="E1905" s="415" t="s">
        <v>468</v>
      </c>
      <c r="F1905" s="422">
        <v>6000</v>
      </c>
      <c r="G1905" s="419" t="s">
        <v>6959</v>
      </c>
      <c r="H1905" s="419" t="s">
        <v>468</v>
      </c>
      <c r="I1905" s="474" t="s">
        <v>2437</v>
      </c>
      <c r="J1905" s="434" t="s">
        <v>796</v>
      </c>
      <c r="K1905" s="434" t="s">
        <v>806</v>
      </c>
      <c r="L1905" s="434" t="s">
        <v>798</v>
      </c>
      <c r="M1905" s="436" t="s">
        <v>310</v>
      </c>
      <c r="N1905" s="413">
        <v>44832</v>
      </c>
      <c r="O1905" s="414" t="s">
        <v>404</v>
      </c>
      <c r="P1905" s="655">
        <f t="shared" si="113"/>
        <v>9</v>
      </c>
      <c r="Q1905" s="655">
        <f t="shared" si="112"/>
        <v>9</v>
      </c>
      <c r="R1905" s="695" t="str">
        <f t="shared" si="111"/>
        <v>Gastos_custeados_por_captação</v>
      </c>
      <c r="S1905" s="697" t="s">
        <v>310</v>
      </c>
      <c r="T1905" s="697" t="s">
        <v>310</v>
      </c>
    </row>
    <row r="1906" spans="1:20" ht="60" x14ac:dyDescent="0.2">
      <c r="A1906" s="432">
        <f>IF(B1906="","",COUNT('Diário 1º PA'!$A$4:$A$2635)+COUNT('Diário 2º PA'!$A$4:$A$3040)+ROW()-3)</f>
        <v>6002</v>
      </c>
      <c r="B1906" s="414">
        <v>44832</v>
      </c>
      <c r="C1906" s="431">
        <v>44805</v>
      </c>
      <c r="D1906" s="415" t="s">
        <v>468</v>
      </c>
      <c r="E1906" s="415" t="s">
        <v>468</v>
      </c>
      <c r="F1906" s="422">
        <v>6000</v>
      </c>
      <c r="G1906" s="419" t="s">
        <v>6958</v>
      </c>
      <c r="H1906" s="419" t="s">
        <v>468</v>
      </c>
      <c r="I1906" s="474" t="s">
        <v>2437</v>
      </c>
      <c r="J1906" s="434" t="s">
        <v>796</v>
      </c>
      <c r="K1906" s="434" t="s">
        <v>806</v>
      </c>
      <c r="L1906" s="434" t="s">
        <v>798</v>
      </c>
      <c r="M1906" s="436" t="s">
        <v>310</v>
      </c>
      <c r="N1906" s="413">
        <v>44832</v>
      </c>
      <c r="O1906" s="414" t="s">
        <v>404</v>
      </c>
      <c r="P1906" s="655">
        <f t="shared" si="113"/>
        <v>9</v>
      </c>
      <c r="Q1906" s="655">
        <f t="shared" si="112"/>
        <v>9</v>
      </c>
      <c r="R1906" s="695" t="str">
        <f t="shared" si="111"/>
        <v>Gastos_custeados_por_captação</v>
      </c>
      <c r="S1906" s="697" t="s">
        <v>310</v>
      </c>
      <c r="T1906" s="697" t="s">
        <v>310</v>
      </c>
    </row>
    <row r="1907" spans="1:20" ht="36" x14ac:dyDescent="0.2">
      <c r="A1907" s="432">
        <f>IF(B1907="","",COUNT('Diário 1º PA'!$A$4:$A$2635)+COUNT('Diário 2º PA'!$A$4:$A$3040)+ROW()-3)</f>
        <v>6003</v>
      </c>
      <c r="B1907" s="414">
        <v>44832</v>
      </c>
      <c r="C1907" s="431">
        <v>44774</v>
      </c>
      <c r="D1907" s="415" t="s">
        <v>468</v>
      </c>
      <c r="E1907" s="415" t="s">
        <v>468</v>
      </c>
      <c r="F1907" s="425">
        <v>-5000</v>
      </c>
      <c r="G1907" s="427" t="s">
        <v>4713</v>
      </c>
      <c r="H1907" s="415" t="s">
        <v>468</v>
      </c>
      <c r="I1907" s="427" t="s">
        <v>2437</v>
      </c>
      <c r="J1907" s="415" t="s">
        <v>796</v>
      </c>
      <c r="K1907" s="415" t="s">
        <v>797</v>
      </c>
      <c r="L1907" s="415" t="s">
        <v>798</v>
      </c>
      <c r="M1907" s="415" t="s">
        <v>310</v>
      </c>
      <c r="N1907" s="413">
        <v>44832</v>
      </c>
      <c r="O1907" s="414" t="s">
        <v>408</v>
      </c>
      <c r="P1907" s="655">
        <f t="shared" si="113"/>
        <v>9</v>
      </c>
      <c r="Q1907" s="655">
        <f t="shared" si="112"/>
        <v>8</v>
      </c>
      <c r="R1907" s="695" t="str">
        <f t="shared" si="111"/>
        <v>Gastos_custeados_por_captação</v>
      </c>
      <c r="S1907" s="697" t="s">
        <v>310</v>
      </c>
      <c r="T1907" s="697" t="s">
        <v>310</v>
      </c>
    </row>
    <row r="1908" spans="1:20" ht="36" x14ac:dyDescent="0.2">
      <c r="A1908" s="432">
        <f>IF(B1908="","",COUNT('Diário 1º PA'!$A$4:$A$2635)+COUNT('Diário 2º PA'!$A$4:$A$3040)+ROW()-3)</f>
        <v>6004</v>
      </c>
      <c r="B1908" s="414">
        <v>44832</v>
      </c>
      <c r="C1908" s="431">
        <v>44774</v>
      </c>
      <c r="D1908" s="415" t="s">
        <v>468</v>
      </c>
      <c r="E1908" s="415" t="s">
        <v>468</v>
      </c>
      <c r="F1908" s="425">
        <v>-5000</v>
      </c>
      <c r="G1908" s="427" t="s">
        <v>4714</v>
      </c>
      <c r="H1908" s="415" t="s">
        <v>468</v>
      </c>
      <c r="I1908" s="427" t="s">
        <v>2437</v>
      </c>
      <c r="J1908" s="415" t="s">
        <v>796</v>
      </c>
      <c r="K1908" s="415" t="s">
        <v>797</v>
      </c>
      <c r="L1908" s="415" t="s">
        <v>798</v>
      </c>
      <c r="M1908" s="415" t="s">
        <v>310</v>
      </c>
      <c r="N1908" s="413">
        <v>44832</v>
      </c>
      <c r="O1908" s="414" t="s">
        <v>408</v>
      </c>
      <c r="P1908" s="655">
        <f t="shared" si="113"/>
        <v>9</v>
      </c>
      <c r="Q1908" s="655">
        <f t="shared" si="112"/>
        <v>8</v>
      </c>
      <c r="R1908" s="695" t="str">
        <f t="shared" si="111"/>
        <v>Gastos_custeados_por_captação</v>
      </c>
      <c r="S1908" s="697" t="s">
        <v>310</v>
      </c>
      <c r="T1908" s="697" t="s">
        <v>310</v>
      </c>
    </row>
    <row r="1909" spans="1:20" ht="36" x14ac:dyDescent="0.2">
      <c r="A1909" s="432">
        <f>IF(B1909="","",COUNT('Diário 1º PA'!$A$4:$A$2635)+COUNT('Diário 2º PA'!$A$4:$A$3040)+ROW()-3)</f>
        <v>6005</v>
      </c>
      <c r="B1909" s="414">
        <v>44832</v>
      </c>
      <c r="C1909" s="431">
        <v>44774</v>
      </c>
      <c r="D1909" s="415" t="s">
        <v>468</v>
      </c>
      <c r="E1909" s="415" t="s">
        <v>468</v>
      </c>
      <c r="F1909" s="425">
        <v>-5000</v>
      </c>
      <c r="G1909" s="427" t="s">
        <v>6961</v>
      </c>
      <c r="H1909" s="415" t="s">
        <v>468</v>
      </c>
      <c r="I1909" s="427" t="s">
        <v>2437</v>
      </c>
      <c r="J1909" s="415" t="s">
        <v>796</v>
      </c>
      <c r="K1909" s="415" t="s">
        <v>797</v>
      </c>
      <c r="L1909" s="415" t="s">
        <v>798</v>
      </c>
      <c r="M1909" s="415" t="s">
        <v>310</v>
      </c>
      <c r="N1909" s="413">
        <v>44832</v>
      </c>
      <c r="O1909" s="414" t="s">
        <v>408</v>
      </c>
      <c r="P1909" s="655">
        <f t="shared" si="113"/>
        <v>9</v>
      </c>
      <c r="Q1909" s="655">
        <f t="shared" si="112"/>
        <v>8</v>
      </c>
      <c r="R1909" s="695" t="str">
        <f t="shared" si="111"/>
        <v>Gastos_custeados_por_captação</v>
      </c>
      <c r="S1909" s="697" t="s">
        <v>310</v>
      </c>
      <c r="T1909" s="697" t="s">
        <v>310</v>
      </c>
    </row>
    <row r="1910" spans="1:20" ht="36" x14ac:dyDescent="0.2">
      <c r="A1910" s="432">
        <f>IF(B1910="","",COUNT('Diário 1º PA'!$A$4:$A$2635)+COUNT('Diário 2º PA'!$A$4:$A$3040)+ROW()-3)</f>
        <v>6006</v>
      </c>
      <c r="B1910" s="414">
        <v>44832</v>
      </c>
      <c r="C1910" s="431">
        <v>44774</v>
      </c>
      <c r="D1910" s="415" t="s">
        <v>468</v>
      </c>
      <c r="E1910" s="415" t="s">
        <v>468</v>
      </c>
      <c r="F1910" s="425">
        <v>-5000</v>
      </c>
      <c r="G1910" s="427" t="s">
        <v>4713</v>
      </c>
      <c r="H1910" s="415" t="s">
        <v>468</v>
      </c>
      <c r="I1910" s="427" t="s">
        <v>2437</v>
      </c>
      <c r="J1910" s="415" t="s">
        <v>796</v>
      </c>
      <c r="K1910" s="415" t="s">
        <v>797</v>
      </c>
      <c r="L1910" s="415" t="s">
        <v>798</v>
      </c>
      <c r="M1910" s="415" t="s">
        <v>310</v>
      </c>
      <c r="N1910" s="413">
        <v>44832</v>
      </c>
      <c r="O1910" s="414" t="s">
        <v>408</v>
      </c>
      <c r="P1910" s="655">
        <f t="shared" si="113"/>
        <v>9</v>
      </c>
      <c r="Q1910" s="655">
        <f t="shared" si="112"/>
        <v>8</v>
      </c>
      <c r="R1910" s="695" t="str">
        <f t="shared" si="111"/>
        <v>Gastos_custeados_por_captação</v>
      </c>
      <c r="S1910" s="697" t="s">
        <v>310</v>
      </c>
      <c r="T1910" s="697" t="s">
        <v>310</v>
      </c>
    </row>
    <row r="1911" spans="1:20" ht="36" x14ac:dyDescent="0.2">
      <c r="A1911" s="432">
        <f>IF(B1911="","",COUNT('Diário 1º PA'!$A$4:$A$2635)+COUNT('Diário 2º PA'!$A$4:$A$3040)+ROW()-3)</f>
        <v>6007</v>
      </c>
      <c r="B1911" s="414">
        <v>44832</v>
      </c>
      <c r="C1911" s="431">
        <v>44774</v>
      </c>
      <c r="D1911" s="415" t="s">
        <v>468</v>
      </c>
      <c r="E1911" s="415" t="s">
        <v>468</v>
      </c>
      <c r="F1911" s="425">
        <v>-6000</v>
      </c>
      <c r="G1911" s="427" t="s">
        <v>4714</v>
      </c>
      <c r="H1911" s="415" t="s">
        <v>468</v>
      </c>
      <c r="I1911" s="427" t="s">
        <v>2437</v>
      </c>
      <c r="J1911" s="415" t="s">
        <v>796</v>
      </c>
      <c r="K1911" s="415" t="s">
        <v>797</v>
      </c>
      <c r="L1911" s="415" t="s">
        <v>798</v>
      </c>
      <c r="M1911" s="415" t="s">
        <v>310</v>
      </c>
      <c r="N1911" s="413">
        <v>44832</v>
      </c>
      <c r="O1911" s="414" t="s">
        <v>408</v>
      </c>
      <c r="P1911" s="655">
        <f t="shared" si="113"/>
        <v>9</v>
      </c>
      <c r="Q1911" s="655">
        <f t="shared" si="112"/>
        <v>8</v>
      </c>
      <c r="R1911" s="695" t="str">
        <f t="shared" si="111"/>
        <v>Gastos_custeados_por_captação</v>
      </c>
      <c r="S1911" s="697" t="s">
        <v>310</v>
      </c>
      <c r="T1911" s="697" t="s">
        <v>310</v>
      </c>
    </row>
    <row r="1912" spans="1:20" ht="36" x14ac:dyDescent="0.2">
      <c r="A1912" s="432">
        <f>IF(B1912="","",COUNT('Diário 1º PA'!$A$4:$A$2635)+COUNT('Diário 2º PA'!$A$4:$A$3040)+ROW()-3)</f>
        <v>6008</v>
      </c>
      <c r="B1912" s="414">
        <v>44832</v>
      </c>
      <c r="C1912" s="431">
        <v>44774</v>
      </c>
      <c r="D1912" s="415" t="s">
        <v>468</v>
      </c>
      <c r="E1912" s="415" t="s">
        <v>468</v>
      </c>
      <c r="F1912" s="425">
        <v>-6000</v>
      </c>
      <c r="G1912" s="427" t="s">
        <v>6959</v>
      </c>
      <c r="H1912" s="415" t="s">
        <v>468</v>
      </c>
      <c r="I1912" s="427" t="s">
        <v>2437</v>
      </c>
      <c r="J1912" s="415" t="s">
        <v>796</v>
      </c>
      <c r="K1912" s="415" t="s">
        <v>797</v>
      </c>
      <c r="L1912" s="415" t="s">
        <v>798</v>
      </c>
      <c r="M1912" s="415" t="s">
        <v>310</v>
      </c>
      <c r="N1912" s="413">
        <v>44832</v>
      </c>
      <c r="O1912" s="414" t="s">
        <v>408</v>
      </c>
      <c r="P1912" s="655">
        <f t="shared" si="113"/>
        <v>9</v>
      </c>
      <c r="Q1912" s="655">
        <f t="shared" si="112"/>
        <v>8</v>
      </c>
      <c r="R1912" s="695" t="str">
        <f t="shared" si="111"/>
        <v>Gastos_custeados_por_captação</v>
      </c>
      <c r="S1912" s="697" t="s">
        <v>310</v>
      </c>
      <c r="T1912" s="697" t="s">
        <v>310</v>
      </c>
    </row>
    <row r="1913" spans="1:20" ht="36" x14ac:dyDescent="0.2">
      <c r="A1913" s="432">
        <f>IF(B1913="","",COUNT('Diário 1º PA'!$A$4:$A$2635)+COUNT('Diário 2º PA'!$A$4:$A$3040)+ROW()-3)</f>
        <v>6009</v>
      </c>
      <c r="B1913" s="414">
        <v>44832</v>
      </c>
      <c r="C1913" s="431">
        <v>44774</v>
      </c>
      <c r="D1913" s="415" t="s">
        <v>468</v>
      </c>
      <c r="E1913" s="415" t="s">
        <v>468</v>
      </c>
      <c r="F1913" s="425">
        <v>-5900</v>
      </c>
      <c r="G1913" s="427" t="s">
        <v>5216</v>
      </c>
      <c r="H1913" s="415" t="s">
        <v>468</v>
      </c>
      <c r="I1913" s="427" t="s">
        <v>2437</v>
      </c>
      <c r="J1913" s="415" t="s">
        <v>796</v>
      </c>
      <c r="K1913" s="415" t="s">
        <v>797</v>
      </c>
      <c r="L1913" s="415" t="s">
        <v>798</v>
      </c>
      <c r="M1913" s="415" t="s">
        <v>310</v>
      </c>
      <c r="N1913" s="413">
        <v>44832</v>
      </c>
      <c r="O1913" s="414" t="s">
        <v>408</v>
      </c>
      <c r="P1913" s="655">
        <f t="shared" si="113"/>
        <v>9</v>
      </c>
      <c r="Q1913" s="655">
        <f t="shared" si="112"/>
        <v>8</v>
      </c>
      <c r="R1913" s="695" t="str">
        <f t="shared" si="111"/>
        <v>Gastos_custeados_por_captação</v>
      </c>
      <c r="S1913" s="697" t="s">
        <v>310</v>
      </c>
      <c r="T1913" s="697" t="s">
        <v>310</v>
      </c>
    </row>
    <row r="1914" spans="1:20" ht="36" x14ac:dyDescent="0.2">
      <c r="A1914" s="432">
        <f>IF(B1914="","",COUNT('Diário 1º PA'!$A$4:$A$2635)+COUNT('Diário 2º PA'!$A$4:$A$3040)+ROW()-3)</f>
        <v>6010</v>
      </c>
      <c r="B1914" s="414">
        <v>44832</v>
      </c>
      <c r="C1914" s="431">
        <v>44774</v>
      </c>
      <c r="D1914" s="415" t="s">
        <v>468</v>
      </c>
      <c r="E1914" s="415" t="s">
        <v>468</v>
      </c>
      <c r="F1914" s="425">
        <v>-5900</v>
      </c>
      <c r="G1914" s="427" t="s">
        <v>5584</v>
      </c>
      <c r="H1914" s="415" t="s">
        <v>468</v>
      </c>
      <c r="I1914" s="427" t="s">
        <v>2437</v>
      </c>
      <c r="J1914" s="415" t="s">
        <v>796</v>
      </c>
      <c r="K1914" s="415" t="s">
        <v>797</v>
      </c>
      <c r="L1914" s="415" t="s">
        <v>798</v>
      </c>
      <c r="M1914" s="415" t="s">
        <v>310</v>
      </c>
      <c r="N1914" s="413">
        <v>44832</v>
      </c>
      <c r="O1914" s="414" t="s">
        <v>408</v>
      </c>
      <c r="P1914" s="655">
        <f t="shared" si="113"/>
        <v>9</v>
      </c>
      <c r="Q1914" s="655">
        <f t="shared" si="112"/>
        <v>8</v>
      </c>
      <c r="R1914" s="695" t="str">
        <f t="shared" si="111"/>
        <v>Gastos_custeados_por_captação</v>
      </c>
      <c r="S1914" s="697" t="s">
        <v>310</v>
      </c>
      <c r="T1914" s="697" t="s">
        <v>310</v>
      </c>
    </row>
    <row r="1915" spans="1:20" ht="36" x14ac:dyDescent="0.2">
      <c r="A1915" s="432">
        <f>IF(B1915="","",COUNT('Diário 1º PA'!$A$4:$A$2635)+COUNT('Diário 2º PA'!$A$4:$A$3040)+ROW()-3)</f>
        <v>6011</v>
      </c>
      <c r="B1915" s="414">
        <v>44832</v>
      </c>
      <c r="C1915" s="431">
        <v>44774</v>
      </c>
      <c r="D1915" s="415" t="s">
        <v>468</v>
      </c>
      <c r="E1915" s="415" t="s">
        <v>468</v>
      </c>
      <c r="F1915" s="425">
        <v>-6950</v>
      </c>
      <c r="G1915" s="427" t="s">
        <v>5586</v>
      </c>
      <c r="H1915" s="415" t="s">
        <v>468</v>
      </c>
      <c r="I1915" s="427" t="s">
        <v>2437</v>
      </c>
      <c r="J1915" s="415" t="s">
        <v>796</v>
      </c>
      <c r="K1915" s="415" t="s">
        <v>797</v>
      </c>
      <c r="L1915" s="415" t="s">
        <v>798</v>
      </c>
      <c r="M1915" s="415" t="s">
        <v>310</v>
      </c>
      <c r="N1915" s="413">
        <v>44832</v>
      </c>
      <c r="O1915" s="414" t="s">
        <v>408</v>
      </c>
      <c r="P1915" s="655">
        <f t="shared" si="113"/>
        <v>9</v>
      </c>
      <c r="Q1915" s="655">
        <f t="shared" si="112"/>
        <v>8</v>
      </c>
      <c r="R1915" s="695" t="str">
        <f t="shared" si="111"/>
        <v>Gastos_custeados_por_captação</v>
      </c>
      <c r="S1915" s="697" t="s">
        <v>310</v>
      </c>
      <c r="T1915" s="697" t="s">
        <v>310</v>
      </c>
    </row>
    <row r="1916" spans="1:20" ht="48" x14ac:dyDescent="0.2">
      <c r="A1916" s="432">
        <f>IF(B1916="","",COUNT('Diário 1º PA'!$A$4:$A$2635)+COUNT('Diário 2º PA'!$A$4:$A$3040)+ROW()-3)</f>
        <v>6012</v>
      </c>
      <c r="B1916" s="414">
        <v>44832</v>
      </c>
      <c r="C1916" s="421">
        <v>44805</v>
      </c>
      <c r="D1916" s="415" t="s">
        <v>468</v>
      </c>
      <c r="E1916" s="415" t="s">
        <v>468</v>
      </c>
      <c r="F1916" s="422">
        <v>5900</v>
      </c>
      <c r="G1916" s="419" t="s">
        <v>5216</v>
      </c>
      <c r="H1916" s="419" t="s">
        <v>468</v>
      </c>
      <c r="I1916" s="474" t="s">
        <v>2437</v>
      </c>
      <c r="J1916" s="434" t="s">
        <v>796</v>
      </c>
      <c r="K1916" s="434" t="s">
        <v>806</v>
      </c>
      <c r="L1916" s="434" t="s">
        <v>798</v>
      </c>
      <c r="M1916" s="436" t="s">
        <v>310</v>
      </c>
      <c r="N1916" s="413">
        <v>44832</v>
      </c>
      <c r="O1916" s="414" t="s">
        <v>3762</v>
      </c>
      <c r="P1916" s="655">
        <f t="shared" si="113"/>
        <v>9</v>
      </c>
      <c r="Q1916" s="655">
        <f t="shared" si="112"/>
        <v>9</v>
      </c>
      <c r="R1916" s="695" t="str">
        <f t="shared" si="111"/>
        <v>Gastos_custeados_por_captação</v>
      </c>
      <c r="S1916" s="697" t="s">
        <v>310</v>
      </c>
      <c r="T1916" s="697" t="s">
        <v>310</v>
      </c>
    </row>
    <row r="1917" spans="1:20" ht="48" x14ac:dyDescent="0.2">
      <c r="A1917" s="432">
        <f>IF(B1917="","",COUNT('Diário 1º PA'!$A$4:$A$2635)+COUNT('Diário 2º PA'!$A$4:$A$3040)+ROW()-3)</f>
        <v>6013</v>
      </c>
      <c r="B1917" s="414">
        <v>44832</v>
      </c>
      <c r="C1917" s="421">
        <v>44805</v>
      </c>
      <c r="D1917" s="415" t="s">
        <v>468</v>
      </c>
      <c r="E1917" s="415" t="s">
        <v>468</v>
      </c>
      <c r="F1917" s="422">
        <v>5900</v>
      </c>
      <c r="G1917" s="419" t="s">
        <v>5584</v>
      </c>
      <c r="H1917" s="419" t="s">
        <v>468</v>
      </c>
      <c r="I1917" s="474" t="s">
        <v>2437</v>
      </c>
      <c r="J1917" s="434" t="s">
        <v>796</v>
      </c>
      <c r="K1917" s="434" t="s">
        <v>806</v>
      </c>
      <c r="L1917" s="434" t="s">
        <v>798</v>
      </c>
      <c r="M1917" s="436" t="s">
        <v>310</v>
      </c>
      <c r="N1917" s="413">
        <v>44832</v>
      </c>
      <c r="O1917" s="414" t="s">
        <v>3762</v>
      </c>
      <c r="P1917" s="655">
        <f t="shared" si="113"/>
        <v>9</v>
      </c>
      <c r="Q1917" s="655">
        <f t="shared" si="112"/>
        <v>9</v>
      </c>
      <c r="R1917" s="695" t="str">
        <f t="shared" si="111"/>
        <v>Gastos_custeados_por_captação</v>
      </c>
      <c r="S1917" s="697" t="s">
        <v>310</v>
      </c>
      <c r="T1917" s="697" t="s">
        <v>310</v>
      </c>
    </row>
    <row r="1918" spans="1:20" ht="48" x14ac:dyDescent="0.2">
      <c r="A1918" s="432">
        <f>IF(B1918="","",COUNT('Diário 1º PA'!$A$4:$A$2635)+COUNT('Diário 2º PA'!$A$4:$A$3040)+ROW()-3)</f>
        <v>6014</v>
      </c>
      <c r="B1918" s="414">
        <v>44832</v>
      </c>
      <c r="C1918" s="421">
        <v>44805</v>
      </c>
      <c r="D1918" s="415" t="s">
        <v>468</v>
      </c>
      <c r="E1918" s="415" t="s">
        <v>468</v>
      </c>
      <c r="F1918" s="422">
        <v>6950</v>
      </c>
      <c r="G1918" s="413" t="s">
        <v>5215</v>
      </c>
      <c r="H1918" s="419" t="s">
        <v>468</v>
      </c>
      <c r="I1918" s="474" t="s">
        <v>2437</v>
      </c>
      <c r="J1918" s="434" t="s">
        <v>796</v>
      </c>
      <c r="K1918" s="434" t="s">
        <v>806</v>
      </c>
      <c r="L1918" s="434" t="s">
        <v>798</v>
      </c>
      <c r="M1918" s="436" t="s">
        <v>310</v>
      </c>
      <c r="N1918" s="413">
        <v>44832</v>
      </c>
      <c r="O1918" s="414" t="s">
        <v>3762</v>
      </c>
      <c r="P1918" s="655">
        <f t="shared" si="113"/>
        <v>9</v>
      </c>
      <c r="Q1918" s="655">
        <f t="shared" si="112"/>
        <v>9</v>
      </c>
      <c r="R1918" s="695" t="str">
        <f t="shared" si="111"/>
        <v>Gastos_custeados_por_captação</v>
      </c>
      <c r="S1918" s="697" t="s">
        <v>310</v>
      </c>
      <c r="T1918" s="697" t="s">
        <v>310</v>
      </c>
    </row>
    <row r="1919" spans="1:20" ht="60" x14ac:dyDescent="0.2">
      <c r="A1919" s="432">
        <f>IF(B1919="","",COUNT('Diário 1º PA'!$A$4:$A$2635)+COUNT('Diário 2º PA'!$A$4:$A$3040)+ROW()-3)</f>
        <v>6015</v>
      </c>
      <c r="B1919" s="414">
        <v>44832</v>
      </c>
      <c r="C1919" s="421">
        <v>44805</v>
      </c>
      <c r="D1919" s="415" t="s">
        <v>468</v>
      </c>
      <c r="E1919" s="415" t="s">
        <v>468</v>
      </c>
      <c r="F1919" s="422">
        <v>5000</v>
      </c>
      <c r="G1919" s="419" t="s">
        <v>4713</v>
      </c>
      <c r="H1919" s="419" t="s">
        <v>468</v>
      </c>
      <c r="I1919" s="474" t="s">
        <v>2437</v>
      </c>
      <c r="J1919" s="434" t="s">
        <v>796</v>
      </c>
      <c r="K1919" s="434" t="s">
        <v>806</v>
      </c>
      <c r="L1919" s="434" t="s">
        <v>798</v>
      </c>
      <c r="M1919" s="436" t="s">
        <v>310</v>
      </c>
      <c r="N1919" s="413">
        <v>44832</v>
      </c>
      <c r="O1919" s="414" t="s">
        <v>405</v>
      </c>
      <c r="P1919" s="655">
        <f t="shared" si="113"/>
        <v>9</v>
      </c>
      <c r="Q1919" s="655">
        <f t="shared" si="112"/>
        <v>9</v>
      </c>
      <c r="R1919" s="695" t="str">
        <f t="shared" si="111"/>
        <v>Gastos_custeados_por_captação</v>
      </c>
      <c r="S1919" s="697" t="s">
        <v>310</v>
      </c>
      <c r="T1919" s="697" t="s">
        <v>310</v>
      </c>
    </row>
    <row r="1920" spans="1:20" ht="60" x14ac:dyDescent="0.2">
      <c r="A1920" s="432">
        <f>IF(B1920="","",COUNT('Diário 1º PA'!$A$4:$A$2635)+COUNT('Diário 2º PA'!$A$4:$A$3040)+ROW()-3)</f>
        <v>6016</v>
      </c>
      <c r="B1920" s="414">
        <v>44832</v>
      </c>
      <c r="C1920" s="421">
        <v>44805</v>
      </c>
      <c r="D1920" s="415" t="s">
        <v>468</v>
      </c>
      <c r="E1920" s="415" t="s">
        <v>468</v>
      </c>
      <c r="F1920" s="422">
        <v>5000</v>
      </c>
      <c r="G1920" s="419" t="s">
        <v>4714</v>
      </c>
      <c r="H1920" s="419" t="s">
        <v>468</v>
      </c>
      <c r="I1920" s="474" t="s">
        <v>2437</v>
      </c>
      <c r="J1920" s="434" t="s">
        <v>796</v>
      </c>
      <c r="K1920" s="434" t="s">
        <v>806</v>
      </c>
      <c r="L1920" s="434" t="s">
        <v>798</v>
      </c>
      <c r="M1920" s="436" t="s">
        <v>310</v>
      </c>
      <c r="N1920" s="413">
        <v>44832</v>
      </c>
      <c r="O1920" s="414" t="s">
        <v>405</v>
      </c>
      <c r="P1920" s="655">
        <f t="shared" si="113"/>
        <v>9</v>
      </c>
      <c r="Q1920" s="655">
        <f t="shared" si="112"/>
        <v>9</v>
      </c>
      <c r="R1920" s="695" t="str">
        <f t="shared" si="111"/>
        <v>Gastos_custeados_por_captação</v>
      </c>
      <c r="S1920" s="697" t="s">
        <v>310</v>
      </c>
      <c r="T1920" s="697" t="s">
        <v>310</v>
      </c>
    </row>
    <row r="1921" spans="1:20" ht="60" x14ac:dyDescent="0.2">
      <c r="A1921" s="432">
        <f>IF(B1921="","",COUNT('Diário 1º PA'!$A$4:$A$2635)+COUNT('Diário 2º PA'!$A$4:$A$3040)+ROW()-3)</f>
        <v>6017</v>
      </c>
      <c r="B1921" s="414">
        <v>44832</v>
      </c>
      <c r="C1921" s="421">
        <v>44805</v>
      </c>
      <c r="D1921" s="415" t="s">
        <v>468</v>
      </c>
      <c r="E1921" s="415" t="s">
        <v>468</v>
      </c>
      <c r="F1921" s="422">
        <v>5000</v>
      </c>
      <c r="G1921" s="413" t="s">
        <v>6961</v>
      </c>
      <c r="H1921" s="419" t="s">
        <v>468</v>
      </c>
      <c r="I1921" s="474" t="s">
        <v>2437</v>
      </c>
      <c r="J1921" s="434" t="s">
        <v>796</v>
      </c>
      <c r="K1921" s="434" t="s">
        <v>806</v>
      </c>
      <c r="L1921" s="434" t="s">
        <v>798</v>
      </c>
      <c r="M1921" s="436" t="s">
        <v>310</v>
      </c>
      <c r="N1921" s="413">
        <v>44832</v>
      </c>
      <c r="O1921" s="414" t="s">
        <v>405</v>
      </c>
      <c r="P1921" s="655">
        <f t="shared" si="113"/>
        <v>9</v>
      </c>
      <c r="Q1921" s="655">
        <f t="shared" si="112"/>
        <v>9</v>
      </c>
      <c r="R1921" s="695" t="str">
        <f t="shared" si="111"/>
        <v>Gastos_custeados_por_captação</v>
      </c>
      <c r="S1921" s="697" t="s">
        <v>310</v>
      </c>
      <c r="T1921" s="697" t="s">
        <v>310</v>
      </c>
    </row>
    <row r="1922" spans="1:20" ht="24" x14ac:dyDescent="0.2">
      <c r="A1922" s="432">
        <f>IF(B1922="","",COUNT('Diário 1º PA'!$A$4:$A$2635)+COUNT('Diário 2º PA'!$A$4:$A$3040)+ROW()-3)</f>
        <v>6018</v>
      </c>
      <c r="B1922" s="414">
        <v>44833</v>
      </c>
      <c r="C1922" s="466">
        <v>44805</v>
      </c>
      <c r="D1922" s="415" t="s">
        <v>182</v>
      </c>
      <c r="E1922" s="415" t="s">
        <v>161</v>
      </c>
      <c r="F1922" s="425">
        <v>199.88</v>
      </c>
      <c r="G1922" s="427" t="s">
        <v>7419</v>
      </c>
      <c r="H1922" s="415" t="s">
        <v>310</v>
      </c>
      <c r="I1922" s="473" t="s">
        <v>2008</v>
      </c>
      <c r="J1922" s="548" t="s">
        <v>2009</v>
      </c>
      <c r="K1922" s="415" t="s">
        <v>812</v>
      </c>
      <c r="L1922" s="415" t="s">
        <v>807</v>
      </c>
      <c r="M1922" s="415" t="s">
        <v>7430</v>
      </c>
      <c r="N1922" s="414">
        <v>44837</v>
      </c>
      <c r="O1922" s="414" t="s">
        <v>400</v>
      </c>
      <c r="P1922" s="655">
        <f t="shared" si="113"/>
        <v>9</v>
      </c>
      <c r="Q1922" s="655">
        <f t="shared" si="112"/>
        <v>9</v>
      </c>
      <c r="R1922" s="695" t="str">
        <f t="shared" si="111"/>
        <v>Gastos_com_Pessoal</v>
      </c>
      <c r="S1922" s="696" t="s">
        <v>310</v>
      </c>
      <c r="T1922" s="696" t="s">
        <v>310</v>
      </c>
    </row>
    <row r="1923" spans="1:20" ht="24" x14ac:dyDescent="0.2">
      <c r="A1923" s="432">
        <f>IF(B1923="","",COUNT('Diário 1º PA'!$A$4:$A$2635)+COUNT('Diário 2º PA'!$A$4:$A$3040)+ROW()-3)</f>
        <v>6019</v>
      </c>
      <c r="B1923" s="414">
        <v>44833</v>
      </c>
      <c r="C1923" s="466">
        <v>44805</v>
      </c>
      <c r="D1923" s="415" t="s">
        <v>182</v>
      </c>
      <c r="E1923" s="415" t="s">
        <v>6</v>
      </c>
      <c r="F1923" s="425">
        <v>8913.66</v>
      </c>
      <c r="G1923" s="440" t="s">
        <v>7418</v>
      </c>
      <c r="H1923" s="415" t="s">
        <v>310</v>
      </c>
      <c r="I1923" s="437" t="s">
        <v>1486</v>
      </c>
      <c r="J1923" s="418" t="s">
        <v>1487</v>
      </c>
      <c r="K1923" s="418" t="s">
        <v>812</v>
      </c>
      <c r="L1923" s="399" t="s">
        <v>807</v>
      </c>
      <c r="M1923" s="544">
        <v>807759</v>
      </c>
      <c r="N1923" s="414">
        <v>44837</v>
      </c>
      <c r="O1923" s="414" t="s">
        <v>400</v>
      </c>
      <c r="P1923" s="655">
        <f t="shared" si="113"/>
        <v>9</v>
      </c>
      <c r="Q1923" s="655">
        <f t="shared" si="112"/>
        <v>9</v>
      </c>
      <c r="R1923" s="695" t="str">
        <f t="shared" si="111"/>
        <v>Gastos_com_Pessoal</v>
      </c>
      <c r="S1923" s="696" t="s">
        <v>310</v>
      </c>
      <c r="T1923" s="696" t="s">
        <v>310</v>
      </c>
    </row>
    <row r="1924" spans="1:20" ht="24" x14ac:dyDescent="0.2">
      <c r="A1924" s="432">
        <f>IF(B1924="","",COUNT('Diário 1º PA'!$A$4:$A$2635)+COUNT('Diário 2º PA'!$A$4:$A$3040)+ROW()-3)</f>
        <v>6020</v>
      </c>
      <c r="B1924" s="414">
        <v>44833</v>
      </c>
      <c r="C1924" s="466">
        <v>44805</v>
      </c>
      <c r="D1924" s="415" t="s">
        <v>182</v>
      </c>
      <c r="E1924" s="415" t="s">
        <v>6</v>
      </c>
      <c r="F1924" s="425">
        <v>278.2</v>
      </c>
      <c r="G1924" s="440" t="s">
        <v>7417</v>
      </c>
      <c r="H1924" s="415" t="s">
        <v>310</v>
      </c>
      <c r="I1924" s="437" t="s">
        <v>1486</v>
      </c>
      <c r="J1924" s="418" t="s">
        <v>1487</v>
      </c>
      <c r="K1924" s="418" t="s">
        <v>812</v>
      </c>
      <c r="L1924" s="399" t="s">
        <v>807</v>
      </c>
      <c r="M1924" s="544">
        <v>811665</v>
      </c>
      <c r="N1924" s="414">
        <v>44837</v>
      </c>
      <c r="O1924" s="414" t="s">
        <v>400</v>
      </c>
      <c r="P1924" s="655">
        <f t="shared" si="113"/>
        <v>9</v>
      </c>
      <c r="Q1924" s="655">
        <f t="shared" si="112"/>
        <v>9</v>
      </c>
      <c r="R1924" s="695" t="str">
        <f t="shared" si="111"/>
        <v>Gastos_com_Pessoal</v>
      </c>
      <c r="S1924" s="696" t="s">
        <v>310</v>
      </c>
      <c r="T1924" s="696" t="s">
        <v>310</v>
      </c>
    </row>
    <row r="1925" spans="1:20" ht="24" x14ac:dyDescent="0.2">
      <c r="A1925" s="432">
        <f>IF(B1925="","",COUNT('Diário 1º PA'!$A$4:$A$2635)+COUNT('Diário 2º PA'!$A$4:$A$3040)+ROW()-3)</f>
        <v>6021</v>
      </c>
      <c r="B1925" s="413">
        <v>44834</v>
      </c>
      <c r="C1925" s="431">
        <v>44774</v>
      </c>
      <c r="D1925" s="415" t="s">
        <v>271</v>
      </c>
      <c r="E1925" s="415" t="s">
        <v>465</v>
      </c>
      <c r="F1925" s="422">
        <v>659.6</v>
      </c>
      <c r="G1925" s="427" t="s">
        <v>6217</v>
      </c>
      <c r="H1925" s="415" t="s">
        <v>758</v>
      </c>
      <c r="I1925" s="415" t="s">
        <v>2325</v>
      </c>
      <c r="J1925" s="419" t="s">
        <v>1110</v>
      </c>
      <c r="K1925" s="419" t="s">
        <v>830</v>
      </c>
      <c r="L1925" s="415" t="s">
        <v>32</v>
      </c>
      <c r="M1925" s="419" t="s">
        <v>7422</v>
      </c>
      <c r="N1925" s="413">
        <v>44806</v>
      </c>
      <c r="O1925" s="414" t="s">
        <v>400</v>
      </c>
      <c r="P1925" s="655">
        <f t="shared" si="113"/>
        <v>9</v>
      </c>
      <c r="Q1925" s="655">
        <f t="shared" si="112"/>
        <v>8</v>
      </c>
      <c r="R1925" s="695" t="str">
        <f t="shared" si="111"/>
        <v>Gastos_Gerais</v>
      </c>
      <c r="S1925" s="697" t="s">
        <v>998</v>
      </c>
      <c r="T1925" s="697">
        <v>4213</v>
      </c>
    </row>
    <row r="1926" spans="1:20" ht="36" x14ac:dyDescent="0.2">
      <c r="A1926" s="432">
        <f>IF(B1926="","",COUNT('Diário 1º PA'!$A$4:$A$2635)+COUNT('Diário 2º PA'!$A$4:$A$3040)+ROW()-3)</f>
        <v>6022</v>
      </c>
      <c r="B1926" s="413">
        <v>44834</v>
      </c>
      <c r="C1926" s="431">
        <v>44805</v>
      </c>
      <c r="D1926" s="415" t="s">
        <v>271</v>
      </c>
      <c r="E1926" s="415" t="s">
        <v>71</v>
      </c>
      <c r="F1926" s="425">
        <v>11</v>
      </c>
      <c r="G1926" s="440" t="s">
        <v>7424</v>
      </c>
      <c r="H1926" s="415" t="s">
        <v>758</v>
      </c>
      <c r="I1926" s="398" t="s">
        <v>881</v>
      </c>
      <c r="J1926" s="418" t="s">
        <v>882</v>
      </c>
      <c r="K1926" s="418" t="s">
        <v>883</v>
      </c>
      <c r="L1926" s="399" t="s">
        <v>798</v>
      </c>
      <c r="M1926" s="544" t="s">
        <v>310</v>
      </c>
      <c r="N1926" s="413">
        <v>44834</v>
      </c>
      <c r="O1926" s="414" t="s">
        <v>400</v>
      </c>
      <c r="P1926" s="655">
        <f t="shared" si="113"/>
        <v>9</v>
      </c>
      <c r="Q1926" s="655">
        <f t="shared" si="112"/>
        <v>9</v>
      </c>
      <c r="R1926" s="695" t="str">
        <f t="shared" ref="R1926:R1987" si="114">SUBSTITUTE(D1926," ","_")</f>
        <v>Gastos_Gerais</v>
      </c>
      <c r="S1926" s="697" t="s">
        <v>310</v>
      </c>
      <c r="T1926" s="697" t="s">
        <v>310</v>
      </c>
    </row>
    <row r="1927" spans="1:20" ht="84" x14ac:dyDescent="0.2">
      <c r="A1927" s="432">
        <f>IF(B1927="","",COUNT('Diário 1º PA'!$A$4:$A$2635)+COUNT('Diário 2º PA'!$A$4:$A$3040)+ROW()-3)</f>
        <v>6023</v>
      </c>
      <c r="B1927" s="413">
        <v>44834</v>
      </c>
      <c r="C1927" s="431">
        <v>44805</v>
      </c>
      <c r="D1927" s="415" t="s">
        <v>468</v>
      </c>
      <c r="E1927" s="415" t="s">
        <v>468</v>
      </c>
      <c r="F1927" s="425">
        <v>0.24</v>
      </c>
      <c r="G1927" s="440" t="s">
        <v>7443</v>
      </c>
      <c r="H1927" s="415" t="s">
        <v>468</v>
      </c>
      <c r="I1927" s="398" t="s">
        <v>310</v>
      </c>
      <c r="J1927" s="418" t="s">
        <v>310</v>
      </c>
      <c r="K1927" s="418" t="s">
        <v>310</v>
      </c>
      <c r="L1927" s="418" t="s">
        <v>310</v>
      </c>
      <c r="M1927" s="418" t="s">
        <v>310</v>
      </c>
      <c r="N1927" s="418" t="s">
        <v>310</v>
      </c>
      <c r="O1927" s="414" t="s">
        <v>402</v>
      </c>
      <c r="P1927" s="655">
        <f t="shared" si="113"/>
        <v>9</v>
      </c>
      <c r="Q1927" s="655">
        <f t="shared" si="112"/>
        <v>9</v>
      </c>
      <c r="R1927" s="695" t="str">
        <f t="shared" si="114"/>
        <v>Gastos_custeados_por_captação</v>
      </c>
      <c r="S1927" s="697" t="s">
        <v>310</v>
      </c>
      <c r="T1927" s="697" t="s">
        <v>310</v>
      </c>
    </row>
    <row r="1928" spans="1:20" ht="72" x14ac:dyDescent="0.2">
      <c r="A1928" s="432">
        <f>IF(B1928="","",COUNT('Diário 1º PA'!$A$4:$A$2635)+COUNT('Diário 2º PA'!$A$4:$A$3040)+ROW()-3)</f>
        <v>6024</v>
      </c>
      <c r="B1928" s="413">
        <v>44834</v>
      </c>
      <c r="C1928" s="431">
        <v>44805</v>
      </c>
      <c r="D1928" s="415" t="s">
        <v>468</v>
      </c>
      <c r="E1928" s="415" t="s">
        <v>468</v>
      </c>
      <c r="F1928" s="425">
        <v>0.74</v>
      </c>
      <c r="G1928" s="440" t="s">
        <v>7444</v>
      </c>
      <c r="H1928" s="415" t="s">
        <v>468</v>
      </c>
      <c r="I1928" s="398" t="s">
        <v>310</v>
      </c>
      <c r="J1928" s="418" t="s">
        <v>310</v>
      </c>
      <c r="K1928" s="418" t="s">
        <v>310</v>
      </c>
      <c r="L1928" s="418" t="s">
        <v>310</v>
      </c>
      <c r="M1928" s="418" t="s">
        <v>310</v>
      </c>
      <c r="N1928" s="418" t="s">
        <v>310</v>
      </c>
      <c r="O1928" s="414" t="s">
        <v>407</v>
      </c>
      <c r="P1928" s="655">
        <f t="shared" si="113"/>
        <v>9</v>
      </c>
      <c r="Q1928" s="655">
        <f t="shared" si="112"/>
        <v>9</v>
      </c>
      <c r="R1928" s="695" t="str">
        <f t="shared" si="114"/>
        <v>Gastos_custeados_por_captação</v>
      </c>
      <c r="S1928" s="697" t="s">
        <v>310</v>
      </c>
      <c r="T1928" s="697" t="s">
        <v>310</v>
      </c>
    </row>
    <row r="1929" spans="1:20" ht="36" x14ac:dyDescent="0.2">
      <c r="A1929" s="432">
        <f>IF(B1929="","",COUNT('Diário 1º PA'!$A$4:$A$2635)+COUNT('Diário 2º PA'!$A$4:$A$3040)+ROW()-3)</f>
        <v>6025</v>
      </c>
      <c r="B1929" s="413">
        <v>44834</v>
      </c>
      <c r="C1929" s="421">
        <v>44805</v>
      </c>
      <c r="D1929" s="415" t="s">
        <v>295</v>
      </c>
      <c r="E1929" s="415" t="s">
        <v>295</v>
      </c>
      <c r="F1929" s="422">
        <v>822.5</v>
      </c>
      <c r="G1929" s="419" t="s">
        <v>7447</v>
      </c>
      <c r="H1929" s="419" t="s">
        <v>310</v>
      </c>
      <c r="I1929" s="474" t="s">
        <v>2437</v>
      </c>
      <c r="J1929" s="434" t="s">
        <v>796</v>
      </c>
      <c r="K1929" s="434" t="s">
        <v>797</v>
      </c>
      <c r="L1929" s="434" t="s">
        <v>798</v>
      </c>
      <c r="M1929" s="436" t="s">
        <v>310</v>
      </c>
      <c r="N1929" s="413">
        <v>44834</v>
      </c>
      <c r="O1929" s="414" t="s">
        <v>408</v>
      </c>
      <c r="P1929" s="655">
        <f t="shared" si="113"/>
        <v>9</v>
      </c>
      <c r="Q1929" s="655">
        <f t="shared" si="112"/>
        <v>9</v>
      </c>
      <c r="R1929" s="695" t="str">
        <f t="shared" si="114"/>
        <v>Rendimentos_de_Aplicações_Fin.</v>
      </c>
      <c r="S1929" s="697" t="s">
        <v>310</v>
      </c>
      <c r="T1929" s="697" t="s">
        <v>310</v>
      </c>
    </row>
    <row r="1930" spans="1:20" ht="48" x14ac:dyDescent="0.2">
      <c r="A1930" s="432">
        <f>IF(B1930="","",COUNT('Diário 1º PA'!$A$4:$A$2635)+COUNT('Diário 2º PA'!$A$4:$A$3040)+ROW()-3)</f>
        <v>6026</v>
      </c>
      <c r="B1930" s="413">
        <v>44834</v>
      </c>
      <c r="C1930" s="421">
        <v>44805</v>
      </c>
      <c r="D1930" s="415" t="s">
        <v>295</v>
      </c>
      <c r="E1930" s="415" t="s">
        <v>295</v>
      </c>
      <c r="F1930" s="422">
        <v>28400.2</v>
      </c>
      <c r="G1930" s="419" t="s">
        <v>7448</v>
      </c>
      <c r="H1930" s="419" t="s">
        <v>310</v>
      </c>
      <c r="I1930" s="474" t="s">
        <v>2437</v>
      </c>
      <c r="J1930" s="434" t="s">
        <v>796</v>
      </c>
      <c r="K1930" s="434" t="s">
        <v>797</v>
      </c>
      <c r="L1930" s="434" t="s">
        <v>798</v>
      </c>
      <c r="M1930" s="436" t="s">
        <v>310</v>
      </c>
      <c r="N1930" s="413">
        <v>44834</v>
      </c>
      <c r="O1930" s="414" t="s">
        <v>3762</v>
      </c>
      <c r="P1930" s="655">
        <f t="shared" si="113"/>
        <v>9</v>
      </c>
      <c r="Q1930" s="655">
        <f t="shared" si="112"/>
        <v>9</v>
      </c>
      <c r="R1930" s="695" t="str">
        <f t="shared" si="114"/>
        <v>Rendimentos_de_Aplicações_Fin.</v>
      </c>
      <c r="S1930" s="697" t="s">
        <v>310</v>
      </c>
      <c r="T1930" s="697" t="s">
        <v>310</v>
      </c>
    </row>
    <row r="1931" spans="1:20" ht="48" x14ac:dyDescent="0.2">
      <c r="A1931" s="432">
        <f>IF(B1931="","",COUNT('Diário 1º PA'!$A$4:$A$2635)+COUNT('Diário 2º PA'!$A$4:$A$3040)+ROW()-3)</f>
        <v>6027</v>
      </c>
      <c r="B1931" s="455">
        <v>44834</v>
      </c>
      <c r="C1931" s="431">
        <v>44805</v>
      </c>
      <c r="D1931" s="415" t="s">
        <v>295</v>
      </c>
      <c r="E1931" s="415" t="s">
        <v>295</v>
      </c>
      <c r="F1931" s="422">
        <v>28729.02</v>
      </c>
      <c r="G1931" s="427" t="s">
        <v>7425</v>
      </c>
      <c r="H1931" s="415" t="s">
        <v>310</v>
      </c>
      <c r="I1931" s="473" t="s">
        <v>1520</v>
      </c>
      <c r="J1931" s="415" t="s">
        <v>796</v>
      </c>
      <c r="K1931" s="415" t="s">
        <v>797</v>
      </c>
      <c r="L1931" s="415" t="s">
        <v>798</v>
      </c>
      <c r="M1931" s="415" t="s">
        <v>310</v>
      </c>
      <c r="N1931" s="455">
        <v>44834</v>
      </c>
      <c r="O1931" s="414" t="s">
        <v>400</v>
      </c>
      <c r="P1931" s="655">
        <f t="shared" si="113"/>
        <v>9</v>
      </c>
      <c r="Q1931" s="655">
        <f t="shared" si="112"/>
        <v>9</v>
      </c>
      <c r="R1931" s="695" t="str">
        <f t="shared" si="114"/>
        <v>Rendimentos_de_Aplicações_Fin.</v>
      </c>
      <c r="S1931" s="697" t="s">
        <v>310</v>
      </c>
      <c r="T1931" s="697" t="s">
        <v>310</v>
      </c>
    </row>
    <row r="1932" spans="1:20" ht="24" x14ac:dyDescent="0.2">
      <c r="A1932" s="432">
        <f>IF(B1932="","",COUNT('Diário 1º PA'!$A$4:$A$2635)+COUNT('Diário 2º PA'!$A$4:$A$3040)+ROW()-3)</f>
        <v>6028</v>
      </c>
      <c r="B1932" s="455">
        <v>44834</v>
      </c>
      <c r="C1932" s="431">
        <v>44805</v>
      </c>
      <c r="D1932" s="415" t="s">
        <v>271</v>
      </c>
      <c r="E1932" s="415" t="s">
        <v>78</v>
      </c>
      <c r="F1932" s="425">
        <v>3646.16</v>
      </c>
      <c r="G1932" s="427" t="s">
        <v>7426</v>
      </c>
      <c r="H1932" s="415" t="s">
        <v>310</v>
      </c>
      <c r="I1932" s="473" t="s">
        <v>1461</v>
      </c>
      <c r="J1932" s="415" t="s">
        <v>310</v>
      </c>
      <c r="K1932" s="415" t="s">
        <v>1220</v>
      </c>
      <c r="L1932" s="415" t="s">
        <v>1368</v>
      </c>
      <c r="M1932" s="415" t="s">
        <v>310</v>
      </c>
      <c r="N1932" s="455">
        <v>44834</v>
      </c>
      <c r="O1932" s="414" t="s">
        <v>400</v>
      </c>
      <c r="P1932" s="655">
        <f t="shared" si="113"/>
        <v>9</v>
      </c>
      <c r="Q1932" s="655">
        <f t="shared" si="112"/>
        <v>9</v>
      </c>
      <c r="R1932" s="695" t="str">
        <f t="shared" si="114"/>
        <v>Gastos_Gerais</v>
      </c>
      <c r="S1932" s="697" t="s">
        <v>310</v>
      </c>
      <c r="T1932" s="697" t="s">
        <v>310</v>
      </c>
    </row>
    <row r="1933" spans="1:20" x14ac:dyDescent="0.2">
      <c r="A1933" s="432" t="str">
        <f>IF(B1933="","",COUNT('Diário 1º PA'!$A$4:$A$2635)+COUNT('Diário 2º PA'!$A$4:$A$3040)+ROW()-3)</f>
        <v/>
      </c>
      <c r="B1933" s="413"/>
      <c r="C1933" s="421"/>
      <c r="D1933" s="419"/>
      <c r="E1933" s="419"/>
      <c r="F1933" s="422"/>
      <c r="G1933" s="419"/>
      <c r="H1933" s="419"/>
      <c r="I1933" s="415"/>
      <c r="J1933" s="419"/>
      <c r="K1933" s="419"/>
      <c r="L1933" s="415"/>
      <c r="M1933" s="419"/>
      <c r="N1933" s="419"/>
      <c r="O1933" s="414"/>
      <c r="P1933" s="655">
        <f t="shared" si="113"/>
        <v>0</v>
      </c>
      <c r="Q1933" s="655">
        <f t="shared" si="112"/>
        <v>0</v>
      </c>
      <c r="R1933" s="695" t="str">
        <f t="shared" si="114"/>
        <v/>
      </c>
      <c r="S1933" s="697"/>
      <c r="T1933" s="697"/>
    </row>
    <row r="1934" spans="1:20" x14ac:dyDescent="0.2">
      <c r="A1934" s="432" t="str">
        <f>IF(B1934="","",COUNT('Diário 1º PA'!$A$4:$A$2635)+COUNT('Diário 2º PA'!$A$4:$A$3040)+ROW()-3)</f>
        <v/>
      </c>
      <c r="B1934" s="413"/>
      <c r="C1934" s="421"/>
      <c r="D1934" s="419"/>
      <c r="E1934" s="419"/>
      <c r="F1934" s="422"/>
      <c r="G1934" s="419"/>
      <c r="H1934" s="419"/>
      <c r="I1934" s="415"/>
      <c r="J1934" s="419"/>
      <c r="K1934" s="419"/>
      <c r="L1934" s="415"/>
      <c r="M1934" s="419"/>
      <c r="N1934" s="419"/>
      <c r="O1934" s="414"/>
      <c r="P1934" s="655">
        <f t="shared" si="113"/>
        <v>0</v>
      </c>
      <c r="Q1934" s="655">
        <f t="shared" si="112"/>
        <v>0</v>
      </c>
      <c r="R1934" s="695" t="str">
        <f t="shared" si="114"/>
        <v/>
      </c>
      <c r="S1934" s="697"/>
      <c r="T1934" s="697"/>
    </row>
    <row r="1935" spans="1:20" x14ac:dyDescent="0.2">
      <c r="A1935" s="432" t="str">
        <f>IF(B1935="","",COUNT('Diário 1º PA'!$A$4:$A$2635)+COUNT('Diário 2º PA'!$A$4:$A$3040)+ROW()-3)</f>
        <v/>
      </c>
      <c r="B1935" s="413"/>
      <c r="C1935" s="421"/>
      <c r="D1935" s="419"/>
      <c r="E1935" s="419"/>
      <c r="F1935" s="422"/>
      <c r="G1935" s="419"/>
      <c r="H1935" s="419"/>
      <c r="I1935" s="415"/>
      <c r="J1935" s="419"/>
      <c r="K1935" s="419"/>
      <c r="L1935" s="415"/>
      <c r="M1935" s="419"/>
      <c r="N1935" s="419"/>
      <c r="O1935" s="414"/>
      <c r="P1935" s="655">
        <f t="shared" si="113"/>
        <v>0</v>
      </c>
      <c r="Q1935" s="655">
        <f t="shared" ref="Q1935:Q1998" si="115">IF(C1935=0,0,IF(YEAR(C1935)=$Q$1,MONTH(C1935)-$P$1+1,(YEAR(C1935)-$Q$1)*12-$P$1+1+MONTH(C1935)))</f>
        <v>0</v>
      </c>
      <c r="R1935" s="695" t="str">
        <f t="shared" si="114"/>
        <v/>
      </c>
      <c r="S1935" s="697"/>
      <c r="T1935" s="697"/>
    </row>
    <row r="1936" spans="1:20" x14ac:dyDescent="0.2">
      <c r="A1936" s="432" t="str">
        <f>IF(B1936="","",COUNT('Diário 1º PA'!$A$4:$A$2635)+COUNT('Diário 2º PA'!$A$4:$A$3040)+ROW()-3)</f>
        <v/>
      </c>
      <c r="B1936" s="413"/>
      <c r="C1936" s="421"/>
      <c r="D1936" s="419"/>
      <c r="E1936" s="419"/>
      <c r="F1936" s="422"/>
      <c r="G1936" s="419"/>
      <c r="H1936" s="419"/>
      <c r="I1936" s="415"/>
      <c r="J1936" s="419"/>
      <c r="K1936" s="419"/>
      <c r="L1936" s="415"/>
      <c r="M1936" s="419"/>
      <c r="N1936" s="419"/>
      <c r="O1936" s="414"/>
      <c r="P1936" s="655">
        <f t="shared" si="113"/>
        <v>0</v>
      </c>
      <c r="Q1936" s="655">
        <f t="shared" si="115"/>
        <v>0</v>
      </c>
      <c r="R1936" s="695" t="str">
        <f t="shared" si="114"/>
        <v/>
      </c>
      <c r="S1936" s="697"/>
      <c r="T1936" s="697"/>
    </row>
    <row r="1937" spans="1:20" x14ac:dyDescent="0.2">
      <c r="A1937" s="432" t="str">
        <f>IF(B1937="","",COUNT('Diário 1º PA'!$A$4:$A$2635)+COUNT('Diário 2º PA'!$A$4:$A$3040)+ROW()-3)</f>
        <v/>
      </c>
      <c r="B1937" s="413"/>
      <c r="C1937" s="421"/>
      <c r="D1937" s="419"/>
      <c r="E1937" s="419"/>
      <c r="F1937" s="422"/>
      <c r="G1937" s="419"/>
      <c r="H1937" s="419"/>
      <c r="I1937" s="415"/>
      <c r="J1937" s="419"/>
      <c r="K1937" s="419"/>
      <c r="L1937" s="415"/>
      <c r="M1937" s="419"/>
      <c r="N1937" s="419"/>
      <c r="O1937" s="414"/>
      <c r="P1937" s="655">
        <f t="shared" ref="P1937:P2000" si="116">IF(B1937=0,0,IF(YEAR(B1937)=$Q$1,MONTH(B1937)-$P$1+1,(YEAR(B1937)-$Q$1)*12-$P$1+1+MONTH(B1937)))</f>
        <v>0</v>
      </c>
      <c r="Q1937" s="655">
        <f t="shared" si="115"/>
        <v>0</v>
      </c>
      <c r="R1937" s="695" t="str">
        <f t="shared" si="114"/>
        <v/>
      </c>
      <c r="S1937" s="697"/>
      <c r="T1937" s="697"/>
    </row>
    <row r="1938" spans="1:20" x14ac:dyDescent="0.2">
      <c r="A1938" s="432" t="str">
        <f>IF(B1938="","",COUNT('Diário 1º PA'!$A$4:$A$2635)+COUNT('Diário 2º PA'!$A$4:$A$3040)+ROW()-3)</f>
        <v/>
      </c>
      <c r="B1938" s="413"/>
      <c r="C1938" s="421"/>
      <c r="D1938" s="419"/>
      <c r="E1938" s="419"/>
      <c r="F1938" s="422"/>
      <c r="G1938" s="419"/>
      <c r="H1938" s="419"/>
      <c r="I1938" s="415"/>
      <c r="J1938" s="419"/>
      <c r="K1938" s="419"/>
      <c r="L1938" s="415"/>
      <c r="M1938" s="419"/>
      <c r="N1938" s="419"/>
      <c r="O1938" s="414"/>
      <c r="P1938" s="655">
        <f t="shared" si="116"/>
        <v>0</v>
      </c>
      <c r="Q1938" s="655">
        <f t="shared" si="115"/>
        <v>0</v>
      </c>
      <c r="R1938" s="695" t="str">
        <f t="shared" si="114"/>
        <v/>
      </c>
      <c r="S1938" s="697"/>
      <c r="T1938" s="697"/>
    </row>
    <row r="1939" spans="1:20" x14ac:dyDescent="0.2">
      <c r="A1939" s="432" t="str">
        <f>IF(B1939="","",COUNT('Diário 1º PA'!$A$4:$A$2635)+COUNT('Diário 2º PA'!$A$4:$A$3040)+ROW()-3)</f>
        <v/>
      </c>
      <c r="B1939" s="413"/>
      <c r="C1939" s="421"/>
      <c r="D1939" s="419"/>
      <c r="E1939" s="419"/>
      <c r="F1939" s="422"/>
      <c r="G1939" s="419"/>
      <c r="H1939" s="419"/>
      <c r="I1939" s="415"/>
      <c r="J1939" s="419"/>
      <c r="K1939" s="419"/>
      <c r="L1939" s="415"/>
      <c r="M1939" s="419"/>
      <c r="N1939" s="419"/>
      <c r="O1939" s="414"/>
      <c r="P1939" s="655">
        <f t="shared" si="116"/>
        <v>0</v>
      </c>
      <c r="Q1939" s="655">
        <f t="shared" si="115"/>
        <v>0</v>
      </c>
      <c r="R1939" s="695" t="str">
        <f t="shared" si="114"/>
        <v/>
      </c>
      <c r="S1939" s="697"/>
      <c r="T1939" s="697"/>
    </row>
    <row r="1940" spans="1:20" x14ac:dyDescent="0.2">
      <c r="A1940" s="432" t="str">
        <f>IF(B1940="","",COUNT('Diário 1º PA'!$A$4:$A$2635)+COUNT('Diário 2º PA'!$A$4:$A$3040)+ROW()-3)</f>
        <v/>
      </c>
      <c r="B1940" s="413"/>
      <c r="C1940" s="421"/>
      <c r="D1940" s="419"/>
      <c r="E1940" s="419"/>
      <c r="F1940" s="422"/>
      <c r="G1940" s="419"/>
      <c r="H1940" s="419"/>
      <c r="I1940" s="415"/>
      <c r="J1940" s="419"/>
      <c r="K1940" s="419"/>
      <c r="L1940" s="415"/>
      <c r="M1940" s="419"/>
      <c r="N1940" s="419"/>
      <c r="O1940" s="414"/>
      <c r="P1940" s="655">
        <f t="shared" si="116"/>
        <v>0</v>
      </c>
      <c r="Q1940" s="655">
        <f t="shared" si="115"/>
        <v>0</v>
      </c>
      <c r="R1940" s="695" t="str">
        <f t="shared" si="114"/>
        <v/>
      </c>
      <c r="S1940" s="696"/>
      <c r="T1940" s="696"/>
    </row>
    <row r="1941" spans="1:20" x14ac:dyDescent="0.2">
      <c r="A1941" s="432" t="str">
        <f>IF(B1941="","",COUNT('Diário 1º PA'!$A$4:$A$2635)+COUNT('Diário 2º PA'!$A$4:$A$3040)+ROW()-3)</f>
        <v/>
      </c>
      <c r="B1941" s="413"/>
      <c r="C1941" s="421"/>
      <c r="D1941" s="419"/>
      <c r="E1941" s="419"/>
      <c r="F1941" s="422"/>
      <c r="G1941" s="419"/>
      <c r="H1941" s="419"/>
      <c r="I1941" s="415"/>
      <c r="J1941" s="419"/>
      <c r="K1941" s="419"/>
      <c r="L1941" s="415"/>
      <c r="M1941" s="419"/>
      <c r="N1941" s="419"/>
      <c r="O1941" s="414"/>
      <c r="P1941" s="655">
        <f t="shared" si="116"/>
        <v>0</v>
      </c>
      <c r="Q1941" s="655">
        <f t="shared" si="115"/>
        <v>0</v>
      </c>
      <c r="R1941" s="695" t="str">
        <f t="shared" si="114"/>
        <v/>
      </c>
      <c r="S1941" s="696"/>
      <c r="T1941" s="696"/>
    </row>
    <row r="1942" spans="1:20" x14ac:dyDescent="0.2">
      <c r="A1942" s="432" t="str">
        <f>IF(B1942="","",COUNT('Diário 1º PA'!$A$4:$A$2635)+COUNT('Diário 2º PA'!$A$4:$A$3040)+ROW()-3)</f>
        <v/>
      </c>
      <c r="B1942" s="413"/>
      <c r="C1942" s="421"/>
      <c r="D1942" s="419"/>
      <c r="E1942" s="419"/>
      <c r="F1942" s="422"/>
      <c r="G1942" s="419"/>
      <c r="H1942" s="419"/>
      <c r="I1942" s="415"/>
      <c r="J1942" s="419"/>
      <c r="K1942" s="419"/>
      <c r="L1942" s="415"/>
      <c r="M1942" s="419"/>
      <c r="N1942" s="419"/>
      <c r="O1942" s="414"/>
      <c r="P1942" s="655">
        <f t="shared" si="116"/>
        <v>0</v>
      </c>
      <c r="Q1942" s="655">
        <f t="shared" si="115"/>
        <v>0</v>
      </c>
      <c r="R1942" s="695" t="str">
        <f t="shared" si="114"/>
        <v/>
      </c>
      <c r="S1942" s="696"/>
      <c r="T1942" s="696"/>
    </row>
    <row r="1943" spans="1:20" x14ac:dyDescent="0.2">
      <c r="A1943" s="432" t="str">
        <f>IF(B1943="","",COUNT('Diário 1º PA'!$A$4:$A$2635)+COUNT('Diário 2º PA'!$A$4:$A$3040)+ROW()-3)</f>
        <v/>
      </c>
      <c r="B1943" s="413"/>
      <c r="C1943" s="421"/>
      <c r="D1943" s="419"/>
      <c r="E1943" s="419"/>
      <c r="F1943" s="422"/>
      <c r="G1943" s="419"/>
      <c r="H1943" s="419"/>
      <c r="I1943" s="415"/>
      <c r="J1943" s="419"/>
      <c r="K1943" s="419"/>
      <c r="L1943" s="415"/>
      <c r="M1943" s="419"/>
      <c r="N1943" s="419"/>
      <c r="O1943" s="414"/>
      <c r="P1943" s="655">
        <f t="shared" si="116"/>
        <v>0</v>
      </c>
      <c r="Q1943" s="655">
        <f t="shared" si="115"/>
        <v>0</v>
      </c>
      <c r="R1943" s="695" t="str">
        <f t="shared" si="114"/>
        <v/>
      </c>
      <c r="S1943" s="696"/>
      <c r="T1943" s="696"/>
    </row>
    <row r="1944" spans="1:20" x14ac:dyDescent="0.2">
      <c r="A1944" s="432" t="str">
        <f>IF(B1944="","",COUNT('Diário 1º PA'!$A$4:$A$2635)+COUNT('Diário 2º PA'!$A$4:$A$3040)+ROW()-3)</f>
        <v/>
      </c>
      <c r="B1944" s="413"/>
      <c r="C1944" s="421"/>
      <c r="D1944" s="419"/>
      <c r="E1944" s="419"/>
      <c r="F1944" s="422"/>
      <c r="G1944" s="419"/>
      <c r="H1944" s="419"/>
      <c r="I1944" s="415"/>
      <c r="J1944" s="419"/>
      <c r="K1944" s="419"/>
      <c r="L1944" s="415"/>
      <c r="M1944" s="419"/>
      <c r="N1944" s="419"/>
      <c r="O1944" s="414"/>
      <c r="P1944" s="655">
        <f t="shared" si="116"/>
        <v>0</v>
      </c>
      <c r="Q1944" s="655">
        <f t="shared" si="115"/>
        <v>0</v>
      </c>
      <c r="R1944" s="695" t="str">
        <f t="shared" si="114"/>
        <v/>
      </c>
      <c r="S1944" s="696"/>
      <c r="T1944" s="696"/>
    </row>
    <row r="1945" spans="1:20" x14ac:dyDescent="0.2">
      <c r="A1945" s="432" t="str">
        <f>IF(B1945="","",COUNT('Diário 1º PA'!$A$4:$A$2635)+COUNT('Diário 2º PA'!$A$4:$A$3040)+ROW()-3)</f>
        <v/>
      </c>
      <c r="B1945" s="413"/>
      <c r="C1945" s="421"/>
      <c r="D1945" s="419"/>
      <c r="E1945" s="419"/>
      <c r="F1945" s="422"/>
      <c r="G1945" s="419"/>
      <c r="H1945" s="419"/>
      <c r="I1945" s="415"/>
      <c r="J1945" s="419"/>
      <c r="K1945" s="419"/>
      <c r="L1945" s="415"/>
      <c r="M1945" s="419"/>
      <c r="N1945" s="419"/>
      <c r="O1945" s="414"/>
      <c r="P1945" s="655">
        <f t="shared" si="116"/>
        <v>0</v>
      </c>
      <c r="Q1945" s="655">
        <f t="shared" si="115"/>
        <v>0</v>
      </c>
      <c r="R1945" s="695" t="str">
        <f t="shared" si="114"/>
        <v/>
      </c>
      <c r="S1945" s="696"/>
      <c r="T1945" s="696"/>
    </row>
    <row r="1946" spans="1:20" x14ac:dyDescent="0.2">
      <c r="A1946" s="432" t="str">
        <f>IF(B1946="","",COUNT('Diário 1º PA'!$A$4:$A$2635)+COUNT('Diário 2º PA'!$A$4:$A$3040)+ROW()-3)</f>
        <v/>
      </c>
      <c r="B1946" s="413"/>
      <c r="C1946" s="421"/>
      <c r="D1946" s="419"/>
      <c r="E1946" s="419"/>
      <c r="F1946" s="422"/>
      <c r="G1946" s="419"/>
      <c r="H1946" s="419"/>
      <c r="I1946" s="415"/>
      <c r="J1946" s="419"/>
      <c r="K1946" s="419"/>
      <c r="L1946" s="415"/>
      <c r="M1946" s="419"/>
      <c r="N1946" s="419"/>
      <c r="O1946" s="414"/>
      <c r="P1946" s="655">
        <f t="shared" si="116"/>
        <v>0</v>
      </c>
      <c r="Q1946" s="655">
        <f t="shared" si="115"/>
        <v>0</v>
      </c>
      <c r="R1946" s="695" t="str">
        <f t="shared" si="114"/>
        <v/>
      </c>
      <c r="S1946" s="696"/>
      <c r="T1946" s="696"/>
    </row>
    <row r="1947" spans="1:20" x14ac:dyDescent="0.2">
      <c r="A1947" s="432" t="str">
        <f>IF(B1947="","",COUNT('Diário 1º PA'!$A$4:$A$2635)+COUNT('Diário 2º PA'!$A$4:$A$3040)+ROW()-3)</f>
        <v/>
      </c>
      <c r="B1947" s="413"/>
      <c r="C1947" s="421"/>
      <c r="D1947" s="419"/>
      <c r="E1947" s="419"/>
      <c r="F1947" s="422"/>
      <c r="G1947" s="419"/>
      <c r="H1947" s="419"/>
      <c r="I1947" s="415"/>
      <c r="J1947" s="419"/>
      <c r="K1947" s="419"/>
      <c r="L1947" s="415"/>
      <c r="M1947" s="419"/>
      <c r="N1947" s="419"/>
      <c r="O1947" s="414"/>
      <c r="P1947" s="655">
        <f t="shared" si="116"/>
        <v>0</v>
      </c>
      <c r="Q1947" s="655">
        <f t="shared" si="115"/>
        <v>0</v>
      </c>
      <c r="R1947" s="695" t="str">
        <f t="shared" si="114"/>
        <v/>
      </c>
      <c r="S1947" s="696"/>
      <c r="T1947" s="696"/>
    </row>
    <row r="1948" spans="1:20" x14ac:dyDescent="0.2">
      <c r="A1948" s="432" t="str">
        <f>IF(B1948="","",COUNT('Diário 1º PA'!$A$4:$A$2635)+COUNT('Diário 2º PA'!$A$4:$A$3040)+ROW()-3)</f>
        <v/>
      </c>
      <c r="B1948" s="413"/>
      <c r="C1948" s="421"/>
      <c r="D1948" s="419"/>
      <c r="E1948" s="419"/>
      <c r="F1948" s="422"/>
      <c r="G1948" s="419"/>
      <c r="H1948" s="419"/>
      <c r="I1948" s="415"/>
      <c r="J1948" s="419"/>
      <c r="K1948" s="419"/>
      <c r="L1948" s="415"/>
      <c r="M1948" s="419"/>
      <c r="N1948" s="419"/>
      <c r="O1948" s="414"/>
      <c r="P1948" s="655">
        <f t="shared" si="116"/>
        <v>0</v>
      </c>
      <c r="Q1948" s="655">
        <f t="shared" si="115"/>
        <v>0</v>
      </c>
      <c r="R1948" s="695" t="str">
        <f t="shared" si="114"/>
        <v/>
      </c>
      <c r="S1948" s="696"/>
      <c r="T1948" s="696"/>
    </row>
    <row r="1949" spans="1:20" x14ac:dyDescent="0.2">
      <c r="A1949" s="432" t="str">
        <f>IF(B1949="","",COUNT('Diário 1º PA'!$A$4:$A$2635)+COUNT('Diário 2º PA'!$A$4:$A$3040)+ROW()-3)</f>
        <v/>
      </c>
      <c r="B1949" s="413"/>
      <c r="C1949" s="421"/>
      <c r="D1949" s="419"/>
      <c r="E1949" s="419"/>
      <c r="F1949" s="422"/>
      <c r="G1949" s="419"/>
      <c r="H1949" s="419"/>
      <c r="I1949" s="415"/>
      <c r="J1949" s="419"/>
      <c r="K1949" s="419"/>
      <c r="L1949" s="415"/>
      <c r="M1949" s="419"/>
      <c r="N1949" s="419"/>
      <c r="O1949" s="414"/>
      <c r="P1949" s="655">
        <f t="shared" si="116"/>
        <v>0</v>
      </c>
      <c r="Q1949" s="655">
        <f t="shared" si="115"/>
        <v>0</v>
      </c>
      <c r="R1949" s="695" t="str">
        <f t="shared" si="114"/>
        <v/>
      </c>
      <c r="S1949" s="696"/>
      <c r="T1949" s="696"/>
    </row>
    <row r="1950" spans="1:20" x14ac:dyDescent="0.2">
      <c r="A1950" s="432" t="str">
        <f>IF(B1950="","",COUNT('Diário 1º PA'!$A$4:$A$2635)+COUNT('Diário 2º PA'!$A$4:$A$3040)+ROW()-3)</f>
        <v/>
      </c>
      <c r="B1950" s="413"/>
      <c r="C1950" s="421"/>
      <c r="D1950" s="419"/>
      <c r="E1950" s="419"/>
      <c r="F1950" s="422"/>
      <c r="G1950" s="419"/>
      <c r="H1950" s="419"/>
      <c r="I1950" s="415"/>
      <c r="J1950" s="419"/>
      <c r="K1950" s="419"/>
      <c r="L1950" s="415"/>
      <c r="M1950" s="419"/>
      <c r="N1950" s="419"/>
      <c r="O1950" s="414"/>
      <c r="P1950" s="655">
        <f t="shared" si="116"/>
        <v>0</v>
      </c>
      <c r="Q1950" s="655">
        <f t="shared" si="115"/>
        <v>0</v>
      </c>
      <c r="R1950" s="695" t="str">
        <f t="shared" si="114"/>
        <v/>
      </c>
      <c r="S1950" s="696"/>
      <c r="T1950" s="696"/>
    </row>
    <row r="1951" spans="1:20" x14ac:dyDescent="0.2">
      <c r="A1951" s="432" t="str">
        <f>IF(B1951="","",COUNT('Diário 1º PA'!$A$4:$A$2635)+COUNT('Diário 2º PA'!$A$4:$A$3040)+ROW()-3)</f>
        <v/>
      </c>
      <c r="B1951" s="413"/>
      <c r="C1951" s="421"/>
      <c r="D1951" s="419"/>
      <c r="E1951" s="419"/>
      <c r="F1951" s="422"/>
      <c r="G1951" s="419"/>
      <c r="H1951" s="419"/>
      <c r="I1951" s="415"/>
      <c r="J1951" s="419"/>
      <c r="K1951" s="419"/>
      <c r="L1951" s="415"/>
      <c r="M1951" s="419"/>
      <c r="N1951" s="419"/>
      <c r="O1951" s="414"/>
      <c r="P1951" s="655">
        <f t="shared" si="116"/>
        <v>0</v>
      </c>
      <c r="Q1951" s="655">
        <f t="shared" si="115"/>
        <v>0</v>
      </c>
      <c r="R1951" s="695" t="str">
        <f t="shared" si="114"/>
        <v/>
      </c>
      <c r="S1951" s="696"/>
      <c r="T1951" s="696"/>
    </row>
    <row r="1952" spans="1:20" x14ac:dyDescent="0.2">
      <c r="A1952" s="432" t="str">
        <f>IF(B1952="","",COUNT('Diário 1º PA'!$A$4:$A$2635)+COUNT('Diário 2º PA'!$A$4:$A$3040)+ROW()-3)</f>
        <v/>
      </c>
      <c r="B1952" s="413"/>
      <c r="C1952" s="421"/>
      <c r="D1952" s="419"/>
      <c r="E1952" s="419"/>
      <c r="F1952" s="422"/>
      <c r="G1952" s="419"/>
      <c r="H1952" s="419"/>
      <c r="I1952" s="415"/>
      <c r="J1952" s="419"/>
      <c r="K1952" s="419"/>
      <c r="L1952" s="415"/>
      <c r="M1952" s="419"/>
      <c r="N1952" s="419"/>
      <c r="O1952" s="414"/>
      <c r="P1952" s="655">
        <f t="shared" si="116"/>
        <v>0</v>
      </c>
      <c r="Q1952" s="655">
        <f t="shared" si="115"/>
        <v>0</v>
      </c>
      <c r="R1952" s="695" t="str">
        <f t="shared" si="114"/>
        <v/>
      </c>
      <c r="S1952" s="696"/>
      <c r="T1952" s="696"/>
    </row>
    <row r="1953" spans="1:20" x14ac:dyDescent="0.2">
      <c r="A1953" s="432" t="str">
        <f>IF(B1953="","",COUNT('Diário 1º PA'!$A$4:$A$2635)+COUNT('Diário 2º PA'!$A$4:$A$3040)+ROW()-3)</f>
        <v/>
      </c>
      <c r="B1953" s="413"/>
      <c r="C1953" s="421"/>
      <c r="D1953" s="419"/>
      <c r="E1953" s="419"/>
      <c r="F1953" s="422"/>
      <c r="G1953" s="419"/>
      <c r="H1953" s="419"/>
      <c r="I1953" s="415"/>
      <c r="J1953" s="419"/>
      <c r="K1953" s="419"/>
      <c r="L1953" s="415"/>
      <c r="M1953" s="419"/>
      <c r="N1953" s="419"/>
      <c r="O1953" s="414"/>
      <c r="P1953" s="655">
        <f t="shared" si="116"/>
        <v>0</v>
      </c>
      <c r="Q1953" s="655">
        <f t="shared" si="115"/>
        <v>0</v>
      </c>
      <c r="R1953" s="695" t="str">
        <f t="shared" si="114"/>
        <v/>
      </c>
      <c r="S1953" s="696"/>
      <c r="T1953" s="696"/>
    </row>
    <row r="1954" spans="1:20" x14ac:dyDescent="0.2">
      <c r="A1954" s="432" t="str">
        <f>IF(B1954="","",COUNT('Diário 1º PA'!$A$4:$A$2635)+COUNT('Diário 2º PA'!$A$4:$A$3040)+ROW()-3)</f>
        <v/>
      </c>
      <c r="B1954" s="413"/>
      <c r="C1954" s="421"/>
      <c r="D1954" s="419"/>
      <c r="E1954" s="419"/>
      <c r="F1954" s="422"/>
      <c r="G1954" s="419"/>
      <c r="H1954" s="419"/>
      <c r="I1954" s="415"/>
      <c r="J1954" s="419"/>
      <c r="K1954" s="419"/>
      <c r="L1954" s="415"/>
      <c r="M1954" s="419"/>
      <c r="N1954" s="419"/>
      <c r="O1954" s="414"/>
      <c r="P1954" s="655">
        <f t="shared" si="116"/>
        <v>0</v>
      </c>
      <c r="Q1954" s="655">
        <f t="shared" si="115"/>
        <v>0</v>
      </c>
      <c r="R1954" s="695" t="str">
        <f t="shared" si="114"/>
        <v/>
      </c>
      <c r="S1954" s="696"/>
      <c r="T1954" s="696"/>
    </row>
    <row r="1955" spans="1:20" x14ac:dyDescent="0.2">
      <c r="A1955" s="432" t="str">
        <f>IF(B1955="","",COUNT('Diário 1º PA'!$A$4:$A$2635)+COUNT('Diário 2º PA'!$A$4:$A$3040)+ROW()-3)</f>
        <v/>
      </c>
      <c r="B1955" s="413"/>
      <c r="C1955" s="421"/>
      <c r="D1955" s="419"/>
      <c r="E1955" s="419"/>
      <c r="F1955" s="422"/>
      <c r="G1955" s="419"/>
      <c r="H1955" s="419"/>
      <c r="I1955" s="415"/>
      <c r="J1955" s="419"/>
      <c r="K1955" s="419"/>
      <c r="L1955" s="415"/>
      <c r="M1955" s="419"/>
      <c r="N1955" s="419"/>
      <c r="O1955" s="414"/>
      <c r="P1955" s="655">
        <f t="shared" si="116"/>
        <v>0</v>
      </c>
      <c r="Q1955" s="655">
        <f t="shared" si="115"/>
        <v>0</v>
      </c>
      <c r="R1955" s="695" t="str">
        <f t="shared" si="114"/>
        <v/>
      </c>
      <c r="S1955" s="696"/>
      <c r="T1955" s="696"/>
    </row>
    <row r="1956" spans="1:20" x14ac:dyDescent="0.2">
      <c r="A1956" s="432" t="str">
        <f>IF(B1956="","",COUNT('Diário 1º PA'!$A$4:$A$2635)+COUNT('Diário 2º PA'!$A$4:$A$3040)+ROW()-3)</f>
        <v/>
      </c>
      <c r="B1956" s="413"/>
      <c r="C1956" s="421"/>
      <c r="D1956" s="419"/>
      <c r="E1956" s="419"/>
      <c r="F1956" s="422"/>
      <c r="G1956" s="419"/>
      <c r="H1956" s="419"/>
      <c r="I1956" s="415"/>
      <c r="J1956" s="419"/>
      <c r="K1956" s="419"/>
      <c r="L1956" s="415"/>
      <c r="M1956" s="419"/>
      <c r="N1956" s="419"/>
      <c r="O1956" s="414"/>
      <c r="P1956" s="655">
        <f t="shared" si="116"/>
        <v>0</v>
      </c>
      <c r="Q1956" s="655">
        <f t="shared" si="115"/>
        <v>0</v>
      </c>
      <c r="R1956" s="695" t="str">
        <f t="shared" si="114"/>
        <v/>
      </c>
      <c r="S1956" s="696"/>
      <c r="T1956" s="696"/>
    </row>
    <row r="1957" spans="1:20" x14ac:dyDescent="0.2">
      <c r="A1957" s="432" t="str">
        <f>IF(B1957="","",COUNT('Diário 1º PA'!$A$4:$A$2635)+COUNT('Diário 2º PA'!$A$4:$A$3040)+ROW()-3)</f>
        <v/>
      </c>
      <c r="B1957" s="413"/>
      <c r="C1957" s="421"/>
      <c r="D1957" s="419"/>
      <c r="E1957" s="419"/>
      <c r="F1957" s="422"/>
      <c r="G1957" s="419"/>
      <c r="H1957" s="419"/>
      <c r="I1957" s="415"/>
      <c r="J1957" s="419"/>
      <c r="K1957" s="419"/>
      <c r="L1957" s="415"/>
      <c r="M1957" s="419"/>
      <c r="N1957" s="419"/>
      <c r="O1957" s="414"/>
      <c r="P1957" s="655">
        <f t="shared" si="116"/>
        <v>0</v>
      </c>
      <c r="Q1957" s="655">
        <f t="shared" si="115"/>
        <v>0</v>
      </c>
      <c r="R1957" s="695" t="str">
        <f t="shared" si="114"/>
        <v/>
      </c>
      <c r="S1957" s="696"/>
      <c r="T1957" s="696"/>
    </row>
    <row r="1958" spans="1:20" x14ac:dyDescent="0.2">
      <c r="A1958" s="432" t="str">
        <f>IF(B1958="","",COUNT('Diário 1º PA'!$A$4:$A$2635)+COUNT('Diário 2º PA'!$A$4:$A$3040)+ROW()-3)</f>
        <v/>
      </c>
      <c r="B1958" s="413"/>
      <c r="C1958" s="421"/>
      <c r="D1958" s="419"/>
      <c r="E1958" s="419"/>
      <c r="F1958" s="422"/>
      <c r="G1958" s="419"/>
      <c r="H1958" s="419"/>
      <c r="I1958" s="415"/>
      <c r="J1958" s="419"/>
      <c r="K1958" s="419"/>
      <c r="L1958" s="415"/>
      <c r="M1958" s="419"/>
      <c r="N1958" s="419"/>
      <c r="O1958" s="414"/>
      <c r="P1958" s="655">
        <f t="shared" si="116"/>
        <v>0</v>
      </c>
      <c r="Q1958" s="655">
        <f t="shared" si="115"/>
        <v>0</v>
      </c>
      <c r="R1958" s="695" t="str">
        <f t="shared" si="114"/>
        <v/>
      </c>
      <c r="S1958" s="696"/>
      <c r="T1958" s="696"/>
    </row>
    <row r="1959" spans="1:20" x14ac:dyDescent="0.2">
      <c r="A1959" s="432" t="str">
        <f>IF(B1959="","",COUNT('Diário 1º PA'!$A$4:$A$2635)+COUNT('Diário 2º PA'!$A$4:$A$3040)+ROW()-3)</f>
        <v/>
      </c>
      <c r="B1959" s="413"/>
      <c r="C1959" s="421"/>
      <c r="D1959" s="419"/>
      <c r="E1959" s="419"/>
      <c r="F1959" s="422"/>
      <c r="G1959" s="419"/>
      <c r="H1959" s="419"/>
      <c r="I1959" s="415"/>
      <c r="J1959" s="419"/>
      <c r="K1959" s="419"/>
      <c r="L1959" s="415"/>
      <c r="M1959" s="419"/>
      <c r="N1959" s="419"/>
      <c r="O1959" s="414"/>
      <c r="P1959" s="655">
        <f t="shared" si="116"/>
        <v>0</v>
      </c>
      <c r="Q1959" s="655">
        <f t="shared" si="115"/>
        <v>0</v>
      </c>
      <c r="R1959" s="695" t="str">
        <f t="shared" si="114"/>
        <v/>
      </c>
      <c r="S1959" s="696"/>
      <c r="T1959" s="696"/>
    </row>
    <row r="1960" spans="1:20" x14ac:dyDescent="0.2">
      <c r="A1960" s="432" t="str">
        <f>IF(B1960="","",COUNT('Diário 1º PA'!$A$4:$A$2635)+COUNT('Diário 2º PA'!$A$4:$A$3040)+ROW()-3)</f>
        <v/>
      </c>
      <c r="B1960" s="413"/>
      <c r="C1960" s="421"/>
      <c r="D1960" s="419"/>
      <c r="E1960" s="419"/>
      <c r="F1960" s="422"/>
      <c r="G1960" s="419"/>
      <c r="H1960" s="419"/>
      <c r="I1960" s="415"/>
      <c r="J1960" s="419"/>
      <c r="K1960" s="419"/>
      <c r="L1960" s="415"/>
      <c r="M1960" s="419"/>
      <c r="N1960" s="419"/>
      <c r="O1960" s="414"/>
      <c r="P1960" s="655">
        <f t="shared" si="116"/>
        <v>0</v>
      </c>
      <c r="Q1960" s="655">
        <f t="shared" si="115"/>
        <v>0</v>
      </c>
      <c r="R1960" s="695" t="str">
        <f t="shared" si="114"/>
        <v/>
      </c>
      <c r="S1960" s="696"/>
      <c r="T1960" s="696"/>
    </row>
    <row r="1961" spans="1:20" x14ac:dyDescent="0.2">
      <c r="A1961" s="432" t="str">
        <f>IF(B1961="","",COUNT('Diário 1º PA'!$A$4:$A$2635)+COUNT('Diário 2º PA'!$A$4:$A$3040)+ROW()-3)</f>
        <v/>
      </c>
      <c r="B1961" s="413"/>
      <c r="C1961" s="421"/>
      <c r="D1961" s="419"/>
      <c r="E1961" s="419"/>
      <c r="F1961" s="422"/>
      <c r="G1961" s="419"/>
      <c r="H1961" s="419"/>
      <c r="I1961" s="415"/>
      <c r="J1961" s="419"/>
      <c r="K1961" s="419"/>
      <c r="L1961" s="415"/>
      <c r="M1961" s="419"/>
      <c r="N1961" s="419"/>
      <c r="O1961" s="414"/>
      <c r="P1961" s="655">
        <f t="shared" si="116"/>
        <v>0</v>
      </c>
      <c r="Q1961" s="655">
        <f t="shared" si="115"/>
        <v>0</v>
      </c>
      <c r="R1961" s="695" t="str">
        <f t="shared" si="114"/>
        <v/>
      </c>
      <c r="S1961" s="696"/>
      <c r="T1961" s="696"/>
    </row>
    <row r="1962" spans="1:20" x14ac:dyDescent="0.2">
      <c r="A1962" s="432" t="str">
        <f>IF(B1962="","",COUNT('Diário 1º PA'!$A$4:$A$2635)+COUNT('Diário 2º PA'!$A$4:$A$3040)+ROW()-3)</f>
        <v/>
      </c>
      <c r="B1962" s="413"/>
      <c r="C1962" s="421"/>
      <c r="D1962" s="419"/>
      <c r="E1962" s="419"/>
      <c r="F1962" s="422"/>
      <c r="G1962" s="419"/>
      <c r="H1962" s="419"/>
      <c r="I1962" s="415"/>
      <c r="J1962" s="419"/>
      <c r="K1962" s="419"/>
      <c r="L1962" s="415"/>
      <c r="M1962" s="419"/>
      <c r="N1962" s="419"/>
      <c r="O1962" s="414"/>
      <c r="P1962" s="655">
        <f t="shared" si="116"/>
        <v>0</v>
      </c>
      <c r="Q1962" s="655">
        <f t="shared" si="115"/>
        <v>0</v>
      </c>
      <c r="R1962" s="695" t="str">
        <f t="shared" si="114"/>
        <v/>
      </c>
      <c r="S1962" s="696"/>
      <c r="T1962" s="696"/>
    </row>
    <row r="1963" spans="1:20" x14ac:dyDescent="0.2">
      <c r="A1963" s="432" t="str">
        <f>IF(B1963="","",COUNT('Diário 1º PA'!$A$4:$A$2635)+COUNT('Diário 2º PA'!$A$4:$A$3040)+ROW()-3)</f>
        <v/>
      </c>
      <c r="B1963" s="413"/>
      <c r="C1963" s="421"/>
      <c r="D1963" s="419"/>
      <c r="E1963" s="419"/>
      <c r="F1963" s="422"/>
      <c r="G1963" s="419"/>
      <c r="H1963" s="419"/>
      <c r="I1963" s="415"/>
      <c r="J1963" s="419"/>
      <c r="K1963" s="419"/>
      <c r="L1963" s="415"/>
      <c r="M1963" s="419"/>
      <c r="N1963" s="419"/>
      <c r="O1963" s="414"/>
      <c r="P1963" s="655">
        <f t="shared" si="116"/>
        <v>0</v>
      </c>
      <c r="Q1963" s="655">
        <f t="shared" si="115"/>
        <v>0</v>
      </c>
      <c r="R1963" s="695" t="str">
        <f t="shared" si="114"/>
        <v/>
      </c>
      <c r="S1963" s="696"/>
      <c r="T1963" s="696"/>
    </row>
    <row r="1964" spans="1:20" x14ac:dyDescent="0.2">
      <c r="A1964" s="432" t="str">
        <f>IF(B1964="","",COUNT('Diário 1º PA'!$A$4:$A$2635)+COUNT('Diário 2º PA'!$A$4:$A$3040)+ROW()-3)</f>
        <v/>
      </c>
      <c r="B1964" s="413"/>
      <c r="C1964" s="421"/>
      <c r="D1964" s="419"/>
      <c r="E1964" s="419"/>
      <c r="F1964" s="422"/>
      <c r="G1964" s="419"/>
      <c r="H1964" s="419"/>
      <c r="I1964" s="415"/>
      <c r="J1964" s="419"/>
      <c r="K1964" s="419"/>
      <c r="L1964" s="415"/>
      <c r="M1964" s="419"/>
      <c r="N1964" s="419"/>
      <c r="O1964" s="414"/>
      <c r="P1964" s="655">
        <f t="shared" si="116"/>
        <v>0</v>
      </c>
      <c r="Q1964" s="655">
        <f t="shared" si="115"/>
        <v>0</v>
      </c>
      <c r="R1964" s="695" t="str">
        <f t="shared" si="114"/>
        <v/>
      </c>
      <c r="S1964" s="696"/>
      <c r="T1964" s="696"/>
    </row>
    <row r="1965" spans="1:20" x14ac:dyDescent="0.2">
      <c r="A1965" s="432" t="str">
        <f>IF(B1965="","",COUNT('Diário 1º PA'!$A$4:$A$2635)+COUNT('Diário 2º PA'!$A$4:$A$3040)+ROW()-3)</f>
        <v/>
      </c>
      <c r="B1965" s="413"/>
      <c r="C1965" s="421"/>
      <c r="D1965" s="419"/>
      <c r="E1965" s="419"/>
      <c r="F1965" s="422"/>
      <c r="G1965" s="419"/>
      <c r="H1965" s="419"/>
      <c r="I1965" s="415"/>
      <c r="J1965" s="419"/>
      <c r="K1965" s="419"/>
      <c r="L1965" s="415"/>
      <c r="M1965" s="419"/>
      <c r="N1965" s="419"/>
      <c r="O1965" s="414"/>
      <c r="P1965" s="655">
        <f t="shared" si="116"/>
        <v>0</v>
      </c>
      <c r="Q1965" s="655">
        <f t="shared" si="115"/>
        <v>0</v>
      </c>
      <c r="R1965" s="695" t="str">
        <f t="shared" si="114"/>
        <v/>
      </c>
      <c r="S1965" s="696"/>
      <c r="T1965" s="696"/>
    </row>
    <row r="1966" spans="1:20" x14ac:dyDescent="0.2">
      <c r="A1966" s="432" t="str">
        <f>IF(B1966="","",COUNT('Diário 1º PA'!$A$4:$A$2635)+COUNT('Diário 2º PA'!$A$4:$A$3040)+ROW()-3)</f>
        <v/>
      </c>
      <c r="B1966" s="413"/>
      <c r="C1966" s="421"/>
      <c r="D1966" s="419"/>
      <c r="E1966" s="419"/>
      <c r="F1966" s="422"/>
      <c r="G1966" s="419"/>
      <c r="H1966" s="419"/>
      <c r="I1966" s="415"/>
      <c r="J1966" s="419"/>
      <c r="K1966" s="419"/>
      <c r="L1966" s="415"/>
      <c r="M1966" s="419"/>
      <c r="N1966" s="419"/>
      <c r="O1966" s="414"/>
      <c r="P1966" s="655">
        <f t="shared" si="116"/>
        <v>0</v>
      </c>
      <c r="Q1966" s="655">
        <f t="shared" si="115"/>
        <v>0</v>
      </c>
      <c r="R1966" s="695" t="str">
        <f t="shared" si="114"/>
        <v/>
      </c>
      <c r="S1966" s="696"/>
      <c r="T1966" s="696"/>
    </row>
    <row r="1967" spans="1:20" x14ac:dyDescent="0.2">
      <c r="A1967" s="432" t="str">
        <f>IF(B1967="","",COUNT('Diário 1º PA'!$A$4:$A$2635)+COUNT('Diário 2º PA'!$A$4:$A$3040)+ROW()-3)</f>
        <v/>
      </c>
      <c r="B1967" s="413"/>
      <c r="C1967" s="421"/>
      <c r="D1967" s="419"/>
      <c r="E1967" s="419"/>
      <c r="F1967" s="422"/>
      <c r="G1967" s="419"/>
      <c r="H1967" s="419"/>
      <c r="I1967" s="415"/>
      <c r="J1967" s="419"/>
      <c r="K1967" s="419"/>
      <c r="L1967" s="415"/>
      <c r="M1967" s="419"/>
      <c r="N1967" s="419"/>
      <c r="O1967" s="414"/>
      <c r="P1967" s="655">
        <f t="shared" si="116"/>
        <v>0</v>
      </c>
      <c r="Q1967" s="655">
        <f t="shared" si="115"/>
        <v>0</v>
      </c>
      <c r="R1967" s="695" t="str">
        <f t="shared" si="114"/>
        <v/>
      </c>
      <c r="S1967" s="696"/>
      <c r="T1967" s="696"/>
    </row>
    <row r="1968" spans="1:20" x14ac:dyDescent="0.2">
      <c r="A1968" s="432" t="str">
        <f>IF(B1968="","",COUNT('Diário 1º PA'!$A$4:$A$2635)+COUNT('Diário 2º PA'!$A$4:$A$3040)+ROW()-3)</f>
        <v/>
      </c>
      <c r="B1968" s="413"/>
      <c r="C1968" s="421"/>
      <c r="D1968" s="419"/>
      <c r="E1968" s="419"/>
      <c r="F1968" s="422"/>
      <c r="G1968" s="419"/>
      <c r="H1968" s="419"/>
      <c r="I1968" s="415"/>
      <c r="J1968" s="419"/>
      <c r="K1968" s="419"/>
      <c r="L1968" s="415"/>
      <c r="M1968" s="419"/>
      <c r="N1968" s="419"/>
      <c r="O1968" s="414"/>
      <c r="P1968" s="655">
        <f t="shared" si="116"/>
        <v>0</v>
      </c>
      <c r="Q1968" s="655">
        <f t="shared" si="115"/>
        <v>0</v>
      </c>
      <c r="R1968" s="695" t="str">
        <f t="shared" si="114"/>
        <v/>
      </c>
      <c r="S1968" s="696"/>
      <c r="T1968" s="696"/>
    </row>
    <row r="1969" spans="1:20" x14ac:dyDescent="0.2">
      <c r="A1969" s="432" t="str">
        <f>IF(B1969="","",COUNT('Diário 1º PA'!$A$4:$A$2635)+COUNT('Diário 2º PA'!$A$4:$A$3040)+ROW()-3)</f>
        <v/>
      </c>
      <c r="B1969" s="413"/>
      <c r="C1969" s="421"/>
      <c r="D1969" s="419"/>
      <c r="E1969" s="419"/>
      <c r="F1969" s="422"/>
      <c r="G1969" s="419"/>
      <c r="H1969" s="419"/>
      <c r="I1969" s="415"/>
      <c r="J1969" s="419"/>
      <c r="K1969" s="419"/>
      <c r="L1969" s="415"/>
      <c r="M1969" s="419"/>
      <c r="N1969" s="419"/>
      <c r="O1969" s="414"/>
      <c r="P1969" s="655">
        <f t="shared" si="116"/>
        <v>0</v>
      </c>
      <c r="Q1969" s="655">
        <f t="shared" si="115"/>
        <v>0</v>
      </c>
      <c r="R1969" s="695" t="str">
        <f t="shared" si="114"/>
        <v/>
      </c>
      <c r="S1969" s="696"/>
      <c r="T1969" s="696"/>
    </row>
    <row r="1970" spans="1:20" x14ac:dyDescent="0.2">
      <c r="A1970" s="432" t="str">
        <f>IF(B1970="","",COUNT('Diário 1º PA'!$A$4:$A$2635)+COUNT('Diário 2º PA'!$A$4:$A$3040)+ROW()-3)</f>
        <v/>
      </c>
      <c r="B1970" s="413"/>
      <c r="C1970" s="421"/>
      <c r="D1970" s="419"/>
      <c r="E1970" s="419"/>
      <c r="F1970" s="422"/>
      <c r="G1970" s="419"/>
      <c r="H1970" s="419"/>
      <c r="I1970" s="415"/>
      <c r="J1970" s="419"/>
      <c r="K1970" s="419"/>
      <c r="L1970" s="415"/>
      <c r="M1970" s="419"/>
      <c r="N1970" s="419"/>
      <c r="O1970" s="414"/>
      <c r="P1970" s="300">
        <f t="shared" si="116"/>
        <v>0</v>
      </c>
      <c r="Q1970" s="300">
        <f t="shared" si="115"/>
        <v>0</v>
      </c>
      <c r="R1970" s="93" t="str">
        <f t="shared" si="114"/>
        <v/>
      </c>
      <c r="S1970" s="721"/>
      <c r="T1970" s="721"/>
    </row>
    <row r="1971" spans="1:20" x14ac:dyDescent="0.2">
      <c r="A1971" s="432" t="str">
        <f>IF(B1971="","",COUNT('Diário 1º PA'!$A$4:$A$2635)+COUNT('Diário 2º PA'!$A$4:$A$3040)+ROW()-3)</f>
        <v/>
      </c>
      <c r="B1971" s="413"/>
      <c r="C1971" s="421"/>
      <c r="D1971" s="419"/>
      <c r="E1971" s="419"/>
      <c r="F1971" s="422"/>
      <c r="G1971" s="419"/>
      <c r="H1971" s="419"/>
      <c r="I1971" s="415"/>
      <c r="J1971" s="419"/>
      <c r="K1971" s="419"/>
      <c r="L1971" s="415"/>
      <c r="M1971" s="419"/>
      <c r="N1971" s="419"/>
      <c r="O1971" s="414"/>
      <c r="P1971" s="300">
        <f t="shared" si="116"/>
        <v>0</v>
      </c>
      <c r="Q1971" s="300">
        <f t="shared" si="115"/>
        <v>0</v>
      </c>
      <c r="R1971" s="93" t="str">
        <f t="shared" si="114"/>
        <v/>
      </c>
      <c r="S1971" s="721"/>
      <c r="T1971" s="721"/>
    </row>
    <row r="1972" spans="1:20" x14ac:dyDescent="0.2">
      <c r="A1972" s="432" t="str">
        <f>IF(B1972="","",COUNT('Diário 1º PA'!$A$4:$A$2635)+COUNT('Diário 2º PA'!$A$4:$A$3040)+ROW()-3)</f>
        <v/>
      </c>
      <c r="B1972" s="413"/>
      <c r="C1972" s="421"/>
      <c r="D1972" s="419"/>
      <c r="E1972" s="419"/>
      <c r="F1972" s="422"/>
      <c r="G1972" s="419"/>
      <c r="H1972" s="419"/>
      <c r="I1972" s="415"/>
      <c r="J1972" s="419"/>
      <c r="K1972" s="419"/>
      <c r="L1972" s="415"/>
      <c r="M1972" s="419"/>
      <c r="N1972" s="419"/>
      <c r="O1972" s="414"/>
      <c r="P1972" s="300">
        <f t="shared" si="116"/>
        <v>0</v>
      </c>
      <c r="Q1972" s="300">
        <f t="shared" si="115"/>
        <v>0</v>
      </c>
      <c r="R1972" s="93" t="str">
        <f t="shared" si="114"/>
        <v/>
      </c>
      <c r="S1972" s="721"/>
      <c r="T1972" s="721"/>
    </row>
    <row r="1973" spans="1:20" x14ac:dyDescent="0.2">
      <c r="A1973" s="432" t="str">
        <f>IF(B1973="","",COUNT('Diário 1º PA'!$A$4:$A$2635)+COUNT('Diário 2º PA'!$A$4:$A$3040)+ROW()-3)</f>
        <v/>
      </c>
      <c r="B1973" s="413"/>
      <c r="C1973" s="421"/>
      <c r="D1973" s="419"/>
      <c r="E1973" s="419"/>
      <c r="F1973" s="422"/>
      <c r="G1973" s="419"/>
      <c r="H1973" s="419"/>
      <c r="I1973" s="415"/>
      <c r="J1973" s="419"/>
      <c r="K1973" s="419"/>
      <c r="L1973" s="415"/>
      <c r="M1973" s="419"/>
      <c r="N1973" s="419"/>
      <c r="O1973" s="414"/>
      <c r="P1973" s="300">
        <f t="shared" si="116"/>
        <v>0</v>
      </c>
      <c r="Q1973" s="300">
        <f t="shared" si="115"/>
        <v>0</v>
      </c>
      <c r="R1973" s="93" t="str">
        <f t="shared" si="114"/>
        <v/>
      </c>
      <c r="S1973" s="721"/>
      <c r="T1973" s="721"/>
    </row>
    <row r="1974" spans="1:20" x14ac:dyDescent="0.2">
      <c r="A1974" s="432" t="str">
        <f>IF(B1974="","",COUNT('Diário 1º PA'!$A$4:$A$2635)+COUNT('Diário 2º PA'!$A$4:$A$3040)+ROW()-3)</f>
        <v/>
      </c>
      <c r="B1974" s="413"/>
      <c r="C1974" s="421"/>
      <c r="D1974" s="419"/>
      <c r="E1974" s="419"/>
      <c r="F1974" s="422"/>
      <c r="G1974" s="419"/>
      <c r="H1974" s="419"/>
      <c r="I1974" s="415"/>
      <c r="J1974" s="419"/>
      <c r="K1974" s="419"/>
      <c r="L1974" s="415"/>
      <c r="M1974" s="419"/>
      <c r="N1974" s="419"/>
      <c r="O1974" s="414"/>
      <c r="P1974" s="300">
        <f t="shared" si="116"/>
        <v>0</v>
      </c>
      <c r="Q1974" s="300">
        <f t="shared" si="115"/>
        <v>0</v>
      </c>
      <c r="R1974" s="93" t="str">
        <f t="shared" si="114"/>
        <v/>
      </c>
      <c r="S1974" s="721"/>
      <c r="T1974" s="721"/>
    </row>
    <row r="1975" spans="1:20" x14ac:dyDescent="0.2">
      <c r="A1975" s="432" t="str">
        <f>IF(B1975="","",COUNT('Diário 1º PA'!$A$4:$A$2635)+COUNT('Diário 2º PA'!$A$4:$A$3040)+ROW()-3)</f>
        <v/>
      </c>
      <c r="B1975" s="413"/>
      <c r="C1975" s="421"/>
      <c r="D1975" s="419"/>
      <c r="E1975" s="419"/>
      <c r="F1975" s="422"/>
      <c r="G1975" s="419"/>
      <c r="H1975" s="419"/>
      <c r="I1975" s="415"/>
      <c r="J1975" s="419"/>
      <c r="K1975" s="419"/>
      <c r="L1975" s="415"/>
      <c r="M1975" s="419"/>
      <c r="N1975" s="419"/>
      <c r="O1975" s="414"/>
      <c r="P1975" s="300">
        <f t="shared" si="116"/>
        <v>0</v>
      </c>
      <c r="Q1975" s="300">
        <f t="shared" si="115"/>
        <v>0</v>
      </c>
      <c r="R1975" s="93" t="str">
        <f t="shared" si="114"/>
        <v/>
      </c>
      <c r="S1975" s="721"/>
      <c r="T1975" s="721"/>
    </row>
    <row r="1976" spans="1:20" x14ac:dyDescent="0.2">
      <c r="A1976" s="432" t="str">
        <f>IF(B1976="","",COUNT('Diário 1º PA'!$A$4:$A$2635)+COUNT('Diário 2º PA'!$A$4:$A$3040)+ROW()-3)</f>
        <v/>
      </c>
      <c r="B1976" s="413"/>
      <c r="C1976" s="421"/>
      <c r="D1976" s="419"/>
      <c r="E1976" s="419"/>
      <c r="F1976" s="422"/>
      <c r="G1976" s="419"/>
      <c r="H1976" s="419"/>
      <c r="I1976" s="415"/>
      <c r="J1976" s="419"/>
      <c r="K1976" s="419"/>
      <c r="L1976" s="415"/>
      <c r="M1976" s="419"/>
      <c r="N1976" s="419"/>
      <c r="O1976" s="414"/>
      <c r="P1976" s="300">
        <f t="shared" si="116"/>
        <v>0</v>
      </c>
      <c r="Q1976" s="300">
        <f t="shared" si="115"/>
        <v>0</v>
      </c>
      <c r="R1976" s="93" t="str">
        <f t="shared" si="114"/>
        <v/>
      </c>
      <c r="S1976" s="721"/>
      <c r="T1976" s="721"/>
    </row>
    <row r="1977" spans="1:20" x14ac:dyDescent="0.2">
      <c r="A1977" s="432" t="str">
        <f>IF(B1977="","",COUNT('Diário 1º PA'!$A$4:$A$2635)+COUNT('Diário 2º PA'!$A$4:$A$3040)+ROW()-3)</f>
        <v/>
      </c>
      <c r="B1977" s="413"/>
      <c r="C1977" s="421"/>
      <c r="D1977" s="419"/>
      <c r="E1977" s="419"/>
      <c r="F1977" s="422"/>
      <c r="G1977" s="419"/>
      <c r="H1977" s="419"/>
      <c r="I1977" s="415"/>
      <c r="J1977" s="419"/>
      <c r="K1977" s="419"/>
      <c r="L1977" s="415"/>
      <c r="M1977" s="419"/>
      <c r="N1977" s="419"/>
      <c r="O1977" s="414"/>
      <c r="P1977" s="300">
        <f t="shared" si="116"/>
        <v>0</v>
      </c>
      <c r="Q1977" s="300">
        <f t="shared" si="115"/>
        <v>0</v>
      </c>
      <c r="R1977" s="93" t="str">
        <f t="shared" si="114"/>
        <v/>
      </c>
      <c r="S1977" s="721"/>
      <c r="T1977" s="721"/>
    </row>
    <row r="1978" spans="1:20" x14ac:dyDescent="0.2">
      <c r="A1978" s="432" t="str">
        <f>IF(B1978="","",COUNT('Diário 1º PA'!$A$4:$A$2635)+COUNT('Diário 2º PA'!$A$4:$A$3040)+ROW()-3)</f>
        <v/>
      </c>
      <c r="B1978" s="413"/>
      <c r="C1978" s="421"/>
      <c r="D1978" s="419"/>
      <c r="E1978" s="419"/>
      <c r="F1978" s="422"/>
      <c r="G1978" s="419"/>
      <c r="H1978" s="419"/>
      <c r="I1978" s="415"/>
      <c r="J1978" s="419"/>
      <c r="K1978" s="419"/>
      <c r="L1978" s="415"/>
      <c r="M1978" s="419"/>
      <c r="N1978" s="419"/>
      <c r="O1978" s="414"/>
      <c r="P1978" s="300">
        <f t="shared" si="116"/>
        <v>0</v>
      </c>
      <c r="Q1978" s="300">
        <f t="shared" si="115"/>
        <v>0</v>
      </c>
      <c r="R1978" s="93" t="str">
        <f t="shared" si="114"/>
        <v/>
      </c>
      <c r="S1978" s="721"/>
      <c r="T1978" s="721"/>
    </row>
    <row r="1979" spans="1:20" x14ac:dyDescent="0.2">
      <c r="A1979" s="432" t="str">
        <f>IF(B1979="","",COUNT('Diário 1º PA'!$A$4:$A$2635)+COUNT('Diário 2º PA'!$A$4:$A$3040)+ROW()-3)</f>
        <v/>
      </c>
      <c r="B1979" s="413"/>
      <c r="C1979" s="421"/>
      <c r="D1979" s="419"/>
      <c r="E1979" s="419"/>
      <c r="F1979" s="422"/>
      <c r="G1979" s="419"/>
      <c r="H1979" s="419"/>
      <c r="I1979" s="415"/>
      <c r="J1979" s="419"/>
      <c r="K1979" s="419"/>
      <c r="L1979" s="415"/>
      <c r="M1979" s="419"/>
      <c r="N1979" s="419"/>
      <c r="O1979" s="414"/>
      <c r="P1979" s="300">
        <f t="shared" si="116"/>
        <v>0</v>
      </c>
      <c r="Q1979" s="300">
        <f t="shared" si="115"/>
        <v>0</v>
      </c>
      <c r="R1979" s="93" t="str">
        <f t="shared" si="114"/>
        <v/>
      </c>
      <c r="S1979" s="721"/>
      <c r="T1979" s="721"/>
    </row>
    <row r="1980" spans="1:20" x14ac:dyDescent="0.2">
      <c r="A1980" s="432" t="str">
        <f>IF(B1980="","",COUNT('Diário 1º PA'!$A$4:$A$2635)+COUNT('Diário 2º PA'!$A$4:$A$3040)+ROW()-3)</f>
        <v/>
      </c>
      <c r="B1980" s="413"/>
      <c r="C1980" s="421"/>
      <c r="D1980" s="419"/>
      <c r="E1980" s="419"/>
      <c r="F1980" s="422"/>
      <c r="G1980" s="419"/>
      <c r="H1980" s="419"/>
      <c r="I1980" s="415"/>
      <c r="J1980" s="419"/>
      <c r="K1980" s="419"/>
      <c r="L1980" s="415"/>
      <c r="M1980" s="419"/>
      <c r="N1980" s="419"/>
      <c r="O1980" s="414"/>
      <c r="P1980" s="300">
        <f t="shared" si="116"/>
        <v>0</v>
      </c>
      <c r="Q1980" s="300">
        <f t="shared" si="115"/>
        <v>0</v>
      </c>
      <c r="R1980" s="93" t="str">
        <f t="shared" si="114"/>
        <v/>
      </c>
      <c r="S1980" s="721"/>
      <c r="T1980" s="721"/>
    </row>
    <row r="1981" spans="1:20" x14ac:dyDescent="0.2">
      <c r="A1981" s="432" t="str">
        <f>IF(B1981="","",COUNT('Diário 1º PA'!$A$4:$A$2635)+COUNT('Diário 2º PA'!$A$4:$A$3040)+ROW()-3)</f>
        <v/>
      </c>
      <c r="B1981" s="413"/>
      <c r="C1981" s="421"/>
      <c r="D1981" s="419"/>
      <c r="E1981" s="419"/>
      <c r="F1981" s="422"/>
      <c r="G1981" s="419"/>
      <c r="H1981" s="419"/>
      <c r="I1981" s="415"/>
      <c r="J1981" s="419"/>
      <c r="K1981" s="419"/>
      <c r="L1981" s="415"/>
      <c r="M1981" s="419"/>
      <c r="N1981" s="419"/>
      <c r="O1981" s="414"/>
      <c r="P1981" s="300">
        <f t="shared" si="116"/>
        <v>0</v>
      </c>
      <c r="Q1981" s="300">
        <f t="shared" si="115"/>
        <v>0</v>
      </c>
      <c r="R1981" s="93" t="str">
        <f t="shared" si="114"/>
        <v/>
      </c>
      <c r="S1981" s="721"/>
      <c r="T1981" s="721"/>
    </row>
    <row r="1982" spans="1:20" x14ac:dyDescent="0.2">
      <c r="A1982" s="432" t="str">
        <f>IF(B1982="","",COUNT('Diário 1º PA'!$A$4:$A$2635)+COUNT('Diário 2º PA'!$A$4:$A$3040)+ROW()-3)</f>
        <v/>
      </c>
      <c r="B1982" s="413"/>
      <c r="C1982" s="421"/>
      <c r="D1982" s="419"/>
      <c r="E1982" s="419"/>
      <c r="F1982" s="422"/>
      <c r="G1982" s="419"/>
      <c r="H1982" s="419"/>
      <c r="I1982" s="415"/>
      <c r="J1982" s="419"/>
      <c r="K1982" s="419"/>
      <c r="L1982" s="415"/>
      <c r="M1982" s="419"/>
      <c r="N1982" s="419"/>
      <c r="O1982" s="414"/>
      <c r="P1982" s="300">
        <f t="shared" si="116"/>
        <v>0</v>
      </c>
      <c r="Q1982" s="300">
        <f t="shared" si="115"/>
        <v>0</v>
      </c>
      <c r="R1982" s="93" t="str">
        <f t="shared" si="114"/>
        <v/>
      </c>
      <c r="S1982" s="721"/>
      <c r="T1982" s="721"/>
    </row>
    <row r="1983" spans="1:20" x14ac:dyDescent="0.2">
      <c r="A1983" s="432" t="str">
        <f>IF(B1983="","",COUNT('Diário 1º PA'!$A$4:$A$2635)+COUNT('Diário 2º PA'!$A$4:$A$3040)+ROW()-3)</f>
        <v/>
      </c>
      <c r="B1983" s="413"/>
      <c r="C1983" s="421"/>
      <c r="D1983" s="419"/>
      <c r="E1983" s="419"/>
      <c r="F1983" s="422"/>
      <c r="G1983" s="419"/>
      <c r="H1983" s="419"/>
      <c r="I1983" s="415"/>
      <c r="J1983" s="419"/>
      <c r="K1983" s="419"/>
      <c r="L1983" s="415"/>
      <c r="M1983" s="419"/>
      <c r="N1983" s="419"/>
      <c r="O1983" s="414"/>
      <c r="P1983" s="300">
        <f t="shared" si="116"/>
        <v>0</v>
      </c>
      <c r="Q1983" s="300">
        <f t="shared" si="115"/>
        <v>0</v>
      </c>
      <c r="R1983" s="93" t="str">
        <f t="shared" si="114"/>
        <v/>
      </c>
      <c r="S1983" s="721"/>
      <c r="T1983" s="721"/>
    </row>
    <row r="1984" spans="1:20" x14ac:dyDescent="0.2">
      <c r="A1984" s="432" t="str">
        <f>IF(B1984="","",COUNT('Diário 1º PA'!$A$4:$A$2635)+COUNT('Diário 2º PA'!$A$4:$A$3040)+ROW()-3)</f>
        <v/>
      </c>
      <c r="B1984" s="413"/>
      <c r="C1984" s="421"/>
      <c r="D1984" s="419"/>
      <c r="E1984" s="419"/>
      <c r="F1984" s="422"/>
      <c r="G1984" s="419"/>
      <c r="H1984" s="419"/>
      <c r="I1984" s="415"/>
      <c r="J1984" s="419"/>
      <c r="K1984" s="419"/>
      <c r="L1984" s="415"/>
      <c r="M1984" s="419"/>
      <c r="N1984" s="419"/>
      <c r="O1984" s="414"/>
      <c r="P1984" s="300">
        <f t="shared" si="116"/>
        <v>0</v>
      </c>
      <c r="Q1984" s="300">
        <f t="shared" si="115"/>
        <v>0</v>
      </c>
      <c r="R1984" s="93" t="str">
        <f t="shared" si="114"/>
        <v/>
      </c>
      <c r="S1984" s="721"/>
      <c r="T1984" s="721"/>
    </row>
    <row r="1985" spans="1:20" x14ac:dyDescent="0.2">
      <c r="A1985" s="432" t="str">
        <f>IF(B1985="","",COUNT('Diário 1º PA'!$A$4:$A$2635)+COUNT('Diário 2º PA'!$A$4:$A$3040)+ROW()-3)</f>
        <v/>
      </c>
      <c r="B1985" s="413"/>
      <c r="C1985" s="421"/>
      <c r="D1985" s="419"/>
      <c r="E1985" s="419"/>
      <c r="F1985" s="422"/>
      <c r="G1985" s="419"/>
      <c r="H1985" s="419"/>
      <c r="I1985" s="415"/>
      <c r="J1985" s="419"/>
      <c r="K1985" s="419"/>
      <c r="L1985" s="415"/>
      <c r="M1985" s="419"/>
      <c r="N1985" s="419"/>
      <c r="O1985" s="414"/>
      <c r="P1985" s="300">
        <f t="shared" si="116"/>
        <v>0</v>
      </c>
      <c r="Q1985" s="300">
        <f t="shared" si="115"/>
        <v>0</v>
      </c>
      <c r="R1985" s="93" t="str">
        <f t="shared" si="114"/>
        <v/>
      </c>
      <c r="S1985" s="721"/>
      <c r="T1985" s="721"/>
    </row>
    <row r="1986" spans="1:20" x14ac:dyDescent="0.2">
      <c r="A1986" s="432" t="str">
        <f>IF(B1986="","",COUNT('Diário 1º PA'!$A$4:$A$2635)+COUNT('Diário 2º PA'!$A$4:$A$3040)+ROW()-3)</f>
        <v/>
      </c>
      <c r="B1986" s="413"/>
      <c r="C1986" s="421"/>
      <c r="D1986" s="419"/>
      <c r="E1986" s="419"/>
      <c r="F1986" s="422"/>
      <c r="G1986" s="419"/>
      <c r="H1986" s="419"/>
      <c r="I1986" s="415"/>
      <c r="J1986" s="419"/>
      <c r="K1986" s="419"/>
      <c r="L1986" s="415"/>
      <c r="M1986" s="419"/>
      <c r="N1986" s="419"/>
      <c r="O1986" s="414"/>
      <c r="P1986" s="300">
        <f t="shared" si="116"/>
        <v>0</v>
      </c>
      <c r="Q1986" s="300">
        <f t="shared" si="115"/>
        <v>0</v>
      </c>
      <c r="R1986" s="93" t="str">
        <f t="shared" si="114"/>
        <v/>
      </c>
      <c r="S1986" s="721"/>
      <c r="T1986" s="721"/>
    </row>
    <row r="1987" spans="1:20" x14ac:dyDescent="0.2">
      <c r="A1987" s="432" t="str">
        <f>IF(B1987="","",COUNT('Diário 1º PA'!$A$4:$A$2635)+COUNT('Diário 2º PA'!$A$4:$A$3040)+ROW()-3)</f>
        <v/>
      </c>
      <c r="B1987" s="413"/>
      <c r="C1987" s="421"/>
      <c r="D1987" s="419"/>
      <c r="E1987" s="419"/>
      <c r="F1987" s="422"/>
      <c r="G1987" s="419"/>
      <c r="H1987" s="419"/>
      <c r="I1987" s="415"/>
      <c r="J1987" s="419"/>
      <c r="K1987" s="419"/>
      <c r="L1987" s="415"/>
      <c r="M1987" s="419"/>
      <c r="N1987" s="419"/>
      <c r="O1987" s="414"/>
      <c r="P1987" s="300">
        <f t="shared" si="116"/>
        <v>0</v>
      </c>
      <c r="Q1987" s="300">
        <f t="shared" si="115"/>
        <v>0</v>
      </c>
      <c r="R1987" s="93" t="str">
        <f t="shared" si="114"/>
        <v/>
      </c>
      <c r="S1987" s="721"/>
      <c r="T1987" s="721"/>
    </row>
    <row r="1988" spans="1:20" x14ac:dyDescent="0.2">
      <c r="A1988" s="432" t="str">
        <f>IF(B1988="","",COUNT('Diário 1º PA'!$A$4:$A$2635)+COUNT('Diário 2º PA'!$A$4:$A$3040)+ROW()-3)</f>
        <v/>
      </c>
      <c r="B1988" s="413"/>
      <c r="C1988" s="421"/>
      <c r="D1988" s="419"/>
      <c r="E1988" s="419"/>
      <c r="F1988" s="422"/>
      <c r="G1988" s="419"/>
      <c r="H1988" s="419"/>
      <c r="I1988" s="415"/>
      <c r="J1988" s="419"/>
      <c r="K1988" s="419"/>
      <c r="L1988" s="415"/>
      <c r="M1988" s="419"/>
      <c r="N1988" s="419"/>
      <c r="O1988" s="414"/>
      <c r="P1988" s="300">
        <f t="shared" si="116"/>
        <v>0</v>
      </c>
      <c r="Q1988" s="300">
        <f t="shared" si="115"/>
        <v>0</v>
      </c>
      <c r="R1988" s="93" t="str">
        <f t="shared" ref="R1988:R2051" si="117">SUBSTITUTE(D1988," ","_")</f>
        <v/>
      </c>
      <c r="S1988" s="721"/>
      <c r="T1988" s="721"/>
    </row>
    <row r="1989" spans="1:20" x14ac:dyDescent="0.2">
      <c r="A1989" s="432" t="str">
        <f>IF(B1989="","",COUNT('Diário 1º PA'!$A$4:$A$2635)+COUNT('Diário 2º PA'!$A$4:$A$3040)+ROW()-3)</f>
        <v/>
      </c>
      <c r="B1989" s="413"/>
      <c r="C1989" s="421"/>
      <c r="D1989" s="419"/>
      <c r="E1989" s="419"/>
      <c r="F1989" s="422"/>
      <c r="G1989" s="419"/>
      <c r="H1989" s="419"/>
      <c r="I1989" s="415"/>
      <c r="J1989" s="419"/>
      <c r="K1989" s="419"/>
      <c r="L1989" s="415"/>
      <c r="M1989" s="419"/>
      <c r="N1989" s="419"/>
      <c r="O1989" s="414"/>
      <c r="P1989" s="300">
        <f t="shared" si="116"/>
        <v>0</v>
      </c>
      <c r="Q1989" s="300">
        <f t="shared" si="115"/>
        <v>0</v>
      </c>
      <c r="R1989" s="93" t="str">
        <f t="shared" si="117"/>
        <v/>
      </c>
      <c r="S1989" s="721"/>
      <c r="T1989" s="721"/>
    </row>
    <row r="1990" spans="1:20" x14ac:dyDescent="0.2">
      <c r="A1990" s="432" t="str">
        <f>IF(B1990="","",COUNT('Diário 1º PA'!$A$4:$A$2635)+COUNT('Diário 2º PA'!$A$4:$A$3040)+ROW()-3)</f>
        <v/>
      </c>
      <c r="B1990" s="413"/>
      <c r="C1990" s="421"/>
      <c r="D1990" s="419"/>
      <c r="E1990" s="419"/>
      <c r="F1990" s="422"/>
      <c r="G1990" s="419"/>
      <c r="H1990" s="419"/>
      <c r="I1990" s="415"/>
      <c r="J1990" s="419"/>
      <c r="K1990" s="419"/>
      <c r="L1990" s="415"/>
      <c r="M1990" s="419"/>
      <c r="N1990" s="419"/>
      <c r="O1990" s="414"/>
      <c r="P1990" s="300">
        <f t="shared" si="116"/>
        <v>0</v>
      </c>
      <c r="Q1990" s="300">
        <f t="shared" si="115"/>
        <v>0</v>
      </c>
      <c r="R1990" s="93" t="str">
        <f t="shared" si="117"/>
        <v/>
      </c>
      <c r="S1990" s="721"/>
      <c r="T1990" s="721"/>
    </row>
    <row r="1991" spans="1:20" x14ac:dyDescent="0.2">
      <c r="A1991" s="432" t="str">
        <f>IF(B1991="","",COUNT('Diário 1º PA'!$A$4:$A$2635)+COUNT('Diário 2º PA'!$A$4:$A$3040)+ROW()-3)</f>
        <v/>
      </c>
      <c r="B1991" s="413"/>
      <c r="C1991" s="421"/>
      <c r="D1991" s="419"/>
      <c r="E1991" s="419"/>
      <c r="F1991" s="422"/>
      <c r="G1991" s="419"/>
      <c r="H1991" s="419"/>
      <c r="I1991" s="415"/>
      <c r="J1991" s="419"/>
      <c r="K1991" s="419"/>
      <c r="L1991" s="415"/>
      <c r="M1991" s="419"/>
      <c r="N1991" s="419"/>
      <c r="O1991" s="414"/>
      <c r="P1991" s="300">
        <f t="shared" si="116"/>
        <v>0</v>
      </c>
      <c r="Q1991" s="300">
        <f t="shared" si="115"/>
        <v>0</v>
      </c>
      <c r="R1991" s="93" t="str">
        <f t="shared" si="117"/>
        <v/>
      </c>
      <c r="S1991" s="721"/>
      <c r="T1991" s="721"/>
    </row>
    <row r="1992" spans="1:20" x14ac:dyDescent="0.2">
      <c r="A1992" s="432" t="str">
        <f>IF(B1992="","",COUNT('Diário 1º PA'!$A$4:$A$2635)+COUNT('Diário 2º PA'!$A$4:$A$3040)+ROW()-3)</f>
        <v/>
      </c>
      <c r="B1992" s="413"/>
      <c r="C1992" s="421"/>
      <c r="D1992" s="419"/>
      <c r="E1992" s="419"/>
      <c r="F1992" s="422"/>
      <c r="G1992" s="419"/>
      <c r="H1992" s="419"/>
      <c r="I1992" s="415"/>
      <c r="J1992" s="419"/>
      <c r="K1992" s="419"/>
      <c r="L1992" s="415"/>
      <c r="M1992" s="419"/>
      <c r="N1992" s="419"/>
      <c r="O1992" s="414"/>
      <c r="P1992" s="300">
        <f t="shared" si="116"/>
        <v>0</v>
      </c>
      <c r="Q1992" s="300">
        <f t="shared" si="115"/>
        <v>0</v>
      </c>
      <c r="R1992" s="93" t="str">
        <f t="shared" si="117"/>
        <v/>
      </c>
      <c r="S1992" s="721"/>
      <c r="T1992" s="721"/>
    </row>
    <row r="1993" spans="1:20" x14ac:dyDescent="0.2">
      <c r="A1993" s="432" t="str">
        <f>IF(B1993="","",COUNT('Diário 1º PA'!$A$4:$A$2635)+COUNT('Diário 2º PA'!$A$4:$A$3040)+ROW()-3)</f>
        <v/>
      </c>
      <c r="B1993" s="413"/>
      <c r="C1993" s="421"/>
      <c r="D1993" s="419"/>
      <c r="E1993" s="419"/>
      <c r="F1993" s="422"/>
      <c r="G1993" s="419"/>
      <c r="H1993" s="419"/>
      <c r="I1993" s="415"/>
      <c r="J1993" s="419"/>
      <c r="K1993" s="419"/>
      <c r="L1993" s="415"/>
      <c r="M1993" s="419"/>
      <c r="N1993" s="419"/>
      <c r="O1993" s="414"/>
      <c r="P1993" s="300">
        <f t="shared" si="116"/>
        <v>0</v>
      </c>
      <c r="Q1993" s="300">
        <f t="shared" si="115"/>
        <v>0</v>
      </c>
      <c r="R1993" s="93" t="str">
        <f t="shared" si="117"/>
        <v/>
      </c>
      <c r="S1993" s="721"/>
      <c r="T1993" s="721"/>
    </row>
    <row r="1994" spans="1:20" x14ac:dyDescent="0.2">
      <c r="A1994" s="432" t="str">
        <f>IF(B1994="","",COUNT('Diário 1º PA'!$A$4:$A$2635)+COUNT('Diário 2º PA'!$A$4:$A$3040)+ROW()-3)</f>
        <v/>
      </c>
      <c r="B1994" s="413"/>
      <c r="C1994" s="421"/>
      <c r="D1994" s="419"/>
      <c r="E1994" s="419"/>
      <c r="F1994" s="422"/>
      <c r="G1994" s="419"/>
      <c r="H1994" s="419"/>
      <c r="I1994" s="415"/>
      <c r="J1994" s="419"/>
      <c r="K1994" s="419"/>
      <c r="L1994" s="415"/>
      <c r="M1994" s="419"/>
      <c r="N1994" s="419"/>
      <c r="O1994" s="414"/>
      <c r="P1994" s="300">
        <f t="shared" si="116"/>
        <v>0</v>
      </c>
      <c r="Q1994" s="300">
        <f t="shared" si="115"/>
        <v>0</v>
      </c>
      <c r="R1994" s="93" t="str">
        <f t="shared" si="117"/>
        <v/>
      </c>
      <c r="S1994" s="721"/>
      <c r="T1994" s="721"/>
    </row>
    <row r="1995" spans="1:20" x14ac:dyDescent="0.2">
      <c r="A1995" s="432" t="str">
        <f>IF(B1995="","",COUNT('Diário 1º PA'!$A$4:$A$2635)+COUNT('Diário 2º PA'!$A$4:$A$3040)+ROW()-3)</f>
        <v/>
      </c>
      <c r="B1995" s="413"/>
      <c r="C1995" s="421"/>
      <c r="D1995" s="419"/>
      <c r="E1995" s="419"/>
      <c r="F1995" s="422"/>
      <c r="G1995" s="419"/>
      <c r="H1995" s="419"/>
      <c r="I1995" s="415"/>
      <c r="J1995" s="419"/>
      <c r="K1995" s="419"/>
      <c r="L1995" s="415"/>
      <c r="M1995" s="419"/>
      <c r="N1995" s="419"/>
      <c r="O1995" s="414"/>
      <c r="P1995" s="300">
        <f t="shared" si="116"/>
        <v>0</v>
      </c>
      <c r="Q1995" s="300">
        <f t="shared" si="115"/>
        <v>0</v>
      </c>
      <c r="R1995" s="93" t="str">
        <f t="shared" si="117"/>
        <v/>
      </c>
      <c r="S1995" s="721"/>
      <c r="T1995" s="721"/>
    </row>
    <row r="1996" spans="1:20" x14ac:dyDescent="0.2">
      <c r="A1996" s="432" t="str">
        <f>IF(B1996="","",COUNT('Diário 1º PA'!$A$4:$A$2635)+COUNT('Diário 2º PA'!$A$4:$A$3040)+ROW()-3)</f>
        <v/>
      </c>
      <c r="B1996" s="413"/>
      <c r="C1996" s="421"/>
      <c r="D1996" s="419"/>
      <c r="E1996" s="419"/>
      <c r="F1996" s="422"/>
      <c r="G1996" s="419"/>
      <c r="H1996" s="419"/>
      <c r="I1996" s="415"/>
      <c r="J1996" s="419"/>
      <c r="K1996" s="419"/>
      <c r="L1996" s="415"/>
      <c r="M1996" s="419"/>
      <c r="N1996" s="419"/>
      <c r="O1996" s="414"/>
      <c r="P1996" s="300">
        <f t="shared" si="116"/>
        <v>0</v>
      </c>
      <c r="Q1996" s="300">
        <f t="shared" si="115"/>
        <v>0</v>
      </c>
      <c r="R1996" s="93" t="str">
        <f t="shared" si="117"/>
        <v/>
      </c>
      <c r="S1996" s="721"/>
      <c r="T1996" s="721"/>
    </row>
    <row r="1997" spans="1:20" x14ac:dyDescent="0.2">
      <c r="A1997" s="432" t="str">
        <f>IF(B1997="","",COUNT('Diário 1º PA'!$A$4:$A$2635)+COUNT('Diário 2º PA'!$A$4:$A$3040)+ROW()-3)</f>
        <v/>
      </c>
      <c r="B1997" s="413"/>
      <c r="C1997" s="421"/>
      <c r="D1997" s="419"/>
      <c r="E1997" s="419"/>
      <c r="F1997" s="422"/>
      <c r="G1997" s="419"/>
      <c r="H1997" s="419"/>
      <c r="I1997" s="415"/>
      <c r="J1997" s="419"/>
      <c r="K1997" s="419"/>
      <c r="L1997" s="415"/>
      <c r="M1997" s="419"/>
      <c r="N1997" s="419"/>
      <c r="O1997" s="414"/>
      <c r="P1997" s="300">
        <f t="shared" si="116"/>
        <v>0</v>
      </c>
      <c r="Q1997" s="300">
        <f t="shared" si="115"/>
        <v>0</v>
      </c>
      <c r="R1997" s="93" t="str">
        <f t="shared" si="117"/>
        <v/>
      </c>
      <c r="S1997" s="721"/>
      <c r="T1997" s="721"/>
    </row>
    <row r="1998" spans="1:20" x14ac:dyDescent="0.2">
      <c r="A1998" s="432" t="str">
        <f>IF(B1998="","",COUNT('Diário 1º PA'!$A$4:$A$2635)+COUNT('Diário 2º PA'!$A$4:$A$3040)+ROW()-3)</f>
        <v/>
      </c>
      <c r="B1998" s="413"/>
      <c r="C1998" s="421"/>
      <c r="D1998" s="419"/>
      <c r="E1998" s="419"/>
      <c r="F1998" s="422"/>
      <c r="G1998" s="419"/>
      <c r="H1998" s="419"/>
      <c r="I1998" s="415"/>
      <c r="J1998" s="419"/>
      <c r="K1998" s="419"/>
      <c r="L1998" s="415"/>
      <c r="M1998" s="419"/>
      <c r="N1998" s="419"/>
      <c r="O1998" s="414"/>
      <c r="P1998" s="300">
        <f t="shared" si="116"/>
        <v>0</v>
      </c>
      <c r="Q1998" s="300">
        <f t="shared" si="115"/>
        <v>0</v>
      </c>
      <c r="R1998" s="93" t="str">
        <f t="shared" si="117"/>
        <v/>
      </c>
      <c r="S1998" s="721"/>
      <c r="T1998" s="721"/>
    </row>
    <row r="1999" spans="1:20" x14ac:dyDescent="0.2">
      <c r="A1999" s="432" t="str">
        <f>IF(B1999="","",COUNT('Diário 1º PA'!$A$4:$A$2635)+COUNT('Diário 2º PA'!$A$4:$A$3040)+ROW()-3)</f>
        <v/>
      </c>
      <c r="B1999" s="413"/>
      <c r="C1999" s="421"/>
      <c r="D1999" s="419"/>
      <c r="E1999" s="419"/>
      <c r="F1999" s="422"/>
      <c r="G1999" s="419"/>
      <c r="H1999" s="419"/>
      <c r="I1999" s="415"/>
      <c r="J1999" s="419"/>
      <c r="K1999" s="419"/>
      <c r="L1999" s="415"/>
      <c r="M1999" s="419"/>
      <c r="N1999" s="419"/>
      <c r="O1999" s="414"/>
      <c r="P1999" s="300">
        <f t="shared" si="116"/>
        <v>0</v>
      </c>
      <c r="Q1999" s="300">
        <f t="shared" ref="Q1999:Q2062" si="118">IF(C1999=0,0,IF(YEAR(C1999)=$Q$1,MONTH(C1999)-$P$1+1,(YEAR(C1999)-$Q$1)*12-$P$1+1+MONTH(C1999)))</f>
        <v>0</v>
      </c>
      <c r="R1999" s="93" t="str">
        <f t="shared" si="117"/>
        <v/>
      </c>
      <c r="S1999" s="721"/>
      <c r="T1999" s="721"/>
    </row>
    <row r="2000" spans="1:20" x14ac:dyDescent="0.2">
      <c r="A2000" s="432" t="str">
        <f>IF(B2000="","",COUNT('Diário 1º PA'!$A$4:$A$2635)+COUNT('Diário 2º PA'!$A$4:$A$3040)+ROW()-3)</f>
        <v/>
      </c>
      <c r="B2000" s="413"/>
      <c r="C2000" s="421"/>
      <c r="D2000" s="419"/>
      <c r="E2000" s="419"/>
      <c r="F2000" s="422"/>
      <c r="G2000" s="419"/>
      <c r="H2000" s="419"/>
      <c r="I2000" s="415"/>
      <c r="J2000" s="419"/>
      <c r="K2000" s="419"/>
      <c r="L2000" s="415"/>
      <c r="M2000" s="419"/>
      <c r="N2000" s="419"/>
      <c r="O2000" s="414"/>
      <c r="P2000" s="300">
        <f t="shared" si="116"/>
        <v>0</v>
      </c>
      <c r="Q2000" s="300">
        <f t="shared" si="118"/>
        <v>0</v>
      </c>
      <c r="R2000" s="93" t="str">
        <f t="shared" si="117"/>
        <v/>
      </c>
      <c r="S2000" s="721"/>
      <c r="T2000" s="721"/>
    </row>
    <row r="2001" spans="1:20" x14ac:dyDescent="0.2">
      <c r="A2001" s="432" t="str">
        <f>IF(B2001="","",COUNT('Diário 1º PA'!$A$4:$A$2635)+COUNT('Diário 2º PA'!$A$4:$A$3040)+ROW()-3)</f>
        <v/>
      </c>
      <c r="B2001" s="413"/>
      <c r="C2001" s="421"/>
      <c r="D2001" s="419"/>
      <c r="E2001" s="419"/>
      <c r="F2001" s="422"/>
      <c r="G2001" s="419"/>
      <c r="H2001" s="419"/>
      <c r="I2001" s="415"/>
      <c r="J2001" s="419"/>
      <c r="K2001" s="419"/>
      <c r="L2001" s="415"/>
      <c r="M2001" s="419"/>
      <c r="N2001" s="419"/>
      <c r="O2001" s="414"/>
      <c r="P2001" s="300">
        <f t="shared" ref="P2001:P2064" si="119">IF(B2001=0,0,IF(YEAR(B2001)=$Q$1,MONTH(B2001)-$P$1+1,(YEAR(B2001)-$Q$1)*12-$P$1+1+MONTH(B2001)))</f>
        <v>0</v>
      </c>
      <c r="Q2001" s="300">
        <f t="shared" si="118"/>
        <v>0</v>
      </c>
      <c r="R2001" s="93" t="str">
        <f t="shared" si="117"/>
        <v/>
      </c>
      <c r="S2001" s="721"/>
      <c r="T2001" s="721"/>
    </row>
    <row r="2002" spans="1:20" x14ac:dyDescent="0.2">
      <c r="A2002" s="432" t="str">
        <f>IF(B2002="","",COUNT('Diário 1º PA'!$A$4:$A$2635)+COUNT('Diário 2º PA'!$A$4:$A$3040)+ROW()-3)</f>
        <v/>
      </c>
      <c r="B2002" s="413"/>
      <c r="C2002" s="421"/>
      <c r="D2002" s="419"/>
      <c r="E2002" s="419"/>
      <c r="F2002" s="422"/>
      <c r="G2002" s="419"/>
      <c r="H2002" s="419"/>
      <c r="I2002" s="415"/>
      <c r="J2002" s="419"/>
      <c r="K2002" s="419"/>
      <c r="L2002" s="415"/>
      <c r="M2002" s="419"/>
      <c r="N2002" s="419"/>
      <c r="O2002" s="414"/>
      <c r="P2002" s="300">
        <f t="shared" si="119"/>
        <v>0</v>
      </c>
      <c r="Q2002" s="300">
        <f t="shared" si="118"/>
        <v>0</v>
      </c>
      <c r="R2002" s="93" t="str">
        <f t="shared" si="117"/>
        <v/>
      </c>
      <c r="S2002" s="721"/>
      <c r="T2002" s="721"/>
    </row>
    <row r="2003" spans="1:20" x14ac:dyDescent="0.2">
      <c r="A2003" s="432" t="str">
        <f>IF(B2003="","",COUNT('Diário 1º PA'!$A$4:$A$2635)+COUNT('Diário 2º PA'!$A$4:$A$3040)+ROW()-3)</f>
        <v/>
      </c>
      <c r="B2003" s="413"/>
      <c r="C2003" s="421"/>
      <c r="D2003" s="419"/>
      <c r="E2003" s="419"/>
      <c r="F2003" s="422"/>
      <c r="G2003" s="419"/>
      <c r="H2003" s="419"/>
      <c r="I2003" s="415"/>
      <c r="J2003" s="419"/>
      <c r="K2003" s="419"/>
      <c r="L2003" s="415"/>
      <c r="M2003" s="419"/>
      <c r="N2003" s="419"/>
      <c r="O2003" s="414"/>
      <c r="P2003" s="300">
        <f t="shared" si="119"/>
        <v>0</v>
      </c>
      <c r="Q2003" s="300">
        <f t="shared" si="118"/>
        <v>0</v>
      </c>
      <c r="R2003" s="93" t="str">
        <f t="shared" si="117"/>
        <v/>
      </c>
      <c r="S2003" s="721"/>
      <c r="T2003" s="721"/>
    </row>
    <row r="2004" spans="1:20" x14ac:dyDescent="0.2">
      <c r="A2004" s="432" t="str">
        <f>IF(B2004="","",COUNT('Diário 1º PA'!$A$4:$A$2635)+COUNT('Diário 2º PA'!$A$4:$A$3040)+ROW()-3)</f>
        <v/>
      </c>
      <c r="B2004" s="413"/>
      <c r="C2004" s="421"/>
      <c r="D2004" s="419"/>
      <c r="E2004" s="419"/>
      <c r="F2004" s="422"/>
      <c r="G2004" s="419"/>
      <c r="H2004" s="419"/>
      <c r="I2004" s="415"/>
      <c r="J2004" s="419"/>
      <c r="K2004" s="419"/>
      <c r="L2004" s="415"/>
      <c r="M2004" s="419"/>
      <c r="N2004" s="419"/>
      <c r="O2004" s="414"/>
      <c r="P2004" s="300">
        <f t="shared" si="119"/>
        <v>0</v>
      </c>
      <c r="Q2004" s="300">
        <f t="shared" si="118"/>
        <v>0</v>
      </c>
      <c r="R2004" s="93" t="str">
        <f t="shared" si="117"/>
        <v/>
      </c>
      <c r="S2004" s="721"/>
      <c r="T2004" s="721"/>
    </row>
    <row r="2005" spans="1:20" x14ac:dyDescent="0.2">
      <c r="A2005" s="432" t="str">
        <f>IF(B2005="","",COUNT('Diário 1º PA'!$A$4:$A$2635)+COUNT('Diário 2º PA'!$A$4:$A$3040)+ROW()-3)</f>
        <v/>
      </c>
      <c r="B2005" s="413"/>
      <c r="C2005" s="421"/>
      <c r="D2005" s="419"/>
      <c r="E2005" s="419"/>
      <c r="F2005" s="422"/>
      <c r="G2005" s="419"/>
      <c r="H2005" s="419"/>
      <c r="I2005" s="415"/>
      <c r="J2005" s="419"/>
      <c r="K2005" s="419"/>
      <c r="L2005" s="415"/>
      <c r="M2005" s="419"/>
      <c r="N2005" s="419"/>
      <c r="O2005" s="414"/>
      <c r="P2005" s="300">
        <f t="shared" si="119"/>
        <v>0</v>
      </c>
      <c r="Q2005" s="300">
        <f t="shared" si="118"/>
        <v>0</v>
      </c>
      <c r="R2005" s="93" t="str">
        <f t="shared" si="117"/>
        <v/>
      </c>
      <c r="S2005" s="721"/>
      <c r="T2005" s="721"/>
    </row>
    <row r="2006" spans="1:20" x14ac:dyDescent="0.2">
      <c r="A2006" s="432" t="str">
        <f>IF(B2006="","",COUNT('Diário 1º PA'!$A$4:$A$2635)+COUNT('Diário 2º PA'!$A$4:$A$3040)+ROW()-3)</f>
        <v/>
      </c>
      <c r="B2006" s="413"/>
      <c r="C2006" s="421"/>
      <c r="D2006" s="419"/>
      <c r="E2006" s="419"/>
      <c r="F2006" s="422"/>
      <c r="G2006" s="419"/>
      <c r="H2006" s="419"/>
      <c r="I2006" s="415"/>
      <c r="J2006" s="419"/>
      <c r="K2006" s="419"/>
      <c r="L2006" s="415"/>
      <c r="M2006" s="419"/>
      <c r="N2006" s="419"/>
      <c r="O2006" s="414"/>
      <c r="P2006" s="300">
        <f t="shared" si="119"/>
        <v>0</v>
      </c>
      <c r="Q2006" s="300">
        <f t="shared" si="118"/>
        <v>0</v>
      </c>
      <c r="R2006" s="93" t="str">
        <f t="shared" si="117"/>
        <v/>
      </c>
      <c r="S2006" s="721"/>
      <c r="T2006" s="721"/>
    </row>
    <row r="2007" spans="1:20" x14ac:dyDescent="0.2">
      <c r="A2007" s="432" t="str">
        <f>IF(B2007="","",COUNT('Diário 1º PA'!$A$4:$A$2635)+COUNT('Diário 2º PA'!$A$4:$A$3040)+ROW()-3)</f>
        <v/>
      </c>
      <c r="B2007" s="413"/>
      <c r="C2007" s="421"/>
      <c r="D2007" s="419"/>
      <c r="E2007" s="419"/>
      <c r="F2007" s="422"/>
      <c r="G2007" s="419"/>
      <c r="H2007" s="419"/>
      <c r="I2007" s="415"/>
      <c r="J2007" s="419"/>
      <c r="K2007" s="419"/>
      <c r="L2007" s="415"/>
      <c r="M2007" s="419"/>
      <c r="N2007" s="419"/>
      <c r="O2007" s="414"/>
      <c r="P2007" s="300">
        <f t="shared" si="119"/>
        <v>0</v>
      </c>
      <c r="Q2007" s="300">
        <f t="shared" si="118"/>
        <v>0</v>
      </c>
      <c r="R2007" s="93" t="str">
        <f t="shared" si="117"/>
        <v/>
      </c>
      <c r="S2007" s="721"/>
      <c r="T2007" s="721"/>
    </row>
    <row r="2008" spans="1:20" x14ac:dyDescent="0.2">
      <c r="A2008" s="432" t="str">
        <f>IF(B2008="","",COUNT('Diário 1º PA'!$A$4:$A$2635)+COUNT('Diário 2º PA'!$A$4:$A$3040)+ROW()-3)</f>
        <v/>
      </c>
      <c r="B2008" s="413"/>
      <c r="C2008" s="421"/>
      <c r="D2008" s="419"/>
      <c r="E2008" s="419"/>
      <c r="F2008" s="422"/>
      <c r="G2008" s="419"/>
      <c r="H2008" s="419"/>
      <c r="I2008" s="415"/>
      <c r="J2008" s="419"/>
      <c r="K2008" s="419"/>
      <c r="L2008" s="415"/>
      <c r="M2008" s="419"/>
      <c r="N2008" s="419"/>
      <c r="O2008" s="414"/>
      <c r="P2008" s="300">
        <f t="shared" si="119"/>
        <v>0</v>
      </c>
      <c r="Q2008" s="300">
        <f t="shared" si="118"/>
        <v>0</v>
      </c>
      <c r="R2008" s="93" t="str">
        <f t="shared" si="117"/>
        <v/>
      </c>
      <c r="S2008" s="721"/>
      <c r="T2008" s="721"/>
    </row>
    <row r="2009" spans="1:20" x14ac:dyDescent="0.2">
      <c r="A2009" s="432" t="str">
        <f>IF(B2009="","",COUNT('Diário 1º PA'!$A$4:$A$2635)+COUNT('Diário 2º PA'!$A$4:$A$3040)+ROW()-3)</f>
        <v/>
      </c>
      <c r="B2009" s="413"/>
      <c r="C2009" s="421"/>
      <c r="D2009" s="419"/>
      <c r="E2009" s="419"/>
      <c r="F2009" s="422"/>
      <c r="G2009" s="419"/>
      <c r="H2009" s="419"/>
      <c r="I2009" s="415"/>
      <c r="J2009" s="419"/>
      <c r="K2009" s="419"/>
      <c r="L2009" s="415"/>
      <c r="M2009" s="419"/>
      <c r="N2009" s="419"/>
      <c r="O2009" s="414"/>
      <c r="P2009" s="300">
        <f t="shared" si="119"/>
        <v>0</v>
      </c>
      <c r="Q2009" s="300">
        <f t="shared" si="118"/>
        <v>0</v>
      </c>
      <c r="R2009" s="93" t="str">
        <f t="shared" si="117"/>
        <v/>
      </c>
      <c r="S2009" s="721"/>
      <c r="T2009" s="721"/>
    </row>
    <row r="2010" spans="1:20" x14ac:dyDescent="0.2">
      <c r="A2010" s="432" t="str">
        <f>IF(B2010="","",COUNT('Diário 1º PA'!$A$4:$A$2635)+COUNT('Diário 2º PA'!$A$4:$A$3040)+ROW()-3)</f>
        <v/>
      </c>
      <c r="B2010" s="413"/>
      <c r="C2010" s="421"/>
      <c r="D2010" s="419"/>
      <c r="E2010" s="419"/>
      <c r="F2010" s="422"/>
      <c r="G2010" s="419"/>
      <c r="H2010" s="419"/>
      <c r="I2010" s="415"/>
      <c r="J2010" s="419"/>
      <c r="K2010" s="419"/>
      <c r="L2010" s="415"/>
      <c r="M2010" s="419"/>
      <c r="N2010" s="419"/>
      <c r="O2010" s="414"/>
      <c r="P2010" s="300">
        <f t="shared" si="119"/>
        <v>0</v>
      </c>
      <c r="Q2010" s="300">
        <f t="shared" si="118"/>
        <v>0</v>
      </c>
      <c r="R2010" s="93" t="str">
        <f t="shared" si="117"/>
        <v/>
      </c>
      <c r="S2010" s="721"/>
      <c r="T2010" s="721"/>
    </row>
    <row r="2011" spans="1:20" x14ac:dyDescent="0.2">
      <c r="A2011" s="432" t="str">
        <f>IF(B2011="","",COUNT('Diário 1º PA'!$A$4:$A$2635)+COUNT('Diário 2º PA'!$A$4:$A$3040)+ROW()-3)</f>
        <v/>
      </c>
      <c r="B2011" s="413"/>
      <c r="C2011" s="421"/>
      <c r="D2011" s="419"/>
      <c r="E2011" s="419"/>
      <c r="F2011" s="422"/>
      <c r="G2011" s="419"/>
      <c r="H2011" s="419"/>
      <c r="I2011" s="415"/>
      <c r="J2011" s="419"/>
      <c r="K2011" s="419"/>
      <c r="L2011" s="415"/>
      <c r="M2011" s="419"/>
      <c r="N2011" s="419"/>
      <c r="O2011" s="414"/>
      <c r="P2011" s="300">
        <f t="shared" si="119"/>
        <v>0</v>
      </c>
      <c r="Q2011" s="300">
        <f t="shared" si="118"/>
        <v>0</v>
      </c>
      <c r="R2011" s="93" t="str">
        <f t="shared" si="117"/>
        <v/>
      </c>
      <c r="S2011" s="721"/>
      <c r="T2011" s="721"/>
    </row>
    <row r="2012" spans="1:20" x14ac:dyDescent="0.2">
      <c r="A2012" s="432" t="str">
        <f>IF(B2012="","",COUNT('Diário 1º PA'!$A$4:$A$2635)+COUNT('Diário 2º PA'!$A$4:$A$3040)+ROW()-3)</f>
        <v/>
      </c>
      <c r="B2012" s="413"/>
      <c r="C2012" s="421"/>
      <c r="D2012" s="419"/>
      <c r="E2012" s="419"/>
      <c r="F2012" s="422"/>
      <c r="G2012" s="419"/>
      <c r="H2012" s="419"/>
      <c r="I2012" s="415"/>
      <c r="J2012" s="419"/>
      <c r="K2012" s="419"/>
      <c r="L2012" s="415"/>
      <c r="M2012" s="419"/>
      <c r="N2012" s="419"/>
      <c r="O2012" s="414"/>
      <c r="P2012" s="300">
        <f t="shared" si="119"/>
        <v>0</v>
      </c>
      <c r="Q2012" s="300">
        <f t="shared" si="118"/>
        <v>0</v>
      </c>
      <c r="R2012" s="93" t="str">
        <f t="shared" si="117"/>
        <v/>
      </c>
      <c r="S2012" s="721"/>
      <c r="T2012" s="721"/>
    </row>
    <row r="2013" spans="1:20" x14ac:dyDescent="0.2">
      <c r="A2013" s="432" t="str">
        <f>IF(B2013="","",COUNT('Diário 1º PA'!$A$4:$A$2635)+COUNT('Diário 2º PA'!$A$4:$A$3040)+ROW()-3)</f>
        <v/>
      </c>
      <c r="B2013" s="413"/>
      <c r="C2013" s="421"/>
      <c r="D2013" s="419"/>
      <c r="E2013" s="419"/>
      <c r="F2013" s="422"/>
      <c r="G2013" s="419"/>
      <c r="H2013" s="419"/>
      <c r="I2013" s="415"/>
      <c r="J2013" s="419"/>
      <c r="K2013" s="419"/>
      <c r="L2013" s="415"/>
      <c r="M2013" s="419"/>
      <c r="N2013" s="419"/>
      <c r="O2013" s="414"/>
      <c r="P2013" s="300">
        <f t="shared" si="119"/>
        <v>0</v>
      </c>
      <c r="Q2013" s="300">
        <f t="shared" si="118"/>
        <v>0</v>
      </c>
      <c r="R2013" s="93" t="str">
        <f t="shared" si="117"/>
        <v/>
      </c>
      <c r="S2013" s="721"/>
      <c r="T2013" s="721"/>
    </row>
    <row r="2014" spans="1:20" x14ac:dyDescent="0.2">
      <c r="A2014" s="432" t="str">
        <f>IF(B2014="","",COUNT('Diário 1º PA'!$A$4:$A$2635)+COUNT('Diário 2º PA'!$A$4:$A$3040)+ROW()-3)</f>
        <v/>
      </c>
      <c r="B2014" s="413"/>
      <c r="C2014" s="421"/>
      <c r="D2014" s="419"/>
      <c r="E2014" s="419"/>
      <c r="F2014" s="422"/>
      <c r="G2014" s="419"/>
      <c r="H2014" s="419"/>
      <c r="I2014" s="415"/>
      <c r="J2014" s="419"/>
      <c r="K2014" s="419"/>
      <c r="L2014" s="415"/>
      <c r="M2014" s="419"/>
      <c r="N2014" s="419"/>
      <c r="O2014" s="414"/>
      <c r="P2014" s="300">
        <f t="shared" si="119"/>
        <v>0</v>
      </c>
      <c r="Q2014" s="300">
        <f t="shared" si="118"/>
        <v>0</v>
      </c>
      <c r="R2014" s="93" t="str">
        <f t="shared" si="117"/>
        <v/>
      </c>
      <c r="S2014" s="721"/>
      <c r="T2014" s="721"/>
    </row>
    <row r="2015" spans="1:20" x14ac:dyDescent="0.2">
      <c r="A2015" s="432" t="str">
        <f>IF(B2015="","",COUNT('Diário 1º PA'!$A$4:$A$2635)+COUNT('Diário 2º PA'!$A$4:$A$3040)+ROW()-3)</f>
        <v/>
      </c>
      <c r="B2015" s="413"/>
      <c r="C2015" s="421"/>
      <c r="D2015" s="419"/>
      <c r="E2015" s="419"/>
      <c r="F2015" s="422"/>
      <c r="G2015" s="419"/>
      <c r="H2015" s="419"/>
      <c r="I2015" s="415"/>
      <c r="J2015" s="419"/>
      <c r="K2015" s="419"/>
      <c r="L2015" s="415"/>
      <c r="M2015" s="419"/>
      <c r="N2015" s="419"/>
      <c r="O2015" s="414"/>
      <c r="P2015" s="300">
        <f t="shared" si="119"/>
        <v>0</v>
      </c>
      <c r="Q2015" s="300">
        <f t="shared" si="118"/>
        <v>0</v>
      </c>
      <c r="R2015" s="93" t="str">
        <f t="shared" si="117"/>
        <v/>
      </c>
      <c r="S2015" s="721"/>
      <c r="T2015" s="721"/>
    </row>
    <row r="2016" spans="1:20" x14ac:dyDescent="0.2">
      <c r="A2016" s="432" t="str">
        <f>IF(B2016="","",COUNT('Diário 1º PA'!$A$4:$A$2635)+COUNT('Diário 2º PA'!$A$4:$A$3040)+ROW()-3)</f>
        <v/>
      </c>
      <c r="B2016" s="413"/>
      <c r="C2016" s="421"/>
      <c r="D2016" s="419"/>
      <c r="E2016" s="419"/>
      <c r="F2016" s="422"/>
      <c r="G2016" s="419"/>
      <c r="H2016" s="419"/>
      <c r="I2016" s="415"/>
      <c r="J2016" s="419"/>
      <c r="K2016" s="419"/>
      <c r="L2016" s="415"/>
      <c r="M2016" s="419"/>
      <c r="N2016" s="419"/>
      <c r="O2016" s="414"/>
      <c r="P2016" s="300">
        <f t="shared" si="119"/>
        <v>0</v>
      </c>
      <c r="Q2016" s="300">
        <f t="shared" si="118"/>
        <v>0</v>
      </c>
      <c r="R2016" s="93" t="str">
        <f t="shared" si="117"/>
        <v/>
      </c>
      <c r="S2016" s="721"/>
      <c r="T2016" s="721"/>
    </row>
    <row r="2017" spans="1:20" x14ac:dyDescent="0.2">
      <c r="A2017" s="432" t="str">
        <f>IF(B2017="","",COUNT('Diário 1º PA'!$A$4:$A$2635)+COUNT('Diário 2º PA'!$A$4:$A$3040)+ROW()-3)</f>
        <v/>
      </c>
      <c r="B2017" s="413"/>
      <c r="C2017" s="421"/>
      <c r="D2017" s="419"/>
      <c r="E2017" s="419"/>
      <c r="F2017" s="422"/>
      <c r="G2017" s="419"/>
      <c r="H2017" s="419"/>
      <c r="I2017" s="415"/>
      <c r="J2017" s="419"/>
      <c r="K2017" s="419"/>
      <c r="L2017" s="415"/>
      <c r="M2017" s="419"/>
      <c r="N2017" s="419"/>
      <c r="O2017" s="414"/>
      <c r="P2017" s="300">
        <f t="shared" si="119"/>
        <v>0</v>
      </c>
      <c r="Q2017" s="300">
        <f t="shared" si="118"/>
        <v>0</v>
      </c>
      <c r="R2017" s="93" t="str">
        <f t="shared" si="117"/>
        <v/>
      </c>
      <c r="S2017" s="721"/>
      <c r="T2017" s="721"/>
    </row>
    <row r="2018" spans="1:20" x14ac:dyDescent="0.2">
      <c r="A2018" s="432" t="str">
        <f>IF(B2018="","",COUNT('Diário 1º PA'!$A$4:$A$2635)+COUNT('Diário 2º PA'!$A$4:$A$3040)+ROW()-3)</f>
        <v/>
      </c>
      <c r="B2018" s="413"/>
      <c r="C2018" s="421"/>
      <c r="D2018" s="419"/>
      <c r="E2018" s="419"/>
      <c r="F2018" s="422"/>
      <c r="G2018" s="419"/>
      <c r="H2018" s="419"/>
      <c r="I2018" s="415"/>
      <c r="J2018" s="419"/>
      <c r="K2018" s="419"/>
      <c r="L2018" s="415"/>
      <c r="M2018" s="419"/>
      <c r="N2018" s="419"/>
      <c r="O2018" s="414"/>
      <c r="P2018" s="300">
        <f t="shared" si="119"/>
        <v>0</v>
      </c>
      <c r="Q2018" s="300">
        <f t="shared" si="118"/>
        <v>0</v>
      </c>
      <c r="R2018" s="93" t="str">
        <f t="shared" si="117"/>
        <v/>
      </c>
      <c r="S2018" s="721"/>
      <c r="T2018" s="721"/>
    </row>
    <row r="2019" spans="1:20" x14ac:dyDescent="0.2">
      <c r="A2019" s="432" t="str">
        <f>IF(B2019="","",COUNT('Diário 1º PA'!$A$4:$A$2635)+COUNT('Diário 2º PA'!$A$4:$A$3040)+ROW()-3)</f>
        <v/>
      </c>
      <c r="B2019" s="413"/>
      <c r="C2019" s="421"/>
      <c r="D2019" s="419"/>
      <c r="E2019" s="419"/>
      <c r="F2019" s="422"/>
      <c r="G2019" s="419"/>
      <c r="H2019" s="419"/>
      <c r="I2019" s="415"/>
      <c r="J2019" s="419"/>
      <c r="K2019" s="419"/>
      <c r="L2019" s="415"/>
      <c r="M2019" s="419"/>
      <c r="N2019" s="419"/>
      <c r="O2019" s="414"/>
      <c r="P2019" s="300">
        <f t="shared" si="119"/>
        <v>0</v>
      </c>
      <c r="Q2019" s="300">
        <f t="shared" si="118"/>
        <v>0</v>
      </c>
      <c r="R2019" s="93" t="str">
        <f t="shared" si="117"/>
        <v/>
      </c>
      <c r="S2019" s="721"/>
      <c r="T2019" s="721"/>
    </row>
    <row r="2020" spans="1:20" x14ac:dyDescent="0.2">
      <c r="A2020" s="432" t="str">
        <f>IF(B2020="","",COUNT('Diário 1º PA'!$A$4:$A$2635)+COUNT('Diário 2º PA'!$A$4:$A$3040)+ROW()-3)</f>
        <v/>
      </c>
      <c r="B2020" s="413"/>
      <c r="C2020" s="421"/>
      <c r="D2020" s="419"/>
      <c r="E2020" s="419"/>
      <c r="F2020" s="422"/>
      <c r="G2020" s="419"/>
      <c r="H2020" s="419"/>
      <c r="I2020" s="415"/>
      <c r="J2020" s="419"/>
      <c r="K2020" s="419"/>
      <c r="L2020" s="415"/>
      <c r="M2020" s="419"/>
      <c r="N2020" s="419"/>
      <c r="O2020" s="414"/>
      <c r="P2020" s="300">
        <f t="shared" si="119"/>
        <v>0</v>
      </c>
      <c r="Q2020" s="300">
        <f t="shared" si="118"/>
        <v>0</v>
      </c>
      <c r="R2020" s="93" t="str">
        <f t="shared" si="117"/>
        <v/>
      </c>
      <c r="S2020" s="721"/>
      <c r="T2020" s="721"/>
    </row>
    <row r="2021" spans="1:20" x14ac:dyDescent="0.2">
      <c r="A2021" s="432" t="str">
        <f>IF(B2021="","",COUNT('Diário 1º PA'!$A$4:$A$2635)+COUNT('Diário 2º PA'!$A$4:$A$3040)+ROW()-3)</f>
        <v/>
      </c>
      <c r="B2021" s="413"/>
      <c r="C2021" s="421"/>
      <c r="D2021" s="419"/>
      <c r="E2021" s="419"/>
      <c r="F2021" s="422"/>
      <c r="G2021" s="419"/>
      <c r="H2021" s="419"/>
      <c r="I2021" s="415"/>
      <c r="J2021" s="419"/>
      <c r="K2021" s="419"/>
      <c r="L2021" s="415"/>
      <c r="M2021" s="419"/>
      <c r="N2021" s="419"/>
      <c r="O2021" s="414"/>
      <c r="P2021" s="300">
        <f t="shared" si="119"/>
        <v>0</v>
      </c>
      <c r="Q2021" s="300">
        <f t="shared" si="118"/>
        <v>0</v>
      </c>
      <c r="R2021" s="93" t="str">
        <f t="shared" si="117"/>
        <v/>
      </c>
      <c r="S2021" s="721"/>
      <c r="T2021" s="721"/>
    </row>
    <row r="2022" spans="1:20" x14ac:dyDescent="0.2">
      <c r="A2022" s="432" t="str">
        <f>IF(B2022="","",COUNT('Diário 1º PA'!$A$4:$A$2635)+COUNT('Diário 2º PA'!$A$4:$A$3040)+ROW()-3)</f>
        <v/>
      </c>
      <c r="B2022" s="413"/>
      <c r="C2022" s="421"/>
      <c r="D2022" s="419"/>
      <c r="E2022" s="419"/>
      <c r="F2022" s="422"/>
      <c r="G2022" s="419"/>
      <c r="H2022" s="419"/>
      <c r="I2022" s="415"/>
      <c r="J2022" s="419"/>
      <c r="K2022" s="419"/>
      <c r="L2022" s="415"/>
      <c r="M2022" s="419"/>
      <c r="N2022" s="419"/>
      <c r="O2022" s="414"/>
      <c r="P2022" s="300">
        <f t="shared" si="119"/>
        <v>0</v>
      </c>
      <c r="Q2022" s="300">
        <f t="shared" si="118"/>
        <v>0</v>
      </c>
      <c r="R2022" s="93" t="str">
        <f t="shared" si="117"/>
        <v/>
      </c>
      <c r="S2022" s="721"/>
      <c r="T2022" s="721"/>
    </row>
    <row r="2023" spans="1:20" x14ac:dyDescent="0.2">
      <c r="A2023" s="432" t="str">
        <f>IF(B2023="","",COUNT('Diário 1º PA'!$A$4:$A$2635)+COUNT('Diário 2º PA'!$A$4:$A$3040)+ROW()-3)</f>
        <v/>
      </c>
      <c r="B2023" s="413"/>
      <c r="C2023" s="421"/>
      <c r="D2023" s="419"/>
      <c r="E2023" s="419"/>
      <c r="F2023" s="422"/>
      <c r="G2023" s="419"/>
      <c r="H2023" s="419"/>
      <c r="I2023" s="415"/>
      <c r="J2023" s="419"/>
      <c r="K2023" s="419"/>
      <c r="L2023" s="415"/>
      <c r="M2023" s="419"/>
      <c r="N2023" s="419"/>
      <c r="O2023" s="414"/>
      <c r="P2023" s="300">
        <f t="shared" si="119"/>
        <v>0</v>
      </c>
      <c r="Q2023" s="300">
        <f t="shared" si="118"/>
        <v>0</v>
      </c>
      <c r="R2023" s="93" t="str">
        <f t="shared" si="117"/>
        <v/>
      </c>
      <c r="S2023" s="721"/>
      <c r="T2023" s="721"/>
    </row>
    <row r="2024" spans="1:20" x14ac:dyDescent="0.2">
      <c r="A2024" s="432" t="str">
        <f>IF(B2024="","",COUNT('Diário 1º PA'!$A$4:$A$2635)+COUNT('Diário 2º PA'!$A$4:$A$3040)+ROW()-3)</f>
        <v/>
      </c>
      <c r="B2024" s="413"/>
      <c r="C2024" s="421"/>
      <c r="D2024" s="419"/>
      <c r="E2024" s="419"/>
      <c r="F2024" s="422"/>
      <c r="G2024" s="419"/>
      <c r="H2024" s="419"/>
      <c r="I2024" s="415"/>
      <c r="J2024" s="419"/>
      <c r="K2024" s="419"/>
      <c r="L2024" s="415"/>
      <c r="M2024" s="419"/>
      <c r="N2024" s="419"/>
      <c r="O2024" s="414"/>
      <c r="P2024" s="300">
        <f t="shared" si="119"/>
        <v>0</v>
      </c>
      <c r="Q2024" s="300">
        <f t="shared" si="118"/>
        <v>0</v>
      </c>
      <c r="R2024" s="93" t="str">
        <f t="shared" si="117"/>
        <v/>
      </c>
      <c r="S2024" s="721"/>
      <c r="T2024" s="721"/>
    </row>
    <row r="2025" spans="1:20" x14ac:dyDescent="0.2">
      <c r="A2025" s="432" t="str">
        <f>IF(B2025="","",COUNT('Diário 1º PA'!$A$4:$A$2635)+COUNT('Diário 2º PA'!$A$4:$A$3040)+ROW()-3)</f>
        <v/>
      </c>
      <c r="B2025" s="413"/>
      <c r="C2025" s="421"/>
      <c r="D2025" s="419"/>
      <c r="E2025" s="419"/>
      <c r="F2025" s="422"/>
      <c r="G2025" s="419"/>
      <c r="H2025" s="419"/>
      <c r="I2025" s="415"/>
      <c r="J2025" s="419"/>
      <c r="K2025" s="419"/>
      <c r="L2025" s="415"/>
      <c r="M2025" s="419"/>
      <c r="N2025" s="419"/>
      <c r="O2025" s="414"/>
      <c r="P2025" s="300">
        <f t="shared" si="119"/>
        <v>0</v>
      </c>
      <c r="Q2025" s="300">
        <f t="shared" si="118"/>
        <v>0</v>
      </c>
      <c r="R2025" s="93" t="str">
        <f t="shared" si="117"/>
        <v/>
      </c>
      <c r="S2025" s="721"/>
      <c r="T2025" s="721"/>
    </row>
    <row r="2026" spans="1:20" x14ac:dyDescent="0.2">
      <c r="A2026" s="432" t="str">
        <f>IF(B2026="","",COUNT('Diário 1º PA'!$A$4:$A$2635)+COUNT('Diário 2º PA'!$A$4:$A$3040)+ROW()-3)</f>
        <v/>
      </c>
      <c r="B2026" s="413"/>
      <c r="C2026" s="421"/>
      <c r="D2026" s="419"/>
      <c r="E2026" s="419"/>
      <c r="F2026" s="422"/>
      <c r="G2026" s="419"/>
      <c r="H2026" s="419"/>
      <c r="I2026" s="415"/>
      <c r="J2026" s="419"/>
      <c r="K2026" s="419"/>
      <c r="L2026" s="415"/>
      <c r="M2026" s="419"/>
      <c r="N2026" s="419"/>
      <c r="O2026" s="414"/>
      <c r="P2026" s="300">
        <f t="shared" si="119"/>
        <v>0</v>
      </c>
      <c r="Q2026" s="300">
        <f t="shared" si="118"/>
        <v>0</v>
      </c>
      <c r="R2026" s="93" t="str">
        <f t="shared" si="117"/>
        <v/>
      </c>
      <c r="S2026" s="721"/>
      <c r="T2026" s="721"/>
    </row>
    <row r="2027" spans="1:20" x14ac:dyDescent="0.2">
      <c r="A2027" s="432" t="str">
        <f>IF(B2027="","",COUNT('Diário 1º PA'!$A$4:$A$2635)+COUNT('Diário 2º PA'!$A$4:$A$3040)+ROW()-3)</f>
        <v/>
      </c>
      <c r="B2027" s="413"/>
      <c r="C2027" s="421"/>
      <c r="D2027" s="419"/>
      <c r="E2027" s="419"/>
      <c r="F2027" s="422"/>
      <c r="G2027" s="419"/>
      <c r="H2027" s="419"/>
      <c r="I2027" s="415"/>
      <c r="J2027" s="419"/>
      <c r="K2027" s="419"/>
      <c r="L2027" s="415"/>
      <c r="M2027" s="419"/>
      <c r="N2027" s="419"/>
      <c r="O2027" s="414"/>
      <c r="P2027" s="300">
        <f t="shared" si="119"/>
        <v>0</v>
      </c>
      <c r="Q2027" s="300">
        <f t="shared" si="118"/>
        <v>0</v>
      </c>
      <c r="R2027" s="93" t="str">
        <f t="shared" si="117"/>
        <v/>
      </c>
      <c r="S2027" s="721"/>
      <c r="T2027" s="721"/>
    </row>
    <row r="2028" spans="1:20" x14ac:dyDescent="0.2">
      <c r="A2028" s="432" t="str">
        <f>IF(B2028="","",COUNT('Diário 1º PA'!$A$4:$A$2635)+COUNT('Diário 2º PA'!$A$4:$A$3040)+ROW()-3)</f>
        <v/>
      </c>
      <c r="B2028" s="413"/>
      <c r="C2028" s="421"/>
      <c r="D2028" s="419"/>
      <c r="E2028" s="419"/>
      <c r="F2028" s="422"/>
      <c r="G2028" s="419"/>
      <c r="H2028" s="419"/>
      <c r="I2028" s="415"/>
      <c r="J2028" s="419"/>
      <c r="K2028" s="419"/>
      <c r="L2028" s="415"/>
      <c r="M2028" s="419"/>
      <c r="N2028" s="419"/>
      <c r="O2028" s="414"/>
      <c r="P2028" s="300">
        <f t="shared" si="119"/>
        <v>0</v>
      </c>
      <c r="Q2028" s="300">
        <f t="shared" si="118"/>
        <v>0</v>
      </c>
      <c r="R2028" s="93" t="str">
        <f t="shared" si="117"/>
        <v/>
      </c>
      <c r="S2028" s="721"/>
      <c r="T2028" s="721"/>
    </row>
    <row r="2029" spans="1:20" x14ac:dyDescent="0.2">
      <c r="A2029" s="432" t="str">
        <f>IF(B2029="","",COUNT('Diário 1º PA'!$A$4:$A$2635)+COUNT('Diário 2º PA'!$A$4:$A$3040)+ROW()-3)</f>
        <v/>
      </c>
      <c r="B2029" s="413"/>
      <c r="C2029" s="421"/>
      <c r="D2029" s="419"/>
      <c r="E2029" s="419"/>
      <c r="F2029" s="422"/>
      <c r="G2029" s="419"/>
      <c r="H2029" s="419"/>
      <c r="I2029" s="415"/>
      <c r="J2029" s="419"/>
      <c r="K2029" s="419"/>
      <c r="L2029" s="415"/>
      <c r="M2029" s="419"/>
      <c r="N2029" s="419"/>
      <c r="O2029" s="414"/>
      <c r="P2029" s="300">
        <f t="shared" si="119"/>
        <v>0</v>
      </c>
      <c r="Q2029" s="300">
        <f t="shared" si="118"/>
        <v>0</v>
      </c>
      <c r="R2029" s="93" t="str">
        <f t="shared" si="117"/>
        <v/>
      </c>
      <c r="S2029" s="721"/>
      <c r="T2029" s="721"/>
    </row>
    <row r="2030" spans="1:20" x14ac:dyDescent="0.2">
      <c r="A2030" s="432" t="str">
        <f>IF(B2030="","",COUNT('Diário 1º PA'!$A$4:$A$2635)+COUNT('Diário 2º PA'!$A$4:$A$3040)+ROW()-3)</f>
        <v/>
      </c>
      <c r="B2030" s="413"/>
      <c r="C2030" s="421"/>
      <c r="D2030" s="419"/>
      <c r="E2030" s="419"/>
      <c r="F2030" s="422"/>
      <c r="G2030" s="419"/>
      <c r="H2030" s="419"/>
      <c r="I2030" s="415"/>
      <c r="J2030" s="419"/>
      <c r="K2030" s="419"/>
      <c r="L2030" s="415"/>
      <c r="M2030" s="419"/>
      <c r="N2030" s="419"/>
      <c r="O2030" s="414"/>
      <c r="P2030" s="300">
        <f t="shared" si="119"/>
        <v>0</v>
      </c>
      <c r="Q2030" s="300">
        <f t="shared" si="118"/>
        <v>0</v>
      </c>
      <c r="R2030" s="93" t="str">
        <f t="shared" si="117"/>
        <v/>
      </c>
      <c r="S2030" s="721"/>
      <c r="T2030" s="721"/>
    </row>
    <row r="2031" spans="1:20" x14ac:dyDescent="0.2">
      <c r="A2031" s="432" t="str">
        <f>IF(B2031="","",COUNT('Diário 1º PA'!$A$4:$A$2635)+COUNT('Diário 2º PA'!$A$4:$A$3040)+ROW()-3)</f>
        <v/>
      </c>
      <c r="B2031" s="413"/>
      <c r="C2031" s="421"/>
      <c r="D2031" s="419"/>
      <c r="E2031" s="419"/>
      <c r="F2031" s="422"/>
      <c r="G2031" s="419"/>
      <c r="H2031" s="419"/>
      <c r="I2031" s="415"/>
      <c r="J2031" s="419"/>
      <c r="K2031" s="419"/>
      <c r="L2031" s="415"/>
      <c r="M2031" s="419"/>
      <c r="N2031" s="419"/>
      <c r="O2031" s="414"/>
      <c r="P2031" s="300">
        <f t="shared" si="119"/>
        <v>0</v>
      </c>
      <c r="Q2031" s="300">
        <f t="shared" si="118"/>
        <v>0</v>
      </c>
      <c r="R2031" s="93" t="str">
        <f t="shared" si="117"/>
        <v/>
      </c>
      <c r="S2031" s="721"/>
      <c r="T2031" s="721"/>
    </row>
    <row r="2032" spans="1:20" x14ac:dyDescent="0.2">
      <c r="A2032" s="432" t="str">
        <f>IF(B2032="","",COUNT('Diário 1º PA'!$A$4:$A$2635)+COUNT('Diário 2º PA'!$A$4:$A$3040)+ROW()-3)</f>
        <v/>
      </c>
      <c r="B2032" s="413"/>
      <c r="C2032" s="421"/>
      <c r="D2032" s="419"/>
      <c r="E2032" s="419"/>
      <c r="F2032" s="422"/>
      <c r="G2032" s="419"/>
      <c r="H2032" s="419"/>
      <c r="I2032" s="415"/>
      <c r="J2032" s="419"/>
      <c r="K2032" s="419"/>
      <c r="L2032" s="415"/>
      <c r="M2032" s="419"/>
      <c r="N2032" s="419"/>
      <c r="O2032" s="414"/>
      <c r="P2032" s="300">
        <f t="shared" si="119"/>
        <v>0</v>
      </c>
      <c r="Q2032" s="300">
        <f t="shared" si="118"/>
        <v>0</v>
      </c>
      <c r="R2032" s="93" t="str">
        <f t="shared" si="117"/>
        <v/>
      </c>
      <c r="S2032" s="721"/>
      <c r="T2032" s="721"/>
    </row>
    <row r="2033" spans="1:20" x14ac:dyDescent="0.2">
      <c r="A2033" s="432" t="str">
        <f>IF(B2033="","",COUNT('Diário 1º PA'!$A$4:$A$2635)+COUNT('Diário 2º PA'!$A$4:$A$3040)+ROW()-3)</f>
        <v/>
      </c>
      <c r="B2033" s="413"/>
      <c r="C2033" s="421"/>
      <c r="D2033" s="419"/>
      <c r="E2033" s="419"/>
      <c r="F2033" s="422"/>
      <c r="G2033" s="419"/>
      <c r="H2033" s="419"/>
      <c r="I2033" s="415"/>
      <c r="J2033" s="419"/>
      <c r="K2033" s="419"/>
      <c r="L2033" s="415"/>
      <c r="M2033" s="419"/>
      <c r="N2033" s="419"/>
      <c r="O2033" s="414"/>
      <c r="P2033" s="300">
        <f t="shared" si="119"/>
        <v>0</v>
      </c>
      <c r="Q2033" s="300">
        <f t="shared" si="118"/>
        <v>0</v>
      </c>
      <c r="R2033" s="93" t="str">
        <f t="shared" si="117"/>
        <v/>
      </c>
      <c r="S2033" s="721"/>
      <c r="T2033" s="721"/>
    </row>
    <row r="2034" spans="1:20" x14ac:dyDescent="0.2">
      <c r="A2034" s="432" t="str">
        <f>IF(B2034="","",COUNT('Diário 1º PA'!$A$4:$A$2635)+COUNT('Diário 2º PA'!$A$4:$A$3040)+ROW()-3)</f>
        <v/>
      </c>
      <c r="B2034" s="413"/>
      <c r="C2034" s="421"/>
      <c r="D2034" s="419"/>
      <c r="E2034" s="419"/>
      <c r="F2034" s="422"/>
      <c r="G2034" s="419"/>
      <c r="H2034" s="419"/>
      <c r="I2034" s="415"/>
      <c r="J2034" s="419"/>
      <c r="K2034" s="419"/>
      <c r="L2034" s="415"/>
      <c r="M2034" s="419"/>
      <c r="N2034" s="419"/>
      <c r="O2034" s="414"/>
      <c r="P2034" s="300">
        <f t="shared" si="119"/>
        <v>0</v>
      </c>
      <c r="Q2034" s="300">
        <f t="shared" si="118"/>
        <v>0</v>
      </c>
      <c r="R2034" s="93" t="str">
        <f t="shared" si="117"/>
        <v/>
      </c>
      <c r="S2034" s="721"/>
      <c r="T2034" s="721"/>
    </row>
    <row r="2035" spans="1:20" x14ac:dyDescent="0.2">
      <c r="A2035" s="432" t="str">
        <f>IF(B2035="","",COUNT('Diário 1º PA'!$A$4:$A$2635)+COUNT('Diário 2º PA'!$A$4:$A$3040)+ROW()-3)</f>
        <v/>
      </c>
      <c r="B2035" s="413"/>
      <c r="C2035" s="421"/>
      <c r="D2035" s="419"/>
      <c r="E2035" s="419"/>
      <c r="F2035" s="422"/>
      <c r="G2035" s="419"/>
      <c r="H2035" s="419"/>
      <c r="I2035" s="415"/>
      <c r="J2035" s="419"/>
      <c r="K2035" s="419"/>
      <c r="L2035" s="415"/>
      <c r="M2035" s="419"/>
      <c r="N2035" s="419"/>
      <c r="O2035" s="414"/>
      <c r="P2035" s="300">
        <f t="shared" si="119"/>
        <v>0</v>
      </c>
      <c r="Q2035" s="300">
        <f t="shared" si="118"/>
        <v>0</v>
      </c>
      <c r="R2035" s="93" t="str">
        <f t="shared" si="117"/>
        <v/>
      </c>
      <c r="S2035" s="721"/>
      <c r="T2035" s="721"/>
    </row>
    <row r="2036" spans="1:20" x14ac:dyDescent="0.2">
      <c r="A2036" s="432" t="str">
        <f>IF(B2036="","",COUNT('Diário 1º PA'!$A$4:$A$2635)+COUNT('Diário 2º PA'!$A$4:$A$3040)+ROW()-3)</f>
        <v/>
      </c>
      <c r="B2036" s="413"/>
      <c r="C2036" s="421"/>
      <c r="D2036" s="419"/>
      <c r="E2036" s="419"/>
      <c r="F2036" s="422"/>
      <c r="G2036" s="419"/>
      <c r="H2036" s="419"/>
      <c r="I2036" s="415"/>
      <c r="J2036" s="419"/>
      <c r="K2036" s="419"/>
      <c r="L2036" s="415"/>
      <c r="M2036" s="419"/>
      <c r="N2036" s="419"/>
      <c r="O2036" s="414"/>
      <c r="P2036" s="300">
        <f t="shared" si="119"/>
        <v>0</v>
      </c>
      <c r="Q2036" s="300">
        <f t="shared" si="118"/>
        <v>0</v>
      </c>
      <c r="R2036" s="93" t="str">
        <f t="shared" si="117"/>
        <v/>
      </c>
      <c r="S2036" s="721"/>
      <c r="T2036" s="721"/>
    </row>
    <row r="2037" spans="1:20" x14ac:dyDescent="0.2">
      <c r="A2037" s="432" t="str">
        <f>IF(B2037="","",COUNT('Diário 1º PA'!$A$4:$A$2635)+COUNT('Diário 2º PA'!$A$4:$A$3040)+ROW()-3)</f>
        <v/>
      </c>
      <c r="B2037" s="413"/>
      <c r="C2037" s="421"/>
      <c r="D2037" s="419"/>
      <c r="E2037" s="419"/>
      <c r="F2037" s="422"/>
      <c r="G2037" s="419"/>
      <c r="H2037" s="419"/>
      <c r="I2037" s="415"/>
      <c r="J2037" s="419"/>
      <c r="K2037" s="419"/>
      <c r="L2037" s="415"/>
      <c r="M2037" s="419"/>
      <c r="N2037" s="419"/>
      <c r="O2037" s="414"/>
      <c r="P2037" s="300">
        <f t="shared" si="119"/>
        <v>0</v>
      </c>
      <c r="Q2037" s="300">
        <f t="shared" si="118"/>
        <v>0</v>
      </c>
      <c r="R2037" s="93" t="str">
        <f t="shared" si="117"/>
        <v/>
      </c>
      <c r="S2037" s="721"/>
      <c r="T2037" s="721"/>
    </row>
    <row r="2038" spans="1:20" x14ac:dyDescent="0.2">
      <c r="A2038" s="432" t="str">
        <f>IF(B2038="","",COUNT('Diário 1º PA'!$A$4:$A$2635)+COUNT('Diário 2º PA'!$A$4:$A$3040)+ROW()-3)</f>
        <v/>
      </c>
      <c r="B2038" s="413"/>
      <c r="C2038" s="421"/>
      <c r="D2038" s="419"/>
      <c r="E2038" s="419"/>
      <c r="F2038" s="422"/>
      <c r="G2038" s="419"/>
      <c r="H2038" s="419"/>
      <c r="I2038" s="415"/>
      <c r="J2038" s="419"/>
      <c r="K2038" s="419"/>
      <c r="L2038" s="415"/>
      <c r="M2038" s="419"/>
      <c r="N2038" s="419"/>
      <c r="O2038" s="414"/>
      <c r="P2038" s="300">
        <f t="shared" si="119"/>
        <v>0</v>
      </c>
      <c r="Q2038" s="300">
        <f t="shared" si="118"/>
        <v>0</v>
      </c>
      <c r="R2038" s="93" t="str">
        <f t="shared" si="117"/>
        <v/>
      </c>
      <c r="S2038" s="721"/>
      <c r="T2038" s="721"/>
    </row>
    <row r="2039" spans="1:20" x14ac:dyDescent="0.2">
      <c r="A2039" s="432" t="str">
        <f>IF(B2039="","",COUNT('Diário 1º PA'!$A$4:$A$2635)+COUNT('Diário 2º PA'!$A$4:$A$3040)+ROW()-3)</f>
        <v/>
      </c>
      <c r="B2039" s="413"/>
      <c r="C2039" s="421"/>
      <c r="D2039" s="419"/>
      <c r="E2039" s="419"/>
      <c r="F2039" s="422"/>
      <c r="G2039" s="419"/>
      <c r="H2039" s="419"/>
      <c r="I2039" s="415"/>
      <c r="J2039" s="419"/>
      <c r="K2039" s="419"/>
      <c r="L2039" s="415"/>
      <c r="M2039" s="419"/>
      <c r="N2039" s="419"/>
      <c r="O2039" s="414"/>
      <c r="P2039" s="300">
        <f t="shared" si="119"/>
        <v>0</v>
      </c>
      <c r="Q2039" s="300">
        <f t="shared" si="118"/>
        <v>0</v>
      </c>
      <c r="R2039" s="93" t="str">
        <f t="shared" si="117"/>
        <v/>
      </c>
      <c r="S2039" s="721"/>
      <c r="T2039" s="721"/>
    </row>
    <row r="2040" spans="1:20" x14ac:dyDescent="0.2">
      <c r="A2040" s="432" t="str">
        <f>IF(B2040="","",COUNT('Diário 1º PA'!$A$4:$A$2635)+COUNT('Diário 2º PA'!$A$4:$A$3040)+ROW()-3)</f>
        <v/>
      </c>
      <c r="B2040" s="413"/>
      <c r="C2040" s="421"/>
      <c r="D2040" s="419"/>
      <c r="E2040" s="419"/>
      <c r="F2040" s="422"/>
      <c r="G2040" s="419"/>
      <c r="H2040" s="419"/>
      <c r="I2040" s="415"/>
      <c r="J2040" s="419"/>
      <c r="K2040" s="419"/>
      <c r="L2040" s="415"/>
      <c r="M2040" s="419"/>
      <c r="N2040" s="419"/>
      <c r="O2040" s="414"/>
      <c r="P2040" s="300">
        <f t="shared" si="119"/>
        <v>0</v>
      </c>
      <c r="Q2040" s="300">
        <f t="shared" si="118"/>
        <v>0</v>
      </c>
      <c r="R2040" s="93" t="str">
        <f t="shared" si="117"/>
        <v/>
      </c>
      <c r="S2040" s="721"/>
      <c r="T2040" s="721"/>
    </row>
    <row r="2041" spans="1:20" x14ac:dyDescent="0.2">
      <c r="A2041" s="432" t="str">
        <f>IF(B2041="","",COUNT('Diário 1º PA'!$A$4:$A$2635)+COUNT('Diário 2º PA'!$A$4:$A$3040)+ROW()-3)</f>
        <v/>
      </c>
      <c r="B2041" s="413"/>
      <c r="C2041" s="421"/>
      <c r="D2041" s="419"/>
      <c r="E2041" s="419"/>
      <c r="F2041" s="422"/>
      <c r="G2041" s="419"/>
      <c r="H2041" s="419"/>
      <c r="I2041" s="415"/>
      <c r="J2041" s="419"/>
      <c r="K2041" s="419"/>
      <c r="L2041" s="415"/>
      <c r="M2041" s="419"/>
      <c r="N2041" s="419"/>
      <c r="O2041" s="414"/>
      <c r="P2041" s="300">
        <f t="shared" si="119"/>
        <v>0</v>
      </c>
      <c r="Q2041" s="300">
        <f t="shared" si="118"/>
        <v>0</v>
      </c>
      <c r="R2041" s="93" t="str">
        <f t="shared" si="117"/>
        <v/>
      </c>
      <c r="S2041" s="721"/>
      <c r="T2041" s="721"/>
    </row>
    <row r="2042" spans="1:20" x14ac:dyDescent="0.2">
      <c r="A2042" s="432" t="str">
        <f>IF(B2042="","",COUNT('Diário 1º PA'!$A$4:$A$2635)+COUNT('Diário 2º PA'!$A$4:$A$3040)+ROW()-3)</f>
        <v/>
      </c>
      <c r="B2042" s="413"/>
      <c r="C2042" s="421"/>
      <c r="D2042" s="419"/>
      <c r="E2042" s="419"/>
      <c r="F2042" s="422"/>
      <c r="G2042" s="419"/>
      <c r="H2042" s="419"/>
      <c r="I2042" s="415"/>
      <c r="J2042" s="419"/>
      <c r="K2042" s="419"/>
      <c r="L2042" s="415"/>
      <c r="M2042" s="419"/>
      <c r="N2042" s="419"/>
      <c r="O2042" s="414"/>
      <c r="P2042" s="300">
        <f t="shared" si="119"/>
        <v>0</v>
      </c>
      <c r="Q2042" s="300">
        <f t="shared" si="118"/>
        <v>0</v>
      </c>
      <c r="R2042" s="93" t="str">
        <f t="shared" si="117"/>
        <v/>
      </c>
      <c r="S2042" s="721"/>
      <c r="T2042" s="721"/>
    </row>
    <row r="2043" spans="1:20" x14ac:dyDescent="0.2">
      <c r="A2043" s="432" t="str">
        <f>IF(B2043="","",COUNT('Diário 1º PA'!$A$4:$A$2635)+COUNT('Diário 2º PA'!$A$4:$A$3040)+ROW()-3)</f>
        <v/>
      </c>
      <c r="B2043" s="413"/>
      <c r="C2043" s="421"/>
      <c r="D2043" s="419"/>
      <c r="E2043" s="419"/>
      <c r="F2043" s="422"/>
      <c r="G2043" s="419"/>
      <c r="H2043" s="419"/>
      <c r="I2043" s="415"/>
      <c r="J2043" s="419"/>
      <c r="K2043" s="419"/>
      <c r="L2043" s="415"/>
      <c r="M2043" s="419"/>
      <c r="N2043" s="419"/>
      <c r="O2043" s="414"/>
      <c r="P2043" s="300">
        <f t="shared" si="119"/>
        <v>0</v>
      </c>
      <c r="Q2043" s="300">
        <f t="shared" si="118"/>
        <v>0</v>
      </c>
      <c r="R2043" s="93" t="str">
        <f t="shared" si="117"/>
        <v/>
      </c>
      <c r="S2043" s="721"/>
      <c r="T2043" s="721"/>
    </row>
    <row r="2044" spans="1:20" x14ac:dyDescent="0.2">
      <c r="A2044" s="432" t="str">
        <f>IF(B2044="","",COUNT('Diário 1º PA'!$A$4:$A$2635)+COUNT('Diário 2º PA'!$A$4:$A$3040)+ROW()-3)</f>
        <v/>
      </c>
      <c r="B2044" s="413"/>
      <c r="C2044" s="421"/>
      <c r="D2044" s="419"/>
      <c r="E2044" s="419"/>
      <c r="F2044" s="422"/>
      <c r="G2044" s="419"/>
      <c r="H2044" s="419"/>
      <c r="I2044" s="415"/>
      <c r="J2044" s="419"/>
      <c r="K2044" s="419"/>
      <c r="L2044" s="415"/>
      <c r="M2044" s="419"/>
      <c r="N2044" s="419"/>
      <c r="O2044" s="414"/>
      <c r="P2044" s="300">
        <f t="shared" si="119"/>
        <v>0</v>
      </c>
      <c r="Q2044" s="300">
        <f t="shared" si="118"/>
        <v>0</v>
      </c>
      <c r="R2044" s="93" t="str">
        <f t="shared" si="117"/>
        <v/>
      </c>
      <c r="S2044" s="721"/>
      <c r="T2044" s="721"/>
    </row>
    <row r="2045" spans="1:20" x14ac:dyDescent="0.2">
      <c r="A2045" s="432" t="str">
        <f>IF(B2045="","",COUNT('Diário 1º PA'!$A$4:$A$2635)+COUNT('Diário 2º PA'!$A$4:$A$3040)+ROW()-3)</f>
        <v/>
      </c>
      <c r="B2045" s="413"/>
      <c r="C2045" s="421"/>
      <c r="D2045" s="419"/>
      <c r="E2045" s="419"/>
      <c r="F2045" s="422"/>
      <c r="G2045" s="419"/>
      <c r="H2045" s="419"/>
      <c r="I2045" s="415"/>
      <c r="J2045" s="419"/>
      <c r="K2045" s="419"/>
      <c r="L2045" s="415"/>
      <c r="M2045" s="419"/>
      <c r="N2045" s="419"/>
      <c r="O2045" s="414"/>
      <c r="P2045" s="300">
        <f t="shared" si="119"/>
        <v>0</v>
      </c>
      <c r="Q2045" s="300">
        <f t="shared" si="118"/>
        <v>0</v>
      </c>
      <c r="R2045" s="93" t="str">
        <f t="shared" si="117"/>
        <v/>
      </c>
      <c r="S2045" s="721"/>
      <c r="T2045" s="721"/>
    </row>
    <row r="2046" spans="1:20" x14ac:dyDescent="0.2">
      <c r="A2046" s="432" t="str">
        <f>IF(B2046="","",COUNT('Diário 1º PA'!$A$4:$A$2635)+COUNT('Diário 2º PA'!$A$4:$A$3040)+ROW()-3)</f>
        <v/>
      </c>
      <c r="B2046" s="413"/>
      <c r="C2046" s="421"/>
      <c r="D2046" s="419"/>
      <c r="E2046" s="419"/>
      <c r="F2046" s="422"/>
      <c r="G2046" s="419"/>
      <c r="H2046" s="419"/>
      <c r="I2046" s="415"/>
      <c r="J2046" s="419"/>
      <c r="K2046" s="419"/>
      <c r="L2046" s="415"/>
      <c r="M2046" s="419"/>
      <c r="N2046" s="419"/>
      <c r="O2046" s="414"/>
      <c r="P2046" s="300">
        <f t="shared" si="119"/>
        <v>0</v>
      </c>
      <c r="Q2046" s="300">
        <f t="shared" si="118"/>
        <v>0</v>
      </c>
      <c r="R2046" s="93" t="str">
        <f t="shared" si="117"/>
        <v/>
      </c>
      <c r="S2046" s="721"/>
      <c r="T2046" s="721"/>
    </row>
    <row r="2047" spans="1:20" x14ac:dyDescent="0.2">
      <c r="A2047" s="432" t="str">
        <f>IF(B2047="","",COUNT('Diário 1º PA'!$A$4:$A$2635)+COUNT('Diário 2º PA'!$A$4:$A$3040)+ROW()-3)</f>
        <v/>
      </c>
      <c r="B2047" s="413"/>
      <c r="C2047" s="421"/>
      <c r="D2047" s="419"/>
      <c r="E2047" s="419"/>
      <c r="F2047" s="422"/>
      <c r="G2047" s="419"/>
      <c r="H2047" s="419"/>
      <c r="I2047" s="415"/>
      <c r="J2047" s="419"/>
      <c r="K2047" s="419"/>
      <c r="L2047" s="415"/>
      <c r="M2047" s="419"/>
      <c r="N2047" s="419"/>
      <c r="O2047" s="414"/>
      <c r="P2047" s="300">
        <f t="shared" si="119"/>
        <v>0</v>
      </c>
      <c r="Q2047" s="300">
        <f t="shared" si="118"/>
        <v>0</v>
      </c>
      <c r="R2047" s="93" t="str">
        <f t="shared" si="117"/>
        <v/>
      </c>
      <c r="S2047" s="721"/>
      <c r="T2047" s="721"/>
    </row>
    <row r="2048" spans="1:20" x14ac:dyDescent="0.2">
      <c r="A2048" s="432" t="str">
        <f>IF(B2048="","",COUNT('Diário 1º PA'!$A$4:$A$2635)+COUNT('Diário 2º PA'!$A$4:$A$3040)+ROW()-3)</f>
        <v/>
      </c>
      <c r="B2048" s="413"/>
      <c r="C2048" s="421"/>
      <c r="D2048" s="419"/>
      <c r="E2048" s="419"/>
      <c r="F2048" s="422"/>
      <c r="G2048" s="419"/>
      <c r="H2048" s="419"/>
      <c r="I2048" s="415"/>
      <c r="J2048" s="419"/>
      <c r="K2048" s="419"/>
      <c r="L2048" s="415"/>
      <c r="M2048" s="419"/>
      <c r="N2048" s="419"/>
      <c r="O2048" s="414"/>
      <c r="P2048" s="300">
        <f t="shared" si="119"/>
        <v>0</v>
      </c>
      <c r="Q2048" s="300">
        <f t="shared" si="118"/>
        <v>0</v>
      </c>
      <c r="R2048" s="93" t="str">
        <f t="shared" si="117"/>
        <v/>
      </c>
      <c r="S2048" s="721"/>
      <c r="T2048" s="721"/>
    </row>
    <row r="2049" spans="1:20" x14ac:dyDescent="0.2">
      <c r="A2049" s="432" t="str">
        <f>IF(B2049="","",COUNT('Diário 1º PA'!$A$4:$A$2635)+COUNT('Diário 2º PA'!$A$4:$A$3040)+ROW()-3)</f>
        <v/>
      </c>
      <c r="B2049" s="413"/>
      <c r="C2049" s="421"/>
      <c r="D2049" s="419"/>
      <c r="E2049" s="419"/>
      <c r="F2049" s="422"/>
      <c r="G2049" s="419"/>
      <c r="H2049" s="419"/>
      <c r="I2049" s="415"/>
      <c r="J2049" s="419"/>
      <c r="K2049" s="419"/>
      <c r="L2049" s="415"/>
      <c r="M2049" s="419"/>
      <c r="N2049" s="419"/>
      <c r="O2049" s="414"/>
      <c r="P2049" s="300">
        <f t="shared" si="119"/>
        <v>0</v>
      </c>
      <c r="Q2049" s="300">
        <f t="shared" si="118"/>
        <v>0</v>
      </c>
      <c r="R2049" s="93" t="str">
        <f t="shared" si="117"/>
        <v/>
      </c>
      <c r="S2049" s="721"/>
      <c r="T2049" s="721"/>
    </row>
    <row r="2050" spans="1:20" x14ac:dyDescent="0.2">
      <c r="A2050" s="432" t="str">
        <f>IF(B2050="","",COUNT('Diário 1º PA'!$A$4:$A$2635)+COUNT('Diário 2º PA'!$A$4:$A$3040)+ROW()-3)</f>
        <v/>
      </c>
      <c r="B2050" s="413"/>
      <c r="C2050" s="421"/>
      <c r="D2050" s="419"/>
      <c r="E2050" s="419"/>
      <c r="F2050" s="422"/>
      <c r="G2050" s="419"/>
      <c r="H2050" s="419"/>
      <c r="I2050" s="415"/>
      <c r="J2050" s="419"/>
      <c r="K2050" s="419"/>
      <c r="L2050" s="415"/>
      <c r="M2050" s="419"/>
      <c r="N2050" s="419"/>
      <c r="O2050" s="414"/>
      <c r="P2050" s="300">
        <f t="shared" si="119"/>
        <v>0</v>
      </c>
      <c r="Q2050" s="300">
        <f t="shared" si="118"/>
        <v>0</v>
      </c>
      <c r="R2050" s="93" t="str">
        <f t="shared" si="117"/>
        <v/>
      </c>
      <c r="S2050" s="721"/>
      <c r="T2050" s="721"/>
    </row>
    <row r="2051" spans="1:20" x14ac:dyDescent="0.2">
      <c r="A2051" s="432" t="str">
        <f>IF(B2051="","",COUNT('Diário 1º PA'!$A$4:$A$2635)+COUNT('Diário 2º PA'!$A$4:$A$3040)+ROW()-3)</f>
        <v/>
      </c>
      <c r="B2051" s="413"/>
      <c r="C2051" s="421"/>
      <c r="D2051" s="419"/>
      <c r="E2051" s="419"/>
      <c r="F2051" s="422"/>
      <c r="G2051" s="419"/>
      <c r="H2051" s="419"/>
      <c r="I2051" s="415"/>
      <c r="J2051" s="419"/>
      <c r="K2051" s="419"/>
      <c r="L2051" s="415"/>
      <c r="M2051" s="419"/>
      <c r="N2051" s="419"/>
      <c r="O2051" s="414"/>
      <c r="P2051" s="300">
        <f t="shared" si="119"/>
        <v>0</v>
      </c>
      <c r="Q2051" s="300">
        <f t="shared" si="118"/>
        <v>0</v>
      </c>
      <c r="R2051" s="93" t="str">
        <f t="shared" si="117"/>
        <v/>
      </c>
      <c r="S2051" s="721"/>
      <c r="T2051" s="721"/>
    </row>
    <row r="2052" spans="1:20" x14ac:dyDescent="0.2">
      <c r="A2052" s="432" t="str">
        <f>IF(B2052="","",COUNT('Diário 1º PA'!$A$4:$A$2635)+COUNT('Diário 2º PA'!$A$4:$A$3040)+ROW()-3)</f>
        <v/>
      </c>
      <c r="B2052" s="413"/>
      <c r="C2052" s="421"/>
      <c r="D2052" s="419"/>
      <c r="E2052" s="419"/>
      <c r="F2052" s="422"/>
      <c r="G2052" s="419"/>
      <c r="H2052" s="419"/>
      <c r="I2052" s="415"/>
      <c r="J2052" s="419"/>
      <c r="K2052" s="419"/>
      <c r="L2052" s="415"/>
      <c r="M2052" s="419"/>
      <c r="N2052" s="419"/>
      <c r="O2052" s="414"/>
      <c r="P2052" s="300">
        <f t="shared" si="119"/>
        <v>0</v>
      </c>
      <c r="Q2052" s="300">
        <f t="shared" si="118"/>
        <v>0</v>
      </c>
      <c r="R2052" s="93" t="str">
        <f t="shared" ref="R2052:R2115" si="120">SUBSTITUTE(D2052," ","_")</f>
        <v/>
      </c>
      <c r="S2052" s="721"/>
      <c r="T2052" s="721"/>
    </row>
    <row r="2053" spans="1:20" x14ac:dyDescent="0.2">
      <c r="A2053" s="432" t="str">
        <f>IF(B2053="","",COUNT('Diário 1º PA'!$A$4:$A$2635)+COUNT('Diário 2º PA'!$A$4:$A$3040)+ROW()-3)</f>
        <v/>
      </c>
      <c r="B2053" s="413"/>
      <c r="C2053" s="421"/>
      <c r="D2053" s="419"/>
      <c r="E2053" s="419"/>
      <c r="F2053" s="422"/>
      <c r="G2053" s="419"/>
      <c r="H2053" s="419"/>
      <c r="I2053" s="415"/>
      <c r="J2053" s="419"/>
      <c r="K2053" s="419"/>
      <c r="L2053" s="415"/>
      <c r="M2053" s="419"/>
      <c r="N2053" s="419"/>
      <c r="O2053" s="414"/>
      <c r="P2053" s="300">
        <f t="shared" si="119"/>
        <v>0</v>
      </c>
      <c r="Q2053" s="300">
        <f t="shared" si="118"/>
        <v>0</v>
      </c>
      <c r="R2053" s="93" t="str">
        <f t="shared" si="120"/>
        <v/>
      </c>
      <c r="S2053" s="721"/>
      <c r="T2053" s="721"/>
    </row>
    <row r="2054" spans="1:20" x14ac:dyDescent="0.2">
      <c r="A2054" s="432" t="str">
        <f>IF(B2054="","",COUNT('Diário 1º PA'!$A$4:$A$2635)+COUNT('Diário 2º PA'!$A$4:$A$3040)+ROW()-3)</f>
        <v/>
      </c>
      <c r="B2054" s="413"/>
      <c r="C2054" s="421"/>
      <c r="D2054" s="419"/>
      <c r="E2054" s="419"/>
      <c r="F2054" s="422"/>
      <c r="G2054" s="419"/>
      <c r="H2054" s="419"/>
      <c r="I2054" s="415"/>
      <c r="J2054" s="419"/>
      <c r="K2054" s="419"/>
      <c r="L2054" s="415"/>
      <c r="M2054" s="419"/>
      <c r="N2054" s="419"/>
      <c r="O2054" s="414"/>
      <c r="P2054" s="300">
        <f t="shared" si="119"/>
        <v>0</v>
      </c>
      <c r="Q2054" s="300">
        <f t="shared" si="118"/>
        <v>0</v>
      </c>
      <c r="R2054" s="93" t="str">
        <f t="shared" si="120"/>
        <v/>
      </c>
      <c r="S2054" s="721"/>
      <c r="T2054" s="721"/>
    </row>
    <row r="2055" spans="1:20" x14ac:dyDescent="0.2">
      <c r="A2055" s="432" t="str">
        <f>IF(B2055="","",COUNT('Diário 1º PA'!$A$4:$A$2635)+COUNT('Diário 2º PA'!$A$4:$A$3040)+ROW()-3)</f>
        <v/>
      </c>
      <c r="B2055" s="413"/>
      <c r="C2055" s="421"/>
      <c r="D2055" s="419"/>
      <c r="E2055" s="419"/>
      <c r="F2055" s="422"/>
      <c r="G2055" s="419"/>
      <c r="H2055" s="419"/>
      <c r="I2055" s="415"/>
      <c r="J2055" s="419"/>
      <c r="K2055" s="419"/>
      <c r="L2055" s="415"/>
      <c r="M2055" s="419"/>
      <c r="N2055" s="419"/>
      <c r="O2055" s="414"/>
      <c r="P2055" s="300">
        <f t="shared" si="119"/>
        <v>0</v>
      </c>
      <c r="Q2055" s="300">
        <f t="shared" si="118"/>
        <v>0</v>
      </c>
      <c r="R2055" s="93" t="str">
        <f t="shared" si="120"/>
        <v/>
      </c>
      <c r="S2055" s="721"/>
      <c r="T2055" s="721"/>
    </row>
    <row r="2056" spans="1:20" x14ac:dyDescent="0.2">
      <c r="A2056" s="432" t="str">
        <f>IF(B2056="","",COUNT('Diário 1º PA'!$A$4:$A$2635)+COUNT('Diário 2º PA'!$A$4:$A$3040)+ROW()-3)</f>
        <v/>
      </c>
      <c r="B2056" s="413"/>
      <c r="C2056" s="421"/>
      <c r="D2056" s="419"/>
      <c r="E2056" s="419"/>
      <c r="F2056" s="422"/>
      <c r="G2056" s="419"/>
      <c r="H2056" s="419"/>
      <c r="I2056" s="415"/>
      <c r="J2056" s="419"/>
      <c r="K2056" s="419"/>
      <c r="L2056" s="415"/>
      <c r="M2056" s="419"/>
      <c r="N2056" s="419"/>
      <c r="O2056" s="414"/>
      <c r="P2056" s="300">
        <f t="shared" si="119"/>
        <v>0</v>
      </c>
      <c r="Q2056" s="300">
        <f t="shared" si="118"/>
        <v>0</v>
      </c>
      <c r="R2056" s="93" t="str">
        <f t="shared" si="120"/>
        <v/>
      </c>
      <c r="S2056" s="721"/>
      <c r="T2056" s="721"/>
    </row>
    <row r="2057" spans="1:20" x14ac:dyDescent="0.2">
      <c r="A2057" s="432" t="str">
        <f>IF(B2057="","",COUNT('Diário 1º PA'!$A$4:$A$2635)+COUNT('Diário 2º PA'!$A$4:$A$3040)+ROW()-3)</f>
        <v/>
      </c>
      <c r="B2057" s="413"/>
      <c r="C2057" s="421"/>
      <c r="D2057" s="419"/>
      <c r="E2057" s="419"/>
      <c r="F2057" s="422"/>
      <c r="G2057" s="419"/>
      <c r="H2057" s="419"/>
      <c r="I2057" s="415"/>
      <c r="J2057" s="419"/>
      <c r="K2057" s="419"/>
      <c r="L2057" s="415"/>
      <c r="M2057" s="419"/>
      <c r="N2057" s="419"/>
      <c r="O2057" s="414"/>
      <c r="P2057" s="300">
        <f t="shared" si="119"/>
        <v>0</v>
      </c>
      <c r="Q2057" s="300">
        <f t="shared" si="118"/>
        <v>0</v>
      </c>
      <c r="R2057" s="93" t="str">
        <f t="shared" si="120"/>
        <v/>
      </c>
      <c r="S2057" s="721"/>
      <c r="T2057" s="721"/>
    </row>
    <row r="2058" spans="1:20" x14ac:dyDescent="0.2">
      <c r="A2058" s="432" t="str">
        <f>IF(B2058="","",COUNT('Diário 1º PA'!$A$4:$A$2635)+COUNT('Diário 2º PA'!$A$4:$A$3040)+ROW()-3)</f>
        <v/>
      </c>
      <c r="B2058" s="413"/>
      <c r="C2058" s="421"/>
      <c r="D2058" s="419"/>
      <c r="E2058" s="419"/>
      <c r="F2058" s="422"/>
      <c r="G2058" s="419"/>
      <c r="H2058" s="419"/>
      <c r="I2058" s="415"/>
      <c r="J2058" s="419"/>
      <c r="K2058" s="419"/>
      <c r="L2058" s="415"/>
      <c r="M2058" s="419"/>
      <c r="N2058" s="419"/>
      <c r="O2058" s="414"/>
      <c r="P2058" s="300">
        <f t="shared" si="119"/>
        <v>0</v>
      </c>
      <c r="Q2058" s="300">
        <f t="shared" si="118"/>
        <v>0</v>
      </c>
      <c r="R2058" s="93" t="str">
        <f t="shared" si="120"/>
        <v/>
      </c>
      <c r="S2058" s="721"/>
      <c r="T2058" s="721"/>
    </row>
    <row r="2059" spans="1:20" x14ac:dyDescent="0.2">
      <c r="A2059" s="432" t="str">
        <f>IF(B2059="","",COUNT('Diário 1º PA'!$A$4:$A$2635)+COUNT('Diário 2º PA'!$A$4:$A$3040)+ROW()-3)</f>
        <v/>
      </c>
      <c r="B2059" s="413"/>
      <c r="C2059" s="421"/>
      <c r="D2059" s="419"/>
      <c r="E2059" s="419"/>
      <c r="F2059" s="422"/>
      <c r="G2059" s="419"/>
      <c r="H2059" s="419"/>
      <c r="I2059" s="415"/>
      <c r="J2059" s="419"/>
      <c r="K2059" s="419"/>
      <c r="L2059" s="415"/>
      <c r="M2059" s="419"/>
      <c r="N2059" s="419"/>
      <c r="O2059" s="414"/>
      <c r="P2059" s="300">
        <f t="shared" si="119"/>
        <v>0</v>
      </c>
      <c r="Q2059" s="300">
        <f t="shared" si="118"/>
        <v>0</v>
      </c>
      <c r="R2059" s="93" t="str">
        <f t="shared" si="120"/>
        <v/>
      </c>
      <c r="S2059" s="721"/>
      <c r="T2059" s="721"/>
    </row>
    <row r="2060" spans="1:20" x14ac:dyDescent="0.2">
      <c r="A2060" s="432" t="str">
        <f>IF(B2060="","",COUNT('Diário 1º PA'!$A$4:$A$2635)+COUNT('Diário 2º PA'!$A$4:$A$3040)+ROW()-3)</f>
        <v/>
      </c>
      <c r="B2060" s="413"/>
      <c r="C2060" s="421"/>
      <c r="D2060" s="419"/>
      <c r="E2060" s="419"/>
      <c r="F2060" s="422"/>
      <c r="G2060" s="419"/>
      <c r="H2060" s="419"/>
      <c r="I2060" s="415"/>
      <c r="J2060" s="419"/>
      <c r="K2060" s="419"/>
      <c r="L2060" s="415"/>
      <c r="M2060" s="419"/>
      <c r="N2060" s="419"/>
      <c r="O2060" s="414"/>
      <c r="P2060" s="300">
        <f t="shared" si="119"/>
        <v>0</v>
      </c>
      <c r="Q2060" s="300">
        <f t="shared" si="118"/>
        <v>0</v>
      </c>
      <c r="R2060" s="93" t="str">
        <f t="shared" si="120"/>
        <v/>
      </c>
      <c r="S2060" s="721"/>
      <c r="T2060" s="721"/>
    </row>
    <row r="2061" spans="1:20" x14ac:dyDescent="0.2">
      <c r="A2061" s="432" t="str">
        <f>IF(B2061="","",COUNT('Diário 1º PA'!$A$4:$A$2635)+COUNT('Diário 2º PA'!$A$4:$A$3040)+ROW()-3)</f>
        <v/>
      </c>
      <c r="B2061" s="413"/>
      <c r="C2061" s="421"/>
      <c r="D2061" s="419"/>
      <c r="E2061" s="419"/>
      <c r="F2061" s="422"/>
      <c r="G2061" s="419"/>
      <c r="H2061" s="419"/>
      <c r="I2061" s="415"/>
      <c r="J2061" s="419"/>
      <c r="K2061" s="419"/>
      <c r="L2061" s="415"/>
      <c r="M2061" s="419"/>
      <c r="N2061" s="419"/>
      <c r="O2061" s="414"/>
      <c r="P2061" s="300">
        <f t="shared" si="119"/>
        <v>0</v>
      </c>
      <c r="Q2061" s="300">
        <f t="shared" si="118"/>
        <v>0</v>
      </c>
      <c r="R2061" s="93" t="str">
        <f t="shared" si="120"/>
        <v/>
      </c>
      <c r="S2061" s="721"/>
      <c r="T2061" s="721"/>
    </row>
    <row r="2062" spans="1:20" x14ac:dyDescent="0.2">
      <c r="A2062" s="432" t="str">
        <f>IF(B2062="","",COUNT('Diário 1º PA'!$A$4:$A$2635)+COUNT('Diário 2º PA'!$A$4:$A$3040)+ROW()-3)</f>
        <v/>
      </c>
      <c r="B2062" s="413"/>
      <c r="C2062" s="421"/>
      <c r="D2062" s="419"/>
      <c r="E2062" s="419"/>
      <c r="F2062" s="422"/>
      <c r="G2062" s="419"/>
      <c r="H2062" s="419"/>
      <c r="I2062" s="415"/>
      <c r="J2062" s="419"/>
      <c r="K2062" s="419"/>
      <c r="L2062" s="415"/>
      <c r="M2062" s="419"/>
      <c r="N2062" s="419"/>
      <c r="O2062" s="414"/>
      <c r="P2062" s="300">
        <f t="shared" si="119"/>
        <v>0</v>
      </c>
      <c r="Q2062" s="300">
        <f t="shared" si="118"/>
        <v>0</v>
      </c>
      <c r="R2062" s="93" t="str">
        <f t="shared" si="120"/>
        <v/>
      </c>
      <c r="S2062" s="721"/>
      <c r="T2062" s="721"/>
    </row>
    <row r="2063" spans="1:20" x14ac:dyDescent="0.2">
      <c r="A2063" s="432" t="str">
        <f>IF(B2063="","",COUNT('Diário 1º PA'!$A$4:$A$2635)+COUNT('Diário 2º PA'!$A$4:$A$3040)+ROW()-3)</f>
        <v/>
      </c>
      <c r="B2063" s="413"/>
      <c r="C2063" s="421"/>
      <c r="D2063" s="419"/>
      <c r="E2063" s="419"/>
      <c r="F2063" s="422"/>
      <c r="G2063" s="419"/>
      <c r="H2063" s="419"/>
      <c r="I2063" s="415"/>
      <c r="J2063" s="419"/>
      <c r="K2063" s="419"/>
      <c r="L2063" s="415"/>
      <c r="M2063" s="419"/>
      <c r="N2063" s="419"/>
      <c r="O2063" s="414"/>
      <c r="P2063" s="300">
        <f t="shared" si="119"/>
        <v>0</v>
      </c>
      <c r="Q2063" s="300">
        <f t="shared" ref="Q2063:Q2126" si="121">IF(C2063=0,0,IF(YEAR(C2063)=$Q$1,MONTH(C2063)-$P$1+1,(YEAR(C2063)-$Q$1)*12-$P$1+1+MONTH(C2063)))</f>
        <v>0</v>
      </c>
      <c r="R2063" s="93" t="str">
        <f t="shared" si="120"/>
        <v/>
      </c>
      <c r="S2063" s="721"/>
      <c r="T2063" s="721"/>
    </row>
    <row r="2064" spans="1:20" x14ac:dyDescent="0.2">
      <c r="A2064" s="432" t="str">
        <f>IF(B2064="","",COUNT('Diário 1º PA'!$A$4:$A$2635)+COUNT('Diário 2º PA'!$A$4:$A$3040)+ROW()-3)</f>
        <v/>
      </c>
      <c r="B2064" s="413"/>
      <c r="C2064" s="421"/>
      <c r="D2064" s="419"/>
      <c r="E2064" s="419"/>
      <c r="F2064" s="422"/>
      <c r="G2064" s="419"/>
      <c r="H2064" s="419"/>
      <c r="I2064" s="415"/>
      <c r="J2064" s="419"/>
      <c r="K2064" s="419"/>
      <c r="L2064" s="415"/>
      <c r="M2064" s="419"/>
      <c r="N2064" s="419"/>
      <c r="O2064" s="414"/>
      <c r="P2064" s="300">
        <f t="shared" si="119"/>
        <v>0</v>
      </c>
      <c r="Q2064" s="300">
        <f t="shared" si="121"/>
        <v>0</v>
      </c>
      <c r="R2064" s="93" t="str">
        <f t="shared" si="120"/>
        <v/>
      </c>
      <c r="S2064" s="721"/>
      <c r="T2064" s="721"/>
    </row>
    <row r="2065" spans="1:20" x14ac:dyDescent="0.2">
      <c r="A2065" s="432" t="str">
        <f>IF(B2065="","",COUNT('Diário 1º PA'!$A$4:$A$2635)+COUNT('Diário 2º PA'!$A$4:$A$3040)+ROW()-3)</f>
        <v/>
      </c>
      <c r="B2065" s="413"/>
      <c r="C2065" s="421"/>
      <c r="D2065" s="419"/>
      <c r="E2065" s="419"/>
      <c r="F2065" s="422"/>
      <c r="G2065" s="419"/>
      <c r="H2065" s="419"/>
      <c r="I2065" s="415"/>
      <c r="J2065" s="419"/>
      <c r="K2065" s="419"/>
      <c r="L2065" s="415"/>
      <c r="M2065" s="419"/>
      <c r="N2065" s="419"/>
      <c r="O2065" s="414"/>
      <c r="P2065" s="300">
        <f t="shared" ref="P2065:P2128" si="122">IF(B2065=0,0,IF(YEAR(B2065)=$Q$1,MONTH(B2065)-$P$1+1,(YEAR(B2065)-$Q$1)*12-$P$1+1+MONTH(B2065)))</f>
        <v>0</v>
      </c>
      <c r="Q2065" s="300">
        <f t="shared" si="121"/>
        <v>0</v>
      </c>
      <c r="R2065" s="93" t="str">
        <f t="shared" si="120"/>
        <v/>
      </c>
      <c r="S2065" s="721"/>
      <c r="T2065" s="721"/>
    </row>
    <row r="2066" spans="1:20" x14ac:dyDescent="0.2">
      <c r="A2066" s="432" t="str">
        <f>IF(B2066="","",COUNT('Diário 1º PA'!$A$4:$A$2635)+COUNT('Diário 2º PA'!$A$4:$A$3040)+ROW()-3)</f>
        <v/>
      </c>
      <c r="B2066" s="413"/>
      <c r="C2066" s="421"/>
      <c r="D2066" s="419"/>
      <c r="E2066" s="419"/>
      <c r="F2066" s="422"/>
      <c r="G2066" s="419"/>
      <c r="H2066" s="419"/>
      <c r="I2066" s="415"/>
      <c r="J2066" s="419"/>
      <c r="K2066" s="419"/>
      <c r="L2066" s="415"/>
      <c r="M2066" s="419"/>
      <c r="N2066" s="419"/>
      <c r="O2066" s="414"/>
      <c r="P2066" s="300">
        <f t="shared" si="122"/>
        <v>0</v>
      </c>
      <c r="Q2066" s="300">
        <f t="shared" si="121"/>
        <v>0</v>
      </c>
      <c r="R2066" s="93" t="str">
        <f t="shared" si="120"/>
        <v/>
      </c>
      <c r="S2066" s="721"/>
      <c r="T2066" s="721"/>
    </row>
    <row r="2067" spans="1:20" x14ac:dyDescent="0.2">
      <c r="A2067" s="432" t="str">
        <f>IF(B2067="","",COUNT('Diário 1º PA'!$A$4:$A$2635)+COUNT('Diário 2º PA'!$A$4:$A$3040)+ROW()-3)</f>
        <v/>
      </c>
      <c r="B2067" s="413"/>
      <c r="C2067" s="421"/>
      <c r="D2067" s="419"/>
      <c r="E2067" s="419"/>
      <c r="F2067" s="422"/>
      <c r="G2067" s="419"/>
      <c r="H2067" s="419"/>
      <c r="I2067" s="415"/>
      <c r="J2067" s="419"/>
      <c r="K2067" s="419"/>
      <c r="L2067" s="415"/>
      <c r="M2067" s="419"/>
      <c r="N2067" s="419"/>
      <c r="O2067" s="414"/>
      <c r="P2067" s="300">
        <f t="shared" si="122"/>
        <v>0</v>
      </c>
      <c r="Q2067" s="300">
        <f t="shared" si="121"/>
        <v>0</v>
      </c>
      <c r="R2067" s="93" t="str">
        <f t="shared" si="120"/>
        <v/>
      </c>
      <c r="S2067" s="721"/>
      <c r="T2067" s="721"/>
    </row>
    <row r="2068" spans="1:20" x14ac:dyDescent="0.2">
      <c r="A2068" s="432" t="str">
        <f>IF(B2068="","",COUNT('Diário 1º PA'!$A$4:$A$2635)+COUNT('Diário 2º PA'!$A$4:$A$3040)+ROW()-3)</f>
        <v/>
      </c>
      <c r="B2068" s="413"/>
      <c r="C2068" s="421"/>
      <c r="D2068" s="419"/>
      <c r="E2068" s="419"/>
      <c r="F2068" s="422"/>
      <c r="G2068" s="419"/>
      <c r="H2068" s="419"/>
      <c r="I2068" s="415"/>
      <c r="J2068" s="419"/>
      <c r="K2068" s="419"/>
      <c r="L2068" s="415"/>
      <c r="M2068" s="419"/>
      <c r="N2068" s="419"/>
      <c r="O2068" s="414"/>
      <c r="P2068" s="300">
        <f t="shared" si="122"/>
        <v>0</v>
      </c>
      <c r="Q2068" s="300">
        <f t="shared" si="121"/>
        <v>0</v>
      </c>
      <c r="R2068" s="93" t="str">
        <f t="shared" si="120"/>
        <v/>
      </c>
      <c r="S2068" s="721"/>
      <c r="T2068" s="721"/>
    </row>
    <row r="2069" spans="1:20" x14ac:dyDescent="0.2">
      <c r="A2069" s="432" t="str">
        <f>IF(B2069="","",COUNT('Diário 1º PA'!$A$4:$A$2635)+COUNT('Diário 2º PA'!$A$4:$A$3040)+ROW()-3)</f>
        <v/>
      </c>
      <c r="B2069" s="413"/>
      <c r="C2069" s="421"/>
      <c r="D2069" s="419"/>
      <c r="E2069" s="419"/>
      <c r="F2069" s="422"/>
      <c r="G2069" s="419"/>
      <c r="H2069" s="419"/>
      <c r="I2069" s="415"/>
      <c r="J2069" s="419"/>
      <c r="K2069" s="419"/>
      <c r="L2069" s="415"/>
      <c r="M2069" s="419"/>
      <c r="N2069" s="419"/>
      <c r="O2069" s="414"/>
      <c r="P2069" s="300">
        <f t="shared" si="122"/>
        <v>0</v>
      </c>
      <c r="Q2069" s="300">
        <f t="shared" si="121"/>
        <v>0</v>
      </c>
      <c r="R2069" s="93" t="str">
        <f t="shared" si="120"/>
        <v/>
      </c>
      <c r="S2069" s="721"/>
      <c r="T2069" s="721"/>
    </row>
    <row r="2070" spans="1:20" x14ac:dyDescent="0.2">
      <c r="A2070" s="432" t="str">
        <f>IF(B2070="","",COUNT('Diário 1º PA'!$A$4:$A$2635)+COUNT('Diário 2º PA'!$A$4:$A$3040)+ROW()-3)</f>
        <v/>
      </c>
      <c r="B2070" s="413"/>
      <c r="C2070" s="421"/>
      <c r="D2070" s="419"/>
      <c r="E2070" s="419"/>
      <c r="F2070" s="422"/>
      <c r="G2070" s="419"/>
      <c r="H2070" s="419"/>
      <c r="I2070" s="415"/>
      <c r="J2070" s="419"/>
      <c r="K2070" s="419"/>
      <c r="L2070" s="415"/>
      <c r="M2070" s="419"/>
      <c r="N2070" s="419"/>
      <c r="O2070" s="414"/>
      <c r="P2070" s="300">
        <f t="shared" si="122"/>
        <v>0</v>
      </c>
      <c r="Q2070" s="300">
        <f t="shared" si="121"/>
        <v>0</v>
      </c>
      <c r="R2070" s="93" t="str">
        <f t="shared" si="120"/>
        <v/>
      </c>
      <c r="S2070" s="721"/>
      <c r="T2070" s="721"/>
    </row>
    <row r="2071" spans="1:20" x14ac:dyDescent="0.2">
      <c r="A2071" s="432" t="str">
        <f>IF(B2071="","",COUNT('Diário 1º PA'!$A$4:$A$2635)+COUNT('Diário 2º PA'!$A$4:$A$3040)+ROW()-3)</f>
        <v/>
      </c>
      <c r="B2071" s="413"/>
      <c r="C2071" s="421"/>
      <c r="D2071" s="419"/>
      <c r="E2071" s="419"/>
      <c r="F2071" s="422"/>
      <c r="G2071" s="419"/>
      <c r="H2071" s="419"/>
      <c r="I2071" s="415"/>
      <c r="J2071" s="419"/>
      <c r="K2071" s="419"/>
      <c r="L2071" s="415"/>
      <c r="M2071" s="419"/>
      <c r="N2071" s="419"/>
      <c r="O2071" s="414"/>
      <c r="P2071" s="300">
        <f t="shared" si="122"/>
        <v>0</v>
      </c>
      <c r="Q2071" s="300">
        <f t="shared" si="121"/>
        <v>0</v>
      </c>
      <c r="R2071" s="93" t="str">
        <f t="shared" si="120"/>
        <v/>
      </c>
      <c r="S2071" s="721"/>
      <c r="T2071" s="721"/>
    </row>
    <row r="2072" spans="1:20" x14ac:dyDescent="0.2">
      <c r="A2072" s="432" t="str">
        <f>IF(B2072="","",COUNT('Diário 1º PA'!$A$4:$A$2635)+COUNT('Diário 2º PA'!$A$4:$A$3040)+ROW()-3)</f>
        <v/>
      </c>
      <c r="B2072" s="413"/>
      <c r="C2072" s="421"/>
      <c r="D2072" s="419"/>
      <c r="E2072" s="419"/>
      <c r="F2072" s="422"/>
      <c r="G2072" s="419"/>
      <c r="H2072" s="419"/>
      <c r="I2072" s="415"/>
      <c r="J2072" s="419"/>
      <c r="K2072" s="419"/>
      <c r="L2072" s="415"/>
      <c r="M2072" s="419"/>
      <c r="N2072" s="419"/>
      <c r="O2072" s="414"/>
      <c r="P2072" s="300">
        <f t="shared" si="122"/>
        <v>0</v>
      </c>
      <c r="Q2072" s="300">
        <f t="shared" si="121"/>
        <v>0</v>
      </c>
      <c r="R2072" s="93" t="str">
        <f t="shared" si="120"/>
        <v/>
      </c>
      <c r="S2072" s="721"/>
      <c r="T2072" s="721"/>
    </row>
    <row r="2073" spans="1:20" x14ac:dyDescent="0.2">
      <c r="A2073" s="432" t="str">
        <f>IF(B2073="","",COUNT('Diário 1º PA'!$A$4:$A$2635)+COUNT('Diário 2º PA'!$A$4:$A$3040)+ROW()-3)</f>
        <v/>
      </c>
      <c r="B2073" s="413"/>
      <c r="C2073" s="421"/>
      <c r="D2073" s="419"/>
      <c r="E2073" s="419"/>
      <c r="F2073" s="422"/>
      <c r="G2073" s="419"/>
      <c r="H2073" s="419"/>
      <c r="I2073" s="415"/>
      <c r="J2073" s="419"/>
      <c r="K2073" s="419"/>
      <c r="L2073" s="415"/>
      <c r="M2073" s="419"/>
      <c r="N2073" s="419"/>
      <c r="O2073" s="414"/>
      <c r="P2073" s="300">
        <f t="shared" si="122"/>
        <v>0</v>
      </c>
      <c r="Q2073" s="300">
        <f t="shared" si="121"/>
        <v>0</v>
      </c>
      <c r="R2073" s="93" t="str">
        <f t="shared" si="120"/>
        <v/>
      </c>
      <c r="S2073" s="721"/>
      <c r="T2073" s="721"/>
    </row>
    <row r="2074" spans="1:20" x14ac:dyDescent="0.2">
      <c r="A2074" s="432" t="str">
        <f>IF(B2074="","",COUNT('Diário 1º PA'!$A$4:$A$2635)+COUNT('Diário 2º PA'!$A$4:$A$3040)+ROW()-3)</f>
        <v/>
      </c>
      <c r="B2074" s="413"/>
      <c r="C2074" s="421"/>
      <c r="D2074" s="419"/>
      <c r="E2074" s="419"/>
      <c r="F2074" s="422"/>
      <c r="G2074" s="419"/>
      <c r="H2074" s="419"/>
      <c r="I2074" s="415"/>
      <c r="J2074" s="419"/>
      <c r="K2074" s="419"/>
      <c r="L2074" s="415"/>
      <c r="M2074" s="419"/>
      <c r="N2074" s="419"/>
      <c r="O2074" s="414"/>
      <c r="P2074" s="300">
        <f t="shared" si="122"/>
        <v>0</v>
      </c>
      <c r="Q2074" s="300">
        <f t="shared" si="121"/>
        <v>0</v>
      </c>
      <c r="R2074" s="93" t="str">
        <f t="shared" si="120"/>
        <v/>
      </c>
      <c r="S2074" s="721"/>
      <c r="T2074" s="721"/>
    </row>
    <row r="2075" spans="1:20" x14ac:dyDescent="0.2">
      <c r="A2075" s="432" t="str">
        <f>IF(B2075="","",COUNT('Diário 1º PA'!$A$4:$A$2635)+COUNT('Diário 2º PA'!$A$4:$A$3040)+ROW()-3)</f>
        <v/>
      </c>
      <c r="B2075" s="413"/>
      <c r="C2075" s="421"/>
      <c r="D2075" s="419"/>
      <c r="E2075" s="419"/>
      <c r="F2075" s="422"/>
      <c r="G2075" s="419"/>
      <c r="H2075" s="419"/>
      <c r="I2075" s="415"/>
      <c r="J2075" s="419"/>
      <c r="K2075" s="419"/>
      <c r="L2075" s="415"/>
      <c r="M2075" s="419"/>
      <c r="N2075" s="419"/>
      <c r="O2075" s="414"/>
      <c r="P2075" s="300">
        <f t="shared" si="122"/>
        <v>0</v>
      </c>
      <c r="Q2075" s="300">
        <f t="shared" si="121"/>
        <v>0</v>
      </c>
      <c r="R2075" s="93" t="str">
        <f t="shared" si="120"/>
        <v/>
      </c>
      <c r="S2075" s="721"/>
      <c r="T2075" s="721"/>
    </row>
    <row r="2076" spans="1:20" x14ac:dyDescent="0.2">
      <c r="A2076" s="432" t="str">
        <f>IF(B2076="","",COUNT('Diário 1º PA'!$A$4:$A$2635)+COUNT('Diário 2º PA'!$A$4:$A$3040)+ROW()-3)</f>
        <v/>
      </c>
      <c r="B2076" s="413"/>
      <c r="C2076" s="421"/>
      <c r="D2076" s="419"/>
      <c r="E2076" s="419"/>
      <c r="F2076" s="422"/>
      <c r="G2076" s="419"/>
      <c r="H2076" s="419"/>
      <c r="I2076" s="415"/>
      <c r="J2076" s="419"/>
      <c r="K2076" s="419"/>
      <c r="L2076" s="415"/>
      <c r="M2076" s="419"/>
      <c r="N2076" s="419"/>
      <c r="O2076" s="414"/>
      <c r="P2076" s="300">
        <f t="shared" si="122"/>
        <v>0</v>
      </c>
      <c r="Q2076" s="300">
        <f t="shared" si="121"/>
        <v>0</v>
      </c>
      <c r="R2076" s="93" t="str">
        <f t="shared" si="120"/>
        <v/>
      </c>
      <c r="S2076" s="721"/>
      <c r="T2076" s="721"/>
    </row>
    <row r="2077" spans="1:20" x14ac:dyDescent="0.2">
      <c r="A2077" s="432" t="str">
        <f>IF(B2077="","",COUNT('Diário 1º PA'!$A$4:$A$2635)+COUNT('Diário 2º PA'!$A$4:$A$3040)+ROW()-3)</f>
        <v/>
      </c>
      <c r="B2077" s="413"/>
      <c r="C2077" s="421"/>
      <c r="D2077" s="419"/>
      <c r="E2077" s="419"/>
      <c r="F2077" s="422"/>
      <c r="G2077" s="419"/>
      <c r="H2077" s="419"/>
      <c r="I2077" s="415"/>
      <c r="J2077" s="419"/>
      <c r="K2077" s="419"/>
      <c r="L2077" s="415"/>
      <c r="M2077" s="419"/>
      <c r="N2077" s="419"/>
      <c r="O2077" s="414"/>
      <c r="P2077" s="300">
        <f t="shared" si="122"/>
        <v>0</v>
      </c>
      <c r="Q2077" s="300">
        <f t="shared" si="121"/>
        <v>0</v>
      </c>
      <c r="R2077" s="93" t="str">
        <f t="shared" si="120"/>
        <v/>
      </c>
      <c r="S2077" s="721"/>
      <c r="T2077" s="721"/>
    </row>
    <row r="2078" spans="1:20" x14ac:dyDescent="0.2">
      <c r="A2078" s="432" t="str">
        <f>IF(B2078="","",COUNT('Diário 1º PA'!$A$4:$A$2635)+COUNT('Diário 2º PA'!$A$4:$A$3040)+ROW()-3)</f>
        <v/>
      </c>
      <c r="B2078" s="413"/>
      <c r="C2078" s="421"/>
      <c r="D2078" s="419"/>
      <c r="E2078" s="419"/>
      <c r="F2078" s="422"/>
      <c r="G2078" s="419"/>
      <c r="H2078" s="419"/>
      <c r="I2078" s="415"/>
      <c r="J2078" s="419"/>
      <c r="K2078" s="419"/>
      <c r="L2078" s="415"/>
      <c r="M2078" s="419"/>
      <c r="N2078" s="419"/>
      <c r="O2078" s="414"/>
      <c r="P2078" s="300">
        <f t="shared" si="122"/>
        <v>0</v>
      </c>
      <c r="Q2078" s="300">
        <f t="shared" si="121"/>
        <v>0</v>
      </c>
      <c r="R2078" s="93" t="str">
        <f t="shared" si="120"/>
        <v/>
      </c>
      <c r="S2078" s="721"/>
      <c r="T2078" s="721"/>
    </row>
    <row r="2079" spans="1:20" x14ac:dyDescent="0.2">
      <c r="A2079" s="432" t="str">
        <f>IF(B2079="","",COUNT('Diário 1º PA'!$A$4:$A$2635)+COUNT('Diário 2º PA'!$A$4:$A$3040)+ROW()-3)</f>
        <v/>
      </c>
      <c r="B2079" s="413"/>
      <c r="C2079" s="421"/>
      <c r="D2079" s="419"/>
      <c r="E2079" s="419"/>
      <c r="F2079" s="422"/>
      <c r="G2079" s="419"/>
      <c r="H2079" s="419"/>
      <c r="I2079" s="415"/>
      <c r="J2079" s="419"/>
      <c r="K2079" s="419"/>
      <c r="L2079" s="415"/>
      <c r="M2079" s="419"/>
      <c r="N2079" s="419"/>
      <c r="O2079" s="414"/>
      <c r="P2079" s="300">
        <f t="shared" si="122"/>
        <v>0</v>
      </c>
      <c r="Q2079" s="300">
        <f t="shared" si="121"/>
        <v>0</v>
      </c>
      <c r="R2079" s="93" t="str">
        <f t="shared" si="120"/>
        <v/>
      </c>
      <c r="S2079" s="721"/>
      <c r="T2079" s="721"/>
    </row>
    <row r="2080" spans="1:20" x14ac:dyDescent="0.2">
      <c r="A2080" s="432" t="str">
        <f>IF(B2080="","",COUNT('Diário 1º PA'!$A$4:$A$2635)+COUNT('Diário 2º PA'!$A$4:$A$3040)+ROW()-3)</f>
        <v/>
      </c>
      <c r="B2080" s="413"/>
      <c r="C2080" s="421"/>
      <c r="D2080" s="419"/>
      <c r="E2080" s="419"/>
      <c r="F2080" s="422"/>
      <c r="G2080" s="419"/>
      <c r="H2080" s="419"/>
      <c r="I2080" s="415"/>
      <c r="J2080" s="419"/>
      <c r="K2080" s="419"/>
      <c r="L2080" s="415"/>
      <c r="M2080" s="419"/>
      <c r="N2080" s="419"/>
      <c r="O2080" s="414"/>
      <c r="P2080" s="300">
        <f t="shared" si="122"/>
        <v>0</v>
      </c>
      <c r="Q2080" s="300">
        <f t="shared" si="121"/>
        <v>0</v>
      </c>
      <c r="R2080" s="93" t="str">
        <f t="shared" si="120"/>
        <v/>
      </c>
      <c r="S2080" s="721"/>
      <c r="T2080" s="721"/>
    </row>
    <row r="2081" spans="1:20" x14ac:dyDescent="0.2">
      <c r="A2081" s="432" t="str">
        <f>IF(B2081="","",COUNT('Diário 1º PA'!$A$4:$A$2635)+COUNT('Diário 2º PA'!$A$4:$A$3040)+ROW()-3)</f>
        <v/>
      </c>
      <c r="B2081" s="413"/>
      <c r="C2081" s="421"/>
      <c r="D2081" s="419"/>
      <c r="E2081" s="419"/>
      <c r="F2081" s="422"/>
      <c r="G2081" s="419"/>
      <c r="H2081" s="419"/>
      <c r="I2081" s="415"/>
      <c r="J2081" s="419"/>
      <c r="K2081" s="419"/>
      <c r="L2081" s="415"/>
      <c r="M2081" s="419"/>
      <c r="N2081" s="419"/>
      <c r="O2081" s="414"/>
      <c r="P2081" s="300">
        <f t="shared" si="122"/>
        <v>0</v>
      </c>
      <c r="Q2081" s="300">
        <f t="shared" si="121"/>
        <v>0</v>
      </c>
      <c r="R2081" s="93" t="str">
        <f t="shared" si="120"/>
        <v/>
      </c>
      <c r="S2081" s="721"/>
      <c r="T2081" s="721"/>
    </row>
    <row r="2082" spans="1:20" x14ac:dyDescent="0.2">
      <c r="A2082" s="432" t="str">
        <f>IF(B2082="","",COUNT('Diário 1º PA'!$A$4:$A$2635)+COUNT('Diário 2º PA'!$A$4:$A$3040)+ROW()-3)</f>
        <v/>
      </c>
      <c r="B2082" s="413"/>
      <c r="C2082" s="421"/>
      <c r="D2082" s="419"/>
      <c r="E2082" s="419"/>
      <c r="F2082" s="422"/>
      <c r="G2082" s="419"/>
      <c r="H2082" s="419"/>
      <c r="I2082" s="415"/>
      <c r="J2082" s="419"/>
      <c r="K2082" s="419"/>
      <c r="L2082" s="415"/>
      <c r="M2082" s="419"/>
      <c r="N2082" s="419"/>
      <c r="O2082" s="414"/>
      <c r="P2082" s="300">
        <f t="shared" si="122"/>
        <v>0</v>
      </c>
      <c r="Q2082" s="300">
        <f t="shared" si="121"/>
        <v>0</v>
      </c>
      <c r="R2082" s="93" t="str">
        <f t="shared" si="120"/>
        <v/>
      </c>
      <c r="S2082" s="721"/>
      <c r="T2082" s="721"/>
    </row>
    <row r="2083" spans="1:20" x14ac:dyDescent="0.2">
      <c r="A2083" s="432" t="str">
        <f>IF(B2083="","",COUNT('Diário 1º PA'!$A$4:$A$2635)+COUNT('Diário 2º PA'!$A$4:$A$3040)+ROW()-3)</f>
        <v/>
      </c>
      <c r="B2083" s="413"/>
      <c r="C2083" s="421"/>
      <c r="D2083" s="419"/>
      <c r="E2083" s="419"/>
      <c r="F2083" s="422"/>
      <c r="G2083" s="419"/>
      <c r="H2083" s="419"/>
      <c r="I2083" s="415"/>
      <c r="J2083" s="419"/>
      <c r="K2083" s="419"/>
      <c r="L2083" s="415"/>
      <c r="M2083" s="419"/>
      <c r="N2083" s="419"/>
      <c r="O2083" s="414"/>
      <c r="P2083" s="300">
        <f t="shared" si="122"/>
        <v>0</v>
      </c>
      <c r="Q2083" s="300">
        <f t="shared" si="121"/>
        <v>0</v>
      </c>
      <c r="R2083" s="93" t="str">
        <f t="shared" si="120"/>
        <v/>
      </c>
      <c r="S2083" s="721"/>
      <c r="T2083" s="721"/>
    </row>
    <row r="2084" spans="1:20" x14ac:dyDescent="0.2">
      <c r="A2084" s="432" t="str">
        <f>IF(B2084="","",COUNT('Diário 1º PA'!$A$4:$A$2635)+COUNT('Diário 2º PA'!$A$4:$A$3040)+ROW()-3)</f>
        <v/>
      </c>
      <c r="B2084" s="413"/>
      <c r="C2084" s="421"/>
      <c r="D2084" s="419"/>
      <c r="E2084" s="419"/>
      <c r="F2084" s="422"/>
      <c r="G2084" s="419"/>
      <c r="H2084" s="419"/>
      <c r="I2084" s="415"/>
      <c r="J2084" s="419"/>
      <c r="K2084" s="419"/>
      <c r="L2084" s="415"/>
      <c r="M2084" s="419"/>
      <c r="N2084" s="419"/>
      <c r="O2084" s="414"/>
      <c r="P2084" s="300">
        <f t="shared" si="122"/>
        <v>0</v>
      </c>
      <c r="Q2084" s="300">
        <f t="shared" si="121"/>
        <v>0</v>
      </c>
      <c r="R2084" s="93" t="str">
        <f t="shared" si="120"/>
        <v/>
      </c>
      <c r="S2084" s="721"/>
      <c r="T2084" s="721"/>
    </row>
    <row r="2085" spans="1:20" x14ac:dyDescent="0.2">
      <c r="A2085" s="432" t="str">
        <f>IF(B2085="","",COUNT('Diário 1º PA'!$A$4:$A$2635)+COUNT('Diário 2º PA'!$A$4:$A$3040)+ROW()-3)</f>
        <v/>
      </c>
      <c r="B2085" s="413"/>
      <c r="C2085" s="421"/>
      <c r="D2085" s="419"/>
      <c r="E2085" s="419"/>
      <c r="F2085" s="422"/>
      <c r="G2085" s="419"/>
      <c r="H2085" s="419"/>
      <c r="I2085" s="415"/>
      <c r="J2085" s="419"/>
      <c r="K2085" s="419"/>
      <c r="L2085" s="415"/>
      <c r="M2085" s="419"/>
      <c r="N2085" s="419"/>
      <c r="O2085" s="414"/>
      <c r="P2085" s="300">
        <f t="shared" si="122"/>
        <v>0</v>
      </c>
      <c r="Q2085" s="300">
        <f t="shared" si="121"/>
        <v>0</v>
      </c>
      <c r="R2085" s="93" t="str">
        <f t="shared" si="120"/>
        <v/>
      </c>
      <c r="S2085" s="721"/>
      <c r="T2085" s="721"/>
    </row>
    <row r="2086" spans="1:20" x14ac:dyDescent="0.2">
      <c r="A2086" s="432" t="str">
        <f>IF(B2086="","",COUNT('Diário 1º PA'!$A$4:$A$2635)+COUNT('Diário 2º PA'!$A$4:$A$3040)+ROW()-3)</f>
        <v/>
      </c>
      <c r="B2086" s="413"/>
      <c r="C2086" s="421"/>
      <c r="D2086" s="419"/>
      <c r="E2086" s="419"/>
      <c r="F2086" s="422"/>
      <c r="G2086" s="419"/>
      <c r="H2086" s="419"/>
      <c r="I2086" s="415"/>
      <c r="J2086" s="419"/>
      <c r="K2086" s="419"/>
      <c r="L2086" s="415"/>
      <c r="M2086" s="419"/>
      <c r="N2086" s="419"/>
      <c r="O2086" s="414"/>
      <c r="P2086" s="300">
        <f t="shared" si="122"/>
        <v>0</v>
      </c>
      <c r="Q2086" s="300">
        <f t="shared" si="121"/>
        <v>0</v>
      </c>
      <c r="R2086" s="93" t="str">
        <f t="shared" si="120"/>
        <v/>
      </c>
      <c r="S2086" s="721"/>
      <c r="T2086" s="721"/>
    </row>
    <row r="2087" spans="1:20" x14ac:dyDescent="0.2">
      <c r="A2087" s="432" t="str">
        <f>IF(B2087="","",COUNT('Diário 1º PA'!$A$4:$A$2635)+COUNT('Diário 2º PA'!$A$4:$A$3040)+ROW()-3)</f>
        <v/>
      </c>
      <c r="B2087" s="413"/>
      <c r="C2087" s="421"/>
      <c r="D2087" s="419"/>
      <c r="E2087" s="419"/>
      <c r="F2087" s="422"/>
      <c r="G2087" s="419"/>
      <c r="H2087" s="419"/>
      <c r="I2087" s="415"/>
      <c r="J2087" s="419"/>
      <c r="K2087" s="419"/>
      <c r="L2087" s="415"/>
      <c r="M2087" s="419"/>
      <c r="N2087" s="419"/>
      <c r="O2087" s="414"/>
      <c r="P2087" s="300">
        <f t="shared" si="122"/>
        <v>0</v>
      </c>
      <c r="Q2087" s="300">
        <f t="shared" si="121"/>
        <v>0</v>
      </c>
      <c r="R2087" s="93" t="str">
        <f t="shared" si="120"/>
        <v/>
      </c>
      <c r="S2087" s="721"/>
      <c r="T2087" s="721"/>
    </row>
    <row r="2088" spans="1:20" x14ac:dyDescent="0.2">
      <c r="A2088" s="432" t="str">
        <f>IF(B2088="","",COUNT('Diário 1º PA'!$A$4:$A$2635)+COUNT('Diário 2º PA'!$A$4:$A$3040)+ROW()-3)</f>
        <v/>
      </c>
      <c r="B2088" s="413"/>
      <c r="C2088" s="421"/>
      <c r="D2088" s="419"/>
      <c r="E2088" s="419"/>
      <c r="F2088" s="422"/>
      <c r="G2088" s="419"/>
      <c r="H2088" s="419"/>
      <c r="I2088" s="415"/>
      <c r="J2088" s="419"/>
      <c r="K2088" s="419"/>
      <c r="L2088" s="415"/>
      <c r="M2088" s="419"/>
      <c r="N2088" s="419"/>
      <c r="O2088" s="414"/>
      <c r="P2088" s="300">
        <f t="shared" si="122"/>
        <v>0</v>
      </c>
      <c r="Q2088" s="300">
        <f t="shared" si="121"/>
        <v>0</v>
      </c>
      <c r="R2088" s="93" t="str">
        <f t="shared" si="120"/>
        <v/>
      </c>
      <c r="S2088" s="721"/>
      <c r="T2088" s="721"/>
    </row>
    <row r="2089" spans="1:20" x14ac:dyDescent="0.2">
      <c r="A2089" s="432" t="str">
        <f>IF(B2089="","",COUNT('Diário 1º PA'!$A$4:$A$2635)+COUNT('Diário 2º PA'!$A$4:$A$3040)+ROW()-3)</f>
        <v/>
      </c>
      <c r="B2089" s="413"/>
      <c r="C2089" s="421"/>
      <c r="D2089" s="419"/>
      <c r="E2089" s="419"/>
      <c r="F2089" s="422"/>
      <c r="G2089" s="419"/>
      <c r="H2089" s="419"/>
      <c r="I2089" s="415"/>
      <c r="J2089" s="419"/>
      <c r="K2089" s="419"/>
      <c r="L2089" s="415"/>
      <c r="M2089" s="419"/>
      <c r="N2089" s="419"/>
      <c r="O2089" s="414"/>
      <c r="P2089" s="300">
        <f t="shared" si="122"/>
        <v>0</v>
      </c>
      <c r="Q2089" s="300">
        <f t="shared" si="121"/>
        <v>0</v>
      </c>
      <c r="R2089" s="93" t="str">
        <f t="shared" si="120"/>
        <v/>
      </c>
      <c r="S2089" s="721"/>
      <c r="T2089" s="721"/>
    </row>
    <row r="2090" spans="1:20" x14ac:dyDescent="0.2">
      <c r="A2090" s="432" t="str">
        <f>IF(B2090="","",COUNT('Diário 1º PA'!$A$4:$A$2635)+COUNT('Diário 2º PA'!$A$4:$A$3040)+ROW()-3)</f>
        <v/>
      </c>
      <c r="B2090" s="413"/>
      <c r="C2090" s="421"/>
      <c r="D2090" s="419"/>
      <c r="E2090" s="419"/>
      <c r="F2090" s="422"/>
      <c r="G2090" s="419"/>
      <c r="H2090" s="419"/>
      <c r="I2090" s="415"/>
      <c r="J2090" s="419"/>
      <c r="K2090" s="419"/>
      <c r="L2090" s="415"/>
      <c r="M2090" s="419"/>
      <c r="N2090" s="419"/>
      <c r="O2090" s="414"/>
      <c r="P2090" s="300">
        <f t="shared" si="122"/>
        <v>0</v>
      </c>
      <c r="Q2090" s="300">
        <f t="shared" si="121"/>
        <v>0</v>
      </c>
      <c r="R2090" s="93" t="str">
        <f t="shared" si="120"/>
        <v/>
      </c>
      <c r="S2090" s="721"/>
      <c r="T2090" s="721"/>
    </row>
    <row r="2091" spans="1:20" x14ac:dyDescent="0.2">
      <c r="A2091" s="432" t="str">
        <f>IF(B2091="","",COUNT('Diário 1º PA'!$A$4:$A$2635)+COUNT('Diário 2º PA'!$A$4:$A$3040)+ROW()-3)</f>
        <v/>
      </c>
      <c r="B2091" s="413"/>
      <c r="C2091" s="421"/>
      <c r="D2091" s="419"/>
      <c r="E2091" s="419"/>
      <c r="F2091" s="422"/>
      <c r="G2091" s="419"/>
      <c r="H2091" s="419"/>
      <c r="I2091" s="415"/>
      <c r="J2091" s="419"/>
      <c r="K2091" s="419"/>
      <c r="L2091" s="415"/>
      <c r="M2091" s="419"/>
      <c r="N2091" s="419"/>
      <c r="O2091" s="414"/>
      <c r="P2091" s="300">
        <f t="shared" si="122"/>
        <v>0</v>
      </c>
      <c r="Q2091" s="300">
        <f t="shared" si="121"/>
        <v>0</v>
      </c>
      <c r="R2091" s="93" t="str">
        <f t="shared" si="120"/>
        <v/>
      </c>
      <c r="S2091" s="721"/>
      <c r="T2091" s="721"/>
    </row>
    <row r="2092" spans="1:20" x14ac:dyDescent="0.2">
      <c r="A2092" s="432" t="str">
        <f>IF(B2092="","",COUNT('Diário 1º PA'!$A$4:$A$2635)+COUNT('Diário 2º PA'!$A$4:$A$3040)+ROW()-3)</f>
        <v/>
      </c>
      <c r="B2092" s="413"/>
      <c r="C2092" s="421"/>
      <c r="D2092" s="419"/>
      <c r="E2092" s="419"/>
      <c r="F2092" s="422"/>
      <c r="G2092" s="419"/>
      <c r="H2092" s="419"/>
      <c r="I2092" s="415"/>
      <c r="J2092" s="419"/>
      <c r="K2092" s="419"/>
      <c r="L2092" s="415"/>
      <c r="M2092" s="419"/>
      <c r="N2092" s="419"/>
      <c r="O2092" s="414"/>
      <c r="P2092" s="300">
        <f t="shared" si="122"/>
        <v>0</v>
      </c>
      <c r="Q2092" s="300">
        <f t="shared" si="121"/>
        <v>0</v>
      </c>
      <c r="R2092" s="93" t="str">
        <f t="shared" si="120"/>
        <v/>
      </c>
      <c r="S2092" s="721"/>
      <c r="T2092" s="721"/>
    </row>
    <row r="2093" spans="1:20" x14ac:dyDescent="0.2">
      <c r="A2093" s="432" t="str">
        <f>IF(B2093="","",COUNT('Diário 1º PA'!$A$4:$A$2635)+COUNT('Diário 2º PA'!$A$4:$A$3040)+ROW()-3)</f>
        <v/>
      </c>
      <c r="B2093" s="413"/>
      <c r="C2093" s="421"/>
      <c r="D2093" s="419"/>
      <c r="E2093" s="419"/>
      <c r="F2093" s="422"/>
      <c r="G2093" s="419"/>
      <c r="H2093" s="419"/>
      <c r="I2093" s="415"/>
      <c r="J2093" s="419"/>
      <c r="K2093" s="419"/>
      <c r="L2093" s="415"/>
      <c r="M2093" s="419"/>
      <c r="N2093" s="419"/>
      <c r="O2093" s="414"/>
      <c r="P2093" s="300">
        <f t="shared" si="122"/>
        <v>0</v>
      </c>
      <c r="Q2093" s="300">
        <f t="shared" si="121"/>
        <v>0</v>
      </c>
      <c r="R2093" s="93" t="str">
        <f t="shared" si="120"/>
        <v/>
      </c>
      <c r="S2093" s="721"/>
      <c r="T2093" s="721"/>
    </row>
    <row r="2094" spans="1:20" x14ac:dyDescent="0.2">
      <c r="A2094" s="432" t="str">
        <f>IF(B2094="","",COUNT('Diário 1º PA'!$A$4:$A$2635)+COUNT('Diário 2º PA'!$A$4:$A$3040)+ROW()-3)</f>
        <v/>
      </c>
      <c r="B2094" s="413"/>
      <c r="C2094" s="421"/>
      <c r="D2094" s="419"/>
      <c r="E2094" s="419"/>
      <c r="F2094" s="422"/>
      <c r="G2094" s="419"/>
      <c r="H2094" s="419"/>
      <c r="I2094" s="415"/>
      <c r="J2094" s="419"/>
      <c r="K2094" s="419"/>
      <c r="L2094" s="415"/>
      <c r="M2094" s="419"/>
      <c r="N2094" s="419"/>
      <c r="O2094" s="414"/>
      <c r="P2094" s="300">
        <f t="shared" si="122"/>
        <v>0</v>
      </c>
      <c r="Q2094" s="300">
        <f t="shared" si="121"/>
        <v>0</v>
      </c>
      <c r="R2094" s="93" t="str">
        <f t="shared" si="120"/>
        <v/>
      </c>
      <c r="S2094" s="721"/>
      <c r="T2094" s="721"/>
    </row>
    <row r="2095" spans="1:20" x14ac:dyDescent="0.2">
      <c r="A2095" s="432" t="str">
        <f>IF(B2095="","",COUNT('Diário 1º PA'!$A$4:$A$2635)+COUNT('Diário 2º PA'!$A$4:$A$3040)+ROW()-3)</f>
        <v/>
      </c>
      <c r="B2095" s="413"/>
      <c r="C2095" s="421"/>
      <c r="D2095" s="419"/>
      <c r="E2095" s="419"/>
      <c r="F2095" s="422"/>
      <c r="G2095" s="419"/>
      <c r="H2095" s="419"/>
      <c r="I2095" s="415"/>
      <c r="J2095" s="419"/>
      <c r="K2095" s="419"/>
      <c r="L2095" s="415"/>
      <c r="M2095" s="419"/>
      <c r="N2095" s="419"/>
      <c r="O2095" s="414"/>
      <c r="P2095" s="300">
        <f t="shared" si="122"/>
        <v>0</v>
      </c>
      <c r="Q2095" s="300">
        <f t="shared" si="121"/>
        <v>0</v>
      </c>
      <c r="R2095" s="93" t="str">
        <f t="shared" si="120"/>
        <v/>
      </c>
      <c r="S2095" s="721"/>
      <c r="T2095" s="721"/>
    </row>
    <row r="2096" spans="1:20" x14ac:dyDescent="0.2">
      <c r="A2096" s="432" t="str">
        <f>IF(B2096="","",COUNT('Diário 1º PA'!$A$4:$A$2635)+COUNT('Diário 2º PA'!$A$4:$A$3040)+ROW()-3)</f>
        <v/>
      </c>
      <c r="B2096" s="413"/>
      <c r="C2096" s="421"/>
      <c r="D2096" s="419"/>
      <c r="E2096" s="419"/>
      <c r="F2096" s="422"/>
      <c r="G2096" s="419"/>
      <c r="H2096" s="419"/>
      <c r="I2096" s="415"/>
      <c r="J2096" s="419"/>
      <c r="K2096" s="419"/>
      <c r="L2096" s="415"/>
      <c r="M2096" s="419"/>
      <c r="N2096" s="419"/>
      <c r="O2096" s="414"/>
      <c r="P2096" s="300">
        <f t="shared" si="122"/>
        <v>0</v>
      </c>
      <c r="Q2096" s="300">
        <f t="shared" si="121"/>
        <v>0</v>
      </c>
      <c r="R2096" s="93" t="str">
        <f t="shared" si="120"/>
        <v/>
      </c>
      <c r="S2096" s="721"/>
      <c r="T2096" s="721"/>
    </row>
    <row r="2097" spans="1:20" x14ac:dyDescent="0.2">
      <c r="A2097" s="432" t="str">
        <f>IF(B2097="","",COUNT('Diário 1º PA'!$A$4:$A$2635)+COUNT('Diário 2º PA'!$A$4:$A$3040)+ROW()-3)</f>
        <v/>
      </c>
      <c r="B2097" s="413"/>
      <c r="C2097" s="421"/>
      <c r="D2097" s="419"/>
      <c r="E2097" s="419"/>
      <c r="F2097" s="422"/>
      <c r="G2097" s="419"/>
      <c r="H2097" s="419"/>
      <c r="I2097" s="415"/>
      <c r="J2097" s="419"/>
      <c r="K2097" s="419"/>
      <c r="L2097" s="415"/>
      <c r="M2097" s="419"/>
      <c r="N2097" s="419"/>
      <c r="O2097" s="414"/>
      <c r="P2097" s="300">
        <f t="shared" si="122"/>
        <v>0</v>
      </c>
      <c r="Q2097" s="300">
        <f t="shared" si="121"/>
        <v>0</v>
      </c>
      <c r="R2097" s="93" t="str">
        <f t="shared" si="120"/>
        <v/>
      </c>
      <c r="S2097" s="721"/>
      <c r="T2097" s="721"/>
    </row>
    <row r="2098" spans="1:20" x14ac:dyDescent="0.2">
      <c r="A2098" s="432" t="str">
        <f>IF(B2098="","",COUNT('Diário 1º PA'!$A$4:$A$2635)+COUNT('Diário 2º PA'!$A$4:$A$3040)+ROW()-3)</f>
        <v/>
      </c>
      <c r="B2098" s="413"/>
      <c r="C2098" s="421"/>
      <c r="D2098" s="419"/>
      <c r="E2098" s="419"/>
      <c r="F2098" s="422"/>
      <c r="G2098" s="419"/>
      <c r="H2098" s="419"/>
      <c r="I2098" s="415"/>
      <c r="J2098" s="419"/>
      <c r="K2098" s="419"/>
      <c r="L2098" s="415"/>
      <c r="M2098" s="419"/>
      <c r="N2098" s="419"/>
      <c r="O2098" s="414"/>
      <c r="P2098" s="300">
        <f t="shared" si="122"/>
        <v>0</v>
      </c>
      <c r="Q2098" s="300">
        <f t="shared" si="121"/>
        <v>0</v>
      </c>
      <c r="R2098" s="93" t="str">
        <f t="shared" si="120"/>
        <v/>
      </c>
      <c r="S2098" s="721"/>
      <c r="T2098" s="721"/>
    </row>
    <row r="2099" spans="1:20" x14ac:dyDescent="0.2">
      <c r="A2099" s="432" t="str">
        <f>IF(B2099="","",COUNT('Diário 1º PA'!$A$4:$A$2635)+COUNT('Diário 2º PA'!$A$4:$A$3040)+ROW()-3)</f>
        <v/>
      </c>
      <c r="B2099" s="413"/>
      <c r="C2099" s="421"/>
      <c r="D2099" s="419"/>
      <c r="E2099" s="419"/>
      <c r="F2099" s="422"/>
      <c r="G2099" s="419"/>
      <c r="H2099" s="419"/>
      <c r="I2099" s="415"/>
      <c r="J2099" s="419"/>
      <c r="K2099" s="419"/>
      <c r="L2099" s="415"/>
      <c r="M2099" s="419"/>
      <c r="N2099" s="419"/>
      <c r="O2099" s="414"/>
      <c r="P2099" s="300">
        <f t="shared" si="122"/>
        <v>0</v>
      </c>
      <c r="Q2099" s="300">
        <f t="shared" si="121"/>
        <v>0</v>
      </c>
      <c r="R2099" s="93" t="str">
        <f t="shared" si="120"/>
        <v/>
      </c>
      <c r="S2099" s="721"/>
      <c r="T2099" s="721"/>
    </row>
    <row r="2100" spans="1:20" x14ac:dyDescent="0.2">
      <c r="A2100" s="432" t="str">
        <f>IF(B2100="","",COUNT('Diário 1º PA'!$A$4:$A$2635)+COUNT('Diário 2º PA'!$A$4:$A$3040)+ROW()-3)</f>
        <v/>
      </c>
      <c r="B2100" s="413"/>
      <c r="C2100" s="421"/>
      <c r="D2100" s="419"/>
      <c r="E2100" s="419"/>
      <c r="F2100" s="422"/>
      <c r="G2100" s="419"/>
      <c r="H2100" s="419"/>
      <c r="I2100" s="415"/>
      <c r="J2100" s="419"/>
      <c r="K2100" s="419"/>
      <c r="L2100" s="415"/>
      <c r="M2100" s="419"/>
      <c r="N2100" s="419"/>
      <c r="O2100" s="414"/>
      <c r="P2100" s="300">
        <f t="shared" si="122"/>
        <v>0</v>
      </c>
      <c r="Q2100" s="300">
        <f t="shared" si="121"/>
        <v>0</v>
      </c>
      <c r="R2100" s="93" t="str">
        <f t="shared" si="120"/>
        <v/>
      </c>
      <c r="S2100" s="721"/>
      <c r="T2100" s="721"/>
    </row>
    <row r="2101" spans="1:20" x14ac:dyDescent="0.2">
      <c r="A2101" s="432" t="str">
        <f>IF(B2101="","",COUNT('Diário 1º PA'!$A$4:$A$2635)+COUNT('Diário 2º PA'!$A$4:$A$3040)+ROW()-3)</f>
        <v/>
      </c>
      <c r="B2101" s="413"/>
      <c r="C2101" s="421"/>
      <c r="D2101" s="419"/>
      <c r="E2101" s="419"/>
      <c r="F2101" s="422"/>
      <c r="G2101" s="419"/>
      <c r="H2101" s="419"/>
      <c r="I2101" s="415"/>
      <c r="J2101" s="419"/>
      <c r="K2101" s="419"/>
      <c r="L2101" s="415"/>
      <c r="M2101" s="419"/>
      <c r="N2101" s="419"/>
      <c r="O2101" s="414"/>
      <c r="P2101" s="300">
        <f t="shared" si="122"/>
        <v>0</v>
      </c>
      <c r="Q2101" s="300">
        <f t="shared" si="121"/>
        <v>0</v>
      </c>
      <c r="R2101" s="93" t="str">
        <f t="shared" si="120"/>
        <v/>
      </c>
      <c r="S2101" s="721"/>
      <c r="T2101" s="721"/>
    </row>
    <row r="2102" spans="1:20" x14ac:dyDescent="0.2">
      <c r="A2102" s="432" t="str">
        <f>IF(B2102="","",COUNT('Diário 1º PA'!$A$4:$A$2635)+COUNT('Diário 2º PA'!$A$4:$A$3040)+ROW()-3)</f>
        <v/>
      </c>
      <c r="B2102" s="413"/>
      <c r="C2102" s="421"/>
      <c r="D2102" s="419"/>
      <c r="E2102" s="419"/>
      <c r="F2102" s="422"/>
      <c r="G2102" s="419"/>
      <c r="H2102" s="419"/>
      <c r="I2102" s="415"/>
      <c r="J2102" s="419"/>
      <c r="K2102" s="419"/>
      <c r="L2102" s="415"/>
      <c r="M2102" s="419"/>
      <c r="N2102" s="419"/>
      <c r="O2102" s="414"/>
      <c r="P2102" s="300">
        <f t="shared" si="122"/>
        <v>0</v>
      </c>
      <c r="Q2102" s="300">
        <f t="shared" si="121"/>
        <v>0</v>
      </c>
      <c r="R2102" s="93" t="str">
        <f t="shared" si="120"/>
        <v/>
      </c>
      <c r="S2102" s="721"/>
      <c r="T2102" s="721"/>
    </row>
    <row r="2103" spans="1:20" x14ac:dyDescent="0.2">
      <c r="A2103" s="432" t="str">
        <f>IF(B2103="","",COUNT('Diário 1º PA'!$A$4:$A$2635)+COUNT('Diário 2º PA'!$A$4:$A$3040)+ROW()-3)</f>
        <v/>
      </c>
      <c r="B2103" s="413"/>
      <c r="C2103" s="421"/>
      <c r="D2103" s="419"/>
      <c r="E2103" s="419"/>
      <c r="F2103" s="422"/>
      <c r="G2103" s="419"/>
      <c r="H2103" s="419"/>
      <c r="I2103" s="415"/>
      <c r="J2103" s="419"/>
      <c r="K2103" s="419"/>
      <c r="L2103" s="415"/>
      <c r="M2103" s="419"/>
      <c r="N2103" s="419"/>
      <c r="O2103" s="414"/>
      <c r="P2103" s="300">
        <f t="shared" si="122"/>
        <v>0</v>
      </c>
      <c r="Q2103" s="300">
        <f t="shared" si="121"/>
        <v>0</v>
      </c>
      <c r="R2103" s="93" t="str">
        <f t="shared" si="120"/>
        <v/>
      </c>
      <c r="S2103" s="721"/>
      <c r="T2103" s="721"/>
    </row>
    <row r="2104" spans="1:20" x14ac:dyDescent="0.2">
      <c r="A2104" s="432" t="str">
        <f>IF(B2104="","",COUNT('Diário 1º PA'!$A$4:$A$2635)+COUNT('Diário 2º PA'!$A$4:$A$3040)+ROW()-3)</f>
        <v/>
      </c>
      <c r="B2104" s="413"/>
      <c r="C2104" s="421"/>
      <c r="D2104" s="419"/>
      <c r="E2104" s="419"/>
      <c r="F2104" s="422"/>
      <c r="G2104" s="419"/>
      <c r="H2104" s="419"/>
      <c r="I2104" s="415"/>
      <c r="J2104" s="419"/>
      <c r="K2104" s="419"/>
      <c r="L2104" s="415"/>
      <c r="M2104" s="419"/>
      <c r="N2104" s="419"/>
      <c r="O2104" s="414"/>
      <c r="P2104" s="300">
        <f t="shared" si="122"/>
        <v>0</v>
      </c>
      <c r="Q2104" s="300">
        <f t="shared" si="121"/>
        <v>0</v>
      </c>
      <c r="R2104" s="93" t="str">
        <f t="shared" si="120"/>
        <v/>
      </c>
      <c r="S2104" s="721"/>
      <c r="T2104" s="721"/>
    </row>
    <row r="2105" spans="1:20" x14ac:dyDescent="0.2">
      <c r="A2105" s="432" t="str">
        <f>IF(B2105="","",COUNT('Diário 1º PA'!$A$4:$A$2635)+COUNT('Diário 2º PA'!$A$4:$A$3040)+ROW()-3)</f>
        <v/>
      </c>
      <c r="B2105" s="413"/>
      <c r="C2105" s="421"/>
      <c r="D2105" s="419"/>
      <c r="E2105" s="419"/>
      <c r="F2105" s="422"/>
      <c r="G2105" s="419"/>
      <c r="H2105" s="419"/>
      <c r="I2105" s="415"/>
      <c r="J2105" s="419"/>
      <c r="K2105" s="419"/>
      <c r="L2105" s="415"/>
      <c r="M2105" s="419"/>
      <c r="N2105" s="419"/>
      <c r="O2105" s="414"/>
      <c r="P2105" s="300">
        <f t="shared" si="122"/>
        <v>0</v>
      </c>
      <c r="Q2105" s="300">
        <f t="shared" si="121"/>
        <v>0</v>
      </c>
      <c r="R2105" s="93" t="str">
        <f t="shared" si="120"/>
        <v/>
      </c>
      <c r="S2105" s="721"/>
      <c r="T2105" s="721"/>
    </row>
    <row r="2106" spans="1:20" x14ac:dyDescent="0.2">
      <c r="A2106" s="432" t="str">
        <f>IF(B2106="","",COUNT('Diário 1º PA'!$A$4:$A$2635)+COUNT('Diário 2º PA'!$A$4:$A$3040)+ROW()-3)</f>
        <v/>
      </c>
      <c r="B2106" s="413"/>
      <c r="C2106" s="421"/>
      <c r="D2106" s="419"/>
      <c r="E2106" s="419"/>
      <c r="F2106" s="422"/>
      <c r="G2106" s="419"/>
      <c r="H2106" s="419"/>
      <c r="I2106" s="415"/>
      <c r="J2106" s="419"/>
      <c r="K2106" s="419"/>
      <c r="L2106" s="415"/>
      <c r="M2106" s="419"/>
      <c r="N2106" s="419"/>
      <c r="O2106" s="414"/>
      <c r="P2106" s="300">
        <f t="shared" si="122"/>
        <v>0</v>
      </c>
      <c r="Q2106" s="300">
        <f t="shared" si="121"/>
        <v>0</v>
      </c>
      <c r="R2106" s="93" t="str">
        <f t="shared" si="120"/>
        <v/>
      </c>
      <c r="S2106" s="721"/>
      <c r="T2106" s="721"/>
    </row>
    <row r="2107" spans="1:20" x14ac:dyDescent="0.2">
      <c r="A2107" s="432" t="str">
        <f>IF(B2107="","",COUNT('Diário 1º PA'!$A$4:$A$2635)+COUNT('Diário 2º PA'!$A$4:$A$3040)+ROW()-3)</f>
        <v/>
      </c>
      <c r="B2107" s="413"/>
      <c r="C2107" s="421"/>
      <c r="D2107" s="419"/>
      <c r="E2107" s="419"/>
      <c r="F2107" s="422"/>
      <c r="G2107" s="419"/>
      <c r="H2107" s="419"/>
      <c r="I2107" s="415"/>
      <c r="J2107" s="419"/>
      <c r="K2107" s="419"/>
      <c r="L2107" s="415"/>
      <c r="M2107" s="419"/>
      <c r="N2107" s="419"/>
      <c r="O2107" s="414"/>
      <c r="P2107" s="300">
        <f t="shared" si="122"/>
        <v>0</v>
      </c>
      <c r="Q2107" s="300">
        <f t="shared" si="121"/>
        <v>0</v>
      </c>
      <c r="R2107" s="93" t="str">
        <f t="shared" si="120"/>
        <v/>
      </c>
      <c r="S2107" s="721"/>
      <c r="T2107" s="721"/>
    </row>
    <row r="2108" spans="1:20" x14ac:dyDescent="0.2">
      <c r="A2108" s="432" t="str">
        <f>IF(B2108="","",COUNT('Diário 1º PA'!$A$4:$A$2635)+COUNT('Diário 2º PA'!$A$4:$A$3040)+ROW()-3)</f>
        <v/>
      </c>
      <c r="B2108" s="413"/>
      <c r="C2108" s="421"/>
      <c r="D2108" s="419"/>
      <c r="E2108" s="419"/>
      <c r="F2108" s="422"/>
      <c r="G2108" s="419"/>
      <c r="H2108" s="419"/>
      <c r="I2108" s="415"/>
      <c r="J2108" s="419"/>
      <c r="K2108" s="419"/>
      <c r="L2108" s="415"/>
      <c r="M2108" s="419"/>
      <c r="N2108" s="419"/>
      <c r="O2108" s="414"/>
      <c r="P2108" s="300">
        <f t="shared" si="122"/>
        <v>0</v>
      </c>
      <c r="Q2108" s="300">
        <f t="shared" si="121"/>
        <v>0</v>
      </c>
      <c r="R2108" s="93" t="str">
        <f t="shared" si="120"/>
        <v/>
      </c>
      <c r="S2108" s="721"/>
      <c r="T2108" s="721"/>
    </row>
    <row r="2109" spans="1:20" x14ac:dyDescent="0.2">
      <c r="A2109" s="432" t="str">
        <f>IF(B2109="","",COUNT('Diário 1º PA'!$A$4:$A$2635)+COUNT('Diário 2º PA'!$A$4:$A$3040)+ROW()-3)</f>
        <v/>
      </c>
      <c r="B2109" s="413"/>
      <c r="C2109" s="421"/>
      <c r="D2109" s="419"/>
      <c r="E2109" s="419"/>
      <c r="F2109" s="422"/>
      <c r="G2109" s="419"/>
      <c r="H2109" s="419"/>
      <c r="I2109" s="415"/>
      <c r="J2109" s="419"/>
      <c r="K2109" s="419"/>
      <c r="L2109" s="415"/>
      <c r="M2109" s="419"/>
      <c r="N2109" s="419"/>
      <c r="O2109" s="414"/>
      <c r="P2109" s="300">
        <f t="shared" si="122"/>
        <v>0</v>
      </c>
      <c r="Q2109" s="300">
        <f t="shared" si="121"/>
        <v>0</v>
      </c>
      <c r="R2109" s="93" t="str">
        <f t="shared" si="120"/>
        <v/>
      </c>
      <c r="S2109" s="721"/>
      <c r="T2109" s="721"/>
    </row>
    <row r="2110" spans="1:20" x14ac:dyDescent="0.2">
      <c r="A2110" s="432" t="str">
        <f>IF(B2110="","",COUNT('Diário 1º PA'!$A$4:$A$2635)+COUNT('Diário 2º PA'!$A$4:$A$3040)+ROW()-3)</f>
        <v/>
      </c>
      <c r="B2110" s="413"/>
      <c r="C2110" s="421"/>
      <c r="D2110" s="419"/>
      <c r="E2110" s="419"/>
      <c r="F2110" s="422"/>
      <c r="G2110" s="419"/>
      <c r="H2110" s="419"/>
      <c r="I2110" s="415"/>
      <c r="J2110" s="419"/>
      <c r="K2110" s="419"/>
      <c r="L2110" s="415"/>
      <c r="M2110" s="419"/>
      <c r="N2110" s="419"/>
      <c r="O2110" s="414"/>
      <c r="P2110" s="300">
        <f t="shared" si="122"/>
        <v>0</v>
      </c>
      <c r="Q2110" s="300">
        <f t="shared" si="121"/>
        <v>0</v>
      </c>
      <c r="R2110" s="93" t="str">
        <f t="shared" si="120"/>
        <v/>
      </c>
      <c r="S2110" s="721"/>
      <c r="T2110" s="721"/>
    </row>
    <row r="2111" spans="1:20" x14ac:dyDescent="0.2">
      <c r="A2111" s="432" t="str">
        <f>IF(B2111="","",COUNT('Diário 1º PA'!$A$4:$A$2635)+COUNT('Diário 2º PA'!$A$4:$A$3040)+ROW()-3)</f>
        <v/>
      </c>
      <c r="B2111" s="413"/>
      <c r="C2111" s="421"/>
      <c r="D2111" s="419"/>
      <c r="E2111" s="419"/>
      <c r="F2111" s="422"/>
      <c r="G2111" s="419"/>
      <c r="H2111" s="419"/>
      <c r="I2111" s="415"/>
      <c r="J2111" s="419"/>
      <c r="K2111" s="419"/>
      <c r="L2111" s="415"/>
      <c r="M2111" s="419"/>
      <c r="N2111" s="419"/>
      <c r="O2111" s="414"/>
      <c r="P2111" s="300">
        <f t="shared" si="122"/>
        <v>0</v>
      </c>
      <c r="Q2111" s="300">
        <f t="shared" si="121"/>
        <v>0</v>
      </c>
      <c r="R2111" s="93" t="str">
        <f t="shared" si="120"/>
        <v/>
      </c>
      <c r="S2111" s="721"/>
      <c r="T2111" s="721"/>
    </row>
    <row r="2112" spans="1:20" x14ac:dyDescent="0.2">
      <c r="A2112" s="432" t="str">
        <f>IF(B2112="","",COUNT('Diário 1º PA'!$A$4:$A$2635)+COUNT('Diário 2º PA'!$A$4:$A$3040)+ROW()-3)</f>
        <v/>
      </c>
      <c r="B2112" s="413"/>
      <c r="C2112" s="421"/>
      <c r="D2112" s="419"/>
      <c r="E2112" s="419"/>
      <c r="F2112" s="422"/>
      <c r="G2112" s="419"/>
      <c r="H2112" s="419"/>
      <c r="I2112" s="415"/>
      <c r="J2112" s="419"/>
      <c r="K2112" s="419"/>
      <c r="L2112" s="415"/>
      <c r="M2112" s="419"/>
      <c r="N2112" s="419"/>
      <c r="O2112" s="414"/>
      <c r="P2112" s="300">
        <f t="shared" si="122"/>
        <v>0</v>
      </c>
      <c r="Q2112" s="300">
        <f t="shared" si="121"/>
        <v>0</v>
      </c>
      <c r="R2112" s="93" t="str">
        <f t="shared" si="120"/>
        <v/>
      </c>
      <c r="S2112" s="721"/>
      <c r="T2112" s="721"/>
    </row>
    <row r="2113" spans="1:20" x14ac:dyDescent="0.2">
      <c r="A2113" s="432" t="str">
        <f>IF(B2113="","",COUNT('Diário 1º PA'!$A$4:$A$2635)+COUNT('Diário 2º PA'!$A$4:$A$3040)+ROW()-3)</f>
        <v/>
      </c>
      <c r="B2113" s="413"/>
      <c r="C2113" s="421"/>
      <c r="D2113" s="419"/>
      <c r="E2113" s="419"/>
      <c r="F2113" s="422"/>
      <c r="G2113" s="419"/>
      <c r="H2113" s="419"/>
      <c r="I2113" s="415"/>
      <c r="J2113" s="419"/>
      <c r="K2113" s="419"/>
      <c r="L2113" s="415"/>
      <c r="M2113" s="419"/>
      <c r="N2113" s="419"/>
      <c r="O2113" s="414"/>
      <c r="P2113" s="300">
        <f t="shared" si="122"/>
        <v>0</v>
      </c>
      <c r="Q2113" s="300">
        <f t="shared" si="121"/>
        <v>0</v>
      </c>
      <c r="R2113" s="93" t="str">
        <f t="shared" si="120"/>
        <v/>
      </c>
      <c r="S2113" s="721"/>
      <c r="T2113" s="721"/>
    </row>
    <row r="2114" spans="1:20" x14ac:dyDescent="0.2">
      <c r="A2114" s="432" t="str">
        <f>IF(B2114="","",COUNT('Diário 1º PA'!$A$4:$A$2635)+COUNT('Diário 2º PA'!$A$4:$A$3040)+ROW()-3)</f>
        <v/>
      </c>
      <c r="B2114" s="413"/>
      <c r="C2114" s="421"/>
      <c r="D2114" s="419"/>
      <c r="E2114" s="419"/>
      <c r="F2114" s="422"/>
      <c r="G2114" s="419"/>
      <c r="H2114" s="419"/>
      <c r="I2114" s="415"/>
      <c r="J2114" s="419"/>
      <c r="K2114" s="419"/>
      <c r="L2114" s="415"/>
      <c r="M2114" s="419"/>
      <c r="N2114" s="419"/>
      <c r="O2114" s="414"/>
      <c r="P2114" s="300">
        <f t="shared" si="122"/>
        <v>0</v>
      </c>
      <c r="Q2114" s="300">
        <f t="shared" si="121"/>
        <v>0</v>
      </c>
      <c r="R2114" s="93" t="str">
        <f t="shared" si="120"/>
        <v/>
      </c>
      <c r="S2114" s="721"/>
      <c r="T2114" s="721"/>
    </row>
    <row r="2115" spans="1:20" x14ac:dyDescent="0.2">
      <c r="A2115" s="432" t="str">
        <f>IF(B2115="","",COUNT('Diário 1º PA'!$A$4:$A$2635)+COUNT('Diário 2º PA'!$A$4:$A$3040)+ROW()-3)</f>
        <v/>
      </c>
      <c r="B2115" s="413"/>
      <c r="C2115" s="421"/>
      <c r="D2115" s="419"/>
      <c r="E2115" s="419"/>
      <c r="F2115" s="422"/>
      <c r="G2115" s="419"/>
      <c r="H2115" s="419"/>
      <c r="I2115" s="415"/>
      <c r="J2115" s="419"/>
      <c r="K2115" s="419"/>
      <c r="L2115" s="415"/>
      <c r="M2115" s="419"/>
      <c r="N2115" s="419"/>
      <c r="O2115" s="414"/>
      <c r="P2115" s="300">
        <f t="shared" si="122"/>
        <v>0</v>
      </c>
      <c r="Q2115" s="300">
        <f t="shared" si="121"/>
        <v>0</v>
      </c>
      <c r="R2115" s="93" t="str">
        <f t="shared" si="120"/>
        <v/>
      </c>
      <c r="S2115" s="721"/>
      <c r="T2115" s="721"/>
    </row>
    <row r="2116" spans="1:20" x14ac:dyDescent="0.2">
      <c r="A2116" s="432" t="str">
        <f>IF(B2116="","",COUNT('Diário 1º PA'!$A$4:$A$2635)+COUNT('Diário 2º PA'!$A$4:$A$3040)+ROW()-3)</f>
        <v/>
      </c>
      <c r="B2116" s="413"/>
      <c r="C2116" s="421"/>
      <c r="D2116" s="419"/>
      <c r="E2116" s="419"/>
      <c r="F2116" s="422"/>
      <c r="G2116" s="419"/>
      <c r="H2116" s="419"/>
      <c r="I2116" s="415"/>
      <c r="J2116" s="419"/>
      <c r="K2116" s="419"/>
      <c r="L2116" s="415"/>
      <c r="M2116" s="419"/>
      <c r="N2116" s="419"/>
      <c r="O2116" s="414"/>
      <c r="P2116" s="300">
        <f t="shared" si="122"/>
        <v>0</v>
      </c>
      <c r="Q2116" s="300">
        <f t="shared" si="121"/>
        <v>0</v>
      </c>
      <c r="R2116" s="93" t="str">
        <f t="shared" ref="R2116:R2179" si="123">SUBSTITUTE(D2116," ","_")</f>
        <v/>
      </c>
      <c r="S2116" s="721"/>
      <c r="T2116" s="721"/>
    </row>
    <row r="2117" spans="1:20" x14ac:dyDescent="0.2">
      <c r="A2117" s="432" t="str">
        <f>IF(B2117="","",COUNT('Diário 1º PA'!$A$4:$A$2635)+COUNT('Diário 2º PA'!$A$4:$A$3040)+ROW()-3)</f>
        <v/>
      </c>
      <c r="B2117" s="413"/>
      <c r="C2117" s="421"/>
      <c r="D2117" s="419"/>
      <c r="E2117" s="419"/>
      <c r="F2117" s="422"/>
      <c r="G2117" s="419"/>
      <c r="H2117" s="419"/>
      <c r="I2117" s="415"/>
      <c r="J2117" s="419"/>
      <c r="K2117" s="419"/>
      <c r="L2117" s="415"/>
      <c r="M2117" s="419"/>
      <c r="N2117" s="419"/>
      <c r="O2117" s="414"/>
      <c r="P2117" s="300">
        <f t="shared" si="122"/>
        <v>0</v>
      </c>
      <c r="Q2117" s="300">
        <f t="shared" si="121"/>
        <v>0</v>
      </c>
      <c r="R2117" s="93" t="str">
        <f t="shared" si="123"/>
        <v/>
      </c>
      <c r="S2117" s="721"/>
      <c r="T2117" s="721"/>
    </row>
    <row r="2118" spans="1:20" x14ac:dyDescent="0.2">
      <c r="A2118" s="432" t="str">
        <f>IF(B2118="","",COUNT('Diário 1º PA'!$A$4:$A$2635)+COUNT('Diário 2º PA'!$A$4:$A$3040)+ROW()-3)</f>
        <v/>
      </c>
      <c r="B2118" s="413"/>
      <c r="C2118" s="421"/>
      <c r="D2118" s="419"/>
      <c r="E2118" s="419"/>
      <c r="F2118" s="422"/>
      <c r="G2118" s="419"/>
      <c r="H2118" s="419"/>
      <c r="I2118" s="415"/>
      <c r="J2118" s="419"/>
      <c r="K2118" s="419"/>
      <c r="L2118" s="415"/>
      <c r="M2118" s="419"/>
      <c r="N2118" s="419"/>
      <c r="O2118" s="414"/>
      <c r="P2118" s="300">
        <f t="shared" si="122"/>
        <v>0</v>
      </c>
      <c r="Q2118" s="300">
        <f t="shared" si="121"/>
        <v>0</v>
      </c>
      <c r="R2118" s="93" t="str">
        <f t="shared" si="123"/>
        <v/>
      </c>
      <c r="S2118" s="721"/>
      <c r="T2118" s="721"/>
    </row>
    <row r="2119" spans="1:20" x14ac:dyDescent="0.2">
      <c r="A2119" s="432" t="str">
        <f>IF(B2119="","",COUNT('Diário 1º PA'!$A$4:$A$2635)+COUNT('Diário 2º PA'!$A$4:$A$3040)+ROW()-3)</f>
        <v/>
      </c>
      <c r="B2119" s="413"/>
      <c r="C2119" s="421"/>
      <c r="D2119" s="419"/>
      <c r="E2119" s="419"/>
      <c r="F2119" s="422"/>
      <c r="G2119" s="419"/>
      <c r="H2119" s="419"/>
      <c r="I2119" s="415"/>
      <c r="J2119" s="419"/>
      <c r="K2119" s="419"/>
      <c r="L2119" s="415"/>
      <c r="M2119" s="419"/>
      <c r="N2119" s="419"/>
      <c r="O2119" s="414"/>
      <c r="P2119" s="300">
        <f t="shared" si="122"/>
        <v>0</v>
      </c>
      <c r="Q2119" s="300">
        <f t="shared" si="121"/>
        <v>0</v>
      </c>
      <c r="R2119" s="93" t="str">
        <f t="shared" si="123"/>
        <v/>
      </c>
      <c r="S2119" s="721"/>
      <c r="T2119" s="721"/>
    </row>
    <row r="2120" spans="1:20" x14ac:dyDescent="0.2">
      <c r="A2120" s="432" t="str">
        <f>IF(B2120="","",COUNT('Diário 1º PA'!$A$4:$A$2635)+COUNT('Diário 2º PA'!$A$4:$A$3040)+ROW()-3)</f>
        <v/>
      </c>
      <c r="B2120" s="413"/>
      <c r="C2120" s="421"/>
      <c r="D2120" s="419"/>
      <c r="E2120" s="419"/>
      <c r="F2120" s="422"/>
      <c r="G2120" s="419"/>
      <c r="H2120" s="419"/>
      <c r="I2120" s="415"/>
      <c r="J2120" s="419"/>
      <c r="K2120" s="419"/>
      <c r="L2120" s="415"/>
      <c r="M2120" s="419"/>
      <c r="N2120" s="419"/>
      <c r="O2120" s="414"/>
      <c r="P2120" s="300">
        <f t="shared" si="122"/>
        <v>0</v>
      </c>
      <c r="Q2120" s="300">
        <f t="shared" si="121"/>
        <v>0</v>
      </c>
      <c r="R2120" s="93" t="str">
        <f t="shared" si="123"/>
        <v/>
      </c>
      <c r="S2120" s="721"/>
      <c r="T2120" s="721"/>
    </row>
    <row r="2121" spans="1:20" x14ac:dyDescent="0.2">
      <c r="A2121" s="432" t="str">
        <f>IF(B2121="","",COUNT('Diário 1º PA'!$A$4:$A$2635)+COUNT('Diário 2º PA'!$A$4:$A$3040)+ROW()-3)</f>
        <v/>
      </c>
      <c r="B2121" s="413"/>
      <c r="C2121" s="421"/>
      <c r="D2121" s="419"/>
      <c r="E2121" s="419"/>
      <c r="F2121" s="422"/>
      <c r="G2121" s="419"/>
      <c r="H2121" s="419"/>
      <c r="I2121" s="415"/>
      <c r="J2121" s="419"/>
      <c r="K2121" s="419"/>
      <c r="L2121" s="415"/>
      <c r="M2121" s="419"/>
      <c r="N2121" s="419"/>
      <c r="O2121" s="414"/>
      <c r="P2121" s="300">
        <f t="shared" si="122"/>
        <v>0</v>
      </c>
      <c r="Q2121" s="300">
        <f t="shared" si="121"/>
        <v>0</v>
      </c>
      <c r="R2121" s="93" t="str">
        <f t="shared" si="123"/>
        <v/>
      </c>
      <c r="S2121" s="721"/>
      <c r="T2121" s="721"/>
    </row>
    <row r="2122" spans="1:20" x14ac:dyDescent="0.2">
      <c r="A2122" s="432" t="str">
        <f>IF(B2122="","",COUNT('Diário 1º PA'!$A$4:$A$2635)+COUNT('Diário 2º PA'!$A$4:$A$3040)+ROW()-3)</f>
        <v/>
      </c>
      <c r="B2122" s="413"/>
      <c r="C2122" s="421"/>
      <c r="D2122" s="419"/>
      <c r="E2122" s="419"/>
      <c r="F2122" s="422"/>
      <c r="G2122" s="419"/>
      <c r="H2122" s="419"/>
      <c r="I2122" s="415"/>
      <c r="J2122" s="419"/>
      <c r="K2122" s="419"/>
      <c r="L2122" s="415"/>
      <c r="M2122" s="419"/>
      <c r="N2122" s="419"/>
      <c r="O2122" s="414"/>
      <c r="P2122" s="300">
        <f t="shared" si="122"/>
        <v>0</v>
      </c>
      <c r="Q2122" s="300">
        <f t="shared" si="121"/>
        <v>0</v>
      </c>
      <c r="R2122" s="93" t="str">
        <f t="shared" si="123"/>
        <v/>
      </c>
      <c r="S2122" s="721"/>
      <c r="T2122" s="721"/>
    </row>
    <row r="2123" spans="1:20" x14ac:dyDescent="0.2">
      <c r="A2123" s="432" t="str">
        <f>IF(B2123="","",COUNT('Diário 1º PA'!$A$4:$A$2635)+COUNT('Diário 2º PA'!$A$4:$A$3040)+ROW()-3)</f>
        <v/>
      </c>
      <c r="B2123" s="413"/>
      <c r="C2123" s="421"/>
      <c r="D2123" s="419"/>
      <c r="E2123" s="419"/>
      <c r="F2123" s="422"/>
      <c r="G2123" s="419"/>
      <c r="H2123" s="419"/>
      <c r="I2123" s="415"/>
      <c r="J2123" s="419"/>
      <c r="K2123" s="419"/>
      <c r="L2123" s="415"/>
      <c r="M2123" s="419"/>
      <c r="N2123" s="419"/>
      <c r="O2123" s="414"/>
      <c r="P2123" s="300">
        <f t="shared" si="122"/>
        <v>0</v>
      </c>
      <c r="Q2123" s="300">
        <f t="shared" si="121"/>
        <v>0</v>
      </c>
      <c r="R2123" s="93" t="str">
        <f t="shared" si="123"/>
        <v/>
      </c>
      <c r="S2123" s="721"/>
      <c r="T2123" s="721"/>
    </row>
    <row r="2124" spans="1:20" x14ac:dyDescent="0.2">
      <c r="A2124" s="432" t="str">
        <f>IF(B2124="","",COUNT('Diário 1º PA'!$A$4:$A$2635)+COUNT('Diário 2º PA'!$A$4:$A$3040)+ROW()-3)</f>
        <v/>
      </c>
      <c r="B2124" s="413"/>
      <c r="C2124" s="421"/>
      <c r="D2124" s="419"/>
      <c r="E2124" s="419"/>
      <c r="F2124" s="422"/>
      <c r="G2124" s="419"/>
      <c r="H2124" s="419"/>
      <c r="I2124" s="415"/>
      <c r="J2124" s="419"/>
      <c r="K2124" s="419"/>
      <c r="L2124" s="415"/>
      <c r="M2124" s="419"/>
      <c r="N2124" s="419"/>
      <c r="O2124" s="414"/>
      <c r="P2124" s="300">
        <f t="shared" si="122"/>
        <v>0</v>
      </c>
      <c r="Q2124" s="300">
        <f t="shared" si="121"/>
        <v>0</v>
      </c>
      <c r="R2124" s="93" t="str">
        <f t="shared" si="123"/>
        <v/>
      </c>
      <c r="S2124" s="721"/>
      <c r="T2124" s="721"/>
    </row>
    <row r="2125" spans="1:20" x14ac:dyDescent="0.2">
      <c r="A2125" s="432" t="str">
        <f>IF(B2125="","",COUNT('Diário 1º PA'!$A$4:$A$2635)+COUNT('Diário 2º PA'!$A$4:$A$3040)+ROW()-3)</f>
        <v/>
      </c>
      <c r="B2125" s="413"/>
      <c r="C2125" s="421"/>
      <c r="D2125" s="419"/>
      <c r="E2125" s="419"/>
      <c r="F2125" s="422"/>
      <c r="G2125" s="419"/>
      <c r="H2125" s="419"/>
      <c r="I2125" s="415"/>
      <c r="J2125" s="419"/>
      <c r="K2125" s="419"/>
      <c r="L2125" s="415"/>
      <c r="M2125" s="419"/>
      <c r="N2125" s="419"/>
      <c r="O2125" s="414"/>
      <c r="P2125" s="300">
        <f t="shared" si="122"/>
        <v>0</v>
      </c>
      <c r="Q2125" s="300">
        <f t="shared" si="121"/>
        <v>0</v>
      </c>
      <c r="R2125" s="93" t="str">
        <f t="shared" si="123"/>
        <v/>
      </c>
      <c r="S2125" s="721"/>
      <c r="T2125" s="721"/>
    </row>
    <row r="2126" spans="1:20" x14ac:dyDescent="0.2">
      <c r="A2126" s="432" t="str">
        <f>IF(B2126="","",COUNT('Diário 1º PA'!$A$4:$A$2635)+COUNT('Diário 2º PA'!$A$4:$A$3040)+ROW()-3)</f>
        <v/>
      </c>
      <c r="B2126" s="413"/>
      <c r="C2126" s="421"/>
      <c r="D2126" s="419"/>
      <c r="E2126" s="419"/>
      <c r="F2126" s="422"/>
      <c r="G2126" s="419"/>
      <c r="H2126" s="419"/>
      <c r="I2126" s="415"/>
      <c r="J2126" s="419"/>
      <c r="K2126" s="419"/>
      <c r="L2126" s="415"/>
      <c r="M2126" s="419"/>
      <c r="N2126" s="419"/>
      <c r="O2126" s="414"/>
      <c r="P2126" s="300">
        <f t="shared" si="122"/>
        <v>0</v>
      </c>
      <c r="Q2126" s="300">
        <f t="shared" si="121"/>
        <v>0</v>
      </c>
      <c r="R2126" s="93" t="str">
        <f t="shared" si="123"/>
        <v/>
      </c>
      <c r="S2126" s="721"/>
      <c r="T2126" s="721"/>
    </row>
    <row r="2127" spans="1:20" x14ac:dyDescent="0.2">
      <c r="A2127" s="432" t="str">
        <f>IF(B2127="","",COUNT('Diário 1º PA'!$A$4:$A$2635)+COUNT('Diário 2º PA'!$A$4:$A$3040)+ROW()-3)</f>
        <v/>
      </c>
      <c r="B2127" s="413"/>
      <c r="C2127" s="421"/>
      <c r="D2127" s="419"/>
      <c r="E2127" s="419"/>
      <c r="F2127" s="422"/>
      <c r="G2127" s="419"/>
      <c r="H2127" s="419"/>
      <c r="I2127" s="415"/>
      <c r="J2127" s="419"/>
      <c r="K2127" s="419"/>
      <c r="L2127" s="415"/>
      <c r="M2127" s="419"/>
      <c r="N2127" s="419"/>
      <c r="O2127" s="414"/>
      <c r="P2127" s="300">
        <f t="shared" si="122"/>
        <v>0</v>
      </c>
      <c r="Q2127" s="300">
        <f t="shared" ref="Q2127:Q2190" si="124">IF(C2127=0,0,IF(YEAR(C2127)=$Q$1,MONTH(C2127)-$P$1+1,(YEAR(C2127)-$Q$1)*12-$P$1+1+MONTH(C2127)))</f>
        <v>0</v>
      </c>
      <c r="R2127" s="93" t="str">
        <f t="shared" si="123"/>
        <v/>
      </c>
      <c r="S2127" s="721"/>
      <c r="T2127" s="721"/>
    </row>
    <row r="2128" spans="1:20" x14ac:dyDescent="0.2">
      <c r="A2128" s="432" t="str">
        <f>IF(B2128="","",COUNT('Diário 1º PA'!$A$4:$A$2635)+COUNT('Diário 2º PA'!$A$4:$A$3040)+ROW()-3)</f>
        <v/>
      </c>
      <c r="B2128" s="413"/>
      <c r="C2128" s="421"/>
      <c r="D2128" s="419"/>
      <c r="E2128" s="419"/>
      <c r="F2128" s="422"/>
      <c r="G2128" s="419"/>
      <c r="H2128" s="419"/>
      <c r="I2128" s="415"/>
      <c r="J2128" s="419"/>
      <c r="K2128" s="419"/>
      <c r="L2128" s="415"/>
      <c r="M2128" s="419"/>
      <c r="N2128" s="419"/>
      <c r="O2128" s="414"/>
      <c r="P2128" s="300">
        <f t="shared" si="122"/>
        <v>0</v>
      </c>
      <c r="Q2128" s="300">
        <f t="shared" si="124"/>
        <v>0</v>
      </c>
      <c r="R2128" s="93" t="str">
        <f t="shared" si="123"/>
        <v/>
      </c>
      <c r="S2128" s="721"/>
      <c r="T2128" s="721"/>
    </row>
    <row r="2129" spans="1:20" x14ac:dyDescent="0.2">
      <c r="A2129" s="432" t="str">
        <f>IF(B2129="","",COUNT('Diário 1º PA'!$A$4:$A$2635)+COUNT('Diário 2º PA'!$A$4:$A$3040)+ROW()-3)</f>
        <v/>
      </c>
      <c r="B2129" s="413"/>
      <c r="C2129" s="421"/>
      <c r="D2129" s="419"/>
      <c r="E2129" s="419"/>
      <c r="F2129" s="422"/>
      <c r="G2129" s="419"/>
      <c r="H2129" s="419"/>
      <c r="I2129" s="415"/>
      <c r="J2129" s="419"/>
      <c r="K2129" s="419"/>
      <c r="L2129" s="415"/>
      <c r="M2129" s="419"/>
      <c r="N2129" s="419"/>
      <c r="O2129" s="414"/>
      <c r="P2129" s="300">
        <f t="shared" ref="P2129:P2192" si="125">IF(B2129=0,0,IF(YEAR(B2129)=$Q$1,MONTH(B2129)-$P$1+1,(YEAR(B2129)-$Q$1)*12-$P$1+1+MONTH(B2129)))</f>
        <v>0</v>
      </c>
      <c r="Q2129" s="300">
        <f t="shared" si="124"/>
        <v>0</v>
      </c>
      <c r="R2129" s="93" t="str">
        <f t="shared" si="123"/>
        <v/>
      </c>
      <c r="S2129" s="721"/>
      <c r="T2129" s="721"/>
    </row>
    <row r="2130" spans="1:20" x14ac:dyDescent="0.2">
      <c r="A2130" s="432" t="str">
        <f>IF(B2130="","",COUNT('Diário 1º PA'!$A$4:$A$2635)+COUNT('Diário 2º PA'!$A$4:$A$3040)+ROW()-3)</f>
        <v/>
      </c>
      <c r="B2130" s="413"/>
      <c r="C2130" s="421"/>
      <c r="D2130" s="419"/>
      <c r="E2130" s="419"/>
      <c r="F2130" s="422"/>
      <c r="G2130" s="419"/>
      <c r="H2130" s="419"/>
      <c r="I2130" s="415"/>
      <c r="J2130" s="419"/>
      <c r="K2130" s="419"/>
      <c r="L2130" s="415"/>
      <c r="M2130" s="419"/>
      <c r="N2130" s="419"/>
      <c r="O2130" s="414"/>
      <c r="P2130" s="300">
        <f t="shared" si="125"/>
        <v>0</v>
      </c>
      <c r="Q2130" s="300">
        <f t="shared" si="124"/>
        <v>0</v>
      </c>
      <c r="R2130" s="93" t="str">
        <f t="shared" si="123"/>
        <v/>
      </c>
      <c r="S2130" s="721"/>
      <c r="T2130" s="721"/>
    </row>
    <row r="2131" spans="1:20" x14ac:dyDescent="0.2">
      <c r="A2131" s="432" t="str">
        <f>IF(B2131="","",COUNT('Diário 1º PA'!$A$4:$A$2635)+COUNT('Diário 2º PA'!$A$4:$A$3040)+ROW()-3)</f>
        <v/>
      </c>
      <c r="B2131" s="413"/>
      <c r="C2131" s="421"/>
      <c r="D2131" s="419"/>
      <c r="E2131" s="419"/>
      <c r="F2131" s="422"/>
      <c r="G2131" s="419"/>
      <c r="H2131" s="419"/>
      <c r="I2131" s="415"/>
      <c r="J2131" s="419"/>
      <c r="K2131" s="419"/>
      <c r="L2131" s="415"/>
      <c r="M2131" s="419"/>
      <c r="N2131" s="419"/>
      <c r="O2131" s="414"/>
      <c r="P2131" s="300">
        <f t="shared" si="125"/>
        <v>0</v>
      </c>
      <c r="Q2131" s="300">
        <f t="shared" si="124"/>
        <v>0</v>
      </c>
      <c r="R2131" s="93" t="str">
        <f t="shared" si="123"/>
        <v/>
      </c>
      <c r="S2131" s="721"/>
      <c r="T2131" s="721"/>
    </row>
    <row r="2132" spans="1:20" x14ac:dyDescent="0.2">
      <c r="A2132" s="432" t="str">
        <f>IF(B2132="","",COUNT('Diário 1º PA'!$A$4:$A$2635)+COUNT('Diário 2º PA'!$A$4:$A$3040)+ROW()-3)</f>
        <v/>
      </c>
      <c r="B2132" s="413"/>
      <c r="C2132" s="421"/>
      <c r="D2132" s="419"/>
      <c r="E2132" s="419"/>
      <c r="F2132" s="422"/>
      <c r="G2132" s="419"/>
      <c r="H2132" s="419"/>
      <c r="I2132" s="415"/>
      <c r="J2132" s="419"/>
      <c r="K2132" s="419"/>
      <c r="L2132" s="415"/>
      <c r="M2132" s="419"/>
      <c r="N2132" s="419"/>
      <c r="O2132" s="414"/>
      <c r="P2132" s="300">
        <f t="shared" si="125"/>
        <v>0</v>
      </c>
      <c r="Q2132" s="300">
        <f t="shared" si="124"/>
        <v>0</v>
      </c>
      <c r="R2132" s="93" t="str">
        <f t="shared" si="123"/>
        <v/>
      </c>
      <c r="S2132" s="721"/>
      <c r="T2132" s="721"/>
    </row>
    <row r="2133" spans="1:20" x14ac:dyDescent="0.2">
      <c r="A2133" s="432" t="str">
        <f>IF(B2133="","",COUNT('Diário 1º PA'!$A$4:$A$2635)+COUNT('Diário 2º PA'!$A$4:$A$3040)+ROW()-3)</f>
        <v/>
      </c>
      <c r="B2133" s="413"/>
      <c r="C2133" s="421"/>
      <c r="D2133" s="419"/>
      <c r="E2133" s="419"/>
      <c r="F2133" s="422"/>
      <c r="G2133" s="419"/>
      <c r="H2133" s="419"/>
      <c r="I2133" s="415"/>
      <c r="J2133" s="419"/>
      <c r="K2133" s="419"/>
      <c r="L2133" s="415"/>
      <c r="M2133" s="419"/>
      <c r="N2133" s="419"/>
      <c r="O2133" s="414"/>
      <c r="P2133" s="300">
        <f t="shared" si="125"/>
        <v>0</v>
      </c>
      <c r="Q2133" s="300">
        <f t="shared" si="124"/>
        <v>0</v>
      </c>
      <c r="R2133" s="93" t="str">
        <f t="shared" si="123"/>
        <v/>
      </c>
      <c r="S2133" s="721"/>
      <c r="T2133" s="721"/>
    </row>
    <row r="2134" spans="1:20" x14ac:dyDescent="0.2">
      <c r="A2134" s="432" t="str">
        <f>IF(B2134="","",COUNT('Diário 1º PA'!$A$4:$A$2635)+COUNT('Diário 2º PA'!$A$4:$A$3040)+ROW()-3)</f>
        <v/>
      </c>
      <c r="B2134" s="413"/>
      <c r="C2134" s="421"/>
      <c r="D2134" s="419"/>
      <c r="E2134" s="419"/>
      <c r="F2134" s="422"/>
      <c r="G2134" s="419"/>
      <c r="H2134" s="419"/>
      <c r="I2134" s="415"/>
      <c r="J2134" s="419"/>
      <c r="K2134" s="419"/>
      <c r="L2134" s="415"/>
      <c r="M2134" s="419"/>
      <c r="N2134" s="419"/>
      <c r="O2134" s="414"/>
      <c r="P2134" s="300">
        <f t="shared" si="125"/>
        <v>0</v>
      </c>
      <c r="Q2134" s="300">
        <f t="shared" si="124"/>
        <v>0</v>
      </c>
      <c r="R2134" s="93" t="str">
        <f t="shared" si="123"/>
        <v/>
      </c>
      <c r="S2134" s="721"/>
      <c r="T2134" s="721"/>
    </row>
    <row r="2135" spans="1:20" x14ac:dyDescent="0.2">
      <c r="A2135" s="432" t="str">
        <f>IF(B2135="","",COUNT('Diário 1º PA'!$A$4:$A$2635)+COUNT('Diário 2º PA'!$A$4:$A$3040)+ROW()-3)</f>
        <v/>
      </c>
      <c r="B2135" s="413"/>
      <c r="C2135" s="421"/>
      <c r="D2135" s="419"/>
      <c r="E2135" s="419"/>
      <c r="F2135" s="422"/>
      <c r="G2135" s="419"/>
      <c r="H2135" s="419"/>
      <c r="I2135" s="415"/>
      <c r="J2135" s="419"/>
      <c r="K2135" s="419"/>
      <c r="L2135" s="415"/>
      <c r="M2135" s="419"/>
      <c r="N2135" s="419"/>
      <c r="O2135" s="414"/>
      <c r="P2135" s="300">
        <f t="shared" si="125"/>
        <v>0</v>
      </c>
      <c r="Q2135" s="300">
        <f t="shared" si="124"/>
        <v>0</v>
      </c>
      <c r="R2135" s="93" t="str">
        <f t="shared" si="123"/>
        <v/>
      </c>
      <c r="S2135" s="721"/>
      <c r="T2135" s="721"/>
    </row>
    <row r="2136" spans="1:20" x14ac:dyDescent="0.2">
      <c r="A2136" s="432" t="str">
        <f>IF(B2136="","",COUNT('Diário 1º PA'!$A$4:$A$2635)+COUNT('Diário 2º PA'!$A$4:$A$3040)+ROW()-3)</f>
        <v/>
      </c>
      <c r="B2136" s="413"/>
      <c r="C2136" s="421"/>
      <c r="D2136" s="419"/>
      <c r="E2136" s="419"/>
      <c r="F2136" s="422"/>
      <c r="G2136" s="419"/>
      <c r="H2136" s="419"/>
      <c r="I2136" s="415"/>
      <c r="J2136" s="419"/>
      <c r="K2136" s="419"/>
      <c r="L2136" s="415"/>
      <c r="M2136" s="419"/>
      <c r="N2136" s="419"/>
      <c r="O2136" s="414"/>
      <c r="P2136" s="300">
        <f t="shared" si="125"/>
        <v>0</v>
      </c>
      <c r="Q2136" s="300">
        <f t="shared" si="124"/>
        <v>0</v>
      </c>
      <c r="R2136" s="93" t="str">
        <f t="shared" si="123"/>
        <v/>
      </c>
      <c r="S2136" s="721"/>
      <c r="T2136" s="721"/>
    </row>
    <row r="2137" spans="1:20" x14ac:dyDescent="0.2">
      <c r="A2137" s="432" t="str">
        <f>IF(B2137="","",COUNT('Diário 1º PA'!$A$4:$A$2635)+COUNT('Diário 2º PA'!$A$4:$A$3040)+ROW()-3)</f>
        <v/>
      </c>
      <c r="B2137" s="413"/>
      <c r="C2137" s="421"/>
      <c r="D2137" s="419"/>
      <c r="E2137" s="419"/>
      <c r="F2137" s="422"/>
      <c r="G2137" s="419"/>
      <c r="H2137" s="419"/>
      <c r="I2137" s="415"/>
      <c r="J2137" s="419"/>
      <c r="K2137" s="419"/>
      <c r="L2137" s="415"/>
      <c r="M2137" s="419"/>
      <c r="N2137" s="419"/>
      <c r="O2137" s="414"/>
      <c r="P2137" s="300">
        <f t="shared" si="125"/>
        <v>0</v>
      </c>
      <c r="Q2137" s="300">
        <f t="shared" si="124"/>
        <v>0</v>
      </c>
      <c r="R2137" s="93" t="str">
        <f t="shared" si="123"/>
        <v/>
      </c>
      <c r="S2137" s="721"/>
      <c r="T2137" s="721"/>
    </row>
    <row r="2138" spans="1:20" x14ac:dyDescent="0.2">
      <c r="A2138" s="432" t="str">
        <f>IF(B2138="","",COUNT('Diário 1º PA'!$A$4:$A$2635)+COUNT('Diário 2º PA'!$A$4:$A$3040)+ROW()-3)</f>
        <v/>
      </c>
      <c r="B2138" s="413"/>
      <c r="C2138" s="421"/>
      <c r="D2138" s="419"/>
      <c r="E2138" s="419"/>
      <c r="F2138" s="422"/>
      <c r="G2138" s="419"/>
      <c r="H2138" s="419"/>
      <c r="I2138" s="415"/>
      <c r="J2138" s="419"/>
      <c r="K2138" s="419"/>
      <c r="L2138" s="415"/>
      <c r="M2138" s="419"/>
      <c r="N2138" s="419"/>
      <c r="O2138" s="414"/>
      <c r="P2138" s="300">
        <f t="shared" si="125"/>
        <v>0</v>
      </c>
      <c r="Q2138" s="300">
        <f t="shared" si="124"/>
        <v>0</v>
      </c>
      <c r="R2138" s="93" t="str">
        <f t="shared" si="123"/>
        <v/>
      </c>
      <c r="S2138" s="721"/>
      <c r="T2138" s="721"/>
    </row>
    <row r="2139" spans="1:20" x14ac:dyDescent="0.2">
      <c r="A2139" s="432" t="str">
        <f>IF(B2139="","",COUNT('Diário 1º PA'!$A$4:$A$2635)+COUNT('Diário 2º PA'!$A$4:$A$3040)+ROW()-3)</f>
        <v/>
      </c>
      <c r="B2139" s="413"/>
      <c r="C2139" s="421"/>
      <c r="D2139" s="419"/>
      <c r="E2139" s="419"/>
      <c r="F2139" s="422"/>
      <c r="G2139" s="419"/>
      <c r="H2139" s="419"/>
      <c r="I2139" s="415"/>
      <c r="J2139" s="419"/>
      <c r="K2139" s="419"/>
      <c r="L2139" s="415"/>
      <c r="M2139" s="419"/>
      <c r="N2139" s="419"/>
      <c r="O2139" s="414"/>
      <c r="P2139" s="300">
        <f t="shared" si="125"/>
        <v>0</v>
      </c>
      <c r="Q2139" s="300">
        <f t="shared" si="124"/>
        <v>0</v>
      </c>
      <c r="R2139" s="93" t="str">
        <f t="shared" si="123"/>
        <v/>
      </c>
      <c r="S2139" s="721"/>
      <c r="T2139" s="721"/>
    </row>
    <row r="2140" spans="1:20" x14ac:dyDescent="0.2">
      <c r="A2140" s="432" t="str">
        <f>IF(B2140="","",COUNT('Diário 1º PA'!$A$4:$A$2635)+COUNT('Diário 2º PA'!$A$4:$A$3040)+ROW()-3)</f>
        <v/>
      </c>
      <c r="B2140" s="413"/>
      <c r="C2140" s="421"/>
      <c r="D2140" s="419"/>
      <c r="E2140" s="419"/>
      <c r="F2140" s="422"/>
      <c r="G2140" s="419"/>
      <c r="H2140" s="419"/>
      <c r="I2140" s="415"/>
      <c r="J2140" s="419"/>
      <c r="K2140" s="419"/>
      <c r="L2140" s="415"/>
      <c r="M2140" s="419"/>
      <c r="N2140" s="419"/>
      <c r="O2140" s="414"/>
      <c r="P2140" s="300">
        <f t="shared" si="125"/>
        <v>0</v>
      </c>
      <c r="Q2140" s="300">
        <f t="shared" si="124"/>
        <v>0</v>
      </c>
      <c r="R2140" s="93" t="str">
        <f t="shared" si="123"/>
        <v/>
      </c>
      <c r="S2140" s="721"/>
      <c r="T2140" s="721"/>
    </row>
    <row r="2141" spans="1:20" x14ac:dyDescent="0.2">
      <c r="A2141" s="432" t="str">
        <f>IF(B2141="","",COUNT('Diário 1º PA'!$A$4:$A$2635)+COUNT('Diário 2º PA'!$A$4:$A$3040)+ROW()-3)</f>
        <v/>
      </c>
      <c r="B2141" s="413"/>
      <c r="C2141" s="421"/>
      <c r="D2141" s="419"/>
      <c r="E2141" s="419"/>
      <c r="F2141" s="422"/>
      <c r="G2141" s="419"/>
      <c r="H2141" s="419"/>
      <c r="I2141" s="415"/>
      <c r="J2141" s="419"/>
      <c r="K2141" s="419"/>
      <c r="L2141" s="415"/>
      <c r="M2141" s="419"/>
      <c r="N2141" s="419"/>
      <c r="O2141" s="414"/>
      <c r="P2141" s="300">
        <f t="shared" si="125"/>
        <v>0</v>
      </c>
      <c r="Q2141" s="300">
        <f t="shared" si="124"/>
        <v>0</v>
      </c>
      <c r="R2141" s="93" t="str">
        <f t="shared" si="123"/>
        <v/>
      </c>
      <c r="S2141" s="721"/>
      <c r="T2141" s="721"/>
    </row>
    <row r="2142" spans="1:20" x14ac:dyDescent="0.2">
      <c r="A2142" s="432" t="str">
        <f>IF(B2142="","",COUNT('Diário 1º PA'!$A$4:$A$2635)+COUNT('Diário 2º PA'!$A$4:$A$3040)+ROW()-3)</f>
        <v/>
      </c>
      <c r="B2142" s="413"/>
      <c r="C2142" s="421"/>
      <c r="D2142" s="419"/>
      <c r="E2142" s="419"/>
      <c r="F2142" s="422"/>
      <c r="G2142" s="419"/>
      <c r="H2142" s="419"/>
      <c r="I2142" s="415"/>
      <c r="J2142" s="419"/>
      <c r="K2142" s="419"/>
      <c r="L2142" s="415"/>
      <c r="M2142" s="419"/>
      <c r="N2142" s="419"/>
      <c r="O2142" s="414"/>
      <c r="P2142" s="300">
        <f t="shared" si="125"/>
        <v>0</v>
      </c>
      <c r="Q2142" s="300">
        <f t="shared" si="124"/>
        <v>0</v>
      </c>
      <c r="R2142" s="93" t="str">
        <f t="shared" si="123"/>
        <v/>
      </c>
      <c r="S2142" s="721"/>
      <c r="T2142" s="721"/>
    </row>
    <row r="2143" spans="1:20" x14ac:dyDescent="0.2">
      <c r="A2143" s="432" t="str">
        <f>IF(B2143="","",COUNT('Diário 1º PA'!$A$4:$A$2635)+COUNT('Diário 2º PA'!$A$4:$A$3040)+ROW()-3)</f>
        <v/>
      </c>
      <c r="B2143" s="413"/>
      <c r="C2143" s="421"/>
      <c r="D2143" s="419"/>
      <c r="E2143" s="419"/>
      <c r="F2143" s="422"/>
      <c r="G2143" s="419"/>
      <c r="H2143" s="419"/>
      <c r="I2143" s="415"/>
      <c r="J2143" s="419"/>
      <c r="K2143" s="419"/>
      <c r="L2143" s="415"/>
      <c r="M2143" s="419"/>
      <c r="N2143" s="419"/>
      <c r="O2143" s="414"/>
      <c r="P2143" s="300">
        <f t="shared" si="125"/>
        <v>0</v>
      </c>
      <c r="Q2143" s="300">
        <f t="shared" si="124"/>
        <v>0</v>
      </c>
      <c r="R2143" s="93" t="str">
        <f t="shared" si="123"/>
        <v/>
      </c>
      <c r="S2143" s="721"/>
      <c r="T2143" s="721"/>
    </row>
    <row r="2144" spans="1:20" x14ac:dyDescent="0.2">
      <c r="A2144" s="432" t="str">
        <f>IF(B2144="","",COUNT('Diário 1º PA'!$A$4:$A$2635)+COUNT('Diário 2º PA'!$A$4:$A$3040)+ROW()-3)</f>
        <v/>
      </c>
      <c r="B2144" s="413"/>
      <c r="C2144" s="421"/>
      <c r="D2144" s="419"/>
      <c r="E2144" s="419"/>
      <c r="F2144" s="422"/>
      <c r="G2144" s="419"/>
      <c r="H2144" s="419"/>
      <c r="I2144" s="415"/>
      <c r="J2144" s="419"/>
      <c r="K2144" s="419"/>
      <c r="L2144" s="415"/>
      <c r="M2144" s="419"/>
      <c r="N2144" s="419"/>
      <c r="O2144" s="414"/>
      <c r="P2144" s="300">
        <f t="shared" si="125"/>
        <v>0</v>
      </c>
      <c r="Q2144" s="300">
        <f t="shared" si="124"/>
        <v>0</v>
      </c>
      <c r="R2144" s="93" t="str">
        <f t="shared" si="123"/>
        <v/>
      </c>
      <c r="S2144" s="721"/>
      <c r="T2144" s="721"/>
    </row>
    <row r="2145" spans="1:20" x14ac:dyDescent="0.2">
      <c r="A2145" s="432" t="str">
        <f>IF(B2145="","",COUNT('Diário 1º PA'!$A$4:$A$2635)+COUNT('Diário 2º PA'!$A$4:$A$3040)+ROW()-3)</f>
        <v/>
      </c>
      <c r="B2145" s="413"/>
      <c r="C2145" s="421"/>
      <c r="D2145" s="419"/>
      <c r="E2145" s="419"/>
      <c r="F2145" s="422"/>
      <c r="G2145" s="419"/>
      <c r="H2145" s="419"/>
      <c r="I2145" s="415"/>
      <c r="J2145" s="419"/>
      <c r="K2145" s="419"/>
      <c r="L2145" s="415"/>
      <c r="M2145" s="419"/>
      <c r="N2145" s="419"/>
      <c r="O2145" s="414"/>
      <c r="P2145" s="300">
        <f t="shared" si="125"/>
        <v>0</v>
      </c>
      <c r="Q2145" s="300">
        <f t="shared" si="124"/>
        <v>0</v>
      </c>
      <c r="R2145" s="93" t="str">
        <f t="shared" si="123"/>
        <v/>
      </c>
      <c r="S2145" s="721"/>
      <c r="T2145" s="721"/>
    </row>
    <row r="2146" spans="1:20" x14ac:dyDescent="0.2">
      <c r="A2146" s="432" t="str">
        <f>IF(B2146="","",COUNT('Diário 1º PA'!$A$4:$A$2635)+COUNT('Diário 2º PA'!$A$4:$A$3040)+ROW()-3)</f>
        <v/>
      </c>
      <c r="B2146" s="413"/>
      <c r="C2146" s="421"/>
      <c r="D2146" s="419"/>
      <c r="E2146" s="419"/>
      <c r="F2146" s="422"/>
      <c r="G2146" s="419"/>
      <c r="H2146" s="419"/>
      <c r="I2146" s="415"/>
      <c r="J2146" s="419"/>
      <c r="K2146" s="419"/>
      <c r="L2146" s="415"/>
      <c r="M2146" s="419"/>
      <c r="N2146" s="419"/>
      <c r="O2146" s="414"/>
      <c r="P2146" s="300">
        <f t="shared" si="125"/>
        <v>0</v>
      </c>
      <c r="Q2146" s="300">
        <f t="shared" si="124"/>
        <v>0</v>
      </c>
      <c r="R2146" s="93" t="str">
        <f t="shared" si="123"/>
        <v/>
      </c>
      <c r="S2146" s="721"/>
      <c r="T2146" s="721"/>
    </row>
    <row r="2147" spans="1:20" x14ac:dyDescent="0.2">
      <c r="A2147" s="432" t="str">
        <f>IF(B2147="","",COUNT('Diário 1º PA'!$A$4:$A$2635)+COUNT('Diário 2º PA'!$A$4:$A$3040)+ROW()-3)</f>
        <v/>
      </c>
      <c r="B2147" s="413"/>
      <c r="C2147" s="421"/>
      <c r="D2147" s="419"/>
      <c r="E2147" s="419"/>
      <c r="F2147" s="422"/>
      <c r="G2147" s="419"/>
      <c r="H2147" s="419"/>
      <c r="I2147" s="415"/>
      <c r="J2147" s="419"/>
      <c r="K2147" s="419"/>
      <c r="L2147" s="415"/>
      <c r="M2147" s="419"/>
      <c r="N2147" s="419"/>
      <c r="O2147" s="414"/>
      <c r="P2147" s="300">
        <f t="shared" si="125"/>
        <v>0</v>
      </c>
      <c r="Q2147" s="300">
        <f t="shared" si="124"/>
        <v>0</v>
      </c>
      <c r="R2147" s="93" t="str">
        <f t="shared" si="123"/>
        <v/>
      </c>
      <c r="S2147" s="721"/>
      <c r="T2147" s="721"/>
    </row>
    <row r="2148" spans="1:20" x14ac:dyDescent="0.2">
      <c r="A2148" s="432" t="str">
        <f>IF(B2148="","",COUNT('Diário 1º PA'!$A$4:$A$2635)+COUNT('Diário 2º PA'!$A$4:$A$3040)+ROW()-3)</f>
        <v/>
      </c>
      <c r="B2148" s="413"/>
      <c r="C2148" s="421"/>
      <c r="D2148" s="419"/>
      <c r="E2148" s="419"/>
      <c r="F2148" s="422"/>
      <c r="G2148" s="419"/>
      <c r="H2148" s="419"/>
      <c r="I2148" s="415"/>
      <c r="J2148" s="419"/>
      <c r="K2148" s="419"/>
      <c r="L2148" s="415"/>
      <c r="M2148" s="419"/>
      <c r="N2148" s="419"/>
      <c r="O2148" s="414"/>
      <c r="P2148" s="300">
        <f t="shared" si="125"/>
        <v>0</v>
      </c>
      <c r="Q2148" s="300">
        <f t="shared" si="124"/>
        <v>0</v>
      </c>
      <c r="R2148" s="93" t="str">
        <f t="shared" si="123"/>
        <v/>
      </c>
      <c r="S2148" s="721"/>
      <c r="T2148" s="721"/>
    </row>
    <row r="2149" spans="1:20" x14ac:dyDescent="0.2">
      <c r="A2149" s="432" t="str">
        <f>IF(B2149="","",COUNT('Diário 1º PA'!$A$4:$A$2635)+COUNT('Diário 2º PA'!$A$4:$A$3040)+ROW()-3)</f>
        <v/>
      </c>
      <c r="B2149" s="413"/>
      <c r="C2149" s="421"/>
      <c r="D2149" s="419"/>
      <c r="E2149" s="419"/>
      <c r="F2149" s="422"/>
      <c r="G2149" s="419"/>
      <c r="H2149" s="419"/>
      <c r="I2149" s="415"/>
      <c r="J2149" s="419"/>
      <c r="K2149" s="419"/>
      <c r="L2149" s="415"/>
      <c r="M2149" s="419"/>
      <c r="N2149" s="419"/>
      <c r="O2149" s="414"/>
      <c r="P2149" s="300">
        <f t="shared" si="125"/>
        <v>0</v>
      </c>
      <c r="Q2149" s="300">
        <f t="shared" si="124"/>
        <v>0</v>
      </c>
      <c r="R2149" s="93" t="str">
        <f t="shared" si="123"/>
        <v/>
      </c>
      <c r="S2149" s="721"/>
      <c r="T2149" s="721"/>
    </row>
    <row r="2150" spans="1:20" x14ac:dyDescent="0.2">
      <c r="A2150" s="432" t="str">
        <f>IF(B2150="","",COUNT('Diário 1º PA'!$A$4:$A$2635)+COUNT('Diário 2º PA'!$A$4:$A$3040)+ROW()-3)</f>
        <v/>
      </c>
      <c r="B2150" s="413"/>
      <c r="C2150" s="421"/>
      <c r="D2150" s="419"/>
      <c r="E2150" s="419"/>
      <c r="F2150" s="422"/>
      <c r="G2150" s="419"/>
      <c r="H2150" s="419"/>
      <c r="I2150" s="415"/>
      <c r="J2150" s="419"/>
      <c r="K2150" s="419"/>
      <c r="L2150" s="415"/>
      <c r="M2150" s="419"/>
      <c r="N2150" s="419"/>
      <c r="O2150" s="414"/>
      <c r="P2150" s="300">
        <f t="shared" si="125"/>
        <v>0</v>
      </c>
      <c r="Q2150" s="300">
        <f t="shared" si="124"/>
        <v>0</v>
      </c>
      <c r="R2150" s="93" t="str">
        <f t="shared" si="123"/>
        <v/>
      </c>
      <c r="S2150" s="721"/>
      <c r="T2150" s="721"/>
    </row>
    <row r="2151" spans="1:20" x14ac:dyDescent="0.2">
      <c r="A2151" s="432" t="str">
        <f>IF(B2151="","",COUNT('Diário 1º PA'!$A$4:$A$2635)+COUNT('Diário 2º PA'!$A$4:$A$3040)+ROW()-3)</f>
        <v/>
      </c>
      <c r="B2151" s="413"/>
      <c r="C2151" s="421"/>
      <c r="D2151" s="419"/>
      <c r="E2151" s="419"/>
      <c r="F2151" s="422"/>
      <c r="G2151" s="419"/>
      <c r="H2151" s="419"/>
      <c r="I2151" s="415"/>
      <c r="J2151" s="419"/>
      <c r="K2151" s="419"/>
      <c r="L2151" s="415"/>
      <c r="M2151" s="419"/>
      <c r="N2151" s="419"/>
      <c r="O2151" s="414"/>
      <c r="P2151" s="300">
        <f t="shared" si="125"/>
        <v>0</v>
      </c>
      <c r="Q2151" s="300">
        <f t="shared" si="124"/>
        <v>0</v>
      </c>
      <c r="R2151" s="93" t="str">
        <f t="shared" si="123"/>
        <v/>
      </c>
      <c r="S2151" s="721"/>
      <c r="T2151" s="721"/>
    </row>
    <row r="2152" spans="1:20" x14ac:dyDescent="0.2">
      <c r="A2152" s="432" t="str">
        <f>IF(B2152="","",COUNT('Diário 1º PA'!$A$4:$A$2635)+COUNT('Diário 2º PA'!$A$4:$A$3040)+ROW()-3)</f>
        <v/>
      </c>
      <c r="B2152" s="413"/>
      <c r="C2152" s="421"/>
      <c r="D2152" s="419"/>
      <c r="E2152" s="419"/>
      <c r="F2152" s="422"/>
      <c r="G2152" s="419"/>
      <c r="H2152" s="419"/>
      <c r="I2152" s="415"/>
      <c r="J2152" s="419"/>
      <c r="K2152" s="419"/>
      <c r="L2152" s="415"/>
      <c r="M2152" s="419"/>
      <c r="N2152" s="419"/>
      <c r="O2152" s="414"/>
      <c r="P2152" s="300">
        <f t="shared" si="125"/>
        <v>0</v>
      </c>
      <c r="Q2152" s="300">
        <f t="shared" si="124"/>
        <v>0</v>
      </c>
      <c r="R2152" s="93" t="str">
        <f t="shared" si="123"/>
        <v/>
      </c>
      <c r="S2152" s="721"/>
      <c r="T2152" s="721"/>
    </row>
    <row r="2153" spans="1:20" x14ac:dyDescent="0.2">
      <c r="A2153" s="432" t="str">
        <f>IF(B2153="","",COUNT('Diário 1º PA'!$A$4:$A$2635)+COUNT('Diário 2º PA'!$A$4:$A$3040)+ROW()-3)</f>
        <v/>
      </c>
      <c r="B2153" s="413"/>
      <c r="C2153" s="421"/>
      <c r="D2153" s="419"/>
      <c r="E2153" s="419"/>
      <c r="F2153" s="422"/>
      <c r="G2153" s="419"/>
      <c r="H2153" s="419"/>
      <c r="I2153" s="415"/>
      <c r="J2153" s="419"/>
      <c r="K2153" s="419"/>
      <c r="L2153" s="415"/>
      <c r="M2153" s="419"/>
      <c r="N2153" s="419"/>
      <c r="O2153" s="414"/>
      <c r="P2153" s="300">
        <f t="shared" si="125"/>
        <v>0</v>
      </c>
      <c r="Q2153" s="300">
        <f t="shared" si="124"/>
        <v>0</v>
      </c>
      <c r="R2153" s="93" t="str">
        <f t="shared" si="123"/>
        <v/>
      </c>
      <c r="S2153" s="721"/>
      <c r="T2153" s="721"/>
    </row>
    <row r="2154" spans="1:20" x14ac:dyDescent="0.2">
      <c r="A2154" s="432" t="str">
        <f>IF(B2154="","",COUNT('Diário 1º PA'!$A$4:$A$2635)+COUNT('Diário 2º PA'!$A$4:$A$3040)+ROW()-3)</f>
        <v/>
      </c>
      <c r="B2154" s="413"/>
      <c r="C2154" s="421"/>
      <c r="D2154" s="419"/>
      <c r="E2154" s="419"/>
      <c r="F2154" s="422"/>
      <c r="G2154" s="419"/>
      <c r="H2154" s="419"/>
      <c r="I2154" s="415"/>
      <c r="J2154" s="419"/>
      <c r="K2154" s="419"/>
      <c r="L2154" s="415"/>
      <c r="M2154" s="419"/>
      <c r="N2154" s="419"/>
      <c r="O2154" s="414"/>
      <c r="P2154" s="300">
        <f t="shared" si="125"/>
        <v>0</v>
      </c>
      <c r="Q2154" s="300">
        <f t="shared" si="124"/>
        <v>0</v>
      </c>
      <c r="R2154" s="93" t="str">
        <f t="shared" si="123"/>
        <v/>
      </c>
      <c r="S2154" s="721"/>
      <c r="T2154" s="721"/>
    </row>
    <row r="2155" spans="1:20" x14ac:dyDescent="0.2">
      <c r="A2155" s="432" t="str">
        <f>IF(B2155="","",COUNT('Diário 1º PA'!$A$4:$A$2635)+COUNT('Diário 2º PA'!$A$4:$A$3040)+ROW()-3)</f>
        <v/>
      </c>
      <c r="B2155" s="413"/>
      <c r="C2155" s="421"/>
      <c r="D2155" s="419"/>
      <c r="E2155" s="419"/>
      <c r="F2155" s="422"/>
      <c r="G2155" s="419"/>
      <c r="H2155" s="419"/>
      <c r="I2155" s="415"/>
      <c r="J2155" s="419"/>
      <c r="K2155" s="419"/>
      <c r="L2155" s="415"/>
      <c r="M2155" s="419"/>
      <c r="N2155" s="419"/>
      <c r="O2155" s="414"/>
      <c r="P2155" s="300">
        <f t="shared" si="125"/>
        <v>0</v>
      </c>
      <c r="Q2155" s="300">
        <f t="shared" si="124"/>
        <v>0</v>
      </c>
      <c r="R2155" s="93" t="str">
        <f t="shared" si="123"/>
        <v/>
      </c>
      <c r="S2155" s="721"/>
      <c r="T2155" s="721"/>
    </row>
    <row r="2156" spans="1:20" x14ac:dyDescent="0.2">
      <c r="A2156" s="432" t="str">
        <f>IF(B2156="","",COUNT('Diário 1º PA'!$A$4:$A$2635)+COUNT('Diário 2º PA'!$A$4:$A$3040)+ROW()-3)</f>
        <v/>
      </c>
      <c r="B2156" s="413"/>
      <c r="C2156" s="421"/>
      <c r="D2156" s="419"/>
      <c r="E2156" s="419"/>
      <c r="F2156" s="422"/>
      <c r="G2156" s="419"/>
      <c r="H2156" s="419"/>
      <c r="I2156" s="415"/>
      <c r="J2156" s="419"/>
      <c r="K2156" s="419"/>
      <c r="L2156" s="415"/>
      <c r="M2156" s="419"/>
      <c r="N2156" s="419"/>
      <c r="O2156" s="414"/>
      <c r="P2156" s="300">
        <f t="shared" si="125"/>
        <v>0</v>
      </c>
      <c r="Q2156" s="300">
        <f t="shared" si="124"/>
        <v>0</v>
      </c>
      <c r="R2156" s="93" t="str">
        <f t="shared" si="123"/>
        <v/>
      </c>
      <c r="S2156" s="721"/>
      <c r="T2156" s="721"/>
    </row>
    <row r="2157" spans="1:20" x14ac:dyDescent="0.2">
      <c r="A2157" s="432" t="str">
        <f>IF(B2157="","",COUNT('Diário 1º PA'!$A$4:$A$2635)+COUNT('Diário 2º PA'!$A$4:$A$3040)+ROW()-3)</f>
        <v/>
      </c>
      <c r="B2157" s="413"/>
      <c r="C2157" s="421"/>
      <c r="D2157" s="419"/>
      <c r="E2157" s="419"/>
      <c r="F2157" s="422"/>
      <c r="G2157" s="419"/>
      <c r="H2157" s="419"/>
      <c r="I2157" s="415"/>
      <c r="J2157" s="419"/>
      <c r="K2157" s="419"/>
      <c r="L2157" s="415"/>
      <c r="M2157" s="419"/>
      <c r="N2157" s="419"/>
      <c r="O2157" s="414"/>
      <c r="P2157" s="300">
        <f t="shared" si="125"/>
        <v>0</v>
      </c>
      <c r="Q2157" s="300">
        <f t="shared" si="124"/>
        <v>0</v>
      </c>
      <c r="R2157" s="93" t="str">
        <f t="shared" si="123"/>
        <v/>
      </c>
      <c r="S2157" s="721"/>
      <c r="T2157" s="721"/>
    </row>
    <row r="2158" spans="1:20" x14ac:dyDescent="0.2">
      <c r="A2158" s="432" t="str">
        <f>IF(B2158="","",COUNT('Diário 1º PA'!$A$4:$A$2635)+COUNT('Diário 2º PA'!$A$4:$A$3040)+ROW()-3)</f>
        <v/>
      </c>
      <c r="B2158" s="413"/>
      <c r="C2158" s="421"/>
      <c r="D2158" s="419"/>
      <c r="E2158" s="419"/>
      <c r="F2158" s="422"/>
      <c r="G2158" s="419"/>
      <c r="H2158" s="419"/>
      <c r="I2158" s="415"/>
      <c r="J2158" s="419"/>
      <c r="K2158" s="419"/>
      <c r="L2158" s="415"/>
      <c r="M2158" s="419"/>
      <c r="N2158" s="419"/>
      <c r="O2158" s="414"/>
      <c r="P2158" s="300">
        <f t="shared" si="125"/>
        <v>0</v>
      </c>
      <c r="Q2158" s="300">
        <f t="shared" si="124"/>
        <v>0</v>
      </c>
      <c r="R2158" s="93" t="str">
        <f t="shared" si="123"/>
        <v/>
      </c>
      <c r="S2158" s="721"/>
      <c r="T2158" s="721"/>
    </row>
    <row r="2159" spans="1:20" x14ac:dyDescent="0.2">
      <c r="A2159" s="432" t="str">
        <f>IF(B2159="","",COUNT('Diário 1º PA'!$A$4:$A$2635)+COUNT('Diário 2º PA'!$A$4:$A$3040)+ROW()-3)</f>
        <v/>
      </c>
      <c r="B2159" s="413"/>
      <c r="C2159" s="421"/>
      <c r="D2159" s="419"/>
      <c r="E2159" s="419"/>
      <c r="F2159" s="422"/>
      <c r="G2159" s="419"/>
      <c r="H2159" s="419"/>
      <c r="I2159" s="415"/>
      <c r="J2159" s="419"/>
      <c r="K2159" s="419"/>
      <c r="L2159" s="415"/>
      <c r="M2159" s="419"/>
      <c r="N2159" s="419"/>
      <c r="O2159" s="414"/>
      <c r="P2159" s="300">
        <f t="shared" si="125"/>
        <v>0</v>
      </c>
      <c r="Q2159" s="300">
        <f t="shared" si="124"/>
        <v>0</v>
      </c>
      <c r="R2159" s="93" t="str">
        <f t="shared" si="123"/>
        <v/>
      </c>
      <c r="S2159" s="721"/>
      <c r="T2159" s="721"/>
    </row>
    <row r="2160" spans="1:20" x14ac:dyDescent="0.2">
      <c r="A2160" s="432" t="str">
        <f>IF(B2160="","",COUNT('Diário 1º PA'!$A$4:$A$2635)+COUNT('Diário 2º PA'!$A$4:$A$3040)+ROW()-3)</f>
        <v/>
      </c>
      <c r="B2160" s="413"/>
      <c r="C2160" s="421"/>
      <c r="D2160" s="419"/>
      <c r="E2160" s="419"/>
      <c r="F2160" s="422"/>
      <c r="G2160" s="419"/>
      <c r="H2160" s="419"/>
      <c r="I2160" s="415"/>
      <c r="J2160" s="419"/>
      <c r="K2160" s="419"/>
      <c r="L2160" s="415"/>
      <c r="M2160" s="419"/>
      <c r="N2160" s="419"/>
      <c r="O2160" s="414"/>
      <c r="P2160" s="300">
        <f t="shared" si="125"/>
        <v>0</v>
      </c>
      <c r="Q2160" s="300">
        <f t="shared" si="124"/>
        <v>0</v>
      </c>
      <c r="R2160" s="93" t="str">
        <f t="shared" si="123"/>
        <v/>
      </c>
      <c r="S2160" s="721"/>
      <c r="T2160" s="721"/>
    </row>
    <row r="2161" spans="1:20" x14ac:dyDescent="0.2">
      <c r="A2161" s="432" t="str">
        <f>IF(B2161="","",COUNT('Diário 1º PA'!$A$4:$A$2635)+COUNT('Diário 2º PA'!$A$4:$A$3040)+ROW()-3)</f>
        <v/>
      </c>
      <c r="B2161" s="413"/>
      <c r="C2161" s="421"/>
      <c r="D2161" s="419"/>
      <c r="E2161" s="419"/>
      <c r="F2161" s="422"/>
      <c r="G2161" s="419"/>
      <c r="H2161" s="419"/>
      <c r="I2161" s="415"/>
      <c r="J2161" s="419"/>
      <c r="K2161" s="419"/>
      <c r="L2161" s="415"/>
      <c r="M2161" s="419"/>
      <c r="N2161" s="419"/>
      <c r="O2161" s="414"/>
      <c r="P2161" s="300">
        <f t="shared" si="125"/>
        <v>0</v>
      </c>
      <c r="Q2161" s="300">
        <f t="shared" si="124"/>
        <v>0</v>
      </c>
      <c r="R2161" s="93" t="str">
        <f t="shared" si="123"/>
        <v/>
      </c>
      <c r="S2161" s="721"/>
      <c r="T2161" s="721"/>
    </row>
    <row r="2162" spans="1:20" x14ac:dyDescent="0.2">
      <c r="A2162" s="432" t="str">
        <f>IF(B2162="","",COUNT('Diário 1º PA'!$A$4:$A$2635)+COUNT('Diário 2º PA'!$A$4:$A$3040)+ROW()-3)</f>
        <v/>
      </c>
      <c r="B2162" s="413"/>
      <c r="C2162" s="421"/>
      <c r="D2162" s="419"/>
      <c r="E2162" s="419"/>
      <c r="F2162" s="422"/>
      <c r="G2162" s="419"/>
      <c r="H2162" s="419"/>
      <c r="I2162" s="415"/>
      <c r="J2162" s="419"/>
      <c r="K2162" s="419"/>
      <c r="L2162" s="415"/>
      <c r="M2162" s="419"/>
      <c r="N2162" s="419"/>
      <c r="O2162" s="414"/>
      <c r="P2162" s="300">
        <f t="shared" si="125"/>
        <v>0</v>
      </c>
      <c r="Q2162" s="300">
        <f t="shared" si="124"/>
        <v>0</v>
      </c>
      <c r="R2162" s="93" t="str">
        <f t="shared" si="123"/>
        <v/>
      </c>
      <c r="S2162" s="721"/>
      <c r="T2162" s="721"/>
    </row>
    <row r="2163" spans="1:20" x14ac:dyDescent="0.2">
      <c r="A2163" s="432" t="str">
        <f>IF(B2163="","",COUNT('Diário 1º PA'!$A$4:$A$2635)+COUNT('Diário 2º PA'!$A$4:$A$3040)+ROW()-3)</f>
        <v/>
      </c>
      <c r="B2163" s="413"/>
      <c r="C2163" s="421"/>
      <c r="D2163" s="419"/>
      <c r="E2163" s="419"/>
      <c r="F2163" s="422"/>
      <c r="G2163" s="419"/>
      <c r="H2163" s="419"/>
      <c r="I2163" s="415"/>
      <c r="J2163" s="419"/>
      <c r="K2163" s="419"/>
      <c r="L2163" s="415"/>
      <c r="M2163" s="419"/>
      <c r="N2163" s="419"/>
      <c r="O2163" s="414"/>
      <c r="P2163" s="300">
        <f t="shared" si="125"/>
        <v>0</v>
      </c>
      <c r="Q2163" s="300">
        <f t="shared" si="124"/>
        <v>0</v>
      </c>
      <c r="R2163" s="93" t="str">
        <f t="shared" si="123"/>
        <v/>
      </c>
      <c r="S2163" s="721"/>
      <c r="T2163" s="721"/>
    </row>
    <row r="2164" spans="1:20" x14ac:dyDescent="0.2">
      <c r="A2164" s="432" t="str">
        <f>IF(B2164="","",COUNT('Diário 1º PA'!$A$4:$A$2635)+COUNT('Diário 2º PA'!$A$4:$A$3040)+ROW()-3)</f>
        <v/>
      </c>
      <c r="B2164" s="413"/>
      <c r="C2164" s="421"/>
      <c r="D2164" s="419"/>
      <c r="E2164" s="419"/>
      <c r="F2164" s="422"/>
      <c r="G2164" s="419"/>
      <c r="H2164" s="419"/>
      <c r="I2164" s="415"/>
      <c r="J2164" s="419"/>
      <c r="K2164" s="419"/>
      <c r="L2164" s="415"/>
      <c r="M2164" s="419"/>
      <c r="N2164" s="419"/>
      <c r="O2164" s="414"/>
      <c r="P2164" s="300">
        <f t="shared" si="125"/>
        <v>0</v>
      </c>
      <c r="Q2164" s="300">
        <f t="shared" si="124"/>
        <v>0</v>
      </c>
      <c r="R2164" s="93" t="str">
        <f t="shared" si="123"/>
        <v/>
      </c>
      <c r="S2164" s="721"/>
      <c r="T2164" s="721"/>
    </row>
    <row r="2165" spans="1:20" x14ac:dyDescent="0.2">
      <c r="A2165" s="432" t="str">
        <f>IF(B2165="","",COUNT('Diário 1º PA'!$A$4:$A$2635)+COUNT('Diário 2º PA'!$A$4:$A$3040)+ROW()-3)</f>
        <v/>
      </c>
      <c r="B2165" s="413"/>
      <c r="C2165" s="421"/>
      <c r="D2165" s="419"/>
      <c r="E2165" s="419"/>
      <c r="F2165" s="422"/>
      <c r="G2165" s="419"/>
      <c r="H2165" s="419"/>
      <c r="I2165" s="415"/>
      <c r="J2165" s="419"/>
      <c r="K2165" s="419"/>
      <c r="L2165" s="415"/>
      <c r="M2165" s="419"/>
      <c r="N2165" s="419"/>
      <c r="O2165" s="414"/>
      <c r="P2165" s="300">
        <f t="shared" si="125"/>
        <v>0</v>
      </c>
      <c r="Q2165" s="300">
        <f t="shared" si="124"/>
        <v>0</v>
      </c>
      <c r="R2165" s="93" t="str">
        <f t="shared" si="123"/>
        <v/>
      </c>
      <c r="S2165" s="721"/>
      <c r="T2165" s="721"/>
    </row>
    <row r="2166" spans="1:20" x14ac:dyDescent="0.2">
      <c r="A2166" s="432" t="str">
        <f>IF(B2166="","",COUNT('Diário 1º PA'!$A$4:$A$2635)+COUNT('Diário 2º PA'!$A$4:$A$3040)+ROW()-3)</f>
        <v/>
      </c>
      <c r="B2166" s="413"/>
      <c r="C2166" s="421"/>
      <c r="D2166" s="419"/>
      <c r="E2166" s="419"/>
      <c r="F2166" s="422"/>
      <c r="G2166" s="419"/>
      <c r="H2166" s="419"/>
      <c r="I2166" s="415"/>
      <c r="J2166" s="419"/>
      <c r="K2166" s="419"/>
      <c r="L2166" s="415"/>
      <c r="M2166" s="419"/>
      <c r="N2166" s="419"/>
      <c r="O2166" s="414"/>
      <c r="P2166" s="300">
        <f t="shared" si="125"/>
        <v>0</v>
      </c>
      <c r="Q2166" s="300">
        <f t="shared" si="124"/>
        <v>0</v>
      </c>
      <c r="R2166" s="93" t="str">
        <f t="shared" si="123"/>
        <v/>
      </c>
      <c r="S2166" s="721"/>
      <c r="T2166" s="721"/>
    </row>
    <row r="2167" spans="1:20" x14ac:dyDescent="0.2">
      <c r="A2167" s="432" t="str">
        <f>IF(B2167="","",COUNT('Diário 1º PA'!$A$4:$A$2635)+COUNT('Diário 2º PA'!$A$4:$A$3040)+ROW()-3)</f>
        <v/>
      </c>
      <c r="B2167" s="413"/>
      <c r="C2167" s="421"/>
      <c r="D2167" s="419"/>
      <c r="E2167" s="419"/>
      <c r="F2167" s="422"/>
      <c r="G2167" s="419"/>
      <c r="H2167" s="419"/>
      <c r="I2167" s="415"/>
      <c r="J2167" s="419"/>
      <c r="K2167" s="419"/>
      <c r="L2167" s="415"/>
      <c r="M2167" s="419"/>
      <c r="N2167" s="419"/>
      <c r="O2167" s="414"/>
      <c r="P2167" s="300">
        <f t="shared" si="125"/>
        <v>0</v>
      </c>
      <c r="Q2167" s="300">
        <f t="shared" si="124"/>
        <v>0</v>
      </c>
      <c r="R2167" s="93" t="str">
        <f t="shared" si="123"/>
        <v/>
      </c>
      <c r="S2167" s="721"/>
      <c r="T2167" s="721"/>
    </row>
    <row r="2168" spans="1:20" x14ac:dyDescent="0.2">
      <c r="A2168" s="432" t="str">
        <f>IF(B2168="","",COUNT('Diário 1º PA'!$A$4:$A$2635)+COUNT('Diário 2º PA'!$A$4:$A$3040)+ROW()-3)</f>
        <v/>
      </c>
      <c r="B2168" s="413"/>
      <c r="C2168" s="421"/>
      <c r="D2168" s="419"/>
      <c r="E2168" s="419"/>
      <c r="F2168" s="422"/>
      <c r="G2168" s="419"/>
      <c r="H2168" s="419"/>
      <c r="I2168" s="415"/>
      <c r="J2168" s="419"/>
      <c r="K2168" s="419"/>
      <c r="L2168" s="415"/>
      <c r="M2168" s="419"/>
      <c r="N2168" s="419"/>
      <c r="O2168" s="414"/>
      <c r="P2168" s="300">
        <f t="shared" si="125"/>
        <v>0</v>
      </c>
      <c r="Q2168" s="300">
        <f t="shared" si="124"/>
        <v>0</v>
      </c>
      <c r="R2168" s="93" t="str">
        <f t="shared" si="123"/>
        <v/>
      </c>
      <c r="S2168" s="721"/>
      <c r="T2168" s="721"/>
    </row>
    <row r="2169" spans="1:20" x14ac:dyDescent="0.2">
      <c r="A2169" s="432" t="str">
        <f>IF(B2169="","",COUNT('Diário 1º PA'!$A$4:$A$2635)+COUNT('Diário 2º PA'!$A$4:$A$3040)+ROW()-3)</f>
        <v/>
      </c>
      <c r="B2169" s="413"/>
      <c r="C2169" s="421"/>
      <c r="D2169" s="419"/>
      <c r="E2169" s="419"/>
      <c r="F2169" s="422"/>
      <c r="G2169" s="419"/>
      <c r="H2169" s="419"/>
      <c r="I2169" s="415"/>
      <c r="J2169" s="419"/>
      <c r="K2169" s="419"/>
      <c r="L2169" s="415"/>
      <c r="M2169" s="419"/>
      <c r="N2169" s="419"/>
      <c r="O2169" s="414"/>
      <c r="P2169" s="300">
        <f t="shared" si="125"/>
        <v>0</v>
      </c>
      <c r="Q2169" s="300">
        <f t="shared" si="124"/>
        <v>0</v>
      </c>
      <c r="R2169" s="93" t="str">
        <f t="shared" si="123"/>
        <v/>
      </c>
      <c r="S2169" s="721"/>
      <c r="T2169" s="721"/>
    </row>
    <row r="2170" spans="1:20" x14ac:dyDescent="0.2">
      <c r="A2170" s="432" t="str">
        <f>IF(B2170="","",COUNT('Diário 1º PA'!$A$4:$A$2635)+COUNT('Diário 2º PA'!$A$4:$A$3040)+ROW()-3)</f>
        <v/>
      </c>
      <c r="B2170" s="413"/>
      <c r="C2170" s="421"/>
      <c r="D2170" s="419"/>
      <c r="E2170" s="419"/>
      <c r="F2170" s="422"/>
      <c r="G2170" s="419"/>
      <c r="H2170" s="419"/>
      <c r="I2170" s="415"/>
      <c r="J2170" s="419"/>
      <c r="K2170" s="419"/>
      <c r="L2170" s="415"/>
      <c r="M2170" s="419"/>
      <c r="N2170" s="419"/>
      <c r="O2170" s="414"/>
      <c r="P2170" s="300">
        <f t="shared" si="125"/>
        <v>0</v>
      </c>
      <c r="Q2170" s="300">
        <f t="shared" si="124"/>
        <v>0</v>
      </c>
      <c r="R2170" s="93" t="str">
        <f t="shared" si="123"/>
        <v/>
      </c>
      <c r="S2170" s="721"/>
      <c r="T2170" s="721"/>
    </row>
    <row r="2171" spans="1:20" x14ac:dyDescent="0.2">
      <c r="A2171" s="432" t="str">
        <f>IF(B2171="","",COUNT('Diário 1º PA'!$A$4:$A$2635)+COUNT('Diário 2º PA'!$A$4:$A$3040)+ROW()-3)</f>
        <v/>
      </c>
      <c r="B2171" s="413"/>
      <c r="C2171" s="421"/>
      <c r="D2171" s="419"/>
      <c r="E2171" s="419"/>
      <c r="F2171" s="422"/>
      <c r="G2171" s="419"/>
      <c r="H2171" s="419"/>
      <c r="I2171" s="415"/>
      <c r="J2171" s="419"/>
      <c r="K2171" s="419"/>
      <c r="L2171" s="415"/>
      <c r="M2171" s="419"/>
      <c r="N2171" s="419"/>
      <c r="O2171" s="414"/>
      <c r="P2171" s="300">
        <f t="shared" si="125"/>
        <v>0</v>
      </c>
      <c r="Q2171" s="300">
        <f t="shared" si="124"/>
        <v>0</v>
      </c>
      <c r="R2171" s="93" t="str">
        <f t="shared" si="123"/>
        <v/>
      </c>
      <c r="S2171" s="721"/>
      <c r="T2171" s="721"/>
    </row>
    <row r="2172" spans="1:20" x14ac:dyDescent="0.2">
      <c r="A2172" s="432" t="str">
        <f>IF(B2172="","",COUNT('Diário 1º PA'!$A$4:$A$2635)+COUNT('Diário 2º PA'!$A$4:$A$3040)+ROW()-3)</f>
        <v/>
      </c>
      <c r="B2172" s="413"/>
      <c r="C2172" s="421"/>
      <c r="D2172" s="419"/>
      <c r="E2172" s="419"/>
      <c r="F2172" s="422"/>
      <c r="G2172" s="419"/>
      <c r="H2172" s="419"/>
      <c r="I2172" s="415"/>
      <c r="J2172" s="419"/>
      <c r="K2172" s="419"/>
      <c r="L2172" s="415"/>
      <c r="M2172" s="419"/>
      <c r="N2172" s="419"/>
      <c r="O2172" s="414"/>
      <c r="P2172" s="300">
        <f t="shared" si="125"/>
        <v>0</v>
      </c>
      <c r="Q2172" s="300">
        <f t="shared" si="124"/>
        <v>0</v>
      </c>
      <c r="R2172" s="93" t="str">
        <f t="shared" si="123"/>
        <v/>
      </c>
      <c r="S2172" s="721"/>
      <c r="T2172" s="721"/>
    </row>
    <row r="2173" spans="1:20" x14ac:dyDescent="0.2">
      <c r="A2173" s="432" t="str">
        <f>IF(B2173="","",COUNT('Diário 1º PA'!$A$4:$A$2635)+COUNT('Diário 2º PA'!$A$4:$A$3040)+ROW()-3)</f>
        <v/>
      </c>
      <c r="B2173" s="413"/>
      <c r="C2173" s="421"/>
      <c r="D2173" s="419"/>
      <c r="E2173" s="419"/>
      <c r="F2173" s="422"/>
      <c r="G2173" s="419"/>
      <c r="H2173" s="419"/>
      <c r="I2173" s="415"/>
      <c r="J2173" s="419"/>
      <c r="K2173" s="419"/>
      <c r="L2173" s="415"/>
      <c r="M2173" s="419"/>
      <c r="N2173" s="419"/>
      <c r="O2173" s="414"/>
      <c r="P2173" s="300">
        <f t="shared" si="125"/>
        <v>0</v>
      </c>
      <c r="Q2173" s="300">
        <f t="shared" si="124"/>
        <v>0</v>
      </c>
      <c r="R2173" s="93" t="str">
        <f t="shared" si="123"/>
        <v/>
      </c>
      <c r="S2173" s="721"/>
      <c r="T2173" s="721"/>
    </row>
    <row r="2174" spans="1:20" x14ac:dyDescent="0.2">
      <c r="A2174" s="432" t="str">
        <f>IF(B2174="","",COUNT('Diário 1º PA'!$A$4:$A$2635)+COUNT('Diário 2º PA'!$A$4:$A$3040)+ROW()-3)</f>
        <v/>
      </c>
      <c r="B2174" s="413"/>
      <c r="C2174" s="421"/>
      <c r="D2174" s="419"/>
      <c r="E2174" s="419"/>
      <c r="F2174" s="422"/>
      <c r="G2174" s="419"/>
      <c r="H2174" s="419"/>
      <c r="I2174" s="415"/>
      <c r="J2174" s="419"/>
      <c r="K2174" s="419"/>
      <c r="L2174" s="415"/>
      <c r="M2174" s="419"/>
      <c r="N2174" s="419"/>
      <c r="O2174" s="414"/>
      <c r="P2174" s="300">
        <f t="shared" si="125"/>
        <v>0</v>
      </c>
      <c r="Q2174" s="300">
        <f t="shared" si="124"/>
        <v>0</v>
      </c>
      <c r="R2174" s="93" t="str">
        <f t="shared" si="123"/>
        <v/>
      </c>
      <c r="S2174" s="721"/>
      <c r="T2174" s="721"/>
    </row>
    <row r="2175" spans="1:20" x14ac:dyDescent="0.2">
      <c r="A2175" s="723" t="str">
        <f>IF(B2175="","",COUNT('Diário 1º PA'!$A$4:$A$2635)+COUNT('Diário 2º PA'!$A$4:$A$3040)+ROW()-3)</f>
        <v/>
      </c>
      <c r="B2175" s="618"/>
      <c r="C2175" s="719"/>
      <c r="D2175" s="620"/>
      <c r="E2175" s="620"/>
      <c r="F2175" s="621"/>
      <c r="G2175" s="620"/>
      <c r="H2175" s="620"/>
      <c r="I2175" s="462"/>
      <c r="J2175" s="620"/>
      <c r="K2175" s="620"/>
      <c r="L2175" s="462"/>
      <c r="M2175" s="620"/>
      <c r="N2175" s="622"/>
      <c r="O2175" s="581"/>
      <c r="P2175" s="71">
        <f t="shared" si="125"/>
        <v>0</v>
      </c>
      <c r="Q2175" s="71">
        <f t="shared" si="124"/>
        <v>0</v>
      </c>
      <c r="R2175" s="134" t="str">
        <f t="shared" si="123"/>
        <v/>
      </c>
    </row>
    <row r="2176" spans="1:20" x14ac:dyDescent="0.2">
      <c r="A2176" s="432" t="str">
        <f>IF(B2176="","",COUNT('Diário 1º PA'!$A$4:$A$2635)+COUNT('Diário 2º PA'!$A$4:$A$3040)+ROW()-3)</f>
        <v/>
      </c>
      <c r="B2176" s="600"/>
      <c r="C2176" s="354"/>
      <c r="D2176" s="343"/>
      <c r="E2176" s="343"/>
      <c r="F2176" s="344"/>
      <c r="G2176" s="343"/>
      <c r="H2176" s="343"/>
      <c r="I2176" s="345"/>
      <c r="J2176" s="343"/>
      <c r="K2176" s="343"/>
      <c r="L2176" s="345"/>
      <c r="M2176" s="343"/>
      <c r="N2176" s="598"/>
      <c r="O2176" s="585"/>
      <c r="P2176" s="71">
        <f t="shared" si="125"/>
        <v>0</v>
      </c>
      <c r="Q2176" s="71">
        <f t="shared" si="124"/>
        <v>0</v>
      </c>
      <c r="R2176" s="93" t="str">
        <f t="shared" si="123"/>
        <v/>
      </c>
    </row>
    <row r="2177" spans="1:18" x14ac:dyDescent="0.2">
      <c r="A2177" s="432" t="str">
        <f>IF(B2177="","",COUNT('Diário 1º PA'!$A$4:$A$2635)+COUNT('Diário 2º PA'!$A$4:$A$3040)+ROW()-3)</f>
        <v/>
      </c>
      <c r="B2177" s="600"/>
      <c r="C2177" s="354"/>
      <c r="D2177" s="343"/>
      <c r="E2177" s="343"/>
      <c r="F2177" s="344"/>
      <c r="G2177" s="343"/>
      <c r="H2177" s="343"/>
      <c r="I2177" s="345"/>
      <c r="J2177" s="343"/>
      <c r="K2177" s="343"/>
      <c r="L2177" s="345"/>
      <c r="M2177" s="343"/>
      <c r="N2177" s="598"/>
      <c r="O2177" s="585"/>
      <c r="P2177" s="71">
        <f t="shared" si="125"/>
        <v>0</v>
      </c>
      <c r="Q2177" s="71">
        <f t="shared" si="124"/>
        <v>0</v>
      </c>
      <c r="R2177" s="93" t="str">
        <f t="shared" si="123"/>
        <v/>
      </c>
    </row>
    <row r="2178" spans="1:18" x14ac:dyDescent="0.2">
      <c r="A2178" s="432" t="str">
        <f>IF(B2178="","",COUNT('Diário 1º PA'!$A$4:$A$2635)+COUNT('Diário 2º PA'!$A$4:$A$3040)+ROW()-3)</f>
        <v/>
      </c>
      <c r="B2178" s="600"/>
      <c r="C2178" s="354"/>
      <c r="D2178" s="343"/>
      <c r="E2178" s="343"/>
      <c r="F2178" s="344"/>
      <c r="G2178" s="343"/>
      <c r="H2178" s="343"/>
      <c r="I2178" s="345"/>
      <c r="J2178" s="343"/>
      <c r="K2178" s="343"/>
      <c r="L2178" s="345"/>
      <c r="M2178" s="343"/>
      <c r="N2178" s="598"/>
      <c r="O2178" s="585"/>
      <c r="P2178" s="71">
        <f t="shared" si="125"/>
        <v>0</v>
      </c>
      <c r="Q2178" s="71">
        <f t="shared" si="124"/>
        <v>0</v>
      </c>
      <c r="R2178" s="93" t="str">
        <f t="shared" si="123"/>
        <v/>
      </c>
    </row>
    <row r="2179" spans="1:18" x14ac:dyDescent="0.2">
      <c r="A2179" s="432" t="str">
        <f>IF(B2179="","",COUNT('Diário 1º PA'!$A$4:$A$2635)+COUNT('Diário 2º PA'!$A$4:$A$3040)+ROW()-3)</f>
        <v/>
      </c>
      <c r="B2179" s="600"/>
      <c r="C2179" s="354"/>
      <c r="D2179" s="343"/>
      <c r="E2179" s="343"/>
      <c r="F2179" s="344"/>
      <c r="G2179" s="343"/>
      <c r="H2179" s="343"/>
      <c r="I2179" s="345"/>
      <c r="J2179" s="343"/>
      <c r="K2179" s="343"/>
      <c r="L2179" s="345"/>
      <c r="M2179" s="343"/>
      <c r="N2179" s="598"/>
      <c r="O2179" s="585"/>
      <c r="P2179" s="71">
        <f t="shared" si="125"/>
        <v>0</v>
      </c>
      <c r="Q2179" s="71">
        <f t="shared" si="124"/>
        <v>0</v>
      </c>
      <c r="R2179" s="93" t="str">
        <f t="shared" si="123"/>
        <v/>
      </c>
    </row>
    <row r="2180" spans="1:18" x14ac:dyDescent="0.2">
      <c r="A2180" s="432" t="str">
        <f>IF(B2180="","",COUNT('Diário 1º PA'!$A$4:$A$2635)+COUNT('Diário 2º PA'!$A$4:$A$3040)+ROW()-3)</f>
        <v/>
      </c>
      <c r="B2180" s="600"/>
      <c r="C2180" s="354"/>
      <c r="D2180" s="343"/>
      <c r="E2180" s="343"/>
      <c r="F2180" s="344"/>
      <c r="G2180" s="343"/>
      <c r="H2180" s="343"/>
      <c r="I2180" s="345"/>
      <c r="J2180" s="343"/>
      <c r="K2180" s="343"/>
      <c r="L2180" s="345"/>
      <c r="M2180" s="343"/>
      <c r="N2180" s="598"/>
      <c r="O2180" s="585"/>
      <c r="P2180" s="71">
        <f t="shared" si="125"/>
        <v>0</v>
      </c>
      <c r="Q2180" s="71">
        <f t="shared" si="124"/>
        <v>0</v>
      </c>
      <c r="R2180" s="93" t="str">
        <f t="shared" ref="R2180:R2243" si="126">SUBSTITUTE(D2180," ","_")</f>
        <v/>
      </c>
    </row>
    <row r="2181" spans="1:18" x14ac:dyDescent="0.2">
      <c r="A2181" s="432" t="str">
        <f>IF(B2181="","",COUNT('Diário 1º PA'!$A$4:$A$2635)+COUNT('Diário 2º PA'!$A$4:$A$3040)+ROW()-3)</f>
        <v/>
      </c>
      <c r="B2181" s="600"/>
      <c r="C2181" s="354"/>
      <c r="D2181" s="343"/>
      <c r="E2181" s="343"/>
      <c r="F2181" s="344"/>
      <c r="G2181" s="343"/>
      <c r="H2181" s="343"/>
      <c r="I2181" s="345"/>
      <c r="J2181" s="343"/>
      <c r="K2181" s="343"/>
      <c r="L2181" s="345"/>
      <c r="M2181" s="343"/>
      <c r="N2181" s="598"/>
      <c r="O2181" s="585"/>
      <c r="P2181" s="71">
        <f t="shared" si="125"/>
        <v>0</v>
      </c>
      <c r="Q2181" s="71">
        <f t="shared" si="124"/>
        <v>0</v>
      </c>
      <c r="R2181" s="93" t="str">
        <f t="shared" si="126"/>
        <v/>
      </c>
    </row>
    <row r="2182" spans="1:18" x14ac:dyDescent="0.2">
      <c r="A2182" s="432" t="str">
        <f>IF(B2182="","",COUNT('Diário 1º PA'!$A$4:$A$2635)+COUNT('Diário 2º PA'!$A$4:$A$3040)+ROW()-3)</f>
        <v/>
      </c>
      <c r="B2182" s="600"/>
      <c r="C2182" s="354"/>
      <c r="D2182" s="343"/>
      <c r="E2182" s="343"/>
      <c r="F2182" s="344"/>
      <c r="G2182" s="343"/>
      <c r="H2182" s="343"/>
      <c r="I2182" s="345"/>
      <c r="J2182" s="343"/>
      <c r="K2182" s="343"/>
      <c r="L2182" s="345"/>
      <c r="M2182" s="343"/>
      <c r="N2182" s="598"/>
      <c r="O2182" s="585"/>
      <c r="P2182" s="71">
        <f t="shared" si="125"/>
        <v>0</v>
      </c>
      <c r="Q2182" s="71">
        <f t="shared" si="124"/>
        <v>0</v>
      </c>
      <c r="R2182" s="93" t="str">
        <f t="shared" si="126"/>
        <v/>
      </c>
    </row>
    <row r="2183" spans="1:18" x14ac:dyDescent="0.2">
      <c r="A2183" s="432" t="str">
        <f>IF(B2183="","",COUNT('Diário 1º PA'!$A$4:$A$2635)+COUNT('Diário 2º PA'!$A$4:$A$3040)+ROW()-3)</f>
        <v/>
      </c>
      <c r="B2183" s="600"/>
      <c r="C2183" s="354"/>
      <c r="D2183" s="343"/>
      <c r="E2183" s="343"/>
      <c r="F2183" s="344"/>
      <c r="G2183" s="343"/>
      <c r="H2183" s="343"/>
      <c r="I2183" s="345"/>
      <c r="J2183" s="343"/>
      <c r="K2183" s="343"/>
      <c r="L2183" s="345"/>
      <c r="M2183" s="343"/>
      <c r="N2183" s="598"/>
      <c r="O2183" s="585"/>
      <c r="P2183" s="71">
        <f t="shared" si="125"/>
        <v>0</v>
      </c>
      <c r="Q2183" s="71">
        <f t="shared" si="124"/>
        <v>0</v>
      </c>
      <c r="R2183" s="93" t="str">
        <f t="shared" si="126"/>
        <v/>
      </c>
    </row>
    <row r="2184" spans="1:18" x14ac:dyDescent="0.2">
      <c r="A2184" s="432" t="str">
        <f>IF(B2184="","",COUNT('Diário 1º PA'!$A$4:$A$2635)+COUNT('Diário 2º PA'!$A$4:$A$3040)+ROW()-3)</f>
        <v/>
      </c>
      <c r="B2184" s="600"/>
      <c r="C2184" s="354"/>
      <c r="D2184" s="343"/>
      <c r="E2184" s="343"/>
      <c r="F2184" s="344"/>
      <c r="G2184" s="343"/>
      <c r="H2184" s="343"/>
      <c r="I2184" s="345"/>
      <c r="J2184" s="343"/>
      <c r="K2184" s="343"/>
      <c r="L2184" s="345"/>
      <c r="M2184" s="343"/>
      <c r="N2184" s="598"/>
      <c r="O2184" s="585"/>
      <c r="P2184" s="71">
        <f t="shared" si="125"/>
        <v>0</v>
      </c>
      <c r="Q2184" s="71">
        <f t="shared" si="124"/>
        <v>0</v>
      </c>
      <c r="R2184" s="93" t="str">
        <f t="shared" si="126"/>
        <v/>
      </c>
    </row>
    <row r="2185" spans="1:18" x14ac:dyDescent="0.2">
      <c r="A2185" s="432" t="str">
        <f>IF(B2185="","",COUNT('Diário 1º PA'!$A$4:$A$2635)+COUNT('Diário 2º PA'!$A$4:$A$3040)+ROW()-3)</f>
        <v/>
      </c>
      <c r="B2185" s="600"/>
      <c r="C2185" s="354"/>
      <c r="D2185" s="343"/>
      <c r="E2185" s="343"/>
      <c r="F2185" s="344"/>
      <c r="G2185" s="343"/>
      <c r="H2185" s="343"/>
      <c r="I2185" s="345"/>
      <c r="J2185" s="343"/>
      <c r="K2185" s="343"/>
      <c r="L2185" s="345"/>
      <c r="M2185" s="343"/>
      <c r="N2185" s="598"/>
      <c r="O2185" s="585"/>
      <c r="P2185" s="71">
        <f t="shared" si="125"/>
        <v>0</v>
      </c>
      <c r="Q2185" s="71">
        <f t="shared" si="124"/>
        <v>0</v>
      </c>
      <c r="R2185" s="93" t="str">
        <f t="shared" si="126"/>
        <v/>
      </c>
    </row>
    <row r="2186" spans="1:18" x14ac:dyDescent="0.2">
      <c r="A2186" s="432" t="str">
        <f>IF(B2186="","",COUNT('Diário 1º PA'!$A$4:$A$2635)+COUNT('Diário 2º PA'!$A$4:$A$3040)+ROW()-3)</f>
        <v/>
      </c>
      <c r="B2186" s="600"/>
      <c r="C2186" s="354"/>
      <c r="D2186" s="343"/>
      <c r="E2186" s="343"/>
      <c r="F2186" s="344"/>
      <c r="G2186" s="343"/>
      <c r="H2186" s="343"/>
      <c r="I2186" s="345"/>
      <c r="J2186" s="343"/>
      <c r="K2186" s="343"/>
      <c r="L2186" s="345"/>
      <c r="M2186" s="343"/>
      <c r="N2186" s="598"/>
      <c r="O2186" s="585"/>
      <c r="P2186" s="71">
        <f t="shared" si="125"/>
        <v>0</v>
      </c>
      <c r="Q2186" s="71">
        <f t="shared" si="124"/>
        <v>0</v>
      </c>
      <c r="R2186" s="93" t="str">
        <f t="shared" si="126"/>
        <v/>
      </c>
    </row>
    <row r="2187" spans="1:18" x14ac:dyDescent="0.2">
      <c r="A2187" s="432" t="str">
        <f>IF(B2187="","",COUNT('Diário 1º PA'!$A$4:$A$2635)+COUNT('Diário 2º PA'!$A$4:$A$3040)+ROW()-3)</f>
        <v/>
      </c>
      <c r="B2187" s="600"/>
      <c r="C2187" s="354"/>
      <c r="D2187" s="343"/>
      <c r="E2187" s="343"/>
      <c r="F2187" s="344"/>
      <c r="G2187" s="343"/>
      <c r="H2187" s="343"/>
      <c r="I2187" s="345"/>
      <c r="J2187" s="343"/>
      <c r="K2187" s="343"/>
      <c r="L2187" s="345"/>
      <c r="M2187" s="343"/>
      <c r="N2187" s="598"/>
      <c r="O2187" s="585"/>
      <c r="P2187" s="71">
        <f t="shared" si="125"/>
        <v>0</v>
      </c>
      <c r="Q2187" s="71">
        <f t="shared" si="124"/>
        <v>0</v>
      </c>
      <c r="R2187" s="93" t="str">
        <f t="shared" si="126"/>
        <v/>
      </c>
    </row>
    <row r="2188" spans="1:18" x14ac:dyDescent="0.2">
      <c r="A2188" s="432" t="str">
        <f>IF(B2188="","",COUNT('Diário 1º PA'!$A$4:$A$2635)+COUNT('Diário 2º PA'!$A$4:$A$3040)+ROW()-3)</f>
        <v/>
      </c>
      <c r="B2188" s="600"/>
      <c r="C2188" s="354"/>
      <c r="D2188" s="343"/>
      <c r="E2188" s="343"/>
      <c r="F2188" s="344"/>
      <c r="G2188" s="343"/>
      <c r="H2188" s="343"/>
      <c r="I2188" s="345"/>
      <c r="J2188" s="343"/>
      <c r="K2188" s="343"/>
      <c r="L2188" s="345"/>
      <c r="M2188" s="343"/>
      <c r="N2188" s="598"/>
      <c r="O2188" s="585"/>
      <c r="P2188" s="71">
        <f t="shared" si="125"/>
        <v>0</v>
      </c>
      <c r="Q2188" s="71">
        <f t="shared" si="124"/>
        <v>0</v>
      </c>
      <c r="R2188" s="93" t="str">
        <f t="shared" si="126"/>
        <v/>
      </c>
    </row>
    <row r="2189" spans="1:18" x14ac:dyDescent="0.2">
      <c r="A2189" s="432" t="str">
        <f>IF(B2189="","",COUNT('Diário 1º PA'!$A$4:$A$2635)+COUNT('Diário 2º PA'!$A$4:$A$3040)+ROW()-3)</f>
        <v/>
      </c>
      <c r="B2189" s="600"/>
      <c r="C2189" s="354"/>
      <c r="D2189" s="343"/>
      <c r="E2189" s="343"/>
      <c r="F2189" s="344"/>
      <c r="G2189" s="343"/>
      <c r="H2189" s="343"/>
      <c r="I2189" s="345"/>
      <c r="J2189" s="343"/>
      <c r="K2189" s="343"/>
      <c r="L2189" s="345"/>
      <c r="M2189" s="343"/>
      <c r="N2189" s="598"/>
      <c r="O2189" s="585"/>
      <c r="P2189" s="71">
        <f t="shared" si="125"/>
        <v>0</v>
      </c>
      <c r="Q2189" s="71">
        <f t="shared" si="124"/>
        <v>0</v>
      </c>
      <c r="R2189" s="93" t="str">
        <f t="shared" si="126"/>
        <v/>
      </c>
    </row>
    <row r="2190" spans="1:18" x14ac:dyDescent="0.2">
      <c r="A2190" s="432" t="str">
        <f>IF(B2190="","",COUNT('Diário 1º PA'!$A$4:$A$2635)+COUNT('Diário 2º PA'!$A$4:$A$3040)+ROW()-3)</f>
        <v/>
      </c>
      <c r="B2190" s="600"/>
      <c r="C2190" s="354"/>
      <c r="D2190" s="343"/>
      <c r="E2190" s="343"/>
      <c r="F2190" s="344"/>
      <c r="G2190" s="343"/>
      <c r="H2190" s="343"/>
      <c r="I2190" s="345"/>
      <c r="J2190" s="343"/>
      <c r="K2190" s="343"/>
      <c r="L2190" s="345"/>
      <c r="M2190" s="343"/>
      <c r="N2190" s="598"/>
      <c r="O2190" s="585"/>
      <c r="P2190" s="71">
        <f t="shared" si="125"/>
        <v>0</v>
      </c>
      <c r="Q2190" s="71">
        <f t="shared" si="124"/>
        <v>0</v>
      </c>
      <c r="R2190" s="93" t="str">
        <f t="shared" si="126"/>
        <v/>
      </c>
    </row>
    <row r="2191" spans="1:18" x14ac:dyDescent="0.2">
      <c r="A2191" s="432" t="str">
        <f>IF(B2191="","",COUNT('Diário 1º PA'!$A$4:$A$2635)+COUNT('Diário 2º PA'!$A$4:$A$3040)+ROW()-3)</f>
        <v/>
      </c>
      <c r="B2191" s="600"/>
      <c r="C2191" s="354"/>
      <c r="D2191" s="343"/>
      <c r="E2191" s="343"/>
      <c r="F2191" s="344"/>
      <c r="G2191" s="343"/>
      <c r="H2191" s="343"/>
      <c r="I2191" s="345"/>
      <c r="J2191" s="343"/>
      <c r="K2191" s="343"/>
      <c r="L2191" s="345"/>
      <c r="M2191" s="343"/>
      <c r="N2191" s="598"/>
      <c r="O2191" s="585"/>
      <c r="P2191" s="71">
        <f t="shared" si="125"/>
        <v>0</v>
      </c>
      <c r="Q2191" s="71">
        <f t="shared" ref="Q2191:Q2254" si="127">IF(C2191=0,0,IF(YEAR(C2191)=$Q$1,MONTH(C2191)-$P$1+1,(YEAR(C2191)-$Q$1)*12-$P$1+1+MONTH(C2191)))</f>
        <v>0</v>
      </c>
      <c r="R2191" s="93" t="str">
        <f t="shared" si="126"/>
        <v/>
      </c>
    </row>
    <row r="2192" spans="1:18" x14ac:dyDescent="0.2">
      <c r="A2192" s="432" t="str">
        <f>IF(B2192="","",COUNT('Diário 1º PA'!$A$4:$A$2635)+COUNT('Diário 2º PA'!$A$4:$A$3040)+ROW()-3)</f>
        <v/>
      </c>
      <c r="B2192" s="600"/>
      <c r="C2192" s="354"/>
      <c r="D2192" s="343"/>
      <c r="E2192" s="343"/>
      <c r="F2192" s="344"/>
      <c r="G2192" s="343"/>
      <c r="H2192" s="343"/>
      <c r="I2192" s="345"/>
      <c r="J2192" s="343"/>
      <c r="K2192" s="343"/>
      <c r="L2192" s="345"/>
      <c r="M2192" s="343"/>
      <c r="N2192" s="598"/>
      <c r="O2192" s="585"/>
      <c r="P2192" s="71">
        <f t="shared" si="125"/>
        <v>0</v>
      </c>
      <c r="Q2192" s="71">
        <f t="shared" si="127"/>
        <v>0</v>
      </c>
      <c r="R2192" s="93" t="str">
        <f t="shared" si="126"/>
        <v/>
      </c>
    </row>
    <row r="2193" spans="1:18" x14ac:dyDescent="0.2">
      <c r="A2193" s="432" t="str">
        <f>IF(B2193="","",COUNT('Diário 1º PA'!$A$4:$A$2635)+COUNT('Diário 2º PA'!$A$4:$A$3040)+ROW()-3)</f>
        <v/>
      </c>
      <c r="B2193" s="600"/>
      <c r="C2193" s="354"/>
      <c r="D2193" s="343"/>
      <c r="E2193" s="343"/>
      <c r="F2193" s="344"/>
      <c r="G2193" s="343"/>
      <c r="H2193" s="343"/>
      <c r="I2193" s="345"/>
      <c r="J2193" s="343"/>
      <c r="K2193" s="343"/>
      <c r="L2193" s="345"/>
      <c r="M2193" s="343"/>
      <c r="N2193" s="598"/>
      <c r="O2193" s="585"/>
      <c r="P2193" s="71">
        <f t="shared" ref="P2193:P2256" si="128">IF(B2193=0,0,IF(YEAR(B2193)=$Q$1,MONTH(B2193)-$P$1+1,(YEAR(B2193)-$Q$1)*12-$P$1+1+MONTH(B2193)))</f>
        <v>0</v>
      </c>
      <c r="Q2193" s="71">
        <f t="shared" si="127"/>
        <v>0</v>
      </c>
      <c r="R2193" s="93" t="str">
        <f t="shared" si="126"/>
        <v/>
      </c>
    </row>
    <row r="2194" spans="1:18" x14ac:dyDescent="0.2">
      <c r="A2194" s="432" t="str">
        <f>IF(B2194="","",COUNT('Diário 1º PA'!$A$4:$A$2635)+COUNT('Diário 2º PA'!$A$4:$A$3040)+ROW()-3)</f>
        <v/>
      </c>
      <c r="B2194" s="600"/>
      <c r="C2194" s="354"/>
      <c r="D2194" s="343"/>
      <c r="E2194" s="343"/>
      <c r="F2194" s="344"/>
      <c r="G2194" s="343"/>
      <c r="H2194" s="343"/>
      <c r="I2194" s="345"/>
      <c r="J2194" s="343"/>
      <c r="K2194" s="343"/>
      <c r="L2194" s="345"/>
      <c r="M2194" s="343"/>
      <c r="N2194" s="598"/>
      <c r="O2194" s="585"/>
      <c r="P2194" s="71">
        <f t="shared" si="128"/>
        <v>0</v>
      </c>
      <c r="Q2194" s="71">
        <f t="shared" si="127"/>
        <v>0</v>
      </c>
      <c r="R2194" s="93" t="str">
        <f t="shared" si="126"/>
        <v/>
      </c>
    </row>
    <row r="2195" spans="1:18" x14ac:dyDescent="0.2">
      <c r="A2195" s="432" t="str">
        <f>IF(B2195="","",COUNT('Diário 1º PA'!$A$4:$A$2635)+COUNT('Diário 2º PA'!$A$4:$A$3040)+ROW()-3)</f>
        <v/>
      </c>
      <c r="B2195" s="600"/>
      <c r="C2195" s="354"/>
      <c r="D2195" s="343"/>
      <c r="E2195" s="343"/>
      <c r="F2195" s="344"/>
      <c r="G2195" s="343"/>
      <c r="H2195" s="343"/>
      <c r="I2195" s="345"/>
      <c r="J2195" s="343"/>
      <c r="K2195" s="343"/>
      <c r="L2195" s="345"/>
      <c r="M2195" s="343"/>
      <c r="N2195" s="598"/>
      <c r="O2195" s="585"/>
      <c r="P2195" s="71">
        <f t="shared" si="128"/>
        <v>0</v>
      </c>
      <c r="Q2195" s="71">
        <f t="shared" si="127"/>
        <v>0</v>
      </c>
      <c r="R2195" s="93" t="str">
        <f t="shared" si="126"/>
        <v/>
      </c>
    </row>
    <row r="2196" spans="1:18" x14ac:dyDescent="0.2">
      <c r="A2196" s="432" t="str">
        <f>IF(B2196="","",COUNT('Diário 1º PA'!$A$4:$A$2635)+COUNT('Diário 2º PA'!$A$4:$A$3040)+ROW()-3)</f>
        <v/>
      </c>
      <c r="B2196" s="600"/>
      <c r="C2196" s="354"/>
      <c r="D2196" s="343"/>
      <c r="E2196" s="343"/>
      <c r="F2196" s="344"/>
      <c r="G2196" s="343"/>
      <c r="H2196" s="343"/>
      <c r="I2196" s="345"/>
      <c r="J2196" s="343"/>
      <c r="K2196" s="343"/>
      <c r="L2196" s="345"/>
      <c r="M2196" s="343"/>
      <c r="N2196" s="598"/>
      <c r="O2196" s="585"/>
      <c r="P2196" s="71">
        <f t="shared" si="128"/>
        <v>0</v>
      </c>
      <c r="Q2196" s="71">
        <f t="shared" si="127"/>
        <v>0</v>
      </c>
      <c r="R2196" s="93" t="str">
        <f t="shared" si="126"/>
        <v/>
      </c>
    </row>
    <row r="2197" spans="1:18" x14ac:dyDescent="0.2">
      <c r="A2197" s="432" t="str">
        <f>IF(B2197="","",COUNT('Diário 1º PA'!$A$4:$A$2635)+COUNT('Diário 2º PA'!$A$4:$A$3040)+ROW()-3)</f>
        <v/>
      </c>
      <c r="B2197" s="600"/>
      <c r="C2197" s="354"/>
      <c r="D2197" s="343"/>
      <c r="E2197" s="343"/>
      <c r="F2197" s="344"/>
      <c r="G2197" s="343"/>
      <c r="H2197" s="343"/>
      <c r="I2197" s="345"/>
      <c r="J2197" s="343"/>
      <c r="K2197" s="343"/>
      <c r="L2197" s="345"/>
      <c r="M2197" s="343"/>
      <c r="N2197" s="598"/>
      <c r="O2197" s="585"/>
      <c r="P2197" s="71">
        <f t="shared" si="128"/>
        <v>0</v>
      </c>
      <c r="Q2197" s="71">
        <f t="shared" si="127"/>
        <v>0</v>
      </c>
      <c r="R2197" s="93" t="str">
        <f t="shared" si="126"/>
        <v/>
      </c>
    </row>
    <row r="2198" spans="1:18" x14ac:dyDescent="0.2">
      <c r="A2198" s="432" t="str">
        <f>IF(B2198="","",COUNT('Diário 1º PA'!$A$4:$A$2635)+COUNT('Diário 2º PA'!$A$4:$A$3040)+ROW()-3)</f>
        <v/>
      </c>
      <c r="B2198" s="600"/>
      <c r="C2198" s="354"/>
      <c r="D2198" s="343"/>
      <c r="E2198" s="343"/>
      <c r="F2198" s="344"/>
      <c r="G2198" s="343"/>
      <c r="H2198" s="343"/>
      <c r="I2198" s="345"/>
      <c r="J2198" s="343"/>
      <c r="K2198" s="343"/>
      <c r="L2198" s="345"/>
      <c r="M2198" s="343"/>
      <c r="N2198" s="598"/>
      <c r="O2198" s="585"/>
      <c r="P2198" s="71">
        <f t="shared" si="128"/>
        <v>0</v>
      </c>
      <c r="Q2198" s="71">
        <f t="shared" si="127"/>
        <v>0</v>
      </c>
      <c r="R2198" s="93" t="str">
        <f t="shared" si="126"/>
        <v/>
      </c>
    </row>
    <row r="2199" spans="1:18" x14ac:dyDescent="0.2">
      <c r="A2199" s="432" t="str">
        <f>IF(B2199="","",COUNT('Diário 1º PA'!$A$4:$A$2635)+COUNT('Diário 2º PA'!$A$4:$A$3040)+ROW()-3)</f>
        <v/>
      </c>
      <c r="B2199" s="600"/>
      <c r="C2199" s="354"/>
      <c r="D2199" s="343"/>
      <c r="E2199" s="343"/>
      <c r="F2199" s="344"/>
      <c r="G2199" s="343"/>
      <c r="H2199" s="343"/>
      <c r="I2199" s="345"/>
      <c r="J2199" s="343"/>
      <c r="K2199" s="343"/>
      <c r="L2199" s="345"/>
      <c r="M2199" s="343"/>
      <c r="N2199" s="598"/>
      <c r="O2199" s="585"/>
      <c r="P2199" s="71">
        <f t="shared" si="128"/>
        <v>0</v>
      </c>
      <c r="Q2199" s="71">
        <f t="shared" si="127"/>
        <v>0</v>
      </c>
      <c r="R2199" s="93" t="str">
        <f t="shared" si="126"/>
        <v/>
      </c>
    </row>
    <row r="2200" spans="1:18" x14ac:dyDescent="0.2">
      <c r="A2200" s="432" t="str">
        <f>IF(B2200="","",COUNT('Diário 1º PA'!$A$4:$A$2635)+COUNT('Diário 2º PA'!$A$4:$A$3040)+ROW()-3)</f>
        <v/>
      </c>
      <c r="B2200" s="600"/>
      <c r="C2200" s="354"/>
      <c r="D2200" s="343"/>
      <c r="E2200" s="343"/>
      <c r="F2200" s="344"/>
      <c r="G2200" s="343"/>
      <c r="H2200" s="343"/>
      <c r="I2200" s="345"/>
      <c r="J2200" s="343"/>
      <c r="K2200" s="343"/>
      <c r="L2200" s="345"/>
      <c r="M2200" s="343"/>
      <c r="N2200" s="598"/>
      <c r="O2200" s="585"/>
      <c r="P2200" s="71">
        <f t="shared" si="128"/>
        <v>0</v>
      </c>
      <c r="Q2200" s="71">
        <f t="shared" si="127"/>
        <v>0</v>
      </c>
      <c r="R2200" s="93" t="str">
        <f t="shared" si="126"/>
        <v/>
      </c>
    </row>
    <row r="2201" spans="1:18" x14ac:dyDescent="0.2">
      <c r="A2201" s="432" t="str">
        <f>IF(B2201="","",COUNT('Diário 1º PA'!$A$4:$A$2635)+COUNT('Diário 2º PA'!$A$4:$A$3040)+ROW()-3)</f>
        <v/>
      </c>
      <c r="B2201" s="600"/>
      <c r="C2201" s="354"/>
      <c r="D2201" s="343"/>
      <c r="E2201" s="343"/>
      <c r="F2201" s="344"/>
      <c r="G2201" s="343"/>
      <c r="H2201" s="343"/>
      <c r="I2201" s="345"/>
      <c r="J2201" s="343"/>
      <c r="K2201" s="343"/>
      <c r="L2201" s="345"/>
      <c r="M2201" s="343"/>
      <c r="N2201" s="598"/>
      <c r="O2201" s="585"/>
      <c r="P2201" s="71">
        <f t="shared" si="128"/>
        <v>0</v>
      </c>
      <c r="Q2201" s="71">
        <f t="shared" si="127"/>
        <v>0</v>
      </c>
      <c r="R2201" s="93" t="str">
        <f t="shared" si="126"/>
        <v/>
      </c>
    </row>
    <row r="2202" spans="1:18" x14ac:dyDescent="0.2">
      <c r="A2202" s="432" t="str">
        <f>IF(B2202="","",COUNT('Diário 1º PA'!$A$4:$A$2635)+COUNT('Diário 2º PA'!$A$4:$A$3040)+ROW()-3)</f>
        <v/>
      </c>
      <c r="B2202" s="600"/>
      <c r="C2202" s="354"/>
      <c r="D2202" s="343"/>
      <c r="E2202" s="343"/>
      <c r="F2202" s="344"/>
      <c r="G2202" s="343"/>
      <c r="H2202" s="343"/>
      <c r="I2202" s="345"/>
      <c r="J2202" s="343"/>
      <c r="K2202" s="343"/>
      <c r="L2202" s="345"/>
      <c r="M2202" s="343"/>
      <c r="N2202" s="598"/>
      <c r="O2202" s="585"/>
      <c r="P2202" s="71">
        <f t="shared" si="128"/>
        <v>0</v>
      </c>
      <c r="Q2202" s="71">
        <f t="shared" si="127"/>
        <v>0</v>
      </c>
      <c r="R2202" s="93" t="str">
        <f t="shared" si="126"/>
        <v/>
      </c>
    </row>
    <row r="2203" spans="1:18" x14ac:dyDescent="0.2">
      <c r="A2203" s="432" t="str">
        <f>IF(B2203="","",COUNT('Diário 1º PA'!$A$4:$A$2635)+COUNT('Diário 2º PA'!$A$4:$A$3040)+ROW()-3)</f>
        <v/>
      </c>
      <c r="B2203" s="600"/>
      <c r="C2203" s="354"/>
      <c r="D2203" s="343"/>
      <c r="E2203" s="343"/>
      <c r="F2203" s="344"/>
      <c r="G2203" s="343"/>
      <c r="H2203" s="343"/>
      <c r="I2203" s="345"/>
      <c r="J2203" s="343"/>
      <c r="K2203" s="343"/>
      <c r="L2203" s="345"/>
      <c r="M2203" s="343"/>
      <c r="N2203" s="598"/>
      <c r="O2203" s="585"/>
      <c r="P2203" s="71">
        <f t="shared" si="128"/>
        <v>0</v>
      </c>
      <c r="Q2203" s="71">
        <f t="shared" si="127"/>
        <v>0</v>
      </c>
      <c r="R2203" s="93" t="str">
        <f t="shared" si="126"/>
        <v/>
      </c>
    </row>
    <row r="2204" spans="1:18" x14ac:dyDescent="0.2">
      <c r="A2204" s="432" t="str">
        <f>IF(B2204="","",COUNT('Diário 1º PA'!$A$4:$A$2635)+COUNT('Diário 2º PA'!$A$4:$A$3040)+ROW()-3)</f>
        <v/>
      </c>
      <c r="B2204" s="600"/>
      <c r="C2204" s="354"/>
      <c r="D2204" s="343"/>
      <c r="E2204" s="343"/>
      <c r="F2204" s="344"/>
      <c r="G2204" s="343"/>
      <c r="H2204" s="343"/>
      <c r="I2204" s="345"/>
      <c r="J2204" s="343"/>
      <c r="K2204" s="343"/>
      <c r="L2204" s="345"/>
      <c r="M2204" s="343"/>
      <c r="N2204" s="598"/>
      <c r="O2204" s="585"/>
      <c r="P2204" s="71">
        <f t="shared" si="128"/>
        <v>0</v>
      </c>
      <c r="Q2204" s="71">
        <f t="shared" si="127"/>
        <v>0</v>
      </c>
      <c r="R2204" s="93" t="str">
        <f t="shared" si="126"/>
        <v/>
      </c>
    </row>
    <row r="2205" spans="1:18" x14ac:dyDescent="0.2">
      <c r="A2205" s="432" t="str">
        <f>IF(B2205="","",COUNT('Diário 1º PA'!$A$4:$A$2635)+COUNT('Diário 2º PA'!$A$4:$A$3040)+ROW()-3)</f>
        <v/>
      </c>
      <c r="B2205" s="600"/>
      <c r="C2205" s="354"/>
      <c r="D2205" s="343"/>
      <c r="E2205" s="343"/>
      <c r="F2205" s="344"/>
      <c r="G2205" s="343"/>
      <c r="H2205" s="343"/>
      <c r="I2205" s="345"/>
      <c r="J2205" s="343"/>
      <c r="K2205" s="343"/>
      <c r="L2205" s="345"/>
      <c r="M2205" s="343"/>
      <c r="N2205" s="598"/>
      <c r="O2205" s="585"/>
      <c r="P2205" s="71">
        <f t="shared" si="128"/>
        <v>0</v>
      </c>
      <c r="Q2205" s="71">
        <f t="shared" si="127"/>
        <v>0</v>
      </c>
      <c r="R2205" s="93" t="str">
        <f t="shared" si="126"/>
        <v/>
      </c>
    </row>
    <row r="2206" spans="1:18" x14ac:dyDescent="0.2">
      <c r="A2206" s="432" t="str">
        <f>IF(B2206="","",COUNT('Diário 1º PA'!$A$4:$A$2635)+COUNT('Diário 2º PA'!$A$4:$A$3040)+ROW()-3)</f>
        <v/>
      </c>
      <c r="B2206" s="600"/>
      <c r="C2206" s="354"/>
      <c r="D2206" s="343"/>
      <c r="E2206" s="343"/>
      <c r="F2206" s="344"/>
      <c r="G2206" s="343"/>
      <c r="H2206" s="343"/>
      <c r="I2206" s="345"/>
      <c r="J2206" s="343"/>
      <c r="K2206" s="343"/>
      <c r="L2206" s="345"/>
      <c r="M2206" s="343"/>
      <c r="N2206" s="598"/>
      <c r="O2206" s="585"/>
      <c r="P2206" s="71">
        <f t="shared" si="128"/>
        <v>0</v>
      </c>
      <c r="Q2206" s="71">
        <f t="shared" si="127"/>
        <v>0</v>
      </c>
      <c r="R2206" s="93" t="str">
        <f t="shared" si="126"/>
        <v/>
      </c>
    </row>
    <row r="2207" spans="1:18" x14ac:dyDescent="0.2">
      <c r="A2207" s="432" t="str">
        <f>IF(B2207="","",COUNT('Diário 1º PA'!$A$4:$A$2635)+COUNT('Diário 2º PA'!$A$4:$A$3040)+ROW()-3)</f>
        <v/>
      </c>
      <c r="B2207" s="600"/>
      <c r="C2207" s="354"/>
      <c r="D2207" s="343"/>
      <c r="E2207" s="343"/>
      <c r="F2207" s="344"/>
      <c r="G2207" s="343"/>
      <c r="H2207" s="343"/>
      <c r="I2207" s="345"/>
      <c r="J2207" s="343"/>
      <c r="K2207" s="343"/>
      <c r="L2207" s="345"/>
      <c r="M2207" s="343"/>
      <c r="N2207" s="598"/>
      <c r="O2207" s="585"/>
      <c r="P2207" s="71">
        <f t="shared" si="128"/>
        <v>0</v>
      </c>
      <c r="Q2207" s="71">
        <f t="shared" si="127"/>
        <v>0</v>
      </c>
      <c r="R2207" s="93" t="str">
        <f t="shared" si="126"/>
        <v/>
      </c>
    </row>
    <row r="2208" spans="1:18" x14ac:dyDescent="0.2">
      <c r="A2208" s="432" t="str">
        <f>IF(B2208="","",COUNT('Diário 1º PA'!$A$4:$A$2635)+COUNT('Diário 2º PA'!$A$4:$A$3040)+ROW()-3)</f>
        <v/>
      </c>
      <c r="B2208" s="600"/>
      <c r="C2208" s="354"/>
      <c r="D2208" s="343"/>
      <c r="E2208" s="343"/>
      <c r="F2208" s="344"/>
      <c r="G2208" s="343"/>
      <c r="H2208" s="343"/>
      <c r="I2208" s="345"/>
      <c r="J2208" s="343"/>
      <c r="K2208" s="343"/>
      <c r="L2208" s="345"/>
      <c r="M2208" s="343"/>
      <c r="N2208" s="598"/>
      <c r="O2208" s="585"/>
      <c r="P2208" s="71">
        <f t="shared" si="128"/>
        <v>0</v>
      </c>
      <c r="Q2208" s="71">
        <f t="shared" si="127"/>
        <v>0</v>
      </c>
      <c r="R2208" s="93" t="str">
        <f t="shared" si="126"/>
        <v/>
      </c>
    </row>
    <row r="2209" spans="1:18" x14ac:dyDescent="0.2">
      <c r="A2209" s="432" t="str">
        <f>IF(B2209="","",COUNT('Diário 1º PA'!$A$4:$A$2635)+COUNT('Diário 2º PA'!$A$4:$A$3040)+ROW()-3)</f>
        <v/>
      </c>
      <c r="B2209" s="600"/>
      <c r="C2209" s="354"/>
      <c r="D2209" s="343"/>
      <c r="E2209" s="343"/>
      <c r="F2209" s="344"/>
      <c r="G2209" s="343"/>
      <c r="H2209" s="343"/>
      <c r="I2209" s="345"/>
      <c r="J2209" s="343"/>
      <c r="K2209" s="343"/>
      <c r="L2209" s="345"/>
      <c r="M2209" s="343"/>
      <c r="N2209" s="598"/>
      <c r="O2209" s="585"/>
      <c r="P2209" s="71">
        <f t="shared" si="128"/>
        <v>0</v>
      </c>
      <c r="Q2209" s="71">
        <f t="shared" si="127"/>
        <v>0</v>
      </c>
      <c r="R2209" s="93" t="str">
        <f t="shared" si="126"/>
        <v/>
      </c>
    </row>
    <row r="2210" spans="1:18" x14ac:dyDescent="0.2">
      <c r="A2210" s="432" t="str">
        <f>IF(B2210="","",COUNT('Diário 1º PA'!$A$4:$A$2635)+COUNT('Diário 2º PA'!$A$4:$A$3040)+ROW()-3)</f>
        <v/>
      </c>
      <c r="B2210" s="600"/>
      <c r="C2210" s="354"/>
      <c r="D2210" s="343"/>
      <c r="E2210" s="343"/>
      <c r="F2210" s="344"/>
      <c r="G2210" s="343"/>
      <c r="H2210" s="343"/>
      <c r="I2210" s="345"/>
      <c r="J2210" s="343"/>
      <c r="K2210" s="343"/>
      <c r="L2210" s="345"/>
      <c r="M2210" s="343"/>
      <c r="N2210" s="598"/>
      <c r="O2210" s="585"/>
      <c r="P2210" s="71">
        <f t="shared" si="128"/>
        <v>0</v>
      </c>
      <c r="Q2210" s="71">
        <f t="shared" si="127"/>
        <v>0</v>
      </c>
      <c r="R2210" s="93" t="str">
        <f t="shared" si="126"/>
        <v/>
      </c>
    </row>
    <row r="2211" spans="1:18" x14ac:dyDescent="0.2">
      <c r="A2211" s="432" t="str">
        <f>IF(B2211="","",COUNT('Diário 1º PA'!$A$4:$A$2635)+COUNT('Diário 2º PA'!$A$4:$A$3040)+ROW()-3)</f>
        <v/>
      </c>
      <c r="B2211" s="600"/>
      <c r="C2211" s="354"/>
      <c r="D2211" s="343"/>
      <c r="E2211" s="343"/>
      <c r="F2211" s="344"/>
      <c r="G2211" s="343"/>
      <c r="H2211" s="343"/>
      <c r="I2211" s="345"/>
      <c r="J2211" s="343"/>
      <c r="K2211" s="343"/>
      <c r="L2211" s="345"/>
      <c r="M2211" s="343"/>
      <c r="N2211" s="598"/>
      <c r="O2211" s="585"/>
      <c r="P2211" s="71">
        <f t="shared" si="128"/>
        <v>0</v>
      </c>
      <c r="Q2211" s="71">
        <f t="shared" si="127"/>
        <v>0</v>
      </c>
      <c r="R2211" s="93" t="str">
        <f t="shared" si="126"/>
        <v/>
      </c>
    </row>
    <row r="2212" spans="1:18" x14ac:dyDescent="0.2">
      <c r="A2212" s="432" t="str">
        <f>IF(B2212="","",COUNT('Diário 1º PA'!$A$4:$A$2635)+COUNT('Diário 2º PA'!$A$4:$A$3040)+ROW()-3)</f>
        <v/>
      </c>
      <c r="B2212" s="600"/>
      <c r="C2212" s="354"/>
      <c r="D2212" s="343"/>
      <c r="E2212" s="343"/>
      <c r="F2212" s="344"/>
      <c r="G2212" s="343"/>
      <c r="H2212" s="343"/>
      <c r="I2212" s="345"/>
      <c r="J2212" s="343"/>
      <c r="K2212" s="343"/>
      <c r="L2212" s="345"/>
      <c r="M2212" s="343"/>
      <c r="N2212" s="598"/>
      <c r="O2212" s="585"/>
      <c r="P2212" s="71">
        <f t="shared" si="128"/>
        <v>0</v>
      </c>
      <c r="Q2212" s="71">
        <f t="shared" si="127"/>
        <v>0</v>
      </c>
      <c r="R2212" s="93" t="str">
        <f t="shared" si="126"/>
        <v/>
      </c>
    </row>
    <row r="2213" spans="1:18" x14ac:dyDescent="0.2">
      <c r="A2213" s="432" t="str">
        <f>IF(B2213="","",COUNT('Diário 1º PA'!$A$4:$A$2635)+COUNT('Diário 2º PA'!$A$4:$A$3040)+ROW()-3)</f>
        <v/>
      </c>
      <c r="B2213" s="600"/>
      <c r="C2213" s="354"/>
      <c r="D2213" s="343"/>
      <c r="E2213" s="343"/>
      <c r="F2213" s="344"/>
      <c r="G2213" s="343"/>
      <c r="H2213" s="343"/>
      <c r="I2213" s="345"/>
      <c r="J2213" s="343"/>
      <c r="K2213" s="343"/>
      <c r="L2213" s="345"/>
      <c r="M2213" s="343"/>
      <c r="N2213" s="598"/>
      <c r="O2213" s="585"/>
      <c r="P2213" s="71">
        <f t="shared" si="128"/>
        <v>0</v>
      </c>
      <c r="Q2213" s="71">
        <f t="shared" si="127"/>
        <v>0</v>
      </c>
      <c r="R2213" s="93" t="str">
        <f t="shared" si="126"/>
        <v/>
      </c>
    </row>
    <row r="2214" spans="1:18" x14ac:dyDescent="0.2">
      <c r="A2214" s="432" t="str">
        <f>IF(B2214="","",COUNT('Diário 1º PA'!$A$4:$A$2635)+COUNT('Diário 2º PA'!$A$4:$A$3040)+ROW()-3)</f>
        <v/>
      </c>
      <c r="B2214" s="600"/>
      <c r="C2214" s="354"/>
      <c r="D2214" s="343"/>
      <c r="E2214" s="343"/>
      <c r="F2214" s="344"/>
      <c r="G2214" s="343"/>
      <c r="H2214" s="343"/>
      <c r="I2214" s="345"/>
      <c r="J2214" s="343"/>
      <c r="K2214" s="343"/>
      <c r="L2214" s="345"/>
      <c r="M2214" s="343"/>
      <c r="N2214" s="598"/>
      <c r="O2214" s="585"/>
      <c r="P2214" s="71">
        <f t="shared" si="128"/>
        <v>0</v>
      </c>
      <c r="Q2214" s="71">
        <f t="shared" si="127"/>
        <v>0</v>
      </c>
      <c r="R2214" s="93" t="str">
        <f t="shared" si="126"/>
        <v/>
      </c>
    </row>
    <row r="2215" spans="1:18" x14ac:dyDescent="0.2">
      <c r="A2215" s="432" t="str">
        <f>IF(B2215="","",COUNT('Diário 1º PA'!$A$4:$A$2635)+COUNT('Diário 2º PA'!$A$4:$A$3040)+ROW()-3)</f>
        <v/>
      </c>
      <c r="B2215" s="600"/>
      <c r="C2215" s="354"/>
      <c r="D2215" s="343"/>
      <c r="E2215" s="343"/>
      <c r="F2215" s="344"/>
      <c r="G2215" s="343"/>
      <c r="H2215" s="343"/>
      <c r="I2215" s="345"/>
      <c r="J2215" s="343"/>
      <c r="K2215" s="343"/>
      <c r="L2215" s="345"/>
      <c r="M2215" s="343"/>
      <c r="N2215" s="598"/>
      <c r="O2215" s="585"/>
      <c r="P2215" s="71">
        <f t="shared" si="128"/>
        <v>0</v>
      </c>
      <c r="Q2215" s="71">
        <f t="shared" si="127"/>
        <v>0</v>
      </c>
      <c r="R2215" s="93" t="str">
        <f t="shared" si="126"/>
        <v/>
      </c>
    </row>
    <row r="2216" spans="1:18" x14ac:dyDescent="0.2">
      <c r="A2216" s="432" t="str">
        <f>IF(B2216="","",COUNT('Diário 1º PA'!$A$4:$A$2635)+COUNT('Diário 2º PA'!$A$4:$A$3040)+ROW()-3)</f>
        <v/>
      </c>
      <c r="B2216" s="600"/>
      <c r="C2216" s="354"/>
      <c r="D2216" s="343"/>
      <c r="E2216" s="343"/>
      <c r="F2216" s="344"/>
      <c r="G2216" s="343"/>
      <c r="H2216" s="343"/>
      <c r="I2216" s="345"/>
      <c r="J2216" s="343"/>
      <c r="K2216" s="343"/>
      <c r="L2216" s="345"/>
      <c r="M2216" s="343"/>
      <c r="N2216" s="598"/>
      <c r="O2216" s="585"/>
      <c r="P2216" s="71">
        <f t="shared" si="128"/>
        <v>0</v>
      </c>
      <c r="Q2216" s="71">
        <f t="shared" si="127"/>
        <v>0</v>
      </c>
      <c r="R2216" s="93" t="str">
        <f t="shared" si="126"/>
        <v/>
      </c>
    </row>
    <row r="2217" spans="1:18" x14ac:dyDescent="0.2">
      <c r="A2217" s="432" t="str">
        <f>IF(B2217="","",COUNT('Diário 1º PA'!$A$4:$A$2635)+COUNT('Diário 2º PA'!$A$4:$A$3040)+ROW()-3)</f>
        <v/>
      </c>
      <c r="B2217" s="600"/>
      <c r="C2217" s="354"/>
      <c r="D2217" s="343"/>
      <c r="E2217" s="343"/>
      <c r="F2217" s="344"/>
      <c r="G2217" s="343"/>
      <c r="H2217" s="343"/>
      <c r="I2217" s="345"/>
      <c r="J2217" s="343"/>
      <c r="K2217" s="343"/>
      <c r="L2217" s="345"/>
      <c r="M2217" s="343"/>
      <c r="N2217" s="598"/>
      <c r="O2217" s="585"/>
      <c r="P2217" s="71">
        <f t="shared" si="128"/>
        <v>0</v>
      </c>
      <c r="Q2217" s="71">
        <f t="shared" si="127"/>
        <v>0</v>
      </c>
      <c r="R2217" s="93" t="str">
        <f t="shared" si="126"/>
        <v/>
      </c>
    </row>
    <row r="2218" spans="1:18" x14ac:dyDescent="0.2">
      <c r="A2218" s="432" t="str">
        <f>IF(B2218="","",COUNT('Diário 1º PA'!$A$4:$A$2635)+COUNT('Diário 2º PA'!$A$4:$A$3040)+ROW()-3)</f>
        <v/>
      </c>
      <c r="B2218" s="600"/>
      <c r="C2218" s="354"/>
      <c r="D2218" s="343"/>
      <c r="E2218" s="343"/>
      <c r="F2218" s="344"/>
      <c r="G2218" s="343"/>
      <c r="H2218" s="343"/>
      <c r="I2218" s="345"/>
      <c r="J2218" s="343"/>
      <c r="K2218" s="343"/>
      <c r="L2218" s="345"/>
      <c r="M2218" s="343"/>
      <c r="N2218" s="598"/>
      <c r="O2218" s="585"/>
      <c r="P2218" s="71">
        <f t="shared" si="128"/>
        <v>0</v>
      </c>
      <c r="Q2218" s="71">
        <f t="shared" si="127"/>
        <v>0</v>
      </c>
      <c r="R2218" s="93" t="str">
        <f t="shared" si="126"/>
        <v/>
      </c>
    </row>
    <row r="2219" spans="1:18" x14ac:dyDescent="0.2">
      <c r="A2219" s="432" t="str">
        <f>IF(B2219="","",COUNT('Diário 1º PA'!$A$4:$A$2635)+COUNT('Diário 2º PA'!$A$4:$A$3040)+ROW()-3)</f>
        <v/>
      </c>
      <c r="B2219" s="600"/>
      <c r="C2219" s="354"/>
      <c r="D2219" s="343"/>
      <c r="E2219" s="343"/>
      <c r="F2219" s="344"/>
      <c r="G2219" s="343"/>
      <c r="H2219" s="343"/>
      <c r="I2219" s="345"/>
      <c r="J2219" s="343"/>
      <c r="K2219" s="343"/>
      <c r="L2219" s="345"/>
      <c r="M2219" s="343"/>
      <c r="N2219" s="598"/>
      <c r="O2219" s="585"/>
      <c r="P2219" s="71">
        <f t="shared" si="128"/>
        <v>0</v>
      </c>
      <c r="Q2219" s="71">
        <f t="shared" si="127"/>
        <v>0</v>
      </c>
      <c r="R2219" s="93" t="str">
        <f t="shared" si="126"/>
        <v/>
      </c>
    </row>
    <row r="2220" spans="1:18" x14ac:dyDescent="0.2">
      <c r="A2220" s="432" t="str">
        <f>IF(B2220="","",COUNT('Diário 1º PA'!$A$4:$A$2635)+COUNT('Diário 2º PA'!$A$4:$A$3040)+ROW()-3)</f>
        <v/>
      </c>
      <c r="B2220" s="600"/>
      <c r="C2220" s="354"/>
      <c r="D2220" s="343"/>
      <c r="E2220" s="343"/>
      <c r="F2220" s="344"/>
      <c r="G2220" s="343"/>
      <c r="H2220" s="343"/>
      <c r="I2220" s="345"/>
      <c r="J2220" s="343"/>
      <c r="K2220" s="343"/>
      <c r="L2220" s="345"/>
      <c r="M2220" s="343"/>
      <c r="N2220" s="598"/>
      <c r="O2220" s="585"/>
      <c r="P2220" s="71">
        <f t="shared" si="128"/>
        <v>0</v>
      </c>
      <c r="Q2220" s="71">
        <f t="shared" si="127"/>
        <v>0</v>
      </c>
      <c r="R2220" s="93" t="str">
        <f t="shared" si="126"/>
        <v/>
      </c>
    </row>
    <row r="2221" spans="1:18" x14ac:dyDescent="0.2">
      <c r="A2221" s="432" t="str">
        <f>IF(B2221="","",COUNT('Diário 1º PA'!$A$4:$A$2635)+COUNT('Diário 2º PA'!$A$4:$A$3040)+ROW()-3)</f>
        <v/>
      </c>
      <c r="B2221" s="600"/>
      <c r="C2221" s="354"/>
      <c r="D2221" s="343"/>
      <c r="E2221" s="343"/>
      <c r="F2221" s="344"/>
      <c r="G2221" s="343"/>
      <c r="H2221" s="343"/>
      <c r="I2221" s="345"/>
      <c r="J2221" s="343"/>
      <c r="K2221" s="343"/>
      <c r="L2221" s="345"/>
      <c r="M2221" s="343"/>
      <c r="N2221" s="598"/>
      <c r="O2221" s="585"/>
      <c r="P2221" s="71">
        <f t="shared" si="128"/>
        <v>0</v>
      </c>
      <c r="Q2221" s="71">
        <f t="shared" si="127"/>
        <v>0</v>
      </c>
      <c r="R2221" s="93" t="str">
        <f t="shared" si="126"/>
        <v/>
      </c>
    </row>
    <row r="2222" spans="1:18" x14ac:dyDescent="0.2">
      <c r="A2222" s="432" t="str">
        <f>IF(B2222="","",COUNT('Diário 1º PA'!$A$4:$A$2635)+COUNT('Diário 2º PA'!$A$4:$A$3040)+ROW()-3)</f>
        <v/>
      </c>
      <c r="B2222" s="600"/>
      <c r="C2222" s="354"/>
      <c r="D2222" s="343"/>
      <c r="E2222" s="343"/>
      <c r="F2222" s="344"/>
      <c r="G2222" s="343"/>
      <c r="H2222" s="343"/>
      <c r="I2222" s="345"/>
      <c r="J2222" s="343"/>
      <c r="K2222" s="343"/>
      <c r="L2222" s="345"/>
      <c r="M2222" s="343"/>
      <c r="N2222" s="598"/>
      <c r="O2222" s="585"/>
      <c r="P2222" s="71">
        <f t="shared" si="128"/>
        <v>0</v>
      </c>
      <c r="Q2222" s="71">
        <f t="shared" si="127"/>
        <v>0</v>
      </c>
      <c r="R2222" s="93" t="str">
        <f t="shared" si="126"/>
        <v/>
      </c>
    </row>
    <row r="2223" spans="1:18" x14ac:dyDescent="0.2">
      <c r="A2223" s="432" t="str">
        <f>IF(B2223="","",COUNT('Diário 1º PA'!$A$4:$A$2635)+COUNT('Diário 2º PA'!$A$4:$A$3040)+ROW()-3)</f>
        <v/>
      </c>
      <c r="B2223" s="600"/>
      <c r="C2223" s="354"/>
      <c r="D2223" s="343"/>
      <c r="E2223" s="343"/>
      <c r="F2223" s="344"/>
      <c r="G2223" s="343"/>
      <c r="H2223" s="343"/>
      <c r="I2223" s="345"/>
      <c r="J2223" s="343"/>
      <c r="K2223" s="343"/>
      <c r="L2223" s="345"/>
      <c r="M2223" s="343"/>
      <c r="N2223" s="598"/>
      <c r="O2223" s="585"/>
      <c r="P2223" s="71">
        <f t="shared" si="128"/>
        <v>0</v>
      </c>
      <c r="Q2223" s="71">
        <f t="shared" si="127"/>
        <v>0</v>
      </c>
      <c r="R2223" s="93" t="str">
        <f t="shared" si="126"/>
        <v/>
      </c>
    </row>
    <row r="2224" spans="1:18" x14ac:dyDescent="0.2">
      <c r="A2224" s="432" t="str">
        <f>IF(B2224="","",COUNT('Diário 1º PA'!$A$4:$A$2635)+COUNT('Diário 2º PA'!$A$4:$A$3040)+ROW()-3)</f>
        <v/>
      </c>
      <c r="B2224" s="600"/>
      <c r="C2224" s="354"/>
      <c r="D2224" s="343"/>
      <c r="E2224" s="343"/>
      <c r="F2224" s="344"/>
      <c r="G2224" s="343"/>
      <c r="H2224" s="343"/>
      <c r="I2224" s="345"/>
      <c r="J2224" s="343"/>
      <c r="K2224" s="343"/>
      <c r="L2224" s="345"/>
      <c r="M2224" s="343"/>
      <c r="N2224" s="598"/>
      <c r="O2224" s="585"/>
      <c r="P2224" s="71">
        <f t="shared" si="128"/>
        <v>0</v>
      </c>
      <c r="Q2224" s="71">
        <f t="shared" si="127"/>
        <v>0</v>
      </c>
      <c r="R2224" s="93" t="str">
        <f t="shared" si="126"/>
        <v/>
      </c>
    </row>
    <row r="2225" spans="1:18" x14ac:dyDescent="0.2">
      <c r="A2225" s="432" t="str">
        <f>IF(B2225="","",COUNT('Diário 1º PA'!$A$4:$A$2635)+COUNT('Diário 2º PA'!$A$4:$A$3040)+ROW()-3)</f>
        <v/>
      </c>
      <c r="B2225" s="600"/>
      <c r="C2225" s="354"/>
      <c r="D2225" s="343"/>
      <c r="E2225" s="343"/>
      <c r="F2225" s="344"/>
      <c r="G2225" s="343"/>
      <c r="H2225" s="343"/>
      <c r="I2225" s="345"/>
      <c r="J2225" s="343"/>
      <c r="K2225" s="343"/>
      <c r="L2225" s="345"/>
      <c r="M2225" s="343"/>
      <c r="N2225" s="598"/>
      <c r="O2225" s="585"/>
      <c r="P2225" s="71">
        <f t="shared" si="128"/>
        <v>0</v>
      </c>
      <c r="Q2225" s="71">
        <f t="shared" si="127"/>
        <v>0</v>
      </c>
      <c r="R2225" s="93" t="str">
        <f t="shared" si="126"/>
        <v/>
      </c>
    </row>
    <row r="2226" spans="1:18" x14ac:dyDescent="0.2">
      <c r="A2226" s="432" t="str">
        <f>IF(B2226="","",COUNT('Diário 1º PA'!$A$4:$A$2635)+COUNT('Diário 2º PA'!$A$4:$A$3040)+ROW()-3)</f>
        <v/>
      </c>
      <c r="B2226" s="600"/>
      <c r="C2226" s="354"/>
      <c r="D2226" s="343"/>
      <c r="E2226" s="343"/>
      <c r="F2226" s="344"/>
      <c r="G2226" s="343"/>
      <c r="H2226" s="343"/>
      <c r="I2226" s="345"/>
      <c r="J2226" s="343"/>
      <c r="K2226" s="343"/>
      <c r="L2226" s="345"/>
      <c r="M2226" s="343"/>
      <c r="N2226" s="598"/>
      <c r="O2226" s="585"/>
      <c r="P2226" s="71">
        <f t="shared" si="128"/>
        <v>0</v>
      </c>
      <c r="Q2226" s="71">
        <f t="shared" si="127"/>
        <v>0</v>
      </c>
      <c r="R2226" s="93" t="str">
        <f t="shared" si="126"/>
        <v/>
      </c>
    </row>
    <row r="2227" spans="1:18" x14ac:dyDescent="0.2">
      <c r="A2227" s="432" t="str">
        <f>IF(B2227="","",COUNT('Diário 1º PA'!$A$4:$A$2635)+COUNT('Diário 2º PA'!$A$4:$A$3040)+ROW()-3)</f>
        <v/>
      </c>
      <c r="B2227" s="600"/>
      <c r="C2227" s="354"/>
      <c r="D2227" s="343"/>
      <c r="E2227" s="343"/>
      <c r="F2227" s="344"/>
      <c r="G2227" s="343"/>
      <c r="H2227" s="343"/>
      <c r="I2227" s="345"/>
      <c r="J2227" s="343"/>
      <c r="K2227" s="343"/>
      <c r="L2227" s="345"/>
      <c r="M2227" s="343"/>
      <c r="N2227" s="598"/>
      <c r="O2227" s="585"/>
      <c r="P2227" s="71">
        <f t="shared" si="128"/>
        <v>0</v>
      </c>
      <c r="Q2227" s="71">
        <f t="shared" si="127"/>
        <v>0</v>
      </c>
      <c r="R2227" s="93" t="str">
        <f t="shared" si="126"/>
        <v/>
      </c>
    </row>
    <row r="2228" spans="1:18" x14ac:dyDescent="0.2">
      <c r="A2228" s="432" t="str">
        <f>IF(B2228="","",COUNT('Diário 1º PA'!$A$4:$A$2635)+COUNT('Diário 2º PA'!$A$4:$A$3040)+ROW()-3)</f>
        <v/>
      </c>
      <c r="B2228" s="600"/>
      <c r="C2228" s="354"/>
      <c r="D2228" s="343"/>
      <c r="E2228" s="343"/>
      <c r="F2228" s="344"/>
      <c r="G2228" s="343"/>
      <c r="H2228" s="343"/>
      <c r="I2228" s="345"/>
      <c r="J2228" s="343"/>
      <c r="K2228" s="343"/>
      <c r="L2228" s="345"/>
      <c r="M2228" s="343"/>
      <c r="N2228" s="598"/>
      <c r="O2228" s="585"/>
      <c r="P2228" s="71">
        <f t="shared" si="128"/>
        <v>0</v>
      </c>
      <c r="Q2228" s="71">
        <f t="shared" si="127"/>
        <v>0</v>
      </c>
      <c r="R2228" s="93" t="str">
        <f t="shared" si="126"/>
        <v/>
      </c>
    </row>
    <row r="2229" spans="1:18" x14ac:dyDescent="0.2">
      <c r="A2229" s="432" t="str">
        <f>IF(B2229="","",COUNT('Diário 1º PA'!$A$4:$A$2635)+COUNT('Diário 2º PA'!$A$4:$A$3040)+ROW()-3)</f>
        <v/>
      </c>
      <c r="B2229" s="600"/>
      <c r="C2229" s="354"/>
      <c r="D2229" s="343"/>
      <c r="E2229" s="343"/>
      <c r="F2229" s="344"/>
      <c r="G2229" s="343"/>
      <c r="H2229" s="343"/>
      <c r="I2229" s="345"/>
      <c r="J2229" s="343"/>
      <c r="K2229" s="343"/>
      <c r="L2229" s="345"/>
      <c r="M2229" s="343"/>
      <c r="N2229" s="598"/>
      <c r="O2229" s="585"/>
      <c r="P2229" s="71">
        <f t="shared" si="128"/>
        <v>0</v>
      </c>
      <c r="Q2229" s="71">
        <f t="shared" si="127"/>
        <v>0</v>
      </c>
      <c r="R2229" s="93" t="str">
        <f t="shared" si="126"/>
        <v/>
      </c>
    </row>
    <row r="2230" spans="1:18" x14ac:dyDescent="0.2">
      <c r="A2230" s="432" t="str">
        <f>IF(B2230="","",COUNT('Diário 1º PA'!$A$4:$A$2635)+COUNT('Diário 2º PA'!$A$4:$A$3040)+ROW()-3)</f>
        <v/>
      </c>
      <c r="B2230" s="600"/>
      <c r="C2230" s="354"/>
      <c r="D2230" s="343"/>
      <c r="E2230" s="343"/>
      <c r="F2230" s="344"/>
      <c r="G2230" s="343"/>
      <c r="H2230" s="343"/>
      <c r="I2230" s="345"/>
      <c r="J2230" s="343"/>
      <c r="K2230" s="343"/>
      <c r="L2230" s="345"/>
      <c r="M2230" s="343"/>
      <c r="N2230" s="598"/>
      <c r="O2230" s="585"/>
      <c r="P2230" s="71">
        <f t="shared" si="128"/>
        <v>0</v>
      </c>
      <c r="Q2230" s="71">
        <f t="shared" si="127"/>
        <v>0</v>
      </c>
      <c r="R2230" s="93" t="str">
        <f t="shared" si="126"/>
        <v/>
      </c>
    </row>
    <row r="2231" spans="1:18" x14ac:dyDescent="0.2">
      <c r="A2231" s="432" t="str">
        <f>IF(B2231="","",COUNT('Diário 1º PA'!$A$4:$A$2635)+COUNT('Diário 2º PA'!$A$4:$A$3040)+ROW()-3)</f>
        <v/>
      </c>
      <c r="B2231" s="600"/>
      <c r="C2231" s="354"/>
      <c r="D2231" s="343"/>
      <c r="E2231" s="343"/>
      <c r="F2231" s="344"/>
      <c r="G2231" s="343"/>
      <c r="H2231" s="343"/>
      <c r="I2231" s="345"/>
      <c r="J2231" s="343"/>
      <c r="K2231" s="343"/>
      <c r="L2231" s="345"/>
      <c r="M2231" s="343"/>
      <c r="N2231" s="598"/>
      <c r="O2231" s="585"/>
      <c r="P2231" s="71">
        <f t="shared" si="128"/>
        <v>0</v>
      </c>
      <c r="Q2231" s="71">
        <f t="shared" si="127"/>
        <v>0</v>
      </c>
      <c r="R2231" s="93" t="str">
        <f t="shared" si="126"/>
        <v/>
      </c>
    </row>
    <row r="2232" spans="1:18" x14ac:dyDescent="0.2">
      <c r="A2232" s="432" t="str">
        <f>IF(B2232="","",COUNT('Diário 1º PA'!$A$4:$A$2635)+COUNT('Diário 2º PA'!$A$4:$A$3040)+ROW()-3)</f>
        <v/>
      </c>
      <c r="B2232" s="600"/>
      <c r="C2232" s="354"/>
      <c r="D2232" s="343"/>
      <c r="E2232" s="343"/>
      <c r="F2232" s="344"/>
      <c r="G2232" s="343"/>
      <c r="H2232" s="343"/>
      <c r="I2232" s="345"/>
      <c r="J2232" s="343"/>
      <c r="K2232" s="343"/>
      <c r="L2232" s="345"/>
      <c r="M2232" s="343"/>
      <c r="N2232" s="598"/>
      <c r="O2232" s="585"/>
      <c r="P2232" s="71">
        <f t="shared" si="128"/>
        <v>0</v>
      </c>
      <c r="Q2232" s="71">
        <f t="shared" si="127"/>
        <v>0</v>
      </c>
      <c r="R2232" s="93" t="str">
        <f t="shared" si="126"/>
        <v/>
      </c>
    </row>
    <row r="2233" spans="1:18" x14ac:dyDescent="0.2">
      <c r="A2233" s="432" t="str">
        <f>IF(B2233="","",COUNT('Diário 1º PA'!$A$4:$A$2635)+COUNT('Diário 2º PA'!$A$4:$A$3040)+ROW()-3)</f>
        <v/>
      </c>
      <c r="B2233" s="600"/>
      <c r="C2233" s="354"/>
      <c r="D2233" s="343"/>
      <c r="E2233" s="343"/>
      <c r="F2233" s="344"/>
      <c r="G2233" s="343"/>
      <c r="H2233" s="343"/>
      <c r="I2233" s="345"/>
      <c r="J2233" s="343"/>
      <c r="K2233" s="343"/>
      <c r="L2233" s="345"/>
      <c r="M2233" s="343"/>
      <c r="N2233" s="598"/>
      <c r="O2233" s="585"/>
      <c r="P2233" s="71">
        <f t="shared" si="128"/>
        <v>0</v>
      </c>
      <c r="Q2233" s="71">
        <f t="shared" si="127"/>
        <v>0</v>
      </c>
      <c r="R2233" s="93" t="str">
        <f t="shared" si="126"/>
        <v/>
      </c>
    </row>
    <row r="2234" spans="1:18" x14ac:dyDescent="0.2">
      <c r="A2234" s="432" t="str">
        <f>IF(B2234="","",COUNT('Diário 1º PA'!$A$4:$A$2635)+COUNT('Diário 2º PA'!$A$4:$A$3040)+ROW()-3)</f>
        <v/>
      </c>
      <c r="B2234" s="600"/>
      <c r="C2234" s="354"/>
      <c r="D2234" s="343"/>
      <c r="E2234" s="343"/>
      <c r="F2234" s="344"/>
      <c r="G2234" s="343"/>
      <c r="H2234" s="343"/>
      <c r="I2234" s="345"/>
      <c r="J2234" s="343"/>
      <c r="K2234" s="343"/>
      <c r="L2234" s="345"/>
      <c r="M2234" s="343"/>
      <c r="N2234" s="598"/>
      <c r="O2234" s="585"/>
      <c r="P2234" s="71">
        <f t="shared" si="128"/>
        <v>0</v>
      </c>
      <c r="Q2234" s="71">
        <f t="shared" si="127"/>
        <v>0</v>
      </c>
      <c r="R2234" s="93" t="str">
        <f t="shared" si="126"/>
        <v/>
      </c>
    </row>
    <row r="2235" spans="1:18" x14ac:dyDescent="0.2">
      <c r="A2235" s="432" t="str">
        <f>IF(B2235="","",COUNT('Diário 1º PA'!$A$4:$A$2635)+COUNT('Diário 2º PA'!$A$4:$A$3040)+ROW()-3)</f>
        <v/>
      </c>
      <c r="B2235" s="600"/>
      <c r="C2235" s="354"/>
      <c r="D2235" s="343"/>
      <c r="E2235" s="343"/>
      <c r="F2235" s="344"/>
      <c r="G2235" s="343"/>
      <c r="H2235" s="343"/>
      <c r="I2235" s="345"/>
      <c r="J2235" s="343"/>
      <c r="K2235" s="343"/>
      <c r="L2235" s="345"/>
      <c r="M2235" s="343"/>
      <c r="N2235" s="598"/>
      <c r="O2235" s="585"/>
      <c r="P2235" s="71">
        <f t="shared" si="128"/>
        <v>0</v>
      </c>
      <c r="Q2235" s="71">
        <f t="shared" si="127"/>
        <v>0</v>
      </c>
      <c r="R2235" s="93" t="str">
        <f t="shared" si="126"/>
        <v/>
      </c>
    </row>
    <row r="2236" spans="1:18" x14ac:dyDescent="0.2">
      <c r="A2236" s="432" t="str">
        <f>IF(B2236="","",COUNT('Diário 1º PA'!$A$4:$A$2635)+COUNT('Diário 2º PA'!$A$4:$A$3040)+ROW()-3)</f>
        <v/>
      </c>
      <c r="B2236" s="600"/>
      <c r="C2236" s="354"/>
      <c r="D2236" s="343"/>
      <c r="E2236" s="343"/>
      <c r="F2236" s="344"/>
      <c r="G2236" s="343"/>
      <c r="H2236" s="343"/>
      <c r="I2236" s="345"/>
      <c r="J2236" s="343"/>
      <c r="K2236" s="343"/>
      <c r="L2236" s="345"/>
      <c r="M2236" s="343"/>
      <c r="N2236" s="598"/>
      <c r="O2236" s="585"/>
      <c r="P2236" s="71">
        <f t="shared" si="128"/>
        <v>0</v>
      </c>
      <c r="Q2236" s="71">
        <f t="shared" si="127"/>
        <v>0</v>
      </c>
      <c r="R2236" s="93" t="str">
        <f t="shared" si="126"/>
        <v/>
      </c>
    </row>
    <row r="2237" spans="1:18" x14ac:dyDescent="0.2">
      <c r="A2237" s="432" t="str">
        <f>IF(B2237="","",COUNT('Diário 1º PA'!$A$4:$A$2635)+COUNT('Diário 2º PA'!$A$4:$A$3040)+ROW()-3)</f>
        <v/>
      </c>
      <c r="B2237" s="600"/>
      <c r="C2237" s="354"/>
      <c r="D2237" s="343"/>
      <c r="E2237" s="343"/>
      <c r="F2237" s="344"/>
      <c r="G2237" s="343"/>
      <c r="H2237" s="343"/>
      <c r="I2237" s="345"/>
      <c r="J2237" s="343"/>
      <c r="K2237" s="343"/>
      <c r="L2237" s="345"/>
      <c r="M2237" s="343"/>
      <c r="N2237" s="598"/>
      <c r="O2237" s="585"/>
      <c r="P2237" s="71">
        <f t="shared" si="128"/>
        <v>0</v>
      </c>
      <c r="Q2237" s="71">
        <f t="shared" si="127"/>
        <v>0</v>
      </c>
      <c r="R2237" s="93" t="str">
        <f t="shared" si="126"/>
        <v/>
      </c>
    </row>
    <row r="2238" spans="1:18" x14ac:dyDescent="0.2">
      <c r="A2238" s="432" t="str">
        <f>IF(B2238="","",COUNT('Diário 1º PA'!$A$4:$A$2635)+COUNT('Diário 2º PA'!$A$4:$A$3040)+ROW()-3)</f>
        <v/>
      </c>
      <c r="B2238" s="600"/>
      <c r="C2238" s="354"/>
      <c r="D2238" s="343"/>
      <c r="E2238" s="343"/>
      <c r="F2238" s="344"/>
      <c r="G2238" s="343"/>
      <c r="H2238" s="343"/>
      <c r="I2238" s="345"/>
      <c r="J2238" s="343"/>
      <c r="K2238" s="343"/>
      <c r="L2238" s="345"/>
      <c r="M2238" s="343"/>
      <c r="N2238" s="598"/>
      <c r="O2238" s="585"/>
      <c r="P2238" s="71">
        <f t="shared" si="128"/>
        <v>0</v>
      </c>
      <c r="Q2238" s="71">
        <f t="shared" si="127"/>
        <v>0</v>
      </c>
      <c r="R2238" s="93" t="str">
        <f t="shared" si="126"/>
        <v/>
      </c>
    </row>
    <row r="2239" spans="1:18" x14ac:dyDescent="0.2">
      <c r="A2239" s="432" t="str">
        <f>IF(B2239="","",COUNT('Diário 1º PA'!$A$4:$A$2635)+COUNT('Diário 2º PA'!$A$4:$A$3040)+ROW()-3)</f>
        <v/>
      </c>
      <c r="B2239" s="600"/>
      <c r="C2239" s="354"/>
      <c r="D2239" s="343"/>
      <c r="E2239" s="343"/>
      <c r="F2239" s="344"/>
      <c r="G2239" s="343"/>
      <c r="H2239" s="343"/>
      <c r="I2239" s="345"/>
      <c r="J2239" s="343"/>
      <c r="K2239" s="343"/>
      <c r="L2239" s="345"/>
      <c r="M2239" s="343"/>
      <c r="N2239" s="598"/>
      <c r="O2239" s="585"/>
      <c r="P2239" s="71">
        <f t="shared" si="128"/>
        <v>0</v>
      </c>
      <c r="Q2239" s="71">
        <f t="shared" si="127"/>
        <v>0</v>
      </c>
      <c r="R2239" s="93" t="str">
        <f t="shared" si="126"/>
        <v/>
      </c>
    </row>
    <row r="2240" spans="1:18" x14ac:dyDescent="0.2">
      <c r="A2240" s="432" t="str">
        <f>IF(B2240="","",COUNT('Diário 1º PA'!$A$4:$A$2635)+COUNT('Diário 2º PA'!$A$4:$A$3040)+ROW()-3)</f>
        <v/>
      </c>
      <c r="B2240" s="600"/>
      <c r="C2240" s="354"/>
      <c r="D2240" s="343"/>
      <c r="E2240" s="343"/>
      <c r="F2240" s="344"/>
      <c r="G2240" s="343"/>
      <c r="H2240" s="343"/>
      <c r="I2240" s="345"/>
      <c r="J2240" s="343"/>
      <c r="K2240" s="343"/>
      <c r="L2240" s="345"/>
      <c r="M2240" s="343"/>
      <c r="N2240" s="598"/>
      <c r="O2240" s="585"/>
      <c r="P2240" s="71">
        <f t="shared" si="128"/>
        <v>0</v>
      </c>
      <c r="Q2240" s="71">
        <f t="shared" si="127"/>
        <v>0</v>
      </c>
      <c r="R2240" s="93" t="str">
        <f t="shared" si="126"/>
        <v/>
      </c>
    </row>
    <row r="2241" spans="1:18" x14ac:dyDescent="0.2">
      <c r="A2241" s="432" t="str">
        <f>IF(B2241="","",COUNT('Diário 1º PA'!$A$4:$A$2635)+COUNT('Diário 2º PA'!$A$4:$A$3040)+ROW()-3)</f>
        <v/>
      </c>
      <c r="B2241" s="600"/>
      <c r="C2241" s="354"/>
      <c r="D2241" s="343"/>
      <c r="E2241" s="343"/>
      <c r="F2241" s="344"/>
      <c r="G2241" s="343"/>
      <c r="H2241" s="343"/>
      <c r="I2241" s="345"/>
      <c r="J2241" s="343"/>
      <c r="K2241" s="343"/>
      <c r="L2241" s="345"/>
      <c r="M2241" s="343"/>
      <c r="N2241" s="598"/>
      <c r="O2241" s="585"/>
      <c r="P2241" s="71">
        <f t="shared" si="128"/>
        <v>0</v>
      </c>
      <c r="Q2241" s="71">
        <f t="shared" si="127"/>
        <v>0</v>
      </c>
      <c r="R2241" s="93" t="str">
        <f t="shared" si="126"/>
        <v/>
      </c>
    </row>
    <row r="2242" spans="1:18" x14ac:dyDescent="0.2">
      <c r="A2242" s="432" t="str">
        <f>IF(B2242="","",COUNT('Diário 1º PA'!$A$4:$A$2635)+COUNT('Diário 2º PA'!$A$4:$A$3040)+ROW()-3)</f>
        <v/>
      </c>
      <c r="B2242" s="600"/>
      <c r="C2242" s="354"/>
      <c r="D2242" s="343"/>
      <c r="E2242" s="343"/>
      <c r="F2242" s="344"/>
      <c r="G2242" s="343"/>
      <c r="H2242" s="343"/>
      <c r="I2242" s="345"/>
      <c r="J2242" s="343"/>
      <c r="K2242" s="343"/>
      <c r="L2242" s="345"/>
      <c r="M2242" s="343"/>
      <c r="N2242" s="598"/>
      <c r="O2242" s="585"/>
      <c r="P2242" s="71">
        <f t="shared" si="128"/>
        <v>0</v>
      </c>
      <c r="Q2242" s="71">
        <f t="shared" si="127"/>
        <v>0</v>
      </c>
      <c r="R2242" s="93" t="str">
        <f t="shared" si="126"/>
        <v/>
      </c>
    </row>
    <row r="2243" spans="1:18" x14ac:dyDescent="0.2">
      <c r="A2243" s="432" t="str">
        <f>IF(B2243="","",COUNT('Diário 1º PA'!$A$4:$A$2635)+COUNT('Diário 2º PA'!$A$4:$A$3040)+ROW()-3)</f>
        <v/>
      </c>
      <c r="B2243" s="600"/>
      <c r="C2243" s="354"/>
      <c r="D2243" s="343"/>
      <c r="E2243" s="343"/>
      <c r="F2243" s="344"/>
      <c r="G2243" s="343"/>
      <c r="H2243" s="343"/>
      <c r="I2243" s="345"/>
      <c r="J2243" s="343"/>
      <c r="K2243" s="343"/>
      <c r="L2243" s="345"/>
      <c r="M2243" s="343"/>
      <c r="N2243" s="598"/>
      <c r="O2243" s="585"/>
      <c r="P2243" s="71">
        <f t="shared" si="128"/>
        <v>0</v>
      </c>
      <c r="Q2243" s="71">
        <f t="shared" si="127"/>
        <v>0</v>
      </c>
      <c r="R2243" s="93" t="str">
        <f t="shared" si="126"/>
        <v/>
      </c>
    </row>
    <row r="2244" spans="1:18" x14ac:dyDescent="0.2">
      <c r="A2244" s="432" t="str">
        <f>IF(B2244="","",COUNT('Diário 1º PA'!$A$4:$A$2635)+COUNT('Diário 2º PA'!$A$4:$A$3040)+ROW()-3)</f>
        <v/>
      </c>
      <c r="B2244" s="600"/>
      <c r="C2244" s="354"/>
      <c r="D2244" s="343"/>
      <c r="E2244" s="343"/>
      <c r="F2244" s="344"/>
      <c r="G2244" s="343"/>
      <c r="H2244" s="343"/>
      <c r="I2244" s="345"/>
      <c r="J2244" s="343"/>
      <c r="K2244" s="343"/>
      <c r="L2244" s="345"/>
      <c r="M2244" s="343"/>
      <c r="N2244" s="598"/>
      <c r="O2244" s="585"/>
      <c r="P2244" s="71">
        <f t="shared" si="128"/>
        <v>0</v>
      </c>
      <c r="Q2244" s="71">
        <f t="shared" si="127"/>
        <v>0</v>
      </c>
      <c r="R2244" s="93" t="str">
        <f t="shared" ref="R2244:R2307" si="129">SUBSTITUTE(D2244," ","_")</f>
        <v/>
      </c>
    </row>
    <row r="2245" spans="1:18" x14ac:dyDescent="0.2">
      <c r="A2245" s="432" t="str">
        <f>IF(B2245="","",COUNT('Diário 1º PA'!$A$4:$A$2635)+COUNT('Diário 2º PA'!$A$4:$A$3040)+ROW()-3)</f>
        <v/>
      </c>
      <c r="B2245" s="600"/>
      <c r="C2245" s="354"/>
      <c r="D2245" s="343"/>
      <c r="E2245" s="343"/>
      <c r="F2245" s="344"/>
      <c r="G2245" s="343"/>
      <c r="H2245" s="343"/>
      <c r="I2245" s="345"/>
      <c r="J2245" s="343"/>
      <c r="K2245" s="343"/>
      <c r="L2245" s="345"/>
      <c r="M2245" s="343"/>
      <c r="N2245" s="598"/>
      <c r="O2245" s="585"/>
      <c r="P2245" s="71">
        <f t="shared" si="128"/>
        <v>0</v>
      </c>
      <c r="Q2245" s="71">
        <f t="shared" si="127"/>
        <v>0</v>
      </c>
      <c r="R2245" s="93" t="str">
        <f t="shared" si="129"/>
        <v/>
      </c>
    </row>
    <row r="2246" spans="1:18" x14ac:dyDescent="0.2">
      <c r="A2246" s="432" t="str">
        <f>IF(B2246="","",COUNT('Diário 1º PA'!$A$4:$A$2635)+COUNT('Diário 2º PA'!$A$4:$A$3040)+ROW()-3)</f>
        <v/>
      </c>
      <c r="B2246" s="600"/>
      <c r="C2246" s="354"/>
      <c r="D2246" s="343"/>
      <c r="E2246" s="343"/>
      <c r="F2246" s="344"/>
      <c r="G2246" s="343"/>
      <c r="H2246" s="343"/>
      <c r="I2246" s="345"/>
      <c r="J2246" s="343"/>
      <c r="K2246" s="343"/>
      <c r="L2246" s="345"/>
      <c r="M2246" s="343"/>
      <c r="N2246" s="598"/>
      <c r="O2246" s="585"/>
      <c r="P2246" s="71">
        <f t="shared" si="128"/>
        <v>0</v>
      </c>
      <c r="Q2246" s="71">
        <f t="shared" si="127"/>
        <v>0</v>
      </c>
      <c r="R2246" s="93" t="str">
        <f t="shared" si="129"/>
        <v/>
      </c>
    </row>
    <row r="2247" spans="1:18" x14ac:dyDescent="0.2">
      <c r="A2247" s="432" t="str">
        <f>IF(B2247="","",COUNT('Diário 1º PA'!$A$4:$A$2635)+COUNT('Diário 2º PA'!$A$4:$A$3040)+ROW()-3)</f>
        <v/>
      </c>
      <c r="B2247" s="600"/>
      <c r="C2247" s="354"/>
      <c r="D2247" s="343"/>
      <c r="E2247" s="343"/>
      <c r="F2247" s="344"/>
      <c r="G2247" s="343"/>
      <c r="H2247" s="343"/>
      <c r="I2247" s="345"/>
      <c r="J2247" s="343"/>
      <c r="K2247" s="343"/>
      <c r="L2247" s="345"/>
      <c r="M2247" s="343"/>
      <c r="N2247" s="598"/>
      <c r="O2247" s="585"/>
      <c r="P2247" s="71">
        <f t="shared" si="128"/>
        <v>0</v>
      </c>
      <c r="Q2247" s="71">
        <f t="shared" si="127"/>
        <v>0</v>
      </c>
      <c r="R2247" s="93" t="str">
        <f t="shared" si="129"/>
        <v/>
      </c>
    </row>
    <row r="2248" spans="1:18" x14ac:dyDescent="0.2">
      <c r="A2248" s="432" t="str">
        <f>IF(B2248="","",COUNT('Diário 1º PA'!$A$4:$A$2635)+COUNT('Diário 2º PA'!$A$4:$A$3040)+ROW()-3)</f>
        <v/>
      </c>
      <c r="B2248" s="600"/>
      <c r="C2248" s="354"/>
      <c r="D2248" s="343"/>
      <c r="E2248" s="343"/>
      <c r="F2248" s="344"/>
      <c r="G2248" s="343"/>
      <c r="H2248" s="343"/>
      <c r="I2248" s="345"/>
      <c r="J2248" s="343"/>
      <c r="K2248" s="343"/>
      <c r="L2248" s="345"/>
      <c r="M2248" s="343"/>
      <c r="N2248" s="598"/>
      <c r="O2248" s="585"/>
      <c r="P2248" s="71">
        <f t="shared" si="128"/>
        <v>0</v>
      </c>
      <c r="Q2248" s="71">
        <f t="shared" si="127"/>
        <v>0</v>
      </c>
      <c r="R2248" s="93" t="str">
        <f t="shared" si="129"/>
        <v/>
      </c>
    </row>
    <row r="2249" spans="1:18" x14ac:dyDescent="0.2">
      <c r="A2249" s="432" t="str">
        <f>IF(B2249="","",COUNT('Diário 1º PA'!$A$4:$A$2635)+COUNT('Diário 2º PA'!$A$4:$A$3040)+ROW()-3)</f>
        <v/>
      </c>
      <c r="B2249" s="600"/>
      <c r="C2249" s="354"/>
      <c r="D2249" s="343"/>
      <c r="E2249" s="343"/>
      <c r="F2249" s="344"/>
      <c r="G2249" s="343"/>
      <c r="H2249" s="343"/>
      <c r="I2249" s="345"/>
      <c r="J2249" s="343"/>
      <c r="K2249" s="343"/>
      <c r="L2249" s="345"/>
      <c r="M2249" s="343"/>
      <c r="N2249" s="598"/>
      <c r="O2249" s="585"/>
      <c r="P2249" s="71">
        <f t="shared" si="128"/>
        <v>0</v>
      </c>
      <c r="Q2249" s="71">
        <f t="shared" si="127"/>
        <v>0</v>
      </c>
      <c r="R2249" s="93" t="str">
        <f t="shared" si="129"/>
        <v/>
      </c>
    </row>
    <row r="2250" spans="1:18" x14ac:dyDescent="0.2">
      <c r="A2250" s="432" t="str">
        <f>IF(B2250="","",COUNT('Diário 1º PA'!$A$4:$A$2635)+COUNT('Diário 2º PA'!$A$4:$A$3040)+ROW()-3)</f>
        <v/>
      </c>
      <c r="B2250" s="600"/>
      <c r="C2250" s="354"/>
      <c r="D2250" s="343"/>
      <c r="E2250" s="343"/>
      <c r="F2250" s="344"/>
      <c r="G2250" s="343"/>
      <c r="H2250" s="343"/>
      <c r="I2250" s="345"/>
      <c r="J2250" s="343"/>
      <c r="K2250" s="343"/>
      <c r="L2250" s="345"/>
      <c r="M2250" s="343"/>
      <c r="N2250" s="598"/>
      <c r="O2250" s="585"/>
      <c r="P2250" s="71">
        <f t="shared" si="128"/>
        <v>0</v>
      </c>
      <c r="Q2250" s="71">
        <f t="shared" si="127"/>
        <v>0</v>
      </c>
      <c r="R2250" s="93" t="str">
        <f t="shared" si="129"/>
        <v/>
      </c>
    </row>
    <row r="2251" spans="1:18" x14ac:dyDescent="0.2">
      <c r="A2251" s="432" t="str">
        <f>IF(B2251="","",COUNT('Diário 1º PA'!$A$4:$A$2635)+COUNT('Diário 2º PA'!$A$4:$A$3040)+ROW()-3)</f>
        <v/>
      </c>
      <c r="B2251" s="600"/>
      <c r="C2251" s="354"/>
      <c r="D2251" s="343"/>
      <c r="E2251" s="343"/>
      <c r="F2251" s="344"/>
      <c r="G2251" s="343"/>
      <c r="H2251" s="343"/>
      <c r="I2251" s="345"/>
      <c r="J2251" s="343"/>
      <c r="K2251" s="343"/>
      <c r="L2251" s="345"/>
      <c r="M2251" s="343"/>
      <c r="N2251" s="598"/>
      <c r="O2251" s="585"/>
      <c r="P2251" s="71">
        <f t="shared" si="128"/>
        <v>0</v>
      </c>
      <c r="Q2251" s="71">
        <f t="shared" si="127"/>
        <v>0</v>
      </c>
      <c r="R2251" s="93" t="str">
        <f t="shared" si="129"/>
        <v/>
      </c>
    </row>
    <row r="2252" spans="1:18" x14ac:dyDescent="0.2">
      <c r="A2252" s="432" t="str">
        <f>IF(B2252="","",COUNT('Diário 1º PA'!$A$4:$A$2635)+COUNT('Diário 2º PA'!$A$4:$A$3040)+ROW()-3)</f>
        <v/>
      </c>
      <c r="B2252" s="600"/>
      <c r="C2252" s="354"/>
      <c r="D2252" s="343"/>
      <c r="E2252" s="343"/>
      <c r="F2252" s="344"/>
      <c r="G2252" s="343"/>
      <c r="H2252" s="343"/>
      <c r="I2252" s="345"/>
      <c r="J2252" s="343"/>
      <c r="K2252" s="343"/>
      <c r="L2252" s="345"/>
      <c r="M2252" s="343"/>
      <c r="N2252" s="598"/>
      <c r="O2252" s="585"/>
      <c r="P2252" s="71">
        <f t="shared" si="128"/>
        <v>0</v>
      </c>
      <c r="Q2252" s="71">
        <f t="shared" si="127"/>
        <v>0</v>
      </c>
      <c r="R2252" s="93" t="str">
        <f t="shared" si="129"/>
        <v/>
      </c>
    </row>
    <row r="2253" spans="1:18" x14ac:dyDescent="0.2">
      <c r="A2253" s="432" t="str">
        <f>IF(B2253="","",COUNT('Diário 1º PA'!$A$4:$A$2635)+COUNT('Diário 2º PA'!$A$4:$A$3040)+ROW()-3)</f>
        <v/>
      </c>
      <c r="B2253" s="600"/>
      <c r="C2253" s="354"/>
      <c r="D2253" s="343"/>
      <c r="E2253" s="343"/>
      <c r="F2253" s="344"/>
      <c r="G2253" s="343"/>
      <c r="H2253" s="343"/>
      <c r="I2253" s="345"/>
      <c r="J2253" s="343"/>
      <c r="K2253" s="343"/>
      <c r="L2253" s="345"/>
      <c r="M2253" s="343"/>
      <c r="N2253" s="598"/>
      <c r="O2253" s="585"/>
      <c r="P2253" s="71">
        <f t="shared" si="128"/>
        <v>0</v>
      </c>
      <c r="Q2253" s="71">
        <f t="shared" si="127"/>
        <v>0</v>
      </c>
      <c r="R2253" s="93" t="str">
        <f t="shared" si="129"/>
        <v/>
      </c>
    </row>
    <row r="2254" spans="1:18" x14ac:dyDescent="0.2">
      <c r="A2254" s="432" t="str">
        <f>IF(B2254="","",COUNT('Diário 1º PA'!$A$4:$A$2635)+COUNT('Diário 2º PA'!$A$4:$A$3040)+ROW()-3)</f>
        <v/>
      </c>
      <c r="B2254" s="600"/>
      <c r="C2254" s="354"/>
      <c r="D2254" s="343"/>
      <c r="E2254" s="343"/>
      <c r="F2254" s="344"/>
      <c r="G2254" s="343"/>
      <c r="H2254" s="343"/>
      <c r="I2254" s="345"/>
      <c r="J2254" s="343"/>
      <c r="K2254" s="343"/>
      <c r="L2254" s="345"/>
      <c r="M2254" s="343"/>
      <c r="N2254" s="598"/>
      <c r="O2254" s="585"/>
      <c r="P2254" s="71">
        <f t="shared" si="128"/>
        <v>0</v>
      </c>
      <c r="Q2254" s="71">
        <f t="shared" si="127"/>
        <v>0</v>
      </c>
      <c r="R2254" s="93" t="str">
        <f t="shared" si="129"/>
        <v/>
      </c>
    </row>
    <row r="2255" spans="1:18" x14ac:dyDescent="0.2">
      <c r="A2255" s="432" t="str">
        <f>IF(B2255="","",COUNT('Diário 1º PA'!$A$4:$A$2635)+COUNT('Diário 2º PA'!$A$4:$A$3040)+ROW()-3)</f>
        <v/>
      </c>
      <c r="B2255" s="600"/>
      <c r="C2255" s="354"/>
      <c r="D2255" s="343"/>
      <c r="E2255" s="343"/>
      <c r="F2255" s="344"/>
      <c r="G2255" s="343"/>
      <c r="H2255" s="343"/>
      <c r="I2255" s="345"/>
      <c r="J2255" s="343"/>
      <c r="K2255" s="343"/>
      <c r="L2255" s="345"/>
      <c r="M2255" s="343"/>
      <c r="N2255" s="598"/>
      <c r="O2255" s="585"/>
      <c r="P2255" s="71">
        <f t="shared" si="128"/>
        <v>0</v>
      </c>
      <c r="Q2255" s="71">
        <f t="shared" ref="Q2255:Q2318" si="130">IF(C2255=0,0,IF(YEAR(C2255)=$Q$1,MONTH(C2255)-$P$1+1,(YEAR(C2255)-$Q$1)*12-$P$1+1+MONTH(C2255)))</f>
        <v>0</v>
      </c>
      <c r="R2255" s="93" t="str">
        <f t="shared" si="129"/>
        <v/>
      </c>
    </row>
    <row r="2256" spans="1:18" x14ac:dyDescent="0.2">
      <c r="A2256" s="432" t="str">
        <f>IF(B2256="","",COUNT('Diário 1º PA'!$A$4:$A$2635)+COUNT('Diário 2º PA'!$A$4:$A$3040)+ROW()-3)</f>
        <v/>
      </c>
      <c r="B2256" s="600"/>
      <c r="C2256" s="354"/>
      <c r="D2256" s="343"/>
      <c r="E2256" s="343"/>
      <c r="F2256" s="344"/>
      <c r="G2256" s="343"/>
      <c r="H2256" s="343"/>
      <c r="I2256" s="345"/>
      <c r="J2256" s="343"/>
      <c r="K2256" s="343"/>
      <c r="L2256" s="345"/>
      <c r="M2256" s="343"/>
      <c r="N2256" s="598"/>
      <c r="O2256" s="585"/>
      <c r="P2256" s="71">
        <f t="shared" si="128"/>
        <v>0</v>
      </c>
      <c r="Q2256" s="71">
        <f t="shared" si="130"/>
        <v>0</v>
      </c>
      <c r="R2256" s="93" t="str">
        <f t="shared" si="129"/>
        <v/>
      </c>
    </row>
    <row r="2257" spans="1:18" x14ac:dyDescent="0.2">
      <c r="A2257" s="432" t="str">
        <f>IF(B2257="","",COUNT('Diário 1º PA'!$A$4:$A$2635)+COUNT('Diário 2º PA'!$A$4:$A$3040)+ROW()-3)</f>
        <v/>
      </c>
      <c r="B2257" s="600"/>
      <c r="C2257" s="354"/>
      <c r="D2257" s="343"/>
      <c r="E2257" s="343"/>
      <c r="F2257" s="344"/>
      <c r="G2257" s="343"/>
      <c r="H2257" s="343"/>
      <c r="I2257" s="345"/>
      <c r="J2257" s="343"/>
      <c r="K2257" s="343"/>
      <c r="L2257" s="345"/>
      <c r="M2257" s="343"/>
      <c r="N2257" s="598"/>
      <c r="O2257" s="585"/>
      <c r="P2257" s="71">
        <f t="shared" ref="P2257:P2320" si="131">IF(B2257=0,0,IF(YEAR(B2257)=$Q$1,MONTH(B2257)-$P$1+1,(YEAR(B2257)-$Q$1)*12-$P$1+1+MONTH(B2257)))</f>
        <v>0</v>
      </c>
      <c r="Q2257" s="71">
        <f t="shared" si="130"/>
        <v>0</v>
      </c>
      <c r="R2257" s="93" t="str">
        <f t="shared" si="129"/>
        <v/>
      </c>
    </row>
    <row r="2258" spans="1:18" x14ac:dyDescent="0.2">
      <c r="A2258" s="432" t="str">
        <f>IF(B2258="","",COUNT('Diário 1º PA'!$A$4:$A$2635)+COUNT('Diário 2º PA'!$A$4:$A$3040)+ROW()-3)</f>
        <v/>
      </c>
      <c r="B2258" s="600"/>
      <c r="C2258" s="354"/>
      <c r="D2258" s="343"/>
      <c r="E2258" s="343"/>
      <c r="F2258" s="344"/>
      <c r="G2258" s="343"/>
      <c r="H2258" s="343"/>
      <c r="I2258" s="345"/>
      <c r="J2258" s="343"/>
      <c r="K2258" s="343"/>
      <c r="L2258" s="345"/>
      <c r="M2258" s="343"/>
      <c r="N2258" s="598"/>
      <c r="O2258" s="585"/>
      <c r="P2258" s="71">
        <f t="shared" si="131"/>
        <v>0</v>
      </c>
      <c r="Q2258" s="71">
        <f t="shared" si="130"/>
        <v>0</v>
      </c>
      <c r="R2258" s="93" t="str">
        <f t="shared" si="129"/>
        <v/>
      </c>
    </row>
    <row r="2259" spans="1:18" x14ac:dyDescent="0.2">
      <c r="A2259" s="432" t="str">
        <f>IF(B2259="","",COUNT('Diário 1º PA'!$A$4:$A$2635)+COUNT('Diário 2º PA'!$A$4:$A$3040)+ROW()-3)</f>
        <v/>
      </c>
      <c r="B2259" s="600"/>
      <c r="C2259" s="354"/>
      <c r="D2259" s="343"/>
      <c r="E2259" s="343"/>
      <c r="F2259" s="344"/>
      <c r="G2259" s="343"/>
      <c r="H2259" s="343"/>
      <c r="I2259" s="345"/>
      <c r="J2259" s="343"/>
      <c r="K2259" s="343"/>
      <c r="L2259" s="345"/>
      <c r="M2259" s="343"/>
      <c r="N2259" s="598"/>
      <c r="O2259" s="585"/>
      <c r="P2259" s="71">
        <f t="shared" si="131"/>
        <v>0</v>
      </c>
      <c r="Q2259" s="71">
        <f t="shared" si="130"/>
        <v>0</v>
      </c>
      <c r="R2259" s="93" t="str">
        <f t="shared" si="129"/>
        <v/>
      </c>
    </row>
    <row r="2260" spans="1:18" x14ac:dyDescent="0.2">
      <c r="A2260" s="432" t="str">
        <f>IF(B2260="","",COUNT('Diário 1º PA'!$A$4:$A$2635)+COUNT('Diário 2º PA'!$A$4:$A$3040)+ROW()-3)</f>
        <v/>
      </c>
      <c r="B2260" s="600"/>
      <c r="C2260" s="354"/>
      <c r="D2260" s="343"/>
      <c r="E2260" s="343"/>
      <c r="F2260" s="344"/>
      <c r="G2260" s="343"/>
      <c r="H2260" s="343"/>
      <c r="I2260" s="345"/>
      <c r="J2260" s="343"/>
      <c r="K2260" s="343"/>
      <c r="L2260" s="345"/>
      <c r="M2260" s="343"/>
      <c r="N2260" s="598"/>
      <c r="O2260" s="585"/>
      <c r="P2260" s="71">
        <f t="shared" si="131"/>
        <v>0</v>
      </c>
      <c r="Q2260" s="71">
        <f t="shared" si="130"/>
        <v>0</v>
      </c>
      <c r="R2260" s="93" t="str">
        <f t="shared" si="129"/>
        <v/>
      </c>
    </row>
    <row r="2261" spans="1:18" x14ac:dyDescent="0.2">
      <c r="A2261" s="432" t="str">
        <f>IF(B2261="","",COUNT('Diário 1º PA'!$A$4:$A$2635)+COUNT('Diário 2º PA'!$A$4:$A$3040)+ROW()-3)</f>
        <v/>
      </c>
      <c r="B2261" s="600"/>
      <c r="C2261" s="354"/>
      <c r="D2261" s="343"/>
      <c r="E2261" s="343"/>
      <c r="F2261" s="344"/>
      <c r="G2261" s="343"/>
      <c r="H2261" s="343"/>
      <c r="I2261" s="345"/>
      <c r="J2261" s="343"/>
      <c r="K2261" s="343"/>
      <c r="L2261" s="345"/>
      <c r="M2261" s="343"/>
      <c r="N2261" s="598"/>
      <c r="O2261" s="585"/>
      <c r="P2261" s="71">
        <f t="shared" si="131"/>
        <v>0</v>
      </c>
      <c r="Q2261" s="71">
        <f t="shared" si="130"/>
        <v>0</v>
      </c>
      <c r="R2261" s="93" t="str">
        <f t="shared" si="129"/>
        <v/>
      </c>
    </row>
    <row r="2262" spans="1:18" x14ac:dyDescent="0.2">
      <c r="A2262" s="432" t="str">
        <f>IF(B2262="","",COUNT('Diário 1º PA'!$A$4:$A$2635)+COUNT('Diário 2º PA'!$A$4:$A$3040)+ROW()-3)</f>
        <v/>
      </c>
      <c r="B2262" s="600"/>
      <c r="C2262" s="354"/>
      <c r="D2262" s="343"/>
      <c r="E2262" s="343"/>
      <c r="F2262" s="344"/>
      <c r="G2262" s="343"/>
      <c r="H2262" s="343"/>
      <c r="I2262" s="345"/>
      <c r="J2262" s="343"/>
      <c r="K2262" s="343"/>
      <c r="L2262" s="345"/>
      <c r="M2262" s="343"/>
      <c r="N2262" s="598"/>
      <c r="O2262" s="585"/>
      <c r="P2262" s="71">
        <f t="shared" si="131"/>
        <v>0</v>
      </c>
      <c r="Q2262" s="71">
        <f t="shared" si="130"/>
        <v>0</v>
      </c>
      <c r="R2262" s="93" t="str">
        <f t="shared" si="129"/>
        <v/>
      </c>
    </row>
    <row r="2263" spans="1:18" x14ac:dyDescent="0.2">
      <c r="A2263" s="432" t="str">
        <f>IF(B2263="","",COUNT('Diário 1º PA'!$A$4:$A$2635)+COUNT('Diário 2º PA'!$A$4:$A$3040)+ROW()-3)</f>
        <v/>
      </c>
      <c r="B2263" s="600"/>
      <c r="C2263" s="354"/>
      <c r="D2263" s="343"/>
      <c r="E2263" s="343"/>
      <c r="F2263" s="344"/>
      <c r="G2263" s="343"/>
      <c r="H2263" s="343"/>
      <c r="I2263" s="345"/>
      <c r="J2263" s="343"/>
      <c r="K2263" s="343"/>
      <c r="L2263" s="345"/>
      <c r="M2263" s="343"/>
      <c r="N2263" s="598"/>
      <c r="O2263" s="585"/>
      <c r="P2263" s="71">
        <f t="shared" si="131"/>
        <v>0</v>
      </c>
      <c r="Q2263" s="71">
        <f t="shared" si="130"/>
        <v>0</v>
      </c>
      <c r="R2263" s="93" t="str">
        <f t="shared" si="129"/>
        <v/>
      </c>
    </row>
    <row r="2264" spans="1:18" x14ac:dyDescent="0.2">
      <c r="A2264" s="432" t="str">
        <f>IF(B2264="","",COUNT('Diário 1º PA'!$A$4:$A$2635)+COUNT('Diário 2º PA'!$A$4:$A$3040)+ROW()-3)</f>
        <v/>
      </c>
      <c r="B2264" s="600"/>
      <c r="C2264" s="354"/>
      <c r="D2264" s="343"/>
      <c r="E2264" s="343"/>
      <c r="F2264" s="344"/>
      <c r="G2264" s="343"/>
      <c r="H2264" s="343"/>
      <c r="I2264" s="345"/>
      <c r="J2264" s="343"/>
      <c r="K2264" s="343"/>
      <c r="L2264" s="345"/>
      <c r="M2264" s="343"/>
      <c r="N2264" s="598"/>
      <c r="O2264" s="585"/>
      <c r="P2264" s="71">
        <f t="shared" si="131"/>
        <v>0</v>
      </c>
      <c r="Q2264" s="71">
        <f t="shared" si="130"/>
        <v>0</v>
      </c>
      <c r="R2264" s="93" t="str">
        <f t="shared" si="129"/>
        <v/>
      </c>
    </row>
    <row r="2265" spans="1:18" x14ac:dyDescent="0.2">
      <c r="A2265" s="432" t="str">
        <f>IF(B2265="","",COUNT('Diário 1º PA'!$A$4:$A$2635)+COUNT('Diário 2º PA'!$A$4:$A$3040)+ROW()-3)</f>
        <v/>
      </c>
      <c r="B2265" s="600"/>
      <c r="C2265" s="354"/>
      <c r="D2265" s="343"/>
      <c r="E2265" s="343"/>
      <c r="F2265" s="344"/>
      <c r="G2265" s="343"/>
      <c r="H2265" s="343"/>
      <c r="I2265" s="345"/>
      <c r="J2265" s="343"/>
      <c r="K2265" s="343"/>
      <c r="L2265" s="345"/>
      <c r="M2265" s="343"/>
      <c r="N2265" s="598"/>
      <c r="O2265" s="585"/>
      <c r="P2265" s="71">
        <f t="shared" si="131"/>
        <v>0</v>
      </c>
      <c r="Q2265" s="71">
        <f t="shared" si="130"/>
        <v>0</v>
      </c>
      <c r="R2265" s="93" t="str">
        <f t="shared" si="129"/>
        <v/>
      </c>
    </row>
    <row r="2266" spans="1:18" x14ac:dyDescent="0.2">
      <c r="A2266" s="352" t="str">
        <f>IF(B2266="","",COUNT('Diário 1º PA'!$A$4:$A$2635)+COUNT('Diário 2º PA'!$A$4:$A$3040)+ROW()-3)</f>
        <v/>
      </c>
      <c r="B2266" s="600"/>
      <c r="C2266" s="354"/>
      <c r="D2266" s="343"/>
      <c r="E2266" s="343"/>
      <c r="F2266" s="344"/>
      <c r="G2266" s="343"/>
      <c r="H2266" s="343"/>
      <c r="I2266" s="345"/>
      <c r="J2266" s="343"/>
      <c r="K2266" s="343"/>
      <c r="L2266" s="345"/>
      <c r="M2266" s="343"/>
      <c r="N2266" s="598"/>
      <c r="O2266" s="585"/>
      <c r="P2266" s="71">
        <f t="shared" si="131"/>
        <v>0</v>
      </c>
      <c r="Q2266" s="71">
        <f t="shared" si="130"/>
        <v>0</v>
      </c>
      <c r="R2266" s="93" t="str">
        <f t="shared" si="129"/>
        <v/>
      </c>
    </row>
    <row r="2267" spans="1:18" x14ac:dyDescent="0.2">
      <c r="A2267" s="352" t="str">
        <f>IF(B2267="","",COUNT('Diário 1º PA'!$A$4:$A$2635)+COUNT('Diário 2º PA'!$A$4:$A$3040)+ROW()-3)</f>
        <v/>
      </c>
      <c r="B2267" s="600"/>
      <c r="C2267" s="354"/>
      <c r="D2267" s="343"/>
      <c r="E2267" s="343"/>
      <c r="F2267" s="344"/>
      <c r="G2267" s="343"/>
      <c r="H2267" s="343"/>
      <c r="I2267" s="345"/>
      <c r="J2267" s="343"/>
      <c r="K2267" s="343"/>
      <c r="L2267" s="345"/>
      <c r="M2267" s="343"/>
      <c r="N2267" s="598"/>
      <c r="O2267" s="585"/>
      <c r="P2267" s="71">
        <f t="shared" si="131"/>
        <v>0</v>
      </c>
      <c r="Q2267" s="71">
        <f t="shared" si="130"/>
        <v>0</v>
      </c>
      <c r="R2267" s="93" t="str">
        <f t="shared" si="129"/>
        <v/>
      </c>
    </row>
    <row r="2268" spans="1:18" x14ac:dyDescent="0.2">
      <c r="A2268" s="352" t="str">
        <f>IF(B2268="","",COUNT('Diário 1º PA'!$A$4:$A$2635)+COUNT('Diário 2º PA'!$A$4:$A$3040)+ROW()-3)</f>
        <v/>
      </c>
      <c r="B2268" s="600"/>
      <c r="C2268" s="354"/>
      <c r="D2268" s="343"/>
      <c r="E2268" s="343"/>
      <c r="F2268" s="344"/>
      <c r="G2268" s="343"/>
      <c r="H2268" s="343"/>
      <c r="I2268" s="345"/>
      <c r="J2268" s="343"/>
      <c r="K2268" s="343"/>
      <c r="L2268" s="345"/>
      <c r="M2268" s="343"/>
      <c r="N2268" s="598"/>
      <c r="O2268" s="585"/>
      <c r="P2268" s="71">
        <f t="shared" si="131"/>
        <v>0</v>
      </c>
      <c r="Q2268" s="71">
        <f t="shared" si="130"/>
        <v>0</v>
      </c>
      <c r="R2268" s="93" t="str">
        <f t="shared" si="129"/>
        <v/>
      </c>
    </row>
    <row r="2269" spans="1:18" x14ac:dyDescent="0.2">
      <c r="A2269" s="352" t="str">
        <f>IF(B2269="","",COUNT('Diário 1º PA'!$A$4:$A$2635)+COUNT('Diário 2º PA'!$A$4:$A$3040)+ROW()-3)</f>
        <v/>
      </c>
      <c r="B2269" s="600"/>
      <c r="C2269" s="354"/>
      <c r="D2269" s="343"/>
      <c r="E2269" s="343"/>
      <c r="F2269" s="344"/>
      <c r="G2269" s="343"/>
      <c r="H2269" s="343"/>
      <c r="I2269" s="345"/>
      <c r="J2269" s="343"/>
      <c r="K2269" s="343"/>
      <c r="L2269" s="345"/>
      <c r="M2269" s="343"/>
      <c r="N2269" s="598"/>
      <c r="O2269" s="585"/>
      <c r="P2269" s="71">
        <f t="shared" si="131"/>
        <v>0</v>
      </c>
      <c r="Q2269" s="71">
        <f t="shared" si="130"/>
        <v>0</v>
      </c>
      <c r="R2269" s="93" t="str">
        <f t="shared" si="129"/>
        <v/>
      </c>
    </row>
    <row r="2270" spans="1:18" x14ac:dyDescent="0.2">
      <c r="A2270" s="352" t="str">
        <f>IF(B2270="","",COUNT('Diário 1º PA'!$A$4:$A$2635)+COUNT('Diário 2º PA'!$A$4:$A$3040)+ROW()-3)</f>
        <v/>
      </c>
      <c r="B2270" s="600"/>
      <c r="C2270" s="354"/>
      <c r="D2270" s="343"/>
      <c r="E2270" s="343"/>
      <c r="F2270" s="344"/>
      <c r="G2270" s="343"/>
      <c r="H2270" s="343"/>
      <c r="I2270" s="345"/>
      <c r="J2270" s="343"/>
      <c r="K2270" s="343"/>
      <c r="L2270" s="345"/>
      <c r="M2270" s="343"/>
      <c r="N2270" s="598"/>
      <c r="O2270" s="585"/>
      <c r="P2270" s="71">
        <f t="shared" si="131"/>
        <v>0</v>
      </c>
      <c r="Q2270" s="71">
        <f t="shared" si="130"/>
        <v>0</v>
      </c>
      <c r="R2270" s="93" t="str">
        <f t="shared" si="129"/>
        <v/>
      </c>
    </row>
    <row r="2271" spans="1:18" x14ac:dyDescent="0.2">
      <c r="A2271" s="352" t="str">
        <f>IF(B2271="","",COUNT('Diário 1º PA'!$A$4:$A$2635)+COUNT('Diário 2º PA'!$A$4:$A$3040)+ROW()-3)</f>
        <v/>
      </c>
      <c r="B2271" s="600"/>
      <c r="C2271" s="354"/>
      <c r="D2271" s="343"/>
      <c r="E2271" s="343"/>
      <c r="F2271" s="344"/>
      <c r="G2271" s="343"/>
      <c r="H2271" s="343"/>
      <c r="I2271" s="345"/>
      <c r="J2271" s="343"/>
      <c r="K2271" s="343"/>
      <c r="L2271" s="345"/>
      <c r="M2271" s="343"/>
      <c r="N2271" s="598"/>
      <c r="O2271" s="585"/>
      <c r="P2271" s="71">
        <f t="shared" si="131"/>
        <v>0</v>
      </c>
      <c r="Q2271" s="71">
        <f t="shared" si="130"/>
        <v>0</v>
      </c>
      <c r="R2271" s="93" t="str">
        <f t="shared" si="129"/>
        <v/>
      </c>
    </row>
    <row r="2272" spans="1:18" x14ac:dyDescent="0.2">
      <c r="A2272" s="352" t="str">
        <f>IF(B2272="","",COUNT('Diário 1º PA'!$A$4:$A$2635)+COUNT('Diário 2º PA'!$A$4:$A$3040)+ROW()-3)</f>
        <v/>
      </c>
      <c r="B2272" s="600"/>
      <c r="C2272" s="354"/>
      <c r="D2272" s="343"/>
      <c r="E2272" s="343"/>
      <c r="F2272" s="344"/>
      <c r="G2272" s="343"/>
      <c r="H2272" s="343"/>
      <c r="I2272" s="345"/>
      <c r="J2272" s="343"/>
      <c r="K2272" s="343"/>
      <c r="L2272" s="345"/>
      <c r="M2272" s="343"/>
      <c r="N2272" s="598"/>
      <c r="O2272" s="585"/>
      <c r="P2272" s="71">
        <f t="shared" si="131"/>
        <v>0</v>
      </c>
      <c r="Q2272" s="71">
        <f t="shared" si="130"/>
        <v>0</v>
      </c>
      <c r="R2272" s="93" t="str">
        <f t="shared" si="129"/>
        <v/>
      </c>
    </row>
    <row r="2273" spans="1:18" x14ac:dyDescent="0.2">
      <c r="A2273" s="352" t="str">
        <f>IF(B2273="","",COUNT('Diário 1º PA'!$A$4:$A$2635)+COUNT('Diário 2º PA'!$A$4:$A$3040)+ROW()-3)</f>
        <v/>
      </c>
      <c r="B2273" s="600"/>
      <c r="C2273" s="354"/>
      <c r="D2273" s="343"/>
      <c r="E2273" s="343"/>
      <c r="F2273" s="344"/>
      <c r="G2273" s="343"/>
      <c r="H2273" s="343"/>
      <c r="I2273" s="345"/>
      <c r="J2273" s="343"/>
      <c r="K2273" s="343"/>
      <c r="L2273" s="345"/>
      <c r="M2273" s="343"/>
      <c r="N2273" s="598"/>
      <c r="O2273" s="585"/>
      <c r="P2273" s="71">
        <f t="shared" si="131"/>
        <v>0</v>
      </c>
      <c r="Q2273" s="71">
        <f t="shared" si="130"/>
        <v>0</v>
      </c>
      <c r="R2273" s="93" t="str">
        <f t="shared" si="129"/>
        <v/>
      </c>
    </row>
    <row r="2274" spans="1:18" x14ac:dyDescent="0.2">
      <c r="A2274" s="352" t="str">
        <f>IF(B2274="","",COUNT('Diário 1º PA'!$A$4:$A$2635)+COUNT('Diário 2º PA'!$A$4:$A$3040)+ROW()-3)</f>
        <v/>
      </c>
      <c r="B2274" s="600"/>
      <c r="C2274" s="354"/>
      <c r="D2274" s="343"/>
      <c r="E2274" s="343"/>
      <c r="F2274" s="344"/>
      <c r="G2274" s="343"/>
      <c r="H2274" s="343"/>
      <c r="I2274" s="345"/>
      <c r="J2274" s="343"/>
      <c r="K2274" s="343"/>
      <c r="L2274" s="345"/>
      <c r="M2274" s="343"/>
      <c r="N2274" s="598"/>
      <c r="O2274" s="585"/>
      <c r="P2274" s="71">
        <f t="shared" si="131"/>
        <v>0</v>
      </c>
      <c r="Q2274" s="71">
        <f t="shared" si="130"/>
        <v>0</v>
      </c>
      <c r="R2274" s="93" t="str">
        <f t="shared" si="129"/>
        <v/>
      </c>
    </row>
    <row r="2275" spans="1:18" x14ac:dyDescent="0.2">
      <c r="A2275" s="352" t="str">
        <f>IF(B2275="","",COUNT('Diário 1º PA'!$A$4:$A$2635)+COUNT('Diário 2º PA'!$A$4:$A$3040)+ROW()-3)</f>
        <v/>
      </c>
      <c r="B2275" s="600"/>
      <c r="C2275" s="354"/>
      <c r="D2275" s="343"/>
      <c r="E2275" s="343"/>
      <c r="F2275" s="344"/>
      <c r="G2275" s="343"/>
      <c r="H2275" s="343"/>
      <c r="I2275" s="345"/>
      <c r="J2275" s="343"/>
      <c r="K2275" s="343"/>
      <c r="L2275" s="345"/>
      <c r="M2275" s="343"/>
      <c r="N2275" s="598"/>
      <c r="O2275" s="585"/>
      <c r="P2275" s="71">
        <f t="shared" si="131"/>
        <v>0</v>
      </c>
      <c r="Q2275" s="71">
        <f t="shared" si="130"/>
        <v>0</v>
      </c>
      <c r="R2275" s="93" t="str">
        <f t="shared" si="129"/>
        <v/>
      </c>
    </row>
    <row r="2276" spans="1:18" x14ac:dyDescent="0.2">
      <c r="A2276" s="352" t="str">
        <f>IF(B2276="","",COUNT('Diário 1º PA'!$A$4:$A$2635)+COUNT('Diário 2º PA'!$A$4:$A$3040)+ROW()-3)</f>
        <v/>
      </c>
      <c r="B2276" s="600"/>
      <c r="C2276" s="354"/>
      <c r="D2276" s="343"/>
      <c r="E2276" s="343"/>
      <c r="F2276" s="344"/>
      <c r="G2276" s="343"/>
      <c r="H2276" s="343"/>
      <c r="I2276" s="345"/>
      <c r="J2276" s="343"/>
      <c r="K2276" s="343"/>
      <c r="L2276" s="345"/>
      <c r="M2276" s="343"/>
      <c r="N2276" s="598"/>
      <c r="O2276" s="585"/>
      <c r="P2276" s="71">
        <f t="shared" si="131"/>
        <v>0</v>
      </c>
      <c r="Q2276" s="71">
        <f t="shared" si="130"/>
        <v>0</v>
      </c>
      <c r="R2276" s="93" t="str">
        <f t="shared" si="129"/>
        <v/>
      </c>
    </row>
    <row r="2277" spans="1:18" x14ac:dyDescent="0.2">
      <c r="A2277" s="352" t="str">
        <f>IF(B2277="","",COUNT('Diário 1º PA'!$A$4:$A$2635)+COUNT('Diário 2º PA'!$A$4:$A$3040)+ROW()-3)</f>
        <v/>
      </c>
      <c r="B2277" s="600"/>
      <c r="C2277" s="354"/>
      <c r="D2277" s="343"/>
      <c r="E2277" s="343"/>
      <c r="F2277" s="344"/>
      <c r="G2277" s="343"/>
      <c r="H2277" s="343"/>
      <c r="I2277" s="345"/>
      <c r="J2277" s="343"/>
      <c r="K2277" s="343"/>
      <c r="L2277" s="345"/>
      <c r="M2277" s="343"/>
      <c r="N2277" s="598"/>
      <c r="O2277" s="585"/>
      <c r="P2277" s="71">
        <f t="shared" si="131"/>
        <v>0</v>
      </c>
      <c r="Q2277" s="71">
        <f t="shared" si="130"/>
        <v>0</v>
      </c>
      <c r="R2277" s="93" t="str">
        <f t="shared" si="129"/>
        <v/>
      </c>
    </row>
    <row r="2278" spans="1:18" x14ac:dyDescent="0.2">
      <c r="A2278" s="352" t="str">
        <f>IF(B2278="","",COUNT('Diário 1º PA'!$A$4:$A$2635)+COUNT('Diário 2º PA'!$A$4:$A$3040)+ROW()-3)</f>
        <v/>
      </c>
      <c r="B2278" s="600"/>
      <c r="C2278" s="354"/>
      <c r="D2278" s="343"/>
      <c r="E2278" s="343"/>
      <c r="F2278" s="344"/>
      <c r="G2278" s="343"/>
      <c r="H2278" s="343"/>
      <c r="I2278" s="345"/>
      <c r="J2278" s="343"/>
      <c r="K2278" s="343"/>
      <c r="L2278" s="345"/>
      <c r="M2278" s="343"/>
      <c r="N2278" s="598"/>
      <c r="O2278" s="585"/>
      <c r="P2278" s="71">
        <f t="shared" si="131"/>
        <v>0</v>
      </c>
      <c r="Q2278" s="71">
        <f t="shared" si="130"/>
        <v>0</v>
      </c>
      <c r="R2278" s="93" t="str">
        <f t="shared" si="129"/>
        <v/>
      </c>
    </row>
    <row r="2279" spans="1:18" x14ac:dyDescent="0.2">
      <c r="A2279" s="352" t="str">
        <f>IF(B2279="","",COUNT('Diário 1º PA'!$A$4:$A$2635)+COUNT('Diário 2º PA'!$A$4:$A$3040)+ROW()-3)</f>
        <v/>
      </c>
      <c r="B2279" s="600"/>
      <c r="C2279" s="354"/>
      <c r="D2279" s="343"/>
      <c r="E2279" s="343"/>
      <c r="F2279" s="344"/>
      <c r="G2279" s="343"/>
      <c r="H2279" s="343"/>
      <c r="I2279" s="345"/>
      <c r="J2279" s="343"/>
      <c r="K2279" s="343"/>
      <c r="L2279" s="345"/>
      <c r="M2279" s="343"/>
      <c r="N2279" s="598"/>
      <c r="O2279" s="585"/>
      <c r="P2279" s="71">
        <f t="shared" si="131"/>
        <v>0</v>
      </c>
      <c r="Q2279" s="71">
        <f t="shared" si="130"/>
        <v>0</v>
      </c>
      <c r="R2279" s="93" t="str">
        <f t="shared" si="129"/>
        <v/>
      </c>
    </row>
    <row r="2280" spans="1:18" x14ac:dyDescent="0.2">
      <c r="A2280" s="352" t="str">
        <f>IF(B2280="","",COUNT('Diário 1º PA'!$A$4:$A$2635)+COUNT('Diário 2º PA'!$A$4:$A$3040)+ROW()-3)</f>
        <v/>
      </c>
      <c r="B2280" s="600"/>
      <c r="C2280" s="354"/>
      <c r="D2280" s="343"/>
      <c r="E2280" s="343"/>
      <c r="F2280" s="344"/>
      <c r="G2280" s="343"/>
      <c r="H2280" s="343"/>
      <c r="I2280" s="345"/>
      <c r="J2280" s="343"/>
      <c r="K2280" s="343"/>
      <c r="L2280" s="345"/>
      <c r="M2280" s="343"/>
      <c r="N2280" s="598"/>
      <c r="O2280" s="585"/>
      <c r="P2280" s="71">
        <f t="shared" si="131"/>
        <v>0</v>
      </c>
      <c r="Q2280" s="71">
        <f t="shared" si="130"/>
        <v>0</v>
      </c>
      <c r="R2280" s="93" t="str">
        <f t="shared" si="129"/>
        <v/>
      </c>
    </row>
    <row r="2281" spans="1:18" x14ac:dyDescent="0.2">
      <c r="A2281" s="352" t="str">
        <f>IF(B2281="","",COUNT('Diário 1º PA'!$A$4:$A$2635)+COUNT('Diário 2º PA'!$A$4:$A$3040)+ROW()-3)</f>
        <v/>
      </c>
      <c r="B2281" s="600"/>
      <c r="C2281" s="354"/>
      <c r="D2281" s="343"/>
      <c r="E2281" s="343"/>
      <c r="F2281" s="344"/>
      <c r="G2281" s="343"/>
      <c r="H2281" s="343"/>
      <c r="I2281" s="345"/>
      <c r="J2281" s="343"/>
      <c r="K2281" s="343"/>
      <c r="L2281" s="345"/>
      <c r="M2281" s="343"/>
      <c r="N2281" s="598"/>
      <c r="O2281" s="585"/>
      <c r="P2281" s="71">
        <f t="shared" si="131"/>
        <v>0</v>
      </c>
      <c r="Q2281" s="71">
        <f t="shared" si="130"/>
        <v>0</v>
      </c>
      <c r="R2281" s="93" t="str">
        <f t="shared" si="129"/>
        <v/>
      </c>
    </row>
    <row r="2282" spans="1:18" x14ac:dyDescent="0.2">
      <c r="A2282" s="352" t="str">
        <f>IF(B2282="","",COUNT('Diário 1º PA'!$A$4:$A$2635)+COUNT('Diário 2º PA'!$A$4:$A$3040)+ROW()-3)</f>
        <v/>
      </c>
      <c r="B2282" s="600"/>
      <c r="C2282" s="354"/>
      <c r="D2282" s="343"/>
      <c r="E2282" s="343"/>
      <c r="F2282" s="344"/>
      <c r="G2282" s="343"/>
      <c r="H2282" s="343"/>
      <c r="I2282" s="345"/>
      <c r="J2282" s="343"/>
      <c r="K2282" s="343"/>
      <c r="L2282" s="345"/>
      <c r="M2282" s="343"/>
      <c r="N2282" s="598"/>
      <c r="O2282" s="585"/>
      <c r="P2282" s="71">
        <f t="shared" si="131"/>
        <v>0</v>
      </c>
      <c r="Q2282" s="71">
        <f t="shared" si="130"/>
        <v>0</v>
      </c>
      <c r="R2282" s="93" t="str">
        <f t="shared" si="129"/>
        <v/>
      </c>
    </row>
    <row r="2283" spans="1:18" x14ac:dyDescent="0.2">
      <c r="A2283" s="352" t="str">
        <f>IF(B2283="","",COUNT('Diário 1º PA'!$A$4:$A$2635)+COUNT('Diário 2º PA'!$A$4:$A$3040)+ROW()-3)</f>
        <v/>
      </c>
      <c r="B2283" s="600"/>
      <c r="C2283" s="354"/>
      <c r="D2283" s="343"/>
      <c r="E2283" s="343"/>
      <c r="F2283" s="344"/>
      <c r="G2283" s="343"/>
      <c r="H2283" s="343"/>
      <c r="I2283" s="345"/>
      <c r="J2283" s="343"/>
      <c r="K2283" s="343"/>
      <c r="L2283" s="345"/>
      <c r="M2283" s="343"/>
      <c r="N2283" s="598"/>
      <c r="O2283" s="585"/>
      <c r="P2283" s="71">
        <f t="shared" si="131"/>
        <v>0</v>
      </c>
      <c r="Q2283" s="71">
        <f t="shared" si="130"/>
        <v>0</v>
      </c>
      <c r="R2283" s="93" t="str">
        <f t="shared" si="129"/>
        <v/>
      </c>
    </row>
    <row r="2284" spans="1:18" x14ac:dyDescent="0.2">
      <c r="A2284" s="352" t="str">
        <f>IF(B2284="","",COUNT('Diário 1º PA'!$A$4:$A$2635)+COUNT('Diário 2º PA'!$A$4:$A$3040)+ROW()-3)</f>
        <v/>
      </c>
      <c r="B2284" s="600"/>
      <c r="C2284" s="354"/>
      <c r="D2284" s="343"/>
      <c r="E2284" s="343"/>
      <c r="F2284" s="344"/>
      <c r="G2284" s="343"/>
      <c r="H2284" s="343"/>
      <c r="I2284" s="345"/>
      <c r="J2284" s="343"/>
      <c r="K2284" s="343"/>
      <c r="L2284" s="345"/>
      <c r="M2284" s="343"/>
      <c r="N2284" s="598"/>
      <c r="O2284" s="585"/>
      <c r="P2284" s="71">
        <f t="shared" si="131"/>
        <v>0</v>
      </c>
      <c r="Q2284" s="71">
        <f t="shared" si="130"/>
        <v>0</v>
      </c>
      <c r="R2284" s="93" t="str">
        <f t="shared" si="129"/>
        <v/>
      </c>
    </row>
    <row r="2285" spans="1:18" x14ac:dyDescent="0.2">
      <c r="A2285" s="352" t="str">
        <f>IF(B2285="","",COUNT('Diário 1º PA'!$A$4:$A$2635)+COUNT('Diário 2º PA'!$A$4:$A$3040)+ROW()-3)</f>
        <v/>
      </c>
      <c r="B2285" s="600"/>
      <c r="C2285" s="354"/>
      <c r="D2285" s="343"/>
      <c r="E2285" s="343"/>
      <c r="F2285" s="344"/>
      <c r="G2285" s="343"/>
      <c r="H2285" s="343"/>
      <c r="I2285" s="345"/>
      <c r="J2285" s="343"/>
      <c r="K2285" s="343"/>
      <c r="L2285" s="345"/>
      <c r="M2285" s="343"/>
      <c r="N2285" s="598"/>
      <c r="O2285" s="585"/>
      <c r="P2285" s="71">
        <f t="shared" si="131"/>
        <v>0</v>
      </c>
      <c r="Q2285" s="71">
        <f t="shared" si="130"/>
        <v>0</v>
      </c>
      <c r="R2285" s="93" t="str">
        <f t="shared" si="129"/>
        <v/>
      </c>
    </row>
    <row r="2286" spans="1:18" x14ac:dyDescent="0.2">
      <c r="A2286" s="352" t="str">
        <f>IF(B2286="","",COUNT('Diário 1º PA'!$A$4:$A$2635)+COUNT('Diário 2º PA'!$A$4:$A$3040)+ROW()-3)</f>
        <v/>
      </c>
      <c r="B2286" s="600"/>
      <c r="C2286" s="354"/>
      <c r="D2286" s="343"/>
      <c r="E2286" s="343"/>
      <c r="F2286" s="344"/>
      <c r="G2286" s="343"/>
      <c r="H2286" s="343"/>
      <c r="I2286" s="345"/>
      <c r="J2286" s="343"/>
      <c r="K2286" s="343"/>
      <c r="L2286" s="345"/>
      <c r="M2286" s="343"/>
      <c r="N2286" s="598"/>
      <c r="O2286" s="585"/>
      <c r="P2286" s="71">
        <f t="shared" si="131"/>
        <v>0</v>
      </c>
      <c r="Q2286" s="71">
        <f t="shared" si="130"/>
        <v>0</v>
      </c>
      <c r="R2286" s="93" t="str">
        <f t="shared" si="129"/>
        <v/>
      </c>
    </row>
    <row r="2287" spans="1:18" x14ac:dyDescent="0.2">
      <c r="A2287" s="352" t="str">
        <f>IF(B2287="","",COUNT('Diário 1º PA'!$A$4:$A$2635)+COUNT('Diário 2º PA'!$A$4:$A$3040)+ROW()-3)</f>
        <v/>
      </c>
      <c r="B2287" s="600"/>
      <c r="C2287" s="354"/>
      <c r="D2287" s="343"/>
      <c r="E2287" s="343"/>
      <c r="F2287" s="344"/>
      <c r="G2287" s="343"/>
      <c r="H2287" s="343"/>
      <c r="I2287" s="345"/>
      <c r="J2287" s="343"/>
      <c r="K2287" s="343"/>
      <c r="L2287" s="345"/>
      <c r="M2287" s="343"/>
      <c r="N2287" s="598"/>
      <c r="O2287" s="585"/>
      <c r="P2287" s="71">
        <f t="shared" si="131"/>
        <v>0</v>
      </c>
      <c r="Q2287" s="71">
        <f t="shared" si="130"/>
        <v>0</v>
      </c>
      <c r="R2287" s="93" t="str">
        <f t="shared" si="129"/>
        <v/>
      </c>
    </row>
    <row r="2288" spans="1:18" x14ac:dyDescent="0.2">
      <c r="A2288" s="352" t="str">
        <f>IF(B2288="","",COUNT('Diário 1º PA'!$A$4:$A$2635)+COUNT('Diário 2º PA'!$A$4:$A$3040)+ROW()-3)</f>
        <v/>
      </c>
      <c r="B2288" s="600"/>
      <c r="C2288" s="354"/>
      <c r="D2288" s="343"/>
      <c r="E2288" s="343"/>
      <c r="F2288" s="344"/>
      <c r="G2288" s="343"/>
      <c r="H2288" s="343"/>
      <c r="I2288" s="345"/>
      <c r="J2288" s="343"/>
      <c r="K2288" s="343"/>
      <c r="L2288" s="345"/>
      <c r="M2288" s="343"/>
      <c r="N2288" s="598"/>
      <c r="O2288" s="585"/>
      <c r="P2288" s="71">
        <f t="shared" si="131"/>
        <v>0</v>
      </c>
      <c r="Q2288" s="71">
        <f t="shared" si="130"/>
        <v>0</v>
      </c>
      <c r="R2288" s="93" t="str">
        <f t="shared" si="129"/>
        <v/>
      </c>
    </row>
    <row r="2289" spans="1:18" x14ac:dyDescent="0.2">
      <c r="A2289" s="352" t="str">
        <f>IF(B2289="","",COUNT('Diário 1º PA'!$A$4:$A$2635)+COUNT('Diário 2º PA'!$A$4:$A$3040)+ROW()-3)</f>
        <v/>
      </c>
      <c r="B2289" s="600"/>
      <c r="C2289" s="354"/>
      <c r="D2289" s="343"/>
      <c r="E2289" s="343"/>
      <c r="F2289" s="344"/>
      <c r="G2289" s="343"/>
      <c r="H2289" s="343"/>
      <c r="I2289" s="345"/>
      <c r="J2289" s="343"/>
      <c r="K2289" s="343"/>
      <c r="L2289" s="345"/>
      <c r="M2289" s="343"/>
      <c r="N2289" s="598"/>
      <c r="O2289" s="585"/>
      <c r="P2289" s="71">
        <f t="shared" si="131"/>
        <v>0</v>
      </c>
      <c r="Q2289" s="71">
        <f t="shared" si="130"/>
        <v>0</v>
      </c>
      <c r="R2289" s="93" t="str">
        <f t="shared" si="129"/>
        <v/>
      </c>
    </row>
    <row r="2290" spans="1:18" x14ac:dyDescent="0.2">
      <c r="A2290" s="352" t="str">
        <f>IF(B2290="","",COUNT('Diário 1º PA'!$A$4:$A$2635)+COUNT('Diário 2º PA'!$A$4:$A$3040)+ROW()-3)</f>
        <v/>
      </c>
      <c r="B2290" s="600"/>
      <c r="C2290" s="354"/>
      <c r="D2290" s="343"/>
      <c r="E2290" s="343"/>
      <c r="F2290" s="344"/>
      <c r="G2290" s="343"/>
      <c r="H2290" s="343"/>
      <c r="I2290" s="345"/>
      <c r="J2290" s="343"/>
      <c r="K2290" s="343"/>
      <c r="L2290" s="345"/>
      <c r="M2290" s="343"/>
      <c r="N2290" s="598"/>
      <c r="O2290" s="585"/>
      <c r="P2290" s="71">
        <f t="shared" si="131"/>
        <v>0</v>
      </c>
      <c r="Q2290" s="71">
        <f t="shared" si="130"/>
        <v>0</v>
      </c>
      <c r="R2290" s="93" t="str">
        <f t="shared" si="129"/>
        <v/>
      </c>
    </row>
    <row r="2291" spans="1:18" x14ac:dyDescent="0.2">
      <c r="A2291" s="352" t="str">
        <f>IF(B2291="","",COUNT('Diário 1º PA'!$A$4:$A$2635)+COUNT('Diário 2º PA'!$A$4:$A$3040)+ROW()-3)</f>
        <v/>
      </c>
      <c r="B2291" s="600"/>
      <c r="C2291" s="354"/>
      <c r="D2291" s="343"/>
      <c r="E2291" s="343"/>
      <c r="F2291" s="344"/>
      <c r="G2291" s="343"/>
      <c r="H2291" s="343"/>
      <c r="I2291" s="345"/>
      <c r="J2291" s="343"/>
      <c r="K2291" s="343"/>
      <c r="L2291" s="345"/>
      <c r="M2291" s="343"/>
      <c r="N2291" s="598"/>
      <c r="O2291" s="585"/>
      <c r="P2291" s="71">
        <f t="shared" si="131"/>
        <v>0</v>
      </c>
      <c r="Q2291" s="71">
        <f t="shared" si="130"/>
        <v>0</v>
      </c>
      <c r="R2291" s="93" t="str">
        <f t="shared" si="129"/>
        <v/>
      </c>
    </row>
    <row r="2292" spans="1:18" x14ac:dyDescent="0.2">
      <c r="A2292" s="352" t="str">
        <f>IF(B2292="","",COUNT('Diário 1º PA'!$A$4:$A$2635)+COUNT('Diário 2º PA'!$A$4:$A$3040)+ROW()-3)</f>
        <v/>
      </c>
      <c r="B2292" s="600"/>
      <c r="C2292" s="354"/>
      <c r="D2292" s="343"/>
      <c r="E2292" s="343"/>
      <c r="F2292" s="344"/>
      <c r="G2292" s="343"/>
      <c r="H2292" s="343"/>
      <c r="I2292" s="345"/>
      <c r="J2292" s="343"/>
      <c r="K2292" s="343"/>
      <c r="L2292" s="345"/>
      <c r="M2292" s="343"/>
      <c r="N2292" s="598"/>
      <c r="O2292" s="585"/>
      <c r="P2292" s="71">
        <f t="shared" si="131"/>
        <v>0</v>
      </c>
      <c r="Q2292" s="71">
        <f t="shared" si="130"/>
        <v>0</v>
      </c>
      <c r="R2292" s="93" t="str">
        <f t="shared" si="129"/>
        <v/>
      </c>
    </row>
    <row r="2293" spans="1:18" x14ac:dyDescent="0.2">
      <c r="A2293" s="352" t="str">
        <f>IF(B2293="","",COUNT('Diário 1º PA'!$A$4:$A$2635)+COUNT('Diário 2º PA'!$A$4:$A$3040)+ROW()-3)</f>
        <v/>
      </c>
      <c r="B2293" s="600"/>
      <c r="C2293" s="354"/>
      <c r="D2293" s="343"/>
      <c r="E2293" s="343"/>
      <c r="F2293" s="344"/>
      <c r="G2293" s="343"/>
      <c r="H2293" s="343"/>
      <c r="I2293" s="345"/>
      <c r="J2293" s="343"/>
      <c r="K2293" s="343"/>
      <c r="L2293" s="345"/>
      <c r="M2293" s="343"/>
      <c r="N2293" s="598"/>
      <c r="O2293" s="585"/>
      <c r="P2293" s="71">
        <f t="shared" si="131"/>
        <v>0</v>
      </c>
      <c r="Q2293" s="71">
        <f t="shared" si="130"/>
        <v>0</v>
      </c>
      <c r="R2293" s="93" t="str">
        <f t="shared" si="129"/>
        <v/>
      </c>
    </row>
    <row r="2294" spans="1:18" x14ac:dyDescent="0.2">
      <c r="A2294" s="352" t="str">
        <f>IF(B2294="","",COUNT('Diário 1º PA'!$A$4:$A$2635)+COUNT('Diário 2º PA'!$A$4:$A$3040)+ROW()-3)</f>
        <v/>
      </c>
      <c r="B2294" s="600"/>
      <c r="C2294" s="354"/>
      <c r="D2294" s="343"/>
      <c r="E2294" s="343"/>
      <c r="F2294" s="344"/>
      <c r="G2294" s="343"/>
      <c r="H2294" s="343"/>
      <c r="I2294" s="345"/>
      <c r="J2294" s="343"/>
      <c r="K2294" s="343"/>
      <c r="L2294" s="345"/>
      <c r="M2294" s="343"/>
      <c r="N2294" s="598"/>
      <c r="O2294" s="585"/>
      <c r="P2294" s="71">
        <f t="shared" si="131"/>
        <v>0</v>
      </c>
      <c r="Q2294" s="71">
        <f t="shared" si="130"/>
        <v>0</v>
      </c>
      <c r="R2294" s="93" t="str">
        <f t="shared" si="129"/>
        <v/>
      </c>
    </row>
    <row r="2295" spans="1:18" x14ac:dyDescent="0.2">
      <c r="A2295" s="352" t="str">
        <f>IF(B2295="","",COUNT('Diário 1º PA'!$A$4:$A$2635)+COUNT('Diário 2º PA'!$A$4:$A$3040)+ROW()-3)</f>
        <v/>
      </c>
      <c r="B2295" s="600"/>
      <c r="C2295" s="354"/>
      <c r="D2295" s="343"/>
      <c r="E2295" s="343"/>
      <c r="F2295" s="344"/>
      <c r="G2295" s="343"/>
      <c r="H2295" s="343"/>
      <c r="I2295" s="345"/>
      <c r="J2295" s="343"/>
      <c r="K2295" s="343"/>
      <c r="L2295" s="345"/>
      <c r="M2295" s="343"/>
      <c r="N2295" s="598"/>
      <c r="O2295" s="585"/>
      <c r="P2295" s="71">
        <f t="shared" si="131"/>
        <v>0</v>
      </c>
      <c r="Q2295" s="71">
        <f t="shared" si="130"/>
        <v>0</v>
      </c>
      <c r="R2295" s="93" t="str">
        <f t="shared" si="129"/>
        <v/>
      </c>
    </row>
    <row r="2296" spans="1:18" x14ac:dyDescent="0.2">
      <c r="A2296" s="352" t="str">
        <f>IF(B2296="","",COUNT('Diário 1º PA'!$A$4:$A$2635)+COUNT('Diário 2º PA'!$A$4:$A$3040)+ROW()-3)</f>
        <v/>
      </c>
      <c r="B2296" s="600"/>
      <c r="C2296" s="354"/>
      <c r="D2296" s="343"/>
      <c r="E2296" s="343"/>
      <c r="F2296" s="344"/>
      <c r="G2296" s="343"/>
      <c r="H2296" s="343"/>
      <c r="I2296" s="345"/>
      <c r="J2296" s="343"/>
      <c r="K2296" s="343"/>
      <c r="L2296" s="345"/>
      <c r="M2296" s="343"/>
      <c r="N2296" s="598"/>
      <c r="O2296" s="585"/>
      <c r="P2296" s="71">
        <f t="shared" si="131"/>
        <v>0</v>
      </c>
      <c r="Q2296" s="71">
        <f t="shared" si="130"/>
        <v>0</v>
      </c>
      <c r="R2296" s="93" t="str">
        <f t="shared" si="129"/>
        <v/>
      </c>
    </row>
    <row r="2297" spans="1:18" x14ac:dyDescent="0.2">
      <c r="A2297" s="352" t="str">
        <f>IF(B2297="","",COUNT('Diário 1º PA'!$A$4:$A$2635)+COUNT('Diário 2º PA'!$A$4:$A$3040)+ROW()-3)</f>
        <v/>
      </c>
      <c r="B2297" s="600"/>
      <c r="C2297" s="354"/>
      <c r="D2297" s="343"/>
      <c r="E2297" s="343"/>
      <c r="F2297" s="344"/>
      <c r="G2297" s="343"/>
      <c r="H2297" s="343"/>
      <c r="I2297" s="345"/>
      <c r="J2297" s="343"/>
      <c r="K2297" s="343"/>
      <c r="L2297" s="345"/>
      <c r="M2297" s="343"/>
      <c r="N2297" s="598"/>
      <c r="O2297" s="585"/>
      <c r="P2297" s="71">
        <f t="shared" si="131"/>
        <v>0</v>
      </c>
      <c r="Q2297" s="71">
        <f t="shared" si="130"/>
        <v>0</v>
      </c>
      <c r="R2297" s="93" t="str">
        <f t="shared" si="129"/>
        <v/>
      </c>
    </row>
    <row r="2298" spans="1:18" x14ac:dyDescent="0.2">
      <c r="A2298" s="352" t="str">
        <f>IF(B2298="","",COUNT('Diário 1º PA'!$A$4:$A$2635)+COUNT('Diário 2º PA'!$A$4:$A$3040)+ROW()-3)</f>
        <v/>
      </c>
      <c r="B2298" s="600"/>
      <c r="C2298" s="354"/>
      <c r="D2298" s="343"/>
      <c r="E2298" s="343"/>
      <c r="F2298" s="344"/>
      <c r="G2298" s="343"/>
      <c r="H2298" s="343"/>
      <c r="I2298" s="345"/>
      <c r="J2298" s="343"/>
      <c r="K2298" s="343"/>
      <c r="L2298" s="345"/>
      <c r="M2298" s="343"/>
      <c r="N2298" s="598"/>
      <c r="O2298" s="585"/>
      <c r="P2298" s="71">
        <f t="shared" si="131"/>
        <v>0</v>
      </c>
      <c r="Q2298" s="71">
        <f t="shared" si="130"/>
        <v>0</v>
      </c>
      <c r="R2298" s="93" t="str">
        <f t="shared" si="129"/>
        <v/>
      </c>
    </row>
    <row r="2299" spans="1:18" x14ac:dyDescent="0.2">
      <c r="A2299" s="352" t="str">
        <f>IF(B2299="","",COUNT('Diário 1º PA'!$A$4:$A$2635)+COUNT('Diário 2º PA'!$A$4:$A$3040)+ROW()-3)</f>
        <v/>
      </c>
      <c r="B2299" s="600"/>
      <c r="C2299" s="354"/>
      <c r="D2299" s="343"/>
      <c r="E2299" s="343"/>
      <c r="F2299" s="344"/>
      <c r="G2299" s="343"/>
      <c r="H2299" s="343"/>
      <c r="I2299" s="345"/>
      <c r="J2299" s="343"/>
      <c r="K2299" s="343"/>
      <c r="L2299" s="345"/>
      <c r="M2299" s="343"/>
      <c r="N2299" s="598"/>
      <c r="O2299" s="585"/>
      <c r="P2299" s="71">
        <f t="shared" si="131"/>
        <v>0</v>
      </c>
      <c r="Q2299" s="71">
        <f t="shared" si="130"/>
        <v>0</v>
      </c>
      <c r="R2299" s="93" t="str">
        <f t="shared" si="129"/>
        <v/>
      </c>
    </row>
    <row r="2300" spans="1:18" x14ac:dyDescent="0.2">
      <c r="A2300" s="352" t="str">
        <f>IF(B2300="","",COUNT('Diário 1º PA'!$A$4:$A$2635)+COUNT('Diário 2º PA'!$A$4:$A$3040)+ROW()-3)</f>
        <v/>
      </c>
      <c r="B2300" s="600"/>
      <c r="C2300" s="354"/>
      <c r="D2300" s="343"/>
      <c r="E2300" s="343"/>
      <c r="F2300" s="344"/>
      <c r="G2300" s="343"/>
      <c r="H2300" s="343"/>
      <c r="I2300" s="345"/>
      <c r="J2300" s="343"/>
      <c r="K2300" s="343"/>
      <c r="L2300" s="345"/>
      <c r="M2300" s="343"/>
      <c r="N2300" s="598"/>
      <c r="O2300" s="585"/>
      <c r="P2300" s="71">
        <f t="shared" si="131"/>
        <v>0</v>
      </c>
      <c r="Q2300" s="71">
        <f t="shared" si="130"/>
        <v>0</v>
      </c>
      <c r="R2300" s="93" t="str">
        <f t="shared" si="129"/>
        <v/>
      </c>
    </row>
    <row r="2301" spans="1:18" x14ac:dyDescent="0.2">
      <c r="A2301" s="352" t="str">
        <f>IF(B2301="","",COUNT('Diário 1º PA'!$A$4:$A$2635)+COUNT('Diário 2º PA'!$A$4:$A$3040)+ROW()-3)</f>
        <v/>
      </c>
      <c r="B2301" s="600"/>
      <c r="C2301" s="354"/>
      <c r="D2301" s="343"/>
      <c r="E2301" s="343"/>
      <c r="F2301" s="344"/>
      <c r="G2301" s="343"/>
      <c r="H2301" s="343"/>
      <c r="I2301" s="345"/>
      <c r="J2301" s="343"/>
      <c r="K2301" s="343"/>
      <c r="L2301" s="345"/>
      <c r="M2301" s="343"/>
      <c r="N2301" s="598"/>
      <c r="O2301" s="585"/>
      <c r="P2301" s="71">
        <f t="shared" si="131"/>
        <v>0</v>
      </c>
      <c r="Q2301" s="71">
        <f t="shared" si="130"/>
        <v>0</v>
      </c>
      <c r="R2301" s="93" t="str">
        <f t="shared" si="129"/>
        <v/>
      </c>
    </row>
    <row r="2302" spans="1:18" x14ac:dyDescent="0.2">
      <c r="A2302" s="352" t="str">
        <f>IF(B2302="","",COUNT('Diário 1º PA'!$A$4:$A$2635)+COUNT('Diário 2º PA'!$A$4:$A$3040)+ROW()-3)</f>
        <v/>
      </c>
      <c r="B2302" s="600"/>
      <c r="C2302" s="354"/>
      <c r="D2302" s="343"/>
      <c r="E2302" s="343"/>
      <c r="F2302" s="344"/>
      <c r="G2302" s="343"/>
      <c r="H2302" s="343"/>
      <c r="I2302" s="345"/>
      <c r="J2302" s="343"/>
      <c r="K2302" s="343"/>
      <c r="L2302" s="345"/>
      <c r="M2302" s="343"/>
      <c r="N2302" s="598"/>
      <c r="O2302" s="585"/>
      <c r="P2302" s="71">
        <f t="shared" si="131"/>
        <v>0</v>
      </c>
      <c r="Q2302" s="71">
        <f t="shared" si="130"/>
        <v>0</v>
      </c>
      <c r="R2302" s="93" t="str">
        <f t="shared" si="129"/>
        <v/>
      </c>
    </row>
    <row r="2303" spans="1:18" x14ac:dyDescent="0.2">
      <c r="A2303" s="352" t="str">
        <f>IF(B2303="","",COUNT('Diário 1º PA'!$A$4:$A$2635)+COUNT('Diário 2º PA'!$A$4:$A$3040)+ROW()-3)</f>
        <v/>
      </c>
      <c r="B2303" s="600"/>
      <c r="C2303" s="354"/>
      <c r="D2303" s="343"/>
      <c r="E2303" s="343"/>
      <c r="F2303" s="344"/>
      <c r="G2303" s="343"/>
      <c r="H2303" s="343"/>
      <c r="I2303" s="345"/>
      <c r="J2303" s="343"/>
      <c r="K2303" s="343"/>
      <c r="L2303" s="345"/>
      <c r="M2303" s="343"/>
      <c r="N2303" s="598"/>
      <c r="O2303" s="585"/>
      <c r="P2303" s="71">
        <f t="shared" si="131"/>
        <v>0</v>
      </c>
      <c r="Q2303" s="71">
        <f t="shared" si="130"/>
        <v>0</v>
      </c>
      <c r="R2303" s="93" t="str">
        <f t="shared" si="129"/>
        <v/>
      </c>
    </row>
    <row r="2304" spans="1:18" x14ac:dyDescent="0.2">
      <c r="A2304" s="352" t="str">
        <f>IF(B2304="","",COUNT('Diário 1º PA'!$A$4:$A$2635)+COUNT('Diário 2º PA'!$A$4:$A$3040)+ROW()-3)</f>
        <v/>
      </c>
      <c r="B2304" s="600"/>
      <c r="C2304" s="354"/>
      <c r="D2304" s="343"/>
      <c r="E2304" s="343"/>
      <c r="F2304" s="344"/>
      <c r="G2304" s="343"/>
      <c r="H2304" s="343"/>
      <c r="I2304" s="345"/>
      <c r="J2304" s="343"/>
      <c r="K2304" s="343"/>
      <c r="L2304" s="345"/>
      <c r="M2304" s="343"/>
      <c r="N2304" s="598"/>
      <c r="O2304" s="585"/>
      <c r="P2304" s="71">
        <f t="shared" si="131"/>
        <v>0</v>
      </c>
      <c r="Q2304" s="71">
        <f t="shared" si="130"/>
        <v>0</v>
      </c>
      <c r="R2304" s="93" t="str">
        <f t="shared" si="129"/>
        <v/>
      </c>
    </row>
    <row r="2305" spans="1:18" x14ac:dyDescent="0.2">
      <c r="A2305" s="352" t="str">
        <f>IF(B2305="","",COUNT('Diário 1º PA'!$A$4:$A$2635)+COUNT('Diário 2º PA'!$A$4:$A$3040)+ROW()-3)</f>
        <v/>
      </c>
      <c r="B2305" s="600"/>
      <c r="C2305" s="354"/>
      <c r="D2305" s="343"/>
      <c r="E2305" s="343"/>
      <c r="F2305" s="344"/>
      <c r="G2305" s="343"/>
      <c r="H2305" s="343"/>
      <c r="I2305" s="345"/>
      <c r="J2305" s="343"/>
      <c r="K2305" s="343"/>
      <c r="L2305" s="345"/>
      <c r="M2305" s="343"/>
      <c r="N2305" s="598"/>
      <c r="O2305" s="585"/>
      <c r="P2305" s="71">
        <f t="shared" si="131"/>
        <v>0</v>
      </c>
      <c r="Q2305" s="71">
        <f t="shared" si="130"/>
        <v>0</v>
      </c>
      <c r="R2305" s="93" t="str">
        <f t="shared" si="129"/>
        <v/>
      </c>
    </row>
    <row r="2306" spans="1:18" x14ac:dyDescent="0.2">
      <c r="A2306" s="352" t="str">
        <f>IF(B2306="","",COUNT('Diário 1º PA'!$A$4:$A$2635)+COUNT('Diário 2º PA'!$A$4:$A$3040)+ROW()-3)</f>
        <v/>
      </c>
      <c r="B2306" s="600"/>
      <c r="C2306" s="354"/>
      <c r="D2306" s="343"/>
      <c r="E2306" s="343"/>
      <c r="F2306" s="344"/>
      <c r="G2306" s="343"/>
      <c r="H2306" s="343"/>
      <c r="I2306" s="345"/>
      <c r="J2306" s="343"/>
      <c r="K2306" s="343"/>
      <c r="L2306" s="345"/>
      <c r="M2306" s="343"/>
      <c r="N2306" s="598"/>
      <c r="O2306" s="585"/>
      <c r="P2306" s="71">
        <f t="shared" si="131"/>
        <v>0</v>
      </c>
      <c r="Q2306" s="71">
        <f t="shared" si="130"/>
        <v>0</v>
      </c>
      <c r="R2306" s="93" t="str">
        <f t="shared" si="129"/>
        <v/>
      </c>
    </row>
    <row r="2307" spans="1:18" x14ac:dyDescent="0.2">
      <c r="A2307" s="352" t="str">
        <f>IF(B2307="","",COUNT('Diário 1º PA'!$A$4:$A$2635)+COUNT('Diário 2º PA'!$A$4:$A$3040)+ROW()-3)</f>
        <v/>
      </c>
      <c r="B2307" s="600"/>
      <c r="C2307" s="354"/>
      <c r="D2307" s="343"/>
      <c r="E2307" s="343"/>
      <c r="F2307" s="344"/>
      <c r="G2307" s="343"/>
      <c r="H2307" s="343"/>
      <c r="I2307" s="345"/>
      <c r="J2307" s="343"/>
      <c r="K2307" s="343"/>
      <c r="L2307" s="345"/>
      <c r="M2307" s="343"/>
      <c r="N2307" s="598"/>
      <c r="O2307" s="585"/>
      <c r="P2307" s="71">
        <f t="shared" si="131"/>
        <v>0</v>
      </c>
      <c r="Q2307" s="71">
        <f t="shared" si="130"/>
        <v>0</v>
      </c>
      <c r="R2307" s="93" t="str">
        <f t="shared" si="129"/>
        <v/>
      </c>
    </row>
    <row r="2308" spans="1:18" x14ac:dyDescent="0.2">
      <c r="A2308" s="352" t="str">
        <f>IF(B2308="","",COUNT('Diário 1º PA'!$A$4:$A$2635)+COUNT('Diário 2º PA'!$A$4:$A$3040)+ROW()-3)</f>
        <v/>
      </c>
      <c r="B2308" s="600"/>
      <c r="C2308" s="354"/>
      <c r="D2308" s="343"/>
      <c r="E2308" s="343"/>
      <c r="F2308" s="344"/>
      <c r="G2308" s="343"/>
      <c r="H2308" s="343"/>
      <c r="I2308" s="345"/>
      <c r="J2308" s="343"/>
      <c r="K2308" s="343"/>
      <c r="L2308" s="345"/>
      <c r="M2308" s="343"/>
      <c r="N2308" s="598"/>
      <c r="O2308" s="585"/>
      <c r="P2308" s="71">
        <f t="shared" si="131"/>
        <v>0</v>
      </c>
      <c r="Q2308" s="71">
        <f t="shared" si="130"/>
        <v>0</v>
      </c>
      <c r="R2308" s="93" t="str">
        <f t="shared" ref="R2308:R2371" si="132">SUBSTITUTE(D2308," ","_")</f>
        <v/>
      </c>
    </row>
    <row r="2309" spans="1:18" x14ac:dyDescent="0.2">
      <c r="A2309" s="352" t="str">
        <f>IF(B2309="","",COUNT('Diário 1º PA'!$A$4:$A$2635)+COUNT('Diário 2º PA'!$A$4:$A$3040)+ROW()-3)</f>
        <v/>
      </c>
      <c r="B2309" s="600"/>
      <c r="C2309" s="354"/>
      <c r="D2309" s="343"/>
      <c r="E2309" s="343"/>
      <c r="F2309" s="344"/>
      <c r="G2309" s="343"/>
      <c r="H2309" s="343"/>
      <c r="I2309" s="345"/>
      <c r="J2309" s="343"/>
      <c r="K2309" s="343"/>
      <c r="L2309" s="345"/>
      <c r="M2309" s="343"/>
      <c r="N2309" s="598"/>
      <c r="O2309" s="585"/>
      <c r="P2309" s="71">
        <f t="shared" si="131"/>
        <v>0</v>
      </c>
      <c r="Q2309" s="71">
        <f t="shared" si="130"/>
        <v>0</v>
      </c>
      <c r="R2309" s="93" t="str">
        <f t="shared" si="132"/>
        <v/>
      </c>
    </row>
    <row r="2310" spans="1:18" x14ac:dyDescent="0.2">
      <c r="A2310" s="352" t="str">
        <f>IF(B2310="","",COUNT('Diário 1º PA'!$A$4:$A$2635)+COUNT('Diário 2º PA'!$A$4:$A$3040)+ROW()-3)</f>
        <v/>
      </c>
      <c r="B2310" s="600"/>
      <c r="C2310" s="354"/>
      <c r="D2310" s="343"/>
      <c r="E2310" s="343"/>
      <c r="F2310" s="344"/>
      <c r="G2310" s="343"/>
      <c r="H2310" s="343"/>
      <c r="I2310" s="345"/>
      <c r="J2310" s="343"/>
      <c r="K2310" s="343"/>
      <c r="L2310" s="345"/>
      <c r="M2310" s="343"/>
      <c r="N2310" s="598"/>
      <c r="O2310" s="585"/>
      <c r="P2310" s="71">
        <f t="shared" si="131"/>
        <v>0</v>
      </c>
      <c r="Q2310" s="71">
        <f t="shared" si="130"/>
        <v>0</v>
      </c>
      <c r="R2310" s="93" t="str">
        <f t="shared" si="132"/>
        <v/>
      </c>
    </row>
    <row r="2311" spans="1:18" x14ac:dyDescent="0.2">
      <c r="A2311" s="352" t="str">
        <f>IF(B2311="","",COUNT('Diário 1º PA'!$A$4:$A$2635)+COUNT('Diário 2º PA'!$A$4:$A$3040)+ROW()-3)</f>
        <v/>
      </c>
      <c r="B2311" s="600"/>
      <c r="C2311" s="354"/>
      <c r="D2311" s="343"/>
      <c r="E2311" s="343"/>
      <c r="F2311" s="344"/>
      <c r="G2311" s="343"/>
      <c r="H2311" s="343"/>
      <c r="I2311" s="345"/>
      <c r="J2311" s="343"/>
      <c r="K2311" s="343"/>
      <c r="L2311" s="345"/>
      <c r="M2311" s="343"/>
      <c r="N2311" s="598"/>
      <c r="O2311" s="585"/>
      <c r="P2311" s="71">
        <f t="shared" si="131"/>
        <v>0</v>
      </c>
      <c r="Q2311" s="71">
        <f t="shared" si="130"/>
        <v>0</v>
      </c>
      <c r="R2311" s="93" t="str">
        <f t="shared" si="132"/>
        <v/>
      </c>
    </row>
    <row r="2312" spans="1:18" x14ac:dyDescent="0.2">
      <c r="A2312" s="352" t="str">
        <f>IF(B2312="","",COUNT('Diário 1º PA'!$A$4:$A$2635)+COUNT('Diário 2º PA'!$A$4:$A$3040)+ROW()-3)</f>
        <v/>
      </c>
      <c r="B2312" s="600"/>
      <c r="C2312" s="354"/>
      <c r="D2312" s="343"/>
      <c r="E2312" s="343"/>
      <c r="F2312" s="344"/>
      <c r="G2312" s="343"/>
      <c r="H2312" s="343"/>
      <c r="I2312" s="345"/>
      <c r="J2312" s="343"/>
      <c r="K2312" s="343"/>
      <c r="L2312" s="345"/>
      <c r="M2312" s="343"/>
      <c r="N2312" s="598"/>
      <c r="O2312" s="585"/>
      <c r="P2312" s="71">
        <f t="shared" si="131"/>
        <v>0</v>
      </c>
      <c r="Q2312" s="71">
        <f t="shared" si="130"/>
        <v>0</v>
      </c>
      <c r="R2312" s="93" t="str">
        <f t="shared" si="132"/>
        <v/>
      </c>
    </row>
    <row r="2313" spans="1:18" x14ac:dyDescent="0.2">
      <c r="A2313" s="352" t="str">
        <f>IF(B2313="","",COUNT('Diário 1º PA'!$A$4:$A$2635)+COUNT('Diário 2º PA'!$A$4:$A$3040)+ROW()-3)</f>
        <v/>
      </c>
      <c r="B2313" s="600"/>
      <c r="C2313" s="354"/>
      <c r="D2313" s="343"/>
      <c r="E2313" s="343"/>
      <c r="F2313" s="344"/>
      <c r="G2313" s="343"/>
      <c r="H2313" s="343"/>
      <c r="I2313" s="345"/>
      <c r="J2313" s="343"/>
      <c r="K2313" s="343"/>
      <c r="L2313" s="345"/>
      <c r="M2313" s="343"/>
      <c r="N2313" s="598"/>
      <c r="O2313" s="585"/>
      <c r="P2313" s="71">
        <f t="shared" si="131"/>
        <v>0</v>
      </c>
      <c r="Q2313" s="71">
        <f t="shared" si="130"/>
        <v>0</v>
      </c>
      <c r="R2313" s="93" t="str">
        <f t="shared" si="132"/>
        <v/>
      </c>
    </row>
    <row r="2314" spans="1:18" x14ac:dyDescent="0.2">
      <c r="A2314" s="352" t="str">
        <f>IF(B2314="","",COUNT('Diário 1º PA'!$A$4:$A$2635)+COUNT('Diário 2º PA'!$A$4:$A$3040)+ROW()-3)</f>
        <v/>
      </c>
      <c r="B2314" s="600"/>
      <c r="C2314" s="354"/>
      <c r="D2314" s="343"/>
      <c r="E2314" s="343"/>
      <c r="F2314" s="344"/>
      <c r="G2314" s="343"/>
      <c r="H2314" s="343"/>
      <c r="I2314" s="345"/>
      <c r="J2314" s="343"/>
      <c r="K2314" s="343"/>
      <c r="L2314" s="345"/>
      <c r="M2314" s="343"/>
      <c r="N2314" s="598"/>
      <c r="O2314" s="585"/>
      <c r="P2314" s="71">
        <f t="shared" si="131"/>
        <v>0</v>
      </c>
      <c r="Q2314" s="71">
        <f t="shared" si="130"/>
        <v>0</v>
      </c>
      <c r="R2314" s="93" t="str">
        <f t="shared" si="132"/>
        <v/>
      </c>
    </row>
    <row r="2315" spans="1:18" x14ac:dyDescent="0.2">
      <c r="A2315" s="352" t="str">
        <f>IF(B2315="","",COUNT('Diário 1º PA'!$A$4:$A$2635)+COUNT('Diário 2º PA'!$A$4:$A$3040)+ROW()-3)</f>
        <v/>
      </c>
      <c r="B2315" s="600"/>
      <c r="C2315" s="354"/>
      <c r="D2315" s="343"/>
      <c r="E2315" s="343"/>
      <c r="F2315" s="344"/>
      <c r="G2315" s="343"/>
      <c r="H2315" s="343"/>
      <c r="I2315" s="345"/>
      <c r="J2315" s="343"/>
      <c r="K2315" s="343"/>
      <c r="L2315" s="345"/>
      <c r="M2315" s="343"/>
      <c r="N2315" s="598"/>
      <c r="O2315" s="585"/>
      <c r="P2315" s="71">
        <f t="shared" si="131"/>
        <v>0</v>
      </c>
      <c r="Q2315" s="71">
        <f t="shared" si="130"/>
        <v>0</v>
      </c>
      <c r="R2315" s="93" t="str">
        <f t="shared" si="132"/>
        <v/>
      </c>
    </row>
    <row r="2316" spans="1:18" x14ac:dyDescent="0.2">
      <c r="A2316" s="352" t="str">
        <f>IF(B2316="","",COUNT('Diário 1º PA'!$A$4:$A$2635)+COUNT('Diário 2º PA'!$A$4:$A$3040)+ROW()-3)</f>
        <v/>
      </c>
      <c r="B2316" s="600"/>
      <c r="C2316" s="354"/>
      <c r="D2316" s="343"/>
      <c r="E2316" s="343"/>
      <c r="F2316" s="344"/>
      <c r="G2316" s="343"/>
      <c r="H2316" s="343"/>
      <c r="I2316" s="345"/>
      <c r="J2316" s="343"/>
      <c r="K2316" s="343"/>
      <c r="L2316" s="345"/>
      <c r="M2316" s="343"/>
      <c r="N2316" s="598"/>
      <c r="O2316" s="585"/>
      <c r="P2316" s="71">
        <f t="shared" si="131"/>
        <v>0</v>
      </c>
      <c r="Q2316" s="71">
        <f t="shared" si="130"/>
        <v>0</v>
      </c>
      <c r="R2316" s="93" t="str">
        <f t="shared" si="132"/>
        <v/>
      </c>
    </row>
    <row r="2317" spans="1:18" x14ac:dyDescent="0.2">
      <c r="A2317" s="352" t="str">
        <f>IF(B2317="","",COUNT('Diário 1º PA'!$A$4:$A$2635)+COUNT('Diário 2º PA'!$A$4:$A$3040)+ROW()-3)</f>
        <v/>
      </c>
      <c r="B2317" s="600"/>
      <c r="C2317" s="354"/>
      <c r="D2317" s="343"/>
      <c r="E2317" s="343"/>
      <c r="F2317" s="344"/>
      <c r="G2317" s="343"/>
      <c r="H2317" s="343"/>
      <c r="I2317" s="345"/>
      <c r="J2317" s="343"/>
      <c r="K2317" s="343"/>
      <c r="L2317" s="345"/>
      <c r="M2317" s="343"/>
      <c r="N2317" s="598"/>
      <c r="O2317" s="585"/>
      <c r="P2317" s="71">
        <f t="shared" si="131"/>
        <v>0</v>
      </c>
      <c r="Q2317" s="71">
        <f t="shared" si="130"/>
        <v>0</v>
      </c>
      <c r="R2317" s="93" t="str">
        <f t="shared" si="132"/>
        <v/>
      </c>
    </row>
    <row r="2318" spans="1:18" x14ac:dyDescent="0.2">
      <c r="A2318" s="352" t="str">
        <f>IF(B2318="","",COUNT('Diário 1º PA'!$A$4:$A$2635)+COUNT('Diário 2º PA'!$A$4:$A$3040)+ROW()-3)</f>
        <v/>
      </c>
      <c r="B2318" s="600"/>
      <c r="C2318" s="354"/>
      <c r="D2318" s="343"/>
      <c r="E2318" s="343"/>
      <c r="F2318" s="344"/>
      <c r="G2318" s="343"/>
      <c r="H2318" s="343"/>
      <c r="I2318" s="345"/>
      <c r="J2318" s="343"/>
      <c r="K2318" s="343"/>
      <c r="L2318" s="345"/>
      <c r="M2318" s="343"/>
      <c r="N2318" s="598"/>
      <c r="O2318" s="585"/>
      <c r="P2318" s="71">
        <f t="shared" si="131"/>
        <v>0</v>
      </c>
      <c r="Q2318" s="71">
        <f t="shared" si="130"/>
        <v>0</v>
      </c>
      <c r="R2318" s="93" t="str">
        <f t="shared" si="132"/>
        <v/>
      </c>
    </row>
    <row r="2319" spans="1:18" x14ac:dyDescent="0.2">
      <c r="A2319" s="352" t="str">
        <f>IF(B2319="","",COUNT('Diário 1º PA'!$A$4:$A$2635)+COUNT('Diário 2º PA'!$A$4:$A$3040)+ROW()-3)</f>
        <v/>
      </c>
      <c r="B2319" s="600"/>
      <c r="C2319" s="354"/>
      <c r="D2319" s="343"/>
      <c r="E2319" s="343"/>
      <c r="F2319" s="344"/>
      <c r="G2319" s="343"/>
      <c r="H2319" s="343"/>
      <c r="I2319" s="345"/>
      <c r="J2319" s="343"/>
      <c r="K2319" s="343"/>
      <c r="L2319" s="345"/>
      <c r="M2319" s="343"/>
      <c r="N2319" s="598"/>
      <c r="O2319" s="585"/>
      <c r="P2319" s="71">
        <f t="shared" si="131"/>
        <v>0</v>
      </c>
      <c r="Q2319" s="71">
        <f t="shared" ref="Q2319:Q2382" si="133">IF(C2319=0,0,IF(YEAR(C2319)=$Q$1,MONTH(C2319)-$P$1+1,(YEAR(C2319)-$Q$1)*12-$P$1+1+MONTH(C2319)))</f>
        <v>0</v>
      </c>
      <c r="R2319" s="93" t="str">
        <f t="shared" si="132"/>
        <v/>
      </c>
    </row>
    <row r="2320" spans="1:18" x14ac:dyDescent="0.2">
      <c r="A2320" s="352" t="str">
        <f>IF(B2320="","",COUNT('Diário 1º PA'!$A$4:$A$2635)+COUNT('Diário 2º PA'!$A$4:$A$3040)+ROW()-3)</f>
        <v/>
      </c>
      <c r="B2320" s="600"/>
      <c r="C2320" s="354"/>
      <c r="D2320" s="343"/>
      <c r="E2320" s="343"/>
      <c r="F2320" s="344"/>
      <c r="G2320" s="343"/>
      <c r="H2320" s="343"/>
      <c r="I2320" s="345"/>
      <c r="J2320" s="343"/>
      <c r="K2320" s="343"/>
      <c r="L2320" s="345"/>
      <c r="M2320" s="343"/>
      <c r="N2320" s="598"/>
      <c r="O2320" s="585"/>
      <c r="P2320" s="71">
        <f t="shared" si="131"/>
        <v>0</v>
      </c>
      <c r="Q2320" s="71">
        <f t="shared" si="133"/>
        <v>0</v>
      </c>
      <c r="R2320" s="93" t="str">
        <f t="shared" si="132"/>
        <v/>
      </c>
    </row>
    <row r="2321" spans="1:18" x14ac:dyDescent="0.2">
      <c r="A2321" s="352" t="str">
        <f>IF(B2321="","",COUNT('Diário 1º PA'!$A$4:$A$2635)+COUNT('Diário 2º PA'!$A$4:$A$3040)+ROW()-3)</f>
        <v/>
      </c>
      <c r="B2321" s="600"/>
      <c r="C2321" s="354"/>
      <c r="D2321" s="343"/>
      <c r="E2321" s="343"/>
      <c r="F2321" s="344"/>
      <c r="G2321" s="343"/>
      <c r="H2321" s="343"/>
      <c r="I2321" s="345"/>
      <c r="J2321" s="343"/>
      <c r="K2321" s="343"/>
      <c r="L2321" s="345"/>
      <c r="M2321" s="343"/>
      <c r="N2321" s="598"/>
      <c r="O2321" s="585"/>
      <c r="P2321" s="71">
        <f t="shared" ref="P2321:P2384" si="134">IF(B2321=0,0,IF(YEAR(B2321)=$Q$1,MONTH(B2321)-$P$1+1,(YEAR(B2321)-$Q$1)*12-$P$1+1+MONTH(B2321)))</f>
        <v>0</v>
      </c>
      <c r="Q2321" s="71">
        <f t="shared" si="133"/>
        <v>0</v>
      </c>
      <c r="R2321" s="93" t="str">
        <f t="shared" si="132"/>
        <v/>
      </c>
    </row>
    <row r="2322" spans="1:18" x14ac:dyDescent="0.2">
      <c r="A2322" s="352" t="str">
        <f>IF(B2322="","",COUNT('Diário 1º PA'!$A$4:$A$2635)+COUNT('Diário 2º PA'!$A$4:$A$3040)+ROW()-3)</f>
        <v/>
      </c>
      <c r="B2322" s="600"/>
      <c r="C2322" s="354"/>
      <c r="D2322" s="343"/>
      <c r="E2322" s="343"/>
      <c r="F2322" s="344"/>
      <c r="G2322" s="343"/>
      <c r="H2322" s="343"/>
      <c r="I2322" s="345"/>
      <c r="J2322" s="343"/>
      <c r="K2322" s="343"/>
      <c r="L2322" s="345"/>
      <c r="M2322" s="343"/>
      <c r="N2322" s="598"/>
      <c r="O2322" s="585"/>
      <c r="P2322" s="71">
        <f t="shared" si="134"/>
        <v>0</v>
      </c>
      <c r="Q2322" s="71">
        <f t="shared" si="133"/>
        <v>0</v>
      </c>
      <c r="R2322" s="93" t="str">
        <f t="shared" si="132"/>
        <v/>
      </c>
    </row>
    <row r="2323" spans="1:18" x14ac:dyDescent="0.2">
      <c r="A2323" s="352" t="str">
        <f>IF(B2323="","",COUNT('Diário 1º PA'!$A$4:$A$2635)+COUNT('Diário 2º PA'!$A$4:$A$3040)+ROW()-3)</f>
        <v/>
      </c>
      <c r="B2323" s="600"/>
      <c r="C2323" s="354"/>
      <c r="D2323" s="343"/>
      <c r="E2323" s="343"/>
      <c r="F2323" s="344"/>
      <c r="G2323" s="343"/>
      <c r="H2323" s="343"/>
      <c r="I2323" s="345"/>
      <c r="J2323" s="343"/>
      <c r="K2323" s="343"/>
      <c r="L2323" s="345"/>
      <c r="M2323" s="343"/>
      <c r="N2323" s="598"/>
      <c r="O2323" s="585"/>
      <c r="P2323" s="71">
        <f t="shared" si="134"/>
        <v>0</v>
      </c>
      <c r="Q2323" s="71">
        <f t="shared" si="133"/>
        <v>0</v>
      </c>
      <c r="R2323" s="93" t="str">
        <f t="shared" si="132"/>
        <v/>
      </c>
    </row>
    <row r="2324" spans="1:18" x14ac:dyDescent="0.2">
      <c r="A2324" s="352" t="str">
        <f>IF(B2324="","",COUNT('Diário 1º PA'!$A$4:$A$2635)+COUNT('Diário 2º PA'!$A$4:$A$3040)+ROW()-3)</f>
        <v/>
      </c>
      <c r="B2324" s="600"/>
      <c r="C2324" s="354"/>
      <c r="D2324" s="343"/>
      <c r="E2324" s="343"/>
      <c r="F2324" s="344"/>
      <c r="G2324" s="343"/>
      <c r="H2324" s="343"/>
      <c r="I2324" s="345"/>
      <c r="J2324" s="343"/>
      <c r="K2324" s="343"/>
      <c r="L2324" s="345"/>
      <c r="M2324" s="343"/>
      <c r="N2324" s="598"/>
      <c r="O2324" s="585"/>
      <c r="P2324" s="71">
        <f t="shared" si="134"/>
        <v>0</v>
      </c>
      <c r="Q2324" s="71">
        <f t="shared" si="133"/>
        <v>0</v>
      </c>
      <c r="R2324" s="93" t="str">
        <f t="shared" si="132"/>
        <v/>
      </c>
    </row>
    <row r="2325" spans="1:18" x14ac:dyDescent="0.2">
      <c r="A2325" s="352" t="str">
        <f>IF(B2325="","",COUNT('Diário 1º PA'!$A$4:$A$2635)+COUNT('Diário 2º PA'!$A$4:$A$3040)+ROW()-3)</f>
        <v/>
      </c>
      <c r="B2325" s="600"/>
      <c r="C2325" s="354"/>
      <c r="D2325" s="343"/>
      <c r="E2325" s="343"/>
      <c r="F2325" s="344"/>
      <c r="G2325" s="343"/>
      <c r="H2325" s="343"/>
      <c r="I2325" s="345"/>
      <c r="J2325" s="343"/>
      <c r="K2325" s="343"/>
      <c r="L2325" s="345"/>
      <c r="M2325" s="343"/>
      <c r="N2325" s="598"/>
      <c r="O2325" s="585"/>
      <c r="P2325" s="71">
        <f t="shared" si="134"/>
        <v>0</v>
      </c>
      <c r="Q2325" s="71">
        <f t="shared" si="133"/>
        <v>0</v>
      </c>
      <c r="R2325" s="93" t="str">
        <f t="shared" si="132"/>
        <v/>
      </c>
    </row>
    <row r="2326" spans="1:18" x14ac:dyDescent="0.2">
      <c r="A2326" s="352" t="str">
        <f>IF(B2326="","",COUNT('Diário 1º PA'!$A$4:$A$2635)+COUNT('Diário 2º PA'!$A$4:$A$3040)+ROW()-3)</f>
        <v/>
      </c>
      <c r="B2326" s="600"/>
      <c r="C2326" s="354"/>
      <c r="D2326" s="343"/>
      <c r="E2326" s="343"/>
      <c r="F2326" s="344"/>
      <c r="G2326" s="343"/>
      <c r="H2326" s="343"/>
      <c r="I2326" s="345"/>
      <c r="J2326" s="343"/>
      <c r="K2326" s="343"/>
      <c r="L2326" s="345"/>
      <c r="M2326" s="343"/>
      <c r="N2326" s="598"/>
      <c r="O2326" s="585"/>
      <c r="P2326" s="71">
        <f t="shared" si="134"/>
        <v>0</v>
      </c>
      <c r="Q2326" s="71">
        <f t="shared" si="133"/>
        <v>0</v>
      </c>
      <c r="R2326" s="93" t="str">
        <f t="shared" si="132"/>
        <v/>
      </c>
    </row>
    <row r="2327" spans="1:18" x14ac:dyDescent="0.2">
      <c r="A2327" s="352" t="str">
        <f>IF(B2327="","",COUNT('Diário 1º PA'!$A$4:$A$2635)+COUNT('Diário 2º PA'!$A$4:$A$3040)+ROW()-3)</f>
        <v/>
      </c>
      <c r="B2327" s="600"/>
      <c r="C2327" s="354"/>
      <c r="D2327" s="343"/>
      <c r="E2327" s="343"/>
      <c r="F2327" s="344"/>
      <c r="G2327" s="343"/>
      <c r="H2327" s="343"/>
      <c r="I2327" s="345"/>
      <c r="J2327" s="343"/>
      <c r="K2327" s="343"/>
      <c r="L2327" s="345"/>
      <c r="M2327" s="343"/>
      <c r="N2327" s="598"/>
      <c r="O2327" s="585"/>
      <c r="P2327" s="71">
        <f t="shared" si="134"/>
        <v>0</v>
      </c>
      <c r="Q2327" s="71">
        <f t="shared" si="133"/>
        <v>0</v>
      </c>
      <c r="R2327" s="93" t="str">
        <f t="shared" si="132"/>
        <v/>
      </c>
    </row>
    <row r="2328" spans="1:18" x14ac:dyDescent="0.2">
      <c r="A2328" s="352" t="str">
        <f>IF(B2328="","",COUNT('Diário 1º PA'!$A$4:$A$2635)+COUNT('Diário 2º PA'!$A$4:$A$3040)+ROW()-3)</f>
        <v/>
      </c>
      <c r="B2328" s="600"/>
      <c r="C2328" s="354"/>
      <c r="D2328" s="343"/>
      <c r="E2328" s="343"/>
      <c r="F2328" s="344"/>
      <c r="G2328" s="343"/>
      <c r="H2328" s="343"/>
      <c r="I2328" s="345"/>
      <c r="J2328" s="343"/>
      <c r="K2328" s="343"/>
      <c r="L2328" s="345"/>
      <c r="M2328" s="343"/>
      <c r="N2328" s="598"/>
      <c r="O2328" s="585"/>
      <c r="P2328" s="71">
        <f t="shared" si="134"/>
        <v>0</v>
      </c>
      <c r="Q2328" s="71">
        <f t="shared" si="133"/>
        <v>0</v>
      </c>
      <c r="R2328" s="93" t="str">
        <f t="shared" si="132"/>
        <v/>
      </c>
    </row>
    <row r="2329" spans="1:18" x14ac:dyDescent="0.2">
      <c r="A2329" s="352" t="str">
        <f>IF(B2329="","",COUNT('Diário 1º PA'!$A$4:$A$2635)+COUNT('Diário 2º PA'!$A$4:$A$3040)+ROW()-3)</f>
        <v/>
      </c>
      <c r="B2329" s="600"/>
      <c r="C2329" s="354"/>
      <c r="D2329" s="343"/>
      <c r="E2329" s="343"/>
      <c r="F2329" s="344"/>
      <c r="G2329" s="343"/>
      <c r="H2329" s="343"/>
      <c r="I2329" s="345"/>
      <c r="J2329" s="343"/>
      <c r="K2329" s="343"/>
      <c r="L2329" s="345"/>
      <c r="M2329" s="343"/>
      <c r="N2329" s="598"/>
      <c r="O2329" s="585"/>
      <c r="P2329" s="71">
        <f t="shared" si="134"/>
        <v>0</v>
      </c>
      <c r="Q2329" s="71">
        <f t="shared" si="133"/>
        <v>0</v>
      </c>
      <c r="R2329" s="93" t="str">
        <f t="shared" si="132"/>
        <v/>
      </c>
    </row>
    <row r="2330" spans="1:18" x14ac:dyDescent="0.2">
      <c r="A2330" s="352" t="str">
        <f>IF(B2330="","",COUNT('Diário 1º PA'!$A$4:$A$2635)+COUNT('Diário 2º PA'!$A$4:$A$3040)+ROW()-3)</f>
        <v/>
      </c>
      <c r="B2330" s="600"/>
      <c r="C2330" s="354"/>
      <c r="D2330" s="343"/>
      <c r="E2330" s="343"/>
      <c r="F2330" s="344"/>
      <c r="G2330" s="343"/>
      <c r="H2330" s="343"/>
      <c r="I2330" s="345"/>
      <c r="J2330" s="343"/>
      <c r="K2330" s="343"/>
      <c r="L2330" s="345"/>
      <c r="M2330" s="343"/>
      <c r="N2330" s="598"/>
      <c r="O2330" s="585"/>
      <c r="P2330" s="71">
        <f t="shared" si="134"/>
        <v>0</v>
      </c>
      <c r="Q2330" s="71">
        <f t="shared" si="133"/>
        <v>0</v>
      </c>
      <c r="R2330" s="93" t="str">
        <f t="shared" si="132"/>
        <v/>
      </c>
    </row>
    <row r="2331" spans="1:18" x14ac:dyDescent="0.2">
      <c r="A2331" s="352" t="str">
        <f>IF(B2331="","",COUNT('Diário 1º PA'!$A$4:$A$2635)+COUNT('Diário 2º PA'!$A$4:$A$3040)+ROW()-3)</f>
        <v/>
      </c>
      <c r="B2331" s="600"/>
      <c r="C2331" s="354"/>
      <c r="D2331" s="343"/>
      <c r="E2331" s="343"/>
      <c r="F2331" s="344"/>
      <c r="G2331" s="343"/>
      <c r="H2331" s="343"/>
      <c r="I2331" s="345"/>
      <c r="J2331" s="343"/>
      <c r="K2331" s="343"/>
      <c r="L2331" s="345"/>
      <c r="M2331" s="343"/>
      <c r="N2331" s="598"/>
      <c r="O2331" s="585"/>
      <c r="P2331" s="71">
        <f t="shared" si="134"/>
        <v>0</v>
      </c>
      <c r="Q2331" s="71">
        <f t="shared" si="133"/>
        <v>0</v>
      </c>
      <c r="R2331" s="93" t="str">
        <f t="shared" si="132"/>
        <v/>
      </c>
    </row>
    <row r="2332" spans="1:18" x14ac:dyDescent="0.2">
      <c r="A2332" s="352" t="str">
        <f>IF(B2332="","",COUNT('Diário 1º PA'!$A$4:$A$2635)+COUNT('Diário 2º PA'!$A$4:$A$3040)+ROW()-3)</f>
        <v/>
      </c>
      <c r="B2332" s="600"/>
      <c r="C2332" s="354"/>
      <c r="D2332" s="343"/>
      <c r="E2332" s="343"/>
      <c r="F2332" s="344"/>
      <c r="G2332" s="343"/>
      <c r="H2332" s="343"/>
      <c r="I2332" s="345"/>
      <c r="J2332" s="343"/>
      <c r="K2332" s="343"/>
      <c r="L2332" s="345"/>
      <c r="M2332" s="343"/>
      <c r="N2332" s="598"/>
      <c r="O2332" s="585"/>
      <c r="P2332" s="71">
        <f t="shared" si="134"/>
        <v>0</v>
      </c>
      <c r="Q2332" s="71">
        <f t="shared" si="133"/>
        <v>0</v>
      </c>
      <c r="R2332" s="93" t="str">
        <f t="shared" si="132"/>
        <v/>
      </c>
    </row>
    <row r="2333" spans="1:18" x14ac:dyDescent="0.2">
      <c r="A2333" s="352" t="str">
        <f>IF(B2333="","",COUNT('Diário 1º PA'!$A$4:$A$2635)+COUNT('Diário 2º PA'!$A$4:$A$3040)+ROW()-3)</f>
        <v/>
      </c>
      <c r="B2333" s="600"/>
      <c r="C2333" s="354"/>
      <c r="D2333" s="343"/>
      <c r="E2333" s="343"/>
      <c r="F2333" s="344"/>
      <c r="G2333" s="343"/>
      <c r="H2333" s="343"/>
      <c r="I2333" s="345"/>
      <c r="J2333" s="343"/>
      <c r="K2333" s="343"/>
      <c r="L2333" s="345"/>
      <c r="M2333" s="343"/>
      <c r="N2333" s="598"/>
      <c r="O2333" s="585"/>
      <c r="P2333" s="71">
        <f t="shared" si="134"/>
        <v>0</v>
      </c>
      <c r="Q2333" s="71">
        <f t="shared" si="133"/>
        <v>0</v>
      </c>
      <c r="R2333" s="93" t="str">
        <f t="shared" si="132"/>
        <v/>
      </c>
    </row>
    <row r="2334" spans="1:18" x14ac:dyDescent="0.2">
      <c r="A2334" s="352" t="str">
        <f>IF(B2334="","",COUNT('Diário 1º PA'!$A$4:$A$2635)+COUNT('Diário 2º PA'!$A$4:$A$3040)+ROW()-3)</f>
        <v/>
      </c>
      <c r="B2334" s="600"/>
      <c r="C2334" s="354"/>
      <c r="D2334" s="343"/>
      <c r="E2334" s="343"/>
      <c r="F2334" s="344"/>
      <c r="G2334" s="343"/>
      <c r="H2334" s="343"/>
      <c r="I2334" s="345"/>
      <c r="J2334" s="343"/>
      <c r="K2334" s="343"/>
      <c r="L2334" s="345"/>
      <c r="M2334" s="343"/>
      <c r="N2334" s="598"/>
      <c r="O2334" s="585"/>
      <c r="P2334" s="71">
        <f t="shared" si="134"/>
        <v>0</v>
      </c>
      <c r="Q2334" s="71">
        <f t="shared" si="133"/>
        <v>0</v>
      </c>
      <c r="R2334" s="93" t="str">
        <f t="shared" si="132"/>
        <v/>
      </c>
    </row>
    <row r="2335" spans="1:18" x14ac:dyDescent="0.2">
      <c r="A2335" s="352" t="str">
        <f>IF(B2335="","",COUNT('Diário 1º PA'!$A$4:$A$2635)+COUNT('Diário 2º PA'!$A$4:$A$3040)+ROW()-3)</f>
        <v/>
      </c>
      <c r="B2335" s="600"/>
      <c r="C2335" s="354"/>
      <c r="D2335" s="343"/>
      <c r="E2335" s="343"/>
      <c r="F2335" s="344"/>
      <c r="G2335" s="343"/>
      <c r="H2335" s="343"/>
      <c r="I2335" s="345"/>
      <c r="J2335" s="343"/>
      <c r="K2335" s="343"/>
      <c r="L2335" s="345"/>
      <c r="M2335" s="343"/>
      <c r="N2335" s="598"/>
      <c r="O2335" s="585"/>
      <c r="P2335" s="71">
        <f t="shared" si="134"/>
        <v>0</v>
      </c>
      <c r="Q2335" s="71">
        <f t="shared" si="133"/>
        <v>0</v>
      </c>
      <c r="R2335" s="93" t="str">
        <f t="shared" si="132"/>
        <v/>
      </c>
    </row>
    <row r="2336" spans="1:18" x14ac:dyDescent="0.2">
      <c r="A2336" s="352" t="str">
        <f>IF(B2336="","",COUNT('Diário 1º PA'!$A$4:$A$2635)+COUNT('Diário 2º PA'!$A$4:$A$3040)+ROW()-3)</f>
        <v/>
      </c>
      <c r="B2336" s="600"/>
      <c r="C2336" s="354"/>
      <c r="D2336" s="343"/>
      <c r="E2336" s="343"/>
      <c r="F2336" s="344"/>
      <c r="G2336" s="343"/>
      <c r="H2336" s="343"/>
      <c r="I2336" s="345"/>
      <c r="J2336" s="343"/>
      <c r="K2336" s="343"/>
      <c r="L2336" s="345"/>
      <c r="M2336" s="343"/>
      <c r="N2336" s="598"/>
      <c r="O2336" s="585"/>
      <c r="P2336" s="71">
        <f t="shared" si="134"/>
        <v>0</v>
      </c>
      <c r="Q2336" s="71">
        <f t="shared" si="133"/>
        <v>0</v>
      </c>
      <c r="R2336" s="93" t="str">
        <f t="shared" si="132"/>
        <v/>
      </c>
    </row>
    <row r="2337" spans="1:18" x14ac:dyDescent="0.2">
      <c r="A2337" s="352" t="str">
        <f>IF(B2337="","",COUNT('Diário 1º PA'!$A$4:$A$2635)+COUNT('Diário 2º PA'!$A$4:$A$3040)+ROW()-3)</f>
        <v/>
      </c>
      <c r="B2337" s="600"/>
      <c r="C2337" s="354"/>
      <c r="D2337" s="343"/>
      <c r="E2337" s="343"/>
      <c r="F2337" s="344"/>
      <c r="G2337" s="343"/>
      <c r="H2337" s="343"/>
      <c r="I2337" s="345"/>
      <c r="J2337" s="343"/>
      <c r="K2337" s="343"/>
      <c r="L2337" s="345"/>
      <c r="M2337" s="343"/>
      <c r="N2337" s="598"/>
      <c r="O2337" s="585"/>
      <c r="P2337" s="71">
        <f t="shared" si="134"/>
        <v>0</v>
      </c>
      <c r="Q2337" s="71">
        <f t="shared" si="133"/>
        <v>0</v>
      </c>
      <c r="R2337" s="93" t="str">
        <f t="shared" si="132"/>
        <v/>
      </c>
    </row>
    <row r="2338" spans="1:18" x14ac:dyDescent="0.2">
      <c r="A2338" s="352" t="str">
        <f>IF(B2338="","",COUNT('Diário 1º PA'!$A$4:$A$2635)+COUNT('Diário 2º PA'!$A$4:$A$3040)+ROW()-3)</f>
        <v/>
      </c>
      <c r="B2338" s="600"/>
      <c r="C2338" s="354"/>
      <c r="D2338" s="343"/>
      <c r="E2338" s="343"/>
      <c r="F2338" s="344"/>
      <c r="G2338" s="343"/>
      <c r="H2338" s="343"/>
      <c r="I2338" s="345"/>
      <c r="J2338" s="343"/>
      <c r="K2338" s="343"/>
      <c r="L2338" s="345"/>
      <c r="M2338" s="343"/>
      <c r="N2338" s="598"/>
      <c r="O2338" s="585"/>
      <c r="P2338" s="71">
        <f t="shared" si="134"/>
        <v>0</v>
      </c>
      <c r="Q2338" s="71">
        <f t="shared" si="133"/>
        <v>0</v>
      </c>
      <c r="R2338" s="93" t="str">
        <f t="shared" si="132"/>
        <v/>
      </c>
    </row>
    <row r="2339" spans="1:18" x14ac:dyDescent="0.2">
      <c r="A2339" s="352" t="str">
        <f>IF(B2339="","",COUNT('Diário 1º PA'!$A$4:$A$2635)+COUNT('Diário 2º PA'!$A$4:$A$3040)+ROW()-3)</f>
        <v/>
      </c>
      <c r="B2339" s="600"/>
      <c r="C2339" s="354"/>
      <c r="D2339" s="343"/>
      <c r="E2339" s="343"/>
      <c r="F2339" s="344"/>
      <c r="G2339" s="343"/>
      <c r="H2339" s="343"/>
      <c r="I2339" s="345"/>
      <c r="J2339" s="343"/>
      <c r="K2339" s="343"/>
      <c r="L2339" s="345"/>
      <c r="M2339" s="343"/>
      <c r="N2339" s="598"/>
      <c r="O2339" s="585"/>
      <c r="P2339" s="71">
        <f t="shared" si="134"/>
        <v>0</v>
      </c>
      <c r="Q2339" s="71">
        <f t="shared" si="133"/>
        <v>0</v>
      </c>
      <c r="R2339" s="93" t="str">
        <f t="shared" si="132"/>
        <v/>
      </c>
    </row>
    <row r="2340" spans="1:18" x14ac:dyDescent="0.2">
      <c r="A2340" s="352" t="str">
        <f>IF(B2340="","",COUNT('Diário 1º PA'!$A$4:$A$2635)+COUNT('Diário 2º PA'!$A$4:$A$3040)+ROW()-3)</f>
        <v/>
      </c>
      <c r="B2340" s="600"/>
      <c r="C2340" s="354"/>
      <c r="D2340" s="343"/>
      <c r="E2340" s="343"/>
      <c r="F2340" s="344"/>
      <c r="G2340" s="343"/>
      <c r="H2340" s="343"/>
      <c r="I2340" s="345"/>
      <c r="J2340" s="343"/>
      <c r="K2340" s="343"/>
      <c r="L2340" s="345"/>
      <c r="M2340" s="343"/>
      <c r="N2340" s="598"/>
      <c r="O2340" s="585"/>
      <c r="P2340" s="71">
        <f t="shared" si="134"/>
        <v>0</v>
      </c>
      <c r="Q2340" s="71">
        <f t="shared" si="133"/>
        <v>0</v>
      </c>
      <c r="R2340" s="93" t="str">
        <f t="shared" si="132"/>
        <v/>
      </c>
    </row>
    <row r="2341" spans="1:18" x14ac:dyDescent="0.2">
      <c r="A2341" s="352" t="str">
        <f>IF(B2341="","",COUNT('Diário 1º PA'!$A$4:$A$2635)+COUNT('Diário 2º PA'!$A$4:$A$3040)+ROW()-3)</f>
        <v/>
      </c>
      <c r="B2341" s="600"/>
      <c r="C2341" s="354"/>
      <c r="D2341" s="343"/>
      <c r="E2341" s="343"/>
      <c r="F2341" s="344"/>
      <c r="G2341" s="343"/>
      <c r="H2341" s="343"/>
      <c r="I2341" s="345"/>
      <c r="J2341" s="343"/>
      <c r="K2341" s="343"/>
      <c r="L2341" s="345"/>
      <c r="M2341" s="343"/>
      <c r="N2341" s="598"/>
      <c r="O2341" s="585"/>
      <c r="P2341" s="71">
        <f t="shared" si="134"/>
        <v>0</v>
      </c>
      <c r="Q2341" s="71">
        <f t="shared" si="133"/>
        <v>0</v>
      </c>
      <c r="R2341" s="93" t="str">
        <f t="shared" si="132"/>
        <v/>
      </c>
    </row>
    <row r="2342" spans="1:18" x14ac:dyDescent="0.2">
      <c r="A2342" s="352" t="str">
        <f>IF(B2342="","",COUNT('Diário 1º PA'!$A$4:$A$2635)+COUNT('Diário 2º PA'!$A$4:$A$3040)+ROW()-3)</f>
        <v/>
      </c>
      <c r="B2342" s="600"/>
      <c r="C2342" s="354"/>
      <c r="D2342" s="343"/>
      <c r="E2342" s="343"/>
      <c r="F2342" s="344"/>
      <c r="G2342" s="343"/>
      <c r="H2342" s="343"/>
      <c r="I2342" s="345"/>
      <c r="J2342" s="343"/>
      <c r="K2342" s="343"/>
      <c r="L2342" s="345"/>
      <c r="M2342" s="343"/>
      <c r="N2342" s="598"/>
      <c r="O2342" s="585"/>
      <c r="P2342" s="71">
        <f t="shared" si="134"/>
        <v>0</v>
      </c>
      <c r="Q2342" s="71">
        <f t="shared" si="133"/>
        <v>0</v>
      </c>
      <c r="R2342" s="93" t="str">
        <f t="shared" si="132"/>
        <v/>
      </c>
    </row>
    <row r="2343" spans="1:18" x14ac:dyDescent="0.2">
      <c r="A2343" s="352" t="str">
        <f>IF(B2343="","",COUNT('Diário 1º PA'!$A$4:$A$2635)+COUNT('Diário 2º PA'!$A$4:$A$3040)+ROW()-3)</f>
        <v/>
      </c>
      <c r="B2343" s="600"/>
      <c r="C2343" s="354"/>
      <c r="D2343" s="343"/>
      <c r="E2343" s="343"/>
      <c r="F2343" s="344"/>
      <c r="G2343" s="343"/>
      <c r="H2343" s="343"/>
      <c r="I2343" s="345"/>
      <c r="J2343" s="343"/>
      <c r="K2343" s="343"/>
      <c r="L2343" s="345"/>
      <c r="M2343" s="343"/>
      <c r="N2343" s="598"/>
      <c r="O2343" s="585"/>
      <c r="P2343" s="71">
        <f t="shared" si="134"/>
        <v>0</v>
      </c>
      <c r="Q2343" s="71">
        <f t="shared" si="133"/>
        <v>0</v>
      </c>
      <c r="R2343" s="93" t="str">
        <f t="shared" si="132"/>
        <v/>
      </c>
    </row>
    <row r="2344" spans="1:18" x14ac:dyDescent="0.2">
      <c r="A2344" s="352" t="str">
        <f>IF(B2344="","",COUNT('Diário 1º PA'!$A$4:$A$2635)+COUNT('Diário 2º PA'!$A$4:$A$3040)+ROW()-3)</f>
        <v/>
      </c>
      <c r="B2344" s="600"/>
      <c r="C2344" s="354"/>
      <c r="D2344" s="343"/>
      <c r="E2344" s="343"/>
      <c r="F2344" s="344"/>
      <c r="G2344" s="343"/>
      <c r="H2344" s="343"/>
      <c r="I2344" s="345"/>
      <c r="J2344" s="343"/>
      <c r="K2344" s="343"/>
      <c r="L2344" s="345"/>
      <c r="M2344" s="343"/>
      <c r="N2344" s="598"/>
      <c r="O2344" s="585"/>
      <c r="P2344" s="71">
        <f t="shared" si="134"/>
        <v>0</v>
      </c>
      <c r="Q2344" s="71">
        <f t="shared" si="133"/>
        <v>0</v>
      </c>
      <c r="R2344" s="93" t="str">
        <f t="shared" si="132"/>
        <v/>
      </c>
    </row>
    <row r="2345" spans="1:18" x14ac:dyDescent="0.2">
      <c r="A2345" s="352" t="str">
        <f>IF(B2345="","",COUNT('Diário 1º PA'!$A$4:$A$2635)+COUNT('Diário 2º PA'!$A$4:$A$3040)+ROW()-3)</f>
        <v/>
      </c>
      <c r="B2345" s="600"/>
      <c r="C2345" s="354"/>
      <c r="D2345" s="343"/>
      <c r="E2345" s="343"/>
      <c r="F2345" s="344"/>
      <c r="G2345" s="343"/>
      <c r="H2345" s="343"/>
      <c r="I2345" s="345"/>
      <c r="J2345" s="343"/>
      <c r="K2345" s="343"/>
      <c r="L2345" s="345"/>
      <c r="M2345" s="343"/>
      <c r="N2345" s="598"/>
      <c r="O2345" s="585"/>
      <c r="P2345" s="71">
        <f t="shared" si="134"/>
        <v>0</v>
      </c>
      <c r="Q2345" s="71">
        <f t="shared" si="133"/>
        <v>0</v>
      </c>
      <c r="R2345" s="93" t="str">
        <f t="shared" si="132"/>
        <v/>
      </c>
    </row>
    <row r="2346" spans="1:18" x14ac:dyDescent="0.2">
      <c r="A2346" s="352" t="str">
        <f>IF(B2346="","",COUNT('Diário 1º PA'!$A$4:$A$2635)+COUNT('Diário 2º PA'!$A$4:$A$3040)+ROW()-3)</f>
        <v/>
      </c>
      <c r="B2346" s="600"/>
      <c r="C2346" s="354"/>
      <c r="D2346" s="343"/>
      <c r="E2346" s="343"/>
      <c r="F2346" s="344"/>
      <c r="G2346" s="343"/>
      <c r="H2346" s="343"/>
      <c r="I2346" s="345"/>
      <c r="J2346" s="343"/>
      <c r="K2346" s="343"/>
      <c r="L2346" s="345"/>
      <c r="M2346" s="343"/>
      <c r="N2346" s="598"/>
      <c r="O2346" s="585"/>
      <c r="P2346" s="71">
        <f t="shared" si="134"/>
        <v>0</v>
      </c>
      <c r="Q2346" s="71">
        <f t="shared" si="133"/>
        <v>0</v>
      </c>
      <c r="R2346" s="93" t="str">
        <f t="shared" si="132"/>
        <v/>
      </c>
    </row>
    <row r="2347" spans="1:18" x14ac:dyDescent="0.2">
      <c r="A2347" s="352" t="str">
        <f>IF(B2347="","",COUNT('Diário 1º PA'!$A$4:$A$2635)+COUNT('Diário 2º PA'!$A$4:$A$3040)+ROW()-3)</f>
        <v/>
      </c>
      <c r="B2347" s="600"/>
      <c r="C2347" s="354"/>
      <c r="D2347" s="343"/>
      <c r="E2347" s="343"/>
      <c r="F2347" s="344"/>
      <c r="G2347" s="343"/>
      <c r="H2347" s="343"/>
      <c r="I2347" s="345"/>
      <c r="J2347" s="343"/>
      <c r="K2347" s="343"/>
      <c r="L2347" s="345"/>
      <c r="M2347" s="343"/>
      <c r="N2347" s="598"/>
      <c r="O2347" s="585"/>
      <c r="P2347" s="71">
        <f t="shared" si="134"/>
        <v>0</v>
      </c>
      <c r="Q2347" s="71">
        <f t="shared" si="133"/>
        <v>0</v>
      </c>
      <c r="R2347" s="93" t="str">
        <f t="shared" si="132"/>
        <v/>
      </c>
    </row>
    <row r="2348" spans="1:18" x14ac:dyDescent="0.2">
      <c r="A2348" s="352" t="str">
        <f>IF(B2348="","",COUNT('Diário 1º PA'!$A$4:$A$2635)+COUNT('Diário 2º PA'!$A$4:$A$3040)+ROW()-3)</f>
        <v/>
      </c>
      <c r="B2348" s="600"/>
      <c r="C2348" s="354"/>
      <c r="D2348" s="343"/>
      <c r="E2348" s="343"/>
      <c r="F2348" s="344"/>
      <c r="G2348" s="343"/>
      <c r="H2348" s="343"/>
      <c r="I2348" s="345"/>
      <c r="J2348" s="343"/>
      <c r="K2348" s="343"/>
      <c r="L2348" s="345"/>
      <c r="M2348" s="343"/>
      <c r="N2348" s="598"/>
      <c r="O2348" s="585"/>
      <c r="P2348" s="71">
        <f t="shared" si="134"/>
        <v>0</v>
      </c>
      <c r="Q2348" s="71">
        <f t="shared" si="133"/>
        <v>0</v>
      </c>
      <c r="R2348" s="93" t="str">
        <f t="shared" si="132"/>
        <v/>
      </c>
    </row>
    <row r="2349" spans="1:18" x14ac:dyDescent="0.2">
      <c r="A2349" s="352" t="str">
        <f>IF(B2349="","",COUNT('Diário 1º PA'!$A$4:$A$2635)+COUNT('Diário 2º PA'!$A$4:$A$3040)+ROW()-3)</f>
        <v/>
      </c>
      <c r="B2349" s="600"/>
      <c r="C2349" s="354"/>
      <c r="D2349" s="343"/>
      <c r="E2349" s="343"/>
      <c r="F2349" s="344"/>
      <c r="G2349" s="343"/>
      <c r="H2349" s="343"/>
      <c r="I2349" s="345"/>
      <c r="J2349" s="343"/>
      <c r="K2349" s="343"/>
      <c r="L2349" s="345"/>
      <c r="M2349" s="343"/>
      <c r="N2349" s="598"/>
      <c r="O2349" s="585"/>
      <c r="P2349" s="71">
        <f t="shared" si="134"/>
        <v>0</v>
      </c>
      <c r="Q2349" s="71">
        <f t="shared" si="133"/>
        <v>0</v>
      </c>
      <c r="R2349" s="93" t="str">
        <f t="shared" si="132"/>
        <v/>
      </c>
    </row>
    <row r="2350" spans="1:18" x14ac:dyDescent="0.2">
      <c r="A2350" s="352" t="str">
        <f>IF(B2350="","",COUNT('Diário 1º PA'!$A$4:$A$2635)+COUNT('Diário 2º PA'!$A$4:$A$3040)+ROW()-3)</f>
        <v/>
      </c>
      <c r="B2350" s="600"/>
      <c r="C2350" s="354"/>
      <c r="D2350" s="343"/>
      <c r="E2350" s="343"/>
      <c r="F2350" s="344"/>
      <c r="G2350" s="343"/>
      <c r="H2350" s="343"/>
      <c r="I2350" s="345"/>
      <c r="J2350" s="343"/>
      <c r="K2350" s="343"/>
      <c r="L2350" s="345"/>
      <c r="M2350" s="343"/>
      <c r="N2350" s="598"/>
      <c r="O2350" s="585"/>
      <c r="P2350" s="71">
        <f t="shared" si="134"/>
        <v>0</v>
      </c>
      <c r="Q2350" s="71">
        <f t="shared" si="133"/>
        <v>0</v>
      </c>
      <c r="R2350" s="93" t="str">
        <f t="shared" si="132"/>
        <v/>
      </c>
    </row>
    <row r="2351" spans="1:18" x14ac:dyDescent="0.2">
      <c r="A2351" s="352" t="str">
        <f>IF(B2351="","",COUNT('Diário 1º PA'!$A$4:$A$2635)+COUNT('Diário 2º PA'!$A$4:$A$3040)+ROW()-3)</f>
        <v/>
      </c>
      <c r="B2351" s="600"/>
      <c r="C2351" s="354"/>
      <c r="D2351" s="343"/>
      <c r="E2351" s="343"/>
      <c r="F2351" s="344"/>
      <c r="G2351" s="343"/>
      <c r="H2351" s="343"/>
      <c r="I2351" s="345"/>
      <c r="J2351" s="343"/>
      <c r="K2351" s="343"/>
      <c r="L2351" s="345"/>
      <c r="M2351" s="343"/>
      <c r="N2351" s="598"/>
      <c r="O2351" s="585"/>
      <c r="P2351" s="71">
        <f t="shared" si="134"/>
        <v>0</v>
      </c>
      <c r="Q2351" s="71">
        <f t="shared" si="133"/>
        <v>0</v>
      </c>
      <c r="R2351" s="93" t="str">
        <f t="shared" si="132"/>
        <v/>
      </c>
    </row>
    <row r="2352" spans="1:18" x14ac:dyDescent="0.2">
      <c r="A2352" s="352" t="str">
        <f>IF(B2352="","",COUNT('Diário 1º PA'!$A$4:$A$2635)+COUNT('Diário 2º PA'!$A$4:$A$3040)+ROW()-3)</f>
        <v/>
      </c>
      <c r="B2352" s="600"/>
      <c r="C2352" s="354"/>
      <c r="D2352" s="343"/>
      <c r="E2352" s="343"/>
      <c r="F2352" s="344"/>
      <c r="G2352" s="343"/>
      <c r="H2352" s="343"/>
      <c r="I2352" s="345"/>
      <c r="J2352" s="343"/>
      <c r="K2352" s="343"/>
      <c r="L2352" s="345"/>
      <c r="M2352" s="343"/>
      <c r="N2352" s="598"/>
      <c r="O2352" s="585"/>
      <c r="P2352" s="71">
        <f t="shared" si="134"/>
        <v>0</v>
      </c>
      <c r="Q2352" s="71">
        <f t="shared" si="133"/>
        <v>0</v>
      </c>
      <c r="R2352" s="93" t="str">
        <f t="shared" si="132"/>
        <v/>
      </c>
    </row>
    <row r="2353" spans="1:18" x14ac:dyDescent="0.2">
      <c r="A2353" s="352" t="str">
        <f>IF(B2353="","",COUNT('Diário 1º PA'!$A$4:$A$2635)+COUNT('Diário 2º PA'!$A$4:$A$3040)+ROW()-3)</f>
        <v/>
      </c>
      <c r="B2353" s="600"/>
      <c r="C2353" s="354"/>
      <c r="D2353" s="343"/>
      <c r="E2353" s="343"/>
      <c r="F2353" s="344"/>
      <c r="G2353" s="343"/>
      <c r="H2353" s="343"/>
      <c r="I2353" s="345"/>
      <c r="J2353" s="343"/>
      <c r="K2353" s="343"/>
      <c r="L2353" s="345"/>
      <c r="M2353" s="343"/>
      <c r="N2353" s="598"/>
      <c r="O2353" s="585"/>
      <c r="P2353" s="71">
        <f t="shared" si="134"/>
        <v>0</v>
      </c>
      <c r="Q2353" s="71">
        <f t="shared" si="133"/>
        <v>0</v>
      </c>
      <c r="R2353" s="93" t="str">
        <f t="shared" si="132"/>
        <v/>
      </c>
    </row>
    <row r="2354" spans="1:18" x14ac:dyDescent="0.2">
      <c r="A2354" s="352" t="str">
        <f>IF(B2354="","",COUNT('Diário 1º PA'!$A$4:$A$2635)+COUNT('Diário 2º PA'!$A$4:$A$3040)+ROW()-3)</f>
        <v/>
      </c>
      <c r="B2354" s="600"/>
      <c r="C2354" s="354"/>
      <c r="D2354" s="343"/>
      <c r="E2354" s="343"/>
      <c r="F2354" s="344"/>
      <c r="G2354" s="343"/>
      <c r="H2354" s="343"/>
      <c r="I2354" s="345"/>
      <c r="J2354" s="343"/>
      <c r="K2354" s="343"/>
      <c r="L2354" s="345"/>
      <c r="M2354" s="343"/>
      <c r="N2354" s="598"/>
      <c r="O2354" s="585"/>
      <c r="P2354" s="71">
        <f t="shared" si="134"/>
        <v>0</v>
      </c>
      <c r="Q2354" s="71">
        <f t="shared" si="133"/>
        <v>0</v>
      </c>
      <c r="R2354" s="93" t="str">
        <f t="shared" si="132"/>
        <v/>
      </c>
    </row>
    <row r="2355" spans="1:18" x14ac:dyDescent="0.2">
      <c r="A2355" s="352" t="str">
        <f>IF(B2355="","",COUNT('Diário 1º PA'!$A$4:$A$2635)+COUNT('Diário 2º PA'!$A$4:$A$3040)+ROW()-3)</f>
        <v/>
      </c>
      <c r="B2355" s="600"/>
      <c r="C2355" s="354"/>
      <c r="D2355" s="343"/>
      <c r="E2355" s="343"/>
      <c r="F2355" s="344"/>
      <c r="G2355" s="343"/>
      <c r="H2355" s="343"/>
      <c r="I2355" s="345"/>
      <c r="J2355" s="343"/>
      <c r="K2355" s="343"/>
      <c r="L2355" s="345"/>
      <c r="M2355" s="343"/>
      <c r="N2355" s="598"/>
      <c r="O2355" s="585"/>
      <c r="P2355" s="71">
        <f t="shared" si="134"/>
        <v>0</v>
      </c>
      <c r="Q2355" s="71">
        <f t="shared" si="133"/>
        <v>0</v>
      </c>
      <c r="R2355" s="93" t="str">
        <f t="shared" si="132"/>
        <v/>
      </c>
    </row>
    <row r="2356" spans="1:18" x14ac:dyDescent="0.2">
      <c r="A2356" s="352" t="str">
        <f>IF(B2356="","",COUNT('Diário 1º PA'!$A$4:$A$2635)+COUNT('Diário 2º PA'!$A$4:$A$3040)+ROW()-3)</f>
        <v/>
      </c>
      <c r="B2356" s="600"/>
      <c r="C2356" s="354"/>
      <c r="D2356" s="343"/>
      <c r="E2356" s="343"/>
      <c r="F2356" s="344"/>
      <c r="G2356" s="343"/>
      <c r="H2356" s="343"/>
      <c r="I2356" s="345"/>
      <c r="J2356" s="343"/>
      <c r="K2356" s="343"/>
      <c r="L2356" s="345"/>
      <c r="M2356" s="343"/>
      <c r="N2356" s="598"/>
      <c r="O2356" s="585"/>
      <c r="P2356" s="71">
        <f t="shared" si="134"/>
        <v>0</v>
      </c>
      <c r="Q2356" s="71">
        <f t="shared" si="133"/>
        <v>0</v>
      </c>
      <c r="R2356" s="93" t="str">
        <f t="shared" si="132"/>
        <v/>
      </c>
    </row>
    <row r="2357" spans="1:18" x14ac:dyDescent="0.2">
      <c r="A2357" s="352" t="str">
        <f>IF(B2357="","",COUNT('Diário 1º PA'!$A$4:$A$2635)+COUNT('Diário 2º PA'!$A$4:$A$3040)+ROW()-3)</f>
        <v/>
      </c>
      <c r="B2357" s="600"/>
      <c r="C2357" s="354"/>
      <c r="D2357" s="343"/>
      <c r="E2357" s="343"/>
      <c r="F2357" s="344"/>
      <c r="G2357" s="343"/>
      <c r="H2357" s="343"/>
      <c r="I2357" s="345"/>
      <c r="J2357" s="343"/>
      <c r="K2357" s="343"/>
      <c r="L2357" s="345"/>
      <c r="M2357" s="343"/>
      <c r="N2357" s="598"/>
      <c r="O2357" s="585"/>
      <c r="P2357" s="71">
        <f t="shared" si="134"/>
        <v>0</v>
      </c>
      <c r="Q2357" s="71">
        <f t="shared" si="133"/>
        <v>0</v>
      </c>
      <c r="R2357" s="93" t="str">
        <f t="shared" si="132"/>
        <v/>
      </c>
    </row>
    <row r="2358" spans="1:18" x14ac:dyDescent="0.2">
      <c r="A2358" s="352" t="str">
        <f>IF(B2358="","",COUNT('Diário 1º PA'!$A$4:$A$2635)+COUNT('Diário 2º PA'!$A$4:$A$3040)+ROW()-3)</f>
        <v/>
      </c>
      <c r="B2358" s="600"/>
      <c r="C2358" s="354"/>
      <c r="D2358" s="343"/>
      <c r="E2358" s="343"/>
      <c r="F2358" s="344"/>
      <c r="G2358" s="343"/>
      <c r="H2358" s="343"/>
      <c r="I2358" s="345"/>
      <c r="J2358" s="343"/>
      <c r="K2358" s="343"/>
      <c r="L2358" s="345"/>
      <c r="M2358" s="343"/>
      <c r="N2358" s="598"/>
      <c r="O2358" s="585"/>
      <c r="P2358" s="71">
        <f t="shared" si="134"/>
        <v>0</v>
      </c>
      <c r="Q2358" s="71">
        <f t="shared" si="133"/>
        <v>0</v>
      </c>
      <c r="R2358" s="93" t="str">
        <f t="shared" si="132"/>
        <v/>
      </c>
    </row>
    <row r="2359" spans="1:18" x14ac:dyDescent="0.2">
      <c r="A2359" s="352" t="str">
        <f>IF(B2359="","",COUNT('Diário 1º PA'!$A$4:$A$2635)+COUNT('Diário 2º PA'!$A$4:$A$3040)+ROW()-3)</f>
        <v/>
      </c>
      <c r="B2359" s="600"/>
      <c r="C2359" s="354"/>
      <c r="D2359" s="343"/>
      <c r="E2359" s="343"/>
      <c r="F2359" s="344"/>
      <c r="G2359" s="343"/>
      <c r="H2359" s="343"/>
      <c r="I2359" s="345"/>
      <c r="J2359" s="343"/>
      <c r="K2359" s="343"/>
      <c r="L2359" s="345"/>
      <c r="M2359" s="343"/>
      <c r="N2359" s="598"/>
      <c r="O2359" s="585"/>
      <c r="P2359" s="71">
        <f t="shared" si="134"/>
        <v>0</v>
      </c>
      <c r="Q2359" s="71">
        <f t="shared" si="133"/>
        <v>0</v>
      </c>
      <c r="R2359" s="93" t="str">
        <f t="shared" si="132"/>
        <v/>
      </c>
    </row>
    <row r="2360" spans="1:18" x14ac:dyDescent="0.2">
      <c r="A2360" s="352" t="str">
        <f>IF(B2360="","",COUNT('Diário 1º PA'!$A$4:$A$2635)+COUNT('Diário 2º PA'!$A$4:$A$3040)+ROW()-3)</f>
        <v/>
      </c>
      <c r="B2360" s="600"/>
      <c r="C2360" s="354"/>
      <c r="D2360" s="343"/>
      <c r="E2360" s="343"/>
      <c r="F2360" s="344"/>
      <c r="G2360" s="343"/>
      <c r="H2360" s="343"/>
      <c r="I2360" s="345"/>
      <c r="J2360" s="343"/>
      <c r="K2360" s="343"/>
      <c r="L2360" s="345"/>
      <c r="M2360" s="343"/>
      <c r="N2360" s="598"/>
      <c r="O2360" s="585"/>
      <c r="P2360" s="71">
        <f t="shared" si="134"/>
        <v>0</v>
      </c>
      <c r="Q2360" s="71">
        <f t="shared" si="133"/>
        <v>0</v>
      </c>
      <c r="R2360" s="93" t="str">
        <f t="shared" si="132"/>
        <v/>
      </c>
    </row>
    <row r="2361" spans="1:18" x14ac:dyDescent="0.2">
      <c r="A2361" s="352" t="str">
        <f>IF(B2361="","",COUNT('Diário 1º PA'!$A$4:$A$2635)+COUNT('Diário 2º PA'!$A$4:$A$3040)+ROW()-3)</f>
        <v/>
      </c>
      <c r="B2361" s="600"/>
      <c r="C2361" s="354"/>
      <c r="D2361" s="343"/>
      <c r="E2361" s="343"/>
      <c r="F2361" s="344"/>
      <c r="G2361" s="343"/>
      <c r="H2361" s="343"/>
      <c r="I2361" s="345"/>
      <c r="J2361" s="343"/>
      <c r="K2361" s="343"/>
      <c r="L2361" s="345"/>
      <c r="M2361" s="343"/>
      <c r="N2361" s="598"/>
      <c r="O2361" s="585"/>
      <c r="P2361" s="71">
        <f t="shared" si="134"/>
        <v>0</v>
      </c>
      <c r="Q2361" s="71">
        <f t="shared" si="133"/>
        <v>0</v>
      </c>
      <c r="R2361" s="93" t="str">
        <f t="shared" si="132"/>
        <v/>
      </c>
    </row>
    <row r="2362" spans="1:18" x14ac:dyDescent="0.2">
      <c r="A2362" s="352" t="str">
        <f>IF(B2362="","",COUNT('Diário 1º PA'!$A$4:$A$2635)+COUNT('Diário 2º PA'!$A$4:$A$3040)+ROW()-3)</f>
        <v/>
      </c>
      <c r="B2362" s="600"/>
      <c r="C2362" s="354"/>
      <c r="D2362" s="343"/>
      <c r="E2362" s="343"/>
      <c r="F2362" s="344"/>
      <c r="G2362" s="343"/>
      <c r="H2362" s="343"/>
      <c r="I2362" s="345"/>
      <c r="J2362" s="343"/>
      <c r="K2362" s="343"/>
      <c r="L2362" s="345"/>
      <c r="M2362" s="343"/>
      <c r="N2362" s="598"/>
      <c r="O2362" s="585"/>
      <c r="P2362" s="71">
        <f t="shared" si="134"/>
        <v>0</v>
      </c>
      <c r="Q2362" s="71">
        <f t="shared" si="133"/>
        <v>0</v>
      </c>
      <c r="R2362" s="93" t="str">
        <f t="shared" si="132"/>
        <v/>
      </c>
    </row>
    <row r="2363" spans="1:18" x14ac:dyDescent="0.2">
      <c r="A2363" s="352" t="str">
        <f>IF(B2363="","",COUNT('Diário 1º PA'!$A$4:$A$2635)+COUNT('Diário 2º PA'!$A$4:$A$3040)+ROW()-3)</f>
        <v/>
      </c>
      <c r="B2363" s="600"/>
      <c r="C2363" s="354"/>
      <c r="D2363" s="343"/>
      <c r="E2363" s="343"/>
      <c r="F2363" s="344"/>
      <c r="G2363" s="343"/>
      <c r="H2363" s="343"/>
      <c r="I2363" s="345"/>
      <c r="J2363" s="343"/>
      <c r="K2363" s="343"/>
      <c r="L2363" s="345"/>
      <c r="M2363" s="343"/>
      <c r="N2363" s="598"/>
      <c r="O2363" s="585"/>
      <c r="P2363" s="71">
        <f t="shared" si="134"/>
        <v>0</v>
      </c>
      <c r="Q2363" s="71">
        <f t="shared" si="133"/>
        <v>0</v>
      </c>
      <c r="R2363" s="93" t="str">
        <f t="shared" si="132"/>
        <v/>
      </c>
    </row>
    <row r="2364" spans="1:18" x14ac:dyDescent="0.2">
      <c r="A2364" s="352" t="str">
        <f>IF(B2364="","",COUNT('Diário 1º PA'!$A$4:$A$2635)+COUNT('Diário 2º PA'!$A$4:$A$3040)+ROW()-3)</f>
        <v/>
      </c>
      <c r="B2364" s="600"/>
      <c r="C2364" s="354"/>
      <c r="D2364" s="343"/>
      <c r="E2364" s="343"/>
      <c r="F2364" s="344"/>
      <c r="G2364" s="343"/>
      <c r="H2364" s="343"/>
      <c r="I2364" s="345"/>
      <c r="J2364" s="343"/>
      <c r="K2364" s="343"/>
      <c r="L2364" s="345"/>
      <c r="M2364" s="343"/>
      <c r="N2364" s="598"/>
      <c r="O2364" s="585"/>
      <c r="P2364" s="71">
        <f t="shared" si="134"/>
        <v>0</v>
      </c>
      <c r="Q2364" s="71">
        <f t="shared" si="133"/>
        <v>0</v>
      </c>
      <c r="R2364" s="93" t="str">
        <f t="shared" si="132"/>
        <v/>
      </c>
    </row>
    <row r="2365" spans="1:18" x14ac:dyDescent="0.2">
      <c r="A2365" s="352" t="str">
        <f>IF(B2365="","",COUNT('Diário 1º PA'!$A$4:$A$2635)+COUNT('Diário 2º PA'!$A$4:$A$3040)+ROW()-3)</f>
        <v/>
      </c>
      <c r="B2365" s="600"/>
      <c r="C2365" s="354"/>
      <c r="D2365" s="343"/>
      <c r="E2365" s="343"/>
      <c r="F2365" s="344"/>
      <c r="G2365" s="343"/>
      <c r="H2365" s="343"/>
      <c r="I2365" s="345"/>
      <c r="J2365" s="343"/>
      <c r="K2365" s="343"/>
      <c r="L2365" s="345"/>
      <c r="M2365" s="343"/>
      <c r="N2365" s="598"/>
      <c r="O2365" s="585"/>
      <c r="P2365" s="71">
        <f t="shared" si="134"/>
        <v>0</v>
      </c>
      <c r="Q2365" s="71">
        <f t="shared" si="133"/>
        <v>0</v>
      </c>
      <c r="R2365" s="93" t="str">
        <f t="shared" si="132"/>
        <v/>
      </c>
    </row>
    <row r="2366" spans="1:18" x14ac:dyDescent="0.2">
      <c r="A2366" s="352" t="str">
        <f>IF(B2366="","",COUNT('Diário 1º PA'!$A$4:$A$2635)+COUNT('Diário 2º PA'!$A$4:$A$3040)+ROW()-3)</f>
        <v/>
      </c>
      <c r="B2366" s="600"/>
      <c r="C2366" s="354"/>
      <c r="D2366" s="343"/>
      <c r="E2366" s="343"/>
      <c r="F2366" s="344"/>
      <c r="G2366" s="343"/>
      <c r="H2366" s="343"/>
      <c r="I2366" s="345"/>
      <c r="J2366" s="343"/>
      <c r="K2366" s="343"/>
      <c r="L2366" s="345"/>
      <c r="M2366" s="343"/>
      <c r="N2366" s="598"/>
      <c r="O2366" s="585"/>
      <c r="P2366" s="71">
        <f t="shared" si="134"/>
        <v>0</v>
      </c>
      <c r="Q2366" s="71">
        <f t="shared" si="133"/>
        <v>0</v>
      </c>
      <c r="R2366" s="93" t="str">
        <f t="shared" si="132"/>
        <v/>
      </c>
    </row>
    <row r="2367" spans="1:18" x14ac:dyDescent="0.2">
      <c r="A2367" s="352" t="str">
        <f>IF(B2367="","",COUNT('Diário 1º PA'!$A$4:$A$2635)+COUNT('Diário 2º PA'!$A$4:$A$3040)+ROW()-3)</f>
        <v/>
      </c>
      <c r="B2367" s="600"/>
      <c r="C2367" s="354"/>
      <c r="D2367" s="343"/>
      <c r="E2367" s="343"/>
      <c r="F2367" s="344"/>
      <c r="G2367" s="343"/>
      <c r="H2367" s="343"/>
      <c r="I2367" s="345"/>
      <c r="J2367" s="343"/>
      <c r="K2367" s="343"/>
      <c r="L2367" s="345"/>
      <c r="M2367" s="343"/>
      <c r="N2367" s="598"/>
      <c r="O2367" s="585"/>
      <c r="P2367" s="71">
        <f t="shared" si="134"/>
        <v>0</v>
      </c>
      <c r="Q2367" s="71">
        <f t="shared" si="133"/>
        <v>0</v>
      </c>
      <c r="R2367" s="93" t="str">
        <f t="shared" si="132"/>
        <v/>
      </c>
    </row>
    <row r="2368" spans="1:18" x14ac:dyDescent="0.2">
      <c r="A2368" s="352" t="str">
        <f>IF(B2368="","",COUNT('Diário 1º PA'!$A$4:$A$2635)+COUNT('Diário 2º PA'!$A$4:$A$3040)+ROW()-3)</f>
        <v/>
      </c>
      <c r="B2368" s="600"/>
      <c r="C2368" s="354"/>
      <c r="D2368" s="343"/>
      <c r="E2368" s="343"/>
      <c r="F2368" s="344"/>
      <c r="G2368" s="343"/>
      <c r="H2368" s="343"/>
      <c r="I2368" s="345"/>
      <c r="J2368" s="343"/>
      <c r="K2368" s="343"/>
      <c r="L2368" s="345"/>
      <c r="M2368" s="343"/>
      <c r="N2368" s="598"/>
      <c r="O2368" s="585"/>
      <c r="P2368" s="71">
        <f t="shared" si="134"/>
        <v>0</v>
      </c>
      <c r="Q2368" s="71">
        <f t="shared" si="133"/>
        <v>0</v>
      </c>
      <c r="R2368" s="93" t="str">
        <f t="shared" si="132"/>
        <v/>
      </c>
    </row>
    <row r="2369" spans="1:18" x14ac:dyDescent="0.2">
      <c r="A2369" s="352" t="str">
        <f>IF(B2369="","",COUNT('Diário 1º PA'!$A$4:$A$2635)+COUNT('Diário 2º PA'!$A$4:$A$3040)+ROW()-3)</f>
        <v/>
      </c>
      <c r="B2369" s="600"/>
      <c r="C2369" s="354"/>
      <c r="D2369" s="343"/>
      <c r="E2369" s="343"/>
      <c r="F2369" s="344"/>
      <c r="G2369" s="343"/>
      <c r="H2369" s="343"/>
      <c r="I2369" s="345"/>
      <c r="J2369" s="343"/>
      <c r="K2369" s="343"/>
      <c r="L2369" s="345"/>
      <c r="M2369" s="343"/>
      <c r="N2369" s="598"/>
      <c r="O2369" s="585"/>
      <c r="P2369" s="71">
        <f t="shared" si="134"/>
        <v>0</v>
      </c>
      <c r="Q2369" s="71">
        <f t="shared" si="133"/>
        <v>0</v>
      </c>
      <c r="R2369" s="93" t="str">
        <f t="shared" si="132"/>
        <v/>
      </c>
    </row>
    <row r="2370" spans="1:18" x14ac:dyDescent="0.2">
      <c r="A2370" s="352" t="str">
        <f>IF(B2370="","",COUNT('Diário 1º PA'!$A$4:$A$2635)+COUNT('Diário 2º PA'!$A$4:$A$3040)+ROW()-3)</f>
        <v/>
      </c>
      <c r="B2370" s="600"/>
      <c r="C2370" s="354"/>
      <c r="D2370" s="343"/>
      <c r="E2370" s="343"/>
      <c r="F2370" s="344"/>
      <c r="G2370" s="343"/>
      <c r="H2370" s="343"/>
      <c r="I2370" s="345"/>
      <c r="J2370" s="343"/>
      <c r="K2370" s="343"/>
      <c r="L2370" s="345"/>
      <c r="M2370" s="343"/>
      <c r="N2370" s="598"/>
      <c r="O2370" s="585"/>
      <c r="P2370" s="71">
        <f t="shared" si="134"/>
        <v>0</v>
      </c>
      <c r="Q2370" s="71">
        <f t="shared" si="133"/>
        <v>0</v>
      </c>
      <c r="R2370" s="93" t="str">
        <f t="shared" si="132"/>
        <v/>
      </c>
    </row>
    <row r="2371" spans="1:18" x14ac:dyDescent="0.2">
      <c r="A2371" s="352" t="str">
        <f>IF(B2371="","",COUNT('Diário 1º PA'!$A$4:$A$2635)+COUNT('Diário 2º PA'!$A$4:$A$3040)+ROW()-3)</f>
        <v/>
      </c>
      <c r="B2371" s="600"/>
      <c r="C2371" s="354"/>
      <c r="D2371" s="343"/>
      <c r="E2371" s="343"/>
      <c r="F2371" s="344"/>
      <c r="G2371" s="343"/>
      <c r="H2371" s="343"/>
      <c r="I2371" s="345"/>
      <c r="J2371" s="343"/>
      <c r="K2371" s="343"/>
      <c r="L2371" s="345"/>
      <c r="M2371" s="343"/>
      <c r="N2371" s="598"/>
      <c r="O2371" s="585"/>
      <c r="P2371" s="71">
        <f t="shared" si="134"/>
        <v>0</v>
      </c>
      <c r="Q2371" s="71">
        <f t="shared" si="133"/>
        <v>0</v>
      </c>
      <c r="R2371" s="93" t="str">
        <f t="shared" si="132"/>
        <v/>
      </c>
    </row>
    <row r="2372" spans="1:18" x14ac:dyDescent="0.2">
      <c r="A2372" s="352" t="str">
        <f>IF(B2372="","",COUNT('Diário 1º PA'!$A$4:$A$2635)+COUNT('Diário 2º PA'!$A$4:$A$3040)+ROW()-3)</f>
        <v/>
      </c>
      <c r="B2372" s="600"/>
      <c r="C2372" s="354"/>
      <c r="D2372" s="343"/>
      <c r="E2372" s="343"/>
      <c r="F2372" s="344"/>
      <c r="G2372" s="343"/>
      <c r="H2372" s="343"/>
      <c r="I2372" s="345"/>
      <c r="J2372" s="343"/>
      <c r="K2372" s="343"/>
      <c r="L2372" s="345"/>
      <c r="M2372" s="343"/>
      <c r="N2372" s="598"/>
      <c r="O2372" s="585"/>
      <c r="P2372" s="71">
        <f t="shared" si="134"/>
        <v>0</v>
      </c>
      <c r="Q2372" s="71">
        <f t="shared" si="133"/>
        <v>0</v>
      </c>
      <c r="R2372" s="93" t="str">
        <f t="shared" ref="R2372:R2435" si="135">SUBSTITUTE(D2372," ","_")</f>
        <v/>
      </c>
    </row>
    <row r="2373" spans="1:18" x14ac:dyDescent="0.2">
      <c r="A2373" s="352" t="str">
        <f>IF(B2373="","",COUNT('Diário 1º PA'!$A$4:$A$2635)+COUNT('Diário 2º PA'!$A$4:$A$3040)+ROW()-3)</f>
        <v/>
      </c>
      <c r="B2373" s="600"/>
      <c r="C2373" s="354"/>
      <c r="D2373" s="343"/>
      <c r="E2373" s="343"/>
      <c r="F2373" s="344"/>
      <c r="G2373" s="343"/>
      <c r="H2373" s="343"/>
      <c r="I2373" s="345"/>
      <c r="J2373" s="343"/>
      <c r="K2373" s="343"/>
      <c r="L2373" s="345"/>
      <c r="M2373" s="343"/>
      <c r="N2373" s="598"/>
      <c r="O2373" s="585"/>
      <c r="P2373" s="71">
        <f t="shared" si="134"/>
        <v>0</v>
      </c>
      <c r="Q2373" s="71">
        <f t="shared" si="133"/>
        <v>0</v>
      </c>
      <c r="R2373" s="93" t="str">
        <f t="shared" si="135"/>
        <v/>
      </c>
    </row>
    <row r="2374" spans="1:18" x14ac:dyDescent="0.2">
      <c r="A2374" s="352" t="str">
        <f>IF(B2374="","",COUNT('Diário 1º PA'!$A$4:$A$2635)+COUNT('Diário 2º PA'!$A$4:$A$3040)+ROW()-3)</f>
        <v/>
      </c>
      <c r="B2374" s="600"/>
      <c r="C2374" s="354"/>
      <c r="D2374" s="343"/>
      <c r="E2374" s="343"/>
      <c r="F2374" s="344"/>
      <c r="G2374" s="343"/>
      <c r="H2374" s="343"/>
      <c r="I2374" s="345"/>
      <c r="J2374" s="343"/>
      <c r="K2374" s="343"/>
      <c r="L2374" s="345"/>
      <c r="M2374" s="343"/>
      <c r="N2374" s="598"/>
      <c r="O2374" s="585"/>
      <c r="P2374" s="71">
        <f t="shared" si="134"/>
        <v>0</v>
      </c>
      <c r="Q2374" s="71">
        <f t="shared" si="133"/>
        <v>0</v>
      </c>
      <c r="R2374" s="93" t="str">
        <f t="shared" si="135"/>
        <v/>
      </c>
    </row>
    <row r="2375" spans="1:18" x14ac:dyDescent="0.2">
      <c r="A2375" s="352" t="str">
        <f>IF(B2375="","",COUNT('Diário 1º PA'!$A$4:$A$2635)+COUNT('Diário 2º PA'!$A$4:$A$3040)+ROW()-3)</f>
        <v/>
      </c>
      <c r="B2375" s="600"/>
      <c r="C2375" s="354"/>
      <c r="D2375" s="343"/>
      <c r="E2375" s="343"/>
      <c r="F2375" s="344"/>
      <c r="G2375" s="343"/>
      <c r="H2375" s="343"/>
      <c r="I2375" s="345"/>
      <c r="J2375" s="343"/>
      <c r="K2375" s="343"/>
      <c r="L2375" s="345"/>
      <c r="M2375" s="343"/>
      <c r="N2375" s="598"/>
      <c r="O2375" s="585"/>
      <c r="P2375" s="71">
        <f t="shared" si="134"/>
        <v>0</v>
      </c>
      <c r="Q2375" s="71">
        <f t="shared" si="133"/>
        <v>0</v>
      </c>
      <c r="R2375" s="93" t="str">
        <f t="shared" si="135"/>
        <v/>
      </c>
    </row>
    <row r="2376" spans="1:18" x14ac:dyDescent="0.2">
      <c r="A2376" s="352" t="str">
        <f>IF(B2376="","",COUNT('Diário 1º PA'!$A$4:$A$2635)+COUNT('Diário 2º PA'!$A$4:$A$3040)+ROW()-3)</f>
        <v/>
      </c>
      <c r="B2376" s="600"/>
      <c r="C2376" s="354"/>
      <c r="D2376" s="343"/>
      <c r="E2376" s="343"/>
      <c r="F2376" s="344"/>
      <c r="G2376" s="343"/>
      <c r="H2376" s="343"/>
      <c r="I2376" s="345"/>
      <c r="J2376" s="343"/>
      <c r="K2376" s="343"/>
      <c r="L2376" s="345"/>
      <c r="M2376" s="343"/>
      <c r="N2376" s="598"/>
      <c r="O2376" s="585"/>
      <c r="P2376" s="71">
        <f t="shared" si="134"/>
        <v>0</v>
      </c>
      <c r="Q2376" s="71">
        <f t="shared" si="133"/>
        <v>0</v>
      </c>
      <c r="R2376" s="93" t="str">
        <f t="shared" si="135"/>
        <v/>
      </c>
    </row>
    <row r="2377" spans="1:18" x14ac:dyDescent="0.2">
      <c r="A2377" s="352" t="str">
        <f>IF(B2377="","",COUNT('Diário 1º PA'!$A$4:$A$2635)+COUNT('Diário 2º PA'!$A$4:$A$3040)+ROW()-3)</f>
        <v/>
      </c>
      <c r="B2377" s="600"/>
      <c r="C2377" s="354"/>
      <c r="D2377" s="343"/>
      <c r="E2377" s="343"/>
      <c r="F2377" s="344"/>
      <c r="G2377" s="343"/>
      <c r="H2377" s="343"/>
      <c r="I2377" s="345"/>
      <c r="J2377" s="343"/>
      <c r="K2377" s="343"/>
      <c r="L2377" s="345"/>
      <c r="M2377" s="343"/>
      <c r="N2377" s="598"/>
      <c r="O2377" s="585"/>
      <c r="P2377" s="71">
        <f t="shared" si="134"/>
        <v>0</v>
      </c>
      <c r="Q2377" s="71">
        <f t="shared" si="133"/>
        <v>0</v>
      </c>
      <c r="R2377" s="93" t="str">
        <f t="shared" si="135"/>
        <v/>
      </c>
    </row>
    <row r="2378" spans="1:18" x14ac:dyDescent="0.2">
      <c r="A2378" s="352" t="str">
        <f>IF(B2378="","",COUNT('Diário 1º PA'!$A$4:$A$2635)+COUNT('Diário 2º PA'!$A$4:$A$3040)+ROW()-3)</f>
        <v/>
      </c>
      <c r="B2378" s="600"/>
      <c r="C2378" s="354"/>
      <c r="D2378" s="343"/>
      <c r="E2378" s="343"/>
      <c r="F2378" s="344"/>
      <c r="G2378" s="343"/>
      <c r="H2378" s="343"/>
      <c r="I2378" s="345"/>
      <c r="J2378" s="343"/>
      <c r="K2378" s="343"/>
      <c r="L2378" s="345"/>
      <c r="M2378" s="343"/>
      <c r="N2378" s="598"/>
      <c r="O2378" s="585"/>
      <c r="P2378" s="71">
        <f t="shared" si="134"/>
        <v>0</v>
      </c>
      <c r="Q2378" s="71">
        <f t="shared" si="133"/>
        <v>0</v>
      </c>
      <c r="R2378" s="93" t="str">
        <f t="shared" si="135"/>
        <v/>
      </c>
    </row>
    <row r="2379" spans="1:18" x14ac:dyDescent="0.2">
      <c r="A2379" s="352" t="str">
        <f>IF(B2379="","",COUNT('Diário 1º PA'!$A$4:$A$2635)+COUNT('Diário 2º PA'!$A$4:$A$3040)+ROW()-3)</f>
        <v/>
      </c>
      <c r="B2379" s="600"/>
      <c r="C2379" s="354"/>
      <c r="D2379" s="343"/>
      <c r="E2379" s="343"/>
      <c r="F2379" s="344"/>
      <c r="G2379" s="343"/>
      <c r="H2379" s="343"/>
      <c r="I2379" s="345"/>
      <c r="J2379" s="343"/>
      <c r="K2379" s="343"/>
      <c r="L2379" s="345"/>
      <c r="M2379" s="343"/>
      <c r="N2379" s="598"/>
      <c r="O2379" s="585"/>
      <c r="P2379" s="71">
        <f t="shared" si="134"/>
        <v>0</v>
      </c>
      <c r="Q2379" s="71">
        <f t="shared" si="133"/>
        <v>0</v>
      </c>
      <c r="R2379" s="93" t="str">
        <f t="shared" si="135"/>
        <v/>
      </c>
    </row>
    <row r="2380" spans="1:18" x14ac:dyDescent="0.2">
      <c r="A2380" s="352" t="str">
        <f>IF(B2380="","",COUNT('Diário 1º PA'!$A$4:$A$2635)+COUNT('Diário 2º PA'!$A$4:$A$3040)+ROW()-3)</f>
        <v/>
      </c>
      <c r="B2380" s="600"/>
      <c r="C2380" s="354"/>
      <c r="D2380" s="343"/>
      <c r="E2380" s="343"/>
      <c r="F2380" s="344"/>
      <c r="G2380" s="343"/>
      <c r="H2380" s="343"/>
      <c r="I2380" s="345"/>
      <c r="J2380" s="343"/>
      <c r="K2380" s="343"/>
      <c r="L2380" s="345"/>
      <c r="M2380" s="343"/>
      <c r="N2380" s="598"/>
      <c r="O2380" s="585"/>
      <c r="P2380" s="71">
        <f t="shared" si="134"/>
        <v>0</v>
      </c>
      <c r="Q2380" s="71">
        <f t="shared" si="133"/>
        <v>0</v>
      </c>
      <c r="R2380" s="93" t="str">
        <f t="shared" si="135"/>
        <v/>
      </c>
    </row>
    <row r="2381" spans="1:18" x14ac:dyDescent="0.2">
      <c r="A2381" s="352" t="str">
        <f>IF(B2381="","",COUNT('Diário 1º PA'!$A$4:$A$2635)+COUNT('Diário 2º PA'!$A$4:$A$3040)+ROW()-3)</f>
        <v/>
      </c>
      <c r="B2381" s="600"/>
      <c r="C2381" s="354"/>
      <c r="D2381" s="343"/>
      <c r="E2381" s="343"/>
      <c r="F2381" s="344"/>
      <c r="G2381" s="343"/>
      <c r="H2381" s="343"/>
      <c r="I2381" s="345"/>
      <c r="J2381" s="343"/>
      <c r="K2381" s="343"/>
      <c r="L2381" s="345"/>
      <c r="M2381" s="343"/>
      <c r="N2381" s="598"/>
      <c r="O2381" s="585"/>
      <c r="P2381" s="71">
        <f t="shared" si="134"/>
        <v>0</v>
      </c>
      <c r="Q2381" s="71">
        <f t="shared" si="133"/>
        <v>0</v>
      </c>
      <c r="R2381" s="93" t="str">
        <f t="shared" si="135"/>
        <v/>
      </c>
    </row>
    <row r="2382" spans="1:18" x14ac:dyDescent="0.2">
      <c r="A2382" s="352" t="str">
        <f>IF(B2382="","",COUNT('Diário 1º PA'!$A$4:$A$2635)+COUNT('Diário 2º PA'!$A$4:$A$3040)+ROW()-3)</f>
        <v/>
      </c>
      <c r="B2382" s="600"/>
      <c r="C2382" s="354"/>
      <c r="D2382" s="343"/>
      <c r="E2382" s="343"/>
      <c r="F2382" s="344"/>
      <c r="G2382" s="343"/>
      <c r="H2382" s="343"/>
      <c r="I2382" s="345"/>
      <c r="J2382" s="343"/>
      <c r="K2382" s="343"/>
      <c r="L2382" s="345"/>
      <c r="M2382" s="343"/>
      <c r="N2382" s="598"/>
      <c r="O2382" s="585"/>
      <c r="P2382" s="71">
        <f t="shared" si="134"/>
        <v>0</v>
      </c>
      <c r="Q2382" s="71">
        <f t="shared" si="133"/>
        <v>0</v>
      </c>
      <c r="R2382" s="93" t="str">
        <f t="shared" si="135"/>
        <v/>
      </c>
    </row>
    <row r="2383" spans="1:18" x14ac:dyDescent="0.2">
      <c r="A2383" s="352" t="str">
        <f>IF(B2383="","",COUNT('Diário 1º PA'!$A$4:$A$2635)+COUNT('Diário 2º PA'!$A$4:$A$3040)+ROW()-3)</f>
        <v/>
      </c>
      <c r="B2383" s="600"/>
      <c r="C2383" s="354"/>
      <c r="D2383" s="343"/>
      <c r="E2383" s="343"/>
      <c r="F2383" s="344"/>
      <c r="G2383" s="343"/>
      <c r="H2383" s="343"/>
      <c r="I2383" s="345"/>
      <c r="J2383" s="343"/>
      <c r="K2383" s="343"/>
      <c r="L2383" s="345"/>
      <c r="M2383" s="343"/>
      <c r="N2383" s="598"/>
      <c r="O2383" s="585"/>
      <c r="P2383" s="71">
        <f t="shared" si="134"/>
        <v>0</v>
      </c>
      <c r="Q2383" s="71">
        <f t="shared" ref="Q2383:Q2446" si="136">IF(C2383=0,0,IF(YEAR(C2383)=$Q$1,MONTH(C2383)-$P$1+1,(YEAR(C2383)-$Q$1)*12-$P$1+1+MONTH(C2383)))</f>
        <v>0</v>
      </c>
      <c r="R2383" s="93" t="str">
        <f t="shared" si="135"/>
        <v/>
      </c>
    </row>
    <row r="2384" spans="1:18" x14ac:dyDescent="0.2">
      <c r="A2384" s="352" t="str">
        <f>IF(B2384="","",COUNT('Diário 1º PA'!$A$4:$A$2635)+COUNT('Diário 2º PA'!$A$4:$A$3040)+ROW()-3)</f>
        <v/>
      </c>
      <c r="B2384" s="600"/>
      <c r="C2384" s="354"/>
      <c r="D2384" s="343"/>
      <c r="E2384" s="343"/>
      <c r="F2384" s="344"/>
      <c r="G2384" s="343"/>
      <c r="H2384" s="343"/>
      <c r="I2384" s="345"/>
      <c r="J2384" s="343"/>
      <c r="K2384" s="343"/>
      <c r="L2384" s="345"/>
      <c r="M2384" s="343"/>
      <c r="N2384" s="598"/>
      <c r="O2384" s="585"/>
      <c r="P2384" s="71">
        <f t="shared" si="134"/>
        <v>0</v>
      </c>
      <c r="Q2384" s="71">
        <f t="shared" si="136"/>
        <v>0</v>
      </c>
      <c r="R2384" s="93" t="str">
        <f t="shared" si="135"/>
        <v/>
      </c>
    </row>
    <row r="2385" spans="1:18" x14ac:dyDescent="0.2">
      <c r="A2385" s="352" t="str">
        <f>IF(B2385="","",COUNT('Diário 1º PA'!$A$4:$A$2635)+COUNT('Diário 2º PA'!$A$4:$A$3040)+ROW()-3)</f>
        <v/>
      </c>
      <c r="B2385" s="600"/>
      <c r="C2385" s="354"/>
      <c r="D2385" s="343"/>
      <c r="E2385" s="343"/>
      <c r="F2385" s="344"/>
      <c r="G2385" s="343"/>
      <c r="H2385" s="343"/>
      <c r="I2385" s="345"/>
      <c r="J2385" s="343"/>
      <c r="K2385" s="343"/>
      <c r="L2385" s="345"/>
      <c r="M2385" s="343"/>
      <c r="N2385" s="598"/>
      <c r="O2385" s="585"/>
      <c r="P2385" s="71">
        <f t="shared" ref="P2385:P2448" si="137">IF(B2385=0,0,IF(YEAR(B2385)=$Q$1,MONTH(B2385)-$P$1+1,(YEAR(B2385)-$Q$1)*12-$P$1+1+MONTH(B2385)))</f>
        <v>0</v>
      </c>
      <c r="Q2385" s="71">
        <f t="shared" si="136"/>
        <v>0</v>
      </c>
      <c r="R2385" s="93" t="str">
        <f t="shared" si="135"/>
        <v/>
      </c>
    </row>
    <row r="2386" spans="1:18" x14ac:dyDescent="0.2">
      <c r="A2386" s="352" t="str">
        <f>IF(B2386="","",COUNT('Diário 1º PA'!$A$4:$A$2635)+COUNT('Diário 2º PA'!$A$4:$A$3040)+ROW()-3)</f>
        <v/>
      </c>
      <c r="B2386" s="600"/>
      <c r="C2386" s="354"/>
      <c r="D2386" s="343"/>
      <c r="E2386" s="343"/>
      <c r="F2386" s="344"/>
      <c r="G2386" s="343"/>
      <c r="H2386" s="343"/>
      <c r="I2386" s="345"/>
      <c r="J2386" s="343"/>
      <c r="K2386" s="343"/>
      <c r="L2386" s="345"/>
      <c r="M2386" s="343"/>
      <c r="N2386" s="598"/>
      <c r="O2386" s="585"/>
      <c r="P2386" s="71">
        <f t="shared" si="137"/>
        <v>0</v>
      </c>
      <c r="Q2386" s="71">
        <f t="shared" si="136"/>
        <v>0</v>
      </c>
      <c r="R2386" s="93" t="str">
        <f t="shared" si="135"/>
        <v/>
      </c>
    </row>
    <row r="2387" spans="1:18" x14ac:dyDescent="0.2">
      <c r="A2387" s="352" t="str">
        <f>IF(B2387="","",COUNT('Diário 1º PA'!$A$4:$A$2635)+COUNT('Diário 2º PA'!$A$4:$A$3040)+ROW()-3)</f>
        <v/>
      </c>
      <c r="B2387" s="600"/>
      <c r="C2387" s="354"/>
      <c r="D2387" s="343"/>
      <c r="E2387" s="343"/>
      <c r="F2387" s="344"/>
      <c r="G2387" s="343"/>
      <c r="H2387" s="343"/>
      <c r="I2387" s="345"/>
      <c r="J2387" s="343"/>
      <c r="K2387" s="343"/>
      <c r="L2387" s="345"/>
      <c r="M2387" s="343"/>
      <c r="N2387" s="598"/>
      <c r="O2387" s="585"/>
      <c r="P2387" s="71">
        <f t="shared" si="137"/>
        <v>0</v>
      </c>
      <c r="Q2387" s="71">
        <f t="shared" si="136"/>
        <v>0</v>
      </c>
      <c r="R2387" s="93" t="str">
        <f t="shared" si="135"/>
        <v/>
      </c>
    </row>
    <row r="2388" spans="1:18" x14ac:dyDescent="0.2">
      <c r="A2388" s="352" t="str">
        <f>IF(B2388="","",COUNT('Diário 1º PA'!$A$4:$A$2635)+COUNT('Diário 2º PA'!$A$4:$A$3040)+ROW()-3)</f>
        <v/>
      </c>
      <c r="B2388" s="600"/>
      <c r="C2388" s="354"/>
      <c r="D2388" s="343"/>
      <c r="E2388" s="343"/>
      <c r="F2388" s="344"/>
      <c r="G2388" s="343"/>
      <c r="H2388" s="343"/>
      <c r="I2388" s="345"/>
      <c r="J2388" s="343"/>
      <c r="K2388" s="343"/>
      <c r="L2388" s="345"/>
      <c r="M2388" s="343"/>
      <c r="N2388" s="598"/>
      <c r="O2388" s="585"/>
      <c r="P2388" s="71">
        <f t="shared" si="137"/>
        <v>0</v>
      </c>
      <c r="Q2388" s="71">
        <f t="shared" si="136"/>
        <v>0</v>
      </c>
      <c r="R2388" s="93" t="str">
        <f t="shared" si="135"/>
        <v/>
      </c>
    </row>
    <row r="2389" spans="1:18" x14ac:dyDescent="0.2">
      <c r="A2389" s="352" t="str">
        <f>IF(B2389="","",COUNT('Diário 1º PA'!$A$4:$A$2635)+COUNT('Diário 2º PA'!$A$4:$A$3040)+ROW()-3)</f>
        <v/>
      </c>
      <c r="B2389" s="600"/>
      <c r="C2389" s="354"/>
      <c r="D2389" s="343"/>
      <c r="E2389" s="343"/>
      <c r="F2389" s="344"/>
      <c r="G2389" s="343"/>
      <c r="H2389" s="343"/>
      <c r="I2389" s="345"/>
      <c r="J2389" s="343"/>
      <c r="K2389" s="343"/>
      <c r="L2389" s="345"/>
      <c r="M2389" s="343"/>
      <c r="N2389" s="598"/>
      <c r="O2389" s="585"/>
      <c r="P2389" s="71">
        <f t="shared" si="137"/>
        <v>0</v>
      </c>
      <c r="Q2389" s="71">
        <f t="shared" si="136"/>
        <v>0</v>
      </c>
      <c r="R2389" s="93" t="str">
        <f t="shared" si="135"/>
        <v/>
      </c>
    </row>
    <row r="2390" spans="1:18" x14ac:dyDescent="0.2">
      <c r="A2390" s="352" t="str">
        <f>IF(B2390="","",COUNT('Diário 1º PA'!$A$4:$A$2635)+COUNT('Diário 2º PA'!$A$4:$A$3040)+ROW()-3)</f>
        <v/>
      </c>
      <c r="B2390" s="600"/>
      <c r="C2390" s="354"/>
      <c r="D2390" s="343"/>
      <c r="E2390" s="343"/>
      <c r="F2390" s="344"/>
      <c r="G2390" s="343"/>
      <c r="H2390" s="343"/>
      <c r="I2390" s="345"/>
      <c r="J2390" s="343"/>
      <c r="K2390" s="343"/>
      <c r="L2390" s="345"/>
      <c r="M2390" s="343"/>
      <c r="N2390" s="598"/>
      <c r="O2390" s="585"/>
      <c r="P2390" s="71">
        <f t="shared" si="137"/>
        <v>0</v>
      </c>
      <c r="Q2390" s="71">
        <f t="shared" si="136"/>
        <v>0</v>
      </c>
      <c r="R2390" s="93" t="str">
        <f t="shared" si="135"/>
        <v/>
      </c>
    </row>
    <row r="2391" spans="1:18" x14ac:dyDescent="0.2">
      <c r="A2391" s="352" t="str">
        <f>IF(B2391="","",COUNT('Diário 1º PA'!$A$4:$A$2635)+COUNT('Diário 2º PA'!$A$4:$A$3040)+ROW()-3)</f>
        <v/>
      </c>
      <c r="B2391" s="600"/>
      <c r="C2391" s="354"/>
      <c r="D2391" s="343"/>
      <c r="E2391" s="343"/>
      <c r="F2391" s="344"/>
      <c r="G2391" s="343"/>
      <c r="H2391" s="343"/>
      <c r="I2391" s="345"/>
      <c r="J2391" s="343"/>
      <c r="K2391" s="343"/>
      <c r="L2391" s="345"/>
      <c r="M2391" s="343"/>
      <c r="N2391" s="598"/>
      <c r="O2391" s="585"/>
      <c r="P2391" s="71">
        <f t="shared" si="137"/>
        <v>0</v>
      </c>
      <c r="Q2391" s="71">
        <f t="shared" si="136"/>
        <v>0</v>
      </c>
      <c r="R2391" s="93" t="str">
        <f t="shared" si="135"/>
        <v/>
      </c>
    </row>
    <row r="2392" spans="1:18" x14ac:dyDescent="0.2">
      <c r="A2392" s="352" t="str">
        <f>IF(B2392="","",COUNT('Diário 1º PA'!$A$4:$A$2635)+COUNT('Diário 2º PA'!$A$4:$A$3040)+ROW()-3)</f>
        <v/>
      </c>
      <c r="B2392" s="600"/>
      <c r="C2392" s="354"/>
      <c r="D2392" s="343"/>
      <c r="E2392" s="343"/>
      <c r="F2392" s="344"/>
      <c r="G2392" s="343"/>
      <c r="H2392" s="343"/>
      <c r="I2392" s="345"/>
      <c r="J2392" s="343"/>
      <c r="K2392" s="343"/>
      <c r="L2392" s="345"/>
      <c r="M2392" s="343"/>
      <c r="N2392" s="598"/>
      <c r="O2392" s="585"/>
      <c r="P2392" s="71">
        <f t="shared" si="137"/>
        <v>0</v>
      </c>
      <c r="Q2392" s="71">
        <f t="shared" si="136"/>
        <v>0</v>
      </c>
      <c r="R2392" s="93" t="str">
        <f t="shared" si="135"/>
        <v/>
      </c>
    </row>
    <row r="2393" spans="1:18" x14ac:dyDescent="0.2">
      <c r="A2393" s="352" t="str">
        <f>IF(B2393="","",COUNT('Diário 1º PA'!$A$4:$A$2635)+COUNT('Diário 2º PA'!$A$4:$A$3040)+ROW()-3)</f>
        <v/>
      </c>
      <c r="B2393" s="600"/>
      <c r="C2393" s="354"/>
      <c r="D2393" s="343"/>
      <c r="E2393" s="343"/>
      <c r="F2393" s="344"/>
      <c r="G2393" s="343"/>
      <c r="H2393" s="343"/>
      <c r="I2393" s="345"/>
      <c r="J2393" s="343"/>
      <c r="K2393" s="343"/>
      <c r="L2393" s="345"/>
      <c r="M2393" s="343"/>
      <c r="N2393" s="598"/>
      <c r="O2393" s="585"/>
      <c r="P2393" s="71">
        <f t="shared" si="137"/>
        <v>0</v>
      </c>
      <c r="Q2393" s="71">
        <f t="shared" si="136"/>
        <v>0</v>
      </c>
      <c r="R2393" s="93" t="str">
        <f t="shared" si="135"/>
        <v/>
      </c>
    </row>
    <row r="2394" spans="1:18" x14ac:dyDescent="0.2">
      <c r="A2394" s="352" t="str">
        <f>IF(B2394="","",COUNT('Diário 1º PA'!$A$4:$A$2635)+COUNT('Diário 2º PA'!$A$4:$A$3040)+ROW()-3)</f>
        <v/>
      </c>
      <c r="B2394" s="600"/>
      <c r="C2394" s="354"/>
      <c r="D2394" s="343"/>
      <c r="E2394" s="343"/>
      <c r="F2394" s="344"/>
      <c r="G2394" s="343"/>
      <c r="H2394" s="343"/>
      <c r="I2394" s="345"/>
      <c r="J2394" s="343"/>
      <c r="K2394" s="343"/>
      <c r="L2394" s="345"/>
      <c r="M2394" s="343"/>
      <c r="N2394" s="598"/>
      <c r="O2394" s="585"/>
      <c r="P2394" s="71">
        <f t="shared" si="137"/>
        <v>0</v>
      </c>
      <c r="Q2394" s="71">
        <f t="shared" si="136"/>
        <v>0</v>
      </c>
      <c r="R2394" s="93" t="str">
        <f t="shared" si="135"/>
        <v/>
      </c>
    </row>
    <row r="2395" spans="1:18" x14ac:dyDescent="0.2">
      <c r="A2395" s="352" t="str">
        <f>IF(B2395="","",COUNT('Diário 1º PA'!$A$4:$A$2635)+COUNT('Diário 2º PA'!$A$4:$A$3040)+ROW()-3)</f>
        <v/>
      </c>
      <c r="B2395" s="600"/>
      <c r="C2395" s="354"/>
      <c r="D2395" s="343"/>
      <c r="E2395" s="343"/>
      <c r="F2395" s="344"/>
      <c r="G2395" s="343"/>
      <c r="H2395" s="343"/>
      <c r="I2395" s="345"/>
      <c r="J2395" s="343"/>
      <c r="K2395" s="343"/>
      <c r="L2395" s="345"/>
      <c r="M2395" s="343"/>
      <c r="N2395" s="598"/>
      <c r="O2395" s="585"/>
      <c r="P2395" s="71">
        <f t="shared" si="137"/>
        <v>0</v>
      </c>
      <c r="Q2395" s="71">
        <f t="shared" si="136"/>
        <v>0</v>
      </c>
      <c r="R2395" s="93" t="str">
        <f t="shared" si="135"/>
        <v/>
      </c>
    </row>
    <row r="2396" spans="1:18" x14ac:dyDescent="0.2">
      <c r="A2396" s="352" t="str">
        <f>IF(B2396="","",COUNT('Diário 1º PA'!$A$4:$A$2635)+COUNT('Diário 2º PA'!$A$4:$A$3040)+ROW()-3)</f>
        <v/>
      </c>
      <c r="B2396" s="600"/>
      <c r="C2396" s="354"/>
      <c r="D2396" s="343"/>
      <c r="E2396" s="343"/>
      <c r="F2396" s="344"/>
      <c r="G2396" s="343"/>
      <c r="H2396" s="343"/>
      <c r="I2396" s="345"/>
      <c r="J2396" s="343"/>
      <c r="K2396" s="343"/>
      <c r="L2396" s="345"/>
      <c r="M2396" s="343"/>
      <c r="N2396" s="598"/>
      <c r="O2396" s="585"/>
      <c r="P2396" s="71">
        <f t="shared" si="137"/>
        <v>0</v>
      </c>
      <c r="Q2396" s="71">
        <f t="shared" si="136"/>
        <v>0</v>
      </c>
      <c r="R2396" s="93" t="str">
        <f t="shared" si="135"/>
        <v/>
      </c>
    </row>
    <row r="2397" spans="1:18" x14ac:dyDescent="0.2">
      <c r="A2397" s="352" t="str">
        <f>IF(B2397="","",COUNT('Diário 1º PA'!$A$4:$A$2635)+COUNT('Diário 2º PA'!$A$4:$A$3040)+ROW()-3)</f>
        <v/>
      </c>
      <c r="B2397" s="600"/>
      <c r="C2397" s="354"/>
      <c r="D2397" s="343"/>
      <c r="E2397" s="343"/>
      <c r="F2397" s="344"/>
      <c r="G2397" s="343"/>
      <c r="H2397" s="343"/>
      <c r="I2397" s="345"/>
      <c r="J2397" s="343"/>
      <c r="K2397" s="343"/>
      <c r="L2397" s="345"/>
      <c r="M2397" s="343"/>
      <c r="N2397" s="598"/>
      <c r="O2397" s="585"/>
      <c r="P2397" s="71">
        <f t="shared" si="137"/>
        <v>0</v>
      </c>
      <c r="Q2397" s="71">
        <f t="shared" si="136"/>
        <v>0</v>
      </c>
      <c r="R2397" s="93" t="str">
        <f t="shared" si="135"/>
        <v/>
      </c>
    </row>
    <row r="2398" spans="1:18" x14ac:dyDescent="0.2">
      <c r="A2398" s="352" t="str">
        <f>IF(B2398="","",COUNT('Diário 1º PA'!$A$4:$A$2635)+COUNT('Diário 2º PA'!$A$4:$A$3040)+ROW()-3)</f>
        <v/>
      </c>
      <c r="B2398" s="600"/>
      <c r="C2398" s="354"/>
      <c r="D2398" s="343"/>
      <c r="E2398" s="343"/>
      <c r="F2398" s="344"/>
      <c r="G2398" s="343"/>
      <c r="H2398" s="343"/>
      <c r="I2398" s="345"/>
      <c r="J2398" s="343"/>
      <c r="K2398" s="343"/>
      <c r="L2398" s="345"/>
      <c r="M2398" s="343"/>
      <c r="N2398" s="598"/>
      <c r="O2398" s="585"/>
      <c r="P2398" s="71">
        <f t="shared" si="137"/>
        <v>0</v>
      </c>
      <c r="Q2398" s="71">
        <f t="shared" si="136"/>
        <v>0</v>
      </c>
      <c r="R2398" s="93" t="str">
        <f t="shared" si="135"/>
        <v/>
      </c>
    </row>
    <row r="2399" spans="1:18" x14ac:dyDescent="0.2">
      <c r="A2399" s="352" t="str">
        <f>IF(B2399="","",COUNT('Diário 1º PA'!$A$4:$A$2635)+COUNT('Diário 2º PA'!$A$4:$A$3040)+ROW()-3)</f>
        <v/>
      </c>
      <c r="B2399" s="600"/>
      <c r="C2399" s="354"/>
      <c r="D2399" s="343"/>
      <c r="E2399" s="343"/>
      <c r="F2399" s="344"/>
      <c r="G2399" s="343"/>
      <c r="H2399" s="343"/>
      <c r="I2399" s="345"/>
      <c r="J2399" s="343"/>
      <c r="K2399" s="343"/>
      <c r="L2399" s="345"/>
      <c r="M2399" s="343"/>
      <c r="N2399" s="598"/>
      <c r="O2399" s="585"/>
      <c r="P2399" s="71">
        <f t="shared" si="137"/>
        <v>0</v>
      </c>
      <c r="Q2399" s="71">
        <f t="shared" si="136"/>
        <v>0</v>
      </c>
      <c r="R2399" s="93" t="str">
        <f t="shared" si="135"/>
        <v/>
      </c>
    </row>
    <row r="2400" spans="1:18" x14ac:dyDescent="0.2">
      <c r="A2400" s="352" t="str">
        <f>IF(B2400="","",COUNT('Diário 1º PA'!$A$4:$A$2635)+COUNT('Diário 2º PA'!$A$4:$A$3040)+ROW()-3)</f>
        <v/>
      </c>
      <c r="B2400" s="600"/>
      <c r="C2400" s="354"/>
      <c r="D2400" s="343"/>
      <c r="E2400" s="343"/>
      <c r="F2400" s="344"/>
      <c r="G2400" s="343"/>
      <c r="H2400" s="343"/>
      <c r="I2400" s="345"/>
      <c r="J2400" s="343"/>
      <c r="K2400" s="343"/>
      <c r="L2400" s="345"/>
      <c r="M2400" s="343"/>
      <c r="N2400" s="598"/>
      <c r="O2400" s="585"/>
      <c r="P2400" s="71">
        <f t="shared" si="137"/>
        <v>0</v>
      </c>
      <c r="Q2400" s="71">
        <f t="shared" si="136"/>
        <v>0</v>
      </c>
      <c r="R2400" s="93" t="str">
        <f t="shared" si="135"/>
        <v/>
      </c>
    </row>
    <row r="2401" spans="1:18" x14ac:dyDescent="0.2">
      <c r="A2401" s="352" t="str">
        <f>IF(B2401="","",COUNT('Diário 1º PA'!$A$4:$A$2635)+COUNT('Diário 2º PA'!$A$4:$A$3040)+ROW()-3)</f>
        <v/>
      </c>
      <c r="B2401" s="600"/>
      <c r="C2401" s="354"/>
      <c r="D2401" s="343"/>
      <c r="E2401" s="343"/>
      <c r="F2401" s="344"/>
      <c r="G2401" s="343"/>
      <c r="H2401" s="343"/>
      <c r="I2401" s="345"/>
      <c r="J2401" s="343"/>
      <c r="K2401" s="343"/>
      <c r="L2401" s="345"/>
      <c r="M2401" s="343"/>
      <c r="N2401" s="598"/>
      <c r="O2401" s="585"/>
      <c r="P2401" s="71">
        <f t="shared" si="137"/>
        <v>0</v>
      </c>
      <c r="Q2401" s="71">
        <f t="shared" si="136"/>
        <v>0</v>
      </c>
      <c r="R2401" s="93" t="str">
        <f t="shared" si="135"/>
        <v/>
      </c>
    </row>
    <row r="2402" spans="1:18" x14ac:dyDescent="0.2">
      <c r="A2402" s="352" t="str">
        <f>IF(B2402="","",COUNT('Diário 1º PA'!$A$4:$A$2635)+COUNT('Diário 2º PA'!$A$4:$A$3040)+ROW()-3)</f>
        <v/>
      </c>
      <c r="B2402" s="600"/>
      <c r="C2402" s="354"/>
      <c r="D2402" s="343"/>
      <c r="E2402" s="343"/>
      <c r="F2402" s="344"/>
      <c r="G2402" s="343"/>
      <c r="H2402" s="343"/>
      <c r="I2402" s="345"/>
      <c r="J2402" s="343"/>
      <c r="K2402" s="343"/>
      <c r="L2402" s="345"/>
      <c r="M2402" s="343"/>
      <c r="N2402" s="598"/>
      <c r="O2402" s="585"/>
      <c r="P2402" s="71">
        <f t="shared" si="137"/>
        <v>0</v>
      </c>
      <c r="Q2402" s="71">
        <f t="shared" si="136"/>
        <v>0</v>
      </c>
      <c r="R2402" s="93" t="str">
        <f t="shared" si="135"/>
        <v/>
      </c>
    </row>
    <row r="2403" spans="1:18" x14ac:dyDescent="0.2">
      <c r="A2403" s="352" t="str">
        <f>IF(B2403="","",COUNT('Diário 1º PA'!$A$4:$A$2635)+COUNT('Diário 2º PA'!$A$4:$A$3040)+ROW()-3)</f>
        <v/>
      </c>
      <c r="B2403" s="600"/>
      <c r="C2403" s="354"/>
      <c r="D2403" s="343"/>
      <c r="E2403" s="343"/>
      <c r="F2403" s="344"/>
      <c r="G2403" s="343"/>
      <c r="H2403" s="343"/>
      <c r="I2403" s="345"/>
      <c r="J2403" s="343"/>
      <c r="K2403" s="343"/>
      <c r="L2403" s="345"/>
      <c r="M2403" s="343"/>
      <c r="N2403" s="598"/>
      <c r="O2403" s="585"/>
      <c r="P2403" s="71">
        <f t="shared" si="137"/>
        <v>0</v>
      </c>
      <c r="Q2403" s="71">
        <f t="shared" si="136"/>
        <v>0</v>
      </c>
      <c r="R2403" s="93" t="str">
        <f t="shared" si="135"/>
        <v/>
      </c>
    </row>
    <row r="2404" spans="1:18" x14ac:dyDescent="0.2">
      <c r="A2404" s="352" t="str">
        <f>IF(B2404="","",COUNT('Diário 1º PA'!$A$4:$A$2635)+COUNT('Diário 2º PA'!$A$4:$A$3040)+ROW()-3)</f>
        <v/>
      </c>
      <c r="B2404" s="600"/>
      <c r="C2404" s="354"/>
      <c r="D2404" s="343"/>
      <c r="E2404" s="343"/>
      <c r="F2404" s="344"/>
      <c r="G2404" s="343"/>
      <c r="H2404" s="343"/>
      <c r="I2404" s="345"/>
      <c r="J2404" s="343"/>
      <c r="K2404" s="343"/>
      <c r="L2404" s="345"/>
      <c r="M2404" s="343"/>
      <c r="N2404" s="598"/>
      <c r="O2404" s="585"/>
      <c r="P2404" s="71">
        <f t="shared" si="137"/>
        <v>0</v>
      </c>
      <c r="Q2404" s="71">
        <f t="shared" si="136"/>
        <v>0</v>
      </c>
      <c r="R2404" s="93" t="str">
        <f t="shared" si="135"/>
        <v/>
      </c>
    </row>
    <row r="2405" spans="1:18" x14ac:dyDescent="0.2">
      <c r="A2405" s="352" t="str">
        <f>IF(B2405="","",COUNT('Diário 1º PA'!$A$4:$A$2635)+COUNT('Diário 2º PA'!$A$4:$A$3040)+ROW()-3)</f>
        <v/>
      </c>
      <c r="B2405" s="600"/>
      <c r="C2405" s="354"/>
      <c r="D2405" s="343"/>
      <c r="E2405" s="343"/>
      <c r="F2405" s="344"/>
      <c r="G2405" s="343"/>
      <c r="H2405" s="343"/>
      <c r="I2405" s="345"/>
      <c r="J2405" s="343"/>
      <c r="K2405" s="343"/>
      <c r="L2405" s="345"/>
      <c r="M2405" s="343"/>
      <c r="N2405" s="598"/>
      <c r="O2405" s="585"/>
      <c r="P2405" s="71">
        <f t="shared" si="137"/>
        <v>0</v>
      </c>
      <c r="Q2405" s="71">
        <f t="shared" si="136"/>
        <v>0</v>
      </c>
      <c r="R2405" s="93" t="str">
        <f t="shared" si="135"/>
        <v/>
      </c>
    </row>
    <row r="2406" spans="1:18" x14ac:dyDescent="0.2">
      <c r="A2406" s="352" t="str">
        <f>IF(B2406="","",COUNT('Diário 1º PA'!$A$4:$A$2635)+COUNT('Diário 2º PA'!$A$4:$A$3040)+ROW()-3)</f>
        <v/>
      </c>
      <c r="B2406" s="600"/>
      <c r="C2406" s="354"/>
      <c r="D2406" s="343"/>
      <c r="E2406" s="343"/>
      <c r="F2406" s="344"/>
      <c r="G2406" s="343"/>
      <c r="H2406" s="343"/>
      <c r="I2406" s="345"/>
      <c r="J2406" s="343"/>
      <c r="K2406" s="343"/>
      <c r="L2406" s="345"/>
      <c r="M2406" s="343"/>
      <c r="N2406" s="598"/>
      <c r="O2406" s="585"/>
      <c r="P2406" s="71">
        <f t="shared" si="137"/>
        <v>0</v>
      </c>
      <c r="Q2406" s="71">
        <f t="shared" si="136"/>
        <v>0</v>
      </c>
      <c r="R2406" s="93" t="str">
        <f t="shared" si="135"/>
        <v/>
      </c>
    </row>
    <row r="2407" spans="1:18" x14ac:dyDescent="0.2">
      <c r="A2407" s="352" t="str">
        <f>IF(B2407="","",COUNT('Diário 1º PA'!$A$4:$A$2635)+COUNT('Diário 2º PA'!$A$4:$A$3040)+ROW()-3)</f>
        <v/>
      </c>
      <c r="B2407" s="600"/>
      <c r="C2407" s="354"/>
      <c r="D2407" s="343"/>
      <c r="E2407" s="343"/>
      <c r="F2407" s="344"/>
      <c r="G2407" s="343"/>
      <c r="H2407" s="343"/>
      <c r="I2407" s="345"/>
      <c r="J2407" s="343"/>
      <c r="K2407" s="343"/>
      <c r="L2407" s="345"/>
      <c r="M2407" s="343"/>
      <c r="N2407" s="598"/>
      <c r="O2407" s="585"/>
      <c r="P2407" s="71">
        <f t="shared" si="137"/>
        <v>0</v>
      </c>
      <c r="Q2407" s="71">
        <f t="shared" si="136"/>
        <v>0</v>
      </c>
      <c r="R2407" s="93" t="str">
        <f t="shared" si="135"/>
        <v/>
      </c>
    </row>
    <row r="2408" spans="1:18" x14ac:dyDescent="0.2">
      <c r="A2408" s="352" t="str">
        <f>IF(B2408="","",COUNT('Diário 1º PA'!$A$4:$A$2635)+COUNT('Diário 2º PA'!$A$4:$A$3040)+ROW()-3)</f>
        <v/>
      </c>
      <c r="B2408" s="600"/>
      <c r="C2408" s="354"/>
      <c r="D2408" s="343"/>
      <c r="E2408" s="343"/>
      <c r="F2408" s="344"/>
      <c r="G2408" s="343"/>
      <c r="H2408" s="343"/>
      <c r="I2408" s="345"/>
      <c r="J2408" s="343"/>
      <c r="K2408" s="343"/>
      <c r="L2408" s="345"/>
      <c r="M2408" s="343"/>
      <c r="N2408" s="598"/>
      <c r="O2408" s="585"/>
      <c r="P2408" s="71">
        <f t="shared" si="137"/>
        <v>0</v>
      </c>
      <c r="Q2408" s="71">
        <f t="shared" si="136"/>
        <v>0</v>
      </c>
      <c r="R2408" s="93" t="str">
        <f t="shared" si="135"/>
        <v/>
      </c>
    </row>
    <row r="2409" spans="1:18" x14ac:dyDescent="0.2">
      <c r="A2409" s="352" t="str">
        <f>IF(B2409="","",COUNT('Diário 1º PA'!$A$4:$A$2635)+COUNT('Diário 2º PA'!$A$4:$A$3040)+ROW()-3)</f>
        <v/>
      </c>
      <c r="B2409" s="600"/>
      <c r="C2409" s="354"/>
      <c r="D2409" s="343"/>
      <c r="E2409" s="343"/>
      <c r="F2409" s="344"/>
      <c r="G2409" s="343"/>
      <c r="H2409" s="343"/>
      <c r="I2409" s="345"/>
      <c r="J2409" s="343"/>
      <c r="K2409" s="343"/>
      <c r="L2409" s="345"/>
      <c r="M2409" s="343"/>
      <c r="N2409" s="598"/>
      <c r="O2409" s="585"/>
      <c r="P2409" s="71">
        <f t="shared" si="137"/>
        <v>0</v>
      </c>
      <c r="Q2409" s="71">
        <f t="shared" si="136"/>
        <v>0</v>
      </c>
      <c r="R2409" s="93" t="str">
        <f t="shared" si="135"/>
        <v/>
      </c>
    </row>
    <row r="2410" spans="1:18" x14ac:dyDescent="0.2">
      <c r="A2410" s="352" t="str">
        <f>IF(B2410="","",COUNT('Diário 1º PA'!$A$4:$A$2635)+COUNT('Diário 2º PA'!$A$4:$A$3040)+ROW()-3)</f>
        <v/>
      </c>
      <c r="B2410" s="600"/>
      <c r="C2410" s="354"/>
      <c r="D2410" s="343"/>
      <c r="E2410" s="343"/>
      <c r="F2410" s="344"/>
      <c r="G2410" s="343"/>
      <c r="H2410" s="343"/>
      <c r="I2410" s="345"/>
      <c r="J2410" s="343"/>
      <c r="K2410" s="343"/>
      <c r="L2410" s="345"/>
      <c r="M2410" s="343"/>
      <c r="N2410" s="598"/>
      <c r="O2410" s="585"/>
      <c r="P2410" s="71">
        <f t="shared" si="137"/>
        <v>0</v>
      </c>
      <c r="Q2410" s="71">
        <f t="shared" si="136"/>
        <v>0</v>
      </c>
      <c r="R2410" s="93" t="str">
        <f t="shared" si="135"/>
        <v/>
      </c>
    </row>
    <row r="2411" spans="1:18" x14ac:dyDescent="0.2">
      <c r="A2411" s="352" t="str">
        <f>IF(B2411="","",COUNT('Diário 1º PA'!$A$4:$A$2635)+COUNT('Diário 2º PA'!$A$4:$A$3040)+ROW()-3)</f>
        <v/>
      </c>
      <c r="B2411" s="600"/>
      <c r="C2411" s="354"/>
      <c r="D2411" s="343"/>
      <c r="E2411" s="343"/>
      <c r="F2411" s="344"/>
      <c r="G2411" s="343"/>
      <c r="H2411" s="343"/>
      <c r="I2411" s="345"/>
      <c r="J2411" s="343"/>
      <c r="K2411" s="343"/>
      <c r="L2411" s="345"/>
      <c r="M2411" s="343"/>
      <c r="N2411" s="598"/>
      <c r="O2411" s="585"/>
      <c r="P2411" s="71">
        <f t="shared" si="137"/>
        <v>0</v>
      </c>
      <c r="Q2411" s="71">
        <f t="shared" si="136"/>
        <v>0</v>
      </c>
      <c r="R2411" s="93" t="str">
        <f t="shared" si="135"/>
        <v/>
      </c>
    </row>
    <row r="2412" spans="1:18" x14ac:dyDescent="0.2">
      <c r="A2412" s="352" t="str">
        <f>IF(B2412="","",COUNT('Diário 1º PA'!$A$4:$A$2635)+COUNT('Diário 2º PA'!$A$4:$A$3040)+ROW()-3)</f>
        <v/>
      </c>
      <c r="B2412" s="600"/>
      <c r="C2412" s="354"/>
      <c r="D2412" s="343"/>
      <c r="E2412" s="343"/>
      <c r="F2412" s="344"/>
      <c r="G2412" s="343"/>
      <c r="H2412" s="343"/>
      <c r="I2412" s="345"/>
      <c r="J2412" s="343"/>
      <c r="K2412" s="343"/>
      <c r="L2412" s="345"/>
      <c r="M2412" s="343"/>
      <c r="N2412" s="598"/>
      <c r="O2412" s="585"/>
      <c r="P2412" s="71">
        <f t="shared" si="137"/>
        <v>0</v>
      </c>
      <c r="Q2412" s="71">
        <f t="shared" si="136"/>
        <v>0</v>
      </c>
      <c r="R2412" s="93" t="str">
        <f t="shared" si="135"/>
        <v/>
      </c>
    </row>
    <row r="2413" spans="1:18" x14ac:dyDescent="0.2">
      <c r="A2413" s="352" t="str">
        <f>IF(B2413="","",COUNT('Diário 1º PA'!$A$4:$A$2635)+COUNT('Diário 2º PA'!$A$4:$A$3040)+ROW()-3)</f>
        <v/>
      </c>
      <c r="B2413" s="600"/>
      <c r="C2413" s="354"/>
      <c r="D2413" s="343"/>
      <c r="E2413" s="343"/>
      <c r="F2413" s="344"/>
      <c r="G2413" s="343"/>
      <c r="H2413" s="343"/>
      <c r="I2413" s="345"/>
      <c r="J2413" s="343"/>
      <c r="K2413" s="343"/>
      <c r="L2413" s="345"/>
      <c r="M2413" s="343"/>
      <c r="N2413" s="598"/>
      <c r="O2413" s="585"/>
      <c r="P2413" s="71">
        <f t="shared" si="137"/>
        <v>0</v>
      </c>
      <c r="Q2413" s="71">
        <f t="shared" si="136"/>
        <v>0</v>
      </c>
      <c r="R2413" s="93" t="str">
        <f t="shared" si="135"/>
        <v/>
      </c>
    </row>
    <row r="2414" spans="1:18" x14ac:dyDescent="0.2">
      <c r="A2414" s="352" t="str">
        <f>IF(B2414="","",COUNT('Diário 1º PA'!$A$4:$A$2635)+COUNT('Diário 2º PA'!$A$4:$A$3040)+ROW()-3)</f>
        <v/>
      </c>
      <c r="B2414" s="600"/>
      <c r="C2414" s="354"/>
      <c r="D2414" s="343"/>
      <c r="E2414" s="343"/>
      <c r="F2414" s="344"/>
      <c r="G2414" s="343"/>
      <c r="H2414" s="343"/>
      <c r="I2414" s="345"/>
      <c r="J2414" s="343"/>
      <c r="K2414" s="343"/>
      <c r="L2414" s="345"/>
      <c r="M2414" s="343"/>
      <c r="N2414" s="598"/>
      <c r="O2414" s="585"/>
      <c r="P2414" s="71">
        <f t="shared" si="137"/>
        <v>0</v>
      </c>
      <c r="Q2414" s="71">
        <f t="shared" si="136"/>
        <v>0</v>
      </c>
      <c r="R2414" s="93" t="str">
        <f t="shared" si="135"/>
        <v/>
      </c>
    </row>
    <row r="2415" spans="1:18" x14ac:dyDescent="0.2">
      <c r="A2415" s="352" t="str">
        <f>IF(B2415="","",COUNT('Diário 1º PA'!$A$4:$A$2635)+COUNT('Diário 2º PA'!$A$4:$A$3040)+ROW()-3)</f>
        <v/>
      </c>
      <c r="B2415" s="600"/>
      <c r="C2415" s="354"/>
      <c r="D2415" s="343"/>
      <c r="E2415" s="343"/>
      <c r="F2415" s="344"/>
      <c r="G2415" s="343"/>
      <c r="H2415" s="343"/>
      <c r="I2415" s="345"/>
      <c r="J2415" s="343"/>
      <c r="K2415" s="343"/>
      <c r="L2415" s="345"/>
      <c r="M2415" s="343"/>
      <c r="N2415" s="598"/>
      <c r="O2415" s="585"/>
      <c r="P2415" s="71">
        <f t="shared" si="137"/>
        <v>0</v>
      </c>
      <c r="Q2415" s="71">
        <f t="shared" si="136"/>
        <v>0</v>
      </c>
      <c r="R2415" s="93" t="str">
        <f t="shared" si="135"/>
        <v/>
      </c>
    </row>
    <row r="2416" spans="1:18" x14ac:dyDescent="0.2">
      <c r="A2416" s="352" t="str">
        <f>IF(B2416="","",COUNT('Diário 1º PA'!$A$4:$A$2635)+COUNT('Diário 2º PA'!$A$4:$A$3040)+ROW()-3)</f>
        <v/>
      </c>
      <c r="B2416" s="600"/>
      <c r="C2416" s="354"/>
      <c r="D2416" s="343"/>
      <c r="E2416" s="343"/>
      <c r="F2416" s="344"/>
      <c r="G2416" s="343"/>
      <c r="H2416" s="343"/>
      <c r="I2416" s="345"/>
      <c r="J2416" s="343"/>
      <c r="K2416" s="343"/>
      <c r="L2416" s="345"/>
      <c r="M2416" s="343"/>
      <c r="N2416" s="598"/>
      <c r="O2416" s="585"/>
      <c r="P2416" s="71">
        <f t="shared" si="137"/>
        <v>0</v>
      </c>
      <c r="Q2416" s="71">
        <f t="shared" si="136"/>
        <v>0</v>
      </c>
      <c r="R2416" s="93" t="str">
        <f t="shared" si="135"/>
        <v/>
      </c>
    </row>
    <row r="2417" spans="1:18" x14ac:dyDescent="0.2">
      <c r="A2417" s="352" t="str">
        <f>IF(B2417="","",COUNT('Diário 1º PA'!$A$4:$A$2635)+COUNT('Diário 2º PA'!$A$4:$A$3040)+ROW()-3)</f>
        <v/>
      </c>
      <c r="B2417" s="600"/>
      <c r="C2417" s="354"/>
      <c r="D2417" s="343"/>
      <c r="E2417" s="343"/>
      <c r="F2417" s="344"/>
      <c r="G2417" s="343"/>
      <c r="H2417" s="343"/>
      <c r="I2417" s="345"/>
      <c r="J2417" s="343"/>
      <c r="K2417" s="343"/>
      <c r="L2417" s="345"/>
      <c r="M2417" s="343"/>
      <c r="N2417" s="598"/>
      <c r="O2417" s="585"/>
      <c r="P2417" s="71">
        <f t="shared" si="137"/>
        <v>0</v>
      </c>
      <c r="Q2417" s="71">
        <f t="shared" si="136"/>
        <v>0</v>
      </c>
      <c r="R2417" s="93" t="str">
        <f t="shared" si="135"/>
        <v/>
      </c>
    </row>
    <row r="2418" spans="1:18" x14ac:dyDescent="0.2">
      <c r="A2418" s="352" t="str">
        <f>IF(B2418="","",COUNT('Diário 1º PA'!$A$4:$A$2635)+COUNT('Diário 2º PA'!$A$4:$A$3040)+ROW()-3)</f>
        <v/>
      </c>
      <c r="B2418" s="600"/>
      <c r="C2418" s="354"/>
      <c r="D2418" s="343"/>
      <c r="E2418" s="343"/>
      <c r="F2418" s="344"/>
      <c r="G2418" s="343"/>
      <c r="H2418" s="343"/>
      <c r="I2418" s="345"/>
      <c r="J2418" s="343"/>
      <c r="K2418" s="343"/>
      <c r="L2418" s="345"/>
      <c r="M2418" s="343"/>
      <c r="N2418" s="598"/>
      <c r="O2418" s="585"/>
      <c r="P2418" s="71">
        <f t="shared" si="137"/>
        <v>0</v>
      </c>
      <c r="Q2418" s="71">
        <f t="shared" si="136"/>
        <v>0</v>
      </c>
      <c r="R2418" s="93" t="str">
        <f t="shared" si="135"/>
        <v/>
      </c>
    </row>
    <row r="2419" spans="1:18" x14ac:dyDescent="0.2">
      <c r="A2419" s="352" t="str">
        <f>IF(B2419="","",COUNT('Diário 1º PA'!$A$4:$A$2635)+COUNT('Diário 2º PA'!$A$4:$A$3040)+ROW()-3)</f>
        <v/>
      </c>
      <c r="B2419" s="600"/>
      <c r="C2419" s="354"/>
      <c r="D2419" s="343"/>
      <c r="E2419" s="343"/>
      <c r="F2419" s="344"/>
      <c r="G2419" s="343"/>
      <c r="H2419" s="343"/>
      <c r="I2419" s="345"/>
      <c r="J2419" s="343"/>
      <c r="K2419" s="343"/>
      <c r="L2419" s="345"/>
      <c r="M2419" s="343"/>
      <c r="N2419" s="598"/>
      <c r="O2419" s="585"/>
      <c r="P2419" s="71">
        <f t="shared" si="137"/>
        <v>0</v>
      </c>
      <c r="Q2419" s="71">
        <f t="shared" si="136"/>
        <v>0</v>
      </c>
      <c r="R2419" s="93" t="str">
        <f t="shared" si="135"/>
        <v/>
      </c>
    </row>
    <row r="2420" spans="1:18" x14ac:dyDescent="0.2">
      <c r="A2420" s="352" t="str">
        <f>IF(B2420="","",COUNT('Diário 1º PA'!$A$4:$A$2635)+COUNT('Diário 2º PA'!$A$4:$A$3040)+ROW()-3)</f>
        <v/>
      </c>
      <c r="B2420" s="600"/>
      <c r="C2420" s="354"/>
      <c r="D2420" s="343"/>
      <c r="E2420" s="343"/>
      <c r="F2420" s="344"/>
      <c r="G2420" s="343"/>
      <c r="H2420" s="343"/>
      <c r="I2420" s="345"/>
      <c r="J2420" s="343"/>
      <c r="K2420" s="343"/>
      <c r="L2420" s="345"/>
      <c r="M2420" s="343"/>
      <c r="N2420" s="598"/>
      <c r="O2420" s="585"/>
      <c r="P2420" s="71">
        <f t="shared" si="137"/>
        <v>0</v>
      </c>
      <c r="Q2420" s="71">
        <f t="shared" si="136"/>
        <v>0</v>
      </c>
      <c r="R2420" s="93" t="str">
        <f t="shared" si="135"/>
        <v/>
      </c>
    </row>
    <row r="2421" spans="1:18" x14ac:dyDescent="0.2">
      <c r="A2421" s="352" t="str">
        <f>IF(B2421="","",COUNT('Diário 1º PA'!$A$4:$A$2635)+COUNT('Diário 2º PA'!$A$4:$A$3040)+ROW()-3)</f>
        <v/>
      </c>
      <c r="B2421" s="600"/>
      <c r="C2421" s="354"/>
      <c r="D2421" s="343"/>
      <c r="E2421" s="343"/>
      <c r="F2421" s="344"/>
      <c r="G2421" s="343"/>
      <c r="H2421" s="343"/>
      <c r="I2421" s="345"/>
      <c r="J2421" s="343"/>
      <c r="K2421" s="343"/>
      <c r="L2421" s="345"/>
      <c r="M2421" s="343"/>
      <c r="N2421" s="598"/>
      <c r="O2421" s="585"/>
      <c r="P2421" s="71">
        <f t="shared" si="137"/>
        <v>0</v>
      </c>
      <c r="Q2421" s="71">
        <f t="shared" si="136"/>
        <v>0</v>
      </c>
      <c r="R2421" s="93" t="str">
        <f t="shared" si="135"/>
        <v/>
      </c>
    </row>
    <row r="2422" spans="1:18" x14ac:dyDescent="0.2">
      <c r="A2422" s="352" t="str">
        <f>IF(B2422="","",COUNT('Diário 1º PA'!$A$4:$A$2635)+COUNT('Diário 2º PA'!$A$4:$A$3040)+ROW()-3)</f>
        <v/>
      </c>
      <c r="B2422" s="600"/>
      <c r="C2422" s="354"/>
      <c r="D2422" s="343"/>
      <c r="E2422" s="343"/>
      <c r="F2422" s="344"/>
      <c r="G2422" s="343"/>
      <c r="H2422" s="343"/>
      <c r="I2422" s="345"/>
      <c r="J2422" s="343"/>
      <c r="K2422" s="343"/>
      <c r="L2422" s="345"/>
      <c r="M2422" s="343"/>
      <c r="N2422" s="598"/>
      <c r="O2422" s="585"/>
      <c r="P2422" s="71">
        <f t="shared" si="137"/>
        <v>0</v>
      </c>
      <c r="Q2422" s="71">
        <f t="shared" si="136"/>
        <v>0</v>
      </c>
      <c r="R2422" s="93" t="str">
        <f t="shared" si="135"/>
        <v/>
      </c>
    </row>
    <row r="2423" spans="1:18" x14ac:dyDescent="0.2">
      <c r="A2423" s="352" t="str">
        <f>IF(B2423="","",COUNT('Diário 1º PA'!$A$4:$A$2635)+COUNT('Diário 2º PA'!$A$4:$A$3040)+ROW()-3)</f>
        <v/>
      </c>
      <c r="B2423" s="600"/>
      <c r="C2423" s="354"/>
      <c r="D2423" s="343"/>
      <c r="E2423" s="343"/>
      <c r="F2423" s="344"/>
      <c r="G2423" s="343"/>
      <c r="H2423" s="343"/>
      <c r="I2423" s="345"/>
      <c r="J2423" s="343"/>
      <c r="K2423" s="343"/>
      <c r="L2423" s="345"/>
      <c r="M2423" s="343"/>
      <c r="N2423" s="598"/>
      <c r="O2423" s="585"/>
      <c r="P2423" s="71">
        <f t="shared" si="137"/>
        <v>0</v>
      </c>
      <c r="Q2423" s="71">
        <f t="shared" si="136"/>
        <v>0</v>
      </c>
      <c r="R2423" s="93" t="str">
        <f t="shared" si="135"/>
        <v/>
      </c>
    </row>
    <row r="2424" spans="1:18" x14ac:dyDescent="0.2">
      <c r="A2424" s="352" t="str">
        <f>IF(B2424="","",COUNT('Diário 1º PA'!$A$4:$A$2635)+COUNT('Diário 2º PA'!$A$4:$A$3040)+ROW()-3)</f>
        <v/>
      </c>
      <c r="B2424" s="600"/>
      <c r="C2424" s="354"/>
      <c r="D2424" s="343"/>
      <c r="E2424" s="343"/>
      <c r="F2424" s="344"/>
      <c r="G2424" s="343"/>
      <c r="H2424" s="343"/>
      <c r="I2424" s="345"/>
      <c r="J2424" s="343"/>
      <c r="K2424" s="343"/>
      <c r="L2424" s="345"/>
      <c r="M2424" s="343"/>
      <c r="N2424" s="598"/>
      <c r="O2424" s="585"/>
      <c r="P2424" s="71">
        <f t="shared" si="137"/>
        <v>0</v>
      </c>
      <c r="Q2424" s="71">
        <f t="shared" si="136"/>
        <v>0</v>
      </c>
      <c r="R2424" s="93" t="str">
        <f t="shared" si="135"/>
        <v/>
      </c>
    </row>
    <row r="2425" spans="1:18" x14ac:dyDescent="0.2">
      <c r="A2425" s="352" t="str">
        <f>IF(B2425="","",COUNT('Diário 1º PA'!$A$4:$A$2635)+COUNT('Diário 2º PA'!$A$4:$A$3040)+ROW()-3)</f>
        <v/>
      </c>
      <c r="B2425" s="600"/>
      <c r="C2425" s="354"/>
      <c r="D2425" s="343"/>
      <c r="E2425" s="343"/>
      <c r="F2425" s="344"/>
      <c r="G2425" s="343"/>
      <c r="H2425" s="343"/>
      <c r="I2425" s="345"/>
      <c r="J2425" s="343"/>
      <c r="K2425" s="343"/>
      <c r="L2425" s="345"/>
      <c r="M2425" s="343"/>
      <c r="N2425" s="598"/>
      <c r="O2425" s="585"/>
      <c r="P2425" s="71">
        <f t="shared" si="137"/>
        <v>0</v>
      </c>
      <c r="Q2425" s="71">
        <f t="shared" si="136"/>
        <v>0</v>
      </c>
      <c r="R2425" s="93" t="str">
        <f t="shared" si="135"/>
        <v/>
      </c>
    </row>
    <row r="2426" spans="1:18" x14ac:dyDescent="0.2">
      <c r="A2426" s="352" t="str">
        <f>IF(B2426="","",COUNT('Diário 1º PA'!$A$4:$A$2635)+COUNT('Diário 2º PA'!$A$4:$A$3040)+ROW()-3)</f>
        <v/>
      </c>
      <c r="B2426" s="600"/>
      <c r="C2426" s="354"/>
      <c r="D2426" s="343"/>
      <c r="E2426" s="343"/>
      <c r="F2426" s="344"/>
      <c r="G2426" s="343"/>
      <c r="H2426" s="343"/>
      <c r="I2426" s="345"/>
      <c r="J2426" s="343"/>
      <c r="K2426" s="343"/>
      <c r="L2426" s="345"/>
      <c r="M2426" s="343"/>
      <c r="N2426" s="598"/>
      <c r="O2426" s="585"/>
      <c r="P2426" s="71">
        <f t="shared" si="137"/>
        <v>0</v>
      </c>
      <c r="Q2426" s="71">
        <f t="shared" si="136"/>
        <v>0</v>
      </c>
      <c r="R2426" s="93" t="str">
        <f t="shared" si="135"/>
        <v/>
      </c>
    </row>
    <row r="2427" spans="1:18" x14ac:dyDescent="0.2">
      <c r="A2427" s="352" t="str">
        <f>IF(B2427="","",COUNT('Diário 1º PA'!$A$4:$A$2635)+COUNT('Diário 2º PA'!$A$4:$A$3040)+ROW()-3)</f>
        <v/>
      </c>
      <c r="B2427" s="600"/>
      <c r="C2427" s="354"/>
      <c r="D2427" s="343"/>
      <c r="E2427" s="343"/>
      <c r="F2427" s="344"/>
      <c r="G2427" s="343"/>
      <c r="H2427" s="343"/>
      <c r="I2427" s="345"/>
      <c r="J2427" s="343"/>
      <c r="K2427" s="343"/>
      <c r="L2427" s="345"/>
      <c r="M2427" s="343"/>
      <c r="N2427" s="598"/>
      <c r="O2427" s="585"/>
      <c r="P2427" s="71">
        <f t="shared" si="137"/>
        <v>0</v>
      </c>
      <c r="Q2427" s="71">
        <f t="shared" si="136"/>
        <v>0</v>
      </c>
      <c r="R2427" s="93" t="str">
        <f t="shared" si="135"/>
        <v/>
      </c>
    </row>
    <row r="2428" spans="1:18" x14ac:dyDescent="0.2">
      <c r="A2428" s="352" t="str">
        <f>IF(B2428="","",COUNT('Diário 1º PA'!$A$4:$A$2635)+COUNT('Diário 2º PA'!$A$4:$A$3040)+ROW()-3)</f>
        <v/>
      </c>
      <c r="B2428" s="600"/>
      <c r="C2428" s="354"/>
      <c r="D2428" s="343"/>
      <c r="E2428" s="343"/>
      <c r="F2428" s="344"/>
      <c r="G2428" s="343"/>
      <c r="H2428" s="343"/>
      <c r="I2428" s="345"/>
      <c r="J2428" s="343"/>
      <c r="K2428" s="343"/>
      <c r="L2428" s="345"/>
      <c r="M2428" s="343"/>
      <c r="N2428" s="598"/>
      <c r="O2428" s="585"/>
      <c r="P2428" s="71">
        <f t="shared" si="137"/>
        <v>0</v>
      </c>
      <c r="Q2428" s="71">
        <f t="shared" si="136"/>
        <v>0</v>
      </c>
      <c r="R2428" s="93" t="str">
        <f t="shared" si="135"/>
        <v/>
      </c>
    </row>
    <row r="2429" spans="1:18" x14ac:dyDescent="0.2">
      <c r="A2429" s="352" t="str">
        <f>IF(B2429="","",COUNT('Diário 1º PA'!$A$4:$A$2635)+COUNT('Diário 2º PA'!$A$4:$A$3040)+ROW()-3)</f>
        <v/>
      </c>
      <c r="B2429" s="600"/>
      <c r="C2429" s="354"/>
      <c r="D2429" s="343"/>
      <c r="E2429" s="343"/>
      <c r="F2429" s="344"/>
      <c r="G2429" s="343"/>
      <c r="H2429" s="343"/>
      <c r="I2429" s="345"/>
      <c r="J2429" s="343"/>
      <c r="K2429" s="343"/>
      <c r="L2429" s="345"/>
      <c r="M2429" s="343"/>
      <c r="N2429" s="598"/>
      <c r="O2429" s="585"/>
      <c r="P2429" s="71">
        <f t="shared" si="137"/>
        <v>0</v>
      </c>
      <c r="Q2429" s="71">
        <f t="shared" si="136"/>
        <v>0</v>
      </c>
      <c r="R2429" s="93" t="str">
        <f t="shared" si="135"/>
        <v/>
      </c>
    </row>
    <row r="2430" spans="1:18" x14ac:dyDescent="0.2">
      <c r="A2430" s="352" t="str">
        <f>IF(B2430="","",COUNT('Diário 1º PA'!$A$4:$A$2635)+COUNT('Diário 2º PA'!$A$4:$A$3040)+ROW()-3)</f>
        <v/>
      </c>
      <c r="B2430" s="600"/>
      <c r="C2430" s="354"/>
      <c r="D2430" s="343"/>
      <c r="E2430" s="343"/>
      <c r="F2430" s="344"/>
      <c r="G2430" s="343"/>
      <c r="H2430" s="343"/>
      <c r="I2430" s="345"/>
      <c r="J2430" s="343"/>
      <c r="K2430" s="343"/>
      <c r="L2430" s="345"/>
      <c r="M2430" s="343"/>
      <c r="N2430" s="598"/>
      <c r="O2430" s="585"/>
      <c r="P2430" s="71">
        <f t="shared" si="137"/>
        <v>0</v>
      </c>
      <c r="Q2430" s="71">
        <f t="shared" si="136"/>
        <v>0</v>
      </c>
      <c r="R2430" s="93" t="str">
        <f t="shared" si="135"/>
        <v/>
      </c>
    </row>
    <row r="2431" spans="1:18" x14ac:dyDescent="0.2">
      <c r="A2431" s="352" t="str">
        <f>IF(B2431="","",COUNT('Diário 1º PA'!$A$4:$A$2635)+COUNT('Diário 2º PA'!$A$4:$A$3040)+ROW()-3)</f>
        <v/>
      </c>
      <c r="B2431" s="600"/>
      <c r="C2431" s="354"/>
      <c r="D2431" s="343"/>
      <c r="E2431" s="343"/>
      <c r="F2431" s="344"/>
      <c r="G2431" s="343"/>
      <c r="H2431" s="343"/>
      <c r="I2431" s="345"/>
      <c r="J2431" s="343"/>
      <c r="K2431" s="343"/>
      <c r="L2431" s="345"/>
      <c r="M2431" s="343"/>
      <c r="N2431" s="598"/>
      <c r="O2431" s="585"/>
      <c r="P2431" s="71">
        <f t="shared" si="137"/>
        <v>0</v>
      </c>
      <c r="Q2431" s="71">
        <f t="shared" si="136"/>
        <v>0</v>
      </c>
      <c r="R2431" s="93" t="str">
        <f t="shared" si="135"/>
        <v/>
      </c>
    </row>
    <row r="2432" spans="1:18" x14ac:dyDescent="0.2">
      <c r="A2432" s="352" t="str">
        <f>IF(B2432="","",COUNT('Diário 1º PA'!$A$4:$A$2635)+COUNT('Diário 2º PA'!$A$4:$A$3040)+ROW()-3)</f>
        <v/>
      </c>
      <c r="B2432" s="600"/>
      <c r="C2432" s="354"/>
      <c r="D2432" s="343"/>
      <c r="E2432" s="343"/>
      <c r="F2432" s="344"/>
      <c r="G2432" s="343"/>
      <c r="H2432" s="343"/>
      <c r="I2432" s="345"/>
      <c r="J2432" s="343"/>
      <c r="K2432" s="343"/>
      <c r="L2432" s="345"/>
      <c r="M2432" s="343"/>
      <c r="N2432" s="598"/>
      <c r="O2432" s="585"/>
      <c r="P2432" s="71">
        <f t="shared" si="137"/>
        <v>0</v>
      </c>
      <c r="Q2432" s="71">
        <f t="shared" si="136"/>
        <v>0</v>
      </c>
      <c r="R2432" s="93" t="str">
        <f t="shared" si="135"/>
        <v/>
      </c>
    </row>
    <row r="2433" spans="1:18" x14ac:dyDescent="0.2">
      <c r="A2433" s="352" t="str">
        <f>IF(B2433="","",COUNT('Diário 1º PA'!$A$4:$A$2635)+COUNT('Diário 2º PA'!$A$4:$A$3040)+ROW()-3)</f>
        <v/>
      </c>
      <c r="B2433" s="600"/>
      <c r="C2433" s="354"/>
      <c r="D2433" s="343"/>
      <c r="E2433" s="343"/>
      <c r="F2433" s="344"/>
      <c r="G2433" s="343"/>
      <c r="H2433" s="343"/>
      <c r="I2433" s="345"/>
      <c r="J2433" s="343"/>
      <c r="K2433" s="343"/>
      <c r="L2433" s="345"/>
      <c r="M2433" s="343"/>
      <c r="N2433" s="598"/>
      <c r="O2433" s="585"/>
      <c r="P2433" s="71">
        <f t="shared" si="137"/>
        <v>0</v>
      </c>
      <c r="Q2433" s="71">
        <f t="shared" si="136"/>
        <v>0</v>
      </c>
      <c r="R2433" s="93" t="str">
        <f t="shared" si="135"/>
        <v/>
      </c>
    </row>
    <row r="2434" spans="1:18" x14ac:dyDescent="0.2">
      <c r="A2434" s="352" t="str">
        <f>IF(B2434="","",COUNT('Diário 1º PA'!$A$4:$A$2635)+COUNT('Diário 2º PA'!$A$4:$A$3040)+ROW()-3)</f>
        <v/>
      </c>
      <c r="B2434" s="600"/>
      <c r="C2434" s="354"/>
      <c r="D2434" s="343"/>
      <c r="E2434" s="343"/>
      <c r="F2434" s="344"/>
      <c r="G2434" s="343"/>
      <c r="H2434" s="343"/>
      <c r="I2434" s="345"/>
      <c r="J2434" s="343"/>
      <c r="K2434" s="343"/>
      <c r="L2434" s="345"/>
      <c r="M2434" s="343"/>
      <c r="N2434" s="598"/>
      <c r="O2434" s="585"/>
      <c r="P2434" s="71">
        <f t="shared" si="137"/>
        <v>0</v>
      </c>
      <c r="Q2434" s="71">
        <f t="shared" si="136"/>
        <v>0</v>
      </c>
      <c r="R2434" s="93" t="str">
        <f t="shared" si="135"/>
        <v/>
      </c>
    </row>
    <row r="2435" spans="1:18" x14ac:dyDescent="0.2">
      <c r="A2435" s="352" t="str">
        <f>IF(B2435="","",COUNT('Diário 1º PA'!$A$4:$A$2635)+COUNT('Diário 2º PA'!$A$4:$A$3040)+ROW()-3)</f>
        <v/>
      </c>
      <c r="B2435" s="600"/>
      <c r="C2435" s="354"/>
      <c r="D2435" s="343"/>
      <c r="E2435" s="343"/>
      <c r="F2435" s="344"/>
      <c r="G2435" s="343"/>
      <c r="H2435" s="343"/>
      <c r="I2435" s="345"/>
      <c r="J2435" s="343"/>
      <c r="K2435" s="343"/>
      <c r="L2435" s="345"/>
      <c r="M2435" s="343"/>
      <c r="N2435" s="598"/>
      <c r="O2435" s="585"/>
      <c r="P2435" s="71">
        <f t="shared" si="137"/>
        <v>0</v>
      </c>
      <c r="Q2435" s="71">
        <f t="shared" si="136"/>
        <v>0</v>
      </c>
      <c r="R2435" s="93" t="str">
        <f t="shared" si="135"/>
        <v/>
      </c>
    </row>
    <row r="2436" spans="1:18" x14ac:dyDescent="0.2">
      <c r="A2436" s="352" t="str">
        <f>IF(B2436="","",COUNT('Diário 1º PA'!$A$4:$A$2635)+COUNT('Diário 2º PA'!$A$4:$A$3040)+ROW()-3)</f>
        <v/>
      </c>
      <c r="B2436" s="600"/>
      <c r="C2436" s="354"/>
      <c r="D2436" s="343"/>
      <c r="E2436" s="343"/>
      <c r="F2436" s="344"/>
      <c r="G2436" s="343"/>
      <c r="H2436" s="343"/>
      <c r="I2436" s="345"/>
      <c r="J2436" s="343"/>
      <c r="K2436" s="343"/>
      <c r="L2436" s="345"/>
      <c r="M2436" s="343"/>
      <c r="N2436" s="598"/>
      <c r="O2436" s="585"/>
      <c r="P2436" s="71">
        <f t="shared" si="137"/>
        <v>0</v>
      </c>
      <c r="Q2436" s="71">
        <f t="shared" si="136"/>
        <v>0</v>
      </c>
      <c r="R2436" s="93" t="str">
        <f t="shared" ref="R2436:R2499" si="138">SUBSTITUTE(D2436," ","_")</f>
        <v/>
      </c>
    </row>
    <row r="2437" spans="1:18" x14ac:dyDescent="0.2">
      <c r="A2437" s="352" t="str">
        <f>IF(B2437="","",COUNT('Diário 1º PA'!$A$4:$A$2635)+COUNT('Diário 2º PA'!$A$4:$A$3040)+ROW()-3)</f>
        <v/>
      </c>
      <c r="B2437" s="600"/>
      <c r="C2437" s="354"/>
      <c r="D2437" s="343"/>
      <c r="E2437" s="343"/>
      <c r="F2437" s="344"/>
      <c r="G2437" s="343"/>
      <c r="H2437" s="343"/>
      <c r="I2437" s="345"/>
      <c r="J2437" s="343"/>
      <c r="K2437" s="343"/>
      <c r="L2437" s="345"/>
      <c r="M2437" s="343"/>
      <c r="N2437" s="598"/>
      <c r="O2437" s="585"/>
      <c r="P2437" s="71">
        <f t="shared" si="137"/>
        <v>0</v>
      </c>
      <c r="Q2437" s="71">
        <f t="shared" si="136"/>
        <v>0</v>
      </c>
      <c r="R2437" s="93" t="str">
        <f t="shared" si="138"/>
        <v/>
      </c>
    </row>
    <row r="2438" spans="1:18" x14ac:dyDescent="0.2">
      <c r="A2438" s="352" t="str">
        <f>IF(B2438="","",COUNT('Diário 1º PA'!$A$4:$A$2635)+COUNT('Diário 2º PA'!$A$4:$A$3040)+ROW()-3)</f>
        <v/>
      </c>
      <c r="B2438" s="600"/>
      <c r="C2438" s="354"/>
      <c r="D2438" s="343"/>
      <c r="E2438" s="343"/>
      <c r="F2438" s="344"/>
      <c r="G2438" s="343"/>
      <c r="H2438" s="343"/>
      <c r="I2438" s="345"/>
      <c r="J2438" s="343"/>
      <c r="K2438" s="343"/>
      <c r="L2438" s="345"/>
      <c r="M2438" s="343"/>
      <c r="N2438" s="598"/>
      <c r="O2438" s="585"/>
      <c r="P2438" s="71">
        <f t="shared" si="137"/>
        <v>0</v>
      </c>
      <c r="Q2438" s="71">
        <f t="shared" si="136"/>
        <v>0</v>
      </c>
      <c r="R2438" s="93" t="str">
        <f t="shared" si="138"/>
        <v/>
      </c>
    </row>
    <row r="2439" spans="1:18" x14ac:dyDescent="0.2">
      <c r="A2439" s="352" t="str">
        <f>IF(B2439="","",COUNT('Diário 1º PA'!$A$4:$A$2635)+COUNT('Diário 2º PA'!$A$4:$A$3040)+ROW()-3)</f>
        <v/>
      </c>
      <c r="B2439" s="600"/>
      <c r="C2439" s="354"/>
      <c r="D2439" s="343"/>
      <c r="E2439" s="343"/>
      <c r="F2439" s="344"/>
      <c r="G2439" s="343"/>
      <c r="H2439" s="343"/>
      <c r="I2439" s="345"/>
      <c r="J2439" s="343"/>
      <c r="K2439" s="343"/>
      <c r="L2439" s="345"/>
      <c r="M2439" s="343"/>
      <c r="N2439" s="598"/>
      <c r="O2439" s="585"/>
      <c r="P2439" s="71">
        <f t="shared" si="137"/>
        <v>0</v>
      </c>
      <c r="Q2439" s="71">
        <f t="shared" si="136"/>
        <v>0</v>
      </c>
      <c r="R2439" s="93" t="str">
        <f t="shared" si="138"/>
        <v/>
      </c>
    </row>
    <row r="2440" spans="1:18" x14ac:dyDescent="0.2">
      <c r="A2440" s="352" t="str">
        <f>IF(B2440="","",COUNT('Diário 1º PA'!$A$4:$A$2635)+COUNT('Diário 2º PA'!$A$4:$A$3040)+ROW()-3)</f>
        <v/>
      </c>
      <c r="B2440" s="600"/>
      <c r="C2440" s="354"/>
      <c r="D2440" s="343"/>
      <c r="E2440" s="343"/>
      <c r="F2440" s="344"/>
      <c r="G2440" s="343"/>
      <c r="H2440" s="343"/>
      <c r="I2440" s="345"/>
      <c r="J2440" s="343"/>
      <c r="K2440" s="343"/>
      <c r="L2440" s="345"/>
      <c r="M2440" s="343"/>
      <c r="N2440" s="598"/>
      <c r="O2440" s="585"/>
      <c r="P2440" s="71">
        <f t="shared" si="137"/>
        <v>0</v>
      </c>
      <c r="Q2440" s="71">
        <f t="shared" si="136"/>
        <v>0</v>
      </c>
      <c r="R2440" s="93" t="str">
        <f t="shared" si="138"/>
        <v/>
      </c>
    </row>
    <row r="2441" spans="1:18" x14ac:dyDescent="0.2">
      <c r="A2441" s="352" t="str">
        <f>IF(B2441="","",COUNT('Diário 1º PA'!$A$4:$A$2635)+COUNT('Diário 2º PA'!$A$4:$A$3040)+ROW()-3)</f>
        <v/>
      </c>
      <c r="B2441" s="600"/>
      <c r="C2441" s="354"/>
      <c r="D2441" s="343"/>
      <c r="E2441" s="343"/>
      <c r="F2441" s="344"/>
      <c r="G2441" s="343"/>
      <c r="H2441" s="343"/>
      <c r="I2441" s="345"/>
      <c r="J2441" s="343"/>
      <c r="K2441" s="343"/>
      <c r="L2441" s="345"/>
      <c r="M2441" s="343"/>
      <c r="N2441" s="598"/>
      <c r="O2441" s="585"/>
      <c r="P2441" s="71">
        <f t="shared" si="137"/>
        <v>0</v>
      </c>
      <c r="Q2441" s="71">
        <f t="shared" si="136"/>
        <v>0</v>
      </c>
      <c r="R2441" s="93" t="str">
        <f t="shared" si="138"/>
        <v/>
      </c>
    </row>
    <row r="2442" spans="1:18" x14ac:dyDescent="0.2">
      <c r="A2442" s="352" t="str">
        <f>IF(B2442="","",COUNT('Diário 1º PA'!$A$4:$A$2635)+COUNT('Diário 2º PA'!$A$4:$A$3040)+ROW()-3)</f>
        <v/>
      </c>
      <c r="B2442" s="600"/>
      <c r="C2442" s="354"/>
      <c r="D2442" s="343"/>
      <c r="E2442" s="343"/>
      <c r="F2442" s="344"/>
      <c r="G2442" s="343"/>
      <c r="H2442" s="343"/>
      <c r="I2442" s="345"/>
      <c r="J2442" s="343"/>
      <c r="K2442" s="343"/>
      <c r="L2442" s="345"/>
      <c r="M2442" s="343"/>
      <c r="N2442" s="598"/>
      <c r="O2442" s="585"/>
      <c r="P2442" s="71">
        <f t="shared" si="137"/>
        <v>0</v>
      </c>
      <c r="Q2442" s="71">
        <f t="shared" si="136"/>
        <v>0</v>
      </c>
      <c r="R2442" s="93" t="str">
        <f t="shared" si="138"/>
        <v/>
      </c>
    </row>
    <row r="2443" spans="1:18" x14ac:dyDescent="0.2">
      <c r="A2443" s="352" t="str">
        <f>IF(B2443="","",COUNT('Diário 1º PA'!$A$4:$A$2635)+COUNT('Diário 2º PA'!$A$4:$A$3040)+ROW()-3)</f>
        <v/>
      </c>
      <c r="B2443" s="600"/>
      <c r="C2443" s="354"/>
      <c r="D2443" s="343"/>
      <c r="E2443" s="343"/>
      <c r="F2443" s="344"/>
      <c r="G2443" s="343"/>
      <c r="H2443" s="343"/>
      <c r="I2443" s="345"/>
      <c r="J2443" s="343"/>
      <c r="K2443" s="343"/>
      <c r="L2443" s="345"/>
      <c r="M2443" s="343"/>
      <c r="N2443" s="598"/>
      <c r="O2443" s="585"/>
      <c r="P2443" s="71">
        <f t="shared" si="137"/>
        <v>0</v>
      </c>
      <c r="Q2443" s="71">
        <f t="shared" si="136"/>
        <v>0</v>
      </c>
      <c r="R2443" s="93" t="str">
        <f t="shared" si="138"/>
        <v/>
      </c>
    </row>
    <row r="2444" spans="1:18" x14ac:dyDescent="0.2">
      <c r="A2444" s="352" t="str">
        <f>IF(B2444="","",COUNT('Diário 1º PA'!$A$4:$A$2635)+COUNT('Diário 2º PA'!$A$4:$A$3040)+ROW()-3)</f>
        <v/>
      </c>
      <c r="B2444" s="600"/>
      <c r="C2444" s="354"/>
      <c r="D2444" s="343"/>
      <c r="E2444" s="343"/>
      <c r="F2444" s="344"/>
      <c r="G2444" s="343"/>
      <c r="H2444" s="343"/>
      <c r="I2444" s="345"/>
      <c r="J2444" s="343"/>
      <c r="K2444" s="343"/>
      <c r="L2444" s="345"/>
      <c r="M2444" s="343"/>
      <c r="N2444" s="598"/>
      <c r="O2444" s="585"/>
      <c r="P2444" s="71">
        <f t="shared" si="137"/>
        <v>0</v>
      </c>
      <c r="Q2444" s="71">
        <f t="shared" si="136"/>
        <v>0</v>
      </c>
      <c r="R2444" s="93" t="str">
        <f t="shared" si="138"/>
        <v/>
      </c>
    </row>
    <row r="2445" spans="1:18" x14ac:dyDescent="0.2">
      <c r="A2445" s="352" t="str">
        <f>IF(B2445="","",COUNT('Diário 1º PA'!$A$4:$A$2635)+COUNT('Diário 2º PA'!$A$4:$A$3040)+ROW()-3)</f>
        <v/>
      </c>
      <c r="B2445" s="600"/>
      <c r="C2445" s="354"/>
      <c r="D2445" s="343"/>
      <c r="E2445" s="343"/>
      <c r="F2445" s="344"/>
      <c r="G2445" s="343"/>
      <c r="H2445" s="343"/>
      <c r="I2445" s="345"/>
      <c r="J2445" s="343"/>
      <c r="K2445" s="343"/>
      <c r="L2445" s="345"/>
      <c r="M2445" s="343"/>
      <c r="N2445" s="598"/>
      <c r="O2445" s="585"/>
      <c r="P2445" s="71">
        <f t="shared" si="137"/>
        <v>0</v>
      </c>
      <c r="Q2445" s="71">
        <f t="shared" si="136"/>
        <v>0</v>
      </c>
      <c r="R2445" s="93" t="str">
        <f t="shared" si="138"/>
        <v/>
      </c>
    </row>
    <row r="2446" spans="1:18" x14ac:dyDescent="0.2">
      <c r="A2446" s="352" t="str">
        <f>IF(B2446="","",COUNT('Diário 1º PA'!$A$4:$A$2635)+COUNT('Diário 2º PA'!$A$4:$A$3040)+ROW()-3)</f>
        <v/>
      </c>
      <c r="B2446" s="600"/>
      <c r="C2446" s="354"/>
      <c r="D2446" s="343"/>
      <c r="E2446" s="343"/>
      <c r="F2446" s="344"/>
      <c r="G2446" s="343"/>
      <c r="H2446" s="343"/>
      <c r="I2446" s="345"/>
      <c r="J2446" s="343"/>
      <c r="K2446" s="343"/>
      <c r="L2446" s="345"/>
      <c r="M2446" s="343"/>
      <c r="N2446" s="598"/>
      <c r="O2446" s="585"/>
      <c r="P2446" s="71">
        <f t="shared" si="137"/>
        <v>0</v>
      </c>
      <c r="Q2446" s="71">
        <f t="shared" si="136"/>
        <v>0</v>
      </c>
      <c r="R2446" s="93" t="str">
        <f t="shared" si="138"/>
        <v/>
      </c>
    </row>
    <row r="2447" spans="1:18" x14ac:dyDescent="0.2">
      <c r="A2447" s="352" t="str">
        <f>IF(B2447="","",COUNT('Diário 1º PA'!$A$4:$A$2635)+COUNT('Diário 2º PA'!$A$4:$A$3040)+ROW()-3)</f>
        <v/>
      </c>
      <c r="B2447" s="600"/>
      <c r="C2447" s="354"/>
      <c r="D2447" s="343"/>
      <c r="E2447" s="343"/>
      <c r="F2447" s="344"/>
      <c r="G2447" s="343"/>
      <c r="H2447" s="343"/>
      <c r="I2447" s="345"/>
      <c r="J2447" s="343"/>
      <c r="K2447" s="343"/>
      <c r="L2447" s="345"/>
      <c r="M2447" s="343"/>
      <c r="N2447" s="598"/>
      <c r="O2447" s="585"/>
      <c r="P2447" s="71">
        <f t="shared" si="137"/>
        <v>0</v>
      </c>
      <c r="Q2447" s="71">
        <f t="shared" ref="Q2447:Q2510" si="139">IF(C2447=0,0,IF(YEAR(C2447)=$Q$1,MONTH(C2447)-$P$1+1,(YEAR(C2447)-$Q$1)*12-$P$1+1+MONTH(C2447)))</f>
        <v>0</v>
      </c>
      <c r="R2447" s="93" t="str">
        <f t="shared" si="138"/>
        <v/>
      </c>
    </row>
    <row r="2448" spans="1:18" x14ac:dyDescent="0.2">
      <c r="A2448" s="352" t="str">
        <f>IF(B2448="","",COUNT('Diário 1º PA'!$A$4:$A$2635)+COUNT('Diário 2º PA'!$A$4:$A$3040)+ROW()-3)</f>
        <v/>
      </c>
      <c r="B2448" s="600"/>
      <c r="C2448" s="354"/>
      <c r="D2448" s="343"/>
      <c r="E2448" s="343"/>
      <c r="F2448" s="344"/>
      <c r="G2448" s="343"/>
      <c r="H2448" s="343"/>
      <c r="I2448" s="345"/>
      <c r="J2448" s="343"/>
      <c r="K2448" s="343"/>
      <c r="L2448" s="345"/>
      <c r="M2448" s="343"/>
      <c r="N2448" s="598"/>
      <c r="O2448" s="585"/>
      <c r="P2448" s="71">
        <f t="shared" si="137"/>
        <v>0</v>
      </c>
      <c r="Q2448" s="71">
        <f t="shared" si="139"/>
        <v>0</v>
      </c>
      <c r="R2448" s="93" t="str">
        <f t="shared" si="138"/>
        <v/>
      </c>
    </row>
    <row r="2449" spans="1:18" x14ac:dyDescent="0.2">
      <c r="A2449" s="352" t="str">
        <f>IF(B2449="","",COUNT('Diário 1º PA'!$A$4:$A$2635)+COUNT('Diário 2º PA'!$A$4:$A$3040)+ROW()-3)</f>
        <v/>
      </c>
      <c r="B2449" s="600"/>
      <c r="C2449" s="354"/>
      <c r="D2449" s="343"/>
      <c r="E2449" s="343"/>
      <c r="F2449" s="344"/>
      <c r="G2449" s="343"/>
      <c r="H2449" s="343"/>
      <c r="I2449" s="345"/>
      <c r="J2449" s="343"/>
      <c r="K2449" s="343"/>
      <c r="L2449" s="345"/>
      <c r="M2449" s="343"/>
      <c r="N2449" s="598"/>
      <c r="O2449" s="585"/>
      <c r="P2449" s="71">
        <f t="shared" ref="P2449:P2512" si="140">IF(B2449=0,0,IF(YEAR(B2449)=$Q$1,MONTH(B2449)-$P$1+1,(YEAR(B2449)-$Q$1)*12-$P$1+1+MONTH(B2449)))</f>
        <v>0</v>
      </c>
      <c r="Q2449" s="71">
        <f t="shared" si="139"/>
        <v>0</v>
      </c>
      <c r="R2449" s="93" t="str">
        <f t="shared" si="138"/>
        <v/>
      </c>
    </row>
    <row r="2450" spans="1:18" x14ac:dyDescent="0.2">
      <c r="A2450" s="352" t="str">
        <f>IF(B2450="","",COUNT('Diário 1º PA'!$A$4:$A$2635)+COUNT('Diário 2º PA'!$A$4:$A$3040)+ROW()-3)</f>
        <v/>
      </c>
      <c r="B2450" s="600"/>
      <c r="C2450" s="354"/>
      <c r="D2450" s="343"/>
      <c r="E2450" s="343"/>
      <c r="F2450" s="344"/>
      <c r="G2450" s="343"/>
      <c r="H2450" s="343"/>
      <c r="I2450" s="345"/>
      <c r="J2450" s="343"/>
      <c r="K2450" s="343"/>
      <c r="L2450" s="345"/>
      <c r="M2450" s="343"/>
      <c r="N2450" s="598"/>
      <c r="O2450" s="585"/>
      <c r="P2450" s="71">
        <f t="shared" si="140"/>
        <v>0</v>
      </c>
      <c r="Q2450" s="71">
        <f t="shared" si="139"/>
        <v>0</v>
      </c>
      <c r="R2450" s="93" t="str">
        <f t="shared" si="138"/>
        <v/>
      </c>
    </row>
    <row r="2451" spans="1:18" x14ac:dyDescent="0.2">
      <c r="A2451" s="352" t="str">
        <f>IF(B2451="","",COUNT('Diário 1º PA'!$A$4:$A$2635)+COUNT('Diário 2º PA'!$A$4:$A$3040)+ROW()-3)</f>
        <v/>
      </c>
      <c r="B2451" s="600"/>
      <c r="C2451" s="354"/>
      <c r="D2451" s="343"/>
      <c r="E2451" s="343"/>
      <c r="F2451" s="344"/>
      <c r="G2451" s="343"/>
      <c r="H2451" s="343"/>
      <c r="I2451" s="345"/>
      <c r="J2451" s="343"/>
      <c r="K2451" s="343"/>
      <c r="L2451" s="345"/>
      <c r="M2451" s="343"/>
      <c r="N2451" s="598"/>
      <c r="O2451" s="585"/>
      <c r="P2451" s="71">
        <f t="shared" si="140"/>
        <v>0</v>
      </c>
      <c r="Q2451" s="71">
        <f t="shared" si="139"/>
        <v>0</v>
      </c>
      <c r="R2451" s="93" t="str">
        <f t="shared" si="138"/>
        <v/>
      </c>
    </row>
    <row r="2452" spans="1:18" x14ac:dyDescent="0.2">
      <c r="A2452" s="352" t="str">
        <f>IF(B2452="","",COUNT('Diário 1º PA'!$A$4:$A$2635)+COUNT('Diário 2º PA'!$A$4:$A$3040)+ROW()-3)</f>
        <v/>
      </c>
      <c r="B2452" s="600"/>
      <c r="C2452" s="354"/>
      <c r="D2452" s="343"/>
      <c r="E2452" s="343"/>
      <c r="F2452" s="344"/>
      <c r="G2452" s="343"/>
      <c r="H2452" s="343"/>
      <c r="I2452" s="345"/>
      <c r="J2452" s="343"/>
      <c r="K2452" s="343"/>
      <c r="L2452" s="345"/>
      <c r="M2452" s="343"/>
      <c r="N2452" s="598"/>
      <c r="O2452" s="585"/>
      <c r="P2452" s="71">
        <f t="shared" si="140"/>
        <v>0</v>
      </c>
      <c r="Q2452" s="71">
        <f t="shared" si="139"/>
        <v>0</v>
      </c>
      <c r="R2452" s="93" t="str">
        <f t="shared" si="138"/>
        <v/>
      </c>
    </row>
    <row r="2453" spans="1:18" x14ac:dyDescent="0.2">
      <c r="A2453" s="352" t="str">
        <f>IF(B2453="","",COUNT('Diário 1º PA'!$A$4:$A$2635)+COUNT('Diário 2º PA'!$A$4:$A$3040)+ROW()-3)</f>
        <v/>
      </c>
      <c r="B2453" s="600"/>
      <c r="C2453" s="354"/>
      <c r="D2453" s="343"/>
      <c r="E2453" s="343"/>
      <c r="F2453" s="344"/>
      <c r="G2453" s="343"/>
      <c r="H2453" s="343"/>
      <c r="I2453" s="345"/>
      <c r="J2453" s="343"/>
      <c r="K2453" s="343"/>
      <c r="L2453" s="345"/>
      <c r="M2453" s="343"/>
      <c r="N2453" s="598"/>
      <c r="O2453" s="585"/>
      <c r="P2453" s="71">
        <f t="shared" si="140"/>
        <v>0</v>
      </c>
      <c r="Q2453" s="71">
        <f t="shared" si="139"/>
        <v>0</v>
      </c>
      <c r="R2453" s="93" t="str">
        <f t="shared" si="138"/>
        <v/>
      </c>
    </row>
    <row r="2454" spans="1:18" x14ac:dyDescent="0.2">
      <c r="A2454" s="352" t="str">
        <f>IF(B2454="","",COUNT('Diário 1º PA'!$A$4:$A$2635)+COUNT('Diário 2º PA'!$A$4:$A$3040)+ROW()-3)</f>
        <v/>
      </c>
      <c r="B2454" s="600"/>
      <c r="C2454" s="354"/>
      <c r="D2454" s="343"/>
      <c r="E2454" s="343"/>
      <c r="F2454" s="344"/>
      <c r="G2454" s="343"/>
      <c r="H2454" s="343"/>
      <c r="I2454" s="345"/>
      <c r="J2454" s="343"/>
      <c r="K2454" s="343"/>
      <c r="L2454" s="345"/>
      <c r="M2454" s="343"/>
      <c r="N2454" s="598"/>
      <c r="O2454" s="585"/>
      <c r="P2454" s="71">
        <f t="shared" si="140"/>
        <v>0</v>
      </c>
      <c r="Q2454" s="71">
        <f t="shared" si="139"/>
        <v>0</v>
      </c>
      <c r="R2454" s="93" t="str">
        <f t="shared" si="138"/>
        <v/>
      </c>
    </row>
    <row r="2455" spans="1:18" x14ac:dyDescent="0.2">
      <c r="A2455" s="352" t="str">
        <f>IF(B2455="","",COUNT('Diário 1º PA'!$A$4:$A$2635)+COUNT('Diário 2º PA'!$A$4:$A$3040)+ROW()-3)</f>
        <v/>
      </c>
      <c r="B2455" s="600"/>
      <c r="C2455" s="354"/>
      <c r="D2455" s="343"/>
      <c r="E2455" s="343"/>
      <c r="F2455" s="344"/>
      <c r="G2455" s="343"/>
      <c r="H2455" s="343"/>
      <c r="I2455" s="345"/>
      <c r="J2455" s="343"/>
      <c r="K2455" s="343"/>
      <c r="L2455" s="345"/>
      <c r="M2455" s="343"/>
      <c r="N2455" s="598"/>
      <c r="O2455" s="585"/>
      <c r="P2455" s="71">
        <f t="shared" si="140"/>
        <v>0</v>
      </c>
      <c r="Q2455" s="71">
        <f t="shared" si="139"/>
        <v>0</v>
      </c>
      <c r="R2455" s="93" t="str">
        <f t="shared" si="138"/>
        <v/>
      </c>
    </row>
    <row r="2456" spans="1:18" x14ac:dyDescent="0.2">
      <c r="A2456" s="352" t="str">
        <f>IF(B2456="","",COUNT('Diário 1º PA'!$A$4:$A$2635)+COUNT('Diário 2º PA'!$A$4:$A$3040)+ROW()-3)</f>
        <v/>
      </c>
      <c r="B2456" s="600"/>
      <c r="C2456" s="354"/>
      <c r="D2456" s="343"/>
      <c r="E2456" s="343"/>
      <c r="F2456" s="344"/>
      <c r="G2456" s="343"/>
      <c r="H2456" s="343"/>
      <c r="I2456" s="345"/>
      <c r="J2456" s="343"/>
      <c r="K2456" s="343"/>
      <c r="L2456" s="345"/>
      <c r="M2456" s="343"/>
      <c r="N2456" s="598"/>
      <c r="O2456" s="585"/>
      <c r="P2456" s="71">
        <f t="shared" si="140"/>
        <v>0</v>
      </c>
      <c r="Q2456" s="71">
        <f t="shared" si="139"/>
        <v>0</v>
      </c>
      <c r="R2456" s="93" t="str">
        <f t="shared" si="138"/>
        <v/>
      </c>
    </row>
    <row r="2457" spans="1:18" x14ac:dyDescent="0.2">
      <c r="A2457" s="352" t="str">
        <f>IF(B2457="","",COUNT('Diário 1º PA'!$A$4:$A$2635)+COUNT('Diário 2º PA'!$A$4:$A$3040)+ROW()-3)</f>
        <v/>
      </c>
      <c r="B2457" s="600"/>
      <c r="C2457" s="354"/>
      <c r="D2457" s="343"/>
      <c r="E2457" s="343"/>
      <c r="F2457" s="344"/>
      <c r="G2457" s="343"/>
      <c r="H2457" s="343"/>
      <c r="I2457" s="345"/>
      <c r="J2457" s="343"/>
      <c r="K2457" s="343"/>
      <c r="L2457" s="345"/>
      <c r="M2457" s="343"/>
      <c r="N2457" s="598"/>
      <c r="O2457" s="585"/>
      <c r="P2457" s="71">
        <f t="shared" si="140"/>
        <v>0</v>
      </c>
      <c r="Q2457" s="71">
        <f t="shared" si="139"/>
        <v>0</v>
      </c>
      <c r="R2457" s="93" t="str">
        <f t="shared" si="138"/>
        <v/>
      </c>
    </row>
    <row r="2458" spans="1:18" x14ac:dyDescent="0.2">
      <c r="A2458" s="352" t="str">
        <f>IF(B2458="","",COUNT('Diário 1º PA'!$A$4:$A$2635)+COUNT('Diário 2º PA'!$A$4:$A$3040)+ROW()-3)</f>
        <v/>
      </c>
      <c r="B2458" s="600"/>
      <c r="C2458" s="354"/>
      <c r="D2458" s="343"/>
      <c r="E2458" s="343"/>
      <c r="F2458" s="344"/>
      <c r="G2458" s="343"/>
      <c r="H2458" s="343"/>
      <c r="I2458" s="345"/>
      <c r="J2458" s="343"/>
      <c r="K2458" s="343"/>
      <c r="L2458" s="345"/>
      <c r="M2458" s="343"/>
      <c r="N2458" s="598"/>
      <c r="O2458" s="585"/>
      <c r="P2458" s="71">
        <f t="shared" si="140"/>
        <v>0</v>
      </c>
      <c r="Q2458" s="71">
        <f t="shared" si="139"/>
        <v>0</v>
      </c>
      <c r="R2458" s="93" t="str">
        <f t="shared" si="138"/>
        <v/>
      </c>
    </row>
    <row r="2459" spans="1:18" x14ac:dyDescent="0.2">
      <c r="A2459" s="352" t="str">
        <f>IF(B2459="","",COUNT('Diário 1º PA'!$A$4:$A$2635)+COUNT('Diário 2º PA'!$A$4:$A$3040)+ROW()-3)</f>
        <v/>
      </c>
      <c r="B2459" s="600"/>
      <c r="C2459" s="354"/>
      <c r="D2459" s="343"/>
      <c r="E2459" s="343"/>
      <c r="F2459" s="344"/>
      <c r="G2459" s="343"/>
      <c r="H2459" s="343"/>
      <c r="I2459" s="345"/>
      <c r="J2459" s="343"/>
      <c r="K2459" s="343"/>
      <c r="L2459" s="345"/>
      <c r="M2459" s="343"/>
      <c r="N2459" s="598"/>
      <c r="O2459" s="585"/>
      <c r="P2459" s="71">
        <f t="shared" si="140"/>
        <v>0</v>
      </c>
      <c r="Q2459" s="71">
        <f t="shared" si="139"/>
        <v>0</v>
      </c>
      <c r="R2459" s="93" t="str">
        <f t="shared" si="138"/>
        <v/>
      </c>
    </row>
    <row r="2460" spans="1:18" x14ac:dyDescent="0.2">
      <c r="A2460" s="352" t="str">
        <f>IF(B2460="","",COUNT('Diário 1º PA'!$A$4:$A$2635)+COUNT('Diário 2º PA'!$A$4:$A$3040)+ROW()-3)</f>
        <v/>
      </c>
      <c r="B2460" s="600"/>
      <c r="C2460" s="354"/>
      <c r="D2460" s="343"/>
      <c r="E2460" s="343"/>
      <c r="F2460" s="344"/>
      <c r="G2460" s="343"/>
      <c r="H2460" s="343"/>
      <c r="I2460" s="345"/>
      <c r="J2460" s="343"/>
      <c r="K2460" s="343"/>
      <c r="L2460" s="345"/>
      <c r="M2460" s="343"/>
      <c r="N2460" s="598"/>
      <c r="O2460" s="585"/>
      <c r="P2460" s="71">
        <f t="shared" si="140"/>
        <v>0</v>
      </c>
      <c r="Q2460" s="71">
        <f t="shared" si="139"/>
        <v>0</v>
      </c>
      <c r="R2460" s="93" t="str">
        <f t="shared" si="138"/>
        <v/>
      </c>
    </row>
    <row r="2461" spans="1:18" x14ac:dyDescent="0.2">
      <c r="A2461" s="352" t="str">
        <f>IF(B2461="","",COUNT('Diário 1º PA'!$A$4:$A$2635)+COUNT('Diário 2º PA'!$A$4:$A$3040)+ROW()-3)</f>
        <v/>
      </c>
      <c r="B2461" s="600"/>
      <c r="C2461" s="354"/>
      <c r="D2461" s="343"/>
      <c r="E2461" s="343"/>
      <c r="F2461" s="344"/>
      <c r="G2461" s="343"/>
      <c r="H2461" s="343"/>
      <c r="I2461" s="345"/>
      <c r="J2461" s="343"/>
      <c r="K2461" s="343"/>
      <c r="L2461" s="345"/>
      <c r="M2461" s="343"/>
      <c r="N2461" s="598"/>
      <c r="O2461" s="585"/>
      <c r="P2461" s="71">
        <f t="shared" si="140"/>
        <v>0</v>
      </c>
      <c r="Q2461" s="71">
        <f t="shared" si="139"/>
        <v>0</v>
      </c>
      <c r="R2461" s="93" t="str">
        <f t="shared" si="138"/>
        <v/>
      </c>
    </row>
    <row r="2462" spans="1:18" x14ac:dyDescent="0.2">
      <c r="A2462" s="352" t="str">
        <f>IF(B2462="","",COUNT('Diário 1º PA'!$A$4:$A$2635)+COUNT('Diário 2º PA'!$A$4:$A$3040)+ROW()-3)</f>
        <v/>
      </c>
      <c r="B2462" s="600"/>
      <c r="C2462" s="354"/>
      <c r="D2462" s="343"/>
      <c r="E2462" s="343"/>
      <c r="F2462" s="344"/>
      <c r="G2462" s="343"/>
      <c r="H2462" s="343"/>
      <c r="I2462" s="345"/>
      <c r="J2462" s="343"/>
      <c r="K2462" s="343"/>
      <c r="L2462" s="345"/>
      <c r="M2462" s="343"/>
      <c r="N2462" s="598"/>
      <c r="O2462" s="585"/>
      <c r="P2462" s="71">
        <f t="shared" si="140"/>
        <v>0</v>
      </c>
      <c r="Q2462" s="71">
        <f t="shared" si="139"/>
        <v>0</v>
      </c>
      <c r="R2462" s="93" t="str">
        <f t="shared" si="138"/>
        <v/>
      </c>
    </row>
    <row r="2463" spans="1:18" x14ac:dyDescent="0.2">
      <c r="A2463" s="352" t="str">
        <f>IF(B2463="","",COUNT('Diário 1º PA'!$A$4:$A$2635)+COUNT('Diário 2º PA'!$A$4:$A$3040)+ROW()-3)</f>
        <v/>
      </c>
      <c r="B2463" s="600"/>
      <c r="C2463" s="354"/>
      <c r="D2463" s="343"/>
      <c r="E2463" s="343"/>
      <c r="F2463" s="344"/>
      <c r="G2463" s="343"/>
      <c r="H2463" s="343"/>
      <c r="I2463" s="345"/>
      <c r="J2463" s="343"/>
      <c r="K2463" s="343"/>
      <c r="L2463" s="345"/>
      <c r="M2463" s="343"/>
      <c r="N2463" s="598"/>
      <c r="O2463" s="585"/>
      <c r="P2463" s="71">
        <f t="shared" si="140"/>
        <v>0</v>
      </c>
      <c r="Q2463" s="71">
        <f t="shared" si="139"/>
        <v>0</v>
      </c>
      <c r="R2463" s="93" t="str">
        <f t="shared" si="138"/>
        <v/>
      </c>
    </row>
    <row r="2464" spans="1:18" x14ac:dyDescent="0.2">
      <c r="A2464" s="352" t="str">
        <f>IF(B2464="","",COUNT('Diário 1º PA'!$A$4:$A$2635)+COUNT('Diário 2º PA'!$A$4:$A$3040)+ROW()-3)</f>
        <v/>
      </c>
      <c r="B2464" s="600"/>
      <c r="C2464" s="354"/>
      <c r="D2464" s="343"/>
      <c r="E2464" s="343"/>
      <c r="F2464" s="344"/>
      <c r="G2464" s="343"/>
      <c r="H2464" s="343"/>
      <c r="I2464" s="345"/>
      <c r="J2464" s="343"/>
      <c r="K2464" s="343"/>
      <c r="L2464" s="345"/>
      <c r="M2464" s="343"/>
      <c r="N2464" s="598"/>
      <c r="O2464" s="585"/>
      <c r="P2464" s="71">
        <f t="shared" si="140"/>
        <v>0</v>
      </c>
      <c r="Q2464" s="71">
        <f t="shared" si="139"/>
        <v>0</v>
      </c>
      <c r="R2464" s="93" t="str">
        <f t="shared" si="138"/>
        <v/>
      </c>
    </row>
    <row r="2465" spans="1:18" x14ac:dyDescent="0.2">
      <c r="A2465" s="352" t="str">
        <f>IF(B2465="","",COUNT('Diário 1º PA'!$A$4:$A$2635)+COUNT('Diário 2º PA'!$A$4:$A$3040)+ROW()-3)</f>
        <v/>
      </c>
      <c r="B2465" s="600"/>
      <c r="C2465" s="354"/>
      <c r="D2465" s="343"/>
      <c r="E2465" s="343"/>
      <c r="F2465" s="344"/>
      <c r="G2465" s="343"/>
      <c r="H2465" s="343"/>
      <c r="I2465" s="345"/>
      <c r="J2465" s="343"/>
      <c r="K2465" s="343"/>
      <c r="L2465" s="345"/>
      <c r="M2465" s="343"/>
      <c r="N2465" s="598"/>
      <c r="O2465" s="585"/>
      <c r="P2465" s="71">
        <f t="shared" si="140"/>
        <v>0</v>
      </c>
      <c r="Q2465" s="71">
        <f t="shared" si="139"/>
        <v>0</v>
      </c>
      <c r="R2465" s="93" t="str">
        <f t="shared" si="138"/>
        <v/>
      </c>
    </row>
    <row r="2466" spans="1:18" x14ac:dyDescent="0.2">
      <c r="A2466" s="352" t="str">
        <f>IF(B2466="","",COUNT('Diário 1º PA'!$A$4:$A$2635)+COUNT('Diário 2º PA'!$A$4:$A$3040)+ROW()-3)</f>
        <v/>
      </c>
      <c r="B2466" s="600"/>
      <c r="C2466" s="354"/>
      <c r="D2466" s="343"/>
      <c r="E2466" s="343"/>
      <c r="F2466" s="344"/>
      <c r="G2466" s="343"/>
      <c r="H2466" s="343"/>
      <c r="I2466" s="345"/>
      <c r="J2466" s="343"/>
      <c r="K2466" s="343"/>
      <c r="L2466" s="345"/>
      <c r="M2466" s="343"/>
      <c r="N2466" s="598"/>
      <c r="O2466" s="585"/>
      <c r="P2466" s="71">
        <f t="shared" si="140"/>
        <v>0</v>
      </c>
      <c r="Q2466" s="71">
        <f t="shared" si="139"/>
        <v>0</v>
      </c>
      <c r="R2466" s="93" t="str">
        <f t="shared" si="138"/>
        <v/>
      </c>
    </row>
    <row r="2467" spans="1:18" x14ac:dyDescent="0.2">
      <c r="A2467" s="352" t="str">
        <f>IF(B2467="","",COUNT('Diário 1º PA'!$A$4:$A$2635)+COUNT('Diário 2º PA'!$A$4:$A$3040)+ROW()-3)</f>
        <v/>
      </c>
      <c r="B2467" s="600"/>
      <c r="C2467" s="354"/>
      <c r="D2467" s="343"/>
      <c r="E2467" s="343"/>
      <c r="F2467" s="344"/>
      <c r="G2467" s="343"/>
      <c r="H2467" s="343"/>
      <c r="I2467" s="345"/>
      <c r="J2467" s="343"/>
      <c r="K2467" s="343"/>
      <c r="L2467" s="345"/>
      <c r="M2467" s="343"/>
      <c r="N2467" s="598"/>
      <c r="O2467" s="585"/>
      <c r="P2467" s="71">
        <f t="shared" si="140"/>
        <v>0</v>
      </c>
      <c r="Q2467" s="71">
        <f t="shared" si="139"/>
        <v>0</v>
      </c>
      <c r="R2467" s="93" t="str">
        <f t="shared" si="138"/>
        <v/>
      </c>
    </row>
    <row r="2468" spans="1:18" x14ac:dyDescent="0.2">
      <c r="A2468" s="352" t="str">
        <f>IF(B2468="","",COUNT('Diário 1º PA'!$A$4:$A$2635)+COUNT('Diário 2º PA'!$A$4:$A$3040)+ROW()-3)</f>
        <v/>
      </c>
      <c r="B2468" s="600"/>
      <c r="C2468" s="354"/>
      <c r="D2468" s="343"/>
      <c r="E2468" s="343"/>
      <c r="F2468" s="344"/>
      <c r="G2468" s="343"/>
      <c r="H2468" s="343"/>
      <c r="I2468" s="345"/>
      <c r="J2468" s="343"/>
      <c r="K2468" s="343"/>
      <c r="L2468" s="345"/>
      <c r="M2468" s="343"/>
      <c r="N2468" s="598"/>
      <c r="O2468" s="585"/>
      <c r="P2468" s="71">
        <f t="shared" si="140"/>
        <v>0</v>
      </c>
      <c r="Q2468" s="71">
        <f t="shared" si="139"/>
        <v>0</v>
      </c>
      <c r="R2468" s="93" t="str">
        <f t="shared" si="138"/>
        <v/>
      </c>
    </row>
    <row r="2469" spans="1:18" x14ac:dyDescent="0.2">
      <c r="A2469" s="352" t="str">
        <f>IF(B2469="","",COUNT('Diário 1º PA'!$A$4:$A$2635)+COUNT('Diário 2º PA'!$A$4:$A$3040)+ROW()-3)</f>
        <v/>
      </c>
      <c r="B2469" s="600"/>
      <c r="C2469" s="354"/>
      <c r="D2469" s="343"/>
      <c r="E2469" s="343"/>
      <c r="F2469" s="344"/>
      <c r="G2469" s="343"/>
      <c r="H2469" s="343"/>
      <c r="I2469" s="345"/>
      <c r="J2469" s="343"/>
      <c r="K2469" s="343"/>
      <c r="L2469" s="345"/>
      <c r="M2469" s="343"/>
      <c r="N2469" s="598"/>
      <c r="O2469" s="585"/>
      <c r="P2469" s="71">
        <f t="shared" si="140"/>
        <v>0</v>
      </c>
      <c r="Q2469" s="71">
        <f t="shared" si="139"/>
        <v>0</v>
      </c>
      <c r="R2469" s="93" t="str">
        <f t="shared" si="138"/>
        <v/>
      </c>
    </row>
    <row r="2470" spans="1:18" x14ac:dyDescent="0.2">
      <c r="A2470" s="352" t="str">
        <f>IF(B2470="","",COUNT('Diário 1º PA'!$A$4:$A$2635)+COUNT('Diário 2º PA'!$A$4:$A$3040)+ROW()-3)</f>
        <v/>
      </c>
      <c r="B2470" s="600"/>
      <c r="C2470" s="354"/>
      <c r="D2470" s="343"/>
      <c r="E2470" s="343"/>
      <c r="F2470" s="344"/>
      <c r="G2470" s="343"/>
      <c r="H2470" s="343"/>
      <c r="I2470" s="345"/>
      <c r="J2470" s="343"/>
      <c r="K2470" s="343"/>
      <c r="L2470" s="345"/>
      <c r="M2470" s="343"/>
      <c r="N2470" s="598"/>
      <c r="O2470" s="585"/>
      <c r="P2470" s="71">
        <f t="shared" si="140"/>
        <v>0</v>
      </c>
      <c r="Q2470" s="71">
        <f t="shared" si="139"/>
        <v>0</v>
      </c>
      <c r="R2470" s="93" t="str">
        <f t="shared" si="138"/>
        <v/>
      </c>
    </row>
    <row r="2471" spans="1:18" x14ac:dyDescent="0.2">
      <c r="A2471" s="352" t="str">
        <f>IF(B2471="","",COUNT('Diário 1º PA'!$A$4:$A$2635)+COUNT('Diário 2º PA'!$A$4:$A$3040)+ROW()-3)</f>
        <v/>
      </c>
      <c r="B2471" s="600"/>
      <c r="C2471" s="354"/>
      <c r="D2471" s="343"/>
      <c r="E2471" s="343"/>
      <c r="F2471" s="344"/>
      <c r="G2471" s="343"/>
      <c r="H2471" s="343"/>
      <c r="I2471" s="345"/>
      <c r="J2471" s="343"/>
      <c r="K2471" s="343"/>
      <c r="L2471" s="345"/>
      <c r="M2471" s="343"/>
      <c r="N2471" s="598"/>
      <c r="O2471" s="585"/>
      <c r="P2471" s="71">
        <f t="shared" si="140"/>
        <v>0</v>
      </c>
      <c r="Q2471" s="71">
        <f t="shared" si="139"/>
        <v>0</v>
      </c>
      <c r="R2471" s="93" t="str">
        <f t="shared" si="138"/>
        <v/>
      </c>
    </row>
    <row r="2472" spans="1:18" x14ac:dyDescent="0.2">
      <c r="A2472" s="352" t="str">
        <f>IF(B2472="","",COUNT('Diário 1º PA'!$A$4:$A$2635)+COUNT('Diário 2º PA'!$A$4:$A$3040)+ROW()-3)</f>
        <v/>
      </c>
      <c r="B2472" s="600"/>
      <c r="C2472" s="354"/>
      <c r="D2472" s="343"/>
      <c r="E2472" s="343"/>
      <c r="F2472" s="344"/>
      <c r="G2472" s="343"/>
      <c r="H2472" s="343"/>
      <c r="I2472" s="345"/>
      <c r="J2472" s="343"/>
      <c r="K2472" s="343"/>
      <c r="L2472" s="345"/>
      <c r="M2472" s="343"/>
      <c r="N2472" s="598"/>
      <c r="O2472" s="585"/>
      <c r="P2472" s="71">
        <f t="shared" si="140"/>
        <v>0</v>
      </c>
      <c r="Q2472" s="71">
        <f t="shared" si="139"/>
        <v>0</v>
      </c>
      <c r="R2472" s="93" t="str">
        <f t="shared" si="138"/>
        <v/>
      </c>
    </row>
    <row r="2473" spans="1:18" x14ac:dyDescent="0.2">
      <c r="A2473" s="352" t="str">
        <f>IF(B2473="","",COUNT('Diário 1º PA'!$A$4:$A$2635)+COUNT('Diário 2º PA'!$A$4:$A$3040)+ROW()-3)</f>
        <v/>
      </c>
      <c r="B2473" s="600"/>
      <c r="C2473" s="354"/>
      <c r="D2473" s="343"/>
      <c r="E2473" s="343"/>
      <c r="F2473" s="344"/>
      <c r="G2473" s="343"/>
      <c r="H2473" s="343"/>
      <c r="I2473" s="345"/>
      <c r="J2473" s="343"/>
      <c r="K2473" s="343"/>
      <c r="L2473" s="345"/>
      <c r="M2473" s="343"/>
      <c r="N2473" s="598"/>
      <c r="O2473" s="585"/>
      <c r="P2473" s="71">
        <f t="shared" si="140"/>
        <v>0</v>
      </c>
      <c r="Q2473" s="71">
        <f t="shared" si="139"/>
        <v>0</v>
      </c>
      <c r="R2473" s="93" t="str">
        <f t="shared" si="138"/>
        <v/>
      </c>
    </row>
    <row r="2474" spans="1:18" x14ac:dyDescent="0.2">
      <c r="A2474" s="352" t="str">
        <f>IF(B2474="","",COUNT('Diário 1º PA'!$A$4:$A$2635)+COUNT('Diário 2º PA'!$A$4:$A$3040)+ROW()-3)</f>
        <v/>
      </c>
      <c r="B2474" s="600"/>
      <c r="C2474" s="354"/>
      <c r="D2474" s="343"/>
      <c r="E2474" s="343"/>
      <c r="F2474" s="344"/>
      <c r="G2474" s="343"/>
      <c r="H2474" s="343"/>
      <c r="I2474" s="345"/>
      <c r="J2474" s="343"/>
      <c r="K2474" s="343"/>
      <c r="L2474" s="345"/>
      <c r="M2474" s="343"/>
      <c r="N2474" s="598"/>
      <c r="O2474" s="585"/>
      <c r="P2474" s="71">
        <f t="shared" si="140"/>
        <v>0</v>
      </c>
      <c r="Q2474" s="71">
        <f t="shared" si="139"/>
        <v>0</v>
      </c>
      <c r="R2474" s="93" t="str">
        <f t="shared" si="138"/>
        <v/>
      </c>
    </row>
    <row r="2475" spans="1:18" x14ac:dyDescent="0.2">
      <c r="A2475" s="352" t="str">
        <f>IF(B2475="","",COUNT('Diário 1º PA'!$A$4:$A$2635)+COUNT('Diário 2º PA'!$A$4:$A$3040)+ROW()-3)</f>
        <v/>
      </c>
      <c r="B2475" s="600"/>
      <c r="C2475" s="354"/>
      <c r="D2475" s="343"/>
      <c r="E2475" s="343"/>
      <c r="F2475" s="344"/>
      <c r="G2475" s="343"/>
      <c r="H2475" s="343"/>
      <c r="I2475" s="345"/>
      <c r="J2475" s="343"/>
      <c r="K2475" s="343"/>
      <c r="L2475" s="345"/>
      <c r="M2475" s="343"/>
      <c r="N2475" s="598"/>
      <c r="O2475" s="585"/>
      <c r="P2475" s="71">
        <f t="shared" si="140"/>
        <v>0</v>
      </c>
      <c r="Q2475" s="71">
        <f t="shared" si="139"/>
        <v>0</v>
      </c>
      <c r="R2475" s="93" t="str">
        <f t="shared" si="138"/>
        <v/>
      </c>
    </row>
    <row r="2476" spans="1:18" x14ac:dyDescent="0.2">
      <c r="A2476" s="352" t="str">
        <f>IF(B2476="","",COUNT('Diário 1º PA'!$A$4:$A$2635)+COUNT('Diário 2º PA'!$A$4:$A$3040)+ROW()-3)</f>
        <v/>
      </c>
      <c r="B2476" s="600"/>
      <c r="C2476" s="354"/>
      <c r="D2476" s="343"/>
      <c r="E2476" s="343"/>
      <c r="F2476" s="344"/>
      <c r="G2476" s="343"/>
      <c r="H2476" s="343"/>
      <c r="I2476" s="345"/>
      <c r="J2476" s="343"/>
      <c r="K2476" s="343"/>
      <c r="L2476" s="345"/>
      <c r="M2476" s="343"/>
      <c r="N2476" s="598"/>
      <c r="O2476" s="585"/>
      <c r="P2476" s="71">
        <f t="shared" si="140"/>
        <v>0</v>
      </c>
      <c r="Q2476" s="71">
        <f t="shared" si="139"/>
        <v>0</v>
      </c>
      <c r="R2476" s="93" t="str">
        <f t="shared" si="138"/>
        <v/>
      </c>
    </row>
    <row r="2477" spans="1:18" x14ac:dyDescent="0.2">
      <c r="A2477" s="352" t="str">
        <f>IF(B2477="","",COUNT('Diário 1º PA'!$A$4:$A$2635)+COUNT('Diário 2º PA'!$A$4:$A$3040)+ROW()-3)</f>
        <v/>
      </c>
      <c r="B2477" s="600"/>
      <c r="C2477" s="354"/>
      <c r="D2477" s="343"/>
      <c r="E2477" s="343"/>
      <c r="F2477" s="344"/>
      <c r="G2477" s="343"/>
      <c r="H2477" s="343"/>
      <c r="I2477" s="345"/>
      <c r="J2477" s="343"/>
      <c r="K2477" s="343"/>
      <c r="L2477" s="345"/>
      <c r="M2477" s="343"/>
      <c r="N2477" s="598"/>
      <c r="O2477" s="585"/>
      <c r="P2477" s="71">
        <f t="shared" si="140"/>
        <v>0</v>
      </c>
      <c r="Q2477" s="71">
        <f t="shared" si="139"/>
        <v>0</v>
      </c>
      <c r="R2477" s="93" t="str">
        <f t="shared" si="138"/>
        <v/>
      </c>
    </row>
    <row r="2478" spans="1:18" x14ac:dyDescent="0.2">
      <c r="A2478" s="352" t="str">
        <f>IF(B2478="","",COUNT('Diário 1º PA'!$A$4:$A$2635)+COUNT('Diário 2º PA'!$A$4:$A$3040)+ROW()-3)</f>
        <v/>
      </c>
      <c r="B2478" s="600"/>
      <c r="C2478" s="354"/>
      <c r="D2478" s="343"/>
      <c r="E2478" s="343"/>
      <c r="F2478" s="344"/>
      <c r="G2478" s="343"/>
      <c r="H2478" s="343"/>
      <c r="I2478" s="345"/>
      <c r="J2478" s="343"/>
      <c r="K2478" s="343"/>
      <c r="L2478" s="345"/>
      <c r="M2478" s="343"/>
      <c r="N2478" s="598"/>
      <c r="O2478" s="585"/>
      <c r="P2478" s="71">
        <f t="shared" si="140"/>
        <v>0</v>
      </c>
      <c r="Q2478" s="71">
        <f t="shared" si="139"/>
        <v>0</v>
      </c>
      <c r="R2478" s="93" t="str">
        <f t="shared" si="138"/>
        <v/>
      </c>
    </row>
    <row r="2479" spans="1:18" x14ac:dyDescent="0.2">
      <c r="A2479" s="352" t="str">
        <f>IF(B2479="","",COUNT('Diário 1º PA'!$A$4:$A$2635)+COUNT('Diário 2º PA'!$A$4:$A$3040)+ROW()-3)</f>
        <v/>
      </c>
      <c r="B2479" s="600"/>
      <c r="C2479" s="354"/>
      <c r="D2479" s="343"/>
      <c r="E2479" s="343"/>
      <c r="F2479" s="344"/>
      <c r="G2479" s="343"/>
      <c r="H2479" s="343"/>
      <c r="I2479" s="345"/>
      <c r="J2479" s="343"/>
      <c r="K2479" s="343"/>
      <c r="L2479" s="345"/>
      <c r="M2479" s="343"/>
      <c r="N2479" s="598"/>
      <c r="O2479" s="585"/>
      <c r="P2479" s="71">
        <f t="shared" si="140"/>
        <v>0</v>
      </c>
      <c r="Q2479" s="71">
        <f t="shared" si="139"/>
        <v>0</v>
      </c>
      <c r="R2479" s="93" t="str">
        <f t="shared" si="138"/>
        <v/>
      </c>
    </row>
    <row r="2480" spans="1:18" x14ac:dyDescent="0.2">
      <c r="A2480" s="352" t="str">
        <f>IF(B2480="","",COUNT('Diário 1º PA'!$A$4:$A$2635)+COUNT('Diário 2º PA'!$A$4:$A$3040)+ROW()-3)</f>
        <v/>
      </c>
      <c r="B2480" s="600"/>
      <c r="C2480" s="354"/>
      <c r="D2480" s="343"/>
      <c r="E2480" s="343"/>
      <c r="F2480" s="344"/>
      <c r="G2480" s="343"/>
      <c r="H2480" s="343"/>
      <c r="I2480" s="345"/>
      <c r="J2480" s="343"/>
      <c r="K2480" s="343"/>
      <c r="L2480" s="345"/>
      <c r="M2480" s="343"/>
      <c r="N2480" s="598"/>
      <c r="O2480" s="585"/>
      <c r="P2480" s="71">
        <f t="shared" si="140"/>
        <v>0</v>
      </c>
      <c r="Q2480" s="71">
        <f t="shared" si="139"/>
        <v>0</v>
      </c>
      <c r="R2480" s="93" t="str">
        <f t="shared" si="138"/>
        <v/>
      </c>
    </row>
    <row r="2481" spans="1:18" x14ac:dyDescent="0.2">
      <c r="A2481" s="352" t="str">
        <f>IF(B2481="","",COUNT('Diário 1º PA'!$A$4:$A$2635)+COUNT('Diário 2º PA'!$A$4:$A$3040)+ROW()-3)</f>
        <v/>
      </c>
      <c r="B2481" s="600"/>
      <c r="C2481" s="354"/>
      <c r="D2481" s="343"/>
      <c r="E2481" s="343"/>
      <c r="F2481" s="344"/>
      <c r="G2481" s="343"/>
      <c r="H2481" s="343"/>
      <c r="I2481" s="345"/>
      <c r="J2481" s="343"/>
      <c r="K2481" s="343"/>
      <c r="L2481" s="345"/>
      <c r="M2481" s="343"/>
      <c r="N2481" s="598"/>
      <c r="O2481" s="585"/>
      <c r="P2481" s="71">
        <f t="shared" si="140"/>
        <v>0</v>
      </c>
      <c r="Q2481" s="71">
        <f t="shared" si="139"/>
        <v>0</v>
      </c>
      <c r="R2481" s="93" t="str">
        <f t="shared" si="138"/>
        <v/>
      </c>
    </row>
    <row r="2482" spans="1:18" x14ac:dyDescent="0.2">
      <c r="A2482" s="352" t="str">
        <f>IF(B2482="","",COUNT('Diário 1º PA'!$A$4:$A$2635)+COUNT('Diário 2º PA'!$A$4:$A$3040)+ROW()-3)</f>
        <v/>
      </c>
      <c r="B2482" s="600"/>
      <c r="C2482" s="354"/>
      <c r="D2482" s="343"/>
      <c r="E2482" s="343"/>
      <c r="F2482" s="344"/>
      <c r="G2482" s="343"/>
      <c r="H2482" s="343"/>
      <c r="I2482" s="345"/>
      <c r="J2482" s="343"/>
      <c r="K2482" s="343"/>
      <c r="L2482" s="345"/>
      <c r="M2482" s="343"/>
      <c r="N2482" s="598"/>
      <c r="O2482" s="585"/>
      <c r="P2482" s="71">
        <f t="shared" si="140"/>
        <v>0</v>
      </c>
      <c r="Q2482" s="71">
        <f t="shared" si="139"/>
        <v>0</v>
      </c>
      <c r="R2482" s="93" t="str">
        <f t="shared" si="138"/>
        <v/>
      </c>
    </row>
    <row r="2483" spans="1:18" x14ac:dyDescent="0.2">
      <c r="A2483" s="352" t="str">
        <f>IF(B2483="","",COUNT('Diário 1º PA'!$A$4:$A$2635)+COUNT('Diário 2º PA'!$A$4:$A$3040)+ROW()-3)</f>
        <v/>
      </c>
      <c r="B2483" s="600"/>
      <c r="C2483" s="354"/>
      <c r="D2483" s="343"/>
      <c r="E2483" s="343"/>
      <c r="F2483" s="344"/>
      <c r="G2483" s="343"/>
      <c r="H2483" s="343"/>
      <c r="I2483" s="345"/>
      <c r="J2483" s="343"/>
      <c r="K2483" s="343"/>
      <c r="L2483" s="345"/>
      <c r="M2483" s="343"/>
      <c r="N2483" s="598"/>
      <c r="O2483" s="585"/>
      <c r="P2483" s="71">
        <f t="shared" si="140"/>
        <v>0</v>
      </c>
      <c r="Q2483" s="71">
        <f t="shared" si="139"/>
        <v>0</v>
      </c>
      <c r="R2483" s="93" t="str">
        <f t="shared" si="138"/>
        <v/>
      </c>
    </row>
    <row r="2484" spans="1:18" x14ac:dyDescent="0.2">
      <c r="A2484" s="352" t="str">
        <f>IF(B2484="","",COUNT('Diário 1º PA'!$A$4:$A$2635)+COUNT('Diário 2º PA'!$A$4:$A$3040)+ROW()-3)</f>
        <v/>
      </c>
      <c r="B2484" s="600"/>
      <c r="C2484" s="354"/>
      <c r="D2484" s="343"/>
      <c r="E2484" s="343"/>
      <c r="F2484" s="344"/>
      <c r="G2484" s="343"/>
      <c r="H2484" s="343"/>
      <c r="I2484" s="345"/>
      <c r="J2484" s="343"/>
      <c r="K2484" s="343"/>
      <c r="L2484" s="345"/>
      <c r="M2484" s="343"/>
      <c r="N2484" s="598"/>
      <c r="O2484" s="585"/>
      <c r="P2484" s="71">
        <f t="shared" si="140"/>
        <v>0</v>
      </c>
      <c r="Q2484" s="71">
        <f t="shared" si="139"/>
        <v>0</v>
      </c>
      <c r="R2484" s="93" t="str">
        <f t="shared" si="138"/>
        <v/>
      </c>
    </row>
    <row r="2485" spans="1:18" x14ac:dyDescent="0.2">
      <c r="A2485" s="352" t="str">
        <f>IF(B2485="","",COUNT('Diário 1º PA'!$A$4:$A$2635)+COUNT('Diário 2º PA'!$A$4:$A$3040)+ROW()-3)</f>
        <v/>
      </c>
      <c r="B2485" s="600"/>
      <c r="C2485" s="354"/>
      <c r="D2485" s="343"/>
      <c r="E2485" s="343"/>
      <c r="F2485" s="344"/>
      <c r="G2485" s="343"/>
      <c r="H2485" s="343"/>
      <c r="I2485" s="345"/>
      <c r="J2485" s="343"/>
      <c r="K2485" s="343"/>
      <c r="L2485" s="345"/>
      <c r="M2485" s="343"/>
      <c r="N2485" s="598"/>
      <c r="O2485" s="585"/>
      <c r="P2485" s="71">
        <f t="shared" si="140"/>
        <v>0</v>
      </c>
      <c r="Q2485" s="71">
        <f t="shared" si="139"/>
        <v>0</v>
      </c>
      <c r="R2485" s="93" t="str">
        <f t="shared" si="138"/>
        <v/>
      </c>
    </row>
    <row r="2486" spans="1:18" x14ac:dyDescent="0.2">
      <c r="A2486" s="352" t="str">
        <f>IF(B2486="","",COUNT('Diário 1º PA'!$A$4:$A$2635)+COUNT('Diário 2º PA'!$A$4:$A$3040)+ROW()-3)</f>
        <v/>
      </c>
      <c r="B2486" s="600"/>
      <c r="C2486" s="354"/>
      <c r="D2486" s="343"/>
      <c r="E2486" s="343"/>
      <c r="F2486" s="344"/>
      <c r="G2486" s="343"/>
      <c r="H2486" s="343"/>
      <c r="I2486" s="345"/>
      <c r="J2486" s="343"/>
      <c r="K2486" s="343"/>
      <c r="L2486" s="345"/>
      <c r="M2486" s="343"/>
      <c r="N2486" s="598"/>
      <c r="O2486" s="585"/>
      <c r="P2486" s="71">
        <f t="shared" si="140"/>
        <v>0</v>
      </c>
      <c r="Q2486" s="71">
        <f t="shared" si="139"/>
        <v>0</v>
      </c>
      <c r="R2486" s="93" t="str">
        <f t="shared" si="138"/>
        <v/>
      </c>
    </row>
    <row r="2487" spans="1:18" x14ac:dyDescent="0.2">
      <c r="A2487" s="352" t="str">
        <f>IF(B2487="","",COUNT('Diário 1º PA'!$A$4:$A$2635)+COUNT('Diário 2º PA'!$A$4:$A$3040)+ROW()-3)</f>
        <v/>
      </c>
      <c r="B2487" s="600"/>
      <c r="C2487" s="354"/>
      <c r="D2487" s="343"/>
      <c r="E2487" s="343"/>
      <c r="F2487" s="344"/>
      <c r="G2487" s="343"/>
      <c r="H2487" s="343"/>
      <c r="I2487" s="345"/>
      <c r="J2487" s="343"/>
      <c r="K2487" s="343"/>
      <c r="L2487" s="345"/>
      <c r="M2487" s="343"/>
      <c r="N2487" s="598"/>
      <c r="O2487" s="585"/>
      <c r="P2487" s="71">
        <f t="shared" si="140"/>
        <v>0</v>
      </c>
      <c r="Q2487" s="71">
        <f t="shared" si="139"/>
        <v>0</v>
      </c>
      <c r="R2487" s="93" t="str">
        <f t="shared" si="138"/>
        <v/>
      </c>
    </row>
    <row r="2488" spans="1:18" x14ac:dyDescent="0.2">
      <c r="A2488" s="352" t="str">
        <f>IF(B2488="","",COUNT('Diário 1º PA'!$A$4:$A$2635)+COUNT('Diário 2º PA'!$A$4:$A$3040)+ROW()-3)</f>
        <v/>
      </c>
      <c r="B2488" s="600"/>
      <c r="C2488" s="354"/>
      <c r="D2488" s="343"/>
      <c r="E2488" s="343"/>
      <c r="F2488" s="344"/>
      <c r="G2488" s="343"/>
      <c r="H2488" s="343"/>
      <c r="I2488" s="345"/>
      <c r="J2488" s="343"/>
      <c r="K2488" s="343"/>
      <c r="L2488" s="345"/>
      <c r="M2488" s="343"/>
      <c r="N2488" s="598"/>
      <c r="O2488" s="585"/>
      <c r="P2488" s="71">
        <f t="shared" si="140"/>
        <v>0</v>
      </c>
      <c r="Q2488" s="71">
        <f t="shared" si="139"/>
        <v>0</v>
      </c>
      <c r="R2488" s="93" t="str">
        <f t="shared" si="138"/>
        <v/>
      </c>
    </row>
    <row r="2489" spans="1:18" x14ac:dyDescent="0.2">
      <c r="A2489" s="352" t="str">
        <f>IF(B2489="","",COUNT('Diário 1º PA'!$A$4:$A$2635)+COUNT('Diário 2º PA'!$A$4:$A$3040)+ROW()-3)</f>
        <v/>
      </c>
      <c r="B2489" s="600"/>
      <c r="C2489" s="354"/>
      <c r="D2489" s="343"/>
      <c r="E2489" s="343"/>
      <c r="F2489" s="344"/>
      <c r="G2489" s="343"/>
      <c r="H2489" s="343"/>
      <c r="I2489" s="345"/>
      <c r="J2489" s="343"/>
      <c r="K2489" s="343"/>
      <c r="L2489" s="345"/>
      <c r="M2489" s="343"/>
      <c r="N2489" s="598"/>
      <c r="O2489" s="585"/>
      <c r="P2489" s="71">
        <f t="shared" si="140"/>
        <v>0</v>
      </c>
      <c r="Q2489" s="71">
        <f t="shared" si="139"/>
        <v>0</v>
      </c>
      <c r="R2489" s="93" t="str">
        <f t="shared" si="138"/>
        <v/>
      </c>
    </row>
    <row r="2490" spans="1:18" x14ac:dyDescent="0.2">
      <c r="A2490" s="352" t="str">
        <f>IF(B2490="","",COUNT('Diário 1º PA'!$A$4:$A$2635)+COUNT('Diário 2º PA'!$A$4:$A$3040)+ROW()-3)</f>
        <v/>
      </c>
      <c r="B2490" s="600"/>
      <c r="C2490" s="354"/>
      <c r="D2490" s="343"/>
      <c r="E2490" s="343"/>
      <c r="F2490" s="344"/>
      <c r="G2490" s="343"/>
      <c r="H2490" s="343"/>
      <c r="I2490" s="345"/>
      <c r="J2490" s="343"/>
      <c r="K2490" s="343"/>
      <c r="L2490" s="345"/>
      <c r="M2490" s="343"/>
      <c r="N2490" s="598"/>
      <c r="O2490" s="585"/>
      <c r="P2490" s="71">
        <f t="shared" si="140"/>
        <v>0</v>
      </c>
      <c r="Q2490" s="71">
        <f t="shared" si="139"/>
        <v>0</v>
      </c>
      <c r="R2490" s="93" t="str">
        <f t="shared" si="138"/>
        <v/>
      </c>
    </row>
    <row r="2491" spans="1:18" x14ac:dyDescent="0.2">
      <c r="A2491" s="352" t="str">
        <f>IF(B2491="","",COUNT('Diário 1º PA'!$A$4:$A$2635)+COUNT('Diário 2º PA'!$A$4:$A$3040)+ROW()-3)</f>
        <v/>
      </c>
      <c r="B2491" s="600"/>
      <c r="C2491" s="354"/>
      <c r="D2491" s="343"/>
      <c r="E2491" s="343"/>
      <c r="F2491" s="344"/>
      <c r="G2491" s="343"/>
      <c r="H2491" s="343"/>
      <c r="I2491" s="345"/>
      <c r="J2491" s="343"/>
      <c r="K2491" s="343"/>
      <c r="L2491" s="345"/>
      <c r="M2491" s="343"/>
      <c r="N2491" s="598"/>
      <c r="O2491" s="585"/>
      <c r="P2491" s="71">
        <f t="shared" si="140"/>
        <v>0</v>
      </c>
      <c r="Q2491" s="71">
        <f t="shared" si="139"/>
        <v>0</v>
      </c>
      <c r="R2491" s="93" t="str">
        <f t="shared" si="138"/>
        <v/>
      </c>
    </row>
    <row r="2492" spans="1:18" x14ac:dyDescent="0.2">
      <c r="A2492" s="352" t="str">
        <f>IF(B2492="","",COUNT('Diário 1º PA'!$A$4:$A$2635)+COUNT('Diário 2º PA'!$A$4:$A$3040)+ROW()-3)</f>
        <v/>
      </c>
      <c r="B2492" s="600"/>
      <c r="C2492" s="354"/>
      <c r="D2492" s="343"/>
      <c r="E2492" s="343"/>
      <c r="F2492" s="344"/>
      <c r="G2492" s="343"/>
      <c r="H2492" s="343"/>
      <c r="I2492" s="345"/>
      <c r="J2492" s="343"/>
      <c r="K2492" s="343"/>
      <c r="L2492" s="345"/>
      <c r="M2492" s="343"/>
      <c r="N2492" s="598"/>
      <c r="O2492" s="585"/>
      <c r="P2492" s="71">
        <f t="shared" si="140"/>
        <v>0</v>
      </c>
      <c r="Q2492" s="71">
        <f t="shared" si="139"/>
        <v>0</v>
      </c>
      <c r="R2492" s="93" t="str">
        <f t="shared" si="138"/>
        <v/>
      </c>
    </row>
    <row r="2493" spans="1:18" x14ac:dyDescent="0.2">
      <c r="A2493" s="352" t="str">
        <f>IF(B2493="","",COUNT('Diário 1º PA'!$A$4:$A$2635)+COUNT('Diário 2º PA'!$A$4:$A$3040)+ROW()-3)</f>
        <v/>
      </c>
      <c r="B2493" s="600"/>
      <c r="C2493" s="354"/>
      <c r="D2493" s="343"/>
      <c r="E2493" s="343"/>
      <c r="F2493" s="344"/>
      <c r="G2493" s="343"/>
      <c r="H2493" s="343"/>
      <c r="I2493" s="345"/>
      <c r="J2493" s="343"/>
      <c r="K2493" s="343"/>
      <c r="L2493" s="345"/>
      <c r="M2493" s="343"/>
      <c r="N2493" s="598"/>
      <c r="O2493" s="585"/>
      <c r="P2493" s="71">
        <f t="shared" si="140"/>
        <v>0</v>
      </c>
      <c r="Q2493" s="71">
        <f t="shared" si="139"/>
        <v>0</v>
      </c>
      <c r="R2493" s="93" t="str">
        <f t="shared" si="138"/>
        <v/>
      </c>
    </row>
    <row r="2494" spans="1:18" x14ac:dyDescent="0.2">
      <c r="A2494" s="352" t="str">
        <f>IF(B2494="","",COUNT('Diário 1º PA'!$A$4:$A$2635)+COUNT('Diário 2º PA'!$A$4:$A$3040)+ROW()-3)</f>
        <v/>
      </c>
      <c r="B2494" s="600"/>
      <c r="C2494" s="354"/>
      <c r="D2494" s="343"/>
      <c r="E2494" s="343"/>
      <c r="F2494" s="344"/>
      <c r="G2494" s="343"/>
      <c r="H2494" s="343"/>
      <c r="I2494" s="345"/>
      <c r="J2494" s="343"/>
      <c r="K2494" s="343"/>
      <c r="L2494" s="345"/>
      <c r="M2494" s="343"/>
      <c r="N2494" s="598"/>
      <c r="O2494" s="585"/>
      <c r="P2494" s="71">
        <f t="shared" si="140"/>
        <v>0</v>
      </c>
      <c r="Q2494" s="71">
        <f t="shared" si="139"/>
        <v>0</v>
      </c>
      <c r="R2494" s="93" t="str">
        <f t="shared" si="138"/>
        <v/>
      </c>
    </row>
    <row r="2495" spans="1:18" x14ac:dyDescent="0.2">
      <c r="A2495" s="352" t="str">
        <f>IF(B2495="","",COUNT('Diário 1º PA'!$A$4:$A$2635)+COUNT('Diário 2º PA'!$A$4:$A$3040)+ROW()-3)</f>
        <v/>
      </c>
      <c r="B2495" s="600"/>
      <c r="C2495" s="354"/>
      <c r="D2495" s="343"/>
      <c r="E2495" s="343"/>
      <c r="F2495" s="344"/>
      <c r="G2495" s="343"/>
      <c r="H2495" s="343"/>
      <c r="I2495" s="345"/>
      <c r="J2495" s="343"/>
      <c r="K2495" s="343"/>
      <c r="L2495" s="345"/>
      <c r="M2495" s="343"/>
      <c r="N2495" s="598"/>
      <c r="O2495" s="585"/>
      <c r="P2495" s="71">
        <f t="shared" si="140"/>
        <v>0</v>
      </c>
      <c r="Q2495" s="71">
        <f t="shared" si="139"/>
        <v>0</v>
      </c>
      <c r="R2495" s="93" t="str">
        <f t="shared" si="138"/>
        <v/>
      </c>
    </row>
    <row r="2496" spans="1:18" x14ac:dyDescent="0.2">
      <c r="A2496" s="352" t="str">
        <f>IF(B2496="","",COUNT('Diário 1º PA'!$A$4:$A$2635)+COUNT('Diário 2º PA'!$A$4:$A$3040)+ROW()-3)</f>
        <v/>
      </c>
      <c r="B2496" s="600"/>
      <c r="C2496" s="354"/>
      <c r="D2496" s="343"/>
      <c r="E2496" s="343"/>
      <c r="F2496" s="344"/>
      <c r="G2496" s="343"/>
      <c r="H2496" s="343"/>
      <c r="I2496" s="345"/>
      <c r="J2496" s="343"/>
      <c r="K2496" s="343"/>
      <c r="L2496" s="345"/>
      <c r="M2496" s="343"/>
      <c r="N2496" s="598"/>
      <c r="O2496" s="585"/>
      <c r="P2496" s="71">
        <f t="shared" si="140"/>
        <v>0</v>
      </c>
      <c r="Q2496" s="71">
        <f t="shared" si="139"/>
        <v>0</v>
      </c>
      <c r="R2496" s="93" t="str">
        <f t="shared" si="138"/>
        <v/>
      </c>
    </row>
    <row r="2497" spans="1:18" x14ac:dyDescent="0.2">
      <c r="A2497" s="352" t="str">
        <f>IF(B2497="","",COUNT('Diário 1º PA'!$A$4:$A$2635)+COUNT('Diário 2º PA'!$A$4:$A$3040)+ROW()-3)</f>
        <v/>
      </c>
      <c r="B2497" s="600"/>
      <c r="C2497" s="354"/>
      <c r="D2497" s="343"/>
      <c r="E2497" s="343"/>
      <c r="F2497" s="344"/>
      <c r="G2497" s="343"/>
      <c r="H2497" s="343"/>
      <c r="I2497" s="345"/>
      <c r="J2497" s="343"/>
      <c r="K2497" s="343"/>
      <c r="L2497" s="345"/>
      <c r="M2497" s="343"/>
      <c r="N2497" s="598"/>
      <c r="O2497" s="585"/>
      <c r="P2497" s="71">
        <f t="shared" si="140"/>
        <v>0</v>
      </c>
      <c r="Q2497" s="71">
        <f t="shared" si="139"/>
        <v>0</v>
      </c>
      <c r="R2497" s="93" t="str">
        <f t="shared" si="138"/>
        <v/>
      </c>
    </row>
    <row r="2498" spans="1:18" x14ac:dyDescent="0.2">
      <c r="A2498" s="352" t="str">
        <f>IF(B2498="","",COUNT('Diário 1º PA'!$A$4:$A$2635)+COUNT('Diário 2º PA'!$A$4:$A$3040)+ROW()-3)</f>
        <v/>
      </c>
      <c r="B2498" s="600"/>
      <c r="C2498" s="354"/>
      <c r="D2498" s="343"/>
      <c r="E2498" s="343"/>
      <c r="F2498" s="344"/>
      <c r="G2498" s="343"/>
      <c r="H2498" s="343"/>
      <c r="I2498" s="345"/>
      <c r="J2498" s="343"/>
      <c r="K2498" s="343"/>
      <c r="L2498" s="345"/>
      <c r="M2498" s="343"/>
      <c r="N2498" s="598"/>
      <c r="O2498" s="585"/>
      <c r="P2498" s="71">
        <f t="shared" si="140"/>
        <v>0</v>
      </c>
      <c r="Q2498" s="71">
        <f t="shared" si="139"/>
        <v>0</v>
      </c>
      <c r="R2498" s="93" t="str">
        <f t="shared" si="138"/>
        <v/>
      </c>
    </row>
    <row r="2499" spans="1:18" x14ac:dyDescent="0.2">
      <c r="A2499" s="352" t="str">
        <f>IF(B2499="","",COUNT('Diário 1º PA'!$A$4:$A$2635)+COUNT('Diário 2º PA'!$A$4:$A$3040)+ROW()-3)</f>
        <v/>
      </c>
      <c r="B2499" s="600"/>
      <c r="C2499" s="354"/>
      <c r="D2499" s="343"/>
      <c r="E2499" s="343"/>
      <c r="F2499" s="344"/>
      <c r="G2499" s="343"/>
      <c r="H2499" s="343"/>
      <c r="I2499" s="345"/>
      <c r="J2499" s="343"/>
      <c r="K2499" s="343"/>
      <c r="L2499" s="345"/>
      <c r="M2499" s="343"/>
      <c r="N2499" s="598"/>
      <c r="O2499" s="585"/>
      <c r="P2499" s="71">
        <f t="shared" si="140"/>
        <v>0</v>
      </c>
      <c r="Q2499" s="71">
        <f t="shared" si="139"/>
        <v>0</v>
      </c>
      <c r="R2499" s="93" t="str">
        <f t="shared" si="138"/>
        <v/>
      </c>
    </row>
    <row r="2500" spans="1:18" x14ac:dyDescent="0.2">
      <c r="A2500" s="352" t="str">
        <f>IF(B2500="","",COUNT('Diário 1º PA'!$A$4:$A$2635)+COUNT('Diário 2º PA'!$A$4:$A$3040)+ROW()-3)</f>
        <v/>
      </c>
      <c r="B2500" s="600"/>
      <c r="C2500" s="354"/>
      <c r="D2500" s="343"/>
      <c r="E2500" s="343"/>
      <c r="F2500" s="344"/>
      <c r="G2500" s="343"/>
      <c r="H2500" s="343"/>
      <c r="I2500" s="345"/>
      <c r="J2500" s="343"/>
      <c r="K2500" s="343"/>
      <c r="L2500" s="345"/>
      <c r="M2500" s="343"/>
      <c r="N2500" s="598"/>
      <c r="O2500" s="585"/>
      <c r="P2500" s="71">
        <f t="shared" si="140"/>
        <v>0</v>
      </c>
      <c r="Q2500" s="71">
        <f t="shared" si="139"/>
        <v>0</v>
      </c>
      <c r="R2500" s="93" t="str">
        <f t="shared" ref="R2500:R2563" si="141">SUBSTITUTE(D2500," ","_")</f>
        <v/>
      </c>
    </row>
    <row r="2501" spans="1:18" x14ac:dyDescent="0.2">
      <c r="A2501" s="352" t="str">
        <f>IF(B2501="","",COUNT('Diário 1º PA'!$A$4:$A$2635)+COUNT('Diário 2º PA'!$A$4:$A$3040)+ROW()-3)</f>
        <v/>
      </c>
      <c r="B2501" s="600"/>
      <c r="C2501" s="354"/>
      <c r="D2501" s="343"/>
      <c r="E2501" s="343"/>
      <c r="F2501" s="344"/>
      <c r="G2501" s="343"/>
      <c r="H2501" s="343"/>
      <c r="I2501" s="345"/>
      <c r="J2501" s="343"/>
      <c r="K2501" s="343"/>
      <c r="L2501" s="345"/>
      <c r="M2501" s="343"/>
      <c r="N2501" s="598"/>
      <c r="O2501" s="585"/>
      <c r="P2501" s="71">
        <f t="shared" si="140"/>
        <v>0</v>
      </c>
      <c r="Q2501" s="71">
        <f t="shared" si="139"/>
        <v>0</v>
      </c>
      <c r="R2501" s="93" t="str">
        <f t="shared" si="141"/>
        <v/>
      </c>
    </row>
    <row r="2502" spans="1:18" x14ac:dyDescent="0.2">
      <c r="A2502" s="352" t="str">
        <f>IF(B2502="","",COUNT('Diário 1º PA'!$A$4:$A$2635)+COUNT('Diário 2º PA'!$A$4:$A$3040)+ROW()-3)</f>
        <v/>
      </c>
      <c r="B2502" s="600"/>
      <c r="C2502" s="354"/>
      <c r="D2502" s="343"/>
      <c r="E2502" s="343"/>
      <c r="F2502" s="344"/>
      <c r="G2502" s="343"/>
      <c r="H2502" s="343"/>
      <c r="I2502" s="345"/>
      <c r="J2502" s="343"/>
      <c r="K2502" s="343"/>
      <c r="L2502" s="345"/>
      <c r="M2502" s="343"/>
      <c r="N2502" s="598"/>
      <c r="O2502" s="585"/>
      <c r="P2502" s="71">
        <f t="shared" si="140"/>
        <v>0</v>
      </c>
      <c r="Q2502" s="71">
        <f t="shared" si="139"/>
        <v>0</v>
      </c>
      <c r="R2502" s="93" t="str">
        <f t="shared" si="141"/>
        <v/>
      </c>
    </row>
    <row r="2503" spans="1:18" x14ac:dyDescent="0.2">
      <c r="A2503" s="352" t="str">
        <f>IF(B2503="","",COUNT('Diário 1º PA'!$A$4:$A$2635)+COUNT('Diário 2º PA'!$A$4:$A$3040)+ROW()-3)</f>
        <v/>
      </c>
      <c r="B2503" s="600"/>
      <c r="C2503" s="354"/>
      <c r="D2503" s="343"/>
      <c r="E2503" s="343"/>
      <c r="F2503" s="344"/>
      <c r="G2503" s="343"/>
      <c r="H2503" s="343"/>
      <c r="I2503" s="345"/>
      <c r="J2503" s="343"/>
      <c r="K2503" s="343"/>
      <c r="L2503" s="345"/>
      <c r="M2503" s="343"/>
      <c r="N2503" s="598"/>
      <c r="O2503" s="585"/>
      <c r="P2503" s="71">
        <f t="shared" si="140"/>
        <v>0</v>
      </c>
      <c r="Q2503" s="71">
        <f t="shared" si="139"/>
        <v>0</v>
      </c>
      <c r="R2503" s="93" t="str">
        <f t="shared" si="141"/>
        <v/>
      </c>
    </row>
    <row r="2504" spans="1:18" x14ac:dyDescent="0.2">
      <c r="A2504" s="352" t="str">
        <f>IF(B2504="","",COUNT('Diário 1º PA'!$A$4:$A$2635)+COUNT('Diário 2º PA'!$A$4:$A$3040)+ROW()-3)</f>
        <v/>
      </c>
      <c r="B2504" s="600"/>
      <c r="C2504" s="354"/>
      <c r="D2504" s="343"/>
      <c r="E2504" s="343"/>
      <c r="F2504" s="344"/>
      <c r="G2504" s="343"/>
      <c r="H2504" s="343"/>
      <c r="I2504" s="345"/>
      <c r="J2504" s="343"/>
      <c r="K2504" s="343"/>
      <c r="L2504" s="345"/>
      <c r="M2504" s="343"/>
      <c r="N2504" s="598"/>
      <c r="O2504" s="585"/>
      <c r="P2504" s="71">
        <f t="shared" si="140"/>
        <v>0</v>
      </c>
      <c r="Q2504" s="71">
        <f t="shared" si="139"/>
        <v>0</v>
      </c>
      <c r="R2504" s="93" t="str">
        <f t="shared" si="141"/>
        <v/>
      </c>
    </row>
    <row r="2505" spans="1:18" x14ac:dyDescent="0.2">
      <c r="A2505" s="352" t="str">
        <f>IF(B2505="","",COUNT('Diário 1º PA'!$A$4:$A$2635)+COUNT('Diário 2º PA'!$A$4:$A$3040)+ROW()-3)</f>
        <v/>
      </c>
      <c r="B2505" s="600"/>
      <c r="C2505" s="354"/>
      <c r="D2505" s="343"/>
      <c r="E2505" s="343"/>
      <c r="F2505" s="344"/>
      <c r="G2505" s="343"/>
      <c r="H2505" s="343"/>
      <c r="I2505" s="345"/>
      <c r="J2505" s="343"/>
      <c r="K2505" s="343"/>
      <c r="L2505" s="345"/>
      <c r="M2505" s="343"/>
      <c r="N2505" s="598"/>
      <c r="O2505" s="585"/>
      <c r="P2505" s="71">
        <f t="shared" si="140"/>
        <v>0</v>
      </c>
      <c r="Q2505" s="71">
        <f t="shared" si="139"/>
        <v>0</v>
      </c>
      <c r="R2505" s="93" t="str">
        <f t="shared" si="141"/>
        <v/>
      </c>
    </row>
    <row r="2506" spans="1:18" x14ac:dyDescent="0.2">
      <c r="A2506" s="352" t="str">
        <f>IF(B2506="","",COUNT('Diário 1º PA'!$A$4:$A$2635)+COUNT('Diário 2º PA'!$A$4:$A$3040)+ROW()-3)</f>
        <v/>
      </c>
      <c r="B2506" s="600"/>
      <c r="C2506" s="354"/>
      <c r="D2506" s="343"/>
      <c r="E2506" s="343"/>
      <c r="F2506" s="344"/>
      <c r="G2506" s="343"/>
      <c r="H2506" s="343"/>
      <c r="I2506" s="345"/>
      <c r="J2506" s="343"/>
      <c r="K2506" s="343"/>
      <c r="L2506" s="345"/>
      <c r="M2506" s="343"/>
      <c r="N2506" s="598"/>
      <c r="O2506" s="585"/>
      <c r="P2506" s="71">
        <f t="shared" si="140"/>
        <v>0</v>
      </c>
      <c r="Q2506" s="71">
        <f t="shared" si="139"/>
        <v>0</v>
      </c>
      <c r="R2506" s="93" t="str">
        <f t="shared" si="141"/>
        <v/>
      </c>
    </row>
    <row r="2507" spans="1:18" x14ac:dyDescent="0.2">
      <c r="A2507" s="352" t="str">
        <f>IF(B2507="","",COUNT('Diário 1º PA'!$A$4:$A$2635)+COUNT('Diário 2º PA'!$A$4:$A$3040)+ROW()-3)</f>
        <v/>
      </c>
      <c r="B2507" s="600"/>
      <c r="C2507" s="354"/>
      <c r="D2507" s="343"/>
      <c r="E2507" s="343"/>
      <c r="F2507" s="344"/>
      <c r="G2507" s="343"/>
      <c r="H2507" s="343"/>
      <c r="I2507" s="345"/>
      <c r="J2507" s="343"/>
      <c r="K2507" s="343"/>
      <c r="L2507" s="345"/>
      <c r="M2507" s="343"/>
      <c r="N2507" s="598"/>
      <c r="O2507" s="585"/>
      <c r="P2507" s="71">
        <f t="shared" si="140"/>
        <v>0</v>
      </c>
      <c r="Q2507" s="71">
        <f t="shared" si="139"/>
        <v>0</v>
      </c>
      <c r="R2507" s="93" t="str">
        <f t="shared" si="141"/>
        <v/>
      </c>
    </row>
    <row r="2508" spans="1:18" x14ac:dyDescent="0.2">
      <c r="A2508" s="352" t="str">
        <f>IF(B2508="","",COUNT('Diário 1º PA'!$A$4:$A$2635)+COUNT('Diário 2º PA'!$A$4:$A$3040)+ROW()-3)</f>
        <v/>
      </c>
      <c r="B2508" s="600"/>
      <c r="C2508" s="354"/>
      <c r="D2508" s="343"/>
      <c r="E2508" s="343"/>
      <c r="F2508" s="344"/>
      <c r="G2508" s="343"/>
      <c r="H2508" s="343"/>
      <c r="I2508" s="345"/>
      <c r="J2508" s="343"/>
      <c r="K2508" s="343"/>
      <c r="L2508" s="345"/>
      <c r="M2508" s="343"/>
      <c r="N2508" s="598"/>
      <c r="O2508" s="585"/>
      <c r="P2508" s="71">
        <f t="shared" si="140"/>
        <v>0</v>
      </c>
      <c r="Q2508" s="71">
        <f t="shared" si="139"/>
        <v>0</v>
      </c>
      <c r="R2508" s="93" t="str">
        <f t="shared" si="141"/>
        <v/>
      </c>
    </row>
    <row r="2509" spans="1:18" x14ac:dyDescent="0.2">
      <c r="A2509" s="352" t="str">
        <f>IF(B2509="","",COUNT('Diário 1º PA'!$A$4:$A$2635)+COUNT('Diário 2º PA'!$A$4:$A$3040)+ROW()-3)</f>
        <v/>
      </c>
      <c r="B2509" s="600"/>
      <c r="C2509" s="354"/>
      <c r="D2509" s="343"/>
      <c r="E2509" s="343"/>
      <c r="F2509" s="344"/>
      <c r="G2509" s="343"/>
      <c r="H2509" s="343"/>
      <c r="I2509" s="345"/>
      <c r="J2509" s="343"/>
      <c r="K2509" s="343"/>
      <c r="L2509" s="345"/>
      <c r="M2509" s="343"/>
      <c r="N2509" s="598"/>
      <c r="O2509" s="585"/>
      <c r="P2509" s="71">
        <f t="shared" si="140"/>
        <v>0</v>
      </c>
      <c r="Q2509" s="71">
        <f t="shared" si="139"/>
        <v>0</v>
      </c>
      <c r="R2509" s="93" t="str">
        <f t="shared" si="141"/>
        <v/>
      </c>
    </row>
    <row r="2510" spans="1:18" x14ac:dyDescent="0.2">
      <c r="A2510" s="352" t="str">
        <f>IF(B2510="","",COUNT('Diário 1º PA'!$A$4:$A$2635)+COUNT('Diário 2º PA'!$A$4:$A$3040)+ROW()-3)</f>
        <v/>
      </c>
      <c r="B2510" s="600"/>
      <c r="C2510" s="354"/>
      <c r="D2510" s="343"/>
      <c r="E2510" s="343"/>
      <c r="F2510" s="344"/>
      <c r="G2510" s="343"/>
      <c r="H2510" s="343"/>
      <c r="I2510" s="345"/>
      <c r="J2510" s="343"/>
      <c r="K2510" s="343"/>
      <c r="L2510" s="345"/>
      <c r="M2510" s="343"/>
      <c r="N2510" s="598"/>
      <c r="O2510" s="585"/>
      <c r="P2510" s="71">
        <f t="shared" si="140"/>
        <v>0</v>
      </c>
      <c r="Q2510" s="71">
        <f t="shared" si="139"/>
        <v>0</v>
      </c>
      <c r="R2510" s="93" t="str">
        <f t="shared" si="141"/>
        <v/>
      </c>
    </row>
    <row r="2511" spans="1:18" x14ac:dyDescent="0.2">
      <c r="A2511" s="352" t="str">
        <f>IF(B2511="","",COUNT('Diário 1º PA'!$A$4:$A$2635)+COUNT('Diário 2º PA'!$A$4:$A$3040)+ROW()-3)</f>
        <v/>
      </c>
      <c r="B2511" s="600"/>
      <c r="C2511" s="354"/>
      <c r="D2511" s="343"/>
      <c r="E2511" s="343"/>
      <c r="F2511" s="344"/>
      <c r="G2511" s="343"/>
      <c r="H2511" s="343"/>
      <c r="I2511" s="345"/>
      <c r="J2511" s="343"/>
      <c r="K2511" s="343"/>
      <c r="L2511" s="345"/>
      <c r="M2511" s="343"/>
      <c r="N2511" s="598"/>
      <c r="O2511" s="585"/>
      <c r="P2511" s="71">
        <f t="shared" si="140"/>
        <v>0</v>
      </c>
      <c r="Q2511" s="71">
        <f t="shared" ref="Q2511:Q2574" si="142">IF(C2511=0,0,IF(YEAR(C2511)=$Q$1,MONTH(C2511)-$P$1+1,(YEAR(C2511)-$Q$1)*12-$P$1+1+MONTH(C2511)))</f>
        <v>0</v>
      </c>
      <c r="R2511" s="93" t="str">
        <f t="shared" si="141"/>
        <v/>
      </c>
    </row>
    <row r="2512" spans="1:18" x14ac:dyDescent="0.2">
      <c r="A2512" s="352" t="str">
        <f>IF(B2512="","",COUNT('Diário 1º PA'!$A$4:$A$2635)+COUNT('Diário 2º PA'!$A$4:$A$3040)+ROW()-3)</f>
        <v/>
      </c>
      <c r="B2512" s="600"/>
      <c r="C2512" s="354"/>
      <c r="D2512" s="343"/>
      <c r="E2512" s="343"/>
      <c r="F2512" s="344"/>
      <c r="G2512" s="343"/>
      <c r="H2512" s="343"/>
      <c r="I2512" s="345"/>
      <c r="J2512" s="343"/>
      <c r="K2512" s="343"/>
      <c r="L2512" s="345"/>
      <c r="M2512" s="343"/>
      <c r="N2512" s="598"/>
      <c r="O2512" s="585"/>
      <c r="P2512" s="71">
        <f t="shared" si="140"/>
        <v>0</v>
      </c>
      <c r="Q2512" s="71">
        <f t="shared" si="142"/>
        <v>0</v>
      </c>
      <c r="R2512" s="93" t="str">
        <f t="shared" si="141"/>
        <v/>
      </c>
    </row>
    <row r="2513" spans="1:18" x14ac:dyDescent="0.2">
      <c r="A2513" s="352" t="str">
        <f>IF(B2513="","",COUNT('Diário 1º PA'!$A$4:$A$2635)+COUNT('Diário 2º PA'!$A$4:$A$3040)+ROW()-3)</f>
        <v/>
      </c>
      <c r="B2513" s="600"/>
      <c r="C2513" s="354"/>
      <c r="D2513" s="343"/>
      <c r="E2513" s="343"/>
      <c r="F2513" s="344"/>
      <c r="G2513" s="343"/>
      <c r="H2513" s="343"/>
      <c r="I2513" s="345"/>
      <c r="J2513" s="343"/>
      <c r="K2513" s="343"/>
      <c r="L2513" s="345"/>
      <c r="M2513" s="343"/>
      <c r="N2513" s="598"/>
      <c r="O2513" s="585"/>
      <c r="P2513" s="71">
        <f t="shared" ref="P2513:P2576" si="143">IF(B2513=0,0,IF(YEAR(B2513)=$Q$1,MONTH(B2513)-$P$1+1,(YEAR(B2513)-$Q$1)*12-$P$1+1+MONTH(B2513)))</f>
        <v>0</v>
      </c>
      <c r="Q2513" s="71">
        <f t="shared" si="142"/>
        <v>0</v>
      </c>
      <c r="R2513" s="93" t="str">
        <f t="shared" si="141"/>
        <v/>
      </c>
    </row>
    <row r="2514" spans="1:18" x14ac:dyDescent="0.2">
      <c r="A2514" s="352" t="str">
        <f>IF(B2514="","",COUNT('Diário 1º PA'!$A$4:$A$2635)+COUNT('Diário 2º PA'!$A$4:$A$3040)+ROW()-3)</f>
        <v/>
      </c>
      <c r="B2514" s="600"/>
      <c r="C2514" s="354"/>
      <c r="D2514" s="343"/>
      <c r="E2514" s="343"/>
      <c r="F2514" s="344"/>
      <c r="G2514" s="343"/>
      <c r="H2514" s="343"/>
      <c r="I2514" s="345"/>
      <c r="J2514" s="343"/>
      <c r="K2514" s="343"/>
      <c r="L2514" s="345"/>
      <c r="M2514" s="343"/>
      <c r="N2514" s="598"/>
      <c r="O2514" s="585"/>
      <c r="P2514" s="71">
        <f t="shared" si="143"/>
        <v>0</v>
      </c>
      <c r="Q2514" s="71">
        <f t="shared" si="142"/>
        <v>0</v>
      </c>
      <c r="R2514" s="93" t="str">
        <f t="shared" si="141"/>
        <v/>
      </c>
    </row>
    <row r="2515" spans="1:18" x14ac:dyDescent="0.2">
      <c r="A2515" s="352" t="str">
        <f>IF(B2515="","",COUNT('Diário 1º PA'!$A$4:$A$2635)+COUNT('Diário 2º PA'!$A$4:$A$3040)+ROW()-3)</f>
        <v/>
      </c>
      <c r="B2515" s="600"/>
      <c r="C2515" s="354"/>
      <c r="D2515" s="343"/>
      <c r="E2515" s="343"/>
      <c r="F2515" s="344"/>
      <c r="G2515" s="343"/>
      <c r="H2515" s="343"/>
      <c r="I2515" s="345"/>
      <c r="J2515" s="343"/>
      <c r="K2515" s="343"/>
      <c r="L2515" s="345"/>
      <c r="M2515" s="343"/>
      <c r="N2515" s="598"/>
      <c r="O2515" s="585"/>
      <c r="P2515" s="71">
        <f t="shared" si="143"/>
        <v>0</v>
      </c>
      <c r="Q2515" s="71">
        <f t="shared" si="142"/>
        <v>0</v>
      </c>
      <c r="R2515" s="93" t="str">
        <f t="shared" si="141"/>
        <v/>
      </c>
    </row>
    <row r="2516" spans="1:18" x14ac:dyDescent="0.2">
      <c r="A2516" s="352" t="str">
        <f>IF(B2516="","",COUNT('Diário 1º PA'!$A$4:$A$2635)+COUNT('Diário 2º PA'!$A$4:$A$3040)+ROW()-3)</f>
        <v/>
      </c>
      <c r="B2516" s="600"/>
      <c r="C2516" s="354"/>
      <c r="D2516" s="343"/>
      <c r="E2516" s="343"/>
      <c r="F2516" s="344"/>
      <c r="G2516" s="343"/>
      <c r="H2516" s="343"/>
      <c r="I2516" s="345"/>
      <c r="J2516" s="343"/>
      <c r="K2516" s="343"/>
      <c r="L2516" s="345"/>
      <c r="M2516" s="343"/>
      <c r="N2516" s="598"/>
      <c r="O2516" s="585"/>
      <c r="P2516" s="71">
        <f t="shared" si="143"/>
        <v>0</v>
      </c>
      <c r="Q2516" s="71">
        <f t="shared" si="142"/>
        <v>0</v>
      </c>
      <c r="R2516" s="93" t="str">
        <f t="shared" si="141"/>
        <v/>
      </c>
    </row>
    <row r="2517" spans="1:18" x14ac:dyDescent="0.2">
      <c r="A2517" s="352" t="str">
        <f>IF(B2517="","",COUNT('Diário 1º PA'!$A$4:$A$2635)+COUNT('Diário 2º PA'!$A$4:$A$3040)+ROW()-3)</f>
        <v/>
      </c>
      <c r="B2517" s="600"/>
      <c r="C2517" s="354"/>
      <c r="D2517" s="343"/>
      <c r="E2517" s="343"/>
      <c r="F2517" s="344"/>
      <c r="G2517" s="343"/>
      <c r="H2517" s="343"/>
      <c r="I2517" s="345"/>
      <c r="J2517" s="343"/>
      <c r="K2517" s="343"/>
      <c r="L2517" s="345"/>
      <c r="M2517" s="343"/>
      <c r="N2517" s="598"/>
      <c r="O2517" s="585"/>
      <c r="P2517" s="71">
        <f t="shared" si="143"/>
        <v>0</v>
      </c>
      <c r="Q2517" s="71">
        <f t="shared" si="142"/>
        <v>0</v>
      </c>
      <c r="R2517" s="93" t="str">
        <f t="shared" si="141"/>
        <v/>
      </c>
    </row>
    <row r="2518" spans="1:18" x14ac:dyDescent="0.2">
      <c r="A2518" s="352" t="str">
        <f>IF(B2518="","",COUNT('Diário 1º PA'!$A$4:$A$2635)+COUNT('Diário 2º PA'!$A$4:$A$3040)+ROW()-3)</f>
        <v/>
      </c>
      <c r="B2518" s="600"/>
      <c r="C2518" s="354"/>
      <c r="D2518" s="343"/>
      <c r="E2518" s="343"/>
      <c r="F2518" s="344"/>
      <c r="G2518" s="343"/>
      <c r="H2518" s="343"/>
      <c r="I2518" s="345"/>
      <c r="J2518" s="343"/>
      <c r="K2518" s="343"/>
      <c r="L2518" s="345"/>
      <c r="M2518" s="343"/>
      <c r="N2518" s="598"/>
      <c r="O2518" s="585"/>
      <c r="P2518" s="71">
        <f t="shared" si="143"/>
        <v>0</v>
      </c>
      <c r="Q2518" s="71">
        <f t="shared" si="142"/>
        <v>0</v>
      </c>
      <c r="R2518" s="93" t="str">
        <f t="shared" si="141"/>
        <v/>
      </c>
    </row>
    <row r="2519" spans="1:18" x14ac:dyDescent="0.2">
      <c r="A2519" s="352" t="str">
        <f>IF(B2519="","",COUNT('Diário 1º PA'!$A$4:$A$2635)+COUNT('Diário 2º PA'!$A$4:$A$3040)+ROW()-3)</f>
        <v/>
      </c>
      <c r="B2519" s="600"/>
      <c r="C2519" s="354"/>
      <c r="D2519" s="343"/>
      <c r="E2519" s="343"/>
      <c r="F2519" s="344"/>
      <c r="G2519" s="343"/>
      <c r="H2519" s="343"/>
      <c r="I2519" s="345"/>
      <c r="J2519" s="343"/>
      <c r="K2519" s="343"/>
      <c r="L2519" s="345"/>
      <c r="M2519" s="343"/>
      <c r="N2519" s="598"/>
      <c r="O2519" s="585"/>
      <c r="P2519" s="71">
        <f t="shared" si="143"/>
        <v>0</v>
      </c>
      <c r="Q2519" s="71">
        <f t="shared" si="142"/>
        <v>0</v>
      </c>
      <c r="R2519" s="93" t="str">
        <f t="shared" si="141"/>
        <v/>
      </c>
    </row>
    <row r="2520" spans="1:18" x14ac:dyDescent="0.2">
      <c r="A2520" s="352" t="str">
        <f>IF(B2520="","",COUNT('Diário 1º PA'!$A$4:$A$2635)+COUNT('Diário 2º PA'!$A$4:$A$3040)+ROW()-3)</f>
        <v/>
      </c>
      <c r="B2520" s="600"/>
      <c r="C2520" s="354"/>
      <c r="D2520" s="343"/>
      <c r="E2520" s="343"/>
      <c r="F2520" s="344"/>
      <c r="G2520" s="343"/>
      <c r="H2520" s="343"/>
      <c r="I2520" s="345"/>
      <c r="J2520" s="343"/>
      <c r="K2520" s="343"/>
      <c r="L2520" s="345"/>
      <c r="M2520" s="343"/>
      <c r="N2520" s="598"/>
      <c r="O2520" s="585"/>
      <c r="P2520" s="71">
        <f t="shared" si="143"/>
        <v>0</v>
      </c>
      <c r="Q2520" s="71">
        <f t="shared" si="142"/>
        <v>0</v>
      </c>
      <c r="R2520" s="93" t="str">
        <f t="shared" si="141"/>
        <v/>
      </c>
    </row>
    <row r="2521" spans="1:18" x14ac:dyDescent="0.2">
      <c r="A2521" s="352" t="str">
        <f>IF(B2521="","",COUNT('Diário 1º PA'!$A$4:$A$2635)+COUNT('Diário 2º PA'!$A$4:$A$3040)+ROW()-3)</f>
        <v/>
      </c>
      <c r="B2521" s="600"/>
      <c r="C2521" s="354"/>
      <c r="D2521" s="343"/>
      <c r="E2521" s="343"/>
      <c r="F2521" s="344"/>
      <c r="G2521" s="343"/>
      <c r="H2521" s="343"/>
      <c r="I2521" s="345"/>
      <c r="J2521" s="343"/>
      <c r="K2521" s="343"/>
      <c r="L2521" s="345"/>
      <c r="M2521" s="343"/>
      <c r="N2521" s="598"/>
      <c r="O2521" s="585"/>
      <c r="P2521" s="71">
        <f t="shared" si="143"/>
        <v>0</v>
      </c>
      <c r="Q2521" s="71">
        <f t="shared" si="142"/>
        <v>0</v>
      </c>
      <c r="R2521" s="93" t="str">
        <f t="shared" si="141"/>
        <v/>
      </c>
    </row>
    <row r="2522" spans="1:18" x14ac:dyDescent="0.2">
      <c r="A2522" s="352" t="str">
        <f>IF(B2522="","",COUNT('Diário 1º PA'!$A$4:$A$2635)+COUNT('Diário 2º PA'!$A$4:$A$3040)+ROW()-3)</f>
        <v/>
      </c>
      <c r="B2522" s="600"/>
      <c r="C2522" s="354"/>
      <c r="D2522" s="343"/>
      <c r="E2522" s="343"/>
      <c r="F2522" s="344"/>
      <c r="G2522" s="343"/>
      <c r="H2522" s="343"/>
      <c r="I2522" s="345"/>
      <c r="J2522" s="343"/>
      <c r="K2522" s="343"/>
      <c r="L2522" s="345"/>
      <c r="M2522" s="343"/>
      <c r="N2522" s="598"/>
      <c r="O2522" s="585"/>
      <c r="P2522" s="71">
        <f t="shared" si="143"/>
        <v>0</v>
      </c>
      <c r="Q2522" s="71">
        <f t="shared" si="142"/>
        <v>0</v>
      </c>
      <c r="R2522" s="93" t="str">
        <f t="shared" si="141"/>
        <v/>
      </c>
    </row>
    <row r="2523" spans="1:18" x14ac:dyDescent="0.2">
      <c r="A2523" s="352" t="str">
        <f>IF(B2523="","",COUNT('Diário 1º PA'!$A$4:$A$2635)+COUNT('Diário 2º PA'!$A$4:$A$3040)+ROW()-3)</f>
        <v/>
      </c>
      <c r="B2523" s="600"/>
      <c r="C2523" s="354"/>
      <c r="D2523" s="343"/>
      <c r="E2523" s="343"/>
      <c r="F2523" s="344"/>
      <c r="G2523" s="343"/>
      <c r="H2523" s="343"/>
      <c r="I2523" s="345"/>
      <c r="J2523" s="343"/>
      <c r="K2523" s="343"/>
      <c r="L2523" s="345"/>
      <c r="M2523" s="343"/>
      <c r="N2523" s="598"/>
      <c r="O2523" s="585"/>
      <c r="P2523" s="71">
        <f t="shared" si="143"/>
        <v>0</v>
      </c>
      <c r="Q2523" s="71">
        <f t="shared" si="142"/>
        <v>0</v>
      </c>
      <c r="R2523" s="93" t="str">
        <f t="shared" si="141"/>
        <v/>
      </c>
    </row>
    <row r="2524" spans="1:18" x14ac:dyDescent="0.2">
      <c r="A2524" s="352" t="str">
        <f>IF(B2524="","",COUNT('Diário 1º PA'!$A$4:$A$2635)+COUNT('Diário 2º PA'!$A$4:$A$3040)+ROW()-3)</f>
        <v/>
      </c>
      <c r="B2524" s="600"/>
      <c r="C2524" s="354"/>
      <c r="D2524" s="343"/>
      <c r="E2524" s="343"/>
      <c r="F2524" s="344"/>
      <c r="G2524" s="343"/>
      <c r="H2524" s="343"/>
      <c r="I2524" s="345"/>
      <c r="J2524" s="343"/>
      <c r="K2524" s="343"/>
      <c r="L2524" s="345"/>
      <c r="M2524" s="343"/>
      <c r="N2524" s="598"/>
      <c r="O2524" s="585"/>
      <c r="P2524" s="71">
        <f t="shared" si="143"/>
        <v>0</v>
      </c>
      <c r="Q2524" s="71">
        <f t="shared" si="142"/>
        <v>0</v>
      </c>
      <c r="R2524" s="93" t="str">
        <f t="shared" si="141"/>
        <v/>
      </c>
    </row>
    <row r="2525" spans="1:18" x14ac:dyDescent="0.2">
      <c r="A2525" s="352" t="str">
        <f>IF(B2525="","",COUNT('Diário 1º PA'!$A$4:$A$2635)+COUNT('Diário 2º PA'!$A$4:$A$3040)+ROW()-3)</f>
        <v/>
      </c>
      <c r="B2525" s="600"/>
      <c r="C2525" s="354"/>
      <c r="D2525" s="343"/>
      <c r="E2525" s="343"/>
      <c r="F2525" s="344"/>
      <c r="G2525" s="343"/>
      <c r="H2525" s="343"/>
      <c r="I2525" s="345"/>
      <c r="J2525" s="343"/>
      <c r="K2525" s="343"/>
      <c r="L2525" s="345"/>
      <c r="M2525" s="343"/>
      <c r="N2525" s="598"/>
      <c r="O2525" s="585"/>
      <c r="P2525" s="71">
        <f t="shared" si="143"/>
        <v>0</v>
      </c>
      <c r="Q2525" s="71">
        <f t="shared" si="142"/>
        <v>0</v>
      </c>
      <c r="R2525" s="93" t="str">
        <f t="shared" si="141"/>
        <v/>
      </c>
    </row>
    <row r="2526" spans="1:18" x14ac:dyDescent="0.2">
      <c r="A2526" s="352" t="str">
        <f>IF(B2526="","",COUNT('Diário 1º PA'!$A$4:$A$2635)+COUNT('Diário 2º PA'!$A$4:$A$3040)+ROW()-3)</f>
        <v/>
      </c>
      <c r="B2526" s="600"/>
      <c r="C2526" s="354"/>
      <c r="D2526" s="343"/>
      <c r="E2526" s="343"/>
      <c r="F2526" s="344"/>
      <c r="G2526" s="343"/>
      <c r="H2526" s="343"/>
      <c r="I2526" s="345"/>
      <c r="J2526" s="343"/>
      <c r="K2526" s="343"/>
      <c r="L2526" s="345"/>
      <c r="M2526" s="343"/>
      <c r="N2526" s="598"/>
      <c r="O2526" s="585"/>
      <c r="P2526" s="71">
        <f t="shared" si="143"/>
        <v>0</v>
      </c>
      <c r="Q2526" s="71">
        <f t="shared" si="142"/>
        <v>0</v>
      </c>
      <c r="R2526" s="93" t="str">
        <f t="shared" si="141"/>
        <v/>
      </c>
    </row>
    <row r="2527" spans="1:18" x14ac:dyDescent="0.2">
      <c r="A2527" s="352" t="str">
        <f>IF(B2527="","",COUNT('Diário 1º PA'!$A$4:$A$2635)+COUNT('Diário 2º PA'!$A$4:$A$3040)+ROW()-3)</f>
        <v/>
      </c>
      <c r="B2527" s="600"/>
      <c r="C2527" s="354"/>
      <c r="D2527" s="343"/>
      <c r="E2527" s="343"/>
      <c r="F2527" s="344"/>
      <c r="G2527" s="343"/>
      <c r="H2527" s="343"/>
      <c r="I2527" s="345"/>
      <c r="J2527" s="343"/>
      <c r="K2527" s="343"/>
      <c r="L2527" s="345"/>
      <c r="M2527" s="343"/>
      <c r="N2527" s="598"/>
      <c r="O2527" s="585"/>
      <c r="P2527" s="71">
        <f t="shared" si="143"/>
        <v>0</v>
      </c>
      <c r="Q2527" s="71">
        <f t="shared" si="142"/>
        <v>0</v>
      </c>
      <c r="R2527" s="93" t="str">
        <f t="shared" si="141"/>
        <v/>
      </c>
    </row>
    <row r="2528" spans="1:18" x14ac:dyDescent="0.2">
      <c r="A2528" s="352" t="str">
        <f>IF(B2528="","",COUNT('Diário 1º PA'!$A$4:$A$2635)+COUNT('Diário 2º PA'!$A$4:$A$3040)+ROW()-3)</f>
        <v/>
      </c>
      <c r="B2528" s="600"/>
      <c r="C2528" s="354"/>
      <c r="D2528" s="343"/>
      <c r="E2528" s="343"/>
      <c r="F2528" s="344"/>
      <c r="G2528" s="343"/>
      <c r="H2528" s="343"/>
      <c r="I2528" s="345"/>
      <c r="J2528" s="343"/>
      <c r="K2528" s="343"/>
      <c r="L2528" s="345"/>
      <c r="M2528" s="343"/>
      <c r="N2528" s="598"/>
      <c r="O2528" s="585"/>
      <c r="P2528" s="71">
        <f t="shared" si="143"/>
        <v>0</v>
      </c>
      <c r="Q2528" s="71">
        <f t="shared" si="142"/>
        <v>0</v>
      </c>
      <c r="R2528" s="93" t="str">
        <f t="shared" si="141"/>
        <v/>
      </c>
    </row>
    <row r="2529" spans="1:18" x14ac:dyDescent="0.2">
      <c r="A2529" s="352" t="str">
        <f>IF(B2529="","",COUNT('Diário 1º PA'!$A$4:$A$2635)+COUNT('Diário 2º PA'!$A$4:$A$3040)+ROW()-3)</f>
        <v/>
      </c>
      <c r="B2529" s="600"/>
      <c r="C2529" s="354"/>
      <c r="D2529" s="343"/>
      <c r="E2529" s="343"/>
      <c r="F2529" s="344"/>
      <c r="G2529" s="343"/>
      <c r="H2529" s="343"/>
      <c r="I2529" s="345"/>
      <c r="J2529" s="343"/>
      <c r="K2529" s="343"/>
      <c r="L2529" s="345"/>
      <c r="M2529" s="343"/>
      <c r="N2529" s="598"/>
      <c r="O2529" s="585"/>
      <c r="P2529" s="71">
        <f t="shared" si="143"/>
        <v>0</v>
      </c>
      <c r="Q2529" s="71">
        <f t="shared" si="142"/>
        <v>0</v>
      </c>
      <c r="R2529" s="93" t="str">
        <f t="shared" si="141"/>
        <v/>
      </c>
    </row>
    <row r="2530" spans="1:18" x14ac:dyDescent="0.2">
      <c r="A2530" s="352" t="str">
        <f>IF(B2530="","",COUNT('Diário 1º PA'!$A$4:$A$2635)+COUNT('Diário 2º PA'!$A$4:$A$3040)+ROW()-3)</f>
        <v/>
      </c>
      <c r="B2530" s="600"/>
      <c r="C2530" s="354"/>
      <c r="D2530" s="343"/>
      <c r="E2530" s="343"/>
      <c r="F2530" s="344"/>
      <c r="G2530" s="343"/>
      <c r="H2530" s="343"/>
      <c r="I2530" s="345"/>
      <c r="J2530" s="343"/>
      <c r="K2530" s="343"/>
      <c r="L2530" s="345"/>
      <c r="M2530" s="343"/>
      <c r="N2530" s="598"/>
      <c r="O2530" s="585"/>
      <c r="P2530" s="71">
        <f t="shared" si="143"/>
        <v>0</v>
      </c>
      <c r="Q2530" s="71">
        <f t="shared" si="142"/>
        <v>0</v>
      </c>
      <c r="R2530" s="93" t="str">
        <f t="shared" si="141"/>
        <v/>
      </c>
    </row>
    <row r="2531" spans="1:18" x14ac:dyDescent="0.2">
      <c r="A2531" s="352" t="str">
        <f>IF(B2531="","",COUNT('Diário 1º PA'!$A$4:$A$2635)+COUNT('Diário 2º PA'!$A$4:$A$3040)+ROW()-3)</f>
        <v/>
      </c>
      <c r="B2531" s="600"/>
      <c r="C2531" s="354"/>
      <c r="D2531" s="343"/>
      <c r="E2531" s="343"/>
      <c r="F2531" s="344"/>
      <c r="G2531" s="343"/>
      <c r="H2531" s="343"/>
      <c r="I2531" s="345"/>
      <c r="J2531" s="343"/>
      <c r="K2531" s="343"/>
      <c r="L2531" s="345"/>
      <c r="M2531" s="343"/>
      <c r="N2531" s="598"/>
      <c r="O2531" s="585"/>
      <c r="P2531" s="71">
        <f t="shared" si="143"/>
        <v>0</v>
      </c>
      <c r="Q2531" s="71">
        <f t="shared" si="142"/>
        <v>0</v>
      </c>
      <c r="R2531" s="93" t="str">
        <f t="shared" si="141"/>
        <v/>
      </c>
    </row>
    <row r="2532" spans="1:18" x14ac:dyDescent="0.2">
      <c r="A2532" s="352" t="str">
        <f>IF(B2532="","",COUNT('Diário 1º PA'!$A$4:$A$2635)+COUNT('Diário 2º PA'!$A$4:$A$3040)+ROW()-3)</f>
        <v/>
      </c>
      <c r="B2532" s="600"/>
      <c r="C2532" s="354"/>
      <c r="D2532" s="343"/>
      <c r="E2532" s="343"/>
      <c r="F2532" s="344"/>
      <c r="G2532" s="343"/>
      <c r="H2532" s="343"/>
      <c r="I2532" s="345"/>
      <c r="J2532" s="343"/>
      <c r="K2532" s="343"/>
      <c r="L2532" s="345"/>
      <c r="M2532" s="343"/>
      <c r="N2532" s="598"/>
      <c r="O2532" s="585"/>
      <c r="P2532" s="71">
        <f t="shared" si="143"/>
        <v>0</v>
      </c>
      <c r="Q2532" s="71">
        <f t="shared" si="142"/>
        <v>0</v>
      </c>
      <c r="R2532" s="93" t="str">
        <f t="shared" si="141"/>
        <v/>
      </c>
    </row>
    <row r="2533" spans="1:18" x14ac:dyDescent="0.2">
      <c r="A2533" s="352" t="str">
        <f>IF(B2533="","",COUNT('Diário 1º PA'!$A$4:$A$2635)+COUNT('Diário 2º PA'!$A$4:$A$3040)+ROW()-3)</f>
        <v/>
      </c>
      <c r="B2533" s="600"/>
      <c r="C2533" s="354"/>
      <c r="D2533" s="343"/>
      <c r="E2533" s="343"/>
      <c r="F2533" s="344"/>
      <c r="G2533" s="343"/>
      <c r="H2533" s="343"/>
      <c r="I2533" s="345"/>
      <c r="J2533" s="343"/>
      <c r="K2533" s="343"/>
      <c r="L2533" s="345"/>
      <c r="M2533" s="343"/>
      <c r="N2533" s="598"/>
      <c r="O2533" s="585"/>
      <c r="P2533" s="71">
        <f t="shared" si="143"/>
        <v>0</v>
      </c>
      <c r="Q2533" s="71">
        <f t="shared" si="142"/>
        <v>0</v>
      </c>
      <c r="R2533" s="93" t="str">
        <f t="shared" si="141"/>
        <v/>
      </c>
    </row>
    <row r="2534" spans="1:18" x14ac:dyDescent="0.2">
      <c r="A2534" s="352" t="str">
        <f>IF(B2534="","",COUNT('Diário 1º PA'!$A$4:$A$2635)+COUNT('Diário 2º PA'!$A$4:$A$3040)+ROW()-3)</f>
        <v/>
      </c>
      <c r="B2534" s="600"/>
      <c r="C2534" s="354"/>
      <c r="D2534" s="343"/>
      <c r="E2534" s="343"/>
      <c r="F2534" s="344"/>
      <c r="G2534" s="343"/>
      <c r="H2534" s="343"/>
      <c r="I2534" s="345"/>
      <c r="J2534" s="343"/>
      <c r="K2534" s="343"/>
      <c r="L2534" s="345"/>
      <c r="M2534" s="343"/>
      <c r="N2534" s="598"/>
      <c r="O2534" s="585"/>
      <c r="P2534" s="71">
        <f t="shared" si="143"/>
        <v>0</v>
      </c>
      <c r="Q2534" s="71">
        <f t="shared" si="142"/>
        <v>0</v>
      </c>
      <c r="R2534" s="93" t="str">
        <f t="shared" si="141"/>
        <v/>
      </c>
    </row>
    <row r="2535" spans="1:18" x14ac:dyDescent="0.2">
      <c r="A2535" s="352" t="str">
        <f>IF(B2535="","",COUNT('Diário 1º PA'!$A$4:$A$2635)+COUNT('Diário 2º PA'!$A$4:$A$3040)+ROW()-3)</f>
        <v/>
      </c>
      <c r="B2535" s="600"/>
      <c r="C2535" s="354"/>
      <c r="D2535" s="343"/>
      <c r="E2535" s="343"/>
      <c r="F2535" s="344"/>
      <c r="G2535" s="343"/>
      <c r="H2535" s="343"/>
      <c r="I2535" s="345"/>
      <c r="J2535" s="343"/>
      <c r="K2535" s="343"/>
      <c r="L2535" s="345"/>
      <c r="M2535" s="343"/>
      <c r="N2535" s="598"/>
      <c r="O2535" s="585"/>
      <c r="P2535" s="71">
        <f t="shared" si="143"/>
        <v>0</v>
      </c>
      <c r="Q2535" s="71">
        <f t="shared" si="142"/>
        <v>0</v>
      </c>
      <c r="R2535" s="93" t="str">
        <f t="shared" si="141"/>
        <v/>
      </c>
    </row>
    <row r="2536" spans="1:18" x14ac:dyDescent="0.2">
      <c r="A2536" s="352" t="str">
        <f>IF(B2536="","",COUNT('Diário 1º PA'!$A$4:$A$2635)+COUNT('Diário 2º PA'!$A$4:$A$3040)+ROW()-3)</f>
        <v/>
      </c>
      <c r="B2536" s="600"/>
      <c r="C2536" s="354"/>
      <c r="D2536" s="343"/>
      <c r="E2536" s="343"/>
      <c r="F2536" s="344"/>
      <c r="G2536" s="343"/>
      <c r="H2536" s="343"/>
      <c r="I2536" s="345"/>
      <c r="J2536" s="343"/>
      <c r="K2536" s="343"/>
      <c r="L2536" s="345"/>
      <c r="M2536" s="343"/>
      <c r="N2536" s="598"/>
      <c r="O2536" s="585"/>
      <c r="P2536" s="71">
        <f t="shared" si="143"/>
        <v>0</v>
      </c>
      <c r="Q2536" s="71">
        <f t="shared" si="142"/>
        <v>0</v>
      </c>
      <c r="R2536" s="93" t="str">
        <f t="shared" si="141"/>
        <v/>
      </c>
    </row>
    <row r="2537" spans="1:18" x14ac:dyDescent="0.2">
      <c r="A2537" s="352" t="str">
        <f>IF(B2537="","",COUNT('Diário 1º PA'!$A$4:$A$2635)+COUNT('Diário 2º PA'!$A$4:$A$3040)+ROW()-3)</f>
        <v/>
      </c>
      <c r="B2537" s="600"/>
      <c r="C2537" s="354"/>
      <c r="D2537" s="343"/>
      <c r="E2537" s="343"/>
      <c r="F2537" s="344"/>
      <c r="G2537" s="343"/>
      <c r="H2537" s="343"/>
      <c r="I2537" s="345"/>
      <c r="J2537" s="343"/>
      <c r="K2537" s="343"/>
      <c r="L2537" s="345"/>
      <c r="M2537" s="343"/>
      <c r="N2537" s="598"/>
      <c r="O2537" s="585"/>
      <c r="P2537" s="71">
        <f t="shared" si="143"/>
        <v>0</v>
      </c>
      <c r="Q2537" s="71">
        <f t="shared" si="142"/>
        <v>0</v>
      </c>
      <c r="R2537" s="93" t="str">
        <f t="shared" si="141"/>
        <v/>
      </c>
    </row>
    <row r="2538" spans="1:18" x14ac:dyDescent="0.2">
      <c r="A2538" s="352" t="str">
        <f>IF(B2538="","",COUNT('Diário 1º PA'!$A$4:$A$2635)+COUNT('Diário 2º PA'!$A$4:$A$3040)+ROW()-3)</f>
        <v/>
      </c>
      <c r="B2538" s="600"/>
      <c r="C2538" s="354"/>
      <c r="D2538" s="343"/>
      <c r="E2538" s="343"/>
      <c r="F2538" s="344"/>
      <c r="G2538" s="343"/>
      <c r="H2538" s="343"/>
      <c r="I2538" s="345"/>
      <c r="J2538" s="343"/>
      <c r="K2538" s="343"/>
      <c r="L2538" s="345"/>
      <c r="M2538" s="343"/>
      <c r="N2538" s="598"/>
      <c r="O2538" s="585"/>
      <c r="P2538" s="71">
        <f t="shared" si="143"/>
        <v>0</v>
      </c>
      <c r="Q2538" s="71">
        <f t="shared" si="142"/>
        <v>0</v>
      </c>
      <c r="R2538" s="93" t="str">
        <f t="shared" si="141"/>
        <v/>
      </c>
    </row>
    <row r="2539" spans="1:18" x14ac:dyDescent="0.2">
      <c r="A2539" s="352" t="str">
        <f>IF(B2539="","",COUNT('Diário 1º PA'!$A$4:$A$2635)+COUNT('Diário 2º PA'!$A$4:$A$3040)+ROW()-3)</f>
        <v/>
      </c>
      <c r="B2539" s="600"/>
      <c r="C2539" s="354"/>
      <c r="D2539" s="343"/>
      <c r="E2539" s="343"/>
      <c r="F2539" s="344"/>
      <c r="G2539" s="343"/>
      <c r="H2539" s="343"/>
      <c r="I2539" s="345"/>
      <c r="J2539" s="343"/>
      <c r="K2539" s="343"/>
      <c r="L2539" s="345"/>
      <c r="M2539" s="343"/>
      <c r="N2539" s="598"/>
      <c r="O2539" s="585"/>
      <c r="P2539" s="71">
        <f t="shared" si="143"/>
        <v>0</v>
      </c>
      <c r="Q2539" s="71">
        <f t="shared" si="142"/>
        <v>0</v>
      </c>
      <c r="R2539" s="93" t="str">
        <f t="shared" si="141"/>
        <v/>
      </c>
    </row>
    <row r="2540" spans="1:18" x14ac:dyDescent="0.2">
      <c r="A2540" s="352" t="str">
        <f>IF(B2540="","",COUNT('Diário 1º PA'!$A$4:$A$2635)+COUNT('Diário 2º PA'!$A$4:$A$3040)+ROW()-3)</f>
        <v/>
      </c>
      <c r="B2540" s="600"/>
      <c r="C2540" s="354"/>
      <c r="D2540" s="343"/>
      <c r="E2540" s="343"/>
      <c r="F2540" s="344"/>
      <c r="G2540" s="343"/>
      <c r="H2540" s="343"/>
      <c r="I2540" s="345"/>
      <c r="J2540" s="343"/>
      <c r="K2540" s="343"/>
      <c r="L2540" s="345"/>
      <c r="M2540" s="343"/>
      <c r="N2540" s="598"/>
      <c r="O2540" s="585"/>
      <c r="P2540" s="71">
        <f t="shared" si="143"/>
        <v>0</v>
      </c>
      <c r="Q2540" s="71">
        <f t="shared" si="142"/>
        <v>0</v>
      </c>
      <c r="R2540" s="93" t="str">
        <f t="shared" si="141"/>
        <v/>
      </c>
    </row>
    <row r="2541" spans="1:18" x14ac:dyDescent="0.2">
      <c r="A2541" s="352" t="str">
        <f>IF(B2541="","",COUNT('Diário 1º PA'!$A$4:$A$2635)+COUNT('Diário 2º PA'!$A$4:$A$3040)+ROW()-3)</f>
        <v/>
      </c>
      <c r="B2541" s="600"/>
      <c r="C2541" s="354"/>
      <c r="D2541" s="343"/>
      <c r="E2541" s="343"/>
      <c r="F2541" s="344"/>
      <c r="G2541" s="343"/>
      <c r="H2541" s="343"/>
      <c r="I2541" s="345"/>
      <c r="J2541" s="343"/>
      <c r="K2541" s="343"/>
      <c r="L2541" s="345"/>
      <c r="M2541" s="343"/>
      <c r="N2541" s="598"/>
      <c r="O2541" s="585"/>
      <c r="P2541" s="71">
        <f t="shared" si="143"/>
        <v>0</v>
      </c>
      <c r="Q2541" s="71">
        <f t="shared" si="142"/>
        <v>0</v>
      </c>
      <c r="R2541" s="93" t="str">
        <f t="shared" si="141"/>
        <v/>
      </c>
    </row>
    <row r="2542" spans="1:18" x14ac:dyDescent="0.2">
      <c r="A2542" s="352" t="str">
        <f>IF(B2542="","",COUNT('Diário 1º PA'!$A$4:$A$2635)+COUNT('Diário 2º PA'!$A$4:$A$3040)+ROW()-3)</f>
        <v/>
      </c>
      <c r="B2542" s="600"/>
      <c r="C2542" s="354"/>
      <c r="D2542" s="343"/>
      <c r="E2542" s="343"/>
      <c r="F2542" s="344"/>
      <c r="G2542" s="343"/>
      <c r="H2542" s="343"/>
      <c r="I2542" s="345"/>
      <c r="J2542" s="343"/>
      <c r="K2542" s="343"/>
      <c r="L2542" s="345"/>
      <c r="M2542" s="343"/>
      <c r="N2542" s="598"/>
      <c r="O2542" s="585"/>
      <c r="P2542" s="71">
        <f t="shared" si="143"/>
        <v>0</v>
      </c>
      <c r="Q2542" s="71">
        <f t="shared" si="142"/>
        <v>0</v>
      </c>
      <c r="R2542" s="93" t="str">
        <f t="shared" si="141"/>
        <v/>
      </c>
    </row>
    <row r="2543" spans="1:18" x14ac:dyDescent="0.2">
      <c r="A2543" s="352" t="str">
        <f>IF(B2543="","",COUNT('Diário 1º PA'!$A$4:$A$2635)+COUNT('Diário 2º PA'!$A$4:$A$3040)+ROW()-3)</f>
        <v/>
      </c>
      <c r="B2543" s="600"/>
      <c r="C2543" s="354"/>
      <c r="D2543" s="343"/>
      <c r="E2543" s="343"/>
      <c r="F2543" s="344"/>
      <c r="G2543" s="343"/>
      <c r="H2543" s="343"/>
      <c r="I2543" s="345"/>
      <c r="J2543" s="343"/>
      <c r="K2543" s="343"/>
      <c r="L2543" s="345"/>
      <c r="M2543" s="343"/>
      <c r="N2543" s="598"/>
      <c r="O2543" s="585"/>
      <c r="P2543" s="71">
        <f t="shared" si="143"/>
        <v>0</v>
      </c>
      <c r="Q2543" s="71">
        <f t="shared" si="142"/>
        <v>0</v>
      </c>
      <c r="R2543" s="93" t="str">
        <f t="shared" si="141"/>
        <v/>
      </c>
    </row>
    <row r="2544" spans="1:18" x14ac:dyDescent="0.2">
      <c r="A2544" s="352" t="str">
        <f>IF(B2544="","",COUNT('Diário 1º PA'!$A$4:$A$2635)+COUNT('Diário 2º PA'!$A$4:$A$3040)+ROW()-3)</f>
        <v/>
      </c>
      <c r="B2544" s="600"/>
      <c r="C2544" s="354"/>
      <c r="D2544" s="343"/>
      <c r="E2544" s="343"/>
      <c r="F2544" s="344"/>
      <c r="G2544" s="343"/>
      <c r="H2544" s="343"/>
      <c r="I2544" s="345"/>
      <c r="J2544" s="343"/>
      <c r="K2544" s="343"/>
      <c r="L2544" s="345"/>
      <c r="M2544" s="343"/>
      <c r="N2544" s="598"/>
      <c r="O2544" s="585"/>
      <c r="P2544" s="71">
        <f t="shared" si="143"/>
        <v>0</v>
      </c>
      <c r="Q2544" s="71">
        <f t="shared" si="142"/>
        <v>0</v>
      </c>
      <c r="R2544" s="93" t="str">
        <f t="shared" si="141"/>
        <v/>
      </c>
    </row>
    <row r="2545" spans="1:18" x14ac:dyDescent="0.2">
      <c r="A2545" s="352" t="str">
        <f>IF(B2545="","",COUNT('Diário 1º PA'!$A$4:$A$2635)+COUNT('Diário 2º PA'!$A$4:$A$3040)+ROW()-3)</f>
        <v/>
      </c>
      <c r="B2545" s="600"/>
      <c r="C2545" s="354"/>
      <c r="D2545" s="343"/>
      <c r="E2545" s="343"/>
      <c r="F2545" s="344"/>
      <c r="G2545" s="343"/>
      <c r="H2545" s="343"/>
      <c r="I2545" s="345"/>
      <c r="J2545" s="343"/>
      <c r="K2545" s="343"/>
      <c r="L2545" s="345"/>
      <c r="M2545" s="343"/>
      <c r="N2545" s="598"/>
      <c r="O2545" s="585"/>
      <c r="P2545" s="71">
        <f t="shared" si="143"/>
        <v>0</v>
      </c>
      <c r="Q2545" s="71">
        <f t="shared" si="142"/>
        <v>0</v>
      </c>
      <c r="R2545" s="93" t="str">
        <f t="shared" si="141"/>
        <v/>
      </c>
    </row>
    <row r="2546" spans="1:18" x14ac:dyDescent="0.2">
      <c r="A2546" s="352" t="str">
        <f>IF(B2546="","",COUNT('Diário 1º PA'!$A$4:$A$2635)+COUNT('Diário 2º PA'!$A$4:$A$3040)+ROW()-3)</f>
        <v/>
      </c>
      <c r="B2546" s="600"/>
      <c r="C2546" s="354"/>
      <c r="D2546" s="343"/>
      <c r="E2546" s="343"/>
      <c r="F2546" s="344"/>
      <c r="G2546" s="343"/>
      <c r="H2546" s="343"/>
      <c r="I2546" s="345"/>
      <c r="J2546" s="343"/>
      <c r="K2546" s="343"/>
      <c r="L2546" s="345"/>
      <c r="M2546" s="343"/>
      <c r="N2546" s="598"/>
      <c r="O2546" s="585"/>
      <c r="P2546" s="71">
        <f t="shared" si="143"/>
        <v>0</v>
      </c>
      <c r="Q2546" s="71">
        <f t="shared" si="142"/>
        <v>0</v>
      </c>
      <c r="R2546" s="93" t="str">
        <f t="shared" si="141"/>
        <v/>
      </c>
    </row>
    <row r="2547" spans="1:18" x14ac:dyDescent="0.2">
      <c r="A2547" s="352" t="str">
        <f>IF(B2547="","",COUNT('Diário 1º PA'!$A$4:$A$2635)+COUNT('Diário 2º PA'!$A$4:$A$3040)+ROW()-3)</f>
        <v/>
      </c>
      <c r="B2547" s="600"/>
      <c r="C2547" s="354"/>
      <c r="D2547" s="343"/>
      <c r="E2547" s="343"/>
      <c r="F2547" s="344"/>
      <c r="G2547" s="343"/>
      <c r="H2547" s="343"/>
      <c r="I2547" s="345"/>
      <c r="J2547" s="343"/>
      <c r="K2547" s="343"/>
      <c r="L2547" s="345"/>
      <c r="M2547" s="343"/>
      <c r="N2547" s="598"/>
      <c r="O2547" s="585"/>
      <c r="P2547" s="71">
        <f t="shared" si="143"/>
        <v>0</v>
      </c>
      <c r="Q2547" s="71">
        <f t="shared" si="142"/>
        <v>0</v>
      </c>
      <c r="R2547" s="93" t="str">
        <f t="shared" si="141"/>
        <v/>
      </c>
    </row>
    <row r="2548" spans="1:18" x14ac:dyDescent="0.2">
      <c r="A2548" s="352" t="str">
        <f>IF(B2548="","",COUNT('Diário 1º PA'!$A$4:$A$2635)+COUNT('Diário 2º PA'!$A$4:$A$3040)+ROW()-3)</f>
        <v/>
      </c>
      <c r="B2548" s="600"/>
      <c r="C2548" s="354"/>
      <c r="D2548" s="343"/>
      <c r="E2548" s="343"/>
      <c r="F2548" s="344"/>
      <c r="G2548" s="343"/>
      <c r="H2548" s="343"/>
      <c r="I2548" s="345"/>
      <c r="J2548" s="343"/>
      <c r="K2548" s="343"/>
      <c r="L2548" s="345"/>
      <c r="M2548" s="343"/>
      <c r="N2548" s="598"/>
      <c r="O2548" s="585"/>
      <c r="P2548" s="71">
        <f t="shared" si="143"/>
        <v>0</v>
      </c>
      <c r="Q2548" s="71">
        <f t="shared" si="142"/>
        <v>0</v>
      </c>
      <c r="R2548" s="93" t="str">
        <f t="shared" si="141"/>
        <v/>
      </c>
    </row>
    <row r="2549" spans="1:18" x14ac:dyDescent="0.2">
      <c r="A2549" s="352" t="str">
        <f>IF(B2549="","",COUNT('Diário 1º PA'!$A$4:$A$2635)+COUNT('Diário 2º PA'!$A$4:$A$3040)+ROW()-3)</f>
        <v/>
      </c>
      <c r="B2549" s="600"/>
      <c r="C2549" s="354"/>
      <c r="D2549" s="343"/>
      <c r="E2549" s="343"/>
      <c r="F2549" s="344"/>
      <c r="G2549" s="343"/>
      <c r="H2549" s="343"/>
      <c r="I2549" s="345"/>
      <c r="J2549" s="343"/>
      <c r="K2549" s="343"/>
      <c r="L2549" s="345"/>
      <c r="M2549" s="343"/>
      <c r="N2549" s="598"/>
      <c r="O2549" s="585"/>
      <c r="P2549" s="71">
        <f t="shared" si="143"/>
        <v>0</v>
      </c>
      <c r="Q2549" s="71">
        <f t="shared" si="142"/>
        <v>0</v>
      </c>
      <c r="R2549" s="93" t="str">
        <f t="shared" si="141"/>
        <v/>
      </c>
    </row>
    <row r="2550" spans="1:18" x14ac:dyDescent="0.2">
      <c r="A2550" s="352" t="str">
        <f>IF(B2550="","",COUNT('Diário 1º PA'!$A$4:$A$2635)+COUNT('Diário 2º PA'!$A$4:$A$3040)+ROW()-3)</f>
        <v/>
      </c>
      <c r="B2550" s="600"/>
      <c r="C2550" s="354"/>
      <c r="D2550" s="343"/>
      <c r="E2550" s="343"/>
      <c r="F2550" s="344"/>
      <c r="G2550" s="343"/>
      <c r="H2550" s="343"/>
      <c r="I2550" s="345"/>
      <c r="J2550" s="343"/>
      <c r="K2550" s="343"/>
      <c r="L2550" s="345"/>
      <c r="M2550" s="343"/>
      <c r="N2550" s="598"/>
      <c r="O2550" s="585"/>
      <c r="P2550" s="71">
        <f t="shared" si="143"/>
        <v>0</v>
      </c>
      <c r="Q2550" s="71">
        <f t="shared" si="142"/>
        <v>0</v>
      </c>
      <c r="R2550" s="93" t="str">
        <f t="shared" si="141"/>
        <v/>
      </c>
    </row>
    <row r="2551" spans="1:18" x14ac:dyDescent="0.2">
      <c r="A2551" s="352" t="str">
        <f>IF(B2551="","",COUNT('Diário 1º PA'!$A$4:$A$2635)+COUNT('Diário 2º PA'!$A$4:$A$3040)+ROW()-3)</f>
        <v/>
      </c>
      <c r="B2551" s="600"/>
      <c r="C2551" s="354"/>
      <c r="D2551" s="343"/>
      <c r="E2551" s="343"/>
      <c r="F2551" s="344"/>
      <c r="G2551" s="343"/>
      <c r="H2551" s="343"/>
      <c r="I2551" s="345"/>
      <c r="J2551" s="343"/>
      <c r="K2551" s="343"/>
      <c r="L2551" s="345"/>
      <c r="M2551" s="343"/>
      <c r="N2551" s="598"/>
      <c r="O2551" s="585"/>
      <c r="P2551" s="71">
        <f t="shared" si="143"/>
        <v>0</v>
      </c>
      <c r="Q2551" s="71">
        <f t="shared" si="142"/>
        <v>0</v>
      </c>
      <c r="R2551" s="93" t="str">
        <f t="shared" si="141"/>
        <v/>
      </c>
    </row>
    <row r="2552" spans="1:18" x14ac:dyDescent="0.2">
      <c r="A2552" s="352" t="str">
        <f>IF(B2552="","",COUNT('Diário 1º PA'!$A$4:$A$2635)+COUNT('Diário 2º PA'!$A$4:$A$3040)+ROW()-3)</f>
        <v/>
      </c>
      <c r="B2552" s="600"/>
      <c r="C2552" s="354"/>
      <c r="D2552" s="343"/>
      <c r="E2552" s="343"/>
      <c r="F2552" s="344"/>
      <c r="G2552" s="343"/>
      <c r="H2552" s="343"/>
      <c r="I2552" s="345"/>
      <c r="J2552" s="343"/>
      <c r="K2552" s="343"/>
      <c r="L2552" s="345"/>
      <c r="M2552" s="343"/>
      <c r="N2552" s="598"/>
      <c r="O2552" s="585"/>
      <c r="P2552" s="71">
        <f t="shared" si="143"/>
        <v>0</v>
      </c>
      <c r="Q2552" s="71">
        <f t="shared" si="142"/>
        <v>0</v>
      </c>
      <c r="R2552" s="93" t="str">
        <f t="shared" si="141"/>
        <v/>
      </c>
    </row>
    <row r="2553" spans="1:18" x14ac:dyDescent="0.2">
      <c r="A2553" s="352" t="str">
        <f>IF(B2553="","",COUNT('Diário 1º PA'!$A$4:$A$2635)+COUNT('Diário 2º PA'!$A$4:$A$3040)+ROW()-3)</f>
        <v/>
      </c>
      <c r="B2553" s="600"/>
      <c r="C2553" s="354"/>
      <c r="D2553" s="343"/>
      <c r="E2553" s="343"/>
      <c r="F2553" s="344"/>
      <c r="G2553" s="343"/>
      <c r="H2553" s="343"/>
      <c r="I2553" s="345"/>
      <c r="J2553" s="343"/>
      <c r="K2553" s="343"/>
      <c r="L2553" s="345"/>
      <c r="M2553" s="343"/>
      <c r="N2553" s="598"/>
      <c r="O2553" s="585"/>
      <c r="P2553" s="71">
        <f t="shared" si="143"/>
        <v>0</v>
      </c>
      <c r="Q2553" s="71">
        <f t="shared" si="142"/>
        <v>0</v>
      </c>
      <c r="R2553" s="93" t="str">
        <f t="shared" si="141"/>
        <v/>
      </c>
    </row>
    <row r="2554" spans="1:18" x14ac:dyDescent="0.2">
      <c r="A2554" s="352" t="str">
        <f>IF(B2554="","",COUNT('Diário 1º PA'!$A$4:$A$2635)+COUNT('Diário 2º PA'!$A$4:$A$3040)+ROW()-3)</f>
        <v/>
      </c>
      <c r="B2554" s="600"/>
      <c r="C2554" s="354"/>
      <c r="D2554" s="343"/>
      <c r="E2554" s="343"/>
      <c r="F2554" s="344"/>
      <c r="G2554" s="343"/>
      <c r="H2554" s="343"/>
      <c r="I2554" s="345"/>
      <c r="J2554" s="343"/>
      <c r="K2554" s="343"/>
      <c r="L2554" s="345"/>
      <c r="M2554" s="343"/>
      <c r="N2554" s="598"/>
      <c r="O2554" s="585"/>
      <c r="P2554" s="71">
        <f t="shared" si="143"/>
        <v>0</v>
      </c>
      <c r="Q2554" s="71">
        <f t="shared" si="142"/>
        <v>0</v>
      </c>
      <c r="R2554" s="93" t="str">
        <f t="shared" si="141"/>
        <v/>
      </c>
    </row>
    <row r="2555" spans="1:18" x14ac:dyDescent="0.2">
      <c r="A2555" s="352" t="str">
        <f>IF(B2555="","",COUNT('Diário 1º PA'!$A$4:$A$2635)+COUNT('Diário 2º PA'!$A$4:$A$3040)+ROW()-3)</f>
        <v/>
      </c>
      <c r="B2555" s="600"/>
      <c r="C2555" s="354"/>
      <c r="D2555" s="343"/>
      <c r="E2555" s="343"/>
      <c r="F2555" s="344"/>
      <c r="G2555" s="343"/>
      <c r="H2555" s="343"/>
      <c r="I2555" s="345"/>
      <c r="J2555" s="343"/>
      <c r="K2555" s="343"/>
      <c r="L2555" s="345"/>
      <c r="M2555" s="343"/>
      <c r="N2555" s="598"/>
      <c r="O2555" s="585"/>
      <c r="P2555" s="71">
        <f t="shared" si="143"/>
        <v>0</v>
      </c>
      <c r="Q2555" s="71">
        <f t="shared" si="142"/>
        <v>0</v>
      </c>
      <c r="R2555" s="93" t="str">
        <f t="shared" si="141"/>
        <v/>
      </c>
    </row>
    <row r="2556" spans="1:18" x14ac:dyDescent="0.2">
      <c r="A2556" s="352" t="str">
        <f>IF(B2556="","",COUNT('Diário 1º PA'!$A$4:$A$2635)+COUNT('Diário 2º PA'!$A$4:$A$3040)+ROW()-3)</f>
        <v/>
      </c>
      <c r="B2556" s="600"/>
      <c r="C2556" s="354"/>
      <c r="D2556" s="343"/>
      <c r="E2556" s="343"/>
      <c r="F2556" s="344"/>
      <c r="G2556" s="343"/>
      <c r="H2556" s="343"/>
      <c r="I2556" s="345"/>
      <c r="J2556" s="343"/>
      <c r="K2556" s="343"/>
      <c r="L2556" s="345"/>
      <c r="M2556" s="343"/>
      <c r="N2556" s="598"/>
      <c r="O2556" s="585"/>
      <c r="P2556" s="71">
        <f t="shared" si="143"/>
        <v>0</v>
      </c>
      <c r="Q2556" s="71">
        <f t="shared" si="142"/>
        <v>0</v>
      </c>
      <c r="R2556" s="93" t="str">
        <f t="shared" si="141"/>
        <v/>
      </c>
    </row>
    <row r="2557" spans="1:18" x14ac:dyDescent="0.2">
      <c r="A2557" s="352" t="str">
        <f>IF(B2557="","",COUNT('Diário 1º PA'!$A$4:$A$2635)+COUNT('Diário 2º PA'!$A$4:$A$3040)+ROW()-3)</f>
        <v/>
      </c>
      <c r="B2557" s="600"/>
      <c r="C2557" s="354"/>
      <c r="D2557" s="343"/>
      <c r="E2557" s="343"/>
      <c r="F2557" s="344"/>
      <c r="G2557" s="343"/>
      <c r="H2557" s="343"/>
      <c r="I2557" s="345"/>
      <c r="J2557" s="343"/>
      <c r="K2557" s="343"/>
      <c r="L2557" s="345"/>
      <c r="M2557" s="343"/>
      <c r="N2557" s="598"/>
      <c r="O2557" s="585"/>
      <c r="P2557" s="71">
        <f t="shared" si="143"/>
        <v>0</v>
      </c>
      <c r="Q2557" s="71">
        <f t="shared" si="142"/>
        <v>0</v>
      </c>
      <c r="R2557" s="93" t="str">
        <f t="shared" si="141"/>
        <v/>
      </c>
    </row>
    <row r="2558" spans="1:18" x14ac:dyDescent="0.2">
      <c r="A2558" s="352" t="str">
        <f>IF(B2558="","",COUNT('Diário 1º PA'!$A$4:$A$2635)+COUNT('Diário 2º PA'!$A$4:$A$3040)+ROW()-3)</f>
        <v/>
      </c>
      <c r="B2558" s="600"/>
      <c r="C2558" s="354"/>
      <c r="D2558" s="343"/>
      <c r="E2558" s="343"/>
      <c r="F2558" s="344"/>
      <c r="G2558" s="343"/>
      <c r="H2558" s="343"/>
      <c r="I2558" s="345"/>
      <c r="J2558" s="343"/>
      <c r="K2558" s="343"/>
      <c r="L2558" s="345"/>
      <c r="M2558" s="343"/>
      <c r="N2558" s="598"/>
      <c r="O2558" s="585"/>
      <c r="P2558" s="71">
        <f t="shared" si="143"/>
        <v>0</v>
      </c>
      <c r="Q2558" s="71">
        <f t="shared" si="142"/>
        <v>0</v>
      </c>
      <c r="R2558" s="93" t="str">
        <f t="shared" si="141"/>
        <v/>
      </c>
    </row>
    <row r="2559" spans="1:18" x14ac:dyDescent="0.2">
      <c r="A2559" s="352" t="str">
        <f>IF(B2559="","",COUNT('Diário 1º PA'!$A$4:$A$2635)+COUNT('Diário 2º PA'!$A$4:$A$3040)+ROW()-3)</f>
        <v/>
      </c>
      <c r="B2559" s="600"/>
      <c r="C2559" s="354"/>
      <c r="D2559" s="343"/>
      <c r="E2559" s="343"/>
      <c r="F2559" s="344"/>
      <c r="G2559" s="343"/>
      <c r="H2559" s="343"/>
      <c r="I2559" s="345"/>
      <c r="J2559" s="343"/>
      <c r="K2559" s="343"/>
      <c r="L2559" s="345"/>
      <c r="M2559" s="343"/>
      <c r="N2559" s="598"/>
      <c r="O2559" s="585"/>
      <c r="P2559" s="71">
        <f t="shared" si="143"/>
        <v>0</v>
      </c>
      <c r="Q2559" s="71">
        <f t="shared" si="142"/>
        <v>0</v>
      </c>
      <c r="R2559" s="93" t="str">
        <f t="shared" si="141"/>
        <v/>
      </c>
    </row>
    <row r="2560" spans="1:18" x14ac:dyDescent="0.2">
      <c r="A2560" s="352" t="str">
        <f>IF(B2560="","",COUNT('Diário 1º PA'!$A$4:$A$2635)+COUNT('Diário 2º PA'!$A$4:$A$3040)+ROW()-3)</f>
        <v/>
      </c>
      <c r="B2560" s="600"/>
      <c r="C2560" s="354"/>
      <c r="D2560" s="343"/>
      <c r="E2560" s="343"/>
      <c r="F2560" s="344"/>
      <c r="G2560" s="343"/>
      <c r="H2560" s="343"/>
      <c r="I2560" s="345"/>
      <c r="J2560" s="343"/>
      <c r="K2560" s="343"/>
      <c r="L2560" s="345"/>
      <c r="M2560" s="343"/>
      <c r="N2560" s="598"/>
      <c r="O2560" s="585"/>
      <c r="P2560" s="71">
        <f t="shared" si="143"/>
        <v>0</v>
      </c>
      <c r="Q2560" s="71">
        <f t="shared" si="142"/>
        <v>0</v>
      </c>
      <c r="R2560" s="93" t="str">
        <f t="shared" si="141"/>
        <v/>
      </c>
    </row>
    <row r="2561" spans="1:18" x14ac:dyDescent="0.2">
      <c r="A2561" s="352" t="str">
        <f>IF(B2561="","",COUNT('Diário 1º PA'!$A$4:$A$2635)+COUNT('Diário 2º PA'!$A$4:$A$3040)+ROW()-3)</f>
        <v/>
      </c>
      <c r="B2561" s="600"/>
      <c r="C2561" s="354"/>
      <c r="D2561" s="343"/>
      <c r="E2561" s="343"/>
      <c r="F2561" s="344"/>
      <c r="G2561" s="343"/>
      <c r="H2561" s="343"/>
      <c r="I2561" s="345"/>
      <c r="J2561" s="343"/>
      <c r="K2561" s="343"/>
      <c r="L2561" s="345"/>
      <c r="M2561" s="343"/>
      <c r="N2561" s="598"/>
      <c r="O2561" s="585"/>
      <c r="P2561" s="71">
        <f t="shared" si="143"/>
        <v>0</v>
      </c>
      <c r="Q2561" s="71">
        <f t="shared" si="142"/>
        <v>0</v>
      </c>
      <c r="R2561" s="93" t="str">
        <f t="shared" si="141"/>
        <v/>
      </c>
    </row>
    <row r="2562" spans="1:18" x14ac:dyDescent="0.2">
      <c r="A2562" s="352" t="str">
        <f>IF(B2562="","",COUNT('Diário 1º PA'!$A$4:$A$2635)+COUNT('Diário 2º PA'!$A$4:$A$3040)+ROW()-3)</f>
        <v/>
      </c>
      <c r="B2562" s="600"/>
      <c r="C2562" s="354"/>
      <c r="D2562" s="343"/>
      <c r="E2562" s="343"/>
      <c r="F2562" s="344"/>
      <c r="G2562" s="343"/>
      <c r="H2562" s="343"/>
      <c r="I2562" s="345"/>
      <c r="J2562" s="343"/>
      <c r="K2562" s="343"/>
      <c r="L2562" s="345"/>
      <c r="M2562" s="343"/>
      <c r="N2562" s="598"/>
      <c r="O2562" s="585"/>
      <c r="P2562" s="71">
        <f t="shared" si="143"/>
        <v>0</v>
      </c>
      <c r="Q2562" s="71">
        <f t="shared" si="142"/>
        <v>0</v>
      </c>
      <c r="R2562" s="93" t="str">
        <f t="shared" si="141"/>
        <v/>
      </c>
    </row>
    <row r="2563" spans="1:18" x14ac:dyDescent="0.2">
      <c r="A2563" s="352" t="str">
        <f>IF(B2563="","",COUNT('Diário 1º PA'!$A$4:$A$2635)+COUNT('Diário 2º PA'!$A$4:$A$3040)+ROW()-3)</f>
        <v/>
      </c>
      <c r="B2563" s="600"/>
      <c r="C2563" s="354"/>
      <c r="D2563" s="343"/>
      <c r="E2563" s="343"/>
      <c r="F2563" s="344"/>
      <c r="G2563" s="343"/>
      <c r="H2563" s="343"/>
      <c r="I2563" s="345"/>
      <c r="J2563" s="343"/>
      <c r="K2563" s="343"/>
      <c r="L2563" s="345"/>
      <c r="M2563" s="343"/>
      <c r="N2563" s="598"/>
      <c r="O2563" s="585"/>
      <c r="P2563" s="71">
        <f t="shared" si="143"/>
        <v>0</v>
      </c>
      <c r="Q2563" s="71">
        <f t="shared" si="142"/>
        <v>0</v>
      </c>
      <c r="R2563" s="93" t="str">
        <f t="shared" si="141"/>
        <v/>
      </c>
    </row>
    <row r="2564" spans="1:18" x14ac:dyDescent="0.2">
      <c r="A2564" s="352" t="str">
        <f>IF(B2564="","",COUNT('Diário 1º PA'!$A$4:$A$2635)+COUNT('Diário 2º PA'!$A$4:$A$3040)+ROW()-3)</f>
        <v/>
      </c>
      <c r="B2564" s="600"/>
      <c r="C2564" s="354"/>
      <c r="D2564" s="343"/>
      <c r="E2564" s="343"/>
      <c r="F2564" s="344"/>
      <c r="G2564" s="343"/>
      <c r="H2564" s="343"/>
      <c r="I2564" s="345"/>
      <c r="J2564" s="343"/>
      <c r="K2564" s="343"/>
      <c r="L2564" s="345"/>
      <c r="M2564" s="343"/>
      <c r="N2564" s="598"/>
      <c r="O2564" s="585"/>
      <c r="P2564" s="71">
        <f t="shared" si="143"/>
        <v>0</v>
      </c>
      <c r="Q2564" s="71">
        <f t="shared" si="142"/>
        <v>0</v>
      </c>
      <c r="R2564" s="93" t="str">
        <f t="shared" ref="R2564:R2627" si="144">SUBSTITUTE(D2564," ","_")</f>
        <v/>
      </c>
    </row>
    <row r="2565" spans="1:18" x14ac:dyDescent="0.2">
      <c r="A2565" s="352" t="str">
        <f>IF(B2565="","",COUNT('Diário 1º PA'!$A$4:$A$2635)+COUNT('Diário 2º PA'!$A$4:$A$3040)+ROW()-3)</f>
        <v/>
      </c>
      <c r="B2565" s="600"/>
      <c r="C2565" s="354"/>
      <c r="D2565" s="343"/>
      <c r="E2565" s="343"/>
      <c r="F2565" s="344"/>
      <c r="G2565" s="343"/>
      <c r="H2565" s="343"/>
      <c r="I2565" s="345"/>
      <c r="J2565" s="343"/>
      <c r="K2565" s="343"/>
      <c r="L2565" s="345"/>
      <c r="M2565" s="343"/>
      <c r="N2565" s="598"/>
      <c r="O2565" s="585"/>
      <c r="P2565" s="71">
        <f t="shared" si="143"/>
        <v>0</v>
      </c>
      <c r="Q2565" s="71">
        <f t="shared" si="142"/>
        <v>0</v>
      </c>
      <c r="R2565" s="93" t="str">
        <f t="shared" si="144"/>
        <v/>
      </c>
    </row>
    <row r="2566" spans="1:18" x14ac:dyDescent="0.2">
      <c r="A2566" s="352" t="str">
        <f>IF(B2566="","",COUNT('Diário 1º PA'!$A$4:$A$2635)+COUNT('Diário 2º PA'!$A$4:$A$3040)+ROW()-3)</f>
        <v/>
      </c>
      <c r="B2566" s="600"/>
      <c r="C2566" s="354"/>
      <c r="D2566" s="343"/>
      <c r="E2566" s="343"/>
      <c r="F2566" s="344"/>
      <c r="G2566" s="343"/>
      <c r="H2566" s="343"/>
      <c r="I2566" s="345"/>
      <c r="J2566" s="343"/>
      <c r="K2566" s="343"/>
      <c r="L2566" s="345"/>
      <c r="M2566" s="343"/>
      <c r="N2566" s="598"/>
      <c r="O2566" s="585"/>
      <c r="P2566" s="71">
        <f t="shared" si="143"/>
        <v>0</v>
      </c>
      <c r="Q2566" s="71">
        <f t="shared" si="142"/>
        <v>0</v>
      </c>
      <c r="R2566" s="93" t="str">
        <f t="shared" si="144"/>
        <v/>
      </c>
    </row>
    <row r="2567" spans="1:18" x14ac:dyDescent="0.2">
      <c r="A2567" s="352" t="str">
        <f>IF(B2567="","",COUNT('Diário 1º PA'!$A$4:$A$2635)+COUNT('Diário 2º PA'!$A$4:$A$3040)+ROW()-3)</f>
        <v/>
      </c>
      <c r="B2567" s="600"/>
      <c r="C2567" s="354"/>
      <c r="D2567" s="343"/>
      <c r="E2567" s="343"/>
      <c r="F2567" s="344"/>
      <c r="G2567" s="343"/>
      <c r="H2567" s="343"/>
      <c r="I2567" s="345"/>
      <c r="J2567" s="343"/>
      <c r="K2567" s="343"/>
      <c r="L2567" s="345"/>
      <c r="M2567" s="343"/>
      <c r="N2567" s="598"/>
      <c r="O2567" s="585"/>
      <c r="P2567" s="71">
        <f t="shared" si="143"/>
        <v>0</v>
      </c>
      <c r="Q2567" s="71">
        <f t="shared" si="142"/>
        <v>0</v>
      </c>
      <c r="R2567" s="93" t="str">
        <f t="shared" si="144"/>
        <v/>
      </c>
    </row>
    <row r="2568" spans="1:18" x14ac:dyDescent="0.2">
      <c r="A2568" s="352" t="str">
        <f>IF(B2568="","",COUNT('Diário 1º PA'!$A$4:$A$2635)+COUNT('Diário 2º PA'!$A$4:$A$3040)+ROW()-3)</f>
        <v/>
      </c>
      <c r="B2568" s="600"/>
      <c r="C2568" s="354"/>
      <c r="D2568" s="343"/>
      <c r="E2568" s="343"/>
      <c r="F2568" s="344"/>
      <c r="G2568" s="343"/>
      <c r="H2568" s="343"/>
      <c r="I2568" s="345"/>
      <c r="J2568" s="343"/>
      <c r="K2568" s="343"/>
      <c r="L2568" s="345"/>
      <c r="M2568" s="343"/>
      <c r="N2568" s="598"/>
      <c r="O2568" s="585"/>
      <c r="P2568" s="71">
        <f t="shared" si="143"/>
        <v>0</v>
      </c>
      <c r="Q2568" s="71">
        <f t="shared" si="142"/>
        <v>0</v>
      </c>
      <c r="R2568" s="93" t="str">
        <f t="shared" si="144"/>
        <v/>
      </c>
    </row>
    <row r="2569" spans="1:18" x14ac:dyDescent="0.2">
      <c r="A2569" s="352" t="str">
        <f>IF(B2569="","",COUNT('Diário 1º PA'!$A$4:$A$2635)+COUNT('Diário 2º PA'!$A$4:$A$3040)+ROW()-3)</f>
        <v/>
      </c>
      <c r="B2569" s="600"/>
      <c r="C2569" s="354"/>
      <c r="D2569" s="343"/>
      <c r="E2569" s="343"/>
      <c r="F2569" s="344"/>
      <c r="G2569" s="343"/>
      <c r="H2569" s="343"/>
      <c r="I2569" s="345"/>
      <c r="J2569" s="343"/>
      <c r="K2569" s="343"/>
      <c r="L2569" s="345"/>
      <c r="M2569" s="343"/>
      <c r="N2569" s="598"/>
      <c r="O2569" s="585"/>
      <c r="P2569" s="71">
        <f t="shared" si="143"/>
        <v>0</v>
      </c>
      <c r="Q2569" s="71">
        <f t="shared" si="142"/>
        <v>0</v>
      </c>
      <c r="R2569" s="93" t="str">
        <f t="shared" si="144"/>
        <v/>
      </c>
    </row>
    <row r="2570" spans="1:18" x14ac:dyDescent="0.2">
      <c r="A2570" s="352" t="str">
        <f>IF(B2570="","",COUNT('Diário 1º PA'!$A$4:$A$2635)+COUNT('Diário 2º PA'!$A$4:$A$3040)+ROW()-3)</f>
        <v/>
      </c>
      <c r="B2570" s="600"/>
      <c r="C2570" s="354"/>
      <c r="D2570" s="343"/>
      <c r="E2570" s="343"/>
      <c r="F2570" s="344"/>
      <c r="G2570" s="343"/>
      <c r="H2570" s="343"/>
      <c r="I2570" s="345"/>
      <c r="J2570" s="343"/>
      <c r="K2570" s="343"/>
      <c r="L2570" s="345"/>
      <c r="M2570" s="343"/>
      <c r="N2570" s="598"/>
      <c r="O2570" s="585"/>
      <c r="P2570" s="71">
        <f t="shared" si="143"/>
        <v>0</v>
      </c>
      <c r="Q2570" s="71">
        <f t="shared" si="142"/>
        <v>0</v>
      </c>
      <c r="R2570" s="93" t="str">
        <f t="shared" si="144"/>
        <v/>
      </c>
    </row>
    <row r="2571" spans="1:18" x14ac:dyDescent="0.2">
      <c r="A2571" s="352" t="str">
        <f>IF(B2571="","",COUNT('Diário 1º PA'!$A$4:$A$2635)+COUNT('Diário 2º PA'!$A$4:$A$3040)+ROW()-3)</f>
        <v/>
      </c>
      <c r="B2571" s="600"/>
      <c r="C2571" s="354"/>
      <c r="D2571" s="343"/>
      <c r="E2571" s="343"/>
      <c r="F2571" s="344"/>
      <c r="G2571" s="343"/>
      <c r="H2571" s="343"/>
      <c r="I2571" s="345"/>
      <c r="J2571" s="343"/>
      <c r="K2571" s="343"/>
      <c r="L2571" s="345"/>
      <c r="M2571" s="343"/>
      <c r="N2571" s="598"/>
      <c r="O2571" s="585"/>
      <c r="P2571" s="71">
        <f t="shared" si="143"/>
        <v>0</v>
      </c>
      <c r="Q2571" s="71">
        <f t="shared" si="142"/>
        <v>0</v>
      </c>
      <c r="R2571" s="93" t="str">
        <f t="shared" si="144"/>
        <v/>
      </c>
    </row>
    <row r="2572" spans="1:18" x14ac:dyDescent="0.2">
      <c r="A2572" s="352" t="str">
        <f>IF(B2572="","",COUNT('Diário 1º PA'!$A$4:$A$2635)+COUNT('Diário 2º PA'!$A$4:$A$3040)+ROW()-3)</f>
        <v/>
      </c>
      <c r="B2572" s="600"/>
      <c r="C2572" s="354"/>
      <c r="D2572" s="343"/>
      <c r="E2572" s="343"/>
      <c r="F2572" s="344"/>
      <c r="G2572" s="343"/>
      <c r="H2572" s="343"/>
      <c r="I2572" s="345"/>
      <c r="J2572" s="343"/>
      <c r="K2572" s="343"/>
      <c r="L2572" s="345"/>
      <c r="M2572" s="343"/>
      <c r="N2572" s="598"/>
      <c r="O2572" s="585"/>
      <c r="P2572" s="71">
        <f t="shared" si="143"/>
        <v>0</v>
      </c>
      <c r="Q2572" s="71">
        <f t="shared" si="142"/>
        <v>0</v>
      </c>
      <c r="R2572" s="93" t="str">
        <f t="shared" si="144"/>
        <v/>
      </c>
    </row>
    <row r="2573" spans="1:18" x14ac:dyDescent="0.2">
      <c r="A2573" s="352" t="str">
        <f>IF(B2573="","",COUNT('Diário 1º PA'!$A$4:$A$2635)+COUNT('Diário 2º PA'!$A$4:$A$3040)+ROW()-3)</f>
        <v/>
      </c>
      <c r="B2573" s="600"/>
      <c r="C2573" s="354"/>
      <c r="D2573" s="343"/>
      <c r="E2573" s="343"/>
      <c r="F2573" s="344"/>
      <c r="G2573" s="343"/>
      <c r="H2573" s="343"/>
      <c r="I2573" s="345"/>
      <c r="J2573" s="343"/>
      <c r="K2573" s="343"/>
      <c r="L2573" s="345"/>
      <c r="M2573" s="343"/>
      <c r="N2573" s="598"/>
      <c r="O2573" s="585"/>
      <c r="P2573" s="71">
        <f t="shared" si="143"/>
        <v>0</v>
      </c>
      <c r="Q2573" s="71">
        <f t="shared" si="142"/>
        <v>0</v>
      </c>
      <c r="R2573" s="93" t="str">
        <f t="shared" si="144"/>
        <v/>
      </c>
    </row>
    <row r="2574" spans="1:18" x14ac:dyDescent="0.2">
      <c r="A2574" s="352" t="str">
        <f>IF(B2574="","",COUNT('Diário 1º PA'!$A$4:$A$2635)+COUNT('Diário 2º PA'!$A$4:$A$3040)+ROW()-3)</f>
        <v/>
      </c>
      <c r="B2574" s="600"/>
      <c r="C2574" s="354"/>
      <c r="D2574" s="343"/>
      <c r="E2574" s="343"/>
      <c r="F2574" s="344"/>
      <c r="G2574" s="343"/>
      <c r="H2574" s="343"/>
      <c r="I2574" s="345"/>
      <c r="J2574" s="343"/>
      <c r="K2574" s="343"/>
      <c r="L2574" s="345"/>
      <c r="M2574" s="343"/>
      <c r="N2574" s="598"/>
      <c r="O2574" s="585"/>
      <c r="P2574" s="71">
        <f t="shared" si="143"/>
        <v>0</v>
      </c>
      <c r="Q2574" s="71">
        <f t="shared" si="142"/>
        <v>0</v>
      </c>
      <c r="R2574" s="93" t="str">
        <f t="shared" si="144"/>
        <v/>
      </c>
    </row>
    <row r="2575" spans="1:18" x14ac:dyDescent="0.2">
      <c r="A2575" s="352" t="str">
        <f>IF(B2575="","",COUNT('Diário 1º PA'!$A$4:$A$2635)+COUNT('Diário 2º PA'!$A$4:$A$3040)+ROW()-3)</f>
        <v/>
      </c>
      <c r="B2575" s="600"/>
      <c r="C2575" s="354"/>
      <c r="D2575" s="343"/>
      <c r="E2575" s="343"/>
      <c r="F2575" s="344"/>
      <c r="G2575" s="343"/>
      <c r="H2575" s="343"/>
      <c r="I2575" s="345"/>
      <c r="J2575" s="343"/>
      <c r="K2575" s="343"/>
      <c r="L2575" s="345"/>
      <c r="M2575" s="343"/>
      <c r="N2575" s="598"/>
      <c r="O2575" s="585"/>
      <c r="P2575" s="71">
        <f t="shared" si="143"/>
        <v>0</v>
      </c>
      <c r="Q2575" s="71">
        <f t="shared" ref="Q2575:Q2638" si="145">IF(C2575=0,0,IF(YEAR(C2575)=$Q$1,MONTH(C2575)-$P$1+1,(YEAR(C2575)-$Q$1)*12-$P$1+1+MONTH(C2575)))</f>
        <v>0</v>
      </c>
      <c r="R2575" s="93" t="str">
        <f t="shared" si="144"/>
        <v/>
      </c>
    </row>
    <row r="2576" spans="1:18" x14ac:dyDescent="0.2">
      <c r="A2576" s="352" t="str">
        <f>IF(B2576="","",COUNT('Diário 1º PA'!$A$4:$A$2635)+COUNT('Diário 2º PA'!$A$4:$A$3040)+ROW()-3)</f>
        <v/>
      </c>
      <c r="B2576" s="600"/>
      <c r="C2576" s="354"/>
      <c r="D2576" s="343"/>
      <c r="E2576" s="343"/>
      <c r="F2576" s="344"/>
      <c r="G2576" s="343"/>
      <c r="H2576" s="343"/>
      <c r="I2576" s="345"/>
      <c r="J2576" s="343"/>
      <c r="K2576" s="343"/>
      <c r="L2576" s="345"/>
      <c r="M2576" s="343"/>
      <c r="N2576" s="598"/>
      <c r="O2576" s="585"/>
      <c r="P2576" s="71">
        <f t="shared" si="143"/>
        <v>0</v>
      </c>
      <c r="Q2576" s="71">
        <f t="shared" si="145"/>
        <v>0</v>
      </c>
      <c r="R2576" s="93" t="str">
        <f t="shared" si="144"/>
        <v/>
      </c>
    </row>
    <row r="2577" spans="1:18" x14ac:dyDescent="0.2">
      <c r="A2577" s="352" t="str">
        <f>IF(B2577="","",COUNT('Diário 1º PA'!$A$4:$A$2635)+COUNT('Diário 2º PA'!$A$4:$A$3040)+ROW()-3)</f>
        <v/>
      </c>
      <c r="B2577" s="600"/>
      <c r="C2577" s="354"/>
      <c r="D2577" s="343"/>
      <c r="E2577" s="343"/>
      <c r="F2577" s="344"/>
      <c r="G2577" s="343"/>
      <c r="H2577" s="343"/>
      <c r="I2577" s="345"/>
      <c r="J2577" s="343"/>
      <c r="K2577" s="343"/>
      <c r="L2577" s="345"/>
      <c r="M2577" s="343"/>
      <c r="N2577" s="598"/>
      <c r="O2577" s="585"/>
      <c r="P2577" s="71">
        <f t="shared" ref="P2577:P2640" si="146">IF(B2577=0,0,IF(YEAR(B2577)=$Q$1,MONTH(B2577)-$P$1+1,(YEAR(B2577)-$Q$1)*12-$P$1+1+MONTH(B2577)))</f>
        <v>0</v>
      </c>
      <c r="Q2577" s="71">
        <f t="shared" si="145"/>
        <v>0</v>
      </c>
      <c r="R2577" s="93" t="str">
        <f t="shared" si="144"/>
        <v/>
      </c>
    </row>
    <row r="2578" spans="1:18" x14ac:dyDescent="0.2">
      <c r="A2578" s="352" t="str">
        <f>IF(B2578="","",COUNT('Diário 1º PA'!$A$4:$A$2635)+COUNT('Diário 2º PA'!$A$4:$A$3040)+ROW()-3)</f>
        <v/>
      </c>
      <c r="B2578" s="600"/>
      <c r="C2578" s="354"/>
      <c r="D2578" s="343"/>
      <c r="E2578" s="343"/>
      <c r="F2578" s="344"/>
      <c r="G2578" s="343"/>
      <c r="H2578" s="343"/>
      <c r="I2578" s="345"/>
      <c r="J2578" s="343"/>
      <c r="K2578" s="343"/>
      <c r="L2578" s="345"/>
      <c r="M2578" s="343"/>
      <c r="N2578" s="598"/>
      <c r="O2578" s="585"/>
      <c r="P2578" s="71">
        <f t="shared" si="146"/>
        <v>0</v>
      </c>
      <c r="Q2578" s="71">
        <f t="shared" si="145"/>
        <v>0</v>
      </c>
      <c r="R2578" s="93" t="str">
        <f t="shared" si="144"/>
        <v/>
      </c>
    </row>
    <row r="2579" spans="1:18" x14ac:dyDescent="0.2">
      <c r="A2579" s="352" t="str">
        <f>IF(B2579="","",COUNT('Diário 1º PA'!$A$4:$A$2635)+COUNT('Diário 2º PA'!$A$4:$A$3040)+ROW()-3)</f>
        <v/>
      </c>
      <c r="B2579" s="600"/>
      <c r="C2579" s="354"/>
      <c r="D2579" s="343"/>
      <c r="E2579" s="343"/>
      <c r="F2579" s="344"/>
      <c r="G2579" s="343"/>
      <c r="H2579" s="343"/>
      <c r="I2579" s="345"/>
      <c r="J2579" s="343"/>
      <c r="K2579" s="343"/>
      <c r="L2579" s="345"/>
      <c r="M2579" s="343"/>
      <c r="N2579" s="598"/>
      <c r="O2579" s="585"/>
      <c r="P2579" s="71">
        <f t="shared" si="146"/>
        <v>0</v>
      </c>
      <c r="Q2579" s="71">
        <f t="shared" si="145"/>
        <v>0</v>
      </c>
      <c r="R2579" s="93" t="str">
        <f t="shared" si="144"/>
        <v/>
      </c>
    </row>
    <row r="2580" spans="1:18" x14ac:dyDescent="0.2">
      <c r="A2580" s="352" t="str">
        <f>IF(B2580="","",COUNT('Diário 1º PA'!$A$4:$A$2635)+COUNT('Diário 2º PA'!$A$4:$A$3040)+ROW()-3)</f>
        <v/>
      </c>
      <c r="B2580" s="600"/>
      <c r="C2580" s="354"/>
      <c r="D2580" s="343"/>
      <c r="E2580" s="343"/>
      <c r="F2580" s="344"/>
      <c r="G2580" s="343"/>
      <c r="H2580" s="343"/>
      <c r="I2580" s="345"/>
      <c r="J2580" s="343"/>
      <c r="K2580" s="343"/>
      <c r="L2580" s="345"/>
      <c r="M2580" s="343"/>
      <c r="N2580" s="598"/>
      <c r="O2580" s="585"/>
      <c r="P2580" s="71">
        <f t="shared" si="146"/>
        <v>0</v>
      </c>
      <c r="Q2580" s="71">
        <f t="shared" si="145"/>
        <v>0</v>
      </c>
      <c r="R2580" s="93" t="str">
        <f t="shared" si="144"/>
        <v/>
      </c>
    </row>
    <row r="2581" spans="1:18" x14ac:dyDescent="0.2">
      <c r="A2581" s="352" t="str">
        <f>IF(B2581="","",COUNT('Diário 1º PA'!$A$4:$A$2635)+COUNT('Diário 2º PA'!$A$4:$A$3040)+ROW()-3)</f>
        <v/>
      </c>
      <c r="B2581" s="600"/>
      <c r="C2581" s="354"/>
      <c r="D2581" s="343"/>
      <c r="E2581" s="343"/>
      <c r="F2581" s="344"/>
      <c r="G2581" s="343"/>
      <c r="H2581" s="343"/>
      <c r="I2581" s="345"/>
      <c r="J2581" s="343"/>
      <c r="K2581" s="343"/>
      <c r="L2581" s="345"/>
      <c r="M2581" s="343"/>
      <c r="N2581" s="598"/>
      <c r="O2581" s="585"/>
      <c r="P2581" s="71">
        <f t="shared" si="146"/>
        <v>0</v>
      </c>
      <c r="Q2581" s="71">
        <f t="shared" si="145"/>
        <v>0</v>
      </c>
      <c r="R2581" s="93" t="str">
        <f t="shared" si="144"/>
        <v/>
      </c>
    </row>
    <row r="2582" spans="1:18" x14ac:dyDescent="0.2">
      <c r="A2582" s="352" t="str">
        <f>IF(B2582="","",COUNT('Diário 1º PA'!$A$4:$A$2635)+COUNT('Diário 2º PA'!$A$4:$A$3040)+ROW()-3)</f>
        <v/>
      </c>
      <c r="B2582" s="600"/>
      <c r="C2582" s="354"/>
      <c r="D2582" s="343"/>
      <c r="E2582" s="343"/>
      <c r="F2582" s="344"/>
      <c r="G2582" s="343"/>
      <c r="H2582" s="343"/>
      <c r="I2582" s="345"/>
      <c r="J2582" s="343"/>
      <c r="K2582" s="343"/>
      <c r="L2582" s="345"/>
      <c r="M2582" s="343"/>
      <c r="N2582" s="598"/>
      <c r="O2582" s="585"/>
      <c r="P2582" s="71">
        <f t="shared" si="146"/>
        <v>0</v>
      </c>
      <c r="Q2582" s="71">
        <f t="shared" si="145"/>
        <v>0</v>
      </c>
      <c r="R2582" s="93" t="str">
        <f t="shared" si="144"/>
        <v/>
      </c>
    </row>
    <row r="2583" spans="1:18" x14ac:dyDescent="0.2">
      <c r="A2583" s="352" t="str">
        <f>IF(B2583="","",COUNT('Diário 1º PA'!$A$4:$A$2635)+COUNT('Diário 2º PA'!$A$4:$A$3040)+ROW()-3)</f>
        <v/>
      </c>
      <c r="B2583" s="600"/>
      <c r="C2583" s="354"/>
      <c r="D2583" s="343"/>
      <c r="E2583" s="343"/>
      <c r="F2583" s="344"/>
      <c r="G2583" s="343"/>
      <c r="H2583" s="343"/>
      <c r="I2583" s="345"/>
      <c r="J2583" s="343"/>
      <c r="K2583" s="343"/>
      <c r="L2583" s="345"/>
      <c r="M2583" s="343"/>
      <c r="N2583" s="598"/>
      <c r="O2583" s="585"/>
      <c r="P2583" s="71">
        <f t="shared" si="146"/>
        <v>0</v>
      </c>
      <c r="Q2583" s="71">
        <f t="shared" si="145"/>
        <v>0</v>
      </c>
      <c r="R2583" s="93" t="str">
        <f t="shared" si="144"/>
        <v/>
      </c>
    </row>
    <row r="2584" spans="1:18" x14ac:dyDescent="0.2">
      <c r="A2584" s="352" t="str">
        <f>IF(B2584="","",COUNT('Diário 1º PA'!$A$4:$A$2635)+COUNT('Diário 2º PA'!$A$4:$A$3040)+ROW()-3)</f>
        <v/>
      </c>
      <c r="B2584" s="600"/>
      <c r="C2584" s="354"/>
      <c r="D2584" s="343"/>
      <c r="E2584" s="343"/>
      <c r="F2584" s="344"/>
      <c r="G2584" s="343"/>
      <c r="H2584" s="343"/>
      <c r="I2584" s="345"/>
      <c r="J2584" s="343"/>
      <c r="K2584" s="343"/>
      <c r="L2584" s="345"/>
      <c r="M2584" s="343"/>
      <c r="N2584" s="598"/>
      <c r="O2584" s="585"/>
      <c r="P2584" s="71">
        <f t="shared" si="146"/>
        <v>0</v>
      </c>
      <c r="Q2584" s="71">
        <f t="shared" si="145"/>
        <v>0</v>
      </c>
      <c r="R2584" s="93" t="str">
        <f t="shared" si="144"/>
        <v/>
      </c>
    </row>
    <row r="2585" spans="1:18" x14ac:dyDescent="0.2">
      <c r="A2585" s="352" t="str">
        <f>IF(B2585="","",COUNT('Diário 1º PA'!$A$4:$A$2635)+COUNT('Diário 2º PA'!$A$4:$A$3040)+ROW()-3)</f>
        <v/>
      </c>
      <c r="B2585" s="600"/>
      <c r="C2585" s="354"/>
      <c r="D2585" s="343"/>
      <c r="E2585" s="343"/>
      <c r="F2585" s="344"/>
      <c r="G2585" s="343"/>
      <c r="H2585" s="343"/>
      <c r="I2585" s="345"/>
      <c r="J2585" s="343"/>
      <c r="K2585" s="343"/>
      <c r="L2585" s="345"/>
      <c r="M2585" s="343"/>
      <c r="N2585" s="598"/>
      <c r="O2585" s="585"/>
      <c r="P2585" s="71">
        <f t="shared" si="146"/>
        <v>0</v>
      </c>
      <c r="Q2585" s="71">
        <f t="shared" si="145"/>
        <v>0</v>
      </c>
      <c r="R2585" s="93" t="str">
        <f t="shared" si="144"/>
        <v/>
      </c>
    </row>
    <row r="2586" spans="1:18" x14ac:dyDescent="0.2">
      <c r="A2586" s="352" t="str">
        <f>IF(B2586="","",COUNT('Diário 1º PA'!$A$4:$A$2635)+COUNT('Diário 2º PA'!$A$4:$A$3040)+ROW()-3)</f>
        <v/>
      </c>
      <c r="B2586" s="600"/>
      <c r="C2586" s="354"/>
      <c r="D2586" s="343"/>
      <c r="E2586" s="343"/>
      <c r="F2586" s="344"/>
      <c r="G2586" s="343"/>
      <c r="H2586" s="343"/>
      <c r="I2586" s="345"/>
      <c r="J2586" s="343"/>
      <c r="K2586" s="343"/>
      <c r="L2586" s="345"/>
      <c r="M2586" s="343"/>
      <c r="N2586" s="598"/>
      <c r="O2586" s="585"/>
      <c r="P2586" s="71">
        <f t="shared" si="146"/>
        <v>0</v>
      </c>
      <c r="Q2586" s="71">
        <f t="shared" si="145"/>
        <v>0</v>
      </c>
      <c r="R2586" s="93" t="str">
        <f t="shared" si="144"/>
        <v/>
      </c>
    </row>
    <row r="2587" spans="1:18" x14ac:dyDescent="0.2">
      <c r="A2587" s="352" t="str">
        <f>IF(B2587="","",COUNT('Diário 1º PA'!$A$4:$A$2635)+COUNT('Diário 2º PA'!$A$4:$A$3040)+ROW()-3)</f>
        <v/>
      </c>
      <c r="B2587" s="600"/>
      <c r="C2587" s="354"/>
      <c r="D2587" s="343"/>
      <c r="E2587" s="343"/>
      <c r="F2587" s="344"/>
      <c r="G2587" s="343"/>
      <c r="H2587" s="343"/>
      <c r="I2587" s="345"/>
      <c r="J2587" s="343"/>
      <c r="K2587" s="343"/>
      <c r="L2587" s="345"/>
      <c r="M2587" s="343"/>
      <c r="N2587" s="598"/>
      <c r="O2587" s="585"/>
      <c r="P2587" s="71">
        <f t="shared" si="146"/>
        <v>0</v>
      </c>
      <c r="Q2587" s="71">
        <f t="shared" si="145"/>
        <v>0</v>
      </c>
      <c r="R2587" s="93" t="str">
        <f t="shared" si="144"/>
        <v/>
      </c>
    </row>
    <row r="2588" spans="1:18" x14ac:dyDescent="0.2">
      <c r="A2588" s="352" t="str">
        <f>IF(B2588="","",COUNT('Diário 1º PA'!$A$4:$A$2635)+COUNT('Diário 2º PA'!$A$4:$A$3040)+ROW()-3)</f>
        <v/>
      </c>
      <c r="B2588" s="600"/>
      <c r="C2588" s="354"/>
      <c r="D2588" s="343"/>
      <c r="E2588" s="343"/>
      <c r="F2588" s="344"/>
      <c r="G2588" s="343"/>
      <c r="H2588" s="343"/>
      <c r="I2588" s="345"/>
      <c r="J2588" s="343"/>
      <c r="K2588" s="343"/>
      <c r="L2588" s="345"/>
      <c r="M2588" s="343"/>
      <c r="N2588" s="598"/>
      <c r="O2588" s="585"/>
      <c r="P2588" s="71">
        <f t="shared" si="146"/>
        <v>0</v>
      </c>
      <c r="Q2588" s="71">
        <f t="shared" si="145"/>
        <v>0</v>
      </c>
      <c r="R2588" s="93" t="str">
        <f t="shared" si="144"/>
        <v/>
      </c>
    </row>
    <row r="2589" spans="1:18" x14ac:dyDescent="0.2">
      <c r="A2589" s="352" t="str">
        <f>IF(B2589="","",COUNT('Diário 1º PA'!$A$4:$A$2635)+COUNT('Diário 2º PA'!$A$4:$A$3040)+ROW()-3)</f>
        <v/>
      </c>
      <c r="B2589" s="600"/>
      <c r="C2589" s="354"/>
      <c r="D2589" s="343"/>
      <c r="E2589" s="343"/>
      <c r="F2589" s="344"/>
      <c r="G2589" s="343"/>
      <c r="H2589" s="343"/>
      <c r="I2589" s="345"/>
      <c r="J2589" s="343"/>
      <c r="K2589" s="343"/>
      <c r="L2589" s="345"/>
      <c r="M2589" s="343"/>
      <c r="N2589" s="598"/>
      <c r="O2589" s="585"/>
      <c r="P2589" s="71">
        <f t="shared" si="146"/>
        <v>0</v>
      </c>
      <c r="Q2589" s="71">
        <f t="shared" si="145"/>
        <v>0</v>
      </c>
      <c r="R2589" s="93" t="str">
        <f t="shared" si="144"/>
        <v/>
      </c>
    </row>
    <row r="2590" spans="1:18" x14ac:dyDescent="0.2">
      <c r="A2590" s="352" t="str">
        <f>IF(B2590="","",COUNT('Diário 1º PA'!$A$4:$A$2635)+COUNT('Diário 2º PA'!$A$4:$A$3040)+ROW()-3)</f>
        <v/>
      </c>
      <c r="B2590" s="600"/>
      <c r="C2590" s="354"/>
      <c r="D2590" s="343"/>
      <c r="E2590" s="343"/>
      <c r="F2590" s="344"/>
      <c r="G2590" s="343"/>
      <c r="H2590" s="343"/>
      <c r="I2590" s="345"/>
      <c r="J2590" s="343"/>
      <c r="K2590" s="343"/>
      <c r="L2590" s="345"/>
      <c r="M2590" s="343"/>
      <c r="N2590" s="598"/>
      <c r="O2590" s="585"/>
      <c r="P2590" s="71">
        <f t="shared" si="146"/>
        <v>0</v>
      </c>
      <c r="Q2590" s="71">
        <f t="shared" si="145"/>
        <v>0</v>
      </c>
      <c r="R2590" s="93" t="str">
        <f t="shared" si="144"/>
        <v/>
      </c>
    </row>
    <row r="2591" spans="1:18" x14ac:dyDescent="0.2">
      <c r="A2591" s="352" t="str">
        <f>IF(B2591="","",COUNT('Diário 1º PA'!$A$4:$A$2635)+COUNT('Diário 2º PA'!$A$4:$A$3040)+ROW()-3)</f>
        <v/>
      </c>
      <c r="B2591" s="600"/>
      <c r="C2591" s="354"/>
      <c r="D2591" s="343"/>
      <c r="E2591" s="343"/>
      <c r="F2591" s="344"/>
      <c r="G2591" s="343"/>
      <c r="H2591" s="343"/>
      <c r="I2591" s="345"/>
      <c r="J2591" s="343"/>
      <c r="K2591" s="343"/>
      <c r="L2591" s="345"/>
      <c r="M2591" s="343"/>
      <c r="N2591" s="598"/>
      <c r="O2591" s="585"/>
      <c r="P2591" s="71">
        <f t="shared" si="146"/>
        <v>0</v>
      </c>
      <c r="Q2591" s="71">
        <f t="shared" si="145"/>
        <v>0</v>
      </c>
      <c r="R2591" s="93" t="str">
        <f t="shared" si="144"/>
        <v/>
      </c>
    </row>
    <row r="2592" spans="1:18" x14ac:dyDescent="0.2">
      <c r="A2592" s="352" t="str">
        <f>IF(B2592="","",COUNT('Diário 1º PA'!$A$4:$A$2635)+COUNT('Diário 2º PA'!$A$4:$A$3040)+ROW()-3)</f>
        <v/>
      </c>
      <c r="B2592" s="600"/>
      <c r="C2592" s="354"/>
      <c r="D2592" s="343"/>
      <c r="E2592" s="343"/>
      <c r="F2592" s="344"/>
      <c r="G2592" s="343"/>
      <c r="H2592" s="343"/>
      <c r="I2592" s="345"/>
      <c r="J2592" s="343"/>
      <c r="K2592" s="343"/>
      <c r="L2592" s="345"/>
      <c r="M2592" s="343"/>
      <c r="N2592" s="598"/>
      <c r="O2592" s="585"/>
      <c r="P2592" s="71">
        <f t="shared" si="146"/>
        <v>0</v>
      </c>
      <c r="Q2592" s="71">
        <f t="shared" si="145"/>
        <v>0</v>
      </c>
      <c r="R2592" s="93" t="str">
        <f t="shared" si="144"/>
        <v/>
      </c>
    </row>
    <row r="2593" spans="1:18" x14ac:dyDescent="0.2">
      <c r="A2593" s="352" t="str">
        <f>IF(B2593="","",COUNT('Diário 1º PA'!$A$4:$A$2635)+COUNT('Diário 2º PA'!$A$4:$A$3040)+ROW()-3)</f>
        <v/>
      </c>
      <c r="B2593" s="600"/>
      <c r="C2593" s="354"/>
      <c r="D2593" s="343"/>
      <c r="E2593" s="343"/>
      <c r="F2593" s="344"/>
      <c r="G2593" s="343"/>
      <c r="H2593" s="343"/>
      <c r="I2593" s="345"/>
      <c r="J2593" s="343"/>
      <c r="K2593" s="343"/>
      <c r="L2593" s="345"/>
      <c r="M2593" s="343"/>
      <c r="N2593" s="598"/>
      <c r="O2593" s="585"/>
      <c r="P2593" s="71">
        <f t="shared" si="146"/>
        <v>0</v>
      </c>
      <c r="Q2593" s="71">
        <f t="shared" si="145"/>
        <v>0</v>
      </c>
      <c r="R2593" s="93" t="str">
        <f t="shared" si="144"/>
        <v/>
      </c>
    </row>
    <row r="2594" spans="1:18" x14ac:dyDescent="0.2">
      <c r="A2594" s="352" t="str">
        <f>IF(B2594="","",COUNT('Diário 1º PA'!$A$4:$A$2635)+COUNT('Diário 2º PA'!$A$4:$A$3040)+ROW()-3)</f>
        <v/>
      </c>
      <c r="B2594" s="600"/>
      <c r="C2594" s="354"/>
      <c r="D2594" s="343"/>
      <c r="E2594" s="343"/>
      <c r="F2594" s="344"/>
      <c r="G2594" s="343"/>
      <c r="H2594" s="343"/>
      <c r="I2594" s="345"/>
      <c r="J2594" s="343"/>
      <c r="K2594" s="343"/>
      <c r="L2594" s="345"/>
      <c r="M2594" s="343"/>
      <c r="N2594" s="598"/>
      <c r="O2594" s="585"/>
      <c r="P2594" s="71">
        <f t="shared" si="146"/>
        <v>0</v>
      </c>
      <c r="Q2594" s="71">
        <f t="shared" si="145"/>
        <v>0</v>
      </c>
      <c r="R2594" s="93" t="str">
        <f t="shared" si="144"/>
        <v/>
      </c>
    </row>
    <row r="2595" spans="1:18" x14ac:dyDescent="0.2">
      <c r="A2595" s="352" t="str">
        <f>IF(B2595="","",COUNT('Diário 1º PA'!$A$4:$A$2635)+COUNT('Diário 2º PA'!$A$4:$A$3040)+ROW()-3)</f>
        <v/>
      </c>
      <c r="B2595" s="600"/>
      <c r="C2595" s="354"/>
      <c r="D2595" s="343"/>
      <c r="E2595" s="343"/>
      <c r="F2595" s="344"/>
      <c r="G2595" s="343"/>
      <c r="H2595" s="343"/>
      <c r="I2595" s="345"/>
      <c r="J2595" s="343"/>
      <c r="K2595" s="343"/>
      <c r="L2595" s="345"/>
      <c r="M2595" s="343"/>
      <c r="N2595" s="598"/>
      <c r="O2595" s="585"/>
      <c r="P2595" s="71">
        <f t="shared" si="146"/>
        <v>0</v>
      </c>
      <c r="Q2595" s="71">
        <f t="shared" si="145"/>
        <v>0</v>
      </c>
      <c r="R2595" s="93" t="str">
        <f t="shared" si="144"/>
        <v/>
      </c>
    </row>
    <row r="2596" spans="1:18" x14ac:dyDescent="0.2">
      <c r="A2596" s="352" t="str">
        <f>IF(B2596="","",COUNT('Diário 1º PA'!$A$4:$A$2635)+COUNT('Diário 2º PA'!$A$4:$A$3040)+ROW()-3)</f>
        <v/>
      </c>
      <c r="B2596" s="600"/>
      <c r="C2596" s="354"/>
      <c r="D2596" s="343"/>
      <c r="E2596" s="343"/>
      <c r="F2596" s="344"/>
      <c r="G2596" s="343"/>
      <c r="H2596" s="343"/>
      <c r="I2596" s="345"/>
      <c r="J2596" s="343"/>
      <c r="K2596" s="343"/>
      <c r="L2596" s="345"/>
      <c r="M2596" s="343"/>
      <c r="N2596" s="598"/>
      <c r="O2596" s="585"/>
      <c r="P2596" s="71">
        <f t="shared" si="146"/>
        <v>0</v>
      </c>
      <c r="Q2596" s="71">
        <f t="shared" si="145"/>
        <v>0</v>
      </c>
      <c r="R2596" s="93" t="str">
        <f t="shared" si="144"/>
        <v/>
      </c>
    </row>
    <row r="2597" spans="1:18" x14ac:dyDescent="0.2">
      <c r="A2597" s="352" t="str">
        <f>IF(B2597="","",COUNT('Diário 1º PA'!$A$4:$A$2635)+COUNT('Diário 2º PA'!$A$4:$A$3040)+ROW()-3)</f>
        <v/>
      </c>
      <c r="B2597" s="600"/>
      <c r="C2597" s="354"/>
      <c r="D2597" s="343"/>
      <c r="E2597" s="343"/>
      <c r="F2597" s="344"/>
      <c r="G2597" s="343"/>
      <c r="H2597" s="343"/>
      <c r="I2597" s="345"/>
      <c r="J2597" s="343"/>
      <c r="K2597" s="343"/>
      <c r="L2597" s="345"/>
      <c r="M2597" s="343"/>
      <c r="N2597" s="598"/>
      <c r="O2597" s="585"/>
      <c r="P2597" s="71">
        <f t="shared" si="146"/>
        <v>0</v>
      </c>
      <c r="Q2597" s="71">
        <f t="shared" si="145"/>
        <v>0</v>
      </c>
      <c r="R2597" s="93" t="str">
        <f t="shared" si="144"/>
        <v/>
      </c>
    </row>
    <row r="2598" spans="1:18" x14ac:dyDescent="0.2">
      <c r="A2598" s="352" t="str">
        <f>IF(B2598="","",COUNT('Diário 1º PA'!$A$4:$A$2635)+COUNT('Diário 2º PA'!$A$4:$A$3040)+ROW()-3)</f>
        <v/>
      </c>
      <c r="B2598" s="600"/>
      <c r="C2598" s="354"/>
      <c r="D2598" s="343"/>
      <c r="E2598" s="343"/>
      <c r="F2598" s="344"/>
      <c r="G2598" s="343"/>
      <c r="H2598" s="343"/>
      <c r="I2598" s="345"/>
      <c r="J2598" s="343"/>
      <c r="K2598" s="343"/>
      <c r="L2598" s="345"/>
      <c r="M2598" s="343"/>
      <c r="N2598" s="598"/>
      <c r="O2598" s="585"/>
      <c r="P2598" s="71">
        <f t="shared" si="146"/>
        <v>0</v>
      </c>
      <c r="Q2598" s="71">
        <f t="shared" si="145"/>
        <v>0</v>
      </c>
      <c r="R2598" s="93" t="str">
        <f t="shared" si="144"/>
        <v/>
      </c>
    </row>
    <row r="2599" spans="1:18" x14ac:dyDescent="0.2">
      <c r="A2599" s="352" t="str">
        <f>IF(B2599="","",COUNT('Diário 1º PA'!$A$4:$A$2635)+COUNT('Diário 2º PA'!$A$4:$A$3040)+ROW()-3)</f>
        <v/>
      </c>
      <c r="B2599" s="600"/>
      <c r="C2599" s="354"/>
      <c r="D2599" s="343"/>
      <c r="E2599" s="343"/>
      <c r="F2599" s="344"/>
      <c r="G2599" s="343"/>
      <c r="H2599" s="343"/>
      <c r="I2599" s="345"/>
      <c r="J2599" s="343"/>
      <c r="K2599" s="343"/>
      <c r="L2599" s="345"/>
      <c r="M2599" s="343"/>
      <c r="N2599" s="598"/>
      <c r="O2599" s="585"/>
      <c r="P2599" s="71">
        <f t="shared" si="146"/>
        <v>0</v>
      </c>
      <c r="Q2599" s="71">
        <f t="shared" si="145"/>
        <v>0</v>
      </c>
      <c r="R2599" s="93" t="str">
        <f t="shared" si="144"/>
        <v/>
      </c>
    </row>
    <row r="2600" spans="1:18" x14ac:dyDescent="0.2">
      <c r="A2600" s="352" t="str">
        <f>IF(B2600="","",COUNT('Diário 1º PA'!$A$4:$A$2635)+COUNT('Diário 2º PA'!$A$4:$A$3040)+ROW()-3)</f>
        <v/>
      </c>
      <c r="B2600" s="600"/>
      <c r="C2600" s="354"/>
      <c r="D2600" s="343"/>
      <c r="E2600" s="343"/>
      <c r="F2600" s="344"/>
      <c r="G2600" s="343"/>
      <c r="H2600" s="343"/>
      <c r="I2600" s="345"/>
      <c r="J2600" s="343"/>
      <c r="K2600" s="343"/>
      <c r="L2600" s="345"/>
      <c r="M2600" s="343"/>
      <c r="N2600" s="598"/>
      <c r="O2600" s="585"/>
      <c r="P2600" s="71">
        <f t="shared" si="146"/>
        <v>0</v>
      </c>
      <c r="Q2600" s="71">
        <f t="shared" si="145"/>
        <v>0</v>
      </c>
      <c r="R2600" s="93" t="str">
        <f t="shared" si="144"/>
        <v/>
      </c>
    </row>
    <row r="2601" spans="1:18" x14ac:dyDescent="0.2">
      <c r="A2601" s="352" t="str">
        <f>IF(B2601="","",COUNT('Diário 1º PA'!$A$4:$A$2635)+COUNT('Diário 2º PA'!$A$4:$A$3040)+ROW()-3)</f>
        <v/>
      </c>
      <c r="B2601" s="600"/>
      <c r="C2601" s="354"/>
      <c r="D2601" s="343"/>
      <c r="E2601" s="343"/>
      <c r="F2601" s="344"/>
      <c r="G2601" s="343"/>
      <c r="H2601" s="343"/>
      <c r="I2601" s="345"/>
      <c r="J2601" s="343"/>
      <c r="K2601" s="343"/>
      <c r="L2601" s="345"/>
      <c r="M2601" s="343"/>
      <c r="N2601" s="598"/>
      <c r="O2601" s="585"/>
      <c r="P2601" s="71">
        <f t="shared" si="146"/>
        <v>0</v>
      </c>
      <c r="Q2601" s="71">
        <f t="shared" si="145"/>
        <v>0</v>
      </c>
      <c r="R2601" s="93" t="str">
        <f t="shared" si="144"/>
        <v/>
      </c>
    </row>
    <row r="2602" spans="1:18" x14ac:dyDescent="0.2">
      <c r="A2602" s="352" t="str">
        <f>IF(B2602="","",COUNT('Diário 1º PA'!$A$4:$A$2635)+COUNT('Diário 2º PA'!$A$4:$A$3040)+ROW()-3)</f>
        <v/>
      </c>
      <c r="B2602" s="600"/>
      <c r="C2602" s="354"/>
      <c r="D2602" s="343"/>
      <c r="E2602" s="343"/>
      <c r="F2602" s="344"/>
      <c r="G2602" s="343"/>
      <c r="H2602" s="343"/>
      <c r="I2602" s="345"/>
      <c r="J2602" s="343"/>
      <c r="K2602" s="343"/>
      <c r="L2602" s="345"/>
      <c r="M2602" s="343"/>
      <c r="N2602" s="598"/>
      <c r="O2602" s="585"/>
      <c r="P2602" s="71">
        <f t="shared" si="146"/>
        <v>0</v>
      </c>
      <c r="Q2602" s="71">
        <f t="shared" si="145"/>
        <v>0</v>
      </c>
      <c r="R2602" s="93" t="str">
        <f t="shared" si="144"/>
        <v/>
      </c>
    </row>
    <row r="2603" spans="1:18" x14ac:dyDescent="0.2">
      <c r="A2603" s="352" t="str">
        <f>IF(B2603="","",COUNT('Diário 1º PA'!$A$4:$A$2635)+COUNT('Diário 2º PA'!$A$4:$A$3040)+ROW()-3)</f>
        <v/>
      </c>
      <c r="B2603" s="600"/>
      <c r="C2603" s="354"/>
      <c r="D2603" s="343"/>
      <c r="E2603" s="343"/>
      <c r="F2603" s="344"/>
      <c r="G2603" s="343"/>
      <c r="H2603" s="343"/>
      <c r="I2603" s="345"/>
      <c r="J2603" s="343"/>
      <c r="K2603" s="343"/>
      <c r="L2603" s="345"/>
      <c r="M2603" s="343"/>
      <c r="N2603" s="598"/>
      <c r="O2603" s="585"/>
      <c r="P2603" s="71">
        <f t="shared" si="146"/>
        <v>0</v>
      </c>
      <c r="Q2603" s="71">
        <f t="shared" si="145"/>
        <v>0</v>
      </c>
      <c r="R2603" s="93" t="str">
        <f t="shared" si="144"/>
        <v/>
      </c>
    </row>
    <row r="2604" spans="1:18" x14ac:dyDescent="0.2">
      <c r="A2604" s="352" t="str">
        <f>IF(B2604="","",COUNT('Diário 1º PA'!$A$4:$A$2635)+COUNT('Diário 2º PA'!$A$4:$A$3040)+ROW()-3)</f>
        <v/>
      </c>
      <c r="B2604" s="600"/>
      <c r="C2604" s="354"/>
      <c r="D2604" s="343"/>
      <c r="E2604" s="343"/>
      <c r="F2604" s="344"/>
      <c r="G2604" s="343"/>
      <c r="H2604" s="343"/>
      <c r="I2604" s="345"/>
      <c r="J2604" s="343"/>
      <c r="K2604" s="343"/>
      <c r="L2604" s="345"/>
      <c r="M2604" s="343"/>
      <c r="N2604" s="598"/>
      <c r="O2604" s="585"/>
      <c r="P2604" s="71">
        <f t="shared" si="146"/>
        <v>0</v>
      </c>
      <c r="Q2604" s="71">
        <f t="shared" si="145"/>
        <v>0</v>
      </c>
      <c r="R2604" s="93" t="str">
        <f t="shared" si="144"/>
        <v/>
      </c>
    </row>
    <row r="2605" spans="1:18" x14ac:dyDescent="0.2">
      <c r="A2605" s="352" t="str">
        <f>IF(B2605="","",COUNT('Diário 1º PA'!$A$4:$A$2635)+COUNT('Diário 2º PA'!$A$4:$A$3040)+ROW()-3)</f>
        <v/>
      </c>
      <c r="B2605" s="600"/>
      <c r="C2605" s="354"/>
      <c r="D2605" s="343"/>
      <c r="E2605" s="343"/>
      <c r="F2605" s="344"/>
      <c r="G2605" s="343"/>
      <c r="H2605" s="343"/>
      <c r="I2605" s="345"/>
      <c r="J2605" s="343"/>
      <c r="K2605" s="343"/>
      <c r="L2605" s="345"/>
      <c r="M2605" s="343"/>
      <c r="N2605" s="598"/>
      <c r="O2605" s="585"/>
      <c r="P2605" s="71">
        <f t="shared" si="146"/>
        <v>0</v>
      </c>
      <c r="Q2605" s="71">
        <f t="shared" si="145"/>
        <v>0</v>
      </c>
      <c r="R2605" s="93" t="str">
        <f t="shared" si="144"/>
        <v/>
      </c>
    </row>
    <row r="2606" spans="1:18" x14ac:dyDescent="0.2">
      <c r="A2606" s="352" t="str">
        <f>IF(B2606="","",COUNT('Diário 1º PA'!$A$4:$A$2635)+COUNT('Diário 2º PA'!$A$4:$A$3040)+ROW()-3)</f>
        <v/>
      </c>
      <c r="B2606" s="600"/>
      <c r="C2606" s="354"/>
      <c r="D2606" s="343"/>
      <c r="E2606" s="343"/>
      <c r="F2606" s="344"/>
      <c r="G2606" s="343"/>
      <c r="H2606" s="343"/>
      <c r="I2606" s="345"/>
      <c r="J2606" s="343"/>
      <c r="K2606" s="343"/>
      <c r="L2606" s="345"/>
      <c r="M2606" s="343"/>
      <c r="N2606" s="598"/>
      <c r="O2606" s="585"/>
      <c r="P2606" s="71">
        <f t="shared" si="146"/>
        <v>0</v>
      </c>
      <c r="Q2606" s="71">
        <f t="shared" si="145"/>
        <v>0</v>
      </c>
      <c r="R2606" s="93" t="str">
        <f t="shared" si="144"/>
        <v/>
      </c>
    </row>
    <row r="2607" spans="1:18" x14ac:dyDescent="0.2">
      <c r="A2607" s="352" t="str">
        <f>IF(B2607="","",COUNT('Diário 1º PA'!$A$4:$A$2635)+COUNT('Diário 2º PA'!$A$4:$A$3040)+ROW()-3)</f>
        <v/>
      </c>
      <c r="B2607" s="600"/>
      <c r="C2607" s="354"/>
      <c r="D2607" s="343"/>
      <c r="E2607" s="343"/>
      <c r="F2607" s="344"/>
      <c r="G2607" s="343"/>
      <c r="H2607" s="343"/>
      <c r="I2607" s="345"/>
      <c r="J2607" s="343"/>
      <c r="K2607" s="343"/>
      <c r="L2607" s="345"/>
      <c r="M2607" s="343"/>
      <c r="N2607" s="598"/>
      <c r="O2607" s="585"/>
      <c r="P2607" s="71">
        <f t="shared" si="146"/>
        <v>0</v>
      </c>
      <c r="Q2607" s="71">
        <f t="shared" si="145"/>
        <v>0</v>
      </c>
      <c r="R2607" s="93" t="str">
        <f t="shared" si="144"/>
        <v/>
      </c>
    </row>
    <row r="2608" spans="1:18" x14ac:dyDescent="0.2">
      <c r="A2608" s="352" t="str">
        <f>IF(B2608="","",COUNT('Diário 1º PA'!$A$4:$A$2635)+COUNT('Diário 2º PA'!$A$4:$A$3040)+ROW()-3)</f>
        <v/>
      </c>
      <c r="B2608" s="600"/>
      <c r="C2608" s="354"/>
      <c r="D2608" s="343"/>
      <c r="E2608" s="343"/>
      <c r="F2608" s="344"/>
      <c r="G2608" s="343"/>
      <c r="H2608" s="343"/>
      <c r="I2608" s="345"/>
      <c r="J2608" s="343"/>
      <c r="K2608" s="343"/>
      <c r="L2608" s="345"/>
      <c r="M2608" s="343"/>
      <c r="N2608" s="598"/>
      <c r="O2608" s="585"/>
      <c r="P2608" s="71">
        <f t="shared" si="146"/>
        <v>0</v>
      </c>
      <c r="Q2608" s="71">
        <f t="shared" si="145"/>
        <v>0</v>
      </c>
      <c r="R2608" s="93" t="str">
        <f t="shared" si="144"/>
        <v/>
      </c>
    </row>
    <row r="2609" spans="1:18" x14ac:dyDescent="0.2">
      <c r="A2609" s="352" t="str">
        <f>IF(B2609="","",COUNT('Diário 1º PA'!$A$4:$A$2635)+COUNT('Diário 2º PA'!$A$4:$A$3040)+ROW()-3)</f>
        <v/>
      </c>
      <c r="B2609" s="600"/>
      <c r="C2609" s="354"/>
      <c r="D2609" s="343"/>
      <c r="E2609" s="343"/>
      <c r="F2609" s="344"/>
      <c r="G2609" s="343"/>
      <c r="H2609" s="343"/>
      <c r="I2609" s="345"/>
      <c r="J2609" s="343"/>
      <c r="K2609" s="343"/>
      <c r="L2609" s="345"/>
      <c r="M2609" s="343"/>
      <c r="N2609" s="598"/>
      <c r="O2609" s="585"/>
      <c r="P2609" s="71">
        <f t="shared" si="146"/>
        <v>0</v>
      </c>
      <c r="Q2609" s="71">
        <f t="shared" si="145"/>
        <v>0</v>
      </c>
      <c r="R2609" s="93" t="str">
        <f t="shared" si="144"/>
        <v/>
      </c>
    </row>
    <row r="2610" spans="1:18" x14ac:dyDescent="0.2">
      <c r="A2610" s="352" t="str">
        <f>IF(B2610="","",COUNT('Diário 1º PA'!$A$4:$A$2635)+COUNT('Diário 2º PA'!$A$4:$A$3040)+ROW()-3)</f>
        <v/>
      </c>
      <c r="B2610" s="600"/>
      <c r="C2610" s="354"/>
      <c r="D2610" s="343"/>
      <c r="E2610" s="343"/>
      <c r="F2610" s="344"/>
      <c r="G2610" s="343"/>
      <c r="H2610" s="343"/>
      <c r="I2610" s="345"/>
      <c r="J2610" s="343"/>
      <c r="K2610" s="343"/>
      <c r="L2610" s="345"/>
      <c r="M2610" s="343"/>
      <c r="N2610" s="598"/>
      <c r="O2610" s="585"/>
      <c r="P2610" s="71">
        <f t="shared" si="146"/>
        <v>0</v>
      </c>
      <c r="Q2610" s="71">
        <f t="shared" si="145"/>
        <v>0</v>
      </c>
      <c r="R2610" s="93" t="str">
        <f t="shared" si="144"/>
        <v/>
      </c>
    </row>
    <row r="2611" spans="1:18" x14ac:dyDescent="0.2">
      <c r="A2611" s="352" t="str">
        <f>IF(B2611="","",COUNT('Diário 1º PA'!$A$4:$A$2635)+COUNT('Diário 2º PA'!$A$4:$A$3040)+ROW()-3)</f>
        <v/>
      </c>
      <c r="B2611" s="600"/>
      <c r="C2611" s="354"/>
      <c r="D2611" s="343"/>
      <c r="E2611" s="343"/>
      <c r="F2611" s="344"/>
      <c r="G2611" s="343"/>
      <c r="H2611" s="343"/>
      <c r="I2611" s="345"/>
      <c r="J2611" s="343"/>
      <c r="K2611" s="343"/>
      <c r="L2611" s="345"/>
      <c r="M2611" s="343"/>
      <c r="N2611" s="598"/>
      <c r="O2611" s="585"/>
      <c r="P2611" s="71">
        <f t="shared" si="146"/>
        <v>0</v>
      </c>
      <c r="Q2611" s="71">
        <f t="shared" si="145"/>
        <v>0</v>
      </c>
      <c r="R2611" s="93" t="str">
        <f t="shared" si="144"/>
        <v/>
      </c>
    </row>
    <row r="2612" spans="1:18" x14ac:dyDescent="0.2">
      <c r="A2612" s="352" t="str">
        <f>IF(B2612="","",COUNT('Diário 1º PA'!$A$4:$A$2635)+COUNT('Diário 2º PA'!$A$4:$A$3040)+ROW()-3)</f>
        <v/>
      </c>
      <c r="B2612" s="600"/>
      <c r="C2612" s="354"/>
      <c r="D2612" s="343"/>
      <c r="E2612" s="343"/>
      <c r="F2612" s="344"/>
      <c r="G2612" s="343"/>
      <c r="H2612" s="343"/>
      <c r="I2612" s="345"/>
      <c r="J2612" s="343"/>
      <c r="K2612" s="343"/>
      <c r="L2612" s="345"/>
      <c r="M2612" s="343"/>
      <c r="N2612" s="598"/>
      <c r="O2612" s="585"/>
      <c r="P2612" s="71">
        <f t="shared" si="146"/>
        <v>0</v>
      </c>
      <c r="Q2612" s="71">
        <f t="shared" si="145"/>
        <v>0</v>
      </c>
      <c r="R2612" s="93" t="str">
        <f t="shared" si="144"/>
        <v/>
      </c>
    </row>
    <row r="2613" spans="1:18" x14ac:dyDescent="0.2">
      <c r="A2613" s="352" t="str">
        <f>IF(B2613="","",COUNT('Diário 1º PA'!$A$4:$A$2635)+COUNT('Diário 2º PA'!$A$4:$A$3040)+ROW()-3)</f>
        <v/>
      </c>
      <c r="B2613" s="600"/>
      <c r="C2613" s="354"/>
      <c r="D2613" s="343"/>
      <c r="E2613" s="343"/>
      <c r="F2613" s="344"/>
      <c r="G2613" s="343"/>
      <c r="H2613" s="343"/>
      <c r="I2613" s="345"/>
      <c r="J2613" s="343"/>
      <c r="K2613" s="343"/>
      <c r="L2613" s="345"/>
      <c r="M2613" s="343"/>
      <c r="N2613" s="598"/>
      <c r="O2613" s="585"/>
      <c r="P2613" s="71">
        <f t="shared" si="146"/>
        <v>0</v>
      </c>
      <c r="Q2613" s="71">
        <f t="shared" si="145"/>
        <v>0</v>
      </c>
      <c r="R2613" s="93" t="str">
        <f t="shared" si="144"/>
        <v/>
      </c>
    </row>
    <row r="2614" spans="1:18" x14ac:dyDescent="0.2">
      <c r="A2614" s="352" t="str">
        <f>IF(B2614="","",COUNT('Diário 1º PA'!$A$4:$A$2635)+COUNT('Diário 2º PA'!$A$4:$A$3040)+ROW()-3)</f>
        <v/>
      </c>
      <c r="B2614" s="600"/>
      <c r="C2614" s="354"/>
      <c r="D2614" s="343"/>
      <c r="E2614" s="343"/>
      <c r="F2614" s="344"/>
      <c r="G2614" s="343"/>
      <c r="H2614" s="343"/>
      <c r="I2614" s="345"/>
      <c r="J2614" s="343"/>
      <c r="K2614" s="343"/>
      <c r="L2614" s="345"/>
      <c r="M2614" s="343"/>
      <c r="N2614" s="598"/>
      <c r="O2614" s="585"/>
      <c r="P2614" s="71">
        <f t="shared" si="146"/>
        <v>0</v>
      </c>
      <c r="Q2614" s="71">
        <f t="shared" si="145"/>
        <v>0</v>
      </c>
      <c r="R2614" s="93" t="str">
        <f t="shared" si="144"/>
        <v/>
      </c>
    </row>
    <row r="2615" spans="1:18" x14ac:dyDescent="0.2">
      <c r="A2615" s="352" t="str">
        <f>IF(B2615="","",COUNT('Diário 1º PA'!$A$4:$A$2635)+COUNT('Diário 2º PA'!$A$4:$A$3040)+ROW()-3)</f>
        <v/>
      </c>
      <c r="B2615" s="600"/>
      <c r="C2615" s="354"/>
      <c r="D2615" s="343"/>
      <c r="E2615" s="343"/>
      <c r="F2615" s="344"/>
      <c r="G2615" s="343"/>
      <c r="H2615" s="343"/>
      <c r="I2615" s="345"/>
      <c r="J2615" s="343"/>
      <c r="K2615" s="343"/>
      <c r="L2615" s="345"/>
      <c r="M2615" s="343"/>
      <c r="N2615" s="598"/>
      <c r="O2615" s="585"/>
      <c r="P2615" s="71">
        <f t="shared" si="146"/>
        <v>0</v>
      </c>
      <c r="Q2615" s="71">
        <f t="shared" si="145"/>
        <v>0</v>
      </c>
      <c r="R2615" s="93" t="str">
        <f t="shared" si="144"/>
        <v/>
      </c>
    </row>
    <row r="2616" spans="1:18" x14ac:dyDescent="0.2">
      <c r="A2616" s="352" t="str">
        <f>IF(B2616="","",COUNT('Diário 1º PA'!$A$4:$A$2635)+COUNT('Diário 2º PA'!$A$4:$A$3040)+ROW()-3)</f>
        <v/>
      </c>
      <c r="B2616" s="600"/>
      <c r="C2616" s="354"/>
      <c r="D2616" s="343"/>
      <c r="E2616" s="343"/>
      <c r="F2616" s="344"/>
      <c r="G2616" s="343"/>
      <c r="H2616" s="343"/>
      <c r="I2616" s="345"/>
      <c r="J2616" s="343"/>
      <c r="K2616" s="343"/>
      <c r="L2616" s="345"/>
      <c r="M2616" s="343"/>
      <c r="N2616" s="598"/>
      <c r="O2616" s="585"/>
      <c r="P2616" s="71">
        <f t="shared" si="146"/>
        <v>0</v>
      </c>
      <c r="Q2616" s="71">
        <f t="shared" si="145"/>
        <v>0</v>
      </c>
      <c r="R2616" s="93" t="str">
        <f t="shared" si="144"/>
        <v/>
      </c>
    </row>
    <row r="2617" spans="1:18" x14ac:dyDescent="0.2">
      <c r="A2617" s="352" t="str">
        <f>IF(B2617="","",COUNT('Diário 1º PA'!$A$4:$A$2635)+COUNT('Diário 2º PA'!$A$4:$A$3040)+ROW()-3)</f>
        <v/>
      </c>
      <c r="B2617" s="600"/>
      <c r="C2617" s="354"/>
      <c r="D2617" s="343"/>
      <c r="E2617" s="343"/>
      <c r="F2617" s="344"/>
      <c r="G2617" s="343"/>
      <c r="H2617" s="343"/>
      <c r="I2617" s="345"/>
      <c r="J2617" s="343"/>
      <c r="K2617" s="343"/>
      <c r="L2617" s="345"/>
      <c r="M2617" s="343"/>
      <c r="N2617" s="598"/>
      <c r="O2617" s="585"/>
      <c r="P2617" s="71">
        <f t="shared" si="146"/>
        <v>0</v>
      </c>
      <c r="Q2617" s="71">
        <f t="shared" si="145"/>
        <v>0</v>
      </c>
      <c r="R2617" s="93" t="str">
        <f t="shared" si="144"/>
        <v/>
      </c>
    </row>
    <row r="2618" spans="1:18" x14ac:dyDescent="0.2">
      <c r="A2618" s="352" t="str">
        <f>IF(B2618="","",COUNT('Diário 1º PA'!$A$4:$A$2635)+COUNT('Diário 2º PA'!$A$4:$A$3040)+ROW()-3)</f>
        <v/>
      </c>
      <c r="B2618" s="600"/>
      <c r="C2618" s="354"/>
      <c r="D2618" s="343"/>
      <c r="E2618" s="343"/>
      <c r="F2618" s="344"/>
      <c r="G2618" s="343"/>
      <c r="H2618" s="343"/>
      <c r="I2618" s="345"/>
      <c r="J2618" s="343"/>
      <c r="K2618" s="343"/>
      <c r="L2618" s="345"/>
      <c r="M2618" s="343"/>
      <c r="N2618" s="598"/>
      <c r="O2618" s="585"/>
      <c r="P2618" s="71">
        <f t="shared" si="146"/>
        <v>0</v>
      </c>
      <c r="Q2618" s="71">
        <f t="shared" si="145"/>
        <v>0</v>
      </c>
      <c r="R2618" s="93" t="str">
        <f t="shared" si="144"/>
        <v/>
      </c>
    </row>
    <row r="2619" spans="1:18" x14ac:dyDescent="0.2">
      <c r="A2619" s="352" t="str">
        <f>IF(B2619="","",COUNT('Diário 1º PA'!$A$4:$A$2635)+COUNT('Diário 2º PA'!$A$4:$A$3040)+ROW()-3)</f>
        <v/>
      </c>
      <c r="B2619" s="600"/>
      <c r="C2619" s="354"/>
      <c r="D2619" s="343"/>
      <c r="E2619" s="343"/>
      <c r="F2619" s="344"/>
      <c r="G2619" s="343"/>
      <c r="H2619" s="343"/>
      <c r="I2619" s="345"/>
      <c r="J2619" s="343"/>
      <c r="K2619" s="343"/>
      <c r="L2619" s="345"/>
      <c r="M2619" s="343"/>
      <c r="N2619" s="598"/>
      <c r="O2619" s="585"/>
      <c r="P2619" s="71">
        <f t="shared" si="146"/>
        <v>0</v>
      </c>
      <c r="Q2619" s="71">
        <f t="shared" si="145"/>
        <v>0</v>
      </c>
      <c r="R2619" s="93" t="str">
        <f t="shared" si="144"/>
        <v/>
      </c>
    </row>
    <row r="2620" spans="1:18" x14ac:dyDescent="0.2">
      <c r="A2620" s="352" t="str">
        <f>IF(B2620="","",COUNT('Diário 1º PA'!$A$4:$A$2635)+COUNT('Diário 2º PA'!$A$4:$A$3040)+ROW()-3)</f>
        <v/>
      </c>
      <c r="B2620" s="600"/>
      <c r="C2620" s="354"/>
      <c r="D2620" s="343"/>
      <c r="E2620" s="343"/>
      <c r="F2620" s="344"/>
      <c r="G2620" s="343"/>
      <c r="H2620" s="343"/>
      <c r="I2620" s="345"/>
      <c r="J2620" s="343"/>
      <c r="K2620" s="343"/>
      <c r="L2620" s="345"/>
      <c r="M2620" s="343"/>
      <c r="N2620" s="598"/>
      <c r="O2620" s="585"/>
      <c r="P2620" s="71">
        <f t="shared" si="146"/>
        <v>0</v>
      </c>
      <c r="Q2620" s="71">
        <f t="shared" si="145"/>
        <v>0</v>
      </c>
      <c r="R2620" s="93" t="str">
        <f t="shared" si="144"/>
        <v/>
      </c>
    </row>
    <row r="2621" spans="1:18" x14ac:dyDescent="0.2">
      <c r="A2621" s="352" t="str">
        <f>IF(B2621="","",COUNT('Diário 1º PA'!$A$4:$A$2635)+COUNT('Diário 2º PA'!$A$4:$A$3040)+ROW()-3)</f>
        <v/>
      </c>
      <c r="B2621" s="600"/>
      <c r="C2621" s="354"/>
      <c r="D2621" s="343"/>
      <c r="E2621" s="343"/>
      <c r="F2621" s="344"/>
      <c r="G2621" s="343"/>
      <c r="H2621" s="343"/>
      <c r="I2621" s="345"/>
      <c r="J2621" s="343"/>
      <c r="K2621" s="343"/>
      <c r="L2621" s="345"/>
      <c r="M2621" s="343"/>
      <c r="N2621" s="598"/>
      <c r="O2621" s="585"/>
      <c r="P2621" s="71">
        <f t="shared" si="146"/>
        <v>0</v>
      </c>
      <c r="Q2621" s="71">
        <f t="shared" si="145"/>
        <v>0</v>
      </c>
      <c r="R2621" s="93" t="str">
        <f t="shared" si="144"/>
        <v/>
      </c>
    </row>
    <row r="2622" spans="1:18" x14ac:dyDescent="0.2">
      <c r="A2622" s="352" t="str">
        <f>IF(B2622="","",COUNT('Diário 1º PA'!$A$4:$A$2635)+COUNT('Diário 2º PA'!$A$4:$A$3040)+ROW()-3)</f>
        <v/>
      </c>
      <c r="B2622" s="600"/>
      <c r="C2622" s="354"/>
      <c r="D2622" s="343"/>
      <c r="E2622" s="343"/>
      <c r="F2622" s="344"/>
      <c r="G2622" s="343"/>
      <c r="H2622" s="343"/>
      <c r="I2622" s="345"/>
      <c r="J2622" s="343"/>
      <c r="K2622" s="343"/>
      <c r="L2622" s="345"/>
      <c r="M2622" s="343"/>
      <c r="N2622" s="598"/>
      <c r="O2622" s="585"/>
      <c r="P2622" s="71">
        <f t="shared" si="146"/>
        <v>0</v>
      </c>
      <c r="Q2622" s="71">
        <f t="shared" si="145"/>
        <v>0</v>
      </c>
      <c r="R2622" s="93" t="str">
        <f t="shared" si="144"/>
        <v/>
      </c>
    </row>
    <row r="2623" spans="1:18" x14ac:dyDescent="0.2">
      <c r="A2623" s="352" t="str">
        <f>IF(B2623="","",COUNT('Diário 1º PA'!$A$4:$A$2635)+COUNT('Diário 2º PA'!$A$4:$A$3040)+ROW()-3)</f>
        <v/>
      </c>
      <c r="B2623" s="600"/>
      <c r="C2623" s="354"/>
      <c r="D2623" s="343"/>
      <c r="E2623" s="343"/>
      <c r="F2623" s="344"/>
      <c r="G2623" s="343"/>
      <c r="H2623" s="343"/>
      <c r="I2623" s="345"/>
      <c r="J2623" s="343"/>
      <c r="K2623" s="343"/>
      <c r="L2623" s="345"/>
      <c r="M2623" s="343"/>
      <c r="N2623" s="598"/>
      <c r="O2623" s="585"/>
      <c r="P2623" s="71">
        <f t="shared" si="146"/>
        <v>0</v>
      </c>
      <c r="Q2623" s="71">
        <f t="shared" si="145"/>
        <v>0</v>
      </c>
      <c r="R2623" s="93" t="str">
        <f t="shared" si="144"/>
        <v/>
      </c>
    </row>
    <row r="2624" spans="1:18" x14ac:dyDescent="0.2">
      <c r="A2624" s="352" t="str">
        <f>IF(B2624="","",COUNT('Diário 1º PA'!$A$4:$A$2635)+COUNT('Diário 2º PA'!$A$4:$A$3040)+ROW()-3)</f>
        <v/>
      </c>
      <c r="B2624" s="600"/>
      <c r="C2624" s="354"/>
      <c r="D2624" s="343"/>
      <c r="E2624" s="343"/>
      <c r="F2624" s="344"/>
      <c r="G2624" s="343"/>
      <c r="H2624" s="343"/>
      <c r="I2624" s="345"/>
      <c r="J2624" s="343"/>
      <c r="K2624" s="343"/>
      <c r="L2624" s="345"/>
      <c r="M2624" s="343"/>
      <c r="N2624" s="598"/>
      <c r="O2624" s="585"/>
      <c r="P2624" s="71">
        <f t="shared" si="146"/>
        <v>0</v>
      </c>
      <c r="Q2624" s="71">
        <f t="shared" si="145"/>
        <v>0</v>
      </c>
      <c r="R2624" s="93" t="str">
        <f t="shared" si="144"/>
        <v/>
      </c>
    </row>
    <row r="2625" spans="1:18" x14ac:dyDescent="0.2">
      <c r="A2625" s="352" t="str">
        <f>IF(B2625="","",COUNT('Diário 1º PA'!$A$4:$A$2635)+COUNT('Diário 2º PA'!$A$4:$A$3040)+ROW()-3)</f>
        <v/>
      </c>
      <c r="B2625" s="600"/>
      <c r="C2625" s="354"/>
      <c r="D2625" s="343"/>
      <c r="E2625" s="343"/>
      <c r="F2625" s="344"/>
      <c r="G2625" s="343"/>
      <c r="H2625" s="343"/>
      <c r="I2625" s="345"/>
      <c r="J2625" s="343"/>
      <c r="K2625" s="343"/>
      <c r="L2625" s="345"/>
      <c r="M2625" s="343"/>
      <c r="N2625" s="598"/>
      <c r="O2625" s="585"/>
      <c r="P2625" s="71">
        <f t="shared" si="146"/>
        <v>0</v>
      </c>
      <c r="Q2625" s="71">
        <f t="shared" si="145"/>
        <v>0</v>
      </c>
      <c r="R2625" s="93" t="str">
        <f t="shared" si="144"/>
        <v/>
      </c>
    </row>
    <row r="2626" spans="1:18" x14ac:dyDescent="0.2">
      <c r="A2626" s="352" t="str">
        <f>IF(B2626="","",COUNT('Diário 1º PA'!$A$4:$A$2635)+COUNT('Diário 2º PA'!$A$4:$A$3040)+ROW()-3)</f>
        <v/>
      </c>
      <c r="B2626" s="600"/>
      <c r="C2626" s="354"/>
      <c r="D2626" s="343"/>
      <c r="E2626" s="343"/>
      <c r="F2626" s="344"/>
      <c r="G2626" s="343"/>
      <c r="H2626" s="343"/>
      <c r="I2626" s="345"/>
      <c r="J2626" s="343"/>
      <c r="K2626" s="343"/>
      <c r="L2626" s="345"/>
      <c r="M2626" s="343"/>
      <c r="N2626" s="598"/>
      <c r="O2626" s="585"/>
      <c r="P2626" s="71">
        <f t="shared" si="146"/>
        <v>0</v>
      </c>
      <c r="Q2626" s="71">
        <f t="shared" si="145"/>
        <v>0</v>
      </c>
      <c r="R2626" s="93" t="str">
        <f t="shared" si="144"/>
        <v/>
      </c>
    </row>
    <row r="2627" spans="1:18" x14ac:dyDescent="0.2">
      <c r="A2627" s="352" t="str">
        <f>IF(B2627="","",COUNT('Diário 1º PA'!$A$4:$A$2635)+COUNT('Diário 2º PA'!$A$4:$A$3040)+ROW()-3)</f>
        <v/>
      </c>
      <c r="B2627" s="600"/>
      <c r="C2627" s="354"/>
      <c r="D2627" s="343"/>
      <c r="E2627" s="343"/>
      <c r="F2627" s="344"/>
      <c r="G2627" s="343"/>
      <c r="H2627" s="343"/>
      <c r="I2627" s="345"/>
      <c r="J2627" s="343"/>
      <c r="K2627" s="343"/>
      <c r="L2627" s="345"/>
      <c r="M2627" s="343"/>
      <c r="N2627" s="598"/>
      <c r="O2627" s="585"/>
      <c r="P2627" s="71">
        <f t="shared" si="146"/>
        <v>0</v>
      </c>
      <c r="Q2627" s="71">
        <f t="shared" si="145"/>
        <v>0</v>
      </c>
      <c r="R2627" s="93" t="str">
        <f t="shared" si="144"/>
        <v/>
      </c>
    </row>
    <row r="2628" spans="1:18" x14ac:dyDescent="0.2">
      <c r="A2628" s="352" t="str">
        <f>IF(B2628="","",COUNT('Diário 1º PA'!$A$4:$A$2635)+COUNT('Diário 2º PA'!$A$4:$A$3040)+ROW()-3)</f>
        <v/>
      </c>
      <c r="B2628" s="600"/>
      <c r="C2628" s="354"/>
      <c r="D2628" s="343"/>
      <c r="E2628" s="343"/>
      <c r="F2628" s="344"/>
      <c r="G2628" s="343"/>
      <c r="H2628" s="343"/>
      <c r="I2628" s="345"/>
      <c r="J2628" s="343"/>
      <c r="K2628" s="343"/>
      <c r="L2628" s="345"/>
      <c r="M2628" s="343"/>
      <c r="N2628" s="598"/>
      <c r="O2628" s="585"/>
      <c r="P2628" s="71">
        <f t="shared" si="146"/>
        <v>0</v>
      </c>
      <c r="Q2628" s="71">
        <f t="shared" si="145"/>
        <v>0</v>
      </c>
      <c r="R2628" s="93" t="str">
        <f t="shared" ref="R2628:R2691" si="147">SUBSTITUTE(D2628," ","_")</f>
        <v/>
      </c>
    </row>
    <row r="2629" spans="1:18" x14ac:dyDescent="0.2">
      <c r="A2629" s="352" t="str">
        <f>IF(B2629="","",COUNT('Diário 1º PA'!$A$4:$A$2635)+COUNT('Diário 2º PA'!$A$4:$A$3040)+ROW()-3)</f>
        <v/>
      </c>
      <c r="B2629" s="600"/>
      <c r="C2629" s="354"/>
      <c r="D2629" s="343"/>
      <c r="E2629" s="343"/>
      <c r="F2629" s="344"/>
      <c r="G2629" s="343"/>
      <c r="H2629" s="343"/>
      <c r="I2629" s="345"/>
      <c r="J2629" s="343"/>
      <c r="K2629" s="343"/>
      <c r="L2629" s="345"/>
      <c r="M2629" s="343"/>
      <c r="N2629" s="598"/>
      <c r="O2629" s="585"/>
      <c r="P2629" s="71">
        <f t="shared" si="146"/>
        <v>0</v>
      </c>
      <c r="Q2629" s="71">
        <f t="shared" si="145"/>
        <v>0</v>
      </c>
      <c r="R2629" s="93" t="str">
        <f t="shared" si="147"/>
        <v/>
      </c>
    </row>
    <row r="2630" spans="1:18" x14ac:dyDescent="0.2">
      <c r="A2630" s="352" t="str">
        <f>IF(B2630="","",COUNT('Diário 1º PA'!$A$4:$A$2635)+COUNT('Diário 2º PA'!$A$4:$A$3040)+ROW()-3)</f>
        <v/>
      </c>
      <c r="B2630" s="600"/>
      <c r="C2630" s="354"/>
      <c r="D2630" s="343"/>
      <c r="E2630" s="343"/>
      <c r="F2630" s="344"/>
      <c r="G2630" s="343"/>
      <c r="H2630" s="343"/>
      <c r="I2630" s="345"/>
      <c r="J2630" s="343"/>
      <c r="K2630" s="343"/>
      <c r="L2630" s="345"/>
      <c r="M2630" s="343"/>
      <c r="N2630" s="598"/>
      <c r="O2630" s="585"/>
      <c r="P2630" s="71">
        <f t="shared" si="146"/>
        <v>0</v>
      </c>
      <c r="Q2630" s="71">
        <f t="shared" si="145"/>
        <v>0</v>
      </c>
      <c r="R2630" s="93" t="str">
        <f t="shared" si="147"/>
        <v/>
      </c>
    </row>
    <row r="2631" spans="1:18" x14ac:dyDescent="0.2">
      <c r="A2631" s="352" t="str">
        <f>IF(B2631="","",COUNT('Diário 1º PA'!$A$4:$A$2635)+COUNT('Diário 2º PA'!$A$4:$A$3040)+ROW()-3)</f>
        <v/>
      </c>
      <c r="B2631" s="600"/>
      <c r="C2631" s="354"/>
      <c r="D2631" s="343"/>
      <c r="E2631" s="343"/>
      <c r="F2631" s="344"/>
      <c r="G2631" s="343"/>
      <c r="H2631" s="343"/>
      <c r="I2631" s="345"/>
      <c r="J2631" s="343"/>
      <c r="K2631" s="343"/>
      <c r="L2631" s="345"/>
      <c r="M2631" s="343"/>
      <c r="N2631" s="598"/>
      <c r="O2631" s="585"/>
      <c r="P2631" s="71">
        <f t="shared" si="146"/>
        <v>0</v>
      </c>
      <c r="Q2631" s="71">
        <f t="shared" si="145"/>
        <v>0</v>
      </c>
      <c r="R2631" s="93" t="str">
        <f t="shared" si="147"/>
        <v/>
      </c>
    </row>
    <row r="2632" spans="1:18" x14ac:dyDescent="0.2">
      <c r="A2632" s="352" t="str">
        <f>IF(B2632="","",COUNT('Diário 1º PA'!$A$4:$A$2635)+COUNT('Diário 2º PA'!$A$4:$A$3040)+ROW()-3)</f>
        <v/>
      </c>
      <c r="B2632" s="600"/>
      <c r="C2632" s="354"/>
      <c r="D2632" s="343"/>
      <c r="E2632" s="343"/>
      <c r="F2632" s="344"/>
      <c r="G2632" s="343"/>
      <c r="H2632" s="343"/>
      <c r="I2632" s="345"/>
      <c r="J2632" s="343"/>
      <c r="K2632" s="343"/>
      <c r="L2632" s="345"/>
      <c r="M2632" s="343"/>
      <c r="N2632" s="598"/>
      <c r="O2632" s="585"/>
      <c r="P2632" s="71">
        <f t="shared" si="146"/>
        <v>0</v>
      </c>
      <c r="Q2632" s="71">
        <f t="shared" si="145"/>
        <v>0</v>
      </c>
      <c r="R2632" s="93" t="str">
        <f t="shared" si="147"/>
        <v/>
      </c>
    </row>
    <row r="2633" spans="1:18" x14ac:dyDescent="0.2">
      <c r="A2633" s="352" t="str">
        <f>IF(B2633="","",COUNT('Diário 1º PA'!$A$4:$A$2635)+COUNT('Diário 2º PA'!$A$4:$A$3040)+ROW()-3)</f>
        <v/>
      </c>
      <c r="B2633" s="600"/>
      <c r="C2633" s="354"/>
      <c r="D2633" s="343"/>
      <c r="E2633" s="343"/>
      <c r="F2633" s="344"/>
      <c r="G2633" s="343"/>
      <c r="H2633" s="343"/>
      <c r="I2633" s="345"/>
      <c r="J2633" s="343"/>
      <c r="K2633" s="343"/>
      <c r="L2633" s="345"/>
      <c r="M2633" s="343"/>
      <c r="N2633" s="598"/>
      <c r="O2633" s="585"/>
      <c r="P2633" s="71">
        <f t="shared" si="146"/>
        <v>0</v>
      </c>
      <c r="Q2633" s="71">
        <f t="shared" si="145"/>
        <v>0</v>
      </c>
      <c r="R2633" s="93" t="str">
        <f t="shared" si="147"/>
        <v/>
      </c>
    </row>
    <row r="2634" spans="1:18" x14ac:dyDescent="0.2">
      <c r="A2634" s="352" t="str">
        <f>IF(B2634="","",COUNT('Diário 1º PA'!$A$4:$A$2635)+COUNT('Diário 2º PA'!$A$4:$A$3040)+ROW()-3)</f>
        <v/>
      </c>
      <c r="B2634" s="600"/>
      <c r="C2634" s="354"/>
      <c r="D2634" s="343"/>
      <c r="E2634" s="343"/>
      <c r="F2634" s="344"/>
      <c r="G2634" s="343"/>
      <c r="H2634" s="343"/>
      <c r="I2634" s="345"/>
      <c r="J2634" s="343"/>
      <c r="K2634" s="343"/>
      <c r="L2634" s="345"/>
      <c r="M2634" s="343"/>
      <c r="N2634" s="598"/>
      <c r="O2634" s="585"/>
      <c r="P2634" s="71">
        <f t="shared" si="146"/>
        <v>0</v>
      </c>
      <c r="Q2634" s="71">
        <f t="shared" si="145"/>
        <v>0</v>
      </c>
      <c r="R2634" s="93" t="str">
        <f t="shared" si="147"/>
        <v/>
      </c>
    </row>
    <row r="2635" spans="1:18" x14ac:dyDescent="0.2">
      <c r="A2635" s="352" t="str">
        <f>IF(B2635="","",COUNT('Diário 1º PA'!$A$4:$A$2635)+COUNT('Diário 2º PA'!$A$4:$A$3040)+ROW()-3)</f>
        <v/>
      </c>
      <c r="B2635" s="600"/>
      <c r="C2635" s="354"/>
      <c r="D2635" s="343"/>
      <c r="E2635" s="343"/>
      <c r="F2635" s="344"/>
      <c r="G2635" s="343"/>
      <c r="H2635" s="343"/>
      <c r="I2635" s="345"/>
      <c r="J2635" s="343"/>
      <c r="K2635" s="343"/>
      <c r="L2635" s="345"/>
      <c r="M2635" s="343"/>
      <c r="N2635" s="598"/>
      <c r="O2635" s="585"/>
      <c r="P2635" s="71">
        <f t="shared" si="146"/>
        <v>0</v>
      </c>
      <c r="Q2635" s="71">
        <f t="shared" si="145"/>
        <v>0</v>
      </c>
      <c r="R2635" s="93" t="str">
        <f t="shared" si="147"/>
        <v/>
      </c>
    </row>
    <row r="2636" spans="1:18" x14ac:dyDescent="0.2">
      <c r="A2636" s="352" t="str">
        <f>IF(B2636="","",COUNT('Diário 1º PA'!$A$4:$A$2635)+COUNT('Diário 2º PA'!$A$4:$A$3040)+ROW()-3)</f>
        <v/>
      </c>
      <c r="B2636" s="600"/>
      <c r="C2636" s="354"/>
      <c r="D2636" s="343"/>
      <c r="E2636" s="343"/>
      <c r="F2636" s="344"/>
      <c r="G2636" s="343"/>
      <c r="H2636" s="343"/>
      <c r="I2636" s="345"/>
      <c r="J2636" s="343"/>
      <c r="K2636" s="343"/>
      <c r="L2636" s="345"/>
      <c r="M2636" s="343"/>
      <c r="N2636" s="598"/>
      <c r="O2636" s="585"/>
      <c r="P2636" s="71">
        <f t="shared" si="146"/>
        <v>0</v>
      </c>
      <c r="Q2636" s="71">
        <f t="shared" si="145"/>
        <v>0</v>
      </c>
      <c r="R2636" s="93" t="str">
        <f t="shared" si="147"/>
        <v/>
      </c>
    </row>
    <row r="2637" spans="1:18" x14ac:dyDescent="0.2">
      <c r="A2637" s="352" t="str">
        <f>IF(B2637="","",COUNT('Diário 1º PA'!$A$4:$A$2635)+COUNT('Diário 2º PA'!$A$4:$A$3040)+ROW()-3)</f>
        <v/>
      </c>
      <c r="B2637" s="600"/>
      <c r="C2637" s="354"/>
      <c r="D2637" s="343"/>
      <c r="E2637" s="343"/>
      <c r="F2637" s="344"/>
      <c r="G2637" s="343"/>
      <c r="H2637" s="343"/>
      <c r="I2637" s="345"/>
      <c r="J2637" s="343"/>
      <c r="K2637" s="343"/>
      <c r="L2637" s="345"/>
      <c r="M2637" s="343"/>
      <c r="N2637" s="598"/>
      <c r="O2637" s="585"/>
      <c r="P2637" s="71">
        <f t="shared" si="146"/>
        <v>0</v>
      </c>
      <c r="Q2637" s="71">
        <f t="shared" si="145"/>
        <v>0</v>
      </c>
      <c r="R2637" s="93" t="str">
        <f t="shared" si="147"/>
        <v/>
      </c>
    </row>
    <row r="2638" spans="1:18" x14ac:dyDescent="0.2">
      <c r="A2638" s="352" t="str">
        <f>IF(B2638="","",COUNT('Diário 1º PA'!$A$4:$A$2635)+COUNT('Diário 2º PA'!$A$4:$A$3040)+ROW()-3)</f>
        <v/>
      </c>
      <c r="B2638" s="600"/>
      <c r="C2638" s="354"/>
      <c r="D2638" s="343"/>
      <c r="E2638" s="343"/>
      <c r="F2638" s="344"/>
      <c r="G2638" s="343"/>
      <c r="H2638" s="343"/>
      <c r="I2638" s="345"/>
      <c r="J2638" s="343"/>
      <c r="K2638" s="343"/>
      <c r="L2638" s="345"/>
      <c r="M2638" s="343"/>
      <c r="N2638" s="598"/>
      <c r="O2638" s="585"/>
      <c r="P2638" s="71">
        <f t="shared" si="146"/>
        <v>0</v>
      </c>
      <c r="Q2638" s="71">
        <f t="shared" si="145"/>
        <v>0</v>
      </c>
      <c r="R2638" s="93" t="str">
        <f t="shared" si="147"/>
        <v/>
      </c>
    </row>
    <row r="2639" spans="1:18" x14ac:dyDescent="0.2">
      <c r="A2639" s="352" t="str">
        <f>IF(B2639="","",COUNT('Diário 1º PA'!$A$4:$A$2635)+COUNT('Diário 2º PA'!$A$4:$A$3040)+ROW()-3)</f>
        <v/>
      </c>
      <c r="B2639" s="600"/>
      <c r="C2639" s="354"/>
      <c r="D2639" s="343"/>
      <c r="E2639" s="343"/>
      <c r="F2639" s="344"/>
      <c r="G2639" s="343"/>
      <c r="H2639" s="343"/>
      <c r="I2639" s="345"/>
      <c r="J2639" s="343"/>
      <c r="K2639" s="343"/>
      <c r="L2639" s="345"/>
      <c r="M2639" s="343"/>
      <c r="N2639" s="598"/>
      <c r="O2639" s="585"/>
      <c r="P2639" s="71">
        <f t="shared" si="146"/>
        <v>0</v>
      </c>
      <c r="Q2639" s="71">
        <f t="shared" ref="Q2639:Q2702" si="148">IF(C2639=0,0,IF(YEAR(C2639)=$Q$1,MONTH(C2639)-$P$1+1,(YEAR(C2639)-$Q$1)*12-$P$1+1+MONTH(C2639)))</f>
        <v>0</v>
      </c>
      <c r="R2639" s="93" t="str">
        <f t="shared" si="147"/>
        <v/>
      </c>
    </row>
    <row r="2640" spans="1:18" x14ac:dyDescent="0.2">
      <c r="A2640" s="352" t="str">
        <f>IF(B2640="","",COUNT('Diário 1º PA'!$A$4:$A$2635)+COUNT('Diário 2º PA'!$A$4:$A$3040)+ROW()-3)</f>
        <v/>
      </c>
      <c r="B2640" s="600"/>
      <c r="C2640" s="354"/>
      <c r="D2640" s="343"/>
      <c r="E2640" s="343"/>
      <c r="F2640" s="344"/>
      <c r="G2640" s="343"/>
      <c r="H2640" s="343"/>
      <c r="I2640" s="345"/>
      <c r="J2640" s="343"/>
      <c r="K2640" s="343"/>
      <c r="L2640" s="345"/>
      <c r="M2640" s="343"/>
      <c r="N2640" s="598"/>
      <c r="O2640" s="585"/>
      <c r="P2640" s="71">
        <f t="shared" si="146"/>
        <v>0</v>
      </c>
      <c r="Q2640" s="71">
        <f t="shared" si="148"/>
        <v>0</v>
      </c>
      <c r="R2640" s="93" t="str">
        <f t="shared" si="147"/>
        <v/>
      </c>
    </row>
    <row r="2641" spans="1:18" x14ac:dyDescent="0.2">
      <c r="A2641" s="352" t="str">
        <f>IF(B2641="","",COUNT('Diário 1º PA'!$A$4:$A$2635)+COUNT('Diário 2º PA'!$A$4:$A$3040)+ROW()-3)</f>
        <v/>
      </c>
      <c r="B2641" s="600"/>
      <c r="C2641" s="354"/>
      <c r="D2641" s="343"/>
      <c r="E2641" s="343"/>
      <c r="F2641" s="344"/>
      <c r="G2641" s="343"/>
      <c r="H2641" s="343"/>
      <c r="I2641" s="345"/>
      <c r="J2641" s="343"/>
      <c r="K2641" s="343"/>
      <c r="L2641" s="345"/>
      <c r="M2641" s="343"/>
      <c r="N2641" s="598"/>
      <c r="O2641" s="585"/>
      <c r="P2641" s="71">
        <f t="shared" ref="P2641:P2704" si="149">IF(B2641=0,0,IF(YEAR(B2641)=$Q$1,MONTH(B2641)-$P$1+1,(YEAR(B2641)-$Q$1)*12-$P$1+1+MONTH(B2641)))</f>
        <v>0</v>
      </c>
      <c r="Q2641" s="71">
        <f t="shared" si="148"/>
        <v>0</v>
      </c>
      <c r="R2641" s="93" t="str">
        <f t="shared" si="147"/>
        <v/>
      </c>
    </row>
    <row r="2642" spans="1:18" x14ac:dyDescent="0.2">
      <c r="A2642" s="352" t="str">
        <f>IF(B2642="","",COUNT('Diário 1º PA'!$A$4:$A$2635)+COUNT('Diário 2º PA'!$A$4:$A$3040)+ROW()-3)</f>
        <v/>
      </c>
      <c r="B2642" s="600"/>
      <c r="C2642" s="354"/>
      <c r="D2642" s="343"/>
      <c r="E2642" s="343"/>
      <c r="F2642" s="344"/>
      <c r="G2642" s="343"/>
      <c r="H2642" s="343"/>
      <c r="I2642" s="345"/>
      <c r="J2642" s="343"/>
      <c r="K2642" s="343"/>
      <c r="L2642" s="345"/>
      <c r="M2642" s="343"/>
      <c r="N2642" s="598"/>
      <c r="O2642" s="585"/>
      <c r="P2642" s="71">
        <f t="shared" si="149"/>
        <v>0</v>
      </c>
      <c r="Q2642" s="71">
        <f t="shared" si="148"/>
        <v>0</v>
      </c>
      <c r="R2642" s="93" t="str">
        <f t="shared" si="147"/>
        <v/>
      </c>
    </row>
    <row r="2643" spans="1:18" x14ac:dyDescent="0.2">
      <c r="A2643" s="352" t="str">
        <f>IF(B2643="","",COUNT('Diário 1º PA'!$A$4:$A$2635)+COUNT('Diário 2º PA'!$A$4:$A$3040)+ROW()-3)</f>
        <v/>
      </c>
      <c r="B2643" s="600"/>
      <c r="C2643" s="354"/>
      <c r="D2643" s="343"/>
      <c r="E2643" s="343"/>
      <c r="F2643" s="344"/>
      <c r="G2643" s="343"/>
      <c r="H2643" s="343"/>
      <c r="I2643" s="345"/>
      <c r="J2643" s="343"/>
      <c r="K2643" s="343"/>
      <c r="L2643" s="345"/>
      <c r="M2643" s="343"/>
      <c r="N2643" s="598"/>
      <c r="O2643" s="585"/>
      <c r="P2643" s="71">
        <f t="shared" si="149"/>
        <v>0</v>
      </c>
      <c r="Q2643" s="71">
        <f t="shared" si="148"/>
        <v>0</v>
      </c>
      <c r="R2643" s="93" t="str">
        <f t="shared" si="147"/>
        <v/>
      </c>
    </row>
    <row r="2644" spans="1:18" x14ac:dyDescent="0.2">
      <c r="A2644" s="352" t="str">
        <f>IF(B2644="","",COUNT('Diário 1º PA'!$A$4:$A$2635)+COUNT('Diário 2º PA'!$A$4:$A$3040)+ROW()-3)</f>
        <v/>
      </c>
      <c r="B2644" s="600"/>
      <c r="C2644" s="354"/>
      <c r="D2644" s="343"/>
      <c r="E2644" s="343"/>
      <c r="F2644" s="344"/>
      <c r="G2644" s="343"/>
      <c r="H2644" s="343"/>
      <c r="I2644" s="345"/>
      <c r="J2644" s="343"/>
      <c r="K2644" s="343"/>
      <c r="L2644" s="345"/>
      <c r="M2644" s="343"/>
      <c r="N2644" s="598"/>
      <c r="O2644" s="585"/>
      <c r="P2644" s="71">
        <f t="shared" si="149"/>
        <v>0</v>
      </c>
      <c r="Q2644" s="71">
        <f t="shared" si="148"/>
        <v>0</v>
      </c>
      <c r="R2644" s="93" t="str">
        <f t="shared" si="147"/>
        <v/>
      </c>
    </row>
    <row r="2645" spans="1:18" x14ac:dyDescent="0.2">
      <c r="A2645" s="352" t="str">
        <f>IF(B2645="","",COUNT('Diário 1º PA'!$A$4:$A$2635)+COUNT('Diário 2º PA'!$A$4:$A$3040)+ROW()-3)</f>
        <v/>
      </c>
      <c r="B2645" s="600"/>
      <c r="C2645" s="354"/>
      <c r="D2645" s="343"/>
      <c r="E2645" s="343"/>
      <c r="F2645" s="344"/>
      <c r="G2645" s="343"/>
      <c r="H2645" s="343"/>
      <c r="I2645" s="345"/>
      <c r="J2645" s="343"/>
      <c r="K2645" s="343"/>
      <c r="L2645" s="345"/>
      <c r="M2645" s="343"/>
      <c r="N2645" s="598"/>
      <c r="O2645" s="585"/>
      <c r="P2645" s="71">
        <f t="shared" si="149"/>
        <v>0</v>
      </c>
      <c r="Q2645" s="71">
        <f t="shared" si="148"/>
        <v>0</v>
      </c>
      <c r="R2645" s="93" t="str">
        <f t="shared" si="147"/>
        <v/>
      </c>
    </row>
    <row r="2646" spans="1:18" x14ac:dyDescent="0.2">
      <c r="A2646" s="352" t="str">
        <f>IF(B2646="","",COUNT('Diário 1º PA'!$A$4:$A$2635)+COUNT('Diário 2º PA'!$A$4:$A$3040)+ROW()-3)</f>
        <v/>
      </c>
      <c r="B2646" s="600"/>
      <c r="C2646" s="354"/>
      <c r="D2646" s="343"/>
      <c r="E2646" s="343"/>
      <c r="F2646" s="344"/>
      <c r="G2646" s="343"/>
      <c r="H2646" s="343"/>
      <c r="I2646" s="345"/>
      <c r="J2646" s="343"/>
      <c r="K2646" s="343"/>
      <c r="L2646" s="345"/>
      <c r="M2646" s="343"/>
      <c r="N2646" s="598"/>
      <c r="O2646" s="585"/>
      <c r="P2646" s="71">
        <f t="shared" si="149"/>
        <v>0</v>
      </c>
      <c r="Q2646" s="71">
        <f t="shared" si="148"/>
        <v>0</v>
      </c>
      <c r="R2646" s="93" t="str">
        <f t="shared" si="147"/>
        <v/>
      </c>
    </row>
    <row r="2647" spans="1:18" x14ac:dyDescent="0.2">
      <c r="A2647" s="352" t="str">
        <f>IF(B2647="","",COUNT('Diário 1º PA'!$A$4:$A$2635)+COUNT('Diário 2º PA'!$A$4:$A$3040)+ROW()-3)</f>
        <v/>
      </c>
      <c r="B2647" s="600"/>
      <c r="C2647" s="354"/>
      <c r="D2647" s="343"/>
      <c r="E2647" s="343"/>
      <c r="F2647" s="344"/>
      <c r="G2647" s="343"/>
      <c r="H2647" s="343"/>
      <c r="I2647" s="345"/>
      <c r="J2647" s="343"/>
      <c r="K2647" s="343"/>
      <c r="L2647" s="345"/>
      <c r="M2647" s="343"/>
      <c r="N2647" s="598"/>
      <c r="O2647" s="585"/>
      <c r="P2647" s="71">
        <f t="shared" si="149"/>
        <v>0</v>
      </c>
      <c r="Q2647" s="71">
        <f t="shared" si="148"/>
        <v>0</v>
      </c>
      <c r="R2647" s="93" t="str">
        <f t="shared" si="147"/>
        <v/>
      </c>
    </row>
    <row r="2648" spans="1:18" x14ac:dyDescent="0.2">
      <c r="A2648" s="352" t="str">
        <f>IF(B2648="","",COUNT('Diário 1º PA'!$A$4:$A$2635)+COUNT('Diário 2º PA'!$A$4:$A$3040)+ROW()-3)</f>
        <v/>
      </c>
      <c r="B2648" s="600"/>
      <c r="C2648" s="354"/>
      <c r="D2648" s="343"/>
      <c r="E2648" s="343"/>
      <c r="F2648" s="344"/>
      <c r="G2648" s="343"/>
      <c r="H2648" s="343"/>
      <c r="I2648" s="345"/>
      <c r="J2648" s="343"/>
      <c r="K2648" s="343"/>
      <c r="L2648" s="345"/>
      <c r="M2648" s="343"/>
      <c r="N2648" s="598"/>
      <c r="O2648" s="585"/>
      <c r="P2648" s="71">
        <f t="shared" si="149"/>
        <v>0</v>
      </c>
      <c r="Q2648" s="71">
        <f t="shared" si="148"/>
        <v>0</v>
      </c>
      <c r="R2648" s="93" t="str">
        <f t="shared" si="147"/>
        <v/>
      </c>
    </row>
    <row r="2649" spans="1:18" x14ac:dyDescent="0.2">
      <c r="A2649" s="352" t="str">
        <f>IF(B2649="","",COUNT('Diário 1º PA'!$A$4:$A$2635)+COUNT('Diário 2º PA'!$A$4:$A$3040)+ROW()-3)</f>
        <v/>
      </c>
      <c r="B2649" s="600"/>
      <c r="C2649" s="354"/>
      <c r="D2649" s="343"/>
      <c r="E2649" s="343"/>
      <c r="F2649" s="344"/>
      <c r="G2649" s="343"/>
      <c r="H2649" s="343"/>
      <c r="I2649" s="345"/>
      <c r="J2649" s="343"/>
      <c r="K2649" s="343"/>
      <c r="L2649" s="345"/>
      <c r="M2649" s="343"/>
      <c r="N2649" s="598"/>
      <c r="O2649" s="585"/>
      <c r="P2649" s="71">
        <f t="shared" si="149"/>
        <v>0</v>
      </c>
      <c r="Q2649" s="71">
        <f t="shared" si="148"/>
        <v>0</v>
      </c>
      <c r="R2649" s="93" t="str">
        <f t="shared" si="147"/>
        <v/>
      </c>
    </row>
    <row r="2650" spans="1:18" x14ac:dyDescent="0.2">
      <c r="A2650" s="352" t="str">
        <f>IF(B2650="","",COUNT('Diário 1º PA'!$A$4:$A$2635)+COUNT('Diário 2º PA'!$A$4:$A$3040)+ROW()-3)</f>
        <v/>
      </c>
      <c r="B2650" s="600"/>
      <c r="C2650" s="354"/>
      <c r="D2650" s="343"/>
      <c r="E2650" s="343"/>
      <c r="F2650" s="344"/>
      <c r="G2650" s="343"/>
      <c r="H2650" s="343"/>
      <c r="I2650" s="345"/>
      <c r="J2650" s="343"/>
      <c r="K2650" s="343"/>
      <c r="L2650" s="345"/>
      <c r="M2650" s="343"/>
      <c r="N2650" s="598"/>
      <c r="O2650" s="585"/>
      <c r="P2650" s="71">
        <f t="shared" si="149"/>
        <v>0</v>
      </c>
      <c r="Q2650" s="71">
        <f t="shared" si="148"/>
        <v>0</v>
      </c>
      <c r="R2650" s="93" t="str">
        <f t="shared" si="147"/>
        <v/>
      </c>
    </row>
    <row r="2651" spans="1:18" x14ac:dyDescent="0.2">
      <c r="A2651" s="352" t="str">
        <f>IF(B2651="","",COUNT('Diário 1º PA'!$A$4:$A$2635)+COUNT('Diário 2º PA'!$A$4:$A$3040)+ROW()-3)</f>
        <v/>
      </c>
      <c r="B2651" s="600"/>
      <c r="C2651" s="354"/>
      <c r="D2651" s="343"/>
      <c r="E2651" s="343"/>
      <c r="F2651" s="344"/>
      <c r="G2651" s="343"/>
      <c r="H2651" s="343"/>
      <c r="I2651" s="345"/>
      <c r="J2651" s="343"/>
      <c r="K2651" s="343"/>
      <c r="L2651" s="345"/>
      <c r="M2651" s="343"/>
      <c r="N2651" s="598"/>
      <c r="O2651" s="585"/>
      <c r="P2651" s="71">
        <f t="shared" si="149"/>
        <v>0</v>
      </c>
      <c r="Q2651" s="71">
        <f t="shared" si="148"/>
        <v>0</v>
      </c>
      <c r="R2651" s="93" t="str">
        <f t="shared" si="147"/>
        <v/>
      </c>
    </row>
    <row r="2652" spans="1:18" x14ac:dyDescent="0.2">
      <c r="A2652" s="352" t="str">
        <f>IF(B2652="","",COUNT('Diário 1º PA'!$A$4:$A$2635)+COUNT('Diário 2º PA'!$A$4:$A$3040)+ROW()-3)</f>
        <v/>
      </c>
      <c r="B2652" s="600"/>
      <c r="C2652" s="354"/>
      <c r="D2652" s="343"/>
      <c r="E2652" s="343"/>
      <c r="F2652" s="344"/>
      <c r="G2652" s="343"/>
      <c r="H2652" s="343"/>
      <c r="I2652" s="345"/>
      <c r="J2652" s="343"/>
      <c r="K2652" s="343"/>
      <c r="L2652" s="345"/>
      <c r="M2652" s="343"/>
      <c r="N2652" s="598"/>
      <c r="O2652" s="585"/>
      <c r="P2652" s="71">
        <f t="shared" si="149"/>
        <v>0</v>
      </c>
      <c r="Q2652" s="71">
        <f t="shared" si="148"/>
        <v>0</v>
      </c>
      <c r="R2652" s="93" t="str">
        <f t="shared" si="147"/>
        <v/>
      </c>
    </row>
    <row r="2653" spans="1:18" x14ac:dyDescent="0.2">
      <c r="A2653" s="352" t="str">
        <f>IF(B2653="","",COUNT('Diário 1º PA'!$A$4:$A$2635)+COUNT('Diário 2º PA'!$A$4:$A$3040)+ROW()-3)</f>
        <v/>
      </c>
      <c r="B2653" s="600"/>
      <c r="C2653" s="354"/>
      <c r="D2653" s="343"/>
      <c r="E2653" s="343"/>
      <c r="F2653" s="344"/>
      <c r="G2653" s="343"/>
      <c r="H2653" s="343"/>
      <c r="I2653" s="345"/>
      <c r="J2653" s="343"/>
      <c r="K2653" s="343"/>
      <c r="L2653" s="345"/>
      <c r="M2653" s="343"/>
      <c r="N2653" s="598"/>
      <c r="O2653" s="585"/>
      <c r="P2653" s="71">
        <f t="shared" si="149"/>
        <v>0</v>
      </c>
      <c r="Q2653" s="71">
        <f t="shared" si="148"/>
        <v>0</v>
      </c>
      <c r="R2653" s="93" t="str">
        <f t="shared" si="147"/>
        <v/>
      </c>
    </row>
    <row r="2654" spans="1:18" x14ac:dyDescent="0.2">
      <c r="A2654" s="352" t="str">
        <f>IF(B2654="","",COUNT('Diário 1º PA'!$A$4:$A$2635)+COUNT('Diário 2º PA'!$A$4:$A$3040)+ROW()-3)</f>
        <v/>
      </c>
      <c r="B2654" s="600"/>
      <c r="C2654" s="354"/>
      <c r="D2654" s="343"/>
      <c r="E2654" s="343"/>
      <c r="F2654" s="344"/>
      <c r="G2654" s="343"/>
      <c r="H2654" s="343"/>
      <c r="I2654" s="345"/>
      <c r="J2654" s="343"/>
      <c r="K2654" s="343"/>
      <c r="L2654" s="345"/>
      <c r="M2654" s="343"/>
      <c r="N2654" s="598"/>
      <c r="O2654" s="585"/>
      <c r="P2654" s="71">
        <f t="shared" si="149"/>
        <v>0</v>
      </c>
      <c r="Q2654" s="71">
        <f t="shared" si="148"/>
        <v>0</v>
      </c>
      <c r="R2654" s="93" t="str">
        <f t="shared" si="147"/>
        <v/>
      </c>
    </row>
    <row r="2655" spans="1:18" x14ac:dyDescent="0.2">
      <c r="A2655" s="352" t="str">
        <f>IF(B2655="","",COUNT('Diário 1º PA'!$A$4:$A$2635)+COUNT('Diário 2º PA'!$A$4:$A$3040)+ROW()-3)</f>
        <v/>
      </c>
      <c r="B2655" s="600"/>
      <c r="C2655" s="354"/>
      <c r="D2655" s="343"/>
      <c r="E2655" s="343"/>
      <c r="F2655" s="344"/>
      <c r="G2655" s="343"/>
      <c r="H2655" s="343"/>
      <c r="I2655" s="345"/>
      <c r="J2655" s="343"/>
      <c r="K2655" s="343"/>
      <c r="L2655" s="345"/>
      <c r="M2655" s="343"/>
      <c r="N2655" s="598"/>
      <c r="O2655" s="585"/>
      <c r="P2655" s="71">
        <f t="shared" si="149"/>
        <v>0</v>
      </c>
      <c r="Q2655" s="71">
        <f t="shared" si="148"/>
        <v>0</v>
      </c>
      <c r="R2655" s="93" t="str">
        <f t="shared" si="147"/>
        <v/>
      </c>
    </row>
    <row r="2656" spans="1:18" x14ac:dyDescent="0.2">
      <c r="A2656" s="352" t="str">
        <f>IF(B2656="","",COUNT('Diário 1º PA'!$A$4:$A$2635)+COUNT('Diário 2º PA'!$A$4:$A$3040)+ROW()-3)</f>
        <v/>
      </c>
      <c r="B2656" s="600"/>
      <c r="C2656" s="354"/>
      <c r="D2656" s="343"/>
      <c r="E2656" s="343"/>
      <c r="F2656" s="344"/>
      <c r="G2656" s="343"/>
      <c r="H2656" s="343"/>
      <c r="I2656" s="345"/>
      <c r="J2656" s="343"/>
      <c r="K2656" s="343"/>
      <c r="L2656" s="345"/>
      <c r="M2656" s="343"/>
      <c r="N2656" s="598"/>
      <c r="O2656" s="585"/>
      <c r="P2656" s="71">
        <f t="shared" si="149"/>
        <v>0</v>
      </c>
      <c r="Q2656" s="71">
        <f t="shared" si="148"/>
        <v>0</v>
      </c>
      <c r="R2656" s="93" t="str">
        <f t="shared" si="147"/>
        <v/>
      </c>
    </row>
    <row r="2657" spans="1:18" x14ac:dyDescent="0.2">
      <c r="A2657" s="352" t="str">
        <f>IF(B2657="","",COUNT('Diário 1º PA'!$A$4:$A$2635)+COUNT('Diário 2º PA'!$A$4:$A$3040)+ROW()-3)</f>
        <v/>
      </c>
      <c r="B2657" s="600"/>
      <c r="C2657" s="354"/>
      <c r="D2657" s="343"/>
      <c r="E2657" s="343"/>
      <c r="F2657" s="344"/>
      <c r="G2657" s="343"/>
      <c r="H2657" s="343"/>
      <c r="I2657" s="345"/>
      <c r="J2657" s="343"/>
      <c r="K2657" s="343"/>
      <c r="L2657" s="345"/>
      <c r="M2657" s="343"/>
      <c r="N2657" s="598"/>
      <c r="O2657" s="585"/>
      <c r="P2657" s="71">
        <f t="shared" si="149"/>
        <v>0</v>
      </c>
      <c r="Q2657" s="71">
        <f t="shared" si="148"/>
        <v>0</v>
      </c>
      <c r="R2657" s="93" t="str">
        <f t="shared" si="147"/>
        <v/>
      </c>
    </row>
    <row r="2658" spans="1:18" x14ac:dyDescent="0.2">
      <c r="A2658" s="352" t="str">
        <f>IF(B2658="","",COUNT('Diário 1º PA'!$A$4:$A$2635)+COUNT('Diário 2º PA'!$A$4:$A$3040)+ROW()-3)</f>
        <v/>
      </c>
      <c r="B2658" s="600"/>
      <c r="C2658" s="354"/>
      <c r="D2658" s="343"/>
      <c r="E2658" s="343"/>
      <c r="F2658" s="344"/>
      <c r="G2658" s="343"/>
      <c r="H2658" s="343"/>
      <c r="I2658" s="345"/>
      <c r="J2658" s="343"/>
      <c r="K2658" s="343"/>
      <c r="L2658" s="345"/>
      <c r="M2658" s="343"/>
      <c r="N2658" s="598"/>
      <c r="O2658" s="585"/>
      <c r="P2658" s="71">
        <f t="shared" si="149"/>
        <v>0</v>
      </c>
      <c r="Q2658" s="71">
        <f t="shared" si="148"/>
        <v>0</v>
      </c>
      <c r="R2658" s="93" t="str">
        <f t="shared" si="147"/>
        <v/>
      </c>
    </row>
    <row r="2659" spans="1:18" x14ac:dyDescent="0.2">
      <c r="A2659" s="352" t="str">
        <f>IF(B2659="","",COUNT('Diário 1º PA'!$A$4:$A$2635)+COUNT('Diário 2º PA'!$A$4:$A$3040)+ROW()-3)</f>
        <v/>
      </c>
      <c r="B2659" s="600"/>
      <c r="C2659" s="354"/>
      <c r="D2659" s="343"/>
      <c r="E2659" s="343"/>
      <c r="F2659" s="344"/>
      <c r="G2659" s="343"/>
      <c r="H2659" s="343"/>
      <c r="I2659" s="345"/>
      <c r="J2659" s="343"/>
      <c r="K2659" s="343"/>
      <c r="L2659" s="345"/>
      <c r="M2659" s="343"/>
      <c r="N2659" s="598"/>
      <c r="O2659" s="585"/>
      <c r="P2659" s="71">
        <f t="shared" si="149"/>
        <v>0</v>
      </c>
      <c r="Q2659" s="71">
        <f t="shared" si="148"/>
        <v>0</v>
      </c>
      <c r="R2659" s="93" t="str">
        <f t="shared" si="147"/>
        <v/>
      </c>
    </row>
    <row r="2660" spans="1:18" x14ac:dyDescent="0.2">
      <c r="A2660" s="352" t="str">
        <f>IF(B2660="","",COUNT('Diário 1º PA'!$A$4:$A$2635)+COUNT('Diário 2º PA'!$A$4:$A$3040)+ROW()-3)</f>
        <v/>
      </c>
      <c r="B2660" s="600"/>
      <c r="C2660" s="354"/>
      <c r="D2660" s="343"/>
      <c r="E2660" s="343"/>
      <c r="F2660" s="344"/>
      <c r="G2660" s="343"/>
      <c r="H2660" s="343"/>
      <c r="I2660" s="345"/>
      <c r="J2660" s="343"/>
      <c r="K2660" s="343"/>
      <c r="L2660" s="345"/>
      <c r="M2660" s="343"/>
      <c r="N2660" s="598"/>
      <c r="O2660" s="585"/>
      <c r="P2660" s="71">
        <f t="shared" si="149"/>
        <v>0</v>
      </c>
      <c r="Q2660" s="71">
        <f t="shared" si="148"/>
        <v>0</v>
      </c>
      <c r="R2660" s="93" t="str">
        <f t="shared" si="147"/>
        <v/>
      </c>
    </row>
    <row r="2661" spans="1:18" x14ac:dyDescent="0.2">
      <c r="A2661" s="352" t="str">
        <f>IF(B2661="","",COUNT('Diário 1º PA'!$A$4:$A$2635)+COUNT('Diário 2º PA'!$A$4:$A$3040)+ROW()-3)</f>
        <v/>
      </c>
      <c r="B2661" s="600"/>
      <c r="C2661" s="354"/>
      <c r="D2661" s="343"/>
      <c r="E2661" s="343"/>
      <c r="F2661" s="344"/>
      <c r="G2661" s="343"/>
      <c r="H2661" s="343"/>
      <c r="I2661" s="345"/>
      <c r="J2661" s="343"/>
      <c r="K2661" s="343"/>
      <c r="L2661" s="345"/>
      <c r="M2661" s="343"/>
      <c r="N2661" s="598"/>
      <c r="O2661" s="585"/>
      <c r="P2661" s="71">
        <f t="shared" si="149"/>
        <v>0</v>
      </c>
      <c r="Q2661" s="71">
        <f t="shared" si="148"/>
        <v>0</v>
      </c>
      <c r="R2661" s="93" t="str">
        <f t="shared" si="147"/>
        <v/>
      </c>
    </row>
    <row r="2662" spans="1:18" x14ac:dyDescent="0.2">
      <c r="A2662" s="352" t="str">
        <f>IF(B2662="","",COUNT('Diário 1º PA'!$A$4:$A$2635)+COUNT('Diário 2º PA'!$A$4:$A$3040)+ROW()-3)</f>
        <v/>
      </c>
      <c r="B2662" s="600"/>
      <c r="C2662" s="354"/>
      <c r="D2662" s="343"/>
      <c r="E2662" s="343"/>
      <c r="F2662" s="344"/>
      <c r="G2662" s="343"/>
      <c r="H2662" s="343"/>
      <c r="I2662" s="345"/>
      <c r="J2662" s="343"/>
      <c r="K2662" s="343"/>
      <c r="L2662" s="345"/>
      <c r="M2662" s="343"/>
      <c r="N2662" s="598"/>
      <c r="O2662" s="585"/>
      <c r="P2662" s="71">
        <f t="shared" si="149"/>
        <v>0</v>
      </c>
      <c r="Q2662" s="71">
        <f t="shared" si="148"/>
        <v>0</v>
      </c>
      <c r="R2662" s="93" t="str">
        <f t="shared" si="147"/>
        <v/>
      </c>
    </row>
    <row r="2663" spans="1:18" x14ac:dyDescent="0.2">
      <c r="A2663" s="352" t="str">
        <f>IF(B2663="","",COUNT('Diário 1º PA'!$A$4:$A$2635)+COUNT('Diário 2º PA'!$A$4:$A$3040)+ROW()-3)</f>
        <v/>
      </c>
      <c r="B2663" s="600"/>
      <c r="C2663" s="354"/>
      <c r="D2663" s="343"/>
      <c r="E2663" s="343"/>
      <c r="F2663" s="344"/>
      <c r="G2663" s="343"/>
      <c r="H2663" s="343"/>
      <c r="I2663" s="345"/>
      <c r="J2663" s="343"/>
      <c r="K2663" s="343"/>
      <c r="L2663" s="345"/>
      <c r="M2663" s="343"/>
      <c r="N2663" s="598"/>
      <c r="O2663" s="585"/>
      <c r="P2663" s="71">
        <f t="shared" si="149"/>
        <v>0</v>
      </c>
      <c r="Q2663" s="71">
        <f t="shared" si="148"/>
        <v>0</v>
      </c>
      <c r="R2663" s="93" t="str">
        <f t="shared" si="147"/>
        <v/>
      </c>
    </row>
    <row r="2664" spans="1:18" x14ac:dyDescent="0.2">
      <c r="A2664" s="352" t="str">
        <f>IF(B2664="","",COUNT('Diário 1º PA'!$A$4:$A$2635)+COUNT('Diário 2º PA'!$A$4:$A$3040)+ROW()-3)</f>
        <v/>
      </c>
      <c r="B2664" s="600"/>
      <c r="C2664" s="354"/>
      <c r="D2664" s="343"/>
      <c r="E2664" s="343"/>
      <c r="F2664" s="344"/>
      <c r="G2664" s="343"/>
      <c r="H2664" s="343"/>
      <c r="I2664" s="345"/>
      <c r="J2664" s="343"/>
      <c r="K2664" s="343"/>
      <c r="L2664" s="345"/>
      <c r="M2664" s="343"/>
      <c r="N2664" s="598"/>
      <c r="O2664" s="585"/>
      <c r="P2664" s="71">
        <f t="shared" si="149"/>
        <v>0</v>
      </c>
      <c r="Q2664" s="71">
        <f t="shared" si="148"/>
        <v>0</v>
      </c>
      <c r="R2664" s="93" t="str">
        <f t="shared" si="147"/>
        <v/>
      </c>
    </row>
    <row r="2665" spans="1:18" x14ac:dyDescent="0.2">
      <c r="A2665" s="352" t="str">
        <f>IF(B2665="","",COUNT('Diário 1º PA'!$A$4:$A$2635)+COUNT('Diário 2º PA'!$A$4:$A$3040)+ROW()-3)</f>
        <v/>
      </c>
      <c r="B2665" s="600"/>
      <c r="C2665" s="354"/>
      <c r="D2665" s="343"/>
      <c r="E2665" s="343"/>
      <c r="F2665" s="344"/>
      <c r="G2665" s="343"/>
      <c r="H2665" s="343"/>
      <c r="I2665" s="345"/>
      <c r="J2665" s="343"/>
      <c r="K2665" s="343"/>
      <c r="L2665" s="345"/>
      <c r="M2665" s="343"/>
      <c r="N2665" s="598"/>
      <c r="O2665" s="585"/>
      <c r="P2665" s="71">
        <f t="shared" si="149"/>
        <v>0</v>
      </c>
      <c r="Q2665" s="71">
        <f t="shared" si="148"/>
        <v>0</v>
      </c>
      <c r="R2665" s="93" t="str">
        <f t="shared" si="147"/>
        <v/>
      </c>
    </row>
    <row r="2666" spans="1:18" x14ac:dyDescent="0.2">
      <c r="A2666" s="352" t="str">
        <f>IF(B2666="","",COUNT('Diário 1º PA'!$A$4:$A$2635)+COUNT('Diário 2º PA'!$A$4:$A$3040)+ROW()-3)</f>
        <v/>
      </c>
      <c r="B2666" s="600"/>
      <c r="C2666" s="354"/>
      <c r="D2666" s="343"/>
      <c r="E2666" s="343"/>
      <c r="F2666" s="344"/>
      <c r="G2666" s="343"/>
      <c r="H2666" s="343"/>
      <c r="I2666" s="345"/>
      <c r="J2666" s="343"/>
      <c r="K2666" s="343"/>
      <c r="L2666" s="345"/>
      <c r="M2666" s="343"/>
      <c r="N2666" s="598"/>
      <c r="O2666" s="585"/>
      <c r="P2666" s="71">
        <f t="shared" si="149"/>
        <v>0</v>
      </c>
      <c r="Q2666" s="71">
        <f t="shared" si="148"/>
        <v>0</v>
      </c>
      <c r="R2666" s="93" t="str">
        <f t="shared" si="147"/>
        <v/>
      </c>
    </row>
    <row r="2667" spans="1:18" x14ac:dyDescent="0.2">
      <c r="A2667" s="352" t="str">
        <f>IF(B2667="","",COUNT('Diário 1º PA'!$A$4:$A$2635)+COUNT('Diário 2º PA'!$A$4:$A$3040)+ROW()-3)</f>
        <v/>
      </c>
      <c r="B2667" s="600"/>
      <c r="C2667" s="354"/>
      <c r="D2667" s="343"/>
      <c r="E2667" s="343"/>
      <c r="F2667" s="344"/>
      <c r="G2667" s="343"/>
      <c r="H2667" s="343"/>
      <c r="I2667" s="345"/>
      <c r="J2667" s="343"/>
      <c r="K2667" s="343"/>
      <c r="L2667" s="345"/>
      <c r="M2667" s="343"/>
      <c r="N2667" s="598"/>
      <c r="O2667" s="585"/>
      <c r="P2667" s="71">
        <f t="shared" si="149"/>
        <v>0</v>
      </c>
      <c r="Q2667" s="71">
        <f t="shared" si="148"/>
        <v>0</v>
      </c>
      <c r="R2667" s="93" t="str">
        <f t="shared" si="147"/>
        <v/>
      </c>
    </row>
    <row r="2668" spans="1:18" x14ac:dyDescent="0.2">
      <c r="A2668" s="352" t="str">
        <f>IF(B2668="","",COUNT('Diário 1º PA'!$A$4:$A$2635)+COUNT('Diário 2º PA'!$A$4:$A$3040)+ROW()-3)</f>
        <v/>
      </c>
      <c r="B2668" s="600"/>
      <c r="C2668" s="354"/>
      <c r="D2668" s="343"/>
      <c r="E2668" s="343"/>
      <c r="F2668" s="344"/>
      <c r="G2668" s="343"/>
      <c r="H2668" s="343"/>
      <c r="I2668" s="345"/>
      <c r="J2668" s="343"/>
      <c r="K2668" s="343"/>
      <c r="L2668" s="345"/>
      <c r="M2668" s="343"/>
      <c r="N2668" s="598"/>
      <c r="O2668" s="585"/>
      <c r="P2668" s="71">
        <f t="shared" si="149"/>
        <v>0</v>
      </c>
      <c r="Q2668" s="71">
        <f t="shared" si="148"/>
        <v>0</v>
      </c>
      <c r="R2668" s="93" t="str">
        <f t="shared" si="147"/>
        <v/>
      </c>
    </row>
    <row r="2669" spans="1:18" x14ac:dyDescent="0.2">
      <c r="A2669" s="352" t="str">
        <f>IF(B2669="","",COUNT('Diário 1º PA'!$A$4:$A$2635)+COUNT('Diário 2º PA'!$A$4:$A$3040)+ROW()-3)</f>
        <v/>
      </c>
      <c r="B2669" s="600"/>
      <c r="C2669" s="354"/>
      <c r="D2669" s="343"/>
      <c r="E2669" s="343"/>
      <c r="F2669" s="344"/>
      <c r="G2669" s="343"/>
      <c r="H2669" s="343"/>
      <c r="I2669" s="345"/>
      <c r="J2669" s="343"/>
      <c r="K2669" s="343"/>
      <c r="L2669" s="345"/>
      <c r="M2669" s="343"/>
      <c r="N2669" s="598"/>
      <c r="O2669" s="585"/>
      <c r="P2669" s="71">
        <f t="shared" si="149"/>
        <v>0</v>
      </c>
      <c r="Q2669" s="71">
        <f t="shared" si="148"/>
        <v>0</v>
      </c>
      <c r="R2669" s="93" t="str">
        <f t="shared" si="147"/>
        <v/>
      </c>
    </row>
    <row r="2670" spans="1:18" x14ac:dyDescent="0.2">
      <c r="A2670" s="352" t="str">
        <f>IF(B2670="","",COUNT('Diário 1º PA'!$A$4:$A$2635)+COUNT('Diário 2º PA'!$A$4:$A$3040)+ROW()-3)</f>
        <v/>
      </c>
      <c r="B2670" s="600"/>
      <c r="C2670" s="354"/>
      <c r="D2670" s="343"/>
      <c r="E2670" s="343"/>
      <c r="F2670" s="344"/>
      <c r="G2670" s="343"/>
      <c r="H2670" s="343"/>
      <c r="I2670" s="345"/>
      <c r="J2670" s="343"/>
      <c r="K2670" s="343"/>
      <c r="L2670" s="345"/>
      <c r="M2670" s="343"/>
      <c r="N2670" s="598"/>
      <c r="O2670" s="585"/>
      <c r="P2670" s="71">
        <f t="shared" si="149"/>
        <v>0</v>
      </c>
      <c r="Q2670" s="71">
        <f t="shared" si="148"/>
        <v>0</v>
      </c>
      <c r="R2670" s="93" t="str">
        <f t="shared" si="147"/>
        <v/>
      </c>
    </row>
    <row r="2671" spans="1:18" x14ac:dyDescent="0.2">
      <c r="A2671" s="352" t="str">
        <f>IF(B2671="","",COUNT('Diário 1º PA'!$A$4:$A$2635)+COUNT('Diário 2º PA'!$A$4:$A$3040)+ROW()-3)</f>
        <v/>
      </c>
      <c r="B2671" s="600"/>
      <c r="C2671" s="354"/>
      <c r="D2671" s="343"/>
      <c r="E2671" s="343"/>
      <c r="F2671" s="344"/>
      <c r="G2671" s="343"/>
      <c r="H2671" s="343"/>
      <c r="I2671" s="345"/>
      <c r="J2671" s="343"/>
      <c r="K2671" s="343"/>
      <c r="L2671" s="345"/>
      <c r="M2671" s="343"/>
      <c r="N2671" s="598"/>
      <c r="O2671" s="585"/>
      <c r="P2671" s="71">
        <f t="shared" si="149"/>
        <v>0</v>
      </c>
      <c r="Q2671" s="71">
        <f t="shared" si="148"/>
        <v>0</v>
      </c>
      <c r="R2671" s="93" t="str">
        <f t="shared" si="147"/>
        <v/>
      </c>
    </row>
    <row r="2672" spans="1:18" x14ac:dyDescent="0.2">
      <c r="A2672" s="352" t="str">
        <f>IF(B2672="","",COUNT('Diário 1º PA'!$A$4:$A$2635)+COUNT('Diário 2º PA'!$A$4:$A$3040)+ROW()-3)</f>
        <v/>
      </c>
      <c r="B2672" s="600"/>
      <c r="C2672" s="354"/>
      <c r="D2672" s="343"/>
      <c r="E2672" s="343"/>
      <c r="F2672" s="344"/>
      <c r="G2672" s="343"/>
      <c r="H2672" s="343"/>
      <c r="I2672" s="345"/>
      <c r="J2672" s="343"/>
      <c r="K2672" s="343"/>
      <c r="L2672" s="345"/>
      <c r="M2672" s="343"/>
      <c r="N2672" s="598"/>
      <c r="O2672" s="585"/>
      <c r="P2672" s="71">
        <f t="shared" si="149"/>
        <v>0</v>
      </c>
      <c r="Q2672" s="71">
        <f t="shared" si="148"/>
        <v>0</v>
      </c>
      <c r="R2672" s="93" t="str">
        <f t="shared" si="147"/>
        <v/>
      </c>
    </row>
    <row r="2673" spans="1:18" x14ac:dyDescent="0.2">
      <c r="A2673" s="352" t="str">
        <f>IF(B2673="","",COUNT('Diário 1º PA'!$A$4:$A$2635)+COUNT('Diário 2º PA'!$A$4:$A$3040)+ROW()-3)</f>
        <v/>
      </c>
      <c r="B2673" s="600"/>
      <c r="C2673" s="354"/>
      <c r="D2673" s="343"/>
      <c r="E2673" s="343"/>
      <c r="F2673" s="344"/>
      <c r="G2673" s="343"/>
      <c r="H2673" s="343"/>
      <c r="I2673" s="345"/>
      <c r="J2673" s="343"/>
      <c r="K2673" s="343"/>
      <c r="L2673" s="345"/>
      <c r="M2673" s="343"/>
      <c r="N2673" s="598"/>
      <c r="O2673" s="585"/>
      <c r="P2673" s="71">
        <f t="shared" si="149"/>
        <v>0</v>
      </c>
      <c r="Q2673" s="71">
        <f t="shared" si="148"/>
        <v>0</v>
      </c>
      <c r="R2673" s="93" t="str">
        <f t="shared" si="147"/>
        <v/>
      </c>
    </row>
    <row r="2674" spans="1:18" x14ac:dyDescent="0.2">
      <c r="A2674" s="352" t="str">
        <f>IF(B2674="","",COUNT('Diário 1º PA'!$A$4:$A$2635)+COUNT('Diário 2º PA'!$A$4:$A$3040)+ROW()-3)</f>
        <v/>
      </c>
      <c r="B2674" s="600"/>
      <c r="C2674" s="354"/>
      <c r="D2674" s="343"/>
      <c r="E2674" s="343"/>
      <c r="F2674" s="344"/>
      <c r="G2674" s="343"/>
      <c r="H2674" s="343"/>
      <c r="I2674" s="345"/>
      <c r="J2674" s="343"/>
      <c r="K2674" s="343"/>
      <c r="L2674" s="345"/>
      <c r="M2674" s="343"/>
      <c r="N2674" s="598"/>
      <c r="O2674" s="585"/>
      <c r="P2674" s="71">
        <f t="shared" si="149"/>
        <v>0</v>
      </c>
      <c r="Q2674" s="71">
        <f t="shared" si="148"/>
        <v>0</v>
      </c>
      <c r="R2674" s="93" t="str">
        <f t="shared" si="147"/>
        <v/>
      </c>
    </row>
    <row r="2675" spans="1:18" x14ac:dyDescent="0.2">
      <c r="A2675" s="352" t="str">
        <f>IF(B2675="","",COUNT('Diário 1º PA'!$A$4:$A$2635)+COUNT('Diário 2º PA'!$A$4:$A$3040)+ROW()-3)</f>
        <v/>
      </c>
      <c r="B2675" s="600"/>
      <c r="C2675" s="354"/>
      <c r="D2675" s="343"/>
      <c r="E2675" s="343"/>
      <c r="F2675" s="344"/>
      <c r="G2675" s="343"/>
      <c r="H2675" s="343"/>
      <c r="I2675" s="345"/>
      <c r="J2675" s="343"/>
      <c r="K2675" s="343"/>
      <c r="L2675" s="345"/>
      <c r="M2675" s="343"/>
      <c r="N2675" s="598"/>
      <c r="O2675" s="585"/>
      <c r="P2675" s="71">
        <f t="shared" si="149"/>
        <v>0</v>
      </c>
      <c r="Q2675" s="71">
        <f t="shared" si="148"/>
        <v>0</v>
      </c>
      <c r="R2675" s="93" t="str">
        <f t="shared" si="147"/>
        <v/>
      </c>
    </row>
    <row r="2676" spans="1:18" x14ac:dyDescent="0.2">
      <c r="A2676" s="352" t="str">
        <f>IF(B2676="","",COUNT('Diário 1º PA'!$A$4:$A$2635)+COUNT('Diário 2º PA'!$A$4:$A$3040)+ROW()-3)</f>
        <v/>
      </c>
      <c r="B2676" s="600"/>
      <c r="C2676" s="354"/>
      <c r="D2676" s="343"/>
      <c r="E2676" s="343"/>
      <c r="F2676" s="344"/>
      <c r="G2676" s="343"/>
      <c r="H2676" s="343"/>
      <c r="I2676" s="345"/>
      <c r="J2676" s="343"/>
      <c r="K2676" s="343"/>
      <c r="L2676" s="345"/>
      <c r="M2676" s="343"/>
      <c r="N2676" s="598"/>
      <c r="O2676" s="585"/>
      <c r="P2676" s="71">
        <f t="shared" si="149"/>
        <v>0</v>
      </c>
      <c r="Q2676" s="71">
        <f t="shared" si="148"/>
        <v>0</v>
      </c>
      <c r="R2676" s="93" t="str">
        <f t="shared" si="147"/>
        <v/>
      </c>
    </row>
    <row r="2677" spans="1:18" x14ac:dyDescent="0.2">
      <c r="A2677" s="352" t="str">
        <f>IF(B2677="","",COUNT('Diário 1º PA'!$A$4:$A$2635)+COUNT('Diário 2º PA'!$A$4:$A$3040)+ROW()-3)</f>
        <v/>
      </c>
      <c r="B2677" s="600"/>
      <c r="C2677" s="354"/>
      <c r="D2677" s="343"/>
      <c r="E2677" s="343"/>
      <c r="F2677" s="344"/>
      <c r="G2677" s="343"/>
      <c r="H2677" s="343"/>
      <c r="I2677" s="345"/>
      <c r="J2677" s="343"/>
      <c r="K2677" s="343"/>
      <c r="L2677" s="345"/>
      <c r="M2677" s="343"/>
      <c r="N2677" s="598"/>
      <c r="O2677" s="585"/>
      <c r="P2677" s="71">
        <f t="shared" si="149"/>
        <v>0</v>
      </c>
      <c r="Q2677" s="71">
        <f t="shared" si="148"/>
        <v>0</v>
      </c>
      <c r="R2677" s="93" t="str">
        <f t="shared" si="147"/>
        <v/>
      </c>
    </row>
    <row r="2678" spans="1:18" x14ac:dyDescent="0.2">
      <c r="A2678" s="352" t="str">
        <f>IF(B2678="","",COUNT('Diário 1º PA'!$A$4:$A$2635)+COUNT('Diário 2º PA'!$A$4:$A$3040)+ROW()-3)</f>
        <v/>
      </c>
      <c r="B2678" s="600"/>
      <c r="C2678" s="354"/>
      <c r="D2678" s="343"/>
      <c r="E2678" s="343"/>
      <c r="F2678" s="344"/>
      <c r="G2678" s="343"/>
      <c r="H2678" s="343"/>
      <c r="I2678" s="345"/>
      <c r="J2678" s="343"/>
      <c r="K2678" s="343"/>
      <c r="L2678" s="345"/>
      <c r="M2678" s="343"/>
      <c r="N2678" s="598"/>
      <c r="O2678" s="585"/>
      <c r="P2678" s="71">
        <f t="shared" si="149"/>
        <v>0</v>
      </c>
      <c r="Q2678" s="71">
        <f t="shared" si="148"/>
        <v>0</v>
      </c>
      <c r="R2678" s="93" t="str">
        <f t="shared" si="147"/>
        <v/>
      </c>
    </row>
    <row r="2679" spans="1:18" x14ac:dyDescent="0.2">
      <c r="A2679" s="352" t="str">
        <f>IF(B2679="","",COUNT('Diário 1º PA'!$A$4:$A$2635)+COUNT('Diário 2º PA'!$A$4:$A$3040)+ROW()-3)</f>
        <v/>
      </c>
      <c r="B2679" s="600"/>
      <c r="C2679" s="354"/>
      <c r="D2679" s="343"/>
      <c r="E2679" s="343"/>
      <c r="F2679" s="344"/>
      <c r="G2679" s="343"/>
      <c r="H2679" s="343"/>
      <c r="I2679" s="345"/>
      <c r="J2679" s="343"/>
      <c r="K2679" s="343"/>
      <c r="L2679" s="345"/>
      <c r="M2679" s="343"/>
      <c r="N2679" s="598"/>
      <c r="O2679" s="585"/>
      <c r="P2679" s="71">
        <f t="shared" si="149"/>
        <v>0</v>
      </c>
      <c r="Q2679" s="71">
        <f t="shared" si="148"/>
        <v>0</v>
      </c>
      <c r="R2679" s="93" t="str">
        <f t="shared" si="147"/>
        <v/>
      </c>
    </row>
    <row r="2680" spans="1:18" x14ac:dyDescent="0.2">
      <c r="A2680" s="352" t="str">
        <f>IF(B2680="","",COUNT('Diário 1º PA'!$A$4:$A$2635)+COUNT('Diário 2º PA'!$A$4:$A$3040)+ROW()-3)</f>
        <v/>
      </c>
      <c r="B2680" s="600"/>
      <c r="C2680" s="354"/>
      <c r="D2680" s="343"/>
      <c r="E2680" s="343"/>
      <c r="F2680" s="344"/>
      <c r="G2680" s="343"/>
      <c r="H2680" s="343"/>
      <c r="I2680" s="345"/>
      <c r="J2680" s="343"/>
      <c r="K2680" s="343"/>
      <c r="L2680" s="345"/>
      <c r="M2680" s="343"/>
      <c r="N2680" s="598"/>
      <c r="O2680" s="585"/>
      <c r="P2680" s="71">
        <f t="shared" si="149"/>
        <v>0</v>
      </c>
      <c r="Q2680" s="71">
        <f t="shared" si="148"/>
        <v>0</v>
      </c>
      <c r="R2680" s="93" t="str">
        <f t="shared" si="147"/>
        <v/>
      </c>
    </row>
    <row r="2681" spans="1:18" x14ac:dyDescent="0.2">
      <c r="A2681" s="352" t="str">
        <f>IF(B2681="","",COUNT('Diário 1º PA'!$A$4:$A$2635)+COUNT('Diário 2º PA'!$A$4:$A$3040)+ROW()-3)</f>
        <v/>
      </c>
      <c r="B2681" s="600"/>
      <c r="C2681" s="354"/>
      <c r="D2681" s="343"/>
      <c r="E2681" s="343"/>
      <c r="F2681" s="344"/>
      <c r="G2681" s="343"/>
      <c r="H2681" s="343"/>
      <c r="I2681" s="345"/>
      <c r="J2681" s="343"/>
      <c r="K2681" s="343"/>
      <c r="L2681" s="345"/>
      <c r="M2681" s="343"/>
      <c r="N2681" s="598"/>
      <c r="O2681" s="585"/>
      <c r="P2681" s="71">
        <f t="shared" si="149"/>
        <v>0</v>
      </c>
      <c r="Q2681" s="71">
        <f t="shared" si="148"/>
        <v>0</v>
      </c>
      <c r="R2681" s="93" t="str">
        <f t="shared" si="147"/>
        <v/>
      </c>
    </row>
    <row r="2682" spans="1:18" x14ac:dyDescent="0.2">
      <c r="A2682" s="352" t="str">
        <f>IF(B2682="","",COUNT('Diário 1º PA'!$A$4:$A$2635)+COUNT('Diário 2º PA'!$A$4:$A$3040)+ROW()-3)</f>
        <v/>
      </c>
      <c r="B2682" s="600"/>
      <c r="C2682" s="354"/>
      <c r="D2682" s="343"/>
      <c r="E2682" s="343"/>
      <c r="F2682" s="344"/>
      <c r="G2682" s="343"/>
      <c r="H2682" s="343"/>
      <c r="I2682" s="345"/>
      <c r="J2682" s="343"/>
      <c r="K2682" s="343"/>
      <c r="L2682" s="345"/>
      <c r="M2682" s="343"/>
      <c r="N2682" s="598"/>
      <c r="O2682" s="585"/>
      <c r="P2682" s="71">
        <f t="shared" si="149"/>
        <v>0</v>
      </c>
      <c r="Q2682" s="71">
        <f t="shared" si="148"/>
        <v>0</v>
      </c>
      <c r="R2682" s="93" t="str">
        <f t="shared" si="147"/>
        <v/>
      </c>
    </row>
    <row r="2683" spans="1:18" x14ac:dyDescent="0.2">
      <c r="A2683" s="352" t="str">
        <f>IF(B2683="","",COUNT('Diário 1º PA'!$A$4:$A$2635)+COUNT('Diário 2º PA'!$A$4:$A$3040)+ROW()-3)</f>
        <v/>
      </c>
      <c r="B2683" s="600"/>
      <c r="C2683" s="354"/>
      <c r="D2683" s="343"/>
      <c r="E2683" s="343"/>
      <c r="F2683" s="344"/>
      <c r="G2683" s="343"/>
      <c r="H2683" s="343"/>
      <c r="I2683" s="345"/>
      <c r="J2683" s="343"/>
      <c r="K2683" s="343"/>
      <c r="L2683" s="345"/>
      <c r="M2683" s="343"/>
      <c r="N2683" s="598"/>
      <c r="O2683" s="585"/>
      <c r="P2683" s="71">
        <f t="shared" si="149"/>
        <v>0</v>
      </c>
      <c r="Q2683" s="71">
        <f t="shared" si="148"/>
        <v>0</v>
      </c>
      <c r="R2683" s="93" t="str">
        <f t="shared" si="147"/>
        <v/>
      </c>
    </row>
    <row r="2684" spans="1:18" x14ac:dyDescent="0.2">
      <c r="A2684" s="352" t="str">
        <f>IF(B2684="","",COUNT('Diário 1º PA'!$A$4:$A$2635)+COUNT('Diário 2º PA'!$A$4:$A$3040)+ROW()-3)</f>
        <v/>
      </c>
      <c r="B2684" s="600"/>
      <c r="C2684" s="354"/>
      <c r="D2684" s="343"/>
      <c r="E2684" s="343"/>
      <c r="F2684" s="344"/>
      <c r="G2684" s="343"/>
      <c r="H2684" s="343"/>
      <c r="I2684" s="345"/>
      <c r="J2684" s="343"/>
      <c r="K2684" s="343"/>
      <c r="L2684" s="345"/>
      <c r="M2684" s="343"/>
      <c r="N2684" s="598"/>
      <c r="O2684" s="585"/>
      <c r="P2684" s="71">
        <f t="shared" si="149"/>
        <v>0</v>
      </c>
      <c r="Q2684" s="71">
        <f t="shared" si="148"/>
        <v>0</v>
      </c>
      <c r="R2684" s="93" t="str">
        <f t="shared" si="147"/>
        <v/>
      </c>
    </row>
    <row r="2685" spans="1:18" x14ac:dyDescent="0.2">
      <c r="A2685" s="352" t="str">
        <f>IF(B2685="","",COUNT('Diário 1º PA'!$A$4:$A$2635)+COUNT('Diário 2º PA'!$A$4:$A$3040)+ROW()-3)</f>
        <v/>
      </c>
      <c r="B2685" s="600"/>
      <c r="C2685" s="354"/>
      <c r="D2685" s="343"/>
      <c r="E2685" s="343"/>
      <c r="F2685" s="344"/>
      <c r="G2685" s="343"/>
      <c r="H2685" s="343"/>
      <c r="I2685" s="345"/>
      <c r="J2685" s="343"/>
      <c r="K2685" s="343"/>
      <c r="L2685" s="345"/>
      <c r="M2685" s="343"/>
      <c r="N2685" s="598"/>
      <c r="O2685" s="585"/>
      <c r="P2685" s="71">
        <f t="shared" si="149"/>
        <v>0</v>
      </c>
      <c r="Q2685" s="71">
        <f t="shared" si="148"/>
        <v>0</v>
      </c>
      <c r="R2685" s="93" t="str">
        <f t="shared" si="147"/>
        <v/>
      </c>
    </row>
    <row r="2686" spans="1:18" x14ac:dyDescent="0.2">
      <c r="A2686" s="352" t="str">
        <f>IF(B2686="","",COUNT('Diário 1º PA'!$A$4:$A$2635)+COUNT('Diário 2º PA'!$A$4:$A$3040)+ROW()-3)</f>
        <v/>
      </c>
      <c r="B2686" s="600"/>
      <c r="C2686" s="354"/>
      <c r="D2686" s="343"/>
      <c r="E2686" s="343"/>
      <c r="F2686" s="344"/>
      <c r="G2686" s="343"/>
      <c r="H2686" s="343"/>
      <c r="I2686" s="345"/>
      <c r="J2686" s="343"/>
      <c r="K2686" s="343"/>
      <c r="L2686" s="345"/>
      <c r="M2686" s="343"/>
      <c r="N2686" s="598"/>
      <c r="O2686" s="585"/>
      <c r="P2686" s="71">
        <f t="shared" si="149"/>
        <v>0</v>
      </c>
      <c r="Q2686" s="71">
        <f t="shared" si="148"/>
        <v>0</v>
      </c>
      <c r="R2686" s="93" t="str">
        <f t="shared" si="147"/>
        <v/>
      </c>
    </row>
    <row r="2687" spans="1:18" x14ac:dyDescent="0.2">
      <c r="A2687" s="352" t="str">
        <f>IF(B2687="","",COUNT('Diário 1º PA'!$A$4:$A$2635)+COUNT('Diário 2º PA'!$A$4:$A$3040)+ROW()-3)</f>
        <v/>
      </c>
      <c r="B2687" s="600"/>
      <c r="C2687" s="354"/>
      <c r="D2687" s="343"/>
      <c r="E2687" s="343"/>
      <c r="F2687" s="344"/>
      <c r="G2687" s="343"/>
      <c r="H2687" s="343"/>
      <c r="I2687" s="345"/>
      <c r="J2687" s="343"/>
      <c r="K2687" s="343"/>
      <c r="L2687" s="345"/>
      <c r="M2687" s="343"/>
      <c r="N2687" s="598"/>
      <c r="O2687" s="585"/>
      <c r="P2687" s="71">
        <f t="shared" si="149"/>
        <v>0</v>
      </c>
      <c r="Q2687" s="71">
        <f t="shared" si="148"/>
        <v>0</v>
      </c>
      <c r="R2687" s="93" t="str">
        <f t="shared" si="147"/>
        <v/>
      </c>
    </row>
    <row r="2688" spans="1:18" x14ac:dyDescent="0.2">
      <c r="A2688" s="352" t="str">
        <f>IF(B2688="","",COUNT('Diário 1º PA'!$A$4:$A$2635)+COUNT('Diário 2º PA'!$A$4:$A$3040)+ROW()-3)</f>
        <v/>
      </c>
      <c r="B2688" s="600"/>
      <c r="C2688" s="354"/>
      <c r="D2688" s="343"/>
      <c r="E2688" s="343"/>
      <c r="F2688" s="344"/>
      <c r="G2688" s="343"/>
      <c r="H2688" s="343"/>
      <c r="I2688" s="345"/>
      <c r="J2688" s="343"/>
      <c r="K2688" s="343"/>
      <c r="L2688" s="345"/>
      <c r="M2688" s="343"/>
      <c r="N2688" s="598"/>
      <c r="O2688" s="585"/>
      <c r="P2688" s="71">
        <f t="shared" si="149"/>
        <v>0</v>
      </c>
      <c r="Q2688" s="71">
        <f t="shared" si="148"/>
        <v>0</v>
      </c>
      <c r="R2688" s="93" t="str">
        <f t="shared" si="147"/>
        <v/>
      </c>
    </row>
    <row r="2689" spans="1:18" x14ac:dyDescent="0.2">
      <c r="A2689" s="352" t="str">
        <f>IF(B2689="","",COUNT('Diário 1º PA'!$A$4:$A$2635)+COUNT('Diário 2º PA'!$A$4:$A$3040)+ROW()-3)</f>
        <v/>
      </c>
      <c r="B2689" s="600"/>
      <c r="C2689" s="354"/>
      <c r="D2689" s="343"/>
      <c r="E2689" s="343"/>
      <c r="F2689" s="344"/>
      <c r="G2689" s="343"/>
      <c r="H2689" s="343"/>
      <c r="I2689" s="345"/>
      <c r="J2689" s="343"/>
      <c r="K2689" s="343"/>
      <c r="L2689" s="345"/>
      <c r="M2689" s="343"/>
      <c r="N2689" s="598"/>
      <c r="O2689" s="585"/>
      <c r="P2689" s="71">
        <f t="shared" si="149"/>
        <v>0</v>
      </c>
      <c r="Q2689" s="71">
        <f t="shared" si="148"/>
        <v>0</v>
      </c>
      <c r="R2689" s="93" t="str">
        <f t="shared" si="147"/>
        <v/>
      </c>
    </row>
    <row r="2690" spans="1:18" x14ac:dyDescent="0.2">
      <c r="A2690" s="352" t="str">
        <f>IF(B2690="","",COUNT('Diário 1º PA'!$A$4:$A$2635)+COUNT('Diário 2º PA'!$A$4:$A$3040)+ROW()-3)</f>
        <v/>
      </c>
      <c r="B2690" s="600"/>
      <c r="C2690" s="354"/>
      <c r="D2690" s="343"/>
      <c r="E2690" s="343"/>
      <c r="F2690" s="344"/>
      <c r="G2690" s="343"/>
      <c r="H2690" s="343"/>
      <c r="I2690" s="345"/>
      <c r="J2690" s="343"/>
      <c r="K2690" s="343"/>
      <c r="L2690" s="345"/>
      <c r="M2690" s="343"/>
      <c r="N2690" s="598"/>
      <c r="O2690" s="585"/>
      <c r="P2690" s="71">
        <f t="shared" si="149"/>
        <v>0</v>
      </c>
      <c r="Q2690" s="71">
        <f t="shared" si="148"/>
        <v>0</v>
      </c>
      <c r="R2690" s="93" t="str">
        <f t="shared" si="147"/>
        <v/>
      </c>
    </row>
    <row r="2691" spans="1:18" x14ac:dyDescent="0.2">
      <c r="A2691" s="352" t="str">
        <f>IF(B2691="","",COUNT('Diário 1º PA'!$A$4:$A$2635)+COUNT('Diário 2º PA'!$A$4:$A$3040)+ROW()-3)</f>
        <v/>
      </c>
      <c r="B2691" s="600"/>
      <c r="C2691" s="354"/>
      <c r="D2691" s="343"/>
      <c r="E2691" s="343"/>
      <c r="F2691" s="344"/>
      <c r="G2691" s="343"/>
      <c r="H2691" s="343"/>
      <c r="I2691" s="345"/>
      <c r="J2691" s="343"/>
      <c r="K2691" s="343"/>
      <c r="L2691" s="345"/>
      <c r="M2691" s="343"/>
      <c r="N2691" s="598"/>
      <c r="O2691" s="585"/>
      <c r="P2691" s="71">
        <f t="shared" si="149"/>
        <v>0</v>
      </c>
      <c r="Q2691" s="71">
        <f t="shared" si="148"/>
        <v>0</v>
      </c>
      <c r="R2691" s="93" t="str">
        <f t="shared" si="147"/>
        <v/>
      </c>
    </row>
    <row r="2692" spans="1:18" x14ac:dyDescent="0.2">
      <c r="A2692" s="352" t="str">
        <f>IF(B2692="","",COUNT('Diário 1º PA'!$A$4:$A$2635)+COUNT('Diário 2º PA'!$A$4:$A$3040)+ROW()-3)</f>
        <v/>
      </c>
      <c r="B2692" s="600"/>
      <c r="C2692" s="354"/>
      <c r="D2692" s="343"/>
      <c r="E2692" s="343"/>
      <c r="F2692" s="344"/>
      <c r="G2692" s="343"/>
      <c r="H2692" s="343"/>
      <c r="I2692" s="345"/>
      <c r="J2692" s="343"/>
      <c r="K2692" s="343"/>
      <c r="L2692" s="345"/>
      <c r="M2692" s="343"/>
      <c r="N2692" s="598"/>
      <c r="O2692" s="585"/>
      <c r="P2692" s="71">
        <f t="shared" si="149"/>
        <v>0</v>
      </c>
      <c r="Q2692" s="71">
        <f t="shared" si="148"/>
        <v>0</v>
      </c>
      <c r="R2692" s="93" t="str">
        <f t="shared" ref="R2692:R2731" si="150">SUBSTITUTE(D2692," ","_")</f>
        <v/>
      </c>
    </row>
    <row r="2693" spans="1:18" x14ac:dyDescent="0.2">
      <c r="A2693" s="352" t="str">
        <f>IF(B2693="","",COUNT('Diário 1º PA'!$A$4:$A$2635)+COUNT('Diário 2º PA'!$A$4:$A$3040)+ROW()-3)</f>
        <v/>
      </c>
      <c r="B2693" s="600"/>
      <c r="C2693" s="354"/>
      <c r="D2693" s="343"/>
      <c r="E2693" s="343"/>
      <c r="F2693" s="344"/>
      <c r="G2693" s="343"/>
      <c r="H2693" s="343"/>
      <c r="I2693" s="345"/>
      <c r="J2693" s="343"/>
      <c r="K2693" s="343"/>
      <c r="L2693" s="345"/>
      <c r="M2693" s="343"/>
      <c r="N2693" s="598"/>
      <c r="O2693" s="585"/>
      <c r="P2693" s="71">
        <f t="shared" si="149"/>
        <v>0</v>
      </c>
      <c r="Q2693" s="71">
        <f t="shared" si="148"/>
        <v>0</v>
      </c>
      <c r="R2693" s="93" t="str">
        <f t="shared" si="150"/>
        <v/>
      </c>
    </row>
    <row r="2694" spans="1:18" x14ac:dyDescent="0.2">
      <c r="A2694" s="352" t="str">
        <f>IF(B2694="","",COUNT('Diário 1º PA'!$A$4:$A$2635)+COUNT('Diário 2º PA'!$A$4:$A$3040)+ROW()-3)</f>
        <v/>
      </c>
      <c r="B2694" s="600"/>
      <c r="C2694" s="354"/>
      <c r="D2694" s="343"/>
      <c r="E2694" s="343"/>
      <c r="F2694" s="344"/>
      <c r="G2694" s="343"/>
      <c r="H2694" s="343"/>
      <c r="I2694" s="345"/>
      <c r="J2694" s="343"/>
      <c r="K2694" s="343"/>
      <c r="L2694" s="345"/>
      <c r="M2694" s="343"/>
      <c r="N2694" s="598"/>
      <c r="O2694" s="585"/>
      <c r="P2694" s="71">
        <f t="shared" si="149"/>
        <v>0</v>
      </c>
      <c r="Q2694" s="71">
        <f t="shared" si="148"/>
        <v>0</v>
      </c>
      <c r="R2694" s="93" t="str">
        <f t="shared" si="150"/>
        <v/>
      </c>
    </row>
    <row r="2695" spans="1:18" x14ac:dyDescent="0.2">
      <c r="A2695" s="352" t="str">
        <f>IF(B2695="","",COUNT('Diário 1º PA'!$A$4:$A$2635)+COUNT('Diário 2º PA'!$A$4:$A$3040)+ROW()-3)</f>
        <v/>
      </c>
      <c r="B2695" s="600"/>
      <c r="C2695" s="354"/>
      <c r="D2695" s="343"/>
      <c r="E2695" s="343"/>
      <c r="F2695" s="344"/>
      <c r="G2695" s="343"/>
      <c r="H2695" s="343"/>
      <c r="I2695" s="345"/>
      <c r="J2695" s="343"/>
      <c r="K2695" s="343"/>
      <c r="L2695" s="345"/>
      <c r="M2695" s="343"/>
      <c r="N2695" s="598"/>
      <c r="O2695" s="585"/>
      <c r="P2695" s="71">
        <f t="shared" si="149"/>
        <v>0</v>
      </c>
      <c r="Q2695" s="71">
        <f t="shared" si="148"/>
        <v>0</v>
      </c>
      <c r="R2695" s="93" t="str">
        <f t="shared" si="150"/>
        <v/>
      </c>
    </row>
    <row r="2696" spans="1:18" x14ac:dyDescent="0.2">
      <c r="A2696" s="352" t="str">
        <f>IF(B2696="","",COUNT('Diário 1º PA'!$A$4:$A$2635)+COUNT('Diário 2º PA'!$A$4:$A$3040)+ROW()-3)</f>
        <v/>
      </c>
      <c r="B2696" s="600"/>
      <c r="C2696" s="354"/>
      <c r="D2696" s="343"/>
      <c r="E2696" s="343"/>
      <c r="F2696" s="344"/>
      <c r="G2696" s="343"/>
      <c r="H2696" s="343"/>
      <c r="I2696" s="345"/>
      <c r="J2696" s="343"/>
      <c r="K2696" s="343"/>
      <c r="L2696" s="345"/>
      <c r="M2696" s="343"/>
      <c r="N2696" s="598"/>
      <c r="O2696" s="585"/>
      <c r="P2696" s="71">
        <f t="shared" si="149"/>
        <v>0</v>
      </c>
      <c r="Q2696" s="71">
        <f t="shared" si="148"/>
        <v>0</v>
      </c>
      <c r="R2696" s="93" t="str">
        <f t="shared" si="150"/>
        <v/>
      </c>
    </row>
    <row r="2697" spans="1:18" x14ac:dyDescent="0.2">
      <c r="A2697" s="352" t="str">
        <f>IF(B2697="","",COUNT('Diário 1º PA'!$A$4:$A$2635)+COUNT('Diário 2º PA'!$A$4:$A$3040)+ROW()-3)</f>
        <v/>
      </c>
      <c r="B2697" s="600"/>
      <c r="C2697" s="354"/>
      <c r="D2697" s="343"/>
      <c r="E2697" s="343"/>
      <c r="F2697" s="344"/>
      <c r="G2697" s="343"/>
      <c r="H2697" s="343"/>
      <c r="I2697" s="345"/>
      <c r="J2697" s="343"/>
      <c r="K2697" s="343"/>
      <c r="L2697" s="345"/>
      <c r="M2697" s="343"/>
      <c r="N2697" s="598"/>
      <c r="O2697" s="585"/>
      <c r="P2697" s="71">
        <f t="shared" si="149"/>
        <v>0</v>
      </c>
      <c r="Q2697" s="71">
        <f t="shared" si="148"/>
        <v>0</v>
      </c>
      <c r="R2697" s="93" t="str">
        <f t="shared" si="150"/>
        <v/>
      </c>
    </row>
    <row r="2698" spans="1:18" x14ac:dyDescent="0.2">
      <c r="A2698" s="352" t="str">
        <f>IF(B2698="","",COUNT('Diário 1º PA'!$A$4:$A$2635)+COUNT('Diário 2º PA'!$A$4:$A$3040)+ROW()-3)</f>
        <v/>
      </c>
      <c r="B2698" s="600"/>
      <c r="C2698" s="354"/>
      <c r="D2698" s="343"/>
      <c r="E2698" s="343"/>
      <c r="F2698" s="344"/>
      <c r="G2698" s="343"/>
      <c r="H2698" s="343"/>
      <c r="I2698" s="345"/>
      <c r="J2698" s="343"/>
      <c r="K2698" s="343"/>
      <c r="L2698" s="345"/>
      <c r="M2698" s="343"/>
      <c r="N2698" s="598"/>
      <c r="O2698" s="585"/>
      <c r="P2698" s="71">
        <f t="shared" si="149"/>
        <v>0</v>
      </c>
      <c r="Q2698" s="71">
        <f t="shared" si="148"/>
        <v>0</v>
      </c>
      <c r="R2698" s="93" t="str">
        <f t="shared" si="150"/>
        <v/>
      </c>
    </row>
    <row r="2699" spans="1:18" x14ac:dyDescent="0.2">
      <c r="A2699" s="352" t="str">
        <f>IF(B2699="","",COUNT('Diário 1º PA'!$A$4:$A$2635)+COUNT('Diário 2º PA'!$A$4:$A$3040)+ROW()-3)</f>
        <v/>
      </c>
      <c r="B2699" s="600"/>
      <c r="C2699" s="354"/>
      <c r="D2699" s="343"/>
      <c r="E2699" s="343"/>
      <c r="F2699" s="344"/>
      <c r="G2699" s="343"/>
      <c r="H2699" s="343"/>
      <c r="I2699" s="345"/>
      <c r="J2699" s="343"/>
      <c r="K2699" s="343"/>
      <c r="L2699" s="345"/>
      <c r="M2699" s="343"/>
      <c r="N2699" s="598"/>
      <c r="O2699" s="585"/>
      <c r="P2699" s="71">
        <f t="shared" si="149"/>
        <v>0</v>
      </c>
      <c r="Q2699" s="71">
        <f t="shared" si="148"/>
        <v>0</v>
      </c>
      <c r="R2699" s="93" t="str">
        <f t="shared" si="150"/>
        <v/>
      </c>
    </row>
    <row r="2700" spans="1:18" x14ac:dyDescent="0.2">
      <c r="A2700" s="352" t="str">
        <f>IF(B2700="","",COUNT('Diário 1º PA'!$A$4:$A$2635)+COUNT('Diário 2º PA'!$A$4:$A$3040)+ROW()-3)</f>
        <v/>
      </c>
      <c r="B2700" s="600"/>
      <c r="C2700" s="354"/>
      <c r="D2700" s="343"/>
      <c r="E2700" s="343"/>
      <c r="F2700" s="344"/>
      <c r="G2700" s="343"/>
      <c r="H2700" s="343"/>
      <c r="I2700" s="345"/>
      <c r="J2700" s="343"/>
      <c r="K2700" s="343"/>
      <c r="L2700" s="345"/>
      <c r="M2700" s="343"/>
      <c r="N2700" s="598"/>
      <c r="O2700" s="585"/>
      <c r="P2700" s="71">
        <f t="shared" si="149"/>
        <v>0</v>
      </c>
      <c r="Q2700" s="71">
        <f t="shared" si="148"/>
        <v>0</v>
      </c>
      <c r="R2700" s="93" t="str">
        <f t="shared" si="150"/>
        <v/>
      </c>
    </row>
    <row r="2701" spans="1:18" x14ac:dyDescent="0.2">
      <c r="A2701" s="352" t="str">
        <f>IF(B2701="","",COUNT('Diário 1º PA'!$A$4:$A$2635)+COUNT('Diário 2º PA'!$A$4:$A$3040)+ROW()-3)</f>
        <v/>
      </c>
      <c r="B2701" s="600"/>
      <c r="C2701" s="354"/>
      <c r="D2701" s="343"/>
      <c r="E2701" s="343"/>
      <c r="F2701" s="344"/>
      <c r="G2701" s="343"/>
      <c r="H2701" s="343"/>
      <c r="I2701" s="345"/>
      <c r="J2701" s="343"/>
      <c r="K2701" s="343"/>
      <c r="L2701" s="345"/>
      <c r="M2701" s="343"/>
      <c r="N2701" s="598"/>
      <c r="O2701" s="585"/>
      <c r="P2701" s="71">
        <f t="shared" si="149"/>
        <v>0</v>
      </c>
      <c r="Q2701" s="71">
        <f t="shared" si="148"/>
        <v>0</v>
      </c>
      <c r="R2701" s="93" t="str">
        <f t="shared" si="150"/>
        <v/>
      </c>
    </row>
    <row r="2702" spans="1:18" x14ac:dyDescent="0.2">
      <c r="A2702" s="352" t="str">
        <f>IF(B2702="","",COUNT('Diário 1º PA'!$A$4:$A$2635)+COUNT('Diário 2º PA'!$A$4:$A$3040)+ROW()-3)</f>
        <v/>
      </c>
      <c r="B2702" s="600"/>
      <c r="C2702" s="354"/>
      <c r="D2702" s="343"/>
      <c r="E2702" s="343"/>
      <c r="F2702" s="344"/>
      <c r="G2702" s="343"/>
      <c r="H2702" s="343"/>
      <c r="I2702" s="345"/>
      <c r="J2702" s="343"/>
      <c r="K2702" s="343"/>
      <c r="L2702" s="345"/>
      <c r="M2702" s="343"/>
      <c r="N2702" s="598"/>
      <c r="O2702" s="585"/>
      <c r="P2702" s="71">
        <f t="shared" si="149"/>
        <v>0</v>
      </c>
      <c r="Q2702" s="71">
        <f t="shared" si="148"/>
        <v>0</v>
      </c>
      <c r="R2702" s="93" t="str">
        <f t="shared" si="150"/>
        <v/>
      </c>
    </row>
    <row r="2703" spans="1:18" x14ac:dyDescent="0.2">
      <c r="A2703" s="352" t="str">
        <f>IF(B2703="","",COUNT('Diário 1º PA'!$A$4:$A$2635)+COUNT('Diário 2º PA'!$A$4:$A$3040)+ROW()-3)</f>
        <v/>
      </c>
      <c r="B2703" s="600"/>
      <c r="C2703" s="354"/>
      <c r="D2703" s="343"/>
      <c r="E2703" s="343"/>
      <c r="F2703" s="344"/>
      <c r="G2703" s="343"/>
      <c r="H2703" s="343"/>
      <c r="I2703" s="345"/>
      <c r="J2703" s="343"/>
      <c r="K2703" s="343"/>
      <c r="L2703" s="345"/>
      <c r="M2703" s="343"/>
      <c r="N2703" s="598"/>
      <c r="O2703" s="585"/>
      <c r="P2703" s="71">
        <f t="shared" si="149"/>
        <v>0</v>
      </c>
      <c r="Q2703" s="71">
        <f t="shared" ref="Q2703:Q2731" si="151">IF(C2703=0,0,IF(YEAR(C2703)=$Q$1,MONTH(C2703)-$P$1+1,(YEAR(C2703)-$Q$1)*12-$P$1+1+MONTH(C2703)))</f>
        <v>0</v>
      </c>
      <c r="R2703" s="93" t="str">
        <f t="shared" si="150"/>
        <v/>
      </c>
    </row>
    <row r="2704" spans="1:18" x14ac:dyDescent="0.2">
      <c r="A2704" s="352" t="str">
        <f>IF(B2704="","",COUNT('Diário 1º PA'!$A$4:$A$2635)+COUNT('Diário 2º PA'!$A$4:$A$3040)+ROW()-3)</f>
        <v/>
      </c>
      <c r="B2704" s="600"/>
      <c r="C2704" s="354"/>
      <c r="D2704" s="343"/>
      <c r="E2704" s="343"/>
      <c r="F2704" s="344"/>
      <c r="G2704" s="343"/>
      <c r="H2704" s="343"/>
      <c r="I2704" s="345"/>
      <c r="J2704" s="343"/>
      <c r="K2704" s="343"/>
      <c r="L2704" s="345"/>
      <c r="M2704" s="343"/>
      <c r="N2704" s="598"/>
      <c r="O2704" s="585"/>
      <c r="P2704" s="71">
        <f t="shared" si="149"/>
        <v>0</v>
      </c>
      <c r="Q2704" s="71">
        <f t="shared" si="151"/>
        <v>0</v>
      </c>
      <c r="R2704" s="93" t="str">
        <f t="shared" si="150"/>
        <v/>
      </c>
    </row>
    <row r="2705" spans="1:18" x14ac:dyDescent="0.2">
      <c r="A2705" s="352" t="str">
        <f>IF(B2705="","",COUNT('Diário 1º PA'!$A$4:$A$2635)+COUNT('Diário 2º PA'!$A$4:$A$3040)+ROW()-3)</f>
        <v/>
      </c>
      <c r="B2705" s="600"/>
      <c r="C2705" s="354"/>
      <c r="D2705" s="343"/>
      <c r="E2705" s="343"/>
      <c r="F2705" s="344"/>
      <c r="G2705" s="343"/>
      <c r="H2705" s="343"/>
      <c r="I2705" s="345"/>
      <c r="J2705" s="343"/>
      <c r="K2705" s="343"/>
      <c r="L2705" s="345"/>
      <c r="M2705" s="343"/>
      <c r="N2705" s="598"/>
      <c r="O2705" s="585"/>
      <c r="P2705" s="71">
        <f t="shared" ref="P2705:P2731" si="152">IF(B2705=0,0,IF(YEAR(B2705)=$Q$1,MONTH(B2705)-$P$1+1,(YEAR(B2705)-$Q$1)*12-$P$1+1+MONTH(B2705)))</f>
        <v>0</v>
      </c>
      <c r="Q2705" s="71">
        <f t="shared" si="151"/>
        <v>0</v>
      </c>
      <c r="R2705" s="93" t="str">
        <f t="shared" si="150"/>
        <v/>
      </c>
    </row>
    <row r="2706" spans="1:18" x14ac:dyDescent="0.2">
      <c r="A2706" s="352" t="str">
        <f>IF(B2706="","",COUNT('Diário 1º PA'!$A$4:$A$2635)+COUNT('Diário 2º PA'!$A$4:$A$3040)+ROW()-3)</f>
        <v/>
      </c>
      <c r="B2706" s="600"/>
      <c r="C2706" s="354"/>
      <c r="D2706" s="343"/>
      <c r="E2706" s="343"/>
      <c r="F2706" s="344"/>
      <c r="G2706" s="343"/>
      <c r="H2706" s="343"/>
      <c r="I2706" s="345"/>
      <c r="J2706" s="343"/>
      <c r="K2706" s="343"/>
      <c r="L2706" s="345"/>
      <c r="M2706" s="343"/>
      <c r="N2706" s="598"/>
      <c r="O2706" s="585"/>
      <c r="P2706" s="71">
        <f t="shared" si="152"/>
        <v>0</v>
      </c>
      <c r="Q2706" s="71">
        <f t="shared" si="151"/>
        <v>0</v>
      </c>
      <c r="R2706" s="93" t="str">
        <f t="shared" si="150"/>
        <v/>
      </c>
    </row>
    <row r="2707" spans="1:18" x14ac:dyDescent="0.2">
      <c r="A2707" s="352" t="str">
        <f>IF(B2707="","",COUNT('Diário 1º PA'!$A$4:$A$2635)+COUNT('Diário 2º PA'!$A$4:$A$3040)+ROW()-3)</f>
        <v/>
      </c>
      <c r="B2707" s="600"/>
      <c r="C2707" s="354"/>
      <c r="D2707" s="343"/>
      <c r="E2707" s="343"/>
      <c r="F2707" s="344"/>
      <c r="G2707" s="343"/>
      <c r="H2707" s="343"/>
      <c r="I2707" s="345"/>
      <c r="J2707" s="343"/>
      <c r="K2707" s="343"/>
      <c r="L2707" s="345"/>
      <c r="M2707" s="343"/>
      <c r="N2707" s="598"/>
      <c r="O2707" s="585"/>
      <c r="P2707" s="71">
        <f t="shared" si="152"/>
        <v>0</v>
      </c>
      <c r="Q2707" s="71">
        <f t="shared" si="151"/>
        <v>0</v>
      </c>
      <c r="R2707" s="93" t="str">
        <f t="shared" si="150"/>
        <v/>
      </c>
    </row>
    <row r="2708" spans="1:18" x14ac:dyDescent="0.2">
      <c r="A2708" s="352" t="str">
        <f>IF(B2708="","",COUNT('Diário 1º PA'!$A$4:$A$2635)+COUNT('Diário 2º PA'!$A$4:$A$3040)+ROW()-3)</f>
        <v/>
      </c>
      <c r="B2708" s="600"/>
      <c r="C2708" s="354"/>
      <c r="D2708" s="343"/>
      <c r="E2708" s="343"/>
      <c r="F2708" s="344"/>
      <c r="G2708" s="343"/>
      <c r="H2708" s="343"/>
      <c r="I2708" s="345"/>
      <c r="J2708" s="343"/>
      <c r="K2708" s="343"/>
      <c r="L2708" s="345"/>
      <c r="M2708" s="343"/>
      <c r="N2708" s="598"/>
      <c r="O2708" s="585"/>
      <c r="P2708" s="71">
        <f t="shared" si="152"/>
        <v>0</v>
      </c>
      <c r="Q2708" s="71">
        <f t="shared" si="151"/>
        <v>0</v>
      </c>
      <c r="R2708" s="93" t="str">
        <f t="shared" si="150"/>
        <v/>
      </c>
    </row>
    <row r="2709" spans="1:18" x14ac:dyDescent="0.2">
      <c r="A2709" s="352" t="str">
        <f>IF(B2709="","",COUNT('Diário 1º PA'!$A$4:$A$2635)+COUNT('Diário 2º PA'!$A$4:$A$3040)+ROW()-3)</f>
        <v/>
      </c>
      <c r="B2709" s="600"/>
      <c r="C2709" s="354"/>
      <c r="D2709" s="343"/>
      <c r="E2709" s="343"/>
      <c r="F2709" s="344"/>
      <c r="G2709" s="343"/>
      <c r="H2709" s="343"/>
      <c r="I2709" s="345"/>
      <c r="J2709" s="343"/>
      <c r="K2709" s="343"/>
      <c r="L2709" s="345"/>
      <c r="M2709" s="343"/>
      <c r="N2709" s="598"/>
      <c r="O2709" s="585"/>
      <c r="P2709" s="71">
        <f t="shared" si="152"/>
        <v>0</v>
      </c>
      <c r="Q2709" s="71">
        <f t="shared" si="151"/>
        <v>0</v>
      </c>
      <c r="R2709" s="93" t="str">
        <f t="shared" si="150"/>
        <v/>
      </c>
    </row>
    <row r="2710" spans="1:18" x14ac:dyDescent="0.2">
      <c r="A2710" s="352" t="str">
        <f>IF(B2710="","",COUNT('Diário 1º PA'!$A$4:$A$2635)+COUNT('Diário 2º PA'!$A$4:$A$3040)+ROW()-3)</f>
        <v/>
      </c>
      <c r="B2710" s="600"/>
      <c r="C2710" s="354"/>
      <c r="D2710" s="343"/>
      <c r="E2710" s="343"/>
      <c r="F2710" s="344"/>
      <c r="G2710" s="343"/>
      <c r="H2710" s="343"/>
      <c r="I2710" s="345"/>
      <c r="J2710" s="343"/>
      <c r="K2710" s="343"/>
      <c r="L2710" s="345"/>
      <c r="M2710" s="343"/>
      <c r="N2710" s="598"/>
      <c r="O2710" s="585"/>
      <c r="P2710" s="71">
        <f t="shared" si="152"/>
        <v>0</v>
      </c>
      <c r="Q2710" s="71">
        <f t="shared" si="151"/>
        <v>0</v>
      </c>
      <c r="R2710" s="93" t="str">
        <f t="shared" si="150"/>
        <v/>
      </c>
    </row>
    <row r="2711" spans="1:18" x14ac:dyDescent="0.2">
      <c r="A2711" s="352" t="str">
        <f>IF(B2711="","",COUNT('Diário 1º PA'!$A$4:$A$2635)+COUNT('Diário 2º PA'!$A$4:$A$3040)+ROW()-3)</f>
        <v/>
      </c>
      <c r="B2711" s="600"/>
      <c r="C2711" s="354"/>
      <c r="D2711" s="343"/>
      <c r="E2711" s="343"/>
      <c r="F2711" s="344"/>
      <c r="G2711" s="343"/>
      <c r="H2711" s="343"/>
      <c r="I2711" s="345"/>
      <c r="J2711" s="343"/>
      <c r="K2711" s="343"/>
      <c r="L2711" s="345"/>
      <c r="M2711" s="343"/>
      <c r="N2711" s="598"/>
      <c r="O2711" s="585"/>
      <c r="P2711" s="71">
        <f t="shared" si="152"/>
        <v>0</v>
      </c>
      <c r="Q2711" s="71">
        <f t="shared" si="151"/>
        <v>0</v>
      </c>
      <c r="R2711" s="93" t="str">
        <f t="shared" si="150"/>
        <v/>
      </c>
    </row>
    <row r="2712" spans="1:18" x14ac:dyDescent="0.2">
      <c r="A2712" s="352" t="str">
        <f>IF(B2712="","",COUNT('Diário 1º PA'!$A$4:$A$2635)+COUNT('Diário 2º PA'!$A$4:$A$3040)+ROW()-3)</f>
        <v/>
      </c>
      <c r="B2712" s="600"/>
      <c r="C2712" s="354"/>
      <c r="D2712" s="343"/>
      <c r="E2712" s="343"/>
      <c r="F2712" s="344"/>
      <c r="G2712" s="343"/>
      <c r="H2712" s="343"/>
      <c r="I2712" s="345"/>
      <c r="J2712" s="343"/>
      <c r="K2712" s="343"/>
      <c r="L2712" s="345"/>
      <c r="M2712" s="343"/>
      <c r="N2712" s="598"/>
      <c r="O2712" s="585"/>
      <c r="P2712" s="71">
        <f t="shared" si="152"/>
        <v>0</v>
      </c>
      <c r="Q2712" s="71">
        <f t="shared" si="151"/>
        <v>0</v>
      </c>
      <c r="R2712" s="93" t="str">
        <f t="shared" si="150"/>
        <v/>
      </c>
    </row>
    <row r="2713" spans="1:18" x14ac:dyDescent="0.2">
      <c r="A2713" s="352" t="str">
        <f>IF(B2713="","",COUNT('Diário 1º PA'!$A$4:$A$2635)+COUNT('Diário 2º PA'!$A$4:$A$3040)+ROW()-3)</f>
        <v/>
      </c>
      <c r="B2713" s="600"/>
      <c r="C2713" s="354"/>
      <c r="D2713" s="343"/>
      <c r="E2713" s="343"/>
      <c r="F2713" s="344"/>
      <c r="G2713" s="343"/>
      <c r="H2713" s="343"/>
      <c r="I2713" s="345"/>
      <c r="J2713" s="343"/>
      <c r="K2713" s="343"/>
      <c r="L2713" s="345"/>
      <c r="M2713" s="343"/>
      <c r="N2713" s="598"/>
      <c r="O2713" s="585"/>
      <c r="P2713" s="71">
        <f t="shared" si="152"/>
        <v>0</v>
      </c>
      <c r="Q2713" s="71">
        <f t="shared" si="151"/>
        <v>0</v>
      </c>
      <c r="R2713" s="93" t="str">
        <f t="shared" si="150"/>
        <v/>
      </c>
    </row>
    <row r="2714" spans="1:18" x14ac:dyDescent="0.2">
      <c r="A2714" s="352" t="str">
        <f>IF(B2714="","",COUNT('Diário 1º PA'!$A$4:$A$2635)+COUNT('Diário 2º PA'!$A$4:$A$3040)+ROW()-3)</f>
        <v/>
      </c>
      <c r="B2714" s="600"/>
      <c r="C2714" s="354"/>
      <c r="D2714" s="343"/>
      <c r="E2714" s="343"/>
      <c r="F2714" s="344"/>
      <c r="G2714" s="343"/>
      <c r="H2714" s="343"/>
      <c r="I2714" s="345"/>
      <c r="J2714" s="343"/>
      <c r="K2714" s="343"/>
      <c r="L2714" s="345"/>
      <c r="M2714" s="343"/>
      <c r="N2714" s="598"/>
      <c r="O2714" s="585"/>
      <c r="P2714" s="71">
        <f t="shared" si="152"/>
        <v>0</v>
      </c>
      <c r="Q2714" s="71">
        <f t="shared" si="151"/>
        <v>0</v>
      </c>
      <c r="R2714" s="93" t="str">
        <f t="shared" si="150"/>
        <v/>
      </c>
    </row>
    <row r="2715" spans="1:18" x14ac:dyDescent="0.2">
      <c r="A2715" s="352" t="str">
        <f>IF(B2715="","",COUNT('Diário 1º PA'!$A$4:$A$2635)+COUNT('Diário 2º PA'!$A$4:$A$3040)+ROW()-3)</f>
        <v/>
      </c>
      <c r="B2715" s="600"/>
      <c r="C2715" s="354"/>
      <c r="D2715" s="343"/>
      <c r="E2715" s="343"/>
      <c r="F2715" s="344"/>
      <c r="G2715" s="343"/>
      <c r="H2715" s="343"/>
      <c r="I2715" s="345"/>
      <c r="J2715" s="343"/>
      <c r="K2715" s="343"/>
      <c r="L2715" s="345"/>
      <c r="M2715" s="343"/>
      <c r="N2715" s="598"/>
      <c r="O2715" s="585"/>
      <c r="P2715" s="71">
        <f t="shared" si="152"/>
        <v>0</v>
      </c>
      <c r="Q2715" s="71">
        <f t="shared" si="151"/>
        <v>0</v>
      </c>
      <c r="R2715" s="93" t="str">
        <f t="shared" si="150"/>
        <v/>
      </c>
    </row>
    <row r="2716" spans="1:18" x14ac:dyDescent="0.2">
      <c r="A2716" s="352" t="str">
        <f>IF(B2716="","",COUNT('Diário 1º PA'!$A$4:$A$2635)+COUNT('Diário 2º PA'!$A$4:$A$3040)+ROW()-3)</f>
        <v/>
      </c>
      <c r="B2716" s="600"/>
      <c r="C2716" s="354"/>
      <c r="D2716" s="343"/>
      <c r="E2716" s="343"/>
      <c r="F2716" s="344"/>
      <c r="G2716" s="343"/>
      <c r="H2716" s="343"/>
      <c r="I2716" s="345"/>
      <c r="J2716" s="343"/>
      <c r="K2716" s="343"/>
      <c r="L2716" s="345"/>
      <c r="M2716" s="343"/>
      <c r="N2716" s="598"/>
      <c r="O2716" s="585"/>
      <c r="P2716" s="71">
        <f t="shared" si="152"/>
        <v>0</v>
      </c>
      <c r="Q2716" s="71">
        <f t="shared" si="151"/>
        <v>0</v>
      </c>
      <c r="R2716" s="93" t="str">
        <f t="shared" si="150"/>
        <v/>
      </c>
    </row>
    <row r="2717" spans="1:18" x14ac:dyDescent="0.2">
      <c r="A2717" s="352" t="str">
        <f>IF(B2717="","",COUNT('Diário 1º PA'!$A$4:$A$2635)+COUNT('Diário 2º PA'!$A$4:$A$3040)+ROW()-3)</f>
        <v/>
      </c>
      <c r="B2717" s="600"/>
      <c r="C2717" s="354"/>
      <c r="D2717" s="343"/>
      <c r="E2717" s="343"/>
      <c r="F2717" s="344"/>
      <c r="G2717" s="343"/>
      <c r="H2717" s="343"/>
      <c r="I2717" s="345"/>
      <c r="J2717" s="343"/>
      <c r="K2717" s="343"/>
      <c r="L2717" s="345"/>
      <c r="M2717" s="343"/>
      <c r="N2717" s="598"/>
      <c r="O2717" s="585"/>
      <c r="P2717" s="71">
        <f t="shared" si="152"/>
        <v>0</v>
      </c>
      <c r="Q2717" s="71">
        <f t="shared" si="151"/>
        <v>0</v>
      </c>
      <c r="R2717" s="93" t="str">
        <f t="shared" si="150"/>
        <v/>
      </c>
    </row>
    <row r="2718" spans="1:18" x14ac:dyDescent="0.2">
      <c r="A2718" s="352" t="str">
        <f>IF(B2718="","",COUNT('Diário 1º PA'!$A$4:$A$2635)+COUNT('Diário 2º PA'!$A$4:$A$3040)+ROW()-3)</f>
        <v/>
      </c>
      <c r="B2718" s="600"/>
      <c r="C2718" s="354"/>
      <c r="D2718" s="343"/>
      <c r="E2718" s="343"/>
      <c r="F2718" s="344"/>
      <c r="G2718" s="343"/>
      <c r="H2718" s="343"/>
      <c r="I2718" s="345"/>
      <c r="J2718" s="343"/>
      <c r="K2718" s="343"/>
      <c r="L2718" s="345"/>
      <c r="M2718" s="343"/>
      <c r="N2718" s="598"/>
      <c r="O2718" s="585"/>
      <c r="P2718" s="71">
        <f t="shared" si="152"/>
        <v>0</v>
      </c>
      <c r="Q2718" s="71">
        <f t="shared" si="151"/>
        <v>0</v>
      </c>
      <c r="R2718" s="93" t="str">
        <f t="shared" si="150"/>
        <v/>
      </c>
    </row>
    <row r="2719" spans="1:18" x14ac:dyDescent="0.2">
      <c r="A2719" s="352" t="str">
        <f>IF(B2719="","",COUNT('Diário 1º PA'!$A$4:$A$2635)+COUNT('Diário 2º PA'!$A$4:$A$3040)+ROW()-3)</f>
        <v/>
      </c>
      <c r="B2719" s="600"/>
      <c r="C2719" s="354"/>
      <c r="D2719" s="343"/>
      <c r="E2719" s="343"/>
      <c r="F2719" s="344"/>
      <c r="G2719" s="343"/>
      <c r="H2719" s="343"/>
      <c r="I2719" s="345"/>
      <c r="J2719" s="343"/>
      <c r="K2719" s="343"/>
      <c r="L2719" s="345"/>
      <c r="M2719" s="343"/>
      <c r="N2719" s="598"/>
      <c r="O2719" s="585"/>
      <c r="P2719" s="71">
        <f t="shared" si="152"/>
        <v>0</v>
      </c>
      <c r="Q2719" s="71">
        <f t="shared" si="151"/>
        <v>0</v>
      </c>
      <c r="R2719" s="93" t="str">
        <f t="shared" si="150"/>
        <v/>
      </c>
    </row>
    <row r="2720" spans="1:18" x14ac:dyDescent="0.2">
      <c r="A2720" s="352" t="str">
        <f>IF(B2720="","",COUNT('Diário 1º PA'!$A$4:$A$2635)+COUNT('Diário 2º PA'!$A$4:$A$3040)+ROW()-3)</f>
        <v/>
      </c>
      <c r="B2720" s="600"/>
      <c r="C2720" s="354"/>
      <c r="D2720" s="343"/>
      <c r="E2720" s="343"/>
      <c r="F2720" s="344"/>
      <c r="G2720" s="343"/>
      <c r="H2720" s="343"/>
      <c r="I2720" s="345"/>
      <c r="J2720" s="343"/>
      <c r="K2720" s="343"/>
      <c r="L2720" s="345"/>
      <c r="M2720" s="343"/>
      <c r="N2720" s="598"/>
      <c r="O2720" s="585"/>
      <c r="P2720" s="71">
        <f t="shared" si="152"/>
        <v>0</v>
      </c>
      <c r="Q2720" s="71">
        <f t="shared" si="151"/>
        <v>0</v>
      </c>
      <c r="R2720" s="93" t="str">
        <f t="shared" si="150"/>
        <v/>
      </c>
    </row>
    <row r="2721" spans="1:18" x14ac:dyDescent="0.2">
      <c r="A2721" s="352" t="str">
        <f>IF(B2721="","",COUNT('Diário 1º PA'!$A$4:$A$2635)+COUNT('Diário 2º PA'!$A$4:$A$3040)+ROW()-3)</f>
        <v/>
      </c>
      <c r="B2721" s="600"/>
      <c r="C2721" s="354"/>
      <c r="D2721" s="343"/>
      <c r="E2721" s="343"/>
      <c r="F2721" s="344"/>
      <c r="G2721" s="343"/>
      <c r="H2721" s="343"/>
      <c r="I2721" s="345"/>
      <c r="J2721" s="343"/>
      <c r="K2721" s="343"/>
      <c r="L2721" s="345"/>
      <c r="M2721" s="343"/>
      <c r="N2721" s="598"/>
      <c r="O2721" s="585"/>
      <c r="P2721" s="71">
        <f t="shared" si="152"/>
        <v>0</v>
      </c>
      <c r="Q2721" s="71">
        <f t="shared" si="151"/>
        <v>0</v>
      </c>
      <c r="R2721" s="93" t="str">
        <f t="shared" si="150"/>
        <v/>
      </c>
    </row>
    <row r="2722" spans="1:18" x14ac:dyDescent="0.2">
      <c r="A2722" s="352" t="str">
        <f>IF(B2722="","",COUNT('Diário 1º PA'!$A$4:$A$2635)+COUNT('Diário 2º PA'!$A$4:$A$3040)+ROW()-3)</f>
        <v/>
      </c>
      <c r="B2722" s="600"/>
      <c r="C2722" s="354"/>
      <c r="D2722" s="343"/>
      <c r="E2722" s="343"/>
      <c r="F2722" s="344"/>
      <c r="G2722" s="343"/>
      <c r="H2722" s="343"/>
      <c r="I2722" s="345"/>
      <c r="J2722" s="343"/>
      <c r="K2722" s="343"/>
      <c r="L2722" s="345"/>
      <c r="M2722" s="343"/>
      <c r="N2722" s="598"/>
      <c r="O2722" s="585"/>
      <c r="P2722" s="71">
        <f t="shared" si="152"/>
        <v>0</v>
      </c>
      <c r="Q2722" s="71">
        <f t="shared" si="151"/>
        <v>0</v>
      </c>
      <c r="R2722" s="93" t="str">
        <f t="shared" si="150"/>
        <v/>
      </c>
    </row>
    <row r="2723" spans="1:18" x14ac:dyDescent="0.2">
      <c r="A2723" s="352" t="str">
        <f>IF(B2723="","",COUNT('Diário 1º PA'!$A$4:$A$2635)+COUNT('Diário 2º PA'!$A$4:$A$3040)+ROW()-3)</f>
        <v/>
      </c>
      <c r="B2723" s="600"/>
      <c r="C2723" s="354"/>
      <c r="D2723" s="343"/>
      <c r="E2723" s="343"/>
      <c r="F2723" s="344"/>
      <c r="G2723" s="343"/>
      <c r="H2723" s="343"/>
      <c r="I2723" s="345"/>
      <c r="J2723" s="343"/>
      <c r="K2723" s="343"/>
      <c r="L2723" s="345"/>
      <c r="M2723" s="343"/>
      <c r="N2723" s="598"/>
      <c r="O2723" s="585"/>
      <c r="P2723" s="71">
        <f t="shared" si="152"/>
        <v>0</v>
      </c>
      <c r="Q2723" s="71">
        <f t="shared" si="151"/>
        <v>0</v>
      </c>
      <c r="R2723" s="93" t="str">
        <f t="shared" si="150"/>
        <v/>
      </c>
    </row>
    <row r="2724" spans="1:18" x14ac:dyDescent="0.2">
      <c r="A2724" s="352" t="str">
        <f>IF(B2724="","",COUNT('Diário 1º PA'!$A$4:$A$2635)+COUNT('Diário 2º PA'!$A$4:$A$3040)+ROW()-3)</f>
        <v/>
      </c>
      <c r="B2724" s="600"/>
      <c r="C2724" s="354"/>
      <c r="D2724" s="343"/>
      <c r="E2724" s="343"/>
      <c r="F2724" s="344"/>
      <c r="G2724" s="343"/>
      <c r="H2724" s="343"/>
      <c r="I2724" s="345"/>
      <c r="J2724" s="343"/>
      <c r="K2724" s="343"/>
      <c r="L2724" s="345"/>
      <c r="M2724" s="343"/>
      <c r="N2724" s="598"/>
      <c r="O2724" s="585"/>
      <c r="P2724" s="71">
        <f t="shared" si="152"/>
        <v>0</v>
      </c>
      <c r="Q2724" s="71">
        <f t="shared" si="151"/>
        <v>0</v>
      </c>
      <c r="R2724" s="93" t="str">
        <f t="shared" si="150"/>
        <v/>
      </c>
    </row>
    <row r="2725" spans="1:18" x14ac:dyDescent="0.2">
      <c r="A2725" s="352" t="str">
        <f>IF(B2725="","",COUNT('Diário 1º PA'!$A$4:$A$2635)+COUNT('Diário 2º PA'!$A$4:$A$3040)+ROW()-3)</f>
        <v/>
      </c>
      <c r="B2725" s="600"/>
      <c r="C2725" s="354"/>
      <c r="D2725" s="343"/>
      <c r="E2725" s="343"/>
      <c r="F2725" s="344"/>
      <c r="G2725" s="343"/>
      <c r="H2725" s="343"/>
      <c r="I2725" s="345"/>
      <c r="J2725" s="343"/>
      <c r="K2725" s="343"/>
      <c r="L2725" s="345"/>
      <c r="M2725" s="343"/>
      <c r="N2725" s="598"/>
      <c r="O2725" s="585"/>
      <c r="P2725" s="71">
        <f t="shared" si="152"/>
        <v>0</v>
      </c>
      <c r="Q2725" s="71">
        <f t="shared" si="151"/>
        <v>0</v>
      </c>
      <c r="R2725" s="93" t="str">
        <f t="shared" si="150"/>
        <v/>
      </c>
    </row>
    <row r="2726" spans="1:18" x14ac:dyDescent="0.2">
      <c r="A2726" s="352" t="str">
        <f>IF(B2726="","",COUNT('Diário 1º PA'!$A$4:$A$2635)+COUNT('Diário 2º PA'!$A$4:$A$3040)+ROW()-3)</f>
        <v/>
      </c>
      <c r="B2726" s="600"/>
      <c r="C2726" s="354"/>
      <c r="D2726" s="343"/>
      <c r="E2726" s="343"/>
      <c r="F2726" s="344"/>
      <c r="G2726" s="343"/>
      <c r="H2726" s="343"/>
      <c r="I2726" s="345"/>
      <c r="J2726" s="343"/>
      <c r="K2726" s="343"/>
      <c r="L2726" s="345"/>
      <c r="M2726" s="343"/>
      <c r="N2726" s="598"/>
      <c r="O2726" s="585"/>
      <c r="P2726" s="71">
        <f t="shared" si="152"/>
        <v>0</v>
      </c>
      <c r="Q2726" s="71">
        <f t="shared" si="151"/>
        <v>0</v>
      </c>
      <c r="R2726" s="93" t="str">
        <f t="shared" si="150"/>
        <v/>
      </c>
    </row>
    <row r="2727" spans="1:18" x14ac:dyDescent="0.2">
      <c r="A2727" s="352" t="str">
        <f>IF(B2727="","",COUNT('Diário 1º PA'!$A$4:$A$2635)+COUNT('Diário 2º PA'!$A$4:$A$3040)+ROW()-3)</f>
        <v/>
      </c>
      <c r="B2727" s="600"/>
      <c r="C2727" s="354"/>
      <c r="D2727" s="343"/>
      <c r="E2727" s="343"/>
      <c r="F2727" s="344"/>
      <c r="G2727" s="343"/>
      <c r="H2727" s="343"/>
      <c r="I2727" s="345"/>
      <c r="J2727" s="343"/>
      <c r="K2727" s="343"/>
      <c r="L2727" s="345"/>
      <c r="M2727" s="343"/>
      <c r="N2727" s="598"/>
      <c r="O2727" s="585"/>
      <c r="P2727" s="71">
        <f t="shared" si="152"/>
        <v>0</v>
      </c>
      <c r="Q2727" s="71">
        <f t="shared" si="151"/>
        <v>0</v>
      </c>
      <c r="R2727" s="93" t="str">
        <f t="shared" si="150"/>
        <v/>
      </c>
    </row>
    <row r="2728" spans="1:18" x14ac:dyDescent="0.2">
      <c r="A2728" s="352" t="str">
        <f>IF(B2728="","",COUNT('Diário 1º PA'!$A$4:$A$2635)+COUNT('Diário 2º PA'!$A$4:$A$3040)+ROW()-3)</f>
        <v/>
      </c>
      <c r="B2728" s="600"/>
      <c r="C2728" s="354"/>
      <c r="D2728" s="343"/>
      <c r="E2728" s="343"/>
      <c r="F2728" s="344"/>
      <c r="G2728" s="343"/>
      <c r="H2728" s="343"/>
      <c r="I2728" s="345"/>
      <c r="J2728" s="343"/>
      <c r="K2728" s="343"/>
      <c r="L2728" s="345"/>
      <c r="M2728" s="343"/>
      <c r="N2728" s="598"/>
      <c r="O2728" s="585"/>
      <c r="P2728" s="71">
        <f t="shared" si="152"/>
        <v>0</v>
      </c>
      <c r="Q2728" s="71">
        <f t="shared" si="151"/>
        <v>0</v>
      </c>
      <c r="R2728" s="93" t="str">
        <f t="shared" si="150"/>
        <v/>
      </c>
    </row>
    <row r="2729" spans="1:18" x14ac:dyDescent="0.2">
      <c r="A2729" s="352" t="str">
        <f>IF(B2729="","",COUNT('Diário 1º PA'!$A$4:$A$2635)+COUNT('Diário 2º PA'!$A$4:$A$3040)+ROW()-3)</f>
        <v/>
      </c>
      <c r="B2729" s="600"/>
      <c r="C2729" s="354"/>
      <c r="D2729" s="343"/>
      <c r="E2729" s="343"/>
      <c r="F2729" s="344"/>
      <c r="G2729" s="343"/>
      <c r="H2729" s="343"/>
      <c r="I2729" s="345"/>
      <c r="J2729" s="343"/>
      <c r="K2729" s="343"/>
      <c r="L2729" s="345"/>
      <c r="M2729" s="343"/>
      <c r="N2729" s="598"/>
      <c r="O2729" s="585"/>
      <c r="P2729" s="71">
        <f t="shared" si="152"/>
        <v>0</v>
      </c>
      <c r="Q2729" s="71">
        <f t="shared" si="151"/>
        <v>0</v>
      </c>
      <c r="R2729" s="93" t="str">
        <f t="shared" si="150"/>
        <v/>
      </c>
    </row>
    <row r="2730" spans="1:18" x14ac:dyDescent="0.2">
      <c r="A2730" s="352" t="str">
        <f>IF(B2730="","",COUNT('Diário 1º PA'!$A$4:$A$2635)+COUNT('Diário 2º PA'!$A$4:$A$3040)+ROW()-3)</f>
        <v/>
      </c>
      <c r="B2730" s="600"/>
      <c r="C2730" s="354"/>
      <c r="D2730" s="343"/>
      <c r="E2730" s="343"/>
      <c r="F2730" s="344"/>
      <c r="G2730" s="343"/>
      <c r="H2730" s="343"/>
      <c r="I2730" s="345"/>
      <c r="J2730" s="343"/>
      <c r="K2730" s="343"/>
      <c r="L2730" s="345"/>
      <c r="M2730" s="343"/>
      <c r="N2730" s="598"/>
      <c r="O2730" s="585"/>
      <c r="P2730" s="71">
        <f t="shared" si="152"/>
        <v>0</v>
      </c>
      <c r="Q2730" s="71">
        <f t="shared" si="151"/>
        <v>0</v>
      </c>
      <c r="R2730" s="93" t="str">
        <f t="shared" si="150"/>
        <v/>
      </c>
    </row>
    <row r="2731" spans="1:18" x14ac:dyDescent="0.2">
      <c r="A2731" s="352" t="str">
        <f>IF(B2731="","",COUNT('Diário 1º PA'!$A$4:$A$2635)+COUNT('Diário 2º PA'!$A$4:$A$3040)+ROW()-3)</f>
        <v/>
      </c>
      <c r="B2731" s="600"/>
      <c r="C2731" s="354"/>
      <c r="D2731" s="343"/>
      <c r="E2731" s="343"/>
      <c r="F2731" s="344"/>
      <c r="G2731" s="343"/>
      <c r="H2731" s="343"/>
      <c r="I2731" s="345"/>
      <c r="J2731" s="343"/>
      <c r="K2731" s="343"/>
      <c r="L2731" s="345"/>
      <c r="M2731" s="343"/>
      <c r="N2731" s="598"/>
      <c r="O2731" s="585"/>
      <c r="P2731" s="71">
        <f t="shared" si="152"/>
        <v>0</v>
      </c>
      <c r="Q2731" s="71">
        <f t="shared" si="151"/>
        <v>0</v>
      </c>
      <c r="R2731" s="93" t="str">
        <f t="shared" si="150"/>
        <v/>
      </c>
    </row>
    <row r="2732" spans="1:18" x14ac:dyDescent="0.2">
      <c r="A2732" s="432" t="str">
        <f>IF(B2732="","",COUNT('Diário 1º PA'!$A$4:$A$2635)+COUNT('Diário 2º PA'!$A$4:$A$3040)+ROW()-3)</f>
        <v/>
      </c>
    </row>
  </sheetData>
  <sheetProtection formatColumns="0" formatRows="0" insertColumns="0" insertRows="0" deleteRows="0" autoFilter="0"/>
  <autoFilter ref="A3:T2732" xr:uid="{00000000-0009-0000-0000-00000C000000}"/>
  <mergeCells count="2">
    <mergeCell ref="A1:N1"/>
    <mergeCell ref="A2:N2"/>
  </mergeCells>
  <dataValidations count="5">
    <dataValidation type="list" allowBlank="1" showInputMessage="1" showErrorMessage="1" sqref="I935:I936 G200:H200 H444:H460 H462:I462 H463:H464 D511 G710:H710 I587 H982:H1189 H981:I981 H201:H442 H1285:I1285 H1191:H1284 H1299:I1299 H1286:H1298 H1300:H1475 G1476:H1476 I1641 H466:H709 H711:H980 H1903:H2731 H4:H199 H1477:H1900" xr:uid="{00000000-0002-0000-0C00-000000000000}">
      <formula1>VinculoPT</formula1>
    </dataValidation>
    <dataValidation type="list" allowBlank="1" showInputMessage="1" showErrorMessage="1" sqref="E381:E386 E1230:E1241 E193 E197 E777:E813 E229 E234 E236 E248 E250 E259 E64:E123 E341:E342 E349 E204:E225 E368 E605:E617 E379 E389 E413 E957:E964 E713:E730 E432:E434 E415 E419:E422 E392:E411 E489 E492 E579:E582 E953 E600:E603 E441:E459 E1147:E1162 E465:E487 E584:E595 E675:E676 E678:E680 E372:E377 E195 E597:E598 E622:E627 E701:E704 E733:E771 E773:E774 E968:E973 E834 E634:E648 E357:E365 E273:E339 E683:E696 E938:E951 E1644:E1650 E127:E191 E922:E931 E976:E980 E982 E984:E986 E994:E997 E1033:E1034 E1131:E1136 E1128 E1200:E1222 E1002:E1019 E1047:E1122 E1188 E1190 E1194 E520:E571 E1226 E1243 E1170:E1184 E1245:E1249 E1252:E1284 E1290:E1291 E1295 E1306:E1324 E1326 E1330 E1332:E1406 E1601:E1624 E1472 E1655:E1659 E1592 E1409:E1469 E1626:E1631 E1522:E1590 E1661 E1664:E1676 E1678 E1680:E1683 E1685:E1702 E1704:E1722 E1726:E1743 E1745 E1766:E1780 E1785 E1926:E2731 E1872:E1873 E1877:E1883 E1898 E1902:E1924 E650:E673 E858:E919 E1889:E1894 E4:E62 E1793:E1867" xr:uid="{00000000-0002-0000-0C00-000001000000}">
      <formula1>INDIRECT($R4)</formula1>
    </dataValidation>
    <dataValidation type="list" allowBlank="1" showInputMessage="1" showErrorMessage="1" sqref="E124:E126 E192 E708:E712 E198:E203 E63 E226:E228 E649 E235 E237:E247 E249 E251:E258 E260:E271 E340 E343:E348 E350:E356 E366:E367 E369:E371 E378 E380 E462:E464 E387:E388 E412 E414 E431 E416:E418 E390:E391 E460 E435:E440 E488 E490:E491 E583 E493:E519 E572:E578 E596 E599 E604 E618:E621 E987:E993 E230:E233 E674 E628:E633 E920:E921 E194 E196 E681:E682 E705:E706 E731:E732 E772 E775:E776 E835:E857 E697:E700 E932:E937 E954:E956 E952 E677 E965:E967 E981 E974:E975 E983 E998:E1001 E1020:E1032 U1037 E1035:E1046 E1123:E1127 E1129:E1130 E814:E833 E1137:E1146 E1163:E1169 E1185:E1187 E1189 E1191:E1193 E1195:E1199 E1223:E1225 E1227:E1229 E1242 E1244 E1250:E1251 E1285:E1289 E1292:E1294 E1296:E1305 E1325 E1327:E1329 E1331 E1407:E1408 E1470:E1471 E1473:E1497 E1499:E1521 E1591 E1593:E1600 E1625 E1632:E1643 E1651:E1654 E1660 E1662:E1663 E1677 E1679 E1684 E1703 E1786:E1792 E1744 E1746:E1765 E1781:E1784 E1723:E1725 E1868:E1871 E1874:E1876 E1884:E1888 E1895:E1897 E1899:E1901" xr:uid="{00000000-0002-0000-0C00-000002000000}">
      <formula1>INDIRECT($J63)</formula1>
    </dataValidation>
    <dataValidation type="list" allowBlank="1" showInputMessage="1" showErrorMessage="1" sqref="E272 D462:D510 E423:E430 D1499:D1634 D512:D706 D708:D1497 D1926:D2731 D4:D460 D1636:D1924" xr:uid="{00000000-0002-0000-0C00-000003000000}">
      <formula1>Categorias</formula1>
    </dataValidation>
    <dataValidation type="list" allowBlank="1" showInputMessage="1" showErrorMessage="1" sqref="J649 O4:O2731" xr:uid="{00000000-0002-0000-0C00-000004000000}">
      <formula1>Conta</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theme="1" tint="4.9989318521683403E-2"/>
    <pageSetUpPr fitToPage="1"/>
  </sheetPr>
  <dimension ref="A1:T2573"/>
  <sheetViews>
    <sheetView view="pageBreakPreview" zoomScale="90" zoomScaleSheetLayoutView="90" workbookViewId="0">
      <pane xSplit="6" ySplit="3" topLeftCell="G2134" activePane="bottomRight" state="frozen"/>
      <selection activeCell="G4" sqref="G4"/>
      <selection pane="topRight" activeCell="G4" sqref="G4"/>
      <selection pane="bottomLeft" activeCell="G4" sqref="G4"/>
      <selection pane="bottomRight" activeCell="U2147" sqref="U2147"/>
    </sheetView>
  </sheetViews>
  <sheetFormatPr defaultColWidth="9.140625" defaultRowHeight="12.75" x14ac:dyDescent="0.2"/>
  <cols>
    <col min="1" max="1" width="8.42578125" style="106" customWidth="1"/>
    <col min="2" max="2" width="10.5703125" style="57" bestFit="1" customWidth="1"/>
    <col min="3" max="3" width="10.42578125" style="89" customWidth="1"/>
    <col min="4" max="4" width="15.42578125" style="57" customWidth="1"/>
    <col min="5" max="5" width="23.5703125" style="57" customWidth="1"/>
    <col min="6" max="6" width="12.85546875" style="56" customWidth="1"/>
    <col min="7" max="7" width="41.42578125" style="55" customWidth="1"/>
    <col min="8" max="8" width="25.28515625" style="55" customWidth="1"/>
    <col min="9" max="9" width="23.85546875" style="98" customWidth="1"/>
    <col min="10" max="10" width="19.140625" style="55" customWidth="1"/>
    <col min="11" max="11" width="17.28515625" style="55" customWidth="1"/>
    <col min="12" max="12" width="14.7109375" style="98" customWidth="1"/>
    <col min="13" max="13" width="17.7109375" style="55" customWidth="1"/>
    <col min="14" max="14" width="15.85546875" style="55" customWidth="1"/>
    <col min="15" max="15" width="22.42578125" style="55" customWidth="1"/>
    <col min="16" max="17" width="7.42578125" style="92" customWidth="1"/>
    <col min="18" max="18" width="23.7109375" style="88" customWidth="1"/>
    <col min="19" max="19" width="10.42578125" style="305" customWidth="1"/>
    <col min="20" max="20" width="11.42578125" style="305" customWidth="1"/>
    <col min="21" max="16384" width="9.140625" style="88"/>
  </cols>
  <sheetData>
    <row r="1" spans="1:20" ht="18" customHeight="1" x14ac:dyDescent="0.2">
      <c r="A1" s="776" t="str">
        <f>Capa!A1</f>
        <v>Contrato de Gestão nº. 05/20 celebrado entre a Fundação Clóvis Salgado e a Associação Pró-Cultura e Promoção das Artes</v>
      </c>
      <c r="B1" s="776"/>
      <c r="C1" s="776"/>
      <c r="D1" s="776"/>
      <c r="E1" s="776"/>
      <c r="F1" s="776"/>
      <c r="G1" s="776"/>
      <c r="H1" s="776"/>
      <c r="I1" s="776"/>
      <c r="J1" s="776"/>
      <c r="K1" s="776"/>
      <c r="L1" s="776"/>
      <c r="M1" s="776"/>
      <c r="N1" s="776"/>
      <c r="O1" s="683"/>
      <c r="P1" s="89">
        <f>MONTH(Resumo!$C$5)</f>
        <v>1</v>
      </c>
      <c r="Q1" s="89">
        <f>YEAR(Resumo!$C$5)</f>
        <v>2022</v>
      </c>
    </row>
    <row r="2" spans="1:20" ht="18" customHeight="1" x14ac:dyDescent="0.2">
      <c r="A2" s="813" t="str">
        <f>"Tabela 9 - Diário de Entradas e Saídas do Contrato de Gestão - "&amp;LEFT(Capa!A14,1)+3&amp;"º Período Avaliatório"</f>
        <v>Tabela 9 - Diário de Entradas e Saídas do Contrato de Gestão - 4º Período Avaliatório</v>
      </c>
      <c r="B2" s="813"/>
      <c r="C2" s="813"/>
      <c r="D2" s="813"/>
      <c r="E2" s="813"/>
      <c r="F2" s="813"/>
      <c r="G2" s="813"/>
      <c r="H2" s="813"/>
      <c r="I2" s="813"/>
      <c r="J2" s="813"/>
      <c r="K2" s="813"/>
      <c r="L2" s="813"/>
      <c r="M2" s="813"/>
      <c r="N2" s="813"/>
      <c r="O2" s="684"/>
      <c r="P2" s="90"/>
      <c r="Q2" s="90"/>
    </row>
    <row r="3" spans="1:20" s="91" customFormat="1" ht="50.25" customHeight="1" x14ac:dyDescent="0.2">
      <c r="A3" s="499" t="s">
        <v>97</v>
      </c>
      <c r="B3" s="499" t="s">
        <v>280</v>
      </c>
      <c r="C3" s="500" t="s">
        <v>283</v>
      </c>
      <c r="D3" s="499" t="s">
        <v>35</v>
      </c>
      <c r="E3" s="500" t="s">
        <v>44</v>
      </c>
      <c r="F3" s="500" t="s">
        <v>272</v>
      </c>
      <c r="G3" s="500" t="s">
        <v>55</v>
      </c>
      <c r="H3" s="500" t="s">
        <v>305</v>
      </c>
      <c r="I3" s="501" t="s">
        <v>54</v>
      </c>
      <c r="J3" s="500" t="s">
        <v>56</v>
      </c>
      <c r="K3" s="500" t="s">
        <v>76</v>
      </c>
      <c r="L3" s="501" t="s">
        <v>52</v>
      </c>
      <c r="M3" s="500" t="s">
        <v>75</v>
      </c>
      <c r="N3" s="500" t="s">
        <v>165</v>
      </c>
      <c r="O3" s="500" t="s">
        <v>1222</v>
      </c>
      <c r="P3" s="693" t="s">
        <v>281</v>
      </c>
      <c r="Q3" s="693" t="s">
        <v>282</v>
      </c>
      <c r="R3" s="693" t="s">
        <v>35</v>
      </c>
      <c r="S3" s="694" t="s">
        <v>3340</v>
      </c>
      <c r="T3" s="694" t="s">
        <v>1002</v>
      </c>
    </row>
    <row r="4" spans="1:20" ht="48" x14ac:dyDescent="0.2">
      <c r="A4" s="432">
        <f>IF(B4="","",COUNT('Diário 1º PA'!$A$4:$A$2635)+COUNT('Diário 2º PA'!$A$4:$A$3040)+COUNT('Diário 3º PA'!$A$4:$A$2731)+ROW()-3)</f>
        <v>6029</v>
      </c>
      <c r="B4" s="413">
        <v>44837</v>
      </c>
      <c r="C4" s="424">
        <v>44805</v>
      </c>
      <c r="D4" s="419" t="s">
        <v>182</v>
      </c>
      <c r="E4" s="419" t="s">
        <v>179</v>
      </c>
      <c r="F4" s="422">
        <v>-60.48</v>
      </c>
      <c r="G4" s="423" t="s">
        <v>7451</v>
      </c>
      <c r="H4" s="419" t="s">
        <v>310</v>
      </c>
      <c r="I4" s="415" t="s">
        <v>795</v>
      </c>
      <c r="J4" s="419" t="s">
        <v>796</v>
      </c>
      <c r="K4" s="419" t="s">
        <v>797</v>
      </c>
      <c r="L4" s="415" t="s">
        <v>798</v>
      </c>
      <c r="M4" s="419" t="s">
        <v>310</v>
      </c>
      <c r="N4" s="413">
        <v>44837</v>
      </c>
      <c r="O4" s="413" t="s">
        <v>400</v>
      </c>
      <c r="P4" s="655">
        <f>IF(B4=0,0,IF(YEAR(B4)=$Q$1,MONTH(B4)-$P$1+1,(YEAR(B4)-$Q$1)*12-$P$1+1+MONTH(B4)))</f>
        <v>10</v>
      </c>
      <c r="Q4" s="655">
        <f>IF(C4=0,0,IF(YEAR(C4)=$Q$1,MONTH(C4)-$P$1+1,(YEAR(C4)-$Q$1)*12-$P$1+1+MONTH(C4)))</f>
        <v>9</v>
      </c>
      <c r="R4" s="758" t="str">
        <f t="shared" ref="R4:R32" si="0">SUBSTITUTE(D4," ","_")</f>
        <v>Gastos_com_Pessoal</v>
      </c>
      <c r="S4" s="697" t="s">
        <v>310</v>
      </c>
      <c r="T4" s="697" t="s">
        <v>310</v>
      </c>
    </row>
    <row r="5" spans="1:20" ht="48" x14ac:dyDescent="0.2">
      <c r="A5" s="432">
        <f>IF(B5="","",COUNT('Diário 1º PA'!$A$4:$A$2635)+COUNT('Diário 2º PA'!$A$4:$A$3040)+COUNT('Diário 3º PA'!$A$4:$A$2731)+ROW()-3)</f>
        <v>6030</v>
      </c>
      <c r="B5" s="413">
        <v>44837</v>
      </c>
      <c r="C5" s="424">
        <v>44805</v>
      </c>
      <c r="D5" s="419" t="s">
        <v>182</v>
      </c>
      <c r="E5" s="419" t="s">
        <v>179</v>
      </c>
      <c r="F5" s="422">
        <v>-75.599999999999994</v>
      </c>
      <c r="G5" s="427" t="s">
        <v>7452</v>
      </c>
      <c r="H5" s="419" t="s">
        <v>310</v>
      </c>
      <c r="I5" s="415" t="s">
        <v>795</v>
      </c>
      <c r="J5" s="419" t="s">
        <v>796</v>
      </c>
      <c r="K5" s="419" t="s">
        <v>797</v>
      </c>
      <c r="L5" s="415" t="s">
        <v>798</v>
      </c>
      <c r="M5" s="419" t="s">
        <v>310</v>
      </c>
      <c r="N5" s="413">
        <v>44837</v>
      </c>
      <c r="O5" s="414" t="s">
        <v>400</v>
      </c>
      <c r="P5" s="655">
        <f t="shared" ref="P5:P32" si="1">IF(B5=0,0,IF(YEAR(B5)=$Q$1,MONTH(B5)-$P$1+1,(YEAR(B5)-$Q$1)*12-$P$1+1+MONTH(B5)))</f>
        <v>10</v>
      </c>
      <c r="Q5" s="655">
        <f t="shared" ref="Q5:Q32" si="2">IF(C5=0,0,IF(YEAR(C5)=$Q$1,MONTH(C5)-$P$1+1,(YEAR(C5)-$Q$1)*12-$P$1+1+MONTH(C5)))</f>
        <v>9</v>
      </c>
      <c r="R5" s="758" t="str">
        <f t="shared" si="0"/>
        <v>Gastos_com_Pessoal</v>
      </c>
      <c r="S5" s="697" t="s">
        <v>310</v>
      </c>
      <c r="T5" s="697" t="s">
        <v>310</v>
      </c>
    </row>
    <row r="6" spans="1:20" ht="48" x14ac:dyDescent="0.2">
      <c r="A6" s="432">
        <f>IF(B6="","",COUNT('Diário 1º PA'!$A$4:$A$2635)+COUNT('Diário 2º PA'!$A$4:$A$3040)+COUNT('Diário 3º PA'!$A$4:$A$2731)+ROW()-3)</f>
        <v>6031</v>
      </c>
      <c r="B6" s="413">
        <v>44837</v>
      </c>
      <c r="C6" s="424">
        <v>44805</v>
      </c>
      <c r="D6" s="419" t="s">
        <v>271</v>
      </c>
      <c r="E6" s="419" t="s">
        <v>85</v>
      </c>
      <c r="F6" s="422">
        <v>-72.02</v>
      </c>
      <c r="G6" s="423" t="s">
        <v>7453</v>
      </c>
      <c r="H6" s="419" t="s">
        <v>309</v>
      </c>
      <c r="I6" s="415" t="s">
        <v>795</v>
      </c>
      <c r="J6" s="419" t="s">
        <v>796</v>
      </c>
      <c r="K6" s="419" t="s">
        <v>797</v>
      </c>
      <c r="L6" s="415" t="s">
        <v>798</v>
      </c>
      <c r="M6" s="419" t="s">
        <v>310</v>
      </c>
      <c r="N6" s="413">
        <v>44837</v>
      </c>
      <c r="O6" s="414" t="s">
        <v>400</v>
      </c>
      <c r="P6" s="655">
        <f t="shared" si="1"/>
        <v>10</v>
      </c>
      <c r="Q6" s="655">
        <f t="shared" si="2"/>
        <v>9</v>
      </c>
      <c r="R6" s="758" t="str">
        <f t="shared" si="0"/>
        <v>Gastos_Gerais</v>
      </c>
      <c r="S6" s="697" t="s">
        <v>310</v>
      </c>
      <c r="T6" s="697" t="s">
        <v>310</v>
      </c>
    </row>
    <row r="7" spans="1:20" ht="24" x14ac:dyDescent="0.2">
      <c r="A7" s="432">
        <f>IF(B7="","",COUNT('Diário 1º PA'!$A$4:$A$2635)+COUNT('Diário 2º PA'!$A$4:$A$3040)+COUNT('Diário 3º PA'!$A$4:$A$2731)+ROW()-3)</f>
        <v>6032</v>
      </c>
      <c r="B7" s="413">
        <v>44837</v>
      </c>
      <c r="C7" s="424">
        <v>44805</v>
      </c>
      <c r="D7" s="419" t="s">
        <v>182</v>
      </c>
      <c r="E7" s="419" t="s">
        <v>179</v>
      </c>
      <c r="F7" s="422">
        <v>423.24</v>
      </c>
      <c r="G7" s="427" t="s">
        <v>5702</v>
      </c>
      <c r="H7" s="419" t="s">
        <v>310</v>
      </c>
      <c r="I7" s="415" t="s">
        <v>771</v>
      </c>
      <c r="J7" s="419" t="s">
        <v>819</v>
      </c>
      <c r="K7" s="419" t="s">
        <v>812</v>
      </c>
      <c r="L7" s="415" t="s">
        <v>32</v>
      </c>
      <c r="M7" s="419">
        <v>202217692</v>
      </c>
      <c r="N7" s="413">
        <v>44820</v>
      </c>
      <c r="O7" s="414" t="s">
        <v>400</v>
      </c>
      <c r="P7" s="655">
        <f t="shared" si="1"/>
        <v>10</v>
      </c>
      <c r="Q7" s="655">
        <f t="shared" si="2"/>
        <v>9</v>
      </c>
      <c r="R7" s="758" t="str">
        <f t="shared" si="0"/>
        <v>Gastos_com_Pessoal</v>
      </c>
      <c r="S7" s="697" t="s">
        <v>310</v>
      </c>
      <c r="T7" s="697" t="s">
        <v>310</v>
      </c>
    </row>
    <row r="8" spans="1:20" ht="24" x14ac:dyDescent="0.2">
      <c r="A8" s="432">
        <f>IF(B8="","",COUNT('Diário 1º PA'!$A$4:$A$2635)+COUNT('Diário 2º PA'!$A$4:$A$3040)+COUNT('Diário 3º PA'!$A$4:$A$2731)+ROW()-3)</f>
        <v>6033</v>
      </c>
      <c r="B8" s="413">
        <v>44837</v>
      </c>
      <c r="C8" s="424">
        <v>44805</v>
      </c>
      <c r="D8" s="419" t="s">
        <v>182</v>
      </c>
      <c r="E8" s="419" t="s">
        <v>179</v>
      </c>
      <c r="F8" s="422">
        <v>612.32000000000005</v>
      </c>
      <c r="G8" s="423" t="s">
        <v>5702</v>
      </c>
      <c r="H8" s="419" t="s">
        <v>310</v>
      </c>
      <c r="I8" s="415" t="s">
        <v>771</v>
      </c>
      <c r="J8" s="419" t="s">
        <v>819</v>
      </c>
      <c r="K8" s="419" t="s">
        <v>812</v>
      </c>
      <c r="L8" s="415" t="s">
        <v>32</v>
      </c>
      <c r="M8" s="419">
        <v>202217693</v>
      </c>
      <c r="N8" s="413">
        <v>44820</v>
      </c>
      <c r="O8" s="414" t="s">
        <v>400</v>
      </c>
      <c r="P8" s="655">
        <f t="shared" si="1"/>
        <v>10</v>
      </c>
      <c r="Q8" s="655">
        <f t="shared" si="2"/>
        <v>9</v>
      </c>
      <c r="R8" s="758" t="str">
        <f t="shared" si="0"/>
        <v>Gastos_com_Pessoal</v>
      </c>
      <c r="S8" s="697" t="s">
        <v>310</v>
      </c>
      <c r="T8" s="697" t="s">
        <v>310</v>
      </c>
    </row>
    <row r="9" spans="1:20" ht="24" x14ac:dyDescent="0.2">
      <c r="A9" s="432">
        <f>IF(B9="","",COUNT('Diário 1º PA'!$A$4:$A$2635)+COUNT('Diário 2º PA'!$A$4:$A$3040)+COUNT('Diário 3º PA'!$A$4:$A$2731)+ROW()-3)</f>
        <v>6034</v>
      </c>
      <c r="B9" s="413">
        <v>44837</v>
      </c>
      <c r="C9" s="424">
        <v>44805</v>
      </c>
      <c r="D9" s="419" t="s">
        <v>271</v>
      </c>
      <c r="E9" s="419" t="s">
        <v>85</v>
      </c>
      <c r="F9" s="422">
        <v>4.99</v>
      </c>
      <c r="G9" s="423" t="s">
        <v>7454</v>
      </c>
      <c r="H9" s="419" t="s">
        <v>309</v>
      </c>
      <c r="I9" s="415" t="s">
        <v>765</v>
      </c>
      <c r="J9" s="419" t="s">
        <v>892</v>
      </c>
      <c r="K9" s="419" t="s">
        <v>893</v>
      </c>
      <c r="L9" s="415" t="s">
        <v>807</v>
      </c>
      <c r="M9" s="419" t="s">
        <v>310</v>
      </c>
      <c r="N9" s="413">
        <v>44834</v>
      </c>
      <c r="O9" s="414" t="s">
        <v>400</v>
      </c>
      <c r="P9" s="655">
        <f t="shared" si="1"/>
        <v>10</v>
      </c>
      <c r="Q9" s="655">
        <f t="shared" si="2"/>
        <v>9</v>
      </c>
      <c r="R9" s="758" t="str">
        <f t="shared" si="0"/>
        <v>Gastos_Gerais</v>
      </c>
      <c r="S9" s="697" t="s">
        <v>310</v>
      </c>
      <c r="T9" s="697" t="s">
        <v>310</v>
      </c>
    </row>
    <row r="10" spans="1:20" ht="24" x14ac:dyDescent="0.2">
      <c r="A10" s="432">
        <f>IF(B10="","",COUNT('Diário 1º PA'!$A$4:$A$2635)+COUNT('Diário 2º PA'!$A$4:$A$3040)+COUNT('Diário 3º PA'!$A$4:$A$2731)+ROW()-3)</f>
        <v>6035</v>
      </c>
      <c r="B10" s="413">
        <v>44837</v>
      </c>
      <c r="C10" s="424">
        <v>44805</v>
      </c>
      <c r="D10" s="419" t="s">
        <v>271</v>
      </c>
      <c r="E10" s="419" t="s">
        <v>85</v>
      </c>
      <c r="F10" s="422">
        <v>272.69</v>
      </c>
      <c r="G10" s="423" t="s">
        <v>5713</v>
      </c>
      <c r="H10" s="419" t="s">
        <v>309</v>
      </c>
      <c r="I10" s="415" t="s">
        <v>765</v>
      </c>
      <c r="J10" s="419" t="s">
        <v>892</v>
      </c>
      <c r="K10" s="419" t="s">
        <v>893</v>
      </c>
      <c r="L10" s="415" t="s">
        <v>807</v>
      </c>
      <c r="M10" s="419" t="s">
        <v>310</v>
      </c>
      <c r="N10" s="413">
        <v>44831</v>
      </c>
      <c r="O10" s="414" t="s">
        <v>400</v>
      </c>
      <c r="P10" s="655">
        <f t="shared" si="1"/>
        <v>10</v>
      </c>
      <c r="Q10" s="655">
        <f t="shared" si="2"/>
        <v>9</v>
      </c>
      <c r="R10" s="758" t="str">
        <f t="shared" si="0"/>
        <v>Gastos_Gerais</v>
      </c>
      <c r="S10" s="697" t="s">
        <v>310</v>
      </c>
      <c r="T10" s="697" t="s">
        <v>310</v>
      </c>
    </row>
    <row r="11" spans="1:20" ht="36" x14ac:dyDescent="0.2">
      <c r="A11" s="432">
        <f>IF(B11="","",COUNT('Diário 1º PA'!$A$4:$A$2635)+COUNT('Diário 2º PA'!$A$4:$A$3040)+COUNT('Diário 3º PA'!$A$4:$A$2731)+ROW()-3)</f>
        <v>6036</v>
      </c>
      <c r="B11" s="413">
        <v>44837</v>
      </c>
      <c r="C11" s="424">
        <v>44805</v>
      </c>
      <c r="D11" s="419" t="s">
        <v>271</v>
      </c>
      <c r="E11" s="419" t="s">
        <v>456</v>
      </c>
      <c r="F11" s="422">
        <v>705.53</v>
      </c>
      <c r="G11" s="423" t="s">
        <v>7346</v>
      </c>
      <c r="H11" s="419" t="s">
        <v>755</v>
      </c>
      <c r="I11" s="415" t="s">
        <v>865</v>
      </c>
      <c r="J11" s="419" t="s">
        <v>7347</v>
      </c>
      <c r="K11" s="419" t="s">
        <v>830</v>
      </c>
      <c r="L11" s="415" t="s">
        <v>807</v>
      </c>
      <c r="M11" s="419" t="s">
        <v>6816</v>
      </c>
      <c r="N11" s="413">
        <v>44837</v>
      </c>
      <c r="O11" s="414" t="s">
        <v>400</v>
      </c>
      <c r="P11" s="655">
        <f t="shared" si="1"/>
        <v>10</v>
      </c>
      <c r="Q11" s="655">
        <f t="shared" si="2"/>
        <v>9</v>
      </c>
      <c r="R11" s="758" t="str">
        <f t="shared" si="0"/>
        <v>Gastos_Gerais</v>
      </c>
      <c r="S11" s="697" t="s">
        <v>998</v>
      </c>
      <c r="T11" s="697">
        <v>4380</v>
      </c>
    </row>
    <row r="12" spans="1:20" ht="48" x14ac:dyDescent="0.2">
      <c r="A12" s="432">
        <f>IF(B12="","",COUNT('Diário 1º PA'!$A$4:$A$2635)+COUNT('Diário 2º PA'!$A$4:$A$3040)+COUNT('Diário 3º PA'!$A$4:$A$2731)+ROW()-3)</f>
        <v>6037</v>
      </c>
      <c r="B12" s="413">
        <v>44837</v>
      </c>
      <c r="C12" s="431">
        <v>44805</v>
      </c>
      <c r="D12" s="419" t="s">
        <v>468</v>
      </c>
      <c r="E12" s="419" t="s">
        <v>468</v>
      </c>
      <c r="F12" s="422">
        <v>2750</v>
      </c>
      <c r="G12" s="427" t="s">
        <v>694</v>
      </c>
      <c r="H12" s="419" t="s">
        <v>468</v>
      </c>
      <c r="I12" s="415" t="s">
        <v>2406</v>
      </c>
      <c r="J12" s="415" t="s">
        <v>1148</v>
      </c>
      <c r="K12" s="419" t="s">
        <v>830</v>
      </c>
      <c r="L12" s="415" t="s">
        <v>32</v>
      </c>
      <c r="M12" s="419" t="s">
        <v>3679</v>
      </c>
      <c r="N12" s="413">
        <v>44837</v>
      </c>
      <c r="O12" s="414" t="s">
        <v>408</v>
      </c>
      <c r="P12" s="655">
        <f t="shared" si="1"/>
        <v>10</v>
      </c>
      <c r="Q12" s="655">
        <f t="shared" si="2"/>
        <v>9</v>
      </c>
      <c r="R12" s="758" t="str">
        <f t="shared" si="0"/>
        <v>Gastos_custeados_por_captação</v>
      </c>
      <c r="S12" s="697" t="s">
        <v>1000</v>
      </c>
      <c r="T12" s="697">
        <v>2662</v>
      </c>
    </row>
    <row r="13" spans="1:20" ht="36" x14ac:dyDescent="0.2">
      <c r="A13" s="432">
        <f>IF(B13="","",COUNT('Diário 1º PA'!$A$4:$A$2635)+COUNT('Diário 2º PA'!$A$4:$A$3040)+COUNT('Diário 3º PA'!$A$4:$A$2731)+ROW()-3)</f>
        <v>6038</v>
      </c>
      <c r="B13" s="413">
        <v>44837</v>
      </c>
      <c r="C13" s="431">
        <v>44805</v>
      </c>
      <c r="D13" s="419" t="s">
        <v>468</v>
      </c>
      <c r="E13" s="419" t="s">
        <v>468</v>
      </c>
      <c r="F13" s="422">
        <v>2750</v>
      </c>
      <c r="G13" s="427" t="s">
        <v>4429</v>
      </c>
      <c r="H13" s="419" t="s">
        <v>468</v>
      </c>
      <c r="I13" s="415" t="s">
        <v>5610</v>
      </c>
      <c r="J13" s="415" t="s">
        <v>2456</v>
      </c>
      <c r="K13" s="419" t="s">
        <v>830</v>
      </c>
      <c r="L13" s="415" t="s">
        <v>32</v>
      </c>
      <c r="M13" s="419" t="s">
        <v>1892</v>
      </c>
      <c r="N13" s="413">
        <v>44837</v>
      </c>
      <c r="O13" s="414" t="s">
        <v>408</v>
      </c>
      <c r="P13" s="655">
        <f t="shared" si="1"/>
        <v>10</v>
      </c>
      <c r="Q13" s="655">
        <f t="shared" si="2"/>
        <v>9</v>
      </c>
      <c r="R13" s="758" t="str">
        <f t="shared" si="0"/>
        <v>Gastos_custeados_por_captação</v>
      </c>
      <c r="S13" s="697" t="s">
        <v>1000</v>
      </c>
      <c r="T13" s="697">
        <v>3804</v>
      </c>
    </row>
    <row r="14" spans="1:20" ht="48" x14ac:dyDescent="0.2">
      <c r="A14" s="432">
        <f>IF(B14="","",COUNT('Diário 1º PA'!$A$4:$A$2635)+COUNT('Diário 2º PA'!$A$4:$A$3040)+COUNT('Diário 3º PA'!$A$4:$A$2731)+ROW()-3)</f>
        <v>6039</v>
      </c>
      <c r="B14" s="413">
        <v>44837</v>
      </c>
      <c r="C14" s="431">
        <v>44805</v>
      </c>
      <c r="D14" s="419" t="s">
        <v>468</v>
      </c>
      <c r="E14" s="419" t="s">
        <v>468</v>
      </c>
      <c r="F14" s="422">
        <v>2750</v>
      </c>
      <c r="G14" s="427" t="s">
        <v>694</v>
      </c>
      <c r="H14" s="419" t="s">
        <v>468</v>
      </c>
      <c r="I14" s="415" t="s">
        <v>2468</v>
      </c>
      <c r="J14" s="415" t="s">
        <v>1127</v>
      </c>
      <c r="K14" s="419" t="s">
        <v>830</v>
      </c>
      <c r="L14" s="415" t="s">
        <v>32</v>
      </c>
      <c r="M14" s="419" t="s">
        <v>1892</v>
      </c>
      <c r="N14" s="413">
        <v>44837</v>
      </c>
      <c r="O14" s="414" t="s">
        <v>408</v>
      </c>
      <c r="P14" s="655">
        <f t="shared" si="1"/>
        <v>10</v>
      </c>
      <c r="Q14" s="655">
        <f t="shared" si="2"/>
        <v>9</v>
      </c>
      <c r="R14" s="758" t="str">
        <f t="shared" si="0"/>
        <v>Gastos_custeados_por_captação</v>
      </c>
      <c r="S14" s="697" t="s">
        <v>1000</v>
      </c>
      <c r="T14" s="697">
        <v>2661</v>
      </c>
    </row>
    <row r="15" spans="1:20" ht="60" x14ac:dyDescent="0.2">
      <c r="A15" s="432">
        <f>IF(B15="","",COUNT('Diário 1º PA'!$A$4:$A$2635)+COUNT('Diário 2º PA'!$A$4:$A$3040)+COUNT('Diário 3º PA'!$A$4:$A$2731)+ROW()-3)</f>
        <v>6040</v>
      </c>
      <c r="B15" s="413">
        <v>44837</v>
      </c>
      <c r="C15" s="431">
        <v>44805</v>
      </c>
      <c r="D15" s="419" t="s">
        <v>468</v>
      </c>
      <c r="E15" s="419" t="s">
        <v>468</v>
      </c>
      <c r="F15" s="422">
        <v>2200</v>
      </c>
      <c r="G15" s="427" t="s">
        <v>4477</v>
      </c>
      <c r="H15" s="419" t="s">
        <v>468</v>
      </c>
      <c r="I15" s="415" t="s">
        <v>6401</v>
      </c>
      <c r="J15" s="415" t="s">
        <v>4478</v>
      </c>
      <c r="K15" s="419" t="s">
        <v>830</v>
      </c>
      <c r="L15" s="415" t="s">
        <v>32</v>
      </c>
      <c r="M15" s="419" t="s">
        <v>1786</v>
      </c>
      <c r="N15" s="413">
        <v>44837</v>
      </c>
      <c r="O15" s="414" t="s">
        <v>408</v>
      </c>
      <c r="P15" s="655">
        <f t="shared" si="1"/>
        <v>10</v>
      </c>
      <c r="Q15" s="655">
        <f t="shared" si="2"/>
        <v>9</v>
      </c>
      <c r="R15" s="758" t="str">
        <f t="shared" si="0"/>
        <v>Gastos_custeados_por_captação</v>
      </c>
      <c r="S15" s="697" t="s">
        <v>1000</v>
      </c>
      <c r="T15" s="697">
        <v>3829</v>
      </c>
    </row>
    <row r="16" spans="1:20" ht="60" x14ac:dyDescent="0.2">
      <c r="A16" s="432">
        <f>IF(B16="","",COUNT('Diário 1º PA'!$A$4:$A$2635)+COUNT('Diário 2º PA'!$A$4:$A$3040)+COUNT('Diário 3º PA'!$A$4:$A$2731)+ROW()-3)</f>
        <v>6041</v>
      </c>
      <c r="B16" s="413">
        <v>44837</v>
      </c>
      <c r="C16" s="431">
        <v>44774</v>
      </c>
      <c r="D16" s="419" t="s">
        <v>468</v>
      </c>
      <c r="E16" s="419" t="s">
        <v>468</v>
      </c>
      <c r="F16" s="422">
        <v>2500</v>
      </c>
      <c r="G16" s="427" t="s">
        <v>4311</v>
      </c>
      <c r="H16" s="419" t="s">
        <v>468</v>
      </c>
      <c r="I16" s="415" t="s">
        <v>6428</v>
      </c>
      <c r="J16" s="415" t="s">
        <v>4312</v>
      </c>
      <c r="K16" s="419" t="s">
        <v>830</v>
      </c>
      <c r="L16" s="415" t="s">
        <v>32</v>
      </c>
      <c r="M16" s="419" t="s">
        <v>1786</v>
      </c>
      <c r="N16" s="413">
        <v>44837</v>
      </c>
      <c r="O16" s="414" t="s">
        <v>408</v>
      </c>
      <c r="P16" s="655">
        <f t="shared" si="1"/>
        <v>10</v>
      </c>
      <c r="Q16" s="655">
        <f t="shared" si="2"/>
        <v>8</v>
      </c>
      <c r="R16" s="758" t="str">
        <f t="shared" si="0"/>
        <v>Gastos_custeados_por_captação</v>
      </c>
      <c r="S16" s="697" t="s">
        <v>1000</v>
      </c>
      <c r="T16" s="697">
        <v>3688</v>
      </c>
    </row>
    <row r="17" spans="1:20" ht="60" x14ac:dyDescent="0.2">
      <c r="A17" s="432">
        <f>IF(B17="","",COUNT('Diário 1º PA'!$A$4:$A$2635)+COUNT('Diário 2º PA'!$A$4:$A$3040)+COUNT('Diário 3º PA'!$A$4:$A$2731)+ROW()-3)</f>
        <v>6042</v>
      </c>
      <c r="B17" s="413">
        <v>44837</v>
      </c>
      <c r="C17" s="431">
        <v>44805</v>
      </c>
      <c r="D17" s="419" t="s">
        <v>468</v>
      </c>
      <c r="E17" s="419" t="s">
        <v>468</v>
      </c>
      <c r="F17" s="422">
        <v>4400</v>
      </c>
      <c r="G17" s="427" t="s">
        <v>701</v>
      </c>
      <c r="H17" s="419" t="s">
        <v>468</v>
      </c>
      <c r="I17" s="415" t="s">
        <v>2465</v>
      </c>
      <c r="J17" s="415" t="s">
        <v>1131</v>
      </c>
      <c r="K17" s="419" t="s">
        <v>830</v>
      </c>
      <c r="L17" s="415" t="s">
        <v>32</v>
      </c>
      <c r="M17" s="419" t="s">
        <v>3672</v>
      </c>
      <c r="N17" s="413">
        <v>44837</v>
      </c>
      <c r="O17" s="414" t="s">
        <v>408</v>
      </c>
      <c r="P17" s="655">
        <f t="shared" si="1"/>
        <v>10</v>
      </c>
      <c r="Q17" s="655">
        <f t="shared" si="2"/>
        <v>9</v>
      </c>
      <c r="R17" s="758" t="str">
        <f t="shared" si="0"/>
        <v>Gastos_custeados_por_captação</v>
      </c>
      <c r="S17" s="697" t="s">
        <v>1000</v>
      </c>
      <c r="T17" s="697">
        <v>2641</v>
      </c>
    </row>
    <row r="18" spans="1:20" ht="48" x14ac:dyDescent="0.2">
      <c r="A18" s="432">
        <f>IF(B18="","",COUNT('Diário 1º PA'!$A$4:$A$2635)+COUNT('Diário 2º PA'!$A$4:$A$3040)+COUNT('Diário 3º PA'!$A$4:$A$2731)+ROW()-3)</f>
        <v>6043</v>
      </c>
      <c r="B18" s="413">
        <v>44837</v>
      </c>
      <c r="C18" s="431">
        <v>44805</v>
      </c>
      <c r="D18" s="419" t="s">
        <v>468</v>
      </c>
      <c r="E18" s="419" t="s">
        <v>468</v>
      </c>
      <c r="F18" s="422">
        <v>2750</v>
      </c>
      <c r="G18" s="427" t="s">
        <v>4338</v>
      </c>
      <c r="H18" s="419" t="s">
        <v>468</v>
      </c>
      <c r="I18" s="415" t="s">
        <v>5867</v>
      </c>
      <c r="J18" s="415" t="s">
        <v>4337</v>
      </c>
      <c r="K18" s="419" t="s">
        <v>830</v>
      </c>
      <c r="L18" s="415" t="s">
        <v>32</v>
      </c>
      <c r="M18" s="419">
        <v>69</v>
      </c>
      <c r="N18" s="413">
        <v>44837</v>
      </c>
      <c r="O18" s="414" t="s">
        <v>408</v>
      </c>
      <c r="P18" s="655">
        <f t="shared" si="1"/>
        <v>10</v>
      </c>
      <c r="Q18" s="655">
        <f t="shared" si="2"/>
        <v>9</v>
      </c>
      <c r="R18" s="758" t="str">
        <f t="shared" si="0"/>
        <v>Gastos_custeados_por_captação</v>
      </c>
      <c r="S18" s="697" t="s">
        <v>1000</v>
      </c>
      <c r="T18" s="697">
        <v>3767</v>
      </c>
    </row>
    <row r="19" spans="1:20" ht="84" x14ac:dyDescent="0.2">
      <c r="A19" s="432">
        <f>IF(B19="","",COUNT('Diário 1º PA'!$A$4:$A$2635)+COUNT('Diário 2º PA'!$A$4:$A$3040)+COUNT('Diário 3º PA'!$A$4:$A$2731)+ROW()-3)</f>
        <v>6044</v>
      </c>
      <c r="B19" s="413">
        <v>44837</v>
      </c>
      <c r="C19" s="431">
        <v>44743</v>
      </c>
      <c r="D19" s="419" t="s">
        <v>468</v>
      </c>
      <c r="E19" s="419" t="s">
        <v>468</v>
      </c>
      <c r="F19" s="422">
        <v>6250</v>
      </c>
      <c r="G19" s="427" t="s">
        <v>5906</v>
      </c>
      <c r="H19" s="419" t="s">
        <v>468</v>
      </c>
      <c r="I19" s="415" t="s">
        <v>3416</v>
      </c>
      <c r="J19" s="415" t="s">
        <v>1902</v>
      </c>
      <c r="K19" s="419" t="s">
        <v>830</v>
      </c>
      <c r="L19" s="415" t="s">
        <v>32</v>
      </c>
      <c r="M19" s="419">
        <v>30</v>
      </c>
      <c r="N19" s="413">
        <v>44837</v>
      </c>
      <c r="O19" s="414" t="s">
        <v>405</v>
      </c>
      <c r="P19" s="655">
        <f t="shared" si="1"/>
        <v>10</v>
      </c>
      <c r="Q19" s="655">
        <f t="shared" si="2"/>
        <v>7</v>
      </c>
      <c r="R19" s="758" t="str">
        <f t="shared" si="0"/>
        <v>Gastos_custeados_por_captação</v>
      </c>
      <c r="S19" s="697" t="s">
        <v>998</v>
      </c>
      <c r="T19" s="697">
        <v>4154</v>
      </c>
    </row>
    <row r="20" spans="1:20" ht="48" x14ac:dyDescent="0.2">
      <c r="A20" s="432">
        <f>IF(B20="","",COUNT('Diário 1º PA'!$A$4:$A$2635)+COUNT('Diário 2º PA'!$A$4:$A$3040)+COUNT('Diário 3º PA'!$A$4:$A$2731)+ROW()-3)</f>
        <v>6045</v>
      </c>
      <c r="B20" s="413">
        <v>44838</v>
      </c>
      <c r="C20" s="424">
        <v>44805</v>
      </c>
      <c r="D20" s="419" t="s">
        <v>271</v>
      </c>
      <c r="E20" s="419" t="s">
        <v>9</v>
      </c>
      <c r="F20" s="422">
        <v>-1741.71</v>
      </c>
      <c r="G20" s="423" t="s">
        <v>1622</v>
      </c>
      <c r="H20" s="419" t="s">
        <v>309</v>
      </c>
      <c r="I20" s="415" t="s">
        <v>795</v>
      </c>
      <c r="J20" s="419" t="s">
        <v>796</v>
      </c>
      <c r="K20" s="419" t="s">
        <v>797</v>
      </c>
      <c r="L20" s="415" t="s">
        <v>798</v>
      </c>
      <c r="M20" s="419" t="s">
        <v>310</v>
      </c>
      <c r="N20" s="413">
        <v>44838</v>
      </c>
      <c r="O20" s="414" t="s">
        <v>400</v>
      </c>
      <c r="P20" s="655">
        <f t="shared" si="1"/>
        <v>10</v>
      </c>
      <c r="Q20" s="655">
        <f t="shared" si="2"/>
        <v>9</v>
      </c>
      <c r="R20" s="758" t="str">
        <f t="shared" si="0"/>
        <v>Gastos_Gerais</v>
      </c>
      <c r="S20" s="697" t="s">
        <v>310</v>
      </c>
      <c r="T20" s="697" t="s">
        <v>310</v>
      </c>
    </row>
    <row r="21" spans="1:20" ht="24" x14ac:dyDescent="0.2">
      <c r="A21" s="432">
        <f>IF(B21="","",COUNT('Diário 1º PA'!$A$4:$A$2635)+COUNT('Diário 2º PA'!$A$4:$A$3040)+COUNT('Diário 3º PA'!$A$4:$A$2731)+ROW()-3)</f>
        <v>6046</v>
      </c>
      <c r="B21" s="413">
        <v>44838</v>
      </c>
      <c r="C21" s="424">
        <v>44805</v>
      </c>
      <c r="D21" s="419" t="s">
        <v>271</v>
      </c>
      <c r="E21" s="419" t="s">
        <v>9</v>
      </c>
      <c r="F21" s="422">
        <v>6303.39</v>
      </c>
      <c r="G21" s="423" t="s">
        <v>729</v>
      </c>
      <c r="H21" s="419" t="s">
        <v>309</v>
      </c>
      <c r="I21" s="415" t="s">
        <v>1620</v>
      </c>
      <c r="J21" s="419" t="s">
        <v>1150</v>
      </c>
      <c r="K21" s="419" t="s">
        <v>806</v>
      </c>
      <c r="L21" s="415" t="s">
        <v>32</v>
      </c>
      <c r="M21" s="419" t="s">
        <v>7455</v>
      </c>
      <c r="N21" s="413">
        <v>44837</v>
      </c>
      <c r="O21" s="414" t="s">
        <v>400</v>
      </c>
      <c r="P21" s="655">
        <f t="shared" si="1"/>
        <v>10</v>
      </c>
      <c r="Q21" s="655">
        <f t="shared" si="2"/>
        <v>9</v>
      </c>
      <c r="R21" s="758" t="str">
        <f t="shared" si="0"/>
        <v>Gastos_Gerais</v>
      </c>
      <c r="S21" s="697" t="s">
        <v>1000</v>
      </c>
      <c r="T21" s="697">
        <v>2780</v>
      </c>
    </row>
    <row r="22" spans="1:20" ht="60" x14ac:dyDescent="0.2">
      <c r="A22" s="432">
        <f>IF(B22="","",COUNT('Diário 1º PA'!$A$4:$A$2635)+COUNT('Diário 2º PA'!$A$4:$A$3040)+COUNT('Diário 3º PA'!$A$4:$A$2731)+ROW()-3)</f>
        <v>6047</v>
      </c>
      <c r="B22" s="413">
        <v>44838</v>
      </c>
      <c r="C22" s="424">
        <v>44805</v>
      </c>
      <c r="D22" s="419" t="s">
        <v>271</v>
      </c>
      <c r="E22" s="419" t="s">
        <v>90</v>
      </c>
      <c r="F22" s="422">
        <v>3000</v>
      </c>
      <c r="G22" s="427" t="s">
        <v>3964</v>
      </c>
      <c r="H22" s="419" t="s">
        <v>750</v>
      </c>
      <c r="I22" s="415" t="s">
        <v>785</v>
      </c>
      <c r="J22" s="419" t="s">
        <v>1126</v>
      </c>
      <c r="K22" s="419" t="s">
        <v>806</v>
      </c>
      <c r="L22" s="415" t="s">
        <v>32</v>
      </c>
      <c r="M22" s="419" t="s">
        <v>3672</v>
      </c>
      <c r="N22" s="413">
        <v>44838</v>
      </c>
      <c r="O22" s="414" t="s">
        <v>400</v>
      </c>
      <c r="P22" s="655">
        <f t="shared" si="1"/>
        <v>10</v>
      </c>
      <c r="Q22" s="655">
        <f t="shared" si="2"/>
        <v>9</v>
      </c>
      <c r="R22" s="758" t="str">
        <f t="shared" si="0"/>
        <v>Gastos_Gerais</v>
      </c>
      <c r="S22" s="697" t="s">
        <v>1000</v>
      </c>
      <c r="T22" s="697">
        <v>4302</v>
      </c>
    </row>
    <row r="23" spans="1:20" ht="108" x14ac:dyDescent="0.2">
      <c r="A23" s="432">
        <f>IF(B23="","",COUNT('Diário 1º PA'!$A$4:$A$2635)+COUNT('Diário 2º PA'!$A$4:$A$3040)+COUNT('Diário 3º PA'!$A$4:$A$2731)+ROW()-3)</f>
        <v>6048</v>
      </c>
      <c r="B23" s="413">
        <v>44838</v>
      </c>
      <c r="C23" s="424">
        <v>44805</v>
      </c>
      <c r="D23" s="419" t="s">
        <v>271</v>
      </c>
      <c r="E23" s="419" t="s">
        <v>456</v>
      </c>
      <c r="F23" s="422">
        <v>1000</v>
      </c>
      <c r="G23" s="423" t="s">
        <v>7456</v>
      </c>
      <c r="H23" s="419" t="s">
        <v>760</v>
      </c>
      <c r="I23" s="415" t="s">
        <v>1230</v>
      </c>
      <c r="J23" s="419" t="s">
        <v>1039</v>
      </c>
      <c r="K23" s="419" t="s">
        <v>830</v>
      </c>
      <c r="L23" s="415" t="s">
        <v>807</v>
      </c>
      <c r="M23" s="419" t="s">
        <v>6716</v>
      </c>
      <c r="N23" s="413">
        <v>44837</v>
      </c>
      <c r="O23" s="414" t="s">
        <v>400</v>
      </c>
      <c r="P23" s="655">
        <f t="shared" si="1"/>
        <v>10</v>
      </c>
      <c r="Q23" s="655">
        <f t="shared" si="2"/>
        <v>9</v>
      </c>
      <c r="R23" s="758" t="str">
        <f t="shared" si="0"/>
        <v>Gastos_Gerais</v>
      </c>
      <c r="S23" s="697" t="s">
        <v>1000</v>
      </c>
      <c r="T23" s="697">
        <v>3520</v>
      </c>
    </row>
    <row r="24" spans="1:20" ht="36" x14ac:dyDescent="0.2">
      <c r="A24" s="432">
        <f>IF(B24="","",COUNT('Diário 1º PA'!$A$4:$A$2635)+COUNT('Diário 2º PA'!$A$4:$A$3040)+COUNT('Diário 3º PA'!$A$4:$A$2731)+ROW()-3)</f>
        <v>6049</v>
      </c>
      <c r="B24" s="413">
        <v>44838</v>
      </c>
      <c r="C24" s="431">
        <v>44805</v>
      </c>
      <c r="D24" s="419" t="s">
        <v>468</v>
      </c>
      <c r="E24" s="419" t="s">
        <v>468</v>
      </c>
      <c r="F24" s="422">
        <v>3820</v>
      </c>
      <c r="G24" s="427" t="s">
        <v>695</v>
      </c>
      <c r="H24" s="419" t="s">
        <v>468</v>
      </c>
      <c r="I24" s="415" t="s">
        <v>2405</v>
      </c>
      <c r="J24" s="415" t="s">
        <v>1125</v>
      </c>
      <c r="K24" s="419" t="s">
        <v>830</v>
      </c>
      <c r="L24" s="415" t="s">
        <v>32</v>
      </c>
      <c r="M24" s="419" t="s">
        <v>1700</v>
      </c>
      <c r="N24" s="413">
        <v>44837</v>
      </c>
      <c r="O24" s="414" t="s">
        <v>408</v>
      </c>
      <c r="P24" s="655">
        <f t="shared" si="1"/>
        <v>10</v>
      </c>
      <c r="Q24" s="655">
        <f t="shared" si="2"/>
        <v>9</v>
      </c>
      <c r="R24" s="758" t="str">
        <f t="shared" si="0"/>
        <v>Gastos_custeados_por_captação</v>
      </c>
      <c r="S24" s="697" t="s">
        <v>1000</v>
      </c>
      <c r="T24" s="697">
        <v>2631</v>
      </c>
    </row>
    <row r="25" spans="1:20" ht="48" x14ac:dyDescent="0.2">
      <c r="A25" s="432">
        <f>IF(B25="","",COUNT('Diário 1º PA'!$A$4:$A$2635)+COUNT('Diário 2º PA'!$A$4:$A$3040)+COUNT('Diário 3º PA'!$A$4:$A$2731)+ROW()-3)</f>
        <v>6050</v>
      </c>
      <c r="B25" s="413">
        <v>44838</v>
      </c>
      <c r="C25" s="431">
        <v>44805</v>
      </c>
      <c r="D25" s="419" t="s">
        <v>468</v>
      </c>
      <c r="E25" s="419" t="s">
        <v>468</v>
      </c>
      <c r="F25" s="422">
        <v>2650</v>
      </c>
      <c r="G25" s="427" t="s">
        <v>697</v>
      </c>
      <c r="H25" s="419" t="s">
        <v>468</v>
      </c>
      <c r="I25" s="415" t="s">
        <v>2466</v>
      </c>
      <c r="J25" s="415" t="s">
        <v>1128</v>
      </c>
      <c r="K25" s="419" t="s">
        <v>830</v>
      </c>
      <c r="L25" s="415" t="s">
        <v>32</v>
      </c>
      <c r="M25" s="419" t="s">
        <v>5492</v>
      </c>
      <c r="N25" s="413">
        <v>44837</v>
      </c>
      <c r="O25" s="414" t="s">
        <v>408</v>
      </c>
      <c r="P25" s="655">
        <f t="shared" si="1"/>
        <v>10</v>
      </c>
      <c r="Q25" s="655">
        <f t="shared" si="2"/>
        <v>9</v>
      </c>
      <c r="R25" s="758" t="str">
        <f t="shared" si="0"/>
        <v>Gastos_custeados_por_captação</v>
      </c>
      <c r="S25" s="697" t="s">
        <v>1000</v>
      </c>
      <c r="T25" s="697">
        <v>2687</v>
      </c>
    </row>
    <row r="26" spans="1:20" ht="48" x14ac:dyDescent="0.2">
      <c r="A26" s="432">
        <f>IF(B26="","",COUNT('Diário 1º PA'!$A$4:$A$2635)+COUNT('Diário 2º PA'!$A$4:$A$3040)+COUNT('Diário 3º PA'!$A$4:$A$2731)+ROW()-3)</f>
        <v>6051</v>
      </c>
      <c r="B26" s="413">
        <v>44838</v>
      </c>
      <c r="C26" s="431">
        <v>44805</v>
      </c>
      <c r="D26" s="419" t="s">
        <v>468</v>
      </c>
      <c r="E26" s="419" t="s">
        <v>468</v>
      </c>
      <c r="F26" s="422">
        <v>2750</v>
      </c>
      <c r="G26" s="427" t="s">
        <v>5687</v>
      </c>
      <c r="H26" s="419" t="s">
        <v>468</v>
      </c>
      <c r="I26" s="415" t="s">
        <v>7685</v>
      </c>
      <c r="J26" s="415" t="s">
        <v>5688</v>
      </c>
      <c r="K26" s="419" t="s">
        <v>830</v>
      </c>
      <c r="L26" s="415" t="s">
        <v>32</v>
      </c>
      <c r="M26" s="419" t="s">
        <v>3672</v>
      </c>
      <c r="N26" s="413">
        <v>44837</v>
      </c>
      <c r="O26" s="414" t="s">
        <v>408</v>
      </c>
      <c r="P26" s="655">
        <f t="shared" si="1"/>
        <v>10</v>
      </c>
      <c r="Q26" s="655">
        <f t="shared" si="2"/>
        <v>9</v>
      </c>
      <c r="R26" s="758" t="str">
        <f t="shared" si="0"/>
        <v>Gastos_custeados_por_captação</v>
      </c>
      <c r="S26" s="697" t="s">
        <v>1000</v>
      </c>
      <c r="T26" s="697">
        <v>4014</v>
      </c>
    </row>
    <row r="27" spans="1:20" ht="36" x14ac:dyDescent="0.2">
      <c r="A27" s="432">
        <f>IF(B27="","",COUNT('Diário 1º PA'!$A$4:$A$2635)+COUNT('Diário 2º PA'!$A$4:$A$3040)+COUNT('Diário 3º PA'!$A$4:$A$2731)+ROW()-3)</f>
        <v>6052</v>
      </c>
      <c r="B27" s="413">
        <v>44838</v>
      </c>
      <c r="C27" s="431">
        <v>44805</v>
      </c>
      <c r="D27" s="419" t="s">
        <v>468</v>
      </c>
      <c r="E27" s="419" t="s">
        <v>468</v>
      </c>
      <c r="F27" s="422">
        <v>4311.5600000000004</v>
      </c>
      <c r="G27" s="427" t="s">
        <v>693</v>
      </c>
      <c r="H27" s="419" t="s">
        <v>468</v>
      </c>
      <c r="I27" s="415" t="s">
        <v>2464</v>
      </c>
      <c r="J27" s="415" t="s">
        <v>1124</v>
      </c>
      <c r="K27" s="419" t="s">
        <v>830</v>
      </c>
      <c r="L27" s="415" t="s">
        <v>32</v>
      </c>
      <c r="M27" s="419" t="s">
        <v>1793</v>
      </c>
      <c r="N27" s="413">
        <v>44837</v>
      </c>
      <c r="O27" s="414" t="s">
        <v>408</v>
      </c>
      <c r="P27" s="655">
        <f t="shared" si="1"/>
        <v>10</v>
      </c>
      <c r="Q27" s="655">
        <f t="shared" si="2"/>
        <v>9</v>
      </c>
      <c r="R27" s="758" t="str">
        <f t="shared" si="0"/>
        <v>Gastos_custeados_por_captação</v>
      </c>
      <c r="S27" s="697" t="s">
        <v>1000</v>
      </c>
      <c r="T27" s="697">
        <v>2642</v>
      </c>
    </row>
    <row r="28" spans="1:20" ht="48" x14ac:dyDescent="0.2">
      <c r="A28" s="432">
        <f>IF(B28="","",COUNT('Diário 1º PA'!$A$4:$A$2635)+COUNT('Diário 2º PA'!$A$4:$A$3040)+COUNT('Diário 3º PA'!$A$4:$A$2731)+ROW()-3)</f>
        <v>6053</v>
      </c>
      <c r="B28" s="413">
        <v>44838</v>
      </c>
      <c r="C28" s="431">
        <v>44805</v>
      </c>
      <c r="D28" s="419" t="s">
        <v>468</v>
      </c>
      <c r="E28" s="419" t="s">
        <v>468</v>
      </c>
      <c r="F28" s="422">
        <v>2694.72</v>
      </c>
      <c r="G28" s="427" t="s">
        <v>694</v>
      </c>
      <c r="H28" s="419" t="s">
        <v>468</v>
      </c>
      <c r="I28" s="415" t="s">
        <v>2457</v>
      </c>
      <c r="J28" s="415" t="s">
        <v>1120</v>
      </c>
      <c r="K28" s="419" t="s">
        <v>830</v>
      </c>
      <c r="L28" s="415" t="s">
        <v>32</v>
      </c>
      <c r="M28" s="419" t="s">
        <v>3679</v>
      </c>
      <c r="N28" s="413">
        <v>44837</v>
      </c>
      <c r="O28" s="414" t="s">
        <v>408</v>
      </c>
      <c r="P28" s="655">
        <f t="shared" si="1"/>
        <v>10</v>
      </c>
      <c r="Q28" s="655">
        <f t="shared" si="2"/>
        <v>9</v>
      </c>
      <c r="R28" s="758" t="str">
        <f t="shared" si="0"/>
        <v>Gastos_custeados_por_captação</v>
      </c>
      <c r="S28" s="697" t="s">
        <v>1000</v>
      </c>
      <c r="T28" s="697">
        <v>2663</v>
      </c>
    </row>
    <row r="29" spans="1:20" ht="36" x14ac:dyDescent="0.2">
      <c r="A29" s="432">
        <f>IF(B29="","",COUNT('Diário 1º PA'!$A$4:$A$2635)+COUNT('Diário 2º PA'!$A$4:$A$3040)+COUNT('Diário 3º PA'!$A$4:$A$2731)+ROW()-3)</f>
        <v>6054</v>
      </c>
      <c r="B29" s="413">
        <v>44838</v>
      </c>
      <c r="C29" s="424">
        <v>44835</v>
      </c>
      <c r="D29" s="419" t="s">
        <v>468</v>
      </c>
      <c r="E29" s="419" t="s">
        <v>468</v>
      </c>
      <c r="F29" s="422">
        <v>11</v>
      </c>
      <c r="G29" s="427" t="s">
        <v>2469</v>
      </c>
      <c r="H29" s="419" t="s">
        <v>468</v>
      </c>
      <c r="I29" s="639" t="s">
        <v>881</v>
      </c>
      <c r="J29" s="418" t="s">
        <v>882</v>
      </c>
      <c r="K29" s="418" t="s">
        <v>883</v>
      </c>
      <c r="L29" s="399" t="s">
        <v>798</v>
      </c>
      <c r="M29" s="544" t="s">
        <v>310</v>
      </c>
      <c r="N29" s="413">
        <v>44838</v>
      </c>
      <c r="O29" s="414" t="s">
        <v>408</v>
      </c>
      <c r="P29" s="655">
        <f t="shared" si="1"/>
        <v>10</v>
      </c>
      <c r="Q29" s="655">
        <f t="shared" si="2"/>
        <v>10</v>
      </c>
      <c r="R29" s="758" t="str">
        <f t="shared" si="0"/>
        <v>Gastos_custeados_por_captação</v>
      </c>
      <c r="S29" s="697" t="s">
        <v>310</v>
      </c>
      <c r="T29" s="697" t="s">
        <v>310</v>
      </c>
    </row>
    <row r="30" spans="1:20" ht="36" x14ac:dyDescent="0.2">
      <c r="A30" s="432">
        <f>IF(B30="","",COUNT('Diário 1º PA'!$A$4:$A$2635)+COUNT('Diário 2º PA'!$A$4:$A$3040)+COUNT('Diário 3º PA'!$A$4:$A$2731)+ROW()-3)</f>
        <v>6055</v>
      </c>
      <c r="B30" s="413">
        <v>44838</v>
      </c>
      <c r="C30" s="424">
        <v>44835</v>
      </c>
      <c r="D30" s="419" t="s">
        <v>468</v>
      </c>
      <c r="E30" s="419" t="s">
        <v>468</v>
      </c>
      <c r="F30" s="422">
        <v>11</v>
      </c>
      <c r="G30" s="427" t="s">
        <v>2469</v>
      </c>
      <c r="H30" s="419" t="s">
        <v>468</v>
      </c>
      <c r="I30" s="639" t="s">
        <v>881</v>
      </c>
      <c r="J30" s="418" t="s">
        <v>882</v>
      </c>
      <c r="K30" s="418" t="s">
        <v>883</v>
      </c>
      <c r="L30" s="399" t="s">
        <v>798</v>
      </c>
      <c r="M30" s="544" t="s">
        <v>310</v>
      </c>
      <c r="N30" s="413">
        <v>44838</v>
      </c>
      <c r="O30" s="414" t="s">
        <v>408</v>
      </c>
      <c r="P30" s="655">
        <f t="shared" si="1"/>
        <v>10</v>
      </c>
      <c r="Q30" s="655">
        <f t="shared" si="2"/>
        <v>10</v>
      </c>
      <c r="R30" s="758" t="str">
        <f t="shared" si="0"/>
        <v>Gastos_custeados_por_captação</v>
      </c>
      <c r="S30" s="697" t="s">
        <v>310</v>
      </c>
      <c r="T30" s="697" t="s">
        <v>310</v>
      </c>
    </row>
    <row r="31" spans="1:20" ht="48" x14ac:dyDescent="0.2">
      <c r="A31" s="432">
        <f>IF(B31="","",COUNT('Diário 1º PA'!$A$4:$A$2635)+COUNT('Diário 2º PA'!$A$4:$A$3040)+COUNT('Diário 3º PA'!$A$4:$A$2731)+ROW()-3)</f>
        <v>6056</v>
      </c>
      <c r="B31" s="413">
        <v>44838</v>
      </c>
      <c r="C31" s="431">
        <v>44743</v>
      </c>
      <c r="D31" s="419" t="s">
        <v>468</v>
      </c>
      <c r="E31" s="419" t="s">
        <v>468</v>
      </c>
      <c r="F31" s="422">
        <v>5585.43</v>
      </c>
      <c r="G31" s="427" t="s">
        <v>5395</v>
      </c>
      <c r="H31" s="419" t="s">
        <v>468</v>
      </c>
      <c r="I31" s="639" t="s">
        <v>3026</v>
      </c>
      <c r="J31" s="415" t="s">
        <v>1037</v>
      </c>
      <c r="K31" s="418" t="s">
        <v>806</v>
      </c>
      <c r="L31" s="399" t="s">
        <v>32</v>
      </c>
      <c r="M31" s="544">
        <v>96.285714285714292</v>
      </c>
      <c r="N31" s="413">
        <v>44837</v>
      </c>
      <c r="O31" s="414" t="s">
        <v>3762</v>
      </c>
      <c r="P31" s="655">
        <f t="shared" si="1"/>
        <v>10</v>
      </c>
      <c r="Q31" s="655">
        <f t="shared" si="2"/>
        <v>7</v>
      </c>
      <c r="R31" s="758" t="str">
        <f t="shared" si="0"/>
        <v>Gastos_custeados_por_captação</v>
      </c>
      <c r="S31" s="697" t="s">
        <v>998</v>
      </c>
      <c r="T31" s="697">
        <v>3965</v>
      </c>
    </row>
    <row r="32" spans="1:20" ht="144" x14ac:dyDescent="0.2">
      <c r="A32" s="432">
        <f>IF(B32="","",COUNT('Diário 1º PA'!$A$4:$A$2635)+COUNT('Diário 2º PA'!$A$4:$A$3040)+COUNT('Diário 3º PA'!$A$4:$A$2731)+ROW()-3)</f>
        <v>6057</v>
      </c>
      <c r="B32" s="413">
        <v>44838</v>
      </c>
      <c r="C32" s="431">
        <v>44743</v>
      </c>
      <c r="D32" s="419" t="s">
        <v>468</v>
      </c>
      <c r="E32" s="419" t="s">
        <v>468</v>
      </c>
      <c r="F32" s="422">
        <v>5250</v>
      </c>
      <c r="G32" s="427" t="s">
        <v>6195</v>
      </c>
      <c r="H32" s="419" t="s">
        <v>468</v>
      </c>
      <c r="I32" s="639" t="s">
        <v>3505</v>
      </c>
      <c r="J32" s="415" t="s">
        <v>2601</v>
      </c>
      <c r="K32" s="419" t="s">
        <v>830</v>
      </c>
      <c r="L32" s="415" t="s">
        <v>32</v>
      </c>
      <c r="M32" s="544">
        <v>25</v>
      </c>
      <c r="N32" s="413">
        <v>44837</v>
      </c>
      <c r="O32" s="414" t="s">
        <v>405</v>
      </c>
      <c r="P32" s="655">
        <f t="shared" si="1"/>
        <v>10</v>
      </c>
      <c r="Q32" s="655">
        <f t="shared" si="2"/>
        <v>7</v>
      </c>
      <c r="R32" s="758" t="str">
        <f t="shared" si="0"/>
        <v>Gastos_custeados_por_captação</v>
      </c>
      <c r="S32" s="697" t="s">
        <v>998</v>
      </c>
      <c r="T32" s="697">
        <v>4195</v>
      </c>
    </row>
    <row r="33" spans="1:20" ht="96" x14ac:dyDescent="0.2">
      <c r="A33" s="432">
        <f>IF(B33="","",COUNT('Diário 1º PA'!$A$4:$A$2635)+COUNT('Diário 2º PA'!$A$4:$A$3040)+COUNT('Diário 3º PA'!$A$4:$A$2731)+ROW()-3)</f>
        <v>6058</v>
      </c>
      <c r="B33" s="413">
        <v>44838</v>
      </c>
      <c r="C33" s="431">
        <v>44713</v>
      </c>
      <c r="D33" s="419" t="s">
        <v>468</v>
      </c>
      <c r="E33" s="419" t="s">
        <v>468</v>
      </c>
      <c r="F33" s="422">
        <v>1350</v>
      </c>
      <c r="G33" s="427" t="s">
        <v>6927</v>
      </c>
      <c r="H33" s="419" t="s">
        <v>468</v>
      </c>
      <c r="I33" s="399" t="s">
        <v>5966</v>
      </c>
      <c r="J33" s="415" t="s">
        <v>805</v>
      </c>
      <c r="K33" s="418" t="s">
        <v>806</v>
      </c>
      <c r="L33" s="399" t="s">
        <v>32</v>
      </c>
      <c r="M33" s="418" t="s">
        <v>1703</v>
      </c>
      <c r="N33" s="413">
        <v>44837</v>
      </c>
      <c r="O33" s="414" t="s">
        <v>404</v>
      </c>
      <c r="P33" s="655">
        <f t="shared" ref="P33:P96" si="3">IF(B33=0,0,IF(YEAR(B33)=$Q$1,MONTH(B33)-$P$1+1,(YEAR(B33)-$Q$1)*12-$P$1+1+MONTH(B33)))</f>
        <v>10</v>
      </c>
      <c r="Q33" s="655">
        <f t="shared" ref="Q33:Q96" si="4">IF(C33=0,0,IF(YEAR(C33)=$Q$1,MONTH(C33)-$P$1+1,(YEAR(C33)-$Q$1)*12-$P$1+1+MONTH(C33)))</f>
        <v>6</v>
      </c>
      <c r="R33" s="758" t="str">
        <f t="shared" ref="R33:R96" si="5">SUBSTITUTE(D33," ","_")</f>
        <v>Gastos_custeados_por_captação</v>
      </c>
      <c r="S33" s="697" t="s">
        <v>998</v>
      </c>
      <c r="T33" s="697">
        <v>3936</v>
      </c>
    </row>
    <row r="34" spans="1:20" ht="48" x14ac:dyDescent="0.2">
      <c r="A34" s="432">
        <f>IF(B34="","",COUNT('Diário 1º PA'!$A$4:$A$2635)+COUNT('Diário 2º PA'!$A$4:$A$3040)+COUNT('Diário 3º PA'!$A$4:$A$2731)+ROW()-3)</f>
        <v>6059</v>
      </c>
      <c r="B34" s="413">
        <v>44838</v>
      </c>
      <c r="C34" s="431">
        <v>44805</v>
      </c>
      <c r="D34" s="419" t="s">
        <v>468</v>
      </c>
      <c r="E34" s="419" t="s">
        <v>468</v>
      </c>
      <c r="F34" s="422">
        <v>2522.5500000000002</v>
      </c>
      <c r="G34" s="427" t="s">
        <v>6835</v>
      </c>
      <c r="H34" s="419" t="s">
        <v>468</v>
      </c>
      <c r="I34" s="639" t="s">
        <v>2358</v>
      </c>
      <c r="J34" s="415" t="s">
        <v>1132</v>
      </c>
      <c r="K34" s="418" t="s">
        <v>830</v>
      </c>
      <c r="L34" s="399" t="s">
        <v>839</v>
      </c>
      <c r="M34" s="418">
        <v>2031</v>
      </c>
      <c r="N34" s="413">
        <v>44837</v>
      </c>
      <c r="O34" s="414" t="s">
        <v>404</v>
      </c>
      <c r="P34" s="655">
        <f t="shared" si="3"/>
        <v>10</v>
      </c>
      <c r="Q34" s="655">
        <f t="shared" si="4"/>
        <v>9</v>
      </c>
      <c r="R34" s="758" t="str">
        <f t="shared" si="5"/>
        <v>Gastos_custeados_por_captação</v>
      </c>
      <c r="S34" s="697" t="s">
        <v>1000</v>
      </c>
      <c r="T34" s="697">
        <v>4293</v>
      </c>
    </row>
    <row r="35" spans="1:20" ht="60" x14ac:dyDescent="0.2">
      <c r="A35" s="432">
        <f>IF(B35="","",COUNT('Diário 1º PA'!$A$4:$A$2635)+COUNT('Diário 2º PA'!$A$4:$A$3040)+COUNT('Diário 3º PA'!$A$4:$A$2731)+ROW()-3)</f>
        <v>6060</v>
      </c>
      <c r="B35" s="413">
        <v>44838</v>
      </c>
      <c r="C35" s="431">
        <v>44713</v>
      </c>
      <c r="D35" s="419" t="s">
        <v>468</v>
      </c>
      <c r="E35" s="419" t="s">
        <v>468</v>
      </c>
      <c r="F35" s="422">
        <v>7409.7</v>
      </c>
      <c r="G35" s="427" t="s">
        <v>5480</v>
      </c>
      <c r="H35" s="419" t="s">
        <v>468</v>
      </c>
      <c r="I35" s="639" t="s">
        <v>1464</v>
      </c>
      <c r="J35" s="415" t="s">
        <v>1010</v>
      </c>
      <c r="K35" s="418" t="s">
        <v>830</v>
      </c>
      <c r="L35" s="399" t="s">
        <v>32</v>
      </c>
      <c r="M35" s="418" t="s">
        <v>7793</v>
      </c>
      <c r="N35" s="413">
        <v>44837</v>
      </c>
      <c r="O35" s="414" t="s">
        <v>404</v>
      </c>
      <c r="P35" s="655">
        <f t="shared" si="3"/>
        <v>10</v>
      </c>
      <c r="Q35" s="655">
        <f t="shared" si="4"/>
        <v>6</v>
      </c>
      <c r="R35" s="758" t="str">
        <f t="shared" si="5"/>
        <v>Gastos_custeados_por_captação</v>
      </c>
      <c r="S35" s="697" t="s">
        <v>998</v>
      </c>
      <c r="T35" s="697">
        <v>4011</v>
      </c>
    </row>
    <row r="36" spans="1:20" ht="48" x14ac:dyDescent="0.2">
      <c r="A36" s="432">
        <f>IF(B36="","",COUNT('Diário 1º PA'!$A$4:$A$2635)+COUNT('Diário 2º PA'!$A$4:$A$3040)+COUNT('Diário 3º PA'!$A$4:$A$2731)+ROW()-3)</f>
        <v>6061</v>
      </c>
      <c r="B36" s="413">
        <v>44838</v>
      </c>
      <c r="C36" s="431">
        <v>44805</v>
      </c>
      <c r="D36" s="419" t="s">
        <v>468</v>
      </c>
      <c r="E36" s="419" t="s">
        <v>468</v>
      </c>
      <c r="F36" s="422">
        <v>3000</v>
      </c>
      <c r="G36" s="427" t="s">
        <v>6836</v>
      </c>
      <c r="H36" s="419" t="s">
        <v>468</v>
      </c>
      <c r="I36" s="639" t="s">
        <v>2848</v>
      </c>
      <c r="J36" s="415" t="s">
        <v>1085</v>
      </c>
      <c r="K36" s="418" t="s">
        <v>830</v>
      </c>
      <c r="L36" s="399" t="s">
        <v>32</v>
      </c>
      <c r="M36" s="418" t="s">
        <v>3763</v>
      </c>
      <c r="N36" s="413">
        <v>44837</v>
      </c>
      <c r="O36" s="414" t="s">
        <v>404</v>
      </c>
      <c r="P36" s="655">
        <f t="shared" si="3"/>
        <v>10</v>
      </c>
      <c r="Q36" s="655">
        <f t="shared" si="4"/>
        <v>9</v>
      </c>
      <c r="R36" s="758" t="str">
        <f t="shared" si="5"/>
        <v>Gastos_custeados_por_captação</v>
      </c>
      <c r="S36" s="697" t="s">
        <v>1000</v>
      </c>
      <c r="T36" s="697">
        <v>4294</v>
      </c>
    </row>
    <row r="37" spans="1:20" ht="60" x14ac:dyDescent="0.2">
      <c r="A37" s="432">
        <f>IF(B37="","",COUNT('Diário 1º PA'!$A$4:$A$2635)+COUNT('Diário 2º PA'!$A$4:$A$3040)+COUNT('Diário 3º PA'!$A$4:$A$2731)+ROW()-3)</f>
        <v>6062</v>
      </c>
      <c r="B37" s="413">
        <v>44839</v>
      </c>
      <c r="C37" s="424">
        <v>44805</v>
      </c>
      <c r="D37" s="419" t="s">
        <v>271</v>
      </c>
      <c r="E37" s="419" t="s">
        <v>59</v>
      </c>
      <c r="F37" s="422">
        <v>-2244.85</v>
      </c>
      <c r="G37" s="423" t="s">
        <v>7457</v>
      </c>
      <c r="H37" s="419" t="s">
        <v>309</v>
      </c>
      <c r="I37" s="415" t="s">
        <v>795</v>
      </c>
      <c r="J37" s="419" t="s">
        <v>796</v>
      </c>
      <c r="K37" s="419" t="s">
        <v>797</v>
      </c>
      <c r="L37" s="415" t="s">
        <v>798</v>
      </c>
      <c r="M37" s="419" t="s">
        <v>310</v>
      </c>
      <c r="N37" s="413">
        <v>44839</v>
      </c>
      <c r="O37" s="414" t="s">
        <v>400</v>
      </c>
      <c r="P37" s="655">
        <f t="shared" si="3"/>
        <v>10</v>
      </c>
      <c r="Q37" s="655">
        <f t="shared" si="4"/>
        <v>9</v>
      </c>
      <c r="R37" s="758" t="str">
        <f t="shared" si="5"/>
        <v>Gastos_Gerais</v>
      </c>
      <c r="S37" s="697" t="s">
        <v>310</v>
      </c>
      <c r="T37" s="697" t="s">
        <v>310</v>
      </c>
    </row>
    <row r="38" spans="1:20" ht="72" x14ac:dyDescent="0.2">
      <c r="A38" s="432">
        <f>IF(B38="","",COUNT('Diário 1º PA'!$A$4:$A$2635)+COUNT('Diário 2º PA'!$A$4:$A$3040)+COUNT('Diário 3º PA'!$A$4:$A$2731)+ROW()-3)</f>
        <v>6063</v>
      </c>
      <c r="B38" s="413">
        <v>44839</v>
      </c>
      <c r="C38" s="424">
        <v>44805</v>
      </c>
      <c r="D38" s="419" t="s">
        <v>271</v>
      </c>
      <c r="E38" s="419" t="s">
        <v>90</v>
      </c>
      <c r="F38" s="422">
        <v>-1980.75</v>
      </c>
      <c r="G38" s="423" t="s">
        <v>7458</v>
      </c>
      <c r="H38" s="419" t="s">
        <v>309</v>
      </c>
      <c r="I38" s="415" t="s">
        <v>795</v>
      </c>
      <c r="J38" s="419" t="s">
        <v>796</v>
      </c>
      <c r="K38" s="419" t="s">
        <v>797</v>
      </c>
      <c r="L38" s="415" t="s">
        <v>798</v>
      </c>
      <c r="M38" s="419" t="s">
        <v>310</v>
      </c>
      <c r="N38" s="413">
        <v>44839</v>
      </c>
      <c r="O38" s="414" t="s">
        <v>400</v>
      </c>
      <c r="P38" s="655">
        <f t="shared" si="3"/>
        <v>10</v>
      </c>
      <c r="Q38" s="655">
        <f t="shared" si="4"/>
        <v>9</v>
      </c>
      <c r="R38" s="758" t="str">
        <f t="shared" si="5"/>
        <v>Gastos_Gerais</v>
      </c>
      <c r="S38" s="697" t="s">
        <v>310</v>
      </c>
      <c r="T38" s="697" t="s">
        <v>310</v>
      </c>
    </row>
    <row r="39" spans="1:20" ht="24" x14ac:dyDescent="0.2">
      <c r="A39" s="432">
        <f>IF(B39="","",COUNT('Diário 1º PA'!$A$4:$A$2635)+COUNT('Diário 2º PA'!$A$4:$A$3040)+COUNT('Diário 3º PA'!$A$4:$A$2731)+ROW()-3)</f>
        <v>6064</v>
      </c>
      <c r="B39" s="413">
        <v>44839</v>
      </c>
      <c r="C39" s="424">
        <v>44805</v>
      </c>
      <c r="D39" s="419" t="s">
        <v>271</v>
      </c>
      <c r="E39" s="419" t="s">
        <v>297</v>
      </c>
      <c r="F39" s="422">
        <v>21908.73</v>
      </c>
      <c r="G39" s="423" t="s">
        <v>5668</v>
      </c>
      <c r="H39" s="419" t="s">
        <v>750</v>
      </c>
      <c r="I39" s="415" t="s">
        <v>774</v>
      </c>
      <c r="J39" s="419" t="s">
        <v>844</v>
      </c>
      <c r="K39" s="419" t="s">
        <v>812</v>
      </c>
      <c r="L39" s="415" t="s">
        <v>310</v>
      </c>
      <c r="M39" s="419" t="s">
        <v>310</v>
      </c>
      <c r="N39" s="413">
        <v>44839</v>
      </c>
      <c r="O39" s="414" t="s">
        <v>400</v>
      </c>
      <c r="P39" s="655">
        <f t="shared" si="3"/>
        <v>10</v>
      </c>
      <c r="Q39" s="655">
        <f t="shared" si="4"/>
        <v>9</v>
      </c>
      <c r="R39" s="758" t="str">
        <f t="shared" si="5"/>
        <v>Gastos_Gerais</v>
      </c>
      <c r="S39" s="697" t="s">
        <v>310</v>
      </c>
      <c r="T39" s="697" t="s">
        <v>310</v>
      </c>
    </row>
    <row r="40" spans="1:20" ht="84" x14ac:dyDescent="0.2">
      <c r="A40" s="432">
        <f>IF(B40="","",COUNT('Diário 1º PA'!$A$4:$A$2635)+COUNT('Diário 2º PA'!$A$4:$A$3040)+COUNT('Diário 3º PA'!$A$4:$A$2731)+ROW()-3)</f>
        <v>6065</v>
      </c>
      <c r="B40" s="413">
        <v>44839</v>
      </c>
      <c r="C40" s="424">
        <v>44805</v>
      </c>
      <c r="D40" s="419" t="s">
        <v>271</v>
      </c>
      <c r="E40" s="419" t="s">
        <v>59</v>
      </c>
      <c r="F40" s="422">
        <v>7977.25</v>
      </c>
      <c r="G40" s="423" t="s">
        <v>1615</v>
      </c>
      <c r="H40" s="419" t="s">
        <v>309</v>
      </c>
      <c r="I40" s="415" t="s">
        <v>5246</v>
      </c>
      <c r="J40" s="419" t="s">
        <v>860</v>
      </c>
      <c r="K40" s="419" t="s">
        <v>830</v>
      </c>
      <c r="L40" s="415" t="s">
        <v>807</v>
      </c>
      <c r="M40" s="419" t="s">
        <v>7459</v>
      </c>
      <c r="N40" s="413">
        <v>44827</v>
      </c>
      <c r="O40" s="414" t="s">
        <v>400</v>
      </c>
      <c r="P40" s="655">
        <f t="shared" si="3"/>
        <v>10</v>
      </c>
      <c r="Q40" s="655">
        <f t="shared" si="4"/>
        <v>9</v>
      </c>
      <c r="R40" s="758" t="str">
        <f t="shared" si="5"/>
        <v>Gastos_Gerais</v>
      </c>
      <c r="S40" s="697" t="s">
        <v>1000</v>
      </c>
      <c r="T40" s="697">
        <v>1114</v>
      </c>
    </row>
    <row r="41" spans="1:20" ht="60" x14ac:dyDescent="0.2">
      <c r="A41" s="432">
        <f>IF(B41="","",COUNT('Diário 1º PA'!$A$4:$A$2635)+COUNT('Diário 2º PA'!$A$4:$A$3040)+COUNT('Diário 3º PA'!$A$4:$A$2731)+ROW()-3)</f>
        <v>6066</v>
      </c>
      <c r="B41" s="413">
        <v>44839</v>
      </c>
      <c r="C41" s="424">
        <v>44805</v>
      </c>
      <c r="D41" s="419" t="s">
        <v>271</v>
      </c>
      <c r="E41" s="419" t="s">
        <v>90</v>
      </c>
      <c r="F41" s="422">
        <v>3000</v>
      </c>
      <c r="G41" s="423" t="s">
        <v>3964</v>
      </c>
      <c r="H41" s="419" t="s">
        <v>750</v>
      </c>
      <c r="I41" s="415" t="s">
        <v>856</v>
      </c>
      <c r="J41" s="419" t="s">
        <v>1077</v>
      </c>
      <c r="K41" s="419" t="s">
        <v>830</v>
      </c>
      <c r="L41" s="415" t="s">
        <v>807</v>
      </c>
      <c r="M41" s="419">
        <v>152</v>
      </c>
      <c r="N41" s="413">
        <v>44838</v>
      </c>
      <c r="O41" s="414" t="s">
        <v>400</v>
      </c>
      <c r="P41" s="655">
        <f t="shared" si="3"/>
        <v>10</v>
      </c>
      <c r="Q41" s="655">
        <f t="shared" si="4"/>
        <v>9</v>
      </c>
      <c r="R41" s="758" t="str">
        <f t="shared" si="5"/>
        <v>Gastos_Gerais</v>
      </c>
      <c r="S41" s="697" t="s">
        <v>1000</v>
      </c>
      <c r="T41" s="697">
        <v>4303</v>
      </c>
    </row>
    <row r="42" spans="1:20" ht="72" x14ac:dyDescent="0.2">
      <c r="A42" s="432">
        <f>IF(B42="","",COUNT('Diário 1º PA'!$A$4:$A$2635)+COUNT('Diário 2º PA'!$A$4:$A$3040)+COUNT('Diário 3º PA'!$A$4:$A$2731)+ROW()-3)</f>
        <v>6067</v>
      </c>
      <c r="B42" s="413">
        <v>44839</v>
      </c>
      <c r="C42" s="424">
        <v>44805</v>
      </c>
      <c r="D42" s="419" t="s">
        <v>271</v>
      </c>
      <c r="E42" s="419" t="s">
        <v>90</v>
      </c>
      <c r="F42" s="422">
        <v>3919.6</v>
      </c>
      <c r="G42" s="423" t="s">
        <v>6939</v>
      </c>
      <c r="H42" s="419" t="s">
        <v>758</v>
      </c>
      <c r="I42" s="415" t="s">
        <v>865</v>
      </c>
      <c r="J42" s="419" t="s">
        <v>866</v>
      </c>
      <c r="K42" s="419" t="s">
        <v>830</v>
      </c>
      <c r="L42" s="415" t="s">
        <v>807</v>
      </c>
      <c r="M42" s="419" t="s">
        <v>3560</v>
      </c>
      <c r="N42" s="413">
        <v>44838</v>
      </c>
      <c r="O42" s="414" t="s">
        <v>400</v>
      </c>
      <c r="P42" s="655">
        <f t="shared" si="3"/>
        <v>10</v>
      </c>
      <c r="Q42" s="655">
        <f t="shared" si="4"/>
        <v>9</v>
      </c>
      <c r="R42" s="758" t="str">
        <f t="shared" si="5"/>
        <v>Gastos_Gerais</v>
      </c>
      <c r="S42" s="697" t="s">
        <v>1000</v>
      </c>
      <c r="T42" s="697">
        <v>4314</v>
      </c>
    </row>
    <row r="43" spans="1:20" ht="72" x14ac:dyDescent="0.2">
      <c r="A43" s="432">
        <f>IF(B43="","",COUNT('Diário 1º PA'!$A$4:$A$2635)+COUNT('Diário 2º PA'!$A$4:$A$3040)+COUNT('Diário 3º PA'!$A$4:$A$2731)+ROW()-3)</f>
        <v>6068</v>
      </c>
      <c r="B43" s="413">
        <v>44839</v>
      </c>
      <c r="C43" s="424">
        <v>44805</v>
      </c>
      <c r="D43" s="419" t="s">
        <v>271</v>
      </c>
      <c r="E43" s="419" t="s">
        <v>297</v>
      </c>
      <c r="F43" s="422">
        <v>97.2</v>
      </c>
      <c r="G43" s="423" t="s">
        <v>5949</v>
      </c>
      <c r="H43" s="419" t="s">
        <v>793</v>
      </c>
      <c r="I43" s="415" t="s">
        <v>1803</v>
      </c>
      <c r="J43" s="419" t="s">
        <v>991</v>
      </c>
      <c r="K43" s="419" t="s">
        <v>830</v>
      </c>
      <c r="L43" s="415" t="s">
        <v>798</v>
      </c>
      <c r="M43" s="419" t="s">
        <v>310</v>
      </c>
      <c r="N43" s="413">
        <v>44839</v>
      </c>
      <c r="O43" s="414" t="s">
        <v>400</v>
      </c>
      <c r="P43" s="655">
        <f t="shared" si="3"/>
        <v>10</v>
      </c>
      <c r="Q43" s="655">
        <f t="shared" si="4"/>
        <v>9</v>
      </c>
      <c r="R43" s="758" t="str">
        <f t="shared" si="5"/>
        <v>Gastos_Gerais</v>
      </c>
      <c r="S43" s="697" t="s">
        <v>1000</v>
      </c>
      <c r="T43" s="697">
        <v>2768</v>
      </c>
    </row>
    <row r="44" spans="1:20" ht="36" x14ac:dyDescent="0.2">
      <c r="A44" s="432">
        <f>IF(B44="","",COUNT('Diário 1º PA'!$A$4:$A$2635)+COUNT('Diário 2º PA'!$A$4:$A$3040)+COUNT('Diário 3º PA'!$A$4:$A$2731)+ROW()-3)</f>
        <v>6069</v>
      </c>
      <c r="B44" s="413">
        <v>44839</v>
      </c>
      <c r="C44" s="424">
        <v>44805</v>
      </c>
      <c r="D44" s="419" t="s">
        <v>271</v>
      </c>
      <c r="E44" s="419" t="s">
        <v>297</v>
      </c>
      <c r="F44" s="422">
        <v>364.02</v>
      </c>
      <c r="G44" s="423" t="s">
        <v>7460</v>
      </c>
      <c r="H44" s="419" t="s">
        <v>309</v>
      </c>
      <c r="I44" s="415" t="s">
        <v>1803</v>
      </c>
      <c r="J44" s="419" t="s">
        <v>991</v>
      </c>
      <c r="K44" s="419" t="s">
        <v>830</v>
      </c>
      <c r="L44" s="415" t="s">
        <v>32</v>
      </c>
      <c r="M44" s="419">
        <v>4379461</v>
      </c>
      <c r="N44" s="413">
        <v>44806</v>
      </c>
      <c r="O44" s="414" t="s">
        <v>400</v>
      </c>
      <c r="P44" s="655">
        <f t="shared" si="3"/>
        <v>10</v>
      </c>
      <c r="Q44" s="655">
        <f t="shared" si="4"/>
        <v>9</v>
      </c>
      <c r="R44" s="758" t="str">
        <f t="shared" si="5"/>
        <v>Gastos_Gerais</v>
      </c>
      <c r="S44" s="697" t="s">
        <v>998</v>
      </c>
      <c r="T44" s="697">
        <v>4452</v>
      </c>
    </row>
    <row r="45" spans="1:20" ht="48" x14ac:dyDescent="0.2">
      <c r="A45" s="432">
        <f>IF(B45="","",COUNT('Diário 1º PA'!$A$4:$A$2635)+COUNT('Diário 2º PA'!$A$4:$A$3040)+COUNT('Diário 3º PA'!$A$4:$A$2731)+ROW()-3)</f>
        <v>6070</v>
      </c>
      <c r="B45" s="413">
        <v>44839</v>
      </c>
      <c r="C45" s="424">
        <v>44805</v>
      </c>
      <c r="D45" s="419" t="s">
        <v>271</v>
      </c>
      <c r="E45" s="419" t="s">
        <v>92</v>
      </c>
      <c r="F45" s="422">
        <v>500</v>
      </c>
      <c r="G45" s="423" t="s">
        <v>1590</v>
      </c>
      <c r="H45" s="419" t="s">
        <v>309</v>
      </c>
      <c r="I45" s="415" t="s">
        <v>1304</v>
      </c>
      <c r="J45" s="419" t="s">
        <v>1033</v>
      </c>
      <c r="K45" s="419" t="s">
        <v>830</v>
      </c>
      <c r="L45" s="415" t="s">
        <v>1305</v>
      </c>
      <c r="M45" s="419" t="s">
        <v>310</v>
      </c>
      <c r="N45" s="413">
        <v>44805</v>
      </c>
      <c r="O45" s="414" t="s">
        <v>400</v>
      </c>
      <c r="P45" s="655">
        <f t="shared" si="3"/>
        <v>10</v>
      </c>
      <c r="Q45" s="655">
        <f t="shared" si="4"/>
        <v>9</v>
      </c>
      <c r="R45" s="758" t="str">
        <f t="shared" si="5"/>
        <v>Gastos_Gerais</v>
      </c>
      <c r="S45" s="697" t="s">
        <v>1000</v>
      </c>
      <c r="T45" s="697">
        <v>2842</v>
      </c>
    </row>
    <row r="46" spans="1:20" ht="120" x14ac:dyDescent="0.2">
      <c r="A46" s="432">
        <f>IF(B46="","",COUNT('Diário 1º PA'!$A$4:$A$2635)+COUNT('Diário 2º PA'!$A$4:$A$3040)+COUNT('Diário 3º PA'!$A$4:$A$2731)+ROW()-3)</f>
        <v>6071</v>
      </c>
      <c r="B46" s="413">
        <v>44839</v>
      </c>
      <c r="C46" s="424">
        <v>44805</v>
      </c>
      <c r="D46" s="419" t="s">
        <v>271</v>
      </c>
      <c r="E46" s="419" t="s">
        <v>90</v>
      </c>
      <c r="F46" s="422">
        <v>7296</v>
      </c>
      <c r="G46" s="423" t="s">
        <v>862</v>
      </c>
      <c r="H46" s="419" t="s">
        <v>309</v>
      </c>
      <c r="I46" s="415" t="s">
        <v>850</v>
      </c>
      <c r="J46" s="419" t="s">
        <v>863</v>
      </c>
      <c r="K46" s="419" t="s">
        <v>830</v>
      </c>
      <c r="L46" s="415" t="s">
        <v>32</v>
      </c>
      <c r="M46" s="419" t="s">
        <v>3498</v>
      </c>
      <c r="N46" s="413">
        <v>44838</v>
      </c>
      <c r="O46" s="414" t="s">
        <v>400</v>
      </c>
      <c r="P46" s="655">
        <f t="shared" si="3"/>
        <v>10</v>
      </c>
      <c r="Q46" s="655">
        <f t="shared" si="4"/>
        <v>9</v>
      </c>
      <c r="R46" s="758" t="str">
        <f t="shared" si="5"/>
        <v>Gastos_Gerais</v>
      </c>
      <c r="S46" s="697" t="s">
        <v>1000</v>
      </c>
      <c r="T46" s="697">
        <v>1134</v>
      </c>
    </row>
    <row r="47" spans="1:20" ht="48" x14ac:dyDescent="0.2">
      <c r="A47" s="432">
        <f>IF(B47="","",COUNT('Diário 1º PA'!$A$4:$A$2635)+COUNT('Diário 2º PA'!$A$4:$A$3040)+COUNT('Diário 3º PA'!$A$4:$A$2731)+ROW()-3)</f>
        <v>6072</v>
      </c>
      <c r="B47" s="413">
        <v>44839</v>
      </c>
      <c r="C47" s="424">
        <v>44805</v>
      </c>
      <c r="D47" s="419" t="s">
        <v>271</v>
      </c>
      <c r="E47" s="419" t="s">
        <v>90</v>
      </c>
      <c r="F47" s="422">
        <v>2000</v>
      </c>
      <c r="G47" s="423" t="s">
        <v>6966</v>
      </c>
      <c r="H47" s="419" t="s">
        <v>760</v>
      </c>
      <c r="I47" s="415" t="s">
        <v>1656</v>
      </c>
      <c r="J47" s="419" t="s">
        <v>1655</v>
      </c>
      <c r="K47" s="419" t="s">
        <v>830</v>
      </c>
      <c r="L47" s="415" t="s">
        <v>32</v>
      </c>
      <c r="M47" s="419" t="s">
        <v>1795</v>
      </c>
      <c r="N47" s="413">
        <v>44838</v>
      </c>
      <c r="O47" s="414" t="s">
        <v>400</v>
      </c>
      <c r="P47" s="655">
        <f t="shared" si="3"/>
        <v>10</v>
      </c>
      <c r="Q47" s="655">
        <f t="shared" si="4"/>
        <v>9</v>
      </c>
      <c r="R47" s="758" t="str">
        <f t="shared" si="5"/>
        <v>Gastos_Gerais</v>
      </c>
      <c r="S47" s="697" t="s">
        <v>1000</v>
      </c>
      <c r="T47" s="697">
        <v>4318</v>
      </c>
    </row>
    <row r="48" spans="1:20" ht="48" x14ac:dyDescent="0.2">
      <c r="A48" s="432">
        <f>IF(B48="","",COUNT('Diário 1º PA'!$A$4:$A$2635)+COUNT('Diário 2º PA'!$A$4:$A$3040)+COUNT('Diário 3º PA'!$A$4:$A$2731)+ROW()-3)</f>
        <v>6073</v>
      </c>
      <c r="B48" s="413">
        <v>44839</v>
      </c>
      <c r="C48" s="466">
        <v>44835</v>
      </c>
      <c r="D48" s="426" t="s">
        <v>271</v>
      </c>
      <c r="E48" s="426" t="s">
        <v>297</v>
      </c>
      <c r="F48" s="686">
        <v>22</v>
      </c>
      <c r="G48" s="642" t="s">
        <v>7461</v>
      </c>
      <c r="H48" s="426" t="s">
        <v>760</v>
      </c>
      <c r="I48" s="434" t="s">
        <v>3570</v>
      </c>
      <c r="J48" s="426" t="s">
        <v>3571</v>
      </c>
      <c r="K48" s="426" t="s">
        <v>830</v>
      </c>
      <c r="L48" s="434" t="s">
        <v>32</v>
      </c>
      <c r="M48" s="426">
        <v>215685</v>
      </c>
      <c r="N48" s="685">
        <v>44827</v>
      </c>
      <c r="O48" s="414" t="s">
        <v>400</v>
      </c>
      <c r="P48" s="655">
        <f t="shared" si="3"/>
        <v>10</v>
      </c>
      <c r="Q48" s="655">
        <f t="shared" si="4"/>
        <v>10</v>
      </c>
      <c r="R48" s="758" t="str">
        <f t="shared" si="5"/>
        <v>Gastos_Gerais</v>
      </c>
      <c r="S48" s="697" t="s">
        <v>998</v>
      </c>
      <c r="T48" s="697">
        <v>4430</v>
      </c>
    </row>
    <row r="49" spans="1:20" ht="72" x14ac:dyDescent="0.2">
      <c r="A49" s="432">
        <f>IF(B49="","",COUNT('Diário 1º PA'!$A$4:$A$2635)+COUNT('Diário 2º PA'!$A$4:$A$3040)+COUNT('Diário 3º PA'!$A$4:$A$2731)+ROW()-3)</f>
        <v>6074</v>
      </c>
      <c r="B49" s="413">
        <v>44839</v>
      </c>
      <c r="C49" s="424">
        <v>44743</v>
      </c>
      <c r="D49" s="419" t="s">
        <v>271</v>
      </c>
      <c r="E49" s="419" t="s">
        <v>90</v>
      </c>
      <c r="F49" s="422">
        <v>2223</v>
      </c>
      <c r="G49" s="423" t="s">
        <v>5697</v>
      </c>
      <c r="H49" s="419" t="s">
        <v>753</v>
      </c>
      <c r="I49" s="415" t="s">
        <v>6231</v>
      </c>
      <c r="J49" s="419" t="s">
        <v>5698</v>
      </c>
      <c r="K49" s="419" t="s">
        <v>830</v>
      </c>
      <c r="L49" s="415" t="s">
        <v>32</v>
      </c>
      <c r="M49" s="419" t="s">
        <v>1503</v>
      </c>
      <c r="N49" s="413">
        <v>44838</v>
      </c>
      <c r="O49" s="414" t="s">
        <v>400</v>
      </c>
      <c r="P49" s="655">
        <f t="shared" si="3"/>
        <v>10</v>
      </c>
      <c r="Q49" s="655">
        <f t="shared" si="4"/>
        <v>7</v>
      </c>
      <c r="R49" s="758" t="str">
        <f t="shared" si="5"/>
        <v>Gastos_Gerais</v>
      </c>
      <c r="S49" s="697" t="s">
        <v>998</v>
      </c>
      <c r="T49" s="697">
        <v>3933</v>
      </c>
    </row>
    <row r="50" spans="1:20" ht="48" x14ac:dyDescent="0.2">
      <c r="A50" s="432">
        <f>IF(B50="","",COUNT('Diário 1º PA'!$A$4:$A$2635)+COUNT('Diário 2º PA'!$A$4:$A$3040)+COUNT('Diário 3º PA'!$A$4:$A$2731)+ROW()-3)</f>
        <v>6075</v>
      </c>
      <c r="B50" s="413">
        <v>44839</v>
      </c>
      <c r="C50" s="424">
        <v>44835</v>
      </c>
      <c r="D50" s="419" t="s">
        <v>271</v>
      </c>
      <c r="E50" s="419" t="s">
        <v>71</v>
      </c>
      <c r="F50" s="422">
        <v>11</v>
      </c>
      <c r="G50" s="423" t="s">
        <v>7462</v>
      </c>
      <c r="H50" s="419" t="s">
        <v>753</v>
      </c>
      <c r="I50" s="415" t="s">
        <v>881</v>
      </c>
      <c r="J50" s="419" t="s">
        <v>882</v>
      </c>
      <c r="K50" s="419" t="s">
        <v>883</v>
      </c>
      <c r="L50" s="415" t="s">
        <v>798</v>
      </c>
      <c r="M50" s="419" t="s">
        <v>310</v>
      </c>
      <c r="N50" s="413">
        <v>44839</v>
      </c>
      <c r="O50" s="414" t="s">
        <v>400</v>
      </c>
      <c r="P50" s="655">
        <f t="shared" si="3"/>
        <v>10</v>
      </c>
      <c r="Q50" s="655">
        <f t="shared" si="4"/>
        <v>10</v>
      </c>
      <c r="R50" s="758" t="str">
        <f t="shared" si="5"/>
        <v>Gastos_Gerais</v>
      </c>
      <c r="S50" s="697" t="s">
        <v>310</v>
      </c>
      <c r="T50" s="697" t="s">
        <v>310</v>
      </c>
    </row>
    <row r="51" spans="1:20" ht="24" x14ac:dyDescent="0.2">
      <c r="A51" s="432">
        <f>IF(B51="","",COUNT('Diário 1º PA'!$A$4:$A$2635)+COUNT('Diário 2º PA'!$A$4:$A$3040)+COUNT('Diário 3º PA'!$A$4:$A$2731)+ROW()-3)</f>
        <v>6076</v>
      </c>
      <c r="B51" s="413">
        <v>44839</v>
      </c>
      <c r="C51" s="424">
        <v>44835</v>
      </c>
      <c r="D51" s="419" t="s">
        <v>271</v>
      </c>
      <c r="E51" s="419" t="s">
        <v>71</v>
      </c>
      <c r="F51" s="422">
        <v>153</v>
      </c>
      <c r="G51" s="423" t="s">
        <v>880</v>
      </c>
      <c r="H51" s="419" t="s">
        <v>309</v>
      </c>
      <c r="I51" s="415" t="s">
        <v>881</v>
      </c>
      <c r="J51" s="419" t="s">
        <v>882</v>
      </c>
      <c r="K51" s="419" t="s">
        <v>883</v>
      </c>
      <c r="L51" s="415" t="s">
        <v>798</v>
      </c>
      <c r="M51" s="419" t="s">
        <v>310</v>
      </c>
      <c r="N51" s="413">
        <v>44835</v>
      </c>
      <c r="O51" s="414" t="s">
        <v>400</v>
      </c>
      <c r="P51" s="655">
        <f t="shared" si="3"/>
        <v>10</v>
      </c>
      <c r="Q51" s="655">
        <f t="shared" si="4"/>
        <v>10</v>
      </c>
      <c r="R51" s="758" t="str">
        <f t="shared" si="5"/>
        <v>Gastos_Gerais</v>
      </c>
      <c r="S51" s="697" t="s">
        <v>310</v>
      </c>
      <c r="T51" s="697" t="s">
        <v>310</v>
      </c>
    </row>
    <row r="52" spans="1:20" ht="36" x14ac:dyDescent="0.2">
      <c r="A52" s="432">
        <f>IF(B52="","",COUNT('Diário 1º PA'!$A$4:$A$2635)+COUNT('Diário 2º PA'!$A$4:$A$3040)+COUNT('Diário 3º PA'!$A$4:$A$2731)+ROW()-3)</f>
        <v>6077</v>
      </c>
      <c r="B52" s="413">
        <v>44839</v>
      </c>
      <c r="C52" s="431">
        <v>44805</v>
      </c>
      <c r="D52" s="419" t="s">
        <v>468</v>
      </c>
      <c r="E52" s="419" t="s">
        <v>468</v>
      </c>
      <c r="F52" s="422">
        <v>146.30000000000001</v>
      </c>
      <c r="G52" s="427" t="s">
        <v>6404</v>
      </c>
      <c r="H52" s="419" t="s">
        <v>468</v>
      </c>
      <c r="I52" s="398" t="s">
        <v>1803</v>
      </c>
      <c r="J52" s="415" t="s">
        <v>991</v>
      </c>
      <c r="K52" s="415" t="s">
        <v>830</v>
      </c>
      <c r="L52" s="415" t="s">
        <v>798</v>
      </c>
      <c r="M52" s="415" t="s">
        <v>310</v>
      </c>
      <c r="N52" s="413">
        <v>44839</v>
      </c>
      <c r="O52" s="414" t="s">
        <v>408</v>
      </c>
      <c r="P52" s="655">
        <f t="shared" si="3"/>
        <v>10</v>
      </c>
      <c r="Q52" s="655">
        <f t="shared" si="4"/>
        <v>9</v>
      </c>
      <c r="R52" s="758" t="str">
        <f t="shared" si="5"/>
        <v>Gastos_custeados_por_captação</v>
      </c>
      <c r="S52" s="697" t="s">
        <v>1000</v>
      </c>
      <c r="T52" s="697">
        <v>2859</v>
      </c>
    </row>
    <row r="53" spans="1:20" ht="48" x14ac:dyDescent="0.2">
      <c r="A53" s="432">
        <f>IF(B53="","",COUNT('Diário 1º PA'!$A$4:$A$2635)+COUNT('Diário 2º PA'!$A$4:$A$3040)+COUNT('Diário 3º PA'!$A$4:$A$2731)+ROW()-3)</f>
        <v>6078</v>
      </c>
      <c r="B53" s="413">
        <v>44839</v>
      </c>
      <c r="C53" s="431">
        <v>44805</v>
      </c>
      <c r="D53" s="419" t="s">
        <v>468</v>
      </c>
      <c r="E53" s="419" t="s">
        <v>468</v>
      </c>
      <c r="F53" s="422">
        <v>2522.5500000000002</v>
      </c>
      <c r="G53" s="427" t="s">
        <v>5788</v>
      </c>
      <c r="H53" s="419" t="s">
        <v>468</v>
      </c>
      <c r="I53" s="415" t="s">
        <v>7713</v>
      </c>
      <c r="J53" s="415" t="s">
        <v>5789</v>
      </c>
      <c r="K53" s="415" t="s">
        <v>830</v>
      </c>
      <c r="L53" s="415" t="s">
        <v>1341</v>
      </c>
      <c r="M53" s="419">
        <v>2029</v>
      </c>
      <c r="N53" s="413">
        <v>44837</v>
      </c>
      <c r="O53" s="414" t="s">
        <v>408</v>
      </c>
      <c r="P53" s="655">
        <f t="shared" si="3"/>
        <v>10</v>
      </c>
      <c r="Q53" s="655">
        <f t="shared" si="4"/>
        <v>9</v>
      </c>
      <c r="R53" s="758" t="str">
        <f t="shared" si="5"/>
        <v>Gastos_custeados_por_captação</v>
      </c>
      <c r="S53" s="697" t="s">
        <v>1000</v>
      </c>
      <c r="T53" s="697">
        <v>4029</v>
      </c>
    </row>
    <row r="54" spans="1:20" ht="36" x14ac:dyDescent="0.2">
      <c r="A54" s="432">
        <f>IF(B54="","",COUNT('Diário 1º PA'!$A$4:$A$2635)+COUNT('Diário 2º PA'!$A$4:$A$3040)+COUNT('Diário 3º PA'!$A$4:$A$2731)+ROW()-3)</f>
        <v>6079</v>
      </c>
      <c r="B54" s="413">
        <v>44839</v>
      </c>
      <c r="C54" s="424">
        <v>44835</v>
      </c>
      <c r="D54" s="419" t="s">
        <v>468</v>
      </c>
      <c r="E54" s="419" t="s">
        <v>468</v>
      </c>
      <c r="F54" s="422">
        <v>11</v>
      </c>
      <c r="G54" s="427" t="s">
        <v>2469</v>
      </c>
      <c r="H54" s="419" t="s">
        <v>468</v>
      </c>
      <c r="I54" s="639" t="s">
        <v>881</v>
      </c>
      <c r="J54" s="418" t="s">
        <v>882</v>
      </c>
      <c r="K54" s="418" t="s">
        <v>883</v>
      </c>
      <c r="L54" s="399" t="s">
        <v>798</v>
      </c>
      <c r="M54" s="544" t="s">
        <v>310</v>
      </c>
      <c r="N54" s="413">
        <v>44839</v>
      </c>
      <c r="O54" s="414" t="s">
        <v>408</v>
      </c>
      <c r="P54" s="655">
        <f t="shared" si="3"/>
        <v>10</v>
      </c>
      <c r="Q54" s="655">
        <f t="shared" si="4"/>
        <v>10</v>
      </c>
      <c r="R54" s="758" t="str">
        <f t="shared" si="5"/>
        <v>Gastos_custeados_por_captação</v>
      </c>
      <c r="S54" s="697" t="s">
        <v>310</v>
      </c>
      <c r="T54" s="697" t="s">
        <v>310</v>
      </c>
    </row>
    <row r="55" spans="1:20" ht="36" x14ac:dyDescent="0.2">
      <c r="A55" s="432">
        <f>IF(B55="","",COUNT('Diário 1º PA'!$A$4:$A$2635)+COUNT('Diário 2º PA'!$A$4:$A$3040)+COUNT('Diário 3º PA'!$A$4:$A$2731)+ROW()-3)</f>
        <v>6080</v>
      </c>
      <c r="B55" s="413">
        <v>44839</v>
      </c>
      <c r="C55" s="424">
        <v>44835</v>
      </c>
      <c r="D55" s="419" t="s">
        <v>468</v>
      </c>
      <c r="E55" s="419" t="s">
        <v>468</v>
      </c>
      <c r="F55" s="422">
        <v>11</v>
      </c>
      <c r="G55" s="427" t="s">
        <v>2469</v>
      </c>
      <c r="H55" s="419" t="s">
        <v>468</v>
      </c>
      <c r="I55" s="639" t="s">
        <v>881</v>
      </c>
      <c r="J55" s="418" t="s">
        <v>882</v>
      </c>
      <c r="K55" s="418" t="s">
        <v>883</v>
      </c>
      <c r="L55" s="399" t="s">
        <v>798</v>
      </c>
      <c r="M55" s="544" t="s">
        <v>310</v>
      </c>
      <c r="N55" s="413">
        <v>44839</v>
      </c>
      <c r="O55" s="414" t="s">
        <v>408</v>
      </c>
      <c r="P55" s="655">
        <f t="shared" si="3"/>
        <v>10</v>
      </c>
      <c r="Q55" s="655">
        <f t="shared" si="4"/>
        <v>10</v>
      </c>
      <c r="R55" s="758" t="str">
        <f t="shared" si="5"/>
        <v>Gastos_custeados_por_captação</v>
      </c>
      <c r="S55" s="697" t="s">
        <v>310</v>
      </c>
      <c r="T55" s="697" t="s">
        <v>310</v>
      </c>
    </row>
    <row r="56" spans="1:20" ht="96" x14ac:dyDescent="0.2">
      <c r="A56" s="432">
        <f>IF(B56="","",COUNT('Diário 1º PA'!$A$4:$A$2635)+COUNT('Diário 2º PA'!$A$4:$A$3040)+COUNT('Diário 3º PA'!$A$4:$A$2731)+ROW()-3)</f>
        <v>6081</v>
      </c>
      <c r="B56" s="413">
        <v>44839</v>
      </c>
      <c r="C56" s="431">
        <v>44743</v>
      </c>
      <c r="D56" s="419" t="s">
        <v>468</v>
      </c>
      <c r="E56" s="419" t="s">
        <v>468</v>
      </c>
      <c r="F56" s="422">
        <v>44524.13</v>
      </c>
      <c r="G56" s="427" t="s">
        <v>5406</v>
      </c>
      <c r="H56" s="419" t="s">
        <v>468</v>
      </c>
      <c r="I56" s="639" t="s">
        <v>7927</v>
      </c>
      <c r="J56" s="415" t="s">
        <v>5407</v>
      </c>
      <c r="K56" s="418" t="s">
        <v>830</v>
      </c>
      <c r="L56" s="399" t="s">
        <v>32</v>
      </c>
      <c r="M56" s="544">
        <v>292</v>
      </c>
      <c r="N56" s="413">
        <v>44838</v>
      </c>
      <c r="O56" s="414" t="s">
        <v>3762</v>
      </c>
      <c r="P56" s="655">
        <f t="shared" si="3"/>
        <v>10</v>
      </c>
      <c r="Q56" s="655">
        <f t="shared" si="4"/>
        <v>7</v>
      </c>
      <c r="R56" s="758" t="str">
        <f t="shared" si="5"/>
        <v>Gastos_custeados_por_captação</v>
      </c>
      <c r="S56" s="697" t="s">
        <v>998</v>
      </c>
      <c r="T56" s="697">
        <v>3999</v>
      </c>
    </row>
    <row r="57" spans="1:20" ht="36" x14ac:dyDescent="0.2">
      <c r="A57" s="432">
        <f>IF(B57="","",COUNT('Diário 1º PA'!$A$4:$A$2635)+COUNT('Diário 2º PA'!$A$4:$A$3040)+COUNT('Diário 3º PA'!$A$4:$A$2731)+ROW()-3)</f>
        <v>6082</v>
      </c>
      <c r="B57" s="413">
        <v>44839</v>
      </c>
      <c r="C57" s="424">
        <v>44835</v>
      </c>
      <c r="D57" s="419" t="s">
        <v>468</v>
      </c>
      <c r="E57" s="419" t="s">
        <v>468</v>
      </c>
      <c r="F57" s="422">
        <v>153</v>
      </c>
      <c r="G57" s="440" t="s">
        <v>880</v>
      </c>
      <c r="H57" s="419" t="s">
        <v>468</v>
      </c>
      <c r="I57" s="639" t="s">
        <v>881</v>
      </c>
      <c r="J57" s="418" t="s">
        <v>882</v>
      </c>
      <c r="K57" s="418" t="s">
        <v>883</v>
      </c>
      <c r="L57" s="399" t="s">
        <v>798</v>
      </c>
      <c r="M57" s="544" t="s">
        <v>310</v>
      </c>
      <c r="N57" s="413">
        <v>44839</v>
      </c>
      <c r="O57" s="414" t="s">
        <v>3762</v>
      </c>
      <c r="P57" s="655">
        <f t="shared" si="3"/>
        <v>10</v>
      </c>
      <c r="Q57" s="655">
        <f t="shared" si="4"/>
        <v>10</v>
      </c>
      <c r="R57" s="758" t="str">
        <f t="shared" si="5"/>
        <v>Gastos_custeados_por_captação</v>
      </c>
      <c r="S57" s="697" t="s">
        <v>310</v>
      </c>
      <c r="T57" s="697" t="s">
        <v>310</v>
      </c>
    </row>
    <row r="58" spans="1:20" ht="144" x14ac:dyDescent="0.2">
      <c r="A58" s="432">
        <f>IF(B58="","",COUNT('Diário 1º PA'!$A$4:$A$2635)+COUNT('Diário 2º PA'!$A$4:$A$3040)+COUNT('Diário 3º PA'!$A$4:$A$2731)+ROW()-3)</f>
        <v>6083</v>
      </c>
      <c r="B58" s="413">
        <v>44839</v>
      </c>
      <c r="C58" s="431">
        <v>44774</v>
      </c>
      <c r="D58" s="419" t="s">
        <v>468</v>
      </c>
      <c r="E58" s="419" t="s">
        <v>468</v>
      </c>
      <c r="F58" s="422">
        <v>5250</v>
      </c>
      <c r="G58" s="427" t="s">
        <v>6193</v>
      </c>
      <c r="H58" s="419" t="s">
        <v>468</v>
      </c>
      <c r="I58" s="639" t="s">
        <v>7738</v>
      </c>
      <c r="J58" s="415" t="s">
        <v>6194</v>
      </c>
      <c r="K58" s="418" t="s">
        <v>806</v>
      </c>
      <c r="L58" s="399" t="s">
        <v>32</v>
      </c>
      <c r="M58" s="418" t="s">
        <v>1428</v>
      </c>
      <c r="N58" s="413">
        <v>44838</v>
      </c>
      <c r="O58" s="414" t="s">
        <v>405</v>
      </c>
      <c r="P58" s="655">
        <f t="shared" si="3"/>
        <v>10</v>
      </c>
      <c r="Q58" s="655">
        <f t="shared" si="4"/>
        <v>8</v>
      </c>
      <c r="R58" s="758" t="str">
        <f t="shared" si="5"/>
        <v>Gastos_custeados_por_captação</v>
      </c>
      <c r="S58" s="697" t="s">
        <v>998</v>
      </c>
      <c r="T58" s="697">
        <v>4209</v>
      </c>
    </row>
    <row r="59" spans="1:20" ht="72" x14ac:dyDescent="0.2">
      <c r="A59" s="432">
        <f>IF(B59="","",COUNT('Diário 1º PA'!$A$4:$A$2635)+COUNT('Diário 2º PA'!$A$4:$A$3040)+COUNT('Diário 3º PA'!$A$4:$A$2731)+ROW()-3)</f>
        <v>6084</v>
      </c>
      <c r="B59" s="413">
        <v>44839</v>
      </c>
      <c r="C59" s="431">
        <v>44743</v>
      </c>
      <c r="D59" s="419" t="s">
        <v>468</v>
      </c>
      <c r="E59" s="419" t="s">
        <v>468</v>
      </c>
      <c r="F59" s="422">
        <v>5250</v>
      </c>
      <c r="G59" s="427" t="s">
        <v>5898</v>
      </c>
      <c r="H59" s="419" t="s">
        <v>468</v>
      </c>
      <c r="I59" s="639" t="s">
        <v>6735</v>
      </c>
      <c r="J59" s="415" t="s">
        <v>2024</v>
      </c>
      <c r="K59" s="418" t="s">
        <v>806</v>
      </c>
      <c r="L59" s="399" t="s">
        <v>32</v>
      </c>
      <c r="M59" s="418" t="s">
        <v>1795</v>
      </c>
      <c r="N59" s="413">
        <v>44837</v>
      </c>
      <c r="O59" s="414" t="s">
        <v>405</v>
      </c>
      <c r="P59" s="655">
        <f t="shared" si="3"/>
        <v>10</v>
      </c>
      <c r="Q59" s="655">
        <f t="shared" si="4"/>
        <v>7</v>
      </c>
      <c r="R59" s="758" t="str">
        <f t="shared" si="5"/>
        <v>Gastos_custeados_por_captação</v>
      </c>
      <c r="S59" s="697" t="s">
        <v>998</v>
      </c>
      <c r="T59" s="697">
        <v>4158</v>
      </c>
    </row>
    <row r="60" spans="1:20" ht="72" x14ac:dyDescent="0.2">
      <c r="A60" s="432">
        <f>IF(B60="","",COUNT('Diário 1º PA'!$A$4:$A$2635)+COUNT('Diário 2º PA'!$A$4:$A$3040)+COUNT('Diário 3º PA'!$A$4:$A$2731)+ROW()-3)</f>
        <v>6085</v>
      </c>
      <c r="B60" s="413">
        <v>44839</v>
      </c>
      <c r="C60" s="431">
        <v>44743</v>
      </c>
      <c r="D60" s="419" t="s">
        <v>468</v>
      </c>
      <c r="E60" s="419" t="s">
        <v>468</v>
      </c>
      <c r="F60" s="422">
        <v>4589.67</v>
      </c>
      <c r="G60" s="427" t="s">
        <v>6077</v>
      </c>
      <c r="H60" s="419" t="s">
        <v>468</v>
      </c>
      <c r="I60" s="639" t="s">
        <v>7739</v>
      </c>
      <c r="J60" s="415" t="s">
        <v>6116</v>
      </c>
      <c r="K60" s="418" t="s">
        <v>806</v>
      </c>
      <c r="L60" s="399" t="s">
        <v>839</v>
      </c>
      <c r="M60" s="544">
        <v>2025</v>
      </c>
      <c r="N60" s="413">
        <v>44837</v>
      </c>
      <c r="O60" s="414" t="s">
        <v>405</v>
      </c>
      <c r="P60" s="655">
        <f t="shared" si="3"/>
        <v>10</v>
      </c>
      <c r="Q60" s="655">
        <f t="shared" si="4"/>
        <v>7</v>
      </c>
      <c r="R60" s="758" t="str">
        <f t="shared" si="5"/>
        <v>Gastos_custeados_por_captação</v>
      </c>
      <c r="S60" s="697" t="s">
        <v>998</v>
      </c>
      <c r="T60" s="697">
        <v>4190</v>
      </c>
    </row>
    <row r="61" spans="1:20" ht="72" x14ac:dyDescent="0.2">
      <c r="A61" s="432">
        <f>IF(B61="","",COUNT('Diário 1º PA'!$A$4:$A$2635)+COUNT('Diário 2º PA'!$A$4:$A$3040)+COUNT('Diário 3º PA'!$A$4:$A$2731)+ROW()-3)</f>
        <v>6086</v>
      </c>
      <c r="B61" s="413">
        <v>44839</v>
      </c>
      <c r="C61" s="431">
        <v>44805</v>
      </c>
      <c r="D61" s="419" t="s">
        <v>468</v>
      </c>
      <c r="E61" s="419" t="s">
        <v>468</v>
      </c>
      <c r="F61" s="422">
        <v>1680</v>
      </c>
      <c r="G61" s="427" t="s">
        <v>6343</v>
      </c>
      <c r="H61" s="419" t="s">
        <v>468</v>
      </c>
      <c r="I61" s="399" t="s">
        <v>6303</v>
      </c>
      <c r="J61" s="415" t="s">
        <v>6030</v>
      </c>
      <c r="K61" s="418" t="s">
        <v>830</v>
      </c>
      <c r="L61" s="399" t="s">
        <v>839</v>
      </c>
      <c r="M61" s="544">
        <v>2032</v>
      </c>
      <c r="N61" s="413">
        <v>44838</v>
      </c>
      <c r="O61" s="414" t="s">
        <v>404</v>
      </c>
      <c r="P61" s="655">
        <f t="shared" si="3"/>
        <v>10</v>
      </c>
      <c r="Q61" s="655">
        <f t="shared" si="4"/>
        <v>9</v>
      </c>
      <c r="R61" s="758" t="str">
        <f t="shared" si="5"/>
        <v>Gastos_custeados_por_captação</v>
      </c>
      <c r="S61" s="697" t="s">
        <v>1000</v>
      </c>
      <c r="T61" s="697">
        <v>4317</v>
      </c>
    </row>
    <row r="62" spans="1:20" ht="60" x14ac:dyDescent="0.2">
      <c r="A62" s="432">
        <f>IF(B62="","",COUNT('Diário 1º PA'!$A$4:$A$2635)+COUNT('Diário 2º PA'!$A$4:$A$3040)+COUNT('Diário 3º PA'!$A$4:$A$2731)+ROW()-3)</f>
        <v>6087</v>
      </c>
      <c r="B62" s="413">
        <v>44839</v>
      </c>
      <c r="C62" s="431">
        <v>44713</v>
      </c>
      <c r="D62" s="419" t="s">
        <v>468</v>
      </c>
      <c r="E62" s="419" t="s">
        <v>468</v>
      </c>
      <c r="F62" s="422">
        <v>900</v>
      </c>
      <c r="G62" s="427" t="s">
        <v>6928</v>
      </c>
      <c r="H62" s="419" t="s">
        <v>468</v>
      </c>
      <c r="I62" s="639" t="s">
        <v>7795</v>
      </c>
      <c r="J62" s="415" t="s">
        <v>4976</v>
      </c>
      <c r="K62" s="418" t="s">
        <v>830</v>
      </c>
      <c r="L62" s="399" t="s">
        <v>32</v>
      </c>
      <c r="M62" s="544">
        <v>69</v>
      </c>
      <c r="N62" s="413">
        <v>44838</v>
      </c>
      <c r="O62" s="414" t="s">
        <v>404</v>
      </c>
      <c r="P62" s="655">
        <f t="shared" si="3"/>
        <v>10</v>
      </c>
      <c r="Q62" s="655">
        <f t="shared" si="4"/>
        <v>6</v>
      </c>
      <c r="R62" s="758" t="str">
        <f t="shared" si="5"/>
        <v>Gastos_custeados_por_captação</v>
      </c>
      <c r="S62" s="697" t="s">
        <v>998</v>
      </c>
      <c r="T62" s="697">
        <v>3938</v>
      </c>
    </row>
    <row r="63" spans="1:20" ht="72" x14ac:dyDescent="0.2">
      <c r="A63" s="432">
        <f>IF(B63="","",COUNT('Diário 1º PA'!$A$4:$A$2635)+COUNT('Diário 2º PA'!$A$4:$A$3040)+COUNT('Diário 3º PA'!$A$4:$A$2731)+ROW()-3)</f>
        <v>6088</v>
      </c>
      <c r="B63" s="413">
        <v>44839</v>
      </c>
      <c r="C63" s="431">
        <v>44805</v>
      </c>
      <c r="D63" s="419" t="s">
        <v>468</v>
      </c>
      <c r="E63" s="419" t="s">
        <v>468</v>
      </c>
      <c r="F63" s="422">
        <v>3634</v>
      </c>
      <c r="G63" s="427" t="s">
        <v>5900</v>
      </c>
      <c r="H63" s="419" t="s">
        <v>468</v>
      </c>
      <c r="I63" s="399" t="s">
        <v>6468</v>
      </c>
      <c r="J63" s="415" t="s">
        <v>5901</v>
      </c>
      <c r="K63" s="418" t="s">
        <v>830</v>
      </c>
      <c r="L63" s="399" t="s">
        <v>32</v>
      </c>
      <c r="M63" s="418" t="s">
        <v>1892</v>
      </c>
      <c r="N63" s="413">
        <v>44838</v>
      </c>
      <c r="O63" s="414" t="s">
        <v>404</v>
      </c>
      <c r="P63" s="655">
        <f t="shared" si="3"/>
        <v>10</v>
      </c>
      <c r="Q63" s="655">
        <f t="shared" si="4"/>
        <v>9</v>
      </c>
      <c r="R63" s="758" t="str">
        <f t="shared" si="5"/>
        <v>Gastos_custeados_por_captação</v>
      </c>
      <c r="S63" s="697" t="s">
        <v>1000</v>
      </c>
      <c r="T63" s="697">
        <v>4098</v>
      </c>
    </row>
    <row r="64" spans="1:20" ht="36" x14ac:dyDescent="0.2">
      <c r="A64" s="432">
        <f>IF(B64="","",COUNT('Diário 1º PA'!$A$4:$A$2635)+COUNT('Diário 2º PA'!$A$4:$A$3040)+COUNT('Diário 3º PA'!$A$4:$A$2731)+ROW()-3)</f>
        <v>6089</v>
      </c>
      <c r="B64" s="413">
        <v>44840</v>
      </c>
      <c r="C64" s="424">
        <v>44805</v>
      </c>
      <c r="D64" s="419" t="s">
        <v>182</v>
      </c>
      <c r="E64" s="419" t="s">
        <v>1</v>
      </c>
      <c r="F64" s="422">
        <v>4640.03</v>
      </c>
      <c r="G64" s="427" t="s">
        <v>7463</v>
      </c>
      <c r="H64" s="419" t="s">
        <v>310</v>
      </c>
      <c r="I64" s="415" t="s">
        <v>907</v>
      </c>
      <c r="J64" s="415" t="s">
        <v>908</v>
      </c>
      <c r="K64" s="415" t="s">
        <v>806</v>
      </c>
      <c r="L64" s="415" t="s">
        <v>909</v>
      </c>
      <c r="M64" s="419" t="s">
        <v>310</v>
      </c>
      <c r="N64" s="413">
        <v>44840</v>
      </c>
      <c r="O64" s="414" t="s">
        <v>400</v>
      </c>
      <c r="P64" s="655">
        <f t="shared" si="3"/>
        <v>10</v>
      </c>
      <c r="Q64" s="655">
        <f t="shared" si="4"/>
        <v>9</v>
      </c>
      <c r="R64" s="758" t="str">
        <f t="shared" si="5"/>
        <v>Gastos_com_Pessoal</v>
      </c>
      <c r="S64" s="697" t="s">
        <v>310</v>
      </c>
      <c r="T64" s="697" t="s">
        <v>310</v>
      </c>
    </row>
    <row r="65" spans="1:20" ht="36" x14ac:dyDescent="0.2">
      <c r="A65" s="432">
        <f>IF(B65="","",COUNT('Diário 1º PA'!$A$4:$A$2635)+COUNT('Diário 2º PA'!$A$4:$A$3040)+COUNT('Diário 3º PA'!$A$4:$A$2731)+ROW()-3)</f>
        <v>6090</v>
      </c>
      <c r="B65" s="413">
        <v>44840</v>
      </c>
      <c r="C65" s="424">
        <v>44805</v>
      </c>
      <c r="D65" s="419" t="s">
        <v>182</v>
      </c>
      <c r="E65" s="419" t="s">
        <v>1</v>
      </c>
      <c r="F65" s="422">
        <v>3235.31</v>
      </c>
      <c r="G65" s="427" t="s">
        <v>7464</v>
      </c>
      <c r="H65" s="419" t="s">
        <v>310</v>
      </c>
      <c r="I65" s="415" t="s">
        <v>914</v>
      </c>
      <c r="J65" s="415" t="s">
        <v>915</v>
      </c>
      <c r="K65" s="415" t="s">
        <v>806</v>
      </c>
      <c r="L65" s="415" t="s">
        <v>909</v>
      </c>
      <c r="M65" s="419" t="s">
        <v>310</v>
      </c>
      <c r="N65" s="413">
        <v>44840</v>
      </c>
      <c r="O65" s="414" t="s">
        <v>400</v>
      </c>
      <c r="P65" s="655">
        <f t="shared" si="3"/>
        <v>10</v>
      </c>
      <c r="Q65" s="655">
        <f t="shared" si="4"/>
        <v>9</v>
      </c>
      <c r="R65" s="758" t="str">
        <f t="shared" si="5"/>
        <v>Gastos_com_Pessoal</v>
      </c>
      <c r="S65" s="697" t="s">
        <v>310</v>
      </c>
      <c r="T65" s="697" t="s">
        <v>310</v>
      </c>
    </row>
    <row r="66" spans="1:20" ht="36" x14ac:dyDescent="0.2">
      <c r="A66" s="432">
        <f>IF(B66="","",COUNT('Diário 1º PA'!$A$4:$A$2635)+COUNT('Diário 2º PA'!$A$4:$A$3040)+COUNT('Diário 3º PA'!$A$4:$A$2731)+ROW()-3)</f>
        <v>6091</v>
      </c>
      <c r="B66" s="413">
        <v>44840</v>
      </c>
      <c r="C66" s="424">
        <v>44805</v>
      </c>
      <c r="D66" s="419" t="s">
        <v>182</v>
      </c>
      <c r="E66" s="419" t="s">
        <v>1</v>
      </c>
      <c r="F66" s="422">
        <v>2862.28</v>
      </c>
      <c r="G66" s="427" t="s">
        <v>7465</v>
      </c>
      <c r="H66" s="419" t="s">
        <v>310</v>
      </c>
      <c r="I66" s="415" t="s">
        <v>916</v>
      </c>
      <c r="J66" s="419" t="s">
        <v>917</v>
      </c>
      <c r="K66" s="419" t="s">
        <v>806</v>
      </c>
      <c r="L66" s="415" t="s">
        <v>909</v>
      </c>
      <c r="M66" s="419" t="s">
        <v>310</v>
      </c>
      <c r="N66" s="413">
        <v>44840</v>
      </c>
      <c r="O66" s="414" t="s">
        <v>400</v>
      </c>
      <c r="P66" s="655">
        <f t="shared" si="3"/>
        <v>10</v>
      </c>
      <c r="Q66" s="655">
        <f t="shared" si="4"/>
        <v>9</v>
      </c>
      <c r="R66" s="758" t="str">
        <f t="shared" si="5"/>
        <v>Gastos_com_Pessoal</v>
      </c>
      <c r="S66" s="697" t="s">
        <v>310</v>
      </c>
      <c r="T66" s="697" t="s">
        <v>310</v>
      </c>
    </row>
    <row r="67" spans="1:20" ht="36" x14ac:dyDescent="0.2">
      <c r="A67" s="432">
        <f>IF(B67="","",COUNT('Diário 1º PA'!$A$4:$A$2635)+COUNT('Diário 2º PA'!$A$4:$A$3040)+COUNT('Diário 3º PA'!$A$4:$A$2731)+ROW()-3)</f>
        <v>6092</v>
      </c>
      <c r="B67" s="413">
        <v>44840</v>
      </c>
      <c r="C67" s="424">
        <v>44805</v>
      </c>
      <c r="D67" s="419" t="s">
        <v>182</v>
      </c>
      <c r="E67" s="419" t="s">
        <v>1</v>
      </c>
      <c r="F67" s="422">
        <v>2401.15</v>
      </c>
      <c r="G67" s="423" t="s">
        <v>7465</v>
      </c>
      <c r="H67" s="419" t="s">
        <v>310</v>
      </c>
      <c r="I67" s="415" t="s">
        <v>918</v>
      </c>
      <c r="J67" s="419" t="s">
        <v>919</v>
      </c>
      <c r="K67" s="419" t="s">
        <v>806</v>
      </c>
      <c r="L67" s="415" t="s">
        <v>909</v>
      </c>
      <c r="M67" s="419" t="s">
        <v>310</v>
      </c>
      <c r="N67" s="413">
        <v>44840</v>
      </c>
      <c r="O67" s="414" t="s">
        <v>400</v>
      </c>
      <c r="P67" s="655">
        <f t="shared" si="3"/>
        <v>10</v>
      </c>
      <c r="Q67" s="655">
        <f t="shared" si="4"/>
        <v>9</v>
      </c>
      <c r="R67" s="758" t="str">
        <f t="shared" si="5"/>
        <v>Gastos_com_Pessoal</v>
      </c>
      <c r="S67" s="697" t="s">
        <v>310</v>
      </c>
      <c r="T67" s="697" t="s">
        <v>310</v>
      </c>
    </row>
    <row r="68" spans="1:20" ht="36" x14ac:dyDescent="0.2">
      <c r="A68" s="432">
        <f>IF(B68="","",COUNT('Diário 1º PA'!$A$4:$A$2635)+COUNT('Diário 2º PA'!$A$4:$A$3040)+COUNT('Diário 3º PA'!$A$4:$A$2731)+ROW()-3)</f>
        <v>6093</v>
      </c>
      <c r="B68" s="413">
        <v>44840</v>
      </c>
      <c r="C68" s="424">
        <v>44805</v>
      </c>
      <c r="D68" s="419" t="s">
        <v>182</v>
      </c>
      <c r="E68" s="419" t="s">
        <v>1</v>
      </c>
      <c r="F68" s="422">
        <v>3012.76</v>
      </c>
      <c r="G68" s="423" t="s">
        <v>7465</v>
      </c>
      <c r="H68" s="419" t="s">
        <v>310</v>
      </c>
      <c r="I68" s="415" t="s">
        <v>920</v>
      </c>
      <c r="J68" s="419" t="s">
        <v>921</v>
      </c>
      <c r="K68" s="419" t="s">
        <v>806</v>
      </c>
      <c r="L68" s="415" t="s">
        <v>909</v>
      </c>
      <c r="M68" s="419" t="s">
        <v>310</v>
      </c>
      <c r="N68" s="413">
        <v>44840</v>
      </c>
      <c r="O68" s="414" t="s">
        <v>400</v>
      </c>
      <c r="P68" s="655">
        <f t="shared" si="3"/>
        <v>10</v>
      </c>
      <c r="Q68" s="655">
        <f t="shared" si="4"/>
        <v>9</v>
      </c>
      <c r="R68" s="758" t="str">
        <f t="shared" si="5"/>
        <v>Gastos_com_Pessoal</v>
      </c>
      <c r="S68" s="697" t="s">
        <v>310</v>
      </c>
      <c r="T68" s="697" t="s">
        <v>310</v>
      </c>
    </row>
    <row r="69" spans="1:20" ht="36" x14ac:dyDescent="0.2">
      <c r="A69" s="432">
        <f>IF(B69="","",COUNT('Diário 1º PA'!$A$4:$A$2635)+COUNT('Diário 2º PA'!$A$4:$A$3040)+COUNT('Diário 3º PA'!$A$4:$A$2731)+ROW()-3)</f>
        <v>6094</v>
      </c>
      <c r="B69" s="413">
        <v>44840</v>
      </c>
      <c r="C69" s="424">
        <v>44805</v>
      </c>
      <c r="D69" s="419" t="s">
        <v>182</v>
      </c>
      <c r="E69" s="419" t="s">
        <v>1</v>
      </c>
      <c r="F69" s="422">
        <v>4901.58</v>
      </c>
      <c r="G69" s="423" t="s">
        <v>7466</v>
      </c>
      <c r="H69" s="419" t="s">
        <v>310</v>
      </c>
      <c r="I69" s="415" t="s">
        <v>923</v>
      </c>
      <c r="J69" s="419" t="s">
        <v>924</v>
      </c>
      <c r="K69" s="419" t="s">
        <v>806</v>
      </c>
      <c r="L69" s="415" t="s">
        <v>909</v>
      </c>
      <c r="M69" s="419" t="s">
        <v>310</v>
      </c>
      <c r="N69" s="413">
        <v>44840</v>
      </c>
      <c r="O69" s="414" t="s">
        <v>400</v>
      </c>
      <c r="P69" s="655">
        <f t="shared" si="3"/>
        <v>10</v>
      </c>
      <c r="Q69" s="655">
        <f t="shared" si="4"/>
        <v>9</v>
      </c>
      <c r="R69" s="758" t="str">
        <f t="shared" si="5"/>
        <v>Gastos_com_Pessoal</v>
      </c>
      <c r="S69" s="697" t="s">
        <v>310</v>
      </c>
      <c r="T69" s="697" t="s">
        <v>310</v>
      </c>
    </row>
    <row r="70" spans="1:20" ht="36" x14ac:dyDescent="0.2">
      <c r="A70" s="432">
        <f>IF(B70="","",COUNT('Diário 1º PA'!$A$4:$A$2635)+COUNT('Diário 2º PA'!$A$4:$A$3040)+COUNT('Diário 3º PA'!$A$4:$A$2731)+ROW()-3)</f>
        <v>6095</v>
      </c>
      <c r="B70" s="413">
        <v>44840</v>
      </c>
      <c r="C70" s="424">
        <v>44805</v>
      </c>
      <c r="D70" s="419" t="s">
        <v>182</v>
      </c>
      <c r="E70" s="419" t="s">
        <v>1</v>
      </c>
      <c r="F70" s="422">
        <v>2963.71</v>
      </c>
      <c r="G70" s="423" t="s">
        <v>7465</v>
      </c>
      <c r="H70" s="419" t="s">
        <v>310</v>
      </c>
      <c r="I70" s="415" t="s">
        <v>926</v>
      </c>
      <c r="J70" s="419" t="s">
        <v>927</v>
      </c>
      <c r="K70" s="419" t="s">
        <v>806</v>
      </c>
      <c r="L70" s="415" t="s">
        <v>909</v>
      </c>
      <c r="M70" s="419" t="s">
        <v>310</v>
      </c>
      <c r="N70" s="413">
        <v>44840</v>
      </c>
      <c r="O70" s="414" t="s">
        <v>400</v>
      </c>
      <c r="P70" s="655">
        <f t="shared" si="3"/>
        <v>10</v>
      </c>
      <c r="Q70" s="655">
        <f t="shared" si="4"/>
        <v>9</v>
      </c>
      <c r="R70" s="758" t="str">
        <f t="shared" si="5"/>
        <v>Gastos_com_Pessoal</v>
      </c>
      <c r="S70" s="697" t="s">
        <v>310</v>
      </c>
      <c r="T70" s="697" t="s">
        <v>310</v>
      </c>
    </row>
    <row r="71" spans="1:20" ht="36" x14ac:dyDescent="0.2">
      <c r="A71" s="432">
        <f>IF(B71="","",COUNT('Diário 1º PA'!$A$4:$A$2635)+COUNT('Diário 2º PA'!$A$4:$A$3040)+COUNT('Diário 3º PA'!$A$4:$A$2731)+ROW()-3)</f>
        <v>6096</v>
      </c>
      <c r="B71" s="413">
        <v>44840</v>
      </c>
      <c r="C71" s="424">
        <v>44805</v>
      </c>
      <c r="D71" s="419" t="s">
        <v>182</v>
      </c>
      <c r="E71" s="419" t="s">
        <v>1</v>
      </c>
      <c r="F71" s="422">
        <v>1566.06</v>
      </c>
      <c r="G71" s="423" t="s">
        <v>7467</v>
      </c>
      <c r="H71" s="419" t="s">
        <v>310</v>
      </c>
      <c r="I71" s="415" t="s">
        <v>929</v>
      </c>
      <c r="J71" s="419" t="s">
        <v>930</v>
      </c>
      <c r="K71" s="419" t="s">
        <v>806</v>
      </c>
      <c r="L71" s="415" t="s">
        <v>909</v>
      </c>
      <c r="M71" s="419" t="s">
        <v>310</v>
      </c>
      <c r="N71" s="413">
        <v>44840</v>
      </c>
      <c r="O71" s="414" t="s">
        <v>400</v>
      </c>
      <c r="P71" s="655">
        <f t="shared" si="3"/>
        <v>10</v>
      </c>
      <c r="Q71" s="655">
        <f t="shared" si="4"/>
        <v>9</v>
      </c>
      <c r="R71" s="758" t="str">
        <f t="shared" si="5"/>
        <v>Gastos_com_Pessoal</v>
      </c>
      <c r="S71" s="697" t="s">
        <v>310</v>
      </c>
      <c r="T71" s="697" t="s">
        <v>310</v>
      </c>
    </row>
    <row r="72" spans="1:20" ht="36" x14ac:dyDescent="0.2">
      <c r="A72" s="432">
        <f>IF(B72="","",COUNT('Diário 1º PA'!$A$4:$A$2635)+COUNT('Diário 2º PA'!$A$4:$A$3040)+COUNT('Diário 3º PA'!$A$4:$A$2731)+ROW()-3)</f>
        <v>6097</v>
      </c>
      <c r="B72" s="413">
        <v>44840</v>
      </c>
      <c r="C72" s="424">
        <v>44805</v>
      </c>
      <c r="D72" s="419" t="s">
        <v>182</v>
      </c>
      <c r="E72" s="419" t="s">
        <v>1</v>
      </c>
      <c r="F72" s="422">
        <v>2860.96</v>
      </c>
      <c r="G72" s="427" t="s">
        <v>7468</v>
      </c>
      <c r="H72" s="419" t="s">
        <v>310</v>
      </c>
      <c r="I72" s="415" t="s">
        <v>932</v>
      </c>
      <c r="J72" s="419" t="s">
        <v>933</v>
      </c>
      <c r="K72" s="419" t="s">
        <v>806</v>
      </c>
      <c r="L72" s="415" t="s">
        <v>909</v>
      </c>
      <c r="M72" s="419" t="s">
        <v>310</v>
      </c>
      <c r="N72" s="413">
        <v>44840</v>
      </c>
      <c r="O72" s="414" t="s">
        <v>400</v>
      </c>
      <c r="P72" s="655">
        <f t="shared" si="3"/>
        <v>10</v>
      </c>
      <c r="Q72" s="655">
        <f t="shared" si="4"/>
        <v>9</v>
      </c>
      <c r="R72" s="758" t="str">
        <f t="shared" si="5"/>
        <v>Gastos_com_Pessoal</v>
      </c>
      <c r="S72" s="697" t="s">
        <v>310</v>
      </c>
      <c r="T72" s="697" t="s">
        <v>310</v>
      </c>
    </row>
    <row r="73" spans="1:20" ht="36" x14ac:dyDescent="0.2">
      <c r="A73" s="432">
        <f>IF(B73="","",COUNT('Diário 1º PA'!$A$4:$A$2635)+COUNT('Diário 2º PA'!$A$4:$A$3040)+COUNT('Diário 3º PA'!$A$4:$A$2731)+ROW()-3)</f>
        <v>6098</v>
      </c>
      <c r="B73" s="413">
        <v>44840</v>
      </c>
      <c r="C73" s="424">
        <v>44805</v>
      </c>
      <c r="D73" s="419" t="s">
        <v>182</v>
      </c>
      <c r="E73" s="419" t="s">
        <v>1</v>
      </c>
      <c r="F73" s="422">
        <v>3012.76</v>
      </c>
      <c r="G73" s="423" t="s">
        <v>7465</v>
      </c>
      <c r="H73" s="419" t="s">
        <v>310</v>
      </c>
      <c r="I73" s="415" t="s">
        <v>935</v>
      </c>
      <c r="J73" s="419" t="s">
        <v>936</v>
      </c>
      <c r="K73" s="419" t="s">
        <v>806</v>
      </c>
      <c r="L73" s="415" t="s">
        <v>909</v>
      </c>
      <c r="M73" s="419" t="s">
        <v>310</v>
      </c>
      <c r="N73" s="413">
        <v>44840</v>
      </c>
      <c r="O73" s="414" t="s">
        <v>400</v>
      </c>
      <c r="P73" s="655">
        <f t="shared" si="3"/>
        <v>10</v>
      </c>
      <c r="Q73" s="655">
        <f t="shared" si="4"/>
        <v>9</v>
      </c>
      <c r="R73" s="758" t="str">
        <f t="shared" si="5"/>
        <v>Gastos_com_Pessoal</v>
      </c>
      <c r="S73" s="697" t="s">
        <v>310</v>
      </c>
      <c r="T73" s="697" t="s">
        <v>310</v>
      </c>
    </row>
    <row r="74" spans="1:20" ht="36" x14ac:dyDescent="0.2">
      <c r="A74" s="432">
        <f>IF(B74="","",COUNT('Diário 1º PA'!$A$4:$A$2635)+COUNT('Diário 2º PA'!$A$4:$A$3040)+COUNT('Diário 3º PA'!$A$4:$A$2731)+ROW()-3)</f>
        <v>6099</v>
      </c>
      <c r="B74" s="413">
        <v>44840</v>
      </c>
      <c r="C74" s="424">
        <v>44805</v>
      </c>
      <c r="D74" s="419" t="s">
        <v>182</v>
      </c>
      <c r="E74" s="419" t="s">
        <v>1</v>
      </c>
      <c r="F74" s="422">
        <v>3116.33</v>
      </c>
      <c r="G74" s="423" t="s">
        <v>7469</v>
      </c>
      <c r="H74" s="419" t="s">
        <v>310</v>
      </c>
      <c r="I74" s="415" t="s">
        <v>938</v>
      </c>
      <c r="J74" s="419" t="s">
        <v>939</v>
      </c>
      <c r="K74" s="419" t="s">
        <v>806</v>
      </c>
      <c r="L74" s="415" t="s">
        <v>909</v>
      </c>
      <c r="M74" s="419" t="s">
        <v>310</v>
      </c>
      <c r="N74" s="413">
        <v>44840</v>
      </c>
      <c r="O74" s="414" t="s">
        <v>400</v>
      </c>
      <c r="P74" s="655">
        <f t="shared" si="3"/>
        <v>10</v>
      </c>
      <c r="Q74" s="655">
        <f t="shared" si="4"/>
        <v>9</v>
      </c>
      <c r="R74" s="758" t="str">
        <f t="shared" si="5"/>
        <v>Gastos_com_Pessoal</v>
      </c>
      <c r="S74" s="697" t="s">
        <v>310</v>
      </c>
      <c r="T74" s="697" t="s">
        <v>310</v>
      </c>
    </row>
    <row r="75" spans="1:20" ht="36" x14ac:dyDescent="0.2">
      <c r="A75" s="432">
        <f>IF(B75="","",COUNT('Diário 1º PA'!$A$4:$A$2635)+COUNT('Diário 2º PA'!$A$4:$A$3040)+COUNT('Diário 3º PA'!$A$4:$A$2731)+ROW()-3)</f>
        <v>6100</v>
      </c>
      <c r="B75" s="413">
        <v>44840</v>
      </c>
      <c r="C75" s="424">
        <v>44805</v>
      </c>
      <c r="D75" s="419" t="s">
        <v>182</v>
      </c>
      <c r="E75" s="419" t="s">
        <v>1</v>
      </c>
      <c r="F75" s="422">
        <v>13699.79</v>
      </c>
      <c r="G75" s="423" t="s">
        <v>7470</v>
      </c>
      <c r="H75" s="419" t="s">
        <v>310</v>
      </c>
      <c r="I75" s="415" t="s">
        <v>941</v>
      </c>
      <c r="J75" s="419" t="s">
        <v>942</v>
      </c>
      <c r="K75" s="419" t="s">
        <v>806</v>
      </c>
      <c r="L75" s="415" t="s">
        <v>909</v>
      </c>
      <c r="M75" s="419" t="s">
        <v>310</v>
      </c>
      <c r="N75" s="413">
        <v>44840</v>
      </c>
      <c r="O75" s="414" t="s">
        <v>400</v>
      </c>
      <c r="P75" s="655">
        <f t="shared" si="3"/>
        <v>10</v>
      </c>
      <c r="Q75" s="655">
        <f t="shared" si="4"/>
        <v>9</v>
      </c>
      <c r="R75" s="758" t="str">
        <f t="shared" si="5"/>
        <v>Gastos_com_Pessoal</v>
      </c>
      <c r="S75" s="697" t="s">
        <v>310</v>
      </c>
      <c r="T75" s="697" t="s">
        <v>310</v>
      </c>
    </row>
    <row r="76" spans="1:20" ht="36" x14ac:dyDescent="0.2">
      <c r="A76" s="432">
        <f>IF(B76="","",COUNT('Diário 1º PA'!$A$4:$A$2635)+COUNT('Diário 2º PA'!$A$4:$A$3040)+COUNT('Diário 3º PA'!$A$4:$A$2731)+ROW()-3)</f>
        <v>6101</v>
      </c>
      <c r="B76" s="413">
        <v>44840</v>
      </c>
      <c r="C76" s="424">
        <v>44805</v>
      </c>
      <c r="D76" s="419" t="s">
        <v>182</v>
      </c>
      <c r="E76" s="419" t="s">
        <v>1</v>
      </c>
      <c r="F76" s="422">
        <v>3012.76</v>
      </c>
      <c r="G76" s="423" t="s">
        <v>7465</v>
      </c>
      <c r="H76" s="419" t="s">
        <v>310</v>
      </c>
      <c r="I76" s="415" t="s">
        <v>943</v>
      </c>
      <c r="J76" s="419" t="s">
        <v>1553</v>
      </c>
      <c r="K76" s="419" t="s">
        <v>806</v>
      </c>
      <c r="L76" s="415" t="s">
        <v>909</v>
      </c>
      <c r="M76" s="419" t="s">
        <v>310</v>
      </c>
      <c r="N76" s="413">
        <v>44840</v>
      </c>
      <c r="O76" s="414" t="s">
        <v>400</v>
      </c>
      <c r="P76" s="655">
        <f t="shared" si="3"/>
        <v>10</v>
      </c>
      <c r="Q76" s="655">
        <f t="shared" si="4"/>
        <v>9</v>
      </c>
      <c r="R76" s="758" t="str">
        <f t="shared" si="5"/>
        <v>Gastos_com_Pessoal</v>
      </c>
      <c r="S76" s="697" t="s">
        <v>310</v>
      </c>
      <c r="T76" s="697" t="s">
        <v>310</v>
      </c>
    </row>
    <row r="77" spans="1:20" ht="36" x14ac:dyDescent="0.2">
      <c r="A77" s="432">
        <f>IF(B77="","",COUNT('Diário 1º PA'!$A$4:$A$2635)+COUNT('Diário 2º PA'!$A$4:$A$3040)+COUNT('Diário 3º PA'!$A$4:$A$2731)+ROW()-3)</f>
        <v>6102</v>
      </c>
      <c r="B77" s="413">
        <v>44840</v>
      </c>
      <c r="C77" s="424">
        <v>44805</v>
      </c>
      <c r="D77" s="419" t="s">
        <v>182</v>
      </c>
      <c r="E77" s="419" t="s">
        <v>1</v>
      </c>
      <c r="F77" s="422">
        <v>3150.46</v>
      </c>
      <c r="G77" s="423" t="s">
        <v>7471</v>
      </c>
      <c r="H77" s="419" t="s">
        <v>310</v>
      </c>
      <c r="I77" s="415" t="s">
        <v>946</v>
      </c>
      <c r="J77" s="419" t="s">
        <v>947</v>
      </c>
      <c r="K77" s="419" t="s">
        <v>806</v>
      </c>
      <c r="L77" s="415" t="s">
        <v>909</v>
      </c>
      <c r="M77" s="419" t="s">
        <v>310</v>
      </c>
      <c r="N77" s="413">
        <v>44840</v>
      </c>
      <c r="O77" s="414" t="s">
        <v>400</v>
      </c>
      <c r="P77" s="655">
        <f t="shared" si="3"/>
        <v>10</v>
      </c>
      <c r="Q77" s="655">
        <f t="shared" si="4"/>
        <v>9</v>
      </c>
      <c r="R77" s="758" t="str">
        <f t="shared" si="5"/>
        <v>Gastos_com_Pessoal</v>
      </c>
      <c r="S77" s="697" t="s">
        <v>310</v>
      </c>
      <c r="T77" s="697" t="s">
        <v>310</v>
      </c>
    </row>
    <row r="78" spans="1:20" ht="36" x14ac:dyDescent="0.2">
      <c r="A78" s="432">
        <f>IF(B78="","",COUNT('Diário 1º PA'!$A$4:$A$2635)+COUNT('Diário 2º PA'!$A$4:$A$3040)+COUNT('Diário 3º PA'!$A$4:$A$2731)+ROW()-3)</f>
        <v>6103</v>
      </c>
      <c r="B78" s="413">
        <v>44840</v>
      </c>
      <c r="C78" s="424">
        <v>44805</v>
      </c>
      <c r="D78" s="419" t="s">
        <v>182</v>
      </c>
      <c r="E78" s="419" t="s">
        <v>1</v>
      </c>
      <c r="F78" s="422">
        <v>4919.5600000000004</v>
      </c>
      <c r="G78" s="423" t="s">
        <v>7472</v>
      </c>
      <c r="H78" s="419" t="s">
        <v>310</v>
      </c>
      <c r="I78" s="415" t="s">
        <v>949</v>
      </c>
      <c r="J78" s="419" t="s">
        <v>950</v>
      </c>
      <c r="K78" s="419" t="s">
        <v>806</v>
      </c>
      <c r="L78" s="415" t="s">
        <v>909</v>
      </c>
      <c r="M78" s="419" t="s">
        <v>310</v>
      </c>
      <c r="N78" s="413">
        <v>44840</v>
      </c>
      <c r="O78" s="414" t="s">
        <v>400</v>
      </c>
      <c r="P78" s="655">
        <f t="shared" si="3"/>
        <v>10</v>
      </c>
      <c r="Q78" s="655">
        <f t="shared" si="4"/>
        <v>9</v>
      </c>
      <c r="R78" s="758" t="str">
        <f t="shared" si="5"/>
        <v>Gastos_com_Pessoal</v>
      </c>
      <c r="S78" s="697" t="s">
        <v>310</v>
      </c>
      <c r="T78" s="697" t="s">
        <v>310</v>
      </c>
    </row>
    <row r="79" spans="1:20" ht="36" x14ac:dyDescent="0.2">
      <c r="A79" s="432">
        <f>IF(B79="","",COUNT('Diário 1º PA'!$A$4:$A$2635)+COUNT('Diário 2º PA'!$A$4:$A$3040)+COUNT('Diário 3º PA'!$A$4:$A$2731)+ROW()-3)</f>
        <v>6104</v>
      </c>
      <c r="B79" s="413">
        <v>44840</v>
      </c>
      <c r="C79" s="424">
        <v>44805</v>
      </c>
      <c r="D79" s="419" t="s">
        <v>182</v>
      </c>
      <c r="E79" s="419" t="s">
        <v>1</v>
      </c>
      <c r="F79" s="422">
        <v>11757.99</v>
      </c>
      <c r="G79" s="423" t="s">
        <v>7473</v>
      </c>
      <c r="H79" s="419" t="s">
        <v>310</v>
      </c>
      <c r="I79" s="415" t="s">
        <v>952</v>
      </c>
      <c r="J79" s="419" t="s">
        <v>953</v>
      </c>
      <c r="K79" s="419" t="s">
        <v>830</v>
      </c>
      <c r="L79" s="415" t="s">
        <v>909</v>
      </c>
      <c r="M79" s="419" t="s">
        <v>310</v>
      </c>
      <c r="N79" s="413">
        <v>44840</v>
      </c>
      <c r="O79" s="414" t="s">
        <v>400</v>
      </c>
      <c r="P79" s="655">
        <f t="shared" si="3"/>
        <v>10</v>
      </c>
      <c r="Q79" s="655">
        <f t="shared" si="4"/>
        <v>9</v>
      </c>
      <c r="R79" s="758" t="str">
        <f t="shared" si="5"/>
        <v>Gastos_com_Pessoal</v>
      </c>
      <c r="S79" s="697" t="s">
        <v>310</v>
      </c>
      <c r="T79" s="697" t="s">
        <v>310</v>
      </c>
    </row>
    <row r="80" spans="1:20" ht="36" x14ac:dyDescent="0.2">
      <c r="A80" s="432">
        <f>IF(B80="","",COUNT('Diário 1º PA'!$A$4:$A$2635)+COUNT('Diário 2º PA'!$A$4:$A$3040)+COUNT('Diário 3º PA'!$A$4:$A$2731)+ROW()-3)</f>
        <v>6105</v>
      </c>
      <c r="B80" s="413">
        <v>44840</v>
      </c>
      <c r="C80" s="424">
        <v>44805</v>
      </c>
      <c r="D80" s="419" t="s">
        <v>182</v>
      </c>
      <c r="E80" s="419" t="s">
        <v>1</v>
      </c>
      <c r="F80" s="422">
        <v>2994.78</v>
      </c>
      <c r="G80" s="423" t="s">
        <v>7465</v>
      </c>
      <c r="H80" s="419" t="s">
        <v>310</v>
      </c>
      <c r="I80" s="415" t="s">
        <v>954</v>
      </c>
      <c r="J80" s="419" t="s">
        <v>955</v>
      </c>
      <c r="K80" s="419" t="s">
        <v>830</v>
      </c>
      <c r="L80" s="415" t="s">
        <v>909</v>
      </c>
      <c r="M80" s="419" t="s">
        <v>310</v>
      </c>
      <c r="N80" s="413">
        <v>44840</v>
      </c>
      <c r="O80" s="414" t="s">
        <v>400</v>
      </c>
      <c r="P80" s="655">
        <f t="shared" si="3"/>
        <v>10</v>
      </c>
      <c r="Q80" s="655">
        <f t="shared" si="4"/>
        <v>9</v>
      </c>
      <c r="R80" s="758" t="str">
        <f t="shared" si="5"/>
        <v>Gastos_com_Pessoal</v>
      </c>
      <c r="S80" s="697" t="s">
        <v>310</v>
      </c>
      <c r="T80" s="697" t="s">
        <v>310</v>
      </c>
    </row>
    <row r="81" spans="1:20" ht="36" x14ac:dyDescent="0.2">
      <c r="A81" s="432">
        <f>IF(B81="","",COUNT('Diário 1º PA'!$A$4:$A$2635)+COUNT('Diário 2º PA'!$A$4:$A$3040)+COUNT('Diário 3º PA'!$A$4:$A$2731)+ROW()-3)</f>
        <v>6106</v>
      </c>
      <c r="B81" s="413">
        <v>44840</v>
      </c>
      <c r="C81" s="424">
        <v>44805</v>
      </c>
      <c r="D81" s="419" t="s">
        <v>182</v>
      </c>
      <c r="E81" s="419" t="s">
        <v>1</v>
      </c>
      <c r="F81" s="422">
        <v>3129.42</v>
      </c>
      <c r="G81" s="423" t="s">
        <v>7474</v>
      </c>
      <c r="H81" s="419" t="s">
        <v>310</v>
      </c>
      <c r="I81" s="415" t="s">
        <v>959</v>
      </c>
      <c r="J81" s="419" t="s">
        <v>960</v>
      </c>
      <c r="K81" s="419" t="s">
        <v>830</v>
      </c>
      <c r="L81" s="415" t="s">
        <v>909</v>
      </c>
      <c r="M81" s="419" t="s">
        <v>310</v>
      </c>
      <c r="N81" s="413">
        <v>44840</v>
      </c>
      <c r="O81" s="414" t="s">
        <v>400</v>
      </c>
      <c r="P81" s="655">
        <f t="shared" si="3"/>
        <v>10</v>
      </c>
      <c r="Q81" s="655">
        <f t="shared" si="4"/>
        <v>9</v>
      </c>
      <c r="R81" s="758" t="str">
        <f t="shared" si="5"/>
        <v>Gastos_com_Pessoal</v>
      </c>
      <c r="S81" s="697" t="s">
        <v>310</v>
      </c>
      <c r="T81" s="697" t="s">
        <v>310</v>
      </c>
    </row>
    <row r="82" spans="1:20" ht="36" x14ac:dyDescent="0.2">
      <c r="A82" s="432">
        <f>IF(B82="","",COUNT('Diário 1º PA'!$A$4:$A$2635)+COUNT('Diário 2º PA'!$A$4:$A$3040)+COUNT('Diário 3º PA'!$A$4:$A$2731)+ROW()-3)</f>
        <v>6107</v>
      </c>
      <c r="B82" s="413">
        <v>44840</v>
      </c>
      <c r="C82" s="424">
        <v>44805</v>
      </c>
      <c r="D82" s="419" t="s">
        <v>182</v>
      </c>
      <c r="E82" s="419" t="s">
        <v>1</v>
      </c>
      <c r="F82" s="422">
        <v>2994.78</v>
      </c>
      <c r="G82" s="423" t="s">
        <v>7475</v>
      </c>
      <c r="H82" s="419" t="s">
        <v>310</v>
      </c>
      <c r="I82" s="415" t="s">
        <v>961</v>
      </c>
      <c r="J82" s="419" t="s">
        <v>962</v>
      </c>
      <c r="K82" s="419" t="s">
        <v>830</v>
      </c>
      <c r="L82" s="415" t="s">
        <v>909</v>
      </c>
      <c r="M82" s="419" t="s">
        <v>310</v>
      </c>
      <c r="N82" s="413">
        <v>44840</v>
      </c>
      <c r="O82" s="414" t="s">
        <v>400</v>
      </c>
      <c r="P82" s="655">
        <f t="shared" si="3"/>
        <v>10</v>
      </c>
      <c r="Q82" s="655">
        <f t="shared" si="4"/>
        <v>9</v>
      </c>
      <c r="R82" s="758" t="str">
        <f t="shared" si="5"/>
        <v>Gastos_com_Pessoal</v>
      </c>
      <c r="S82" s="697" t="s">
        <v>310</v>
      </c>
      <c r="T82" s="697" t="s">
        <v>310</v>
      </c>
    </row>
    <row r="83" spans="1:20" ht="36" x14ac:dyDescent="0.2">
      <c r="A83" s="432">
        <f>IF(B83="","",COUNT('Diário 1º PA'!$A$4:$A$2635)+COUNT('Diário 2º PA'!$A$4:$A$3040)+COUNT('Diário 3º PA'!$A$4:$A$2731)+ROW()-3)</f>
        <v>6108</v>
      </c>
      <c r="B83" s="413">
        <v>44840</v>
      </c>
      <c r="C83" s="424">
        <v>44805</v>
      </c>
      <c r="D83" s="419" t="s">
        <v>182</v>
      </c>
      <c r="E83" s="419" t="s">
        <v>1</v>
      </c>
      <c r="F83" s="422">
        <v>3486.99</v>
      </c>
      <c r="G83" s="427" t="s">
        <v>7476</v>
      </c>
      <c r="H83" s="419" t="s">
        <v>310</v>
      </c>
      <c r="I83" s="415" t="s">
        <v>963</v>
      </c>
      <c r="J83" s="419" t="s">
        <v>964</v>
      </c>
      <c r="K83" s="419" t="s">
        <v>830</v>
      </c>
      <c r="L83" s="415" t="s">
        <v>909</v>
      </c>
      <c r="M83" s="419" t="s">
        <v>310</v>
      </c>
      <c r="N83" s="413">
        <v>44840</v>
      </c>
      <c r="O83" s="414" t="s">
        <v>400</v>
      </c>
      <c r="P83" s="655">
        <f t="shared" si="3"/>
        <v>10</v>
      </c>
      <c r="Q83" s="655">
        <f t="shared" si="4"/>
        <v>9</v>
      </c>
      <c r="R83" s="758" t="str">
        <f t="shared" si="5"/>
        <v>Gastos_com_Pessoal</v>
      </c>
      <c r="S83" s="697" t="s">
        <v>310</v>
      </c>
      <c r="T83" s="697" t="s">
        <v>310</v>
      </c>
    </row>
    <row r="84" spans="1:20" ht="36" x14ac:dyDescent="0.2">
      <c r="A84" s="432">
        <f>IF(B84="","",COUNT('Diário 1º PA'!$A$4:$A$2635)+COUNT('Diário 2º PA'!$A$4:$A$3040)+COUNT('Diário 3º PA'!$A$4:$A$2731)+ROW()-3)</f>
        <v>6109</v>
      </c>
      <c r="B84" s="413">
        <v>44840</v>
      </c>
      <c r="C84" s="424">
        <v>44805</v>
      </c>
      <c r="D84" s="419" t="s">
        <v>182</v>
      </c>
      <c r="E84" s="419" t="s">
        <v>1</v>
      </c>
      <c r="F84" s="422">
        <v>2776.25</v>
      </c>
      <c r="G84" s="427" t="s">
        <v>7477</v>
      </c>
      <c r="H84" s="419" t="s">
        <v>310</v>
      </c>
      <c r="I84" s="415" t="s">
        <v>969</v>
      </c>
      <c r="J84" s="419" t="s">
        <v>970</v>
      </c>
      <c r="K84" s="419" t="s">
        <v>830</v>
      </c>
      <c r="L84" s="415" t="s">
        <v>909</v>
      </c>
      <c r="M84" s="419" t="s">
        <v>310</v>
      </c>
      <c r="N84" s="413">
        <v>44840</v>
      </c>
      <c r="O84" s="414" t="s">
        <v>400</v>
      </c>
      <c r="P84" s="655">
        <f t="shared" si="3"/>
        <v>10</v>
      </c>
      <c r="Q84" s="655">
        <f t="shared" si="4"/>
        <v>9</v>
      </c>
      <c r="R84" s="758" t="str">
        <f t="shared" si="5"/>
        <v>Gastos_com_Pessoal</v>
      </c>
      <c r="S84" s="697" t="s">
        <v>310</v>
      </c>
      <c r="T84" s="697" t="s">
        <v>310</v>
      </c>
    </row>
    <row r="85" spans="1:20" ht="36" x14ac:dyDescent="0.2">
      <c r="A85" s="432">
        <f>IF(B85="","",COUNT('Diário 1º PA'!$A$4:$A$2635)+COUNT('Diário 2º PA'!$A$4:$A$3040)+COUNT('Diário 3º PA'!$A$4:$A$2731)+ROW()-3)</f>
        <v>6110</v>
      </c>
      <c r="B85" s="413">
        <v>44840</v>
      </c>
      <c r="C85" s="424">
        <v>44805</v>
      </c>
      <c r="D85" s="419" t="s">
        <v>182</v>
      </c>
      <c r="E85" s="419" t="s">
        <v>1</v>
      </c>
      <c r="F85" s="422">
        <v>3235.31</v>
      </c>
      <c r="G85" s="427" t="s">
        <v>7478</v>
      </c>
      <c r="H85" s="419" t="s">
        <v>310</v>
      </c>
      <c r="I85" s="415" t="s">
        <v>972</v>
      </c>
      <c r="J85" s="419" t="s">
        <v>973</v>
      </c>
      <c r="K85" s="419" t="s">
        <v>830</v>
      </c>
      <c r="L85" s="415" t="s">
        <v>909</v>
      </c>
      <c r="M85" s="419" t="s">
        <v>310</v>
      </c>
      <c r="N85" s="413">
        <v>44840</v>
      </c>
      <c r="O85" s="414" t="s">
        <v>400</v>
      </c>
      <c r="P85" s="655">
        <f t="shared" si="3"/>
        <v>10</v>
      </c>
      <c r="Q85" s="655">
        <f t="shared" si="4"/>
        <v>9</v>
      </c>
      <c r="R85" s="758" t="str">
        <f t="shared" si="5"/>
        <v>Gastos_com_Pessoal</v>
      </c>
      <c r="S85" s="697" t="s">
        <v>310</v>
      </c>
      <c r="T85" s="697" t="s">
        <v>310</v>
      </c>
    </row>
    <row r="86" spans="1:20" ht="36" x14ac:dyDescent="0.2">
      <c r="A86" s="432">
        <f>IF(B86="","",COUNT('Diário 1º PA'!$A$4:$A$2635)+COUNT('Diário 2º PA'!$A$4:$A$3040)+COUNT('Diário 3º PA'!$A$4:$A$2731)+ROW()-3)</f>
        <v>6111</v>
      </c>
      <c r="B86" s="413">
        <v>44840</v>
      </c>
      <c r="C86" s="424">
        <v>44805</v>
      </c>
      <c r="D86" s="419" t="s">
        <v>182</v>
      </c>
      <c r="E86" s="419" t="s">
        <v>1</v>
      </c>
      <c r="F86" s="422">
        <v>2860.96</v>
      </c>
      <c r="G86" s="427" t="s">
        <v>7468</v>
      </c>
      <c r="H86" s="419" t="s">
        <v>310</v>
      </c>
      <c r="I86" s="415" t="s">
        <v>975</v>
      </c>
      <c r="J86" s="419" t="s">
        <v>1565</v>
      </c>
      <c r="K86" s="419" t="s">
        <v>830</v>
      </c>
      <c r="L86" s="415" t="s">
        <v>909</v>
      </c>
      <c r="M86" s="419" t="s">
        <v>310</v>
      </c>
      <c r="N86" s="413">
        <v>44840</v>
      </c>
      <c r="O86" s="414" t="s">
        <v>400</v>
      </c>
      <c r="P86" s="655">
        <f t="shared" si="3"/>
        <v>10</v>
      </c>
      <c r="Q86" s="655">
        <f t="shared" si="4"/>
        <v>9</v>
      </c>
      <c r="R86" s="758" t="str">
        <f t="shared" si="5"/>
        <v>Gastos_com_Pessoal</v>
      </c>
      <c r="S86" s="697" t="s">
        <v>310</v>
      </c>
      <c r="T86" s="697" t="s">
        <v>310</v>
      </c>
    </row>
    <row r="87" spans="1:20" ht="36" x14ac:dyDescent="0.2">
      <c r="A87" s="432">
        <f>IF(B87="","",COUNT('Diário 1º PA'!$A$4:$A$2635)+COUNT('Diário 2º PA'!$A$4:$A$3040)+COUNT('Diário 3º PA'!$A$4:$A$2731)+ROW()-3)</f>
        <v>6112</v>
      </c>
      <c r="B87" s="413">
        <v>44840</v>
      </c>
      <c r="C87" s="424">
        <v>44805</v>
      </c>
      <c r="D87" s="419" t="s">
        <v>182</v>
      </c>
      <c r="E87" s="419" t="s">
        <v>1</v>
      </c>
      <c r="F87" s="422">
        <v>3147.4</v>
      </c>
      <c r="G87" s="427" t="s">
        <v>7479</v>
      </c>
      <c r="H87" s="419" t="s">
        <v>310</v>
      </c>
      <c r="I87" s="415" t="s">
        <v>3665</v>
      </c>
      <c r="J87" s="419" t="s">
        <v>3193</v>
      </c>
      <c r="K87" s="419" t="s">
        <v>830</v>
      </c>
      <c r="L87" s="415" t="s">
        <v>909</v>
      </c>
      <c r="M87" s="734" t="s">
        <v>310</v>
      </c>
      <c r="N87" s="413">
        <v>44840</v>
      </c>
      <c r="O87" s="414" t="s">
        <v>400</v>
      </c>
      <c r="P87" s="655">
        <f t="shared" si="3"/>
        <v>10</v>
      </c>
      <c r="Q87" s="655">
        <f t="shared" si="4"/>
        <v>9</v>
      </c>
      <c r="R87" s="758" t="str">
        <f t="shared" si="5"/>
        <v>Gastos_com_Pessoal</v>
      </c>
      <c r="S87" s="697" t="s">
        <v>310</v>
      </c>
      <c r="T87" s="697" t="s">
        <v>310</v>
      </c>
    </row>
    <row r="88" spans="1:20" ht="36" x14ac:dyDescent="0.2">
      <c r="A88" s="432">
        <f>IF(B88="","",COUNT('Diário 1º PA'!$A$4:$A$2635)+COUNT('Diário 2º PA'!$A$4:$A$3040)+COUNT('Diário 3º PA'!$A$4:$A$2731)+ROW()-3)</f>
        <v>6113</v>
      </c>
      <c r="B88" s="413">
        <v>44840</v>
      </c>
      <c r="C88" s="424">
        <v>44805</v>
      </c>
      <c r="D88" s="419" t="s">
        <v>182</v>
      </c>
      <c r="E88" s="419" t="s">
        <v>1</v>
      </c>
      <c r="F88" s="422">
        <v>1619.7</v>
      </c>
      <c r="G88" s="427" t="s">
        <v>7467</v>
      </c>
      <c r="H88" s="419" t="s">
        <v>310</v>
      </c>
      <c r="I88" s="415" t="s">
        <v>828</v>
      </c>
      <c r="J88" s="419" t="s">
        <v>829</v>
      </c>
      <c r="K88" s="419" t="s">
        <v>830</v>
      </c>
      <c r="L88" s="415" t="s">
        <v>909</v>
      </c>
      <c r="M88" s="734" t="s">
        <v>310</v>
      </c>
      <c r="N88" s="413">
        <v>44840</v>
      </c>
      <c r="O88" s="414" t="s">
        <v>400</v>
      </c>
      <c r="P88" s="655">
        <f t="shared" si="3"/>
        <v>10</v>
      </c>
      <c r="Q88" s="655">
        <f t="shared" si="4"/>
        <v>9</v>
      </c>
      <c r="R88" s="758" t="str">
        <f t="shared" si="5"/>
        <v>Gastos_com_Pessoal</v>
      </c>
      <c r="S88" s="697" t="s">
        <v>310</v>
      </c>
      <c r="T88" s="697" t="s">
        <v>310</v>
      </c>
    </row>
    <row r="89" spans="1:20" ht="36" x14ac:dyDescent="0.2">
      <c r="A89" s="432">
        <f>IF(B89="","",COUNT('Diário 1º PA'!$A$4:$A$2635)+COUNT('Diário 2º PA'!$A$4:$A$3040)+COUNT('Diário 3º PA'!$A$4:$A$2731)+ROW()-3)</f>
        <v>6114</v>
      </c>
      <c r="B89" s="413">
        <v>44840</v>
      </c>
      <c r="C89" s="424">
        <v>44805</v>
      </c>
      <c r="D89" s="419" t="s">
        <v>182</v>
      </c>
      <c r="E89" s="419" t="s">
        <v>1</v>
      </c>
      <c r="F89" s="422">
        <v>1195.56</v>
      </c>
      <c r="G89" s="427" t="s">
        <v>7480</v>
      </c>
      <c r="H89" s="419" t="s">
        <v>310</v>
      </c>
      <c r="I89" s="415" t="s">
        <v>977</v>
      </c>
      <c r="J89" s="419" t="s">
        <v>978</v>
      </c>
      <c r="K89" s="419" t="s">
        <v>830</v>
      </c>
      <c r="L89" s="415" t="s">
        <v>909</v>
      </c>
      <c r="M89" s="419" t="s">
        <v>310</v>
      </c>
      <c r="N89" s="413">
        <v>44840</v>
      </c>
      <c r="O89" s="414" t="s">
        <v>400</v>
      </c>
      <c r="P89" s="655">
        <f t="shared" si="3"/>
        <v>10</v>
      </c>
      <c r="Q89" s="655">
        <f t="shared" si="4"/>
        <v>9</v>
      </c>
      <c r="R89" s="758" t="str">
        <f t="shared" si="5"/>
        <v>Gastos_com_Pessoal</v>
      </c>
      <c r="S89" s="697" t="s">
        <v>310</v>
      </c>
      <c r="T89" s="697" t="s">
        <v>310</v>
      </c>
    </row>
    <row r="90" spans="1:20" ht="36" x14ac:dyDescent="0.2">
      <c r="A90" s="432">
        <f>IF(B90="","",COUNT('Diário 1º PA'!$A$4:$A$2635)+COUNT('Diário 2º PA'!$A$4:$A$3040)+COUNT('Diário 3º PA'!$A$4:$A$2731)+ROW()-3)</f>
        <v>6115</v>
      </c>
      <c r="B90" s="413">
        <v>44840</v>
      </c>
      <c r="C90" s="424">
        <v>44805</v>
      </c>
      <c r="D90" s="419" t="s">
        <v>182</v>
      </c>
      <c r="E90" s="419" t="s">
        <v>1</v>
      </c>
      <c r="F90" s="422">
        <v>2994.78</v>
      </c>
      <c r="G90" s="423" t="s">
        <v>7481</v>
      </c>
      <c r="H90" s="419" t="s">
        <v>310</v>
      </c>
      <c r="I90" s="415" t="s">
        <v>980</v>
      </c>
      <c r="J90" s="419" t="s">
        <v>981</v>
      </c>
      <c r="K90" s="419" t="s">
        <v>830</v>
      </c>
      <c r="L90" s="415" t="s">
        <v>909</v>
      </c>
      <c r="M90" s="419" t="s">
        <v>310</v>
      </c>
      <c r="N90" s="413">
        <v>44840</v>
      </c>
      <c r="O90" s="414" t="s">
        <v>400</v>
      </c>
      <c r="P90" s="655">
        <f t="shared" si="3"/>
        <v>10</v>
      </c>
      <c r="Q90" s="655">
        <f t="shared" si="4"/>
        <v>9</v>
      </c>
      <c r="R90" s="758" t="str">
        <f t="shared" si="5"/>
        <v>Gastos_com_Pessoal</v>
      </c>
      <c r="S90" s="697" t="s">
        <v>310</v>
      </c>
      <c r="T90" s="697" t="s">
        <v>310</v>
      </c>
    </row>
    <row r="91" spans="1:20" ht="36" x14ac:dyDescent="0.2">
      <c r="A91" s="432">
        <f>IF(B91="","",COUNT('Diário 1º PA'!$A$4:$A$2635)+COUNT('Diário 2º PA'!$A$4:$A$3040)+COUNT('Diário 3º PA'!$A$4:$A$2731)+ROW()-3)</f>
        <v>6116</v>
      </c>
      <c r="B91" s="413">
        <v>44840</v>
      </c>
      <c r="C91" s="424">
        <v>44805</v>
      </c>
      <c r="D91" s="419" t="s">
        <v>182</v>
      </c>
      <c r="E91" s="419" t="s">
        <v>1</v>
      </c>
      <c r="F91" s="422">
        <v>2806.49</v>
      </c>
      <c r="G91" s="423" t="s">
        <v>7481</v>
      </c>
      <c r="H91" s="419" t="s">
        <v>310</v>
      </c>
      <c r="I91" s="415" t="s">
        <v>982</v>
      </c>
      <c r="J91" s="419" t="s">
        <v>983</v>
      </c>
      <c r="K91" s="419" t="s">
        <v>830</v>
      </c>
      <c r="L91" s="415" t="s">
        <v>909</v>
      </c>
      <c r="M91" s="419" t="s">
        <v>310</v>
      </c>
      <c r="N91" s="413">
        <v>44840</v>
      </c>
      <c r="O91" s="414" t="s">
        <v>400</v>
      </c>
      <c r="P91" s="655">
        <f t="shared" si="3"/>
        <v>10</v>
      </c>
      <c r="Q91" s="655">
        <f t="shared" si="4"/>
        <v>9</v>
      </c>
      <c r="R91" s="758" t="str">
        <f t="shared" si="5"/>
        <v>Gastos_com_Pessoal</v>
      </c>
      <c r="S91" s="697" t="s">
        <v>310</v>
      </c>
      <c r="T91" s="697" t="s">
        <v>310</v>
      </c>
    </row>
    <row r="92" spans="1:20" ht="36" x14ac:dyDescent="0.2">
      <c r="A92" s="432">
        <f>IF(B92="","",COUNT('Diário 1º PA'!$A$4:$A$2635)+COUNT('Diário 2º PA'!$A$4:$A$3040)+COUNT('Diário 3º PA'!$A$4:$A$2731)+ROW()-3)</f>
        <v>6117</v>
      </c>
      <c r="B92" s="413">
        <v>44840</v>
      </c>
      <c r="C92" s="424">
        <v>44805</v>
      </c>
      <c r="D92" s="419" t="s">
        <v>182</v>
      </c>
      <c r="E92" s="419" t="s">
        <v>1</v>
      </c>
      <c r="F92" s="422">
        <v>2868.37</v>
      </c>
      <c r="G92" s="423" t="s">
        <v>7482</v>
      </c>
      <c r="H92" s="419" t="s">
        <v>310</v>
      </c>
      <c r="I92" s="415" t="s">
        <v>985</v>
      </c>
      <c r="J92" s="419" t="s">
        <v>986</v>
      </c>
      <c r="K92" s="419" t="s">
        <v>830</v>
      </c>
      <c r="L92" s="415" t="s">
        <v>909</v>
      </c>
      <c r="M92" s="419" t="s">
        <v>310</v>
      </c>
      <c r="N92" s="413">
        <v>44840</v>
      </c>
      <c r="O92" s="414" t="s">
        <v>400</v>
      </c>
      <c r="P92" s="655">
        <f t="shared" si="3"/>
        <v>10</v>
      </c>
      <c r="Q92" s="655">
        <f t="shared" si="4"/>
        <v>9</v>
      </c>
      <c r="R92" s="758" t="str">
        <f t="shared" si="5"/>
        <v>Gastos_com_Pessoal</v>
      </c>
      <c r="S92" s="697" t="s">
        <v>310</v>
      </c>
      <c r="T92" s="697" t="s">
        <v>310</v>
      </c>
    </row>
    <row r="93" spans="1:20" ht="36" x14ac:dyDescent="0.2">
      <c r="A93" s="432">
        <f>IF(B93="","",COUNT('Diário 1º PA'!$A$4:$A$2635)+COUNT('Diário 2º PA'!$A$4:$A$3040)+COUNT('Diário 3º PA'!$A$4:$A$2731)+ROW()-3)</f>
        <v>6118</v>
      </c>
      <c r="B93" s="413">
        <v>44840</v>
      </c>
      <c r="C93" s="424">
        <v>44805</v>
      </c>
      <c r="D93" s="419" t="s">
        <v>182</v>
      </c>
      <c r="E93" s="419" t="s">
        <v>1</v>
      </c>
      <c r="F93" s="422">
        <v>2994.78</v>
      </c>
      <c r="G93" s="423" t="s">
        <v>7483</v>
      </c>
      <c r="H93" s="419" t="s">
        <v>310</v>
      </c>
      <c r="I93" s="415" t="s">
        <v>3519</v>
      </c>
      <c r="J93" s="419" t="s">
        <v>988</v>
      </c>
      <c r="K93" s="419" t="s">
        <v>830</v>
      </c>
      <c r="L93" s="415" t="s">
        <v>909</v>
      </c>
      <c r="M93" s="419" t="s">
        <v>310</v>
      </c>
      <c r="N93" s="413">
        <v>44840</v>
      </c>
      <c r="O93" s="414" t="s">
        <v>400</v>
      </c>
      <c r="P93" s="655">
        <f t="shared" si="3"/>
        <v>10</v>
      </c>
      <c r="Q93" s="655">
        <f t="shared" si="4"/>
        <v>9</v>
      </c>
      <c r="R93" s="758" t="str">
        <f t="shared" si="5"/>
        <v>Gastos_com_Pessoal</v>
      </c>
      <c r="S93" s="697" t="s">
        <v>310</v>
      </c>
      <c r="T93" s="697" t="s">
        <v>310</v>
      </c>
    </row>
    <row r="94" spans="1:20" ht="36" x14ac:dyDescent="0.2">
      <c r="A94" s="432">
        <f>IF(B94="","",COUNT('Diário 1º PA'!$A$4:$A$2635)+COUNT('Diário 2º PA'!$A$4:$A$3040)+COUNT('Diário 3º PA'!$A$4:$A$2731)+ROW()-3)</f>
        <v>6119</v>
      </c>
      <c r="B94" s="413">
        <v>44840</v>
      </c>
      <c r="C94" s="424">
        <v>44805</v>
      </c>
      <c r="D94" s="419" t="s">
        <v>182</v>
      </c>
      <c r="E94" s="419" t="s">
        <v>1</v>
      </c>
      <c r="F94" s="422">
        <v>2530.13</v>
      </c>
      <c r="G94" s="427" t="s">
        <v>7484</v>
      </c>
      <c r="H94" s="419" t="s">
        <v>310</v>
      </c>
      <c r="I94" s="415" t="s">
        <v>6328</v>
      </c>
      <c r="J94" s="419">
        <v>12909142655</v>
      </c>
      <c r="K94" s="419" t="s">
        <v>830</v>
      </c>
      <c r="L94" s="415" t="s">
        <v>909</v>
      </c>
      <c r="M94" s="419" t="s">
        <v>310</v>
      </c>
      <c r="N94" s="413">
        <v>44840</v>
      </c>
      <c r="O94" s="414" t="s">
        <v>400</v>
      </c>
      <c r="P94" s="655">
        <f t="shared" si="3"/>
        <v>10</v>
      </c>
      <c r="Q94" s="655">
        <f t="shared" si="4"/>
        <v>9</v>
      </c>
      <c r="R94" s="758" t="str">
        <f t="shared" si="5"/>
        <v>Gastos_com_Pessoal</v>
      </c>
      <c r="S94" s="697" t="s">
        <v>310</v>
      </c>
      <c r="T94" s="697" t="s">
        <v>310</v>
      </c>
    </row>
    <row r="95" spans="1:20" ht="36" x14ac:dyDescent="0.2">
      <c r="A95" s="432">
        <f>IF(B95="","",COUNT('Diário 1º PA'!$A$4:$A$2635)+COUNT('Diário 2º PA'!$A$4:$A$3040)+COUNT('Diário 3º PA'!$A$4:$A$2731)+ROW()-3)</f>
        <v>6120</v>
      </c>
      <c r="B95" s="413">
        <v>44840</v>
      </c>
      <c r="C95" s="424">
        <v>44805</v>
      </c>
      <c r="D95" s="419" t="s">
        <v>182</v>
      </c>
      <c r="E95" s="419" t="s">
        <v>1</v>
      </c>
      <c r="F95" s="422">
        <v>11756.36</v>
      </c>
      <c r="G95" s="427" t="s">
        <v>7485</v>
      </c>
      <c r="H95" s="419" t="s">
        <v>310</v>
      </c>
      <c r="I95" s="415" t="s">
        <v>990</v>
      </c>
      <c r="J95" s="419" t="s">
        <v>991</v>
      </c>
      <c r="K95" s="419" t="s">
        <v>830</v>
      </c>
      <c r="L95" s="415" t="s">
        <v>909</v>
      </c>
      <c r="M95" s="419" t="s">
        <v>310</v>
      </c>
      <c r="N95" s="413">
        <v>44840</v>
      </c>
      <c r="O95" s="414" t="s">
        <v>400</v>
      </c>
      <c r="P95" s="655">
        <f t="shared" si="3"/>
        <v>10</v>
      </c>
      <c r="Q95" s="655">
        <f t="shared" si="4"/>
        <v>9</v>
      </c>
      <c r="R95" s="758" t="str">
        <f t="shared" si="5"/>
        <v>Gastos_com_Pessoal</v>
      </c>
      <c r="S95" s="697" t="s">
        <v>310</v>
      </c>
      <c r="T95" s="697" t="s">
        <v>310</v>
      </c>
    </row>
    <row r="96" spans="1:20" ht="36" x14ac:dyDescent="0.2">
      <c r="A96" s="432">
        <f>IF(B96="","",COUNT('Diário 1º PA'!$A$4:$A$2635)+COUNT('Diário 2º PA'!$A$4:$A$3040)+COUNT('Diário 3º PA'!$A$4:$A$2731)+ROW()-3)</f>
        <v>6121</v>
      </c>
      <c r="B96" s="413">
        <v>44840</v>
      </c>
      <c r="C96" s="424">
        <v>44805</v>
      </c>
      <c r="D96" s="419" t="s">
        <v>182</v>
      </c>
      <c r="E96" s="419" t="s">
        <v>1</v>
      </c>
      <c r="F96" s="422">
        <v>1119.25</v>
      </c>
      <c r="G96" s="423" t="s">
        <v>7479</v>
      </c>
      <c r="H96" s="419" t="s">
        <v>310</v>
      </c>
      <c r="I96" s="415" t="s">
        <v>7486</v>
      </c>
      <c r="J96" s="419" t="s">
        <v>7442</v>
      </c>
      <c r="K96" s="419" t="s">
        <v>830</v>
      </c>
      <c r="L96" s="415" t="s">
        <v>909</v>
      </c>
      <c r="M96" s="419" t="s">
        <v>310</v>
      </c>
      <c r="N96" s="413">
        <v>44840</v>
      </c>
      <c r="O96" s="414" t="s">
        <v>400</v>
      </c>
      <c r="P96" s="655">
        <f t="shared" si="3"/>
        <v>10</v>
      </c>
      <c r="Q96" s="655">
        <f t="shared" si="4"/>
        <v>9</v>
      </c>
      <c r="R96" s="758" t="str">
        <f t="shared" si="5"/>
        <v>Gastos_com_Pessoal</v>
      </c>
      <c r="S96" s="697" t="s">
        <v>310</v>
      </c>
      <c r="T96" s="697" t="s">
        <v>310</v>
      </c>
    </row>
    <row r="97" spans="1:20" ht="36" x14ac:dyDescent="0.2">
      <c r="A97" s="432">
        <f>IF(B97="","",COUNT('Diário 1º PA'!$A$4:$A$2635)+COUNT('Diário 2º PA'!$A$4:$A$3040)+COUNT('Diário 3º PA'!$A$4:$A$2731)+ROW()-3)</f>
        <v>6122</v>
      </c>
      <c r="B97" s="413">
        <v>44840</v>
      </c>
      <c r="C97" s="424">
        <v>44805</v>
      </c>
      <c r="D97" s="419" t="s">
        <v>182</v>
      </c>
      <c r="E97" s="419" t="s">
        <v>1</v>
      </c>
      <c r="F97" s="422">
        <v>3012.76</v>
      </c>
      <c r="G97" s="437" t="s">
        <v>7465</v>
      </c>
      <c r="H97" s="419" t="s">
        <v>310</v>
      </c>
      <c r="I97" s="415" t="s">
        <v>992</v>
      </c>
      <c r="J97" s="419" t="s">
        <v>993</v>
      </c>
      <c r="K97" s="419" t="s">
        <v>830</v>
      </c>
      <c r="L97" s="415" t="s">
        <v>909</v>
      </c>
      <c r="M97" s="419" t="s">
        <v>310</v>
      </c>
      <c r="N97" s="413">
        <v>44840</v>
      </c>
      <c r="O97" s="414" t="s">
        <v>400</v>
      </c>
      <c r="P97" s="655">
        <f t="shared" ref="P97:P160" si="6">IF(B97=0,0,IF(YEAR(B97)=$Q$1,MONTH(B97)-$P$1+1,(YEAR(B97)-$Q$1)*12-$P$1+1+MONTH(B97)))</f>
        <v>10</v>
      </c>
      <c r="Q97" s="655">
        <f t="shared" ref="Q97:Q160" si="7">IF(C97=0,0,IF(YEAR(C97)=$Q$1,MONTH(C97)-$P$1+1,(YEAR(C97)-$Q$1)*12-$P$1+1+MONTH(C97)))</f>
        <v>9</v>
      </c>
      <c r="R97" s="758" t="str">
        <f t="shared" ref="R97:R160" si="8">SUBSTITUTE(D97," ","_")</f>
        <v>Gastos_com_Pessoal</v>
      </c>
      <c r="S97" s="697" t="s">
        <v>310</v>
      </c>
      <c r="T97" s="697" t="s">
        <v>310</v>
      </c>
    </row>
    <row r="98" spans="1:20" ht="36" x14ac:dyDescent="0.2">
      <c r="A98" s="432">
        <f>IF(B98="","",COUNT('Diário 1º PA'!$A$4:$A$2635)+COUNT('Diário 2º PA'!$A$4:$A$3040)+COUNT('Diário 3º PA'!$A$4:$A$2731)+ROW()-3)</f>
        <v>6123</v>
      </c>
      <c r="B98" s="413">
        <v>44840</v>
      </c>
      <c r="C98" s="424">
        <v>44805</v>
      </c>
      <c r="D98" s="419" t="s">
        <v>182</v>
      </c>
      <c r="E98" s="419" t="s">
        <v>1</v>
      </c>
      <c r="F98" s="422">
        <v>3041.2</v>
      </c>
      <c r="G98" s="427" t="s">
        <v>7468</v>
      </c>
      <c r="H98" s="419" t="s">
        <v>310</v>
      </c>
      <c r="I98" s="415" t="s">
        <v>994</v>
      </c>
      <c r="J98" s="419" t="s">
        <v>995</v>
      </c>
      <c r="K98" s="419" t="s">
        <v>830</v>
      </c>
      <c r="L98" s="415" t="s">
        <v>909</v>
      </c>
      <c r="M98" s="419" t="s">
        <v>310</v>
      </c>
      <c r="N98" s="413">
        <v>44840</v>
      </c>
      <c r="O98" s="414" t="s">
        <v>400</v>
      </c>
      <c r="P98" s="655">
        <f t="shared" si="6"/>
        <v>10</v>
      </c>
      <c r="Q98" s="655">
        <f t="shared" si="7"/>
        <v>9</v>
      </c>
      <c r="R98" s="758" t="str">
        <f t="shared" si="8"/>
        <v>Gastos_com_Pessoal</v>
      </c>
      <c r="S98" s="697" t="s">
        <v>310</v>
      </c>
      <c r="T98" s="697" t="s">
        <v>310</v>
      </c>
    </row>
    <row r="99" spans="1:20" ht="36" x14ac:dyDescent="0.2">
      <c r="A99" s="432">
        <f>IF(B99="","",COUNT('Diário 1º PA'!$A$4:$A$2635)+COUNT('Diário 2º PA'!$A$4:$A$3040)+COUNT('Diário 3º PA'!$A$4:$A$2731)+ROW()-3)</f>
        <v>6124</v>
      </c>
      <c r="B99" s="413">
        <v>44840</v>
      </c>
      <c r="C99" s="424">
        <v>44805</v>
      </c>
      <c r="D99" s="419" t="s">
        <v>182</v>
      </c>
      <c r="E99" s="419" t="s">
        <v>1</v>
      </c>
      <c r="F99" s="422">
        <v>3023.3</v>
      </c>
      <c r="G99" s="423" t="s">
        <v>7479</v>
      </c>
      <c r="H99" s="419" t="s">
        <v>310</v>
      </c>
      <c r="I99" s="415" t="s">
        <v>996</v>
      </c>
      <c r="J99" s="419" t="s">
        <v>997</v>
      </c>
      <c r="K99" s="419" t="s">
        <v>830</v>
      </c>
      <c r="L99" s="415" t="s">
        <v>909</v>
      </c>
      <c r="M99" s="419" t="s">
        <v>310</v>
      </c>
      <c r="N99" s="413">
        <v>44840</v>
      </c>
      <c r="O99" s="414" t="s">
        <v>400</v>
      </c>
      <c r="P99" s="655">
        <f t="shared" si="6"/>
        <v>10</v>
      </c>
      <c r="Q99" s="655">
        <f t="shared" si="7"/>
        <v>9</v>
      </c>
      <c r="R99" s="758" t="str">
        <f t="shared" si="8"/>
        <v>Gastos_com_Pessoal</v>
      </c>
      <c r="S99" s="697" t="s">
        <v>310</v>
      </c>
      <c r="T99" s="697" t="s">
        <v>310</v>
      </c>
    </row>
    <row r="100" spans="1:20" ht="36" x14ac:dyDescent="0.2">
      <c r="A100" s="432">
        <f>IF(B100="","",COUNT('Diário 1º PA'!$A$4:$A$2635)+COUNT('Diário 2º PA'!$A$4:$A$3040)+COUNT('Diário 3º PA'!$A$4:$A$2731)+ROW()-3)</f>
        <v>6125</v>
      </c>
      <c r="B100" s="413">
        <v>44840</v>
      </c>
      <c r="C100" s="424">
        <v>44805</v>
      </c>
      <c r="D100" s="419" t="s">
        <v>182</v>
      </c>
      <c r="E100" s="419" t="s">
        <v>1</v>
      </c>
      <c r="F100" s="422">
        <v>2860.96</v>
      </c>
      <c r="G100" s="423" t="s">
        <v>7465</v>
      </c>
      <c r="H100" s="419" t="s">
        <v>310</v>
      </c>
      <c r="I100" s="415" t="s">
        <v>6019</v>
      </c>
      <c r="J100" s="419" t="s">
        <v>1178</v>
      </c>
      <c r="K100" s="419" t="s">
        <v>830</v>
      </c>
      <c r="L100" s="415" t="s">
        <v>909</v>
      </c>
      <c r="M100" s="419" t="s">
        <v>310</v>
      </c>
      <c r="N100" s="413">
        <v>44840</v>
      </c>
      <c r="O100" s="414" t="s">
        <v>400</v>
      </c>
      <c r="P100" s="655">
        <f t="shared" si="6"/>
        <v>10</v>
      </c>
      <c r="Q100" s="655">
        <f t="shared" si="7"/>
        <v>9</v>
      </c>
      <c r="R100" s="758" t="str">
        <f t="shared" si="8"/>
        <v>Gastos_com_Pessoal</v>
      </c>
      <c r="S100" s="697" t="s">
        <v>310</v>
      </c>
      <c r="T100" s="697" t="s">
        <v>310</v>
      </c>
    </row>
    <row r="101" spans="1:20" ht="36" x14ac:dyDescent="0.2">
      <c r="A101" s="432">
        <f>IF(B101="","",COUNT('Diário 1º PA'!$A$4:$A$2635)+COUNT('Diário 2º PA'!$A$4:$A$3040)+COUNT('Diário 3º PA'!$A$4:$A$2731)+ROW()-3)</f>
        <v>6126</v>
      </c>
      <c r="B101" s="413">
        <v>44840</v>
      </c>
      <c r="C101" s="424">
        <v>44805</v>
      </c>
      <c r="D101" s="419" t="s">
        <v>182</v>
      </c>
      <c r="E101" s="419" t="s">
        <v>1</v>
      </c>
      <c r="F101" s="422">
        <v>2963.71</v>
      </c>
      <c r="G101" s="423" t="s">
        <v>7468</v>
      </c>
      <c r="H101" s="419" t="s">
        <v>310</v>
      </c>
      <c r="I101" s="415" t="s">
        <v>1167</v>
      </c>
      <c r="J101" s="419" t="s">
        <v>1168</v>
      </c>
      <c r="K101" s="419" t="s">
        <v>830</v>
      </c>
      <c r="L101" s="415" t="s">
        <v>909</v>
      </c>
      <c r="M101" s="419" t="s">
        <v>310</v>
      </c>
      <c r="N101" s="413">
        <v>44840</v>
      </c>
      <c r="O101" s="414" t="s">
        <v>400</v>
      </c>
      <c r="P101" s="655">
        <f t="shared" si="6"/>
        <v>10</v>
      </c>
      <c r="Q101" s="655">
        <f t="shared" si="7"/>
        <v>9</v>
      </c>
      <c r="R101" s="758" t="str">
        <f t="shared" si="8"/>
        <v>Gastos_com_Pessoal</v>
      </c>
      <c r="S101" s="697" t="s">
        <v>310</v>
      </c>
      <c r="T101" s="697" t="s">
        <v>310</v>
      </c>
    </row>
    <row r="102" spans="1:20" ht="36" x14ac:dyDescent="0.2">
      <c r="A102" s="432">
        <f>IF(B102="","",COUNT('Diário 1º PA'!$A$4:$A$2635)+COUNT('Diário 2º PA'!$A$4:$A$3040)+COUNT('Diário 3º PA'!$A$4:$A$2731)+ROW()-3)</f>
        <v>6127</v>
      </c>
      <c r="B102" s="413">
        <v>44840</v>
      </c>
      <c r="C102" s="424">
        <v>44805</v>
      </c>
      <c r="D102" s="419" t="s">
        <v>182</v>
      </c>
      <c r="E102" s="419" t="s">
        <v>1</v>
      </c>
      <c r="F102" s="422">
        <v>2408.4899999999998</v>
      </c>
      <c r="G102" s="423" t="s">
        <v>7487</v>
      </c>
      <c r="H102" s="419" t="s">
        <v>310</v>
      </c>
      <c r="I102" s="415" t="s">
        <v>1169</v>
      </c>
      <c r="J102" s="419" t="s">
        <v>1170</v>
      </c>
      <c r="K102" s="419" t="s">
        <v>830</v>
      </c>
      <c r="L102" s="415" t="s">
        <v>909</v>
      </c>
      <c r="M102" s="419" t="s">
        <v>310</v>
      </c>
      <c r="N102" s="413">
        <v>44840</v>
      </c>
      <c r="O102" s="414" t="s">
        <v>400</v>
      </c>
      <c r="P102" s="655">
        <f t="shared" si="6"/>
        <v>10</v>
      </c>
      <c r="Q102" s="655">
        <f t="shared" si="7"/>
        <v>9</v>
      </c>
      <c r="R102" s="758" t="str">
        <f t="shared" si="8"/>
        <v>Gastos_com_Pessoal</v>
      </c>
      <c r="S102" s="697" t="s">
        <v>310</v>
      </c>
      <c r="T102" s="697" t="s">
        <v>310</v>
      </c>
    </row>
    <row r="103" spans="1:20" ht="36" x14ac:dyDescent="0.2">
      <c r="A103" s="432">
        <f>IF(B103="","",COUNT('Diário 1º PA'!$A$4:$A$2635)+COUNT('Diário 2º PA'!$A$4:$A$3040)+COUNT('Diário 3º PA'!$A$4:$A$2731)+ROW()-3)</f>
        <v>6128</v>
      </c>
      <c r="B103" s="413">
        <v>44840</v>
      </c>
      <c r="C103" s="424">
        <v>44805</v>
      </c>
      <c r="D103" s="419" t="s">
        <v>182</v>
      </c>
      <c r="E103" s="419" t="s">
        <v>1</v>
      </c>
      <c r="F103" s="422">
        <v>2842.98</v>
      </c>
      <c r="G103" s="423" t="s">
        <v>7465</v>
      </c>
      <c r="H103" s="419" t="s">
        <v>310</v>
      </c>
      <c r="I103" s="415" t="s">
        <v>1171</v>
      </c>
      <c r="J103" s="419" t="s">
        <v>1172</v>
      </c>
      <c r="K103" s="419" t="s">
        <v>830</v>
      </c>
      <c r="L103" s="415" t="s">
        <v>909</v>
      </c>
      <c r="M103" s="419" t="s">
        <v>310</v>
      </c>
      <c r="N103" s="413">
        <v>44840</v>
      </c>
      <c r="O103" s="414" t="s">
        <v>400</v>
      </c>
      <c r="P103" s="655">
        <f t="shared" si="6"/>
        <v>10</v>
      </c>
      <c r="Q103" s="655">
        <f t="shared" si="7"/>
        <v>9</v>
      </c>
      <c r="R103" s="758" t="str">
        <f t="shared" si="8"/>
        <v>Gastos_com_Pessoal</v>
      </c>
      <c r="S103" s="697" t="s">
        <v>310</v>
      </c>
      <c r="T103" s="697" t="s">
        <v>310</v>
      </c>
    </row>
    <row r="104" spans="1:20" ht="36" x14ac:dyDescent="0.2">
      <c r="A104" s="432">
        <f>IF(B104="","",COUNT('Diário 1º PA'!$A$4:$A$2635)+COUNT('Diário 2º PA'!$A$4:$A$3040)+COUNT('Diário 3º PA'!$A$4:$A$2731)+ROW()-3)</f>
        <v>6129</v>
      </c>
      <c r="B104" s="413">
        <v>44840</v>
      </c>
      <c r="C104" s="424">
        <v>44805</v>
      </c>
      <c r="D104" s="419" t="s">
        <v>182</v>
      </c>
      <c r="E104" s="419" t="s">
        <v>1</v>
      </c>
      <c r="F104" s="422">
        <v>2834.51</v>
      </c>
      <c r="G104" s="423" t="s">
        <v>7465</v>
      </c>
      <c r="H104" s="419" t="s">
        <v>310</v>
      </c>
      <c r="I104" s="415" t="s">
        <v>1173</v>
      </c>
      <c r="J104" s="419" t="s">
        <v>1174</v>
      </c>
      <c r="K104" s="419" t="s">
        <v>830</v>
      </c>
      <c r="L104" s="415" t="s">
        <v>909</v>
      </c>
      <c r="M104" s="419" t="s">
        <v>310</v>
      </c>
      <c r="N104" s="413">
        <v>44840</v>
      </c>
      <c r="O104" s="414" t="s">
        <v>400</v>
      </c>
      <c r="P104" s="655">
        <f t="shared" si="6"/>
        <v>10</v>
      </c>
      <c r="Q104" s="655">
        <f t="shared" si="7"/>
        <v>9</v>
      </c>
      <c r="R104" s="758" t="str">
        <f t="shared" si="8"/>
        <v>Gastos_com_Pessoal</v>
      </c>
      <c r="S104" s="697" t="s">
        <v>310</v>
      </c>
      <c r="T104" s="697" t="s">
        <v>310</v>
      </c>
    </row>
    <row r="105" spans="1:20" ht="36" x14ac:dyDescent="0.2">
      <c r="A105" s="432">
        <f>IF(B105="","",COUNT('Diário 1º PA'!$A$4:$A$2635)+COUNT('Diário 2º PA'!$A$4:$A$3040)+COUNT('Diário 3º PA'!$A$4:$A$2731)+ROW()-3)</f>
        <v>6130</v>
      </c>
      <c r="B105" s="413">
        <v>44840</v>
      </c>
      <c r="C105" s="424">
        <v>44805</v>
      </c>
      <c r="D105" s="419" t="s">
        <v>182</v>
      </c>
      <c r="E105" s="419" t="s">
        <v>1</v>
      </c>
      <c r="F105" s="422">
        <v>2775.46</v>
      </c>
      <c r="G105" s="423" t="s">
        <v>7465</v>
      </c>
      <c r="H105" s="419" t="s">
        <v>310</v>
      </c>
      <c r="I105" s="415" t="s">
        <v>1175</v>
      </c>
      <c r="J105" s="419" t="s">
        <v>1176</v>
      </c>
      <c r="K105" s="419" t="s">
        <v>830</v>
      </c>
      <c r="L105" s="415" t="s">
        <v>909</v>
      </c>
      <c r="M105" s="419" t="s">
        <v>310</v>
      </c>
      <c r="N105" s="413">
        <v>44840</v>
      </c>
      <c r="O105" s="414" t="s">
        <v>400</v>
      </c>
      <c r="P105" s="655">
        <f t="shared" si="6"/>
        <v>10</v>
      </c>
      <c r="Q105" s="655">
        <f t="shared" si="7"/>
        <v>9</v>
      </c>
      <c r="R105" s="758" t="str">
        <f t="shared" si="8"/>
        <v>Gastos_com_Pessoal</v>
      </c>
      <c r="S105" s="697" t="s">
        <v>310</v>
      </c>
      <c r="T105" s="697" t="s">
        <v>310</v>
      </c>
    </row>
    <row r="106" spans="1:20" ht="36" x14ac:dyDescent="0.2">
      <c r="A106" s="432">
        <f>IF(B106="","",COUNT('Diário 1º PA'!$A$4:$A$2635)+COUNT('Diário 2º PA'!$A$4:$A$3040)+COUNT('Diário 3º PA'!$A$4:$A$2731)+ROW()-3)</f>
        <v>6131</v>
      </c>
      <c r="B106" s="413">
        <v>44840</v>
      </c>
      <c r="C106" s="424">
        <v>44805</v>
      </c>
      <c r="D106" s="419" t="s">
        <v>182</v>
      </c>
      <c r="E106" s="419" t="s">
        <v>1</v>
      </c>
      <c r="F106" s="422">
        <v>3147.4</v>
      </c>
      <c r="G106" s="423" t="s">
        <v>7479</v>
      </c>
      <c r="H106" s="419" t="s">
        <v>310</v>
      </c>
      <c r="I106" s="415" t="s">
        <v>3195</v>
      </c>
      <c r="J106" s="419" t="s">
        <v>3518</v>
      </c>
      <c r="K106" s="419" t="s">
        <v>830</v>
      </c>
      <c r="L106" s="415" t="s">
        <v>909</v>
      </c>
      <c r="M106" s="419" t="s">
        <v>310</v>
      </c>
      <c r="N106" s="413">
        <v>44840</v>
      </c>
      <c r="O106" s="414" t="s">
        <v>400</v>
      </c>
      <c r="P106" s="655">
        <f t="shared" si="6"/>
        <v>10</v>
      </c>
      <c r="Q106" s="655">
        <f t="shared" si="7"/>
        <v>9</v>
      </c>
      <c r="R106" s="758" t="str">
        <f t="shared" si="8"/>
        <v>Gastos_com_Pessoal</v>
      </c>
      <c r="S106" s="697" t="s">
        <v>310</v>
      </c>
      <c r="T106" s="697" t="s">
        <v>310</v>
      </c>
    </row>
    <row r="107" spans="1:20" ht="36" x14ac:dyDescent="0.2">
      <c r="A107" s="432">
        <f>IF(B107="","",COUNT('Diário 1º PA'!$A$4:$A$2635)+COUNT('Diário 2º PA'!$A$4:$A$3040)+COUNT('Diário 3º PA'!$A$4:$A$2731)+ROW()-3)</f>
        <v>6132</v>
      </c>
      <c r="B107" s="413">
        <v>44840</v>
      </c>
      <c r="C107" s="466">
        <v>44805</v>
      </c>
      <c r="D107" s="426" t="s">
        <v>182</v>
      </c>
      <c r="E107" s="426" t="s">
        <v>1</v>
      </c>
      <c r="F107" s="686">
        <v>3084.86</v>
      </c>
      <c r="G107" s="642" t="s">
        <v>7488</v>
      </c>
      <c r="H107" s="426" t="s">
        <v>310</v>
      </c>
      <c r="I107" s="434" t="s">
        <v>1179</v>
      </c>
      <c r="J107" s="426" t="s">
        <v>1180</v>
      </c>
      <c r="K107" s="426" t="s">
        <v>830</v>
      </c>
      <c r="L107" s="434" t="s">
        <v>909</v>
      </c>
      <c r="M107" s="426" t="s">
        <v>310</v>
      </c>
      <c r="N107" s="685">
        <v>44840</v>
      </c>
      <c r="O107" s="414" t="s">
        <v>400</v>
      </c>
      <c r="P107" s="655">
        <f t="shared" si="6"/>
        <v>10</v>
      </c>
      <c r="Q107" s="655">
        <f t="shared" si="7"/>
        <v>9</v>
      </c>
      <c r="R107" s="758" t="str">
        <f t="shared" si="8"/>
        <v>Gastos_com_Pessoal</v>
      </c>
      <c r="S107" s="697" t="s">
        <v>310</v>
      </c>
      <c r="T107" s="697" t="s">
        <v>310</v>
      </c>
    </row>
    <row r="108" spans="1:20" ht="36" x14ac:dyDescent="0.2">
      <c r="A108" s="432">
        <f>IF(B108="","",COUNT('Diário 1º PA'!$A$4:$A$2635)+COUNT('Diário 2º PA'!$A$4:$A$3040)+COUNT('Diário 3º PA'!$A$4:$A$2731)+ROW()-3)</f>
        <v>6133</v>
      </c>
      <c r="B108" s="413">
        <v>44840</v>
      </c>
      <c r="C108" s="424">
        <v>44805</v>
      </c>
      <c r="D108" s="419" t="s">
        <v>182</v>
      </c>
      <c r="E108" s="419" t="s">
        <v>1</v>
      </c>
      <c r="F108" s="422">
        <v>3009.39</v>
      </c>
      <c r="G108" s="423" t="s">
        <v>7479</v>
      </c>
      <c r="H108" s="419" t="s">
        <v>310</v>
      </c>
      <c r="I108" s="415" t="s">
        <v>1181</v>
      </c>
      <c r="J108" s="419" t="s">
        <v>933</v>
      </c>
      <c r="K108" s="419" t="s">
        <v>830</v>
      </c>
      <c r="L108" s="415" t="s">
        <v>909</v>
      </c>
      <c r="M108" s="419" t="s">
        <v>310</v>
      </c>
      <c r="N108" s="413">
        <v>44840</v>
      </c>
      <c r="O108" s="414" t="s">
        <v>400</v>
      </c>
      <c r="P108" s="655">
        <f t="shared" si="6"/>
        <v>10</v>
      </c>
      <c r="Q108" s="655">
        <f t="shared" si="7"/>
        <v>9</v>
      </c>
      <c r="R108" s="758" t="str">
        <f t="shared" si="8"/>
        <v>Gastos_com_Pessoal</v>
      </c>
      <c r="S108" s="697" t="s">
        <v>310</v>
      </c>
      <c r="T108" s="697" t="s">
        <v>310</v>
      </c>
    </row>
    <row r="109" spans="1:20" ht="36" x14ac:dyDescent="0.2">
      <c r="A109" s="432">
        <f>IF(B109="","",COUNT('Diário 1º PA'!$A$4:$A$2635)+COUNT('Diário 2º PA'!$A$4:$A$3040)+COUNT('Diário 3º PA'!$A$4:$A$2731)+ROW()-3)</f>
        <v>6134</v>
      </c>
      <c r="B109" s="413">
        <v>44840</v>
      </c>
      <c r="C109" s="424">
        <v>44805</v>
      </c>
      <c r="D109" s="419" t="s">
        <v>182</v>
      </c>
      <c r="E109" s="419" t="s">
        <v>1</v>
      </c>
      <c r="F109" s="422">
        <v>3012.76</v>
      </c>
      <c r="G109" s="423" t="s">
        <v>7489</v>
      </c>
      <c r="H109" s="419" t="s">
        <v>310</v>
      </c>
      <c r="I109" s="415" t="s">
        <v>1182</v>
      </c>
      <c r="J109" s="419" t="s">
        <v>1183</v>
      </c>
      <c r="K109" s="419" t="s">
        <v>830</v>
      </c>
      <c r="L109" s="415" t="s">
        <v>909</v>
      </c>
      <c r="M109" s="419" t="s">
        <v>310</v>
      </c>
      <c r="N109" s="413">
        <v>44840</v>
      </c>
      <c r="O109" s="414" t="s">
        <v>400</v>
      </c>
      <c r="P109" s="655">
        <f t="shared" si="6"/>
        <v>10</v>
      </c>
      <c r="Q109" s="655">
        <f t="shared" si="7"/>
        <v>9</v>
      </c>
      <c r="R109" s="758" t="str">
        <f t="shared" si="8"/>
        <v>Gastos_com_Pessoal</v>
      </c>
      <c r="S109" s="697" t="s">
        <v>310</v>
      </c>
      <c r="T109" s="697" t="s">
        <v>310</v>
      </c>
    </row>
    <row r="110" spans="1:20" ht="36" x14ac:dyDescent="0.2">
      <c r="A110" s="432">
        <f>IF(B110="","",COUNT('Diário 1º PA'!$A$4:$A$2635)+COUNT('Diário 2º PA'!$A$4:$A$3040)+COUNT('Diário 3º PA'!$A$4:$A$2731)+ROW()-3)</f>
        <v>6135</v>
      </c>
      <c r="B110" s="413">
        <v>44840</v>
      </c>
      <c r="C110" s="424">
        <v>44805</v>
      </c>
      <c r="D110" s="419" t="s">
        <v>182</v>
      </c>
      <c r="E110" s="419" t="s">
        <v>1</v>
      </c>
      <c r="F110" s="422">
        <v>3093.76</v>
      </c>
      <c r="G110" s="423" t="s">
        <v>7480</v>
      </c>
      <c r="H110" s="419" t="s">
        <v>310</v>
      </c>
      <c r="I110" s="415" t="s">
        <v>1184</v>
      </c>
      <c r="J110" s="419" t="s">
        <v>1185</v>
      </c>
      <c r="K110" s="419" t="s">
        <v>830</v>
      </c>
      <c r="L110" s="415" t="s">
        <v>909</v>
      </c>
      <c r="M110" s="419" t="s">
        <v>310</v>
      </c>
      <c r="N110" s="413">
        <v>44840</v>
      </c>
      <c r="O110" s="414" t="s">
        <v>400</v>
      </c>
      <c r="P110" s="655">
        <f t="shared" si="6"/>
        <v>10</v>
      </c>
      <c r="Q110" s="655">
        <f t="shared" si="7"/>
        <v>9</v>
      </c>
      <c r="R110" s="758" t="str">
        <f t="shared" si="8"/>
        <v>Gastos_com_Pessoal</v>
      </c>
      <c r="S110" s="697" t="s">
        <v>310</v>
      </c>
      <c r="T110" s="697" t="s">
        <v>310</v>
      </c>
    </row>
    <row r="111" spans="1:20" ht="36" x14ac:dyDescent="0.2">
      <c r="A111" s="432">
        <f>IF(B111="","",COUNT('Diário 1º PA'!$A$4:$A$2635)+COUNT('Diário 2º PA'!$A$4:$A$3040)+COUNT('Diário 3º PA'!$A$4:$A$2731)+ROW()-3)</f>
        <v>6136</v>
      </c>
      <c r="B111" s="413">
        <v>44840</v>
      </c>
      <c r="C111" s="424">
        <v>44805</v>
      </c>
      <c r="D111" s="419" t="s">
        <v>182</v>
      </c>
      <c r="E111" s="419" t="s">
        <v>1</v>
      </c>
      <c r="F111" s="422">
        <v>3036.21</v>
      </c>
      <c r="G111" s="423" t="s">
        <v>7480</v>
      </c>
      <c r="H111" s="419" t="s">
        <v>310</v>
      </c>
      <c r="I111" s="415" t="s">
        <v>1186</v>
      </c>
      <c r="J111" s="419" t="s">
        <v>1187</v>
      </c>
      <c r="K111" s="419" t="s">
        <v>830</v>
      </c>
      <c r="L111" s="415" t="s">
        <v>909</v>
      </c>
      <c r="M111" s="419" t="s">
        <v>310</v>
      </c>
      <c r="N111" s="413">
        <v>44840</v>
      </c>
      <c r="O111" s="414" t="s">
        <v>400</v>
      </c>
      <c r="P111" s="655">
        <f t="shared" si="6"/>
        <v>10</v>
      </c>
      <c r="Q111" s="655">
        <f t="shared" si="7"/>
        <v>9</v>
      </c>
      <c r="R111" s="758" t="str">
        <f t="shared" si="8"/>
        <v>Gastos_com_Pessoal</v>
      </c>
      <c r="S111" s="697" t="s">
        <v>310</v>
      </c>
      <c r="T111" s="697" t="s">
        <v>310</v>
      </c>
    </row>
    <row r="112" spans="1:20" ht="36" x14ac:dyDescent="0.2">
      <c r="A112" s="432">
        <f>IF(B112="","",COUNT('Diário 1º PA'!$A$4:$A$2635)+COUNT('Diário 2º PA'!$A$4:$A$3040)+COUNT('Diário 3º PA'!$A$4:$A$2731)+ROW()-3)</f>
        <v>6137</v>
      </c>
      <c r="B112" s="413">
        <v>44840</v>
      </c>
      <c r="C112" s="424">
        <v>44805</v>
      </c>
      <c r="D112" s="419" t="s">
        <v>182</v>
      </c>
      <c r="E112" s="419" t="s">
        <v>1</v>
      </c>
      <c r="F112" s="422">
        <v>2817.37</v>
      </c>
      <c r="G112" s="423" t="s">
        <v>7480</v>
      </c>
      <c r="H112" s="419" t="s">
        <v>310</v>
      </c>
      <c r="I112" s="415" t="s">
        <v>1188</v>
      </c>
      <c r="J112" s="419" t="s">
        <v>1189</v>
      </c>
      <c r="K112" s="419" t="s">
        <v>830</v>
      </c>
      <c r="L112" s="415" t="s">
        <v>909</v>
      </c>
      <c r="M112" s="419" t="s">
        <v>310</v>
      </c>
      <c r="N112" s="413">
        <v>44840</v>
      </c>
      <c r="O112" s="414" t="s">
        <v>400</v>
      </c>
      <c r="P112" s="655">
        <f t="shared" si="6"/>
        <v>10</v>
      </c>
      <c r="Q112" s="655">
        <f t="shared" si="7"/>
        <v>9</v>
      </c>
      <c r="R112" s="758" t="str">
        <f t="shared" si="8"/>
        <v>Gastos_com_Pessoal</v>
      </c>
      <c r="S112" s="697" t="s">
        <v>310</v>
      </c>
      <c r="T112" s="697" t="s">
        <v>310</v>
      </c>
    </row>
    <row r="113" spans="1:20" ht="36" x14ac:dyDescent="0.2">
      <c r="A113" s="432">
        <f>IF(B113="","",COUNT('Diário 1º PA'!$A$4:$A$2635)+COUNT('Diário 2º PA'!$A$4:$A$3040)+COUNT('Diário 3º PA'!$A$4:$A$2731)+ROW()-3)</f>
        <v>6138</v>
      </c>
      <c r="B113" s="413">
        <v>44840</v>
      </c>
      <c r="C113" s="424">
        <v>44805</v>
      </c>
      <c r="D113" s="419" t="s">
        <v>182</v>
      </c>
      <c r="E113" s="419" t="s">
        <v>1</v>
      </c>
      <c r="F113" s="422">
        <v>2392.62</v>
      </c>
      <c r="G113" s="423" t="s">
        <v>7481</v>
      </c>
      <c r="H113" s="419" t="s">
        <v>310</v>
      </c>
      <c r="I113" s="415" t="s">
        <v>7040</v>
      </c>
      <c r="J113" s="419" t="s">
        <v>6358</v>
      </c>
      <c r="K113" s="419" t="s">
        <v>830</v>
      </c>
      <c r="L113" s="415" t="s">
        <v>909</v>
      </c>
      <c r="M113" s="419" t="s">
        <v>310</v>
      </c>
      <c r="N113" s="413">
        <v>44840</v>
      </c>
      <c r="O113" s="414" t="s">
        <v>400</v>
      </c>
      <c r="P113" s="655">
        <f t="shared" si="6"/>
        <v>10</v>
      </c>
      <c r="Q113" s="655">
        <f t="shared" si="7"/>
        <v>9</v>
      </c>
      <c r="R113" s="758" t="str">
        <f t="shared" si="8"/>
        <v>Gastos_com_Pessoal</v>
      </c>
      <c r="S113" s="697" t="s">
        <v>310</v>
      </c>
      <c r="T113" s="697" t="s">
        <v>310</v>
      </c>
    </row>
    <row r="114" spans="1:20" ht="36" x14ac:dyDescent="0.2">
      <c r="A114" s="432">
        <f>IF(B114="","",COUNT('Diário 1º PA'!$A$4:$A$2635)+COUNT('Diário 2º PA'!$A$4:$A$3040)+COUNT('Diário 3º PA'!$A$4:$A$2731)+ROW()-3)</f>
        <v>6139</v>
      </c>
      <c r="B114" s="413">
        <v>44840</v>
      </c>
      <c r="C114" s="424">
        <v>44805</v>
      </c>
      <c r="D114" s="419" t="s">
        <v>182</v>
      </c>
      <c r="E114" s="419" t="s">
        <v>1</v>
      </c>
      <c r="F114" s="422">
        <v>2994.78</v>
      </c>
      <c r="G114" s="423" t="s">
        <v>7465</v>
      </c>
      <c r="H114" s="419" t="s">
        <v>310</v>
      </c>
      <c r="I114" s="415" t="s">
        <v>1190</v>
      </c>
      <c r="J114" s="419" t="s">
        <v>1191</v>
      </c>
      <c r="K114" s="419" t="s">
        <v>830</v>
      </c>
      <c r="L114" s="415" t="s">
        <v>909</v>
      </c>
      <c r="M114" s="419" t="s">
        <v>310</v>
      </c>
      <c r="N114" s="413">
        <v>44840</v>
      </c>
      <c r="O114" s="414" t="s">
        <v>400</v>
      </c>
      <c r="P114" s="655">
        <f t="shared" si="6"/>
        <v>10</v>
      </c>
      <c r="Q114" s="655">
        <f t="shared" si="7"/>
        <v>9</v>
      </c>
      <c r="R114" s="758" t="str">
        <f t="shared" si="8"/>
        <v>Gastos_com_Pessoal</v>
      </c>
      <c r="S114" s="697" t="s">
        <v>310</v>
      </c>
      <c r="T114" s="697" t="s">
        <v>310</v>
      </c>
    </row>
    <row r="115" spans="1:20" ht="36" x14ac:dyDescent="0.2">
      <c r="A115" s="432">
        <f>IF(B115="","",COUNT('Diário 1º PA'!$A$4:$A$2635)+COUNT('Diário 2º PA'!$A$4:$A$3040)+COUNT('Diário 3º PA'!$A$4:$A$2731)+ROW()-3)</f>
        <v>6140</v>
      </c>
      <c r="B115" s="413">
        <v>44840</v>
      </c>
      <c r="C115" s="424">
        <v>44805</v>
      </c>
      <c r="D115" s="419" t="s">
        <v>182</v>
      </c>
      <c r="E115" s="419" t="s">
        <v>1</v>
      </c>
      <c r="F115" s="422">
        <v>3778.72</v>
      </c>
      <c r="G115" s="427" t="s">
        <v>7490</v>
      </c>
      <c r="H115" s="419" t="s">
        <v>310</v>
      </c>
      <c r="I115" s="415" t="s">
        <v>2061</v>
      </c>
      <c r="J115" s="419" t="s">
        <v>2062</v>
      </c>
      <c r="K115" s="419" t="s">
        <v>830</v>
      </c>
      <c r="L115" s="415" t="s">
        <v>909</v>
      </c>
      <c r="M115" s="419" t="s">
        <v>310</v>
      </c>
      <c r="N115" s="413">
        <v>44840</v>
      </c>
      <c r="O115" s="414" t="s">
        <v>400</v>
      </c>
      <c r="P115" s="655">
        <f t="shared" si="6"/>
        <v>10</v>
      </c>
      <c r="Q115" s="655">
        <f t="shared" si="7"/>
        <v>9</v>
      </c>
      <c r="R115" s="758" t="str">
        <f t="shared" si="8"/>
        <v>Gastos_com_Pessoal</v>
      </c>
      <c r="S115" s="697" t="s">
        <v>310</v>
      </c>
      <c r="T115" s="697" t="s">
        <v>310</v>
      </c>
    </row>
    <row r="116" spans="1:20" ht="36" x14ac:dyDescent="0.2">
      <c r="A116" s="432">
        <f>IF(B116="","",COUNT('Diário 1º PA'!$A$4:$A$2635)+COUNT('Diário 2º PA'!$A$4:$A$3040)+COUNT('Diário 3º PA'!$A$4:$A$2731)+ROW()-3)</f>
        <v>6141</v>
      </c>
      <c r="B116" s="413">
        <v>44840</v>
      </c>
      <c r="C116" s="424">
        <v>44805</v>
      </c>
      <c r="D116" s="419" t="s">
        <v>182</v>
      </c>
      <c r="E116" s="419" t="s">
        <v>1</v>
      </c>
      <c r="F116" s="422">
        <v>2401.88</v>
      </c>
      <c r="G116" s="427" t="s">
        <v>7480</v>
      </c>
      <c r="H116" s="419" t="s">
        <v>310</v>
      </c>
      <c r="I116" s="415" t="s">
        <v>1192</v>
      </c>
      <c r="J116" s="419" t="s">
        <v>1191</v>
      </c>
      <c r="K116" s="419" t="s">
        <v>830</v>
      </c>
      <c r="L116" s="415" t="s">
        <v>909</v>
      </c>
      <c r="M116" s="419" t="s">
        <v>310</v>
      </c>
      <c r="N116" s="413">
        <v>44840</v>
      </c>
      <c r="O116" s="414" t="s">
        <v>400</v>
      </c>
      <c r="P116" s="655">
        <f t="shared" si="6"/>
        <v>10</v>
      </c>
      <c r="Q116" s="655">
        <f t="shared" si="7"/>
        <v>9</v>
      </c>
      <c r="R116" s="758" t="str">
        <f t="shared" si="8"/>
        <v>Gastos_com_Pessoal</v>
      </c>
      <c r="S116" s="697" t="s">
        <v>310</v>
      </c>
      <c r="T116" s="697" t="s">
        <v>310</v>
      </c>
    </row>
    <row r="117" spans="1:20" ht="36" x14ac:dyDescent="0.2">
      <c r="A117" s="432">
        <f>IF(B117="","",COUNT('Diário 1º PA'!$A$4:$A$2635)+COUNT('Diário 2º PA'!$A$4:$A$3040)+COUNT('Diário 3º PA'!$A$4:$A$2731)+ROW()-3)</f>
        <v>6142</v>
      </c>
      <c r="B117" s="413">
        <v>44840</v>
      </c>
      <c r="C117" s="424">
        <v>44805</v>
      </c>
      <c r="D117" s="419" t="s">
        <v>182</v>
      </c>
      <c r="E117" s="419" t="s">
        <v>1</v>
      </c>
      <c r="F117" s="422">
        <v>1157.17</v>
      </c>
      <c r="G117" s="427" t="s">
        <v>7491</v>
      </c>
      <c r="H117" s="419" t="s">
        <v>310</v>
      </c>
      <c r="I117" s="415" t="s">
        <v>1194</v>
      </c>
      <c r="J117" s="419" t="s">
        <v>1193</v>
      </c>
      <c r="K117" s="419" t="s">
        <v>830</v>
      </c>
      <c r="L117" s="415" t="s">
        <v>909</v>
      </c>
      <c r="M117" s="419" t="s">
        <v>310</v>
      </c>
      <c r="N117" s="413">
        <v>44840</v>
      </c>
      <c r="O117" s="414" t="s">
        <v>400</v>
      </c>
      <c r="P117" s="655">
        <f t="shared" si="6"/>
        <v>10</v>
      </c>
      <c r="Q117" s="655">
        <f t="shared" si="7"/>
        <v>9</v>
      </c>
      <c r="R117" s="758" t="str">
        <f t="shared" si="8"/>
        <v>Gastos_com_Pessoal</v>
      </c>
      <c r="S117" s="697" t="s">
        <v>310</v>
      </c>
      <c r="T117" s="697" t="s">
        <v>310</v>
      </c>
    </row>
    <row r="118" spans="1:20" ht="36" x14ac:dyDescent="0.2">
      <c r="A118" s="432">
        <f>IF(B118="","",COUNT('Diário 1º PA'!$A$4:$A$2635)+COUNT('Diário 2º PA'!$A$4:$A$3040)+COUNT('Diário 3º PA'!$A$4:$A$2731)+ROW()-3)</f>
        <v>6143</v>
      </c>
      <c r="B118" s="413">
        <v>44840</v>
      </c>
      <c r="C118" s="424">
        <v>44805</v>
      </c>
      <c r="D118" s="419" t="s">
        <v>182</v>
      </c>
      <c r="E118" s="419" t="s">
        <v>1</v>
      </c>
      <c r="F118" s="422">
        <v>3113.12</v>
      </c>
      <c r="G118" s="427" t="s">
        <v>7465</v>
      </c>
      <c r="H118" s="419" t="s">
        <v>310</v>
      </c>
      <c r="I118" s="415" t="s">
        <v>3197</v>
      </c>
      <c r="J118" s="419" t="s">
        <v>3198</v>
      </c>
      <c r="K118" s="419" t="s">
        <v>830</v>
      </c>
      <c r="L118" s="415" t="s">
        <v>909</v>
      </c>
      <c r="M118" s="419" t="s">
        <v>310</v>
      </c>
      <c r="N118" s="413">
        <v>44840</v>
      </c>
      <c r="O118" s="414" t="s">
        <v>400</v>
      </c>
      <c r="P118" s="655">
        <f t="shared" si="6"/>
        <v>10</v>
      </c>
      <c r="Q118" s="655">
        <f t="shared" si="7"/>
        <v>9</v>
      </c>
      <c r="R118" s="758" t="str">
        <f t="shared" si="8"/>
        <v>Gastos_com_Pessoal</v>
      </c>
      <c r="S118" s="697" t="s">
        <v>310</v>
      </c>
      <c r="T118" s="697" t="s">
        <v>310</v>
      </c>
    </row>
    <row r="119" spans="1:20" ht="36" x14ac:dyDescent="0.2">
      <c r="A119" s="432">
        <f>IF(B119="","",COUNT('Diário 1º PA'!$A$4:$A$2635)+COUNT('Diário 2º PA'!$A$4:$A$3040)+COUNT('Diário 3º PA'!$A$4:$A$2731)+ROW()-3)</f>
        <v>6144</v>
      </c>
      <c r="B119" s="413">
        <v>44840</v>
      </c>
      <c r="C119" s="424">
        <v>44805</v>
      </c>
      <c r="D119" s="419" t="s">
        <v>182</v>
      </c>
      <c r="E119" s="419" t="s">
        <v>1</v>
      </c>
      <c r="F119" s="422">
        <v>1643.29</v>
      </c>
      <c r="G119" s="427" t="s">
        <v>7492</v>
      </c>
      <c r="H119" s="419" t="s">
        <v>310</v>
      </c>
      <c r="I119" s="415" t="s">
        <v>1196</v>
      </c>
      <c r="J119" s="419" t="s">
        <v>1195</v>
      </c>
      <c r="K119" s="419" t="s">
        <v>830</v>
      </c>
      <c r="L119" s="415" t="s">
        <v>909</v>
      </c>
      <c r="M119" s="419" t="s">
        <v>310</v>
      </c>
      <c r="N119" s="413">
        <v>44840</v>
      </c>
      <c r="O119" s="414" t="s">
        <v>400</v>
      </c>
      <c r="P119" s="655">
        <f t="shared" si="6"/>
        <v>10</v>
      </c>
      <c r="Q119" s="655">
        <f t="shared" si="7"/>
        <v>9</v>
      </c>
      <c r="R119" s="758" t="str">
        <f t="shared" si="8"/>
        <v>Gastos_com_Pessoal</v>
      </c>
      <c r="S119" s="697" t="s">
        <v>310</v>
      </c>
      <c r="T119" s="697" t="s">
        <v>310</v>
      </c>
    </row>
    <row r="120" spans="1:20" ht="36" x14ac:dyDescent="0.2">
      <c r="A120" s="432">
        <f>IF(B120="","",COUNT('Diário 1º PA'!$A$4:$A$2635)+COUNT('Diário 2º PA'!$A$4:$A$3040)+COUNT('Diário 3º PA'!$A$4:$A$2731)+ROW()-3)</f>
        <v>6145</v>
      </c>
      <c r="B120" s="413">
        <v>44840</v>
      </c>
      <c r="C120" s="424">
        <v>44805</v>
      </c>
      <c r="D120" s="419" t="s">
        <v>182</v>
      </c>
      <c r="E120" s="419" t="s">
        <v>1</v>
      </c>
      <c r="F120" s="422">
        <v>2842.98</v>
      </c>
      <c r="G120" s="427" t="s">
        <v>7493</v>
      </c>
      <c r="H120" s="419" t="s">
        <v>310</v>
      </c>
      <c r="I120" s="415" t="s">
        <v>1198</v>
      </c>
      <c r="J120" s="419" t="s">
        <v>1197</v>
      </c>
      <c r="K120" s="419" t="s">
        <v>830</v>
      </c>
      <c r="L120" s="415" t="s">
        <v>909</v>
      </c>
      <c r="M120" s="419" t="s">
        <v>310</v>
      </c>
      <c r="N120" s="413">
        <v>44840</v>
      </c>
      <c r="O120" s="414" t="s">
        <v>400</v>
      </c>
      <c r="P120" s="655">
        <f t="shared" si="6"/>
        <v>10</v>
      </c>
      <c r="Q120" s="655">
        <f t="shared" si="7"/>
        <v>9</v>
      </c>
      <c r="R120" s="758" t="str">
        <f t="shared" si="8"/>
        <v>Gastos_com_Pessoal</v>
      </c>
      <c r="S120" s="697" t="s">
        <v>310</v>
      </c>
      <c r="T120" s="697" t="s">
        <v>310</v>
      </c>
    </row>
    <row r="121" spans="1:20" ht="36" x14ac:dyDescent="0.2">
      <c r="A121" s="432">
        <f>IF(B121="","",COUNT('Diário 1º PA'!$A$4:$A$2635)+COUNT('Diário 2º PA'!$A$4:$A$3040)+COUNT('Diário 3º PA'!$A$4:$A$2731)+ROW()-3)</f>
        <v>6146</v>
      </c>
      <c r="B121" s="413">
        <v>44840</v>
      </c>
      <c r="C121" s="424">
        <v>44805</v>
      </c>
      <c r="D121" s="419" t="s">
        <v>182</v>
      </c>
      <c r="E121" s="419" t="s">
        <v>1</v>
      </c>
      <c r="F121" s="422">
        <v>2483.5700000000002</v>
      </c>
      <c r="G121" s="427" t="s">
        <v>7494</v>
      </c>
      <c r="H121" s="419" t="s">
        <v>310</v>
      </c>
      <c r="I121" s="415" t="s">
        <v>6359</v>
      </c>
      <c r="J121" s="419" t="s">
        <v>6311</v>
      </c>
      <c r="K121" s="419" t="s">
        <v>830</v>
      </c>
      <c r="L121" s="415" t="s">
        <v>909</v>
      </c>
      <c r="M121" s="419" t="s">
        <v>310</v>
      </c>
      <c r="N121" s="413">
        <v>44840</v>
      </c>
      <c r="O121" s="414" t="s">
        <v>400</v>
      </c>
      <c r="P121" s="655">
        <f t="shared" si="6"/>
        <v>10</v>
      </c>
      <c r="Q121" s="655">
        <f t="shared" si="7"/>
        <v>9</v>
      </c>
      <c r="R121" s="758" t="str">
        <f t="shared" si="8"/>
        <v>Gastos_com_Pessoal</v>
      </c>
      <c r="S121" s="697" t="s">
        <v>310</v>
      </c>
      <c r="T121" s="697" t="s">
        <v>310</v>
      </c>
    </row>
    <row r="122" spans="1:20" ht="36" x14ac:dyDescent="0.2">
      <c r="A122" s="432">
        <f>IF(B122="","",COUNT('Diário 1º PA'!$A$4:$A$2635)+COUNT('Diário 2º PA'!$A$4:$A$3040)+COUNT('Diário 3º PA'!$A$4:$A$2731)+ROW()-3)</f>
        <v>6147</v>
      </c>
      <c r="B122" s="413">
        <v>44840</v>
      </c>
      <c r="C122" s="424">
        <v>44805</v>
      </c>
      <c r="D122" s="419" t="s">
        <v>182</v>
      </c>
      <c r="E122" s="419" t="s">
        <v>1</v>
      </c>
      <c r="F122" s="422">
        <v>2315.89</v>
      </c>
      <c r="G122" s="427" t="s">
        <v>7465</v>
      </c>
      <c r="H122" s="419" t="s">
        <v>310</v>
      </c>
      <c r="I122" s="415" t="s">
        <v>1200</v>
      </c>
      <c r="J122" s="419" t="s">
        <v>1201</v>
      </c>
      <c r="K122" s="419" t="s">
        <v>830</v>
      </c>
      <c r="L122" s="415" t="s">
        <v>909</v>
      </c>
      <c r="M122" s="419" t="s">
        <v>310</v>
      </c>
      <c r="N122" s="413">
        <v>44840</v>
      </c>
      <c r="O122" s="414" t="s">
        <v>400</v>
      </c>
      <c r="P122" s="655">
        <f t="shared" si="6"/>
        <v>10</v>
      </c>
      <c r="Q122" s="655">
        <f t="shared" si="7"/>
        <v>9</v>
      </c>
      <c r="R122" s="758" t="str">
        <f t="shared" si="8"/>
        <v>Gastos_com_Pessoal</v>
      </c>
      <c r="S122" s="697" t="s">
        <v>310</v>
      </c>
      <c r="T122" s="697" t="s">
        <v>310</v>
      </c>
    </row>
    <row r="123" spans="1:20" ht="36" x14ac:dyDescent="0.2">
      <c r="A123" s="432">
        <f>IF(B123="","",COUNT('Diário 1º PA'!$A$4:$A$2635)+COUNT('Diário 2º PA'!$A$4:$A$3040)+COUNT('Diário 3º PA'!$A$4:$A$2731)+ROW()-3)</f>
        <v>6148</v>
      </c>
      <c r="B123" s="413">
        <v>44840</v>
      </c>
      <c r="C123" s="424">
        <v>44805</v>
      </c>
      <c r="D123" s="419" t="s">
        <v>182</v>
      </c>
      <c r="E123" s="419" t="s">
        <v>1</v>
      </c>
      <c r="F123" s="422">
        <v>1063.28</v>
      </c>
      <c r="G123" s="427" t="s">
        <v>7495</v>
      </c>
      <c r="H123" s="419" t="s">
        <v>310</v>
      </c>
      <c r="I123" s="415" t="s">
        <v>1207</v>
      </c>
      <c r="J123" s="419" t="s">
        <v>1206</v>
      </c>
      <c r="K123" s="419" t="s">
        <v>830</v>
      </c>
      <c r="L123" s="415" t="s">
        <v>909</v>
      </c>
      <c r="M123" s="419" t="s">
        <v>310</v>
      </c>
      <c r="N123" s="413">
        <v>44840</v>
      </c>
      <c r="O123" s="414" t="s">
        <v>400</v>
      </c>
      <c r="P123" s="655">
        <f t="shared" si="6"/>
        <v>10</v>
      </c>
      <c r="Q123" s="655">
        <f t="shared" si="7"/>
        <v>9</v>
      </c>
      <c r="R123" s="758" t="str">
        <f t="shared" si="8"/>
        <v>Gastos_com_Pessoal</v>
      </c>
      <c r="S123" s="697" t="s">
        <v>310</v>
      </c>
      <c r="T123" s="697" t="s">
        <v>310</v>
      </c>
    </row>
    <row r="124" spans="1:20" ht="36" x14ac:dyDescent="0.2">
      <c r="A124" s="432">
        <f>IF(B124="","",COUNT('Diário 1º PA'!$A$4:$A$2635)+COUNT('Diário 2º PA'!$A$4:$A$3040)+COUNT('Diário 3º PA'!$A$4:$A$2731)+ROW()-3)</f>
        <v>6149</v>
      </c>
      <c r="B124" s="413">
        <v>44840</v>
      </c>
      <c r="C124" s="424">
        <v>44805</v>
      </c>
      <c r="D124" s="419" t="s">
        <v>182</v>
      </c>
      <c r="E124" s="419" t="s">
        <v>1</v>
      </c>
      <c r="F124" s="422">
        <v>484.8</v>
      </c>
      <c r="G124" s="427" t="s">
        <v>7496</v>
      </c>
      <c r="H124" s="419" t="s">
        <v>310</v>
      </c>
      <c r="I124" s="415" t="s">
        <v>6297</v>
      </c>
      <c r="J124" s="419" t="s">
        <v>6298</v>
      </c>
      <c r="K124" s="419" t="s">
        <v>830</v>
      </c>
      <c r="L124" s="415" t="s">
        <v>909</v>
      </c>
      <c r="M124" s="419" t="s">
        <v>310</v>
      </c>
      <c r="N124" s="413">
        <v>44840</v>
      </c>
      <c r="O124" s="414" t="s">
        <v>400</v>
      </c>
      <c r="P124" s="655">
        <f t="shared" si="6"/>
        <v>10</v>
      </c>
      <c r="Q124" s="655">
        <f t="shared" si="7"/>
        <v>9</v>
      </c>
      <c r="R124" s="758" t="str">
        <f t="shared" si="8"/>
        <v>Gastos_com_Pessoal</v>
      </c>
      <c r="S124" s="697" t="s">
        <v>310</v>
      </c>
      <c r="T124" s="697" t="s">
        <v>310</v>
      </c>
    </row>
    <row r="125" spans="1:20" ht="36" x14ac:dyDescent="0.2">
      <c r="A125" s="432">
        <f>IF(B125="","",COUNT('Diário 1º PA'!$A$4:$A$2635)+COUNT('Diário 2º PA'!$A$4:$A$3040)+COUNT('Diário 3º PA'!$A$4:$A$2731)+ROW()-3)</f>
        <v>6150</v>
      </c>
      <c r="B125" s="413">
        <v>44840</v>
      </c>
      <c r="C125" s="424">
        <v>44805</v>
      </c>
      <c r="D125" s="419" t="s">
        <v>182</v>
      </c>
      <c r="E125" s="419" t="s">
        <v>1</v>
      </c>
      <c r="F125" s="422">
        <v>3005.04</v>
      </c>
      <c r="G125" s="427" t="s">
        <v>7497</v>
      </c>
      <c r="H125" s="419" t="s">
        <v>310</v>
      </c>
      <c r="I125" s="415" t="s">
        <v>5864</v>
      </c>
      <c r="J125" s="419" t="s">
        <v>5865</v>
      </c>
      <c r="K125" s="419" t="s">
        <v>6327</v>
      </c>
      <c r="L125" s="415" t="s">
        <v>909</v>
      </c>
      <c r="M125" s="419" t="s">
        <v>310</v>
      </c>
      <c r="N125" s="413">
        <v>44840</v>
      </c>
      <c r="O125" s="414" t="s">
        <v>400</v>
      </c>
      <c r="P125" s="655">
        <f t="shared" si="6"/>
        <v>10</v>
      </c>
      <c r="Q125" s="655">
        <f t="shared" si="7"/>
        <v>9</v>
      </c>
      <c r="R125" s="758" t="str">
        <f t="shared" si="8"/>
        <v>Gastos_com_Pessoal</v>
      </c>
      <c r="S125" s="697" t="s">
        <v>310</v>
      </c>
      <c r="T125" s="697" t="s">
        <v>310</v>
      </c>
    </row>
    <row r="126" spans="1:20" ht="36" x14ac:dyDescent="0.2">
      <c r="A126" s="432">
        <f>IF(B126="","",COUNT('Diário 1º PA'!$A$4:$A$2635)+COUNT('Diário 2º PA'!$A$4:$A$3040)+COUNT('Diário 3º PA'!$A$4:$A$2731)+ROW()-3)</f>
        <v>6151</v>
      </c>
      <c r="B126" s="413">
        <v>44840</v>
      </c>
      <c r="C126" s="424">
        <v>44805</v>
      </c>
      <c r="D126" s="419" t="s">
        <v>182</v>
      </c>
      <c r="E126" s="419" t="s">
        <v>1</v>
      </c>
      <c r="F126" s="422">
        <v>3005.17</v>
      </c>
      <c r="G126" s="427" t="s">
        <v>7483</v>
      </c>
      <c r="H126" s="419" t="s">
        <v>310</v>
      </c>
      <c r="I126" s="415" t="s">
        <v>1202</v>
      </c>
      <c r="J126" s="419" t="s">
        <v>1201</v>
      </c>
      <c r="K126" s="419" t="s">
        <v>6327</v>
      </c>
      <c r="L126" s="415" t="s">
        <v>909</v>
      </c>
      <c r="M126" s="419" t="s">
        <v>310</v>
      </c>
      <c r="N126" s="413">
        <v>44840</v>
      </c>
      <c r="O126" s="414" t="s">
        <v>400</v>
      </c>
      <c r="P126" s="655">
        <f t="shared" si="6"/>
        <v>10</v>
      </c>
      <c r="Q126" s="655">
        <f t="shared" si="7"/>
        <v>9</v>
      </c>
      <c r="R126" s="758" t="str">
        <f t="shared" si="8"/>
        <v>Gastos_com_Pessoal</v>
      </c>
      <c r="S126" s="697" t="s">
        <v>310</v>
      </c>
      <c r="T126" s="697" t="s">
        <v>310</v>
      </c>
    </row>
    <row r="127" spans="1:20" ht="36" x14ac:dyDescent="0.2">
      <c r="A127" s="432">
        <f>IF(B127="","",COUNT('Diário 1º PA'!$A$4:$A$2635)+COUNT('Diário 2º PA'!$A$4:$A$3040)+COUNT('Diário 3º PA'!$A$4:$A$2731)+ROW()-3)</f>
        <v>6152</v>
      </c>
      <c r="B127" s="413">
        <v>44840</v>
      </c>
      <c r="C127" s="424">
        <v>44805</v>
      </c>
      <c r="D127" s="419" t="s">
        <v>182</v>
      </c>
      <c r="E127" s="419" t="s">
        <v>1</v>
      </c>
      <c r="F127" s="422">
        <v>2958.76</v>
      </c>
      <c r="G127" s="427" t="s">
        <v>7484</v>
      </c>
      <c r="H127" s="419" t="s">
        <v>310</v>
      </c>
      <c r="I127" s="415" t="s">
        <v>1203</v>
      </c>
      <c r="J127" s="419" t="s">
        <v>1201</v>
      </c>
      <c r="K127" s="419" t="s">
        <v>6327</v>
      </c>
      <c r="L127" s="415" t="s">
        <v>909</v>
      </c>
      <c r="M127" s="419" t="s">
        <v>310</v>
      </c>
      <c r="N127" s="413">
        <v>44840</v>
      </c>
      <c r="O127" s="414" t="s">
        <v>400</v>
      </c>
      <c r="P127" s="655">
        <f t="shared" si="6"/>
        <v>10</v>
      </c>
      <c r="Q127" s="655">
        <f t="shared" si="7"/>
        <v>9</v>
      </c>
      <c r="R127" s="758" t="str">
        <f t="shared" si="8"/>
        <v>Gastos_com_Pessoal</v>
      </c>
      <c r="S127" s="697" t="s">
        <v>310</v>
      </c>
      <c r="T127" s="697" t="s">
        <v>310</v>
      </c>
    </row>
    <row r="128" spans="1:20" ht="36" x14ac:dyDescent="0.2">
      <c r="A128" s="432">
        <f>IF(B128="","",COUNT('Diário 1º PA'!$A$4:$A$2635)+COUNT('Diário 2º PA'!$A$4:$A$3040)+COUNT('Diário 3º PA'!$A$4:$A$2731)+ROW()-3)</f>
        <v>6153</v>
      </c>
      <c r="B128" s="413">
        <v>44840</v>
      </c>
      <c r="C128" s="424">
        <v>44805</v>
      </c>
      <c r="D128" s="419" t="s">
        <v>182</v>
      </c>
      <c r="E128" s="419" t="s">
        <v>1</v>
      </c>
      <c r="F128" s="422">
        <v>2478.85</v>
      </c>
      <c r="G128" s="427" t="s">
        <v>7494</v>
      </c>
      <c r="H128" s="419" t="s">
        <v>310</v>
      </c>
      <c r="I128" s="415" t="s">
        <v>6317</v>
      </c>
      <c r="J128" s="419" t="s">
        <v>6318</v>
      </c>
      <c r="K128" s="419" t="s">
        <v>6327</v>
      </c>
      <c r="L128" s="415" t="s">
        <v>909</v>
      </c>
      <c r="M128" s="419" t="s">
        <v>310</v>
      </c>
      <c r="N128" s="413">
        <v>44840</v>
      </c>
      <c r="O128" s="414" t="s">
        <v>400</v>
      </c>
      <c r="P128" s="655">
        <f t="shared" si="6"/>
        <v>10</v>
      </c>
      <c r="Q128" s="655">
        <f t="shared" si="7"/>
        <v>9</v>
      </c>
      <c r="R128" s="758" t="str">
        <f t="shared" si="8"/>
        <v>Gastos_com_Pessoal</v>
      </c>
      <c r="S128" s="697" t="s">
        <v>310</v>
      </c>
      <c r="T128" s="697" t="s">
        <v>310</v>
      </c>
    </row>
    <row r="129" spans="1:20" ht="36" x14ac:dyDescent="0.2">
      <c r="A129" s="432">
        <f>IF(B129="","",COUNT('Diário 1º PA'!$A$4:$A$2635)+COUNT('Diário 2º PA'!$A$4:$A$3040)+COUNT('Diário 3º PA'!$A$4:$A$2731)+ROW()-3)</f>
        <v>6154</v>
      </c>
      <c r="B129" s="413">
        <v>44840</v>
      </c>
      <c r="C129" s="424">
        <v>44805</v>
      </c>
      <c r="D129" s="419" t="s">
        <v>182</v>
      </c>
      <c r="E129" s="419" t="s">
        <v>1</v>
      </c>
      <c r="F129" s="422">
        <v>2905.48</v>
      </c>
      <c r="G129" s="427" t="s">
        <v>7498</v>
      </c>
      <c r="H129" s="419" t="s">
        <v>310</v>
      </c>
      <c r="I129" s="415" t="s">
        <v>1205</v>
      </c>
      <c r="J129" s="419" t="s">
        <v>1204</v>
      </c>
      <c r="K129" s="419" t="s">
        <v>6327</v>
      </c>
      <c r="L129" s="415" t="s">
        <v>909</v>
      </c>
      <c r="M129" s="419" t="s">
        <v>310</v>
      </c>
      <c r="N129" s="413">
        <v>44840</v>
      </c>
      <c r="O129" s="414" t="s">
        <v>400</v>
      </c>
      <c r="P129" s="655">
        <f t="shared" si="6"/>
        <v>10</v>
      </c>
      <c r="Q129" s="655">
        <f t="shared" si="7"/>
        <v>9</v>
      </c>
      <c r="R129" s="758" t="str">
        <f t="shared" si="8"/>
        <v>Gastos_com_Pessoal</v>
      </c>
      <c r="S129" s="697" t="s">
        <v>310</v>
      </c>
      <c r="T129" s="697" t="s">
        <v>310</v>
      </c>
    </row>
    <row r="130" spans="1:20" ht="108" x14ac:dyDescent="0.2">
      <c r="A130" s="432">
        <f>IF(B130="","",COUNT('Diário 1º PA'!$A$4:$A$2635)+COUNT('Diário 2º PA'!$A$4:$A$3040)+COUNT('Diário 3º PA'!$A$4:$A$2731)+ROW()-3)</f>
        <v>6155</v>
      </c>
      <c r="B130" s="413">
        <v>44840</v>
      </c>
      <c r="C130" s="424">
        <v>44805</v>
      </c>
      <c r="D130" s="419" t="s">
        <v>271</v>
      </c>
      <c r="E130" s="419" t="s">
        <v>90</v>
      </c>
      <c r="F130" s="422">
        <v>2537.5500000000002</v>
      </c>
      <c r="G130" s="423" t="s">
        <v>4128</v>
      </c>
      <c r="H130" s="419" t="s">
        <v>793</v>
      </c>
      <c r="I130" s="415" t="s">
        <v>5918</v>
      </c>
      <c r="J130" s="419" t="s">
        <v>4127</v>
      </c>
      <c r="K130" s="419" t="s">
        <v>6327</v>
      </c>
      <c r="L130" s="415" t="s">
        <v>839</v>
      </c>
      <c r="M130" s="419">
        <v>2033</v>
      </c>
      <c r="N130" s="413">
        <v>44838</v>
      </c>
      <c r="O130" s="414" t="s">
        <v>400</v>
      </c>
      <c r="P130" s="655">
        <f t="shared" si="6"/>
        <v>10</v>
      </c>
      <c r="Q130" s="655">
        <f t="shared" si="7"/>
        <v>9</v>
      </c>
      <c r="R130" s="758" t="str">
        <f t="shared" si="8"/>
        <v>Gastos_Gerais</v>
      </c>
      <c r="S130" s="697" t="s">
        <v>1000</v>
      </c>
      <c r="T130" s="697">
        <v>4321</v>
      </c>
    </row>
    <row r="131" spans="1:20" ht="24" x14ac:dyDescent="0.2">
      <c r="A131" s="432">
        <f>IF(B131="","",COUNT('Diário 1º PA'!$A$4:$A$2635)+COUNT('Diário 2º PA'!$A$4:$A$3040)+COUNT('Diário 3º PA'!$A$4:$A$2731)+ROW()-3)</f>
        <v>6156</v>
      </c>
      <c r="B131" s="413">
        <v>44840</v>
      </c>
      <c r="C131" s="424">
        <v>44835</v>
      </c>
      <c r="D131" s="419" t="s">
        <v>271</v>
      </c>
      <c r="E131" s="419" t="s">
        <v>71</v>
      </c>
      <c r="F131" s="422">
        <v>11</v>
      </c>
      <c r="G131" s="419" t="s">
        <v>8709</v>
      </c>
      <c r="H131" s="419" t="s">
        <v>310</v>
      </c>
      <c r="I131" s="415" t="s">
        <v>881</v>
      </c>
      <c r="J131" s="419" t="s">
        <v>882</v>
      </c>
      <c r="K131" s="419" t="s">
        <v>883</v>
      </c>
      <c r="L131" s="415" t="s">
        <v>798</v>
      </c>
      <c r="M131" s="419" t="s">
        <v>310</v>
      </c>
      <c r="N131" s="413">
        <v>44840</v>
      </c>
      <c r="O131" s="414" t="s">
        <v>400</v>
      </c>
      <c r="P131" s="655">
        <f t="shared" si="6"/>
        <v>10</v>
      </c>
      <c r="Q131" s="655">
        <f t="shared" si="7"/>
        <v>10</v>
      </c>
      <c r="R131" s="758" t="str">
        <f t="shared" si="8"/>
        <v>Gastos_Gerais</v>
      </c>
      <c r="S131" s="697" t="s">
        <v>310</v>
      </c>
      <c r="T131" s="697" t="s">
        <v>310</v>
      </c>
    </row>
    <row r="132" spans="1:20" ht="24" x14ac:dyDescent="0.2">
      <c r="A132" s="432">
        <f>IF(B132="","",COUNT('Diário 1º PA'!$A$4:$A$2635)+COUNT('Diário 2º PA'!$A$4:$A$3040)+COUNT('Diário 3º PA'!$A$4:$A$2731)+ROW()-3)</f>
        <v>6157</v>
      </c>
      <c r="B132" s="413">
        <v>44840</v>
      </c>
      <c r="C132" s="424">
        <v>44835</v>
      </c>
      <c r="D132" s="419" t="s">
        <v>271</v>
      </c>
      <c r="E132" s="419" t="s">
        <v>71</v>
      </c>
      <c r="F132" s="422">
        <v>11</v>
      </c>
      <c r="G132" s="419" t="s">
        <v>8709</v>
      </c>
      <c r="H132" s="419" t="s">
        <v>310</v>
      </c>
      <c r="I132" s="415" t="s">
        <v>881</v>
      </c>
      <c r="J132" s="419" t="s">
        <v>882</v>
      </c>
      <c r="K132" s="419" t="s">
        <v>883</v>
      </c>
      <c r="L132" s="415" t="s">
        <v>798</v>
      </c>
      <c r="M132" s="419" t="s">
        <v>310</v>
      </c>
      <c r="N132" s="413">
        <v>44840</v>
      </c>
      <c r="O132" s="414" t="s">
        <v>400</v>
      </c>
      <c r="P132" s="655">
        <f t="shared" si="6"/>
        <v>10</v>
      </c>
      <c r="Q132" s="655">
        <f t="shared" si="7"/>
        <v>10</v>
      </c>
      <c r="R132" s="758" t="str">
        <f t="shared" si="8"/>
        <v>Gastos_Gerais</v>
      </c>
      <c r="S132" s="697" t="s">
        <v>310</v>
      </c>
      <c r="T132" s="697" t="s">
        <v>310</v>
      </c>
    </row>
    <row r="133" spans="1:20" ht="24" x14ac:dyDescent="0.2">
      <c r="A133" s="432">
        <f>IF(B133="","",COUNT('Diário 1º PA'!$A$4:$A$2635)+COUNT('Diário 2º PA'!$A$4:$A$3040)+COUNT('Diário 3º PA'!$A$4:$A$2731)+ROW()-3)</f>
        <v>6158</v>
      </c>
      <c r="B133" s="413">
        <v>44840</v>
      </c>
      <c r="C133" s="424">
        <v>44835</v>
      </c>
      <c r="D133" s="419" t="s">
        <v>271</v>
      </c>
      <c r="E133" s="419" t="s">
        <v>71</v>
      </c>
      <c r="F133" s="422">
        <v>11</v>
      </c>
      <c r="G133" s="419" t="s">
        <v>8709</v>
      </c>
      <c r="H133" s="419" t="s">
        <v>310</v>
      </c>
      <c r="I133" s="415" t="s">
        <v>881</v>
      </c>
      <c r="J133" s="419" t="s">
        <v>882</v>
      </c>
      <c r="K133" s="419" t="s">
        <v>883</v>
      </c>
      <c r="L133" s="415" t="s">
        <v>798</v>
      </c>
      <c r="M133" s="419" t="s">
        <v>310</v>
      </c>
      <c r="N133" s="413">
        <v>44840</v>
      </c>
      <c r="O133" s="414" t="s">
        <v>400</v>
      </c>
      <c r="P133" s="655">
        <f t="shared" si="6"/>
        <v>10</v>
      </c>
      <c r="Q133" s="655">
        <f t="shared" si="7"/>
        <v>10</v>
      </c>
      <c r="R133" s="758" t="str">
        <f t="shared" si="8"/>
        <v>Gastos_Gerais</v>
      </c>
      <c r="S133" s="697" t="s">
        <v>310</v>
      </c>
      <c r="T133" s="697" t="s">
        <v>310</v>
      </c>
    </row>
    <row r="134" spans="1:20" ht="24" x14ac:dyDescent="0.2">
      <c r="A134" s="432">
        <f>IF(B134="","",COUNT('Diário 1º PA'!$A$4:$A$2635)+COUNT('Diário 2º PA'!$A$4:$A$3040)+COUNT('Diário 3º PA'!$A$4:$A$2731)+ROW()-3)</f>
        <v>6159</v>
      </c>
      <c r="B134" s="413">
        <v>44840</v>
      </c>
      <c r="C134" s="424">
        <v>44835</v>
      </c>
      <c r="D134" s="419" t="s">
        <v>271</v>
      </c>
      <c r="E134" s="419" t="s">
        <v>71</v>
      </c>
      <c r="F134" s="422">
        <v>11</v>
      </c>
      <c r="G134" s="419" t="s">
        <v>8709</v>
      </c>
      <c r="H134" s="419" t="s">
        <v>310</v>
      </c>
      <c r="I134" s="415" t="s">
        <v>881</v>
      </c>
      <c r="J134" s="419" t="s">
        <v>882</v>
      </c>
      <c r="K134" s="419" t="s">
        <v>883</v>
      </c>
      <c r="L134" s="415" t="s">
        <v>798</v>
      </c>
      <c r="M134" s="419" t="s">
        <v>310</v>
      </c>
      <c r="N134" s="413">
        <v>44840</v>
      </c>
      <c r="O134" s="414" t="s">
        <v>400</v>
      </c>
      <c r="P134" s="655">
        <f t="shared" si="6"/>
        <v>10</v>
      </c>
      <c r="Q134" s="655">
        <f t="shared" si="7"/>
        <v>10</v>
      </c>
      <c r="R134" s="758" t="str">
        <f t="shared" si="8"/>
        <v>Gastos_Gerais</v>
      </c>
      <c r="S134" s="697" t="s">
        <v>310</v>
      </c>
      <c r="T134" s="697" t="s">
        <v>310</v>
      </c>
    </row>
    <row r="135" spans="1:20" ht="24" x14ac:dyDescent="0.2">
      <c r="A135" s="432">
        <f>IF(B135="","",COUNT('Diário 1º PA'!$A$4:$A$2635)+COUNT('Diário 2º PA'!$A$4:$A$3040)+COUNT('Diário 3º PA'!$A$4:$A$2731)+ROW()-3)</f>
        <v>6160</v>
      </c>
      <c r="B135" s="413">
        <v>44840</v>
      </c>
      <c r="C135" s="424">
        <v>44835</v>
      </c>
      <c r="D135" s="419" t="s">
        <v>271</v>
      </c>
      <c r="E135" s="419" t="s">
        <v>71</v>
      </c>
      <c r="F135" s="422">
        <v>11</v>
      </c>
      <c r="G135" s="419" t="s">
        <v>8709</v>
      </c>
      <c r="H135" s="419" t="s">
        <v>310</v>
      </c>
      <c r="I135" s="415" t="s">
        <v>881</v>
      </c>
      <c r="J135" s="419" t="s">
        <v>882</v>
      </c>
      <c r="K135" s="419" t="s">
        <v>883</v>
      </c>
      <c r="L135" s="415" t="s">
        <v>798</v>
      </c>
      <c r="M135" s="419" t="s">
        <v>310</v>
      </c>
      <c r="N135" s="413">
        <v>44840</v>
      </c>
      <c r="O135" s="414" t="s">
        <v>400</v>
      </c>
      <c r="P135" s="655">
        <f t="shared" si="6"/>
        <v>10</v>
      </c>
      <c r="Q135" s="655">
        <f t="shared" si="7"/>
        <v>10</v>
      </c>
      <c r="R135" s="758" t="str">
        <f t="shared" si="8"/>
        <v>Gastos_Gerais</v>
      </c>
      <c r="S135" s="697" t="s">
        <v>310</v>
      </c>
      <c r="T135" s="697" t="s">
        <v>310</v>
      </c>
    </row>
    <row r="136" spans="1:20" ht="24" x14ac:dyDescent="0.2">
      <c r="A136" s="432">
        <f>IF(B136="","",COUNT('Diário 1º PA'!$A$4:$A$2635)+COUNT('Diário 2º PA'!$A$4:$A$3040)+COUNT('Diário 3º PA'!$A$4:$A$2731)+ROW()-3)</f>
        <v>6161</v>
      </c>
      <c r="B136" s="413">
        <v>44840</v>
      </c>
      <c r="C136" s="424">
        <v>44835</v>
      </c>
      <c r="D136" s="419" t="s">
        <v>271</v>
      </c>
      <c r="E136" s="419" t="s">
        <v>71</v>
      </c>
      <c r="F136" s="422">
        <v>11</v>
      </c>
      <c r="G136" s="419" t="s">
        <v>8709</v>
      </c>
      <c r="H136" s="419" t="s">
        <v>310</v>
      </c>
      <c r="I136" s="415" t="s">
        <v>881</v>
      </c>
      <c r="J136" s="419" t="s">
        <v>882</v>
      </c>
      <c r="K136" s="419" t="s">
        <v>883</v>
      </c>
      <c r="L136" s="415" t="s">
        <v>798</v>
      </c>
      <c r="M136" s="419" t="s">
        <v>310</v>
      </c>
      <c r="N136" s="413">
        <v>44840</v>
      </c>
      <c r="O136" s="414" t="s">
        <v>400</v>
      </c>
      <c r="P136" s="655">
        <f t="shared" si="6"/>
        <v>10</v>
      </c>
      <c r="Q136" s="655">
        <f t="shared" si="7"/>
        <v>10</v>
      </c>
      <c r="R136" s="758" t="str">
        <f t="shared" si="8"/>
        <v>Gastos_Gerais</v>
      </c>
      <c r="S136" s="697" t="s">
        <v>310</v>
      </c>
      <c r="T136" s="697" t="s">
        <v>310</v>
      </c>
    </row>
    <row r="137" spans="1:20" ht="24" x14ac:dyDescent="0.2">
      <c r="A137" s="432">
        <f>IF(B137="","",COUNT('Diário 1º PA'!$A$4:$A$2635)+COUNT('Diário 2º PA'!$A$4:$A$3040)+COUNT('Diário 3º PA'!$A$4:$A$2731)+ROW()-3)</f>
        <v>6162</v>
      </c>
      <c r="B137" s="413">
        <v>44840</v>
      </c>
      <c r="C137" s="424">
        <v>44835</v>
      </c>
      <c r="D137" s="419" t="s">
        <v>271</v>
      </c>
      <c r="E137" s="419" t="s">
        <v>71</v>
      </c>
      <c r="F137" s="422">
        <v>11</v>
      </c>
      <c r="G137" s="419" t="s">
        <v>8709</v>
      </c>
      <c r="H137" s="419" t="s">
        <v>310</v>
      </c>
      <c r="I137" s="434" t="s">
        <v>881</v>
      </c>
      <c r="J137" s="434" t="s">
        <v>882</v>
      </c>
      <c r="K137" s="434" t="s">
        <v>883</v>
      </c>
      <c r="L137" s="434" t="s">
        <v>798</v>
      </c>
      <c r="M137" s="419" t="s">
        <v>310</v>
      </c>
      <c r="N137" s="413">
        <v>44840</v>
      </c>
      <c r="O137" s="414" t="s">
        <v>400</v>
      </c>
      <c r="P137" s="655">
        <f t="shared" si="6"/>
        <v>10</v>
      </c>
      <c r="Q137" s="655">
        <f t="shared" si="7"/>
        <v>10</v>
      </c>
      <c r="R137" s="758" t="str">
        <f t="shared" si="8"/>
        <v>Gastos_Gerais</v>
      </c>
      <c r="S137" s="697" t="s">
        <v>310</v>
      </c>
      <c r="T137" s="697" t="s">
        <v>310</v>
      </c>
    </row>
    <row r="138" spans="1:20" ht="24" x14ac:dyDescent="0.2">
      <c r="A138" s="432">
        <f>IF(B138="","",COUNT('Diário 1º PA'!$A$4:$A$2635)+COUNT('Diário 2º PA'!$A$4:$A$3040)+COUNT('Diário 3º PA'!$A$4:$A$2731)+ROW()-3)</f>
        <v>6163</v>
      </c>
      <c r="B138" s="413">
        <v>44840</v>
      </c>
      <c r="C138" s="424">
        <v>44835</v>
      </c>
      <c r="D138" s="419" t="s">
        <v>271</v>
      </c>
      <c r="E138" s="419" t="s">
        <v>71</v>
      </c>
      <c r="F138" s="422">
        <v>11</v>
      </c>
      <c r="G138" s="419" t="s">
        <v>8709</v>
      </c>
      <c r="H138" s="419" t="s">
        <v>310</v>
      </c>
      <c r="I138" s="415" t="s">
        <v>881</v>
      </c>
      <c r="J138" s="419" t="s">
        <v>882</v>
      </c>
      <c r="K138" s="419" t="s">
        <v>883</v>
      </c>
      <c r="L138" s="415" t="s">
        <v>798</v>
      </c>
      <c r="M138" s="419" t="s">
        <v>310</v>
      </c>
      <c r="N138" s="413">
        <v>44840</v>
      </c>
      <c r="O138" s="414" t="s">
        <v>400</v>
      </c>
      <c r="P138" s="655">
        <f t="shared" si="6"/>
        <v>10</v>
      </c>
      <c r="Q138" s="655">
        <f t="shared" si="7"/>
        <v>10</v>
      </c>
      <c r="R138" s="758" t="str">
        <f t="shared" si="8"/>
        <v>Gastos_Gerais</v>
      </c>
      <c r="S138" s="697" t="s">
        <v>310</v>
      </c>
      <c r="T138" s="697" t="s">
        <v>310</v>
      </c>
    </row>
    <row r="139" spans="1:20" ht="24" x14ac:dyDescent="0.2">
      <c r="A139" s="432">
        <f>IF(B139="","",COUNT('Diário 1º PA'!$A$4:$A$2635)+COUNT('Diário 2º PA'!$A$4:$A$3040)+COUNT('Diário 3º PA'!$A$4:$A$2731)+ROW()-3)</f>
        <v>6164</v>
      </c>
      <c r="B139" s="413">
        <v>44840</v>
      </c>
      <c r="C139" s="424">
        <v>44835</v>
      </c>
      <c r="D139" s="419" t="s">
        <v>271</v>
      </c>
      <c r="E139" s="419" t="s">
        <v>71</v>
      </c>
      <c r="F139" s="422">
        <v>11</v>
      </c>
      <c r="G139" s="419" t="s">
        <v>8709</v>
      </c>
      <c r="H139" s="419" t="s">
        <v>310</v>
      </c>
      <c r="I139" s="415" t="s">
        <v>881</v>
      </c>
      <c r="J139" s="419" t="s">
        <v>882</v>
      </c>
      <c r="K139" s="419" t="s">
        <v>883</v>
      </c>
      <c r="L139" s="415" t="s">
        <v>798</v>
      </c>
      <c r="M139" s="419" t="s">
        <v>310</v>
      </c>
      <c r="N139" s="413">
        <v>44840</v>
      </c>
      <c r="O139" s="414" t="s">
        <v>400</v>
      </c>
      <c r="P139" s="655">
        <f t="shared" si="6"/>
        <v>10</v>
      </c>
      <c r="Q139" s="655">
        <f t="shared" si="7"/>
        <v>10</v>
      </c>
      <c r="R139" s="758" t="str">
        <f t="shared" si="8"/>
        <v>Gastos_Gerais</v>
      </c>
      <c r="S139" s="697" t="s">
        <v>310</v>
      </c>
      <c r="T139" s="697" t="s">
        <v>310</v>
      </c>
    </row>
    <row r="140" spans="1:20" ht="24" x14ac:dyDescent="0.2">
      <c r="A140" s="432">
        <f>IF(B140="","",COUNT('Diário 1º PA'!$A$4:$A$2635)+COUNT('Diário 2º PA'!$A$4:$A$3040)+COUNT('Diário 3º PA'!$A$4:$A$2731)+ROW()-3)</f>
        <v>6165</v>
      </c>
      <c r="B140" s="413">
        <v>44840</v>
      </c>
      <c r="C140" s="424">
        <v>44835</v>
      </c>
      <c r="D140" s="419" t="s">
        <v>271</v>
      </c>
      <c r="E140" s="419" t="s">
        <v>71</v>
      </c>
      <c r="F140" s="422">
        <v>11</v>
      </c>
      <c r="G140" s="419" t="s">
        <v>8709</v>
      </c>
      <c r="H140" s="419" t="s">
        <v>310</v>
      </c>
      <c r="I140" s="415" t="s">
        <v>881</v>
      </c>
      <c r="J140" s="419" t="s">
        <v>882</v>
      </c>
      <c r="K140" s="419" t="s">
        <v>883</v>
      </c>
      <c r="L140" s="415" t="s">
        <v>798</v>
      </c>
      <c r="M140" s="419" t="s">
        <v>310</v>
      </c>
      <c r="N140" s="413">
        <v>44840</v>
      </c>
      <c r="O140" s="414" t="s">
        <v>400</v>
      </c>
      <c r="P140" s="655">
        <f t="shared" si="6"/>
        <v>10</v>
      </c>
      <c r="Q140" s="655">
        <f t="shared" si="7"/>
        <v>10</v>
      </c>
      <c r="R140" s="758" t="str">
        <f t="shared" si="8"/>
        <v>Gastos_Gerais</v>
      </c>
      <c r="S140" s="697" t="s">
        <v>310</v>
      </c>
      <c r="T140" s="697" t="s">
        <v>310</v>
      </c>
    </row>
    <row r="141" spans="1:20" ht="24" x14ac:dyDescent="0.2">
      <c r="A141" s="432">
        <f>IF(B141="","",COUNT('Diário 1º PA'!$A$4:$A$2635)+COUNT('Diário 2º PA'!$A$4:$A$3040)+COUNT('Diário 3º PA'!$A$4:$A$2731)+ROW()-3)</f>
        <v>6166</v>
      </c>
      <c r="B141" s="413">
        <v>44840</v>
      </c>
      <c r="C141" s="424">
        <v>44835</v>
      </c>
      <c r="D141" s="419" t="s">
        <v>271</v>
      </c>
      <c r="E141" s="419" t="s">
        <v>71</v>
      </c>
      <c r="F141" s="422">
        <v>11</v>
      </c>
      <c r="G141" s="419" t="s">
        <v>8709</v>
      </c>
      <c r="H141" s="419" t="s">
        <v>310</v>
      </c>
      <c r="I141" s="415" t="s">
        <v>881</v>
      </c>
      <c r="J141" s="419" t="s">
        <v>882</v>
      </c>
      <c r="K141" s="419" t="s">
        <v>883</v>
      </c>
      <c r="L141" s="415" t="s">
        <v>798</v>
      </c>
      <c r="M141" s="419" t="s">
        <v>310</v>
      </c>
      <c r="N141" s="413">
        <v>44840</v>
      </c>
      <c r="O141" s="414" t="s">
        <v>400</v>
      </c>
      <c r="P141" s="655">
        <f t="shared" si="6"/>
        <v>10</v>
      </c>
      <c r="Q141" s="655">
        <f t="shared" si="7"/>
        <v>10</v>
      </c>
      <c r="R141" s="758" t="str">
        <f t="shared" si="8"/>
        <v>Gastos_Gerais</v>
      </c>
      <c r="S141" s="697" t="s">
        <v>310</v>
      </c>
      <c r="T141" s="697" t="s">
        <v>310</v>
      </c>
    </row>
    <row r="142" spans="1:20" ht="24" x14ac:dyDescent="0.2">
      <c r="A142" s="432">
        <f>IF(B142="","",COUNT('Diário 1º PA'!$A$4:$A$2635)+COUNT('Diário 2º PA'!$A$4:$A$3040)+COUNT('Diário 3º PA'!$A$4:$A$2731)+ROW()-3)</f>
        <v>6167</v>
      </c>
      <c r="B142" s="413">
        <v>44840</v>
      </c>
      <c r="C142" s="424">
        <v>44835</v>
      </c>
      <c r="D142" s="419" t="s">
        <v>271</v>
      </c>
      <c r="E142" s="419" t="s">
        <v>71</v>
      </c>
      <c r="F142" s="422">
        <v>11</v>
      </c>
      <c r="G142" s="419" t="s">
        <v>8709</v>
      </c>
      <c r="H142" s="419" t="s">
        <v>310</v>
      </c>
      <c r="I142" s="415" t="s">
        <v>881</v>
      </c>
      <c r="J142" s="419" t="s">
        <v>882</v>
      </c>
      <c r="K142" s="419" t="s">
        <v>883</v>
      </c>
      <c r="L142" s="415" t="s">
        <v>798</v>
      </c>
      <c r="M142" s="419" t="s">
        <v>310</v>
      </c>
      <c r="N142" s="413">
        <v>44840</v>
      </c>
      <c r="O142" s="414" t="s">
        <v>400</v>
      </c>
      <c r="P142" s="655">
        <f t="shared" si="6"/>
        <v>10</v>
      </c>
      <c r="Q142" s="655">
        <f t="shared" si="7"/>
        <v>10</v>
      </c>
      <c r="R142" s="758" t="str">
        <f t="shared" si="8"/>
        <v>Gastos_Gerais</v>
      </c>
      <c r="S142" s="697" t="s">
        <v>310</v>
      </c>
      <c r="T142" s="697" t="s">
        <v>310</v>
      </c>
    </row>
    <row r="143" spans="1:20" ht="24" x14ac:dyDescent="0.2">
      <c r="A143" s="432">
        <f>IF(B143="","",COUNT('Diário 1º PA'!$A$4:$A$2635)+COUNT('Diário 2º PA'!$A$4:$A$3040)+COUNT('Diário 3º PA'!$A$4:$A$2731)+ROW()-3)</f>
        <v>6168</v>
      </c>
      <c r="B143" s="413">
        <v>44840</v>
      </c>
      <c r="C143" s="424">
        <v>44835</v>
      </c>
      <c r="D143" s="419" t="s">
        <v>271</v>
      </c>
      <c r="E143" s="419" t="s">
        <v>71</v>
      </c>
      <c r="F143" s="422">
        <v>11</v>
      </c>
      <c r="G143" s="419" t="s">
        <v>8709</v>
      </c>
      <c r="H143" s="419" t="s">
        <v>310</v>
      </c>
      <c r="I143" s="415" t="s">
        <v>881</v>
      </c>
      <c r="J143" s="419" t="s">
        <v>882</v>
      </c>
      <c r="K143" s="419" t="s">
        <v>883</v>
      </c>
      <c r="L143" s="415" t="s">
        <v>798</v>
      </c>
      <c r="M143" s="419" t="s">
        <v>310</v>
      </c>
      <c r="N143" s="413">
        <v>44840</v>
      </c>
      <c r="O143" s="414" t="s">
        <v>400</v>
      </c>
      <c r="P143" s="655">
        <f t="shared" si="6"/>
        <v>10</v>
      </c>
      <c r="Q143" s="655">
        <f t="shared" si="7"/>
        <v>10</v>
      </c>
      <c r="R143" s="758" t="str">
        <f t="shared" si="8"/>
        <v>Gastos_Gerais</v>
      </c>
      <c r="S143" s="697" t="s">
        <v>310</v>
      </c>
      <c r="T143" s="697" t="s">
        <v>310</v>
      </c>
    </row>
    <row r="144" spans="1:20" ht="24" x14ac:dyDescent="0.2">
      <c r="A144" s="432">
        <f>IF(B144="","",COUNT('Diário 1º PA'!$A$4:$A$2635)+COUNT('Diário 2º PA'!$A$4:$A$3040)+COUNT('Diário 3º PA'!$A$4:$A$2731)+ROW()-3)</f>
        <v>6169</v>
      </c>
      <c r="B144" s="413">
        <v>44840</v>
      </c>
      <c r="C144" s="424">
        <v>44835</v>
      </c>
      <c r="D144" s="419" t="s">
        <v>271</v>
      </c>
      <c r="E144" s="419" t="s">
        <v>71</v>
      </c>
      <c r="F144" s="422">
        <v>11</v>
      </c>
      <c r="G144" s="419" t="s">
        <v>8709</v>
      </c>
      <c r="H144" s="419" t="s">
        <v>310</v>
      </c>
      <c r="I144" s="415" t="s">
        <v>881</v>
      </c>
      <c r="J144" s="419" t="s">
        <v>882</v>
      </c>
      <c r="K144" s="419" t="s">
        <v>883</v>
      </c>
      <c r="L144" s="415" t="s">
        <v>798</v>
      </c>
      <c r="M144" s="419" t="s">
        <v>310</v>
      </c>
      <c r="N144" s="413">
        <v>44840</v>
      </c>
      <c r="O144" s="414" t="s">
        <v>400</v>
      </c>
      <c r="P144" s="655">
        <f t="shared" si="6"/>
        <v>10</v>
      </c>
      <c r="Q144" s="655">
        <f t="shared" si="7"/>
        <v>10</v>
      </c>
      <c r="R144" s="758" t="str">
        <f t="shared" si="8"/>
        <v>Gastos_Gerais</v>
      </c>
      <c r="S144" s="697" t="s">
        <v>310</v>
      </c>
      <c r="T144" s="697" t="s">
        <v>310</v>
      </c>
    </row>
    <row r="145" spans="1:20" ht="24" x14ac:dyDescent="0.2">
      <c r="A145" s="432">
        <f>IF(B145="","",COUNT('Diário 1º PA'!$A$4:$A$2635)+COUNT('Diário 2º PA'!$A$4:$A$3040)+COUNT('Diário 3º PA'!$A$4:$A$2731)+ROW()-3)</f>
        <v>6170</v>
      </c>
      <c r="B145" s="413">
        <v>44840</v>
      </c>
      <c r="C145" s="424">
        <v>44835</v>
      </c>
      <c r="D145" s="419" t="s">
        <v>271</v>
      </c>
      <c r="E145" s="419" t="s">
        <v>71</v>
      </c>
      <c r="F145" s="422">
        <v>11</v>
      </c>
      <c r="G145" s="419" t="s">
        <v>8709</v>
      </c>
      <c r="H145" s="419" t="s">
        <v>310</v>
      </c>
      <c r="I145" s="415" t="s">
        <v>881</v>
      </c>
      <c r="J145" s="419" t="s">
        <v>882</v>
      </c>
      <c r="K145" s="419" t="s">
        <v>883</v>
      </c>
      <c r="L145" s="415" t="s">
        <v>798</v>
      </c>
      <c r="M145" s="419" t="s">
        <v>310</v>
      </c>
      <c r="N145" s="413">
        <v>44840</v>
      </c>
      <c r="O145" s="414" t="s">
        <v>400</v>
      </c>
      <c r="P145" s="655">
        <f t="shared" si="6"/>
        <v>10</v>
      </c>
      <c r="Q145" s="655">
        <f t="shared" si="7"/>
        <v>10</v>
      </c>
      <c r="R145" s="758" t="str">
        <f t="shared" si="8"/>
        <v>Gastos_Gerais</v>
      </c>
      <c r="S145" s="697" t="s">
        <v>310</v>
      </c>
      <c r="T145" s="697" t="s">
        <v>310</v>
      </c>
    </row>
    <row r="146" spans="1:20" ht="24" x14ac:dyDescent="0.2">
      <c r="A146" s="432">
        <f>IF(B146="","",COUNT('Diário 1º PA'!$A$4:$A$2635)+COUNT('Diário 2º PA'!$A$4:$A$3040)+COUNT('Diário 3º PA'!$A$4:$A$2731)+ROW()-3)</f>
        <v>6171</v>
      </c>
      <c r="B146" s="413">
        <v>44840</v>
      </c>
      <c r="C146" s="424">
        <v>44835</v>
      </c>
      <c r="D146" s="419" t="s">
        <v>271</v>
      </c>
      <c r="E146" s="419" t="s">
        <v>71</v>
      </c>
      <c r="F146" s="422">
        <v>11</v>
      </c>
      <c r="G146" s="419" t="s">
        <v>8709</v>
      </c>
      <c r="H146" s="419" t="s">
        <v>310</v>
      </c>
      <c r="I146" s="415" t="s">
        <v>881</v>
      </c>
      <c r="J146" s="419" t="s">
        <v>882</v>
      </c>
      <c r="K146" s="419" t="s">
        <v>883</v>
      </c>
      <c r="L146" s="415" t="s">
        <v>798</v>
      </c>
      <c r="M146" s="419" t="s">
        <v>310</v>
      </c>
      <c r="N146" s="413">
        <v>44840</v>
      </c>
      <c r="O146" s="414" t="s">
        <v>400</v>
      </c>
      <c r="P146" s="655">
        <f t="shared" si="6"/>
        <v>10</v>
      </c>
      <c r="Q146" s="655">
        <f t="shared" si="7"/>
        <v>10</v>
      </c>
      <c r="R146" s="758" t="str">
        <f t="shared" si="8"/>
        <v>Gastos_Gerais</v>
      </c>
      <c r="S146" s="697" t="s">
        <v>310</v>
      </c>
      <c r="T146" s="697" t="s">
        <v>310</v>
      </c>
    </row>
    <row r="147" spans="1:20" ht="24" x14ac:dyDescent="0.2">
      <c r="A147" s="432">
        <f>IF(B147="","",COUNT('Diário 1º PA'!$A$4:$A$2635)+COUNT('Diário 2º PA'!$A$4:$A$3040)+COUNT('Diário 3º PA'!$A$4:$A$2731)+ROW()-3)</f>
        <v>6172</v>
      </c>
      <c r="B147" s="413">
        <v>44840</v>
      </c>
      <c r="C147" s="424">
        <v>44835</v>
      </c>
      <c r="D147" s="419" t="s">
        <v>271</v>
      </c>
      <c r="E147" s="419" t="s">
        <v>71</v>
      </c>
      <c r="F147" s="422">
        <v>11</v>
      </c>
      <c r="G147" s="419" t="s">
        <v>8709</v>
      </c>
      <c r="H147" s="419" t="s">
        <v>310</v>
      </c>
      <c r="I147" s="415" t="s">
        <v>881</v>
      </c>
      <c r="J147" s="419" t="s">
        <v>882</v>
      </c>
      <c r="K147" s="419" t="s">
        <v>883</v>
      </c>
      <c r="L147" s="415" t="s">
        <v>798</v>
      </c>
      <c r="M147" s="419" t="s">
        <v>310</v>
      </c>
      <c r="N147" s="413">
        <v>44840</v>
      </c>
      <c r="O147" s="414" t="s">
        <v>400</v>
      </c>
      <c r="P147" s="655">
        <f t="shared" si="6"/>
        <v>10</v>
      </c>
      <c r="Q147" s="655">
        <f t="shared" si="7"/>
        <v>10</v>
      </c>
      <c r="R147" s="758" t="str">
        <f t="shared" si="8"/>
        <v>Gastos_Gerais</v>
      </c>
      <c r="S147" s="697" t="s">
        <v>310</v>
      </c>
      <c r="T147" s="697" t="s">
        <v>310</v>
      </c>
    </row>
    <row r="148" spans="1:20" ht="24" x14ac:dyDescent="0.2">
      <c r="A148" s="432">
        <f>IF(B148="","",COUNT('Diário 1º PA'!$A$4:$A$2635)+COUNT('Diário 2º PA'!$A$4:$A$3040)+COUNT('Diário 3º PA'!$A$4:$A$2731)+ROW()-3)</f>
        <v>6173</v>
      </c>
      <c r="B148" s="413">
        <v>44840</v>
      </c>
      <c r="C148" s="424">
        <v>44835</v>
      </c>
      <c r="D148" s="419" t="s">
        <v>271</v>
      </c>
      <c r="E148" s="419" t="s">
        <v>71</v>
      </c>
      <c r="F148" s="422">
        <v>11</v>
      </c>
      <c r="G148" s="419" t="s">
        <v>8709</v>
      </c>
      <c r="H148" s="419" t="s">
        <v>310</v>
      </c>
      <c r="I148" s="415" t="s">
        <v>881</v>
      </c>
      <c r="J148" s="419" t="s">
        <v>882</v>
      </c>
      <c r="K148" s="419" t="s">
        <v>883</v>
      </c>
      <c r="L148" s="415" t="s">
        <v>798</v>
      </c>
      <c r="M148" s="419" t="s">
        <v>310</v>
      </c>
      <c r="N148" s="413">
        <v>44840</v>
      </c>
      <c r="O148" s="414" t="s">
        <v>400</v>
      </c>
      <c r="P148" s="655">
        <f t="shared" si="6"/>
        <v>10</v>
      </c>
      <c r="Q148" s="655">
        <f t="shared" si="7"/>
        <v>10</v>
      </c>
      <c r="R148" s="758" t="str">
        <f t="shared" si="8"/>
        <v>Gastos_Gerais</v>
      </c>
      <c r="S148" s="697" t="s">
        <v>310</v>
      </c>
      <c r="T148" s="697" t="s">
        <v>310</v>
      </c>
    </row>
    <row r="149" spans="1:20" ht="24" x14ac:dyDescent="0.2">
      <c r="A149" s="432">
        <f>IF(B149="","",COUNT('Diário 1º PA'!$A$4:$A$2635)+COUNT('Diário 2º PA'!$A$4:$A$3040)+COUNT('Diário 3º PA'!$A$4:$A$2731)+ROW()-3)</f>
        <v>6174</v>
      </c>
      <c r="B149" s="413">
        <v>44840</v>
      </c>
      <c r="C149" s="424">
        <v>44835</v>
      </c>
      <c r="D149" s="419" t="s">
        <v>271</v>
      </c>
      <c r="E149" s="419" t="s">
        <v>71</v>
      </c>
      <c r="F149" s="422">
        <v>11</v>
      </c>
      <c r="G149" s="419" t="s">
        <v>8709</v>
      </c>
      <c r="H149" s="419" t="s">
        <v>310</v>
      </c>
      <c r="I149" s="415" t="s">
        <v>881</v>
      </c>
      <c r="J149" s="419" t="s">
        <v>882</v>
      </c>
      <c r="K149" s="419" t="s">
        <v>883</v>
      </c>
      <c r="L149" s="415" t="s">
        <v>798</v>
      </c>
      <c r="M149" s="419" t="s">
        <v>310</v>
      </c>
      <c r="N149" s="413">
        <v>44840</v>
      </c>
      <c r="O149" s="414" t="s">
        <v>400</v>
      </c>
      <c r="P149" s="655">
        <f t="shared" si="6"/>
        <v>10</v>
      </c>
      <c r="Q149" s="655">
        <f t="shared" si="7"/>
        <v>10</v>
      </c>
      <c r="R149" s="758" t="str">
        <f t="shared" si="8"/>
        <v>Gastos_Gerais</v>
      </c>
      <c r="S149" s="697" t="s">
        <v>310</v>
      </c>
      <c r="T149" s="697" t="s">
        <v>310</v>
      </c>
    </row>
    <row r="150" spans="1:20" ht="24" x14ac:dyDescent="0.2">
      <c r="A150" s="432">
        <f>IF(B150="","",COUNT('Diário 1º PA'!$A$4:$A$2635)+COUNT('Diário 2º PA'!$A$4:$A$3040)+COUNT('Diário 3º PA'!$A$4:$A$2731)+ROW()-3)</f>
        <v>6175</v>
      </c>
      <c r="B150" s="413">
        <v>44840</v>
      </c>
      <c r="C150" s="424">
        <v>44835</v>
      </c>
      <c r="D150" s="419" t="s">
        <v>271</v>
      </c>
      <c r="E150" s="419" t="s">
        <v>71</v>
      </c>
      <c r="F150" s="422">
        <v>11</v>
      </c>
      <c r="G150" s="419" t="s">
        <v>8709</v>
      </c>
      <c r="H150" s="419" t="s">
        <v>310</v>
      </c>
      <c r="I150" s="415" t="s">
        <v>881</v>
      </c>
      <c r="J150" s="419" t="s">
        <v>882</v>
      </c>
      <c r="K150" s="419" t="s">
        <v>883</v>
      </c>
      <c r="L150" s="415" t="s">
        <v>798</v>
      </c>
      <c r="M150" s="419" t="s">
        <v>310</v>
      </c>
      <c r="N150" s="413">
        <v>44840</v>
      </c>
      <c r="O150" s="414" t="s">
        <v>400</v>
      </c>
      <c r="P150" s="655">
        <f t="shared" si="6"/>
        <v>10</v>
      </c>
      <c r="Q150" s="655">
        <f t="shared" si="7"/>
        <v>10</v>
      </c>
      <c r="R150" s="758" t="str">
        <f t="shared" si="8"/>
        <v>Gastos_Gerais</v>
      </c>
      <c r="S150" s="697" t="s">
        <v>310</v>
      </c>
      <c r="T150" s="697" t="s">
        <v>310</v>
      </c>
    </row>
    <row r="151" spans="1:20" ht="24" x14ac:dyDescent="0.2">
      <c r="A151" s="432">
        <f>IF(B151="","",COUNT('Diário 1º PA'!$A$4:$A$2635)+COUNT('Diário 2º PA'!$A$4:$A$3040)+COUNT('Diário 3º PA'!$A$4:$A$2731)+ROW()-3)</f>
        <v>6176</v>
      </c>
      <c r="B151" s="413">
        <v>44840</v>
      </c>
      <c r="C151" s="424">
        <v>44835</v>
      </c>
      <c r="D151" s="419" t="s">
        <v>271</v>
      </c>
      <c r="E151" s="419" t="s">
        <v>71</v>
      </c>
      <c r="F151" s="422">
        <v>11</v>
      </c>
      <c r="G151" s="419" t="s">
        <v>8709</v>
      </c>
      <c r="H151" s="419" t="s">
        <v>310</v>
      </c>
      <c r="I151" s="415" t="s">
        <v>881</v>
      </c>
      <c r="J151" s="419" t="s">
        <v>882</v>
      </c>
      <c r="K151" s="419" t="s">
        <v>883</v>
      </c>
      <c r="L151" s="415" t="s">
        <v>798</v>
      </c>
      <c r="M151" s="419" t="s">
        <v>310</v>
      </c>
      <c r="N151" s="413">
        <v>44840</v>
      </c>
      <c r="O151" s="414" t="s">
        <v>400</v>
      </c>
      <c r="P151" s="655">
        <f t="shared" si="6"/>
        <v>10</v>
      </c>
      <c r="Q151" s="655">
        <f t="shared" si="7"/>
        <v>10</v>
      </c>
      <c r="R151" s="758" t="str">
        <f t="shared" si="8"/>
        <v>Gastos_Gerais</v>
      </c>
      <c r="S151" s="697" t="s">
        <v>310</v>
      </c>
      <c r="T151" s="697" t="s">
        <v>310</v>
      </c>
    </row>
    <row r="152" spans="1:20" ht="24" x14ac:dyDescent="0.2">
      <c r="A152" s="432">
        <f>IF(B152="","",COUNT('Diário 1º PA'!$A$4:$A$2635)+COUNT('Diário 2º PA'!$A$4:$A$3040)+COUNT('Diário 3º PA'!$A$4:$A$2731)+ROW()-3)</f>
        <v>6177</v>
      </c>
      <c r="B152" s="413">
        <v>44840</v>
      </c>
      <c r="C152" s="424">
        <v>44835</v>
      </c>
      <c r="D152" s="419" t="s">
        <v>271</v>
      </c>
      <c r="E152" s="419" t="s">
        <v>71</v>
      </c>
      <c r="F152" s="422">
        <v>11</v>
      </c>
      <c r="G152" s="419" t="s">
        <v>8709</v>
      </c>
      <c r="H152" s="419" t="s">
        <v>310</v>
      </c>
      <c r="I152" s="415" t="s">
        <v>881</v>
      </c>
      <c r="J152" s="419" t="s">
        <v>882</v>
      </c>
      <c r="K152" s="419" t="s">
        <v>883</v>
      </c>
      <c r="L152" s="415" t="s">
        <v>798</v>
      </c>
      <c r="M152" s="419" t="s">
        <v>310</v>
      </c>
      <c r="N152" s="413">
        <v>44840</v>
      </c>
      <c r="O152" s="414" t="s">
        <v>400</v>
      </c>
      <c r="P152" s="655">
        <f t="shared" si="6"/>
        <v>10</v>
      </c>
      <c r="Q152" s="655">
        <f t="shared" si="7"/>
        <v>10</v>
      </c>
      <c r="R152" s="758" t="str">
        <f t="shared" si="8"/>
        <v>Gastos_Gerais</v>
      </c>
      <c r="S152" s="697" t="s">
        <v>310</v>
      </c>
      <c r="T152" s="697" t="s">
        <v>310</v>
      </c>
    </row>
    <row r="153" spans="1:20" ht="24" x14ac:dyDescent="0.2">
      <c r="A153" s="432">
        <f>IF(B153="","",COUNT('Diário 1º PA'!$A$4:$A$2635)+COUNT('Diário 2º PA'!$A$4:$A$3040)+COUNT('Diário 3º PA'!$A$4:$A$2731)+ROW()-3)</f>
        <v>6178</v>
      </c>
      <c r="B153" s="413">
        <v>44840</v>
      </c>
      <c r="C153" s="424">
        <v>44835</v>
      </c>
      <c r="D153" s="419" t="s">
        <v>271</v>
      </c>
      <c r="E153" s="419" t="s">
        <v>71</v>
      </c>
      <c r="F153" s="422">
        <v>11</v>
      </c>
      <c r="G153" s="419" t="s">
        <v>8709</v>
      </c>
      <c r="H153" s="419" t="s">
        <v>310</v>
      </c>
      <c r="I153" s="415" t="s">
        <v>881</v>
      </c>
      <c r="J153" s="419" t="s">
        <v>882</v>
      </c>
      <c r="K153" s="419" t="s">
        <v>883</v>
      </c>
      <c r="L153" s="415" t="s">
        <v>798</v>
      </c>
      <c r="M153" s="419" t="s">
        <v>310</v>
      </c>
      <c r="N153" s="413">
        <v>44840</v>
      </c>
      <c r="O153" s="414" t="s">
        <v>400</v>
      </c>
      <c r="P153" s="655">
        <f t="shared" si="6"/>
        <v>10</v>
      </c>
      <c r="Q153" s="655">
        <f t="shared" si="7"/>
        <v>10</v>
      </c>
      <c r="R153" s="758" t="str">
        <f t="shared" si="8"/>
        <v>Gastos_Gerais</v>
      </c>
      <c r="S153" s="697" t="s">
        <v>310</v>
      </c>
      <c r="T153" s="697" t="s">
        <v>310</v>
      </c>
    </row>
    <row r="154" spans="1:20" ht="24" x14ac:dyDescent="0.2">
      <c r="A154" s="432">
        <f>IF(B154="","",COUNT('Diário 1º PA'!$A$4:$A$2635)+COUNT('Diário 2º PA'!$A$4:$A$3040)+COUNT('Diário 3º PA'!$A$4:$A$2731)+ROW()-3)</f>
        <v>6179</v>
      </c>
      <c r="B154" s="413">
        <v>44840</v>
      </c>
      <c r="C154" s="424">
        <v>44835</v>
      </c>
      <c r="D154" s="419" t="s">
        <v>271</v>
      </c>
      <c r="E154" s="419" t="s">
        <v>71</v>
      </c>
      <c r="F154" s="422">
        <v>11</v>
      </c>
      <c r="G154" s="419" t="s">
        <v>8709</v>
      </c>
      <c r="H154" s="419" t="s">
        <v>310</v>
      </c>
      <c r="I154" s="415" t="s">
        <v>881</v>
      </c>
      <c r="J154" s="415" t="s">
        <v>882</v>
      </c>
      <c r="K154" s="419" t="s">
        <v>883</v>
      </c>
      <c r="L154" s="415" t="s">
        <v>798</v>
      </c>
      <c r="M154" s="419" t="s">
        <v>310</v>
      </c>
      <c r="N154" s="413">
        <v>44840</v>
      </c>
      <c r="O154" s="414" t="s">
        <v>400</v>
      </c>
      <c r="P154" s="655">
        <f t="shared" si="6"/>
        <v>10</v>
      </c>
      <c r="Q154" s="655">
        <f t="shared" si="7"/>
        <v>10</v>
      </c>
      <c r="R154" s="758" t="str">
        <f t="shared" si="8"/>
        <v>Gastos_Gerais</v>
      </c>
      <c r="S154" s="697" t="s">
        <v>310</v>
      </c>
      <c r="T154" s="697" t="s">
        <v>310</v>
      </c>
    </row>
    <row r="155" spans="1:20" ht="24" x14ac:dyDescent="0.2">
      <c r="A155" s="432">
        <f>IF(B155="","",COUNT('Diário 1º PA'!$A$4:$A$2635)+COUNT('Diário 2º PA'!$A$4:$A$3040)+COUNT('Diário 3º PA'!$A$4:$A$2731)+ROW()-3)</f>
        <v>6180</v>
      </c>
      <c r="B155" s="413">
        <v>44840</v>
      </c>
      <c r="C155" s="424">
        <v>44835</v>
      </c>
      <c r="D155" s="419" t="s">
        <v>271</v>
      </c>
      <c r="E155" s="419" t="s">
        <v>71</v>
      </c>
      <c r="F155" s="422">
        <v>11</v>
      </c>
      <c r="G155" s="419" t="s">
        <v>8709</v>
      </c>
      <c r="H155" s="419" t="s">
        <v>310</v>
      </c>
      <c r="I155" s="415" t="s">
        <v>881</v>
      </c>
      <c r="J155" s="419" t="s">
        <v>882</v>
      </c>
      <c r="K155" s="419" t="s">
        <v>883</v>
      </c>
      <c r="L155" s="415" t="s">
        <v>798</v>
      </c>
      <c r="M155" s="419" t="s">
        <v>310</v>
      </c>
      <c r="N155" s="413">
        <v>44840</v>
      </c>
      <c r="O155" s="414" t="s">
        <v>400</v>
      </c>
      <c r="P155" s="655">
        <f t="shared" si="6"/>
        <v>10</v>
      </c>
      <c r="Q155" s="655">
        <f t="shared" si="7"/>
        <v>10</v>
      </c>
      <c r="R155" s="758" t="str">
        <f t="shared" si="8"/>
        <v>Gastos_Gerais</v>
      </c>
      <c r="S155" s="697" t="s">
        <v>310</v>
      </c>
      <c r="T155" s="697" t="s">
        <v>310</v>
      </c>
    </row>
    <row r="156" spans="1:20" ht="24" x14ac:dyDescent="0.2">
      <c r="A156" s="432">
        <f>IF(B156="","",COUNT('Diário 1º PA'!$A$4:$A$2635)+COUNT('Diário 2º PA'!$A$4:$A$3040)+COUNT('Diário 3º PA'!$A$4:$A$2731)+ROW()-3)</f>
        <v>6181</v>
      </c>
      <c r="B156" s="413">
        <v>44840</v>
      </c>
      <c r="C156" s="424">
        <v>44835</v>
      </c>
      <c r="D156" s="419" t="s">
        <v>271</v>
      </c>
      <c r="E156" s="419" t="s">
        <v>71</v>
      </c>
      <c r="F156" s="422">
        <v>11</v>
      </c>
      <c r="G156" s="419" t="s">
        <v>8709</v>
      </c>
      <c r="H156" s="419" t="s">
        <v>310</v>
      </c>
      <c r="I156" s="415" t="s">
        <v>881</v>
      </c>
      <c r="J156" s="419" t="s">
        <v>882</v>
      </c>
      <c r="K156" s="419" t="s">
        <v>883</v>
      </c>
      <c r="L156" s="415" t="s">
        <v>798</v>
      </c>
      <c r="M156" s="419" t="s">
        <v>310</v>
      </c>
      <c r="N156" s="413">
        <v>44840</v>
      </c>
      <c r="O156" s="414" t="s">
        <v>400</v>
      </c>
      <c r="P156" s="655">
        <f t="shared" si="6"/>
        <v>10</v>
      </c>
      <c r="Q156" s="655">
        <f t="shared" si="7"/>
        <v>10</v>
      </c>
      <c r="R156" s="758" t="str">
        <f t="shared" si="8"/>
        <v>Gastos_Gerais</v>
      </c>
      <c r="S156" s="697" t="s">
        <v>310</v>
      </c>
      <c r="T156" s="697" t="s">
        <v>310</v>
      </c>
    </row>
    <row r="157" spans="1:20" ht="24" x14ac:dyDescent="0.2">
      <c r="A157" s="432">
        <f>IF(B157="","",COUNT('Diário 1º PA'!$A$4:$A$2635)+COUNT('Diário 2º PA'!$A$4:$A$3040)+COUNT('Diário 3º PA'!$A$4:$A$2731)+ROW()-3)</f>
        <v>6182</v>
      </c>
      <c r="B157" s="413">
        <v>44840</v>
      </c>
      <c r="C157" s="424">
        <v>44835</v>
      </c>
      <c r="D157" s="419" t="s">
        <v>271</v>
      </c>
      <c r="E157" s="419" t="s">
        <v>71</v>
      </c>
      <c r="F157" s="422">
        <v>11</v>
      </c>
      <c r="G157" s="419" t="s">
        <v>8709</v>
      </c>
      <c r="H157" s="419" t="s">
        <v>310</v>
      </c>
      <c r="I157" s="415" t="s">
        <v>881</v>
      </c>
      <c r="J157" s="419" t="s">
        <v>882</v>
      </c>
      <c r="K157" s="419" t="s">
        <v>883</v>
      </c>
      <c r="L157" s="415" t="s">
        <v>798</v>
      </c>
      <c r="M157" s="419" t="s">
        <v>310</v>
      </c>
      <c r="N157" s="413">
        <v>44840</v>
      </c>
      <c r="O157" s="414" t="s">
        <v>400</v>
      </c>
      <c r="P157" s="655">
        <f t="shared" si="6"/>
        <v>10</v>
      </c>
      <c r="Q157" s="655">
        <f t="shared" si="7"/>
        <v>10</v>
      </c>
      <c r="R157" s="758" t="str">
        <f t="shared" si="8"/>
        <v>Gastos_Gerais</v>
      </c>
      <c r="S157" s="697" t="s">
        <v>310</v>
      </c>
      <c r="T157" s="697" t="s">
        <v>310</v>
      </c>
    </row>
    <row r="158" spans="1:20" ht="24" x14ac:dyDescent="0.2">
      <c r="A158" s="432">
        <f>IF(B158="","",COUNT('Diário 1º PA'!$A$4:$A$2635)+COUNT('Diário 2º PA'!$A$4:$A$3040)+COUNT('Diário 3º PA'!$A$4:$A$2731)+ROW()-3)</f>
        <v>6183</v>
      </c>
      <c r="B158" s="413">
        <v>44840</v>
      </c>
      <c r="C158" s="424">
        <v>44835</v>
      </c>
      <c r="D158" s="419" t="s">
        <v>271</v>
      </c>
      <c r="E158" s="419" t="s">
        <v>71</v>
      </c>
      <c r="F158" s="422">
        <v>11</v>
      </c>
      <c r="G158" s="419" t="s">
        <v>8709</v>
      </c>
      <c r="H158" s="419" t="s">
        <v>310</v>
      </c>
      <c r="I158" s="415" t="s">
        <v>881</v>
      </c>
      <c r="J158" s="419" t="s">
        <v>882</v>
      </c>
      <c r="K158" s="419" t="s">
        <v>883</v>
      </c>
      <c r="L158" s="415" t="s">
        <v>798</v>
      </c>
      <c r="M158" s="419" t="s">
        <v>310</v>
      </c>
      <c r="N158" s="413">
        <v>44840</v>
      </c>
      <c r="O158" s="414" t="s">
        <v>400</v>
      </c>
      <c r="P158" s="655">
        <f t="shared" si="6"/>
        <v>10</v>
      </c>
      <c r="Q158" s="655">
        <f t="shared" si="7"/>
        <v>10</v>
      </c>
      <c r="R158" s="758" t="str">
        <f t="shared" si="8"/>
        <v>Gastos_Gerais</v>
      </c>
      <c r="S158" s="697" t="s">
        <v>310</v>
      </c>
      <c r="T158" s="697" t="s">
        <v>310</v>
      </c>
    </row>
    <row r="159" spans="1:20" ht="24" x14ac:dyDescent="0.2">
      <c r="A159" s="432">
        <f>IF(B159="","",COUNT('Diário 1º PA'!$A$4:$A$2635)+COUNT('Diário 2º PA'!$A$4:$A$3040)+COUNT('Diário 3º PA'!$A$4:$A$2731)+ROW()-3)</f>
        <v>6184</v>
      </c>
      <c r="B159" s="413">
        <v>44840</v>
      </c>
      <c r="C159" s="424">
        <v>44835</v>
      </c>
      <c r="D159" s="419" t="s">
        <v>271</v>
      </c>
      <c r="E159" s="419" t="s">
        <v>71</v>
      </c>
      <c r="F159" s="422">
        <v>11</v>
      </c>
      <c r="G159" s="419" t="s">
        <v>8709</v>
      </c>
      <c r="H159" s="419" t="s">
        <v>310</v>
      </c>
      <c r="I159" s="415" t="s">
        <v>881</v>
      </c>
      <c r="J159" s="419" t="s">
        <v>882</v>
      </c>
      <c r="K159" s="419" t="s">
        <v>883</v>
      </c>
      <c r="L159" s="415" t="s">
        <v>798</v>
      </c>
      <c r="M159" s="419" t="s">
        <v>310</v>
      </c>
      <c r="N159" s="413">
        <v>44840</v>
      </c>
      <c r="O159" s="414" t="s">
        <v>400</v>
      </c>
      <c r="P159" s="655">
        <f t="shared" si="6"/>
        <v>10</v>
      </c>
      <c r="Q159" s="655">
        <f t="shared" si="7"/>
        <v>10</v>
      </c>
      <c r="R159" s="758" t="str">
        <f t="shared" si="8"/>
        <v>Gastos_Gerais</v>
      </c>
      <c r="S159" s="697" t="s">
        <v>310</v>
      </c>
      <c r="T159" s="697" t="s">
        <v>310</v>
      </c>
    </row>
    <row r="160" spans="1:20" ht="24" x14ac:dyDescent="0.2">
      <c r="A160" s="432">
        <f>IF(B160="","",COUNT('Diário 1º PA'!$A$4:$A$2635)+COUNT('Diário 2º PA'!$A$4:$A$3040)+COUNT('Diário 3º PA'!$A$4:$A$2731)+ROW()-3)</f>
        <v>6185</v>
      </c>
      <c r="B160" s="413">
        <v>44840</v>
      </c>
      <c r="C160" s="424">
        <v>44835</v>
      </c>
      <c r="D160" s="419" t="s">
        <v>271</v>
      </c>
      <c r="E160" s="419" t="s">
        <v>71</v>
      </c>
      <c r="F160" s="422">
        <v>11</v>
      </c>
      <c r="G160" s="419" t="s">
        <v>8709</v>
      </c>
      <c r="H160" s="419" t="s">
        <v>310</v>
      </c>
      <c r="I160" s="415" t="s">
        <v>881</v>
      </c>
      <c r="J160" s="419" t="s">
        <v>882</v>
      </c>
      <c r="K160" s="419" t="s">
        <v>883</v>
      </c>
      <c r="L160" s="415" t="s">
        <v>798</v>
      </c>
      <c r="M160" s="419" t="s">
        <v>310</v>
      </c>
      <c r="N160" s="413">
        <v>44840</v>
      </c>
      <c r="O160" s="414" t="s">
        <v>400</v>
      </c>
      <c r="P160" s="655">
        <f t="shared" si="6"/>
        <v>10</v>
      </c>
      <c r="Q160" s="655">
        <f t="shared" si="7"/>
        <v>10</v>
      </c>
      <c r="R160" s="758" t="str">
        <f t="shared" si="8"/>
        <v>Gastos_Gerais</v>
      </c>
      <c r="S160" s="697" t="s">
        <v>310</v>
      </c>
      <c r="T160" s="697" t="s">
        <v>310</v>
      </c>
    </row>
    <row r="161" spans="1:20" ht="24" x14ac:dyDescent="0.2">
      <c r="A161" s="432">
        <f>IF(B161="","",COUNT('Diário 1º PA'!$A$4:$A$2635)+COUNT('Diário 2º PA'!$A$4:$A$3040)+COUNT('Diário 3º PA'!$A$4:$A$2731)+ROW()-3)</f>
        <v>6186</v>
      </c>
      <c r="B161" s="413">
        <v>44840</v>
      </c>
      <c r="C161" s="424">
        <v>44835</v>
      </c>
      <c r="D161" s="419" t="s">
        <v>271</v>
      </c>
      <c r="E161" s="419" t="s">
        <v>71</v>
      </c>
      <c r="F161" s="422">
        <v>11</v>
      </c>
      <c r="G161" s="419" t="s">
        <v>8709</v>
      </c>
      <c r="H161" s="419" t="s">
        <v>310</v>
      </c>
      <c r="I161" s="415" t="s">
        <v>881</v>
      </c>
      <c r="J161" s="419" t="s">
        <v>882</v>
      </c>
      <c r="K161" s="419" t="s">
        <v>883</v>
      </c>
      <c r="L161" s="415" t="s">
        <v>798</v>
      </c>
      <c r="M161" s="419" t="s">
        <v>310</v>
      </c>
      <c r="N161" s="413">
        <v>44840</v>
      </c>
      <c r="O161" s="414" t="s">
        <v>400</v>
      </c>
      <c r="P161" s="655">
        <f t="shared" ref="P161:P224" si="9">IF(B161=0,0,IF(YEAR(B161)=$Q$1,MONTH(B161)-$P$1+1,(YEAR(B161)-$Q$1)*12-$P$1+1+MONTH(B161)))</f>
        <v>10</v>
      </c>
      <c r="Q161" s="655">
        <f t="shared" ref="Q161:Q224" si="10">IF(C161=0,0,IF(YEAR(C161)=$Q$1,MONTH(C161)-$P$1+1,(YEAR(C161)-$Q$1)*12-$P$1+1+MONTH(C161)))</f>
        <v>10</v>
      </c>
      <c r="R161" s="758" t="str">
        <f t="shared" ref="R161:R224" si="11">SUBSTITUTE(D161," ","_")</f>
        <v>Gastos_Gerais</v>
      </c>
      <c r="S161" s="697" t="s">
        <v>310</v>
      </c>
      <c r="T161" s="697" t="s">
        <v>310</v>
      </c>
    </row>
    <row r="162" spans="1:20" ht="24" x14ac:dyDescent="0.2">
      <c r="A162" s="432">
        <f>IF(B162="","",COUNT('Diário 1º PA'!$A$4:$A$2635)+COUNT('Diário 2º PA'!$A$4:$A$3040)+COUNT('Diário 3º PA'!$A$4:$A$2731)+ROW()-3)</f>
        <v>6187</v>
      </c>
      <c r="B162" s="413">
        <v>44840</v>
      </c>
      <c r="C162" s="424">
        <v>44835</v>
      </c>
      <c r="D162" s="419" t="s">
        <v>271</v>
      </c>
      <c r="E162" s="419" t="s">
        <v>71</v>
      </c>
      <c r="F162" s="422">
        <v>11</v>
      </c>
      <c r="G162" s="419" t="s">
        <v>8709</v>
      </c>
      <c r="H162" s="419" t="s">
        <v>310</v>
      </c>
      <c r="I162" s="415" t="s">
        <v>881</v>
      </c>
      <c r="J162" s="419" t="s">
        <v>882</v>
      </c>
      <c r="K162" s="419" t="s">
        <v>883</v>
      </c>
      <c r="L162" s="415" t="s">
        <v>798</v>
      </c>
      <c r="M162" s="419" t="s">
        <v>310</v>
      </c>
      <c r="N162" s="413">
        <v>44840</v>
      </c>
      <c r="O162" s="414" t="s">
        <v>400</v>
      </c>
      <c r="P162" s="655">
        <f t="shared" si="9"/>
        <v>10</v>
      </c>
      <c r="Q162" s="655">
        <f t="shared" si="10"/>
        <v>10</v>
      </c>
      <c r="R162" s="758" t="str">
        <f t="shared" si="11"/>
        <v>Gastos_Gerais</v>
      </c>
      <c r="S162" s="697" t="s">
        <v>310</v>
      </c>
      <c r="T162" s="697" t="s">
        <v>310</v>
      </c>
    </row>
    <row r="163" spans="1:20" ht="24" x14ac:dyDescent="0.2">
      <c r="A163" s="432">
        <f>IF(B163="","",COUNT('Diário 1º PA'!$A$4:$A$2635)+COUNT('Diário 2º PA'!$A$4:$A$3040)+COUNT('Diário 3º PA'!$A$4:$A$2731)+ROW()-3)</f>
        <v>6188</v>
      </c>
      <c r="B163" s="413">
        <v>44840</v>
      </c>
      <c r="C163" s="424">
        <v>44835</v>
      </c>
      <c r="D163" s="419" t="s">
        <v>271</v>
      </c>
      <c r="E163" s="419" t="s">
        <v>71</v>
      </c>
      <c r="F163" s="422">
        <v>11</v>
      </c>
      <c r="G163" s="419" t="s">
        <v>8709</v>
      </c>
      <c r="H163" s="419" t="s">
        <v>310</v>
      </c>
      <c r="I163" s="415" t="s">
        <v>881</v>
      </c>
      <c r="J163" s="419" t="s">
        <v>882</v>
      </c>
      <c r="K163" s="419" t="s">
        <v>883</v>
      </c>
      <c r="L163" s="415" t="s">
        <v>798</v>
      </c>
      <c r="M163" s="419" t="s">
        <v>310</v>
      </c>
      <c r="N163" s="413">
        <v>44840</v>
      </c>
      <c r="O163" s="414" t="s">
        <v>400</v>
      </c>
      <c r="P163" s="655">
        <f t="shared" si="9"/>
        <v>10</v>
      </c>
      <c r="Q163" s="655">
        <f t="shared" si="10"/>
        <v>10</v>
      </c>
      <c r="R163" s="758" t="str">
        <f t="shared" si="11"/>
        <v>Gastos_Gerais</v>
      </c>
      <c r="S163" s="697" t="s">
        <v>310</v>
      </c>
      <c r="T163" s="697" t="s">
        <v>310</v>
      </c>
    </row>
    <row r="164" spans="1:20" ht="24" x14ac:dyDescent="0.2">
      <c r="A164" s="432">
        <f>IF(B164="","",COUNT('Diário 1º PA'!$A$4:$A$2635)+COUNT('Diário 2º PA'!$A$4:$A$3040)+COUNT('Diário 3º PA'!$A$4:$A$2731)+ROW()-3)</f>
        <v>6189</v>
      </c>
      <c r="B164" s="413">
        <v>44840</v>
      </c>
      <c r="C164" s="424">
        <v>44835</v>
      </c>
      <c r="D164" s="419" t="s">
        <v>271</v>
      </c>
      <c r="E164" s="419" t="s">
        <v>71</v>
      </c>
      <c r="F164" s="422">
        <v>11</v>
      </c>
      <c r="G164" s="419" t="s">
        <v>8709</v>
      </c>
      <c r="H164" s="419" t="s">
        <v>310</v>
      </c>
      <c r="I164" s="415" t="s">
        <v>881</v>
      </c>
      <c r="J164" s="419" t="s">
        <v>882</v>
      </c>
      <c r="K164" s="419" t="s">
        <v>883</v>
      </c>
      <c r="L164" s="415" t="s">
        <v>798</v>
      </c>
      <c r="M164" s="419" t="s">
        <v>310</v>
      </c>
      <c r="N164" s="413">
        <v>44840</v>
      </c>
      <c r="O164" s="414" t="s">
        <v>400</v>
      </c>
      <c r="P164" s="655">
        <f t="shared" si="9"/>
        <v>10</v>
      </c>
      <c r="Q164" s="655">
        <f t="shared" si="10"/>
        <v>10</v>
      </c>
      <c r="R164" s="758" t="str">
        <f t="shared" si="11"/>
        <v>Gastos_Gerais</v>
      </c>
      <c r="S164" s="697" t="s">
        <v>310</v>
      </c>
      <c r="T164" s="697" t="s">
        <v>310</v>
      </c>
    </row>
    <row r="165" spans="1:20" ht="24" x14ac:dyDescent="0.2">
      <c r="A165" s="432">
        <f>IF(B165="","",COUNT('Diário 1º PA'!$A$4:$A$2635)+COUNT('Diário 2º PA'!$A$4:$A$3040)+COUNT('Diário 3º PA'!$A$4:$A$2731)+ROW()-3)</f>
        <v>6190</v>
      </c>
      <c r="B165" s="413">
        <v>44840</v>
      </c>
      <c r="C165" s="424">
        <v>44835</v>
      </c>
      <c r="D165" s="419" t="s">
        <v>271</v>
      </c>
      <c r="E165" s="419" t="s">
        <v>71</v>
      </c>
      <c r="F165" s="422">
        <v>11</v>
      </c>
      <c r="G165" s="419" t="s">
        <v>8709</v>
      </c>
      <c r="H165" s="419" t="s">
        <v>310</v>
      </c>
      <c r="I165" s="415" t="s">
        <v>881</v>
      </c>
      <c r="J165" s="419" t="s">
        <v>882</v>
      </c>
      <c r="K165" s="419" t="s">
        <v>883</v>
      </c>
      <c r="L165" s="415" t="s">
        <v>798</v>
      </c>
      <c r="M165" s="419" t="s">
        <v>310</v>
      </c>
      <c r="N165" s="413">
        <v>44840</v>
      </c>
      <c r="O165" s="414" t="s">
        <v>400</v>
      </c>
      <c r="P165" s="655">
        <f t="shared" si="9"/>
        <v>10</v>
      </c>
      <c r="Q165" s="655">
        <f t="shared" si="10"/>
        <v>10</v>
      </c>
      <c r="R165" s="758" t="str">
        <f t="shared" si="11"/>
        <v>Gastos_Gerais</v>
      </c>
      <c r="S165" s="697" t="s">
        <v>310</v>
      </c>
      <c r="T165" s="697" t="s">
        <v>310</v>
      </c>
    </row>
    <row r="166" spans="1:20" ht="24" x14ac:dyDescent="0.2">
      <c r="A166" s="432">
        <f>IF(B166="","",COUNT('Diário 1º PA'!$A$4:$A$2635)+COUNT('Diário 2º PA'!$A$4:$A$3040)+COUNT('Diário 3º PA'!$A$4:$A$2731)+ROW()-3)</f>
        <v>6191</v>
      </c>
      <c r="B166" s="413">
        <v>44840</v>
      </c>
      <c r="C166" s="424">
        <v>44835</v>
      </c>
      <c r="D166" s="419" t="s">
        <v>271</v>
      </c>
      <c r="E166" s="419" t="s">
        <v>71</v>
      </c>
      <c r="F166" s="422">
        <v>11</v>
      </c>
      <c r="G166" s="419" t="s">
        <v>8709</v>
      </c>
      <c r="H166" s="419" t="s">
        <v>310</v>
      </c>
      <c r="I166" s="415" t="s">
        <v>881</v>
      </c>
      <c r="J166" s="419" t="s">
        <v>882</v>
      </c>
      <c r="K166" s="419" t="s">
        <v>883</v>
      </c>
      <c r="L166" s="415" t="s">
        <v>798</v>
      </c>
      <c r="M166" s="419" t="s">
        <v>310</v>
      </c>
      <c r="N166" s="413">
        <v>44840</v>
      </c>
      <c r="O166" s="414" t="s">
        <v>400</v>
      </c>
      <c r="P166" s="655">
        <f t="shared" si="9"/>
        <v>10</v>
      </c>
      <c r="Q166" s="655">
        <f t="shared" si="10"/>
        <v>10</v>
      </c>
      <c r="R166" s="758" t="str">
        <f t="shared" si="11"/>
        <v>Gastos_Gerais</v>
      </c>
      <c r="S166" s="697" t="s">
        <v>310</v>
      </c>
      <c r="T166" s="697" t="s">
        <v>310</v>
      </c>
    </row>
    <row r="167" spans="1:20" ht="24" x14ac:dyDescent="0.2">
      <c r="A167" s="432">
        <f>IF(B167="","",COUNT('Diário 1º PA'!$A$4:$A$2635)+COUNT('Diário 2º PA'!$A$4:$A$3040)+COUNT('Diário 3º PA'!$A$4:$A$2731)+ROW()-3)</f>
        <v>6192</v>
      </c>
      <c r="B167" s="413">
        <v>44840</v>
      </c>
      <c r="C167" s="424">
        <v>44835</v>
      </c>
      <c r="D167" s="419" t="s">
        <v>271</v>
      </c>
      <c r="E167" s="419" t="s">
        <v>71</v>
      </c>
      <c r="F167" s="422">
        <v>11</v>
      </c>
      <c r="G167" s="419" t="s">
        <v>8709</v>
      </c>
      <c r="H167" s="419" t="s">
        <v>310</v>
      </c>
      <c r="I167" s="415" t="s">
        <v>881</v>
      </c>
      <c r="J167" s="419" t="s">
        <v>882</v>
      </c>
      <c r="K167" s="419" t="s">
        <v>883</v>
      </c>
      <c r="L167" s="415" t="s">
        <v>798</v>
      </c>
      <c r="M167" s="419" t="s">
        <v>310</v>
      </c>
      <c r="N167" s="413">
        <v>44840</v>
      </c>
      <c r="O167" s="414" t="s">
        <v>400</v>
      </c>
      <c r="P167" s="655">
        <f t="shared" si="9"/>
        <v>10</v>
      </c>
      <c r="Q167" s="655">
        <f t="shared" si="10"/>
        <v>10</v>
      </c>
      <c r="R167" s="758" t="str">
        <f t="shared" si="11"/>
        <v>Gastos_Gerais</v>
      </c>
      <c r="S167" s="697" t="s">
        <v>310</v>
      </c>
      <c r="T167" s="697" t="s">
        <v>310</v>
      </c>
    </row>
    <row r="168" spans="1:20" ht="24" x14ac:dyDescent="0.2">
      <c r="A168" s="432">
        <f>IF(B168="","",COUNT('Diário 1º PA'!$A$4:$A$2635)+COUNT('Diário 2º PA'!$A$4:$A$3040)+COUNT('Diário 3º PA'!$A$4:$A$2731)+ROW()-3)</f>
        <v>6193</v>
      </c>
      <c r="B168" s="413">
        <v>44840</v>
      </c>
      <c r="C168" s="424">
        <v>44835</v>
      </c>
      <c r="D168" s="419" t="s">
        <v>271</v>
      </c>
      <c r="E168" s="419" t="s">
        <v>71</v>
      </c>
      <c r="F168" s="422">
        <v>11</v>
      </c>
      <c r="G168" s="419" t="s">
        <v>8709</v>
      </c>
      <c r="H168" s="419" t="s">
        <v>310</v>
      </c>
      <c r="I168" s="415" t="s">
        <v>881</v>
      </c>
      <c r="J168" s="419" t="s">
        <v>882</v>
      </c>
      <c r="K168" s="419" t="s">
        <v>883</v>
      </c>
      <c r="L168" s="415" t="s">
        <v>798</v>
      </c>
      <c r="M168" s="419" t="s">
        <v>310</v>
      </c>
      <c r="N168" s="413">
        <v>44840</v>
      </c>
      <c r="O168" s="414" t="s">
        <v>400</v>
      </c>
      <c r="P168" s="655">
        <f t="shared" si="9"/>
        <v>10</v>
      </c>
      <c r="Q168" s="655">
        <f t="shared" si="10"/>
        <v>10</v>
      </c>
      <c r="R168" s="758" t="str">
        <f t="shared" si="11"/>
        <v>Gastos_Gerais</v>
      </c>
      <c r="S168" s="697" t="s">
        <v>310</v>
      </c>
      <c r="T168" s="697" t="s">
        <v>310</v>
      </c>
    </row>
    <row r="169" spans="1:20" ht="24" x14ac:dyDescent="0.2">
      <c r="A169" s="432">
        <f>IF(B169="","",COUNT('Diário 1º PA'!$A$4:$A$2635)+COUNT('Diário 2º PA'!$A$4:$A$3040)+COUNT('Diário 3º PA'!$A$4:$A$2731)+ROW()-3)</f>
        <v>6194</v>
      </c>
      <c r="B169" s="413">
        <v>44840</v>
      </c>
      <c r="C169" s="466">
        <v>44835</v>
      </c>
      <c r="D169" s="426" t="s">
        <v>271</v>
      </c>
      <c r="E169" s="426" t="s">
        <v>71</v>
      </c>
      <c r="F169" s="686">
        <v>11</v>
      </c>
      <c r="G169" s="419" t="s">
        <v>8709</v>
      </c>
      <c r="H169" s="426" t="s">
        <v>310</v>
      </c>
      <c r="I169" s="434" t="s">
        <v>881</v>
      </c>
      <c r="J169" s="426" t="s">
        <v>882</v>
      </c>
      <c r="K169" s="426" t="s">
        <v>883</v>
      </c>
      <c r="L169" s="434" t="s">
        <v>798</v>
      </c>
      <c r="M169" s="426" t="s">
        <v>310</v>
      </c>
      <c r="N169" s="413">
        <v>44840</v>
      </c>
      <c r="O169" s="414" t="s">
        <v>400</v>
      </c>
      <c r="P169" s="655">
        <f t="shared" si="9"/>
        <v>10</v>
      </c>
      <c r="Q169" s="655">
        <f t="shared" si="10"/>
        <v>10</v>
      </c>
      <c r="R169" s="758" t="str">
        <f t="shared" si="11"/>
        <v>Gastos_Gerais</v>
      </c>
      <c r="S169" s="697" t="s">
        <v>310</v>
      </c>
      <c r="T169" s="697" t="s">
        <v>310</v>
      </c>
    </row>
    <row r="170" spans="1:20" ht="24" x14ac:dyDescent="0.2">
      <c r="A170" s="432">
        <f>IF(B170="","",COUNT('Diário 1º PA'!$A$4:$A$2635)+COUNT('Diário 2º PA'!$A$4:$A$3040)+COUNT('Diário 3º PA'!$A$4:$A$2731)+ROW()-3)</f>
        <v>6195</v>
      </c>
      <c r="B170" s="413">
        <v>44840</v>
      </c>
      <c r="C170" s="424">
        <v>44835</v>
      </c>
      <c r="D170" s="419" t="s">
        <v>271</v>
      </c>
      <c r="E170" s="419" t="s">
        <v>71</v>
      </c>
      <c r="F170" s="422">
        <v>11</v>
      </c>
      <c r="G170" s="419" t="s">
        <v>8709</v>
      </c>
      <c r="H170" s="419" t="s">
        <v>310</v>
      </c>
      <c r="I170" s="415" t="s">
        <v>881</v>
      </c>
      <c r="J170" s="419" t="s">
        <v>882</v>
      </c>
      <c r="K170" s="419" t="s">
        <v>883</v>
      </c>
      <c r="L170" s="415" t="s">
        <v>798</v>
      </c>
      <c r="M170" s="419" t="s">
        <v>310</v>
      </c>
      <c r="N170" s="413">
        <v>44840</v>
      </c>
      <c r="O170" s="414" t="s">
        <v>400</v>
      </c>
      <c r="P170" s="655">
        <f t="shared" si="9"/>
        <v>10</v>
      </c>
      <c r="Q170" s="655">
        <f t="shared" si="10"/>
        <v>10</v>
      </c>
      <c r="R170" s="758" t="str">
        <f t="shared" si="11"/>
        <v>Gastos_Gerais</v>
      </c>
      <c r="S170" s="697" t="s">
        <v>310</v>
      </c>
      <c r="T170" s="697" t="s">
        <v>310</v>
      </c>
    </row>
    <row r="171" spans="1:20" ht="24" x14ac:dyDescent="0.2">
      <c r="A171" s="432">
        <f>IF(B171="","",COUNT('Diário 1º PA'!$A$4:$A$2635)+COUNT('Diário 2º PA'!$A$4:$A$3040)+COUNT('Diário 3º PA'!$A$4:$A$2731)+ROW()-3)</f>
        <v>6196</v>
      </c>
      <c r="B171" s="413">
        <v>44840</v>
      </c>
      <c r="C171" s="424">
        <v>44835</v>
      </c>
      <c r="D171" s="419" t="s">
        <v>271</v>
      </c>
      <c r="E171" s="419" t="s">
        <v>71</v>
      </c>
      <c r="F171" s="422">
        <v>11</v>
      </c>
      <c r="G171" s="419" t="s">
        <v>8709</v>
      </c>
      <c r="H171" s="419" t="s">
        <v>310</v>
      </c>
      <c r="I171" s="434" t="s">
        <v>881</v>
      </c>
      <c r="J171" s="426" t="s">
        <v>882</v>
      </c>
      <c r="K171" s="426" t="s">
        <v>883</v>
      </c>
      <c r="L171" s="434" t="s">
        <v>798</v>
      </c>
      <c r="M171" s="426" t="s">
        <v>310</v>
      </c>
      <c r="N171" s="685">
        <v>44840</v>
      </c>
      <c r="O171" s="414" t="s">
        <v>400</v>
      </c>
      <c r="P171" s="655">
        <f t="shared" si="9"/>
        <v>10</v>
      </c>
      <c r="Q171" s="655">
        <f t="shared" si="10"/>
        <v>10</v>
      </c>
      <c r="R171" s="758" t="str">
        <f t="shared" si="11"/>
        <v>Gastos_Gerais</v>
      </c>
      <c r="S171" s="697" t="s">
        <v>310</v>
      </c>
      <c r="T171" s="697" t="s">
        <v>310</v>
      </c>
    </row>
    <row r="172" spans="1:20" ht="24" x14ac:dyDescent="0.2">
      <c r="A172" s="432">
        <f>IF(B172="","",COUNT('Diário 1º PA'!$A$4:$A$2635)+COUNT('Diário 2º PA'!$A$4:$A$3040)+COUNT('Diário 3º PA'!$A$4:$A$2731)+ROW()-3)</f>
        <v>6197</v>
      </c>
      <c r="B172" s="413">
        <v>44840</v>
      </c>
      <c r="C172" s="424">
        <v>44835</v>
      </c>
      <c r="D172" s="419" t="s">
        <v>271</v>
      </c>
      <c r="E172" s="419" t="s">
        <v>71</v>
      </c>
      <c r="F172" s="422">
        <v>11</v>
      </c>
      <c r="G172" s="419" t="s">
        <v>8709</v>
      </c>
      <c r="H172" s="419" t="s">
        <v>310</v>
      </c>
      <c r="I172" s="415" t="s">
        <v>881</v>
      </c>
      <c r="J172" s="419" t="s">
        <v>882</v>
      </c>
      <c r="K172" s="419" t="s">
        <v>883</v>
      </c>
      <c r="L172" s="415" t="s">
        <v>798</v>
      </c>
      <c r="M172" s="419" t="s">
        <v>310</v>
      </c>
      <c r="N172" s="413">
        <v>44840</v>
      </c>
      <c r="O172" s="414" t="s">
        <v>400</v>
      </c>
      <c r="P172" s="655">
        <f t="shared" si="9"/>
        <v>10</v>
      </c>
      <c r="Q172" s="655">
        <f t="shared" si="10"/>
        <v>10</v>
      </c>
      <c r="R172" s="758" t="str">
        <f t="shared" si="11"/>
        <v>Gastos_Gerais</v>
      </c>
      <c r="S172" s="697" t="s">
        <v>310</v>
      </c>
      <c r="T172" s="697" t="s">
        <v>310</v>
      </c>
    </row>
    <row r="173" spans="1:20" ht="24" x14ac:dyDescent="0.2">
      <c r="A173" s="432">
        <f>IF(B173="","",COUNT('Diário 1º PA'!$A$4:$A$2635)+COUNT('Diário 2º PA'!$A$4:$A$3040)+COUNT('Diário 3º PA'!$A$4:$A$2731)+ROW()-3)</f>
        <v>6198</v>
      </c>
      <c r="B173" s="413">
        <v>44840</v>
      </c>
      <c r="C173" s="424">
        <v>44835</v>
      </c>
      <c r="D173" s="419" t="s">
        <v>271</v>
      </c>
      <c r="E173" s="419" t="s">
        <v>71</v>
      </c>
      <c r="F173" s="422">
        <v>11</v>
      </c>
      <c r="G173" s="419" t="s">
        <v>8709</v>
      </c>
      <c r="H173" s="419" t="s">
        <v>310</v>
      </c>
      <c r="I173" s="415" t="s">
        <v>881</v>
      </c>
      <c r="J173" s="419" t="s">
        <v>882</v>
      </c>
      <c r="K173" s="419" t="s">
        <v>883</v>
      </c>
      <c r="L173" s="415" t="s">
        <v>798</v>
      </c>
      <c r="M173" s="419" t="s">
        <v>310</v>
      </c>
      <c r="N173" s="413">
        <v>44840</v>
      </c>
      <c r="O173" s="414" t="s">
        <v>400</v>
      </c>
      <c r="P173" s="655">
        <f t="shared" si="9"/>
        <v>10</v>
      </c>
      <c r="Q173" s="655">
        <f t="shared" si="10"/>
        <v>10</v>
      </c>
      <c r="R173" s="758" t="str">
        <f t="shared" si="11"/>
        <v>Gastos_Gerais</v>
      </c>
      <c r="S173" s="697" t="s">
        <v>310</v>
      </c>
      <c r="T173" s="697" t="s">
        <v>310</v>
      </c>
    </row>
    <row r="174" spans="1:20" ht="24" x14ac:dyDescent="0.2">
      <c r="A174" s="432">
        <f>IF(B174="","",COUNT('Diário 1º PA'!$A$4:$A$2635)+COUNT('Diário 2º PA'!$A$4:$A$3040)+COUNT('Diário 3º PA'!$A$4:$A$2731)+ROW()-3)</f>
        <v>6199</v>
      </c>
      <c r="B174" s="413">
        <v>44840</v>
      </c>
      <c r="C174" s="424">
        <v>44835</v>
      </c>
      <c r="D174" s="419" t="s">
        <v>271</v>
      </c>
      <c r="E174" s="419" t="s">
        <v>71</v>
      </c>
      <c r="F174" s="422">
        <v>11</v>
      </c>
      <c r="G174" s="419" t="s">
        <v>8709</v>
      </c>
      <c r="H174" s="419" t="s">
        <v>310</v>
      </c>
      <c r="I174" s="415" t="s">
        <v>881</v>
      </c>
      <c r="J174" s="419" t="s">
        <v>882</v>
      </c>
      <c r="K174" s="419" t="s">
        <v>883</v>
      </c>
      <c r="L174" s="415" t="s">
        <v>798</v>
      </c>
      <c r="M174" s="419" t="s">
        <v>310</v>
      </c>
      <c r="N174" s="413">
        <v>44840</v>
      </c>
      <c r="O174" s="414" t="s">
        <v>400</v>
      </c>
      <c r="P174" s="655">
        <f t="shared" si="9"/>
        <v>10</v>
      </c>
      <c r="Q174" s="655">
        <f t="shared" si="10"/>
        <v>10</v>
      </c>
      <c r="R174" s="758" t="str">
        <f t="shared" si="11"/>
        <v>Gastos_Gerais</v>
      </c>
      <c r="S174" s="697" t="s">
        <v>310</v>
      </c>
      <c r="T174" s="697" t="s">
        <v>310</v>
      </c>
    </row>
    <row r="175" spans="1:20" ht="24" x14ac:dyDescent="0.2">
      <c r="A175" s="432">
        <f>IF(B175="","",COUNT('Diário 1º PA'!$A$4:$A$2635)+COUNT('Diário 2º PA'!$A$4:$A$3040)+COUNT('Diário 3º PA'!$A$4:$A$2731)+ROW()-3)</f>
        <v>6200</v>
      </c>
      <c r="B175" s="413">
        <v>44840</v>
      </c>
      <c r="C175" s="424">
        <v>44835</v>
      </c>
      <c r="D175" s="419" t="s">
        <v>271</v>
      </c>
      <c r="E175" s="419" t="s">
        <v>71</v>
      </c>
      <c r="F175" s="422">
        <v>11</v>
      </c>
      <c r="G175" s="419" t="s">
        <v>8709</v>
      </c>
      <c r="H175" s="419" t="s">
        <v>310</v>
      </c>
      <c r="I175" s="415" t="s">
        <v>881</v>
      </c>
      <c r="J175" s="419" t="s">
        <v>882</v>
      </c>
      <c r="K175" s="419" t="s">
        <v>883</v>
      </c>
      <c r="L175" s="415" t="s">
        <v>798</v>
      </c>
      <c r="M175" s="419" t="s">
        <v>310</v>
      </c>
      <c r="N175" s="413">
        <v>44840</v>
      </c>
      <c r="O175" s="414" t="s">
        <v>400</v>
      </c>
      <c r="P175" s="655">
        <f t="shared" si="9"/>
        <v>10</v>
      </c>
      <c r="Q175" s="655">
        <f t="shared" si="10"/>
        <v>10</v>
      </c>
      <c r="R175" s="758" t="str">
        <f t="shared" si="11"/>
        <v>Gastos_Gerais</v>
      </c>
      <c r="S175" s="697" t="s">
        <v>310</v>
      </c>
      <c r="T175" s="697" t="s">
        <v>310</v>
      </c>
    </row>
    <row r="176" spans="1:20" ht="24" x14ac:dyDescent="0.2">
      <c r="A176" s="432">
        <f>IF(B176="","",COUNT('Diário 1º PA'!$A$4:$A$2635)+COUNT('Diário 2º PA'!$A$4:$A$3040)+COUNT('Diário 3º PA'!$A$4:$A$2731)+ROW()-3)</f>
        <v>6201</v>
      </c>
      <c r="B176" s="413">
        <v>44840</v>
      </c>
      <c r="C176" s="424">
        <v>44835</v>
      </c>
      <c r="D176" s="419" t="s">
        <v>271</v>
      </c>
      <c r="E176" s="419" t="s">
        <v>71</v>
      </c>
      <c r="F176" s="422">
        <v>11</v>
      </c>
      <c r="G176" s="419" t="s">
        <v>8709</v>
      </c>
      <c r="H176" s="419" t="s">
        <v>310</v>
      </c>
      <c r="I176" s="415" t="s">
        <v>881</v>
      </c>
      <c r="J176" s="419" t="s">
        <v>882</v>
      </c>
      <c r="K176" s="419" t="s">
        <v>883</v>
      </c>
      <c r="L176" s="415" t="s">
        <v>798</v>
      </c>
      <c r="M176" s="419" t="s">
        <v>310</v>
      </c>
      <c r="N176" s="413">
        <v>44840</v>
      </c>
      <c r="O176" s="414" t="s">
        <v>400</v>
      </c>
      <c r="P176" s="655">
        <f t="shared" si="9"/>
        <v>10</v>
      </c>
      <c r="Q176" s="655">
        <f t="shared" si="10"/>
        <v>10</v>
      </c>
      <c r="R176" s="758" t="str">
        <f t="shared" si="11"/>
        <v>Gastos_Gerais</v>
      </c>
      <c r="S176" s="697" t="s">
        <v>310</v>
      </c>
      <c r="T176" s="697" t="s">
        <v>310</v>
      </c>
    </row>
    <row r="177" spans="1:20" ht="24" x14ac:dyDescent="0.2">
      <c r="A177" s="432">
        <f>IF(B177="","",COUNT('Diário 1º PA'!$A$4:$A$2635)+COUNT('Diário 2º PA'!$A$4:$A$3040)+COUNT('Diário 3º PA'!$A$4:$A$2731)+ROW()-3)</f>
        <v>6202</v>
      </c>
      <c r="B177" s="413">
        <v>44840</v>
      </c>
      <c r="C177" s="424">
        <v>44835</v>
      </c>
      <c r="D177" s="419" t="s">
        <v>271</v>
      </c>
      <c r="E177" s="419" t="s">
        <v>71</v>
      </c>
      <c r="F177" s="422">
        <v>50</v>
      </c>
      <c r="G177" s="423" t="s">
        <v>7499</v>
      </c>
      <c r="H177" s="419" t="s">
        <v>310</v>
      </c>
      <c r="I177" s="415" t="s">
        <v>881</v>
      </c>
      <c r="J177" s="419" t="s">
        <v>882</v>
      </c>
      <c r="K177" s="419" t="s">
        <v>883</v>
      </c>
      <c r="L177" s="415" t="s">
        <v>798</v>
      </c>
      <c r="M177" s="419" t="s">
        <v>310</v>
      </c>
      <c r="N177" s="413">
        <v>44840</v>
      </c>
      <c r="O177" s="414" t="s">
        <v>400</v>
      </c>
      <c r="P177" s="655">
        <f t="shared" si="9"/>
        <v>10</v>
      </c>
      <c r="Q177" s="655">
        <f t="shared" si="10"/>
        <v>10</v>
      </c>
      <c r="R177" s="758" t="str">
        <f t="shared" si="11"/>
        <v>Gastos_Gerais</v>
      </c>
      <c r="S177" s="697" t="s">
        <v>310</v>
      </c>
      <c r="T177" s="697" t="s">
        <v>310</v>
      </c>
    </row>
    <row r="178" spans="1:20" ht="36" x14ac:dyDescent="0.2">
      <c r="A178" s="432">
        <f>IF(B178="","",COUNT('Diário 1º PA'!$A$4:$A$2635)+COUNT('Diário 2º PA'!$A$4:$A$3040)+COUNT('Diário 3º PA'!$A$4:$A$2731)+ROW()-3)</f>
        <v>6203</v>
      </c>
      <c r="B178" s="413">
        <v>44840</v>
      </c>
      <c r="C178" s="424">
        <v>44835</v>
      </c>
      <c r="D178" s="419" t="s">
        <v>271</v>
      </c>
      <c r="E178" s="419" t="s">
        <v>71</v>
      </c>
      <c r="F178" s="422">
        <v>10</v>
      </c>
      <c r="G178" s="427" t="s">
        <v>7500</v>
      </c>
      <c r="H178" s="419" t="s">
        <v>793</v>
      </c>
      <c r="I178" s="415" t="s">
        <v>881</v>
      </c>
      <c r="J178" s="419" t="s">
        <v>882</v>
      </c>
      <c r="K178" s="419" t="s">
        <v>883</v>
      </c>
      <c r="L178" s="415" t="s">
        <v>798</v>
      </c>
      <c r="M178" s="419" t="s">
        <v>310</v>
      </c>
      <c r="N178" s="413">
        <v>44840</v>
      </c>
      <c r="O178" s="414" t="s">
        <v>400</v>
      </c>
      <c r="P178" s="655">
        <f t="shared" si="9"/>
        <v>10</v>
      </c>
      <c r="Q178" s="655">
        <f t="shared" si="10"/>
        <v>10</v>
      </c>
      <c r="R178" s="758" t="str">
        <f t="shared" si="11"/>
        <v>Gastos_Gerais</v>
      </c>
      <c r="S178" s="697" t="s">
        <v>310</v>
      </c>
      <c r="T178" s="697" t="s">
        <v>310</v>
      </c>
    </row>
    <row r="179" spans="1:20" ht="60" x14ac:dyDescent="0.2">
      <c r="A179" s="432">
        <f>IF(B179="","",COUNT('Diário 1º PA'!$A$4:$A$2635)+COUNT('Diário 2º PA'!$A$4:$A$3040)+COUNT('Diário 3º PA'!$A$4:$A$2731)+ROW()-3)</f>
        <v>6204</v>
      </c>
      <c r="B179" s="413">
        <v>44840</v>
      </c>
      <c r="C179" s="431">
        <v>44805</v>
      </c>
      <c r="D179" s="419" t="s">
        <v>468</v>
      </c>
      <c r="E179" s="419" t="s">
        <v>468</v>
      </c>
      <c r="F179" s="422">
        <v>3184.67</v>
      </c>
      <c r="G179" s="427" t="s">
        <v>7260</v>
      </c>
      <c r="H179" s="419" t="s">
        <v>468</v>
      </c>
      <c r="I179" s="415" t="s">
        <v>2512</v>
      </c>
      <c r="J179" s="415" t="s">
        <v>1026</v>
      </c>
      <c r="K179" s="419" t="s">
        <v>830</v>
      </c>
      <c r="L179" s="415" t="s">
        <v>32</v>
      </c>
      <c r="M179" s="419" t="s">
        <v>3672</v>
      </c>
      <c r="N179" s="413">
        <v>44839</v>
      </c>
      <c r="O179" s="414" t="s">
        <v>3762</v>
      </c>
      <c r="P179" s="655">
        <f t="shared" si="9"/>
        <v>10</v>
      </c>
      <c r="Q179" s="655">
        <f t="shared" si="10"/>
        <v>9</v>
      </c>
      <c r="R179" s="758" t="str">
        <f t="shared" si="11"/>
        <v>Gastos_custeados_por_captação</v>
      </c>
      <c r="S179" s="697" t="s">
        <v>1000</v>
      </c>
      <c r="T179" s="697">
        <v>4349</v>
      </c>
    </row>
    <row r="180" spans="1:20" ht="48" x14ac:dyDescent="0.2">
      <c r="A180" s="432">
        <f>IF(B180="","",COUNT('Diário 1º PA'!$A$4:$A$2635)+COUNT('Diário 2º PA'!$A$4:$A$3040)+COUNT('Diário 3º PA'!$A$4:$A$2731)+ROW()-3)</f>
        <v>6205</v>
      </c>
      <c r="B180" s="413">
        <v>44840</v>
      </c>
      <c r="C180" s="431">
        <v>44805</v>
      </c>
      <c r="D180" s="419" t="s">
        <v>468</v>
      </c>
      <c r="E180" s="419" t="s">
        <v>468</v>
      </c>
      <c r="F180" s="422">
        <v>1567.84</v>
      </c>
      <c r="G180" s="427" t="s">
        <v>6936</v>
      </c>
      <c r="H180" s="419" t="s">
        <v>468</v>
      </c>
      <c r="I180" s="415" t="s">
        <v>1811</v>
      </c>
      <c r="J180" s="415" t="s">
        <v>1023</v>
      </c>
      <c r="K180" s="419" t="s">
        <v>830</v>
      </c>
      <c r="L180" s="415" t="s">
        <v>32</v>
      </c>
      <c r="M180" s="419" t="s">
        <v>5399</v>
      </c>
      <c r="N180" s="413">
        <v>44838</v>
      </c>
      <c r="O180" s="414" t="s">
        <v>405</v>
      </c>
      <c r="P180" s="655">
        <f t="shared" si="9"/>
        <v>10</v>
      </c>
      <c r="Q180" s="655">
        <f t="shared" si="10"/>
        <v>9</v>
      </c>
      <c r="R180" s="758" t="str">
        <f t="shared" si="11"/>
        <v>Gastos_custeados_por_captação</v>
      </c>
      <c r="S180" s="697" t="s">
        <v>998</v>
      </c>
      <c r="T180" s="697">
        <v>4311</v>
      </c>
    </row>
    <row r="181" spans="1:20" ht="84" x14ac:dyDescent="0.2">
      <c r="A181" s="432">
        <f>IF(B181="","",COUNT('Diário 1º PA'!$A$4:$A$2635)+COUNT('Diário 2º PA'!$A$4:$A$3040)+COUNT('Diário 3º PA'!$A$4:$A$2731)+ROW()-3)</f>
        <v>6206</v>
      </c>
      <c r="B181" s="413">
        <v>44840</v>
      </c>
      <c r="C181" s="431">
        <v>44743</v>
      </c>
      <c r="D181" s="419" t="s">
        <v>468</v>
      </c>
      <c r="E181" s="419" t="s">
        <v>468</v>
      </c>
      <c r="F181" s="422">
        <v>6250</v>
      </c>
      <c r="G181" s="427" t="s">
        <v>5907</v>
      </c>
      <c r="H181" s="419" t="s">
        <v>468</v>
      </c>
      <c r="I181" s="415" t="s">
        <v>7743</v>
      </c>
      <c r="J181" s="415" t="s">
        <v>5908</v>
      </c>
      <c r="K181" s="419" t="s">
        <v>830</v>
      </c>
      <c r="L181" s="415" t="s">
        <v>32</v>
      </c>
      <c r="M181" s="419" t="s">
        <v>1813</v>
      </c>
      <c r="N181" s="413">
        <v>44837</v>
      </c>
      <c r="O181" s="414" t="s">
        <v>405</v>
      </c>
      <c r="P181" s="655">
        <f t="shared" si="9"/>
        <v>10</v>
      </c>
      <c r="Q181" s="655">
        <f t="shared" si="10"/>
        <v>7</v>
      </c>
      <c r="R181" s="758" t="str">
        <f t="shared" si="11"/>
        <v>Gastos_custeados_por_captação</v>
      </c>
      <c r="S181" s="697" t="s">
        <v>998</v>
      </c>
      <c r="T181" s="697">
        <v>4157</v>
      </c>
    </row>
    <row r="182" spans="1:20" ht="48" x14ac:dyDescent="0.2">
      <c r="A182" s="432">
        <f>IF(B182="","",COUNT('Diário 1º PA'!$A$4:$A$2635)+COUNT('Diário 2º PA'!$A$4:$A$3040)+COUNT('Diário 3º PA'!$A$4:$A$2731)+ROW()-3)</f>
        <v>6207</v>
      </c>
      <c r="B182" s="413">
        <v>44840</v>
      </c>
      <c r="C182" s="431">
        <v>44805</v>
      </c>
      <c r="D182" s="419" t="s">
        <v>468</v>
      </c>
      <c r="E182" s="419" t="s">
        <v>468</v>
      </c>
      <c r="F182" s="422">
        <v>2939.7</v>
      </c>
      <c r="G182" s="427" t="s">
        <v>6833</v>
      </c>
      <c r="H182" s="419" t="s">
        <v>468</v>
      </c>
      <c r="I182" s="415" t="s">
        <v>2627</v>
      </c>
      <c r="J182" s="415" t="s">
        <v>1137</v>
      </c>
      <c r="K182" s="419" t="s">
        <v>830</v>
      </c>
      <c r="L182" s="415" t="s">
        <v>32</v>
      </c>
      <c r="M182" s="419" t="s">
        <v>6716</v>
      </c>
      <c r="N182" s="413">
        <v>44838</v>
      </c>
      <c r="O182" s="414" t="s">
        <v>405</v>
      </c>
      <c r="P182" s="655">
        <f t="shared" si="9"/>
        <v>10</v>
      </c>
      <c r="Q182" s="655">
        <f t="shared" si="10"/>
        <v>9</v>
      </c>
      <c r="R182" s="758" t="str">
        <f t="shared" si="11"/>
        <v>Gastos_custeados_por_captação</v>
      </c>
      <c r="S182" s="746" t="s">
        <v>1000</v>
      </c>
      <c r="T182" s="697">
        <v>4292</v>
      </c>
    </row>
    <row r="183" spans="1:20" ht="72" x14ac:dyDescent="0.2">
      <c r="A183" s="432">
        <f>IF(B183="","",COUNT('Diário 1º PA'!$A$4:$A$2635)+COUNT('Diário 2º PA'!$A$4:$A$3040)+COUNT('Diário 3º PA'!$A$4:$A$2731)+ROW()-3)</f>
        <v>6208</v>
      </c>
      <c r="B183" s="413">
        <v>44840</v>
      </c>
      <c r="C183" s="431">
        <v>44743</v>
      </c>
      <c r="D183" s="419" t="s">
        <v>468</v>
      </c>
      <c r="E183" s="419" t="s">
        <v>468</v>
      </c>
      <c r="F183" s="422">
        <v>6250</v>
      </c>
      <c r="G183" s="427" t="s">
        <v>6075</v>
      </c>
      <c r="H183" s="419" t="s">
        <v>468</v>
      </c>
      <c r="I183" s="415" t="s">
        <v>7745</v>
      </c>
      <c r="J183" s="415" t="s">
        <v>6076</v>
      </c>
      <c r="K183" s="419" t="s">
        <v>830</v>
      </c>
      <c r="L183" s="415" t="s">
        <v>32</v>
      </c>
      <c r="M183" s="419" t="s">
        <v>1503</v>
      </c>
      <c r="N183" s="413">
        <v>44838</v>
      </c>
      <c r="O183" s="414" t="s">
        <v>405</v>
      </c>
      <c r="P183" s="655">
        <f t="shared" si="9"/>
        <v>10</v>
      </c>
      <c r="Q183" s="655">
        <f t="shared" si="10"/>
        <v>7</v>
      </c>
      <c r="R183" s="758" t="str">
        <f t="shared" si="11"/>
        <v>Gastos_custeados_por_captação</v>
      </c>
      <c r="S183" s="697" t="s">
        <v>998</v>
      </c>
      <c r="T183" s="697">
        <v>4173</v>
      </c>
    </row>
    <row r="184" spans="1:20" ht="48" x14ac:dyDescent="0.2">
      <c r="A184" s="432">
        <f>IF(B184="","",COUNT('Diário 1º PA'!$A$4:$A$2635)+COUNT('Diário 2º PA'!$A$4:$A$3040)+COUNT('Diário 3º PA'!$A$4:$A$2731)+ROW()-3)</f>
        <v>6209</v>
      </c>
      <c r="B184" s="413">
        <v>44840</v>
      </c>
      <c r="C184" s="431">
        <v>44805</v>
      </c>
      <c r="D184" s="419" t="s">
        <v>468</v>
      </c>
      <c r="E184" s="419" t="s">
        <v>468</v>
      </c>
      <c r="F184" s="422">
        <v>2500</v>
      </c>
      <c r="G184" s="427" t="s">
        <v>1986</v>
      </c>
      <c r="H184" s="419" t="s">
        <v>468</v>
      </c>
      <c r="I184" s="415" t="s">
        <v>6558</v>
      </c>
      <c r="J184" s="415" t="s">
        <v>1987</v>
      </c>
      <c r="K184" s="418" t="s">
        <v>830</v>
      </c>
      <c r="L184" s="399" t="s">
        <v>32</v>
      </c>
      <c r="M184" s="419" t="s">
        <v>1540</v>
      </c>
      <c r="N184" s="413">
        <v>44838</v>
      </c>
      <c r="O184" s="414" t="s">
        <v>404</v>
      </c>
      <c r="P184" s="655">
        <f t="shared" si="9"/>
        <v>10</v>
      </c>
      <c r="Q184" s="655">
        <f t="shared" si="10"/>
        <v>9</v>
      </c>
      <c r="R184" s="758" t="str">
        <f t="shared" si="11"/>
        <v>Gastos_custeados_por_captação</v>
      </c>
      <c r="S184" s="697" t="s">
        <v>1000</v>
      </c>
      <c r="T184" s="697">
        <v>3045</v>
      </c>
    </row>
    <row r="185" spans="1:20" ht="48" x14ac:dyDescent="0.2">
      <c r="A185" s="432">
        <f>IF(B185="","",COUNT('Diário 1º PA'!$A$4:$A$2635)+COUNT('Diário 2º PA'!$A$4:$A$3040)+COUNT('Diário 3º PA'!$A$4:$A$2731)+ROW()-3)</f>
        <v>6210</v>
      </c>
      <c r="B185" s="413">
        <v>44840</v>
      </c>
      <c r="C185" s="431">
        <v>44743</v>
      </c>
      <c r="D185" s="419" t="s">
        <v>468</v>
      </c>
      <c r="E185" s="419" t="s">
        <v>468</v>
      </c>
      <c r="F185" s="422">
        <v>16150</v>
      </c>
      <c r="G185" s="427" t="s">
        <v>6453</v>
      </c>
      <c r="H185" s="419" t="s">
        <v>468</v>
      </c>
      <c r="I185" s="473" t="s">
        <v>3671</v>
      </c>
      <c r="J185" s="415" t="s">
        <v>3282</v>
      </c>
      <c r="K185" s="418" t="s">
        <v>830</v>
      </c>
      <c r="L185" s="399" t="s">
        <v>32</v>
      </c>
      <c r="M185" s="419" t="s">
        <v>3763</v>
      </c>
      <c r="N185" s="413">
        <v>44839</v>
      </c>
      <c r="O185" s="414" t="s">
        <v>404</v>
      </c>
      <c r="P185" s="655">
        <f t="shared" si="9"/>
        <v>10</v>
      </c>
      <c r="Q185" s="655">
        <f t="shared" si="10"/>
        <v>7</v>
      </c>
      <c r="R185" s="758" t="str">
        <f t="shared" si="11"/>
        <v>Gastos_custeados_por_captação</v>
      </c>
      <c r="S185" s="697" t="s">
        <v>998</v>
      </c>
      <c r="T185" s="697">
        <v>3913</v>
      </c>
    </row>
    <row r="186" spans="1:20" ht="48" x14ac:dyDescent="0.2">
      <c r="A186" s="432">
        <f>IF(B186="","",COUNT('Diário 1º PA'!$A$4:$A$2635)+COUNT('Diário 2º PA'!$A$4:$A$3040)+COUNT('Diário 3º PA'!$A$4:$A$2731)+ROW()-3)</f>
        <v>6211</v>
      </c>
      <c r="B186" s="413">
        <v>44841</v>
      </c>
      <c r="C186" s="424">
        <v>44805</v>
      </c>
      <c r="D186" s="419" t="s">
        <v>182</v>
      </c>
      <c r="E186" s="419" t="s">
        <v>8</v>
      </c>
      <c r="F186" s="422">
        <v>-25.92</v>
      </c>
      <c r="G186" s="427" t="s">
        <v>7501</v>
      </c>
      <c r="H186" s="419" t="s">
        <v>310</v>
      </c>
      <c r="I186" s="415" t="s">
        <v>795</v>
      </c>
      <c r="J186" s="419" t="s">
        <v>796</v>
      </c>
      <c r="K186" s="419" t="s">
        <v>797</v>
      </c>
      <c r="L186" s="415" t="s">
        <v>798</v>
      </c>
      <c r="M186" s="419" t="s">
        <v>310</v>
      </c>
      <c r="N186" s="413">
        <v>44841</v>
      </c>
      <c r="O186" s="414" t="s">
        <v>400</v>
      </c>
      <c r="P186" s="655">
        <f t="shared" si="9"/>
        <v>10</v>
      </c>
      <c r="Q186" s="655">
        <f t="shared" si="10"/>
        <v>9</v>
      </c>
      <c r="R186" s="758" t="str">
        <f t="shared" si="11"/>
        <v>Gastos_com_Pessoal</v>
      </c>
      <c r="S186" s="697" t="s">
        <v>310</v>
      </c>
      <c r="T186" s="697" t="s">
        <v>310</v>
      </c>
    </row>
    <row r="187" spans="1:20" ht="48" x14ac:dyDescent="0.2">
      <c r="A187" s="432">
        <f>IF(B187="","",COUNT('Diário 1º PA'!$A$4:$A$2635)+COUNT('Diário 2º PA'!$A$4:$A$3040)+COUNT('Diário 3º PA'!$A$4:$A$2731)+ROW()-3)</f>
        <v>6212</v>
      </c>
      <c r="B187" s="413">
        <v>44841</v>
      </c>
      <c r="C187" s="424">
        <v>44805</v>
      </c>
      <c r="D187" s="419" t="s">
        <v>271</v>
      </c>
      <c r="E187" s="419" t="s">
        <v>297</v>
      </c>
      <c r="F187" s="422">
        <v>-14.47</v>
      </c>
      <c r="G187" s="423" t="s">
        <v>3909</v>
      </c>
      <c r="H187" s="419" t="s">
        <v>309</v>
      </c>
      <c r="I187" s="415" t="s">
        <v>795</v>
      </c>
      <c r="J187" s="419" t="s">
        <v>796</v>
      </c>
      <c r="K187" s="419" t="s">
        <v>797</v>
      </c>
      <c r="L187" s="415" t="s">
        <v>798</v>
      </c>
      <c r="M187" s="419" t="s">
        <v>310</v>
      </c>
      <c r="N187" s="413">
        <v>44841</v>
      </c>
      <c r="O187" s="414" t="s">
        <v>400</v>
      </c>
      <c r="P187" s="655">
        <f t="shared" si="9"/>
        <v>10</v>
      </c>
      <c r="Q187" s="655">
        <f t="shared" si="10"/>
        <v>9</v>
      </c>
      <c r="R187" s="758" t="str">
        <f t="shared" si="11"/>
        <v>Gastos_Gerais</v>
      </c>
      <c r="S187" s="697" t="s">
        <v>310</v>
      </c>
      <c r="T187" s="697" t="s">
        <v>310</v>
      </c>
    </row>
    <row r="188" spans="1:20" ht="48" x14ac:dyDescent="0.2">
      <c r="A188" s="432">
        <f>IF(B188="","",COUNT('Diário 1º PA'!$A$4:$A$2635)+COUNT('Diário 2º PA'!$A$4:$A$3040)+COUNT('Diário 3º PA'!$A$4:$A$2731)+ROW()-3)</f>
        <v>6213</v>
      </c>
      <c r="B188" s="413">
        <v>44841</v>
      </c>
      <c r="C188" s="466">
        <v>44805</v>
      </c>
      <c r="D188" s="426" t="s">
        <v>271</v>
      </c>
      <c r="E188" s="426" t="s">
        <v>297</v>
      </c>
      <c r="F188" s="686">
        <v>-28.94</v>
      </c>
      <c r="G188" s="642" t="s">
        <v>3907</v>
      </c>
      <c r="H188" s="426" t="s">
        <v>309</v>
      </c>
      <c r="I188" s="434" t="s">
        <v>795</v>
      </c>
      <c r="J188" s="426" t="s">
        <v>796</v>
      </c>
      <c r="K188" s="426" t="s">
        <v>797</v>
      </c>
      <c r="L188" s="434" t="s">
        <v>798</v>
      </c>
      <c r="M188" s="426" t="s">
        <v>310</v>
      </c>
      <c r="N188" s="413">
        <v>44841</v>
      </c>
      <c r="O188" s="414" t="s">
        <v>400</v>
      </c>
      <c r="P188" s="655">
        <f t="shared" si="9"/>
        <v>10</v>
      </c>
      <c r="Q188" s="655">
        <f t="shared" si="10"/>
        <v>9</v>
      </c>
      <c r="R188" s="758" t="str">
        <f t="shared" si="11"/>
        <v>Gastos_Gerais</v>
      </c>
      <c r="S188" s="697" t="s">
        <v>310</v>
      </c>
      <c r="T188" s="697" t="s">
        <v>310</v>
      </c>
    </row>
    <row r="189" spans="1:20" ht="48" x14ac:dyDescent="0.2">
      <c r="A189" s="432">
        <f>IF(B189="","",COUNT('Diário 1º PA'!$A$4:$A$2635)+COUNT('Diário 2º PA'!$A$4:$A$3040)+COUNT('Diário 3º PA'!$A$4:$A$2731)+ROW()-3)</f>
        <v>6214</v>
      </c>
      <c r="B189" s="413">
        <v>44841</v>
      </c>
      <c r="C189" s="466">
        <v>44805</v>
      </c>
      <c r="D189" s="426" t="s">
        <v>182</v>
      </c>
      <c r="E189" s="426" t="s">
        <v>4</v>
      </c>
      <c r="F189" s="686">
        <v>-577.05999999999995</v>
      </c>
      <c r="G189" s="642" t="s">
        <v>7502</v>
      </c>
      <c r="H189" s="426" t="s">
        <v>310</v>
      </c>
      <c r="I189" s="434" t="s">
        <v>795</v>
      </c>
      <c r="J189" s="426" t="s">
        <v>796</v>
      </c>
      <c r="K189" s="426" t="s">
        <v>797</v>
      </c>
      <c r="L189" s="434" t="s">
        <v>798</v>
      </c>
      <c r="M189" s="426" t="s">
        <v>310</v>
      </c>
      <c r="N189" s="413">
        <v>44841</v>
      </c>
      <c r="O189" s="414" t="s">
        <v>400</v>
      </c>
      <c r="P189" s="655">
        <f t="shared" si="9"/>
        <v>10</v>
      </c>
      <c r="Q189" s="655">
        <f t="shared" si="10"/>
        <v>9</v>
      </c>
      <c r="R189" s="758" t="str">
        <f t="shared" si="11"/>
        <v>Gastos_com_Pessoal</v>
      </c>
      <c r="S189" s="697" t="s">
        <v>310</v>
      </c>
      <c r="T189" s="697" t="s">
        <v>310</v>
      </c>
    </row>
    <row r="190" spans="1:20" ht="48" x14ac:dyDescent="0.2">
      <c r="A190" s="432">
        <f>IF(B190="","",COUNT('Diário 1º PA'!$A$4:$A$2635)+COUNT('Diário 2º PA'!$A$4:$A$3040)+COUNT('Diário 3º PA'!$A$4:$A$2731)+ROW()-3)</f>
        <v>6215</v>
      </c>
      <c r="B190" s="413">
        <v>44841</v>
      </c>
      <c r="C190" s="466">
        <v>44805</v>
      </c>
      <c r="D190" s="426" t="s">
        <v>271</v>
      </c>
      <c r="E190" s="426" t="s">
        <v>297</v>
      </c>
      <c r="F190" s="686">
        <v>-303.87</v>
      </c>
      <c r="G190" s="642" t="s">
        <v>6345</v>
      </c>
      <c r="H190" s="426" t="s">
        <v>309</v>
      </c>
      <c r="I190" s="434" t="s">
        <v>795</v>
      </c>
      <c r="J190" s="426" t="s">
        <v>796</v>
      </c>
      <c r="K190" s="426" t="s">
        <v>797</v>
      </c>
      <c r="L190" s="434" t="s">
        <v>798</v>
      </c>
      <c r="M190" s="426" t="s">
        <v>310</v>
      </c>
      <c r="N190" s="413">
        <v>44841</v>
      </c>
      <c r="O190" s="414" t="s">
        <v>400</v>
      </c>
      <c r="P190" s="655">
        <f t="shared" si="9"/>
        <v>10</v>
      </c>
      <c r="Q190" s="655">
        <f t="shared" si="10"/>
        <v>9</v>
      </c>
      <c r="R190" s="758" t="str">
        <f t="shared" si="11"/>
        <v>Gastos_Gerais</v>
      </c>
      <c r="S190" s="697" t="s">
        <v>310</v>
      </c>
      <c r="T190" s="697" t="s">
        <v>310</v>
      </c>
    </row>
    <row r="191" spans="1:20" ht="48" x14ac:dyDescent="0.2">
      <c r="A191" s="432">
        <f>IF(B191="","",COUNT('Diário 1º PA'!$A$4:$A$2635)+COUNT('Diário 2º PA'!$A$4:$A$3040)+COUNT('Diário 3º PA'!$A$4:$A$2731)+ROW()-3)</f>
        <v>6216</v>
      </c>
      <c r="B191" s="413">
        <v>44841</v>
      </c>
      <c r="C191" s="466">
        <v>44805</v>
      </c>
      <c r="D191" s="426" t="s">
        <v>182</v>
      </c>
      <c r="E191" s="426" t="s">
        <v>8</v>
      </c>
      <c r="F191" s="686">
        <v>-77.760000000000005</v>
      </c>
      <c r="G191" s="642" t="s">
        <v>7503</v>
      </c>
      <c r="H191" s="426" t="s">
        <v>310</v>
      </c>
      <c r="I191" s="434" t="s">
        <v>795</v>
      </c>
      <c r="J191" s="426" t="s">
        <v>796</v>
      </c>
      <c r="K191" s="426" t="s">
        <v>797</v>
      </c>
      <c r="L191" s="434" t="s">
        <v>798</v>
      </c>
      <c r="M191" s="419" t="s">
        <v>310</v>
      </c>
      <c r="N191" s="413">
        <v>44841</v>
      </c>
      <c r="O191" s="414" t="s">
        <v>400</v>
      </c>
      <c r="P191" s="655">
        <f t="shared" si="9"/>
        <v>10</v>
      </c>
      <c r="Q191" s="655">
        <f t="shared" si="10"/>
        <v>9</v>
      </c>
      <c r="R191" s="758" t="str">
        <f t="shared" si="11"/>
        <v>Gastos_com_Pessoal</v>
      </c>
      <c r="S191" s="697" t="s">
        <v>310</v>
      </c>
      <c r="T191" s="697" t="s">
        <v>310</v>
      </c>
    </row>
    <row r="192" spans="1:20" ht="60" x14ac:dyDescent="0.2">
      <c r="A192" s="432">
        <f>IF(B192="","",COUNT('Diário 1º PA'!$A$4:$A$2635)+COUNT('Diário 2º PA'!$A$4:$A$3040)+COUNT('Diário 3º PA'!$A$4:$A$2731)+ROW()-3)</f>
        <v>6217</v>
      </c>
      <c r="B192" s="413">
        <v>44841</v>
      </c>
      <c r="C192" s="466">
        <v>44805</v>
      </c>
      <c r="D192" s="426" t="s">
        <v>182</v>
      </c>
      <c r="E192" s="426" t="s">
        <v>4</v>
      </c>
      <c r="F192" s="686">
        <v>-1819.5</v>
      </c>
      <c r="G192" s="642" t="s">
        <v>7504</v>
      </c>
      <c r="H192" s="426" t="s">
        <v>310</v>
      </c>
      <c r="I192" s="434" t="s">
        <v>795</v>
      </c>
      <c r="J192" s="426" t="s">
        <v>796</v>
      </c>
      <c r="K192" s="426" t="s">
        <v>797</v>
      </c>
      <c r="L192" s="434" t="s">
        <v>798</v>
      </c>
      <c r="M192" s="419" t="s">
        <v>310</v>
      </c>
      <c r="N192" s="413">
        <v>44841</v>
      </c>
      <c r="O192" s="414" t="s">
        <v>400</v>
      </c>
      <c r="P192" s="655">
        <f t="shared" si="9"/>
        <v>10</v>
      </c>
      <c r="Q192" s="655">
        <f t="shared" si="10"/>
        <v>9</v>
      </c>
      <c r="R192" s="758" t="str">
        <f t="shared" si="11"/>
        <v>Gastos_com_Pessoal</v>
      </c>
      <c r="S192" s="697" t="s">
        <v>310</v>
      </c>
      <c r="T192" s="697" t="s">
        <v>310</v>
      </c>
    </row>
    <row r="193" spans="1:20" ht="48" x14ac:dyDescent="0.2">
      <c r="A193" s="432">
        <f>IF(B193="","",COUNT('Diário 1º PA'!$A$4:$A$2635)+COUNT('Diário 2º PA'!$A$4:$A$3040)+COUNT('Diário 3º PA'!$A$4:$A$2731)+ROW()-3)</f>
        <v>6218</v>
      </c>
      <c r="B193" s="413">
        <v>44841</v>
      </c>
      <c r="C193" s="466">
        <v>44805</v>
      </c>
      <c r="D193" s="426" t="s">
        <v>271</v>
      </c>
      <c r="E193" s="426" t="s">
        <v>297</v>
      </c>
      <c r="F193" s="686">
        <v>-115.76</v>
      </c>
      <c r="G193" s="642" t="s">
        <v>3426</v>
      </c>
      <c r="H193" s="426" t="s">
        <v>309</v>
      </c>
      <c r="I193" s="434" t="s">
        <v>795</v>
      </c>
      <c r="J193" s="426" t="s">
        <v>796</v>
      </c>
      <c r="K193" s="426" t="s">
        <v>797</v>
      </c>
      <c r="L193" s="434" t="s">
        <v>798</v>
      </c>
      <c r="M193" s="419" t="s">
        <v>310</v>
      </c>
      <c r="N193" s="413">
        <v>44841</v>
      </c>
      <c r="O193" s="414" t="s">
        <v>400</v>
      </c>
      <c r="P193" s="655">
        <f t="shared" si="9"/>
        <v>10</v>
      </c>
      <c r="Q193" s="655">
        <f t="shared" si="10"/>
        <v>9</v>
      </c>
      <c r="R193" s="758" t="str">
        <f t="shared" si="11"/>
        <v>Gastos_Gerais</v>
      </c>
      <c r="S193" s="697" t="s">
        <v>310</v>
      </c>
      <c r="T193" s="697" t="s">
        <v>310</v>
      </c>
    </row>
    <row r="194" spans="1:20" ht="48" x14ac:dyDescent="0.2">
      <c r="A194" s="432">
        <f>IF(B194="","",COUNT('Diário 1º PA'!$A$4:$A$2635)+COUNT('Diário 2º PA'!$A$4:$A$3040)+COUNT('Diário 3º PA'!$A$4:$A$2731)+ROW()-3)</f>
        <v>6219</v>
      </c>
      <c r="B194" s="413">
        <v>44841</v>
      </c>
      <c r="C194" s="466">
        <v>44805</v>
      </c>
      <c r="D194" s="426" t="s">
        <v>182</v>
      </c>
      <c r="E194" s="426" t="s">
        <v>8</v>
      </c>
      <c r="F194" s="686">
        <v>-129.61000000000001</v>
      </c>
      <c r="G194" s="642" t="s">
        <v>7505</v>
      </c>
      <c r="H194" s="426" t="s">
        <v>310</v>
      </c>
      <c r="I194" s="434" t="s">
        <v>795</v>
      </c>
      <c r="J194" s="426" t="s">
        <v>796</v>
      </c>
      <c r="K194" s="419" t="s">
        <v>797</v>
      </c>
      <c r="L194" s="415" t="s">
        <v>798</v>
      </c>
      <c r="M194" s="419" t="s">
        <v>310</v>
      </c>
      <c r="N194" s="413">
        <v>44841</v>
      </c>
      <c r="O194" s="414" t="s">
        <v>400</v>
      </c>
      <c r="P194" s="655">
        <f t="shared" si="9"/>
        <v>10</v>
      </c>
      <c r="Q194" s="655">
        <f t="shared" si="10"/>
        <v>9</v>
      </c>
      <c r="R194" s="758" t="str">
        <f t="shared" si="11"/>
        <v>Gastos_com_Pessoal</v>
      </c>
      <c r="S194" s="697" t="s">
        <v>310</v>
      </c>
      <c r="T194" s="697" t="s">
        <v>310</v>
      </c>
    </row>
    <row r="195" spans="1:20" ht="48" x14ac:dyDescent="0.2">
      <c r="A195" s="432">
        <f>IF(B195="","",COUNT('Diário 1º PA'!$A$4:$A$2635)+COUNT('Diário 2º PA'!$A$4:$A$3040)+COUNT('Diário 3º PA'!$A$4:$A$2731)+ROW()-3)</f>
        <v>6220</v>
      </c>
      <c r="B195" s="413">
        <v>44841</v>
      </c>
      <c r="C195" s="466">
        <v>44805</v>
      </c>
      <c r="D195" s="426" t="s">
        <v>182</v>
      </c>
      <c r="E195" s="426" t="s">
        <v>4</v>
      </c>
      <c r="F195" s="686">
        <v>-101.2</v>
      </c>
      <c r="G195" s="642" t="s">
        <v>7506</v>
      </c>
      <c r="H195" s="426" t="s">
        <v>310</v>
      </c>
      <c r="I195" s="434" t="s">
        <v>795</v>
      </c>
      <c r="J195" s="426" t="s">
        <v>796</v>
      </c>
      <c r="K195" s="426" t="s">
        <v>797</v>
      </c>
      <c r="L195" s="434" t="s">
        <v>798</v>
      </c>
      <c r="M195" s="419" t="s">
        <v>310</v>
      </c>
      <c r="N195" s="413">
        <v>44841</v>
      </c>
      <c r="O195" s="414" t="s">
        <v>400</v>
      </c>
      <c r="P195" s="655">
        <f t="shared" si="9"/>
        <v>10</v>
      </c>
      <c r="Q195" s="655">
        <f t="shared" si="10"/>
        <v>9</v>
      </c>
      <c r="R195" s="758" t="str">
        <f t="shared" si="11"/>
        <v>Gastos_com_Pessoal</v>
      </c>
      <c r="S195" s="697" t="s">
        <v>310</v>
      </c>
      <c r="T195" s="697" t="s">
        <v>310</v>
      </c>
    </row>
    <row r="196" spans="1:20" ht="48" x14ac:dyDescent="0.2">
      <c r="A196" s="432">
        <f>IF(B196="","",COUNT('Diário 1º PA'!$A$4:$A$2635)+COUNT('Diário 2º PA'!$A$4:$A$3040)+COUNT('Diário 3º PA'!$A$4:$A$2731)+ROW()-3)</f>
        <v>6221</v>
      </c>
      <c r="B196" s="413">
        <v>44841</v>
      </c>
      <c r="C196" s="466">
        <v>44774</v>
      </c>
      <c r="D196" s="426" t="s">
        <v>271</v>
      </c>
      <c r="E196" s="426" t="s">
        <v>453</v>
      </c>
      <c r="F196" s="686">
        <v>2555.34</v>
      </c>
      <c r="G196" s="642" t="s">
        <v>5905</v>
      </c>
      <c r="H196" s="426" t="s">
        <v>752</v>
      </c>
      <c r="I196" s="434" t="s">
        <v>6948</v>
      </c>
      <c r="J196" s="426" t="s">
        <v>5827</v>
      </c>
      <c r="K196" s="426" t="s">
        <v>806</v>
      </c>
      <c r="L196" s="434" t="s">
        <v>839</v>
      </c>
      <c r="M196" s="419">
        <v>2034</v>
      </c>
      <c r="N196" s="413">
        <v>44838</v>
      </c>
      <c r="O196" s="414" t="s">
        <v>400</v>
      </c>
      <c r="P196" s="655">
        <f t="shared" si="9"/>
        <v>10</v>
      </c>
      <c r="Q196" s="655">
        <f t="shared" si="10"/>
        <v>8</v>
      </c>
      <c r="R196" s="758" t="str">
        <f t="shared" si="11"/>
        <v>Gastos_Gerais</v>
      </c>
      <c r="S196" s="697" t="s">
        <v>998</v>
      </c>
      <c r="T196" s="697">
        <v>4143</v>
      </c>
    </row>
    <row r="197" spans="1:20" ht="48" x14ac:dyDescent="0.2">
      <c r="A197" s="432">
        <f>IF(B197="","",COUNT('Diário 1º PA'!$A$4:$A$2635)+COUNT('Diário 2º PA'!$A$4:$A$3040)+COUNT('Diário 3º PA'!$A$4:$A$2731)+ROW()-3)</f>
        <v>6222</v>
      </c>
      <c r="B197" s="413">
        <v>44841</v>
      </c>
      <c r="C197" s="466">
        <v>44805</v>
      </c>
      <c r="D197" s="426" t="s">
        <v>271</v>
      </c>
      <c r="E197" s="426" t="s">
        <v>453</v>
      </c>
      <c r="F197" s="686">
        <v>850</v>
      </c>
      <c r="G197" s="642" t="s">
        <v>7112</v>
      </c>
      <c r="H197" s="426" t="s">
        <v>758</v>
      </c>
      <c r="I197" s="434" t="s">
        <v>6274</v>
      </c>
      <c r="J197" s="426" t="s">
        <v>6161</v>
      </c>
      <c r="K197" s="426" t="s">
        <v>806</v>
      </c>
      <c r="L197" s="415" t="s">
        <v>32</v>
      </c>
      <c r="M197" s="419" t="s">
        <v>6716</v>
      </c>
      <c r="N197" s="413">
        <v>44840</v>
      </c>
      <c r="O197" s="414" t="s">
        <v>400</v>
      </c>
      <c r="P197" s="655">
        <f t="shared" si="9"/>
        <v>10</v>
      </c>
      <c r="Q197" s="655">
        <f t="shared" si="10"/>
        <v>9</v>
      </c>
      <c r="R197" s="758" t="str">
        <f t="shared" si="11"/>
        <v>Gastos_Gerais</v>
      </c>
      <c r="S197" s="697" t="s">
        <v>998</v>
      </c>
      <c r="T197" s="697">
        <v>4331</v>
      </c>
    </row>
    <row r="198" spans="1:20" ht="24" x14ac:dyDescent="0.2">
      <c r="A198" s="432">
        <f>IF(B198="","",COUNT('Diário 1º PA'!$A$4:$A$2635)+COUNT('Diário 2º PA'!$A$4:$A$3040)+COUNT('Diário 3º PA'!$A$4:$A$2731)+ROW()-3)</f>
        <v>6223</v>
      </c>
      <c r="B198" s="413">
        <v>44841</v>
      </c>
      <c r="C198" s="466">
        <v>44805</v>
      </c>
      <c r="D198" s="426" t="s">
        <v>182</v>
      </c>
      <c r="E198" s="426" t="s">
        <v>4</v>
      </c>
      <c r="F198" s="686">
        <v>23558.09</v>
      </c>
      <c r="G198" s="642" t="s">
        <v>7507</v>
      </c>
      <c r="H198" s="426" t="s">
        <v>310</v>
      </c>
      <c r="I198" s="434" t="s">
        <v>1219</v>
      </c>
      <c r="J198" s="426" t="s">
        <v>310</v>
      </c>
      <c r="K198" s="426" t="s">
        <v>1220</v>
      </c>
      <c r="L198" s="434" t="s">
        <v>4</v>
      </c>
      <c r="M198" s="426" t="s">
        <v>310</v>
      </c>
      <c r="N198" s="413">
        <v>44840</v>
      </c>
      <c r="O198" s="414" t="s">
        <v>400</v>
      </c>
      <c r="P198" s="655">
        <f t="shared" si="9"/>
        <v>10</v>
      </c>
      <c r="Q198" s="655">
        <f t="shared" si="10"/>
        <v>9</v>
      </c>
      <c r="R198" s="758" t="str">
        <f t="shared" si="11"/>
        <v>Gastos_com_Pessoal</v>
      </c>
      <c r="S198" s="697" t="s">
        <v>310</v>
      </c>
      <c r="T198" s="697" t="s">
        <v>310</v>
      </c>
    </row>
    <row r="199" spans="1:20" ht="24" x14ac:dyDescent="0.2">
      <c r="A199" s="432">
        <f>IF(B199="","",COUNT('Diário 1º PA'!$A$4:$A$2635)+COUNT('Diário 2º PA'!$A$4:$A$3040)+COUNT('Diário 3º PA'!$A$4:$A$2731)+ROW()-3)</f>
        <v>6224</v>
      </c>
      <c r="B199" s="413">
        <v>44841</v>
      </c>
      <c r="C199" s="424">
        <v>44805</v>
      </c>
      <c r="D199" s="419" t="s">
        <v>271</v>
      </c>
      <c r="E199" s="419" t="s">
        <v>85</v>
      </c>
      <c r="F199" s="422">
        <v>78.28</v>
      </c>
      <c r="G199" s="423" t="s">
        <v>5716</v>
      </c>
      <c r="H199" s="419" t="s">
        <v>750</v>
      </c>
      <c r="I199" s="415" t="s">
        <v>765</v>
      </c>
      <c r="J199" s="419" t="s">
        <v>892</v>
      </c>
      <c r="K199" s="419" t="s">
        <v>893</v>
      </c>
      <c r="L199" s="415" t="s">
        <v>807</v>
      </c>
      <c r="M199" s="419">
        <v>87176008</v>
      </c>
      <c r="N199" s="413">
        <v>44823</v>
      </c>
      <c r="O199" s="414" t="s">
        <v>400</v>
      </c>
      <c r="P199" s="655">
        <f t="shared" si="9"/>
        <v>10</v>
      </c>
      <c r="Q199" s="655">
        <f t="shared" si="10"/>
        <v>9</v>
      </c>
      <c r="R199" s="758" t="str">
        <f t="shared" si="11"/>
        <v>Gastos_Gerais</v>
      </c>
      <c r="S199" s="697" t="s">
        <v>310</v>
      </c>
      <c r="T199" s="697" t="s">
        <v>310</v>
      </c>
    </row>
    <row r="200" spans="1:20" ht="24" x14ac:dyDescent="0.2">
      <c r="A200" s="432">
        <f>IF(B200="","",COUNT('Diário 1º PA'!$A$4:$A$2635)+COUNT('Diário 2º PA'!$A$4:$A$3040)+COUNT('Diário 3º PA'!$A$4:$A$2731)+ROW()-3)</f>
        <v>6225</v>
      </c>
      <c r="B200" s="413">
        <v>44841</v>
      </c>
      <c r="C200" s="424">
        <v>44805</v>
      </c>
      <c r="D200" s="419" t="s">
        <v>182</v>
      </c>
      <c r="E200" s="419" t="s">
        <v>8</v>
      </c>
      <c r="F200" s="422">
        <v>1892.24</v>
      </c>
      <c r="G200" s="423" t="s">
        <v>506</v>
      </c>
      <c r="H200" s="419" t="s">
        <v>310</v>
      </c>
      <c r="I200" s="415" t="s">
        <v>770</v>
      </c>
      <c r="J200" s="419" t="s">
        <v>825</v>
      </c>
      <c r="K200" s="419" t="s">
        <v>812</v>
      </c>
      <c r="L200" s="415" t="s">
        <v>826</v>
      </c>
      <c r="M200" s="419">
        <v>8134322</v>
      </c>
      <c r="N200" s="413">
        <v>44831</v>
      </c>
      <c r="O200" s="414" t="s">
        <v>400</v>
      </c>
      <c r="P200" s="655">
        <f t="shared" si="9"/>
        <v>10</v>
      </c>
      <c r="Q200" s="655">
        <f t="shared" si="10"/>
        <v>9</v>
      </c>
      <c r="R200" s="758" t="str">
        <f t="shared" si="11"/>
        <v>Gastos_com_Pessoal</v>
      </c>
      <c r="S200" s="697" t="s">
        <v>310</v>
      </c>
      <c r="T200" s="697" t="s">
        <v>310</v>
      </c>
    </row>
    <row r="201" spans="1:20" ht="108" x14ac:dyDescent="0.2">
      <c r="A201" s="432">
        <f>IF(B201="","",COUNT('Diário 1º PA'!$A$4:$A$2635)+COUNT('Diário 2º PA'!$A$4:$A$3040)+COUNT('Diário 3º PA'!$A$4:$A$2731)+ROW()-3)</f>
        <v>6226</v>
      </c>
      <c r="B201" s="413">
        <v>44841</v>
      </c>
      <c r="C201" s="424">
        <v>44805</v>
      </c>
      <c r="D201" s="419" t="s">
        <v>271</v>
      </c>
      <c r="E201" s="419" t="s">
        <v>90</v>
      </c>
      <c r="F201" s="422">
        <v>1800</v>
      </c>
      <c r="G201" s="423" t="s">
        <v>7384</v>
      </c>
      <c r="H201" s="419" t="s">
        <v>760</v>
      </c>
      <c r="I201" s="415" t="s">
        <v>7508</v>
      </c>
      <c r="J201" s="419" t="s">
        <v>7385</v>
      </c>
      <c r="K201" s="419" t="s">
        <v>830</v>
      </c>
      <c r="L201" s="415" t="s">
        <v>32</v>
      </c>
      <c r="M201" s="419">
        <v>16</v>
      </c>
      <c r="N201" s="413">
        <v>44839</v>
      </c>
      <c r="O201" s="414" t="s">
        <v>400</v>
      </c>
      <c r="P201" s="655">
        <f t="shared" si="9"/>
        <v>10</v>
      </c>
      <c r="Q201" s="655">
        <f t="shared" si="10"/>
        <v>9</v>
      </c>
      <c r="R201" s="758" t="str">
        <f t="shared" si="11"/>
        <v>Gastos_Gerais</v>
      </c>
      <c r="S201" s="697" t="s">
        <v>1000</v>
      </c>
      <c r="T201" s="697">
        <v>4313</v>
      </c>
    </row>
    <row r="202" spans="1:20" ht="120" x14ac:dyDescent="0.2">
      <c r="A202" s="432">
        <f>IF(B202="","",COUNT('Diário 1º PA'!$A$4:$A$2635)+COUNT('Diário 2º PA'!$A$4:$A$3040)+COUNT('Diário 3º PA'!$A$4:$A$2731)+ROW()-3)</f>
        <v>6227</v>
      </c>
      <c r="B202" s="413">
        <v>44841</v>
      </c>
      <c r="C202" s="424">
        <v>44805</v>
      </c>
      <c r="D202" s="419" t="s">
        <v>271</v>
      </c>
      <c r="E202" s="419" t="s">
        <v>297</v>
      </c>
      <c r="F202" s="422">
        <v>1360.18</v>
      </c>
      <c r="G202" s="423" t="s">
        <v>3925</v>
      </c>
      <c r="H202" s="419" t="s">
        <v>309</v>
      </c>
      <c r="I202" s="415" t="s">
        <v>776</v>
      </c>
      <c r="J202" s="419" t="s">
        <v>1036</v>
      </c>
      <c r="K202" s="419" t="s">
        <v>812</v>
      </c>
      <c r="L202" s="415" t="s">
        <v>32</v>
      </c>
      <c r="M202" s="419">
        <v>51479</v>
      </c>
      <c r="N202" s="413">
        <v>44837</v>
      </c>
      <c r="O202" s="414" t="s">
        <v>400</v>
      </c>
      <c r="P202" s="655">
        <f t="shared" si="9"/>
        <v>10</v>
      </c>
      <c r="Q202" s="655">
        <f t="shared" si="10"/>
        <v>9</v>
      </c>
      <c r="R202" s="758" t="str">
        <f t="shared" si="11"/>
        <v>Gastos_Gerais</v>
      </c>
      <c r="S202" s="697" t="s">
        <v>1000</v>
      </c>
      <c r="T202" s="697">
        <v>1141</v>
      </c>
    </row>
    <row r="203" spans="1:20" ht="36" x14ac:dyDescent="0.2">
      <c r="A203" s="432">
        <f>IF(B203="","",COUNT('Diário 1º PA'!$A$4:$A$2635)+COUNT('Diário 2º PA'!$A$4:$A$3040)+COUNT('Diário 3º PA'!$A$4:$A$2731)+ROW()-3)</f>
        <v>6228</v>
      </c>
      <c r="B203" s="413">
        <v>44841</v>
      </c>
      <c r="C203" s="424">
        <v>44835</v>
      </c>
      <c r="D203" s="419" t="s">
        <v>271</v>
      </c>
      <c r="E203" s="419" t="s">
        <v>71</v>
      </c>
      <c r="F203" s="422">
        <v>11</v>
      </c>
      <c r="G203" s="423" t="s">
        <v>7509</v>
      </c>
      <c r="H203" s="419" t="s">
        <v>760</v>
      </c>
      <c r="I203" s="415" t="s">
        <v>881</v>
      </c>
      <c r="J203" s="419" t="s">
        <v>882</v>
      </c>
      <c r="K203" s="419" t="s">
        <v>883</v>
      </c>
      <c r="L203" s="415" t="s">
        <v>798</v>
      </c>
      <c r="M203" s="419" t="s">
        <v>310</v>
      </c>
      <c r="N203" s="413">
        <v>44841</v>
      </c>
      <c r="O203" s="414" t="s">
        <v>400</v>
      </c>
      <c r="P203" s="655">
        <f t="shared" si="9"/>
        <v>10</v>
      </c>
      <c r="Q203" s="655">
        <f t="shared" si="10"/>
        <v>10</v>
      </c>
      <c r="R203" s="758" t="str">
        <f t="shared" si="11"/>
        <v>Gastos_Gerais</v>
      </c>
      <c r="S203" s="697" t="s">
        <v>310</v>
      </c>
      <c r="T203" s="697" t="s">
        <v>310</v>
      </c>
    </row>
    <row r="204" spans="1:20" ht="48" x14ac:dyDescent="0.2">
      <c r="A204" s="432">
        <f>IF(B204="","",COUNT('Diário 1º PA'!$A$4:$A$2635)+COUNT('Diário 2º PA'!$A$4:$A$3040)+COUNT('Diário 3º PA'!$A$4:$A$2731)+ROW()-3)</f>
        <v>6229</v>
      </c>
      <c r="B204" s="413">
        <v>44841</v>
      </c>
      <c r="C204" s="431">
        <v>44774</v>
      </c>
      <c r="D204" s="419" t="s">
        <v>468</v>
      </c>
      <c r="E204" s="419" t="s">
        <v>468</v>
      </c>
      <c r="F204" s="422">
        <v>2750</v>
      </c>
      <c r="G204" s="427" t="s">
        <v>694</v>
      </c>
      <c r="H204" s="419" t="s">
        <v>468</v>
      </c>
      <c r="I204" s="415" t="s">
        <v>2476</v>
      </c>
      <c r="J204" s="415" t="s">
        <v>1133</v>
      </c>
      <c r="K204" s="419" t="s">
        <v>830</v>
      </c>
      <c r="L204" s="415" t="s">
        <v>32</v>
      </c>
      <c r="M204" s="419" t="s">
        <v>1793</v>
      </c>
      <c r="N204" s="413">
        <v>44841</v>
      </c>
      <c r="O204" s="414" t="s">
        <v>408</v>
      </c>
      <c r="P204" s="655">
        <f t="shared" si="9"/>
        <v>10</v>
      </c>
      <c r="Q204" s="655">
        <f t="shared" si="10"/>
        <v>8</v>
      </c>
      <c r="R204" s="758" t="str">
        <f t="shared" si="11"/>
        <v>Gastos_custeados_por_captação</v>
      </c>
      <c r="S204" s="697" t="s">
        <v>1000</v>
      </c>
      <c r="T204" s="697">
        <v>2740</v>
      </c>
    </row>
    <row r="205" spans="1:20" ht="36" x14ac:dyDescent="0.2">
      <c r="A205" s="432">
        <f>IF(B205="","",COUNT('Diário 1º PA'!$A$4:$A$2635)+COUNT('Diário 2º PA'!$A$4:$A$3040)+COUNT('Diário 3º PA'!$A$4:$A$2731)+ROW()-3)</f>
        <v>6230</v>
      </c>
      <c r="B205" s="413">
        <v>44841</v>
      </c>
      <c r="C205" s="424">
        <v>44835</v>
      </c>
      <c r="D205" s="419" t="s">
        <v>468</v>
      </c>
      <c r="E205" s="419" t="s">
        <v>468</v>
      </c>
      <c r="F205" s="422">
        <v>11</v>
      </c>
      <c r="G205" s="427" t="s">
        <v>2469</v>
      </c>
      <c r="H205" s="419" t="s">
        <v>468</v>
      </c>
      <c r="I205" s="639" t="s">
        <v>881</v>
      </c>
      <c r="J205" s="418" t="s">
        <v>882</v>
      </c>
      <c r="K205" s="418" t="s">
        <v>883</v>
      </c>
      <c r="L205" s="399" t="s">
        <v>798</v>
      </c>
      <c r="M205" s="544" t="s">
        <v>310</v>
      </c>
      <c r="N205" s="413">
        <v>44841</v>
      </c>
      <c r="O205" s="414" t="s">
        <v>408</v>
      </c>
      <c r="P205" s="655">
        <f t="shared" si="9"/>
        <v>10</v>
      </c>
      <c r="Q205" s="655">
        <f t="shared" si="10"/>
        <v>10</v>
      </c>
      <c r="R205" s="758" t="str">
        <f t="shared" si="11"/>
        <v>Gastos_custeados_por_captação</v>
      </c>
      <c r="S205" s="697" t="s">
        <v>310</v>
      </c>
      <c r="T205" s="697" t="s">
        <v>310</v>
      </c>
    </row>
    <row r="206" spans="1:20" ht="36" x14ac:dyDescent="0.2">
      <c r="A206" s="432">
        <f>IF(B206="","",COUNT('Diário 1º PA'!$A$4:$A$2635)+COUNT('Diário 2º PA'!$A$4:$A$3040)+COUNT('Diário 3º PA'!$A$4:$A$2731)+ROW()-3)</f>
        <v>6231</v>
      </c>
      <c r="B206" s="413">
        <v>44841</v>
      </c>
      <c r="C206" s="431">
        <v>44805</v>
      </c>
      <c r="D206" s="419" t="s">
        <v>468</v>
      </c>
      <c r="E206" s="419" t="s">
        <v>468</v>
      </c>
      <c r="F206" s="422">
        <v>1680</v>
      </c>
      <c r="G206" s="427" t="s">
        <v>7119</v>
      </c>
      <c r="H206" s="419" t="s">
        <v>468</v>
      </c>
      <c r="I206" s="639" t="s">
        <v>3690</v>
      </c>
      <c r="J206" s="415" t="s">
        <v>1989</v>
      </c>
      <c r="K206" s="419" t="s">
        <v>830</v>
      </c>
      <c r="L206" s="415" t="s">
        <v>839</v>
      </c>
      <c r="M206" s="544">
        <v>2047</v>
      </c>
      <c r="N206" s="413">
        <v>44839</v>
      </c>
      <c r="O206" s="414" t="s">
        <v>3762</v>
      </c>
      <c r="P206" s="655">
        <f t="shared" si="9"/>
        <v>10</v>
      </c>
      <c r="Q206" s="655">
        <f t="shared" si="10"/>
        <v>9</v>
      </c>
      <c r="R206" s="758" t="str">
        <f t="shared" si="11"/>
        <v>Gastos_custeados_por_captação</v>
      </c>
      <c r="S206" s="697" t="s">
        <v>1000</v>
      </c>
      <c r="T206" s="697">
        <v>4342</v>
      </c>
    </row>
    <row r="207" spans="1:20" ht="48" x14ac:dyDescent="0.2">
      <c r="A207" s="432">
        <f>IF(B207="","",COUNT('Diário 1º PA'!$A$4:$A$2635)+COUNT('Diário 2º PA'!$A$4:$A$3040)+COUNT('Diário 3º PA'!$A$4:$A$2731)+ROW()-3)</f>
        <v>6232</v>
      </c>
      <c r="B207" s="413">
        <v>44841</v>
      </c>
      <c r="C207" s="431">
        <v>44713</v>
      </c>
      <c r="D207" s="419" t="s">
        <v>468</v>
      </c>
      <c r="E207" s="419" t="s">
        <v>468</v>
      </c>
      <c r="F207" s="422">
        <v>9.24</v>
      </c>
      <c r="G207" s="427" t="s">
        <v>7746</v>
      </c>
      <c r="H207" s="419" t="s">
        <v>468</v>
      </c>
      <c r="I207" s="639" t="s">
        <v>6625</v>
      </c>
      <c r="J207" s="415" t="s">
        <v>4955</v>
      </c>
      <c r="K207" s="418" t="s">
        <v>830</v>
      </c>
      <c r="L207" s="415" t="s">
        <v>798</v>
      </c>
      <c r="M207" s="415" t="s">
        <v>310</v>
      </c>
      <c r="N207" s="413">
        <v>44841</v>
      </c>
      <c r="O207" s="414" t="s">
        <v>405</v>
      </c>
      <c r="P207" s="655">
        <f t="shared" si="9"/>
        <v>10</v>
      </c>
      <c r="Q207" s="655">
        <f t="shared" si="10"/>
        <v>6</v>
      </c>
      <c r="R207" s="758" t="str">
        <f t="shared" si="11"/>
        <v>Gastos_custeados_por_captação</v>
      </c>
      <c r="S207" s="697" t="s">
        <v>310</v>
      </c>
      <c r="T207" s="697" t="s">
        <v>310</v>
      </c>
    </row>
    <row r="208" spans="1:20" ht="48" x14ac:dyDescent="0.2">
      <c r="A208" s="432">
        <f>IF(B208="","",COUNT('Diário 1º PA'!$A$4:$A$2635)+COUNT('Diário 2º PA'!$A$4:$A$3040)+COUNT('Diário 3º PA'!$A$4:$A$2731)+ROW()-3)</f>
        <v>6233</v>
      </c>
      <c r="B208" s="413">
        <v>44841</v>
      </c>
      <c r="C208" s="431">
        <v>44805</v>
      </c>
      <c r="D208" s="419" t="s">
        <v>468</v>
      </c>
      <c r="E208" s="419" t="s">
        <v>468</v>
      </c>
      <c r="F208" s="422">
        <v>2269.2399999999998</v>
      </c>
      <c r="G208" s="427" t="s">
        <v>6938</v>
      </c>
      <c r="H208" s="419" t="s">
        <v>468</v>
      </c>
      <c r="I208" s="639" t="s">
        <v>5494</v>
      </c>
      <c r="J208" s="415" t="s">
        <v>3899</v>
      </c>
      <c r="K208" s="418" t="s">
        <v>830</v>
      </c>
      <c r="L208" s="399" t="s">
        <v>839</v>
      </c>
      <c r="M208" s="544">
        <v>2048</v>
      </c>
      <c r="N208" s="413">
        <v>44839</v>
      </c>
      <c r="O208" s="414" t="s">
        <v>405</v>
      </c>
      <c r="P208" s="655">
        <f t="shared" si="9"/>
        <v>10</v>
      </c>
      <c r="Q208" s="655">
        <f t="shared" si="10"/>
        <v>9</v>
      </c>
      <c r="R208" s="758" t="str">
        <f t="shared" si="11"/>
        <v>Gastos_custeados_por_captação</v>
      </c>
      <c r="S208" s="697" t="s">
        <v>1000</v>
      </c>
      <c r="T208" s="697">
        <v>4312</v>
      </c>
    </row>
    <row r="209" spans="1:20" ht="72" x14ac:dyDescent="0.2">
      <c r="A209" s="432">
        <f>IF(B209="","",COUNT('Diário 1º PA'!$A$4:$A$2635)+COUNT('Diário 2º PA'!$A$4:$A$3040)+COUNT('Diário 3º PA'!$A$4:$A$2731)+ROW()-3)</f>
        <v>6234</v>
      </c>
      <c r="B209" s="413">
        <v>44841</v>
      </c>
      <c r="C209" s="431">
        <v>44743</v>
      </c>
      <c r="D209" s="419" t="s">
        <v>468</v>
      </c>
      <c r="E209" s="419" t="s">
        <v>468</v>
      </c>
      <c r="F209" s="422">
        <v>6250</v>
      </c>
      <c r="G209" s="427" t="s">
        <v>6077</v>
      </c>
      <c r="H209" s="419" t="s">
        <v>468</v>
      </c>
      <c r="I209" s="639" t="s">
        <v>7749</v>
      </c>
      <c r="J209" s="415" t="s">
        <v>7258</v>
      </c>
      <c r="K209" s="418" t="s">
        <v>830</v>
      </c>
      <c r="L209" s="399" t="s">
        <v>32</v>
      </c>
      <c r="M209" s="418" t="s">
        <v>1308</v>
      </c>
      <c r="N209" s="413">
        <v>44840</v>
      </c>
      <c r="O209" s="414" t="s">
        <v>405</v>
      </c>
      <c r="P209" s="655">
        <f t="shared" si="9"/>
        <v>10</v>
      </c>
      <c r="Q209" s="655">
        <f t="shared" si="10"/>
        <v>7</v>
      </c>
      <c r="R209" s="758" t="str">
        <f t="shared" si="11"/>
        <v>Gastos_custeados_por_captação</v>
      </c>
      <c r="S209" s="697" t="s">
        <v>998</v>
      </c>
      <c r="T209" s="697">
        <v>4172</v>
      </c>
    </row>
    <row r="210" spans="1:20" ht="48" x14ac:dyDescent="0.2">
      <c r="A210" s="432">
        <f>IF(B210="","",COUNT('Diário 1º PA'!$A$4:$A$2635)+COUNT('Diário 2º PA'!$A$4:$A$3040)+COUNT('Diário 3º PA'!$A$4:$A$2731)+ROW()-3)</f>
        <v>6235</v>
      </c>
      <c r="B210" s="413">
        <v>44841</v>
      </c>
      <c r="C210" s="431">
        <v>44774</v>
      </c>
      <c r="D210" s="419" t="s">
        <v>468</v>
      </c>
      <c r="E210" s="419" t="s">
        <v>468</v>
      </c>
      <c r="F210" s="422">
        <v>6467.34</v>
      </c>
      <c r="G210" s="427" t="s">
        <v>2341</v>
      </c>
      <c r="H210" s="419" t="s">
        <v>468</v>
      </c>
      <c r="I210" s="639" t="s">
        <v>2557</v>
      </c>
      <c r="J210" s="415" t="s">
        <v>2342</v>
      </c>
      <c r="K210" s="418" t="s">
        <v>830</v>
      </c>
      <c r="L210" s="399" t="s">
        <v>32</v>
      </c>
      <c r="M210" s="418" t="s">
        <v>1465</v>
      </c>
      <c r="N210" s="413">
        <v>44839</v>
      </c>
      <c r="O210" s="414" t="s">
        <v>405</v>
      </c>
      <c r="P210" s="655">
        <f t="shared" si="9"/>
        <v>10</v>
      </c>
      <c r="Q210" s="655">
        <f t="shared" si="10"/>
        <v>8</v>
      </c>
      <c r="R210" s="758" t="str">
        <f t="shared" si="11"/>
        <v>Gastos_custeados_por_captação</v>
      </c>
      <c r="S210" s="697" t="s">
        <v>1000</v>
      </c>
      <c r="T210" s="697">
        <v>3187</v>
      </c>
    </row>
    <row r="211" spans="1:20" ht="168" x14ac:dyDescent="0.2">
      <c r="A211" s="432">
        <f>IF(B211="","",COUNT('Diário 1º PA'!$A$4:$A$2635)+COUNT('Diário 2º PA'!$A$4:$A$3040)+COUNT('Diário 3º PA'!$A$4:$A$2731)+ROW()-3)</f>
        <v>6236</v>
      </c>
      <c r="B211" s="413">
        <v>44841</v>
      </c>
      <c r="C211" s="431">
        <v>44774</v>
      </c>
      <c r="D211" s="419" t="s">
        <v>468</v>
      </c>
      <c r="E211" s="419" t="s">
        <v>468</v>
      </c>
      <c r="F211" s="422">
        <v>3527.64</v>
      </c>
      <c r="G211" s="427" t="s">
        <v>6159</v>
      </c>
      <c r="H211" s="419" t="s">
        <v>468</v>
      </c>
      <c r="I211" s="639" t="s">
        <v>2557</v>
      </c>
      <c r="J211" s="415" t="s">
        <v>2342</v>
      </c>
      <c r="K211" s="418" t="s">
        <v>830</v>
      </c>
      <c r="L211" s="399" t="s">
        <v>32</v>
      </c>
      <c r="M211" s="418" t="s">
        <v>1724</v>
      </c>
      <c r="N211" s="413">
        <v>44839</v>
      </c>
      <c r="O211" s="414" t="s">
        <v>405</v>
      </c>
      <c r="P211" s="655">
        <f t="shared" si="9"/>
        <v>10</v>
      </c>
      <c r="Q211" s="655">
        <f t="shared" si="10"/>
        <v>8</v>
      </c>
      <c r="R211" s="758" t="str">
        <f t="shared" si="11"/>
        <v>Gastos_custeados_por_captação</v>
      </c>
      <c r="S211" s="697" t="s">
        <v>1000</v>
      </c>
      <c r="T211" s="697">
        <v>4185</v>
      </c>
    </row>
    <row r="212" spans="1:20" ht="132" x14ac:dyDescent="0.2">
      <c r="A212" s="432">
        <f>IF(B212="","",COUNT('Diário 1º PA'!$A$4:$A$2635)+COUNT('Diário 2º PA'!$A$4:$A$3040)+COUNT('Diário 3º PA'!$A$4:$A$2731)+ROW()-3)</f>
        <v>6237</v>
      </c>
      <c r="B212" s="413">
        <v>44841</v>
      </c>
      <c r="C212" s="431">
        <v>44774</v>
      </c>
      <c r="D212" s="419" t="s">
        <v>468</v>
      </c>
      <c r="E212" s="419" t="s">
        <v>468</v>
      </c>
      <c r="F212" s="422">
        <v>5879.4</v>
      </c>
      <c r="G212" s="427" t="s">
        <v>4474</v>
      </c>
      <c r="H212" s="419" t="s">
        <v>468</v>
      </c>
      <c r="I212" s="639" t="s">
        <v>2381</v>
      </c>
      <c r="J212" s="415" t="s">
        <v>2382</v>
      </c>
      <c r="K212" s="418" t="s">
        <v>830</v>
      </c>
      <c r="L212" s="399" t="s">
        <v>32</v>
      </c>
      <c r="M212" s="418" t="s">
        <v>1795</v>
      </c>
      <c r="N212" s="413">
        <v>44839</v>
      </c>
      <c r="O212" s="414" t="s">
        <v>405</v>
      </c>
      <c r="P212" s="655">
        <f t="shared" si="9"/>
        <v>10</v>
      </c>
      <c r="Q212" s="655">
        <f t="shared" si="10"/>
        <v>8</v>
      </c>
      <c r="R212" s="758" t="str">
        <f t="shared" si="11"/>
        <v>Gastos_custeados_por_captação</v>
      </c>
      <c r="S212" s="697" t="s">
        <v>1000</v>
      </c>
      <c r="T212" s="697">
        <v>3779</v>
      </c>
    </row>
    <row r="213" spans="1:20" ht="48" x14ac:dyDescent="0.2">
      <c r="A213" s="432">
        <f>IF(B213="","",COUNT('Diário 1º PA'!$A$4:$A$2635)+COUNT('Diário 2º PA'!$A$4:$A$3040)+COUNT('Diário 3º PA'!$A$4:$A$2731)+ROW()-3)</f>
        <v>6238</v>
      </c>
      <c r="B213" s="413">
        <v>44841</v>
      </c>
      <c r="C213" s="431">
        <v>44774</v>
      </c>
      <c r="D213" s="419" t="s">
        <v>468</v>
      </c>
      <c r="E213" s="419" t="s">
        <v>468</v>
      </c>
      <c r="F213" s="422">
        <v>1680</v>
      </c>
      <c r="G213" s="427" t="s">
        <v>5759</v>
      </c>
      <c r="H213" s="419" t="s">
        <v>468</v>
      </c>
      <c r="I213" s="639" t="s">
        <v>6782</v>
      </c>
      <c r="J213" s="415" t="s">
        <v>5760</v>
      </c>
      <c r="K213" s="418" t="s">
        <v>806</v>
      </c>
      <c r="L213" s="399" t="s">
        <v>839</v>
      </c>
      <c r="M213" s="544">
        <v>2041</v>
      </c>
      <c r="N213" s="413">
        <v>44839</v>
      </c>
      <c r="O213" s="414" t="s">
        <v>404</v>
      </c>
      <c r="P213" s="655">
        <f t="shared" si="9"/>
        <v>10</v>
      </c>
      <c r="Q213" s="655">
        <f t="shared" si="10"/>
        <v>8</v>
      </c>
      <c r="R213" s="758" t="str">
        <f t="shared" si="11"/>
        <v>Gastos_custeados_por_captação</v>
      </c>
      <c r="S213" s="697" t="s">
        <v>998</v>
      </c>
      <c r="T213" s="697">
        <v>3986</v>
      </c>
    </row>
    <row r="214" spans="1:20" ht="48" x14ac:dyDescent="0.2">
      <c r="A214" s="432">
        <f>IF(B214="","",COUNT('Diário 1º PA'!$A$4:$A$2635)+COUNT('Diário 2º PA'!$A$4:$A$3040)+COUNT('Diário 3º PA'!$A$4:$A$2731)+ROW()-3)</f>
        <v>6239</v>
      </c>
      <c r="B214" s="413">
        <v>44841</v>
      </c>
      <c r="C214" s="431">
        <v>44774</v>
      </c>
      <c r="D214" s="419" t="s">
        <v>468</v>
      </c>
      <c r="E214" s="419" t="s">
        <v>468</v>
      </c>
      <c r="F214" s="422">
        <v>1680</v>
      </c>
      <c r="G214" s="427" t="s">
        <v>5767</v>
      </c>
      <c r="H214" s="419" t="s">
        <v>468</v>
      </c>
      <c r="I214" s="639" t="s">
        <v>6785</v>
      </c>
      <c r="J214" s="415" t="s">
        <v>5768</v>
      </c>
      <c r="K214" s="418" t="s">
        <v>806</v>
      </c>
      <c r="L214" s="399" t="s">
        <v>839</v>
      </c>
      <c r="M214" s="544">
        <v>2039</v>
      </c>
      <c r="N214" s="413">
        <v>44839</v>
      </c>
      <c r="O214" s="414" t="s">
        <v>404</v>
      </c>
      <c r="P214" s="655">
        <f t="shared" si="9"/>
        <v>10</v>
      </c>
      <c r="Q214" s="655">
        <f t="shared" si="10"/>
        <v>8</v>
      </c>
      <c r="R214" s="758" t="str">
        <f t="shared" si="11"/>
        <v>Gastos_custeados_por_captação</v>
      </c>
      <c r="S214" s="697" t="s">
        <v>998</v>
      </c>
      <c r="T214" s="697">
        <v>3988</v>
      </c>
    </row>
    <row r="215" spans="1:20" ht="48" x14ac:dyDescent="0.2">
      <c r="A215" s="432">
        <f>IF(B215="","",COUNT('Diário 1º PA'!$A$4:$A$2635)+COUNT('Diário 2º PA'!$A$4:$A$3040)+COUNT('Diário 3º PA'!$A$4:$A$2731)+ROW()-3)</f>
        <v>6240</v>
      </c>
      <c r="B215" s="413">
        <v>44841</v>
      </c>
      <c r="C215" s="431">
        <v>44774</v>
      </c>
      <c r="D215" s="419" t="s">
        <v>468</v>
      </c>
      <c r="E215" s="419" t="s">
        <v>468</v>
      </c>
      <c r="F215" s="422">
        <v>1680</v>
      </c>
      <c r="G215" s="427" t="s">
        <v>5770</v>
      </c>
      <c r="H215" s="419" t="s">
        <v>468</v>
      </c>
      <c r="I215" s="639" t="s">
        <v>7214</v>
      </c>
      <c r="J215" s="415" t="s">
        <v>5771</v>
      </c>
      <c r="K215" s="418" t="s">
        <v>806</v>
      </c>
      <c r="L215" s="399" t="s">
        <v>839</v>
      </c>
      <c r="M215" s="544">
        <v>2045</v>
      </c>
      <c r="N215" s="413">
        <v>44839</v>
      </c>
      <c r="O215" s="414" t="s">
        <v>404</v>
      </c>
      <c r="P215" s="655">
        <f t="shared" si="9"/>
        <v>10</v>
      </c>
      <c r="Q215" s="655">
        <f t="shared" si="10"/>
        <v>8</v>
      </c>
      <c r="R215" s="758" t="str">
        <f t="shared" si="11"/>
        <v>Gastos_custeados_por_captação</v>
      </c>
      <c r="S215" s="697" t="s">
        <v>998</v>
      </c>
      <c r="T215" s="697">
        <v>3981</v>
      </c>
    </row>
    <row r="216" spans="1:20" ht="48" x14ac:dyDescent="0.2">
      <c r="A216" s="432">
        <f>IF(B216="","",COUNT('Diário 1º PA'!$A$4:$A$2635)+COUNT('Diário 2º PA'!$A$4:$A$3040)+COUNT('Diário 3º PA'!$A$4:$A$2731)+ROW()-3)</f>
        <v>6241</v>
      </c>
      <c r="B216" s="413">
        <v>44841</v>
      </c>
      <c r="C216" s="431">
        <v>44774</v>
      </c>
      <c r="D216" s="419" t="s">
        <v>468</v>
      </c>
      <c r="E216" s="419" t="s">
        <v>468</v>
      </c>
      <c r="F216" s="422">
        <v>1680</v>
      </c>
      <c r="G216" s="427" t="s">
        <v>5766</v>
      </c>
      <c r="H216" s="419" t="s">
        <v>468</v>
      </c>
      <c r="I216" s="639" t="s">
        <v>2834</v>
      </c>
      <c r="J216" s="415" t="s">
        <v>1162</v>
      </c>
      <c r="K216" s="418" t="s">
        <v>806</v>
      </c>
      <c r="L216" s="399" t="s">
        <v>839</v>
      </c>
      <c r="M216" s="544">
        <v>2038</v>
      </c>
      <c r="N216" s="413">
        <v>44839</v>
      </c>
      <c r="O216" s="414" t="s">
        <v>404</v>
      </c>
      <c r="P216" s="655">
        <f t="shared" si="9"/>
        <v>10</v>
      </c>
      <c r="Q216" s="655">
        <f t="shared" si="10"/>
        <v>8</v>
      </c>
      <c r="R216" s="758" t="str">
        <f t="shared" si="11"/>
        <v>Gastos_custeados_por_captação</v>
      </c>
      <c r="S216" s="697" t="s">
        <v>998</v>
      </c>
      <c r="T216" s="697">
        <v>3990</v>
      </c>
    </row>
    <row r="217" spans="1:20" ht="48" x14ac:dyDescent="0.2">
      <c r="A217" s="432">
        <f>IF(B217="","",COUNT('Diário 1º PA'!$A$4:$A$2635)+COUNT('Diário 2º PA'!$A$4:$A$3040)+COUNT('Diário 3º PA'!$A$4:$A$2731)+ROW()-3)</f>
        <v>6242</v>
      </c>
      <c r="B217" s="413">
        <v>44841</v>
      </c>
      <c r="C217" s="431">
        <v>44774</v>
      </c>
      <c r="D217" s="419" t="s">
        <v>468</v>
      </c>
      <c r="E217" s="419" t="s">
        <v>468</v>
      </c>
      <c r="F217" s="422">
        <v>1680</v>
      </c>
      <c r="G217" s="427" t="s">
        <v>5769</v>
      </c>
      <c r="H217" s="419" t="s">
        <v>468</v>
      </c>
      <c r="I217" s="639" t="s">
        <v>1267</v>
      </c>
      <c r="J217" s="415" t="s">
        <v>1059</v>
      </c>
      <c r="K217" s="418" t="s">
        <v>806</v>
      </c>
      <c r="L217" s="399" t="s">
        <v>839</v>
      </c>
      <c r="M217" s="544">
        <v>2040</v>
      </c>
      <c r="N217" s="413">
        <v>44839</v>
      </c>
      <c r="O217" s="414" t="s">
        <v>404</v>
      </c>
      <c r="P217" s="655">
        <f t="shared" si="9"/>
        <v>10</v>
      </c>
      <c r="Q217" s="655">
        <f t="shared" si="10"/>
        <v>8</v>
      </c>
      <c r="R217" s="758" t="str">
        <f t="shared" si="11"/>
        <v>Gastos_custeados_por_captação</v>
      </c>
      <c r="S217" s="697" t="s">
        <v>998</v>
      </c>
      <c r="T217" s="697">
        <v>3987</v>
      </c>
    </row>
    <row r="218" spans="1:20" ht="48" x14ac:dyDescent="0.2">
      <c r="A218" s="432">
        <f>IF(B218="","",COUNT('Diário 1º PA'!$A$4:$A$2635)+COUNT('Diário 2º PA'!$A$4:$A$3040)+COUNT('Diário 3º PA'!$A$4:$A$2731)+ROW()-3)</f>
        <v>6243</v>
      </c>
      <c r="B218" s="413">
        <v>44841</v>
      </c>
      <c r="C218" s="431">
        <v>44774</v>
      </c>
      <c r="D218" s="419" t="s">
        <v>468</v>
      </c>
      <c r="E218" s="419" t="s">
        <v>468</v>
      </c>
      <c r="F218" s="422">
        <v>1680</v>
      </c>
      <c r="G218" s="427" t="s">
        <v>5765</v>
      </c>
      <c r="H218" s="419" t="s">
        <v>468</v>
      </c>
      <c r="I218" s="639" t="s">
        <v>3926</v>
      </c>
      <c r="J218" s="415" t="s">
        <v>1637</v>
      </c>
      <c r="K218" s="418" t="s">
        <v>830</v>
      </c>
      <c r="L218" s="399" t="s">
        <v>839</v>
      </c>
      <c r="M218" s="544">
        <v>2044</v>
      </c>
      <c r="N218" s="413">
        <v>44839</v>
      </c>
      <c r="O218" s="414" t="s">
        <v>404</v>
      </c>
      <c r="P218" s="655">
        <f t="shared" si="9"/>
        <v>10</v>
      </c>
      <c r="Q218" s="655">
        <f t="shared" si="10"/>
        <v>8</v>
      </c>
      <c r="R218" s="758" t="str">
        <f t="shared" si="11"/>
        <v>Gastos_custeados_por_captação</v>
      </c>
      <c r="S218" s="697" t="s">
        <v>998</v>
      </c>
      <c r="T218" s="697">
        <v>3983</v>
      </c>
    </row>
    <row r="219" spans="1:20" ht="60" x14ac:dyDescent="0.2">
      <c r="A219" s="432">
        <f>IF(B219="","",COUNT('Diário 1º PA'!$A$4:$A$2635)+COUNT('Diário 2º PA'!$A$4:$A$3040)+COUNT('Diário 3º PA'!$A$4:$A$2731)+ROW()-3)</f>
        <v>6244</v>
      </c>
      <c r="B219" s="413">
        <v>44841</v>
      </c>
      <c r="C219" s="431">
        <v>44743</v>
      </c>
      <c r="D219" s="419" t="s">
        <v>468</v>
      </c>
      <c r="E219" s="419" t="s">
        <v>468</v>
      </c>
      <c r="F219" s="422">
        <v>25702.5</v>
      </c>
      <c r="G219" s="427" t="s">
        <v>4977</v>
      </c>
      <c r="H219" s="419" t="s">
        <v>468</v>
      </c>
      <c r="I219" s="399" t="s">
        <v>6805</v>
      </c>
      <c r="J219" s="415" t="s">
        <v>4978</v>
      </c>
      <c r="K219" s="418" t="s">
        <v>830</v>
      </c>
      <c r="L219" s="399" t="s">
        <v>32</v>
      </c>
      <c r="M219" s="544">
        <v>1525</v>
      </c>
      <c r="N219" s="413">
        <v>44840</v>
      </c>
      <c r="O219" s="414" t="s">
        <v>404</v>
      </c>
      <c r="P219" s="655">
        <f t="shared" si="9"/>
        <v>10</v>
      </c>
      <c r="Q219" s="655">
        <f t="shared" si="10"/>
        <v>7</v>
      </c>
      <c r="R219" s="758" t="str">
        <f t="shared" si="11"/>
        <v>Gastos_custeados_por_captação</v>
      </c>
      <c r="S219" s="697" t="s">
        <v>1000</v>
      </c>
      <c r="T219" s="697">
        <v>3934</v>
      </c>
    </row>
    <row r="220" spans="1:20" ht="60" x14ac:dyDescent="0.2">
      <c r="A220" s="432">
        <f>IF(B220="","",COUNT('Diário 1º PA'!$A$4:$A$2635)+COUNT('Diário 2º PA'!$A$4:$A$3040)+COUNT('Diário 3º PA'!$A$4:$A$2731)+ROW()-3)</f>
        <v>6245</v>
      </c>
      <c r="B220" s="413">
        <v>44841</v>
      </c>
      <c r="C220" s="431">
        <v>44743</v>
      </c>
      <c r="D220" s="419" t="s">
        <v>468</v>
      </c>
      <c r="E220" s="419" t="s">
        <v>468</v>
      </c>
      <c r="F220" s="422">
        <v>1500</v>
      </c>
      <c r="G220" s="427" t="s">
        <v>4977</v>
      </c>
      <c r="H220" s="419" t="s">
        <v>468</v>
      </c>
      <c r="I220" s="399" t="s">
        <v>6805</v>
      </c>
      <c r="J220" s="415" t="s">
        <v>4978</v>
      </c>
      <c r="K220" s="418" t="s">
        <v>830</v>
      </c>
      <c r="L220" s="399" t="s">
        <v>2140</v>
      </c>
      <c r="M220" s="544">
        <v>3469</v>
      </c>
      <c r="N220" s="413">
        <v>44832</v>
      </c>
      <c r="O220" s="414" t="s">
        <v>404</v>
      </c>
      <c r="P220" s="655">
        <f t="shared" si="9"/>
        <v>10</v>
      </c>
      <c r="Q220" s="655">
        <f t="shared" si="10"/>
        <v>7</v>
      </c>
      <c r="R220" s="758" t="str">
        <f t="shared" si="11"/>
        <v>Gastos_custeados_por_captação</v>
      </c>
      <c r="S220" s="697" t="s">
        <v>998</v>
      </c>
      <c r="T220" s="697">
        <v>3934</v>
      </c>
    </row>
    <row r="221" spans="1:20" ht="72" x14ac:dyDescent="0.2">
      <c r="A221" s="432">
        <f>IF(B221="","",COUNT('Diário 1º PA'!$A$4:$A$2635)+COUNT('Diário 2º PA'!$A$4:$A$3040)+COUNT('Diário 3º PA'!$A$4:$A$2731)+ROW()-3)</f>
        <v>6246</v>
      </c>
      <c r="B221" s="413">
        <v>44844</v>
      </c>
      <c r="C221" s="424">
        <v>44835</v>
      </c>
      <c r="D221" s="419" t="s">
        <v>271</v>
      </c>
      <c r="E221" s="419" t="s">
        <v>67</v>
      </c>
      <c r="F221" s="422">
        <v>-99.9</v>
      </c>
      <c r="G221" s="423" t="s">
        <v>7510</v>
      </c>
      <c r="H221" s="419" t="s">
        <v>309</v>
      </c>
      <c r="I221" s="415" t="s">
        <v>795</v>
      </c>
      <c r="J221" s="419" t="s">
        <v>796</v>
      </c>
      <c r="K221" s="419" t="s">
        <v>797</v>
      </c>
      <c r="L221" s="415" t="s">
        <v>798</v>
      </c>
      <c r="M221" s="419" t="s">
        <v>310</v>
      </c>
      <c r="N221" s="413">
        <v>44844</v>
      </c>
      <c r="O221" s="414" t="s">
        <v>400</v>
      </c>
      <c r="P221" s="655">
        <f t="shared" si="9"/>
        <v>10</v>
      </c>
      <c r="Q221" s="655">
        <f t="shared" si="10"/>
        <v>10</v>
      </c>
      <c r="R221" s="758" t="str">
        <f t="shared" si="11"/>
        <v>Gastos_Gerais</v>
      </c>
      <c r="S221" s="697" t="s">
        <v>310</v>
      </c>
      <c r="T221" s="697" t="s">
        <v>310</v>
      </c>
    </row>
    <row r="222" spans="1:20" ht="60" x14ac:dyDescent="0.2">
      <c r="A222" s="432">
        <f>IF(B222="","",COUNT('Diário 1º PA'!$A$4:$A$2635)+COUNT('Diário 2º PA'!$A$4:$A$3040)+COUNT('Diário 3º PA'!$A$4:$A$2731)+ROW()-3)</f>
        <v>6247</v>
      </c>
      <c r="B222" s="413">
        <v>44844</v>
      </c>
      <c r="C222" s="424">
        <v>44805</v>
      </c>
      <c r="D222" s="419" t="s">
        <v>271</v>
      </c>
      <c r="E222" s="419" t="s">
        <v>187</v>
      </c>
      <c r="F222" s="422">
        <v>-184.87</v>
      </c>
      <c r="G222" s="423" t="s">
        <v>7511</v>
      </c>
      <c r="H222" s="419" t="s">
        <v>309</v>
      </c>
      <c r="I222" s="415" t="s">
        <v>795</v>
      </c>
      <c r="J222" s="419" t="s">
        <v>796</v>
      </c>
      <c r="K222" s="419" t="s">
        <v>797</v>
      </c>
      <c r="L222" s="415" t="s">
        <v>798</v>
      </c>
      <c r="M222" s="419" t="s">
        <v>310</v>
      </c>
      <c r="N222" s="413">
        <v>44844</v>
      </c>
      <c r="O222" s="414" t="s">
        <v>400</v>
      </c>
      <c r="P222" s="655">
        <f t="shared" si="9"/>
        <v>10</v>
      </c>
      <c r="Q222" s="655">
        <f t="shared" si="10"/>
        <v>9</v>
      </c>
      <c r="R222" s="758" t="str">
        <f t="shared" si="11"/>
        <v>Gastos_Gerais</v>
      </c>
      <c r="S222" s="697" t="s">
        <v>310</v>
      </c>
      <c r="T222" s="697" t="s">
        <v>310</v>
      </c>
    </row>
    <row r="223" spans="1:20" ht="48" x14ac:dyDescent="0.2">
      <c r="A223" s="432">
        <f>IF(B223="","",COUNT('Diário 1º PA'!$A$4:$A$2635)+COUNT('Diário 2º PA'!$A$4:$A$3040)+COUNT('Diário 3º PA'!$A$4:$A$2731)+ROW()-3)</f>
        <v>6248</v>
      </c>
      <c r="B223" s="413">
        <v>44844</v>
      </c>
      <c r="C223" s="424">
        <v>44805</v>
      </c>
      <c r="D223" s="419" t="s">
        <v>271</v>
      </c>
      <c r="E223" s="419" t="s">
        <v>178</v>
      </c>
      <c r="F223" s="422">
        <v>-60.74</v>
      </c>
      <c r="G223" s="427" t="s">
        <v>7512</v>
      </c>
      <c r="H223" s="419" t="s">
        <v>309</v>
      </c>
      <c r="I223" s="415" t="s">
        <v>795</v>
      </c>
      <c r="J223" s="419" t="s">
        <v>796</v>
      </c>
      <c r="K223" s="419" t="s">
        <v>797</v>
      </c>
      <c r="L223" s="415" t="s">
        <v>798</v>
      </c>
      <c r="M223" s="419" t="s">
        <v>310</v>
      </c>
      <c r="N223" s="413">
        <v>44844</v>
      </c>
      <c r="O223" s="414" t="s">
        <v>400</v>
      </c>
      <c r="P223" s="655">
        <f t="shared" si="9"/>
        <v>10</v>
      </c>
      <c r="Q223" s="655">
        <f t="shared" si="10"/>
        <v>9</v>
      </c>
      <c r="R223" s="758" t="str">
        <f t="shared" si="11"/>
        <v>Gastos_Gerais</v>
      </c>
      <c r="S223" s="697" t="s">
        <v>310</v>
      </c>
      <c r="T223" s="697" t="s">
        <v>310</v>
      </c>
    </row>
    <row r="224" spans="1:20" ht="48" x14ac:dyDescent="0.2">
      <c r="A224" s="432">
        <f>IF(B224="","",COUNT('Diário 1º PA'!$A$4:$A$2635)+COUNT('Diário 2º PA'!$A$4:$A$3040)+COUNT('Diário 3º PA'!$A$4:$A$2731)+ROW()-3)</f>
        <v>6249</v>
      </c>
      <c r="B224" s="413">
        <v>44844</v>
      </c>
      <c r="C224" s="424">
        <v>44805</v>
      </c>
      <c r="D224" s="419" t="s">
        <v>271</v>
      </c>
      <c r="E224" s="419" t="s">
        <v>64</v>
      </c>
      <c r="F224" s="422">
        <v>-134.93</v>
      </c>
      <c r="G224" s="423" t="s">
        <v>7513</v>
      </c>
      <c r="H224" s="419" t="s">
        <v>309</v>
      </c>
      <c r="I224" s="415" t="s">
        <v>795</v>
      </c>
      <c r="J224" s="419" t="s">
        <v>796</v>
      </c>
      <c r="K224" s="419" t="s">
        <v>797</v>
      </c>
      <c r="L224" s="415" t="s">
        <v>798</v>
      </c>
      <c r="M224" s="419" t="s">
        <v>310</v>
      </c>
      <c r="N224" s="413">
        <v>44844</v>
      </c>
      <c r="O224" s="414" t="s">
        <v>400</v>
      </c>
      <c r="P224" s="655">
        <f t="shared" si="9"/>
        <v>10</v>
      </c>
      <c r="Q224" s="655">
        <f t="shared" si="10"/>
        <v>9</v>
      </c>
      <c r="R224" s="758" t="str">
        <f t="shared" si="11"/>
        <v>Gastos_Gerais</v>
      </c>
      <c r="S224" s="697" t="s">
        <v>310</v>
      </c>
      <c r="T224" s="697" t="s">
        <v>310</v>
      </c>
    </row>
    <row r="225" spans="1:20" ht="48" x14ac:dyDescent="0.2">
      <c r="A225" s="432">
        <f>IF(B225="","",COUNT('Diário 1º PA'!$A$4:$A$2635)+COUNT('Diário 2º PA'!$A$4:$A$3040)+COUNT('Diário 3º PA'!$A$4:$A$2731)+ROW()-3)</f>
        <v>6250</v>
      </c>
      <c r="B225" s="413">
        <v>44844</v>
      </c>
      <c r="C225" s="424">
        <v>44805</v>
      </c>
      <c r="D225" s="419" t="s">
        <v>271</v>
      </c>
      <c r="E225" s="419" t="s">
        <v>2</v>
      </c>
      <c r="F225" s="422">
        <v>-2750.01</v>
      </c>
      <c r="G225" s="423" t="s">
        <v>7514</v>
      </c>
      <c r="H225" s="419" t="s">
        <v>309</v>
      </c>
      <c r="I225" s="415" t="s">
        <v>795</v>
      </c>
      <c r="J225" s="419" t="s">
        <v>796</v>
      </c>
      <c r="K225" s="419" t="s">
        <v>797</v>
      </c>
      <c r="L225" s="415" t="s">
        <v>798</v>
      </c>
      <c r="M225" s="419" t="s">
        <v>310</v>
      </c>
      <c r="N225" s="413">
        <v>44844</v>
      </c>
      <c r="O225" s="414" t="s">
        <v>400</v>
      </c>
      <c r="P225" s="655">
        <f t="shared" ref="P225:P288" si="12">IF(B225=0,0,IF(YEAR(B225)=$Q$1,MONTH(B225)-$P$1+1,(YEAR(B225)-$Q$1)*12-$P$1+1+MONTH(B225)))</f>
        <v>10</v>
      </c>
      <c r="Q225" s="655">
        <f t="shared" ref="Q225:Q288" si="13">IF(C225=0,0,IF(YEAR(C225)=$Q$1,MONTH(C225)-$P$1+1,(YEAR(C225)-$Q$1)*12-$P$1+1+MONTH(C225)))</f>
        <v>9</v>
      </c>
      <c r="R225" s="758" t="str">
        <f t="shared" ref="R225:R288" si="14">SUBSTITUTE(D225," ","_")</f>
        <v>Gastos_Gerais</v>
      </c>
      <c r="S225" s="697" t="s">
        <v>310</v>
      </c>
      <c r="T225" s="697" t="s">
        <v>310</v>
      </c>
    </row>
    <row r="226" spans="1:20" ht="48" x14ac:dyDescent="0.2">
      <c r="A226" s="432">
        <f>IF(B226="","",COUNT('Diário 1º PA'!$A$4:$A$2635)+COUNT('Diário 2º PA'!$A$4:$A$3040)+COUNT('Diário 3º PA'!$A$4:$A$2731)+ROW()-3)</f>
        <v>6251</v>
      </c>
      <c r="B226" s="413">
        <v>44844</v>
      </c>
      <c r="C226" s="424">
        <v>44805</v>
      </c>
      <c r="D226" s="419" t="s">
        <v>271</v>
      </c>
      <c r="E226" s="419" t="s">
        <v>3</v>
      </c>
      <c r="F226" s="422">
        <v>-451.27</v>
      </c>
      <c r="G226" s="423" t="s">
        <v>7515</v>
      </c>
      <c r="H226" s="419" t="s">
        <v>309</v>
      </c>
      <c r="I226" s="415" t="s">
        <v>795</v>
      </c>
      <c r="J226" s="419" t="s">
        <v>796</v>
      </c>
      <c r="K226" s="419" t="s">
        <v>797</v>
      </c>
      <c r="L226" s="415" t="s">
        <v>798</v>
      </c>
      <c r="M226" s="419" t="s">
        <v>310</v>
      </c>
      <c r="N226" s="413">
        <v>44844</v>
      </c>
      <c r="O226" s="414" t="s">
        <v>400</v>
      </c>
      <c r="P226" s="655">
        <f t="shared" si="12"/>
        <v>10</v>
      </c>
      <c r="Q226" s="655">
        <f t="shared" si="13"/>
        <v>9</v>
      </c>
      <c r="R226" s="758" t="str">
        <f t="shared" si="14"/>
        <v>Gastos_Gerais</v>
      </c>
      <c r="S226" s="697" t="s">
        <v>310</v>
      </c>
      <c r="T226" s="697" t="s">
        <v>310</v>
      </c>
    </row>
    <row r="227" spans="1:20" ht="48" x14ac:dyDescent="0.2">
      <c r="A227" s="432">
        <f>IF(B227="","",COUNT('Diário 1º PA'!$A$4:$A$2635)+COUNT('Diário 2º PA'!$A$4:$A$3040)+COUNT('Diário 3º PA'!$A$4:$A$2731)+ROW()-3)</f>
        <v>6252</v>
      </c>
      <c r="B227" s="413">
        <v>44844</v>
      </c>
      <c r="C227" s="424">
        <v>44774</v>
      </c>
      <c r="D227" s="419" t="s">
        <v>271</v>
      </c>
      <c r="E227" s="419" t="s">
        <v>453</v>
      </c>
      <c r="F227" s="422">
        <v>877.2</v>
      </c>
      <c r="G227" s="423" t="s">
        <v>6714</v>
      </c>
      <c r="H227" s="419" t="s">
        <v>748</v>
      </c>
      <c r="I227" s="415" t="s">
        <v>7516</v>
      </c>
      <c r="J227" s="419" t="s">
        <v>6715</v>
      </c>
      <c r="K227" s="419" t="s">
        <v>806</v>
      </c>
      <c r="L227" s="415" t="s">
        <v>839</v>
      </c>
      <c r="M227" s="419">
        <v>2052</v>
      </c>
      <c r="N227" s="413">
        <v>44840</v>
      </c>
      <c r="O227" s="414" t="s">
        <v>400</v>
      </c>
      <c r="P227" s="655">
        <f t="shared" si="12"/>
        <v>10</v>
      </c>
      <c r="Q227" s="655">
        <f t="shared" si="13"/>
        <v>8</v>
      </c>
      <c r="R227" s="758" t="str">
        <f t="shared" si="14"/>
        <v>Gastos_Gerais</v>
      </c>
      <c r="S227" s="697" t="s">
        <v>998</v>
      </c>
      <c r="T227" s="697">
        <v>4264</v>
      </c>
    </row>
    <row r="228" spans="1:20" ht="48" x14ac:dyDescent="0.2">
      <c r="A228" s="432">
        <f>IF(B228="","",COUNT('Diário 1º PA'!$A$4:$A$2635)+COUNT('Diário 2º PA'!$A$4:$A$3040)+COUNT('Diário 3º PA'!$A$4:$A$2731)+ROW()-3)</f>
        <v>6253</v>
      </c>
      <c r="B228" s="413">
        <v>44844</v>
      </c>
      <c r="C228" s="424">
        <v>44774</v>
      </c>
      <c r="D228" s="419" t="s">
        <v>271</v>
      </c>
      <c r="E228" s="419" t="s">
        <v>450</v>
      </c>
      <c r="F228" s="422">
        <v>2307.9</v>
      </c>
      <c r="G228" s="423" t="s">
        <v>4418</v>
      </c>
      <c r="H228" s="419" t="s">
        <v>758</v>
      </c>
      <c r="I228" s="415" t="s">
        <v>5985</v>
      </c>
      <c r="J228" s="419" t="s">
        <v>4417</v>
      </c>
      <c r="K228" s="419" t="s">
        <v>806</v>
      </c>
      <c r="L228" s="415" t="s">
        <v>839</v>
      </c>
      <c r="M228" s="419">
        <v>2053</v>
      </c>
      <c r="N228" s="413">
        <v>44841</v>
      </c>
      <c r="O228" s="414" t="s">
        <v>400</v>
      </c>
      <c r="P228" s="655">
        <f t="shared" si="12"/>
        <v>10</v>
      </c>
      <c r="Q228" s="655">
        <f t="shared" si="13"/>
        <v>8</v>
      </c>
      <c r="R228" s="758" t="str">
        <f t="shared" si="14"/>
        <v>Gastos_Gerais</v>
      </c>
      <c r="S228" s="697" t="s">
        <v>998</v>
      </c>
      <c r="T228" s="697">
        <v>3589</v>
      </c>
    </row>
    <row r="229" spans="1:20" ht="24" x14ac:dyDescent="0.2">
      <c r="A229" s="432">
        <f>IF(B229="","",COUNT('Diário 1º PA'!$A$4:$A$2635)+COUNT('Diário 2º PA'!$A$4:$A$3040)+COUNT('Diário 3º PA'!$A$4:$A$2731)+ROW()-3)</f>
        <v>6254</v>
      </c>
      <c r="B229" s="413">
        <v>44844</v>
      </c>
      <c r="C229" s="424">
        <v>44774</v>
      </c>
      <c r="D229" s="419" t="s">
        <v>271</v>
      </c>
      <c r="E229" s="419" t="s">
        <v>462</v>
      </c>
      <c r="F229" s="422">
        <v>81.67</v>
      </c>
      <c r="G229" s="423" t="s">
        <v>6974</v>
      </c>
      <c r="H229" s="419" t="s">
        <v>793</v>
      </c>
      <c r="I229" s="415" t="s">
        <v>764</v>
      </c>
      <c r="J229" s="419" t="s">
        <v>310</v>
      </c>
      <c r="K229" s="419" t="s">
        <v>1220</v>
      </c>
      <c r="L229" s="415" t="s">
        <v>3443</v>
      </c>
      <c r="M229" s="597">
        <v>222229695993</v>
      </c>
      <c r="N229" s="413">
        <v>44844</v>
      </c>
      <c r="O229" s="414" t="s">
        <v>400</v>
      </c>
      <c r="P229" s="655">
        <f t="shared" si="12"/>
        <v>10</v>
      </c>
      <c r="Q229" s="655">
        <f t="shared" si="13"/>
        <v>8</v>
      </c>
      <c r="R229" s="758" t="str">
        <f t="shared" si="14"/>
        <v>Gastos_Gerais</v>
      </c>
      <c r="S229" s="697" t="s">
        <v>310</v>
      </c>
      <c r="T229" s="697" t="s">
        <v>310</v>
      </c>
    </row>
    <row r="230" spans="1:20" ht="36" x14ac:dyDescent="0.2">
      <c r="A230" s="432">
        <f>IF(B230="","",COUNT('Diário 1º PA'!$A$4:$A$2635)+COUNT('Diário 2º PA'!$A$4:$A$3040)+COUNT('Diário 3º PA'!$A$4:$A$2731)+ROW()-3)</f>
        <v>6255</v>
      </c>
      <c r="B230" s="413">
        <v>44844</v>
      </c>
      <c r="C230" s="424">
        <v>44774</v>
      </c>
      <c r="D230" s="419" t="s">
        <v>271</v>
      </c>
      <c r="E230" s="419" t="s">
        <v>456</v>
      </c>
      <c r="F230" s="422">
        <v>90</v>
      </c>
      <c r="G230" s="423" t="s">
        <v>6977</v>
      </c>
      <c r="H230" s="419" t="s">
        <v>760</v>
      </c>
      <c r="I230" s="415" t="s">
        <v>764</v>
      </c>
      <c r="J230" s="419" t="s">
        <v>310</v>
      </c>
      <c r="K230" s="419" t="s">
        <v>1220</v>
      </c>
      <c r="L230" s="415" t="s">
        <v>3443</v>
      </c>
      <c r="M230" s="597">
        <v>222229696370</v>
      </c>
      <c r="N230" s="413">
        <v>44844</v>
      </c>
      <c r="O230" s="414" t="s">
        <v>400</v>
      </c>
      <c r="P230" s="655">
        <f t="shared" si="12"/>
        <v>10</v>
      </c>
      <c r="Q230" s="655">
        <f t="shared" si="13"/>
        <v>8</v>
      </c>
      <c r="R230" s="758" t="str">
        <f t="shared" si="14"/>
        <v>Gastos_Gerais</v>
      </c>
      <c r="S230" s="697" t="s">
        <v>310</v>
      </c>
      <c r="T230" s="697" t="s">
        <v>310</v>
      </c>
    </row>
    <row r="231" spans="1:20" ht="24" x14ac:dyDescent="0.2">
      <c r="A231" s="432">
        <f>IF(B231="","",COUNT('Diário 1º PA'!$A$4:$A$2635)+COUNT('Diário 2º PA'!$A$4:$A$3040)+COUNT('Diário 3º PA'!$A$4:$A$2731)+ROW()-3)</f>
        <v>6256</v>
      </c>
      <c r="B231" s="413">
        <v>44844</v>
      </c>
      <c r="C231" s="424">
        <v>44743</v>
      </c>
      <c r="D231" s="419" t="s">
        <v>271</v>
      </c>
      <c r="E231" s="419" t="s">
        <v>297</v>
      </c>
      <c r="F231" s="422">
        <v>40</v>
      </c>
      <c r="G231" s="423" t="s">
        <v>7144</v>
      </c>
      <c r="H231" s="419" t="s">
        <v>793</v>
      </c>
      <c r="I231" s="415" t="s">
        <v>764</v>
      </c>
      <c r="J231" s="419" t="s">
        <v>310</v>
      </c>
      <c r="K231" s="419" t="s">
        <v>1220</v>
      </c>
      <c r="L231" s="415" t="s">
        <v>3443</v>
      </c>
      <c r="M231" s="597">
        <v>222229702876</v>
      </c>
      <c r="N231" s="413">
        <v>44844</v>
      </c>
      <c r="O231" s="414" t="s">
        <v>400</v>
      </c>
      <c r="P231" s="655">
        <f t="shared" si="12"/>
        <v>10</v>
      </c>
      <c r="Q231" s="655">
        <f t="shared" si="13"/>
        <v>7</v>
      </c>
      <c r="R231" s="758" t="str">
        <f t="shared" si="14"/>
        <v>Gastos_Gerais</v>
      </c>
      <c r="S231" s="697" t="s">
        <v>310</v>
      </c>
      <c r="T231" s="697" t="s">
        <v>310</v>
      </c>
    </row>
    <row r="232" spans="1:20" ht="36" x14ac:dyDescent="0.2">
      <c r="A232" s="432">
        <f>IF(B232="","",COUNT('Diário 1º PA'!$A$4:$A$2635)+COUNT('Diário 2º PA'!$A$4:$A$3040)+COUNT('Diário 3º PA'!$A$4:$A$2731)+ROW()-3)</f>
        <v>6257</v>
      </c>
      <c r="B232" s="413">
        <v>44844</v>
      </c>
      <c r="C232" s="424">
        <v>44805</v>
      </c>
      <c r="D232" s="419" t="s">
        <v>271</v>
      </c>
      <c r="E232" s="419" t="s">
        <v>178</v>
      </c>
      <c r="F232" s="422">
        <v>26</v>
      </c>
      <c r="G232" s="423" t="s">
        <v>7263</v>
      </c>
      <c r="H232" s="419" t="s">
        <v>755</v>
      </c>
      <c r="I232" s="415" t="s">
        <v>764</v>
      </c>
      <c r="J232" s="419" t="s">
        <v>310</v>
      </c>
      <c r="K232" s="419" t="s">
        <v>1220</v>
      </c>
      <c r="L232" s="415" t="s">
        <v>3443</v>
      </c>
      <c r="M232" s="597">
        <v>222229713215</v>
      </c>
      <c r="N232" s="413">
        <v>44844</v>
      </c>
      <c r="O232" s="414" t="s">
        <v>400</v>
      </c>
      <c r="P232" s="655">
        <f t="shared" si="12"/>
        <v>10</v>
      </c>
      <c r="Q232" s="655">
        <f t="shared" si="13"/>
        <v>9</v>
      </c>
      <c r="R232" s="758" t="str">
        <f t="shared" si="14"/>
        <v>Gastos_Gerais</v>
      </c>
      <c r="S232" s="697" t="s">
        <v>310</v>
      </c>
      <c r="T232" s="697" t="s">
        <v>310</v>
      </c>
    </row>
    <row r="233" spans="1:20" ht="24" x14ac:dyDescent="0.2">
      <c r="A233" s="432">
        <f>IF(B233="","",COUNT('Diário 1º PA'!$A$4:$A$2635)+COUNT('Diário 2º PA'!$A$4:$A$3040)+COUNT('Diário 3º PA'!$A$4:$A$2731)+ROW()-3)</f>
        <v>6258</v>
      </c>
      <c r="B233" s="413">
        <v>44844</v>
      </c>
      <c r="C233" s="424">
        <v>44805</v>
      </c>
      <c r="D233" s="419" t="s">
        <v>182</v>
      </c>
      <c r="E233" s="419" t="s">
        <v>161</v>
      </c>
      <c r="F233" s="422">
        <v>0.1</v>
      </c>
      <c r="G233" s="423" t="s">
        <v>7431</v>
      </c>
      <c r="H233" s="419" t="s">
        <v>310</v>
      </c>
      <c r="I233" s="415" t="s">
        <v>764</v>
      </c>
      <c r="J233" s="419" t="s">
        <v>310</v>
      </c>
      <c r="K233" s="419" t="s">
        <v>1220</v>
      </c>
      <c r="L233" s="415" t="s">
        <v>3443</v>
      </c>
      <c r="M233" s="597">
        <v>222229847840</v>
      </c>
      <c r="N233" s="413">
        <v>44844</v>
      </c>
      <c r="O233" s="414" t="s">
        <v>400</v>
      </c>
      <c r="P233" s="655">
        <f t="shared" si="12"/>
        <v>10</v>
      </c>
      <c r="Q233" s="655">
        <f t="shared" si="13"/>
        <v>9</v>
      </c>
      <c r="R233" s="758" t="str">
        <f t="shared" si="14"/>
        <v>Gastos_com_Pessoal</v>
      </c>
      <c r="S233" s="697" t="s">
        <v>310</v>
      </c>
      <c r="T233" s="697" t="s">
        <v>310</v>
      </c>
    </row>
    <row r="234" spans="1:20" ht="24" x14ac:dyDescent="0.2">
      <c r="A234" s="432">
        <f>IF(B234="","",COUNT('Diário 1º PA'!$A$4:$A$2635)+COUNT('Diário 2º PA'!$A$4:$A$3040)+COUNT('Diário 3º PA'!$A$4:$A$2731)+ROW()-3)</f>
        <v>6259</v>
      </c>
      <c r="B234" s="413">
        <v>44844</v>
      </c>
      <c r="C234" s="424">
        <v>44774</v>
      </c>
      <c r="D234" s="419" t="s">
        <v>271</v>
      </c>
      <c r="E234" s="419" t="s">
        <v>90</v>
      </c>
      <c r="F234" s="422">
        <v>80.400000000000006</v>
      </c>
      <c r="G234" s="423" t="s">
        <v>6984</v>
      </c>
      <c r="H234" s="419" t="s">
        <v>758</v>
      </c>
      <c r="I234" s="415" t="s">
        <v>764</v>
      </c>
      <c r="J234" s="419" t="s">
        <v>310</v>
      </c>
      <c r="K234" s="419" t="s">
        <v>1220</v>
      </c>
      <c r="L234" s="415" t="s">
        <v>3443</v>
      </c>
      <c r="M234" s="597">
        <v>222229695217</v>
      </c>
      <c r="N234" s="413">
        <v>44844</v>
      </c>
      <c r="O234" s="414" t="s">
        <v>400</v>
      </c>
      <c r="P234" s="655">
        <f t="shared" si="12"/>
        <v>10</v>
      </c>
      <c r="Q234" s="655">
        <f t="shared" si="13"/>
        <v>8</v>
      </c>
      <c r="R234" s="758" t="str">
        <f t="shared" si="14"/>
        <v>Gastos_Gerais</v>
      </c>
      <c r="S234" s="697" t="s">
        <v>310</v>
      </c>
      <c r="T234" s="697" t="s">
        <v>310</v>
      </c>
    </row>
    <row r="235" spans="1:20" ht="24" x14ac:dyDescent="0.2">
      <c r="A235" s="432">
        <f>IF(B235="","",COUNT('Diário 1º PA'!$A$4:$A$2635)+COUNT('Diário 2º PA'!$A$4:$A$3040)+COUNT('Diário 3º PA'!$A$4:$A$2731)+ROW()-3)</f>
        <v>6260</v>
      </c>
      <c r="B235" s="413">
        <v>44844</v>
      </c>
      <c r="C235" s="424">
        <v>44774</v>
      </c>
      <c r="D235" s="419" t="s">
        <v>271</v>
      </c>
      <c r="E235" s="419" t="s">
        <v>90</v>
      </c>
      <c r="F235" s="422">
        <v>32.1</v>
      </c>
      <c r="G235" s="423" t="s">
        <v>6985</v>
      </c>
      <c r="H235" s="419" t="s">
        <v>793</v>
      </c>
      <c r="I235" s="415" t="s">
        <v>764</v>
      </c>
      <c r="J235" s="419" t="s">
        <v>310</v>
      </c>
      <c r="K235" s="419" t="s">
        <v>1220</v>
      </c>
      <c r="L235" s="415" t="s">
        <v>3443</v>
      </c>
      <c r="M235" s="597">
        <v>222229681267</v>
      </c>
      <c r="N235" s="413">
        <v>44844</v>
      </c>
      <c r="O235" s="414" t="s">
        <v>400</v>
      </c>
      <c r="P235" s="655">
        <f t="shared" si="12"/>
        <v>10</v>
      </c>
      <c r="Q235" s="655">
        <f t="shared" si="13"/>
        <v>8</v>
      </c>
      <c r="R235" s="758" t="str">
        <f t="shared" si="14"/>
        <v>Gastos_Gerais</v>
      </c>
      <c r="S235" s="697" t="s">
        <v>310</v>
      </c>
      <c r="T235" s="697" t="s">
        <v>310</v>
      </c>
    </row>
    <row r="236" spans="1:20" ht="24" x14ac:dyDescent="0.2">
      <c r="A236" s="432">
        <f>IF(B236="","",COUNT('Diário 1º PA'!$A$4:$A$2635)+COUNT('Diário 2º PA'!$A$4:$A$3040)+COUNT('Diário 3º PA'!$A$4:$A$2731)+ROW()-3)</f>
        <v>6261</v>
      </c>
      <c r="B236" s="413">
        <v>44844</v>
      </c>
      <c r="C236" s="424">
        <v>44774</v>
      </c>
      <c r="D236" s="419" t="s">
        <v>271</v>
      </c>
      <c r="E236" s="419" t="s">
        <v>90</v>
      </c>
      <c r="F236" s="422">
        <v>204</v>
      </c>
      <c r="G236" s="427" t="s">
        <v>6982</v>
      </c>
      <c r="H236" s="419" t="s">
        <v>309</v>
      </c>
      <c r="I236" s="415" t="s">
        <v>764</v>
      </c>
      <c r="J236" s="419" t="s">
        <v>310</v>
      </c>
      <c r="K236" s="419" t="s">
        <v>1220</v>
      </c>
      <c r="L236" s="415" t="s">
        <v>3443</v>
      </c>
      <c r="M236" s="597">
        <v>222229695489</v>
      </c>
      <c r="N236" s="413">
        <v>44844</v>
      </c>
      <c r="O236" s="414" t="s">
        <v>400</v>
      </c>
      <c r="P236" s="655">
        <f t="shared" si="12"/>
        <v>10</v>
      </c>
      <c r="Q236" s="655">
        <f t="shared" si="13"/>
        <v>8</v>
      </c>
      <c r="R236" s="758" t="str">
        <f t="shared" si="14"/>
        <v>Gastos_Gerais</v>
      </c>
      <c r="S236" s="697" t="s">
        <v>310</v>
      </c>
      <c r="T236" s="697" t="s">
        <v>310</v>
      </c>
    </row>
    <row r="237" spans="1:20" ht="36" x14ac:dyDescent="0.2">
      <c r="A237" s="432">
        <f>IF(B237="","",COUNT('Diário 1º PA'!$A$4:$A$2635)+COUNT('Diário 2º PA'!$A$4:$A$3040)+COUNT('Diário 3º PA'!$A$4:$A$2731)+ROW()-3)</f>
        <v>6262</v>
      </c>
      <c r="B237" s="413">
        <v>44844</v>
      </c>
      <c r="C237" s="424">
        <v>44774</v>
      </c>
      <c r="D237" s="419" t="s">
        <v>271</v>
      </c>
      <c r="E237" s="419" t="s">
        <v>90</v>
      </c>
      <c r="F237" s="422">
        <v>75</v>
      </c>
      <c r="G237" s="437" t="s">
        <v>7000</v>
      </c>
      <c r="H237" s="419" t="s">
        <v>760</v>
      </c>
      <c r="I237" s="415" t="s">
        <v>764</v>
      </c>
      <c r="J237" s="419" t="s">
        <v>310</v>
      </c>
      <c r="K237" s="419" t="s">
        <v>1220</v>
      </c>
      <c r="L237" s="415" t="s">
        <v>3443</v>
      </c>
      <c r="M237" s="597">
        <v>222229697937</v>
      </c>
      <c r="N237" s="413">
        <v>44844</v>
      </c>
      <c r="O237" s="414" t="s">
        <v>400</v>
      </c>
      <c r="P237" s="655">
        <f t="shared" si="12"/>
        <v>10</v>
      </c>
      <c r="Q237" s="655">
        <f t="shared" si="13"/>
        <v>8</v>
      </c>
      <c r="R237" s="758" t="str">
        <f t="shared" si="14"/>
        <v>Gastos_Gerais</v>
      </c>
      <c r="S237" s="697" t="s">
        <v>310</v>
      </c>
      <c r="T237" s="697" t="s">
        <v>310</v>
      </c>
    </row>
    <row r="238" spans="1:20" ht="24" x14ac:dyDescent="0.2">
      <c r="A238" s="432">
        <f>IF(B238="","",COUNT('Diário 1º PA'!$A$4:$A$2635)+COUNT('Diário 2º PA'!$A$4:$A$3040)+COUNT('Diário 3º PA'!$A$4:$A$2731)+ROW()-3)</f>
        <v>6263</v>
      </c>
      <c r="B238" s="413">
        <v>44844</v>
      </c>
      <c r="C238" s="424">
        <v>44774</v>
      </c>
      <c r="D238" s="419" t="s">
        <v>182</v>
      </c>
      <c r="E238" s="419" t="s">
        <v>161</v>
      </c>
      <c r="F238" s="422">
        <v>0.2</v>
      </c>
      <c r="G238" s="423" t="s">
        <v>7517</v>
      </c>
      <c r="H238" s="419" t="s">
        <v>310</v>
      </c>
      <c r="I238" s="415" t="s">
        <v>764</v>
      </c>
      <c r="J238" s="419" t="s">
        <v>310</v>
      </c>
      <c r="K238" s="419" t="s">
        <v>1220</v>
      </c>
      <c r="L238" s="415" t="s">
        <v>3443</v>
      </c>
      <c r="M238" s="597">
        <v>222229699808</v>
      </c>
      <c r="N238" s="413">
        <v>44844</v>
      </c>
      <c r="O238" s="414" t="s">
        <v>400</v>
      </c>
      <c r="P238" s="655">
        <f t="shared" si="12"/>
        <v>10</v>
      </c>
      <c r="Q238" s="655">
        <f t="shared" si="13"/>
        <v>8</v>
      </c>
      <c r="R238" s="758" t="str">
        <f t="shared" si="14"/>
        <v>Gastos_com_Pessoal</v>
      </c>
      <c r="S238" s="697" t="s">
        <v>310</v>
      </c>
      <c r="T238" s="697" t="s">
        <v>310</v>
      </c>
    </row>
    <row r="239" spans="1:20" ht="24" x14ac:dyDescent="0.2">
      <c r="A239" s="432">
        <f>IF(B239="","",COUNT('Diário 1º PA'!$A$4:$A$2635)+COUNT('Diário 2º PA'!$A$4:$A$3040)+COUNT('Diário 3º PA'!$A$4:$A$2731)+ROW()-3)</f>
        <v>6264</v>
      </c>
      <c r="B239" s="413">
        <v>44844</v>
      </c>
      <c r="C239" s="424">
        <v>44743</v>
      </c>
      <c r="D239" s="419" t="s">
        <v>271</v>
      </c>
      <c r="E239" s="419" t="s">
        <v>456</v>
      </c>
      <c r="F239" s="422">
        <v>40</v>
      </c>
      <c r="G239" s="423" t="s">
        <v>7137</v>
      </c>
      <c r="H239" s="419" t="s">
        <v>749</v>
      </c>
      <c r="I239" s="415" t="s">
        <v>764</v>
      </c>
      <c r="J239" s="419" t="s">
        <v>310</v>
      </c>
      <c r="K239" s="419" t="s">
        <v>1220</v>
      </c>
      <c r="L239" s="415" t="s">
        <v>3443</v>
      </c>
      <c r="M239" s="597">
        <v>222229703090</v>
      </c>
      <c r="N239" s="413">
        <v>44844</v>
      </c>
      <c r="O239" s="414" t="s">
        <v>400</v>
      </c>
      <c r="P239" s="655">
        <f t="shared" si="12"/>
        <v>10</v>
      </c>
      <c r="Q239" s="655">
        <f t="shared" si="13"/>
        <v>7</v>
      </c>
      <c r="R239" s="758" t="str">
        <f t="shared" si="14"/>
        <v>Gastos_Gerais</v>
      </c>
      <c r="S239" s="697" t="s">
        <v>310</v>
      </c>
      <c r="T239" s="697" t="s">
        <v>310</v>
      </c>
    </row>
    <row r="240" spans="1:20" ht="24" x14ac:dyDescent="0.2">
      <c r="A240" s="432">
        <f>IF(B240="","",COUNT('Diário 1º PA'!$A$4:$A$2635)+COUNT('Diário 2º PA'!$A$4:$A$3040)+COUNT('Diário 3º PA'!$A$4:$A$2731)+ROW()-3)</f>
        <v>6265</v>
      </c>
      <c r="B240" s="413">
        <v>44844</v>
      </c>
      <c r="C240" s="424">
        <v>44774</v>
      </c>
      <c r="D240" s="419" t="s">
        <v>271</v>
      </c>
      <c r="E240" s="419" t="s">
        <v>453</v>
      </c>
      <c r="F240" s="422">
        <v>20.399999999999999</v>
      </c>
      <c r="G240" s="423" t="s">
        <v>7134</v>
      </c>
      <c r="H240" s="419" t="s">
        <v>748</v>
      </c>
      <c r="I240" s="415" t="s">
        <v>764</v>
      </c>
      <c r="J240" s="419" t="s">
        <v>310</v>
      </c>
      <c r="K240" s="419" t="s">
        <v>1220</v>
      </c>
      <c r="L240" s="415" t="s">
        <v>3443</v>
      </c>
      <c r="M240" s="597">
        <v>222229704305</v>
      </c>
      <c r="N240" s="413">
        <v>44844</v>
      </c>
      <c r="O240" s="414" t="s">
        <v>400</v>
      </c>
      <c r="P240" s="655">
        <f t="shared" si="12"/>
        <v>10</v>
      </c>
      <c r="Q240" s="655">
        <f t="shared" si="13"/>
        <v>8</v>
      </c>
      <c r="R240" s="758" t="str">
        <f t="shared" si="14"/>
        <v>Gastos_Gerais</v>
      </c>
      <c r="S240" s="697" t="s">
        <v>310</v>
      </c>
      <c r="T240" s="697" t="s">
        <v>310</v>
      </c>
    </row>
    <row r="241" spans="1:20" ht="24" x14ac:dyDescent="0.2">
      <c r="A241" s="432">
        <f>IF(B241="","",COUNT('Diário 1º PA'!$A$4:$A$2635)+COUNT('Diário 2º PA'!$A$4:$A$3040)+COUNT('Diário 3º PA'!$A$4:$A$2731)+ROW()-3)</f>
        <v>6266</v>
      </c>
      <c r="B241" s="413">
        <v>44844</v>
      </c>
      <c r="C241" s="424">
        <v>44743</v>
      </c>
      <c r="D241" s="419" t="s">
        <v>271</v>
      </c>
      <c r="E241" s="419" t="s">
        <v>90</v>
      </c>
      <c r="F241" s="422">
        <v>200</v>
      </c>
      <c r="G241" s="423" t="s">
        <v>7094</v>
      </c>
      <c r="H241" s="419" t="s">
        <v>752</v>
      </c>
      <c r="I241" s="415" t="s">
        <v>764</v>
      </c>
      <c r="J241" s="419" t="s">
        <v>310</v>
      </c>
      <c r="K241" s="419" t="s">
        <v>1220</v>
      </c>
      <c r="L241" s="415" t="s">
        <v>3443</v>
      </c>
      <c r="M241" s="597">
        <v>222229702442</v>
      </c>
      <c r="N241" s="413">
        <v>44844</v>
      </c>
      <c r="O241" s="414" t="s">
        <v>400</v>
      </c>
      <c r="P241" s="655">
        <f t="shared" si="12"/>
        <v>10</v>
      </c>
      <c r="Q241" s="655">
        <f t="shared" si="13"/>
        <v>7</v>
      </c>
      <c r="R241" s="758" t="str">
        <f t="shared" si="14"/>
        <v>Gastos_Gerais</v>
      </c>
      <c r="S241" s="697" t="s">
        <v>310</v>
      </c>
      <c r="T241" s="697" t="s">
        <v>310</v>
      </c>
    </row>
    <row r="242" spans="1:20" ht="36" x14ac:dyDescent="0.2">
      <c r="A242" s="432">
        <f>IF(B242="","",COUNT('Diário 1º PA'!$A$4:$A$2635)+COUNT('Diário 2º PA'!$A$4:$A$3040)+COUNT('Diário 3º PA'!$A$4:$A$2731)+ROW()-3)</f>
        <v>6267</v>
      </c>
      <c r="B242" s="413">
        <v>44844</v>
      </c>
      <c r="C242" s="424">
        <v>44835</v>
      </c>
      <c r="D242" s="419" t="s">
        <v>182</v>
      </c>
      <c r="E242" s="419" t="s">
        <v>325</v>
      </c>
      <c r="F242" s="422">
        <v>231.93</v>
      </c>
      <c r="G242" s="423" t="s">
        <v>7584</v>
      </c>
      <c r="H242" s="419" t="s">
        <v>310</v>
      </c>
      <c r="I242" s="415" t="s">
        <v>764</v>
      </c>
      <c r="J242" s="419" t="s">
        <v>310</v>
      </c>
      <c r="K242" s="419" t="s">
        <v>1220</v>
      </c>
      <c r="L242" s="415" t="s">
        <v>3443</v>
      </c>
      <c r="M242" s="597">
        <v>222229708300</v>
      </c>
      <c r="N242" s="413">
        <v>44844</v>
      </c>
      <c r="O242" s="414" t="s">
        <v>400</v>
      </c>
      <c r="P242" s="655">
        <f t="shared" si="12"/>
        <v>10</v>
      </c>
      <c r="Q242" s="655">
        <f t="shared" si="13"/>
        <v>10</v>
      </c>
      <c r="R242" s="758" t="str">
        <f t="shared" si="14"/>
        <v>Gastos_com_Pessoal</v>
      </c>
      <c r="S242" s="697" t="s">
        <v>310</v>
      </c>
      <c r="T242" s="697" t="s">
        <v>310</v>
      </c>
    </row>
    <row r="243" spans="1:20" ht="24" x14ac:dyDescent="0.2">
      <c r="A243" s="432">
        <f>IF(B243="","",COUNT('Diário 1º PA'!$A$4:$A$2635)+COUNT('Diário 2º PA'!$A$4:$A$3040)+COUNT('Diário 3º PA'!$A$4:$A$2731)+ROW()-3)</f>
        <v>6268</v>
      </c>
      <c r="B243" s="413">
        <v>44844</v>
      </c>
      <c r="C243" s="424">
        <v>44805</v>
      </c>
      <c r="D243" s="419" t="s">
        <v>271</v>
      </c>
      <c r="E243" s="419" t="s">
        <v>2</v>
      </c>
      <c r="F243" s="422">
        <v>8128.76</v>
      </c>
      <c r="G243" s="423" t="s">
        <v>5707</v>
      </c>
      <c r="H243" s="419" t="s">
        <v>309</v>
      </c>
      <c r="I243" s="415" t="s">
        <v>767</v>
      </c>
      <c r="J243" s="419" t="s">
        <v>1020</v>
      </c>
      <c r="K243" s="419" t="s">
        <v>812</v>
      </c>
      <c r="L243" s="415" t="s">
        <v>1305</v>
      </c>
      <c r="M243" s="419">
        <v>10</v>
      </c>
      <c r="N243" s="413">
        <v>44825</v>
      </c>
      <c r="O243" s="414" t="s">
        <v>400</v>
      </c>
      <c r="P243" s="655">
        <f t="shared" si="12"/>
        <v>10</v>
      </c>
      <c r="Q243" s="655">
        <f t="shared" si="13"/>
        <v>9</v>
      </c>
      <c r="R243" s="758" t="str">
        <f t="shared" si="14"/>
        <v>Gastos_Gerais</v>
      </c>
      <c r="S243" s="697" t="s">
        <v>310</v>
      </c>
      <c r="T243" s="697" t="s">
        <v>310</v>
      </c>
    </row>
    <row r="244" spans="1:20" ht="24" x14ac:dyDescent="0.2">
      <c r="A244" s="432">
        <f>IF(B244="","",COUNT('Diário 1º PA'!$A$4:$A$2635)+COUNT('Diário 2º PA'!$A$4:$A$3040)+COUNT('Diário 3º PA'!$A$4:$A$2731)+ROW()-3)</f>
        <v>6269</v>
      </c>
      <c r="B244" s="413">
        <v>44844</v>
      </c>
      <c r="C244" s="424">
        <v>44805</v>
      </c>
      <c r="D244" s="419" t="s">
        <v>271</v>
      </c>
      <c r="E244" s="419" t="s">
        <v>3</v>
      </c>
      <c r="F244" s="422">
        <v>1708.71</v>
      </c>
      <c r="G244" s="423" t="s">
        <v>6347</v>
      </c>
      <c r="H244" s="419" t="s">
        <v>309</v>
      </c>
      <c r="I244" s="415" t="s">
        <v>767</v>
      </c>
      <c r="J244" s="419" t="s">
        <v>1020</v>
      </c>
      <c r="K244" s="419" t="s">
        <v>812</v>
      </c>
      <c r="L244" s="415" t="s">
        <v>1305</v>
      </c>
      <c r="M244" s="419">
        <v>10</v>
      </c>
      <c r="N244" s="413">
        <v>44825</v>
      </c>
      <c r="O244" s="414" t="s">
        <v>400</v>
      </c>
      <c r="P244" s="655">
        <f t="shared" si="12"/>
        <v>10</v>
      </c>
      <c r="Q244" s="655">
        <f t="shared" si="13"/>
        <v>9</v>
      </c>
      <c r="R244" s="758" t="str">
        <f t="shared" si="14"/>
        <v>Gastos_Gerais</v>
      </c>
      <c r="S244" s="697" t="s">
        <v>310</v>
      </c>
      <c r="T244" s="697" t="s">
        <v>310</v>
      </c>
    </row>
    <row r="245" spans="1:20" ht="24" x14ac:dyDescent="0.2">
      <c r="A245" s="432">
        <f>IF(B245="","",COUNT('Diário 1º PA'!$A$4:$A$2635)+COUNT('Diário 2º PA'!$A$4:$A$3040)+COUNT('Diário 3º PA'!$A$4:$A$2731)+ROW()-3)</f>
        <v>6270</v>
      </c>
      <c r="B245" s="413">
        <v>44844</v>
      </c>
      <c r="C245" s="424">
        <v>44713</v>
      </c>
      <c r="D245" s="419" t="s">
        <v>271</v>
      </c>
      <c r="E245" s="419" t="s">
        <v>459</v>
      </c>
      <c r="F245" s="422">
        <v>227</v>
      </c>
      <c r="G245" s="423" t="s">
        <v>7008</v>
      </c>
      <c r="H245" s="419" t="s">
        <v>758</v>
      </c>
      <c r="I245" s="415" t="s">
        <v>764</v>
      </c>
      <c r="J245" s="419" t="s">
        <v>310</v>
      </c>
      <c r="K245" s="419" t="s">
        <v>1220</v>
      </c>
      <c r="L245" s="415" t="s">
        <v>3443</v>
      </c>
      <c r="M245" s="597">
        <v>222229700407</v>
      </c>
      <c r="N245" s="413">
        <v>44844</v>
      </c>
      <c r="O245" s="414" t="s">
        <v>400</v>
      </c>
      <c r="P245" s="655">
        <f t="shared" si="12"/>
        <v>10</v>
      </c>
      <c r="Q245" s="655">
        <f t="shared" si="13"/>
        <v>6</v>
      </c>
      <c r="R245" s="758" t="str">
        <f t="shared" si="14"/>
        <v>Gastos_Gerais</v>
      </c>
      <c r="S245" s="697" t="s">
        <v>310</v>
      </c>
      <c r="T245" s="697" t="s">
        <v>310</v>
      </c>
    </row>
    <row r="246" spans="1:20" ht="36" x14ac:dyDescent="0.2">
      <c r="A246" s="432">
        <f>IF(B246="","",COUNT('Diário 1º PA'!$A$4:$A$2635)+COUNT('Diário 2º PA'!$A$4:$A$3040)+COUNT('Diário 3º PA'!$A$4:$A$2731)+ROW()-3)</f>
        <v>6271</v>
      </c>
      <c r="B246" s="413">
        <v>44844</v>
      </c>
      <c r="C246" s="424">
        <v>44805</v>
      </c>
      <c r="D246" s="419" t="s">
        <v>271</v>
      </c>
      <c r="E246" s="419" t="s">
        <v>64</v>
      </c>
      <c r="F246" s="422">
        <v>709.74</v>
      </c>
      <c r="G246" s="423" t="s">
        <v>7438</v>
      </c>
      <c r="H246" s="419" t="s">
        <v>309</v>
      </c>
      <c r="I246" s="415" t="s">
        <v>6337</v>
      </c>
      <c r="J246" s="419" t="s">
        <v>1330</v>
      </c>
      <c r="K246" s="419" t="s">
        <v>6338</v>
      </c>
      <c r="L246" s="415" t="s">
        <v>32</v>
      </c>
      <c r="M246" s="419" t="s">
        <v>7518</v>
      </c>
      <c r="N246" s="413">
        <v>44839</v>
      </c>
      <c r="O246" s="414" t="s">
        <v>400</v>
      </c>
      <c r="P246" s="655">
        <f t="shared" si="12"/>
        <v>10</v>
      </c>
      <c r="Q246" s="655">
        <f t="shared" si="13"/>
        <v>9</v>
      </c>
      <c r="R246" s="758" t="str">
        <f t="shared" si="14"/>
        <v>Gastos_Gerais</v>
      </c>
      <c r="S246" s="697" t="s">
        <v>310</v>
      </c>
      <c r="T246" s="697" t="s">
        <v>310</v>
      </c>
    </row>
    <row r="247" spans="1:20" ht="36" x14ac:dyDescent="0.2">
      <c r="A247" s="432">
        <f>IF(B247="","",COUNT('Diário 1º PA'!$A$4:$A$2635)+COUNT('Diário 2º PA'!$A$4:$A$3040)+COUNT('Diário 3º PA'!$A$4:$A$2731)+ROW()-3)</f>
        <v>6272</v>
      </c>
      <c r="B247" s="413">
        <v>44844</v>
      </c>
      <c r="C247" s="424">
        <v>44774</v>
      </c>
      <c r="D247" s="419" t="s">
        <v>271</v>
      </c>
      <c r="E247" s="419" t="s">
        <v>186</v>
      </c>
      <c r="F247" s="422">
        <v>75.7</v>
      </c>
      <c r="G247" s="423" t="s">
        <v>7390</v>
      </c>
      <c r="H247" s="419" t="s">
        <v>751</v>
      </c>
      <c r="I247" s="415" t="s">
        <v>764</v>
      </c>
      <c r="J247" s="419" t="s">
        <v>310</v>
      </c>
      <c r="K247" s="419" t="s">
        <v>1220</v>
      </c>
      <c r="L247" s="415" t="s">
        <v>3443</v>
      </c>
      <c r="M247" s="597">
        <v>222229713720</v>
      </c>
      <c r="N247" s="413">
        <v>44839</v>
      </c>
      <c r="O247" s="414" t="s">
        <v>400</v>
      </c>
      <c r="P247" s="655">
        <f t="shared" si="12"/>
        <v>10</v>
      </c>
      <c r="Q247" s="655">
        <f t="shared" si="13"/>
        <v>8</v>
      </c>
      <c r="R247" s="758" t="str">
        <f t="shared" si="14"/>
        <v>Gastos_Gerais</v>
      </c>
      <c r="S247" s="697" t="s">
        <v>310</v>
      </c>
      <c r="T247" s="697" t="s">
        <v>310</v>
      </c>
    </row>
    <row r="248" spans="1:20" ht="96" x14ac:dyDescent="0.2">
      <c r="A248" s="432">
        <f>IF(B248="","",COUNT('Diário 1º PA'!$A$4:$A$2635)+COUNT('Diário 2º PA'!$A$4:$A$3040)+COUNT('Diário 3º PA'!$A$4:$A$2731)+ROW()-3)</f>
        <v>6273</v>
      </c>
      <c r="B248" s="413">
        <v>44844</v>
      </c>
      <c r="C248" s="424">
        <v>44805</v>
      </c>
      <c r="D248" s="419" t="s">
        <v>271</v>
      </c>
      <c r="E248" s="419" t="s">
        <v>187</v>
      </c>
      <c r="F248" s="422">
        <v>700</v>
      </c>
      <c r="G248" s="423" t="s">
        <v>5671</v>
      </c>
      <c r="H248" s="419" t="s">
        <v>309</v>
      </c>
      <c r="I248" s="415" t="s">
        <v>1701</v>
      </c>
      <c r="J248" s="735" t="s">
        <v>1071</v>
      </c>
      <c r="K248" s="419" t="s">
        <v>812</v>
      </c>
      <c r="L248" s="415" t="s">
        <v>32</v>
      </c>
      <c r="M248" s="419" t="s">
        <v>7519</v>
      </c>
      <c r="N248" s="413">
        <v>44838</v>
      </c>
      <c r="O248" s="414" t="s">
        <v>400</v>
      </c>
      <c r="P248" s="655">
        <f t="shared" si="12"/>
        <v>10</v>
      </c>
      <c r="Q248" s="655">
        <f t="shared" si="13"/>
        <v>9</v>
      </c>
      <c r="R248" s="758" t="str">
        <f t="shared" si="14"/>
        <v>Gastos_Gerais</v>
      </c>
      <c r="S248" s="697" t="s">
        <v>1000</v>
      </c>
      <c r="T248" s="697">
        <v>2666</v>
      </c>
    </row>
    <row r="249" spans="1:20" ht="60" x14ac:dyDescent="0.2">
      <c r="A249" s="432">
        <f>IF(B249="","",COUNT('Diário 1º PA'!$A$4:$A$2635)+COUNT('Diário 2º PA'!$A$4:$A$3040)+COUNT('Diário 3º PA'!$A$4:$A$2731)+ROW()-3)</f>
        <v>6274</v>
      </c>
      <c r="B249" s="413">
        <v>44844</v>
      </c>
      <c r="C249" s="424">
        <v>44805</v>
      </c>
      <c r="D249" s="419" t="s">
        <v>271</v>
      </c>
      <c r="E249" s="419" t="s">
        <v>183</v>
      </c>
      <c r="F249" s="422">
        <v>110.65</v>
      </c>
      <c r="G249" s="423" t="s">
        <v>551</v>
      </c>
      <c r="H249" s="419" t="s">
        <v>753</v>
      </c>
      <c r="I249" s="415" t="s">
        <v>6366</v>
      </c>
      <c r="J249" s="735" t="s">
        <v>1704</v>
      </c>
      <c r="K249" s="419" t="s">
        <v>1404</v>
      </c>
      <c r="L249" s="415" t="s">
        <v>32</v>
      </c>
      <c r="M249" s="597">
        <v>2209953715791</v>
      </c>
      <c r="N249" s="413">
        <v>44844</v>
      </c>
      <c r="O249" s="414" t="s">
        <v>400</v>
      </c>
      <c r="P249" s="655">
        <f t="shared" si="12"/>
        <v>10</v>
      </c>
      <c r="Q249" s="655">
        <f t="shared" si="13"/>
        <v>9</v>
      </c>
      <c r="R249" s="758" t="str">
        <f t="shared" si="14"/>
        <v>Gastos_Gerais</v>
      </c>
      <c r="S249" s="697" t="s">
        <v>1000</v>
      </c>
      <c r="T249" s="697">
        <v>1997</v>
      </c>
    </row>
    <row r="250" spans="1:20" ht="24" x14ac:dyDescent="0.2">
      <c r="A250" s="432">
        <f>IF(B250="","",COUNT('Diário 1º PA'!$A$4:$A$2635)+COUNT('Diário 2º PA'!$A$4:$A$3040)+COUNT('Diário 3º PA'!$A$4:$A$2731)+ROW()-3)</f>
        <v>6275</v>
      </c>
      <c r="B250" s="413">
        <v>44844</v>
      </c>
      <c r="C250" s="424">
        <v>44805</v>
      </c>
      <c r="D250" s="419" t="s">
        <v>182</v>
      </c>
      <c r="E250" s="419" t="s">
        <v>161</v>
      </c>
      <c r="F250" s="422">
        <v>0.48</v>
      </c>
      <c r="G250" s="423" t="s">
        <v>7434</v>
      </c>
      <c r="H250" s="419" t="s">
        <v>310</v>
      </c>
      <c r="I250" s="415" t="s">
        <v>764</v>
      </c>
      <c r="J250" s="419" t="s">
        <v>310</v>
      </c>
      <c r="K250" s="419" t="s">
        <v>1220</v>
      </c>
      <c r="L250" s="415" t="s">
        <v>3443</v>
      </c>
      <c r="M250" s="597">
        <v>222229716583</v>
      </c>
      <c r="N250" s="413">
        <v>44844</v>
      </c>
      <c r="O250" s="414" t="s">
        <v>400</v>
      </c>
      <c r="P250" s="655">
        <f t="shared" si="12"/>
        <v>10</v>
      </c>
      <c r="Q250" s="655">
        <f t="shared" si="13"/>
        <v>9</v>
      </c>
      <c r="R250" s="758" t="str">
        <f t="shared" si="14"/>
        <v>Gastos_com_Pessoal</v>
      </c>
      <c r="S250" s="697" t="s">
        <v>310</v>
      </c>
      <c r="T250" s="697" t="s">
        <v>310</v>
      </c>
    </row>
    <row r="251" spans="1:20" ht="24" x14ac:dyDescent="0.2">
      <c r="A251" s="432">
        <f>IF(B251="","",COUNT('Diário 1º PA'!$A$4:$A$2635)+COUNT('Diário 2º PA'!$A$4:$A$3040)+COUNT('Diário 3º PA'!$A$4:$A$2731)+ROW()-3)</f>
        <v>6276</v>
      </c>
      <c r="B251" s="413">
        <v>44844</v>
      </c>
      <c r="C251" s="424">
        <v>44743</v>
      </c>
      <c r="D251" s="419" t="s">
        <v>271</v>
      </c>
      <c r="E251" s="419" t="s">
        <v>450</v>
      </c>
      <c r="F251" s="422">
        <v>140</v>
      </c>
      <c r="G251" s="423" t="s">
        <v>6970</v>
      </c>
      <c r="H251" s="419" t="s">
        <v>758</v>
      </c>
      <c r="I251" s="415" t="s">
        <v>764</v>
      </c>
      <c r="J251" s="419" t="s">
        <v>310</v>
      </c>
      <c r="K251" s="419" t="s">
        <v>1220</v>
      </c>
      <c r="L251" s="415" t="s">
        <v>3443</v>
      </c>
      <c r="M251" s="597">
        <v>222229697422</v>
      </c>
      <c r="N251" s="413">
        <v>44844</v>
      </c>
      <c r="O251" s="414" t="s">
        <v>400</v>
      </c>
      <c r="P251" s="655">
        <f t="shared" si="12"/>
        <v>10</v>
      </c>
      <c r="Q251" s="655">
        <f t="shared" si="13"/>
        <v>7</v>
      </c>
      <c r="R251" s="758" t="str">
        <f t="shared" si="14"/>
        <v>Gastos_Gerais</v>
      </c>
      <c r="S251" s="697" t="s">
        <v>310</v>
      </c>
      <c r="T251" s="697" t="s">
        <v>310</v>
      </c>
    </row>
    <row r="252" spans="1:20" ht="48" x14ac:dyDescent="0.2">
      <c r="A252" s="432">
        <f>IF(B252="","",COUNT('Diário 1º PA'!$A$4:$A$2635)+COUNT('Diário 2º PA'!$A$4:$A$3040)+COUNT('Diário 3º PA'!$A$4:$A$2731)+ROW()-3)</f>
        <v>6277</v>
      </c>
      <c r="B252" s="413">
        <v>44844</v>
      </c>
      <c r="C252" s="424">
        <v>44531</v>
      </c>
      <c r="D252" s="419" t="s">
        <v>271</v>
      </c>
      <c r="E252" s="419" t="s">
        <v>465</v>
      </c>
      <c r="F252" s="422">
        <v>3.78</v>
      </c>
      <c r="G252" s="423" t="s">
        <v>7520</v>
      </c>
      <c r="H252" s="419" t="s">
        <v>759</v>
      </c>
      <c r="I252" s="415" t="s">
        <v>764</v>
      </c>
      <c r="J252" s="419" t="s">
        <v>310</v>
      </c>
      <c r="K252" s="419" t="s">
        <v>1220</v>
      </c>
      <c r="L252" s="415" t="s">
        <v>3443</v>
      </c>
      <c r="M252" s="597">
        <v>222229716079</v>
      </c>
      <c r="N252" s="413">
        <v>44844</v>
      </c>
      <c r="O252" s="414" t="s">
        <v>400</v>
      </c>
      <c r="P252" s="655">
        <f t="shared" si="12"/>
        <v>10</v>
      </c>
      <c r="Q252" s="655">
        <f t="shared" si="13"/>
        <v>0</v>
      </c>
      <c r="R252" s="758" t="str">
        <f t="shared" si="14"/>
        <v>Gastos_Gerais</v>
      </c>
      <c r="S252" s="697" t="s">
        <v>310</v>
      </c>
      <c r="T252" s="697" t="s">
        <v>310</v>
      </c>
    </row>
    <row r="253" spans="1:20" ht="36" x14ac:dyDescent="0.2">
      <c r="A253" s="432">
        <f>IF(B253="","",COUNT('Diário 1º PA'!$A$4:$A$2635)+COUNT('Diário 2º PA'!$A$4:$A$3040)+COUNT('Diário 3º PA'!$A$4:$A$2731)+ROW()-3)</f>
        <v>6278</v>
      </c>
      <c r="B253" s="413">
        <v>44844</v>
      </c>
      <c r="C253" s="424">
        <v>44743</v>
      </c>
      <c r="D253" s="419" t="s">
        <v>271</v>
      </c>
      <c r="E253" s="419" t="s">
        <v>456</v>
      </c>
      <c r="F253" s="422">
        <v>40</v>
      </c>
      <c r="G253" s="423" t="s">
        <v>7338</v>
      </c>
      <c r="H253" s="419" t="s">
        <v>760</v>
      </c>
      <c r="I253" s="415" t="s">
        <v>764</v>
      </c>
      <c r="J253" s="419" t="s">
        <v>310</v>
      </c>
      <c r="K253" s="419" t="s">
        <v>1220</v>
      </c>
      <c r="L253" s="415" t="s">
        <v>3443</v>
      </c>
      <c r="M253" s="597">
        <v>222229708645</v>
      </c>
      <c r="N253" s="413">
        <v>44844</v>
      </c>
      <c r="O253" s="414" t="s">
        <v>400</v>
      </c>
      <c r="P253" s="655">
        <f t="shared" si="12"/>
        <v>10</v>
      </c>
      <c r="Q253" s="655">
        <f t="shared" si="13"/>
        <v>7</v>
      </c>
      <c r="R253" s="758" t="str">
        <f t="shared" si="14"/>
        <v>Gastos_Gerais</v>
      </c>
      <c r="S253" s="697" t="s">
        <v>310</v>
      </c>
      <c r="T253" s="697" t="s">
        <v>310</v>
      </c>
    </row>
    <row r="254" spans="1:20" ht="24" x14ac:dyDescent="0.2">
      <c r="A254" s="432">
        <f>IF(B254="","",COUNT('Diário 1º PA'!$A$4:$A$2635)+COUNT('Diário 2º PA'!$A$4:$A$3040)+COUNT('Diário 3º PA'!$A$4:$A$2731)+ROW()-3)</f>
        <v>6279</v>
      </c>
      <c r="B254" s="413">
        <v>44844</v>
      </c>
      <c r="C254" s="424">
        <v>44774</v>
      </c>
      <c r="D254" s="419" t="s">
        <v>271</v>
      </c>
      <c r="E254" s="419" t="s">
        <v>9</v>
      </c>
      <c r="F254" s="422">
        <v>285.56</v>
      </c>
      <c r="G254" s="423" t="s">
        <v>6998</v>
      </c>
      <c r="H254" s="419" t="s">
        <v>309</v>
      </c>
      <c r="I254" s="415" t="s">
        <v>764</v>
      </c>
      <c r="J254" s="419" t="s">
        <v>310</v>
      </c>
      <c r="K254" s="419" t="s">
        <v>1220</v>
      </c>
      <c r="L254" s="415" t="s">
        <v>3443</v>
      </c>
      <c r="M254" s="597">
        <v>222229700822</v>
      </c>
      <c r="N254" s="413">
        <v>44844</v>
      </c>
      <c r="O254" s="414" t="s">
        <v>400</v>
      </c>
      <c r="P254" s="655">
        <f t="shared" si="12"/>
        <v>10</v>
      </c>
      <c r="Q254" s="655">
        <f t="shared" si="13"/>
        <v>8</v>
      </c>
      <c r="R254" s="758" t="str">
        <f t="shared" si="14"/>
        <v>Gastos_Gerais</v>
      </c>
      <c r="S254" s="697" t="s">
        <v>310</v>
      </c>
      <c r="T254" s="697" t="s">
        <v>310</v>
      </c>
    </row>
    <row r="255" spans="1:20" ht="36" x14ac:dyDescent="0.2">
      <c r="A255" s="432">
        <f>IF(B255="","",COUNT('Diário 1º PA'!$A$4:$A$2635)+COUNT('Diário 2º PA'!$A$4:$A$3040)+COUNT('Diário 3º PA'!$A$4:$A$2731)+ROW()-3)</f>
        <v>6280</v>
      </c>
      <c r="B255" s="413">
        <v>44844</v>
      </c>
      <c r="C255" s="424">
        <v>44774</v>
      </c>
      <c r="D255" s="419" t="s">
        <v>182</v>
      </c>
      <c r="E255" s="419" t="s">
        <v>1</v>
      </c>
      <c r="F255" s="422">
        <v>19.91</v>
      </c>
      <c r="G255" s="423" t="s">
        <v>7521</v>
      </c>
      <c r="H255" s="419" t="s">
        <v>310</v>
      </c>
      <c r="I255" s="415" t="s">
        <v>764</v>
      </c>
      <c r="J255" s="419" t="s">
        <v>310</v>
      </c>
      <c r="K255" s="419" t="s">
        <v>1220</v>
      </c>
      <c r="L255" s="415" t="s">
        <v>3443</v>
      </c>
      <c r="M255" s="597">
        <v>222229702019</v>
      </c>
      <c r="N255" s="413">
        <v>44844</v>
      </c>
      <c r="O255" s="414" t="s">
        <v>400</v>
      </c>
      <c r="P255" s="655">
        <f t="shared" si="12"/>
        <v>10</v>
      </c>
      <c r="Q255" s="655">
        <f t="shared" si="13"/>
        <v>8</v>
      </c>
      <c r="R255" s="758" t="str">
        <f t="shared" si="14"/>
        <v>Gastos_com_Pessoal</v>
      </c>
      <c r="S255" s="697" t="s">
        <v>310</v>
      </c>
      <c r="T255" s="697" t="s">
        <v>310</v>
      </c>
    </row>
    <row r="256" spans="1:20" ht="84" x14ac:dyDescent="0.2">
      <c r="A256" s="432">
        <f>IF(B256="","",COUNT('Diário 1º PA'!$A$4:$A$2635)+COUNT('Diário 2º PA'!$A$4:$A$3040)+COUNT('Diário 3º PA'!$A$4:$A$2731)+ROW()-3)</f>
        <v>6281</v>
      </c>
      <c r="B256" s="413">
        <v>44844</v>
      </c>
      <c r="C256" s="424">
        <v>44805</v>
      </c>
      <c r="D256" s="419" t="s">
        <v>271</v>
      </c>
      <c r="E256" s="419" t="s">
        <v>178</v>
      </c>
      <c r="F256" s="422">
        <v>221.26</v>
      </c>
      <c r="G256" s="423" t="s">
        <v>482</v>
      </c>
      <c r="H256" s="419" t="s">
        <v>309</v>
      </c>
      <c r="I256" s="415" t="s">
        <v>1276</v>
      </c>
      <c r="J256" s="419" t="s">
        <v>1017</v>
      </c>
      <c r="K256" s="419" t="s">
        <v>812</v>
      </c>
      <c r="L256" s="415" t="s">
        <v>32</v>
      </c>
      <c r="M256" s="419" t="s">
        <v>7522</v>
      </c>
      <c r="N256" s="413">
        <v>44834</v>
      </c>
      <c r="O256" s="414" t="s">
        <v>400</v>
      </c>
      <c r="P256" s="655">
        <f t="shared" si="12"/>
        <v>10</v>
      </c>
      <c r="Q256" s="655">
        <f t="shared" si="13"/>
        <v>9</v>
      </c>
      <c r="R256" s="758" t="str">
        <f t="shared" si="14"/>
        <v>Gastos_Gerais</v>
      </c>
      <c r="S256" s="697" t="s">
        <v>998</v>
      </c>
      <c r="T256" s="697">
        <v>1133</v>
      </c>
    </row>
    <row r="257" spans="1:20" ht="36" x14ac:dyDescent="0.2">
      <c r="A257" s="432">
        <f>IF(B257="","",COUNT('Diário 1º PA'!$A$4:$A$2635)+COUNT('Diário 2º PA'!$A$4:$A$3040)+COUNT('Diário 3º PA'!$A$4:$A$2731)+ROW()-3)</f>
        <v>6282</v>
      </c>
      <c r="B257" s="413">
        <v>44844</v>
      </c>
      <c r="C257" s="424">
        <v>44743</v>
      </c>
      <c r="D257" s="419" t="s">
        <v>271</v>
      </c>
      <c r="E257" s="419" t="s">
        <v>297</v>
      </c>
      <c r="F257" s="422">
        <v>16.079999999999998</v>
      </c>
      <c r="G257" s="423" t="s">
        <v>7178</v>
      </c>
      <c r="H257" s="419" t="s">
        <v>760</v>
      </c>
      <c r="I257" s="415" t="s">
        <v>764</v>
      </c>
      <c r="J257" s="419" t="s">
        <v>310</v>
      </c>
      <c r="K257" s="419" t="s">
        <v>1220</v>
      </c>
      <c r="L257" s="415" t="s">
        <v>3443</v>
      </c>
      <c r="M257" s="597">
        <v>222229706510</v>
      </c>
      <c r="N257" s="413">
        <v>44844</v>
      </c>
      <c r="O257" s="414" t="s">
        <v>400</v>
      </c>
      <c r="P257" s="655">
        <f t="shared" si="12"/>
        <v>10</v>
      </c>
      <c r="Q257" s="655">
        <f t="shared" si="13"/>
        <v>7</v>
      </c>
      <c r="R257" s="758" t="str">
        <f t="shared" si="14"/>
        <v>Gastos_Gerais</v>
      </c>
      <c r="S257" s="697" t="s">
        <v>310</v>
      </c>
      <c r="T257" s="697" t="s">
        <v>310</v>
      </c>
    </row>
    <row r="258" spans="1:20" ht="24" x14ac:dyDescent="0.2">
      <c r="A258" s="432">
        <f>IF(B258="","",COUNT('Diário 1º PA'!$A$4:$A$2635)+COUNT('Diário 2º PA'!$A$4:$A$3040)+COUNT('Diário 3º PA'!$A$4:$A$2731)+ROW()-3)</f>
        <v>6283</v>
      </c>
      <c r="B258" s="413">
        <v>44844</v>
      </c>
      <c r="C258" s="424">
        <v>44774</v>
      </c>
      <c r="D258" s="419" t="s">
        <v>271</v>
      </c>
      <c r="E258" s="419" t="s">
        <v>326</v>
      </c>
      <c r="F258" s="422">
        <v>65.55</v>
      </c>
      <c r="G258" s="423" t="s">
        <v>7310</v>
      </c>
      <c r="H258" s="419" t="s">
        <v>309</v>
      </c>
      <c r="I258" s="415" t="s">
        <v>764</v>
      </c>
      <c r="J258" s="419" t="s">
        <v>310</v>
      </c>
      <c r="K258" s="419" t="s">
        <v>1220</v>
      </c>
      <c r="L258" s="415" t="s">
        <v>3443</v>
      </c>
      <c r="M258" s="597">
        <v>222229703503</v>
      </c>
      <c r="N258" s="413">
        <v>44844</v>
      </c>
      <c r="O258" s="414" t="s">
        <v>400</v>
      </c>
      <c r="P258" s="655">
        <f t="shared" si="12"/>
        <v>10</v>
      </c>
      <c r="Q258" s="655">
        <f t="shared" si="13"/>
        <v>8</v>
      </c>
      <c r="R258" s="758" t="str">
        <f t="shared" si="14"/>
        <v>Gastos_Gerais</v>
      </c>
      <c r="S258" s="697" t="s">
        <v>310</v>
      </c>
      <c r="T258" s="697" t="s">
        <v>310</v>
      </c>
    </row>
    <row r="259" spans="1:20" ht="24" x14ac:dyDescent="0.2">
      <c r="A259" s="432">
        <f>IF(B259="","",COUNT('Diário 1º PA'!$A$4:$A$2635)+COUNT('Diário 2º PA'!$A$4:$A$3040)+COUNT('Diário 3º PA'!$A$4:$A$2731)+ROW()-3)</f>
        <v>6284</v>
      </c>
      <c r="B259" s="413">
        <v>44844</v>
      </c>
      <c r="C259" s="424">
        <v>44805</v>
      </c>
      <c r="D259" s="419" t="s">
        <v>182</v>
      </c>
      <c r="E259" s="419" t="s">
        <v>179</v>
      </c>
      <c r="F259" s="422">
        <v>19.89</v>
      </c>
      <c r="G259" s="423" t="s">
        <v>7523</v>
      </c>
      <c r="H259" s="419" t="s">
        <v>310</v>
      </c>
      <c r="I259" s="415" t="s">
        <v>764</v>
      </c>
      <c r="J259" s="419" t="s">
        <v>310</v>
      </c>
      <c r="K259" s="419" t="s">
        <v>1220</v>
      </c>
      <c r="L259" s="415" t="s">
        <v>3443</v>
      </c>
      <c r="M259" s="597">
        <v>222229715773</v>
      </c>
      <c r="N259" s="413">
        <v>44844</v>
      </c>
      <c r="O259" s="414" t="s">
        <v>400</v>
      </c>
      <c r="P259" s="655">
        <f t="shared" si="12"/>
        <v>10</v>
      </c>
      <c r="Q259" s="655">
        <f t="shared" si="13"/>
        <v>9</v>
      </c>
      <c r="R259" s="758" t="str">
        <f t="shared" si="14"/>
        <v>Gastos_com_Pessoal</v>
      </c>
      <c r="S259" s="697" t="s">
        <v>310</v>
      </c>
      <c r="T259" s="697" t="s">
        <v>310</v>
      </c>
    </row>
    <row r="260" spans="1:20" ht="36" x14ac:dyDescent="0.2">
      <c r="A260" s="432">
        <f>IF(B260="","",COUNT('Diário 1º PA'!$A$4:$A$2635)+COUNT('Diário 2º PA'!$A$4:$A$3040)+COUNT('Diário 3º PA'!$A$4:$A$2731)+ROW()-3)</f>
        <v>6285</v>
      </c>
      <c r="B260" s="413">
        <v>44844</v>
      </c>
      <c r="C260" s="424">
        <v>44743</v>
      </c>
      <c r="D260" s="419" t="s">
        <v>271</v>
      </c>
      <c r="E260" s="419" t="s">
        <v>90</v>
      </c>
      <c r="F260" s="422">
        <v>16.079999999999998</v>
      </c>
      <c r="G260" s="423" t="s">
        <v>7170</v>
      </c>
      <c r="H260" s="419" t="s">
        <v>760</v>
      </c>
      <c r="I260" s="415" t="s">
        <v>764</v>
      </c>
      <c r="J260" s="419" t="s">
        <v>310</v>
      </c>
      <c r="K260" s="419" t="s">
        <v>1220</v>
      </c>
      <c r="L260" s="415" t="s">
        <v>3443</v>
      </c>
      <c r="M260" s="597">
        <v>222229707169</v>
      </c>
      <c r="N260" s="413">
        <v>44844</v>
      </c>
      <c r="O260" s="414" t="s">
        <v>400</v>
      </c>
      <c r="P260" s="655">
        <f t="shared" si="12"/>
        <v>10</v>
      </c>
      <c r="Q260" s="655">
        <f t="shared" si="13"/>
        <v>7</v>
      </c>
      <c r="R260" s="758" t="str">
        <f t="shared" si="14"/>
        <v>Gastos_Gerais</v>
      </c>
      <c r="S260" s="697" t="s">
        <v>310</v>
      </c>
      <c r="T260" s="697" t="s">
        <v>310</v>
      </c>
    </row>
    <row r="261" spans="1:20" ht="24" x14ac:dyDescent="0.2">
      <c r="A261" s="432">
        <f>IF(B261="","",COUNT('Diário 1º PA'!$A$4:$A$2635)+COUNT('Diário 2º PA'!$A$4:$A$3040)+COUNT('Diário 3º PA'!$A$4:$A$2731)+ROW()-3)</f>
        <v>6286</v>
      </c>
      <c r="B261" s="413">
        <v>44844</v>
      </c>
      <c r="C261" s="424">
        <v>44805</v>
      </c>
      <c r="D261" s="419" t="s">
        <v>182</v>
      </c>
      <c r="E261" s="419" t="s">
        <v>179</v>
      </c>
      <c r="F261" s="422">
        <v>11.4</v>
      </c>
      <c r="G261" s="423" t="s">
        <v>7524</v>
      </c>
      <c r="H261" s="419" t="s">
        <v>310</v>
      </c>
      <c r="I261" s="415" t="s">
        <v>764</v>
      </c>
      <c r="J261" s="419" t="s">
        <v>310</v>
      </c>
      <c r="K261" s="419" t="s">
        <v>1220</v>
      </c>
      <c r="L261" s="415" t="s">
        <v>3443</v>
      </c>
      <c r="M261" s="597">
        <v>222229714963</v>
      </c>
      <c r="N261" s="413">
        <v>44844</v>
      </c>
      <c r="O261" s="414" t="s">
        <v>400</v>
      </c>
      <c r="P261" s="655">
        <f t="shared" si="12"/>
        <v>10</v>
      </c>
      <c r="Q261" s="655">
        <f t="shared" si="13"/>
        <v>9</v>
      </c>
      <c r="R261" s="758" t="str">
        <f t="shared" si="14"/>
        <v>Gastos_com_Pessoal</v>
      </c>
      <c r="S261" s="697" t="s">
        <v>310</v>
      </c>
      <c r="T261" s="697" t="s">
        <v>310</v>
      </c>
    </row>
    <row r="262" spans="1:20" ht="24" x14ac:dyDescent="0.2">
      <c r="A262" s="432">
        <f>IF(B262="","",COUNT('Diário 1º PA'!$A$4:$A$2635)+COUNT('Diário 2º PA'!$A$4:$A$3040)+COUNT('Diário 3º PA'!$A$4:$A$2731)+ROW()-3)</f>
        <v>6287</v>
      </c>
      <c r="B262" s="413">
        <v>44844</v>
      </c>
      <c r="C262" s="424">
        <v>44743</v>
      </c>
      <c r="D262" s="419" t="s">
        <v>271</v>
      </c>
      <c r="E262" s="419" t="s">
        <v>456</v>
      </c>
      <c r="F262" s="422">
        <v>62.5</v>
      </c>
      <c r="G262" s="423" t="s">
        <v>7164</v>
      </c>
      <c r="H262" s="419" t="s">
        <v>748</v>
      </c>
      <c r="I262" s="415" t="s">
        <v>764</v>
      </c>
      <c r="J262" s="419" t="s">
        <v>310</v>
      </c>
      <c r="K262" s="419" t="s">
        <v>1220</v>
      </c>
      <c r="L262" s="415" t="s">
        <v>3443</v>
      </c>
      <c r="M262" s="597">
        <v>222229703848</v>
      </c>
      <c r="N262" s="413">
        <v>44844</v>
      </c>
      <c r="O262" s="414" t="s">
        <v>400</v>
      </c>
      <c r="P262" s="655">
        <f t="shared" si="12"/>
        <v>10</v>
      </c>
      <c r="Q262" s="655">
        <f t="shared" si="13"/>
        <v>7</v>
      </c>
      <c r="R262" s="758" t="str">
        <f t="shared" si="14"/>
        <v>Gastos_Gerais</v>
      </c>
      <c r="S262" s="697" t="s">
        <v>310</v>
      </c>
      <c r="T262" s="697" t="s">
        <v>310</v>
      </c>
    </row>
    <row r="263" spans="1:20" ht="24" x14ac:dyDescent="0.2">
      <c r="A263" s="432">
        <f>IF(B263="","",COUNT('Diário 1º PA'!$A$4:$A$2635)+COUNT('Diário 2º PA'!$A$4:$A$3040)+COUNT('Diário 3º PA'!$A$4:$A$2731)+ROW()-3)</f>
        <v>6288</v>
      </c>
      <c r="B263" s="413">
        <v>44844</v>
      </c>
      <c r="C263" s="424">
        <v>44805</v>
      </c>
      <c r="D263" s="419" t="s">
        <v>271</v>
      </c>
      <c r="E263" s="419" t="s">
        <v>178</v>
      </c>
      <c r="F263" s="422">
        <v>8.74</v>
      </c>
      <c r="G263" s="423" t="s">
        <v>7525</v>
      </c>
      <c r="H263" s="419" t="s">
        <v>309</v>
      </c>
      <c r="I263" s="415" t="s">
        <v>764</v>
      </c>
      <c r="J263" s="419" t="s">
        <v>310</v>
      </c>
      <c r="K263" s="419" t="s">
        <v>1220</v>
      </c>
      <c r="L263" s="415" t="s">
        <v>3443</v>
      </c>
      <c r="M263" s="597">
        <v>222229717121</v>
      </c>
      <c r="N263" s="413">
        <v>44844</v>
      </c>
      <c r="O263" s="414" t="s">
        <v>400</v>
      </c>
      <c r="P263" s="655">
        <f t="shared" si="12"/>
        <v>10</v>
      </c>
      <c r="Q263" s="655">
        <f t="shared" si="13"/>
        <v>9</v>
      </c>
      <c r="R263" s="758" t="str">
        <f t="shared" si="14"/>
        <v>Gastos_Gerais</v>
      </c>
      <c r="S263" s="697" t="s">
        <v>310</v>
      </c>
      <c r="T263" s="697" t="s">
        <v>310</v>
      </c>
    </row>
    <row r="264" spans="1:20" ht="24" x14ac:dyDescent="0.2">
      <c r="A264" s="432">
        <f>IF(B264="","",COUNT('Diário 1º PA'!$A$4:$A$2635)+COUNT('Diário 2º PA'!$A$4:$A$3040)+COUNT('Diário 3º PA'!$A$4:$A$2731)+ROW()-3)</f>
        <v>6289</v>
      </c>
      <c r="B264" s="413">
        <v>44844</v>
      </c>
      <c r="C264" s="424">
        <v>44774</v>
      </c>
      <c r="D264" s="419" t="s">
        <v>271</v>
      </c>
      <c r="E264" s="419" t="s">
        <v>465</v>
      </c>
      <c r="F264" s="422">
        <v>20.399999999999999</v>
      </c>
      <c r="G264" s="423" t="s">
        <v>7423</v>
      </c>
      <c r="H264" s="419" t="s">
        <v>758</v>
      </c>
      <c r="I264" s="415" t="s">
        <v>764</v>
      </c>
      <c r="J264" s="419" t="s">
        <v>310</v>
      </c>
      <c r="K264" s="419" t="s">
        <v>1220</v>
      </c>
      <c r="L264" s="415" t="s">
        <v>3443</v>
      </c>
      <c r="M264" s="597">
        <v>222229701551</v>
      </c>
      <c r="N264" s="413">
        <v>44844</v>
      </c>
      <c r="O264" s="414" t="s">
        <v>400</v>
      </c>
      <c r="P264" s="655">
        <f t="shared" si="12"/>
        <v>10</v>
      </c>
      <c r="Q264" s="655">
        <f t="shared" si="13"/>
        <v>8</v>
      </c>
      <c r="R264" s="758" t="str">
        <f t="shared" si="14"/>
        <v>Gastos_Gerais</v>
      </c>
      <c r="S264" s="697" t="s">
        <v>310</v>
      </c>
      <c r="T264" s="697" t="s">
        <v>310</v>
      </c>
    </row>
    <row r="265" spans="1:20" ht="24" x14ac:dyDescent="0.2">
      <c r="A265" s="432">
        <f>IF(B265="","",COUNT('Diário 1º PA'!$A$4:$A$2635)+COUNT('Diário 2º PA'!$A$4:$A$3040)+COUNT('Diário 3º PA'!$A$4:$A$2731)+ROW()-3)</f>
        <v>6290</v>
      </c>
      <c r="B265" s="413">
        <v>44844</v>
      </c>
      <c r="C265" s="424">
        <v>44805</v>
      </c>
      <c r="D265" s="419" t="s">
        <v>182</v>
      </c>
      <c r="E265" s="419" t="s">
        <v>161</v>
      </c>
      <c r="F265" s="422">
        <v>1.29</v>
      </c>
      <c r="G265" s="423" t="s">
        <v>7436</v>
      </c>
      <c r="H265" s="419" t="s">
        <v>310</v>
      </c>
      <c r="I265" s="415" t="s">
        <v>764</v>
      </c>
      <c r="J265" s="419" t="s">
        <v>310</v>
      </c>
      <c r="K265" s="419" t="s">
        <v>1220</v>
      </c>
      <c r="L265" s="415" t="s">
        <v>3443</v>
      </c>
      <c r="M265" s="597">
        <v>222229716907</v>
      </c>
      <c r="N265" s="413">
        <v>44844</v>
      </c>
      <c r="O265" s="414" t="s">
        <v>400</v>
      </c>
      <c r="P265" s="655">
        <f t="shared" si="12"/>
        <v>10</v>
      </c>
      <c r="Q265" s="655">
        <f t="shared" si="13"/>
        <v>9</v>
      </c>
      <c r="R265" s="758" t="str">
        <f t="shared" si="14"/>
        <v>Gastos_com_Pessoal</v>
      </c>
      <c r="S265" s="697" t="s">
        <v>310</v>
      </c>
      <c r="T265" s="697" t="s">
        <v>310</v>
      </c>
    </row>
    <row r="266" spans="1:20" ht="48" x14ac:dyDescent="0.2">
      <c r="A266" s="432">
        <f>IF(B266="","",COUNT('Diário 1º PA'!$A$4:$A$2635)+COUNT('Diário 2º PA'!$A$4:$A$3040)+COUNT('Diário 3º PA'!$A$4:$A$2731)+ROW()-3)</f>
        <v>6291</v>
      </c>
      <c r="B266" s="413">
        <v>44844</v>
      </c>
      <c r="C266" s="424">
        <v>44835</v>
      </c>
      <c r="D266" s="419" t="s">
        <v>271</v>
      </c>
      <c r="E266" s="419" t="s">
        <v>67</v>
      </c>
      <c r="F266" s="422">
        <v>378.25</v>
      </c>
      <c r="G266" s="423" t="s">
        <v>7526</v>
      </c>
      <c r="H266" s="419" t="s">
        <v>309</v>
      </c>
      <c r="I266" s="415" t="s">
        <v>764</v>
      </c>
      <c r="J266" s="419" t="s">
        <v>310</v>
      </c>
      <c r="K266" s="419" t="s">
        <v>1220</v>
      </c>
      <c r="L266" s="415" t="s">
        <v>3973</v>
      </c>
      <c r="M266" s="419" t="s">
        <v>7527</v>
      </c>
      <c r="N266" s="413">
        <v>44844</v>
      </c>
      <c r="O266" s="414" t="s">
        <v>400</v>
      </c>
      <c r="P266" s="655">
        <f t="shared" si="12"/>
        <v>10</v>
      </c>
      <c r="Q266" s="655">
        <f t="shared" si="13"/>
        <v>10</v>
      </c>
      <c r="R266" s="758" t="str">
        <f t="shared" si="14"/>
        <v>Gastos_Gerais</v>
      </c>
      <c r="S266" s="697" t="s">
        <v>310</v>
      </c>
      <c r="T266" s="697" t="s">
        <v>310</v>
      </c>
    </row>
    <row r="267" spans="1:20" ht="36" x14ac:dyDescent="0.2">
      <c r="A267" s="432">
        <f>IF(B267="","",COUNT('Diário 1º PA'!$A$4:$A$2635)+COUNT('Diário 2º PA'!$A$4:$A$3040)+COUNT('Diário 3º PA'!$A$4:$A$2731)+ROW()-3)</f>
        <v>6292</v>
      </c>
      <c r="B267" s="413">
        <v>44844</v>
      </c>
      <c r="C267" s="431">
        <v>44774</v>
      </c>
      <c r="D267" s="419" t="s">
        <v>468</v>
      </c>
      <c r="E267" s="419" t="s">
        <v>468</v>
      </c>
      <c r="F267" s="422">
        <v>88.44</v>
      </c>
      <c r="G267" s="427" t="s">
        <v>7243</v>
      </c>
      <c r="H267" s="419" t="s">
        <v>468</v>
      </c>
      <c r="I267" s="415" t="s">
        <v>764</v>
      </c>
      <c r="J267" s="426" t="s">
        <v>310</v>
      </c>
      <c r="K267" s="415" t="s">
        <v>1220</v>
      </c>
      <c r="L267" s="415" t="s">
        <v>3443</v>
      </c>
      <c r="M267" s="597">
        <v>222229646780</v>
      </c>
      <c r="N267" s="413">
        <v>44844</v>
      </c>
      <c r="O267" s="414" t="s">
        <v>408</v>
      </c>
      <c r="P267" s="655">
        <f t="shared" si="12"/>
        <v>10</v>
      </c>
      <c r="Q267" s="655">
        <f t="shared" si="13"/>
        <v>8</v>
      </c>
      <c r="R267" s="758" t="str">
        <f t="shared" si="14"/>
        <v>Gastos_custeados_por_captação</v>
      </c>
      <c r="S267" s="697" t="s">
        <v>310</v>
      </c>
      <c r="T267" s="697" t="s">
        <v>310</v>
      </c>
    </row>
    <row r="268" spans="1:20" ht="36" x14ac:dyDescent="0.2">
      <c r="A268" s="432">
        <f>IF(B268="","",COUNT('Diário 1º PA'!$A$4:$A$2635)+COUNT('Diário 2º PA'!$A$4:$A$3040)+COUNT('Diário 3º PA'!$A$4:$A$2731)+ROW()-3)</f>
        <v>6293</v>
      </c>
      <c r="B268" s="413">
        <v>44844</v>
      </c>
      <c r="C268" s="431">
        <v>44743</v>
      </c>
      <c r="D268" s="419" t="s">
        <v>468</v>
      </c>
      <c r="E268" s="419" t="s">
        <v>468</v>
      </c>
      <c r="F268" s="422">
        <v>12.06</v>
      </c>
      <c r="G268" s="427" t="s">
        <v>7351</v>
      </c>
      <c r="H268" s="419" t="s">
        <v>468</v>
      </c>
      <c r="I268" s="415" t="s">
        <v>764</v>
      </c>
      <c r="J268" s="426" t="s">
        <v>310</v>
      </c>
      <c r="K268" s="415" t="s">
        <v>1220</v>
      </c>
      <c r="L268" s="415" t="s">
        <v>3443</v>
      </c>
      <c r="M268" s="597">
        <v>222229647670</v>
      </c>
      <c r="N268" s="413">
        <v>44844</v>
      </c>
      <c r="O268" s="414" t="s">
        <v>408</v>
      </c>
      <c r="P268" s="655">
        <f t="shared" si="12"/>
        <v>10</v>
      </c>
      <c r="Q268" s="655">
        <f t="shared" si="13"/>
        <v>7</v>
      </c>
      <c r="R268" s="758" t="str">
        <f t="shared" si="14"/>
        <v>Gastos_custeados_por_captação</v>
      </c>
      <c r="S268" s="697" t="s">
        <v>310</v>
      </c>
      <c r="T268" s="697" t="s">
        <v>310</v>
      </c>
    </row>
    <row r="269" spans="1:20" ht="36" x14ac:dyDescent="0.2">
      <c r="A269" s="432">
        <f>IF(B269="","",COUNT('Diário 1º PA'!$A$4:$A$2635)+COUNT('Diário 2º PA'!$A$4:$A$3040)+COUNT('Diário 3º PA'!$A$4:$A$2731)+ROW()-3)</f>
        <v>6294</v>
      </c>
      <c r="B269" s="413">
        <v>44844</v>
      </c>
      <c r="C269" s="431">
        <v>44743</v>
      </c>
      <c r="D269" s="419" t="s">
        <v>468</v>
      </c>
      <c r="E269" s="419" t="s">
        <v>468</v>
      </c>
      <c r="F269" s="422">
        <v>188.5</v>
      </c>
      <c r="G269" s="427" t="s">
        <v>7716</v>
      </c>
      <c r="H269" s="419" t="s">
        <v>468</v>
      </c>
      <c r="I269" s="415" t="s">
        <v>764</v>
      </c>
      <c r="J269" s="426" t="s">
        <v>310</v>
      </c>
      <c r="K269" s="415" t="s">
        <v>1220</v>
      </c>
      <c r="L269" s="415" t="s">
        <v>3443</v>
      </c>
      <c r="M269" s="597">
        <v>222229647409</v>
      </c>
      <c r="N269" s="413">
        <v>44844</v>
      </c>
      <c r="O269" s="414" t="s">
        <v>408</v>
      </c>
      <c r="P269" s="655">
        <f t="shared" si="12"/>
        <v>10</v>
      </c>
      <c r="Q269" s="655">
        <f t="shared" si="13"/>
        <v>7</v>
      </c>
      <c r="R269" s="758" t="str">
        <f t="shared" si="14"/>
        <v>Gastos_custeados_por_captação</v>
      </c>
      <c r="S269" s="697" t="s">
        <v>310</v>
      </c>
      <c r="T269" s="697" t="s">
        <v>310</v>
      </c>
    </row>
    <row r="270" spans="1:20" ht="36" x14ac:dyDescent="0.2">
      <c r="A270" s="432">
        <f>IF(B270="","",COUNT('Diário 1º PA'!$A$4:$A$2635)+COUNT('Diário 2º PA'!$A$4:$A$3040)+COUNT('Diário 3º PA'!$A$4:$A$2731)+ROW()-3)</f>
        <v>6295</v>
      </c>
      <c r="B270" s="413">
        <v>44844</v>
      </c>
      <c r="C270" s="431">
        <v>44774</v>
      </c>
      <c r="D270" s="419" t="s">
        <v>468</v>
      </c>
      <c r="E270" s="419" t="s">
        <v>468</v>
      </c>
      <c r="F270" s="422">
        <v>220</v>
      </c>
      <c r="G270" s="427" t="s">
        <v>7383</v>
      </c>
      <c r="H270" s="419" t="s">
        <v>468</v>
      </c>
      <c r="I270" s="415" t="s">
        <v>764</v>
      </c>
      <c r="J270" s="426" t="s">
        <v>310</v>
      </c>
      <c r="K270" s="415" t="s">
        <v>1220</v>
      </c>
      <c r="L270" s="415" t="s">
        <v>3443</v>
      </c>
      <c r="M270" s="597">
        <v>222229648057</v>
      </c>
      <c r="N270" s="413">
        <v>44844</v>
      </c>
      <c r="O270" s="414" t="s">
        <v>408</v>
      </c>
      <c r="P270" s="655">
        <f t="shared" si="12"/>
        <v>10</v>
      </c>
      <c r="Q270" s="655">
        <f t="shared" si="13"/>
        <v>8</v>
      </c>
      <c r="R270" s="758" t="str">
        <f t="shared" si="14"/>
        <v>Gastos_custeados_por_captação</v>
      </c>
      <c r="S270" s="697" t="s">
        <v>310</v>
      </c>
      <c r="T270" s="697" t="s">
        <v>310</v>
      </c>
    </row>
    <row r="271" spans="1:20" ht="36" x14ac:dyDescent="0.2">
      <c r="A271" s="432">
        <f>IF(B271="","",COUNT('Diário 1º PA'!$A$4:$A$2635)+COUNT('Diário 2º PA'!$A$4:$A$3040)+COUNT('Diário 3º PA'!$A$4:$A$2731)+ROW()-3)</f>
        <v>6296</v>
      </c>
      <c r="B271" s="413">
        <v>44844</v>
      </c>
      <c r="C271" s="431">
        <v>44774</v>
      </c>
      <c r="D271" s="419" t="s">
        <v>468</v>
      </c>
      <c r="E271" s="419" t="s">
        <v>468</v>
      </c>
      <c r="F271" s="422">
        <v>180</v>
      </c>
      <c r="G271" s="427" t="s">
        <v>7241</v>
      </c>
      <c r="H271" s="419" t="s">
        <v>468</v>
      </c>
      <c r="I271" s="415" t="s">
        <v>764</v>
      </c>
      <c r="J271" s="426" t="s">
        <v>310</v>
      </c>
      <c r="K271" s="415" t="s">
        <v>1220</v>
      </c>
      <c r="L271" s="415" t="s">
        <v>3443</v>
      </c>
      <c r="M271" s="597">
        <v>222229646941</v>
      </c>
      <c r="N271" s="413">
        <v>44844</v>
      </c>
      <c r="O271" s="414" t="s">
        <v>408</v>
      </c>
      <c r="P271" s="655">
        <f t="shared" si="12"/>
        <v>10</v>
      </c>
      <c r="Q271" s="655">
        <f t="shared" si="13"/>
        <v>8</v>
      </c>
      <c r="R271" s="758" t="str">
        <f t="shared" si="14"/>
        <v>Gastos_custeados_por_captação</v>
      </c>
      <c r="S271" s="697" t="s">
        <v>310</v>
      </c>
      <c r="T271" s="697" t="s">
        <v>310</v>
      </c>
    </row>
    <row r="272" spans="1:20" ht="48" x14ac:dyDescent="0.2">
      <c r="A272" s="432">
        <f>IF(B272="","",COUNT('Diário 1º PA'!$A$4:$A$2635)+COUNT('Diário 2º PA'!$A$4:$A$3040)+COUNT('Diário 3º PA'!$A$4:$A$2731)+ROW()-3)</f>
        <v>6297</v>
      </c>
      <c r="B272" s="413">
        <v>44844</v>
      </c>
      <c r="C272" s="431">
        <v>44805</v>
      </c>
      <c r="D272" s="419" t="s">
        <v>468</v>
      </c>
      <c r="E272" s="419" t="s">
        <v>468</v>
      </c>
      <c r="F272" s="422">
        <v>2462.5500000000002</v>
      </c>
      <c r="G272" s="427" t="s">
        <v>7931</v>
      </c>
      <c r="H272" s="419" t="s">
        <v>468</v>
      </c>
      <c r="I272" s="639" t="s">
        <v>7932</v>
      </c>
      <c r="J272" s="426" t="s">
        <v>7933</v>
      </c>
      <c r="K272" s="419" t="s">
        <v>830</v>
      </c>
      <c r="L272" s="415" t="s">
        <v>839</v>
      </c>
      <c r="M272" s="597">
        <v>2055</v>
      </c>
      <c r="N272" s="413">
        <v>44841</v>
      </c>
      <c r="O272" s="414" t="s">
        <v>3762</v>
      </c>
      <c r="P272" s="655">
        <f t="shared" si="12"/>
        <v>10</v>
      </c>
      <c r="Q272" s="655">
        <f t="shared" si="13"/>
        <v>9</v>
      </c>
      <c r="R272" s="758" t="str">
        <f t="shared" si="14"/>
        <v>Gastos_custeados_por_captação</v>
      </c>
      <c r="S272" s="697" t="s">
        <v>1000</v>
      </c>
      <c r="T272" s="697">
        <v>4344</v>
      </c>
    </row>
    <row r="273" spans="1:20" ht="36" x14ac:dyDescent="0.2">
      <c r="A273" s="432">
        <f>IF(B273="","",COUNT('Diário 1º PA'!$A$4:$A$2635)+COUNT('Diário 2º PA'!$A$4:$A$3040)+COUNT('Diário 3º PA'!$A$4:$A$2731)+ROW()-3)</f>
        <v>6298</v>
      </c>
      <c r="B273" s="413">
        <v>44844</v>
      </c>
      <c r="C273" s="431">
        <v>44774</v>
      </c>
      <c r="D273" s="419" t="s">
        <v>468</v>
      </c>
      <c r="E273" s="419" t="s">
        <v>468</v>
      </c>
      <c r="F273" s="422">
        <v>74.33</v>
      </c>
      <c r="G273" s="427" t="s">
        <v>7255</v>
      </c>
      <c r="H273" s="419" t="s">
        <v>468</v>
      </c>
      <c r="I273" s="415" t="s">
        <v>764</v>
      </c>
      <c r="J273" s="426" t="s">
        <v>310</v>
      </c>
      <c r="K273" s="415" t="s">
        <v>1220</v>
      </c>
      <c r="L273" s="415" t="s">
        <v>3443</v>
      </c>
      <c r="M273" s="597">
        <v>222229796323</v>
      </c>
      <c r="N273" s="413">
        <v>44844</v>
      </c>
      <c r="O273" s="414" t="s">
        <v>3762</v>
      </c>
      <c r="P273" s="655">
        <f t="shared" si="12"/>
        <v>10</v>
      </c>
      <c r="Q273" s="655">
        <f t="shared" si="13"/>
        <v>8</v>
      </c>
      <c r="R273" s="758" t="str">
        <f t="shared" si="14"/>
        <v>Gastos_custeados_por_captação</v>
      </c>
      <c r="S273" s="697" t="s">
        <v>310</v>
      </c>
      <c r="T273" s="697" t="s">
        <v>310</v>
      </c>
    </row>
    <row r="274" spans="1:20" ht="36" x14ac:dyDescent="0.2">
      <c r="A274" s="432">
        <f>IF(B274="","",COUNT('Diário 1º PA'!$A$4:$A$2635)+COUNT('Diário 2º PA'!$A$4:$A$3040)+COUNT('Diário 3º PA'!$A$4:$A$2731)+ROW()-3)</f>
        <v>6299</v>
      </c>
      <c r="B274" s="413">
        <v>44844</v>
      </c>
      <c r="C274" s="431">
        <v>44774</v>
      </c>
      <c r="D274" s="419" t="s">
        <v>468</v>
      </c>
      <c r="E274" s="419" t="s">
        <v>468</v>
      </c>
      <c r="F274" s="422">
        <v>100</v>
      </c>
      <c r="G274" s="427" t="s">
        <v>7256</v>
      </c>
      <c r="H274" s="419" t="s">
        <v>468</v>
      </c>
      <c r="I274" s="415" t="s">
        <v>764</v>
      </c>
      <c r="J274" s="426" t="s">
        <v>310</v>
      </c>
      <c r="K274" s="415" t="s">
        <v>1220</v>
      </c>
      <c r="L274" s="415" t="s">
        <v>3443</v>
      </c>
      <c r="M274" s="597">
        <v>222229797133</v>
      </c>
      <c r="N274" s="413">
        <v>44844</v>
      </c>
      <c r="O274" s="414" t="s">
        <v>3762</v>
      </c>
      <c r="P274" s="655">
        <f t="shared" si="12"/>
        <v>10</v>
      </c>
      <c r="Q274" s="655">
        <f t="shared" si="13"/>
        <v>8</v>
      </c>
      <c r="R274" s="758" t="str">
        <f t="shared" si="14"/>
        <v>Gastos_custeados_por_captação</v>
      </c>
      <c r="S274" s="697" t="s">
        <v>310</v>
      </c>
      <c r="T274" s="697" t="s">
        <v>310</v>
      </c>
    </row>
    <row r="275" spans="1:20" ht="36" x14ac:dyDescent="0.2">
      <c r="A275" s="432">
        <f>IF(B275="","",COUNT('Diário 1º PA'!$A$4:$A$2635)+COUNT('Diário 2º PA'!$A$4:$A$3040)+COUNT('Diário 3º PA'!$A$4:$A$2731)+ROW()-3)</f>
        <v>6300</v>
      </c>
      <c r="B275" s="413">
        <v>44844</v>
      </c>
      <c r="C275" s="431">
        <v>44805</v>
      </c>
      <c r="D275" s="419" t="s">
        <v>468</v>
      </c>
      <c r="E275" s="419" t="s">
        <v>468</v>
      </c>
      <c r="F275" s="422">
        <v>1680</v>
      </c>
      <c r="G275" s="427" t="s">
        <v>7121</v>
      </c>
      <c r="H275" s="419" t="s">
        <v>468</v>
      </c>
      <c r="I275" s="415" t="s">
        <v>3587</v>
      </c>
      <c r="J275" s="415" t="s">
        <v>1991</v>
      </c>
      <c r="K275" s="415" t="s">
        <v>830</v>
      </c>
      <c r="L275" s="415" t="s">
        <v>1341</v>
      </c>
      <c r="M275" s="597">
        <v>2046</v>
      </c>
      <c r="N275" s="413">
        <v>44839</v>
      </c>
      <c r="O275" s="414" t="s">
        <v>3762</v>
      </c>
      <c r="P275" s="655">
        <f t="shared" si="12"/>
        <v>10</v>
      </c>
      <c r="Q275" s="655">
        <f t="shared" si="13"/>
        <v>9</v>
      </c>
      <c r="R275" s="758" t="str">
        <f t="shared" si="14"/>
        <v>Gastos_custeados_por_captação</v>
      </c>
      <c r="S275" s="697" t="s">
        <v>1000</v>
      </c>
      <c r="T275" s="697">
        <v>4343</v>
      </c>
    </row>
    <row r="276" spans="1:20" ht="36" x14ac:dyDescent="0.2">
      <c r="A276" s="432">
        <f>IF(B276="","",COUNT('Diário 1º PA'!$A$4:$A$2635)+COUNT('Diário 2º PA'!$A$4:$A$3040)+COUNT('Diário 3º PA'!$A$4:$A$2731)+ROW()-3)</f>
        <v>6301</v>
      </c>
      <c r="B276" s="413">
        <v>44844</v>
      </c>
      <c r="C276" s="431">
        <v>44774</v>
      </c>
      <c r="D276" s="419" t="s">
        <v>468</v>
      </c>
      <c r="E276" s="419" t="s">
        <v>468</v>
      </c>
      <c r="F276" s="422">
        <v>28.14</v>
      </c>
      <c r="G276" s="427" t="s">
        <v>7353</v>
      </c>
      <c r="H276" s="419" t="s">
        <v>468</v>
      </c>
      <c r="I276" s="415" t="s">
        <v>764</v>
      </c>
      <c r="J276" s="426" t="s">
        <v>310</v>
      </c>
      <c r="K276" s="415" t="s">
        <v>1220</v>
      </c>
      <c r="L276" s="415" t="s">
        <v>3443</v>
      </c>
      <c r="M276" s="597">
        <v>222229798377</v>
      </c>
      <c r="N276" s="413">
        <v>44844</v>
      </c>
      <c r="O276" s="414" t="s">
        <v>3762</v>
      </c>
      <c r="P276" s="655">
        <f t="shared" si="12"/>
        <v>10</v>
      </c>
      <c r="Q276" s="655">
        <f t="shared" si="13"/>
        <v>8</v>
      </c>
      <c r="R276" s="758" t="str">
        <f t="shared" si="14"/>
        <v>Gastos_custeados_por_captação</v>
      </c>
      <c r="S276" s="697" t="s">
        <v>310</v>
      </c>
      <c r="T276" s="697" t="s">
        <v>310</v>
      </c>
    </row>
    <row r="277" spans="1:20" ht="60" x14ac:dyDescent="0.2">
      <c r="A277" s="432">
        <f>IF(B277="","",COUNT('Diário 1º PA'!$A$4:$A$2635)+COUNT('Diário 2º PA'!$A$4:$A$3040)+COUNT('Diário 3º PA'!$A$4:$A$2731)+ROW()-3)</f>
        <v>6302</v>
      </c>
      <c r="B277" s="413">
        <v>44844</v>
      </c>
      <c r="C277" s="431">
        <v>44805</v>
      </c>
      <c r="D277" s="419" t="s">
        <v>468</v>
      </c>
      <c r="E277" s="419" t="s">
        <v>468</v>
      </c>
      <c r="F277" s="422">
        <v>2462.5500000000002</v>
      </c>
      <c r="G277" s="427" t="s">
        <v>7127</v>
      </c>
      <c r="H277" s="419" t="s">
        <v>468</v>
      </c>
      <c r="I277" s="415" t="s">
        <v>7937</v>
      </c>
      <c r="J277" s="415" t="s">
        <v>7128</v>
      </c>
      <c r="K277" s="415" t="s">
        <v>830</v>
      </c>
      <c r="L277" s="415" t="s">
        <v>1341</v>
      </c>
      <c r="M277" s="597">
        <v>2054</v>
      </c>
      <c r="N277" s="413">
        <v>44841</v>
      </c>
      <c r="O277" s="414" t="s">
        <v>3762</v>
      </c>
      <c r="P277" s="655">
        <f t="shared" si="12"/>
        <v>10</v>
      </c>
      <c r="Q277" s="655">
        <f t="shared" si="13"/>
        <v>9</v>
      </c>
      <c r="R277" s="758" t="str">
        <f t="shared" si="14"/>
        <v>Gastos_custeados_por_captação</v>
      </c>
      <c r="S277" s="697" t="s">
        <v>1000</v>
      </c>
      <c r="T277" s="697">
        <v>4301</v>
      </c>
    </row>
    <row r="278" spans="1:20" ht="36" x14ac:dyDescent="0.2">
      <c r="A278" s="432">
        <f>IF(B278="","",COUNT('Diário 1º PA'!$A$4:$A$2635)+COUNT('Diário 2º PA'!$A$4:$A$3040)+COUNT('Diário 3º PA'!$A$4:$A$2731)+ROW()-3)</f>
        <v>6303</v>
      </c>
      <c r="B278" s="413">
        <v>44844</v>
      </c>
      <c r="C278" s="431">
        <v>44774</v>
      </c>
      <c r="D278" s="419" t="s">
        <v>468</v>
      </c>
      <c r="E278" s="419" t="s">
        <v>468</v>
      </c>
      <c r="F278" s="422">
        <v>50</v>
      </c>
      <c r="G278" s="427" t="s">
        <v>7245</v>
      </c>
      <c r="H278" s="419" t="s">
        <v>468</v>
      </c>
      <c r="I278" s="415" t="s">
        <v>764</v>
      </c>
      <c r="J278" s="426" t="s">
        <v>310</v>
      </c>
      <c r="K278" s="415" t="s">
        <v>1220</v>
      </c>
      <c r="L278" s="415" t="s">
        <v>3443</v>
      </c>
      <c r="M278" s="597">
        <v>222229795190</v>
      </c>
      <c r="N278" s="413">
        <v>44844</v>
      </c>
      <c r="O278" s="414" t="s">
        <v>3762</v>
      </c>
      <c r="P278" s="655">
        <f t="shared" si="12"/>
        <v>10</v>
      </c>
      <c r="Q278" s="655">
        <f t="shared" si="13"/>
        <v>8</v>
      </c>
      <c r="R278" s="758" t="str">
        <f t="shared" si="14"/>
        <v>Gastos_custeados_por_captação</v>
      </c>
      <c r="S278" s="697" t="s">
        <v>310</v>
      </c>
      <c r="T278" s="697" t="s">
        <v>310</v>
      </c>
    </row>
    <row r="279" spans="1:20" ht="36" x14ac:dyDescent="0.2">
      <c r="A279" s="432">
        <f>IF(B279="","",COUNT('Diário 1º PA'!$A$4:$A$2635)+COUNT('Diário 2º PA'!$A$4:$A$3040)+COUNT('Diário 3º PA'!$A$4:$A$2731)+ROW()-3)</f>
        <v>6304</v>
      </c>
      <c r="B279" s="413">
        <v>44844</v>
      </c>
      <c r="C279" s="431">
        <v>44713</v>
      </c>
      <c r="D279" s="419" t="s">
        <v>468</v>
      </c>
      <c r="E279" s="419" t="s">
        <v>468</v>
      </c>
      <c r="F279" s="422">
        <v>2343.38</v>
      </c>
      <c r="G279" s="427" t="s">
        <v>7292</v>
      </c>
      <c r="H279" s="419" t="s">
        <v>468</v>
      </c>
      <c r="I279" s="415" t="s">
        <v>764</v>
      </c>
      <c r="J279" s="426" t="s">
        <v>310</v>
      </c>
      <c r="K279" s="415" t="s">
        <v>1220</v>
      </c>
      <c r="L279" s="415" t="s">
        <v>3443</v>
      </c>
      <c r="M279" s="597">
        <v>222229797729</v>
      </c>
      <c r="N279" s="413">
        <v>44844</v>
      </c>
      <c r="O279" s="414" t="s">
        <v>3762</v>
      </c>
      <c r="P279" s="655">
        <f t="shared" si="12"/>
        <v>10</v>
      </c>
      <c r="Q279" s="655">
        <f t="shared" si="13"/>
        <v>6</v>
      </c>
      <c r="R279" s="758" t="str">
        <f t="shared" si="14"/>
        <v>Gastos_custeados_por_captação</v>
      </c>
      <c r="S279" s="697" t="s">
        <v>310</v>
      </c>
      <c r="T279" s="697" t="s">
        <v>310</v>
      </c>
    </row>
    <row r="280" spans="1:20" ht="36" x14ac:dyDescent="0.2">
      <c r="A280" s="432">
        <f>IF(B280="","",COUNT('Diário 1º PA'!$A$4:$A$2635)+COUNT('Diário 2º PA'!$A$4:$A$3040)+COUNT('Diário 3º PA'!$A$4:$A$2731)+ROW()-3)</f>
        <v>6305</v>
      </c>
      <c r="B280" s="413">
        <v>44844</v>
      </c>
      <c r="C280" s="431">
        <v>44774</v>
      </c>
      <c r="D280" s="419" t="s">
        <v>468</v>
      </c>
      <c r="E280" s="419" t="s">
        <v>468</v>
      </c>
      <c r="F280" s="422">
        <v>100</v>
      </c>
      <c r="G280" s="427" t="s">
        <v>7257</v>
      </c>
      <c r="H280" s="419" t="s">
        <v>468</v>
      </c>
      <c r="I280" s="415" t="s">
        <v>764</v>
      </c>
      <c r="J280" s="426" t="s">
        <v>310</v>
      </c>
      <c r="K280" s="415" t="s">
        <v>1220</v>
      </c>
      <c r="L280" s="415" t="s">
        <v>3443</v>
      </c>
      <c r="M280" s="597">
        <v>222229797486</v>
      </c>
      <c r="N280" s="413">
        <v>44844</v>
      </c>
      <c r="O280" s="414" t="s">
        <v>3762</v>
      </c>
      <c r="P280" s="655">
        <f t="shared" si="12"/>
        <v>10</v>
      </c>
      <c r="Q280" s="655">
        <f t="shared" si="13"/>
        <v>8</v>
      </c>
      <c r="R280" s="758" t="str">
        <f t="shared" si="14"/>
        <v>Gastos_custeados_por_captação</v>
      </c>
      <c r="S280" s="697" t="s">
        <v>310</v>
      </c>
      <c r="T280" s="697" t="s">
        <v>310</v>
      </c>
    </row>
    <row r="281" spans="1:20" ht="36" x14ac:dyDescent="0.2">
      <c r="A281" s="432">
        <f>IF(B281="","",COUNT('Diário 1º PA'!$A$4:$A$2635)+COUNT('Diário 2º PA'!$A$4:$A$3040)+COUNT('Diário 3º PA'!$A$4:$A$2731)+ROW()-3)</f>
        <v>6306</v>
      </c>
      <c r="B281" s="413">
        <v>44844</v>
      </c>
      <c r="C281" s="431">
        <v>44774</v>
      </c>
      <c r="D281" s="419" t="s">
        <v>468</v>
      </c>
      <c r="E281" s="419" t="s">
        <v>468</v>
      </c>
      <c r="F281" s="422">
        <v>100</v>
      </c>
      <c r="G281" s="427" t="s">
        <v>7940</v>
      </c>
      <c r="H281" s="419" t="s">
        <v>468</v>
      </c>
      <c r="I281" s="415" t="s">
        <v>764</v>
      </c>
      <c r="J281" s="426" t="s">
        <v>310</v>
      </c>
      <c r="K281" s="415" t="s">
        <v>1220</v>
      </c>
      <c r="L281" s="415" t="s">
        <v>3443</v>
      </c>
      <c r="M281" s="597">
        <v>222229797567</v>
      </c>
      <c r="N281" s="413">
        <v>44844</v>
      </c>
      <c r="O281" s="414" t="s">
        <v>3762</v>
      </c>
      <c r="P281" s="655">
        <f t="shared" si="12"/>
        <v>10</v>
      </c>
      <c r="Q281" s="655">
        <f t="shared" si="13"/>
        <v>8</v>
      </c>
      <c r="R281" s="758" t="str">
        <f t="shared" si="14"/>
        <v>Gastos_custeados_por_captação</v>
      </c>
      <c r="S281" s="697" t="s">
        <v>310</v>
      </c>
      <c r="T281" s="697" t="s">
        <v>310</v>
      </c>
    </row>
    <row r="282" spans="1:20" ht="36" x14ac:dyDescent="0.2">
      <c r="A282" s="432">
        <f>IF(B282="","",COUNT('Diário 1º PA'!$A$4:$A$2635)+COUNT('Diário 2º PA'!$A$4:$A$3040)+COUNT('Diário 3º PA'!$A$4:$A$2731)+ROW()-3)</f>
        <v>6307</v>
      </c>
      <c r="B282" s="413">
        <v>44844</v>
      </c>
      <c r="C282" s="431">
        <v>44774</v>
      </c>
      <c r="D282" s="419" t="s">
        <v>468</v>
      </c>
      <c r="E282" s="419" t="s">
        <v>468</v>
      </c>
      <c r="F282" s="422">
        <v>28.48</v>
      </c>
      <c r="G282" s="427" t="s">
        <v>7248</v>
      </c>
      <c r="H282" s="419" t="s">
        <v>468</v>
      </c>
      <c r="I282" s="415" t="s">
        <v>764</v>
      </c>
      <c r="J282" s="426" t="s">
        <v>310</v>
      </c>
      <c r="K282" s="415" t="s">
        <v>1220</v>
      </c>
      <c r="L282" s="415" t="s">
        <v>3443</v>
      </c>
      <c r="M282" s="597">
        <v>222229795602</v>
      </c>
      <c r="N282" s="413">
        <v>44844</v>
      </c>
      <c r="O282" s="414" t="s">
        <v>3762</v>
      </c>
      <c r="P282" s="655">
        <f t="shared" si="12"/>
        <v>10</v>
      </c>
      <c r="Q282" s="655">
        <f t="shared" si="13"/>
        <v>8</v>
      </c>
      <c r="R282" s="758" t="str">
        <f t="shared" si="14"/>
        <v>Gastos_custeados_por_captação</v>
      </c>
      <c r="S282" s="697" t="s">
        <v>310</v>
      </c>
      <c r="T282" s="697" t="s">
        <v>310</v>
      </c>
    </row>
    <row r="283" spans="1:20" ht="36" x14ac:dyDescent="0.2">
      <c r="A283" s="432">
        <f>IF(B283="","",COUNT('Diário 1º PA'!$A$4:$A$2635)+COUNT('Diário 2º PA'!$A$4:$A$3040)+COUNT('Diário 3º PA'!$A$4:$A$2731)+ROW()-3)</f>
        <v>6308</v>
      </c>
      <c r="B283" s="413">
        <v>44844</v>
      </c>
      <c r="C283" s="431">
        <v>44774</v>
      </c>
      <c r="D283" s="419" t="s">
        <v>468</v>
      </c>
      <c r="E283" s="419" t="s">
        <v>468</v>
      </c>
      <c r="F283" s="422">
        <v>55.27</v>
      </c>
      <c r="G283" s="427" t="s">
        <v>7246</v>
      </c>
      <c r="H283" s="419" t="s">
        <v>468</v>
      </c>
      <c r="I283" s="415" t="s">
        <v>764</v>
      </c>
      <c r="J283" s="426" t="s">
        <v>310</v>
      </c>
      <c r="K283" s="415" t="s">
        <v>1220</v>
      </c>
      <c r="L283" s="415" t="s">
        <v>3443</v>
      </c>
      <c r="M283" s="597">
        <v>222229795513</v>
      </c>
      <c r="N283" s="413">
        <v>44844</v>
      </c>
      <c r="O283" s="414" t="s">
        <v>3762</v>
      </c>
      <c r="P283" s="655">
        <f t="shared" si="12"/>
        <v>10</v>
      </c>
      <c r="Q283" s="655">
        <f t="shared" si="13"/>
        <v>8</v>
      </c>
      <c r="R283" s="758" t="str">
        <f t="shared" si="14"/>
        <v>Gastos_custeados_por_captação</v>
      </c>
      <c r="S283" s="697" t="s">
        <v>310</v>
      </c>
      <c r="T283" s="697" t="s">
        <v>310</v>
      </c>
    </row>
    <row r="284" spans="1:20" ht="48" x14ac:dyDescent="0.2">
      <c r="A284" s="432">
        <f>IF(B284="","",COUNT('Diário 1º PA'!$A$4:$A$2635)+COUNT('Diário 2º PA'!$A$4:$A$3040)+COUNT('Diário 3º PA'!$A$4:$A$2731)+ROW()-3)</f>
        <v>6309</v>
      </c>
      <c r="B284" s="413">
        <v>44844</v>
      </c>
      <c r="C284" s="431">
        <v>44774</v>
      </c>
      <c r="D284" s="419" t="s">
        <v>468</v>
      </c>
      <c r="E284" s="419" t="s">
        <v>468</v>
      </c>
      <c r="F284" s="422">
        <v>137.5</v>
      </c>
      <c r="G284" s="427" t="s">
        <v>7189</v>
      </c>
      <c r="H284" s="419" t="s">
        <v>468</v>
      </c>
      <c r="I284" s="415" t="s">
        <v>764</v>
      </c>
      <c r="J284" s="426" t="s">
        <v>310</v>
      </c>
      <c r="K284" s="415" t="s">
        <v>1220</v>
      </c>
      <c r="L284" s="415" t="s">
        <v>3443</v>
      </c>
      <c r="M284" s="597">
        <v>222229655509</v>
      </c>
      <c r="N284" s="413">
        <v>44844</v>
      </c>
      <c r="O284" s="414" t="s">
        <v>405</v>
      </c>
      <c r="P284" s="655">
        <f t="shared" si="12"/>
        <v>10</v>
      </c>
      <c r="Q284" s="655">
        <f t="shared" si="13"/>
        <v>8</v>
      </c>
      <c r="R284" s="758" t="str">
        <f t="shared" si="14"/>
        <v>Gastos_custeados_por_captação</v>
      </c>
      <c r="S284" s="697" t="s">
        <v>310</v>
      </c>
      <c r="T284" s="697" t="s">
        <v>310</v>
      </c>
    </row>
    <row r="285" spans="1:20" ht="48" x14ac:dyDescent="0.2">
      <c r="A285" s="432">
        <f>IF(B285="","",COUNT('Diário 1º PA'!$A$4:$A$2635)+COUNT('Diário 2º PA'!$A$4:$A$3040)+COUNT('Diário 3º PA'!$A$4:$A$2731)+ROW()-3)</f>
        <v>6310</v>
      </c>
      <c r="B285" s="413">
        <v>44844</v>
      </c>
      <c r="C285" s="431">
        <v>44774</v>
      </c>
      <c r="D285" s="419" t="s">
        <v>468</v>
      </c>
      <c r="E285" s="419" t="s">
        <v>468</v>
      </c>
      <c r="F285" s="422">
        <v>90</v>
      </c>
      <c r="G285" s="427" t="s">
        <v>7184</v>
      </c>
      <c r="H285" s="419" t="s">
        <v>468</v>
      </c>
      <c r="I285" s="415" t="s">
        <v>764</v>
      </c>
      <c r="J285" s="426" t="s">
        <v>310</v>
      </c>
      <c r="K285" s="415" t="s">
        <v>1220</v>
      </c>
      <c r="L285" s="415" t="s">
        <v>3443</v>
      </c>
      <c r="M285" s="597">
        <v>222229655266</v>
      </c>
      <c r="N285" s="413">
        <v>44844</v>
      </c>
      <c r="O285" s="414" t="s">
        <v>405</v>
      </c>
      <c r="P285" s="655">
        <f t="shared" si="12"/>
        <v>10</v>
      </c>
      <c r="Q285" s="655">
        <f t="shared" si="13"/>
        <v>8</v>
      </c>
      <c r="R285" s="758" t="str">
        <f t="shared" si="14"/>
        <v>Gastos_custeados_por_captação</v>
      </c>
      <c r="S285" s="697" t="s">
        <v>310</v>
      </c>
      <c r="T285" s="697" t="s">
        <v>310</v>
      </c>
    </row>
    <row r="286" spans="1:20" ht="48" x14ac:dyDescent="0.2">
      <c r="A286" s="432">
        <f>IF(B286="","",COUNT('Diário 1º PA'!$A$4:$A$2635)+COUNT('Diário 2º PA'!$A$4:$A$3040)+COUNT('Diário 3º PA'!$A$4:$A$2731)+ROW()-3)</f>
        <v>6311</v>
      </c>
      <c r="B286" s="413">
        <v>44844</v>
      </c>
      <c r="C286" s="431">
        <v>44774</v>
      </c>
      <c r="D286" s="419" t="s">
        <v>468</v>
      </c>
      <c r="E286" s="419" t="s">
        <v>468</v>
      </c>
      <c r="F286" s="422">
        <v>55.27</v>
      </c>
      <c r="G286" s="427" t="s">
        <v>7188</v>
      </c>
      <c r="H286" s="419" t="s">
        <v>468</v>
      </c>
      <c r="I286" s="415" t="s">
        <v>764</v>
      </c>
      <c r="J286" s="426" t="s">
        <v>310</v>
      </c>
      <c r="K286" s="415" t="s">
        <v>1220</v>
      </c>
      <c r="L286" s="415" t="s">
        <v>3443</v>
      </c>
      <c r="M286" s="597">
        <v>222229657471</v>
      </c>
      <c r="N286" s="413">
        <v>44844</v>
      </c>
      <c r="O286" s="414" t="s">
        <v>405</v>
      </c>
      <c r="P286" s="655">
        <f t="shared" si="12"/>
        <v>10</v>
      </c>
      <c r="Q286" s="655">
        <f t="shared" si="13"/>
        <v>8</v>
      </c>
      <c r="R286" s="758" t="str">
        <f t="shared" si="14"/>
        <v>Gastos_custeados_por_captação</v>
      </c>
      <c r="S286" s="697" t="s">
        <v>310</v>
      </c>
      <c r="T286" s="697" t="s">
        <v>310</v>
      </c>
    </row>
    <row r="287" spans="1:20" ht="48" x14ac:dyDescent="0.2">
      <c r="A287" s="432">
        <f>IF(B287="","",COUNT('Diário 1º PA'!$A$4:$A$2635)+COUNT('Diário 2º PA'!$A$4:$A$3040)+COUNT('Diário 3º PA'!$A$4:$A$2731)+ROW()-3)</f>
        <v>6312</v>
      </c>
      <c r="B287" s="413">
        <v>44844</v>
      </c>
      <c r="C287" s="431">
        <v>44805</v>
      </c>
      <c r="D287" s="419" t="s">
        <v>468</v>
      </c>
      <c r="E287" s="419" t="s">
        <v>468</v>
      </c>
      <c r="F287" s="422">
        <v>2694.72</v>
      </c>
      <c r="G287" s="427" t="s">
        <v>7125</v>
      </c>
      <c r="H287" s="419" t="s">
        <v>468</v>
      </c>
      <c r="I287" s="415" t="s">
        <v>1811</v>
      </c>
      <c r="J287" s="415" t="s">
        <v>1023</v>
      </c>
      <c r="K287" s="415" t="s">
        <v>830</v>
      </c>
      <c r="L287" s="415" t="s">
        <v>807</v>
      </c>
      <c r="M287" s="419" t="s">
        <v>5947</v>
      </c>
      <c r="N287" s="413">
        <v>44841</v>
      </c>
      <c r="O287" s="414" t="s">
        <v>405</v>
      </c>
      <c r="P287" s="655">
        <f t="shared" si="12"/>
        <v>10</v>
      </c>
      <c r="Q287" s="655">
        <f t="shared" si="13"/>
        <v>9</v>
      </c>
      <c r="R287" s="758" t="str">
        <f t="shared" si="14"/>
        <v>Gastos_custeados_por_captação</v>
      </c>
      <c r="S287" s="697" t="s">
        <v>1000</v>
      </c>
      <c r="T287" s="697">
        <v>4310</v>
      </c>
    </row>
    <row r="288" spans="1:20" ht="48" x14ac:dyDescent="0.2">
      <c r="A288" s="432">
        <f>IF(B288="","",COUNT('Diário 1º PA'!$A$4:$A$2635)+COUNT('Diário 2º PA'!$A$4:$A$3040)+COUNT('Diário 3º PA'!$A$4:$A$2731)+ROW()-3)</f>
        <v>6313</v>
      </c>
      <c r="B288" s="413">
        <v>44844</v>
      </c>
      <c r="C288" s="431">
        <v>44774</v>
      </c>
      <c r="D288" s="419" t="s">
        <v>468</v>
      </c>
      <c r="E288" s="419" t="s">
        <v>468</v>
      </c>
      <c r="F288" s="422">
        <v>10.050000000000001</v>
      </c>
      <c r="G288" s="427" t="s">
        <v>7191</v>
      </c>
      <c r="H288" s="419" t="s">
        <v>468</v>
      </c>
      <c r="I288" s="415" t="s">
        <v>764</v>
      </c>
      <c r="J288" s="426" t="s">
        <v>310</v>
      </c>
      <c r="K288" s="415" t="s">
        <v>1220</v>
      </c>
      <c r="L288" s="415" t="s">
        <v>3443</v>
      </c>
      <c r="M288" s="597">
        <v>222229657986</v>
      </c>
      <c r="N288" s="413">
        <v>44844</v>
      </c>
      <c r="O288" s="414" t="s">
        <v>405</v>
      </c>
      <c r="P288" s="655">
        <f t="shared" si="12"/>
        <v>10</v>
      </c>
      <c r="Q288" s="655">
        <f t="shared" si="13"/>
        <v>8</v>
      </c>
      <c r="R288" s="758" t="str">
        <f t="shared" si="14"/>
        <v>Gastos_custeados_por_captação</v>
      </c>
      <c r="S288" s="697" t="s">
        <v>310</v>
      </c>
      <c r="T288" s="697" t="s">
        <v>310</v>
      </c>
    </row>
    <row r="289" spans="1:20" ht="48" x14ac:dyDescent="0.2">
      <c r="A289" s="432">
        <f>IF(B289="","",COUNT('Diário 1º PA'!$A$4:$A$2635)+COUNT('Diário 2º PA'!$A$4:$A$3040)+COUNT('Diário 3º PA'!$A$4:$A$2731)+ROW()-3)</f>
        <v>6314</v>
      </c>
      <c r="B289" s="413">
        <v>44844</v>
      </c>
      <c r="C289" s="431">
        <v>44774</v>
      </c>
      <c r="D289" s="419" t="s">
        <v>468</v>
      </c>
      <c r="E289" s="419" t="s">
        <v>468</v>
      </c>
      <c r="F289" s="422">
        <v>42.71</v>
      </c>
      <c r="G289" s="427" t="s">
        <v>7195</v>
      </c>
      <c r="H289" s="419" t="s">
        <v>468</v>
      </c>
      <c r="I289" s="415" t="s">
        <v>764</v>
      </c>
      <c r="J289" s="426" t="s">
        <v>310</v>
      </c>
      <c r="K289" s="415" t="s">
        <v>1220</v>
      </c>
      <c r="L289" s="415" t="s">
        <v>3443</v>
      </c>
      <c r="M289" s="597">
        <v>222229658877</v>
      </c>
      <c r="N289" s="413">
        <v>44844</v>
      </c>
      <c r="O289" s="414" t="s">
        <v>405</v>
      </c>
      <c r="P289" s="655">
        <f t="shared" ref="P289:P352" si="15">IF(B289=0,0,IF(YEAR(B289)=$Q$1,MONTH(B289)-$P$1+1,(YEAR(B289)-$Q$1)*12-$P$1+1+MONTH(B289)))</f>
        <v>10</v>
      </c>
      <c r="Q289" s="655">
        <f t="shared" ref="Q289:Q352" si="16">IF(C289=0,0,IF(YEAR(C289)=$Q$1,MONTH(C289)-$P$1+1,(YEAR(C289)-$Q$1)*12-$P$1+1+MONTH(C289)))</f>
        <v>8</v>
      </c>
      <c r="R289" s="758" t="str">
        <f t="shared" ref="R289:R352" si="17">SUBSTITUTE(D289," ","_")</f>
        <v>Gastos_custeados_por_captação</v>
      </c>
      <c r="S289" s="697" t="s">
        <v>310</v>
      </c>
      <c r="T289" s="697" t="s">
        <v>310</v>
      </c>
    </row>
    <row r="290" spans="1:20" ht="48" x14ac:dyDescent="0.2">
      <c r="A290" s="432">
        <f>IF(B290="","",COUNT('Diário 1º PA'!$A$4:$A$2635)+COUNT('Diário 2º PA'!$A$4:$A$3040)+COUNT('Diário 3º PA'!$A$4:$A$2731)+ROW()-3)</f>
        <v>6315</v>
      </c>
      <c r="B290" s="413">
        <v>44844</v>
      </c>
      <c r="C290" s="431">
        <v>44805</v>
      </c>
      <c r="D290" s="419" t="s">
        <v>468</v>
      </c>
      <c r="E290" s="419" t="s">
        <v>468</v>
      </c>
      <c r="F290" s="422">
        <v>140</v>
      </c>
      <c r="G290" s="427" t="s">
        <v>7290</v>
      </c>
      <c r="H290" s="419" t="s">
        <v>468</v>
      </c>
      <c r="I290" s="415" t="s">
        <v>764</v>
      </c>
      <c r="J290" s="426" t="s">
        <v>310</v>
      </c>
      <c r="K290" s="415" t="s">
        <v>1220</v>
      </c>
      <c r="L290" s="415" t="s">
        <v>3443</v>
      </c>
      <c r="M290" s="597">
        <v>222229659415</v>
      </c>
      <c r="N290" s="413">
        <v>44844</v>
      </c>
      <c r="O290" s="414" t="s">
        <v>405</v>
      </c>
      <c r="P290" s="655">
        <f t="shared" si="15"/>
        <v>10</v>
      </c>
      <c r="Q290" s="655">
        <f t="shared" si="16"/>
        <v>9</v>
      </c>
      <c r="R290" s="758" t="str">
        <f t="shared" si="17"/>
        <v>Gastos_custeados_por_captação</v>
      </c>
      <c r="S290" s="697" t="s">
        <v>310</v>
      </c>
      <c r="T290" s="697" t="s">
        <v>310</v>
      </c>
    </row>
    <row r="291" spans="1:20" ht="72" x14ac:dyDescent="0.2">
      <c r="A291" s="432">
        <f>IF(B291="","",COUNT('Diário 1º PA'!$A$4:$A$2635)+COUNT('Diário 2º PA'!$A$4:$A$3040)+COUNT('Diário 3º PA'!$A$4:$A$2731)+ROW()-3)</f>
        <v>6316</v>
      </c>
      <c r="B291" s="413">
        <v>44844</v>
      </c>
      <c r="C291" s="431">
        <v>44743</v>
      </c>
      <c r="D291" s="419" t="s">
        <v>468</v>
      </c>
      <c r="E291" s="419" t="s">
        <v>468</v>
      </c>
      <c r="F291" s="422">
        <v>5250</v>
      </c>
      <c r="G291" s="427" t="s">
        <v>5898</v>
      </c>
      <c r="H291" s="419" t="s">
        <v>468</v>
      </c>
      <c r="I291" s="415" t="s">
        <v>7754</v>
      </c>
      <c r="J291" s="415" t="s">
        <v>5899</v>
      </c>
      <c r="K291" s="415" t="s">
        <v>830</v>
      </c>
      <c r="L291" s="415" t="s">
        <v>32</v>
      </c>
      <c r="M291" s="597">
        <v>57</v>
      </c>
      <c r="N291" s="413">
        <v>44840</v>
      </c>
      <c r="O291" s="414" t="s">
        <v>405</v>
      </c>
      <c r="P291" s="655">
        <f t="shared" si="15"/>
        <v>10</v>
      </c>
      <c r="Q291" s="655">
        <f t="shared" si="16"/>
        <v>7</v>
      </c>
      <c r="R291" s="758" t="str">
        <f t="shared" si="17"/>
        <v>Gastos_custeados_por_captação</v>
      </c>
      <c r="S291" s="697" t="s">
        <v>998</v>
      </c>
      <c r="T291" s="697">
        <v>4160</v>
      </c>
    </row>
    <row r="292" spans="1:20" ht="48" x14ac:dyDescent="0.2">
      <c r="A292" s="432">
        <f>IF(B292="","",COUNT('Diário 1º PA'!$A$4:$A$2635)+COUNT('Diário 2º PA'!$A$4:$A$3040)+COUNT('Diário 3º PA'!$A$4:$A$2731)+ROW()-3)</f>
        <v>6317</v>
      </c>
      <c r="B292" s="413">
        <v>44844</v>
      </c>
      <c r="C292" s="431">
        <v>44774</v>
      </c>
      <c r="D292" s="419" t="s">
        <v>468</v>
      </c>
      <c r="E292" s="419" t="s">
        <v>468</v>
      </c>
      <c r="F292" s="422">
        <v>60.3</v>
      </c>
      <c r="G292" s="427" t="s">
        <v>7183</v>
      </c>
      <c r="H292" s="419" t="s">
        <v>468</v>
      </c>
      <c r="I292" s="415" t="s">
        <v>764</v>
      </c>
      <c r="J292" s="426" t="s">
        <v>310</v>
      </c>
      <c r="K292" s="415" t="s">
        <v>1220</v>
      </c>
      <c r="L292" s="415" t="s">
        <v>3443</v>
      </c>
      <c r="M292" s="597">
        <v>222229654456</v>
      </c>
      <c r="N292" s="413">
        <v>44844</v>
      </c>
      <c r="O292" s="414" t="s">
        <v>405</v>
      </c>
      <c r="P292" s="655">
        <f t="shared" si="15"/>
        <v>10</v>
      </c>
      <c r="Q292" s="655">
        <f t="shared" si="16"/>
        <v>8</v>
      </c>
      <c r="R292" s="758" t="str">
        <f t="shared" si="17"/>
        <v>Gastos_custeados_por_captação</v>
      </c>
      <c r="S292" s="697" t="s">
        <v>310</v>
      </c>
      <c r="T292" s="697" t="s">
        <v>310</v>
      </c>
    </row>
    <row r="293" spans="1:20" ht="48" x14ac:dyDescent="0.2">
      <c r="A293" s="432">
        <f>IF(B293="","",COUNT('Diário 1º PA'!$A$4:$A$2635)+COUNT('Diário 2º PA'!$A$4:$A$3040)+COUNT('Diário 3º PA'!$A$4:$A$2731)+ROW()-3)</f>
        <v>6318</v>
      </c>
      <c r="B293" s="413">
        <v>44844</v>
      </c>
      <c r="C293" s="431">
        <v>44774</v>
      </c>
      <c r="D293" s="419" t="s">
        <v>468</v>
      </c>
      <c r="E293" s="419" t="s">
        <v>468</v>
      </c>
      <c r="F293" s="422">
        <v>25</v>
      </c>
      <c r="G293" s="427" t="s">
        <v>7193</v>
      </c>
      <c r="H293" s="419" t="s">
        <v>468</v>
      </c>
      <c r="I293" s="415" t="s">
        <v>764</v>
      </c>
      <c r="J293" s="426" t="s">
        <v>310</v>
      </c>
      <c r="K293" s="415" t="s">
        <v>1220</v>
      </c>
      <c r="L293" s="415" t="s">
        <v>3443</v>
      </c>
      <c r="M293" s="597">
        <v>222229656823</v>
      </c>
      <c r="N293" s="413">
        <v>44844</v>
      </c>
      <c r="O293" s="414" t="s">
        <v>405</v>
      </c>
      <c r="P293" s="655">
        <f t="shared" si="15"/>
        <v>10</v>
      </c>
      <c r="Q293" s="655">
        <f t="shared" si="16"/>
        <v>8</v>
      </c>
      <c r="R293" s="758" t="str">
        <f t="shared" si="17"/>
        <v>Gastos_custeados_por_captação</v>
      </c>
      <c r="S293" s="697" t="s">
        <v>310</v>
      </c>
      <c r="T293" s="697" t="s">
        <v>310</v>
      </c>
    </row>
    <row r="294" spans="1:20" ht="48" x14ac:dyDescent="0.2">
      <c r="A294" s="432">
        <f>IF(B294="","",COUNT('Diário 1º PA'!$A$4:$A$2635)+COUNT('Diário 2º PA'!$A$4:$A$3040)+COUNT('Diário 3º PA'!$A$4:$A$2731)+ROW()-3)</f>
        <v>6319</v>
      </c>
      <c r="B294" s="413">
        <v>44844</v>
      </c>
      <c r="C294" s="431">
        <v>44743</v>
      </c>
      <c r="D294" s="419" t="s">
        <v>468</v>
      </c>
      <c r="E294" s="419" t="s">
        <v>468</v>
      </c>
      <c r="F294" s="422">
        <v>60.3</v>
      </c>
      <c r="G294" s="427" t="s">
        <v>7186</v>
      </c>
      <c r="H294" s="419" t="s">
        <v>468</v>
      </c>
      <c r="I294" s="415" t="s">
        <v>764</v>
      </c>
      <c r="J294" s="426" t="s">
        <v>310</v>
      </c>
      <c r="K294" s="415" t="s">
        <v>1220</v>
      </c>
      <c r="L294" s="415" t="s">
        <v>3443</v>
      </c>
      <c r="M294" s="597">
        <v>222229656076</v>
      </c>
      <c r="N294" s="413">
        <v>44844</v>
      </c>
      <c r="O294" s="414" t="s">
        <v>405</v>
      </c>
      <c r="P294" s="655">
        <f t="shared" si="15"/>
        <v>10</v>
      </c>
      <c r="Q294" s="655">
        <f t="shared" si="16"/>
        <v>7</v>
      </c>
      <c r="R294" s="758" t="str">
        <f t="shared" si="17"/>
        <v>Gastos_custeados_por_captação</v>
      </c>
      <c r="S294" s="697" t="s">
        <v>310</v>
      </c>
      <c r="T294" s="697" t="s">
        <v>310</v>
      </c>
    </row>
    <row r="295" spans="1:20" ht="48" x14ac:dyDescent="0.2">
      <c r="A295" s="432">
        <f>IF(B295="","",COUNT('Diário 1º PA'!$A$4:$A$2635)+COUNT('Diário 2º PA'!$A$4:$A$3040)+COUNT('Diário 3º PA'!$A$4:$A$2731)+ROW()-3)</f>
        <v>6320</v>
      </c>
      <c r="B295" s="413">
        <v>44844</v>
      </c>
      <c r="C295" s="431">
        <v>44682</v>
      </c>
      <c r="D295" s="419" t="s">
        <v>468</v>
      </c>
      <c r="E295" s="419" t="s">
        <v>468</v>
      </c>
      <c r="F295" s="422">
        <v>197.45</v>
      </c>
      <c r="G295" s="427" t="s">
        <v>7372</v>
      </c>
      <c r="H295" s="419" t="s">
        <v>468</v>
      </c>
      <c r="I295" s="415" t="s">
        <v>764</v>
      </c>
      <c r="J295" s="419" t="s">
        <v>310</v>
      </c>
      <c r="K295" s="419" t="s">
        <v>1220</v>
      </c>
      <c r="L295" s="415" t="s">
        <v>3443</v>
      </c>
      <c r="M295" s="597">
        <v>222229811578</v>
      </c>
      <c r="N295" s="413">
        <v>44844</v>
      </c>
      <c r="O295" s="414" t="s">
        <v>404</v>
      </c>
      <c r="P295" s="655">
        <f t="shared" si="15"/>
        <v>10</v>
      </c>
      <c r="Q295" s="655">
        <f t="shared" si="16"/>
        <v>5</v>
      </c>
      <c r="R295" s="758" t="str">
        <f t="shared" si="17"/>
        <v>Gastos_custeados_por_captação</v>
      </c>
      <c r="S295" s="697" t="s">
        <v>310</v>
      </c>
      <c r="T295" s="697" t="s">
        <v>310</v>
      </c>
    </row>
    <row r="296" spans="1:20" ht="48" x14ac:dyDescent="0.2">
      <c r="A296" s="432">
        <f>IF(B296="","",COUNT('Diário 1º PA'!$A$4:$A$2635)+COUNT('Diário 2º PA'!$A$4:$A$3040)+COUNT('Diário 3º PA'!$A$4:$A$2731)+ROW()-3)</f>
        <v>6321</v>
      </c>
      <c r="B296" s="413">
        <v>44844</v>
      </c>
      <c r="C296" s="431">
        <v>44774</v>
      </c>
      <c r="D296" s="419" t="s">
        <v>468</v>
      </c>
      <c r="E296" s="419" t="s">
        <v>468</v>
      </c>
      <c r="F296" s="422">
        <v>136</v>
      </c>
      <c r="G296" s="427" t="s">
        <v>7381</v>
      </c>
      <c r="H296" s="419" t="s">
        <v>468</v>
      </c>
      <c r="I296" s="415" t="s">
        <v>764</v>
      </c>
      <c r="J296" s="419" t="s">
        <v>310</v>
      </c>
      <c r="K296" s="419" t="s">
        <v>1220</v>
      </c>
      <c r="L296" s="415" t="s">
        <v>3443</v>
      </c>
      <c r="M296" s="597">
        <v>222229822502</v>
      </c>
      <c r="N296" s="413">
        <v>44844</v>
      </c>
      <c r="O296" s="414" t="s">
        <v>404</v>
      </c>
      <c r="P296" s="655">
        <f t="shared" si="15"/>
        <v>10</v>
      </c>
      <c r="Q296" s="655">
        <f t="shared" si="16"/>
        <v>8</v>
      </c>
      <c r="R296" s="758" t="str">
        <f t="shared" si="17"/>
        <v>Gastos_custeados_por_captação</v>
      </c>
      <c r="S296" s="697" t="s">
        <v>310</v>
      </c>
      <c r="T296" s="697" t="s">
        <v>310</v>
      </c>
    </row>
    <row r="297" spans="1:20" ht="48" x14ac:dyDescent="0.2">
      <c r="A297" s="432">
        <f>IF(B297="","",COUNT('Diário 1º PA'!$A$4:$A$2635)+COUNT('Diário 2º PA'!$A$4:$A$3040)+COUNT('Diário 3º PA'!$A$4:$A$2731)+ROW()-3)</f>
        <v>6322</v>
      </c>
      <c r="B297" s="413">
        <v>44844</v>
      </c>
      <c r="C297" s="431">
        <v>44105</v>
      </c>
      <c r="D297" s="419" t="s">
        <v>468</v>
      </c>
      <c r="E297" s="419" t="s">
        <v>468</v>
      </c>
      <c r="F297" s="422">
        <v>3.87</v>
      </c>
      <c r="G297" s="437" t="s">
        <v>7227</v>
      </c>
      <c r="H297" s="419" t="s">
        <v>468</v>
      </c>
      <c r="I297" s="415" t="s">
        <v>764</v>
      </c>
      <c r="J297" s="419" t="s">
        <v>310</v>
      </c>
      <c r="K297" s="419" t="s">
        <v>1220</v>
      </c>
      <c r="L297" s="415" t="s">
        <v>3443</v>
      </c>
      <c r="M297" s="597">
        <v>222229807899</v>
      </c>
      <c r="N297" s="413">
        <v>44844</v>
      </c>
      <c r="O297" s="414" t="s">
        <v>404</v>
      </c>
      <c r="P297" s="655">
        <f t="shared" si="15"/>
        <v>10</v>
      </c>
      <c r="Q297" s="655">
        <f t="shared" si="16"/>
        <v>-14</v>
      </c>
      <c r="R297" s="758" t="str">
        <f t="shared" si="17"/>
        <v>Gastos_custeados_por_captação</v>
      </c>
      <c r="S297" s="697" t="s">
        <v>310</v>
      </c>
      <c r="T297" s="697" t="s">
        <v>310</v>
      </c>
    </row>
    <row r="298" spans="1:20" ht="48" x14ac:dyDescent="0.2">
      <c r="A298" s="432">
        <f>IF(B298="","",COUNT('Diário 1º PA'!$A$4:$A$2635)+COUNT('Diário 2º PA'!$A$4:$A$3040)+COUNT('Diário 3º PA'!$A$4:$A$2731)+ROW()-3)</f>
        <v>6323</v>
      </c>
      <c r="B298" s="413">
        <v>44844</v>
      </c>
      <c r="C298" s="431">
        <v>44743</v>
      </c>
      <c r="D298" s="419" t="s">
        <v>468</v>
      </c>
      <c r="E298" s="419" t="s">
        <v>468</v>
      </c>
      <c r="F298" s="422">
        <v>120</v>
      </c>
      <c r="G298" s="427" t="s">
        <v>7217</v>
      </c>
      <c r="H298" s="419" t="s">
        <v>468</v>
      </c>
      <c r="I298" s="415" t="s">
        <v>764</v>
      </c>
      <c r="J298" s="419" t="s">
        <v>310</v>
      </c>
      <c r="K298" s="419" t="s">
        <v>1220</v>
      </c>
      <c r="L298" s="415" t="s">
        <v>3443</v>
      </c>
      <c r="M298" s="597">
        <v>222229808194</v>
      </c>
      <c r="N298" s="413">
        <v>44844</v>
      </c>
      <c r="O298" s="414" t="s">
        <v>404</v>
      </c>
      <c r="P298" s="655">
        <f t="shared" si="15"/>
        <v>10</v>
      </c>
      <c r="Q298" s="655">
        <f t="shared" si="16"/>
        <v>7</v>
      </c>
      <c r="R298" s="758" t="str">
        <f t="shared" si="17"/>
        <v>Gastos_custeados_por_captação</v>
      </c>
      <c r="S298" s="697" t="s">
        <v>310</v>
      </c>
      <c r="T298" s="697" t="s">
        <v>310</v>
      </c>
    </row>
    <row r="299" spans="1:20" ht="48" x14ac:dyDescent="0.2">
      <c r="A299" s="432">
        <f>IF(B299="","",COUNT('Diário 1º PA'!$A$4:$A$2635)+COUNT('Diário 2º PA'!$A$4:$A$3040)+COUNT('Diário 3º PA'!$A$4:$A$2731)+ROW()-3)</f>
        <v>6324</v>
      </c>
      <c r="B299" s="413">
        <v>44844</v>
      </c>
      <c r="C299" s="431">
        <v>44743</v>
      </c>
      <c r="D299" s="419" t="s">
        <v>468</v>
      </c>
      <c r="E299" s="419" t="s">
        <v>468</v>
      </c>
      <c r="F299" s="422">
        <v>136</v>
      </c>
      <c r="G299" s="427" t="s">
        <v>7371</v>
      </c>
      <c r="H299" s="419" t="s">
        <v>468</v>
      </c>
      <c r="I299" s="415" t="s">
        <v>764</v>
      </c>
      <c r="J299" s="419" t="s">
        <v>310</v>
      </c>
      <c r="K299" s="419" t="s">
        <v>1220</v>
      </c>
      <c r="L299" s="415" t="s">
        <v>3443</v>
      </c>
      <c r="M299" s="597">
        <v>222229810849</v>
      </c>
      <c r="N299" s="413">
        <v>44844</v>
      </c>
      <c r="O299" s="414" t="s">
        <v>404</v>
      </c>
      <c r="P299" s="655">
        <f t="shared" si="15"/>
        <v>10</v>
      </c>
      <c r="Q299" s="655">
        <f t="shared" si="16"/>
        <v>7</v>
      </c>
      <c r="R299" s="758" t="str">
        <f t="shared" si="17"/>
        <v>Gastos_custeados_por_captação</v>
      </c>
      <c r="S299" s="697" t="s">
        <v>310</v>
      </c>
      <c r="T299" s="697" t="s">
        <v>310</v>
      </c>
    </row>
    <row r="300" spans="1:20" ht="48" x14ac:dyDescent="0.2">
      <c r="A300" s="432">
        <f>IF(B300="","",COUNT('Diário 1º PA'!$A$4:$A$2635)+COUNT('Diário 2º PA'!$A$4:$A$3040)+COUNT('Diário 3º PA'!$A$4:$A$2731)+ROW()-3)</f>
        <v>6325</v>
      </c>
      <c r="B300" s="413">
        <v>44844</v>
      </c>
      <c r="C300" s="431">
        <v>44774</v>
      </c>
      <c r="D300" s="419" t="s">
        <v>468</v>
      </c>
      <c r="E300" s="419" t="s">
        <v>468</v>
      </c>
      <c r="F300" s="422">
        <v>120</v>
      </c>
      <c r="G300" s="427" t="s">
        <v>7205</v>
      </c>
      <c r="H300" s="419" t="s">
        <v>468</v>
      </c>
      <c r="I300" s="415" t="s">
        <v>764</v>
      </c>
      <c r="J300" s="419" t="s">
        <v>310</v>
      </c>
      <c r="K300" s="419" t="s">
        <v>1220</v>
      </c>
      <c r="L300" s="415" t="s">
        <v>3443</v>
      </c>
      <c r="M300" s="597">
        <v>222229799691</v>
      </c>
      <c r="N300" s="413">
        <v>44844</v>
      </c>
      <c r="O300" s="414" t="s">
        <v>404</v>
      </c>
      <c r="P300" s="655">
        <f t="shared" si="15"/>
        <v>10</v>
      </c>
      <c r="Q300" s="655">
        <f t="shared" si="16"/>
        <v>8</v>
      </c>
      <c r="R300" s="758" t="str">
        <f t="shared" si="17"/>
        <v>Gastos_custeados_por_captação</v>
      </c>
      <c r="S300" s="697" t="s">
        <v>310</v>
      </c>
      <c r="T300" s="697" t="s">
        <v>310</v>
      </c>
    </row>
    <row r="301" spans="1:20" ht="48" x14ac:dyDescent="0.2">
      <c r="A301" s="432">
        <f>IF(B301="","",COUNT('Diário 1º PA'!$A$4:$A$2635)+COUNT('Diário 2º PA'!$A$4:$A$3040)+COUNT('Diário 3º PA'!$A$4:$A$2731)+ROW()-3)</f>
        <v>6326</v>
      </c>
      <c r="B301" s="413">
        <v>44844</v>
      </c>
      <c r="C301" s="431">
        <v>44774</v>
      </c>
      <c r="D301" s="419" t="s">
        <v>468</v>
      </c>
      <c r="E301" s="419" t="s">
        <v>468</v>
      </c>
      <c r="F301" s="422">
        <v>136</v>
      </c>
      <c r="G301" s="427" t="s">
        <v>7377</v>
      </c>
      <c r="H301" s="419" t="s">
        <v>468</v>
      </c>
      <c r="I301" s="415" t="s">
        <v>764</v>
      </c>
      <c r="J301" s="419" t="s">
        <v>310</v>
      </c>
      <c r="K301" s="419" t="s">
        <v>1220</v>
      </c>
      <c r="L301" s="415" t="s">
        <v>3443</v>
      </c>
      <c r="M301" s="597">
        <v>222229811144</v>
      </c>
      <c r="N301" s="413">
        <v>44844</v>
      </c>
      <c r="O301" s="414" t="s">
        <v>404</v>
      </c>
      <c r="P301" s="655">
        <f t="shared" si="15"/>
        <v>10</v>
      </c>
      <c r="Q301" s="655">
        <f t="shared" si="16"/>
        <v>8</v>
      </c>
      <c r="R301" s="758" t="str">
        <f t="shared" si="17"/>
        <v>Gastos_custeados_por_captação</v>
      </c>
      <c r="S301" s="697" t="s">
        <v>310</v>
      </c>
      <c r="T301" s="697" t="s">
        <v>310</v>
      </c>
    </row>
    <row r="302" spans="1:20" ht="48" x14ac:dyDescent="0.2">
      <c r="A302" s="432">
        <f>IF(B302="","",COUNT('Diário 1º PA'!$A$4:$A$2635)+COUNT('Diário 2º PA'!$A$4:$A$3040)+COUNT('Diário 3º PA'!$A$4:$A$2731)+ROW()-3)</f>
        <v>6327</v>
      </c>
      <c r="B302" s="413">
        <v>44844</v>
      </c>
      <c r="C302" s="431">
        <v>44774</v>
      </c>
      <c r="D302" s="419" t="s">
        <v>468</v>
      </c>
      <c r="E302" s="419" t="s">
        <v>468</v>
      </c>
      <c r="F302" s="422">
        <v>136</v>
      </c>
      <c r="G302" s="427" t="s">
        <v>7375</v>
      </c>
      <c r="H302" s="419" t="s">
        <v>468</v>
      </c>
      <c r="I302" s="415" t="s">
        <v>764</v>
      </c>
      <c r="J302" s="419" t="s">
        <v>310</v>
      </c>
      <c r="K302" s="419" t="s">
        <v>1220</v>
      </c>
      <c r="L302" s="415" t="s">
        <v>3443</v>
      </c>
      <c r="M302" s="597">
        <v>222229823231</v>
      </c>
      <c r="N302" s="413">
        <v>44844</v>
      </c>
      <c r="O302" s="414" t="s">
        <v>404</v>
      </c>
      <c r="P302" s="655">
        <f t="shared" si="15"/>
        <v>10</v>
      </c>
      <c r="Q302" s="655">
        <f t="shared" si="16"/>
        <v>8</v>
      </c>
      <c r="R302" s="758" t="str">
        <f t="shared" si="17"/>
        <v>Gastos_custeados_por_captação</v>
      </c>
      <c r="S302" s="697" t="s">
        <v>310</v>
      </c>
      <c r="T302" s="697" t="s">
        <v>310</v>
      </c>
    </row>
    <row r="303" spans="1:20" ht="48" x14ac:dyDescent="0.2">
      <c r="A303" s="432">
        <f>IF(B303="","",COUNT('Diário 1º PA'!$A$4:$A$2635)+COUNT('Diário 2º PA'!$A$4:$A$3040)+COUNT('Diário 3º PA'!$A$4:$A$2731)+ROW()-3)</f>
        <v>6328</v>
      </c>
      <c r="B303" s="413">
        <v>44844</v>
      </c>
      <c r="C303" s="431">
        <v>44743</v>
      </c>
      <c r="D303" s="419" t="s">
        <v>468</v>
      </c>
      <c r="E303" s="419" t="s">
        <v>468</v>
      </c>
      <c r="F303" s="422">
        <v>120</v>
      </c>
      <c r="G303" s="427" t="s">
        <v>7212</v>
      </c>
      <c r="H303" s="419" t="s">
        <v>468</v>
      </c>
      <c r="I303" s="415" t="s">
        <v>764</v>
      </c>
      <c r="J303" s="419" t="s">
        <v>310</v>
      </c>
      <c r="K303" s="419" t="s">
        <v>1220</v>
      </c>
      <c r="L303" s="415" t="s">
        <v>3443</v>
      </c>
      <c r="M303" s="597">
        <v>222229808356</v>
      </c>
      <c r="N303" s="413">
        <v>44844</v>
      </c>
      <c r="O303" s="414" t="s">
        <v>404</v>
      </c>
      <c r="P303" s="655">
        <f t="shared" si="15"/>
        <v>10</v>
      </c>
      <c r="Q303" s="655">
        <f t="shared" si="16"/>
        <v>7</v>
      </c>
      <c r="R303" s="758" t="str">
        <f t="shared" si="17"/>
        <v>Gastos_custeados_por_captação</v>
      </c>
      <c r="S303" s="697" t="s">
        <v>310</v>
      </c>
      <c r="T303" s="697" t="s">
        <v>310</v>
      </c>
    </row>
    <row r="304" spans="1:20" ht="48" x14ac:dyDescent="0.2">
      <c r="A304" s="432">
        <f>IF(B304="","",COUNT('Diário 1º PA'!$A$4:$A$2635)+COUNT('Diário 2º PA'!$A$4:$A$3040)+COUNT('Diário 3º PA'!$A$4:$A$2731)+ROW()-3)</f>
        <v>6329</v>
      </c>
      <c r="B304" s="413">
        <v>44844</v>
      </c>
      <c r="C304" s="431">
        <v>44287</v>
      </c>
      <c r="D304" s="419" t="s">
        <v>468</v>
      </c>
      <c r="E304" s="419" t="s">
        <v>468</v>
      </c>
      <c r="F304" s="422">
        <v>6.97</v>
      </c>
      <c r="G304" s="427" t="s">
        <v>7228</v>
      </c>
      <c r="H304" s="419" t="s">
        <v>468</v>
      </c>
      <c r="I304" s="415" t="s">
        <v>764</v>
      </c>
      <c r="J304" s="419" t="s">
        <v>310</v>
      </c>
      <c r="K304" s="419" t="s">
        <v>1220</v>
      </c>
      <c r="L304" s="415" t="s">
        <v>3443</v>
      </c>
      <c r="M304" s="597">
        <v>222229804601</v>
      </c>
      <c r="N304" s="413">
        <v>44844</v>
      </c>
      <c r="O304" s="414" t="s">
        <v>404</v>
      </c>
      <c r="P304" s="655">
        <f t="shared" si="15"/>
        <v>10</v>
      </c>
      <c r="Q304" s="655">
        <f t="shared" si="16"/>
        <v>-8</v>
      </c>
      <c r="R304" s="758" t="str">
        <f t="shared" si="17"/>
        <v>Gastos_custeados_por_captação</v>
      </c>
      <c r="S304" s="697" t="s">
        <v>310</v>
      </c>
      <c r="T304" s="697" t="s">
        <v>310</v>
      </c>
    </row>
    <row r="305" spans="1:20" ht="48" x14ac:dyDescent="0.2">
      <c r="A305" s="432">
        <f>IF(B305="","",COUNT('Diário 1º PA'!$A$4:$A$2635)+COUNT('Diário 2º PA'!$A$4:$A$3040)+COUNT('Diário 3º PA'!$A$4:$A$2731)+ROW()-3)</f>
        <v>6330</v>
      </c>
      <c r="B305" s="413">
        <v>44844</v>
      </c>
      <c r="C305" s="431">
        <v>44682</v>
      </c>
      <c r="D305" s="419" t="s">
        <v>468</v>
      </c>
      <c r="E305" s="419" t="s">
        <v>468</v>
      </c>
      <c r="F305" s="422">
        <v>299.25</v>
      </c>
      <c r="G305" s="427" t="s">
        <v>7380</v>
      </c>
      <c r="H305" s="419" t="s">
        <v>468</v>
      </c>
      <c r="I305" s="415" t="s">
        <v>764</v>
      </c>
      <c r="J305" s="419" t="s">
        <v>310</v>
      </c>
      <c r="K305" s="419" t="s">
        <v>1220</v>
      </c>
      <c r="L305" s="415" t="s">
        <v>3443</v>
      </c>
      <c r="M305" s="597">
        <v>222229812388</v>
      </c>
      <c r="N305" s="413">
        <v>44844</v>
      </c>
      <c r="O305" s="414" t="s">
        <v>404</v>
      </c>
      <c r="P305" s="655">
        <f t="shared" si="15"/>
        <v>10</v>
      </c>
      <c r="Q305" s="655">
        <f t="shared" si="16"/>
        <v>5</v>
      </c>
      <c r="R305" s="758" t="str">
        <f t="shared" si="17"/>
        <v>Gastos_custeados_por_captação</v>
      </c>
      <c r="S305" s="697" t="s">
        <v>310</v>
      </c>
      <c r="T305" s="697" t="s">
        <v>310</v>
      </c>
    </row>
    <row r="306" spans="1:20" ht="48" x14ac:dyDescent="0.2">
      <c r="A306" s="432">
        <f>IF(B306="","",COUNT('Diário 1º PA'!$A$4:$A$2635)+COUNT('Diário 2º PA'!$A$4:$A$3040)+COUNT('Diário 3º PA'!$A$4:$A$2731)+ROW()-3)</f>
        <v>6331</v>
      </c>
      <c r="B306" s="413">
        <v>44844</v>
      </c>
      <c r="C306" s="431">
        <v>44743</v>
      </c>
      <c r="D306" s="419" t="s">
        <v>468</v>
      </c>
      <c r="E306" s="419" t="s">
        <v>468</v>
      </c>
      <c r="F306" s="422">
        <v>120</v>
      </c>
      <c r="G306" s="427" t="s">
        <v>7219</v>
      </c>
      <c r="H306" s="419" t="s">
        <v>468</v>
      </c>
      <c r="I306" s="415" t="s">
        <v>764</v>
      </c>
      <c r="J306" s="419" t="s">
        <v>310</v>
      </c>
      <c r="K306" s="419" t="s">
        <v>1220</v>
      </c>
      <c r="L306" s="415" t="s">
        <v>3443</v>
      </c>
      <c r="M306" s="597">
        <v>222229809166</v>
      </c>
      <c r="N306" s="413">
        <v>44844</v>
      </c>
      <c r="O306" s="414" t="s">
        <v>404</v>
      </c>
      <c r="P306" s="655">
        <f t="shared" si="15"/>
        <v>10</v>
      </c>
      <c r="Q306" s="655">
        <f t="shared" si="16"/>
        <v>7</v>
      </c>
      <c r="R306" s="758" t="str">
        <f t="shared" si="17"/>
        <v>Gastos_custeados_por_captação</v>
      </c>
      <c r="S306" s="697" t="s">
        <v>310</v>
      </c>
      <c r="T306" s="697" t="s">
        <v>310</v>
      </c>
    </row>
    <row r="307" spans="1:20" ht="48" x14ac:dyDescent="0.2">
      <c r="A307" s="432">
        <f>IF(B307="","",COUNT('Diário 1º PA'!$A$4:$A$2635)+COUNT('Diário 2º PA'!$A$4:$A$3040)+COUNT('Diário 3º PA'!$A$4:$A$2731)+ROW()-3)</f>
        <v>6332</v>
      </c>
      <c r="B307" s="413">
        <v>44844</v>
      </c>
      <c r="C307" s="431">
        <v>44743</v>
      </c>
      <c r="D307" s="419" t="s">
        <v>468</v>
      </c>
      <c r="E307" s="419" t="s">
        <v>468</v>
      </c>
      <c r="F307" s="422">
        <v>120</v>
      </c>
      <c r="G307" s="427" t="s">
        <v>7209</v>
      </c>
      <c r="H307" s="419" t="s">
        <v>468</v>
      </c>
      <c r="I307" s="415" t="s">
        <v>764</v>
      </c>
      <c r="J307" s="419" t="s">
        <v>310</v>
      </c>
      <c r="K307" s="419" t="s">
        <v>1220</v>
      </c>
      <c r="L307" s="415" t="s">
        <v>3443</v>
      </c>
      <c r="M307" s="597">
        <v>222229809590</v>
      </c>
      <c r="N307" s="413">
        <v>44844</v>
      </c>
      <c r="O307" s="414" t="s">
        <v>404</v>
      </c>
      <c r="P307" s="655">
        <f t="shared" si="15"/>
        <v>10</v>
      </c>
      <c r="Q307" s="655">
        <f t="shared" si="16"/>
        <v>7</v>
      </c>
      <c r="R307" s="758" t="str">
        <f t="shared" si="17"/>
        <v>Gastos_custeados_por_captação</v>
      </c>
      <c r="S307" s="697" t="s">
        <v>310</v>
      </c>
      <c r="T307" s="697" t="s">
        <v>310</v>
      </c>
    </row>
    <row r="308" spans="1:20" ht="48" x14ac:dyDescent="0.2">
      <c r="A308" s="432">
        <f>IF(B308="","",COUNT('Diário 1º PA'!$A$4:$A$2635)+COUNT('Diário 2º PA'!$A$4:$A$3040)+COUNT('Diário 3º PA'!$A$4:$A$2731)+ROW()-3)</f>
        <v>6333</v>
      </c>
      <c r="B308" s="413">
        <v>44844</v>
      </c>
      <c r="C308" s="431">
        <v>44136</v>
      </c>
      <c r="D308" s="419" t="s">
        <v>468</v>
      </c>
      <c r="E308" s="419" t="s">
        <v>468</v>
      </c>
      <c r="F308" s="422">
        <v>19.350000000000001</v>
      </c>
      <c r="G308" s="437" t="s">
        <v>7222</v>
      </c>
      <c r="H308" s="419" t="s">
        <v>468</v>
      </c>
      <c r="I308" s="415" t="s">
        <v>764</v>
      </c>
      <c r="J308" s="419" t="s">
        <v>310</v>
      </c>
      <c r="K308" s="419" t="s">
        <v>1220</v>
      </c>
      <c r="L308" s="415" t="s">
        <v>3443</v>
      </c>
      <c r="M308" s="597">
        <v>222229804792</v>
      </c>
      <c r="N308" s="413">
        <v>44844</v>
      </c>
      <c r="O308" s="414" t="s">
        <v>404</v>
      </c>
      <c r="P308" s="655">
        <f t="shared" si="15"/>
        <v>10</v>
      </c>
      <c r="Q308" s="655">
        <f t="shared" si="16"/>
        <v>-13</v>
      </c>
      <c r="R308" s="758" t="str">
        <f t="shared" si="17"/>
        <v>Gastos_custeados_por_captação</v>
      </c>
      <c r="S308" s="697" t="s">
        <v>310</v>
      </c>
      <c r="T308" s="697" t="s">
        <v>310</v>
      </c>
    </row>
    <row r="309" spans="1:20" ht="48" x14ac:dyDescent="0.2">
      <c r="A309" s="432">
        <f>IF(B309="","",COUNT('Diário 1º PA'!$A$4:$A$2635)+COUNT('Diário 2º PA'!$A$4:$A$3040)+COUNT('Diário 3º PA'!$A$4:$A$2731)+ROW()-3)</f>
        <v>6334</v>
      </c>
      <c r="B309" s="413">
        <v>44844</v>
      </c>
      <c r="C309" s="431">
        <v>44743</v>
      </c>
      <c r="D309" s="419" t="s">
        <v>468</v>
      </c>
      <c r="E309" s="419" t="s">
        <v>468</v>
      </c>
      <c r="F309" s="422">
        <v>120</v>
      </c>
      <c r="G309" s="427" t="s">
        <v>7229</v>
      </c>
      <c r="H309" s="419" t="s">
        <v>468</v>
      </c>
      <c r="I309" s="415" t="s">
        <v>764</v>
      </c>
      <c r="J309" s="419" t="s">
        <v>310</v>
      </c>
      <c r="K309" s="419" t="s">
        <v>1220</v>
      </c>
      <c r="L309" s="415" t="s">
        <v>3443</v>
      </c>
      <c r="M309" s="597">
        <v>222229809751</v>
      </c>
      <c r="N309" s="413">
        <v>44844</v>
      </c>
      <c r="O309" s="414" t="s">
        <v>404</v>
      </c>
      <c r="P309" s="655">
        <f t="shared" si="15"/>
        <v>10</v>
      </c>
      <c r="Q309" s="655">
        <f t="shared" si="16"/>
        <v>7</v>
      </c>
      <c r="R309" s="758" t="str">
        <f t="shared" si="17"/>
        <v>Gastos_custeados_por_captação</v>
      </c>
      <c r="S309" s="697" t="s">
        <v>310</v>
      </c>
      <c r="T309" s="697" t="s">
        <v>310</v>
      </c>
    </row>
    <row r="310" spans="1:20" ht="48" x14ac:dyDescent="0.2">
      <c r="A310" s="432">
        <f>IF(B310="","",COUNT('Diário 1º PA'!$A$4:$A$2635)+COUNT('Diário 2º PA'!$A$4:$A$3040)+COUNT('Diário 3º PA'!$A$4:$A$2731)+ROW()-3)</f>
        <v>6335</v>
      </c>
      <c r="B310" s="413">
        <v>44844</v>
      </c>
      <c r="C310" s="431">
        <v>44743</v>
      </c>
      <c r="D310" s="419" t="s">
        <v>468</v>
      </c>
      <c r="E310" s="419" t="s">
        <v>468</v>
      </c>
      <c r="F310" s="422">
        <v>120</v>
      </c>
      <c r="G310" s="427" t="s">
        <v>7223</v>
      </c>
      <c r="H310" s="419" t="s">
        <v>468</v>
      </c>
      <c r="I310" s="415" t="s">
        <v>764</v>
      </c>
      <c r="J310" s="419" t="s">
        <v>310</v>
      </c>
      <c r="K310" s="419" t="s">
        <v>1220</v>
      </c>
      <c r="L310" s="415" t="s">
        <v>3443</v>
      </c>
      <c r="M310" s="597">
        <v>222229810172</v>
      </c>
      <c r="N310" s="413">
        <v>44844</v>
      </c>
      <c r="O310" s="414" t="s">
        <v>404</v>
      </c>
      <c r="P310" s="655">
        <f t="shared" si="15"/>
        <v>10</v>
      </c>
      <c r="Q310" s="655">
        <f t="shared" si="16"/>
        <v>7</v>
      </c>
      <c r="R310" s="758" t="str">
        <f t="shared" si="17"/>
        <v>Gastos_custeados_por_captação</v>
      </c>
      <c r="S310" s="697" t="s">
        <v>310</v>
      </c>
      <c r="T310" s="697" t="s">
        <v>310</v>
      </c>
    </row>
    <row r="311" spans="1:20" ht="48" x14ac:dyDescent="0.2">
      <c r="A311" s="432">
        <f>IF(B311="","",COUNT('Diário 1º PA'!$A$4:$A$2635)+COUNT('Diário 2º PA'!$A$4:$A$3040)+COUNT('Diário 3º PA'!$A$4:$A$2731)+ROW()-3)</f>
        <v>6336</v>
      </c>
      <c r="B311" s="413">
        <v>44844</v>
      </c>
      <c r="C311" s="431">
        <v>44743</v>
      </c>
      <c r="D311" s="419" t="s">
        <v>468</v>
      </c>
      <c r="E311" s="419" t="s">
        <v>468</v>
      </c>
      <c r="F311" s="422">
        <v>120</v>
      </c>
      <c r="G311" s="427" t="s">
        <v>7231</v>
      </c>
      <c r="H311" s="419" t="s">
        <v>468</v>
      </c>
      <c r="I311" s="415" t="s">
        <v>764</v>
      </c>
      <c r="J311" s="419" t="s">
        <v>310</v>
      </c>
      <c r="K311" s="419" t="s">
        <v>1220</v>
      </c>
      <c r="L311" s="415" t="s">
        <v>3443</v>
      </c>
      <c r="M311" s="597">
        <v>222229810334</v>
      </c>
      <c r="N311" s="413">
        <v>44844</v>
      </c>
      <c r="O311" s="414" t="s">
        <v>404</v>
      </c>
      <c r="P311" s="655">
        <f t="shared" si="15"/>
        <v>10</v>
      </c>
      <c r="Q311" s="655">
        <f t="shared" si="16"/>
        <v>7</v>
      </c>
      <c r="R311" s="758" t="str">
        <f t="shared" si="17"/>
        <v>Gastos_custeados_por_captação</v>
      </c>
      <c r="S311" s="697" t="s">
        <v>310</v>
      </c>
      <c r="T311" s="697" t="s">
        <v>310</v>
      </c>
    </row>
    <row r="312" spans="1:20" ht="48" x14ac:dyDescent="0.2">
      <c r="A312" s="432">
        <f>IF(B312="","",COUNT('Diário 1º PA'!$A$4:$A$2635)+COUNT('Diário 2º PA'!$A$4:$A$3040)+COUNT('Diário 3º PA'!$A$4:$A$2731)+ROW()-3)</f>
        <v>6337</v>
      </c>
      <c r="B312" s="413">
        <v>44844</v>
      </c>
      <c r="C312" s="431">
        <v>44743</v>
      </c>
      <c r="D312" s="419" t="s">
        <v>468</v>
      </c>
      <c r="E312" s="419" t="s">
        <v>468</v>
      </c>
      <c r="F312" s="422">
        <v>120</v>
      </c>
      <c r="G312" s="427" t="s">
        <v>7215</v>
      </c>
      <c r="H312" s="419" t="s">
        <v>468</v>
      </c>
      <c r="I312" s="415" t="s">
        <v>764</v>
      </c>
      <c r="J312" s="419" t="s">
        <v>310</v>
      </c>
      <c r="K312" s="419" t="s">
        <v>1220</v>
      </c>
      <c r="L312" s="415" t="s">
        <v>3443</v>
      </c>
      <c r="M312" s="597">
        <v>222229810687</v>
      </c>
      <c r="N312" s="413">
        <v>44844</v>
      </c>
      <c r="O312" s="414" t="s">
        <v>404</v>
      </c>
      <c r="P312" s="655">
        <f t="shared" si="15"/>
        <v>10</v>
      </c>
      <c r="Q312" s="655">
        <f t="shared" si="16"/>
        <v>7</v>
      </c>
      <c r="R312" s="758" t="str">
        <f t="shared" si="17"/>
        <v>Gastos_custeados_por_captação</v>
      </c>
      <c r="S312" s="697" t="s">
        <v>310</v>
      </c>
      <c r="T312" s="697" t="s">
        <v>310</v>
      </c>
    </row>
    <row r="313" spans="1:20" ht="48" x14ac:dyDescent="0.2">
      <c r="A313" s="432">
        <f>IF(B313="","",COUNT('Diário 1º PA'!$A$4:$A$2635)+COUNT('Diário 2º PA'!$A$4:$A$3040)+COUNT('Diário 3º PA'!$A$4:$A$2731)+ROW()-3)</f>
        <v>6338</v>
      </c>
      <c r="B313" s="413">
        <v>44845</v>
      </c>
      <c r="C313" s="431">
        <v>44531</v>
      </c>
      <c r="D313" s="415" t="s">
        <v>271</v>
      </c>
      <c r="E313" s="415" t="s">
        <v>465</v>
      </c>
      <c r="F313" s="425">
        <v>122.22</v>
      </c>
      <c r="G313" s="427" t="s">
        <v>624</v>
      </c>
      <c r="H313" s="415" t="s">
        <v>759</v>
      </c>
      <c r="I313" s="415" t="s">
        <v>1405</v>
      </c>
      <c r="J313" s="415" t="s">
        <v>1040</v>
      </c>
      <c r="K313" s="419" t="s">
        <v>830</v>
      </c>
      <c r="L313" s="415" t="s">
        <v>32</v>
      </c>
      <c r="M313" s="419" t="s">
        <v>7618</v>
      </c>
      <c r="N313" s="413">
        <v>44824</v>
      </c>
      <c r="O313" s="414" t="s">
        <v>400</v>
      </c>
      <c r="P313" s="655">
        <f t="shared" si="15"/>
        <v>10</v>
      </c>
      <c r="Q313" s="655">
        <f t="shared" si="16"/>
        <v>0</v>
      </c>
      <c r="R313" s="758" t="str">
        <f t="shared" si="17"/>
        <v>Gastos_Gerais</v>
      </c>
      <c r="S313" s="697" t="s">
        <v>998</v>
      </c>
      <c r="T313" s="697">
        <v>2604</v>
      </c>
    </row>
    <row r="314" spans="1:20" ht="48" x14ac:dyDescent="0.2">
      <c r="A314" s="432">
        <f>IF(B314="","",COUNT('Diário 1º PA'!$A$4:$A$2635)+COUNT('Diário 2º PA'!$A$4:$A$3040)+COUNT('Diário 3º PA'!$A$4:$A$2731)+ROW()-3)</f>
        <v>6339</v>
      </c>
      <c r="B314" s="413">
        <v>44845</v>
      </c>
      <c r="C314" s="424">
        <v>44835</v>
      </c>
      <c r="D314" s="419" t="s">
        <v>271</v>
      </c>
      <c r="E314" s="419" t="s">
        <v>71</v>
      </c>
      <c r="F314" s="422">
        <v>11</v>
      </c>
      <c r="G314" s="423" t="s">
        <v>7619</v>
      </c>
      <c r="H314" s="415" t="s">
        <v>759</v>
      </c>
      <c r="I314" s="415" t="s">
        <v>881</v>
      </c>
      <c r="J314" s="419" t="s">
        <v>882</v>
      </c>
      <c r="K314" s="419" t="s">
        <v>883</v>
      </c>
      <c r="L314" s="415" t="s">
        <v>798</v>
      </c>
      <c r="M314" s="419" t="s">
        <v>310</v>
      </c>
      <c r="N314" s="413">
        <v>44845</v>
      </c>
      <c r="O314" s="414" t="s">
        <v>400</v>
      </c>
      <c r="P314" s="655">
        <f t="shared" si="15"/>
        <v>10</v>
      </c>
      <c r="Q314" s="655">
        <f t="shared" si="16"/>
        <v>10</v>
      </c>
      <c r="R314" s="758" t="str">
        <f t="shared" si="17"/>
        <v>Gastos_Gerais</v>
      </c>
      <c r="S314" s="697" t="s">
        <v>310</v>
      </c>
      <c r="T314" s="697" t="s">
        <v>310</v>
      </c>
    </row>
    <row r="315" spans="1:20" ht="48" x14ac:dyDescent="0.2">
      <c r="A315" s="432">
        <f>IF(B315="","",COUNT('Diário 1º PA'!$A$4:$A$2635)+COUNT('Diário 2º PA'!$A$4:$A$3040)+COUNT('Diário 3º PA'!$A$4:$A$2731)+ROW()-3)</f>
        <v>6340</v>
      </c>
      <c r="B315" s="413">
        <v>44845</v>
      </c>
      <c r="C315" s="431">
        <v>44805</v>
      </c>
      <c r="D315" s="419" t="s">
        <v>468</v>
      </c>
      <c r="E315" s="419" t="s">
        <v>468</v>
      </c>
      <c r="F315" s="422">
        <v>2462.5500000000002</v>
      </c>
      <c r="G315" s="427" t="s">
        <v>7110</v>
      </c>
      <c r="H315" s="415" t="s">
        <v>468</v>
      </c>
      <c r="I315" s="415" t="s">
        <v>7093</v>
      </c>
      <c r="J315" s="415" t="s">
        <v>1109</v>
      </c>
      <c r="K315" s="419" t="s">
        <v>830</v>
      </c>
      <c r="L315" s="415" t="s">
        <v>839</v>
      </c>
      <c r="M315" s="419">
        <v>2050</v>
      </c>
      <c r="N315" s="413">
        <v>44839</v>
      </c>
      <c r="O315" s="414" t="s">
        <v>3762</v>
      </c>
      <c r="P315" s="655">
        <f t="shared" si="15"/>
        <v>10</v>
      </c>
      <c r="Q315" s="655">
        <f t="shared" si="16"/>
        <v>9</v>
      </c>
      <c r="R315" s="758" t="str">
        <f t="shared" si="17"/>
        <v>Gastos_custeados_por_captação</v>
      </c>
      <c r="S315" s="697" t="s">
        <v>1000</v>
      </c>
      <c r="T315" s="697">
        <v>4345</v>
      </c>
    </row>
    <row r="316" spans="1:20" ht="48" x14ac:dyDescent="0.2">
      <c r="A316" s="432">
        <f>IF(B316="","",COUNT('Diário 1º PA'!$A$4:$A$2635)+COUNT('Diário 2º PA'!$A$4:$A$3040)+COUNT('Diário 3º PA'!$A$4:$A$2731)+ROW()-3)</f>
        <v>6341</v>
      </c>
      <c r="B316" s="413">
        <v>44845</v>
      </c>
      <c r="C316" s="431">
        <v>44805</v>
      </c>
      <c r="D316" s="419" t="s">
        <v>468</v>
      </c>
      <c r="E316" s="419" t="s">
        <v>468</v>
      </c>
      <c r="F316" s="422">
        <v>2462.5500000000002</v>
      </c>
      <c r="G316" s="427" t="s">
        <v>7110</v>
      </c>
      <c r="H316" s="415" t="s">
        <v>468</v>
      </c>
      <c r="I316" s="415" t="s">
        <v>7943</v>
      </c>
      <c r="J316" s="415" t="s">
        <v>7123</v>
      </c>
      <c r="K316" s="419" t="s">
        <v>830</v>
      </c>
      <c r="L316" s="415" t="s">
        <v>839</v>
      </c>
      <c r="M316" s="419">
        <v>2056</v>
      </c>
      <c r="N316" s="413">
        <v>44841</v>
      </c>
      <c r="O316" s="414" t="s">
        <v>3762</v>
      </c>
      <c r="P316" s="655">
        <f t="shared" si="15"/>
        <v>10</v>
      </c>
      <c r="Q316" s="655">
        <f t="shared" si="16"/>
        <v>9</v>
      </c>
      <c r="R316" s="758" t="str">
        <f t="shared" si="17"/>
        <v>Gastos_custeados_por_captação</v>
      </c>
      <c r="S316" s="697" t="s">
        <v>1000</v>
      </c>
      <c r="T316" s="697">
        <v>4346</v>
      </c>
    </row>
    <row r="317" spans="1:20" ht="48" x14ac:dyDescent="0.2">
      <c r="A317" s="432">
        <f>IF(B317="","",COUNT('Diário 1º PA'!$A$4:$A$2635)+COUNT('Diário 2º PA'!$A$4:$A$3040)+COUNT('Diário 3º PA'!$A$4:$A$2731)+ROW()-3)</f>
        <v>6342</v>
      </c>
      <c r="B317" s="413">
        <v>44845</v>
      </c>
      <c r="C317" s="431">
        <v>44774</v>
      </c>
      <c r="D317" s="419" t="s">
        <v>468</v>
      </c>
      <c r="E317" s="419" t="s">
        <v>468</v>
      </c>
      <c r="F317" s="422">
        <v>1680</v>
      </c>
      <c r="G317" s="427" t="s">
        <v>5763</v>
      </c>
      <c r="H317" s="415" t="s">
        <v>468</v>
      </c>
      <c r="I317" s="415" t="s">
        <v>6795</v>
      </c>
      <c r="J317" s="415" t="s">
        <v>5764</v>
      </c>
      <c r="K317" s="419" t="s">
        <v>830</v>
      </c>
      <c r="L317" s="415" t="s">
        <v>839</v>
      </c>
      <c r="M317" s="419">
        <v>2043</v>
      </c>
      <c r="N317" s="413">
        <v>44839</v>
      </c>
      <c r="O317" s="414" t="s">
        <v>404</v>
      </c>
      <c r="P317" s="655">
        <f t="shared" si="15"/>
        <v>10</v>
      </c>
      <c r="Q317" s="655">
        <f t="shared" si="16"/>
        <v>8</v>
      </c>
      <c r="R317" s="758" t="str">
        <f t="shared" si="17"/>
        <v>Gastos_custeados_por_captação</v>
      </c>
      <c r="S317" s="697" t="s">
        <v>998</v>
      </c>
      <c r="T317" s="697">
        <v>3984</v>
      </c>
    </row>
    <row r="318" spans="1:20" ht="48" x14ac:dyDescent="0.2">
      <c r="A318" s="432">
        <f>IF(B318="","",COUNT('Diário 1º PA'!$A$4:$A$2635)+COUNT('Diário 2º PA'!$A$4:$A$3040)+COUNT('Diário 3º PA'!$A$4:$A$2731)+ROW()-3)</f>
        <v>6343</v>
      </c>
      <c r="B318" s="413">
        <v>44847</v>
      </c>
      <c r="C318" s="433">
        <v>44805</v>
      </c>
      <c r="D318" s="415" t="s">
        <v>271</v>
      </c>
      <c r="E318" s="415" t="s">
        <v>183</v>
      </c>
      <c r="F318" s="425">
        <v>-75.52</v>
      </c>
      <c r="G318" s="440" t="s">
        <v>7620</v>
      </c>
      <c r="H318" s="415" t="s">
        <v>309</v>
      </c>
      <c r="I318" s="473" t="s">
        <v>795</v>
      </c>
      <c r="J318" s="415" t="s">
        <v>796</v>
      </c>
      <c r="K318" s="415" t="s">
        <v>797</v>
      </c>
      <c r="L318" s="415" t="s">
        <v>798</v>
      </c>
      <c r="M318" s="415" t="s">
        <v>310</v>
      </c>
      <c r="N318" s="413">
        <v>44847</v>
      </c>
      <c r="O318" s="414" t="s">
        <v>400</v>
      </c>
      <c r="P318" s="655">
        <f t="shared" si="15"/>
        <v>10</v>
      </c>
      <c r="Q318" s="655">
        <f t="shared" si="16"/>
        <v>9</v>
      </c>
      <c r="R318" s="758" t="str">
        <f t="shared" si="17"/>
        <v>Gastos_Gerais</v>
      </c>
      <c r="S318" s="697" t="s">
        <v>310</v>
      </c>
      <c r="T318" s="697" t="s">
        <v>310</v>
      </c>
    </row>
    <row r="319" spans="1:20" ht="48" x14ac:dyDescent="0.2">
      <c r="A319" s="432">
        <f>IF(B319="","",COUNT('Diário 1º PA'!$A$4:$A$2635)+COUNT('Diário 2º PA'!$A$4:$A$3040)+COUNT('Diário 3º PA'!$A$4:$A$2731)+ROW()-3)</f>
        <v>6344</v>
      </c>
      <c r="B319" s="413">
        <v>44847</v>
      </c>
      <c r="C319" s="431">
        <v>44805</v>
      </c>
      <c r="D319" s="415" t="s">
        <v>271</v>
      </c>
      <c r="E319" s="415" t="s">
        <v>453</v>
      </c>
      <c r="F319" s="425">
        <v>566.66</v>
      </c>
      <c r="G319" s="427" t="s">
        <v>7412</v>
      </c>
      <c r="H319" s="419" t="s">
        <v>754</v>
      </c>
      <c r="I319" s="415" t="s">
        <v>7621</v>
      </c>
      <c r="J319" s="415" t="s">
        <v>7413</v>
      </c>
      <c r="K319" s="419" t="s">
        <v>830</v>
      </c>
      <c r="L319" s="415" t="s">
        <v>32</v>
      </c>
      <c r="M319" s="419" t="s">
        <v>848</v>
      </c>
      <c r="N319" s="413">
        <v>44845</v>
      </c>
      <c r="O319" s="414" t="s">
        <v>400</v>
      </c>
      <c r="P319" s="655">
        <f t="shared" si="15"/>
        <v>10</v>
      </c>
      <c r="Q319" s="655">
        <f t="shared" si="16"/>
        <v>9</v>
      </c>
      <c r="R319" s="758" t="str">
        <f t="shared" si="17"/>
        <v>Gastos_Gerais</v>
      </c>
      <c r="S319" s="697" t="s">
        <v>998</v>
      </c>
      <c r="T319" s="697">
        <v>4386</v>
      </c>
    </row>
    <row r="320" spans="1:20" ht="24" x14ac:dyDescent="0.2">
      <c r="A320" s="432">
        <f>IF(B320="","",COUNT('Diário 1º PA'!$A$4:$A$2635)+COUNT('Diário 2º PA'!$A$4:$A$3040)+COUNT('Diário 3º PA'!$A$4:$A$2731)+ROW()-3)</f>
        <v>6345</v>
      </c>
      <c r="B320" s="413">
        <v>44847</v>
      </c>
      <c r="C320" s="433">
        <v>44805</v>
      </c>
      <c r="D320" s="434" t="s">
        <v>271</v>
      </c>
      <c r="E320" s="434" t="s">
        <v>183</v>
      </c>
      <c r="F320" s="435">
        <v>285.95</v>
      </c>
      <c r="G320" s="437" t="s">
        <v>5719</v>
      </c>
      <c r="H320" s="434" t="s">
        <v>309</v>
      </c>
      <c r="I320" s="437" t="s">
        <v>768</v>
      </c>
      <c r="J320" s="434" t="s">
        <v>1021</v>
      </c>
      <c r="K320" s="419" t="s">
        <v>1404</v>
      </c>
      <c r="L320" s="415" t="s">
        <v>807</v>
      </c>
      <c r="M320" s="419" t="s">
        <v>7622</v>
      </c>
      <c r="N320" s="413">
        <v>44823</v>
      </c>
      <c r="O320" s="414" t="s">
        <v>400</v>
      </c>
      <c r="P320" s="655">
        <f t="shared" si="15"/>
        <v>10</v>
      </c>
      <c r="Q320" s="655">
        <f t="shared" si="16"/>
        <v>9</v>
      </c>
      <c r="R320" s="758" t="str">
        <f t="shared" si="17"/>
        <v>Gastos_Gerais</v>
      </c>
      <c r="S320" s="697" t="s">
        <v>310</v>
      </c>
      <c r="T320" s="697" t="s">
        <v>310</v>
      </c>
    </row>
    <row r="321" spans="1:20" ht="50.25" customHeight="1" x14ac:dyDescent="0.2">
      <c r="A321" s="432">
        <f>IF(B321="","",COUNT('Diário 1º PA'!$A$4:$A$2635)+COUNT('Diário 2º PA'!$A$4:$A$3040)+COUNT('Diário 3º PA'!$A$4:$A$2731)+ROW()-3)</f>
        <v>6346</v>
      </c>
      <c r="B321" s="413">
        <v>44847</v>
      </c>
      <c r="C321" s="424">
        <v>44835</v>
      </c>
      <c r="D321" s="419" t="s">
        <v>271</v>
      </c>
      <c r="E321" s="419" t="s">
        <v>71</v>
      </c>
      <c r="F321" s="422">
        <v>11</v>
      </c>
      <c r="G321" s="423" t="s">
        <v>7623</v>
      </c>
      <c r="H321" s="419" t="s">
        <v>754</v>
      </c>
      <c r="I321" s="415" t="s">
        <v>881</v>
      </c>
      <c r="J321" s="419" t="s">
        <v>882</v>
      </c>
      <c r="K321" s="419" t="s">
        <v>883</v>
      </c>
      <c r="L321" s="415" t="s">
        <v>798</v>
      </c>
      <c r="M321" s="419" t="s">
        <v>310</v>
      </c>
      <c r="N321" s="413">
        <v>44847</v>
      </c>
      <c r="O321" s="414" t="s">
        <v>400</v>
      </c>
      <c r="P321" s="655">
        <f t="shared" si="15"/>
        <v>10</v>
      </c>
      <c r="Q321" s="655">
        <f t="shared" si="16"/>
        <v>10</v>
      </c>
      <c r="R321" s="758" t="str">
        <f t="shared" si="17"/>
        <v>Gastos_Gerais</v>
      </c>
      <c r="S321" s="697" t="s">
        <v>310</v>
      </c>
      <c r="T321" s="697" t="s">
        <v>310</v>
      </c>
    </row>
    <row r="322" spans="1:20" ht="36" x14ac:dyDescent="0.2">
      <c r="A322" s="432">
        <f>IF(B322="","",COUNT('Diário 1º PA'!$A$4:$A$2635)+COUNT('Diário 2º PA'!$A$4:$A$3040)+COUNT('Diário 3º PA'!$A$4:$A$2731)+ROW()-3)</f>
        <v>6347</v>
      </c>
      <c r="B322" s="413">
        <v>44847</v>
      </c>
      <c r="C322" s="424">
        <v>44835</v>
      </c>
      <c r="D322" s="419" t="s">
        <v>468</v>
      </c>
      <c r="E322" s="419" t="s">
        <v>468</v>
      </c>
      <c r="F322" s="422">
        <v>153</v>
      </c>
      <c r="G322" s="440" t="s">
        <v>880</v>
      </c>
      <c r="H322" s="419" t="s">
        <v>468</v>
      </c>
      <c r="I322" s="639" t="s">
        <v>881</v>
      </c>
      <c r="J322" s="418" t="s">
        <v>882</v>
      </c>
      <c r="K322" s="418" t="s">
        <v>883</v>
      </c>
      <c r="L322" s="399" t="s">
        <v>798</v>
      </c>
      <c r="M322" s="544" t="s">
        <v>310</v>
      </c>
      <c r="N322" s="413">
        <v>44847</v>
      </c>
      <c r="O322" s="414" t="s">
        <v>408</v>
      </c>
      <c r="P322" s="655">
        <f t="shared" si="15"/>
        <v>10</v>
      </c>
      <c r="Q322" s="655">
        <f t="shared" si="16"/>
        <v>10</v>
      </c>
      <c r="R322" s="758" t="str">
        <f t="shared" si="17"/>
        <v>Gastos_custeados_por_captação</v>
      </c>
      <c r="S322" s="697" t="s">
        <v>310</v>
      </c>
      <c r="T322" s="697" t="s">
        <v>310</v>
      </c>
    </row>
    <row r="323" spans="1:20" ht="156" x14ac:dyDescent="0.2">
      <c r="A323" s="432">
        <f>IF(B323="","",COUNT('Diário 1º PA'!$A$4:$A$2635)+COUNT('Diário 2º PA'!$A$4:$A$3040)+COUNT('Diário 3º PA'!$A$4:$A$2731)+ROW()-3)</f>
        <v>6348</v>
      </c>
      <c r="B323" s="413">
        <v>44847</v>
      </c>
      <c r="C323" s="431">
        <v>44805</v>
      </c>
      <c r="D323" s="419" t="s">
        <v>468</v>
      </c>
      <c r="E323" s="419" t="s">
        <v>468</v>
      </c>
      <c r="F323" s="422">
        <v>1755</v>
      </c>
      <c r="G323" s="427" t="s">
        <v>4470</v>
      </c>
      <c r="H323" s="419" t="s">
        <v>468</v>
      </c>
      <c r="I323" s="639" t="s">
        <v>6450</v>
      </c>
      <c r="J323" s="415" t="s">
        <v>4522</v>
      </c>
      <c r="K323" s="419" t="s">
        <v>830</v>
      </c>
      <c r="L323" s="399" t="s">
        <v>32</v>
      </c>
      <c r="M323" s="418" t="s">
        <v>1890</v>
      </c>
      <c r="N323" s="413">
        <v>44845</v>
      </c>
      <c r="O323" s="414" t="s">
        <v>3762</v>
      </c>
      <c r="P323" s="655">
        <f t="shared" si="15"/>
        <v>10</v>
      </c>
      <c r="Q323" s="655">
        <f t="shared" si="16"/>
        <v>9</v>
      </c>
      <c r="R323" s="758" t="str">
        <f t="shared" si="17"/>
        <v>Gastos_custeados_por_captação</v>
      </c>
      <c r="S323" s="697" t="s">
        <v>998</v>
      </c>
      <c r="T323" s="697">
        <v>3766</v>
      </c>
    </row>
    <row r="324" spans="1:20" ht="36" x14ac:dyDescent="0.2">
      <c r="A324" s="432">
        <f>IF(B324="","",COUNT('Diário 1º PA'!$A$4:$A$2635)+COUNT('Diário 2º PA'!$A$4:$A$3040)+COUNT('Diário 3º PA'!$A$4:$A$2731)+ROW()-3)</f>
        <v>6349</v>
      </c>
      <c r="B324" s="413">
        <v>44847</v>
      </c>
      <c r="C324" s="431">
        <v>44835</v>
      </c>
      <c r="D324" s="419" t="s">
        <v>468</v>
      </c>
      <c r="E324" s="419" t="s">
        <v>468</v>
      </c>
      <c r="F324" s="422">
        <v>791.84</v>
      </c>
      <c r="G324" s="427" t="s">
        <v>7577</v>
      </c>
      <c r="H324" s="419" t="s">
        <v>468</v>
      </c>
      <c r="I324" s="415" t="s">
        <v>2144</v>
      </c>
      <c r="J324" s="415" t="s">
        <v>1093</v>
      </c>
      <c r="K324" s="418" t="s">
        <v>830</v>
      </c>
      <c r="L324" s="399" t="s">
        <v>807</v>
      </c>
      <c r="M324" s="544">
        <v>87.913043478260875</v>
      </c>
      <c r="N324" s="413">
        <v>44844</v>
      </c>
      <c r="O324" s="414" t="s">
        <v>3762</v>
      </c>
      <c r="P324" s="655">
        <f t="shared" si="15"/>
        <v>10</v>
      </c>
      <c r="Q324" s="655">
        <f t="shared" si="16"/>
        <v>10</v>
      </c>
      <c r="R324" s="758" t="str">
        <f t="shared" si="17"/>
        <v>Gastos_custeados_por_captação</v>
      </c>
      <c r="S324" s="697" t="s">
        <v>998</v>
      </c>
      <c r="T324" s="697">
        <v>4423</v>
      </c>
    </row>
    <row r="325" spans="1:20" ht="48" x14ac:dyDescent="0.2">
      <c r="A325" s="432">
        <f>IF(B325="","",COUNT('Diário 1º PA'!$A$4:$A$2635)+COUNT('Diário 2º PA'!$A$4:$A$3040)+COUNT('Diário 3º PA'!$A$4:$A$2731)+ROW()-3)</f>
        <v>6350</v>
      </c>
      <c r="B325" s="413">
        <v>44847</v>
      </c>
      <c r="C325" s="431">
        <v>44835</v>
      </c>
      <c r="D325" s="419" t="s">
        <v>468</v>
      </c>
      <c r="E325" s="419" t="s">
        <v>468</v>
      </c>
      <c r="F325" s="422">
        <v>3430</v>
      </c>
      <c r="G325" s="427" t="s">
        <v>3260</v>
      </c>
      <c r="H325" s="419" t="s">
        <v>468</v>
      </c>
      <c r="I325" s="639" t="s">
        <v>3091</v>
      </c>
      <c r="J325" s="415" t="s">
        <v>1141</v>
      </c>
      <c r="K325" s="418" t="s">
        <v>830</v>
      </c>
      <c r="L325" s="399" t="s">
        <v>32</v>
      </c>
      <c r="M325" s="418" t="s">
        <v>3679</v>
      </c>
      <c r="N325" s="413">
        <v>44845</v>
      </c>
      <c r="O325" s="414" t="s">
        <v>405</v>
      </c>
      <c r="P325" s="655">
        <f t="shared" si="15"/>
        <v>10</v>
      </c>
      <c r="Q325" s="655">
        <f t="shared" si="16"/>
        <v>10</v>
      </c>
      <c r="R325" s="758" t="str">
        <f t="shared" si="17"/>
        <v>Gastos_custeados_por_captação</v>
      </c>
      <c r="S325" s="697" t="s">
        <v>1000</v>
      </c>
      <c r="T325" s="697">
        <v>3295</v>
      </c>
    </row>
    <row r="326" spans="1:20" ht="84" x14ac:dyDescent="0.2">
      <c r="A326" s="432">
        <f>IF(B326="","",COUNT('Diário 1º PA'!$A$4:$A$2635)+COUNT('Diário 2º PA'!$A$4:$A$3040)+COUNT('Diário 3º PA'!$A$4:$A$2731)+ROW()-3)</f>
        <v>6351</v>
      </c>
      <c r="B326" s="413">
        <v>44847</v>
      </c>
      <c r="C326" s="431">
        <v>44774</v>
      </c>
      <c r="D326" s="419" t="s">
        <v>468</v>
      </c>
      <c r="E326" s="419" t="s">
        <v>468</v>
      </c>
      <c r="F326" s="422">
        <v>2940</v>
      </c>
      <c r="G326" s="427" t="s">
        <v>6344</v>
      </c>
      <c r="H326" s="419" t="s">
        <v>468</v>
      </c>
      <c r="I326" s="639" t="s">
        <v>2510</v>
      </c>
      <c r="J326" s="415" t="s">
        <v>1025</v>
      </c>
      <c r="K326" s="418" t="s">
        <v>830</v>
      </c>
      <c r="L326" s="399" t="s">
        <v>32</v>
      </c>
      <c r="M326" s="418" t="s">
        <v>2070</v>
      </c>
      <c r="N326" s="413">
        <v>44845</v>
      </c>
      <c r="O326" s="414" t="s">
        <v>405</v>
      </c>
      <c r="P326" s="655">
        <f t="shared" si="15"/>
        <v>10</v>
      </c>
      <c r="Q326" s="655">
        <f t="shared" si="16"/>
        <v>8</v>
      </c>
      <c r="R326" s="758" t="str">
        <f t="shared" si="17"/>
        <v>Gastos_custeados_por_captação</v>
      </c>
      <c r="S326" s="697" t="s">
        <v>1000</v>
      </c>
      <c r="T326" s="697">
        <v>4212</v>
      </c>
    </row>
    <row r="327" spans="1:20" ht="96" x14ac:dyDescent="0.2">
      <c r="A327" s="432">
        <f>IF(B327="","",COUNT('Diário 1º PA'!$A$4:$A$2635)+COUNT('Diário 2º PA'!$A$4:$A$3040)+COUNT('Diário 3º PA'!$A$4:$A$2731)+ROW()-3)</f>
        <v>6352</v>
      </c>
      <c r="B327" s="413">
        <v>44847</v>
      </c>
      <c r="C327" s="431">
        <v>44805</v>
      </c>
      <c r="D327" s="419" t="s">
        <v>468</v>
      </c>
      <c r="E327" s="419" t="s">
        <v>468</v>
      </c>
      <c r="F327" s="422">
        <v>2939.7</v>
      </c>
      <c r="G327" s="427" t="s">
        <v>2344</v>
      </c>
      <c r="H327" s="419" t="s">
        <v>468</v>
      </c>
      <c r="I327" s="639" t="s">
        <v>5470</v>
      </c>
      <c r="J327" s="415" t="s">
        <v>2345</v>
      </c>
      <c r="K327" s="418" t="s">
        <v>830</v>
      </c>
      <c r="L327" s="399" t="s">
        <v>32</v>
      </c>
      <c r="M327" s="418" t="s">
        <v>1465</v>
      </c>
      <c r="N327" s="413">
        <v>44845</v>
      </c>
      <c r="O327" s="414" t="s">
        <v>405</v>
      </c>
      <c r="P327" s="655">
        <f t="shared" si="15"/>
        <v>10</v>
      </c>
      <c r="Q327" s="655">
        <f t="shared" si="16"/>
        <v>9</v>
      </c>
      <c r="R327" s="758" t="str">
        <f t="shared" si="17"/>
        <v>Gastos_custeados_por_captação</v>
      </c>
      <c r="S327" s="697" t="s">
        <v>1000</v>
      </c>
      <c r="T327" s="697">
        <v>3185</v>
      </c>
    </row>
    <row r="328" spans="1:20" ht="108" x14ac:dyDescent="0.2">
      <c r="A328" s="432">
        <f>IF(B328="","",COUNT('Diário 1º PA'!$A$4:$A$2635)+COUNT('Diário 2º PA'!$A$4:$A$3040)+COUNT('Diário 3º PA'!$A$4:$A$2731)+ROW()-3)</f>
        <v>6353</v>
      </c>
      <c r="B328" s="413">
        <v>44847</v>
      </c>
      <c r="C328" s="431">
        <v>44805</v>
      </c>
      <c r="D328" s="419" t="s">
        <v>468</v>
      </c>
      <c r="E328" s="419" t="s">
        <v>468</v>
      </c>
      <c r="F328" s="422">
        <v>2082.29</v>
      </c>
      <c r="G328" s="427" t="s">
        <v>6186</v>
      </c>
      <c r="H328" s="419" t="s">
        <v>468</v>
      </c>
      <c r="I328" s="639" t="s">
        <v>7194</v>
      </c>
      <c r="J328" s="415" t="s">
        <v>6187</v>
      </c>
      <c r="K328" s="418" t="s">
        <v>830</v>
      </c>
      <c r="L328" s="399" t="s">
        <v>32</v>
      </c>
      <c r="M328" s="418" t="s">
        <v>5492</v>
      </c>
      <c r="N328" s="413">
        <v>44845</v>
      </c>
      <c r="O328" s="414" t="s">
        <v>405</v>
      </c>
      <c r="P328" s="655">
        <f t="shared" si="15"/>
        <v>10</v>
      </c>
      <c r="Q328" s="655">
        <f t="shared" si="16"/>
        <v>9</v>
      </c>
      <c r="R328" s="758" t="str">
        <f t="shared" si="17"/>
        <v>Gastos_custeados_por_captação</v>
      </c>
      <c r="S328" s="697" t="s">
        <v>1000</v>
      </c>
      <c r="T328" s="697">
        <v>4184</v>
      </c>
    </row>
    <row r="329" spans="1:20" ht="48" x14ac:dyDescent="0.2">
      <c r="A329" s="432">
        <f>IF(B329="","",COUNT('Diário 1º PA'!$A$4:$A$2635)+COUNT('Diário 2º PA'!$A$4:$A$3040)+COUNT('Diário 3º PA'!$A$4:$A$2731)+ROW()-3)</f>
        <v>6354</v>
      </c>
      <c r="B329" s="413">
        <v>44847</v>
      </c>
      <c r="C329" s="431">
        <v>44774</v>
      </c>
      <c r="D329" s="419" t="s">
        <v>468</v>
      </c>
      <c r="E329" s="419" t="s">
        <v>468</v>
      </c>
      <c r="F329" s="422">
        <v>1680</v>
      </c>
      <c r="G329" s="427" t="s">
        <v>5762</v>
      </c>
      <c r="H329" s="419" t="s">
        <v>468</v>
      </c>
      <c r="I329" s="639" t="s">
        <v>1706</v>
      </c>
      <c r="J329" s="415" t="s">
        <v>2171</v>
      </c>
      <c r="K329" s="418" t="s">
        <v>6327</v>
      </c>
      <c r="L329" s="399" t="s">
        <v>839</v>
      </c>
      <c r="M329" s="544">
        <v>2042</v>
      </c>
      <c r="N329" s="413">
        <v>44839</v>
      </c>
      <c r="O329" s="414" t="s">
        <v>404</v>
      </c>
      <c r="P329" s="655">
        <f t="shared" si="15"/>
        <v>10</v>
      </c>
      <c r="Q329" s="655">
        <f t="shared" si="16"/>
        <v>8</v>
      </c>
      <c r="R329" s="758" t="str">
        <f t="shared" si="17"/>
        <v>Gastos_custeados_por_captação</v>
      </c>
      <c r="S329" s="697" t="s">
        <v>998</v>
      </c>
      <c r="T329" s="697">
        <v>3985</v>
      </c>
    </row>
    <row r="330" spans="1:20" ht="48" x14ac:dyDescent="0.2">
      <c r="A330" s="432">
        <f>IF(B330="","",COUNT('Diário 1º PA'!$A$4:$A$2635)+COUNT('Diário 2º PA'!$A$4:$A$3040)+COUNT('Diário 3º PA'!$A$4:$A$2731)+ROW()-3)</f>
        <v>6355</v>
      </c>
      <c r="B330" s="413">
        <v>44848</v>
      </c>
      <c r="C330" s="431">
        <v>44835</v>
      </c>
      <c r="D330" s="415" t="s">
        <v>271</v>
      </c>
      <c r="E330" s="415" t="s">
        <v>297</v>
      </c>
      <c r="F330" s="425">
        <v>191.9</v>
      </c>
      <c r="G330" s="427" t="s">
        <v>7639</v>
      </c>
      <c r="H330" s="419" t="s">
        <v>757</v>
      </c>
      <c r="I330" s="415" t="s">
        <v>7650</v>
      </c>
      <c r="J330" s="415" t="s">
        <v>7640</v>
      </c>
      <c r="K330" s="415" t="s">
        <v>806</v>
      </c>
      <c r="L330" s="415" t="s">
        <v>6409</v>
      </c>
      <c r="M330" s="415" t="s">
        <v>8164</v>
      </c>
      <c r="N330" s="414">
        <v>44848</v>
      </c>
      <c r="O330" s="415" t="s">
        <v>400</v>
      </c>
      <c r="P330" s="655">
        <f t="shared" si="15"/>
        <v>10</v>
      </c>
      <c r="Q330" s="655">
        <f t="shared" si="16"/>
        <v>10</v>
      </c>
      <c r="R330" s="758" t="str">
        <f t="shared" si="17"/>
        <v>Gastos_Gerais</v>
      </c>
      <c r="S330" s="697" t="s">
        <v>999</v>
      </c>
      <c r="T330" s="697">
        <v>4529</v>
      </c>
    </row>
    <row r="331" spans="1:20" ht="36" x14ac:dyDescent="0.2">
      <c r="A331" s="432">
        <f>IF(B331="","",COUNT('Diário 1º PA'!$A$4:$A$2635)+COUNT('Diário 2º PA'!$A$4:$A$3040)+COUNT('Diário 3º PA'!$A$4:$A$2731)+ROW()-3)</f>
        <v>6356</v>
      </c>
      <c r="B331" s="413">
        <v>44848</v>
      </c>
      <c r="C331" s="431">
        <v>44835</v>
      </c>
      <c r="D331" s="415" t="s">
        <v>271</v>
      </c>
      <c r="E331" s="415" t="s">
        <v>297</v>
      </c>
      <c r="F331" s="425">
        <v>338.62</v>
      </c>
      <c r="G331" s="427" t="s">
        <v>7646</v>
      </c>
      <c r="H331" s="415" t="s">
        <v>757</v>
      </c>
      <c r="I331" s="415" t="s">
        <v>7651</v>
      </c>
      <c r="J331" s="415" t="s">
        <v>7647</v>
      </c>
      <c r="K331" s="415" t="s">
        <v>806</v>
      </c>
      <c r="L331" s="415" t="s">
        <v>6409</v>
      </c>
      <c r="M331" s="415" t="s">
        <v>8165</v>
      </c>
      <c r="N331" s="414">
        <v>44851</v>
      </c>
      <c r="O331" s="415" t="s">
        <v>400</v>
      </c>
      <c r="P331" s="655">
        <f t="shared" si="15"/>
        <v>10</v>
      </c>
      <c r="Q331" s="655">
        <f t="shared" si="16"/>
        <v>10</v>
      </c>
      <c r="R331" s="758" t="str">
        <f t="shared" si="17"/>
        <v>Gastos_Gerais</v>
      </c>
      <c r="S331" s="697" t="s">
        <v>999</v>
      </c>
      <c r="T331" s="697">
        <v>4535</v>
      </c>
    </row>
    <row r="332" spans="1:20" ht="24" x14ac:dyDescent="0.2">
      <c r="A332" s="432">
        <f>IF(B332="","",COUNT('Diário 1º PA'!$A$4:$A$2635)+COUNT('Diário 2º PA'!$A$4:$A$3040)+COUNT('Diário 3º PA'!$A$4:$A$2731)+ROW()-3)</f>
        <v>6357</v>
      </c>
      <c r="B332" s="413">
        <v>44848</v>
      </c>
      <c r="C332" s="466">
        <v>44835</v>
      </c>
      <c r="D332" s="415" t="s">
        <v>182</v>
      </c>
      <c r="E332" s="415" t="s">
        <v>161</v>
      </c>
      <c r="F332" s="425">
        <v>0.51</v>
      </c>
      <c r="G332" s="427" t="s">
        <v>7652</v>
      </c>
      <c r="H332" s="415" t="s">
        <v>310</v>
      </c>
      <c r="I332" s="473" t="s">
        <v>2008</v>
      </c>
      <c r="J332" s="548" t="s">
        <v>2009</v>
      </c>
      <c r="K332" s="415" t="s">
        <v>812</v>
      </c>
      <c r="L332" s="415" t="s">
        <v>807</v>
      </c>
      <c r="M332" s="415" t="s">
        <v>8166</v>
      </c>
      <c r="N332" s="414">
        <v>44852</v>
      </c>
      <c r="O332" s="414" t="s">
        <v>400</v>
      </c>
      <c r="P332" s="655">
        <f t="shared" si="15"/>
        <v>10</v>
      </c>
      <c r="Q332" s="655">
        <f t="shared" si="16"/>
        <v>10</v>
      </c>
      <c r="R332" s="758" t="str">
        <f t="shared" si="17"/>
        <v>Gastos_com_Pessoal</v>
      </c>
      <c r="S332" s="697" t="s">
        <v>310</v>
      </c>
      <c r="T332" s="697" t="s">
        <v>310</v>
      </c>
    </row>
    <row r="333" spans="1:20" ht="36" x14ac:dyDescent="0.2">
      <c r="A333" s="432">
        <f>IF(B333="","",COUNT('Diário 1º PA'!$A$4:$A$2635)+COUNT('Diário 2º PA'!$A$4:$A$3040)+COUNT('Diário 3º PA'!$A$4:$A$2731)+ROW()-3)</f>
        <v>6358</v>
      </c>
      <c r="B333" s="413">
        <v>44848</v>
      </c>
      <c r="C333" s="466">
        <v>44835</v>
      </c>
      <c r="D333" s="415" t="s">
        <v>182</v>
      </c>
      <c r="E333" s="415" t="s">
        <v>287</v>
      </c>
      <c r="F333" s="425">
        <v>2981.34</v>
      </c>
      <c r="G333" s="427" t="s">
        <v>7653</v>
      </c>
      <c r="H333" s="415" t="s">
        <v>310</v>
      </c>
      <c r="I333" s="415" t="s">
        <v>952</v>
      </c>
      <c r="J333" s="419" t="s">
        <v>953</v>
      </c>
      <c r="K333" s="419" t="s">
        <v>830</v>
      </c>
      <c r="L333" s="415" t="s">
        <v>925</v>
      </c>
      <c r="M333" s="415" t="s">
        <v>310</v>
      </c>
      <c r="N333" s="413">
        <v>44848</v>
      </c>
      <c r="O333" s="414" t="s">
        <v>400</v>
      </c>
      <c r="P333" s="655">
        <f t="shared" si="15"/>
        <v>10</v>
      </c>
      <c r="Q333" s="655">
        <f t="shared" si="16"/>
        <v>10</v>
      </c>
      <c r="R333" s="758" t="str">
        <f t="shared" si="17"/>
        <v>Gastos_com_Pessoal</v>
      </c>
      <c r="S333" s="697" t="s">
        <v>310</v>
      </c>
      <c r="T333" s="697" t="s">
        <v>310</v>
      </c>
    </row>
    <row r="334" spans="1:20" ht="36" x14ac:dyDescent="0.2">
      <c r="A334" s="432">
        <f>IF(B334="","",COUNT('Diário 1º PA'!$A$4:$A$2635)+COUNT('Diário 2º PA'!$A$4:$A$3040)+COUNT('Diário 3º PA'!$A$4:$A$2731)+ROW()-3)</f>
        <v>6359</v>
      </c>
      <c r="B334" s="413">
        <v>44848</v>
      </c>
      <c r="C334" s="431">
        <v>44835</v>
      </c>
      <c r="D334" s="415" t="s">
        <v>271</v>
      </c>
      <c r="E334" s="415" t="s">
        <v>297</v>
      </c>
      <c r="F334" s="425">
        <v>148.03</v>
      </c>
      <c r="G334" s="427" t="s">
        <v>7637</v>
      </c>
      <c r="H334" s="415" t="s">
        <v>757</v>
      </c>
      <c r="I334" s="415" t="s">
        <v>7655</v>
      </c>
      <c r="J334" s="415" t="s">
        <v>7638</v>
      </c>
      <c r="K334" s="415" t="s">
        <v>812</v>
      </c>
      <c r="L334" s="415" t="s">
        <v>310</v>
      </c>
      <c r="M334" s="419" t="s">
        <v>310</v>
      </c>
      <c r="N334" s="413">
        <v>44848</v>
      </c>
      <c r="O334" s="414" t="s">
        <v>400</v>
      </c>
      <c r="P334" s="655">
        <f t="shared" si="15"/>
        <v>10</v>
      </c>
      <c r="Q334" s="655">
        <f t="shared" si="16"/>
        <v>10</v>
      </c>
      <c r="R334" s="758" t="str">
        <f t="shared" si="17"/>
        <v>Gastos_Gerais</v>
      </c>
      <c r="S334" s="697" t="s">
        <v>999</v>
      </c>
      <c r="T334" s="697">
        <v>4528</v>
      </c>
    </row>
    <row r="335" spans="1:20" ht="96" x14ac:dyDescent="0.2">
      <c r="A335" s="432">
        <f>IF(B335="","",COUNT('Diário 1º PA'!$A$4:$A$2635)+COUNT('Diário 2º PA'!$A$4:$A$3040)+COUNT('Diário 3º PA'!$A$4:$A$2731)+ROW()-3)</f>
        <v>6360</v>
      </c>
      <c r="B335" s="413">
        <v>44848</v>
      </c>
      <c r="C335" s="431">
        <v>44835</v>
      </c>
      <c r="D335" s="415" t="s">
        <v>271</v>
      </c>
      <c r="E335" s="415" t="s">
        <v>456</v>
      </c>
      <c r="F335" s="425">
        <v>1224.8699999999999</v>
      </c>
      <c r="G335" s="427" t="s">
        <v>7585</v>
      </c>
      <c r="H335" s="415" t="s">
        <v>751</v>
      </c>
      <c r="I335" s="415" t="s">
        <v>865</v>
      </c>
      <c r="J335" s="415" t="s">
        <v>866</v>
      </c>
      <c r="K335" s="419" t="s">
        <v>830</v>
      </c>
      <c r="L335" s="415" t="s">
        <v>32</v>
      </c>
      <c r="M335" s="419" t="s">
        <v>2070</v>
      </c>
      <c r="N335" s="413">
        <v>44847</v>
      </c>
      <c r="O335" s="414" t="s">
        <v>400</v>
      </c>
      <c r="P335" s="655">
        <f t="shared" si="15"/>
        <v>10</v>
      </c>
      <c r="Q335" s="655">
        <f t="shared" si="16"/>
        <v>10</v>
      </c>
      <c r="R335" s="758" t="str">
        <f t="shared" si="17"/>
        <v>Gastos_Gerais</v>
      </c>
      <c r="S335" s="697" t="s">
        <v>1000</v>
      </c>
      <c r="T335" s="697">
        <v>4460</v>
      </c>
    </row>
    <row r="336" spans="1:20" ht="36" x14ac:dyDescent="0.2">
      <c r="A336" s="432">
        <f>IF(B336="","",COUNT('Diário 1º PA'!$A$4:$A$2635)+COUNT('Diário 2º PA'!$A$4:$A$3040)+COUNT('Diário 3º PA'!$A$4:$A$2731)+ROW()-3)</f>
        <v>6361</v>
      </c>
      <c r="B336" s="413">
        <v>44848</v>
      </c>
      <c r="C336" s="431">
        <v>44835</v>
      </c>
      <c r="D336" s="415" t="s">
        <v>271</v>
      </c>
      <c r="E336" s="415" t="s">
        <v>297</v>
      </c>
      <c r="F336" s="425">
        <v>184.2</v>
      </c>
      <c r="G336" s="427" t="s">
        <v>7642</v>
      </c>
      <c r="H336" s="415" t="s">
        <v>757</v>
      </c>
      <c r="I336" s="415" t="s">
        <v>7657</v>
      </c>
      <c r="J336" s="415" t="s">
        <v>7643</v>
      </c>
      <c r="K336" s="415" t="s">
        <v>812</v>
      </c>
      <c r="L336" s="415" t="s">
        <v>32</v>
      </c>
      <c r="M336" s="415">
        <v>1794447</v>
      </c>
      <c r="N336" s="414">
        <v>44851</v>
      </c>
      <c r="O336" s="414" t="s">
        <v>400</v>
      </c>
      <c r="P336" s="655">
        <f t="shared" si="15"/>
        <v>10</v>
      </c>
      <c r="Q336" s="655">
        <f t="shared" si="16"/>
        <v>10</v>
      </c>
      <c r="R336" s="758" t="str">
        <f t="shared" si="17"/>
        <v>Gastos_Gerais</v>
      </c>
      <c r="S336" s="697" t="s">
        <v>999</v>
      </c>
      <c r="T336" s="697">
        <v>4536</v>
      </c>
    </row>
    <row r="337" spans="1:20" ht="36" x14ac:dyDescent="0.2">
      <c r="A337" s="432">
        <f>IF(B337="","",COUNT('Diário 1º PA'!$A$4:$A$2635)+COUNT('Diário 2º PA'!$A$4:$A$3040)+COUNT('Diário 3º PA'!$A$4:$A$2731)+ROW()-3)</f>
        <v>6362</v>
      </c>
      <c r="B337" s="413">
        <v>44848</v>
      </c>
      <c r="C337" s="424">
        <v>44835</v>
      </c>
      <c r="D337" s="419" t="s">
        <v>271</v>
      </c>
      <c r="E337" s="419" t="s">
        <v>71</v>
      </c>
      <c r="F337" s="422">
        <v>11</v>
      </c>
      <c r="G337" s="423" t="s">
        <v>7659</v>
      </c>
      <c r="H337" s="415" t="s">
        <v>310</v>
      </c>
      <c r="I337" s="415" t="s">
        <v>881</v>
      </c>
      <c r="J337" s="419" t="s">
        <v>882</v>
      </c>
      <c r="K337" s="419" t="s">
        <v>883</v>
      </c>
      <c r="L337" s="415" t="s">
        <v>798</v>
      </c>
      <c r="M337" s="419" t="s">
        <v>310</v>
      </c>
      <c r="N337" s="413">
        <v>44848</v>
      </c>
      <c r="O337" s="414" t="s">
        <v>400</v>
      </c>
      <c r="P337" s="655">
        <f t="shared" si="15"/>
        <v>10</v>
      </c>
      <c r="Q337" s="655">
        <f t="shared" si="16"/>
        <v>10</v>
      </c>
      <c r="R337" s="758" t="str">
        <f t="shared" si="17"/>
        <v>Gastos_Gerais</v>
      </c>
      <c r="S337" s="697" t="s">
        <v>310</v>
      </c>
      <c r="T337" s="697" t="s">
        <v>310</v>
      </c>
    </row>
    <row r="338" spans="1:20" ht="48" x14ac:dyDescent="0.2">
      <c r="A338" s="432">
        <f>IF(B338="","",COUNT('Diário 1º PA'!$A$4:$A$2635)+COUNT('Diário 2º PA'!$A$4:$A$3040)+COUNT('Diário 3º PA'!$A$4:$A$2731)+ROW()-3)</f>
        <v>6363</v>
      </c>
      <c r="B338" s="413">
        <v>44848</v>
      </c>
      <c r="C338" s="424">
        <v>44835</v>
      </c>
      <c r="D338" s="419" t="s">
        <v>271</v>
      </c>
      <c r="E338" s="419" t="s">
        <v>71</v>
      </c>
      <c r="F338" s="422">
        <v>11</v>
      </c>
      <c r="G338" s="423" t="s">
        <v>7658</v>
      </c>
      <c r="H338" s="415" t="s">
        <v>751</v>
      </c>
      <c r="I338" s="415" t="s">
        <v>881</v>
      </c>
      <c r="J338" s="419" t="s">
        <v>882</v>
      </c>
      <c r="K338" s="419" t="s">
        <v>883</v>
      </c>
      <c r="L338" s="415" t="s">
        <v>798</v>
      </c>
      <c r="M338" s="419" t="s">
        <v>310</v>
      </c>
      <c r="N338" s="413">
        <v>44848</v>
      </c>
      <c r="O338" s="414" t="s">
        <v>400</v>
      </c>
      <c r="P338" s="655">
        <f t="shared" si="15"/>
        <v>10</v>
      </c>
      <c r="Q338" s="655">
        <f t="shared" si="16"/>
        <v>10</v>
      </c>
      <c r="R338" s="758" t="str">
        <f t="shared" si="17"/>
        <v>Gastos_Gerais</v>
      </c>
      <c r="S338" s="697" t="s">
        <v>310</v>
      </c>
      <c r="T338" s="697" t="s">
        <v>310</v>
      </c>
    </row>
    <row r="339" spans="1:20" ht="48" x14ac:dyDescent="0.2">
      <c r="A339" s="432">
        <f>IF(B339="","",COUNT('Diário 1º PA'!$A$4:$A$2635)+COUNT('Diário 2º PA'!$A$4:$A$3040)+COUNT('Diário 3º PA'!$A$4:$A$2731)+ROW()-3)</f>
        <v>6364</v>
      </c>
      <c r="B339" s="413">
        <v>44848</v>
      </c>
      <c r="C339" s="424">
        <v>44805</v>
      </c>
      <c r="D339" s="419" t="s">
        <v>468</v>
      </c>
      <c r="E339" s="419" t="s">
        <v>468</v>
      </c>
      <c r="F339" s="422">
        <v>1500</v>
      </c>
      <c r="G339" s="423" t="s">
        <v>7253</v>
      </c>
      <c r="H339" s="419" t="s">
        <v>468</v>
      </c>
      <c r="I339" s="427" t="s">
        <v>2948</v>
      </c>
      <c r="J339" s="415" t="s">
        <v>2414</v>
      </c>
      <c r="K339" s="419" t="s">
        <v>812</v>
      </c>
      <c r="L339" s="415" t="s">
        <v>32</v>
      </c>
      <c r="M339" s="419">
        <v>66287</v>
      </c>
      <c r="N339" s="413">
        <v>44819</v>
      </c>
      <c r="O339" s="414" t="s">
        <v>408</v>
      </c>
      <c r="P339" s="655">
        <f t="shared" si="15"/>
        <v>10</v>
      </c>
      <c r="Q339" s="655">
        <f t="shared" si="16"/>
        <v>9</v>
      </c>
      <c r="R339" s="758" t="str">
        <f t="shared" si="17"/>
        <v>Gastos_custeados_por_captação</v>
      </c>
      <c r="S339" s="697" t="s">
        <v>1000</v>
      </c>
      <c r="T339" s="697">
        <v>2456</v>
      </c>
    </row>
    <row r="340" spans="1:20" ht="36" x14ac:dyDescent="0.2">
      <c r="A340" s="432">
        <f>IF(B340="","",COUNT('Diário 1º PA'!$A$4:$A$2635)+COUNT('Diário 2º PA'!$A$4:$A$3040)+COUNT('Diário 3º PA'!$A$4:$A$2731)+ROW()-3)</f>
        <v>6365</v>
      </c>
      <c r="B340" s="413">
        <v>44848</v>
      </c>
      <c r="C340" s="431">
        <v>44805</v>
      </c>
      <c r="D340" s="419" t="s">
        <v>468</v>
      </c>
      <c r="E340" s="419" t="s">
        <v>468</v>
      </c>
      <c r="F340" s="422">
        <v>8819.1</v>
      </c>
      <c r="G340" s="427" t="s">
        <v>4102</v>
      </c>
      <c r="H340" s="419" t="s">
        <v>468</v>
      </c>
      <c r="I340" s="415" t="s">
        <v>5619</v>
      </c>
      <c r="J340" s="415" t="s">
        <v>4103</v>
      </c>
      <c r="K340" s="419" t="s">
        <v>830</v>
      </c>
      <c r="L340" s="415" t="s">
        <v>32</v>
      </c>
      <c r="M340" s="419" t="s">
        <v>1793</v>
      </c>
      <c r="N340" s="413">
        <v>44847</v>
      </c>
      <c r="O340" s="414" t="s">
        <v>408</v>
      </c>
      <c r="P340" s="655">
        <f t="shared" si="15"/>
        <v>10</v>
      </c>
      <c r="Q340" s="655">
        <f t="shared" si="16"/>
        <v>9</v>
      </c>
      <c r="R340" s="758" t="str">
        <f t="shared" si="17"/>
        <v>Gastos_custeados_por_captação</v>
      </c>
      <c r="S340" s="697" t="s">
        <v>1000</v>
      </c>
      <c r="T340" s="697">
        <v>3697</v>
      </c>
    </row>
    <row r="341" spans="1:20" ht="36" x14ac:dyDescent="0.2">
      <c r="A341" s="432">
        <f>IF(B341="","",COUNT('Diário 1º PA'!$A$4:$A$2635)+COUNT('Diário 2º PA'!$A$4:$A$3040)+COUNT('Diário 3º PA'!$A$4:$A$2731)+ROW()-3)</f>
        <v>6366</v>
      </c>
      <c r="B341" s="413">
        <v>44848</v>
      </c>
      <c r="C341" s="424">
        <v>44835</v>
      </c>
      <c r="D341" s="419" t="s">
        <v>468</v>
      </c>
      <c r="E341" s="419" t="s">
        <v>468</v>
      </c>
      <c r="F341" s="422">
        <v>11</v>
      </c>
      <c r="G341" s="427" t="s">
        <v>2469</v>
      </c>
      <c r="H341" s="419" t="s">
        <v>468</v>
      </c>
      <c r="I341" s="639" t="s">
        <v>881</v>
      </c>
      <c r="J341" s="418" t="s">
        <v>882</v>
      </c>
      <c r="K341" s="418" t="s">
        <v>883</v>
      </c>
      <c r="L341" s="399" t="s">
        <v>798</v>
      </c>
      <c r="M341" s="544" t="s">
        <v>310</v>
      </c>
      <c r="N341" s="413">
        <v>44848</v>
      </c>
      <c r="O341" s="414" t="s">
        <v>408</v>
      </c>
      <c r="P341" s="655">
        <f t="shared" si="15"/>
        <v>10</v>
      </c>
      <c r="Q341" s="655">
        <f t="shared" si="16"/>
        <v>10</v>
      </c>
      <c r="R341" s="758" t="str">
        <f t="shared" si="17"/>
        <v>Gastos_custeados_por_captação</v>
      </c>
      <c r="S341" s="697" t="s">
        <v>310</v>
      </c>
      <c r="T341" s="697" t="s">
        <v>310</v>
      </c>
    </row>
    <row r="342" spans="1:20" ht="48" x14ac:dyDescent="0.2">
      <c r="A342" s="432">
        <f>IF(B342="","",COUNT('Diário 1º PA'!$A$4:$A$2635)+COUNT('Diário 2º PA'!$A$4:$A$3040)+COUNT('Diário 3º PA'!$A$4:$A$2731)+ROW()-3)</f>
        <v>6367</v>
      </c>
      <c r="B342" s="413">
        <v>44848</v>
      </c>
      <c r="C342" s="431">
        <v>44805</v>
      </c>
      <c r="D342" s="419" t="s">
        <v>468</v>
      </c>
      <c r="E342" s="419" t="s">
        <v>468</v>
      </c>
      <c r="F342" s="422">
        <v>1680</v>
      </c>
      <c r="G342" s="427" t="s">
        <v>7114</v>
      </c>
      <c r="H342" s="419" t="s">
        <v>468</v>
      </c>
      <c r="I342" s="639" t="s">
        <v>5427</v>
      </c>
      <c r="J342" s="415" t="s">
        <v>1990</v>
      </c>
      <c r="K342" s="418" t="s">
        <v>830</v>
      </c>
      <c r="L342" s="399" t="s">
        <v>1341</v>
      </c>
      <c r="M342" s="544">
        <v>2049</v>
      </c>
      <c r="N342" s="413">
        <v>44839</v>
      </c>
      <c r="O342" s="414" t="s">
        <v>3762</v>
      </c>
      <c r="P342" s="655">
        <f t="shared" si="15"/>
        <v>10</v>
      </c>
      <c r="Q342" s="655">
        <f t="shared" si="16"/>
        <v>9</v>
      </c>
      <c r="R342" s="758" t="str">
        <f t="shared" si="17"/>
        <v>Gastos_custeados_por_captação</v>
      </c>
      <c r="S342" s="697" t="s">
        <v>1000</v>
      </c>
      <c r="T342" s="697">
        <v>4341</v>
      </c>
    </row>
    <row r="343" spans="1:20" ht="36" x14ac:dyDescent="0.2">
      <c r="A343" s="432">
        <f>IF(B343="","",COUNT('Diário 1º PA'!$A$4:$A$2635)+COUNT('Diário 2º PA'!$A$4:$A$3040)+COUNT('Diário 3º PA'!$A$4:$A$2731)+ROW()-3)</f>
        <v>6368</v>
      </c>
      <c r="B343" s="413">
        <v>44848</v>
      </c>
      <c r="C343" s="431">
        <v>44835</v>
      </c>
      <c r="D343" s="419" t="s">
        <v>468</v>
      </c>
      <c r="E343" s="419" t="s">
        <v>468</v>
      </c>
      <c r="F343" s="422">
        <v>290.83999999999997</v>
      </c>
      <c r="G343" s="427" t="s">
        <v>7578</v>
      </c>
      <c r="H343" s="419" t="s">
        <v>468</v>
      </c>
      <c r="I343" s="639" t="s">
        <v>872</v>
      </c>
      <c r="J343" s="415" t="s">
        <v>873</v>
      </c>
      <c r="K343" s="418" t="s">
        <v>830</v>
      </c>
      <c r="L343" s="399" t="s">
        <v>807</v>
      </c>
      <c r="M343" s="418" t="s">
        <v>7949</v>
      </c>
      <c r="N343" s="413">
        <v>44847</v>
      </c>
      <c r="O343" s="414" t="s">
        <v>3762</v>
      </c>
      <c r="P343" s="655">
        <f t="shared" si="15"/>
        <v>10</v>
      </c>
      <c r="Q343" s="655">
        <f t="shared" si="16"/>
        <v>10</v>
      </c>
      <c r="R343" s="758" t="str">
        <f t="shared" si="17"/>
        <v>Gastos_custeados_por_captação</v>
      </c>
      <c r="S343" s="697" t="s">
        <v>998</v>
      </c>
      <c r="T343" s="697">
        <v>4422</v>
      </c>
    </row>
    <row r="344" spans="1:20" ht="108" x14ac:dyDescent="0.2">
      <c r="A344" s="432">
        <f>IF(B344="","",COUNT('Diário 1º PA'!$A$4:$A$2635)+COUNT('Diário 2º PA'!$A$4:$A$3040)+COUNT('Diário 3º PA'!$A$4:$A$2731)+ROW()-3)</f>
        <v>6369</v>
      </c>
      <c r="B344" s="413">
        <v>44848</v>
      </c>
      <c r="C344" s="431">
        <v>44805</v>
      </c>
      <c r="D344" s="419" t="s">
        <v>468</v>
      </c>
      <c r="E344" s="419" t="s">
        <v>468</v>
      </c>
      <c r="F344" s="422">
        <v>3623.67</v>
      </c>
      <c r="G344" s="427" t="s">
        <v>6265</v>
      </c>
      <c r="H344" s="419" t="s">
        <v>468</v>
      </c>
      <c r="I344" s="639" t="s">
        <v>7952</v>
      </c>
      <c r="J344" s="415" t="s">
        <v>2345</v>
      </c>
      <c r="K344" s="418" t="s">
        <v>830</v>
      </c>
      <c r="L344" s="399" t="s">
        <v>807</v>
      </c>
      <c r="M344" s="418" t="s">
        <v>1711</v>
      </c>
      <c r="N344" s="413">
        <v>44847</v>
      </c>
      <c r="O344" s="414" t="s">
        <v>3762</v>
      </c>
      <c r="P344" s="655">
        <f t="shared" si="15"/>
        <v>10</v>
      </c>
      <c r="Q344" s="655">
        <f t="shared" si="16"/>
        <v>9</v>
      </c>
      <c r="R344" s="758" t="str">
        <f t="shared" si="17"/>
        <v>Gastos_custeados_por_captação</v>
      </c>
      <c r="S344" s="697" t="s">
        <v>1000</v>
      </c>
      <c r="T344" s="697">
        <v>4210</v>
      </c>
    </row>
    <row r="345" spans="1:20" ht="36" x14ac:dyDescent="0.2">
      <c r="A345" s="432">
        <f>IF(B345="","",COUNT('Diário 1º PA'!$A$4:$A$2635)+COUNT('Diário 2º PA'!$A$4:$A$3040)+COUNT('Diário 3º PA'!$A$4:$A$2731)+ROW()-3)</f>
        <v>6370</v>
      </c>
      <c r="B345" s="413">
        <v>44848</v>
      </c>
      <c r="C345" s="424">
        <v>44835</v>
      </c>
      <c r="D345" s="419" t="s">
        <v>468</v>
      </c>
      <c r="E345" s="419" t="s">
        <v>468</v>
      </c>
      <c r="F345" s="422">
        <v>11</v>
      </c>
      <c r="G345" s="427" t="s">
        <v>2469</v>
      </c>
      <c r="H345" s="419" t="s">
        <v>468</v>
      </c>
      <c r="I345" s="639" t="s">
        <v>881</v>
      </c>
      <c r="J345" s="418" t="s">
        <v>882</v>
      </c>
      <c r="K345" s="418" t="s">
        <v>883</v>
      </c>
      <c r="L345" s="399" t="s">
        <v>798</v>
      </c>
      <c r="M345" s="544" t="s">
        <v>310</v>
      </c>
      <c r="N345" s="413">
        <v>44839</v>
      </c>
      <c r="O345" s="414" t="s">
        <v>3762</v>
      </c>
      <c r="P345" s="655">
        <f t="shared" si="15"/>
        <v>10</v>
      </c>
      <c r="Q345" s="655">
        <f t="shared" si="16"/>
        <v>10</v>
      </c>
      <c r="R345" s="758" t="str">
        <f t="shared" si="17"/>
        <v>Gastos_custeados_por_captação</v>
      </c>
      <c r="S345" s="697" t="s">
        <v>310</v>
      </c>
      <c r="T345" s="697" t="s">
        <v>310</v>
      </c>
    </row>
    <row r="346" spans="1:20" ht="36" x14ac:dyDescent="0.2">
      <c r="A346" s="432">
        <f>IF(B346="","",COUNT('Diário 1º PA'!$A$4:$A$2635)+COUNT('Diário 2º PA'!$A$4:$A$3040)+COUNT('Diário 3º PA'!$A$4:$A$2731)+ROW()-3)</f>
        <v>6371</v>
      </c>
      <c r="B346" s="413">
        <v>44848</v>
      </c>
      <c r="C346" s="424">
        <v>44835</v>
      </c>
      <c r="D346" s="419" t="s">
        <v>468</v>
      </c>
      <c r="E346" s="419" t="s">
        <v>468</v>
      </c>
      <c r="F346" s="422">
        <v>11</v>
      </c>
      <c r="G346" s="427" t="s">
        <v>2469</v>
      </c>
      <c r="H346" s="419" t="s">
        <v>468</v>
      </c>
      <c r="I346" s="639" t="s">
        <v>881</v>
      </c>
      <c r="J346" s="418" t="s">
        <v>882</v>
      </c>
      <c r="K346" s="418" t="s">
        <v>883</v>
      </c>
      <c r="L346" s="399" t="s">
        <v>798</v>
      </c>
      <c r="M346" s="544" t="s">
        <v>310</v>
      </c>
      <c r="N346" s="413">
        <v>44839</v>
      </c>
      <c r="O346" s="414" t="s">
        <v>3762</v>
      </c>
      <c r="P346" s="655">
        <f t="shared" si="15"/>
        <v>10</v>
      </c>
      <c r="Q346" s="655">
        <f t="shared" si="16"/>
        <v>10</v>
      </c>
      <c r="R346" s="758" t="str">
        <f t="shared" si="17"/>
        <v>Gastos_custeados_por_captação</v>
      </c>
      <c r="S346" s="697" t="s">
        <v>310</v>
      </c>
      <c r="T346" s="697" t="s">
        <v>310</v>
      </c>
    </row>
    <row r="347" spans="1:20" ht="36" x14ac:dyDescent="0.2">
      <c r="A347" s="432">
        <f>IF(B347="","",COUNT('Diário 1º PA'!$A$4:$A$2635)+COUNT('Diário 2º PA'!$A$4:$A$3040)+COUNT('Diário 3º PA'!$A$4:$A$2731)+ROW()-3)</f>
        <v>6372</v>
      </c>
      <c r="B347" s="413">
        <v>44848</v>
      </c>
      <c r="C347" s="424">
        <v>44835</v>
      </c>
      <c r="D347" s="419" t="s">
        <v>468</v>
      </c>
      <c r="E347" s="419" t="s">
        <v>468</v>
      </c>
      <c r="F347" s="422">
        <v>11</v>
      </c>
      <c r="G347" s="427" t="s">
        <v>2469</v>
      </c>
      <c r="H347" s="419" t="s">
        <v>468</v>
      </c>
      <c r="I347" s="639" t="s">
        <v>881</v>
      </c>
      <c r="J347" s="418" t="s">
        <v>882</v>
      </c>
      <c r="K347" s="418" t="s">
        <v>883</v>
      </c>
      <c r="L347" s="399" t="s">
        <v>798</v>
      </c>
      <c r="M347" s="544" t="s">
        <v>310</v>
      </c>
      <c r="N347" s="413">
        <v>44839</v>
      </c>
      <c r="O347" s="414" t="s">
        <v>3762</v>
      </c>
      <c r="P347" s="655">
        <f t="shared" si="15"/>
        <v>10</v>
      </c>
      <c r="Q347" s="655">
        <f t="shared" si="16"/>
        <v>10</v>
      </c>
      <c r="R347" s="758" t="str">
        <f t="shared" si="17"/>
        <v>Gastos_custeados_por_captação</v>
      </c>
      <c r="S347" s="697" t="s">
        <v>310</v>
      </c>
      <c r="T347" s="697" t="s">
        <v>310</v>
      </c>
    </row>
    <row r="348" spans="1:20" ht="72" x14ac:dyDescent="0.2">
      <c r="A348" s="432">
        <f>IF(B348="","",COUNT('Diário 1º PA'!$A$4:$A$2635)+COUNT('Diário 2º PA'!$A$4:$A$3040)+COUNT('Diário 3º PA'!$A$4:$A$2731)+ROW()-3)</f>
        <v>6373</v>
      </c>
      <c r="B348" s="413">
        <v>44848</v>
      </c>
      <c r="C348" s="431">
        <v>44774</v>
      </c>
      <c r="D348" s="419" t="s">
        <v>468</v>
      </c>
      <c r="E348" s="419" t="s">
        <v>468</v>
      </c>
      <c r="F348" s="422">
        <v>5250</v>
      </c>
      <c r="G348" s="427" t="s">
        <v>6246</v>
      </c>
      <c r="H348" s="419" t="s">
        <v>468</v>
      </c>
      <c r="I348" s="639" t="s">
        <v>7759</v>
      </c>
      <c r="J348" s="415" t="s">
        <v>6247</v>
      </c>
      <c r="K348" s="418" t="s">
        <v>830</v>
      </c>
      <c r="L348" s="399" t="s">
        <v>32</v>
      </c>
      <c r="M348" s="544">
        <v>2</v>
      </c>
      <c r="N348" s="413">
        <v>44846</v>
      </c>
      <c r="O348" s="414" t="s">
        <v>405</v>
      </c>
      <c r="P348" s="655">
        <f t="shared" si="15"/>
        <v>10</v>
      </c>
      <c r="Q348" s="655">
        <f t="shared" si="16"/>
        <v>8</v>
      </c>
      <c r="R348" s="758" t="str">
        <f t="shared" si="17"/>
        <v>Gastos_custeados_por_captação</v>
      </c>
      <c r="S348" s="697" t="s">
        <v>998</v>
      </c>
      <c r="T348" s="697">
        <v>4214</v>
      </c>
    </row>
    <row r="349" spans="1:20" ht="60" x14ac:dyDescent="0.2">
      <c r="A349" s="432">
        <f>IF(B349="","",COUNT('Diário 1º PA'!$A$4:$A$2635)+COUNT('Diário 2º PA'!$A$4:$A$3040)+COUNT('Diário 3º PA'!$A$4:$A$2731)+ROW()-3)</f>
        <v>6374</v>
      </c>
      <c r="B349" s="413">
        <v>44848</v>
      </c>
      <c r="C349" s="431">
        <v>44805</v>
      </c>
      <c r="D349" s="419" t="s">
        <v>468</v>
      </c>
      <c r="E349" s="419" t="s">
        <v>468</v>
      </c>
      <c r="F349" s="422">
        <v>2269.2399999999998</v>
      </c>
      <c r="G349" s="427" t="s">
        <v>7197</v>
      </c>
      <c r="H349" s="419" t="s">
        <v>468</v>
      </c>
      <c r="I349" s="639" t="s">
        <v>7888</v>
      </c>
      <c r="J349" s="415" t="s">
        <v>7198</v>
      </c>
      <c r="K349" s="418" t="s">
        <v>806</v>
      </c>
      <c r="L349" s="399" t="s">
        <v>839</v>
      </c>
      <c r="M349" s="544">
        <v>2058</v>
      </c>
      <c r="N349" s="413">
        <v>44847</v>
      </c>
      <c r="O349" s="414" t="s">
        <v>404</v>
      </c>
      <c r="P349" s="655">
        <f t="shared" si="15"/>
        <v>10</v>
      </c>
      <c r="Q349" s="655">
        <f t="shared" si="16"/>
        <v>9</v>
      </c>
      <c r="R349" s="758" t="str">
        <f t="shared" si="17"/>
        <v>Gastos_custeados_por_captação</v>
      </c>
      <c r="S349" s="697" t="s">
        <v>1000</v>
      </c>
      <c r="T349" s="697">
        <v>4351</v>
      </c>
    </row>
    <row r="350" spans="1:20" ht="96" x14ac:dyDescent="0.2">
      <c r="A350" s="432">
        <f>IF(B350="","",COUNT('Diário 1º PA'!$A$4:$A$2635)+COUNT('Diário 2º PA'!$A$4:$A$3040)+COUNT('Diário 3º PA'!$A$4:$A$2731)+ROW()-3)</f>
        <v>6375</v>
      </c>
      <c r="B350" s="413">
        <v>44848</v>
      </c>
      <c r="C350" s="431">
        <v>44805</v>
      </c>
      <c r="D350" s="419" t="s">
        <v>468</v>
      </c>
      <c r="E350" s="419" t="s">
        <v>468</v>
      </c>
      <c r="F350" s="422">
        <v>2000</v>
      </c>
      <c r="G350" s="427" t="s">
        <v>7259</v>
      </c>
      <c r="H350" s="419" t="s">
        <v>468</v>
      </c>
      <c r="I350" s="639" t="s">
        <v>1917</v>
      </c>
      <c r="J350" s="415" t="s">
        <v>1091</v>
      </c>
      <c r="K350" s="418" t="s">
        <v>830</v>
      </c>
      <c r="L350" s="399" t="s">
        <v>32</v>
      </c>
      <c r="M350" s="544">
        <v>155.53846153846155</v>
      </c>
      <c r="N350" s="413">
        <v>44847</v>
      </c>
      <c r="O350" s="414" t="s">
        <v>404</v>
      </c>
      <c r="P350" s="655">
        <f t="shared" si="15"/>
        <v>10</v>
      </c>
      <c r="Q350" s="655">
        <f t="shared" si="16"/>
        <v>9</v>
      </c>
      <c r="R350" s="758" t="str">
        <f t="shared" si="17"/>
        <v>Gastos_custeados_por_captação</v>
      </c>
      <c r="S350" s="697" t="s">
        <v>998</v>
      </c>
      <c r="T350" s="697">
        <v>4358</v>
      </c>
    </row>
    <row r="351" spans="1:20" ht="48" x14ac:dyDescent="0.2">
      <c r="A351" s="432">
        <f>IF(B351="","",COUNT('Diário 1º PA'!$A$4:$A$2635)+COUNT('Diário 2º PA'!$A$4:$A$3040)+COUNT('Diário 3º PA'!$A$4:$A$2731)+ROW()-3)</f>
        <v>6376</v>
      </c>
      <c r="B351" s="413">
        <v>44851</v>
      </c>
      <c r="C351" s="424">
        <v>44835</v>
      </c>
      <c r="D351" s="419" t="s">
        <v>34</v>
      </c>
      <c r="E351" s="419" t="s">
        <v>167</v>
      </c>
      <c r="F351" s="422">
        <v>40</v>
      </c>
      <c r="G351" s="427" t="s">
        <v>7670</v>
      </c>
      <c r="H351" s="419" t="s">
        <v>310</v>
      </c>
      <c r="I351" s="415" t="s">
        <v>795</v>
      </c>
      <c r="J351" s="419" t="s">
        <v>796</v>
      </c>
      <c r="K351" s="419" t="s">
        <v>5737</v>
      </c>
      <c r="L351" s="415" t="s">
        <v>798</v>
      </c>
      <c r="M351" s="419" t="s">
        <v>310</v>
      </c>
      <c r="N351" s="413">
        <v>44851</v>
      </c>
      <c r="O351" s="414" t="s">
        <v>400</v>
      </c>
      <c r="P351" s="655">
        <f t="shared" si="15"/>
        <v>10</v>
      </c>
      <c r="Q351" s="655">
        <f t="shared" si="16"/>
        <v>10</v>
      </c>
      <c r="R351" s="758" t="str">
        <f t="shared" si="17"/>
        <v>Receitas</v>
      </c>
      <c r="S351" s="697" t="s">
        <v>310</v>
      </c>
      <c r="T351" s="697" t="s">
        <v>310</v>
      </c>
    </row>
    <row r="352" spans="1:20" ht="48" x14ac:dyDescent="0.2">
      <c r="A352" s="432">
        <f>IF(B352="","",COUNT('Diário 1º PA'!$A$4:$A$2635)+COUNT('Diário 2º PA'!$A$4:$A$3040)+COUNT('Diário 3º PA'!$A$4:$A$2731)+ROW()-3)</f>
        <v>6377</v>
      </c>
      <c r="B352" s="413">
        <v>44851</v>
      </c>
      <c r="C352" s="466">
        <v>44774</v>
      </c>
      <c r="D352" s="415" t="s">
        <v>182</v>
      </c>
      <c r="E352" s="415" t="s">
        <v>325</v>
      </c>
      <c r="F352" s="425">
        <v>-31.07</v>
      </c>
      <c r="G352" s="427" t="s">
        <v>7671</v>
      </c>
      <c r="H352" s="415" t="s">
        <v>310</v>
      </c>
      <c r="I352" s="473" t="s">
        <v>795</v>
      </c>
      <c r="J352" s="415" t="s">
        <v>796</v>
      </c>
      <c r="K352" s="415" t="s">
        <v>797</v>
      </c>
      <c r="L352" s="415" t="s">
        <v>798</v>
      </c>
      <c r="M352" s="415" t="s">
        <v>310</v>
      </c>
      <c r="N352" s="413">
        <v>44851</v>
      </c>
      <c r="O352" s="414" t="s">
        <v>400</v>
      </c>
      <c r="P352" s="655">
        <f t="shared" si="15"/>
        <v>10</v>
      </c>
      <c r="Q352" s="655">
        <f t="shared" si="16"/>
        <v>8</v>
      </c>
      <c r="R352" s="758" t="str">
        <f t="shared" si="17"/>
        <v>Gastos_com_Pessoal</v>
      </c>
      <c r="S352" s="697" t="s">
        <v>310</v>
      </c>
      <c r="T352" s="697" t="s">
        <v>310</v>
      </c>
    </row>
    <row r="353" spans="1:20" ht="48" x14ac:dyDescent="0.2">
      <c r="A353" s="432">
        <f>IF(B353="","",COUNT('Diário 1º PA'!$A$4:$A$2635)+COUNT('Diário 2º PA'!$A$4:$A$3040)+COUNT('Diário 3º PA'!$A$4:$A$2731)+ROW()-3)</f>
        <v>6378</v>
      </c>
      <c r="B353" s="413">
        <v>44851</v>
      </c>
      <c r="C353" s="433">
        <v>44835</v>
      </c>
      <c r="D353" s="415" t="s">
        <v>182</v>
      </c>
      <c r="E353" s="415" t="s">
        <v>325</v>
      </c>
      <c r="F353" s="425">
        <v>-222.88</v>
      </c>
      <c r="G353" s="427" t="s">
        <v>1378</v>
      </c>
      <c r="H353" s="415" t="s">
        <v>310</v>
      </c>
      <c r="I353" s="427" t="s">
        <v>795</v>
      </c>
      <c r="J353" s="415" t="s">
        <v>796</v>
      </c>
      <c r="K353" s="415" t="s">
        <v>797</v>
      </c>
      <c r="L353" s="415" t="s">
        <v>798</v>
      </c>
      <c r="M353" s="415" t="s">
        <v>310</v>
      </c>
      <c r="N353" s="413">
        <v>44851</v>
      </c>
      <c r="O353" s="414" t="s">
        <v>400</v>
      </c>
      <c r="P353" s="655">
        <f t="shared" ref="P353:P416" si="18">IF(B353=0,0,IF(YEAR(B353)=$Q$1,MONTH(B353)-$P$1+1,(YEAR(B353)-$Q$1)*12-$P$1+1+MONTH(B353)))</f>
        <v>10</v>
      </c>
      <c r="Q353" s="655">
        <f t="shared" ref="Q353:Q416" si="19">IF(C353=0,0,IF(YEAR(C353)=$Q$1,MONTH(C353)-$P$1+1,(YEAR(C353)-$Q$1)*12-$P$1+1+MONTH(C353)))</f>
        <v>10</v>
      </c>
      <c r="R353" s="758" t="s">
        <v>6942</v>
      </c>
      <c r="S353" s="697" t="s">
        <v>310</v>
      </c>
      <c r="T353" s="697" t="s">
        <v>310</v>
      </c>
    </row>
    <row r="354" spans="1:20" ht="48" x14ac:dyDescent="0.2">
      <c r="A354" s="432">
        <f>IF(B354="","",COUNT('Diário 1º PA'!$A$4:$A$2635)+COUNT('Diário 2º PA'!$A$4:$A$3040)+COUNT('Diário 3º PA'!$A$4:$A$2731)+ROW()-3)</f>
        <v>6379</v>
      </c>
      <c r="B354" s="413">
        <v>44851</v>
      </c>
      <c r="C354" s="433">
        <v>44774</v>
      </c>
      <c r="D354" s="415" t="s">
        <v>182</v>
      </c>
      <c r="E354" s="415" t="s">
        <v>1</v>
      </c>
      <c r="F354" s="425">
        <v>-330.97</v>
      </c>
      <c r="G354" s="427" t="s">
        <v>1384</v>
      </c>
      <c r="H354" s="415" t="s">
        <v>310</v>
      </c>
      <c r="I354" s="473" t="s">
        <v>795</v>
      </c>
      <c r="J354" s="415" t="s">
        <v>796</v>
      </c>
      <c r="K354" s="415" t="s">
        <v>797</v>
      </c>
      <c r="L354" s="415" t="s">
        <v>798</v>
      </c>
      <c r="M354" s="415" t="s">
        <v>310</v>
      </c>
      <c r="N354" s="413">
        <v>44851</v>
      </c>
      <c r="O354" s="414" t="s">
        <v>400</v>
      </c>
      <c r="P354" s="655">
        <f t="shared" si="18"/>
        <v>10</v>
      </c>
      <c r="Q354" s="655">
        <f t="shared" si="19"/>
        <v>8</v>
      </c>
      <c r="R354" s="758" t="str">
        <f t="shared" ref="R354:R385" si="20">SUBSTITUTE(D354," ","_")</f>
        <v>Gastos_com_Pessoal</v>
      </c>
      <c r="S354" s="697" t="s">
        <v>310</v>
      </c>
      <c r="T354" s="697" t="s">
        <v>310</v>
      </c>
    </row>
    <row r="355" spans="1:20" ht="48" x14ac:dyDescent="0.2">
      <c r="A355" s="432">
        <f>IF(B355="","",COUNT('Diário 1º PA'!$A$4:$A$2635)+COUNT('Diário 2º PA'!$A$4:$A$3040)+COUNT('Diário 3º PA'!$A$4:$A$2731)+ROW()-3)</f>
        <v>6380</v>
      </c>
      <c r="B355" s="413">
        <v>44851</v>
      </c>
      <c r="C355" s="466">
        <v>44835</v>
      </c>
      <c r="D355" s="415" t="s">
        <v>182</v>
      </c>
      <c r="E355" s="415" t="s">
        <v>325</v>
      </c>
      <c r="F355" s="425">
        <v>-2914.37</v>
      </c>
      <c r="G355" s="427" t="s">
        <v>1382</v>
      </c>
      <c r="H355" s="415" t="s">
        <v>310</v>
      </c>
      <c r="I355" s="473" t="s">
        <v>795</v>
      </c>
      <c r="J355" s="415" t="s">
        <v>796</v>
      </c>
      <c r="K355" s="415" t="s">
        <v>797</v>
      </c>
      <c r="L355" s="415" t="s">
        <v>798</v>
      </c>
      <c r="M355" s="415" t="s">
        <v>310</v>
      </c>
      <c r="N355" s="414">
        <v>44851</v>
      </c>
      <c r="O355" s="414" t="s">
        <v>400</v>
      </c>
      <c r="P355" s="655">
        <f t="shared" si="18"/>
        <v>10</v>
      </c>
      <c r="Q355" s="655">
        <f t="shared" si="19"/>
        <v>10</v>
      </c>
      <c r="R355" s="758" t="str">
        <f t="shared" si="20"/>
        <v>Gastos_com_Pessoal</v>
      </c>
      <c r="S355" s="697" t="s">
        <v>310</v>
      </c>
      <c r="T355" s="697" t="s">
        <v>310</v>
      </c>
    </row>
    <row r="356" spans="1:20" ht="48" x14ac:dyDescent="0.2">
      <c r="A356" s="432">
        <f>IF(B356="","",COUNT('Diário 1º PA'!$A$4:$A$2635)+COUNT('Diário 2º PA'!$A$4:$A$3040)+COUNT('Diário 3º PA'!$A$4:$A$2731)+ROW()-3)</f>
        <v>6381</v>
      </c>
      <c r="B356" s="413">
        <v>44851</v>
      </c>
      <c r="C356" s="433">
        <v>44805</v>
      </c>
      <c r="D356" s="415" t="s">
        <v>271</v>
      </c>
      <c r="E356" s="415" t="s">
        <v>164</v>
      </c>
      <c r="F356" s="435">
        <v>-134.9</v>
      </c>
      <c r="G356" s="427" t="s">
        <v>7672</v>
      </c>
      <c r="H356" s="415" t="s">
        <v>309</v>
      </c>
      <c r="I356" s="473" t="s">
        <v>795</v>
      </c>
      <c r="J356" s="415" t="s">
        <v>796</v>
      </c>
      <c r="K356" s="415" t="s">
        <v>797</v>
      </c>
      <c r="L356" s="415" t="s">
        <v>798</v>
      </c>
      <c r="M356" s="415" t="s">
        <v>310</v>
      </c>
      <c r="N356" s="414">
        <v>44851</v>
      </c>
      <c r="O356" s="414" t="s">
        <v>400</v>
      </c>
      <c r="P356" s="655">
        <f t="shared" si="18"/>
        <v>10</v>
      </c>
      <c r="Q356" s="655">
        <f t="shared" si="19"/>
        <v>9</v>
      </c>
      <c r="R356" s="758" t="str">
        <f t="shared" si="20"/>
        <v>Gastos_Gerais</v>
      </c>
      <c r="S356" s="697" t="s">
        <v>310</v>
      </c>
      <c r="T356" s="699" t="s">
        <v>310</v>
      </c>
    </row>
    <row r="357" spans="1:20" ht="48" x14ac:dyDescent="0.2">
      <c r="A357" s="432">
        <f>IF(B357="","",COUNT('Diário 1º PA'!$A$4:$A$2635)+COUNT('Diário 2º PA'!$A$4:$A$3040)+COUNT('Diário 3º PA'!$A$4:$A$2731)+ROW()-3)</f>
        <v>6382</v>
      </c>
      <c r="B357" s="413">
        <v>44851</v>
      </c>
      <c r="C357" s="433">
        <v>44805</v>
      </c>
      <c r="D357" s="415" t="s">
        <v>271</v>
      </c>
      <c r="E357" s="415" t="s">
        <v>92</v>
      </c>
      <c r="F357" s="425">
        <v>-132.05000000000001</v>
      </c>
      <c r="G357" s="427" t="s">
        <v>7673</v>
      </c>
      <c r="H357" s="415" t="s">
        <v>309</v>
      </c>
      <c r="I357" s="473" t="s">
        <v>795</v>
      </c>
      <c r="J357" s="415" t="s">
        <v>796</v>
      </c>
      <c r="K357" s="415" t="s">
        <v>797</v>
      </c>
      <c r="L357" s="399" t="s">
        <v>798</v>
      </c>
      <c r="M357" s="544" t="s">
        <v>310</v>
      </c>
      <c r="N357" s="413">
        <v>44851</v>
      </c>
      <c r="O357" s="414" t="s">
        <v>400</v>
      </c>
      <c r="P357" s="655">
        <f t="shared" si="18"/>
        <v>10</v>
      </c>
      <c r="Q357" s="655">
        <f t="shared" si="19"/>
        <v>9</v>
      </c>
      <c r="R357" s="758" t="str">
        <f t="shared" si="20"/>
        <v>Gastos_Gerais</v>
      </c>
      <c r="S357" s="697" t="s">
        <v>310</v>
      </c>
      <c r="T357" s="697" t="s">
        <v>310</v>
      </c>
    </row>
    <row r="358" spans="1:20" ht="108" x14ac:dyDescent="0.2">
      <c r="A358" s="432">
        <f>IF(B358="","",COUNT('Diário 1º PA'!$A$4:$A$2635)+COUNT('Diário 2º PA'!$A$4:$A$3040)+COUNT('Diário 3º PA'!$A$4:$A$2731)+ROW()-3)</f>
        <v>6383</v>
      </c>
      <c r="B358" s="413">
        <v>44851</v>
      </c>
      <c r="C358" s="433">
        <v>44835</v>
      </c>
      <c r="D358" s="415" t="s">
        <v>182</v>
      </c>
      <c r="E358" s="415" t="s">
        <v>325</v>
      </c>
      <c r="F358" s="422">
        <v>25538.02</v>
      </c>
      <c r="G358" s="427" t="s">
        <v>1399</v>
      </c>
      <c r="H358" s="415" t="s">
        <v>310</v>
      </c>
      <c r="I358" s="437" t="s">
        <v>773</v>
      </c>
      <c r="J358" s="434" t="s">
        <v>1397</v>
      </c>
      <c r="K358" s="419" t="s">
        <v>812</v>
      </c>
      <c r="L358" s="415" t="s">
        <v>32</v>
      </c>
      <c r="M358" s="725" t="s">
        <v>7674</v>
      </c>
      <c r="N358" s="414">
        <v>44813</v>
      </c>
      <c r="O358" s="414" t="s">
        <v>400</v>
      </c>
      <c r="P358" s="655">
        <f t="shared" si="18"/>
        <v>10</v>
      </c>
      <c r="Q358" s="655">
        <f t="shared" si="19"/>
        <v>10</v>
      </c>
      <c r="R358" s="758" t="str">
        <f t="shared" si="20"/>
        <v>Gastos_com_Pessoal</v>
      </c>
      <c r="S358" s="697" t="s">
        <v>310</v>
      </c>
      <c r="T358" s="699" t="s">
        <v>310</v>
      </c>
    </row>
    <row r="359" spans="1:20" ht="48" x14ac:dyDescent="0.2">
      <c r="A359" s="432">
        <f>IF(B359="","",COUNT('Diário 1º PA'!$A$4:$A$2635)+COUNT('Diário 2º PA'!$A$4:$A$3040)+COUNT('Diário 3º PA'!$A$4:$A$2731)+ROW()-3)</f>
        <v>6384</v>
      </c>
      <c r="B359" s="413">
        <v>44851</v>
      </c>
      <c r="C359" s="431">
        <v>44805</v>
      </c>
      <c r="D359" s="415" t="s">
        <v>271</v>
      </c>
      <c r="E359" s="415" t="s">
        <v>92</v>
      </c>
      <c r="F359" s="425">
        <v>500</v>
      </c>
      <c r="G359" s="427" t="s">
        <v>692</v>
      </c>
      <c r="H359" s="415" t="s">
        <v>309</v>
      </c>
      <c r="I359" s="398" t="s">
        <v>5969</v>
      </c>
      <c r="J359" s="415" t="s">
        <v>1123</v>
      </c>
      <c r="K359" s="418" t="s">
        <v>812</v>
      </c>
      <c r="L359" s="415" t="s">
        <v>1372</v>
      </c>
      <c r="M359" s="544" t="s">
        <v>7675</v>
      </c>
      <c r="N359" s="414">
        <v>44839</v>
      </c>
      <c r="O359" s="414" t="s">
        <v>400</v>
      </c>
      <c r="P359" s="655">
        <f t="shared" si="18"/>
        <v>10</v>
      </c>
      <c r="Q359" s="655">
        <f t="shared" si="19"/>
        <v>9</v>
      </c>
      <c r="R359" s="758" t="str">
        <f t="shared" si="20"/>
        <v>Gastos_Gerais</v>
      </c>
      <c r="S359" s="697" t="s">
        <v>1000</v>
      </c>
      <c r="T359" s="697">
        <v>2665</v>
      </c>
    </row>
    <row r="360" spans="1:20" ht="36" x14ac:dyDescent="0.2">
      <c r="A360" s="432">
        <f>IF(B360="","",COUNT('Diário 1º PA'!$A$4:$A$2635)+COUNT('Diário 2º PA'!$A$4:$A$3040)+COUNT('Diário 3º PA'!$A$4:$A$2731)+ROW()-3)</f>
        <v>6385</v>
      </c>
      <c r="B360" s="413">
        <v>44851</v>
      </c>
      <c r="C360" s="433">
        <v>44774</v>
      </c>
      <c r="D360" s="434" t="s">
        <v>182</v>
      </c>
      <c r="E360" s="434" t="s">
        <v>1</v>
      </c>
      <c r="F360" s="422">
        <v>2134.3000000000002</v>
      </c>
      <c r="G360" s="427" t="s">
        <v>4117</v>
      </c>
      <c r="H360" s="415" t="s">
        <v>310</v>
      </c>
      <c r="I360" s="437" t="s">
        <v>773</v>
      </c>
      <c r="J360" s="434" t="s">
        <v>1397</v>
      </c>
      <c r="K360" s="419" t="s">
        <v>812</v>
      </c>
      <c r="L360" s="415" t="s">
        <v>32</v>
      </c>
      <c r="M360" s="725" t="s">
        <v>7676</v>
      </c>
      <c r="N360" s="414">
        <v>44806</v>
      </c>
      <c r="O360" s="414" t="s">
        <v>400</v>
      </c>
      <c r="P360" s="655">
        <f t="shared" si="18"/>
        <v>10</v>
      </c>
      <c r="Q360" s="655">
        <f t="shared" si="19"/>
        <v>8</v>
      </c>
      <c r="R360" s="758" t="str">
        <f t="shared" si="20"/>
        <v>Gastos_com_Pessoal</v>
      </c>
      <c r="S360" s="697" t="s">
        <v>310</v>
      </c>
      <c r="T360" s="699" t="s">
        <v>310</v>
      </c>
    </row>
    <row r="361" spans="1:20" ht="60" x14ac:dyDescent="0.2">
      <c r="A361" s="432">
        <f>IF(B361="","",COUNT('Diário 1º PA'!$A$4:$A$2635)+COUNT('Diário 2º PA'!$A$4:$A$3040)+COUNT('Diário 3º PA'!$A$4:$A$2731)+ROW()-3)</f>
        <v>6386</v>
      </c>
      <c r="B361" s="413">
        <v>44851</v>
      </c>
      <c r="C361" s="431">
        <v>44805</v>
      </c>
      <c r="D361" s="434" t="s">
        <v>271</v>
      </c>
      <c r="E361" s="434" t="s">
        <v>91</v>
      </c>
      <c r="F361" s="435">
        <v>150.76</v>
      </c>
      <c r="G361" s="437" t="s">
        <v>471</v>
      </c>
      <c r="H361" s="434" t="s">
        <v>309</v>
      </c>
      <c r="I361" s="415" t="s">
        <v>6484</v>
      </c>
      <c r="J361" s="434" t="s">
        <v>1009</v>
      </c>
      <c r="K361" s="434" t="s">
        <v>812</v>
      </c>
      <c r="L361" s="415" t="s">
        <v>807</v>
      </c>
      <c r="M361" s="419">
        <v>4451125</v>
      </c>
      <c r="N361" s="413">
        <v>44837</v>
      </c>
      <c r="O361" s="414" t="s">
        <v>400</v>
      </c>
      <c r="P361" s="655">
        <f t="shared" si="18"/>
        <v>10</v>
      </c>
      <c r="Q361" s="655">
        <f t="shared" si="19"/>
        <v>9</v>
      </c>
      <c r="R361" s="758" t="str">
        <f t="shared" si="20"/>
        <v>Gastos_Gerais</v>
      </c>
      <c r="S361" s="697" t="s">
        <v>1000</v>
      </c>
      <c r="T361" s="697">
        <v>1142</v>
      </c>
    </row>
    <row r="362" spans="1:20" ht="24" x14ac:dyDescent="0.2">
      <c r="A362" s="432">
        <f>IF(B362="","",COUNT('Diário 1º PA'!$A$4:$A$2635)+COUNT('Diário 2º PA'!$A$4:$A$3040)+COUNT('Diário 3º PA'!$A$4:$A$2731)+ROW()-3)</f>
        <v>6387</v>
      </c>
      <c r="B362" s="413">
        <v>44851</v>
      </c>
      <c r="C362" s="433">
        <v>44805</v>
      </c>
      <c r="D362" s="434" t="s">
        <v>271</v>
      </c>
      <c r="E362" s="434" t="s">
        <v>164</v>
      </c>
      <c r="F362" s="422">
        <v>510.78</v>
      </c>
      <c r="G362" s="437" t="s">
        <v>7677</v>
      </c>
      <c r="H362" s="434" t="s">
        <v>309</v>
      </c>
      <c r="I362" s="437" t="s">
        <v>768</v>
      </c>
      <c r="J362" s="434" t="s">
        <v>1021</v>
      </c>
      <c r="K362" s="419" t="s">
        <v>1404</v>
      </c>
      <c r="L362" s="415" t="s">
        <v>1273</v>
      </c>
      <c r="M362" s="415" t="s">
        <v>310</v>
      </c>
      <c r="N362" s="413">
        <v>44835</v>
      </c>
      <c r="O362" s="414" t="s">
        <v>400</v>
      </c>
      <c r="P362" s="655">
        <f t="shared" si="18"/>
        <v>10</v>
      </c>
      <c r="Q362" s="655">
        <f t="shared" si="19"/>
        <v>9</v>
      </c>
      <c r="R362" s="758" t="str">
        <f t="shared" si="20"/>
        <v>Gastos_Gerais</v>
      </c>
      <c r="S362" s="697" t="s">
        <v>310</v>
      </c>
      <c r="T362" s="699" t="s">
        <v>310</v>
      </c>
    </row>
    <row r="363" spans="1:20" ht="72" x14ac:dyDescent="0.2">
      <c r="A363" s="432">
        <f>IF(B363="","",COUNT('Diário 1º PA'!$A$4:$A$2635)+COUNT('Diário 2º PA'!$A$4:$A$3040)+COUNT('Diário 3º PA'!$A$4:$A$2731)+ROW()-3)</f>
        <v>6388</v>
      </c>
      <c r="B363" s="413">
        <v>44851</v>
      </c>
      <c r="C363" s="431">
        <v>44805</v>
      </c>
      <c r="D363" s="415" t="s">
        <v>271</v>
      </c>
      <c r="E363" s="415" t="s">
        <v>456</v>
      </c>
      <c r="F363" s="422">
        <v>1711.12</v>
      </c>
      <c r="G363" s="427" t="s">
        <v>552</v>
      </c>
      <c r="H363" s="419" t="s">
        <v>755</v>
      </c>
      <c r="I363" s="415" t="s">
        <v>1785</v>
      </c>
      <c r="J363" s="415" t="s">
        <v>1044</v>
      </c>
      <c r="K363" s="434" t="s">
        <v>812</v>
      </c>
      <c r="L363" s="415" t="s">
        <v>807</v>
      </c>
      <c r="M363" s="419" t="s">
        <v>7678</v>
      </c>
      <c r="N363" s="413">
        <v>44838</v>
      </c>
      <c r="O363" s="414" t="s">
        <v>400</v>
      </c>
      <c r="P363" s="655">
        <f t="shared" si="18"/>
        <v>10</v>
      </c>
      <c r="Q363" s="655">
        <f t="shared" si="19"/>
        <v>9</v>
      </c>
      <c r="R363" s="758" t="str">
        <f t="shared" si="20"/>
        <v>Gastos_Gerais</v>
      </c>
      <c r="S363" s="697" t="s">
        <v>1000</v>
      </c>
      <c r="T363" s="697">
        <v>1371</v>
      </c>
    </row>
    <row r="364" spans="1:20" ht="96" x14ac:dyDescent="0.2">
      <c r="A364" s="432">
        <f>IF(B364="","",COUNT('Diário 1º PA'!$A$4:$A$2635)+COUNT('Diário 2º PA'!$A$4:$A$3040)+COUNT('Diário 3º PA'!$A$4:$A$2731)+ROW()-3)</f>
        <v>6389</v>
      </c>
      <c r="B364" s="413">
        <v>44851</v>
      </c>
      <c r="C364" s="431">
        <v>44835</v>
      </c>
      <c r="D364" s="415" t="s">
        <v>271</v>
      </c>
      <c r="E364" s="415" t="s">
        <v>456</v>
      </c>
      <c r="F364" s="425">
        <v>734.92</v>
      </c>
      <c r="G364" s="427" t="s">
        <v>7604</v>
      </c>
      <c r="H364" s="415" t="s">
        <v>751</v>
      </c>
      <c r="I364" s="415" t="s">
        <v>865</v>
      </c>
      <c r="J364" s="415" t="s">
        <v>866</v>
      </c>
      <c r="K364" s="419" t="s">
        <v>830</v>
      </c>
      <c r="L364" s="415" t="s">
        <v>32</v>
      </c>
      <c r="M364" s="419" t="s">
        <v>7680</v>
      </c>
      <c r="N364" s="413">
        <v>44848</v>
      </c>
      <c r="O364" s="414" t="s">
        <v>400</v>
      </c>
      <c r="P364" s="655">
        <f t="shared" si="18"/>
        <v>10</v>
      </c>
      <c r="Q364" s="655">
        <f t="shared" si="19"/>
        <v>10</v>
      </c>
      <c r="R364" s="758" t="str">
        <f t="shared" si="20"/>
        <v>Gastos_Gerais</v>
      </c>
      <c r="S364" s="697" t="s">
        <v>1000</v>
      </c>
      <c r="T364" s="697">
        <v>4439</v>
      </c>
    </row>
    <row r="365" spans="1:20" ht="36" x14ac:dyDescent="0.2">
      <c r="A365" s="432">
        <f>IF(B365="","",COUNT('Diário 1º PA'!$A$4:$A$2635)+COUNT('Diário 2º PA'!$A$4:$A$3040)+COUNT('Diário 3º PA'!$A$4:$A$2731)+ROW()-3)</f>
        <v>6390</v>
      </c>
      <c r="B365" s="413">
        <v>44851</v>
      </c>
      <c r="C365" s="431">
        <v>44835</v>
      </c>
      <c r="D365" s="415" t="s">
        <v>271</v>
      </c>
      <c r="E365" s="415" t="s">
        <v>297</v>
      </c>
      <c r="F365" s="425">
        <v>33.89</v>
      </c>
      <c r="G365" s="427" t="s">
        <v>7667</v>
      </c>
      <c r="H365" s="415" t="s">
        <v>757</v>
      </c>
      <c r="I365" s="415" t="s">
        <v>7682</v>
      </c>
      <c r="J365" s="415" t="s">
        <v>7668</v>
      </c>
      <c r="K365" s="434" t="s">
        <v>812</v>
      </c>
      <c r="L365" s="415" t="s">
        <v>310</v>
      </c>
      <c r="M365" s="419" t="s">
        <v>310</v>
      </c>
      <c r="N365" s="413">
        <v>44851</v>
      </c>
      <c r="O365" s="414" t="s">
        <v>400</v>
      </c>
      <c r="P365" s="655">
        <f t="shared" si="18"/>
        <v>10</v>
      </c>
      <c r="Q365" s="655">
        <f t="shared" si="19"/>
        <v>10</v>
      </c>
      <c r="R365" s="758" t="str">
        <f t="shared" si="20"/>
        <v>Gastos_Gerais</v>
      </c>
      <c r="S365" s="697" t="s">
        <v>999</v>
      </c>
      <c r="T365" s="697">
        <v>4541</v>
      </c>
    </row>
    <row r="366" spans="1:20" ht="48" x14ac:dyDescent="0.2">
      <c r="A366" s="432">
        <f>IF(B366="","",COUNT('Diário 1º PA'!$A$4:$A$2635)+COUNT('Diário 2º PA'!$A$4:$A$3040)+COUNT('Diário 3º PA'!$A$4:$A$2731)+ROW()-3)</f>
        <v>6391</v>
      </c>
      <c r="B366" s="413">
        <v>44851</v>
      </c>
      <c r="C366" s="424">
        <v>44835</v>
      </c>
      <c r="D366" s="419" t="s">
        <v>271</v>
      </c>
      <c r="E366" s="419" t="s">
        <v>71</v>
      </c>
      <c r="F366" s="422">
        <v>11</v>
      </c>
      <c r="G366" s="423" t="s">
        <v>7683</v>
      </c>
      <c r="H366" s="415" t="s">
        <v>751</v>
      </c>
      <c r="I366" s="415" t="s">
        <v>881</v>
      </c>
      <c r="J366" s="419" t="s">
        <v>882</v>
      </c>
      <c r="K366" s="419" t="s">
        <v>883</v>
      </c>
      <c r="L366" s="415" t="s">
        <v>798</v>
      </c>
      <c r="M366" s="419" t="s">
        <v>310</v>
      </c>
      <c r="N366" s="413">
        <v>44851</v>
      </c>
      <c r="O366" s="414" t="s">
        <v>400</v>
      </c>
      <c r="P366" s="655">
        <f t="shared" si="18"/>
        <v>10</v>
      </c>
      <c r="Q366" s="655">
        <f t="shared" si="19"/>
        <v>10</v>
      </c>
      <c r="R366" s="758" t="str">
        <f t="shared" si="20"/>
        <v>Gastos_Gerais</v>
      </c>
      <c r="S366" s="697" t="s">
        <v>310</v>
      </c>
      <c r="T366" s="697" t="s">
        <v>310</v>
      </c>
    </row>
    <row r="367" spans="1:20" ht="36" x14ac:dyDescent="0.2">
      <c r="A367" s="432">
        <f>IF(B367="","",COUNT('Diário 1º PA'!$A$4:$A$2635)+COUNT('Diário 2º PA'!$A$4:$A$3040)+COUNT('Diário 3º PA'!$A$4:$A$2731)+ROW()-3)</f>
        <v>6392</v>
      </c>
      <c r="B367" s="413">
        <v>44851</v>
      </c>
      <c r="C367" s="431">
        <v>44805</v>
      </c>
      <c r="D367" s="419" t="s">
        <v>468</v>
      </c>
      <c r="E367" s="419" t="s">
        <v>468</v>
      </c>
      <c r="F367" s="422">
        <v>2827.55</v>
      </c>
      <c r="G367" s="427" t="s">
        <v>4106</v>
      </c>
      <c r="H367" s="419" t="s">
        <v>468</v>
      </c>
      <c r="I367" s="415" t="s">
        <v>6424</v>
      </c>
      <c r="J367" s="415" t="s">
        <v>4107</v>
      </c>
      <c r="K367" s="419" t="s">
        <v>806</v>
      </c>
      <c r="L367" s="415" t="s">
        <v>839</v>
      </c>
      <c r="M367" s="419">
        <v>2062</v>
      </c>
      <c r="N367" s="413">
        <v>44848</v>
      </c>
      <c r="O367" s="414" t="s">
        <v>408</v>
      </c>
      <c r="P367" s="655">
        <f t="shared" si="18"/>
        <v>10</v>
      </c>
      <c r="Q367" s="655">
        <f t="shared" si="19"/>
        <v>9</v>
      </c>
      <c r="R367" s="758" t="str">
        <f t="shared" si="20"/>
        <v>Gastos_custeados_por_captação</v>
      </c>
      <c r="S367" s="697" t="s">
        <v>1000</v>
      </c>
      <c r="T367" s="697">
        <v>3700</v>
      </c>
    </row>
    <row r="368" spans="1:20" ht="60" x14ac:dyDescent="0.2">
      <c r="A368" s="432">
        <f>IF(B368="","",COUNT('Diário 1º PA'!$A$4:$A$2635)+COUNT('Diário 2º PA'!$A$4:$A$3040)+COUNT('Diário 3º PA'!$A$4:$A$2731)+ROW()-3)</f>
        <v>6393</v>
      </c>
      <c r="B368" s="413">
        <v>44851</v>
      </c>
      <c r="C368" s="431">
        <v>44835</v>
      </c>
      <c r="D368" s="419" t="s">
        <v>468</v>
      </c>
      <c r="E368" s="419" t="s">
        <v>468</v>
      </c>
      <c r="F368" s="422">
        <v>2394.61</v>
      </c>
      <c r="G368" s="427" t="s">
        <v>7608</v>
      </c>
      <c r="H368" s="419" t="s">
        <v>468</v>
      </c>
      <c r="I368" s="415" t="s">
        <v>7760</v>
      </c>
      <c r="J368" s="415" t="s">
        <v>1594</v>
      </c>
      <c r="K368" s="419" t="s">
        <v>830</v>
      </c>
      <c r="L368" s="415" t="s">
        <v>32</v>
      </c>
      <c r="M368" s="419" t="s">
        <v>7954</v>
      </c>
      <c r="N368" s="413">
        <v>44844</v>
      </c>
      <c r="O368" s="414" t="s">
        <v>3762</v>
      </c>
      <c r="P368" s="655">
        <f t="shared" si="18"/>
        <v>10</v>
      </c>
      <c r="Q368" s="655">
        <f t="shared" si="19"/>
        <v>10</v>
      </c>
      <c r="R368" s="758" t="str">
        <f t="shared" si="20"/>
        <v>Gastos_custeados_por_captação</v>
      </c>
      <c r="S368" s="697" t="s">
        <v>1000</v>
      </c>
      <c r="T368" s="697">
        <v>4465</v>
      </c>
    </row>
    <row r="369" spans="1:20" ht="120" x14ac:dyDescent="0.2">
      <c r="A369" s="432">
        <f>IF(B369="","",COUNT('Diário 1º PA'!$A$4:$A$2635)+COUNT('Diário 2º PA'!$A$4:$A$3040)+COUNT('Diário 3º PA'!$A$4:$A$2731)+ROW()-3)</f>
        <v>6394</v>
      </c>
      <c r="B369" s="413">
        <v>44851</v>
      </c>
      <c r="C369" s="431">
        <v>44805</v>
      </c>
      <c r="D369" s="419" t="s">
        <v>468</v>
      </c>
      <c r="E369" s="419" t="s">
        <v>468</v>
      </c>
      <c r="F369" s="422">
        <v>1700</v>
      </c>
      <c r="G369" s="427" t="s">
        <v>6923</v>
      </c>
      <c r="H369" s="419" t="s">
        <v>468</v>
      </c>
      <c r="I369" s="415" t="s">
        <v>7354</v>
      </c>
      <c r="J369" s="415" t="s">
        <v>6924</v>
      </c>
      <c r="K369" s="419" t="s">
        <v>830</v>
      </c>
      <c r="L369" s="415" t="s">
        <v>32</v>
      </c>
      <c r="M369" s="419" t="s">
        <v>842</v>
      </c>
      <c r="N369" s="413">
        <v>44847</v>
      </c>
      <c r="O369" s="414" t="s">
        <v>3762</v>
      </c>
      <c r="P369" s="655">
        <f t="shared" si="18"/>
        <v>10</v>
      </c>
      <c r="Q369" s="655">
        <f t="shared" si="19"/>
        <v>9</v>
      </c>
      <c r="R369" s="758" t="str">
        <f t="shared" si="20"/>
        <v>Gastos_custeados_por_captação</v>
      </c>
      <c r="S369" s="697" t="s">
        <v>1000</v>
      </c>
      <c r="T369" s="697">
        <v>4211</v>
      </c>
    </row>
    <row r="370" spans="1:20" ht="36" x14ac:dyDescent="0.2">
      <c r="A370" s="432">
        <f>IF(B370="","",COUNT('Diário 1º PA'!$A$4:$A$2635)+COUNT('Diário 2º PA'!$A$4:$A$3040)+COUNT('Diário 3º PA'!$A$4:$A$2731)+ROW()-3)</f>
        <v>6395</v>
      </c>
      <c r="B370" s="413">
        <v>44851</v>
      </c>
      <c r="C370" s="424">
        <v>44835</v>
      </c>
      <c r="D370" s="419" t="s">
        <v>468</v>
      </c>
      <c r="E370" s="419" t="s">
        <v>468</v>
      </c>
      <c r="F370" s="422">
        <v>11</v>
      </c>
      <c r="G370" s="427" t="s">
        <v>2469</v>
      </c>
      <c r="H370" s="419" t="s">
        <v>468</v>
      </c>
      <c r="I370" s="639" t="s">
        <v>881</v>
      </c>
      <c r="J370" s="418" t="s">
        <v>882</v>
      </c>
      <c r="K370" s="418" t="s">
        <v>883</v>
      </c>
      <c r="L370" s="399" t="s">
        <v>798</v>
      </c>
      <c r="M370" s="544" t="s">
        <v>310</v>
      </c>
      <c r="N370" s="413">
        <v>44851</v>
      </c>
      <c r="O370" s="414" t="s">
        <v>3762</v>
      </c>
      <c r="P370" s="655">
        <f t="shared" si="18"/>
        <v>10</v>
      </c>
      <c r="Q370" s="655">
        <f t="shared" si="19"/>
        <v>10</v>
      </c>
      <c r="R370" s="758" t="str">
        <f t="shared" si="20"/>
        <v>Gastos_custeados_por_captação</v>
      </c>
      <c r="S370" s="697" t="s">
        <v>310</v>
      </c>
      <c r="T370" s="697" t="s">
        <v>310</v>
      </c>
    </row>
    <row r="371" spans="1:20" ht="36" x14ac:dyDescent="0.2">
      <c r="A371" s="432">
        <f>IF(B371="","",COUNT('Diário 1º PA'!$A$4:$A$2635)+COUNT('Diário 2º PA'!$A$4:$A$3040)+COUNT('Diário 3º PA'!$A$4:$A$2731)+ROW()-3)</f>
        <v>6396</v>
      </c>
      <c r="B371" s="413">
        <v>44851</v>
      </c>
      <c r="C371" s="424">
        <v>44835</v>
      </c>
      <c r="D371" s="419" t="s">
        <v>468</v>
      </c>
      <c r="E371" s="419" t="s">
        <v>468</v>
      </c>
      <c r="F371" s="422">
        <v>11</v>
      </c>
      <c r="G371" s="427" t="s">
        <v>2469</v>
      </c>
      <c r="H371" s="419" t="s">
        <v>468</v>
      </c>
      <c r="I371" s="639" t="s">
        <v>881</v>
      </c>
      <c r="J371" s="418" t="s">
        <v>882</v>
      </c>
      <c r="K371" s="418" t="s">
        <v>883</v>
      </c>
      <c r="L371" s="399" t="s">
        <v>798</v>
      </c>
      <c r="M371" s="544" t="s">
        <v>310</v>
      </c>
      <c r="N371" s="413">
        <v>44851</v>
      </c>
      <c r="O371" s="414" t="s">
        <v>3762</v>
      </c>
      <c r="P371" s="655">
        <f t="shared" si="18"/>
        <v>10</v>
      </c>
      <c r="Q371" s="655">
        <f t="shared" si="19"/>
        <v>10</v>
      </c>
      <c r="R371" s="758" t="str">
        <f t="shared" si="20"/>
        <v>Gastos_custeados_por_captação</v>
      </c>
      <c r="S371" s="697" t="s">
        <v>310</v>
      </c>
      <c r="T371" s="697" t="s">
        <v>310</v>
      </c>
    </row>
    <row r="372" spans="1:20" ht="72" x14ac:dyDescent="0.2">
      <c r="A372" s="432">
        <f>IF(B372="","",COUNT('Diário 1º PA'!$A$4:$A$2635)+COUNT('Diário 2º PA'!$A$4:$A$3040)+COUNT('Diário 3º PA'!$A$4:$A$2731)+ROW()-3)</f>
        <v>6397</v>
      </c>
      <c r="B372" s="413">
        <v>44851</v>
      </c>
      <c r="C372" s="424">
        <v>44743</v>
      </c>
      <c r="D372" s="419" t="s">
        <v>468</v>
      </c>
      <c r="E372" s="419" t="s">
        <v>468</v>
      </c>
      <c r="F372" s="422">
        <v>3994.42</v>
      </c>
      <c r="G372" s="423" t="s">
        <v>7762</v>
      </c>
      <c r="H372" s="419" t="s">
        <v>468</v>
      </c>
      <c r="I372" s="415" t="s">
        <v>7763</v>
      </c>
      <c r="J372" s="415" t="s">
        <v>1908</v>
      </c>
      <c r="K372" s="418" t="s">
        <v>830</v>
      </c>
      <c r="L372" s="415" t="s">
        <v>839</v>
      </c>
      <c r="M372" s="419">
        <v>2024</v>
      </c>
      <c r="N372" s="413">
        <v>44837</v>
      </c>
      <c r="O372" s="414" t="s">
        <v>405</v>
      </c>
      <c r="P372" s="655">
        <f t="shared" si="18"/>
        <v>10</v>
      </c>
      <c r="Q372" s="655">
        <f t="shared" si="19"/>
        <v>7</v>
      </c>
      <c r="R372" s="758" t="str">
        <f t="shared" si="20"/>
        <v>Gastos_custeados_por_captação</v>
      </c>
      <c r="S372" s="697" t="s">
        <v>998</v>
      </c>
      <c r="T372" s="697">
        <v>4167</v>
      </c>
    </row>
    <row r="373" spans="1:20" ht="60" x14ac:dyDescent="0.2">
      <c r="A373" s="432">
        <f>IF(B373="","",COUNT('Diário 1º PA'!$A$4:$A$2635)+COUNT('Diário 2º PA'!$A$4:$A$3040)+COUNT('Diário 3º PA'!$A$4:$A$2731)+ROW()-3)</f>
        <v>6398</v>
      </c>
      <c r="B373" s="413">
        <v>44851</v>
      </c>
      <c r="C373" s="431">
        <v>44835</v>
      </c>
      <c r="D373" s="419" t="s">
        <v>468</v>
      </c>
      <c r="E373" s="419" t="s">
        <v>468</v>
      </c>
      <c r="F373" s="422">
        <v>20363.16</v>
      </c>
      <c r="G373" s="427" t="s">
        <v>7608</v>
      </c>
      <c r="H373" s="419" t="s">
        <v>468</v>
      </c>
      <c r="I373" s="415" t="s">
        <v>7760</v>
      </c>
      <c r="J373" s="415" t="s">
        <v>1594</v>
      </c>
      <c r="K373" s="418" t="s">
        <v>830</v>
      </c>
      <c r="L373" s="399" t="s">
        <v>32</v>
      </c>
      <c r="M373" s="419" t="s">
        <v>7519</v>
      </c>
      <c r="N373" s="413">
        <v>44844</v>
      </c>
      <c r="O373" s="414" t="s">
        <v>405</v>
      </c>
      <c r="P373" s="655">
        <f t="shared" si="18"/>
        <v>10</v>
      </c>
      <c r="Q373" s="655">
        <f t="shared" si="19"/>
        <v>10</v>
      </c>
      <c r="R373" s="758" t="str">
        <f t="shared" si="20"/>
        <v>Gastos_custeados_por_captação</v>
      </c>
      <c r="S373" s="697" t="s">
        <v>998</v>
      </c>
      <c r="T373" s="697">
        <v>4465</v>
      </c>
    </row>
    <row r="374" spans="1:20" ht="48" x14ac:dyDescent="0.2">
      <c r="A374" s="432">
        <f>IF(B374="","",COUNT('Diário 1º PA'!$A$4:$A$2635)+COUNT('Diário 2º PA'!$A$4:$A$3040)+COUNT('Diário 3º PA'!$A$4:$A$2731)+ROW()-3)</f>
        <v>6399</v>
      </c>
      <c r="B374" s="413">
        <v>44852</v>
      </c>
      <c r="C374" s="431">
        <v>44805</v>
      </c>
      <c r="D374" s="415" t="s">
        <v>271</v>
      </c>
      <c r="E374" s="415" t="s">
        <v>453</v>
      </c>
      <c r="F374" s="422">
        <v>731</v>
      </c>
      <c r="G374" s="427" t="s">
        <v>7014</v>
      </c>
      <c r="H374" s="419" t="s">
        <v>760</v>
      </c>
      <c r="I374" s="415" t="s">
        <v>7724</v>
      </c>
      <c r="J374" s="415" t="s">
        <v>7015</v>
      </c>
      <c r="K374" s="419" t="s">
        <v>806</v>
      </c>
      <c r="L374" s="415" t="s">
        <v>839</v>
      </c>
      <c r="M374" s="419">
        <v>2060</v>
      </c>
      <c r="N374" s="413">
        <v>44848</v>
      </c>
      <c r="O374" s="415" t="s">
        <v>400</v>
      </c>
      <c r="P374" s="655">
        <f t="shared" si="18"/>
        <v>10</v>
      </c>
      <c r="Q374" s="655">
        <f t="shared" si="19"/>
        <v>9</v>
      </c>
      <c r="R374" s="758" t="str">
        <f t="shared" si="20"/>
        <v>Gastos_Gerais</v>
      </c>
      <c r="S374" s="697" t="s">
        <v>998</v>
      </c>
      <c r="T374" s="697">
        <v>4308</v>
      </c>
    </row>
    <row r="375" spans="1:20" ht="48" x14ac:dyDescent="0.2">
      <c r="A375" s="432">
        <f>IF(B375="","",COUNT('Diário 1º PA'!$A$4:$A$2635)+COUNT('Diário 2º PA'!$A$4:$A$3040)+COUNT('Diário 3º PA'!$A$4:$A$2731)+ROW()-3)</f>
        <v>6400</v>
      </c>
      <c r="B375" s="413">
        <v>44852</v>
      </c>
      <c r="C375" s="431">
        <v>44805</v>
      </c>
      <c r="D375" s="415" t="s">
        <v>271</v>
      </c>
      <c r="E375" s="415" t="s">
        <v>453</v>
      </c>
      <c r="F375" s="422">
        <v>731</v>
      </c>
      <c r="G375" s="427" t="s">
        <v>6991</v>
      </c>
      <c r="H375" s="419" t="s">
        <v>749</v>
      </c>
      <c r="I375" s="415" t="s">
        <v>7727</v>
      </c>
      <c r="J375" s="415" t="s">
        <v>6992</v>
      </c>
      <c r="K375" s="419" t="s">
        <v>806</v>
      </c>
      <c r="L375" s="415" t="s">
        <v>839</v>
      </c>
      <c r="M375" s="419">
        <v>2061</v>
      </c>
      <c r="N375" s="413">
        <v>44848</v>
      </c>
      <c r="O375" s="415" t="s">
        <v>400</v>
      </c>
      <c r="P375" s="655">
        <f t="shared" si="18"/>
        <v>10</v>
      </c>
      <c r="Q375" s="655">
        <f t="shared" si="19"/>
        <v>9</v>
      </c>
      <c r="R375" s="758" t="str">
        <f t="shared" si="20"/>
        <v>Gastos_Gerais</v>
      </c>
      <c r="S375" s="697" t="s">
        <v>998</v>
      </c>
      <c r="T375" s="697">
        <v>4272</v>
      </c>
    </row>
    <row r="376" spans="1:20" ht="96" x14ac:dyDescent="0.2">
      <c r="A376" s="432">
        <f>IF(B376="","",COUNT('Diário 1º PA'!$A$4:$A$2635)+COUNT('Diário 2º PA'!$A$4:$A$3040)+COUNT('Diário 3º PA'!$A$4:$A$2731)+ROW()-3)</f>
        <v>6401</v>
      </c>
      <c r="B376" s="413">
        <v>44852</v>
      </c>
      <c r="C376" s="431">
        <v>44835</v>
      </c>
      <c r="D376" s="415" t="s">
        <v>271</v>
      </c>
      <c r="E376" s="434" t="s">
        <v>456</v>
      </c>
      <c r="F376" s="425">
        <v>409.15</v>
      </c>
      <c r="G376" s="427" t="s">
        <v>7707</v>
      </c>
      <c r="H376" s="415" t="s">
        <v>751</v>
      </c>
      <c r="I376" s="415" t="s">
        <v>7730</v>
      </c>
      <c r="J376" s="415" t="s">
        <v>7708</v>
      </c>
      <c r="K376" s="419" t="s">
        <v>830</v>
      </c>
      <c r="L376" s="415" t="s">
        <v>32</v>
      </c>
      <c r="M376" s="419">
        <v>12817</v>
      </c>
      <c r="N376" s="413">
        <v>44852</v>
      </c>
      <c r="O376" s="415" t="s">
        <v>400</v>
      </c>
      <c r="P376" s="655">
        <f t="shared" si="18"/>
        <v>10</v>
      </c>
      <c r="Q376" s="655">
        <f t="shared" si="19"/>
        <v>10</v>
      </c>
      <c r="R376" s="758" t="str">
        <f t="shared" si="20"/>
        <v>Gastos_Gerais</v>
      </c>
      <c r="S376" s="697" t="s">
        <v>999</v>
      </c>
      <c r="T376" s="697">
        <v>4545</v>
      </c>
    </row>
    <row r="377" spans="1:20" ht="36" x14ac:dyDescent="0.2">
      <c r="A377" s="432">
        <f>IF(B377="","",COUNT('Diário 1º PA'!$A$4:$A$2635)+COUNT('Diário 2º PA'!$A$4:$A$3040)+COUNT('Diário 3º PA'!$A$4:$A$2731)+ROW()-3)</f>
        <v>6402</v>
      </c>
      <c r="B377" s="413">
        <v>44852</v>
      </c>
      <c r="C377" s="431">
        <v>44835</v>
      </c>
      <c r="D377" s="415" t="s">
        <v>271</v>
      </c>
      <c r="E377" s="434" t="s">
        <v>297</v>
      </c>
      <c r="F377" s="425">
        <v>78.5</v>
      </c>
      <c r="G377" s="427" t="s">
        <v>7709</v>
      </c>
      <c r="H377" s="415" t="s">
        <v>757</v>
      </c>
      <c r="I377" s="415" t="s">
        <v>7731</v>
      </c>
      <c r="J377" s="415" t="s">
        <v>7710</v>
      </c>
      <c r="K377" s="419" t="s">
        <v>830</v>
      </c>
      <c r="L377" s="415" t="s">
        <v>32</v>
      </c>
      <c r="M377" s="419">
        <v>94</v>
      </c>
      <c r="N377" s="413">
        <v>44852</v>
      </c>
      <c r="O377" s="415" t="s">
        <v>400</v>
      </c>
      <c r="P377" s="655">
        <f t="shared" si="18"/>
        <v>10</v>
      </c>
      <c r="Q377" s="655">
        <f t="shared" si="19"/>
        <v>10</v>
      </c>
      <c r="R377" s="758" t="str">
        <f t="shared" si="20"/>
        <v>Gastos_Gerais</v>
      </c>
      <c r="S377" s="697" t="s">
        <v>999</v>
      </c>
      <c r="T377" s="697">
        <v>4543</v>
      </c>
    </row>
    <row r="378" spans="1:20" ht="168" x14ac:dyDescent="0.2">
      <c r="A378" s="432">
        <f>IF(B378="","",COUNT('Diário 1º PA'!$A$4:$A$2635)+COUNT('Diário 2º PA'!$A$4:$A$3040)+COUNT('Diário 3º PA'!$A$4:$A$2731)+ROW()-3)</f>
        <v>6403</v>
      </c>
      <c r="B378" s="413">
        <v>44852</v>
      </c>
      <c r="C378" s="431">
        <v>44835</v>
      </c>
      <c r="D378" s="415" t="s">
        <v>271</v>
      </c>
      <c r="E378" s="434" t="s">
        <v>297</v>
      </c>
      <c r="F378" s="422">
        <v>153.94999999999999</v>
      </c>
      <c r="G378" s="423" t="s">
        <v>7732</v>
      </c>
      <c r="H378" s="415" t="s">
        <v>757</v>
      </c>
      <c r="I378" s="415" t="s">
        <v>7733</v>
      </c>
      <c r="J378" s="419" t="s">
        <v>7734</v>
      </c>
      <c r="K378" s="419" t="s">
        <v>830</v>
      </c>
      <c r="L378" s="415" t="s">
        <v>32</v>
      </c>
      <c r="M378" s="419">
        <v>8038</v>
      </c>
      <c r="N378" s="413">
        <v>44852</v>
      </c>
      <c r="O378" s="415" t="s">
        <v>400</v>
      </c>
      <c r="P378" s="655">
        <f t="shared" si="18"/>
        <v>10</v>
      </c>
      <c r="Q378" s="655">
        <f t="shared" si="19"/>
        <v>10</v>
      </c>
      <c r="R378" s="758" t="str">
        <f t="shared" si="20"/>
        <v>Gastos_Gerais</v>
      </c>
      <c r="S378" s="697" t="s">
        <v>999</v>
      </c>
      <c r="T378" s="697">
        <v>4538</v>
      </c>
    </row>
    <row r="379" spans="1:20" ht="36" x14ac:dyDescent="0.2">
      <c r="A379" s="432">
        <f>IF(B379="","",COUNT('Diário 1º PA'!$A$4:$A$2635)+COUNT('Diário 2º PA'!$A$4:$A$3040)+COUNT('Diário 3º PA'!$A$4:$A$2731)+ROW()-3)</f>
        <v>6404</v>
      </c>
      <c r="B379" s="413">
        <v>44852</v>
      </c>
      <c r="C379" s="424">
        <v>44835</v>
      </c>
      <c r="D379" s="419" t="s">
        <v>271</v>
      </c>
      <c r="E379" s="419" t="s">
        <v>71</v>
      </c>
      <c r="F379" s="422">
        <v>11</v>
      </c>
      <c r="G379" s="423" t="s">
        <v>7735</v>
      </c>
      <c r="H379" s="415" t="s">
        <v>751</v>
      </c>
      <c r="I379" s="415" t="s">
        <v>881</v>
      </c>
      <c r="J379" s="419" t="s">
        <v>882</v>
      </c>
      <c r="K379" s="419" t="s">
        <v>883</v>
      </c>
      <c r="L379" s="415" t="s">
        <v>798</v>
      </c>
      <c r="M379" s="419" t="s">
        <v>310</v>
      </c>
      <c r="N379" s="413">
        <v>44852</v>
      </c>
      <c r="O379" s="414" t="s">
        <v>400</v>
      </c>
      <c r="P379" s="655">
        <f t="shared" si="18"/>
        <v>10</v>
      </c>
      <c r="Q379" s="655">
        <f t="shared" si="19"/>
        <v>10</v>
      </c>
      <c r="R379" s="758" t="str">
        <f t="shared" si="20"/>
        <v>Gastos_Gerais</v>
      </c>
      <c r="S379" s="697" t="s">
        <v>310</v>
      </c>
      <c r="T379" s="697" t="s">
        <v>310</v>
      </c>
    </row>
    <row r="380" spans="1:20" ht="36" x14ac:dyDescent="0.2">
      <c r="A380" s="432">
        <f>IF(B380="","",COUNT('Diário 1º PA'!$A$4:$A$2635)+COUNT('Diário 2º PA'!$A$4:$A$3040)+COUNT('Diário 3º PA'!$A$4:$A$2731)+ROW()-3)</f>
        <v>6405</v>
      </c>
      <c r="B380" s="413">
        <v>44852</v>
      </c>
      <c r="C380" s="424">
        <v>44835</v>
      </c>
      <c r="D380" s="419" t="s">
        <v>271</v>
      </c>
      <c r="E380" s="419" t="s">
        <v>71</v>
      </c>
      <c r="F380" s="422">
        <v>11</v>
      </c>
      <c r="G380" s="423" t="s">
        <v>7736</v>
      </c>
      <c r="H380" s="415" t="s">
        <v>757</v>
      </c>
      <c r="I380" s="415" t="s">
        <v>881</v>
      </c>
      <c r="J380" s="419" t="s">
        <v>882</v>
      </c>
      <c r="K380" s="419" t="s">
        <v>883</v>
      </c>
      <c r="L380" s="415" t="s">
        <v>798</v>
      </c>
      <c r="M380" s="419" t="s">
        <v>310</v>
      </c>
      <c r="N380" s="413">
        <v>44852</v>
      </c>
      <c r="O380" s="414" t="s">
        <v>400</v>
      </c>
      <c r="P380" s="655">
        <f t="shared" si="18"/>
        <v>10</v>
      </c>
      <c r="Q380" s="655">
        <f t="shared" si="19"/>
        <v>10</v>
      </c>
      <c r="R380" s="758" t="str">
        <f t="shared" si="20"/>
        <v>Gastos_Gerais</v>
      </c>
      <c r="S380" s="697" t="s">
        <v>310</v>
      </c>
      <c r="T380" s="697" t="s">
        <v>310</v>
      </c>
    </row>
    <row r="381" spans="1:20" ht="48" x14ac:dyDescent="0.2">
      <c r="A381" s="432">
        <f>IF(B381="","",COUNT('Diário 1º PA'!$A$4:$A$2635)+COUNT('Diário 2º PA'!$A$4:$A$3040)+COUNT('Diário 3º PA'!$A$4:$A$2731)+ROW()-3)</f>
        <v>6406</v>
      </c>
      <c r="B381" s="413">
        <v>44852</v>
      </c>
      <c r="C381" s="424">
        <v>44835</v>
      </c>
      <c r="D381" s="419" t="s">
        <v>271</v>
      </c>
      <c r="E381" s="419" t="s">
        <v>71</v>
      </c>
      <c r="F381" s="422">
        <v>11</v>
      </c>
      <c r="G381" s="423" t="s">
        <v>7737</v>
      </c>
      <c r="H381" s="415" t="s">
        <v>757</v>
      </c>
      <c r="I381" s="415" t="s">
        <v>881</v>
      </c>
      <c r="J381" s="419" t="s">
        <v>882</v>
      </c>
      <c r="K381" s="419" t="s">
        <v>883</v>
      </c>
      <c r="L381" s="415" t="s">
        <v>798</v>
      </c>
      <c r="M381" s="419" t="s">
        <v>310</v>
      </c>
      <c r="N381" s="413">
        <v>44852</v>
      </c>
      <c r="O381" s="414" t="s">
        <v>400</v>
      </c>
      <c r="P381" s="655">
        <f t="shared" si="18"/>
        <v>10</v>
      </c>
      <c r="Q381" s="655">
        <f t="shared" si="19"/>
        <v>10</v>
      </c>
      <c r="R381" s="758" t="str">
        <f t="shared" si="20"/>
        <v>Gastos_Gerais</v>
      </c>
      <c r="S381" s="697" t="s">
        <v>310</v>
      </c>
      <c r="T381" s="697" t="s">
        <v>310</v>
      </c>
    </row>
    <row r="382" spans="1:20" ht="48" x14ac:dyDescent="0.2">
      <c r="A382" s="432">
        <f>IF(B382="","",COUNT('Diário 1º PA'!$A$4:$A$2635)+COUNT('Diário 2º PA'!$A$4:$A$3040)+COUNT('Diário 3º PA'!$A$4:$A$2731)+ROW()-3)</f>
        <v>6407</v>
      </c>
      <c r="B382" s="413">
        <v>44853</v>
      </c>
      <c r="C382" s="431">
        <v>44835</v>
      </c>
      <c r="D382" s="415" t="s">
        <v>271</v>
      </c>
      <c r="E382" s="415" t="s">
        <v>178</v>
      </c>
      <c r="F382" s="422">
        <v>1131</v>
      </c>
      <c r="G382" s="427" t="s">
        <v>7570</v>
      </c>
      <c r="H382" s="419" t="s">
        <v>755</v>
      </c>
      <c r="I382" s="415" t="s">
        <v>5401</v>
      </c>
      <c r="J382" s="415" t="s">
        <v>5402</v>
      </c>
      <c r="K382" s="419" t="s">
        <v>830</v>
      </c>
      <c r="L382" s="415" t="s">
        <v>32</v>
      </c>
      <c r="M382" s="419" t="s">
        <v>7766</v>
      </c>
      <c r="N382" s="413">
        <v>44852</v>
      </c>
      <c r="O382" s="414" t="s">
        <v>400</v>
      </c>
      <c r="P382" s="655">
        <f t="shared" si="18"/>
        <v>10</v>
      </c>
      <c r="Q382" s="655">
        <f t="shared" si="19"/>
        <v>10</v>
      </c>
      <c r="R382" s="758" t="str">
        <f t="shared" si="20"/>
        <v>Gastos_Gerais</v>
      </c>
      <c r="S382" s="697" t="s">
        <v>998</v>
      </c>
      <c r="T382" s="697">
        <v>4401</v>
      </c>
    </row>
    <row r="383" spans="1:20" ht="36" x14ac:dyDescent="0.2">
      <c r="A383" s="432">
        <f>IF(B383="","",COUNT('Diário 1º PA'!$A$4:$A$2635)+COUNT('Diário 2º PA'!$A$4:$A$3040)+COUNT('Diário 3º PA'!$A$4:$A$2731)+ROW()-3)</f>
        <v>6408</v>
      </c>
      <c r="B383" s="413">
        <v>44853</v>
      </c>
      <c r="C383" s="431">
        <v>44835</v>
      </c>
      <c r="D383" s="415" t="s">
        <v>271</v>
      </c>
      <c r="E383" s="434" t="s">
        <v>297</v>
      </c>
      <c r="F383" s="425">
        <v>579.9</v>
      </c>
      <c r="G383" s="427" t="s">
        <v>7720</v>
      </c>
      <c r="H383" s="415" t="s">
        <v>757</v>
      </c>
      <c r="I383" s="415" t="s">
        <v>7769</v>
      </c>
      <c r="J383" s="415" t="s">
        <v>7721</v>
      </c>
      <c r="K383" s="419" t="s">
        <v>830</v>
      </c>
      <c r="L383" s="415" t="s">
        <v>32</v>
      </c>
      <c r="M383" s="419">
        <v>21745</v>
      </c>
      <c r="N383" s="413">
        <v>44852</v>
      </c>
      <c r="O383" s="414" t="s">
        <v>400</v>
      </c>
      <c r="P383" s="655">
        <f t="shared" si="18"/>
        <v>10</v>
      </c>
      <c r="Q383" s="655">
        <f t="shared" si="19"/>
        <v>10</v>
      </c>
      <c r="R383" s="758" t="str">
        <f t="shared" si="20"/>
        <v>Gastos_Gerais</v>
      </c>
      <c r="S383" s="697" t="s">
        <v>999</v>
      </c>
      <c r="T383" s="697">
        <v>4566</v>
      </c>
    </row>
    <row r="384" spans="1:20" ht="36" x14ac:dyDescent="0.2">
      <c r="A384" s="432">
        <f>IF(B384="","",COUNT('Diário 1º PA'!$A$4:$A$2635)+COUNT('Diário 2º PA'!$A$4:$A$3040)+COUNT('Diário 3º PA'!$A$4:$A$2731)+ROW()-3)</f>
        <v>6409</v>
      </c>
      <c r="B384" s="413">
        <v>44853</v>
      </c>
      <c r="C384" s="431">
        <v>44835</v>
      </c>
      <c r="D384" s="415" t="s">
        <v>271</v>
      </c>
      <c r="E384" s="434" t="s">
        <v>297</v>
      </c>
      <c r="F384" s="425">
        <v>379.9</v>
      </c>
      <c r="G384" s="427" t="s">
        <v>7722</v>
      </c>
      <c r="H384" s="415" t="s">
        <v>757</v>
      </c>
      <c r="I384" s="415" t="s">
        <v>7770</v>
      </c>
      <c r="J384" s="415" t="s">
        <v>7723</v>
      </c>
      <c r="K384" s="419" t="s">
        <v>812</v>
      </c>
      <c r="L384" s="415" t="s">
        <v>807</v>
      </c>
      <c r="M384" s="415" t="s">
        <v>8169</v>
      </c>
      <c r="N384" s="413">
        <v>44854</v>
      </c>
      <c r="O384" s="414" t="s">
        <v>400</v>
      </c>
      <c r="P384" s="655">
        <f t="shared" si="18"/>
        <v>10</v>
      </c>
      <c r="Q384" s="655">
        <f t="shared" si="19"/>
        <v>10</v>
      </c>
      <c r="R384" s="758" t="str">
        <f t="shared" si="20"/>
        <v>Gastos_Gerais</v>
      </c>
      <c r="S384" s="697" t="s">
        <v>999</v>
      </c>
      <c r="T384" s="697">
        <v>4564</v>
      </c>
    </row>
    <row r="385" spans="1:20" ht="36" x14ac:dyDescent="0.2">
      <c r="A385" s="432">
        <f>IF(B385="","",COUNT('Diário 1º PA'!$A$4:$A$2635)+COUNT('Diário 2º PA'!$A$4:$A$3040)+COUNT('Diário 3º PA'!$A$4:$A$2731)+ROW()-3)</f>
        <v>6410</v>
      </c>
      <c r="B385" s="413">
        <v>44853</v>
      </c>
      <c r="C385" s="431">
        <v>44835</v>
      </c>
      <c r="D385" s="415" t="s">
        <v>271</v>
      </c>
      <c r="E385" s="434" t="s">
        <v>297</v>
      </c>
      <c r="F385" s="422">
        <v>83.8</v>
      </c>
      <c r="G385" s="423" t="s">
        <v>7771</v>
      </c>
      <c r="H385" s="415" t="s">
        <v>757</v>
      </c>
      <c r="I385" s="415" t="s">
        <v>7772</v>
      </c>
      <c r="J385" s="419" t="s">
        <v>7773</v>
      </c>
      <c r="K385" s="419" t="s">
        <v>812</v>
      </c>
      <c r="L385" s="415" t="s">
        <v>807</v>
      </c>
      <c r="M385" s="548">
        <v>5123</v>
      </c>
      <c r="N385" s="413">
        <v>44854</v>
      </c>
      <c r="O385" s="414" t="s">
        <v>400</v>
      </c>
      <c r="P385" s="655">
        <f t="shared" si="18"/>
        <v>10</v>
      </c>
      <c r="Q385" s="655">
        <f t="shared" si="19"/>
        <v>10</v>
      </c>
      <c r="R385" s="758" t="str">
        <f t="shared" si="20"/>
        <v>Gastos_Gerais</v>
      </c>
      <c r="S385" s="697" t="s">
        <v>999</v>
      </c>
      <c r="T385" s="697">
        <v>4527</v>
      </c>
    </row>
    <row r="386" spans="1:20" ht="36" x14ac:dyDescent="0.2">
      <c r="A386" s="432">
        <f>IF(B386="","",COUNT('Diário 1º PA'!$A$4:$A$2635)+COUNT('Diário 2º PA'!$A$4:$A$3040)+COUNT('Diário 3º PA'!$A$4:$A$2731)+ROW()-3)</f>
        <v>6411</v>
      </c>
      <c r="B386" s="413">
        <v>44853</v>
      </c>
      <c r="C386" s="424">
        <v>44835</v>
      </c>
      <c r="D386" s="419" t="s">
        <v>271</v>
      </c>
      <c r="E386" s="419" t="s">
        <v>71</v>
      </c>
      <c r="F386" s="422">
        <v>11</v>
      </c>
      <c r="G386" s="423" t="s">
        <v>7774</v>
      </c>
      <c r="H386" s="419" t="s">
        <v>755</v>
      </c>
      <c r="I386" s="415" t="s">
        <v>881</v>
      </c>
      <c r="J386" s="419" t="s">
        <v>882</v>
      </c>
      <c r="K386" s="419" t="s">
        <v>883</v>
      </c>
      <c r="L386" s="415" t="s">
        <v>798</v>
      </c>
      <c r="M386" s="419" t="s">
        <v>310</v>
      </c>
      <c r="N386" s="413">
        <v>44853</v>
      </c>
      <c r="O386" s="414" t="s">
        <v>400</v>
      </c>
      <c r="P386" s="655">
        <f t="shared" si="18"/>
        <v>10</v>
      </c>
      <c r="Q386" s="655">
        <f t="shared" si="19"/>
        <v>10</v>
      </c>
      <c r="R386" s="758" t="str">
        <f t="shared" ref="R386:R417" si="21">SUBSTITUTE(D386," ","_")</f>
        <v>Gastos_Gerais</v>
      </c>
      <c r="S386" s="697" t="s">
        <v>310</v>
      </c>
      <c r="T386" s="697" t="s">
        <v>310</v>
      </c>
    </row>
    <row r="387" spans="1:20" ht="36" x14ac:dyDescent="0.2">
      <c r="A387" s="432">
        <f>IF(B387="","",COUNT('Diário 1º PA'!$A$4:$A$2635)+COUNT('Diário 2º PA'!$A$4:$A$3040)+COUNT('Diário 3º PA'!$A$4:$A$2731)+ROW()-3)</f>
        <v>6412</v>
      </c>
      <c r="B387" s="413">
        <v>44853</v>
      </c>
      <c r="C387" s="424">
        <v>44835</v>
      </c>
      <c r="D387" s="419" t="s">
        <v>271</v>
      </c>
      <c r="E387" s="419" t="s">
        <v>71</v>
      </c>
      <c r="F387" s="422">
        <v>11</v>
      </c>
      <c r="G387" s="423" t="s">
        <v>7775</v>
      </c>
      <c r="H387" s="415" t="s">
        <v>757</v>
      </c>
      <c r="I387" s="415" t="s">
        <v>881</v>
      </c>
      <c r="J387" s="419" t="s">
        <v>882</v>
      </c>
      <c r="K387" s="419" t="s">
        <v>883</v>
      </c>
      <c r="L387" s="415" t="s">
        <v>798</v>
      </c>
      <c r="M387" s="419" t="s">
        <v>310</v>
      </c>
      <c r="N387" s="413">
        <v>44853</v>
      </c>
      <c r="O387" s="414" t="s">
        <v>400</v>
      </c>
      <c r="P387" s="655">
        <f t="shared" si="18"/>
        <v>10</v>
      </c>
      <c r="Q387" s="655">
        <f t="shared" si="19"/>
        <v>10</v>
      </c>
      <c r="R387" s="758" t="str">
        <f t="shared" si="21"/>
        <v>Gastos_Gerais</v>
      </c>
      <c r="S387" s="697" t="s">
        <v>310</v>
      </c>
      <c r="T387" s="697" t="s">
        <v>310</v>
      </c>
    </row>
    <row r="388" spans="1:20" ht="48" x14ac:dyDescent="0.2">
      <c r="A388" s="432">
        <f>IF(B388="","",COUNT('Diário 1º PA'!$A$4:$A$2635)+COUNT('Diário 2º PA'!$A$4:$A$3040)+COUNT('Diário 3º PA'!$A$4:$A$2731)+ROW()-3)</f>
        <v>6413</v>
      </c>
      <c r="B388" s="413">
        <v>44854</v>
      </c>
      <c r="C388" s="431">
        <v>44805</v>
      </c>
      <c r="D388" s="415" t="s">
        <v>468</v>
      </c>
      <c r="E388" s="415" t="s">
        <v>468</v>
      </c>
      <c r="F388" s="425">
        <v>-2015</v>
      </c>
      <c r="G388" s="427" t="s">
        <v>7807</v>
      </c>
      <c r="H388" s="415" t="s">
        <v>468</v>
      </c>
      <c r="I388" s="427" t="s">
        <v>795</v>
      </c>
      <c r="J388" s="415" t="s">
        <v>796</v>
      </c>
      <c r="K388" s="419" t="s">
        <v>806</v>
      </c>
      <c r="L388" s="415" t="s">
        <v>798</v>
      </c>
      <c r="M388" s="415" t="s">
        <v>310</v>
      </c>
      <c r="N388" s="413">
        <v>44854</v>
      </c>
      <c r="O388" s="414" t="s">
        <v>400</v>
      </c>
      <c r="P388" s="655">
        <f t="shared" si="18"/>
        <v>10</v>
      </c>
      <c r="Q388" s="655">
        <f t="shared" si="19"/>
        <v>9</v>
      </c>
      <c r="R388" s="758" t="str">
        <f t="shared" si="21"/>
        <v>Gastos_custeados_por_captação</v>
      </c>
      <c r="S388" s="697" t="s">
        <v>310</v>
      </c>
      <c r="T388" s="697" t="s">
        <v>310</v>
      </c>
    </row>
    <row r="389" spans="1:20" ht="48" x14ac:dyDescent="0.2">
      <c r="A389" s="432">
        <f>IF(B389="","",COUNT('Diário 1º PA'!$A$4:$A$2635)+COUNT('Diário 2º PA'!$A$4:$A$3040)+COUNT('Diário 3º PA'!$A$4:$A$2731)+ROW()-3)</f>
        <v>6414</v>
      </c>
      <c r="B389" s="413">
        <v>44854</v>
      </c>
      <c r="C389" s="431">
        <v>44805</v>
      </c>
      <c r="D389" s="415" t="s">
        <v>468</v>
      </c>
      <c r="E389" s="415" t="s">
        <v>468</v>
      </c>
      <c r="F389" s="425">
        <v>-160</v>
      </c>
      <c r="G389" s="427" t="s">
        <v>7808</v>
      </c>
      <c r="H389" s="415" t="s">
        <v>468</v>
      </c>
      <c r="I389" s="427" t="s">
        <v>795</v>
      </c>
      <c r="J389" s="415" t="s">
        <v>796</v>
      </c>
      <c r="K389" s="419" t="s">
        <v>806</v>
      </c>
      <c r="L389" s="415" t="s">
        <v>798</v>
      </c>
      <c r="M389" s="415" t="s">
        <v>310</v>
      </c>
      <c r="N389" s="413">
        <v>44854</v>
      </c>
      <c r="O389" s="414" t="s">
        <v>400</v>
      </c>
      <c r="P389" s="655">
        <f t="shared" si="18"/>
        <v>10</v>
      </c>
      <c r="Q389" s="655">
        <f t="shared" si="19"/>
        <v>9</v>
      </c>
      <c r="R389" s="758" t="str">
        <f t="shared" si="21"/>
        <v>Gastos_custeados_por_captação</v>
      </c>
      <c r="S389" s="697" t="s">
        <v>310</v>
      </c>
      <c r="T389" s="697" t="s">
        <v>310</v>
      </c>
    </row>
    <row r="390" spans="1:20" ht="48" x14ac:dyDescent="0.2">
      <c r="A390" s="432">
        <f>IF(B390="","",COUNT('Diário 1º PA'!$A$4:$A$2635)+COUNT('Diário 2º PA'!$A$4:$A$3040)+COUNT('Diário 3º PA'!$A$4:$A$2731)+ROW()-3)</f>
        <v>6415</v>
      </c>
      <c r="B390" s="413">
        <v>44854</v>
      </c>
      <c r="C390" s="431">
        <v>44805</v>
      </c>
      <c r="D390" s="415" t="s">
        <v>468</v>
      </c>
      <c r="E390" s="415" t="s">
        <v>468</v>
      </c>
      <c r="F390" s="425">
        <v>-2405.86</v>
      </c>
      <c r="G390" s="427" t="s">
        <v>7809</v>
      </c>
      <c r="H390" s="415" t="s">
        <v>468</v>
      </c>
      <c r="I390" s="398" t="s">
        <v>795</v>
      </c>
      <c r="J390" s="418" t="s">
        <v>796</v>
      </c>
      <c r="K390" s="418" t="s">
        <v>797</v>
      </c>
      <c r="L390" s="399" t="s">
        <v>798</v>
      </c>
      <c r="M390" s="544" t="s">
        <v>310</v>
      </c>
      <c r="N390" s="413">
        <v>44854</v>
      </c>
      <c r="O390" s="414" t="s">
        <v>400</v>
      </c>
      <c r="P390" s="655">
        <f t="shared" si="18"/>
        <v>10</v>
      </c>
      <c r="Q390" s="655">
        <f t="shared" si="19"/>
        <v>9</v>
      </c>
      <c r="R390" s="758" t="str">
        <f t="shared" si="21"/>
        <v>Gastos_custeados_por_captação</v>
      </c>
      <c r="S390" s="697" t="s">
        <v>310</v>
      </c>
      <c r="T390" s="697" t="s">
        <v>310</v>
      </c>
    </row>
    <row r="391" spans="1:20" ht="48" x14ac:dyDescent="0.2">
      <c r="A391" s="432">
        <f>IF(B391="","",COUNT('Diário 1º PA'!$A$4:$A$2635)+COUNT('Diário 2º PA'!$A$4:$A$3040)+COUNT('Diário 3º PA'!$A$4:$A$2731)+ROW()-3)</f>
        <v>6416</v>
      </c>
      <c r="B391" s="413">
        <v>44854</v>
      </c>
      <c r="C391" s="431">
        <v>44805</v>
      </c>
      <c r="D391" s="415" t="s">
        <v>468</v>
      </c>
      <c r="E391" s="415" t="s">
        <v>468</v>
      </c>
      <c r="F391" s="425">
        <v>-930</v>
      </c>
      <c r="G391" s="427" t="s">
        <v>7810</v>
      </c>
      <c r="H391" s="415" t="s">
        <v>468</v>
      </c>
      <c r="I391" s="398" t="s">
        <v>795</v>
      </c>
      <c r="J391" s="418" t="s">
        <v>796</v>
      </c>
      <c r="K391" s="418" t="s">
        <v>797</v>
      </c>
      <c r="L391" s="399" t="s">
        <v>798</v>
      </c>
      <c r="M391" s="544" t="s">
        <v>310</v>
      </c>
      <c r="N391" s="413">
        <v>44854</v>
      </c>
      <c r="O391" s="414" t="s">
        <v>400</v>
      </c>
      <c r="P391" s="655">
        <f t="shared" si="18"/>
        <v>10</v>
      </c>
      <c r="Q391" s="655">
        <f t="shared" si="19"/>
        <v>9</v>
      </c>
      <c r="R391" s="758" t="str">
        <f t="shared" si="21"/>
        <v>Gastos_custeados_por_captação</v>
      </c>
      <c r="S391" s="697" t="s">
        <v>310</v>
      </c>
      <c r="T391" s="697" t="s">
        <v>310</v>
      </c>
    </row>
    <row r="392" spans="1:20" ht="48" x14ac:dyDescent="0.2">
      <c r="A392" s="432">
        <f>IF(B392="","",COUNT('Diário 1º PA'!$A$4:$A$2635)+COUNT('Diário 2º PA'!$A$4:$A$3040)+COUNT('Diário 3º PA'!$A$4:$A$2731)+ROW()-3)</f>
        <v>6417</v>
      </c>
      <c r="B392" s="413">
        <v>44854</v>
      </c>
      <c r="C392" s="431">
        <v>44805</v>
      </c>
      <c r="D392" s="415" t="s">
        <v>468</v>
      </c>
      <c r="E392" s="415" t="s">
        <v>468</v>
      </c>
      <c r="F392" s="425">
        <v>-1937.5</v>
      </c>
      <c r="G392" s="427" t="s">
        <v>7811</v>
      </c>
      <c r="H392" s="415" t="s">
        <v>468</v>
      </c>
      <c r="I392" s="398" t="s">
        <v>795</v>
      </c>
      <c r="J392" s="418" t="s">
        <v>796</v>
      </c>
      <c r="K392" s="418" t="s">
        <v>797</v>
      </c>
      <c r="L392" s="399" t="s">
        <v>798</v>
      </c>
      <c r="M392" s="544" t="s">
        <v>310</v>
      </c>
      <c r="N392" s="413">
        <v>44854</v>
      </c>
      <c r="O392" s="414" t="s">
        <v>400</v>
      </c>
      <c r="P392" s="655">
        <f t="shared" si="18"/>
        <v>10</v>
      </c>
      <c r="Q392" s="655">
        <f t="shared" si="19"/>
        <v>9</v>
      </c>
      <c r="R392" s="758" t="str">
        <f t="shared" si="21"/>
        <v>Gastos_custeados_por_captação</v>
      </c>
      <c r="S392" s="697" t="s">
        <v>310</v>
      </c>
      <c r="T392" s="697" t="s">
        <v>310</v>
      </c>
    </row>
    <row r="393" spans="1:20" ht="48" x14ac:dyDescent="0.2">
      <c r="A393" s="432">
        <f>IF(B393="","",COUNT('Diário 1º PA'!$A$4:$A$2635)+COUNT('Diário 2º PA'!$A$4:$A$3040)+COUNT('Diário 3º PA'!$A$4:$A$2731)+ROW()-3)</f>
        <v>6418</v>
      </c>
      <c r="B393" s="413">
        <v>44854</v>
      </c>
      <c r="C393" s="431">
        <v>44805</v>
      </c>
      <c r="D393" s="415" t="s">
        <v>182</v>
      </c>
      <c r="E393" s="415" t="s">
        <v>1</v>
      </c>
      <c r="F393" s="425">
        <v>-3828.6</v>
      </c>
      <c r="G393" s="427" t="s">
        <v>7812</v>
      </c>
      <c r="H393" s="415" t="s">
        <v>310</v>
      </c>
      <c r="I393" s="473" t="s">
        <v>795</v>
      </c>
      <c r="J393" s="415" t="s">
        <v>796</v>
      </c>
      <c r="K393" s="415" t="s">
        <v>797</v>
      </c>
      <c r="L393" s="415" t="s">
        <v>798</v>
      </c>
      <c r="M393" s="415" t="s">
        <v>310</v>
      </c>
      <c r="N393" s="413">
        <v>44854</v>
      </c>
      <c r="O393" s="414" t="s">
        <v>400</v>
      </c>
      <c r="P393" s="655">
        <f t="shared" si="18"/>
        <v>10</v>
      </c>
      <c r="Q393" s="655">
        <f t="shared" si="19"/>
        <v>9</v>
      </c>
      <c r="R393" s="758" t="str">
        <f t="shared" si="21"/>
        <v>Gastos_com_Pessoal</v>
      </c>
      <c r="S393" s="697" t="s">
        <v>310</v>
      </c>
      <c r="T393" s="697" t="s">
        <v>310</v>
      </c>
    </row>
    <row r="394" spans="1:20" ht="48" x14ac:dyDescent="0.2">
      <c r="A394" s="432">
        <f>IF(B394="","",COUNT('Diário 1º PA'!$A$4:$A$2635)+COUNT('Diário 2º PA'!$A$4:$A$3040)+COUNT('Diário 3º PA'!$A$4:$A$2731)+ROW()-3)</f>
        <v>6419</v>
      </c>
      <c r="B394" s="413">
        <v>44854</v>
      </c>
      <c r="C394" s="431">
        <v>44805</v>
      </c>
      <c r="D394" s="415" t="s">
        <v>182</v>
      </c>
      <c r="E394" s="415" t="s">
        <v>252</v>
      </c>
      <c r="F394" s="425">
        <v>-9722.57</v>
      </c>
      <c r="G394" s="427" t="s">
        <v>7813</v>
      </c>
      <c r="H394" s="415" t="s">
        <v>310</v>
      </c>
      <c r="I394" s="473" t="s">
        <v>795</v>
      </c>
      <c r="J394" s="415" t="s">
        <v>796</v>
      </c>
      <c r="K394" s="415" t="s">
        <v>797</v>
      </c>
      <c r="L394" s="415" t="s">
        <v>798</v>
      </c>
      <c r="M394" s="415" t="s">
        <v>310</v>
      </c>
      <c r="N394" s="413">
        <v>44854</v>
      </c>
      <c r="O394" s="414" t="s">
        <v>400</v>
      </c>
      <c r="P394" s="655">
        <f t="shared" si="18"/>
        <v>10</v>
      </c>
      <c r="Q394" s="655">
        <f t="shared" si="19"/>
        <v>9</v>
      </c>
      <c r="R394" s="758" t="str">
        <f t="shared" si="21"/>
        <v>Gastos_com_Pessoal</v>
      </c>
      <c r="S394" s="697" t="s">
        <v>310</v>
      </c>
      <c r="T394" s="697" t="s">
        <v>310</v>
      </c>
    </row>
    <row r="395" spans="1:20" ht="48" x14ac:dyDescent="0.2">
      <c r="A395" s="432">
        <f>IF(B395="","",COUNT('Diário 1º PA'!$A$4:$A$2635)+COUNT('Diário 2º PA'!$A$4:$A$3040)+COUNT('Diário 3º PA'!$A$4:$A$2731)+ROW()-3)</f>
        <v>6420</v>
      </c>
      <c r="B395" s="413">
        <v>44854</v>
      </c>
      <c r="C395" s="431">
        <v>44805</v>
      </c>
      <c r="D395" s="415" t="s">
        <v>271</v>
      </c>
      <c r="E395" s="415" t="s">
        <v>90</v>
      </c>
      <c r="F395" s="425">
        <v>-2816</v>
      </c>
      <c r="G395" s="427" t="s">
        <v>7814</v>
      </c>
      <c r="H395" s="415" t="s">
        <v>310</v>
      </c>
      <c r="I395" s="398" t="s">
        <v>795</v>
      </c>
      <c r="J395" s="418" t="s">
        <v>796</v>
      </c>
      <c r="K395" s="418" t="s">
        <v>797</v>
      </c>
      <c r="L395" s="399" t="s">
        <v>798</v>
      </c>
      <c r="M395" s="544" t="s">
        <v>310</v>
      </c>
      <c r="N395" s="413">
        <v>44854</v>
      </c>
      <c r="O395" s="414" t="s">
        <v>400</v>
      </c>
      <c r="P395" s="655">
        <f t="shared" si="18"/>
        <v>10</v>
      </c>
      <c r="Q395" s="655">
        <f t="shared" si="19"/>
        <v>9</v>
      </c>
      <c r="R395" s="758" t="str">
        <f t="shared" si="21"/>
        <v>Gastos_Gerais</v>
      </c>
      <c r="S395" s="697" t="s">
        <v>310</v>
      </c>
      <c r="T395" s="697" t="s">
        <v>310</v>
      </c>
    </row>
    <row r="396" spans="1:20" ht="48" x14ac:dyDescent="0.2">
      <c r="A396" s="432">
        <f>IF(B396="","",COUNT('Diário 1º PA'!$A$4:$A$2635)+COUNT('Diário 2º PA'!$A$4:$A$3040)+COUNT('Diário 3º PA'!$A$4:$A$2731)+ROW()-3)</f>
        <v>6421</v>
      </c>
      <c r="B396" s="413">
        <v>44854</v>
      </c>
      <c r="C396" s="431">
        <v>44805</v>
      </c>
      <c r="D396" s="415" t="s">
        <v>271</v>
      </c>
      <c r="E396" s="415" t="s">
        <v>90</v>
      </c>
      <c r="F396" s="425">
        <v>-706.8</v>
      </c>
      <c r="G396" s="427" t="s">
        <v>7815</v>
      </c>
      <c r="H396" s="415" t="s">
        <v>310</v>
      </c>
      <c r="I396" s="398" t="s">
        <v>795</v>
      </c>
      <c r="J396" s="418" t="s">
        <v>796</v>
      </c>
      <c r="K396" s="418" t="s">
        <v>797</v>
      </c>
      <c r="L396" s="399" t="s">
        <v>798</v>
      </c>
      <c r="M396" s="544" t="s">
        <v>310</v>
      </c>
      <c r="N396" s="413">
        <v>44854</v>
      </c>
      <c r="O396" s="414" t="s">
        <v>400</v>
      </c>
      <c r="P396" s="655">
        <f t="shared" si="18"/>
        <v>10</v>
      </c>
      <c r="Q396" s="655">
        <f t="shared" si="19"/>
        <v>9</v>
      </c>
      <c r="R396" s="758" t="str">
        <f t="shared" si="21"/>
        <v>Gastos_Gerais</v>
      </c>
      <c r="S396" s="697" t="s">
        <v>310</v>
      </c>
      <c r="T396" s="697" t="s">
        <v>310</v>
      </c>
    </row>
    <row r="397" spans="1:20" ht="48" x14ac:dyDescent="0.2">
      <c r="A397" s="432">
        <f>IF(B397="","",COUNT('Diário 1º PA'!$A$4:$A$2635)+COUNT('Diário 2º PA'!$A$4:$A$3040)+COUNT('Diário 3º PA'!$A$4:$A$2731)+ROW()-3)</f>
        <v>6422</v>
      </c>
      <c r="B397" s="413">
        <v>44854</v>
      </c>
      <c r="C397" s="431">
        <v>44805</v>
      </c>
      <c r="D397" s="415" t="s">
        <v>271</v>
      </c>
      <c r="E397" s="415" t="s">
        <v>163</v>
      </c>
      <c r="F397" s="425">
        <v>-59.04</v>
      </c>
      <c r="G397" s="427" t="s">
        <v>7816</v>
      </c>
      <c r="H397" s="415" t="s">
        <v>309</v>
      </c>
      <c r="I397" s="473" t="s">
        <v>795</v>
      </c>
      <c r="J397" s="415" t="s">
        <v>796</v>
      </c>
      <c r="K397" s="415" t="s">
        <v>797</v>
      </c>
      <c r="L397" s="415" t="s">
        <v>798</v>
      </c>
      <c r="M397" s="415" t="s">
        <v>310</v>
      </c>
      <c r="N397" s="413">
        <v>44854</v>
      </c>
      <c r="O397" s="414" t="s">
        <v>400</v>
      </c>
      <c r="P397" s="655">
        <f t="shared" si="18"/>
        <v>10</v>
      </c>
      <c r="Q397" s="655">
        <f t="shared" si="19"/>
        <v>9</v>
      </c>
      <c r="R397" s="758" t="str">
        <f t="shared" si="21"/>
        <v>Gastos_Gerais</v>
      </c>
      <c r="S397" s="697" t="s">
        <v>310</v>
      </c>
      <c r="T397" s="697" t="s">
        <v>310</v>
      </c>
    </row>
    <row r="398" spans="1:20" ht="48" x14ac:dyDescent="0.2">
      <c r="A398" s="432">
        <f>IF(B398="","",COUNT('Diário 1º PA'!$A$4:$A$2635)+COUNT('Diário 2º PA'!$A$4:$A$3040)+COUNT('Diário 3º PA'!$A$4:$A$2731)+ROW()-3)</f>
        <v>6423</v>
      </c>
      <c r="B398" s="413">
        <v>44854</v>
      </c>
      <c r="C398" s="431">
        <v>44805</v>
      </c>
      <c r="D398" s="415" t="s">
        <v>468</v>
      </c>
      <c r="E398" s="415" t="s">
        <v>468</v>
      </c>
      <c r="F398" s="425">
        <v>-9324.7999999999993</v>
      </c>
      <c r="G398" s="427" t="s">
        <v>7817</v>
      </c>
      <c r="H398" s="415" t="s">
        <v>468</v>
      </c>
      <c r="I398" s="427" t="s">
        <v>795</v>
      </c>
      <c r="J398" s="415" t="s">
        <v>796</v>
      </c>
      <c r="K398" s="415" t="s">
        <v>797</v>
      </c>
      <c r="L398" s="415" t="s">
        <v>798</v>
      </c>
      <c r="M398" s="415" t="s">
        <v>310</v>
      </c>
      <c r="N398" s="413">
        <v>44854</v>
      </c>
      <c r="O398" s="414" t="s">
        <v>400</v>
      </c>
      <c r="P398" s="655">
        <f t="shared" si="18"/>
        <v>10</v>
      </c>
      <c r="Q398" s="655">
        <f t="shared" si="19"/>
        <v>9</v>
      </c>
      <c r="R398" s="758" t="str">
        <f t="shared" si="21"/>
        <v>Gastos_custeados_por_captação</v>
      </c>
      <c r="S398" s="697" t="s">
        <v>310</v>
      </c>
      <c r="T398" s="697" t="s">
        <v>310</v>
      </c>
    </row>
    <row r="399" spans="1:20" ht="48" x14ac:dyDescent="0.2">
      <c r="A399" s="432">
        <f>IF(B399="","",COUNT('Diário 1º PA'!$A$4:$A$2635)+COUNT('Diário 2º PA'!$A$4:$A$3040)+COUNT('Diário 3º PA'!$A$4:$A$2731)+ROW()-3)</f>
        <v>6424</v>
      </c>
      <c r="B399" s="413">
        <v>44854</v>
      </c>
      <c r="C399" s="431">
        <v>44805</v>
      </c>
      <c r="D399" s="415" t="s">
        <v>468</v>
      </c>
      <c r="E399" s="415" t="s">
        <v>468</v>
      </c>
      <c r="F399" s="425">
        <v>-3619.59</v>
      </c>
      <c r="G399" s="427" t="s">
        <v>7818</v>
      </c>
      <c r="H399" s="415" t="s">
        <v>468</v>
      </c>
      <c r="I399" s="427" t="s">
        <v>795</v>
      </c>
      <c r="J399" s="415" t="s">
        <v>796</v>
      </c>
      <c r="K399" s="415" t="s">
        <v>797</v>
      </c>
      <c r="L399" s="415" t="s">
        <v>798</v>
      </c>
      <c r="M399" s="415" t="s">
        <v>310</v>
      </c>
      <c r="N399" s="413">
        <v>44854</v>
      </c>
      <c r="O399" s="414" t="s">
        <v>400</v>
      </c>
      <c r="P399" s="655">
        <f t="shared" si="18"/>
        <v>10</v>
      </c>
      <c r="Q399" s="655">
        <f t="shared" si="19"/>
        <v>9</v>
      </c>
      <c r="R399" s="758" t="str">
        <f t="shared" si="21"/>
        <v>Gastos_custeados_por_captação</v>
      </c>
      <c r="S399" s="697" t="s">
        <v>310</v>
      </c>
      <c r="T399" s="697" t="s">
        <v>310</v>
      </c>
    </row>
    <row r="400" spans="1:20" ht="48" x14ac:dyDescent="0.2">
      <c r="A400" s="432">
        <f>IF(B400="","",COUNT('Diário 1º PA'!$A$4:$A$2635)+COUNT('Diário 2º PA'!$A$4:$A$3040)+COUNT('Diário 3º PA'!$A$4:$A$2731)+ROW()-3)</f>
        <v>6425</v>
      </c>
      <c r="B400" s="413">
        <v>44854</v>
      </c>
      <c r="C400" s="431">
        <v>44805</v>
      </c>
      <c r="D400" s="415" t="s">
        <v>468</v>
      </c>
      <c r="E400" s="415" t="s">
        <v>468</v>
      </c>
      <c r="F400" s="425">
        <v>-417.43</v>
      </c>
      <c r="G400" s="427" t="s">
        <v>7819</v>
      </c>
      <c r="H400" s="415" t="s">
        <v>468</v>
      </c>
      <c r="I400" s="473" t="s">
        <v>795</v>
      </c>
      <c r="J400" s="415" t="s">
        <v>796</v>
      </c>
      <c r="K400" s="415" t="s">
        <v>797</v>
      </c>
      <c r="L400" s="415" t="s">
        <v>798</v>
      </c>
      <c r="M400" s="415" t="s">
        <v>310</v>
      </c>
      <c r="N400" s="413">
        <v>44854</v>
      </c>
      <c r="O400" s="414" t="s">
        <v>400</v>
      </c>
      <c r="P400" s="655">
        <f t="shared" si="18"/>
        <v>10</v>
      </c>
      <c r="Q400" s="655">
        <f t="shared" si="19"/>
        <v>9</v>
      </c>
      <c r="R400" s="758" t="str">
        <f t="shared" si="21"/>
        <v>Gastos_custeados_por_captação</v>
      </c>
      <c r="S400" s="697" t="s">
        <v>310</v>
      </c>
      <c r="T400" s="697" t="s">
        <v>310</v>
      </c>
    </row>
    <row r="401" spans="1:20" ht="48" x14ac:dyDescent="0.2">
      <c r="A401" s="432">
        <f>IF(B401="","",COUNT('Diário 1º PA'!$A$4:$A$2635)+COUNT('Diário 2º PA'!$A$4:$A$3040)+COUNT('Diário 3º PA'!$A$4:$A$2731)+ROW()-3)</f>
        <v>6426</v>
      </c>
      <c r="B401" s="413">
        <v>44854</v>
      </c>
      <c r="C401" s="431">
        <v>44805</v>
      </c>
      <c r="D401" s="415" t="s">
        <v>468</v>
      </c>
      <c r="E401" s="415" t="s">
        <v>468</v>
      </c>
      <c r="F401" s="425">
        <v>-3100</v>
      </c>
      <c r="G401" s="427" t="s">
        <v>7820</v>
      </c>
      <c r="H401" s="415" t="s">
        <v>468</v>
      </c>
      <c r="I401" s="473" t="s">
        <v>795</v>
      </c>
      <c r="J401" s="415" t="s">
        <v>796</v>
      </c>
      <c r="K401" s="415" t="s">
        <v>797</v>
      </c>
      <c r="L401" s="415" t="s">
        <v>798</v>
      </c>
      <c r="M401" s="415" t="s">
        <v>310</v>
      </c>
      <c r="N401" s="413">
        <v>44854</v>
      </c>
      <c r="O401" s="414" t="s">
        <v>400</v>
      </c>
      <c r="P401" s="655">
        <f t="shared" si="18"/>
        <v>10</v>
      </c>
      <c r="Q401" s="655">
        <f t="shared" si="19"/>
        <v>9</v>
      </c>
      <c r="R401" s="758" t="str">
        <f t="shared" si="21"/>
        <v>Gastos_custeados_por_captação</v>
      </c>
      <c r="S401" s="697" t="s">
        <v>310</v>
      </c>
      <c r="T401" s="697" t="s">
        <v>310</v>
      </c>
    </row>
    <row r="402" spans="1:20" ht="48" x14ac:dyDescent="0.2">
      <c r="A402" s="432">
        <f>IF(B402="","",COUNT('Diário 1º PA'!$A$4:$A$2635)+COUNT('Diário 2º PA'!$A$4:$A$3040)+COUNT('Diário 3º PA'!$A$4:$A$2731)+ROW()-3)</f>
        <v>6427</v>
      </c>
      <c r="B402" s="413">
        <v>44854</v>
      </c>
      <c r="C402" s="431">
        <v>44805</v>
      </c>
      <c r="D402" s="415" t="s">
        <v>468</v>
      </c>
      <c r="E402" s="415" t="s">
        <v>468</v>
      </c>
      <c r="F402" s="425">
        <v>-2984.26</v>
      </c>
      <c r="G402" s="427" t="s">
        <v>7821</v>
      </c>
      <c r="H402" s="415" t="s">
        <v>468</v>
      </c>
      <c r="I402" s="473" t="s">
        <v>795</v>
      </c>
      <c r="J402" s="415" t="s">
        <v>796</v>
      </c>
      <c r="K402" s="415" t="s">
        <v>797</v>
      </c>
      <c r="L402" s="415" t="s">
        <v>798</v>
      </c>
      <c r="M402" s="415" t="s">
        <v>310</v>
      </c>
      <c r="N402" s="413">
        <v>44854</v>
      </c>
      <c r="O402" s="414" t="s">
        <v>400</v>
      </c>
      <c r="P402" s="655">
        <f t="shared" si="18"/>
        <v>10</v>
      </c>
      <c r="Q402" s="655">
        <f t="shared" si="19"/>
        <v>9</v>
      </c>
      <c r="R402" s="758" t="str">
        <f t="shared" si="21"/>
        <v>Gastos_custeados_por_captação</v>
      </c>
      <c r="S402" s="697" t="s">
        <v>310</v>
      </c>
      <c r="T402" s="697" t="s">
        <v>310</v>
      </c>
    </row>
    <row r="403" spans="1:20" ht="48" x14ac:dyDescent="0.2">
      <c r="A403" s="432">
        <f>IF(B403="","",COUNT('Diário 1º PA'!$A$4:$A$2635)+COUNT('Diário 2º PA'!$A$4:$A$3040)+COUNT('Diário 3º PA'!$A$4:$A$2731)+ROW()-3)</f>
        <v>6428</v>
      </c>
      <c r="B403" s="413">
        <v>44854</v>
      </c>
      <c r="C403" s="431">
        <v>44805</v>
      </c>
      <c r="D403" s="415" t="s">
        <v>468</v>
      </c>
      <c r="E403" s="415" t="s">
        <v>468</v>
      </c>
      <c r="F403" s="425">
        <v>-1860</v>
      </c>
      <c r="G403" s="427" t="s">
        <v>7822</v>
      </c>
      <c r="H403" s="415" t="s">
        <v>468</v>
      </c>
      <c r="I403" s="473" t="s">
        <v>795</v>
      </c>
      <c r="J403" s="415" t="s">
        <v>796</v>
      </c>
      <c r="K403" s="415" t="s">
        <v>797</v>
      </c>
      <c r="L403" s="415" t="s">
        <v>798</v>
      </c>
      <c r="M403" s="415" t="s">
        <v>310</v>
      </c>
      <c r="N403" s="413">
        <v>44854</v>
      </c>
      <c r="O403" s="414" t="s">
        <v>400</v>
      </c>
      <c r="P403" s="655">
        <f t="shared" si="18"/>
        <v>10</v>
      </c>
      <c r="Q403" s="655">
        <f t="shared" si="19"/>
        <v>9</v>
      </c>
      <c r="R403" s="758" t="str">
        <f t="shared" si="21"/>
        <v>Gastos_custeados_por_captação</v>
      </c>
      <c r="S403" s="697" t="s">
        <v>310</v>
      </c>
      <c r="T403" s="697" t="s">
        <v>310</v>
      </c>
    </row>
    <row r="404" spans="1:20" ht="24" x14ac:dyDescent="0.2">
      <c r="A404" s="432">
        <f>IF(B404="","",COUNT('Diário 1º PA'!$A$4:$A$2635)+COUNT('Diário 2º PA'!$A$4:$A$3040)+COUNT('Diário 3º PA'!$A$4:$A$2731)+ROW()-3)</f>
        <v>6429</v>
      </c>
      <c r="B404" s="413">
        <v>44854</v>
      </c>
      <c r="C404" s="431">
        <v>44805</v>
      </c>
      <c r="D404" s="415" t="s">
        <v>271</v>
      </c>
      <c r="E404" s="415" t="s">
        <v>326</v>
      </c>
      <c r="F404" s="422">
        <v>1434.45</v>
      </c>
      <c r="G404" s="427" t="s">
        <v>4068</v>
      </c>
      <c r="H404" s="415" t="s">
        <v>309</v>
      </c>
      <c r="I404" s="415" t="s">
        <v>4856</v>
      </c>
      <c r="J404" s="415" t="s">
        <v>3604</v>
      </c>
      <c r="K404" s="419" t="s">
        <v>812</v>
      </c>
      <c r="L404" s="415" t="s">
        <v>32</v>
      </c>
      <c r="M404" s="419" t="s">
        <v>7823</v>
      </c>
      <c r="N404" s="413">
        <v>44839</v>
      </c>
      <c r="O404" s="414" t="s">
        <v>400</v>
      </c>
      <c r="P404" s="655">
        <f t="shared" si="18"/>
        <v>10</v>
      </c>
      <c r="Q404" s="655">
        <f t="shared" si="19"/>
        <v>9</v>
      </c>
      <c r="R404" s="758" t="str">
        <f t="shared" si="21"/>
        <v>Gastos_Gerais</v>
      </c>
      <c r="S404" s="697" t="s">
        <v>1000</v>
      </c>
      <c r="T404" s="697">
        <v>3559</v>
      </c>
    </row>
    <row r="405" spans="1:20" ht="24" x14ac:dyDescent="0.2">
      <c r="A405" s="432">
        <f>IF(B405="","",COUNT('Diário 1º PA'!$A$4:$A$2635)+COUNT('Diário 2º PA'!$A$4:$A$3040)+COUNT('Diário 3º PA'!$A$4:$A$2731)+ROW()-3)</f>
        <v>6430</v>
      </c>
      <c r="B405" s="413">
        <v>44854</v>
      </c>
      <c r="C405" s="433">
        <v>44774</v>
      </c>
      <c r="D405" s="434" t="s">
        <v>182</v>
      </c>
      <c r="E405" s="434" t="s">
        <v>1</v>
      </c>
      <c r="F405" s="422">
        <v>14.28</v>
      </c>
      <c r="G405" s="423" t="s">
        <v>7825</v>
      </c>
      <c r="H405" s="419" t="s">
        <v>310</v>
      </c>
      <c r="I405" s="473" t="s">
        <v>1461</v>
      </c>
      <c r="J405" s="415" t="s">
        <v>310</v>
      </c>
      <c r="K405" s="415" t="s">
        <v>1220</v>
      </c>
      <c r="L405" s="415" t="s">
        <v>1368</v>
      </c>
      <c r="M405" s="415" t="s">
        <v>310</v>
      </c>
      <c r="N405" s="413">
        <v>44854</v>
      </c>
      <c r="O405" s="414" t="s">
        <v>400</v>
      </c>
      <c r="P405" s="655">
        <f t="shared" si="18"/>
        <v>10</v>
      </c>
      <c r="Q405" s="655">
        <f t="shared" si="19"/>
        <v>8</v>
      </c>
      <c r="R405" s="758" t="str">
        <f t="shared" si="21"/>
        <v>Gastos_com_Pessoal</v>
      </c>
      <c r="S405" s="697" t="s">
        <v>310</v>
      </c>
      <c r="T405" s="697" t="s">
        <v>310</v>
      </c>
    </row>
    <row r="406" spans="1:20" ht="24" x14ac:dyDescent="0.2">
      <c r="A406" s="432">
        <f>IF(B406="","",COUNT('Diário 1º PA'!$A$4:$A$2635)+COUNT('Diário 2º PA'!$A$4:$A$3040)+COUNT('Diário 3º PA'!$A$4:$A$2731)+ROW()-3)</f>
        <v>6431</v>
      </c>
      <c r="B406" s="413">
        <v>44854</v>
      </c>
      <c r="C406" s="433">
        <v>44774</v>
      </c>
      <c r="D406" s="415" t="s">
        <v>182</v>
      </c>
      <c r="E406" s="415" t="s">
        <v>1</v>
      </c>
      <c r="F406" s="425">
        <v>14557.54</v>
      </c>
      <c r="G406" s="427" t="s">
        <v>7088</v>
      </c>
      <c r="H406" s="415" t="s">
        <v>310</v>
      </c>
      <c r="I406" s="473" t="s">
        <v>1461</v>
      </c>
      <c r="J406" s="415" t="s">
        <v>310</v>
      </c>
      <c r="K406" s="415" t="s">
        <v>1220</v>
      </c>
      <c r="L406" s="415" t="s">
        <v>1368</v>
      </c>
      <c r="M406" s="415" t="s">
        <v>310</v>
      </c>
      <c r="N406" s="413">
        <v>44854</v>
      </c>
      <c r="O406" s="414" t="s">
        <v>400</v>
      </c>
      <c r="P406" s="655">
        <f t="shared" si="18"/>
        <v>10</v>
      </c>
      <c r="Q406" s="655">
        <f t="shared" si="19"/>
        <v>8</v>
      </c>
      <c r="R406" s="758" t="str">
        <f t="shared" si="21"/>
        <v>Gastos_com_Pessoal</v>
      </c>
      <c r="S406" s="697" t="s">
        <v>310</v>
      </c>
      <c r="T406" s="697" t="s">
        <v>310</v>
      </c>
    </row>
    <row r="407" spans="1:20" ht="24" x14ac:dyDescent="0.2">
      <c r="A407" s="432">
        <f>IF(B407="","",COUNT('Diário 1º PA'!$A$4:$A$2635)+COUNT('Diário 2º PA'!$A$4:$A$3040)+COUNT('Diário 3º PA'!$A$4:$A$2731)+ROW()-3)</f>
        <v>6432</v>
      </c>
      <c r="B407" s="413">
        <v>44854</v>
      </c>
      <c r="C407" s="433">
        <v>44805</v>
      </c>
      <c r="D407" s="415" t="s">
        <v>182</v>
      </c>
      <c r="E407" s="415" t="s">
        <v>287</v>
      </c>
      <c r="F407" s="425">
        <v>56.98</v>
      </c>
      <c r="G407" s="427" t="s">
        <v>7410</v>
      </c>
      <c r="H407" s="415" t="s">
        <v>310</v>
      </c>
      <c r="I407" s="473" t="s">
        <v>1461</v>
      </c>
      <c r="J407" s="415" t="s">
        <v>310</v>
      </c>
      <c r="K407" s="415" t="s">
        <v>1220</v>
      </c>
      <c r="L407" s="415" t="s">
        <v>1368</v>
      </c>
      <c r="M407" s="415" t="s">
        <v>310</v>
      </c>
      <c r="N407" s="413">
        <v>44854</v>
      </c>
      <c r="O407" s="414" t="s">
        <v>400</v>
      </c>
      <c r="P407" s="655">
        <f t="shared" si="18"/>
        <v>10</v>
      </c>
      <c r="Q407" s="655">
        <f t="shared" si="19"/>
        <v>9</v>
      </c>
      <c r="R407" s="758" t="str">
        <f t="shared" si="21"/>
        <v>Gastos_com_Pessoal</v>
      </c>
      <c r="S407" s="697" t="s">
        <v>310</v>
      </c>
      <c r="T407" s="697" t="s">
        <v>310</v>
      </c>
    </row>
    <row r="408" spans="1:20" ht="24" x14ac:dyDescent="0.2">
      <c r="A408" s="432">
        <f>IF(B408="","",COUNT('Diário 1º PA'!$A$4:$A$2635)+COUNT('Diário 2º PA'!$A$4:$A$3040)+COUNT('Diário 3º PA'!$A$4:$A$2731)+ROW()-3)</f>
        <v>6433</v>
      </c>
      <c r="B408" s="413">
        <v>44854</v>
      </c>
      <c r="C408" s="433">
        <v>44805</v>
      </c>
      <c r="D408" s="415" t="s">
        <v>182</v>
      </c>
      <c r="E408" s="415" t="s">
        <v>287</v>
      </c>
      <c r="F408" s="425">
        <v>196.88</v>
      </c>
      <c r="G408" s="427" t="s">
        <v>7411</v>
      </c>
      <c r="H408" s="415" t="s">
        <v>310</v>
      </c>
      <c r="I408" s="473" t="s">
        <v>1461</v>
      </c>
      <c r="J408" s="415" t="s">
        <v>310</v>
      </c>
      <c r="K408" s="415" t="s">
        <v>1220</v>
      </c>
      <c r="L408" s="415" t="s">
        <v>1368</v>
      </c>
      <c r="M408" s="415" t="s">
        <v>310</v>
      </c>
      <c r="N408" s="413">
        <v>44854</v>
      </c>
      <c r="O408" s="414" t="s">
        <v>400</v>
      </c>
      <c r="P408" s="655">
        <f t="shared" si="18"/>
        <v>10</v>
      </c>
      <c r="Q408" s="655">
        <f t="shared" si="19"/>
        <v>9</v>
      </c>
      <c r="R408" s="758" t="str">
        <f t="shared" si="21"/>
        <v>Gastos_com_Pessoal</v>
      </c>
      <c r="S408" s="697" t="s">
        <v>310</v>
      </c>
      <c r="T408" s="697" t="s">
        <v>310</v>
      </c>
    </row>
    <row r="409" spans="1:20" ht="24" x14ac:dyDescent="0.2">
      <c r="A409" s="432">
        <f>IF(B409="","",COUNT('Diário 1º PA'!$A$4:$A$2635)+COUNT('Diário 2º PA'!$A$4:$A$3040)+COUNT('Diário 3º PA'!$A$4:$A$2731)+ROW()-3)</f>
        <v>6434</v>
      </c>
      <c r="B409" s="413">
        <v>44854</v>
      </c>
      <c r="C409" s="433">
        <v>44774</v>
      </c>
      <c r="D409" s="434" t="s">
        <v>182</v>
      </c>
      <c r="E409" s="434" t="s">
        <v>179</v>
      </c>
      <c r="F409" s="435">
        <v>20.63</v>
      </c>
      <c r="G409" s="437" t="s">
        <v>6954</v>
      </c>
      <c r="H409" s="434" t="s">
        <v>310</v>
      </c>
      <c r="I409" s="473" t="s">
        <v>1461</v>
      </c>
      <c r="J409" s="415" t="s">
        <v>310</v>
      </c>
      <c r="K409" s="415" t="s">
        <v>1220</v>
      </c>
      <c r="L409" s="415" t="s">
        <v>1368</v>
      </c>
      <c r="M409" s="415" t="s">
        <v>310</v>
      </c>
      <c r="N409" s="413">
        <v>44854</v>
      </c>
      <c r="O409" s="414" t="s">
        <v>400</v>
      </c>
      <c r="P409" s="655">
        <f t="shared" si="18"/>
        <v>10</v>
      </c>
      <c r="Q409" s="655">
        <f t="shared" si="19"/>
        <v>8</v>
      </c>
      <c r="R409" s="758" t="str">
        <f t="shared" si="21"/>
        <v>Gastos_com_Pessoal</v>
      </c>
      <c r="S409" s="697" t="s">
        <v>310</v>
      </c>
      <c r="T409" s="697" t="s">
        <v>310</v>
      </c>
    </row>
    <row r="410" spans="1:20" ht="24" x14ac:dyDescent="0.2">
      <c r="A410" s="432">
        <f>IF(B410="","",COUNT('Diário 1º PA'!$A$4:$A$2635)+COUNT('Diário 2º PA'!$A$4:$A$3040)+COUNT('Diário 3º PA'!$A$4:$A$2731)+ROW()-3)</f>
        <v>6435</v>
      </c>
      <c r="B410" s="413">
        <v>44854</v>
      </c>
      <c r="C410" s="433">
        <v>44774</v>
      </c>
      <c r="D410" s="434" t="s">
        <v>182</v>
      </c>
      <c r="E410" s="434" t="s">
        <v>1</v>
      </c>
      <c r="F410" s="422">
        <v>45.16</v>
      </c>
      <c r="G410" s="423" t="s">
        <v>7826</v>
      </c>
      <c r="H410" s="419" t="s">
        <v>310</v>
      </c>
      <c r="I410" s="473" t="s">
        <v>1461</v>
      </c>
      <c r="J410" s="415" t="s">
        <v>310</v>
      </c>
      <c r="K410" s="415" t="s">
        <v>1220</v>
      </c>
      <c r="L410" s="415" t="s">
        <v>1368</v>
      </c>
      <c r="M410" s="415" t="s">
        <v>310</v>
      </c>
      <c r="N410" s="413">
        <v>44854</v>
      </c>
      <c r="O410" s="414" t="s">
        <v>400</v>
      </c>
      <c r="P410" s="655">
        <f t="shared" si="18"/>
        <v>10</v>
      </c>
      <c r="Q410" s="655">
        <f t="shared" si="19"/>
        <v>8</v>
      </c>
      <c r="R410" s="758" t="str">
        <f t="shared" si="21"/>
        <v>Gastos_com_Pessoal</v>
      </c>
      <c r="S410" s="697" t="s">
        <v>310</v>
      </c>
      <c r="T410" s="697" t="s">
        <v>310</v>
      </c>
    </row>
    <row r="411" spans="1:20" ht="24" x14ac:dyDescent="0.2">
      <c r="A411" s="432">
        <f>IF(B411="","",COUNT('Diário 1º PA'!$A$4:$A$2635)+COUNT('Diário 2º PA'!$A$4:$A$3040)+COUNT('Diário 3º PA'!$A$4:$A$2731)+ROW()-3)</f>
        <v>6436</v>
      </c>
      <c r="B411" s="413">
        <v>44854</v>
      </c>
      <c r="C411" s="431">
        <v>44805</v>
      </c>
      <c r="D411" s="415" t="s">
        <v>271</v>
      </c>
      <c r="E411" s="415" t="s">
        <v>59</v>
      </c>
      <c r="F411" s="425">
        <v>127.5</v>
      </c>
      <c r="G411" s="427" t="s">
        <v>7539</v>
      </c>
      <c r="H411" s="415" t="s">
        <v>309</v>
      </c>
      <c r="I411" s="473" t="s">
        <v>1461</v>
      </c>
      <c r="J411" s="415" t="s">
        <v>310</v>
      </c>
      <c r="K411" s="415" t="s">
        <v>1220</v>
      </c>
      <c r="L411" s="415" t="s">
        <v>1368</v>
      </c>
      <c r="M411" s="415" t="s">
        <v>310</v>
      </c>
      <c r="N411" s="413">
        <v>44854</v>
      </c>
      <c r="O411" s="414" t="s">
        <v>400</v>
      </c>
      <c r="P411" s="655">
        <f t="shared" si="18"/>
        <v>10</v>
      </c>
      <c r="Q411" s="655">
        <f t="shared" si="19"/>
        <v>9</v>
      </c>
      <c r="R411" s="758" t="str">
        <f t="shared" si="21"/>
        <v>Gastos_Gerais</v>
      </c>
      <c r="S411" s="697" t="s">
        <v>310</v>
      </c>
      <c r="T411" s="697" t="s">
        <v>310</v>
      </c>
    </row>
    <row r="412" spans="1:20" ht="24" x14ac:dyDescent="0.2">
      <c r="A412" s="432">
        <f>IF(B412="","",COUNT('Diário 1º PA'!$A$4:$A$2635)+COUNT('Diário 2º PA'!$A$4:$A$3040)+COUNT('Diário 3º PA'!$A$4:$A$2731)+ROW()-3)</f>
        <v>6437</v>
      </c>
      <c r="B412" s="413">
        <v>44854</v>
      </c>
      <c r="C412" s="433">
        <v>44774</v>
      </c>
      <c r="D412" s="434" t="s">
        <v>182</v>
      </c>
      <c r="E412" s="434" t="s">
        <v>179</v>
      </c>
      <c r="F412" s="435">
        <v>29.99</v>
      </c>
      <c r="G412" s="437" t="s">
        <v>6956</v>
      </c>
      <c r="H412" s="434" t="s">
        <v>310</v>
      </c>
      <c r="I412" s="473" t="s">
        <v>1461</v>
      </c>
      <c r="J412" s="415" t="s">
        <v>310</v>
      </c>
      <c r="K412" s="415" t="s">
        <v>1220</v>
      </c>
      <c r="L412" s="415" t="s">
        <v>1368</v>
      </c>
      <c r="M412" s="415" t="s">
        <v>310</v>
      </c>
      <c r="N412" s="413">
        <v>44854</v>
      </c>
      <c r="O412" s="414" t="s">
        <v>400</v>
      </c>
      <c r="P412" s="655">
        <f t="shared" si="18"/>
        <v>10</v>
      </c>
      <c r="Q412" s="655">
        <f t="shared" si="19"/>
        <v>8</v>
      </c>
      <c r="R412" s="758" t="str">
        <f t="shared" si="21"/>
        <v>Gastos_com_Pessoal</v>
      </c>
      <c r="S412" s="697" t="s">
        <v>310</v>
      </c>
      <c r="T412" s="697" t="s">
        <v>310</v>
      </c>
    </row>
    <row r="413" spans="1:20" ht="36" x14ac:dyDescent="0.2">
      <c r="A413" s="432">
        <f>IF(B413="","",COUNT('Diário 1º PA'!$A$4:$A$2635)+COUNT('Diário 2º PA'!$A$4:$A$3040)+COUNT('Diário 3º PA'!$A$4:$A$2731)+ROW()-3)</f>
        <v>6438</v>
      </c>
      <c r="B413" s="413">
        <v>44854</v>
      </c>
      <c r="C413" s="431">
        <v>44805</v>
      </c>
      <c r="D413" s="415" t="s">
        <v>271</v>
      </c>
      <c r="E413" s="415" t="s">
        <v>178</v>
      </c>
      <c r="F413" s="425">
        <v>143</v>
      </c>
      <c r="G413" s="427" t="s">
        <v>7264</v>
      </c>
      <c r="H413" s="419" t="s">
        <v>755</v>
      </c>
      <c r="I413" s="427" t="s">
        <v>1461</v>
      </c>
      <c r="J413" s="415" t="s">
        <v>310</v>
      </c>
      <c r="K413" s="415" t="s">
        <v>1220</v>
      </c>
      <c r="L413" s="415" t="s">
        <v>1368</v>
      </c>
      <c r="M413" s="415" t="s">
        <v>310</v>
      </c>
      <c r="N413" s="413">
        <v>44854</v>
      </c>
      <c r="O413" s="414" t="s">
        <v>400</v>
      </c>
      <c r="P413" s="655">
        <f t="shared" si="18"/>
        <v>10</v>
      </c>
      <c r="Q413" s="655">
        <f t="shared" si="19"/>
        <v>9</v>
      </c>
      <c r="R413" s="758" t="str">
        <f t="shared" si="21"/>
        <v>Gastos_Gerais</v>
      </c>
      <c r="S413" s="697" t="s">
        <v>310</v>
      </c>
      <c r="T413" s="697" t="s">
        <v>310</v>
      </c>
    </row>
    <row r="414" spans="1:20" ht="36" x14ac:dyDescent="0.2">
      <c r="A414" s="432">
        <f>IF(B414="","",COUNT('Diário 1º PA'!$A$4:$A$2635)+COUNT('Diário 2º PA'!$A$4:$A$3040)+COUNT('Diário 3º PA'!$A$4:$A$2731)+ROW()-3)</f>
        <v>6439</v>
      </c>
      <c r="B414" s="413">
        <v>44854</v>
      </c>
      <c r="C414" s="431">
        <v>44805</v>
      </c>
      <c r="D414" s="415" t="s">
        <v>271</v>
      </c>
      <c r="E414" s="415" t="s">
        <v>90</v>
      </c>
      <c r="F414" s="422">
        <v>2816</v>
      </c>
      <c r="G414" s="427" t="s">
        <v>7827</v>
      </c>
      <c r="H414" s="415" t="s">
        <v>310</v>
      </c>
      <c r="I414" s="427" t="s">
        <v>1461</v>
      </c>
      <c r="J414" s="415" t="s">
        <v>310</v>
      </c>
      <c r="K414" s="415" t="s">
        <v>1220</v>
      </c>
      <c r="L414" s="415" t="s">
        <v>1368</v>
      </c>
      <c r="M414" s="415" t="s">
        <v>310</v>
      </c>
      <c r="N414" s="413">
        <v>44854</v>
      </c>
      <c r="O414" s="414" t="s">
        <v>400</v>
      </c>
      <c r="P414" s="655">
        <f t="shared" si="18"/>
        <v>10</v>
      </c>
      <c r="Q414" s="655">
        <f t="shared" si="19"/>
        <v>9</v>
      </c>
      <c r="R414" s="758" t="str">
        <f t="shared" si="21"/>
        <v>Gastos_Gerais</v>
      </c>
      <c r="S414" s="697" t="s">
        <v>310</v>
      </c>
      <c r="T414" s="697" t="s">
        <v>310</v>
      </c>
    </row>
    <row r="415" spans="1:20" ht="72" x14ac:dyDescent="0.2">
      <c r="A415" s="432">
        <f>IF(B415="","",COUNT('Diário 1º PA'!$A$4:$A$2635)+COUNT('Diário 2º PA'!$A$4:$A$3040)+COUNT('Diário 3º PA'!$A$4:$A$2731)+ROW()-3)</f>
        <v>6440</v>
      </c>
      <c r="B415" s="413">
        <v>44854</v>
      </c>
      <c r="C415" s="431">
        <v>44805</v>
      </c>
      <c r="D415" s="415" t="s">
        <v>271</v>
      </c>
      <c r="E415" s="415" t="s">
        <v>186</v>
      </c>
      <c r="F415" s="425">
        <v>2952.47</v>
      </c>
      <c r="G415" s="427" t="s">
        <v>3151</v>
      </c>
      <c r="H415" s="415" t="s">
        <v>751</v>
      </c>
      <c r="I415" s="415" t="s">
        <v>3740</v>
      </c>
      <c r="J415" s="415" t="s">
        <v>1029</v>
      </c>
      <c r="K415" s="419" t="s">
        <v>812</v>
      </c>
      <c r="L415" s="415" t="s">
        <v>32</v>
      </c>
      <c r="M415" s="419" t="s">
        <v>7828</v>
      </c>
      <c r="N415" s="413">
        <v>44845</v>
      </c>
      <c r="O415" s="414" t="s">
        <v>400</v>
      </c>
      <c r="P415" s="655">
        <f t="shared" si="18"/>
        <v>10</v>
      </c>
      <c r="Q415" s="655">
        <f t="shared" si="19"/>
        <v>9</v>
      </c>
      <c r="R415" s="758" t="str">
        <f t="shared" si="21"/>
        <v>Gastos_Gerais</v>
      </c>
      <c r="S415" s="697" t="s">
        <v>1000</v>
      </c>
      <c r="T415" s="697">
        <v>1501</v>
      </c>
    </row>
    <row r="416" spans="1:20" ht="36" x14ac:dyDescent="0.2">
      <c r="A416" s="432">
        <f>IF(B416="","",COUNT('Diário 1º PA'!$A$4:$A$2635)+COUNT('Diário 2º PA'!$A$4:$A$3040)+COUNT('Diário 3º PA'!$A$4:$A$2731)+ROW()-3)</f>
        <v>6441</v>
      </c>
      <c r="B416" s="413">
        <v>44854</v>
      </c>
      <c r="C416" s="431">
        <v>44774</v>
      </c>
      <c r="D416" s="415" t="s">
        <v>271</v>
      </c>
      <c r="E416" s="415" t="s">
        <v>90</v>
      </c>
      <c r="F416" s="425">
        <v>57.45</v>
      </c>
      <c r="G416" s="427" t="s">
        <v>7001</v>
      </c>
      <c r="H416" s="415" t="s">
        <v>760</v>
      </c>
      <c r="I416" s="427" t="s">
        <v>1461</v>
      </c>
      <c r="J416" s="415" t="s">
        <v>310</v>
      </c>
      <c r="K416" s="415" t="s">
        <v>1220</v>
      </c>
      <c r="L416" s="415" t="s">
        <v>1368</v>
      </c>
      <c r="M416" s="415" t="s">
        <v>310</v>
      </c>
      <c r="N416" s="413">
        <v>44854</v>
      </c>
      <c r="O416" s="414" t="s">
        <v>400</v>
      </c>
      <c r="P416" s="655">
        <f t="shared" si="18"/>
        <v>10</v>
      </c>
      <c r="Q416" s="655">
        <f t="shared" si="19"/>
        <v>8</v>
      </c>
      <c r="R416" s="758" t="str">
        <f t="shared" si="21"/>
        <v>Gastos_Gerais</v>
      </c>
      <c r="S416" s="697" t="s">
        <v>310</v>
      </c>
      <c r="T416" s="697" t="s">
        <v>310</v>
      </c>
    </row>
    <row r="417" spans="1:20" ht="24" x14ac:dyDescent="0.2">
      <c r="A417" s="432">
        <f>IF(B417="","",COUNT('Diário 1º PA'!$A$4:$A$2635)+COUNT('Diário 2º PA'!$A$4:$A$3040)+COUNT('Diário 3º PA'!$A$4:$A$2731)+ROW()-3)</f>
        <v>6442</v>
      </c>
      <c r="B417" s="413">
        <v>44854</v>
      </c>
      <c r="C417" s="431">
        <v>44743</v>
      </c>
      <c r="D417" s="415" t="s">
        <v>271</v>
      </c>
      <c r="E417" s="415" t="s">
        <v>90</v>
      </c>
      <c r="F417" s="425">
        <v>179.2</v>
      </c>
      <c r="G417" s="427" t="s">
        <v>7095</v>
      </c>
      <c r="H417" s="419" t="s">
        <v>752</v>
      </c>
      <c r="I417" s="427" t="s">
        <v>1461</v>
      </c>
      <c r="J417" s="415" t="s">
        <v>310</v>
      </c>
      <c r="K417" s="415" t="s">
        <v>1220</v>
      </c>
      <c r="L417" s="415" t="s">
        <v>1368</v>
      </c>
      <c r="M417" s="415" t="s">
        <v>310</v>
      </c>
      <c r="N417" s="413">
        <v>44854</v>
      </c>
      <c r="O417" s="414" t="s">
        <v>400</v>
      </c>
      <c r="P417" s="655">
        <f t="shared" ref="P417:P480" si="22">IF(B417=0,0,IF(YEAR(B417)=$Q$1,MONTH(B417)-$P$1+1,(YEAR(B417)-$Q$1)*12-$P$1+1+MONTH(B417)))</f>
        <v>10</v>
      </c>
      <c r="Q417" s="655">
        <f t="shared" ref="Q417:Q480" si="23">IF(C417=0,0,IF(YEAR(C417)=$Q$1,MONTH(C417)-$P$1+1,(YEAR(C417)-$Q$1)*12-$P$1+1+MONTH(C417)))</f>
        <v>7</v>
      </c>
      <c r="R417" s="758" t="str">
        <f t="shared" si="21"/>
        <v>Gastos_Gerais</v>
      </c>
      <c r="S417" s="697" t="s">
        <v>310</v>
      </c>
      <c r="T417" s="697" t="s">
        <v>310</v>
      </c>
    </row>
    <row r="418" spans="1:20" ht="24" x14ac:dyDescent="0.2">
      <c r="A418" s="432">
        <f>IF(B418="","",COUNT('Diário 1º PA'!$A$4:$A$2635)+COUNT('Diário 2º PA'!$A$4:$A$3040)+COUNT('Diário 3º PA'!$A$4:$A$2731)+ROW()-3)</f>
        <v>6443</v>
      </c>
      <c r="B418" s="413">
        <v>44854</v>
      </c>
      <c r="C418" s="431">
        <v>44743</v>
      </c>
      <c r="D418" s="415" t="s">
        <v>271</v>
      </c>
      <c r="E418" s="415" t="s">
        <v>450</v>
      </c>
      <c r="F418" s="425">
        <v>44.1</v>
      </c>
      <c r="G418" s="427" t="s">
        <v>6971</v>
      </c>
      <c r="H418" s="415" t="s">
        <v>758</v>
      </c>
      <c r="I418" s="427" t="s">
        <v>1461</v>
      </c>
      <c r="J418" s="415" t="s">
        <v>310</v>
      </c>
      <c r="K418" s="415" t="s">
        <v>1220</v>
      </c>
      <c r="L418" s="415" t="s">
        <v>1368</v>
      </c>
      <c r="M418" s="415" t="s">
        <v>310</v>
      </c>
      <c r="N418" s="413">
        <v>44854</v>
      </c>
      <c r="O418" s="414" t="s">
        <v>400</v>
      </c>
      <c r="P418" s="655">
        <f t="shared" si="22"/>
        <v>10</v>
      </c>
      <c r="Q418" s="655">
        <f t="shared" si="23"/>
        <v>7</v>
      </c>
      <c r="R418" s="758" t="str">
        <f t="shared" ref="R418:R450" si="24">SUBSTITUTE(D418," ","_")</f>
        <v>Gastos_Gerais</v>
      </c>
      <c r="S418" s="697" t="s">
        <v>310</v>
      </c>
      <c r="T418" s="697" t="s">
        <v>310</v>
      </c>
    </row>
    <row r="419" spans="1:20" ht="24" x14ac:dyDescent="0.2">
      <c r="A419" s="432">
        <f>IF(B419="","",COUNT('Diário 1º PA'!$A$4:$A$2635)+COUNT('Diário 2º PA'!$A$4:$A$3040)+COUNT('Diário 3º PA'!$A$4:$A$2731)+ROW()-3)</f>
        <v>6444</v>
      </c>
      <c r="B419" s="413">
        <v>44854</v>
      </c>
      <c r="C419" s="431">
        <v>44774</v>
      </c>
      <c r="D419" s="434" t="s">
        <v>271</v>
      </c>
      <c r="E419" s="434" t="s">
        <v>2</v>
      </c>
      <c r="F419" s="435">
        <v>1881</v>
      </c>
      <c r="G419" s="427" t="s">
        <v>494</v>
      </c>
      <c r="H419" s="434" t="s">
        <v>309</v>
      </c>
      <c r="I419" s="427" t="s">
        <v>1461</v>
      </c>
      <c r="J419" s="415" t="s">
        <v>310</v>
      </c>
      <c r="K419" s="415" t="s">
        <v>1220</v>
      </c>
      <c r="L419" s="415" t="s">
        <v>1368</v>
      </c>
      <c r="M419" s="415" t="s">
        <v>310</v>
      </c>
      <c r="N419" s="413">
        <v>44854</v>
      </c>
      <c r="O419" s="414" t="s">
        <v>400</v>
      </c>
      <c r="P419" s="655">
        <f t="shared" si="22"/>
        <v>10</v>
      </c>
      <c r="Q419" s="655">
        <f t="shared" si="23"/>
        <v>8</v>
      </c>
      <c r="R419" s="758" t="str">
        <f t="shared" si="24"/>
        <v>Gastos_Gerais</v>
      </c>
      <c r="S419" s="697" t="s">
        <v>310</v>
      </c>
      <c r="T419" s="697" t="s">
        <v>310</v>
      </c>
    </row>
    <row r="420" spans="1:20" ht="24" x14ac:dyDescent="0.2">
      <c r="A420" s="432">
        <f>IF(B420="","",COUNT('Diário 1º PA'!$A$4:$A$2635)+COUNT('Diário 2º PA'!$A$4:$A$3040)+COUNT('Diário 3º PA'!$A$4:$A$2731)+ROW()-3)</f>
        <v>6445</v>
      </c>
      <c r="B420" s="413">
        <v>44854</v>
      </c>
      <c r="C420" s="431">
        <v>44774</v>
      </c>
      <c r="D420" s="415" t="s">
        <v>271</v>
      </c>
      <c r="E420" s="415" t="s">
        <v>59</v>
      </c>
      <c r="F420" s="425">
        <v>395.25</v>
      </c>
      <c r="G420" s="427" t="s">
        <v>7007</v>
      </c>
      <c r="H420" s="415" t="s">
        <v>309</v>
      </c>
      <c r="I420" s="427" t="s">
        <v>1461</v>
      </c>
      <c r="J420" s="415" t="s">
        <v>310</v>
      </c>
      <c r="K420" s="415" t="s">
        <v>1220</v>
      </c>
      <c r="L420" s="415" t="s">
        <v>1368</v>
      </c>
      <c r="M420" s="415" t="s">
        <v>310</v>
      </c>
      <c r="N420" s="413">
        <v>44854</v>
      </c>
      <c r="O420" s="414" t="s">
        <v>400</v>
      </c>
      <c r="P420" s="655">
        <f t="shared" si="22"/>
        <v>10</v>
      </c>
      <c r="Q420" s="655">
        <f t="shared" si="23"/>
        <v>8</v>
      </c>
      <c r="R420" s="758" t="str">
        <f t="shared" si="24"/>
        <v>Gastos_Gerais</v>
      </c>
      <c r="S420" s="697" t="s">
        <v>310</v>
      </c>
      <c r="T420" s="697" t="s">
        <v>310</v>
      </c>
    </row>
    <row r="421" spans="1:20" ht="24" x14ac:dyDescent="0.2">
      <c r="A421" s="432">
        <f>IF(B421="","",COUNT('Diário 1º PA'!$A$4:$A$2635)+COUNT('Diário 2º PA'!$A$4:$A$3040)+COUNT('Diário 3º PA'!$A$4:$A$2731)+ROW()-3)</f>
        <v>6446</v>
      </c>
      <c r="B421" s="413">
        <v>44854</v>
      </c>
      <c r="C421" s="433">
        <v>44805</v>
      </c>
      <c r="D421" s="415" t="s">
        <v>271</v>
      </c>
      <c r="E421" s="434" t="s">
        <v>163</v>
      </c>
      <c r="F421" s="435">
        <v>223.54</v>
      </c>
      <c r="G421" s="427" t="s">
        <v>5722</v>
      </c>
      <c r="H421" s="415" t="s">
        <v>309</v>
      </c>
      <c r="I421" s="437" t="s">
        <v>768</v>
      </c>
      <c r="J421" s="434" t="s">
        <v>1021</v>
      </c>
      <c r="K421" s="419" t="s">
        <v>1404</v>
      </c>
      <c r="L421" s="415" t="s">
        <v>807</v>
      </c>
      <c r="M421" s="419" t="s">
        <v>7830</v>
      </c>
      <c r="N421" s="413">
        <v>44835</v>
      </c>
      <c r="O421" s="414" t="s">
        <v>400</v>
      </c>
      <c r="P421" s="655">
        <f t="shared" si="22"/>
        <v>10</v>
      </c>
      <c r="Q421" s="655">
        <f t="shared" si="23"/>
        <v>9</v>
      </c>
      <c r="R421" s="758" t="str">
        <f t="shared" si="24"/>
        <v>Gastos_Gerais</v>
      </c>
      <c r="S421" s="697" t="s">
        <v>310</v>
      </c>
      <c r="T421" s="697" t="s">
        <v>310</v>
      </c>
    </row>
    <row r="422" spans="1:20" ht="24" x14ac:dyDescent="0.2">
      <c r="A422" s="432">
        <f>IF(B422="","",COUNT('Diário 1º PA'!$A$4:$A$2635)+COUNT('Diário 2º PA'!$A$4:$A$3040)+COUNT('Diário 3º PA'!$A$4:$A$2731)+ROW()-3)</f>
        <v>6447</v>
      </c>
      <c r="B422" s="413">
        <v>44854</v>
      </c>
      <c r="C422" s="431">
        <v>44774</v>
      </c>
      <c r="D422" s="415" t="s">
        <v>271</v>
      </c>
      <c r="E422" s="415" t="s">
        <v>462</v>
      </c>
      <c r="F422" s="425">
        <v>506.34</v>
      </c>
      <c r="G422" s="427" t="s">
        <v>6975</v>
      </c>
      <c r="H422" s="419" t="s">
        <v>793</v>
      </c>
      <c r="I422" s="427" t="s">
        <v>1461</v>
      </c>
      <c r="J422" s="415" t="s">
        <v>310</v>
      </c>
      <c r="K422" s="415" t="s">
        <v>1220</v>
      </c>
      <c r="L422" s="415" t="s">
        <v>1368</v>
      </c>
      <c r="M422" s="415" t="s">
        <v>310</v>
      </c>
      <c r="N422" s="413">
        <v>44854</v>
      </c>
      <c r="O422" s="414" t="s">
        <v>400</v>
      </c>
      <c r="P422" s="655">
        <f t="shared" si="22"/>
        <v>10</v>
      </c>
      <c r="Q422" s="655">
        <f t="shared" si="23"/>
        <v>8</v>
      </c>
      <c r="R422" s="758" t="str">
        <f t="shared" si="24"/>
        <v>Gastos_Gerais</v>
      </c>
      <c r="S422" s="697" t="s">
        <v>310</v>
      </c>
      <c r="T422" s="697" t="s">
        <v>310</v>
      </c>
    </row>
    <row r="423" spans="1:20" ht="36" x14ac:dyDescent="0.2">
      <c r="A423" s="432">
        <f>IF(B423="","",COUNT('Diário 1º PA'!$A$4:$A$2635)+COUNT('Diário 2º PA'!$A$4:$A$3040)+COUNT('Diário 3º PA'!$A$4:$A$2731)+ROW()-3)</f>
        <v>6448</v>
      </c>
      <c r="B423" s="413">
        <v>44854</v>
      </c>
      <c r="C423" s="431">
        <v>44774</v>
      </c>
      <c r="D423" s="415" t="s">
        <v>271</v>
      </c>
      <c r="E423" s="415" t="s">
        <v>456</v>
      </c>
      <c r="F423" s="425">
        <v>558</v>
      </c>
      <c r="G423" s="427" t="s">
        <v>6978</v>
      </c>
      <c r="H423" s="415" t="s">
        <v>760</v>
      </c>
      <c r="I423" s="427" t="s">
        <v>1461</v>
      </c>
      <c r="J423" s="415" t="s">
        <v>310</v>
      </c>
      <c r="K423" s="415" t="s">
        <v>1220</v>
      </c>
      <c r="L423" s="415" t="s">
        <v>1368</v>
      </c>
      <c r="M423" s="415" t="s">
        <v>310</v>
      </c>
      <c r="N423" s="413">
        <v>44854</v>
      </c>
      <c r="O423" s="414" t="s">
        <v>400</v>
      </c>
      <c r="P423" s="655">
        <f t="shared" si="22"/>
        <v>10</v>
      </c>
      <c r="Q423" s="655">
        <f t="shared" si="23"/>
        <v>8</v>
      </c>
      <c r="R423" s="758" t="str">
        <f t="shared" si="24"/>
        <v>Gastos_Gerais</v>
      </c>
      <c r="S423" s="697" t="s">
        <v>310</v>
      </c>
      <c r="T423" s="697" t="s">
        <v>310</v>
      </c>
    </row>
    <row r="424" spans="1:20" ht="24" x14ac:dyDescent="0.2">
      <c r="A424" s="432">
        <f>IF(B424="","",COUNT('Diário 1º PA'!$A$4:$A$2635)+COUNT('Diário 2º PA'!$A$4:$A$3040)+COUNT('Diário 3º PA'!$A$4:$A$2731)+ROW()-3)</f>
        <v>6449</v>
      </c>
      <c r="B424" s="413">
        <v>44854</v>
      </c>
      <c r="C424" s="431">
        <v>44743</v>
      </c>
      <c r="D424" s="415" t="s">
        <v>271</v>
      </c>
      <c r="E424" s="415" t="s">
        <v>450</v>
      </c>
      <c r="F424" s="425">
        <v>868</v>
      </c>
      <c r="G424" s="427" t="s">
        <v>6972</v>
      </c>
      <c r="H424" s="415" t="s">
        <v>758</v>
      </c>
      <c r="I424" s="427" t="s">
        <v>1461</v>
      </c>
      <c r="J424" s="415" t="s">
        <v>310</v>
      </c>
      <c r="K424" s="415" t="s">
        <v>1220</v>
      </c>
      <c r="L424" s="415" t="s">
        <v>1368</v>
      </c>
      <c r="M424" s="415" t="s">
        <v>310</v>
      </c>
      <c r="N424" s="413">
        <v>44854</v>
      </c>
      <c r="O424" s="414" t="s">
        <v>400</v>
      </c>
      <c r="P424" s="655">
        <f t="shared" si="22"/>
        <v>10</v>
      </c>
      <c r="Q424" s="655">
        <f t="shared" si="23"/>
        <v>7</v>
      </c>
      <c r="R424" s="758" t="str">
        <f t="shared" si="24"/>
        <v>Gastos_Gerais</v>
      </c>
      <c r="S424" s="697" t="s">
        <v>310</v>
      </c>
      <c r="T424" s="697" t="s">
        <v>310</v>
      </c>
    </row>
    <row r="425" spans="1:20" ht="36" x14ac:dyDescent="0.2">
      <c r="A425" s="432">
        <f>IF(B425="","",COUNT('Diário 1º PA'!$A$4:$A$2635)+COUNT('Diário 2º PA'!$A$4:$A$3040)+COUNT('Diário 3º PA'!$A$4:$A$2731)+ROW()-3)</f>
        <v>6450</v>
      </c>
      <c r="B425" s="413">
        <v>44854</v>
      </c>
      <c r="C425" s="431">
        <v>44774</v>
      </c>
      <c r="D425" s="415" t="s">
        <v>271</v>
      </c>
      <c r="E425" s="415" t="s">
        <v>90</v>
      </c>
      <c r="F425" s="425">
        <v>930</v>
      </c>
      <c r="G425" s="427" t="s">
        <v>7002</v>
      </c>
      <c r="H425" s="415" t="s">
        <v>760</v>
      </c>
      <c r="I425" s="427" t="s">
        <v>1461</v>
      </c>
      <c r="J425" s="415" t="s">
        <v>310</v>
      </c>
      <c r="K425" s="415" t="s">
        <v>1220</v>
      </c>
      <c r="L425" s="415" t="s">
        <v>1368</v>
      </c>
      <c r="M425" s="415" t="s">
        <v>310</v>
      </c>
      <c r="N425" s="413">
        <v>44854</v>
      </c>
      <c r="O425" s="414" t="s">
        <v>400</v>
      </c>
      <c r="P425" s="655">
        <f t="shared" si="22"/>
        <v>10</v>
      </c>
      <c r="Q425" s="655">
        <f t="shared" si="23"/>
        <v>8</v>
      </c>
      <c r="R425" s="758" t="str">
        <f t="shared" si="24"/>
        <v>Gastos_Gerais</v>
      </c>
      <c r="S425" s="697" t="s">
        <v>310</v>
      </c>
      <c r="T425" s="697" t="s">
        <v>310</v>
      </c>
    </row>
    <row r="426" spans="1:20" ht="24" x14ac:dyDescent="0.2">
      <c r="A426" s="432">
        <f>IF(B426="","",COUNT('Diário 1º PA'!$A$4:$A$2635)+COUNT('Diário 2º PA'!$A$4:$A$3040)+COUNT('Diário 3º PA'!$A$4:$A$2731)+ROW()-3)</f>
        <v>6451</v>
      </c>
      <c r="B426" s="413">
        <v>44854</v>
      </c>
      <c r="C426" s="431">
        <v>44774</v>
      </c>
      <c r="D426" s="415" t="s">
        <v>271</v>
      </c>
      <c r="E426" s="415" t="s">
        <v>453</v>
      </c>
      <c r="F426" s="425">
        <v>263.5</v>
      </c>
      <c r="G426" s="427" t="s">
        <v>7004</v>
      </c>
      <c r="H426" s="419" t="s">
        <v>758</v>
      </c>
      <c r="I426" s="427" t="s">
        <v>1461</v>
      </c>
      <c r="J426" s="415" t="s">
        <v>310</v>
      </c>
      <c r="K426" s="415" t="s">
        <v>1220</v>
      </c>
      <c r="L426" s="415" t="s">
        <v>1368</v>
      </c>
      <c r="M426" s="415" t="s">
        <v>310</v>
      </c>
      <c r="N426" s="413">
        <v>44854</v>
      </c>
      <c r="O426" s="414" t="s">
        <v>400</v>
      </c>
      <c r="P426" s="655">
        <f t="shared" si="22"/>
        <v>10</v>
      </c>
      <c r="Q426" s="655">
        <f t="shared" si="23"/>
        <v>8</v>
      </c>
      <c r="R426" s="758" t="str">
        <f t="shared" si="24"/>
        <v>Gastos_Gerais</v>
      </c>
      <c r="S426" s="697" t="s">
        <v>310</v>
      </c>
      <c r="T426" s="697" t="s">
        <v>310</v>
      </c>
    </row>
    <row r="427" spans="1:20" ht="24" x14ac:dyDescent="0.2">
      <c r="A427" s="432">
        <f>IF(B427="","",COUNT('Diário 1º PA'!$A$4:$A$2635)+COUNT('Diário 2º PA'!$A$4:$A$3040)+COUNT('Diário 3º PA'!$A$4:$A$2731)+ROW()-3)</f>
        <v>6452</v>
      </c>
      <c r="B427" s="413">
        <v>44854</v>
      </c>
      <c r="C427" s="431">
        <v>44743</v>
      </c>
      <c r="D427" s="415" t="s">
        <v>271</v>
      </c>
      <c r="E427" s="415" t="s">
        <v>90</v>
      </c>
      <c r="F427" s="425">
        <v>1240</v>
      </c>
      <c r="G427" s="427" t="s">
        <v>7096</v>
      </c>
      <c r="H427" s="419" t="s">
        <v>752</v>
      </c>
      <c r="I427" s="427" t="s">
        <v>1461</v>
      </c>
      <c r="J427" s="415" t="s">
        <v>310</v>
      </c>
      <c r="K427" s="415" t="s">
        <v>1220</v>
      </c>
      <c r="L427" s="415" t="s">
        <v>1368</v>
      </c>
      <c r="M427" s="415" t="s">
        <v>310</v>
      </c>
      <c r="N427" s="413">
        <v>44854</v>
      </c>
      <c r="O427" s="414" t="s">
        <v>400</v>
      </c>
      <c r="P427" s="655">
        <f t="shared" si="22"/>
        <v>10</v>
      </c>
      <c r="Q427" s="655">
        <f t="shared" si="23"/>
        <v>7</v>
      </c>
      <c r="R427" s="758" t="str">
        <f t="shared" si="24"/>
        <v>Gastos_Gerais</v>
      </c>
      <c r="S427" s="697" t="s">
        <v>310</v>
      </c>
      <c r="T427" s="697" t="s">
        <v>310</v>
      </c>
    </row>
    <row r="428" spans="1:20" ht="24" x14ac:dyDescent="0.2">
      <c r="A428" s="432">
        <f>IF(B428="","",COUNT('Diário 1º PA'!$A$4:$A$2635)+COUNT('Diário 2º PA'!$A$4:$A$3040)+COUNT('Diário 3º PA'!$A$4:$A$2731)+ROW()-3)</f>
        <v>6453</v>
      </c>
      <c r="B428" s="413">
        <v>44854</v>
      </c>
      <c r="C428" s="431">
        <v>44743</v>
      </c>
      <c r="D428" s="415" t="s">
        <v>271</v>
      </c>
      <c r="E428" s="415" t="s">
        <v>297</v>
      </c>
      <c r="F428" s="425">
        <v>248</v>
      </c>
      <c r="G428" s="427" t="s">
        <v>7145</v>
      </c>
      <c r="H428" s="419" t="s">
        <v>793</v>
      </c>
      <c r="I428" s="427" t="s">
        <v>1461</v>
      </c>
      <c r="J428" s="415" t="s">
        <v>310</v>
      </c>
      <c r="K428" s="415" t="s">
        <v>1220</v>
      </c>
      <c r="L428" s="415" t="s">
        <v>1368</v>
      </c>
      <c r="M428" s="415" t="s">
        <v>310</v>
      </c>
      <c r="N428" s="413">
        <v>44854</v>
      </c>
      <c r="O428" s="414" t="s">
        <v>400</v>
      </c>
      <c r="P428" s="655">
        <f t="shared" si="22"/>
        <v>10</v>
      </c>
      <c r="Q428" s="655">
        <f t="shared" si="23"/>
        <v>7</v>
      </c>
      <c r="R428" s="758" t="str">
        <f t="shared" si="24"/>
        <v>Gastos_Gerais</v>
      </c>
      <c r="S428" s="697" t="s">
        <v>310</v>
      </c>
      <c r="T428" s="697" t="s">
        <v>310</v>
      </c>
    </row>
    <row r="429" spans="1:20" ht="24" x14ac:dyDescent="0.2">
      <c r="A429" s="432">
        <f>IF(B429="","",COUNT('Diário 1º PA'!$A$4:$A$2635)+COUNT('Diário 2º PA'!$A$4:$A$3040)+COUNT('Diário 3º PA'!$A$4:$A$2731)+ROW()-3)</f>
        <v>6454</v>
      </c>
      <c r="B429" s="413">
        <v>44854</v>
      </c>
      <c r="C429" s="431">
        <v>44743</v>
      </c>
      <c r="D429" s="415" t="s">
        <v>271</v>
      </c>
      <c r="E429" s="415" t="s">
        <v>456</v>
      </c>
      <c r="F429" s="425">
        <v>248</v>
      </c>
      <c r="G429" s="427" t="s">
        <v>7138</v>
      </c>
      <c r="H429" s="419" t="s">
        <v>749</v>
      </c>
      <c r="I429" s="427" t="s">
        <v>1461</v>
      </c>
      <c r="J429" s="415" t="s">
        <v>310</v>
      </c>
      <c r="K429" s="415" t="s">
        <v>1220</v>
      </c>
      <c r="L429" s="415" t="s">
        <v>1368</v>
      </c>
      <c r="M429" s="415" t="s">
        <v>310</v>
      </c>
      <c r="N429" s="413">
        <v>44854</v>
      </c>
      <c r="O429" s="414" t="s">
        <v>400</v>
      </c>
      <c r="P429" s="655">
        <f t="shared" si="22"/>
        <v>10</v>
      </c>
      <c r="Q429" s="655">
        <f t="shared" si="23"/>
        <v>7</v>
      </c>
      <c r="R429" s="758" t="str">
        <f t="shared" si="24"/>
        <v>Gastos_Gerais</v>
      </c>
      <c r="S429" s="697" t="s">
        <v>310</v>
      </c>
      <c r="T429" s="697" t="s">
        <v>310</v>
      </c>
    </row>
    <row r="430" spans="1:20" ht="24" x14ac:dyDescent="0.2">
      <c r="A430" s="432">
        <f>IF(B430="","",COUNT('Diário 1º PA'!$A$4:$A$2635)+COUNT('Diário 2º PA'!$A$4:$A$3040)+COUNT('Diário 3º PA'!$A$4:$A$2731)+ROW()-3)</f>
        <v>6455</v>
      </c>
      <c r="B430" s="413">
        <v>44854</v>
      </c>
      <c r="C430" s="431">
        <v>44743</v>
      </c>
      <c r="D430" s="415" t="s">
        <v>271</v>
      </c>
      <c r="E430" s="415" t="s">
        <v>456</v>
      </c>
      <c r="F430" s="425">
        <v>387.5</v>
      </c>
      <c r="G430" s="427" t="s">
        <v>7165</v>
      </c>
      <c r="H430" s="419" t="s">
        <v>748</v>
      </c>
      <c r="I430" s="427" t="s">
        <v>1461</v>
      </c>
      <c r="J430" s="415" t="s">
        <v>310</v>
      </c>
      <c r="K430" s="415" t="s">
        <v>1220</v>
      </c>
      <c r="L430" s="415" t="s">
        <v>1368</v>
      </c>
      <c r="M430" s="415" t="s">
        <v>310</v>
      </c>
      <c r="N430" s="413">
        <v>44854</v>
      </c>
      <c r="O430" s="414" t="s">
        <v>400</v>
      </c>
      <c r="P430" s="655">
        <f t="shared" si="22"/>
        <v>10</v>
      </c>
      <c r="Q430" s="655">
        <f t="shared" si="23"/>
        <v>7</v>
      </c>
      <c r="R430" s="758" t="str">
        <f t="shared" si="24"/>
        <v>Gastos_Gerais</v>
      </c>
      <c r="S430" s="697" t="s">
        <v>310</v>
      </c>
      <c r="T430" s="697" t="s">
        <v>310</v>
      </c>
    </row>
    <row r="431" spans="1:20" ht="24" x14ac:dyDescent="0.2">
      <c r="A431" s="432">
        <f>IF(B431="","",COUNT('Diário 1º PA'!$A$4:$A$2635)+COUNT('Diário 2º PA'!$A$4:$A$3040)+COUNT('Diário 3º PA'!$A$4:$A$2731)+ROW()-3)</f>
        <v>6456</v>
      </c>
      <c r="B431" s="413">
        <v>44854</v>
      </c>
      <c r="C431" s="431">
        <v>44774</v>
      </c>
      <c r="D431" s="415" t="s">
        <v>271</v>
      </c>
      <c r="E431" s="415" t="s">
        <v>453</v>
      </c>
      <c r="F431" s="425">
        <v>210.8</v>
      </c>
      <c r="G431" s="427" t="s">
        <v>7135</v>
      </c>
      <c r="H431" s="419" t="s">
        <v>748</v>
      </c>
      <c r="I431" s="427" t="s">
        <v>1461</v>
      </c>
      <c r="J431" s="415" t="s">
        <v>310</v>
      </c>
      <c r="K431" s="415" t="s">
        <v>1220</v>
      </c>
      <c r="L431" s="415" t="s">
        <v>1368</v>
      </c>
      <c r="M431" s="415" t="s">
        <v>310</v>
      </c>
      <c r="N431" s="413">
        <v>44854</v>
      </c>
      <c r="O431" s="414" t="s">
        <v>400</v>
      </c>
      <c r="P431" s="655">
        <f t="shared" si="22"/>
        <v>10</v>
      </c>
      <c r="Q431" s="655">
        <f t="shared" si="23"/>
        <v>8</v>
      </c>
      <c r="R431" s="758" t="str">
        <f t="shared" si="24"/>
        <v>Gastos_Gerais</v>
      </c>
      <c r="S431" s="697" t="s">
        <v>310</v>
      </c>
      <c r="T431" s="697" t="s">
        <v>310</v>
      </c>
    </row>
    <row r="432" spans="1:20" ht="36" x14ac:dyDescent="0.2">
      <c r="A432" s="432">
        <f>IF(B432="","",COUNT('Diário 1º PA'!$A$4:$A$2635)+COUNT('Diário 2º PA'!$A$4:$A$3040)+COUNT('Diário 3º PA'!$A$4:$A$2731)+ROW()-3)</f>
        <v>6457</v>
      </c>
      <c r="B432" s="413">
        <v>44854</v>
      </c>
      <c r="C432" s="431">
        <v>44743</v>
      </c>
      <c r="D432" s="415" t="s">
        <v>271</v>
      </c>
      <c r="E432" s="415" t="s">
        <v>456</v>
      </c>
      <c r="F432" s="425">
        <v>248</v>
      </c>
      <c r="G432" s="427" t="s">
        <v>7339</v>
      </c>
      <c r="H432" s="419" t="s">
        <v>760</v>
      </c>
      <c r="I432" s="427" t="s">
        <v>1461</v>
      </c>
      <c r="J432" s="415" t="s">
        <v>310</v>
      </c>
      <c r="K432" s="415" t="s">
        <v>1220</v>
      </c>
      <c r="L432" s="415" t="s">
        <v>1368</v>
      </c>
      <c r="M432" s="415" t="s">
        <v>310</v>
      </c>
      <c r="N432" s="413">
        <v>44854</v>
      </c>
      <c r="O432" s="414" t="s">
        <v>400</v>
      </c>
      <c r="P432" s="655">
        <f t="shared" si="22"/>
        <v>10</v>
      </c>
      <c r="Q432" s="655">
        <f t="shared" si="23"/>
        <v>7</v>
      </c>
      <c r="R432" s="758" t="str">
        <f t="shared" si="24"/>
        <v>Gastos_Gerais</v>
      </c>
      <c r="S432" s="697" t="s">
        <v>310</v>
      </c>
      <c r="T432" s="697" t="s">
        <v>310</v>
      </c>
    </row>
    <row r="433" spans="1:20" ht="48" x14ac:dyDescent="0.2">
      <c r="A433" s="432">
        <f>IF(B433="","",COUNT('Diário 1º PA'!$A$4:$A$2635)+COUNT('Diário 2º PA'!$A$4:$A$3040)+COUNT('Diário 3º PA'!$A$4:$A$2731)+ROW()-3)</f>
        <v>6458</v>
      </c>
      <c r="B433" s="413">
        <v>44854</v>
      </c>
      <c r="C433" s="424">
        <v>44805</v>
      </c>
      <c r="D433" s="415" t="s">
        <v>468</v>
      </c>
      <c r="E433" s="415" t="s">
        <v>468</v>
      </c>
      <c r="F433" s="425">
        <v>2015</v>
      </c>
      <c r="G433" s="427" t="s">
        <v>7831</v>
      </c>
      <c r="H433" s="415" t="s">
        <v>468</v>
      </c>
      <c r="I433" s="427" t="s">
        <v>795</v>
      </c>
      <c r="J433" s="415" t="s">
        <v>796</v>
      </c>
      <c r="K433" s="419" t="s">
        <v>806</v>
      </c>
      <c r="L433" s="415" t="s">
        <v>798</v>
      </c>
      <c r="M433" s="415" t="s">
        <v>310</v>
      </c>
      <c r="N433" s="413">
        <v>44854</v>
      </c>
      <c r="O433" s="414" t="s">
        <v>400</v>
      </c>
      <c r="P433" s="655">
        <f t="shared" si="22"/>
        <v>10</v>
      </c>
      <c r="Q433" s="655">
        <f t="shared" si="23"/>
        <v>9</v>
      </c>
      <c r="R433" s="758" t="str">
        <f t="shared" si="24"/>
        <v>Gastos_custeados_por_captação</v>
      </c>
      <c r="S433" s="697" t="s">
        <v>310</v>
      </c>
      <c r="T433" s="697" t="s">
        <v>310</v>
      </c>
    </row>
    <row r="434" spans="1:20" ht="48" x14ac:dyDescent="0.2">
      <c r="A434" s="432">
        <f>IF(B434="","",COUNT('Diário 1º PA'!$A$4:$A$2635)+COUNT('Diário 2º PA'!$A$4:$A$3040)+COUNT('Diário 3º PA'!$A$4:$A$2731)+ROW()-3)</f>
        <v>6459</v>
      </c>
      <c r="B434" s="413">
        <v>44854</v>
      </c>
      <c r="C434" s="424">
        <v>44805</v>
      </c>
      <c r="D434" s="415" t="s">
        <v>468</v>
      </c>
      <c r="E434" s="415" t="s">
        <v>468</v>
      </c>
      <c r="F434" s="425">
        <v>3100</v>
      </c>
      <c r="G434" s="427" t="s">
        <v>7832</v>
      </c>
      <c r="H434" s="415" t="s">
        <v>468</v>
      </c>
      <c r="I434" s="473" t="s">
        <v>795</v>
      </c>
      <c r="J434" s="415" t="s">
        <v>796</v>
      </c>
      <c r="K434" s="419" t="s">
        <v>806</v>
      </c>
      <c r="L434" s="415" t="s">
        <v>798</v>
      </c>
      <c r="M434" s="415" t="s">
        <v>310</v>
      </c>
      <c r="N434" s="413">
        <v>44854</v>
      </c>
      <c r="O434" s="414" t="s">
        <v>400</v>
      </c>
      <c r="P434" s="655">
        <f t="shared" si="22"/>
        <v>10</v>
      </c>
      <c r="Q434" s="655">
        <f t="shared" si="23"/>
        <v>9</v>
      </c>
      <c r="R434" s="758" t="str">
        <f t="shared" si="24"/>
        <v>Gastos_custeados_por_captação</v>
      </c>
      <c r="S434" s="697" t="s">
        <v>310</v>
      </c>
      <c r="T434" s="697" t="s">
        <v>310</v>
      </c>
    </row>
    <row r="435" spans="1:20" ht="48" x14ac:dyDescent="0.2">
      <c r="A435" s="432">
        <f>IF(B435="","",COUNT('Diário 1º PA'!$A$4:$A$2635)+COUNT('Diário 2º PA'!$A$4:$A$3040)+COUNT('Diário 3º PA'!$A$4:$A$2731)+ROW()-3)</f>
        <v>6460</v>
      </c>
      <c r="B435" s="413">
        <v>44854</v>
      </c>
      <c r="C435" s="424">
        <v>44805</v>
      </c>
      <c r="D435" s="415" t="s">
        <v>468</v>
      </c>
      <c r="E435" s="415" t="s">
        <v>468</v>
      </c>
      <c r="F435" s="425">
        <v>1937.5</v>
      </c>
      <c r="G435" s="427" t="s">
        <v>7833</v>
      </c>
      <c r="H435" s="415" t="s">
        <v>468</v>
      </c>
      <c r="I435" s="473" t="s">
        <v>795</v>
      </c>
      <c r="J435" s="415" t="s">
        <v>796</v>
      </c>
      <c r="K435" s="419" t="s">
        <v>806</v>
      </c>
      <c r="L435" s="415" t="s">
        <v>798</v>
      </c>
      <c r="M435" s="415" t="s">
        <v>310</v>
      </c>
      <c r="N435" s="413">
        <v>44854</v>
      </c>
      <c r="O435" s="414" t="s">
        <v>400</v>
      </c>
      <c r="P435" s="655">
        <f t="shared" si="22"/>
        <v>10</v>
      </c>
      <c r="Q435" s="655">
        <f t="shared" si="23"/>
        <v>9</v>
      </c>
      <c r="R435" s="758" t="str">
        <f t="shared" si="24"/>
        <v>Gastos_custeados_por_captação</v>
      </c>
      <c r="S435" s="697" t="s">
        <v>310</v>
      </c>
      <c r="T435" s="697" t="s">
        <v>310</v>
      </c>
    </row>
    <row r="436" spans="1:20" ht="48" x14ac:dyDescent="0.2">
      <c r="A436" s="432">
        <f>IF(B436="","",COUNT('Diário 1º PA'!$A$4:$A$2635)+COUNT('Diário 2º PA'!$A$4:$A$3040)+COUNT('Diário 3º PA'!$A$4:$A$2731)+ROW()-3)</f>
        <v>6461</v>
      </c>
      <c r="B436" s="413">
        <v>44854</v>
      </c>
      <c r="C436" s="424">
        <v>44805</v>
      </c>
      <c r="D436" s="415" t="s">
        <v>468</v>
      </c>
      <c r="E436" s="415" t="s">
        <v>468</v>
      </c>
      <c r="F436" s="422">
        <v>3619.59</v>
      </c>
      <c r="G436" s="427" t="s">
        <v>7834</v>
      </c>
      <c r="H436" s="415" t="s">
        <v>468</v>
      </c>
      <c r="I436" s="473" t="s">
        <v>795</v>
      </c>
      <c r="J436" s="415" t="s">
        <v>796</v>
      </c>
      <c r="K436" s="419" t="s">
        <v>806</v>
      </c>
      <c r="L436" s="415" t="s">
        <v>798</v>
      </c>
      <c r="M436" s="415" t="s">
        <v>310</v>
      </c>
      <c r="N436" s="413">
        <v>44854</v>
      </c>
      <c r="O436" s="414" t="s">
        <v>400</v>
      </c>
      <c r="P436" s="655">
        <f t="shared" si="22"/>
        <v>10</v>
      </c>
      <c r="Q436" s="655">
        <f t="shared" si="23"/>
        <v>9</v>
      </c>
      <c r="R436" s="758" t="str">
        <f t="shared" si="24"/>
        <v>Gastos_custeados_por_captação</v>
      </c>
      <c r="S436" s="697" t="s">
        <v>310</v>
      </c>
      <c r="T436" s="697" t="s">
        <v>310</v>
      </c>
    </row>
    <row r="437" spans="1:20" ht="48" x14ac:dyDescent="0.2">
      <c r="A437" s="432">
        <f>IF(B437="","",COUNT('Diário 1º PA'!$A$4:$A$2635)+COUNT('Diário 2º PA'!$A$4:$A$3040)+COUNT('Diário 3º PA'!$A$4:$A$2731)+ROW()-3)</f>
        <v>6462</v>
      </c>
      <c r="B437" s="413">
        <v>44854</v>
      </c>
      <c r="C437" s="424">
        <v>44805</v>
      </c>
      <c r="D437" s="415" t="s">
        <v>468</v>
      </c>
      <c r="E437" s="415" t="s">
        <v>468</v>
      </c>
      <c r="F437" s="422">
        <v>160</v>
      </c>
      <c r="G437" s="427" t="s">
        <v>7835</v>
      </c>
      <c r="H437" s="415" t="s">
        <v>468</v>
      </c>
      <c r="I437" s="473" t="s">
        <v>795</v>
      </c>
      <c r="J437" s="415" t="s">
        <v>796</v>
      </c>
      <c r="K437" s="419" t="s">
        <v>806</v>
      </c>
      <c r="L437" s="415" t="s">
        <v>798</v>
      </c>
      <c r="M437" s="415" t="s">
        <v>310</v>
      </c>
      <c r="N437" s="413">
        <v>44854</v>
      </c>
      <c r="O437" s="414" t="s">
        <v>400</v>
      </c>
      <c r="P437" s="655">
        <f t="shared" si="22"/>
        <v>10</v>
      </c>
      <c r="Q437" s="655">
        <f t="shared" si="23"/>
        <v>9</v>
      </c>
      <c r="R437" s="758" t="str">
        <f t="shared" si="24"/>
        <v>Gastos_custeados_por_captação</v>
      </c>
      <c r="S437" s="697" t="s">
        <v>310</v>
      </c>
      <c r="T437" s="697" t="s">
        <v>310</v>
      </c>
    </row>
    <row r="438" spans="1:20" ht="48" x14ac:dyDescent="0.2">
      <c r="A438" s="432">
        <f>IF(B438="","",COUNT('Diário 1º PA'!$A$4:$A$2635)+COUNT('Diário 2º PA'!$A$4:$A$3040)+COUNT('Diário 3º PA'!$A$4:$A$2731)+ROW()-3)</f>
        <v>6463</v>
      </c>
      <c r="B438" s="413">
        <v>44854</v>
      </c>
      <c r="C438" s="424">
        <v>44805</v>
      </c>
      <c r="D438" s="415" t="s">
        <v>468</v>
      </c>
      <c r="E438" s="415" t="s">
        <v>468</v>
      </c>
      <c r="F438" s="425">
        <v>930</v>
      </c>
      <c r="G438" s="427" t="s">
        <v>7836</v>
      </c>
      <c r="H438" s="415" t="s">
        <v>468</v>
      </c>
      <c r="I438" s="427" t="s">
        <v>795</v>
      </c>
      <c r="J438" s="415" t="s">
        <v>796</v>
      </c>
      <c r="K438" s="419" t="s">
        <v>806</v>
      </c>
      <c r="L438" s="415" t="s">
        <v>798</v>
      </c>
      <c r="M438" s="415" t="s">
        <v>310</v>
      </c>
      <c r="N438" s="413">
        <v>44854</v>
      </c>
      <c r="O438" s="414" t="s">
        <v>400</v>
      </c>
      <c r="P438" s="655">
        <f t="shared" si="22"/>
        <v>10</v>
      </c>
      <c r="Q438" s="655">
        <f t="shared" si="23"/>
        <v>9</v>
      </c>
      <c r="R438" s="758" t="str">
        <f t="shared" si="24"/>
        <v>Gastos_custeados_por_captação</v>
      </c>
      <c r="S438" s="697" t="s">
        <v>310</v>
      </c>
      <c r="T438" s="697" t="s">
        <v>310</v>
      </c>
    </row>
    <row r="439" spans="1:20" ht="48" x14ac:dyDescent="0.2">
      <c r="A439" s="432">
        <f>IF(B439="","",COUNT('Diário 1º PA'!$A$4:$A$2635)+COUNT('Diário 2º PA'!$A$4:$A$3040)+COUNT('Diário 3º PA'!$A$4:$A$2731)+ROW()-3)</f>
        <v>6464</v>
      </c>
      <c r="B439" s="413">
        <v>44854</v>
      </c>
      <c r="C439" s="424">
        <v>44805</v>
      </c>
      <c r="D439" s="415" t="s">
        <v>271</v>
      </c>
      <c r="E439" s="415" t="s">
        <v>90</v>
      </c>
      <c r="F439" s="686">
        <v>706.8</v>
      </c>
      <c r="G439" s="427" t="s">
        <v>7837</v>
      </c>
      <c r="H439" s="415" t="s">
        <v>310</v>
      </c>
      <c r="I439" s="473" t="s">
        <v>795</v>
      </c>
      <c r="J439" s="415" t="s">
        <v>796</v>
      </c>
      <c r="K439" s="419" t="s">
        <v>806</v>
      </c>
      <c r="L439" s="415" t="s">
        <v>798</v>
      </c>
      <c r="M439" s="415" t="s">
        <v>310</v>
      </c>
      <c r="N439" s="413">
        <v>44854</v>
      </c>
      <c r="O439" s="414" t="s">
        <v>400</v>
      </c>
      <c r="P439" s="655">
        <f t="shared" si="22"/>
        <v>10</v>
      </c>
      <c r="Q439" s="655">
        <f t="shared" si="23"/>
        <v>9</v>
      </c>
      <c r="R439" s="758" t="str">
        <f t="shared" si="24"/>
        <v>Gastos_Gerais</v>
      </c>
      <c r="S439" s="697" t="s">
        <v>310</v>
      </c>
      <c r="T439" s="697" t="s">
        <v>310</v>
      </c>
    </row>
    <row r="440" spans="1:20" ht="48" x14ac:dyDescent="0.2">
      <c r="A440" s="432">
        <f>IF(B440="","",COUNT('Diário 1º PA'!$A$4:$A$2635)+COUNT('Diário 2º PA'!$A$4:$A$3040)+COUNT('Diário 3º PA'!$A$4:$A$2731)+ROW()-3)</f>
        <v>6465</v>
      </c>
      <c r="B440" s="413">
        <v>44854</v>
      </c>
      <c r="C440" s="424">
        <v>44805</v>
      </c>
      <c r="D440" s="415" t="s">
        <v>468</v>
      </c>
      <c r="E440" s="415" t="s">
        <v>468</v>
      </c>
      <c r="F440" s="425">
        <v>2984.26</v>
      </c>
      <c r="G440" s="427" t="s">
        <v>7838</v>
      </c>
      <c r="H440" s="415" t="s">
        <v>468</v>
      </c>
      <c r="I440" s="473" t="s">
        <v>795</v>
      </c>
      <c r="J440" s="415" t="s">
        <v>796</v>
      </c>
      <c r="K440" s="419" t="s">
        <v>806</v>
      </c>
      <c r="L440" s="415" t="s">
        <v>798</v>
      </c>
      <c r="M440" s="415" t="s">
        <v>310</v>
      </c>
      <c r="N440" s="413">
        <v>44854</v>
      </c>
      <c r="O440" s="414" t="s">
        <v>400</v>
      </c>
      <c r="P440" s="655">
        <f t="shared" si="22"/>
        <v>10</v>
      </c>
      <c r="Q440" s="655">
        <f t="shared" si="23"/>
        <v>9</v>
      </c>
      <c r="R440" s="758" t="str">
        <f t="shared" si="24"/>
        <v>Gastos_custeados_por_captação</v>
      </c>
      <c r="S440" s="697" t="s">
        <v>310</v>
      </c>
      <c r="T440" s="697" t="s">
        <v>310</v>
      </c>
    </row>
    <row r="441" spans="1:20" ht="48" x14ac:dyDescent="0.2">
      <c r="A441" s="432">
        <f>IF(B441="","",COUNT('Diário 1º PA'!$A$4:$A$2635)+COUNT('Diário 2º PA'!$A$4:$A$3040)+COUNT('Diário 3º PA'!$A$4:$A$2731)+ROW()-3)</f>
        <v>6466</v>
      </c>
      <c r="B441" s="413">
        <v>44854</v>
      </c>
      <c r="C441" s="424">
        <v>44805</v>
      </c>
      <c r="D441" s="415" t="s">
        <v>468</v>
      </c>
      <c r="E441" s="415" t="s">
        <v>468</v>
      </c>
      <c r="F441" s="686">
        <v>1860</v>
      </c>
      <c r="G441" s="427" t="s">
        <v>7842</v>
      </c>
      <c r="H441" s="415" t="s">
        <v>468</v>
      </c>
      <c r="I441" s="473" t="s">
        <v>795</v>
      </c>
      <c r="J441" s="415" t="s">
        <v>796</v>
      </c>
      <c r="K441" s="415" t="s">
        <v>797</v>
      </c>
      <c r="L441" s="415" t="s">
        <v>798</v>
      </c>
      <c r="M441" s="415" t="s">
        <v>310</v>
      </c>
      <c r="N441" s="413">
        <v>44854</v>
      </c>
      <c r="O441" s="414" t="s">
        <v>400</v>
      </c>
      <c r="P441" s="655">
        <f t="shared" si="22"/>
        <v>10</v>
      </c>
      <c r="Q441" s="655">
        <f t="shared" si="23"/>
        <v>9</v>
      </c>
      <c r="R441" s="758" t="str">
        <f t="shared" si="24"/>
        <v>Gastos_custeados_por_captação</v>
      </c>
      <c r="S441" s="697" t="s">
        <v>310</v>
      </c>
      <c r="T441" s="697" t="s">
        <v>310</v>
      </c>
    </row>
    <row r="442" spans="1:20" ht="48" x14ac:dyDescent="0.2">
      <c r="A442" s="432">
        <f>IF(B442="","",COUNT('Diário 1º PA'!$A$4:$A$2635)+COUNT('Diário 2º PA'!$A$4:$A$3040)+COUNT('Diário 3º PA'!$A$4:$A$2731)+ROW()-3)</f>
        <v>6467</v>
      </c>
      <c r="B442" s="413">
        <v>44854</v>
      </c>
      <c r="C442" s="424">
        <v>44805</v>
      </c>
      <c r="D442" s="415" t="s">
        <v>468</v>
      </c>
      <c r="E442" s="415" t="s">
        <v>468</v>
      </c>
      <c r="F442" s="425">
        <v>9324.7999999999993</v>
      </c>
      <c r="G442" s="427" t="s">
        <v>7841</v>
      </c>
      <c r="H442" s="415" t="s">
        <v>468</v>
      </c>
      <c r="I442" s="427" t="s">
        <v>795</v>
      </c>
      <c r="J442" s="415" t="s">
        <v>796</v>
      </c>
      <c r="K442" s="415" t="s">
        <v>797</v>
      </c>
      <c r="L442" s="415" t="s">
        <v>798</v>
      </c>
      <c r="M442" s="415" t="s">
        <v>310</v>
      </c>
      <c r="N442" s="413">
        <v>44854</v>
      </c>
      <c r="O442" s="414" t="s">
        <v>400</v>
      </c>
      <c r="P442" s="655">
        <f t="shared" si="22"/>
        <v>10</v>
      </c>
      <c r="Q442" s="655">
        <f t="shared" si="23"/>
        <v>9</v>
      </c>
      <c r="R442" s="758" t="str">
        <f t="shared" si="24"/>
        <v>Gastos_custeados_por_captação</v>
      </c>
      <c r="S442" s="697" t="s">
        <v>310</v>
      </c>
      <c r="T442" s="697" t="s">
        <v>310</v>
      </c>
    </row>
    <row r="443" spans="1:20" ht="48" x14ac:dyDescent="0.2">
      <c r="A443" s="432">
        <f>IF(B443="","",COUNT('Diário 1º PA'!$A$4:$A$2635)+COUNT('Diário 2º PA'!$A$4:$A$3040)+COUNT('Diário 3º PA'!$A$4:$A$2731)+ROW()-3)</f>
        <v>6468</v>
      </c>
      <c r="B443" s="413">
        <v>44854</v>
      </c>
      <c r="C443" s="424">
        <v>44805</v>
      </c>
      <c r="D443" s="415" t="s">
        <v>182</v>
      </c>
      <c r="E443" s="415" t="s">
        <v>1</v>
      </c>
      <c r="F443" s="425">
        <v>3828.6</v>
      </c>
      <c r="G443" s="427" t="s">
        <v>7839</v>
      </c>
      <c r="H443" s="415" t="s">
        <v>310</v>
      </c>
      <c r="I443" s="473" t="s">
        <v>795</v>
      </c>
      <c r="J443" s="415" t="s">
        <v>796</v>
      </c>
      <c r="K443" s="419" t="s">
        <v>806</v>
      </c>
      <c r="L443" s="415" t="s">
        <v>798</v>
      </c>
      <c r="M443" s="415" t="s">
        <v>310</v>
      </c>
      <c r="N443" s="413">
        <v>44854</v>
      </c>
      <c r="O443" s="414" t="s">
        <v>400</v>
      </c>
      <c r="P443" s="655">
        <f t="shared" si="22"/>
        <v>10</v>
      </c>
      <c r="Q443" s="655">
        <f t="shared" si="23"/>
        <v>9</v>
      </c>
      <c r="R443" s="758" t="str">
        <f t="shared" si="24"/>
        <v>Gastos_com_Pessoal</v>
      </c>
      <c r="S443" s="697" t="s">
        <v>310</v>
      </c>
      <c r="T443" s="697" t="s">
        <v>310</v>
      </c>
    </row>
    <row r="444" spans="1:20" ht="48" x14ac:dyDescent="0.2">
      <c r="A444" s="432">
        <f>IF(B444="","",COUNT('Diário 1º PA'!$A$4:$A$2635)+COUNT('Diário 2º PA'!$A$4:$A$3040)+COUNT('Diário 3º PA'!$A$4:$A$2731)+ROW()-3)</f>
        <v>6469</v>
      </c>
      <c r="B444" s="413">
        <v>44854</v>
      </c>
      <c r="C444" s="424">
        <v>44805</v>
      </c>
      <c r="D444" s="415" t="s">
        <v>182</v>
      </c>
      <c r="E444" s="415" t="s">
        <v>252</v>
      </c>
      <c r="F444" s="425">
        <v>9722.57</v>
      </c>
      <c r="G444" s="427" t="s">
        <v>7840</v>
      </c>
      <c r="H444" s="415" t="s">
        <v>310</v>
      </c>
      <c r="I444" s="473" t="s">
        <v>795</v>
      </c>
      <c r="J444" s="415" t="s">
        <v>796</v>
      </c>
      <c r="K444" s="419" t="s">
        <v>806</v>
      </c>
      <c r="L444" s="415" t="s">
        <v>798</v>
      </c>
      <c r="M444" s="415" t="s">
        <v>310</v>
      </c>
      <c r="N444" s="413">
        <v>44854</v>
      </c>
      <c r="O444" s="414" t="s">
        <v>400</v>
      </c>
      <c r="P444" s="655">
        <f t="shared" si="22"/>
        <v>10</v>
      </c>
      <c r="Q444" s="655">
        <f t="shared" si="23"/>
        <v>9</v>
      </c>
      <c r="R444" s="758" t="str">
        <f t="shared" si="24"/>
        <v>Gastos_com_Pessoal</v>
      </c>
      <c r="S444" s="697" t="s">
        <v>310</v>
      </c>
      <c r="T444" s="697" t="s">
        <v>310</v>
      </c>
    </row>
    <row r="445" spans="1:20" ht="48" x14ac:dyDescent="0.2">
      <c r="A445" s="432">
        <f>IF(B445="","",COUNT('Diário 1º PA'!$A$4:$A$2635)+COUNT('Diário 2º PA'!$A$4:$A$3040)+COUNT('Diário 3º PA'!$A$4:$A$2731)+ROW()-3)</f>
        <v>6470</v>
      </c>
      <c r="B445" s="413">
        <v>44854</v>
      </c>
      <c r="C445" s="424">
        <v>44805</v>
      </c>
      <c r="D445" s="415" t="s">
        <v>468</v>
      </c>
      <c r="E445" s="415" t="s">
        <v>468</v>
      </c>
      <c r="F445" s="425">
        <v>417.43</v>
      </c>
      <c r="G445" s="427" t="s">
        <v>7843</v>
      </c>
      <c r="H445" s="415" t="s">
        <v>468</v>
      </c>
      <c r="I445" s="473" t="s">
        <v>795</v>
      </c>
      <c r="J445" s="415" t="s">
        <v>796</v>
      </c>
      <c r="K445" s="419" t="s">
        <v>806</v>
      </c>
      <c r="L445" s="415" t="s">
        <v>798</v>
      </c>
      <c r="M445" s="415" t="s">
        <v>310</v>
      </c>
      <c r="N445" s="413">
        <v>44854</v>
      </c>
      <c r="O445" s="414" t="s">
        <v>400</v>
      </c>
      <c r="P445" s="655">
        <f t="shared" si="22"/>
        <v>10</v>
      </c>
      <c r="Q445" s="655">
        <f t="shared" si="23"/>
        <v>9</v>
      </c>
      <c r="R445" s="758" t="str">
        <f t="shared" si="24"/>
        <v>Gastos_custeados_por_captação</v>
      </c>
      <c r="S445" s="697" t="s">
        <v>310</v>
      </c>
      <c r="T445" s="697" t="s">
        <v>310</v>
      </c>
    </row>
    <row r="446" spans="1:20" ht="24" x14ac:dyDescent="0.2">
      <c r="A446" s="432">
        <f>IF(B446="","",COUNT('Diário 1º PA'!$A$4:$A$2635)+COUNT('Diário 2º PA'!$A$4:$A$3040)+COUNT('Diário 3º PA'!$A$4:$A$2731)+ROW()-3)</f>
        <v>6471</v>
      </c>
      <c r="B446" s="413">
        <v>44854</v>
      </c>
      <c r="C446" s="424">
        <v>44805</v>
      </c>
      <c r="D446" s="415" t="s">
        <v>182</v>
      </c>
      <c r="E446" s="415" t="s">
        <v>1</v>
      </c>
      <c r="F446" s="425">
        <v>22488.18</v>
      </c>
      <c r="G446" s="427" t="s">
        <v>7440</v>
      </c>
      <c r="H446" s="415" t="s">
        <v>310</v>
      </c>
      <c r="I446" s="473" t="s">
        <v>1461</v>
      </c>
      <c r="J446" s="415" t="s">
        <v>310</v>
      </c>
      <c r="K446" s="415" t="s">
        <v>1220</v>
      </c>
      <c r="L446" s="415" t="s">
        <v>1368</v>
      </c>
      <c r="M446" s="415" t="s">
        <v>310</v>
      </c>
      <c r="N446" s="413">
        <v>44854</v>
      </c>
      <c r="O446" s="414" t="s">
        <v>400</v>
      </c>
      <c r="P446" s="655">
        <f t="shared" si="22"/>
        <v>10</v>
      </c>
      <c r="Q446" s="655">
        <f t="shared" si="23"/>
        <v>9</v>
      </c>
      <c r="R446" s="758" t="str">
        <f t="shared" si="24"/>
        <v>Gastos_com_Pessoal</v>
      </c>
      <c r="S446" s="697" t="s">
        <v>310</v>
      </c>
      <c r="T446" s="697" t="s">
        <v>310</v>
      </c>
    </row>
    <row r="447" spans="1:20" ht="24" x14ac:dyDescent="0.2">
      <c r="A447" s="432">
        <f>IF(B447="","",COUNT('Diário 1º PA'!$A$4:$A$2635)+COUNT('Diário 2º PA'!$A$4:$A$3040)+COUNT('Diário 3º PA'!$A$4:$A$2731)+ROW()-3)</f>
        <v>6472</v>
      </c>
      <c r="B447" s="413">
        <v>44854</v>
      </c>
      <c r="C447" s="424">
        <v>44805</v>
      </c>
      <c r="D447" s="415" t="s">
        <v>182</v>
      </c>
      <c r="E447" s="415" t="s">
        <v>252</v>
      </c>
      <c r="F447" s="425">
        <v>66517.97</v>
      </c>
      <c r="G447" s="427" t="s">
        <v>7844</v>
      </c>
      <c r="H447" s="415" t="s">
        <v>310</v>
      </c>
      <c r="I447" s="473" t="s">
        <v>1461</v>
      </c>
      <c r="J447" s="415" t="s">
        <v>310</v>
      </c>
      <c r="K447" s="415" t="s">
        <v>1220</v>
      </c>
      <c r="L447" s="415" t="s">
        <v>1368</v>
      </c>
      <c r="M447" s="415" t="s">
        <v>310</v>
      </c>
      <c r="N447" s="413">
        <v>44854</v>
      </c>
      <c r="O447" s="414" t="s">
        <v>400</v>
      </c>
      <c r="P447" s="655">
        <f t="shared" si="22"/>
        <v>10</v>
      </c>
      <c r="Q447" s="655">
        <f t="shared" si="23"/>
        <v>9</v>
      </c>
      <c r="R447" s="758" t="str">
        <f t="shared" si="24"/>
        <v>Gastos_com_Pessoal</v>
      </c>
      <c r="S447" s="697" t="s">
        <v>310</v>
      </c>
      <c r="T447" s="697" t="s">
        <v>310</v>
      </c>
    </row>
    <row r="448" spans="1:20" ht="48" x14ac:dyDescent="0.2">
      <c r="A448" s="432">
        <f>IF(B448="","",COUNT('Diário 1º PA'!$A$4:$A$2635)+COUNT('Diário 2º PA'!$A$4:$A$3040)+COUNT('Diário 3º PA'!$A$4:$A$2731)+ROW()-3)</f>
        <v>6473</v>
      </c>
      <c r="B448" s="413">
        <v>44854</v>
      </c>
      <c r="C448" s="424">
        <v>44805</v>
      </c>
      <c r="D448" s="415" t="s">
        <v>468</v>
      </c>
      <c r="E448" s="415" t="s">
        <v>468</v>
      </c>
      <c r="F448" s="425">
        <v>2405.86</v>
      </c>
      <c r="G448" s="427" t="s">
        <v>7845</v>
      </c>
      <c r="H448" s="415" t="s">
        <v>468</v>
      </c>
      <c r="I448" s="473" t="s">
        <v>795</v>
      </c>
      <c r="J448" s="415" t="s">
        <v>796</v>
      </c>
      <c r="K448" s="419" t="s">
        <v>806</v>
      </c>
      <c r="L448" s="415" t="s">
        <v>798</v>
      </c>
      <c r="M448" s="415" t="s">
        <v>310</v>
      </c>
      <c r="N448" s="413">
        <v>44854</v>
      </c>
      <c r="O448" s="414" t="s">
        <v>400</v>
      </c>
      <c r="P448" s="655">
        <f t="shared" si="22"/>
        <v>10</v>
      </c>
      <c r="Q448" s="655">
        <f t="shared" si="23"/>
        <v>9</v>
      </c>
      <c r="R448" s="758" t="str">
        <f t="shared" si="24"/>
        <v>Gastos_custeados_por_captação</v>
      </c>
      <c r="S448" s="697" t="s">
        <v>310</v>
      </c>
      <c r="T448" s="697" t="s">
        <v>310</v>
      </c>
    </row>
    <row r="449" spans="1:20" ht="48" x14ac:dyDescent="0.2">
      <c r="A449" s="432">
        <f>IF(B449="","",COUNT('Diário 1º PA'!$A$4:$A$2635)+COUNT('Diário 2º PA'!$A$4:$A$3040)+COUNT('Diário 3º PA'!$A$4:$A$2731)+ROW()-3)</f>
        <v>6474</v>
      </c>
      <c r="B449" s="413">
        <v>44854</v>
      </c>
      <c r="C449" s="424">
        <v>44835</v>
      </c>
      <c r="D449" s="419" t="s">
        <v>271</v>
      </c>
      <c r="E449" s="419" t="s">
        <v>71</v>
      </c>
      <c r="F449" s="422">
        <v>11</v>
      </c>
      <c r="G449" s="423" t="s">
        <v>7846</v>
      </c>
      <c r="H449" s="419" t="s">
        <v>754</v>
      </c>
      <c r="I449" s="415" t="s">
        <v>881</v>
      </c>
      <c r="J449" s="419" t="s">
        <v>882</v>
      </c>
      <c r="K449" s="419" t="s">
        <v>883</v>
      </c>
      <c r="L449" s="415" t="s">
        <v>798</v>
      </c>
      <c r="M449" s="419" t="s">
        <v>310</v>
      </c>
      <c r="N449" s="413">
        <v>44854</v>
      </c>
      <c r="O449" s="414" t="s">
        <v>400</v>
      </c>
      <c r="P449" s="655">
        <f t="shared" si="22"/>
        <v>10</v>
      </c>
      <c r="Q449" s="655">
        <f t="shared" si="23"/>
        <v>10</v>
      </c>
      <c r="R449" s="758" t="str">
        <f t="shared" si="24"/>
        <v>Gastos_Gerais</v>
      </c>
      <c r="S449" s="697" t="s">
        <v>310</v>
      </c>
      <c r="T449" s="697" t="s">
        <v>310</v>
      </c>
    </row>
    <row r="450" spans="1:20" ht="48" x14ac:dyDescent="0.2">
      <c r="A450" s="432">
        <f>IF(B450="","",COUNT('Diário 1º PA'!$A$4:$A$2635)+COUNT('Diário 2º PA'!$A$4:$A$3040)+COUNT('Diário 3º PA'!$A$4:$A$2731)+ROW()-3)</f>
        <v>6475</v>
      </c>
      <c r="B450" s="413">
        <v>44854</v>
      </c>
      <c r="C450" s="431">
        <v>44774</v>
      </c>
      <c r="D450" s="419" t="s">
        <v>468</v>
      </c>
      <c r="E450" s="419" t="s">
        <v>468</v>
      </c>
      <c r="F450" s="425">
        <v>620</v>
      </c>
      <c r="G450" s="427" t="s">
        <v>8465</v>
      </c>
      <c r="H450" s="419" t="s">
        <v>468</v>
      </c>
      <c r="I450" s="474" t="s">
        <v>2437</v>
      </c>
      <c r="J450" s="434" t="s">
        <v>796</v>
      </c>
      <c r="K450" s="434" t="s">
        <v>806</v>
      </c>
      <c r="L450" s="434" t="s">
        <v>798</v>
      </c>
      <c r="M450" s="436" t="s">
        <v>310</v>
      </c>
      <c r="N450" s="413">
        <v>44854</v>
      </c>
      <c r="O450" s="414" t="s">
        <v>3762</v>
      </c>
      <c r="P450" s="655">
        <f t="shared" si="22"/>
        <v>10</v>
      </c>
      <c r="Q450" s="655">
        <f t="shared" si="23"/>
        <v>8</v>
      </c>
      <c r="R450" s="758" t="str">
        <f t="shared" si="24"/>
        <v>Gastos_custeados_por_captação</v>
      </c>
      <c r="S450" s="697" t="s">
        <v>310</v>
      </c>
      <c r="T450" s="697" t="s">
        <v>310</v>
      </c>
    </row>
    <row r="451" spans="1:20" ht="36" x14ac:dyDescent="0.2">
      <c r="A451" s="432">
        <f>IF(B451="","",COUNT('Diário 1º PA'!$A$4:$A$2635)+COUNT('Diário 2º PA'!$A$4:$A$3040)+COUNT('Diário 3º PA'!$A$4:$A$2731)+ROW()-3)</f>
        <v>6476</v>
      </c>
      <c r="B451" s="413">
        <v>44854</v>
      </c>
      <c r="C451" s="431">
        <v>44774</v>
      </c>
      <c r="D451" s="419" t="s">
        <v>468</v>
      </c>
      <c r="E451" s="419" t="s">
        <v>468</v>
      </c>
      <c r="F451" s="425">
        <v>620</v>
      </c>
      <c r="G451" s="427" t="s">
        <v>8466</v>
      </c>
      <c r="H451" s="419" t="s">
        <v>468</v>
      </c>
      <c r="I451" s="474" t="s">
        <v>2437</v>
      </c>
      <c r="J451" s="434" t="s">
        <v>796</v>
      </c>
      <c r="K451" s="434" t="s">
        <v>806</v>
      </c>
      <c r="L451" s="434" t="s">
        <v>798</v>
      </c>
      <c r="M451" s="436" t="s">
        <v>310</v>
      </c>
      <c r="N451" s="413">
        <v>44854</v>
      </c>
      <c r="O451" s="414" t="s">
        <v>3762</v>
      </c>
      <c r="P451" s="655">
        <f t="shared" si="22"/>
        <v>10</v>
      </c>
      <c r="Q451" s="655">
        <f t="shared" si="23"/>
        <v>8</v>
      </c>
      <c r="R451" s="758" t="str">
        <f>SUBSTITUTE(D452," ","_")</f>
        <v>Gastos_custeados_por_captação</v>
      </c>
      <c r="S451" s="697" t="s">
        <v>310</v>
      </c>
      <c r="T451" s="697" t="s">
        <v>310</v>
      </c>
    </row>
    <row r="452" spans="1:20" ht="36" x14ac:dyDescent="0.2">
      <c r="A452" s="432">
        <f>IF(B452="","",COUNT('Diário 1º PA'!$A$4:$A$2635)+COUNT('Diário 2º PA'!$A$4:$A$3040)+COUNT('Diário 3º PA'!$A$4:$A$2731)+ROW()-3)</f>
        <v>6477</v>
      </c>
      <c r="B452" s="413">
        <v>44854</v>
      </c>
      <c r="C452" s="431">
        <v>44774</v>
      </c>
      <c r="D452" s="419" t="s">
        <v>468</v>
      </c>
      <c r="E452" s="419" t="s">
        <v>468</v>
      </c>
      <c r="F452" s="425">
        <v>620</v>
      </c>
      <c r="G452" s="427" t="s">
        <v>8467</v>
      </c>
      <c r="H452" s="419" t="s">
        <v>468</v>
      </c>
      <c r="I452" s="474" t="s">
        <v>2437</v>
      </c>
      <c r="J452" s="434" t="s">
        <v>796</v>
      </c>
      <c r="K452" s="434" t="s">
        <v>806</v>
      </c>
      <c r="L452" s="434" t="s">
        <v>798</v>
      </c>
      <c r="M452" s="436" t="s">
        <v>310</v>
      </c>
      <c r="N452" s="413">
        <v>44854</v>
      </c>
      <c r="O452" s="414" t="s">
        <v>3762</v>
      </c>
      <c r="P452" s="655">
        <f t="shared" si="22"/>
        <v>10</v>
      </c>
      <c r="Q452" s="655">
        <f t="shared" si="23"/>
        <v>8</v>
      </c>
      <c r="R452" s="758" t="str">
        <f>SUBSTITUTE(D453," ","_")</f>
        <v>Gastos_custeados_por_captação</v>
      </c>
      <c r="S452" s="697" t="s">
        <v>310</v>
      </c>
      <c r="T452" s="697" t="s">
        <v>310</v>
      </c>
    </row>
    <row r="453" spans="1:20" ht="132" x14ac:dyDescent="0.2">
      <c r="A453" s="432">
        <f>IF(B453="","",COUNT('Diário 1º PA'!$A$4:$A$2635)+COUNT('Diário 2º PA'!$A$4:$A$3040)+COUNT('Diário 3º PA'!$A$4:$A$2731)+ROW()-3)</f>
        <v>6478</v>
      </c>
      <c r="B453" s="413">
        <v>44854</v>
      </c>
      <c r="C453" s="431">
        <v>44835</v>
      </c>
      <c r="D453" s="419" t="s">
        <v>468</v>
      </c>
      <c r="E453" s="419" t="s">
        <v>468</v>
      </c>
      <c r="F453" s="422">
        <v>10063.780000000001</v>
      </c>
      <c r="G453" s="427" t="s">
        <v>7631</v>
      </c>
      <c r="H453" s="419" t="s">
        <v>468</v>
      </c>
      <c r="I453" s="415" t="s">
        <v>7956</v>
      </c>
      <c r="J453" s="415" t="s">
        <v>7632</v>
      </c>
      <c r="K453" s="419" t="s">
        <v>7957</v>
      </c>
      <c r="L453" s="415" t="s">
        <v>807</v>
      </c>
      <c r="M453" s="419" t="s">
        <v>7958</v>
      </c>
      <c r="N453" s="413">
        <v>44854</v>
      </c>
      <c r="O453" s="414" t="s">
        <v>3762</v>
      </c>
      <c r="P453" s="655">
        <f t="shared" si="22"/>
        <v>10</v>
      </c>
      <c r="Q453" s="655">
        <f t="shared" si="23"/>
        <v>10</v>
      </c>
      <c r="R453" s="758" t="str">
        <f t="shared" ref="R453:R516" si="25">SUBSTITUTE(D453," ","_")</f>
        <v>Gastos_custeados_por_captação</v>
      </c>
      <c r="S453" s="697" t="s">
        <v>998</v>
      </c>
      <c r="T453" s="697">
        <v>4501</v>
      </c>
    </row>
    <row r="454" spans="1:20" ht="36" x14ac:dyDescent="0.2">
      <c r="A454" s="432">
        <f>IF(B454="","",COUNT('Diário 1º PA'!$A$4:$A$2635)+COUNT('Diário 2º PA'!$A$4:$A$3040)+COUNT('Diário 3º PA'!$A$4:$A$2731)+ROW()-3)</f>
        <v>6479</v>
      </c>
      <c r="B454" s="413">
        <v>44854</v>
      </c>
      <c r="C454" s="431">
        <v>44774</v>
      </c>
      <c r="D454" s="419" t="s">
        <v>468</v>
      </c>
      <c r="E454" s="419" t="s">
        <v>468</v>
      </c>
      <c r="F454" s="422">
        <v>93.5</v>
      </c>
      <c r="G454" s="427" t="s">
        <v>7249</v>
      </c>
      <c r="H454" s="419" t="s">
        <v>468</v>
      </c>
      <c r="I454" s="427" t="s">
        <v>1461</v>
      </c>
      <c r="J454" s="418" t="s">
        <v>310</v>
      </c>
      <c r="K454" s="418" t="s">
        <v>1220</v>
      </c>
      <c r="L454" s="399" t="s">
        <v>1368</v>
      </c>
      <c r="M454" s="544" t="s">
        <v>310</v>
      </c>
      <c r="N454" s="413">
        <v>44854</v>
      </c>
      <c r="O454" s="414" t="s">
        <v>3762</v>
      </c>
      <c r="P454" s="655">
        <f t="shared" si="22"/>
        <v>10</v>
      </c>
      <c r="Q454" s="655">
        <f t="shared" si="23"/>
        <v>8</v>
      </c>
      <c r="R454" s="758" t="str">
        <f t="shared" si="25"/>
        <v>Gastos_custeados_por_captação</v>
      </c>
      <c r="S454" s="697" t="s">
        <v>310</v>
      </c>
      <c r="T454" s="697" t="s">
        <v>310</v>
      </c>
    </row>
    <row r="455" spans="1:20" ht="36" x14ac:dyDescent="0.2">
      <c r="A455" s="432">
        <f>IF(B455="","",COUNT('Diário 1º PA'!$A$4:$A$2635)+COUNT('Diário 2º PA'!$A$4:$A$3040)+COUNT('Diário 3º PA'!$A$4:$A$2731)+ROW()-3)</f>
        <v>6480</v>
      </c>
      <c r="B455" s="413">
        <v>44854</v>
      </c>
      <c r="C455" s="431">
        <v>44835</v>
      </c>
      <c r="D455" s="419" t="s">
        <v>468</v>
      </c>
      <c r="E455" s="419" t="s">
        <v>468</v>
      </c>
      <c r="F455" s="422">
        <v>10</v>
      </c>
      <c r="G455" s="440" t="s">
        <v>7960</v>
      </c>
      <c r="H455" s="419" t="s">
        <v>468</v>
      </c>
      <c r="I455" s="398" t="s">
        <v>881</v>
      </c>
      <c r="J455" s="418" t="s">
        <v>882</v>
      </c>
      <c r="K455" s="418" t="s">
        <v>883</v>
      </c>
      <c r="L455" s="399" t="s">
        <v>798</v>
      </c>
      <c r="M455" s="544" t="s">
        <v>310</v>
      </c>
      <c r="N455" s="413">
        <v>44854</v>
      </c>
      <c r="O455" s="414" t="s">
        <v>3762</v>
      </c>
      <c r="P455" s="655">
        <f t="shared" si="22"/>
        <v>10</v>
      </c>
      <c r="Q455" s="655">
        <f t="shared" si="23"/>
        <v>10</v>
      </c>
      <c r="R455" s="758" t="str">
        <f t="shared" si="25"/>
        <v>Gastos_custeados_por_captação</v>
      </c>
      <c r="S455" s="697" t="s">
        <v>310</v>
      </c>
      <c r="T455" s="697" t="s">
        <v>310</v>
      </c>
    </row>
    <row r="456" spans="1:20" ht="36" x14ac:dyDescent="0.2">
      <c r="A456" s="432">
        <f>IF(B456="","",COUNT('Diário 1º PA'!$A$4:$A$2635)+COUNT('Diário 2º PA'!$A$4:$A$3040)+COUNT('Diário 3º PA'!$A$4:$A$2731)+ROW()-3)</f>
        <v>6481</v>
      </c>
      <c r="B456" s="413">
        <v>44854</v>
      </c>
      <c r="C456" s="431">
        <v>44805</v>
      </c>
      <c r="D456" s="419" t="s">
        <v>468</v>
      </c>
      <c r="E456" s="419" t="s">
        <v>468</v>
      </c>
      <c r="F456" s="422">
        <v>1000</v>
      </c>
      <c r="G456" s="427" t="s">
        <v>4124</v>
      </c>
      <c r="H456" s="419" t="s">
        <v>468</v>
      </c>
      <c r="I456" s="398" t="s">
        <v>6421</v>
      </c>
      <c r="J456" s="415" t="s">
        <v>2994</v>
      </c>
      <c r="K456" s="418" t="s">
        <v>812</v>
      </c>
      <c r="L456" s="399" t="s">
        <v>32</v>
      </c>
      <c r="M456" s="419">
        <v>3070</v>
      </c>
      <c r="N456" s="413">
        <v>44837</v>
      </c>
      <c r="O456" s="414" t="s">
        <v>408</v>
      </c>
      <c r="P456" s="655">
        <f t="shared" si="22"/>
        <v>10</v>
      </c>
      <c r="Q456" s="655">
        <f t="shared" si="23"/>
        <v>9</v>
      </c>
      <c r="R456" s="758" t="str">
        <f t="shared" si="25"/>
        <v>Gastos_custeados_por_captação</v>
      </c>
      <c r="S456" s="697" t="s">
        <v>1000</v>
      </c>
      <c r="T456" s="697">
        <v>2783</v>
      </c>
    </row>
    <row r="457" spans="1:20" ht="48" x14ac:dyDescent="0.2">
      <c r="A457" s="432">
        <f>IF(B457="","",COUNT('Diário 1º PA'!$A$4:$A$2635)+COUNT('Diário 2º PA'!$A$4:$A$3040)+COUNT('Diário 3º PA'!$A$4:$A$2731)+ROW()-3)</f>
        <v>6482</v>
      </c>
      <c r="B457" s="413">
        <v>44854</v>
      </c>
      <c r="C457" s="431">
        <v>44743</v>
      </c>
      <c r="D457" s="419" t="s">
        <v>468</v>
      </c>
      <c r="E457" s="419" t="s">
        <v>468</v>
      </c>
      <c r="F457" s="425">
        <v>744</v>
      </c>
      <c r="G457" s="427" t="s">
        <v>7970</v>
      </c>
      <c r="H457" s="419" t="s">
        <v>468</v>
      </c>
      <c r="I457" s="474" t="s">
        <v>2437</v>
      </c>
      <c r="J457" s="434" t="s">
        <v>796</v>
      </c>
      <c r="K457" s="434" t="s">
        <v>806</v>
      </c>
      <c r="L457" s="434" t="s">
        <v>798</v>
      </c>
      <c r="M457" s="436" t="s">
        <v>310</v>
      </c>
      <c r="N457" s="413">
        <v>44854</v>
      </c>
      <c r="O457" s="414" t="s">
        <v>404</v>
      </c>
      <c r="P457" s="655">
        <f t="shared" si="22"/>
        <v>10</v>
      </c>
      <c r="Q457" s="655">
        <f t="shared" si="23"/>
        <v>7</v>
      </c>
      <c r="R457" s="758" t="str">
        <f t="shared" si="25"/>
        <v>Gastos_custeados_por_captação</v>
      </c>
      <c r="S457" s="697" t="s">
        <v>310</v>
      </c>
      <c r="T457" s="697" t="s">
        <v>310</v>
      </c>
    </row>
    <row r="458" spans="1:20" ht="48" x14ac:dyDescent="0.2">
      <c r="A458" s="432">
        <f>IF(B458="","",COUNT('Diário 1º PA'!$A$4:$A$2635)+COUNT('Diário 2º PA'!$A$4:$A$3040)+COUNT('Diário 3º PA'!$A$4:$A$2731)+ROW()-3)</f>
        <v>6483</v>
      </c>
      <c r="B458" s="413">
        <v>44854</v>
      </c>
      <c r="C458" s="431">
        <v>44743</v>
      </c>
      <c r="D458" s="419" t="s">
        <v>468</v>
      </c>
      <c r="E458" s="419" t="s">
        <v>468</v>
      </c>
      <c r="F458" s="425">
        <v>744</v>
      </c>
      <c r="G458" s="427" t="s">
        <v>7971</v>
      </c>
      <c r="H458" s="419" t="s">
        <v>468</v>
      </c>
      <c r="I458" s="474" t="s">
        <v>2437</v>
      </c>
      <c r="J458" s="434" t="s">
        <v>796</v>
      </c>
      <c r="K458" s="434" t="s">
        <v>806</v>
      </c>
      <c r="L458" s="434" t="s">
        <v>798</v>
      </c>
      <c r="M458" s="436" t="s">
        <v>310</v>
      </c>
      <c r="N458" s="413">
        <v>44854</v>
      </c>
      <c r="O458" s="414" t="s">
        <v>404</v>
      </c>
      <c r="P458" s="655">
        <f t="shared" si="22"/>
        <v>10</v>
      </c>
      <c r="Q458" s="655">
        <f t="shared" si="23"/>
        <v>7</v>
      </c>
      <c r="R458" s="758" t="str">
        <f t="shared" si="25"/>
        <v>Gastos_custeados_por_captação</v>
      </c>
      <c r="S458" s="697" t="s">
        <v>310</v>
      </c>
      <c r="T458" s="697" t="s">
        <v>310</v>
      </c>
    </row>
    <row r="459" spans="1:20" ht="48" x14ac:dyDescent="0.2">
      <c r="A459" s="432">
        <f>IF(B459="","",COUNT('Diário 1º PA'!$A$4:$A$2635)+COUNT('Diário 2º PA'!$A$4:$A$3040)+COUNT('Diário 3º PA'!$A$4:$A$2731)+ROW()-3)</f>
        <v>6484</v>
      </c>
      <c r="B459" s="413">
        <v>44854</v>
      </c>
      <c r="C459" s="431">
        <v>44743</v>
      </c>
      <c r="D459" s="419" t="s">
        <v>468</v>
      </c>
      <c r="E459" s="419" t="s">
        <v>468</v>
      </c>
      <c r="F459" s="425">
        <v>744</v>
      </c>
      <c r="G459" s="427" t="s">
        <v>7972</v>
      </c>
      <c r="H459" s="419" t="s">
        <v>468</v>
      </c>
      <c r="I459" s="474" t="s">
        <v>2437</v>
      </c>
      <c r="J459" s="434" t="s">
        <v>796</v>
      </c>
      <c r="K459" s="434" t="s">
        <v>806</v>
      </c>
      <c r="L459" s="434" t="s">
        <v>798</v>
      </c>
      <c r="M459" s="436" t="s">
        <v>310</v>
      </c>
      <c r="N459" s="413">
        <v>44854</v>
      </c>
      <c r="O459" s="414" t="s">
        <v>404</v>
      </c>
      <c r="P459" s="655">
        <f t="shared" si="22"/>
        <v>10</v>
      </c>
      <c r="Q459" s="655">
        <f t="shared" si="23"/>
        <v>7</v>
      </c>
      <c r="R459" s="758" t="str">
        <f t="shared" si="25"/>
        <v>Gastos_custeados_por_captação</v>
      </c>
      <c r="S459" s="697" t="s">
        <v>310</v>
      </c>
      <c r="T459" s="697" t="s">
        <v>310</v>
      </c>
    </row>
    <row r="460" spans="1:20" ht="48" x14ac:dyDescent="0.2">
      <c r="A460" s="432">
        <f>IF(B460="","",COUNT('Diário 1º PA'!$A$4:$A$2635)+COUNT('Diário 2º PA'!$A$4:$A$3040)+COUNT('Diário 3º PA'!$A$4:$A$2731)+ROW()-3)</f>
        <v>6485</v>
      </c>
      <c r="B460" s="413">
        <v>44854</v>
      </c>
      <c r="C460" s="431">
        <v>44743</v>
      </c>
      <c r="D460" s="419" t="s">
        <v>468</v>
      </c>
      <c r="E460" s="419" t="s">
        <v>468</v>
      </c>
      <c r="F460" s="425">
        <v>744</v>
      </c>
      <c r="G460" s="427" t="s">
        <v>7973</v>
      </c>
      <c r="H460" s="419" t="s">
        <v>468</v>
      </c>
      <c r="I460" s="474" t="s">
        <v>2437</v>
      </c>
      <c r="J460" s="434" t="s">
        <v>796</v>
      </c>
      <c r="K460" s="434" t="s">
        <v>806</v>
      </c>
      <c r="L460" s="434" t="s">
        <v>798</v>
      </c>
      <c r="M460" s="436" t="s">
        <v>310</v>
      </c>
      <c r="N460" s="413">
        <v>44854</v>
      </c>
      <c r="O460" s="414" t="s">
        <v>404</v>
      </c>
      <c r="P460" s="655">
        <f t="shared" si="22"/>
        <v>10</v>
      </c>
      <c r="Q460" s="655">
        <f t="shared" si="23"/>
        <v>7</v>
      </c>
      <c r="R460" s="758" t="str">
        <f t="shared" si="25"/>
        <v>Gastos_custeados_por_captação</v>
      </c>
      <c r="S460" s="697" t="s">
        <v>310</v>
      </c>
      <c r="T460" s="697" t="s">
        <v>310</v>
      </c>
    </row>
    <row r="461" spans="1:20" ht="48" x14ac:dyDescent="0.2">
      <c r="A461" s="432">
        <f>IF(B461="","",COUNT('Diário 1º PA'!$A$4:$A$2635)+COUNT('Diário 2º PA'!$A$4:$A$3040)+COUNT('Diário 3º PA'!$A$4:$A$2731)+ROW()-3)</f>
        <v>6486</v>
      </c>
      <c r="B461" s="413">
        <v>44854</v>
      </c>
      <c r="C461" s="431">
        <v>44743</v>
      </c>
      <c r="D461" s="419" t="s">
        <v>468</v>
      </c>
      <c r="E461" s="419" t="s">
        <v>468</v>
      </c>
      <c r="F461" s="425">
        <v>744</v>
      </c>
      <c r="G461" s="427" t="s">
        <v>7974</v>
      </c>
      <c r="H461" s="419" t="s">
        <v>468</v>
      </c>
      <c r="I461" s="474" t="s">
        <v>2437</v>
      </c>
      <c r="J461" s="434" t="s">
        <v>796</v>
      </c>
      <c r="K461" s="434" t="s">
        <v>806</v>
      </c>
      <c r="L461" s="434" t="s">
        <v>798</v>
      </c>
      <c r="M461" s="436" t="s">
        <v>310</v>
      </c>
      <c r="N461" s="413">
        <v>44854</v>
      </c>
      <c r="O461" s="414" t="s">
        <v>404</v>
      </c>
      <c r="P461" s="655">
        <f t="shared" si="22"/>
        <v>10</v>
      </c>
      <c r="Q461" s="655">
        <f t="shared" si="23"/>
        <v>7</v>
      </c>
      <c r="R461" s="758" t="str">
        <f t="shared" si="25"/>
        <v>Gastos_custeados_por_captação</v>
      </c>
      <c r="S461" s="697" t="s">
        <v>310</v>
      </c>
      <c r="T461" s="697" t="s">
        <v>310</v>
      </c>
    </row>
    <row r="462" spans="1:20" ht="48" x14ac:dyDescent="0.2">
      <c r="A462" s="432">
        <f>IF(B462="","",COUNT('Diário 1º PA'!$A$4:$A$2635)+COUNT('Diário 2º PA'!$A$4:$A$3040)+COUNT('Diário 3º PA'!$A$4:$A$2731)+ROW()-3)</f>
        <v>6487</v>
      </c>
      <c r="B462" s="413">
        <v>44854</v>
      </c>
      <c r="C462" s="431">
        <v>44743</v>
      </c>
      <c r="D462" s="419" t="s">
        <v>468</v>
      </c>
      <c r="E462" s="419" t="s">
        <v>468</v>
      </c>
      <c r="F462" s="425">
        <v>744</v>
      </c>
      <c r="G462" s="427" t="s">
        <v>7975</v>
      </c>
      <c r="H462" s="419" t="s">
        <v>468</v>
      </c>
      <c r="I462" s="474" t="s">
        <v>2437</v>
      </c>
      <c r="J462" s="434" t="s">
        <v>796</v>
      </c>
      <c r="K462" s="434" t="s">
        <v>806</v>
      </c>
      <c r="L462" s="434" t="s">
        <v>798</v>
      </c>
      <c r="M462" s="436" t="s">
        <v>310</v>
      </c>
      <c r="N462" s="413">
        <v>44854</v>
      </c>
      <c r="O462" s="414" t="s">
        <v>404</v>
      </c>
      <c r="P462" s="655">
        <f t="shared" si="22"/>
        <v>10</v>
      </c>
      <c r="Q462" s="655">
        <f t="shared" si="23"/>
        <v>7</v>
      </c>
      <c r="R462" s="758" t="str">
        <f t="shared" si="25"/>
        <v>Gastos_custeados_por_captação</v>
      </c>
      <c r="S462" s="697" t="s">
        <v>310</v>
      </c>
      <c r="T462" s="697" t="s">
        <v>310</v>
      </c>
    </row>
    <row r="463" spans="1:20" ht="48" x14ac:dyDescent="0.2">
      <c r="A463" s="432">
        <f>IF(B463="","",COUNT('Diário 1º PA'!$A$4:$A$2635)+COUNT('Diário 2º PA'!$A$4:$A$3040)+COUNT('Diário 3º PA'!$A$4:$A$2731)+ROW()-3)</f>
        <v>6488</v>
      </c>
      <c r="B463" s="413">
        <v>44854</v>
      </c>
      <c r="C463" s="431">
        <v>44743</v>
      </c>
      <c r="D463" s="419" t="s">
        <v>468</v>
      </c>
      <c r="E463" s="419" t="s">
        <v>468</v>
      </c>
      <c r="F463" s="425">
        <v>744</v>
      </c>
      <c r="G463" s="427" t="s">
        <v>7976</v>
      </c>
      <c r="H463" s="419" t="s">
        <v>468</v>
      </c>
      <c r="I463" s="474" t="s">
        <v>2437</v>
      </c>
      <c r="J463" s="434" t="s">
        <v>796</v>
      </c>
      <c r="K463" s="434" t="s">
        <v>806</v>
      </c>
      <c r="L463" s="434" t="s">
        <v>798</v>
      </c>
      <c r="M463" s="436" t="s">
        <v>310</v>
      </c>
      <c r="N463" s="413">
        <v>44854</v>
      </c>
      <c r="O463" s="414" t="s">
        <v>404</v>
      </c>
      <c r="P463" s="655">
        <f t="shared" si="22"/>
        <v>10</v>
      </c>
      <c r="Q463" s="655">
        <f t="shared" si="23"/>
        <v>7</v>
      </c>
      <c r="R463" s="758" t="str">
        <f t="shared" si="25"/>
        <v>Gastos_custeados_por_captação</v>
      </c>
      <c r="S463" s="697" t="s">
        <v>310</v>
      </c>
      <c r="T463" s="697" t="s">
        <v>310</v>
      </c>
    </row>
    <row r="464" spans="1:20" ht="48" x14ac:dyDescent="0.2">
      <c r="A464" s="432">
        <f>IF(B464="","",COUNT('Diário 1º PA'!$A$4:$A$2635)+COUNT('Diário 2º PA'!$A$4:$A$3040)+COUNT('Diário 3º PA'!$A$4:$A$2731)+ROW()-3)</f>
        <v>6489</v>
      </c>
      <c r="B464" s="413">
        <v>44854</v>
      </c>
      <c r="C464" s="431">
        <v>44743</v>
      </c>
      <c r="D464" s="419" t="s">
        <v>468</v>
      </c>
      <c r="E464" s="419" t="s">
        <v>468</v>
      </c>
      <c r="F464" s="425">
        <v>744</v>
      </c>
      <c r="G464" s="427" t="s">
        <v>7977</v>
      </c>
      <c r="H464" s="419" t="s">
        <v>468</v>
      </c>
      <c r="I464" s="474" t="s">
        <v>2437</v>
      </c>
      <c r="J464" s="434" t="s">
        <v>796</v>
      </c>
      <c r="K464" s="434" t="s">
        <v>806</v>
      </c>
      <c r="L464" s="434" t="s">
        <v>798</v>
      </c>
      <c r="M464" s="436" t="s">
        <v>310</v>
      </c>
      <c r="N464" s="413">
        <v>44854</v>
      </c>
      <c r="O464" s="414" t="s">
        <v>404</v>
      </c>
      <c r="P464" s="655">
        <f t="shared" si="22"/>
        <v>10</v>
      </c>
      <c r="Q464" s="655">
        <f t="shared" si="23"/>
        <v>7</v>
      </c>
      <c r="R464" s="758" t="str">
        <f t="shared" si="25"/>
        <v>Gastos_custeados_por_captação</v>
      </c>
      <c r="S464" s="697" t="s">
        <v>310</v>
      </c>
      <c r="T464" s="697" t="s">
        <v>310</v>
      </c>
    </row>
    <row r="465" spans="1:20" ht="48" x14ac:dyDescent="0.2">
      <c r="A465" s="432">
        <f>IF(B465="","",COUNT('Diário 1º PA'!$A$4:$A$2635)+COUNT('Diário 2º PA'!$A$4:$A$3040)+COUNT('Diário 3º PA'!$A$4:$A$2731)+ROW()-3)</f>
        <v>6490</v>
      </c>
      <c r="B465" s="413">
        <v>44854</v>
      </c>
      <c r="C465" s="431">
        <v>44774</v>
      </c>
      <c r="D465" s="419" t="s">
        <v>468</v>
      </c>
      <c r="E465" s="419" t="s">
        <v>468</v>
      </c>
      <c r="F465" s="425">
        <v>843.2</v>
      </c>
      <c r="G465" s="427" t="s">
        <v>7978</v>
      </c>
      <c r="H465" s="419" t="s">
        <v>468</v>
      </c>
      <c r="I465" s="474" t="s">
        <v>2437</v>
      </c>
      <c r="J465" s="434" t="s">
        <v>796</v>
      </c>
      <c r="K465" s="434" t="s">
        <v>806</v>
      </c>
      <c r="L465" s="434" t="s">
        <v>798</v>
      </c>
      <c r="M465" s="436" t="s">
        <v>310</v>
      </c>
      <c r="N465" s="413">
        <v>44854</v>
      </c>
      <c r="O465" s="414" t="s">
        <v>404</v>
      </c>
      <c r="P465" s="655">
        <f t="shared" si="22"/>
        <v>10</v>
      </c>
      <c r="Q465" s="655">
        <f t="shared" si="23"/>
        <v>8</v>
      </c>
      <c r="R465" s="758" t="str">
        <f t="shared" si="25"/>
        <v>Gastos_custeados_por_captação</v>
      </c>
      <c r="S465" s="697" t="s">
        <v>310</v>
      </c>
      <c r="T465" s="697" t="s">
        <v>310</v>
      </c>
    </row>
    <row r="466" spans="1:20" ht="48" x14ac:dyDescent="0.2">
      <c r="A466" s="432">
        <f>IF(B466="","",COUNT('Diário 1º PA'!$A$4:$A$2635)+COUNT('Diário 2º PA'!$A$4:$A$3040)+COUNT('Diário 3º PA'!$A$4:$A$2731)+ROW()-3)</f>
        <v>6491</v>
      </c>
      <c r="B466" s="413">
        <v>44854</v>
      </c>
      <c r="C466" s="431">
        <v>44743</v>
      </c>
      <c r="D466" s="419" t="s">
        <v>468</v>
      </c>
      <c r="E466" s="419" t="s">
        <v>468</v>
      </c>
      <c r="F466" s="425">
        <v>843.2</v>
      </c>
      <c r="G466" s="427" t="s">
        <v>7979</v>
      </c>
      <c r="H466" s="419" t="s">
        <v>468</v>
      </c>
      <c r="I466" s="474" t="s">
        <v>2437</v>
      </c>
      <c r="J466" s="434" t="s">
        <v>796</v>
      </c>
      <c r="K466" s="434" t="s">
        <v>806</v>
      </c>
      <c r="L466" s="434" t="s">
        <v>798</v>
      </c>
      <c r="M466" s="436" t="s">
        <v>310</v>
      </c>
      <c r="N466" s="413">
        <v>44854</v>
      </c>
      <c r="O466" s="414" t="s">
        <v>404</v>
      </c>
      <c r="P466" s="655">
        <f t="shared" si="22"/>
        <v>10</v>
      </c>
      <c r="Q466" s="655">
        <f t="shared" si="23"/>
        <v>7</v>
      </c>
      <c r="R466" s="758" t="str">
        <f t="shared" si="25"/>
        <v>Gastos_custeados_por_captação</v>
      </c>
      <c r="S466" s="697" t="s">
        <v>310</v>
      </c>
      <c r="T466" s="697" t="s">
        <v>310</v>
      </c>
    </row>
    <row r="467" spans="1:20" ht="48" x14ac:dyDescent="0.2">
      <c r="A467" s="432">
        <f>IF(B467="","",COUNT('Diário 1º PA'!$A$4:$A$2635)+COUNT('Diário 2º PA'!$A$4:$A$3040)+COUNT('Diário 3º PA'!$A$4:$A$2731)+ROW()-3)</f>
        <v>6492</v>
      </c>
      <c r="B467" s="413">
        <v>44854</v>
      </c>
      <c r="C467" s="431">
        <v>44774</v>
      </c>
      <c r="D467" s="419" t="s">
        <v>468</v>
      </c>
      <c r="E467" s="419" t="s">
        <v>468</v>
      </c>
      <c r="F467" s="425">
        <v>843.2</v>
      </c>
      <c r="G467" s="427" t="s">
        <v>7980</v>
      </c>
      <c r="H467" s="419" t="s">
        <v>468</v>
      </c>
      <c r="I467" s="474" t="s">
        <v>2437</v>
      </c>
      <c r="J467" s="434" t="s">
        <v>796</v>
      </c>
      <c r="K467" s="434" t="s">
        <v>806</v>
      </c>
      <c r="L467" s="434" t="s">
        <v>798</v>
      </c>
      <c r="M467" s="436" t="s">
        <v>310</v>
      </c>
      <c r="N467" s="413">
        <v>44854</v>
      </c>
      <c r="O467" s="414" t="s">
        <v>404</v>
      </c>
      <c r="P467" s="655">
        <f t="shared" si="22"/>
        <v>10</v>
      </c>
      <c r="Q467" s="655">
        <f t="shared" si="23"/>
        <v>8</v>
      </c>
      <c r="R467" s="758" t="str">
        <f t="shared" si="25"/>
        <v>Gastos_custeados_por_captação</v>
      </c>
      <c r="S467" s="697" t="s">
        <v>310</v>
      </c>
      <c r="T467" s="697" t="s">
        <v>310</v>
      </c>
    </row>
    <row r="468" spans="1:20" ht="48" x14ac:dyDescent="0.2">
      <c r="A468" s="432">
        <f>IF(B468="","",COUNT('Diário 1º PA'!$A$4:$A$2635)+COUNT('Diário 2º PA'!$A$4:$A$3040)+COUNT('Diário 3º PA'!$A$4:$A$2731)+ROW()-3)</f>
        <v>6493</v>
      </c>
      <c r="B468" s="413">
        <v>44854</v>
      </c>
      <c r="C468" s="431">
        <v>44774</v>
      </c>
      <c r="D468" s="419" t="s">
        <v>468</v>
      </c>
      <c r="E468" s="419" t="s">
        <v>468</v>
      </c>
      <c r="F468" s="425">
        <v>843.2</v>
      </c>
      <c r="G468" s="427" t="s">
        <v>7981</v>
      </c>
      <c r="H468" s="419" t="s">
        <v>468</v>
      </c>
      <c r="I468" s="474" t="s">
        <v>2437</v>
      </c>
      <c r="J468" s="434" t="s">
        <v>796</v>
      </c>
      <c r="K468" s="434" t="s">
        <v>806</v>
      </c>
      <c r="L468" s="434" t="s">
        <v>798</v>
      </c>
      <c r="M468" s="436" t="s">
        <v>310</v>
      </c>
      <c r="N468" s="413">
        <v>44854</v>
      </c>
      <c r="O468" s="414" t="s">
        <v>404</v>
      </c>
      <c r="P468" s="655">
        <f t="shared" si="22"/>
        <v>10</v>
      </c>
      <c r="Q468" s="655">
        <f t="shared" si="23"/>
        <v>8</v>
      </c>
      <c r="R468" s="758" t="str">
        <f t="shared" si="25"/>
        <v>Gastos_custeados_por_captação</v>
      </c>
      <c r="S468" s="697" t="s">
        <v>310</v>
      </c>
      <c r="T468" s="697" t="s">
        <v>310</v>
      </c>
    </row>
    <row r="469" spans="1:20" ht="48" x14ac:dyDescent="0.2">
      <c r="A469" s="432">
        <f>IF(B469="","",COUNT('Diário 1º PA'!$A$4:$A$2635)+COUNT('Diário 2º PA'!$A$4:$A$3040)+COUNT('Diário 3º PA'!$A$4:$A$2731)+ROW()-3)</f>
        <v>6494</v>
      </c>
      <c r="B469" s="413">
        <v>44854</v>
      </c>
      <c r="C469" s="431">
        <v>44682</v>
      </c>
      <c r="D469" s="419" t="s">
        <v>468</v>
      </c>
      <c r="E469" s="419" t="s">
        <v>468</v>
      </c>
      <c r="F469" s="422">
        <v>658.35</v>
      </c>
      <c r="G469" s="427" t="s">
        <v>7379</v>
      </c>
      <c r="H469" s="419" t="s">
        <v>468</v>
      </c>
      <c r="I469" s="434" t="s">
        <v>1461</v>
      </c>
      <c r="J469" s="415" t="s">
        <v>310</v>
      </c>
      <c r="K469" s="415" t="s">
        <v>1220</v>
      </c>
      <c r="L469" s="415" t="s">
        <v>1368</v>
      </c>
      <c r="M469" s="415" t="s">
        <v>310</v>
      </c>
      <c r="N469" s="413">
        <v>44854</v>
      </c>
      <c r="O469" s="414" t="s">
        <v>404</v>
      </c>
      <c r="P469" s="655">
        <f t="shared" si="22"/>
        <v>10</v>
      </c>
      <c r="Q469" s="655">
        <f t="shared" si="23"/>
        <v>5</v>
      </c>
      <c r="R469" s="758" t="str">
        <f t="shared" si="25"/>
        <v>Gastos_custeados_por_captação</v>
      </c>
      <c r="S469" s="697" t="s">
        <v>310</v>
      </c>
      <c r="T469" s="697" t="s">
        <v>310</v>
      </c>
    </row>
    <row r="470" spans="1:20" ht="48" x14ac:dyDescent="0.2">
      <c r="A470" s="432">
        <f>IF(B470="","",COUNT('Diário 1º PA'!$A$4:$A$2635)+COUNT('Diário 2º PA'!$A$4:$A$3040)+COUNT('Diário 3º PA'!$A$4:$A$2731)+ROW()-3)</f>
        <v>6495</v>
      </c>
      <c r="B470" s="413">
        <v>44854</v>
      </c>
      <c r="C470" s="431">
        <v>44774</v>
      </c>
      <c r="D470" s="419" t="s">
        <v>468</v>
      </c>
      <c r="E470" s="419" t="s">
        <v>468</v>
      </c>
      <c r="F470" s="422">
        <v>60</v>
      </c>
      <c r="G470" s="427" t="s">
        <v>7206</v>
      </c>
      <c r="H470" s="419" t="s">
        <v>468</v>
      </c>
      <c r="I470" s="434" t="s">
        <v>1461</v>
      </c>
      <c r="J470" s="415" t="s">
        <v>310</v>
      </c>
      <c r="K470" s="415" t="s">
        <v>1220</v>
      </c>
      <c r="L470" s="415" t="s">
        <v>1368</v>
      </c>
      <c r="M470" s="415" t="s">
        <v>310</v>
      </c>
      <c r="N470" s="413">
        <v>44854</v>
      </c>
      <c r="O470" s="414" t="s">
        <v>404</v>
      </c>
      <c r="P470" s="655">
        <f t="shared" si="22"/>
        <v>10</v>
      </c>
      <c r="Q470" s="655">
        <f t="shared" si="23"/>
        <v>8</v>
      </c>
      <c r="R470" s="758" t="str">
        <f t="shared" si="25"/>
        <v>Gastos_custeados_por_captação</v>
      </c>
      <c r="S470" s="697" t="s">
        <v>310</v>
      </c>
      <c r="T470" s="697" t="s">
        <v>310</v>
      </c>
    </row>
    <row r="471" spans="1:20" ht="48" x14ac:dyDescent="0.2">
      <c r="A471" s="432">
        <f>IF(B471="","",COUNT('Diário 1º PA'!$A$4:$A$2635)+COUNT('Diário 2º PA'!$A$4:$A$3040)+COUNT('Diário 3º PA'!$A$4:$A$2731)+ROW()-3)</f>
        <v>6496</v>
      </c>
      <c r="B471" s="413">
        <v>44854</v>
      </c>
      <c r="C471" s="431">
        <v>44774</v>
      </c>
      <c r="D471" s="419" t="s">
        <v>468</v>
      </c>
      <c r="E471" s="419" t="s">
        <v>468</v>
      </c>
      <c r="F471" s="422">
        <v>186</v>
      </c>
      <c r="G471" s="427" t="s">
        <v>7207</v>
      </c>
      <c r="H471" s="419" t="s">
        <v>468</v>
      </c>
      <c r="I471" s="434" t="s">
        <v>1461</v>
      </c>
      <c r="J471" s="415" t="s">
        <v>310</v>
      </c>
      <c r="K471" s="415" t="s">
        <v>1220</v>
      </c>
      <c r="L471" s="415" t="s">
        <v>1368</v>
      </c>
      <c r="M471" s="415" t="s">
        <v>310</v>
      </c>
      <c r="N471" s="413">
        <v>44854</v>
      </c>
      <c r="O471" s="414" t="s">
        <v>404</v>
      </c>
      <c r="P471" s="655">
        <f t="shared" si="22"/>
        <v>10</v>
      </c>
      <c r="Q471" s="655">
        <f t="shared" si="23"/>
        <v>8</v>
      </c>
      <c r="R471" s="758" t="str">
        <f t="shared" si="25"/>
        <v>Gastos_custeados_por_captação</v>
      </c>
      <c r="S471" s="697" t="s">
        <v>310</v>
      </c>
      <c r="T471" s="697" t="s">
        <v>310</v>
      </c>
    </row>
    <row r="472" spans="1:20" ht="48" x14ac:dyDescent="0.2">
      <c r="A472" s="432">
        <f>IF(B472="","",COUNT('Diário 1º PA'!$A$4:$A$2635)+COUNT('Diário 2º PA'!$A$4:$A$3040)+COUNT('Diário 3º PA'!$A$4:$A$2731)+ROW()-3)</f>
        <v>6497</v>
      </c>
      <c r="B472" s="413">
        <v>44854</v>
      </c>
      <c r="C472" s="431">
        <v>44743</v>
      </c>
      <c r="D472" s="419" t="s">
        <v>468</v>
      </c>
      <c r="E472" s="419" t="s">
        <v>468</v>
      </c>
      <c r="F472" s="425">
        <v>17.399999999999999</v>
      </c>
      <c r="G472" s="427" t="s">
        <v>7218</v>
      </c>
      <c r="H472" s="419" t="s">
        <v>468</v>
      </c>
      <c r="I472" s="434" t="s">
        <v>1461</v>
      </c>
      <c r="J472" s="415" t="s">
        <v>310</v>
      </c>
      <c r="K472" s="415" t="s">
        <v>1220</v>
      </c>
      <c r="L472" s="415" t="s">
        <v>1368</v>
      </c>
      <c r="M472" s="415" t="s">
        <v>310</v>
      </c>
      <c r="N472" s="413">
        <v>44854</v>
      </c>
      <c r="O472" s="414" t="s">
        <v>404</v>
      </c>
      <c r="P472" s="655">
        <f t="shared" si="22"/>
        <v>10</v>
      </c>
      <c r="Q472" s="655">
        <f t="shared" si="23"/>
        <v>7</v>
      </c>
      <c r="R472" s="758" t="str">
        <f t="shared" si="25"/>
        <v>Gastos_custeados_por_captação</v>
      </c>
      <c r="S472" s="697" t="s">
        <v>310</v>
      </c>
      <c r="T472" s="697" t="s">
        <v>310</v>
      </c>
    </row>
    <row r="473" spans="1:20" ht="48" x14ac:dyDescent="0.2">
      <c r="A473" s="432">
        <f>IF(B473="","",COUNT('Diário 1º PA'!$A$4:$A$2635)+COUNT('Diário 2º PA'!$A$4:$A$3040)+COUNT('Diário 3º PA'!$A$4:$A$2731)+ROW()-3)</f>
        <v>6498</v>
      </c>
      <c r="B473" s="413">
        <v>44854</v>
      </c>
      <c r="C473" s="431">
        <v>44743</v>
      </c>
      <c r="D473" s="419" t="s">
        <v>468</v>
      </c>
      <c r="E473" s="419" t="s">
        <v>468</v>
      </c>
      <c r="F473" s="425">
        <v>115.12</v>
      </c>
      <c r="G473" s="427" t="s">
        <v>7969</v>
      </c>
      <c r="H473" s="419" t="s">
        <v>468</v>
      </c>
      <c r="I473" s="434" t="s">
        <v>1461</v>
      </c>
      <c r="J473" s="415" t="s">
        <v>310</v>
      </c>
      <c r="K473" s="415" t="s">
        <v>1220</v>
      </c>
      <c r="L473" s="415" t="s">
        <v>1368</v>
      </c>
      <c r="M473" s="415" t="s">
        <v>310</v>
      </c>
      <c r="N473" s="413">
        <v>44854</v>
      </c>
      <c r="O473" s="414" t="s">
        <v>404</v>
      </c>
      <c r="P473" s="655">
        <f t="shared" si="22"/>
        <v>10</v>
      </c>
      <c r="Q473" s="655">
        <f t="shared" si="23"/>
        <v>7</v>
      </c>
      <c r="R473" s="758" t="str">
        <f t="shared" si="25"/>
        <v>Gastos_custeados_por_captação</v>
      </c>
      <c r="S473" s="697" t="s">
        <v>310</v>
      </c>
      <c r="T473" s="697" t="s">
        <v>310</v>
      </c>
    </row>
    <row r="474" spans="1:20" ht="48" x14ac:dyDescent="0.2">
      <c r="A474" s="432">
        <f>IF(B474="","",COUNT('Diário 1º PA'!$A$4:$A$2635)+COUNT('Diário 2º PA'!$A$4:$A$3040)+COUNT('Diário 3º PA'!$A$4:$A$2731)+ROW()-3)</f>
        <v>6499</v>
      </c>
      <c r="B474" s="413">
        <v>44854</v>
      </c>
      <c r="C474" s="431">
        <v>44743</v>
      </c>
      <c r="D474" s="419" t="s">
        <v>468</v>
      </c>
      <c r="E474" s="419" t="s">
        <v>468</v>
      </c>
      <c r="F474" s="425">
        <v>17.399999999999999</v>
      </c>
      <c r="G474" s="427" t="s">
        <v>7216</v>
      </c>
      <c r="H474" s="419" t="s">
        <v>468</v>
      </c>
      <c r="I474" s="434" t="s">
        <v>1461</v>
      </c>
      <c r="J474" s="415" t="s">
        <v>310</v>
      </c>
      <c r="K474" s="415" t="s">
        <v>1220</v>
      </c>
      <c r="L474" s="415" t="s">
        <v>1368</v>
      </c>
      <c r="M474" s="415" t="s">
        <v>310</v>
      </c>
      <c r="N474" s="413">
        <v>44854</v>
      </c>
      <c r="O474" s="414" t="s">
        <v>404</v>
      </c>
      <c r="P474" s="655">
        <f t="shared" si="22"/>
        <v>10</v>
      </c>
      <c r="Q474" s="655">
        <f t="shared" si="23"/>
        <v>7</v>
      </c>
      <c r="R474" s="758" t="str">
        <f t="shared" si="25"/>
        <v>Gastos_custeados_por_captação</v>
      </c>
      <c r="S474" s="697" t="s">
        <v>310</v>
      </c>
      <c r="T474" s="697" t="s">
        <v>310</v>
      </c>
    </row>
    <row r="475" spans="1:20" ht="48" x14ac:dyDescent="0.2">
      <c r="A475" s="432">
        <f>IF(B475="","",COUNT('Diário 1º PA'!$A$4:$A$2635)+COUNT('Diário 2º PA'!$A$4:$A$3040)+COUNT('Diário 3º PA'!$A$4:$A$2731)+ROW()-3)</f>
        <v>6500</v>
      </c>
      <c r="B475" s="413">
        <v>44854</v>
      </c>
      <c r="C475" s="431">
        <v>44774</v>
      </c>
      <c r="D475" s="419" t="s">
        <v>468</v>
      </c>
      <c r="E475" s="419" t="s">
        <v>468</v>
      </c>
      <c r="F475" s="425">
        <v>38.76</v>
      </c>
      <c r="G475" s="427" t="s">
        <v>7378</v>
      </c>
      <c r="H475" s="419" t="s">
        <v>468</v>
      </c>
      <c r="I475" s="434" t="s">
        <v>1461</v>
      </c>
      <c r="J475" s="415" t="s">
        <v>310</v>
      </c>
      <c r="K475" s="415" t="s">
        <v>1220</v>
      </c>
      <c r="L475" s="415" t="s">
        <v>1368</v>
      </c>
      <c r="M475" s="415" t="s">
        <v>310</v>
      </c>
      <c r="N475" s="413">
        <v>44854</v>
      </c>
      <c r="O475" s="414" t="s">
        <v>404</v>
      </c>
      <c r="P475" s="655">
        <f t="shared" si="22"/>
        <v>10</v>
      </c>
      <c r="Q475" s="655">
        <f t="shared" si="23"/>
        <v>8</v>
      </c>
      <c r="R475" s="758" t="str">
        <f t="shared" si="25"/>
        <v>Gastos_custeados_por_captação</v>
      </c>
      <c r="S475" s="697" t="s">
        <v>310</v>
      </c>
      <c r="T475" s="697" t="s">
        <v>310</v>
      </c>
    </row>
    <row r="476" spans="1:20" ht="48" x14ac:dyDescent="0.2">
      <c r="A476" s="432">
        <f>IF(B476="","",COUNT('Diário 1º PA'!$A$4:$A$2635)+COUNT('Diário 2º PA'!$A$4:$A$3040)+COUNT('Diário 3º PA'!$A$4:$A$2731)+ROW()-3)</f>
        <v>6501</v>
      </c>
      <c r="B476" s="413">
        <v>44854</v>
      </c>
      <c r="C476" s="431">
        <v>44743</v>
      </c>
      <c r="D476" s="419" t="s">
        <v>468</v>
      </c>
      <c r="E476" s="419" t="s">
        <v>468</v>
      </c>
      <c r="F476" s="425">
        <v>17.399999999999999</v>
      </c>
      <c r="G476" s="427" t="s">
        <v>7232</v>
      </c>
      <c r="H476" s="419" t="s">
        <v>468</v>
      </c>
      <c r="I476" s="434" t="s">
        <v>1461</v>
      </c>
      <c r="J476" s="415" t="s">
        <v>310</v>
      </c>
      <c r="K476" s="415" t="s">
        <v>1220</v>
      </c>
      <c r="L476" s="415" t="s">
        <v>1368</v>
      </c>
      <c r="M476" s="415" t="s">
        <v>310</v>
      </c>
      <c r="N476" s="413">
        <v>44854</v>
      </c>
      <c r="O476" s="414" t="s">
        <v>404</v>
      </c>
      <c r="P476" s="655">
        <f t="shared" si="22"/>
        <v>10</v>
      </c>
      <c r="Q476" s="655">
        <f t="shared" si="23"/>
        <v>7</v>
      </c>
      <c r="R476" s="758" t="str">
        <f t="shared" si="25"/>
        <v>Gastos_custeados_por_captação</v>
      </c>
      <c r="S476" s="697" t="s">
        <v>310</v>
      </c>
      <c r="T476" s="697" t="s">
        <v>310</v>
      </c>
    </row>
    <row r="477" spans="1:20" ht="48" x14ac:dyDescent="0.2">
      <c r="A477" s="432">
        <f>IF(B477="","",COUNT('Diário 1º PA'!$A$4:$A$2635)+COUNT('Diário 2º PA'!$A$4:$A$3040)+COUNT('Diário 3º PA'!$A$4:$A$2731)+ROW()-3)</f>
        <v>6502</v>
      </c>
      <c r="B477" s="413">
        <v>44854</v>
      </c>
      <c r="C477" s="431">
        <v>44743</v>
      </c>
      <c r="D477" s="419" t="s">
        <v>468</v>
      </c>
      <c r="E477" s="419" t="s">
        <v>468</v>
      </c>
      <c r="F477" s="425">
        <v>17.399999999999999</v>
      </c>
      <c r="G477" s="427" t="s">
        <v>7224</v>
      </c>
      <c r="H477" s="419" t="s">
        <v>468</v>
      </c>
      <c r="I477" s="434" t="s">
        <v>1461</v>
      </c>
      <c r="J477" s="415" t="s">
        <v>310</v>
      </c>
      <c r="K477" s="415" t="s">
        <v>1220</v>
      </c>
      <c r="L477" s="415" t="s">
        <v>1368</v>
      </c>
      <c r="M477" s="415" t="s">
        <v>310</v>
      </c>
      <c r="N477" s="413">
        <v>44854</v>
      </c>
      <c r="O477" s="414" t="s">
        <v>404</v>
      </c>
      <c r="P477" s="655">
        <f t="shared" si="22"/>
        <v>10</v>
      </c>
      <c r="Q477" s="655">
        <f t="shared" si="23"/>
        <v>7</v>
      </c>
      <c r="R477" s="758" t="str">
        <f t="shared" si="25"/>
        <v>Gastos_custeados_por_captação</v>
      </c>
      <c r="S477" s="697" t="s">
        <v>310</v>
      </c>
      <c r="T477" s="697" t="s">
        <v>310</v>
      </c>
    </row>
    <row r="478" spans="1:20" ht="48" x14ac:dyDescent="0.2">
      <c r="A478" s="432">
        <f>IF(B478="","",COUNT('Diário 1º PA'!$A$4:$A$2635)+COUNT('Diário 2º PA'!$A$4:$A$3040)+COUNT('Diário 3º PA'!$A$4:$A$2731)+ROW()-3)</f>
        <v>6503</v>
      </c>
      <c r="B478" s="413">
        <v>44854</v>
      </c>
      <c r="C478" s="431">
        <v>44743</v>
      </c>
      <c r="D478" s="419" t="s">
        <v>468</v>
      </c>
      <c r="E478" s="419" t="s">
        <v>468</v>
      </c>
      <c r="F478" s="425">
        <v>17.399999999999999</v>
      </c>
      <c r="G478" s="427" t="s">
        <v>7213</v>
      </c>
      <c r="H478" s="419" t="s">
        <v>468</v>
      </c>
      <c r="I478" s="434" t="s">
        <v>1461</v>
      </c>
      <c r="J478" s="415" t="s">
        <v>310</v>
      </c>
      <c r="K478" s="415" t="s">
        <v>1220</v>
      </c>
      <c r="L478" s="415" t="s">
        <v>1368</v>
      </c>
      <c r="M478" s="415" t="s">
        <v>310</v>
      </c>
      <c r="N478" s="413">
        <v>44854</v>
      </c>
      <c r="O478" s="414" t="s">
        <v>404</v>
      </c>
      <c r="P478" s="655">
        <f t="shared" si="22"/>
        <v>10</v>
      </c>
      <c r="Q478" s="655">
        <f t="shared" si="23"/>
        <v>7</v>
      </c>
      <c r="R478" s="758" t="str">
        <f t="shared" si="25"/>
        <v>Gastos_custeados_por_captação</v>
      </c>
      <c r="S478" s="697" t="s">
        <v>310</v>
      </c>
      <c r="T478" s="697" t="s">
        <v>310</v>
      </c>
    </row>
    <row r="479" spans="1:20" ht="48" x14ac:dyDescent="0.2">
      <c r="A479" s="432">
        <f>IF(B479="","",COUNT('Diário 1º PA'!$A$4:$A$2635)+COUNT('Diário 2º PA'!$A$4:$A$3040)+COUNT('Diário 3º PA'!$A$4:$A$2731)+ROW()-3)</f>
        <v>6504</v>
      </c>
      <c r="B479" s="413">
        <v>44854</v>
      </c>
      <c r="C479" s="431">
        <v>44743</v>
      </c>
      <c r="D479" s="419" t="s">
        <v>468</v>
      </c>
      <c r="E479" s="419" t="s">
        <v>468</v>
      </c>
      <c r="F479" s="425">
        <v>17.399999999999999</v>
      </c>
      <c r="G479" s="427" t="s">
        <v>7230</v>
      </c>
      <c r="H479" s="419" t="s">
        <v>468</v>
      </c>
      <c r="I479" s="434" t="s">
        <v>1461</v>
      </c>
      <c r="J479" s="415" t="s">
        <v>310</v>
      </c>
      <c r="K479" s="415" t="s">
        <v>1220</v>
      </c>
      <c r="L479" s="415" t="s">
        <v>1368</v>
      </c>
      <c r="M479" s="415" t="s">
        <v>310</v>
      </c>
      <c r="N479" s="413">
        <v>44854</v>
      </c>
      <c r="O479" s="414" t="s">
        <v>404</v>
      </c>
      <c r="P479" s="655">
        <f t="shared" si="22"/>
        <v>10</v>
      </c>
      <c r="Q479" s="655">
        <f t="shared" si="23"/>
        <v>7</v>
      </c>
      <c r="R479" s="758" t="str">
        <f t="shared" si="25"/>
        <v>Gastos_custeados_por_captação</v>
      </c>
      <c r="S479" s="697" t="s">
        <v>310</v>
      </c>
      <c r="T479" s="697" t="s">
        <v>310</v>
      </c>
    </row>
    <row r="480" spans="1:20" ht="48" x14ac:dyDescent="0.2">
      <c r="A480" s="432">
        <f>IF(B480="","",COUNT('Diário 1º PA'!$A$4:$A$2635)+COUNT('Diário 2º PA'!$A$4:$A$3040)+COUNT('Diário 3º PA'!$A$4:$A$2731)+ROW()-3)</f>
        <v>6505</v>
      </c>
      <c r="B480" s="413">
        <v>44854</v>
      </c>
      <c r="C480" s="431">
        <v>44743</v>
      </c>
      <c r="D480" s="419" t="s">
        <v>468</v>
      </c>
      <c r="E480" s="419" t="s">
        <v>468</v>
      </c>
      <c r="F480" s="425">
        <v>17.399999999999999</v>
      </c>
      <c r="G480" s="427" t="s">
        <v>7210</v>
      </c>
      <c r="H480" s="419" t="s">
        <v>468</v>
      </c>
      <c r="I480" s="434" t="s">
        <v>1461</v>
      </c>
      <c r="J480" s="415" t="s">
        <v>310</v>
      </c>
      <c r="K480" s="415" t="s">
        <v>1220</v>
      </c>
      <c r="L480" s="415" t="s">
        <v>1368</v>
      </c>
      <c r="M480" s="415" t="s">
        <v>310</v>
      </c>
      <c r="N480" s="413">
        <v>44854</v>
      </c>
      <c r="O480" s="414" t="s">
        <v>404</v>
      </c>
      <c r="P480" s="655">
        <f t="shared" si="22"/>
        <v>10</v>
      </c>
      <c r="Q480" s="655">
        <f t="shared" si="23"/>
        <v>7</v>
      </c>
      <c r="R480" s="758" t="str">
        <f t="shared" si="25"/>
        <v>Gastos_custeados_por_captação</v>
      </c>
      <c r="S480" s="697" t="s">
        <v>310</v>
      </c>
      <c r="T480" s="697" t="s">
        <v>310</v>
      </c>
    </row>
    <row r="481" spans="1:20" ht="48" x14ac:dyDescent="0.2">
      <c r="A481" s="432">
        <f>IF(B481="","",COUNT('Diário 1º PA'!$A$4:$A$2635)+COUNT('Diário 2º PA'!$A$4:$A$3040)+COUNT('Diário 3º PA'!$A$4:$A$2731)+ROW()-3)</f>
        <v>6506</v>
      </c>
      <c r="B481" s="413">
        <v>44854</v>
      </c>
      <c r="C481" s="431">
        <v>44774</v>
      </c>
      <c r="D481" s="419" t="s">
        <v>468</v>
      </c>
      <c r="E481" s="419" t="s">
        <v>468</v>
      </c>
      <c r="F481" s="425">
        <v>38.76</v>
      </c>
      <c r="G481" s="427" t="s">
        <v>7382</v>
      </c>
      <c r="H481" s="419" t="s">
        <v>468</v>
      </c>
      <c r="I481" s="434" t="s">
        <v>1461</v>
      </c>
      <c r="J481" s="415" t="s">
        <v>310</v>
      </c>
      <c r="K481" s="415" t="s">
        <v>1220</v>
      </c>
      <c r="L481" s="415" t="s">
        <v>1368</v>
      </c>
      <c r="M481" s="415" t="s">
        <v>310</v>
      </c>
      <c r="N481" s="413">
        <v>44854</v>
      </c>
      <c r="O481" s="414" t="s">
        <v>404</v>
      </c>
      <c r="P481" s="655">
        <f t="shared" ref="P481:P544" si="26">IF(B481=0,0,IF(YEAR(B481)=$Q$1,MONTH(B481)-$P$1+1,(YEAR(B481)-$Q$1)*12-$P$1+1+MONTH(B481)))</f>
        <v>10</v>
      </c>
      <c r="Q481" s="655">
        <f t="shared" ref="Q481:Q544" si="27">IF(C481=0,0,IF(YEAR(C481)=$Q$1,MONTH(C481)-$P$1+1,(YEAR(C481)-$Q$1)*12-$P$1+1+MONTH(C481)))</f>
        <v>8</v>
      </c>
      <c r="R481" s="758" t="str">
        <f t="shared" si="25"/>
        <v>Gastos_custeados_por_captação</v>
      </c>
      <c r="S481" s="697" t="s">
        <v>310</v>
      </c>
      <c r="T481" s="697" t="s">
        <v>310</v>
      </c>
    </row>
    <row r="482" spans="1:20" ht="48" x14ac:dyDescent="0.2">
      <c r="A482" s="432">
        <f>IF(B482="","",COUNT('Diário 1º PA'!$A$4:$A$2635)+COUNT('Diário 2º PA'!$A$4:$A$3040)+COUNT('Diário 3º PA'!$A$4:$A$2731)+ROW()-3)</f>
        <v>6507</v>
      </c>
      <c r="B482" s="413">
        <v>44854</v>
      </c>
      <c r="C482" s="431">
        <v>44774</v>
      </c>
      <c r="D482" s="419" t="s">
        <v>468</v>
      </c>
      <c r="E482" s="419" t="s">
        <v>468</v>
      </c>
      <c r="F482" s="425">
        <v>38.76</v>
      </c>
      <c r="G482" s="427" t="s">
        <v>7376</v>
      </c>
      <c r="H482" s="419" t="s">
        <v>468</v>
      </c>
      <c r="I482" s="434" t="s">
        <v>1461</v>
      </c>
      <c r="J482" s="415" t="s">
        <v>310</v>
      </c>
      <c r="K482" s="415" t="s">
        <v>1220</v>
      </c>
      <c r="L482" s="415" t="s">
        <v>1368</v>
      </c>
      <c r="M482" s="415" t="s">
        <v>310</v>
      </c>
      <c r="N482" s="413">
        <v>44854</v>
      </c>
      <c r="O482" s="414" t="s">
        <v>404</v>
      </c>
      <c r="P482" s="655">
        <f t="shared" si="26"/>
        <v>10</v>
      </c>
      <c r="Q482" s="655">
        <f t="shared" si="27"/>
        <v>8</v>
      </c>
      <c r="R482" s="758" t="str">
        <f t="shared" si="25"/>
        <v>Gastos_custeados_por_captação</v>
      </c>
      <c r="S482" s="697" t="s">
        <v>310</v>
      </c>
      <c r="T482" s="697" t="s">
        <v>310</v>
      </c>
    </row>
    <row r="483" spans="1:20" ht="48" x14ac:dyDescent="0.2">
      <c r="A483" s="432">
        <f>IF(B483="","",COUNT('Diário 1º PA'!$A$4:$A$2635)+COUNT('Diário 2º PA'!$A$4:$A$3040)+COUNT('Diário 3º PA'!$A$4:$A$2731)+ROW()-3)</f>
        <v>6508</v>
      </c>
      <c r="B483" s="413">
        <v>44854</v>
      </c>
      <c r="C483" s="431">
        <v>44743</v>
      </c>
      <c r="D483" s="419" t="s">
        <v>468</v>
      </c>
      <c r="E483" s="419" t="s">
        <v>468</v>
      </c>
      <c r="F483" s="425">
        <v>17.399999999999999</v>
      </c>
      <c r="G483" s="427" t="s">
        <v>7220</v>
      </c>
      <c r="H483" s="419" t="s">
        <v>468</v>
      </c>
      <c r="I483" s="434" t="s">
        <v>1461</v>
      </c>
      <c r="J483" s="415" t="s">
        <v>310</v>
      </c>
      <c r="K483" s="415" t="s">
        <v>1220</v>
      </c>
      <c r="L483" s="415" t="s">
        <v>1368</v>
      </c>
      <c r="M483" s="415" t="s">
        <v>310</v>
      </c>
      <c r="N483" s="413">
        <v>44854</v>
      </c>
      <c r="O483" s="414" t="s">
        <v>404</v>
      </c>
      <c r="P483" s="655">
        <f t="shared" si="26"/>
        <v>10</v>
      </c>
      <c r="Q483" s="655">
        <f t="shared" si="27"/>
        <v>7</v>
      </c>
      <c r="R483" s="758" t="str">
        <f t="shared" si="25"/>
        <v>Gastos_custeados_por_captação</v>
      </c>
      <c r="S483" s="697" t="s">
        <v>310</v>
      </c>
      <c r="T483" s="697" t="s">
        <v>310</v>
      </c>
    </row>
    <row r="484" spans="1:20" ht="48" x14ac:dyDescent="0.2">
      <c r="A484" s="432">
        <f>IF(B484="","",COUNT('Diário 1º PA'!$A$4:$A$2635)+COUNT('Diário 2º PA'!$A$4:$A$3040)+COUNT('Diário 3º PA'!$A$4:$A$2731)+ROW()-3)</f>
        <v>6509</v>
      </c>
      <c r="B484" s="413">
        <v>44854</v>
      </c>
      <c r="C484" s="431">
        <v>44774</v>
      </c>
      <c r="D484" s="419" t="s">
        <v>468</v>
      </c>
      <c r="E484" s="419" t="s">
        <v>468</v>
      </c>
      <c r="F484" s="425">
        <v>930</v>
      </c>
      <c r="G484" s="427" t="s">
        <v>8380</v>
      </c>
      <c r="H484" s="419" t="s">
        <v>468</v>
      </c>
      <c r="I484" s="596" t="s">
        <v>795</v>
      </c>
      <c r="J484" s="720" t="s">
        <v>796</v>
      </c>
      <c r="K484" s="419" t="s">
        <v>806</v>
      </c>
      <c r="L484" s="399" t="s">
        <v>310</v>
      </c>
      <c r="M484" s="400" t="s">
        <v>310</v>
      </c>
      <c r="N484" s="413">
        <v>44854</v>
      </c>
      <c r="O484" s="414" t="s">
        <v>405</v>
      </c>
      <c r="P484" s="655">
        <f t="shared" si="26"/>
        <v>10</v>
      </c>
      <c r="Q484" s="655">
        <f t="shared" si="27"/>
        <v>8</v>
      </c>
      <c r="R484" s="758" t="str">
        <f t="shared" si="25"/>
        <v>Gastos_custeados_por_captação</v>
      </c>
      <c r="S484" s="697" t="s">
        <v>310</v>
      </c>
      <c r="T484" s="697" t="s">
        <v>310</v>
      </c>
    </row>
    <row r="485" spans="1:20" ht="48" x14ac:dyDescent="0.2">
      <c r="A485" s="432">
        <f>IF(B485="","",COUNT('Diário 1º PA'!$A$4:$A$2635)+COUNT('Diário 2º PA'!$A$4:$A$3040)+COUNT('Diário 3º PA'!$A$4:$A$2731)+ROW()-3)</f>
        <v>6510</v>
      </c>
      <c r="B485" s="413">
        <v>44854</v>
      </c>
      <c r="C485" s="431">
        <v>44774</v>
      </c>
      <c r="D485" s="419" t="s">
        <v>468</v>
      </c>
      <c r="E485" s="419" t="s">
        <v>468</v>
      </c>
      <c r="F485" s="425">
        <v>852.5</v>
      </c>
      <c r="G485" s="427" t="s">
        <v>8381</v>
      </c>
      <c r="H485" s="419" t="s">
        <v>468</v>
      </c>
      <c r="I485" s="596" t="s">
        <v>795</v>
      </c>
      <c r="J485" s="720" t="s">
        <v>796</v>
      </c>
      <c r="K485" s="419" t="s">
        <v>806</v>
      </c>
      <c r="L485" s="399" t="s">
        <v>310</v>
      </c>
      <c r="M485" s="400" t="s">
        <v>310</v>
      </c>
      <c r="N485" s="413">
        <v>44854</v>
      </c>
      <c r="O485" s="414" t="s">
        <v>405</v>
      </c>
      <c r="P485" s="655">
        <f t="shared" si="26"/>
        <v>10</v>
      </c>
      <c r="Q485" s="655">
        <f t="shared" si="27"/>
        <v>8</v>
      </c>
      <c r="R485" s="758" t="str">
        <f t="shared" si="25"/>
        <v>Gastos_custeados_por_captação</v>
      </c>
      <c r="S485" s="697" t="s">
        <v>310</v>
      </c>
      <c r="T485" s="697" t="s">
        <v>310</v>
      </c>
    </row>
    <row r="486" spans="1:20" ht="48" x14ac:dyDescent="0.2">
      <c r="A486" s="432">
        <f>IF(B486="","",COUNT('Diário 1º PA'!$A$4:$A$2635)+COUNT('Diário 2º PA'!$A$4:$A$3040)+COUNT('Diário 3º PA'!$A$4:$A$2731)+ROW()-3)</f>
        <v>6511</v>
      </c>
      <c r="B486" s="413">
        <v>44854</v>
      </c>
      <c r="C486" s="431">
        <v>44774</v>
      </c>
      <c r="D486" s="419" t="s">
        <v>468</v>
      </c>
      <c r="E486" s="419" t="s">
        <v>468</v>
      </c>
      <c r="F486" s="425">
        <v>155</v>
      </c>
      <c r="G486" s="427" t="s">
        <v>8382</v>
      </c>
      <c r="H486" s="419" t="s">
        <v>468</v>
      </c>
      <c r="I486" s="596" t="s">
        <v>795</v>
      </c>
      <c r="J486" s="720" t="s">
        <v>796</v>
      </c>
      <c r="K486" s="419" t="s">
        <v>806</v>
      </c>
      <c r="L486" s="399" t="s">
        <v>310</v>
      </c>
      <c r="M486" s="400" t="s">
        <v>310</v>
      </c>
      <c r="N486" s="413">
        <v>44854</v>
      </c>
      <c r="O486" s="414" t="s">
        <v>405</v>
      </c>
      <c r="P486" s="655">
        <f t="shared" si="26"/>
        <v>10</v>
      </c>
      <c r="Q486" s="655">
        <f t="shared" si="27"/>
        <v>8</v>
      </c>
      <c r="R486" s="758" t="str">
        <f t="shared" si="25"/>
        <v>Gastos_custeados_por_captação</v>
      </c>
      <c r="S486" s="697" t="s">
        <v>310</v>
      </c>
      <c r="T486" s="697" t="s">
        <v>310</v>
      </c>
    </row>
    <row r="487" spans="1:20" ht="144" x14ac:dyDescent="0.2">
      <c r="A487" s="432">
        <f>IF(B487="","",COUNT('Diário 1º PA'!$A$4:$A$2635)+COUNT('Diário 2º PA'!$A$4:$A$3040)+COUNT('Diário 3º PA'!$A$4:$A$2731)+ROW()-3)</f>
        <v>6512</v>
      </c>
      <c r="B487" s="413">
        <v>44854</v>
      </c>
      <c r="C487" s="431">
        <v>44774</v>
      </c>
      <c r="D487" s="419" t="s">
        <v>468</v>
      </c>
      <c r="E487" s="419" t="s">
        <v>468</v>
      </c>
      <c r="F487" s="422">
        <v>6250</v>
      </c>
      <c r="G487" s="427" t="s">
        <v>6193</v>
      </c>
      <c r="H487" s="419" t="s">
        <v>468</v>
      </c>
      <c r="I487" s="415" t="s">
        <v>7961</v>
      </c>
      <c r="J487" s="415" t="s">
        <v>6233</v>
      </c>
      <c r="K487" s="419" t="s">
        <v>806</v>
      </c>
      <c r="L487" s="415" t="s">
        <v>807</v>
      </c>
      <c r="M487" s="419" t="s">
        <v>848</v>
      </c>
      <c r="N487" s="413">
        <v>44853</v>
      </c>
      <c r="O487" s="414" t="s">
        <v>405</v>
      </c>
      <c r="P487" s="655">
        <f t="shared" si="26"/>
        <v>10</v>
      </c>
      <c r="Q487" s="655">
        <f t="shared" si="27"/>
        <v>8</v>
      </c>
      <c r="R487" s="758" t="str">
        <f t="shared" si="25"/>
        <v>Gastos_custeados_por_captação</v>
      </c>
      <c r="S487" s="697" t="s">
        <v>998</v>
      </c>
      <c r="T487" s="697">
        <v>4215</v>
      </c>
    </row>
    <row r="488" spans="1:20" ht="48" x14ac:dyDescent="0.2">
      <c r="A488" s="432">
        <f>IF(B488="","",COUNT('Diário 1º PA'!$A$4:$A$2635)+COUNT('Diário 2º PA'!$A$4:$A$3040)+COUNT('Diário 3º PA'!$A$4:$A$2731)+ROW()-3)</f>
        <v>6513</v>
      </c>
      <c r="B488" s="413">
        <v>44854</v>
      </c>
      <c r="C488" s="431">
        <v>44774</v>
      </c>
      <c r="D488" s="419" t="s">
        <v>468</v>
      </c>
      <c r="E488" s="419" t="s">
        <v>468</v>
      </c>
      <c r="F488" s="422">
        <v>57.45</v>
      </c>
      <c r="G488" s="427" t="s">
        <v>7185</v>
      </c>
      <c r="H488" s="419" t="s">
        <v>468</v>
      </c>
      <c r="I488" s="473" t="s">
        <v>1461</v>
      </c>
      <c r="J488" s="415" t="s">
        <v>310</v>
      </c>
      <c r="K488" s="415" t="s">
        <v>1220</v>
      </c>
      <c r="L488" s="415" t="s">
        <v>1368</v>
      </c>
      <c r="M488" s="415" t="s">
        <v>310</v>
      </c>
      <c r="N488" s="413">
        <v>44854</v>
      </c>
      <c r="O488" s="414" t="s">
        <v>405</v>
      </c>
      <c r="P488" s="655">
        <f t="shared" si="26"/>
        <v>10</v>
      </c>
      <c r="Q488" s="655">
        <f t="shared" si="27"/>
        <v>8</v>
      </c>
      <c r="R488" s="758" t="str">
        <f t="shared" si="25"/>
        <v>Gastos_custeados_por_captação</v>
      </c>
      <c r="S488" s="697" t="s">
        <v>310</v>
      </c>
      <c r="T488" s="697" t="s">
        <v>310</v>
      </c>
    </row>
    <row r="489" spans="1:20" ht="48" x14ac:dyDescent="0.2">
      <c r="A489" s="432">
        <f>IF(B489="","",COUNT('Diário 1º PA'!$A$4:$A$2635)+COUNT('Diário 2º PA'!$A$4:$A$3040)+COUNT('Diário 3º PA'!$A$4:$A$2731)+ROW()-3)</f>
        <v>6514</v>
      </c>
      <c r="B489" s="413">
        <v>44854</v>
      </c>
      <c r="C489" s="431">
        <v>44774</v>
      </c>
      <c r="D489" s="419" t="s">
        <v>468</v>
      </c>
      <c r="E489" s="419" t="s">
        <v>468</v>
      </c>
      <c r="F489" s="422">
        <v>40.76</v>
      </c>
      <c r="G489" s="427" t="s">
        <v>7190</v>
      </c>
      <c r="H489" s="419" t="s">
        <v>468</v>
      </c>
      <c r="I489" s="473" t="s">
        <v>1461</v>
      </c>
      <c r="J489" s="415" t="s">
        <v>310</v>
      </c>
      <c r="K489" s="415" t="s">
        <v>1220</v>
      </c>
      <c r="L489" s="415" t="s">
        <v>1368</v>
      </c>
      <c r="M489" s="415" t="s">
        <v>310</v>
      </c>
      <c r="N489" s="413">
        <v>44854</v>
      </c>
      <c r="O489" s="414" t="s">
        <v>405</v>
      </c>
      <c r="P489" s="655">
        <f t="shared" si="26"/>
        <v>10</v>
      </c>
      <c r="Q489" s="655">
        <f t="shared" si="27"/>
        <v>8</v>
      </c>
      <c r="R489" s="758" t="str">
        <f t="shared" si="25"/>
        <v>Gastos_custeados_por_captação</v>
      </c>
      <c r="S489" s="697" t="s">
        <v>310</v>
      </c>
      <c r="T489" s="697" t="s">
        <v>310</v>
      </c>
    </row>
    <row r="490" spans="1:20" ht="48" x14ac:dyDescent="0.2">
      <c r="A490" s="432">
        <f>IF(B490="","",COUNT('Diário 1º PA'!$A$4:$A$2635)+COUNT('Diário 2º PA'!$A$4:$A$3040)+COUNT('Diário 3º PA'!$A$4:$A$2731)+ROW()-3)</f>
        <v>6515</v>
      </c>
      <c r="B490" s="413">
        <v>44855</v>
      </c>
      <c r="C490" s="431">
        <v>44805</v>
      </c>
      <c r="D490" s="415" t="s">
        <v>271</v>
      </c>
      <c r="E490" s="415" t="s">
        <v>326</v>
      </c>
      <c r="F490" s="425">
        <v>-396.15</v>
      </c>
      <c r="G490" s="427" t="s">
        <v>4849</v>
      </c>
      <c r="H490" s="415" t="s">
        <v>309</v>
      </c>
      <c r="I490" s="473" t="s">
        <v>795</v>
      </c>
      <c r="J490" s="415" t="s">
        <v>796</v>
      </c>
      <c r="K490" s="415" t="s">
        <v>797</v>
      </c>
      <c r="L490" s="415" t="s">
        <v>798</v>
      </c>
      <c r="M490" s="415" t="s">
        <v>310</v>
      </c>
      <c r="N490" s="413">
        <v>44855</v>
      </c>
      <c r="O490" s="414" t="s">
        <v>400</v>
      </c>
      <c r="P490" s="655">
        <f t="shared" si="26"/>
        <v>10</v>
      </c>
      <c r="Q490" s="655">
        <f t="shared" si="27"/>
        <v>9</v>
      </c>
      <c r="R490" s="758" t="str">
        <f t="shared" si="25"/>
        <v>Gastos_Gerais</v>
      </c>
      <c r="S490" s="697" t="s">
        <v>310</v>
      </c>
      <c r="T490" s="697" t="s">
        <v>310</v>
      </c>
    </row>
    <row r="491" spans="1:20" ht="36" x14ac:dyDescent="0.2">
      <c r="A491" s="432">
        <f>IF(B491="","",COUNT('Diário 1º PA'!$A$4:$A$2635)+COUNT('Diário 2º PA'!$A$4:$A$3040)+COUNT('Diário 3º PA'!$A$4:$A$2731)+ROW()-3)</f>
        <v>6516</v>
      </c>
      <c r="B491" s="413">
        <v>44855</v>
      </c>
      <c r="C491" s="431">
        <v>44835</v>
      </c>
      <c r="D491" s="415" t="s">
        <v>271</v>
      </c>
      <c r="E491" s="415" t="s">
        <v>297</v>
      </c>
      <c r="F491" s="425">
        <v>930</v>
      </c>
      <c r="G491" s="427" t="s">
        <v>7789</v>
      </c>
      <c r="H491" s="415" t="s">
        <v>309</v>
      </c>
      <c r="I491" s="415" t="s">
        <v>5993</v>
      </c>
      <c r="J491" s="415" t="s">
        <v>1071</v>
      </c>
      <c r="K491" s="419" t="s">
        <v>830</v>
      </c>
      <c r="L491" s="415" t="s">
        <v>6409</v>
      </c>
      <c r="M491" s="419" t="s">
        <v>7881</v>
      </c>
      <c r="N491" s="413">
        <v>44854</v>
      </c>
      <c r="O491" s="414" t="s">
        <v>400</v>
      </c>
      <c r="P491" s="655">
        <f t="shared" si="26"/>
        <v>10</v>
      </c>
      <c r="Q491" s="655">
        <f t="shared" si="27"/>
        <v>10</v>
      </c>
      <c r="R491" s="758" t="str">
        <f t="shared" si="25"/>
        <v>Gastos_Gerais</v>
      </c>
      <c r="S491" s="697" t="s">
        <v>998</v>
      </c>
      <c r="T491" s="697">
        <v>4559</v>
      </c>
    </row>
    <row r="492" spans="1:20" ht="72" x14ac:dyDescent="0.2">
      <c r="A492" s="432">
        <f>IF(B492="","",COUNT('Diário 1º PA'!$A$4:$A$2635)+COUNT('Diário 2º PA'!$A$4:$A$3040)+COUNT('Diário 3º PA'!$A$4:$A$2731)+ROW()-3)</f>
        <v>6517</v>
      </c>
      <c r="B492" s="413">
        <v>44855</v>
      </c>
      <c r="C492" s="431">
        <v>44805</v>
      </c>
      <c r="D492" s="415" t="s">
        <v>271</v>
      </c>
      <c r="E492" s="415" t="s">
        <v>297</v>
      </c>
      <c r="F492" s="425">
        <v>156.1</v>
      </c>
      <c r="G492" s="427" t="s">
        <v>7328</v>
      </c>
      <c r="H492" s="419" t="s">
        <v>758</v>
      </c>
      <c r="I492" s="415" t="s">
        <v>7882</v>
      </c>
      <c r="J492" s="415" t="s">
        <v>1957</v>
      </c>
      <c r="K492" s="419" t="s">
        <v>812</v>
      </c>
      <c r="L492" s="415" t="s">
        <v>32</v>
      </c>
      <c r="M492" s="419">
        <v>321372</v>
      </c>
      <c r="N492" s="413">
        <v>44825</v>
      </c>
      <c r="O492" s="414" t="s">
        <v>400</v>
      </c>
      <c r="P492" s="655">
        <f t="shared" si="26"/>
        <v>10</v>
      </c>
      <c r="Q492" s="655">
        <f t="shared" si="27"/>
        <v>9</v>
      </c>
      <c r="R492" s="758" t="str">
        <f t="shared" si="25"/>
        <v>Gastos_Gerais</v>
      </c>
      <c r="S492" s="697" t="s">
        <v>999</v>
      </c>
      <c r="T492" s="697">
        <v>4367</v>
      </c>
    </row>
    <row r="493" spans="1:20" ht="48" x14ac:dyDescent="0.2">
      <c r="A493" s="432">
        <f>IF(B493="","",COUNT('Diário 1º PA'!$A$4:$A$2635)+COUNT('Diário 2º PA'!$A$4:$A$3040)+COUNT('Diário 3º PA'!$A$4:$A$2731)+ROW()-3)</f>
        <v>6518</v>
      </c>
      <c r="B493" s="413">
        <v>44855</v>
      </c>
      <c r="C493" s="431">
        <v>44805</v>
      </c>
      <c r="D493" s="415" t="s">
        <v>271</v>
      </c>
      <c r="E493" s="415" t="s">
        <v>453</v>
      </c>
      <c r="F493" s="425">
        <v>566.66</v>
      </c>
      <c r="G493" s="427" t="s">
        <v>7281</v>
      </c>
      <c r="H493" s="419" t="s">
        <v>754</v>
      </c>
      <c r="I493" s="415" t="s">
        <v>7883</v>
      </c>
      <c r="J493" s="415" t="s">
        <v>7282</v>
      </c>
      <c r="K493" s="419" t="s">
        <v>830</v>
      </c>
      <c r="L493" s="415" t="s">
        <v>32</v>
      </c>
      <c r="M493" s="419" t="s">
        <v>5115</v>
      </c>
      <c r="N493" s="413">
        <v>44852</v>
      </c>
      <c r="O493" s="414" t="s">
        <v>400</v>
      </c>
      <c r="P493" s="655">
        <f t="shared" si="26"/>
        <v>10</v>
      </c>
      <c r="Q493" s="655">
        <f t="shared" si="27"/>
        <v>9</v>
      </c>
      <c r="R493" s="758" t="str">
        <f t="shared" si="25"/>
        <v>Gastos_Gerais</v>
      </c>
      <c r="S493" s="697" t="s">
        <v>998</v>
      </c>
      <c r="T493" s="697">
        <v>4357</v>
      </c>
    </row>
    <row r="494" spans="1:20" ht="36" x14ac:dyDescent="0.2">
      <c r="A494" s="432">
        <f>IF(B494="","",COUNT('Diário 1º PA'!$A$4:$A$2635)+COUNT('Diário 2º PA'!$A$4:$A$3040)+COUNT('Diário 3º PA'!$A$4:$A$2731)+ROW()-3)</f>
        <v>6519</v>
      </c>
      <c r="B494" s="413">
        <v>44855</v>
      </c>
      <c r="C494" s="424">
        <v>44835</v>
      </c>
      <c r="D494" s="419" t="s">
        <v>271</v>
      </c>
      <c r="E494" s="419" t="s">
        <v>71</v>
      </c>
      <c r="F494" s="422">
        <v>11</v>
      </c>
      <c r="G494" s="423" t="s">
        <v>7885</v>
      </c>
      <c r="H494" s="415" t="s">
        <v>309</v>
      </c>
      <c r="I494" s="415" t="s">
        <v>881</v>
      </c>
      <c r="J494" s="419" t="s">
        <v>882</v>
      </c>
      <c r="K494" s="419" t="s">
        <v>883</v>
      </c>
      <c r="L494" s="415" t="s">
        <v>798</v>
      </c>
      <c r="M494" s="419" t="s">
        <v>310</v>
      </c>
      <c r="N494" s="413">
        <v>44855</v>
      </c>
      <c r="O494" s="414" t="s">
        <v>400</v>
      </c>
      <c r="P494" s="655">
        <f t="shared" si="26"/>
        <v>10</v>
      </c>
      <c r="Q494" s="655">
        <f t="shared" si="27"/>
        <v>10</v>
      </c>
      <c r="R494" s="758" t="str">
        <f t="shared" si="25"/>
        <v>Gastos_Gerais</v>
      </c>
      <c r="S494" s="697" t="s">
        <v>310</v>
      </c>
      <c r="T494" s="697" t="s">
        <v>310</v>
      </c>
    </row>
    <row r="495" spans="1:20" ht="48" x14ac:dyDescent="0.2">
      <c r="A495" s="432">
        <f>IF(B495="","",COUNT('Diário 1º PA'!$A$4:$A$2635)+COUNT('Diário 2º PA'!$A$4:$A$3040)+COUNT('Diário 3º PA'!$A$4:$A$2731)+ROW()-3)</f>
        <v>6520</v>
      </c>
      <c r="B495" s="413">
        <v>44855</v>
      </c>
      <c r="C495" s="424">
        <v>44835</v>
      </c>
      <c r="D495" s="419" t="s">
        <v>271</v>
      </c>
      <c r="E495" s="419" t="s">
        <v>71</v>
      </c>
      <c r="F495" s="422">
        <v>11</v>
      </c>
      <c r="G495" s="423" t="s">
        <v>7884</v>
      </c>
      <c r="H495" s="419" t="s">
        <v>754</v>
      </c>
      <c r="I495" s="415" t="s">
        <v>881</v>
      </c>
      <c r="J495" s="419" t="s">
        <v>882</v>
      </c>
      <c r="K495" s="419" t="s">
        <v>883</v>
      </c>
      <c r="L495" s="415" t="s">
        <v>798</v>
      </c>
      <c r="M495" s="419" t="s">
        <v>310</v>
      </c>
      <c r="N495" s="413">
        <v>44855</v>
      </c>
      <c r="O495" s="414" t="s">
        <v>400</v>
      </c>
      <c r="P495" s="655">
        <f t="shared" si="26"/>
        <v>10</v>
      </c>
      <c r="Q495" s="655">
        <f t="shared" si="27"/>
        <v>10</v>
      </c>
      <c r="R495" s="758" t="str">
        <f t="shared" si="25"/>
        <v>Gastos_Gerais</v>
      </c>
      <c r="S495" s="697" t="s">
        <v>310</v>
      </c>
      <c r="T495" s="697" t="s">
        <v>310</v>
      </c>
    </row>
    <row r="496" spans="1:20" ht="36" x14ac:dyDescent="0.2">
      <c r="A496" s="432">
        <f>IF(B496="","",COUNT('Diário 1º PA'!$A$4:$A$2635)+COUNT('Diário 2º PA'!$A$4:$A$3040)+COUNT('Diário 3º PA'!$A$4:$A$2731)+ROW()-3)</f>
        <v>6521</v>
      </c>
      <c r="B496" s="413">
        <v>44855</v>
      </c>
      <c r="C496" s="424">
        <v>44835</v>
      </c>
      <c r="D496" s="419" t="s">
        <v>468</v>
      </c>
      <c r="E496" s="419" t="s">
        <v>468</v>
      </c>
      <c r="F496" s="422">
        <v>11</v>
      </c>
      <c r="G496" s="427" t="s">
        <v>2469</v>
      </c>
      <c r="H496" s="419" t="s">
        <v>468</v>
      </c>
      <c r="I496" s="639" t="s">
        <v>881</v>
      </c>
      <c r="J496" s="418" t="s">
        <v>882</v>
      </c>
      <c r="K496" s="418" t="s">
        <v>883</v>
      </c>
      <c r="L496" s="399" t="s">
        <v>798</v>
      </c>
      <c r="M496" s="544" t="s">
        <v>310</v>
      </c>
      <c r="N496" s="413">
        <v>44851</v>
      </c>
      <c r="O496" s="414" t="s">
        <v>3762</v>
      </c>
      <c r="P496" s="655">
        <f t="shared" si="26"/>
        <v>10</v>
      </c>
      <c r="Q496" s="655">
        <f t="shared" si="27"/>
        <v>10</v>
      </c>
      <c r="R496" s="758" t="str">
        <f t="shared" si="25"/>
        <v>Gastos_custeados_por_captação</v>
      </c>
      <c r="S496" s="697" t="s">
        <v>310</v>
      </c>
      <c r="T496" s="697" t="s">
        <v>310</v>
      </c>
    </row>
    <row r="497" spans="1:20" ht="48" x14ac:dyDescent="0.2">
      <c r="A497" s="432">
        <f>IF(B497="","",COUNT('Diário 1º PA'!$A$4:$A$2635)+COUNT('Diário 2º PA'!$A$4:$A$3040)+COUNT('Diário 3º PA'!$A$4:$A$2731)+ROW()-3)</f>
        <v>6522</v>
      </c>
      <c r="B497" s="413">
        <v>44855</v>
      </c>
      <c r="C497" s="431">
        <v>44805</v>
      </c>
      <c r="D497" s="419" t="s">
        <v>468</v>
      </c>
      <c r="E497" s="419" t="s">
        <v>468</v>
      </c>
      <c r="F497" s="422">
        <v>1600</v>
      </c>
      <c r="G497" s="427" t="s">
        <v>4338</v>
      </c>
      <c r="H497" s="419" t="s">
        <v>468</v>
      </c>
      <c r="I497" s="415" t="s">
        <v>5867</v>
      </c>
      <c r="J497" s="415" t="s">
        <v>4337</v>
      </c>
      <c r="K497" s="419" t="s">
        <v>830</v>
      </c>
      <c r="L497" s="399" t="s">
        <v>32</v>
      </c>
      <c r="M497" s="419">
        <v>72</v>
      </c>
      <c r="N497" s="413">
        <v>44854</v>
      </c>
      <c r="O497" s="414" t="s">
        <v>408</v>
      </c>
      <c r="P497" s="655">
        <f t="shared" si="26"/>
        <v>10</v>
      </c>
      <c r="Q497" s="655">
        <f t="shared" si="27"/>
        <v>9</v>
      </c>
      <c r="R497" s="758" t="str">
        <f t="shared" si="25"/>
        <v>Gastos_custeados_por_captação</v>
      </c>
      <c r="S497" s="697" t="s">
        <v>998</v>
      </c>
      <c r="T497" s="697">
        <v>3767</v>
      </c>
    </row>
    <row r="498" spans="1:20" ht="36" x14ac:dyDescent="0.2">
      <c r="A498" s="432">
        <f>IF(B498="","",COUNT('Diário 1º PA'!$A$4:$A$2635)+COUNT('Diário 2º PA'!$A$4:$A$3040)+COUNT('Diário 3º PA'!$A$4:$A$2731)+ROW()-3)</f>
        <v>6523</v>
      </c>
      <c r="B498" s="413">
        <v>44855</v>
      </c>
      <c r="C498" s="424">
        <v>44835</v>
      </c>
      <c r="D498" s="419" t="s">
        <v>468</v>
      </c>
      <c r="E498" s="419" t="s">
        <v>468</v>
      </c>
      <c r="F498" s="422">
        <v>11</v>
      </c>
      <c r="G498" s="427" t="s">
        <v>2469</v>
      </c>
      <c r="H498" s="419" t="s">
        <v>468</v>
      </c>
      <c r="I498" s="639" t="s">
        <v>881</v>
      </c>
      <c r="J498" s="418" t="s">
        <v>882</v>
      </c>
      <c r="K498" s="418" t="s">
        <v>883</v>
      </c>
      <c r="L498" s="399" t="s">
        <v>798</v>
      </c>
      <c r="M498" s="544" t="s">
        <v>310</v>
      </c>
      <c r="N498" s="413">
        <v>44855</v>
      </c>
      <c r="O498" s="414" t="s">
        <v>408</v>
      </c>
      <c r="P498" s="655">
        <f t="shared" si="26"/>
        <v>10</v>
      </c>
      <c r="Q498" s="655">
        <f t="shared" si="27"/>
        <v>10</v>
      </c>
      <c r="R498" s="758" t="str">
        <f t="shared" si="25"/>
        <v>Gastos_custeados_por_captação</v>
      </c>
      <c r="S498" s="697" t="s">
        <v>310</v>
      </c>
      <c r="T498" s="697" t="s">
        <v>310</v>
      </c>
    </row>
    <row r="499" spans="1:20" ht="36" x14ac:dyDescent="0.2">
      <c r="A499" s="432">
        <f>IF(B499="","",COUNT('Diário 1º PA'!$A$4:$A$2635)+COUNT('Diário 2º PA'!$A$4:$A$3040)+COUNT('Diário 3º PA'!$A$4:$A$2731)+ROW()-3)</f>
        <v>6524</v>
      </c>
      <c r="B499" s="413">
        <v>44858</v>
      </c>
      <c r="C499" s="431">
        <v>44835</v>
      </c>
      <c r="D499" s="415" t="s">
        <v>271</v>
      </c>
      <c r="E499" s="415" t="s">
        <v>456</v>
      </c>
      <c r="F499" s="425">
        <v>326</v>
      </c>
      <c r="G499" s="427" t="s">
        <v>7893</v>
      </c>
      <c r="H499" s="415" t="s">
        <v>757</v>
      </c>
      <c r="I499" s="415" t="s">
        <v>7902</v>
      </c>
      <c r="J499" s="415" t="s">
        <v>7894</v>
      </c>
      <c r="K499" s="419" t="s">
        <v>830</v>
      </c>
      <c r="L499" s="415" t="s">
        <v>32</v>
      </c>
      <c r="M499" s="419">
        <v>5</v>
      </c>
      <c r="N499" s="413">
        <v>44855</v>
      </c>
      <c r="O499" s="414" t="s">
        <v>400</v>
      </c>
      <c r="P499" s="655">
        <f t="shared" si="26"/>
        <v>10</v>
      </c>
      <c r="Q499" s="655">
        <f t="shared" si="27"/>
        <v>10</v>
      </c>
      <c r="R499" s="758" t="str">
        <f t="shared" si="25"/>
        <v>Gastos_Gerais</v>
      </c>
      <c r="S499" s="697" t="s">
        <v>999</v>
      </c>
      <c r="T499" s="697">
        <v>4613</v>
      </c>
    </row>
    <row r="500" spans="1:20" ht="36" x14ac:dyDescent="0.2">
      <c r="A500" s="432">
        <f>IF(B500="","",COUNT('Diário 1º PA'!$A$4:$A$2635)+COUNT('Diário 2º PA'!$A$4:$A$3040)+COUNT('Diário 3º PA'!$A$4:$A$2731)+ROW()-3)</f>
        <v>6525</v>
      </c>
      <c r="B500" s="413">
        <v>44858</v>
      </c>
      <c r="C500" s="431">
        <v>44835</v>
      </c>
      <c r="D500" s="415" t="s">
        <v>271</v>
      </c>
      <c r="E500" s="415" t="s">
        <v>297</v>
      </c>
      <c r="F500" s="425">
        <v>865.86</v>
      </c>
      <c r="G500" s="427" t="s">
        <v>7860</v>
      </c>
      <c r="H500" s="415" t="s">
        <v>757</v>
      </c>
      <c r="I500" s="415" t="s">
        <v>7903</v>
      </c>
      <c r="J500" s="415" t="s">
        <v>7899</v>
      </c>
      <c r="K500" s="419" t="s">
        <v>830</v>
      </c>
      <c r="L500" s="415" t="s">
        <v>32</v>
      </c>
      <c r="M500" s="419">
        <v>1475</v>
      </c>
      <c r="N500" s="413">
        <v>44858</v>
      </c>
      <c r="O500" s="414" t="s">
        <v>400</v>
      </c>
      <c r="P500" s="655">
        <f t="shared" si="26"/>
        <v>10</v>
      </c>
      <c r="Q500" s="655">
        <f t="shared" si="27"/>
        <v>10</v>
      </c>
      <c r="R500" s="758" t="str">
        <f t="shared" si="25"/>
        <v>Gastos_Gerais</v>
      </c>
      <c r="S500" s="697" t="s">
        <v>999</v>
      </c>
      <c r="T500" s="697">
        <v>4532</v>
      </c>
    </row>
    <row r="501" spans="1:20" ht="48" x14ac:dyDescent="0.2">
      <c r="A501" s="432">
        <f>IF(B501="","",COUNT('Diário 1º PA'!$A$4:$A$2635)+COUNT('Diário 2º PA'!$A$4:$A$3040)+COUNT('Diário 3º PA'!$A$4:$A$2731)+ROW()-3)</f>
        <v>6526</v>
      </c>
      <c r="B501" s="413">
        <v>44858</v>
      </c>
      <c r="C501" s="431">
        <v>44835</v>
      </c>
      <c r="D501" s="415" t="s">
        <v>271</v>
      </c>
      <c r="E501" s="415" t="s">
        <v>465</v>
      </c>
      <c r="F501" s="425">
        <v>224.99</v>
      </c>
      <c r="G501" s="427" t="s">
        <v>7896</v>
      </c>
      <c r="H501" s="415" t="s">
        <v>757</v>
      </c>
      <c r="I501" s="415" t="s">
        <v>7904</v>
      </c>
      <c r="J501" s="415" t="s">
        <v>7897</v>
      </c>
      <c r="K501" s="419" t="s">
        <v>830</v>
      </c>
      <c r="L501" s="415" t="s">
        <v>4797</v>
      </c>
      <c r="M501" s="415">
        <v>2081</v>
      </c>
      <c r="N501" s="414">
        <v>44858</v>
      </c>
      <c r="O501" s="414" t="s">
        <v>400</v>
      </c>
      <c r="P501" s="655">
        <f t="shared" si="26"/>
        <v>10</v>
      </c>
      <c r="Q501" s="655">
        <f t="shared" si="27"/>
        <v>10</v>
      </c>
      <c r="R501" s="758" t="str">
        <f t="shared" si="25"/>
        <v>Gastos_Gerais</v>
      </c>
      <c r="S501" s="697" t="s">
        <v>999</v>
      </c>
      <c r="T501" s="697">
        <v>4542</v>
      </c>
    </row>
    <row r="502" spans="1:20" ht="36" x14ac:dyDescent="0.2">
      <c r="A502" s="432">
        <f>IF(B502="","",COUNT('Diário 1º PA'!$A$4:$A$2635)+COUNT('Diário 2º PA'!$A$4:$A$3040)+COUNT('Diário 3º PA'!$A$4:$A$2731)+ROW()-3)</f>
        <v>6527</v>
      </c>
      <c r="B502" s="413">
        <v>44858</v>
      </c>
      <c r="C502" s="431">
        <v>44835</v>
      </c>
      <c r="D502" s="415" t="s">
        <v>271</v>
      </c>
      <c r="E502" s="415" t="s">
        <v>297</v>
      </c>
      <c r="F502" s="425">
        <v>110.83</v>
      </c>
      <c r="G502" s="427" t="s">
        <v>7900</v>
      </c>
      <c r="H502" s="415" t="s">
        <v>757</v>
      </c>
      <c r="I502" s="415" t="s">
        <v>2242</v>
      </c>
      <c r="J502" s="415" t="s">
        <v>1074</v>
      </c>
      <c r="K502" s="419" t="s">
        <v>830</v>
      </c>
      <c r="L502" s="415" t="s">
        <v>807</v>
      </c>
      <c r="M502" s="415">
        <v>305433</v>
      </c>
      <c r="N502" s="414">
        <v>44858</v>
      </c>
      <c r="O502" s="414" t="s">
        <v>400</v>
      </c>
      <c r="P502" s="655">
        <f t="shared" si="26"/>
        <v>10</v>
      </c>
      <c r="Q502" s="655">
        <f t="shared" si="27"/>
        <v>10</v>
      </c>
      <c r="R502" s="758" t="str">
        <f t="shared" si="25"/>
        <v>Gastos_Gerais</v>
      </c>
      <c r="S502" s="697" t="s">
        <v>999</v>
      </c>
      <c r="T502" s="697">
        <v>4622</v>
      </c>
    </row>
    <row r="503" spans="1:20" ht="36" x14ac:dyDescent="0.2">
      <c r="A503" s="432">
        <f>IF(B503="","",COUNT('Diário 1º PA'!$A$4:$A$2635)+COUNT('Diário 2º PA'!$A$4:$A$3040)+COUNT('Diário 3º PA'!$A$4:$A$2731)+ROW()-3)</f>
        <v>6528</v>
      </c>
      <c r="B503" s="413">
        <v>44858</v>
      </c>
      <c r="C503" s="424">
        <v>44835</v>
      </c>
      <c r="D503" s="419" t="s">
        <v>271</v>
      </c>
      <c r="E503" s="419" t="s">
        <v>71</v>
      </c>
      <c r="F503" s="422">
        <v>11</v>
      </c>
      <c r="G503" s="423" t="s">
        <v>7905</v>
      </c>
      <c r="H503" s="415" t="s">
        <v>757</v>
      </c>
      <c r="I503" s="415" t="s">
        <v>881</v>
      </c>
      <c r="J503" s="419" t="s">
        <v>882</v>
      </c>
      <c r="K503" s="419" t="s">
        <v>883</v>
      </c>
      <c r="L503" s="415" t="s">
        <v>798</v>
      </c>
      <c r="M503" s="419" t="s">
        <v>310</v>
      </c>
      <c r="N503" s="413">
        <v>44858</v>
      </c>
      <c r="O503" s="414" t="s">
        <v>400</v>
      </c>
      <c r="P503" s="655">
        <f t="shared" si="26"/>
        <v>10</v>
      </c>
      <c r="Q503" s="655">
        <f t="shared" si="27"/>
        <v>10</v>
      </c>
      <c r="R503" s="758" t="str">
        <f t="shared" si="25"/>
        <v>Gastos_Gerais</v>
      </c>
      <c r="S503" s="697" t="s">
        <v>310</v>
      </c>
      <c r="T503" s="697" t="s">
        <v>310</v>
      </c>
    </row>
    <row r="504" spans="1:20" ht="36" x14ac:dyDescent="0.2">
      <c r="A504" s="432">
        <f>IF(B504="","",COUNT('Diário 1º PA'!$A$4:$A$2635)+COUNT('Diário 2º PA'!$A$4:$A$3040)+COUNT('Diário 3º PA'!$A$4:$A$2731)+ROW()-3)</f>
        <v>6529</v>
      </c>
      <c r="B504" s="413">
        <v>44858</v>
      </c>
      <c r="C504" s="424">
        <v>44835</v>
      </c>
      <c r="D504" s="419" t="s">
        <v>271</v>
      </c>
      <c r="E504" s="419" t="s">
        <v>71</v>
      </c>
      <c r="F504" s="422">
        <v>11</v>
      </c>
      <c r="G504" s="423" t="s">
        <v>7906</v>
      </c>
      <c r="H504" s="415" t="s">
        <v>757</v>
      </c>
      <c r="I504" s="415" t="s">
        <v>881</v>
      </c>
      <c r="J504" s="419" t="s">
        <v>882</v>
      </c>
      <c r="K504" s="419" t="s">
        <v>883</v>
      </c>
      <c r="L504" s="415" t="s">
        <v>798</v>
      </c>
      <c r="M504" s="419" t="s">
        <v>310</v>
      </c>
      <c r="N504" s="413">
        <v>44858</v>
      </c>
      <c r="O504" s="414" t="s">
        <v>400</v>
      </c>
      <c r="P504" s="655">
        <f t="shared" si="26"/>
        <v>10</v>
      </c>
      <c r="Q504" s="655">
        <f t="shared" si="27"/>
        <v>10</v>
      </c>
      <c r="R504" s="758" t="str">
        <f t="shared" si="25"/>
        <v>Gastos_Gerais</v>
      </c>
      <c r="S504" s="697" t="s">
        <v>310</v>
      </c>
      <c r="T504" s="697" t="s">
        <v>310</v>
      </c>
    </row>
    <row r="505" spans="1:20" ht="48" x14ac:dyDescent="0.2">
      <c r="A505" s="432">
        <f>IF(B505="","",COUNT('Diário 1º PA'!$A$4:$A$2635)+COUNT('Diário 2º PA'!$A$4:$A$3040)+COUNT('Diário 3º PA'!$A$4:$A$2731)+ROW()-3)</f>
        <v>6530</v>
      </c>
      <c r="B505" s="413">
        <v>44858</v>
      </c>
      <c r="C505" s="424">
        <v>44835</v>
      </c>
      <c r="D505" s="419" t="s">
        <v>271</v>
      </c>
      <c r="E505" s="419" t="s">
        <v>71</v>
      </c>
      <c r="F505" s="422">
        <v>11</v>
      </c>
      <c r="G505" s="423" t="s">
        <v>7907</v>
      </c>
      <c r="H505" s="415" t="s">
        <v>757</v>
      </c>
      <c r="I505" s="415" t="s">
        <v>881</v>
      </c>
      <c r="J505" s="419" t="s">
        <v>882</v>
      </c>
      <c r="K505" s="419" t="s">
        <v>883</v>
      </c>
      <c r="L505" s="415" t="s">
        <v>798</v>
      </c>
      <c r="M505" s="419" t="s">
        <v>310</v>
      </c>
      <c r="N505" s="413">
        <v>44858</v>
      </c>
      <c r="O505" s="414" t="s">
        <v>400</v>
      </c>
      <c r="P505" s="655">
        <f t="shared" si="26"/>
        <v>10</v>
      </c>
      <c r="Q505" s="655">
        <f t="shared" si="27"/>
        <v>10</v>
      </c>
      <c r="R505" s="758" t="str">
        <f t="shared" si="25"/>
        <v>Gastos_Gerais</v>
      </c>
      <c r="S505" s="697" t="s">
        <v>310</v>
      </c>
      <c r="T505" s="697" t="s">
        <v>310</v>
      </c>
    </row>
    <row r="506" spans="1:20" ht="36" x14ac:dyDescent="0.2">
      <c r="A506" s="432">
        <f>IF(B506="","",COUNT('Diário 1º PA'!$A$4:$A$2635)+COUNT('Diário 2º PA'!$A$4:$A$3040)+COUNT('Diário 3º PA'!$A$4:$A$2731)+ROW()-3)</f>
        <v>6531</v>
      </c>
      <c r="B506" s="413">
        <v>44858</v>
      </c>
      <c r="C506" s="424">
        <v>44835</v>
      </c>
      <c r="D506" s="419" t="s">
        <v>271</v>
      </c>
      <c r="E506" s="419" t="s">
        <v>71</v>
      </c>
      <c r="F506" s="422">
        <v>11</v>
      </c>
      <c r="G506" s="423" t="s">
        <v>7908</v>
      </c>
      <c r="H506" s="415" t="s">
        <v>757</v>
      </c>
      <c r="I506" s="415" t="s">
        <v>881</v>
      </c>
      <c r="J506" s="419" t="s">
        <v>882</v>
      </c>
      <c r="K506" s="419" t="s">
        <v>883</v>
      </c>
      <c r="L506" s="415" t="s">
        <v>798</v>
      </c>
      <c r="M506" s="419" t="s">
        <v>310</v>
      </c>
      <c r="N506" s="413">
        <v>44858</v>
      </c>
      <c r="O506" s="414" t="s">
        <v>400</v>
      </c>
      <c r="P506" s="655">
        <f t="shared" si="26"/>
        <v>10</v>
      </c>
      <c r="Q506" s="655">
        <f t="shared" si="27"/>
        <v>10</v>
      </c>
      <c r="R506" s="758" t="str">
        <f t="shared" si="25"/>
        <v>Gastos_Gerais</v>
      </c>
      <c r="S506" s="697" t="s">
        <v>310</v>
      </c>
      <c r="T506" s="697" t="s">
        <v>310</v>
      </c>
    </row>
    <row r="507" spans="1:20" ht="36" x14ac:dyDescent="0.2">
      <c r="A507" s="432">
        <f>IF(B507="","",COUNT('Diário 1º PA'!$A$4:$A$2635)+COUNT('Diário 2º PA'!$A$4:$A$3040)+COUNT('Diário 3º PA'!$A$4:$A$2731)+ROW()-3)</f>
        <v>6532</v>
      </c>
      <c r="B507" s="413">
        <v>44858</v>
      </c>
      <c r="C507" s="424">
        <v>44835</v>
      </c>
      <c r="D507" s="419" t="s">
        <v>468</v>
      </c>
      <c r="E507" s="419" t="s">
        <v>468</v>
      </c>
      <c r="F507" s="422">
        <v>11</v>
      </c>
      <c r="G507" s="427" t="s">
        <v>2469</v>
      </c>
      <c r="H507" s="415" t="s">
        <v>468</v>
      </c>
      <c r="I507" s="639" t="s">
        <v>881</v>
      </c>
      <c r="J507" s="418" t="s">
        <v>882</v>
      </c>
      <c r="K507" s="418" t="s">
        <v>883</v>
      </c>
      <c r="L507" s="399" t="s">
        <v>798</v>
      </c>
      <c r="M507" s="544" t="s">
        <v>310</v>
      </c>
      <c r="N507" s="413">
        <v>44858</v>
      </c>
      <c r="O507" s="414" t="s">
        <v>3762</v>
      </c>
      <c r="P507" s="655">
        <f t="shared" si="26"/>
        <v>10</v>
      </c>
      <c r="Q507" s="655">
        <f t="shared" si="27"/>
        <v>10</v>
      </c>
      <c r="R507" s="758" t="str">
        <f t="shared" si="25"/>
        <v>Gastos_custeados_por_captação</v>
      </c>
      <c r="S507" s="697" t="s">
        <v>310</v>
      </c>
      <c r="T507" s="697" t="s">
        <v>310</v>
      </c>
    </row>
    <row r="508" spans="1:20" ht="48" x14ac:dyDescent="0.2">
      <c r="A508" s="432">
        <f>IF(B508="","",COUNT('Diário 1º PA'!$A$4:$A$2635)+COUNT('Diário 2º PA'!$A$4:$A$3040)+COUNT('Diário 3º PA'!$A$4:$A$2731)+ROW()-3)</f>
        <v>6533</v>
      </c>
      <c r="B508" s="413">
        <v>44859</v>
      </c>
      <c r="C508" s="466">
        <v>44805</v>
      </c>
      <c r="D508" s="415" t="s">
        <v>271</v>
      </c>
      <c r="E508" s="415" t="s">
        <v>164</v>
      </c>
      <c r="F508" s="435">
        <v>-204.33</v>
      </c>
      <c r="G508" s="427" t="s">
        <v>7672</v>
      </c>
      <c r="H508" s="415" t="s">
        <v>309</v>
      </c>
      <c r="I508" s="473" t="s">
        <v>795</v>
      </c>
      <c r="J508" s="415" t="s">
        <v>796</v>
      </c>
      <c r="K508" s="415" t="s">
        <v>797</v>
      </c>
      <c r="L508" s="415" t="s">
        <v>798</v>
      </c>
      <c r="M508" s="415" t="s">
        <v>310</v>
      </c>
      <c r="N508" s="414">
        <v>44859</v>
      </c>
      <c r="O508" s="414" t="s">
        <v>400</v>
      </c>
      <c r="P508" s="655">
        <f t="shared" si="26"/>
        <v>10</v>
      </c>
      <c r="Q508" s="655">
        <f t="shared" si="27"/>
        <v>9</v>
      </c>
      <c r="R508" s="758" t="str">
        <f t="shared" si="25"/>
        <v>Gastos_Gerais</v>
      </c>
      <c r="S508" s="697" t="s">
        <v>310</v>
      </c>
      <c r="T508" s="697" t="s">
        <v>310</v>
      </c>
    </row>
    <row r="509" spans="1:20" ht="36" x14ac:dyDescent="0.2">
      <c r="A509" s="432">
        <f>IF(B509="","",COUNT('Diário 1º PA'!$A$4:$A$2635)+COUNT('Diário 2º PA'!$A$4:$A$3040)+COUNT('Diário 3º PA'!$A$4:$A$2731)+ROW()-3)</f>
        <v>6534</v>
      </c>
      <c r="B509" s="413">
        <v>44859</v>
      </c>
      <c r="C509" s="431">
        <v>44805</v>
      </c>
      <c r="D509" s="415" t="s">
        <v>315</v>
      </c>
      <c r="E509" s="415" t="s">
        <v>315</v>
      </c>
      <c r="F509" s="425">
        <v>23865.72</v>
      </c>
      <c r="G509" s="427" t="s">
        <v>7425</v>
      </c>
      <c r="H509" s="415" t="s">
        <v>310</v>
      </c>
      <c r="I509" s="427" t="s">
        <v>7429</v>
      </c>
      <c r="J509" s="415" t="s">
        <v>796</v>
      </c>
      <c r="K509" s="415" t="s">
        <v>806</v>
      </c>
      <c r="L509" s="415" t="s">
        <v>798</v>
      </c>
      <c r="M509" s="415" t="s">
        <v>310</v>
      </c>
      <c r="N509" s="414">
        <v>44859</v>
      </c>
      <c r="O509" s="414" t="s">
        <v>400</v>
      </c>
      <c r="P509" s="655">
        <f t="shared" si="26"/>
        <v>10</v>
      </c>
      <c r="Q509" s="655">
        <f t="shared" si="27"/>
        <v>9</v>
      </c>
      <c r="R509" s="758" t="str">
        <f t="shared" si="25"/>
        <v>Transferência_para_Reserva_de_Recursos</v>
      </c>
      <c r="S509" s="697" t="s">
        <v>310</v>
      </c>
      <c r="T509" s="697" t="s">
        <v>310</v>
      </c>
    </row>
    <row r="510" spans="1:20" ht="36" x14ac:dyDescent="0.2">
      <c r="A510" s="432">
        <f>IF(B510="","",COUNT('Diário 1º PA'!$A$4:$A$2635)+COUNT('Diário 2º PA'!$A$4:$A$3040)+COUNT('Diário 3º PA'!$A$4:$A$2731)+ROW()-3)</f>
        <v>6535</v>
      </c>
      <c r="B510" s="413">
        <v>44859</v>
      </c>
      <c r="C510" s="421">
        <v>44835</v>
      </c>
      <c r="D510" s="415" t="s">
        <v>271</v>
      </c>
      <c r="E510" s="419" t="s">
        <v>451</v>
      </c>
      <c r="F510" s="422">
        <v>64.98</v>
      </c>
      <c r="G510" s="423" t="s">
        <v>7916</v>
      </c>
      <c r="H510" s="415" t="s">
        <v>757</v>
      </c>
      <c r="I510" s="415" t="s">
        <v>7917</v>
      </c>
      <c r="J510" s="419" t="s">
        <v>7918</v>
      </c>
      <c r="K510" s="419" t="s">
        <v>830</v>
      </c>
      <c r="L510" s="415" t="s">
        <v>807</v>
      </c>
      <c r="M510" s="415">
        <v>6620</v>
      </c>
      <c r="N510" s="414">
        <v>44859</v>
      </c>
      <c r="O510" s="414" t="s">
        <v>400</v>
      </c>
      <c r="P510" s="655">
        <f t="shared" si="26"/>
        <v>10</v>
      </c>
      <c r="Q510" s="655">
        <f t="shared" si="27"/>
        <v>10</v>
      </c>
      <c r="R510" s="758" t="str">
        <f t="shared" si="25"/>
        <v>Gastos_Gerais</v>
      </c>
      <c r="S510" s="697" t="s">
        <v>999</v>
      </c>
      <c r="T510" s="697">
        <v>4625</v>
      </c>
    </row>
    <row r="511" spans="1:20" ht="24" x14ac:dyDescent="0.2">
      <c r="A511" s="432">
        <f>IF(B511="","",COUNT('Diário 1º PA'!$A$4:$A$2635)+COUNT('Diário 2º PA'!$A$4:$A$3040)+COUNT('Diário 3º PA'!$A$4:$A$2731)+ROW()-3)</f>
        <v>6536</v>
      </c>
      <c r="B511" s="413">
        <v>44859</v>
      </c>
      <c r="C511" s="431">
        <v>44805</v>
      </c>
      <c r="D511" s="415" t="s">
        <v>182</v>
      </c>
      <c r="E511" s="415" t="s">
        <v>267</v>
      </c>
      <c r="F511" s="435">
        <v>2599.87</v>
      </c>
      <c r="G511" s="437" t="s">
        <v>7919</v>
      </c>
      <c r="H511" s="434" t="s">
        <v>310</v>
      </c>
      <c r="I511" s="398" t="s">
        <v>1461</v>
      </c>
      <c r="J511" s="434" t="s">
        <v>310</v>
      </c>
      <c r="K511" s="434" t="s">
        <v>1220</v>
      </c>
      <c r="L511" s="434" t="s">
        <v>1368</v>
      </c>
      <c r="M511" s="415" t="s">
        <v>310</v>
      </c>
      <c r="N511" s="413">
        <v>44859</v>
      </c>
      <c r="O511" s="414" t="s">
        <v>400</v>
      </c>
      <c r="P511" s="655">
        <f t="shared" si="26"/>
        <v>10</v>
      </c>
      <c r="Q511" s="655">
        <f t="shared" si="27"/>
        <v>9</v>
      </c>
      <c r="R511" s="758" t="str">
        <f t="shared" si="25"/>
        <v>Gastos_com_Pessoal</v>
      </c>
      <c r="S511" s="697" t="s">
        <v>310</v>
      </c>
      <c r="T511" s="697" t="s">
        <v>310</v>
      </c>
    </row>
    <row r="512" spans="1:20" ht="24" x14ac:dyDescent="0.2">
      <c r="A512" s="432">
        <f>IF(B512="","",COUNT('Diário 1º PA'!$A$4:$A$2635)+COUNT('Diário 2º PA'!$A$4:$A$3040)+COUNT('Diário 3º PA'!$A$4:$A$2731)+ROW()-3)</f>
        <v>6537</v>
      </c>
      <c r="B512" s="413">
        <v>44859</v>
      </c>
      <c r="C512" s="433">
        <v>44805</v>
      </c>
      <c r="D512" s="434" t="s">
        <v>271</v>
      </c>
      <c r="E512" s="434" t="s">
        <v>164</v>
      </c>
      <c r="F512" s="422">
        <v>773.69</v>
      </c>
      <c r="G512" s="437" t="s">
        <v>502</v>
      </c>
      <c r="H512" s="434" t="s">
        <v>309</v>
      </c>
      <c r="I512" s="437" t="s">
        <v>769</v>
      </c>
      <c r="J512" s="434" t="s">
        <v>1478</v>
      </c>
      <c r="K512" s="434" t="s">
        <v>1404</v>
      </c>
      <c r="L512" s="434" t="s">
        <v>1372</v>
      </c>
      <c r="M512" s="419">
        <v>4813998856</v>
      </c>
      <c r="N512" s="413">
        <v>44841</v>
      </c>
      <c r="O512" s="414" t="s">
        <v>400</v>
      </c>
      <c r="P512" s="655">
        <f t="shared" si="26"/>
        <v>10</v>
      </c>
      <c r="Q512" s="655">
        <f t="shared" si="27"/>
        <v>9</v>
      </c>
      <c r="R512" s="758" t="str">
        <f t="shared" si="25"/>
        <v>Gastos_Gerais</v>
      </c>
      <c r="S512" s="697" t="s">
        <v>310</v>
      </c>
      <c r="T512" s="697" t="s">
        <v>310</v>
      </c>
    </row>
    <row r="513" spans="1:20" ht="72" x14ac:dyDescent="0.2">
      <c r="A513" s="432">
        <f>IF(B513="","",COUNT('Diário 1º PA'!$A$4:$A$2635)+COUNT('Diário 2º PA'!$A$4:$A$3040)+COUNT('Diário 3º PA'!$A$4:$A$2731)+ROW()-3)</f>
        <v>6538</v>
      </c>
      <c r="B513" s="413">
        <v>44859</v>
      </c>
      <c r="C513" s="431">
        <v>44835</v>
      </c>
      <c r="D513" s="415" t="s">
        <v>271</v>
      </c>
      <c r="E513" s="415" t="s">
        <v>456</v>
      </c>
      <c r="F513" s="425">
        <v>750</v>
      </c>
      <c r="G513" s="427" t="s">
        <v>7891</v>
      </c>
      <c r="H513" s="415" t="s">
        <v>751</v>
      </c>
      <c r="I513" s="415" t="s">
        <v>7920</v>
      </c>
      <c r="J513" s="415" t="s">
        <v>7892</v>
      </c>
      <c r="K513" s="419" t="s">
        <v>830</v>
      </c>
      <c r="L513" s="415" t="s">
        <v>32</v>
      </c>
      <c r="M513" s="419">
        <v>35</v>
      </c>
      <c r="N513" s="413">
        <v>44859</v>
      </c>
      <c r="O513" s="414" t="s">
        <v>400</v>
      </c>
      <c r="P513" s="655">
        <f t="shared" si="26"/>
        <v>10</v>
      </c>
      <c r="Q513" s="655">
        <f t="shared" si="27"/>
        <v>10</v>
      </c>
      <c r="R513" s="758" t="str">
        <f t="shared" si="25"/>
        <v>Gastos_Gerais</v>
      </c>
      <c r="S513" s="697" t="s">
        <v>1000</v>
      </c>
      <c r="T513" s="697">
        <v>4614</v>
      </c>
    </row>
    <row r="514" spans="1:20" ht="48" x14ac:dyDescent="0.2">
      <c r="A514" s="432">
        <f>IF(B514="","",COUNT('Diário 1º PA'!$A$4:$A$2635)+COUNT('Diário 2º PA'!$A$4:$A$3040)+COUNT('Diário 3º PA'!$A$4:$A$2731)+ROW()-3)</f>
        <v>6539</v>
      </c>
      <c r="B514" s="413">
        <v>44859</v>
      </c>
      <c r="C514" s="431">
        <v>44805</v>
      </c>
      <c r="D514" s="415" t="s">
        <v>271</v>
      </c>
      <c r="E514" s="415" t="s">
        <v>453</v>
      </c>
      <c r="F514" s="425">
        <v>333.2</v>
      </c>
      <c r="G514" s="427" t="s">
        <v>7393</v>
      </c>
      <c r="H514" s="419" t="s">
        <v>754</v>
      </c>
      <c r="I514" s="415" t="s">
        <v>7921</v>
      </c>
      <c r="J514" s="415" t="s">
        <v>7394</v>
      </c>
      <c r="K514" s="419" t="s">
        <v>830</v>
      </c>
      <c r="L514" s="415" t="s">
        <v>32</v>
      </c>
      <c r="M514" s="419" t="s">
        <v>2619</v>
      </c>
      <c r="N514" s="413">
        <v>44841</v>
      </c>
      <c r="O514" s="414" t="s">
        <v>400</v>
      </c>
      <c r="P514" s="655">
        <f t="shared" si="26"/>
        <v>10</v>
      </c>
      <c r="Q514" s="655">
        <f t="shared" si="27"/>
        <v>9</v>
      </c>
      <c r="R514" s="758" t="str">
        <f t="shared" si="25"/>
        <v>Gastos_Gerais</v>
      </c>
      <c r="S514" s="697" t="s">
        <v>998</v>
      </c>
      <c r="T514" s="697">
        <v>4368</v>
      </c>
    </row>
    <row r="515" spans="1:20" ht="24" x14ac:dyDescent="0.2">
      <c r="A515" s="432">
        <f>IF(B515="","",COUNT('Diário 1º PA'!$A$4:$A$2635)+COUNT('Diário 2º PA'!$A$4:$A$3040)+COUNT('Diário 3º PA'!$A$4:$A$2731)+ROW()-3)</f>
        <v>6540</v>
      </c>
      <c r="B515" s="413">
        <v>44859</v>
      </c>
      <c r="C515" s="431">
        <v>44805</v>
      </c>
      <c r="D515" s="415" t="s">
        <v>271</v>
      </c>
      <c r="E515" s="415" t="s">
        <v>67</v>
      </c>
      <c r="F515" s="425">
        <v>1217.1400000000001</v>
      </c>
      <c r="G515" s="427" t="s">
        <v>7428</v>
      </c>
      <c r="H515" s="419" t="s">
        <v>310</v>
      </c>
      <c r="I515" s="427" t="s">
        <v>1461</v>
      </c>
      <c r="J515" s="418" t="s">
        <v>310</v>
      </c>
      <c r="K515" s="418" t="s">
        <v>1220</v>
      </c>
      <c r="L515" s="399" t="s">
        <v>1368</v>
      </c>
      <c r="M515" s="544" t="s">
        <v>310</v>
      </c>
      <c r="N515" s="413">
        <v>44859</v>
      </c>
      <c r="O515" s="414" t="s">
        <v>400</v>
      </c>
      <c r="P515" s="655">
        <f t="shared" si="26"/>
        <v>10</v>
      </c>
      <c r="Q515" s="655">
        <f t="shared" si="27"/>
        <v>9</v>
      </c>
      <c r="R515" s="758" t="str">
        <f t="shared" si="25"/>
        <v>Gastos_Gerais</v>
      </c>
      <c r="S515" s="697" t="s">
        <v>310</v>
      </c>
      <c r="T515" s="697" t="s">
        <v>310</v>
      </c>
    </row>
    <row r="516" spans="1:20" ht="48" x14ac:dyDescent="0.2">
      <c r="A516" s="432">
        <f>IF(B516="","",COUNT('Diário 1º PA'!$A$4:$A$2635)+COUNT('Diário 2º PA'!$A$4:$A$3040)+COUNT('Diário 3º PA'!$A$4:$A$2731)+ROW()-3)</f>
        <v>6541</v>
      </c>
      <c r="B516" s="413">
        <v>44859</v>
      </c>
      <c r="C516" s="424">
        <v>44835</v>
      </c>
      <c r="D516" s="419" t="s">
        <v>271</v>
      </c>
      <c r="E516" s="419" t="s">
        <v>71</v>
      </c>
      <c r="F516" s="422">
        <v>11</v>
      </c>
      <c r="G516" s="423" t="s">
        <v>7922</v>
      </c>
      <c r="H516" s="415" t="s">
        <v>757</v>
      </c>
      <c r="I516" s="415" t="s">
        <v>881</v>
      </c>
      <c r="J516" s="419" t="s">
        <v>882</v>
      </c>
      <c r="K516" s="419" t="s">
        <v>883</v>
      </c>
      <c r="L516" s="415" t="s">
        <v>798</v>
      </c>
      <c r="M516" s="419" t="s">
        <v>310</v>
      </c>
      <c r="N516" s="413">
        <v>44859</v>
      </c>
      <c r="O516" s="414" t="s">
        <v>400</v>
      </c>
      <c r="P516" s="655">
        <f t="shared" si="26"/>
        <v>10</v>
      </c>
      <c r="Q516" s="655">
        <f t="shared" si="27"/>
        <v>10</v>
      </c>
      <c r="R516" s="758" t="str">
        <f t="shared" si="25"/>
        <v>Gastos_Gerais</v>
      </c>
      <c r="S516" s="697" t="s">
        <v>310</v>
      </c>
      <c r="T516" s="697" t="s">
        <v>310</v>
      </c>
    </row>
    <row r="517" spans="1:20" ht="36" x14ac:dyDescent="0.2">
      <c r="A517" s="432">
        <f>IF(B517="","",COUNT('Diário 1º PA'!$A$4:$A$2635)+COUNT('Diário 2º PA'!$A$4:$A$3040)+COUNT('Diário 3º PA'!$A$4:$A$2731)+ROW()-3)</f>
        <v>6542</v>
      </c>
      <c r="B517" s="413">
        <v>44859</v>
      </c>
      <c r="C517" s="424">
        <v>44835</v>
      </c>
      <c r="D517" s="419" t="s">
        <v>271</v>
      </c>
      <c r="E517" s="419" t="s">
        <v>71</v>
      </c>
      <c r="F517" s="422">
        <v>11</v>
      </c>
      <c r="G517" s="423" t="s">
        <v>7923</v>
      </c>
      <c r="H517" s="415" t="s">
        <v>751</v>
      </c>
      <c r="I517" s="415" t="s">
        <v>881</v>
      </c>
      <c r="J517" s="419" t="s">
        <v>882</v>
      </c>
      <c r="K517" s="419" t="s">
        <v>883</v>
      </c>
      <c r="L517" s="415" t="s">
        <v>798</v>
      </c>
      <c r="M517" s="419" t="s">
        <v>310</v>
      </c>
      <c r="N517" s="413">
        <v>44859</v>
      </c>
      <c r="O517" s="414" t="s">
        <v>400</v>
      </c>
      <c r="P517" s="655">
        <f t="shared" si="26"/>
        <v>10</v>
      </c>
      <c r="Q517" s="655">
        <f t="shared" si="27"/>
        <v>10</v>
      </c>
      <c r="R517" s="758" t="str">
        <f t="shared" ref="R517:R580" si="28">SUBSTITUTE(D517," ","_")</f>
        <v>Gastos_Gerais</v>
      </c>
      <c r="S517" s="697" t="s">
        <v>310</v>
      </c>
      <c r="T517" s="697" t="s">
        <v>310</v>
      </c>
    </row>
    <row r="518" spans="1:20" ht="36" x14ac:dyDescent="0.2">
      <c r="A518" s="432">
        <f>IF(B518="","",COUNT('Diário 1º PA'!$A$4:$A$2635)+COUNT('Diário 2º PA'!$A$4:$A$3040)+COUNT('Diário 3º PA'!$A$4:$A$2731)+ROW()-3)</f>
        <v>6543</v>
      </c>
      <c r="B518" s="413">
        <v>44859</v>
      </c>
      <c r="C518" s="424">
        <v>44835</v>
      </c>
      <c r="D518" s="419" t="s">
        <v>271</v>
      </c>
      <c r="E518" s="419" t="s">
        <v>71</v>
      </c>
      <c r="F518" s="422">
        <v>11</v>
      </c>
      <c r="G518" s="423" t="s">
        <v>7924</v>
      </c>
      <c r="H518" s="419" t="s">
        <v>754</v>
      </c>
      <c r="I518" s="415" t="s">
        <v>881</v>
      </c>
      <c r="J518" s="419" t="s">
        <v>882</v>
      </c>
      <c r="K518" s="419" t="s">
        <v>883</v>
      </c>
      <c r="L518" s="415" t="s">
        <v>798</v>
      </c>
      <c r="M518" s="419" t="s">
        <v>310</v>
      </c>
      <c r="N518" s="413">
        <v>44859</v>
      </c>
      <c r="O518" s="414" t="s">
        <v>400</v>
      </c>
      <c r="P518" s="655">
        <f t="shared" si="26"/>
        <v>10</v>
      </c>
      <c r="Q518" s="655">
        <f t="shared" si="27"/>
        <v>10</v>
      </c>
      <c r="R518" s="758" t="str">
        <f t="shared" si="28"/>
        <v>Gastos_Gerais</v>
      </c>
      <c r="S518" s="697" t="s">
        <v>310</v>
      </c>
      <c r="T518" s="697" t="s">
        <v>310</v>
      </c>
    </row>
    <row r="519" spans="1:20" ht="60" x14ac:dyDescent="0.2">
      <c r="A519" s="432">
        <f>IF(B519="","",COUNT('Diário 1º PA'!$A$4:$A$2635)+COUNT('Diário 2º PA'!$A$4:$A$3040)+COUNT('Diário 3º PA'!$A$4:$A$2731)+ROW()-3)</f>
        <v>6544</v>
      </c>
      <c r="B519" s="413">
        <v>44859</v>
      </c>
      <c r="C519" s="431">
        <v>44743</v>
      </c>
      <c r="D519" s="419" t="s">
        <v>468</v>
      </c>
      <c r="E519" s="419" t="s">
        <v>468</v>
      </c>
      <c r="F519" s="422">
        <v>4523</v>
      </c>
      <c r="G519" s="427" t="s">
        <v>5822</v>
      </c>
      <c r="H519" s="419" t="s">
        <v>468</v>
      </c>
      <c r="I519" s="415" t="s">
        <v>5245</v>
      </c>
      <c r="J519" s="415" t="s">
        <v>2600</v>
      </c>
      <c r="K519" s="419" t="s">
        <v>830</v>
      </c>
      <c r="L519" s="415" t="s">
        <v>32</v>
      </c>
      <c r="M519" s="419">
        <v>166</v>
      </c>
      <c r="N519" s="413">
        <v>44854</v>
      </c>
      <c r="O519" s="414" t="s">
        <v>3762</v>
      </c>
      <c r="P519" s="655">
        <f t="shared" si="26"/>
        <v>10</v>
      </c>
      <c r="Q519" s="655">
        <f t="shared" si="27"/>
        <v>7</v>
      </c>
      <c r="R519" s="758" t="str">
        <f t="shared" si="28"/>
        <v>Gastos_custeados_por_captação</v>
      </c>
      <c r="S519" s="697" t="s">
        <v>999</v>
      </c>
      <c r="T519" s="697">
        <v>4124</v>
      </c>
    </row>
    <row r="520" spans="1:20" ht="36" x14ac:dyDescent="0.2">
      <c r="A520" s="432">
        <f>IF(B520="","",COUNT('Diário 1º PA'!$A$4:$A$2635)+COUNT('Diário 2º PA'!$A$4:$A$3040)+COUNT('Diário 3º PA'!$A$4:$A$2731)+ROW()-3)</f>
        <v>6545</v>
      </c>
      <c r="B520" s="413">
        <v>44859</v>
      </c>
      <c r="C520" s="424">
        <v>44805</v>
      </c>
      <c r="D520" s="419" t="s">
        <v>468</v>
      </c>
      <c r="E520" s="419" t="s">
        <v>468</v>
      </c>
      <c r="F520" s="422">
        <v>447.16</v>
      </c>
      <c r="G520" s="427" t="s">
        <v>8561</v>
      </c>
      <c r="H520" s="419" t="s">
        <v>468</v>
      </c>
      <c r="I520" s="427" t="s">
        <v>1461</v>
      </c>
      <c r="J520" s="415" t="s">
        <v>310</v>
      </c>
      <c r="K520" s="415" t="s">
        <v>1220</v>
      </c>
      <c r="L520" s="415" t="s">
        <v>1368</v>
      </c>
      <c r="M520" s="415" t="s">
        <v>310</v>
      </c>
      <c r="N520" s="413">
        <v>44859</v>
      </c>
      <c r="O520" s="414" t="s">
        <v>3762</v>
      </c>
      <c r="P520" s="655">
        <f t="shared" si="26"/>
        <v>10</v>
      </c>
      <c r="Q520" s="655">
        <f t="shared" si="27"/>
        <v>9</v>
      </c>
      <c r="R520" s="758" t="str">
        <f t="shared" si="28"/>
        <v>Gastos_custeados_por_captação</v>
      </c>
      <c r="S520" s="697" t="s">
        <v>310</v>
      </c>
      <c r="T520" s="697" t="s">
        <v>310</v>
      </c>
    </row>
    <row r="521" spans="1:20" ht="36" x14ac:dyDescent="0.2">
      <c r="A521" s="432">
        <f>IF(B521="","",COUNT('Diário 1º PA'!$A$4:$A$2635)+COUNT('Diário 2º PA'!$A$4:$A$3040)+COUNT('Diário 3º PA'!$A$4:$A$2731)+ROW()-3)</f>
        <v>6546</v>
      </c>
      <c r="B521" s="413">
        <v>44859</v>
      </c>
      <c r="C521" s="424">
        <v>44835</v>
      </c>
      <c r="D521" s="419" t="s">
        <v>468</v>
      </c>
      <c r="E521" s="419" t="s">
        <v>468</v>
      </c>
      <c r="F521" s="422">
        <v>11</v>
      </c>
      <c r="G521" s="427" t="s">
        <v>2469</v>
      </c>
      <c r="H521" s="419" t="s">
        <v>468</v>
      </c>
      <c r="I521" s="639" t="s">
        <v>881</v>
      </c>
      <c r="J521" s="418" t="s">
        <v>882</v>
      </c>
      <c r="K521" s="418" t="s">
        <v>883</v>
      </c>
      <c r="L521" s="399" t="s">
        <v>798</v>
      </c>
      <c r="M521" s="544" t="s">
        <v>310</v>
      </c>
      <c r="N521" s="413">
        <v>44859</v>
      </c>
      <c r="O521" s="414" t="s">
        <v>3762</v>
      </c>
      <c r="P521" s="655">
        <f t="shared" si="26"/>
        <v>10</v>
      </c>
      <c r="Q521" s="655">
        <f t="shared" si="27"/>
        <v>10</v>
      </c>
      <c r="R521" s="758" t="str">
        <f t="shared" si="28"/>
        <v>Gastos_custeados_por_captação</v>
      </c>
      <c r="S521" s="697" t="s">
        <v>310</v>
      </c>
      <c r="T521" s="697" t="s">
        <v>310</v>
      </c>
    </row>
    <row r="522" spans="1:20" ht="48" x14ac:dyDescent="0.2">
      <c r="A522" s="432">
        <f>IF(B522="","",COUNT('Diário 1º PA'!$A$4:$A$2635)+COUNT('Diário 2º PA'!$A$4:$A$3040)+COUNT('Diário 3º PA'!$A$4:$A$2731)+ROW()-3)</f>
        <v>6547</v>
      </c>
      <c r="B522" s="413">
        <v>44859</v>
      </c>
      <c r="C522" s="424">
        <v>44805</v>
      </c>
      <c r="D522" s="419" t="s">
        <v>468</v>
      </c>
      <c r="E522" s="419" t="s">
        <v>468</v>
      </c>
      <c r="F522" s="422">
        <v>376.68</v>
      </c>
      <c r="G522" s="427" t="s">
        <v>8558</v>
      </c>
      <c r="H522" s="419" t="s">
        <v>468</v>
      </c>
      <c r="I522" s="415" t="s">
        <v>1461</v>
      </c>
      <c r="J522" s="419" t="s">
        <v>310</v>
      </c>
      <c r="K522" s="419" t="s">
        <v>1220</v>
      </c>
      <c r="L522" s="415" t="s">
        <v>1368</v>
      </c>
      <c r="M522" s="419" t="s">
        <v>310</v>
      </c>
      <c r="N522" s="413">
        <v>44859</v>
      </c>
      <c r="O522" s="414" t="s">
        <v>404</v>
      </c>
      <c r="P522" s="655">
        <f t="shared" si="26"/>
        <v>10</v>
      </c>
      <c r="Q522" s="655">
        <f t="shared" si="27"/>
        <v>9</v>
      </c>
      <c r="R522" s="758" t="str">
        <f t="shared" si="28"/>
        <v>Gastos_custeados_por_captação</v>
      </c>
      <c r="S522" s="697" t="s">
        <v>310</v>
      </c>
      <c r="T522" s="697" t="s">
        <v>310</v>
      </c>
    </row>
    <row r="523" spans="1:20" ht="96" x14ac:dyDescent="0.2">
      <c r="A523" s="432">
        <f>IF(B523="","",COUNT('Diário 1º PA'!$A$4:$A$2635)+COUNT('Diário 2º PA'!$A$4:$A$3040)+COUNT('Diário 3º PA'!$A$4:$A$2731)+ROW()-3)</f>
        <v>6548</v>
      </c>
      <c r="B523" s="413">
        <v>44859</v>
      </c>
      <c r="C523" s="431">
        <v>44835</v>
      </c>
      <c r="D523" s="419" t="s">
        <v>468</v>
      </c>
      <c r="E523" s="419" t="s">
        <v>468</v>
      </c>
      <c r="F523" s="422">
        <v>900</v>
      </c>
      <c r="G523" s="427" t="s">
        <v>7625</v>
      </c>
      <c r="H523" s="419" t="s">
        <v>468</v>
      </c>
      <c r="I523" s="415" t="s">
        <v>7987</v>
      </c>
      <c r="J523" s="415" t="s">
        <v>7626</v>
      </c>
      <c r="K523" s="419" t="s">
        <v>806</v>
      </c>
      <c r="L523" s="415" t="s">
        <v>1305</v>
      </c>
      <c r="M523" s="419" t="s">
        <v>310</v>
      </c>
      <c r="N523" s="413">
        <v>44859</v>
      </c>
      <c r="O523" s="414" t="s">
        <v>405</v>
      </c>
      <c r="P523" s="655">
        <f t="shared" si="26"/>
        <v>10</v>
      </c>
      <c r="Q523" s="655">
        <f t="shared" si="27"/>
        <v>10</v>
      </c>
      <c r="R523" s="758" t="str">
        <f t="shared" si="28"/>
        <v>Gastos_custeados_por_captação</v>
      </c>
      <c r="S523" s="697" t="s">
        <v>998</v>
      </c>
      <c r="T523" s="697">
        <v>4519</v>
      </c>
    </row>
    <row r="524" spans="1:20" ht="48" x14ac:dyDescent="0.2">
      <c r="A524" s="432">
        <f>IF(B524="","",COUNT('Diário 1º PA'!$A$4:$A$2635)+COUNT('Diário 2º PA'!$A$4:$A$3040)+COUNT('Diário 3º PA'!$A$4:$A$2731)+ROW()-3)</f>
        <v>6549</v>
      </c>
      <c r="B524" s="413">
        <v>44859</v>
      </c>
      <c r="C524" s="431">
        <v>44835</v>
      </c>
      <c r="D524" s="419" t="s">
        <v>468</v>
      </c>
      <c r="E524" s="419" t="s">
        <v>468</v>
      </c>
      <c r="F524" s="422">
        <v>1350</v>
      </c>
      <c r="G524" s="427" t="s">
        <v>7776</v>
      </c>
      <c r="H524" s="419" t="s">
        <v>468</v>
      </c>
      <c r="I524" s="415" t="s">
        <v>7988</v>
      </c>
      <c r="J524" s="415" t="s">
        <v>7777</v>
      </c>
      <c r="K524" s="419" t="s">
        <v>806</v>
      </c>
      <c r="L524" s="415" t="s">
        <v>32</v>
      </c>
      <c r="M524" s="419">
        <v>9</v>
      </c>
      <c r="N524" s="413">
        <v>44858</v>
      </c>
      <c r="O524" s="414" t="s">
        <v>405</v>
      </c>
      <c r="P524" s="655">
        <f t="shared" si="26"/>
        <v>10</v>
      </c>
      <c r="Q524" s="655">
        <f t="shared" si="27"/>
        <v>10</v>
      </c>
      <c r="R524" s="758" t="str">
        <f t="shared" si="28"/>
        <v>Gastos_custeados_por_captação</v>
      </c>
      <c r="S524" s="697" t="s">
        <v>998</v>
      </c>
      <c r="T524" s="697">
        <v>4577</v>
      </c>
    </row>
    <row r="525" spans="1:20" ht="48" x14ac:dyDescent="0.2">
      <c r="A525" s="432">
        <f>IF(B525="","",COUNT('Diário 1º PA'!$A$4:$A$2635)+COUNT('Diário 2º PA'!$A$4:$A$3040)+COUNT('Diário 3º PA'!$A$4:$A$2731)+ROW()-3)</f>
        <v>6550</v>
      </c>
      <c r="B525" s="413">
        <v>44859</v>
      </c>
      <c r="C525" s="431">
        <v>44835</v>
      </c>
      <c r="D525" s="419" t="s">
        <v>468</v>
      </c>
      <c r="E525" s="419" t="s">
        <v>468</v>
      </c>
      <c r="F525" s="422">
        <v>249.37</v>
      </c>
      <c r="G525" s="427" t="s">
        <v>7593</v>
      </c>
      <c r="H525" s="419" t="s">
        <v>468</v>
      </c>
      <c r="I525" s="415" t="s">
        <v>7989</v>
      </c>
      <c r="J525" s="415" t="s">
        <v>7594</v>
      </c>
      <c r="K525" s="419" t="s">
        <v>812</v>
      </c>
      <c r="L525" s="415" t="s">
        <v>807</v>
      </c>
      <c r="M525" s="419">
        <v>22856</v>
      </c>
      <c r="N525" s="413">
        <v>44840</v>
      </c>
      <c r="O525" s="414" t="s">
        <v>405</v>
      </c>
      <c r="P525" s="655">
        <f t="shared" si="26"/>
        <v>10</v>
      </c>
      <c r="Q525" s="655">
        <f t="shared" si="27"/>
        <v>10</v>
      </c>
      <c r="R525" s="758" t="str">
        <f t="shared" si="28"/>
        <v>Gastos_custeados_por_captação</v>
      </c>
      <c r="S525" s="697" t="s">
        <v>998</v>
      </c>
      <c r="T525" s="697">
        <v>4446</v>
      </c>
    </row>
    <row r="526" spans="1:20" ht="48" x14ac:dyDescent="0.2">
      <c r="A526" s="432">
        <f>IF(B526="","",COUNT('Diário 1º PA'!$A$4:$A$2635)+COUNT('Diário 2º PA'!$A$4:$A$3040)+COUNT('Diário 3º PA'!$A$4:$A$2731)+ROW()-3)</f>
        <v>6551</v>
      </c>
      <c r="B526" s="413">
        <v>44859</v>
      </c>
      <c r="C526" s="424">
        <v>44805</v>
      </c>
      <c r="D526" s="419" t="s">
        <v>468</v>
      </c>
      <c r="E526" s="419" t="s">
        <v>468</v>
      </c>
      <c r="F526" s="422">
        <v>329.9</v>
      </c>
      <c r="G526" s="423" t="s">
        <v>8564</v>
      </c>
      <c r="H526" s="419" t="s">
        <v>468</v>
      </c>
      <c r="I526" s="427" t="s">
        <v>1461</v>
      </c>
      <c r="J526" s="418" t="s">
        <v>310</v>
      </c>
      <c r="K526" s="418" t="s">
        <v>1220</v>
      </c>
      <c r="L526" s="399" t="s">
        <v>1368</v>
      </c>
      <c r="M526" s="544" t="s">
        <v>310</v>
      </c>
      <c r="N526" s="413">
        <v>44859</v>
      </c>
      <c r="O526" s="414" t="s">
        <v>405</v>
      </c>
      <c r="P526" s="655">
        <f t="shared" si="26"/>
        <v>10</v>
      </c>
      <c r="Q526" s="655">
        <f t="shared" si="27"/>
        <v>9</v>
      </c>
      <c r="R526" s="758" t="str">
        <f t="shared" si="28"/>
        <v>Gastos_custeados_por_captação</v>
      </c>
      <c r="S526" s="697" t="s">
        <v>310</v>
      </c>
      <c r="T526" s="697" t="s">
        <v>310</v>
      </c>
    </row>
    <row r="527" spans="1:20" ht="60" x14ac:dyDescent="0.2">
      <c r="A527" s="432">
        <f>IF(B527="","",COUNT('Diário 1º PA'!$A$4:$A$2635)+COUNT('Diário 2º PA'!$A$4:$A$3040)+COUNT('Diário 3º PA'!$A$4:$A$2731)+ROW()-3)</f>
        <v>6552</v>
      </c>
      <c r="B527" s="413">
        <v>44860</v>
      </c>
      <c r="C527" s="431">
        <v>44835</v>
      </c>
      <c r="D527" s="415" t="s">
        <v>271</v>
      </c>
      <c r="E527" s="415" t="s">
        <v>328</v>
      </c>
      <c r="F527" s="422">
        <v>10424.74</v>
      </c>
      <c r="G527" s="427" t="s">
        <v>7901</v>
      </c>
      <c r="H527" s="415" t="s">
        <v>756</v>
      </c>
      <c r="I527" s="415" t="s">
        <v>7760</v>
      </c>
      <c r="J527" s="415" t="s">
        <v>1594</v>
      </c>
      <c r="K527" s="419" t="s">
        <v>830</v>
      </c>
      <c r="L527" s="415" t="s">
        <v>32</v>
      </c>
      <c r="M527" s="419" t="s">
        <v>7964</v>
      </c>
      <c r="N527" s="413">
        <v>44859</v>
      </c>
      <c r="O527" s="414" t="s">
        <v>400</v>
      </c>
      <c r="P527" s="655">
        <f t="shared" si="26"/>
        <v>10</v>
      </c>
      <c r="Q527" s="655">
        <f t="shared" si="27"/>
        <v>10</v>
      </c>
      <c r="R527" s="758" t="str">
        <f t="shared" si="28"/>
        <v>Gastos_Gerais</v>
      </c>
      <c r="S527" s="697" t="s">
        <v>1000</v>
      </c>
      <c r="T527" s="697">
        <v>4491</v>
      </c>
    </row>
    <row r="528" spans="1:20" ht="96" x14ac:dyDescent="0.2">
      <c r="A528" s="432">
        <f>IF(B528="","",COUNT('Diário 1º PA'!$A$4:$A$2635)+COUNT('Diário 2º PA'!$A$4:$A$3040)+COUNT('Diário 3º PA'!$A$4:$A$2731)+ROW()-3)</f>
        <v>6553</v>
      </c>
      <c r="B528" s="413">
        <v>44860</v>
      </c>
      <c r="C528" s="431">
        <v>44835</v>
      </c>
      <c r="D528" s="415" t="s">
        <v>271</v>
      </c>
      <c r="E528" s="415" t="s">
        <v>297</v>
      </c>
      <c r="F528" s="422">
        <v>636.92999999999995</v>
      </c>
      <c r="G528" s="427" t="s">
        <v>7603</v>
      </c>
      <c r="H528" s="415" t="s">
        <v>760</v>
      </c>
      <c r="I528" s="415" t="s">
        <v>3975</v>
      </c>
      <c r="J528" s="415" t="s">
        <v>1921</v>
      </c>
      <c r="K528" s="419" t="s">
        <v>830</v>
      </c>
      <c r="L528" s="415" t="s">
        <v>807</v>
      </c>
      <c r="M528" s="419" t="s">
        <v>1795</v>
      </c>
      <c r="N528" s="413">
        <v>44858</v>
      </c>
      <c r="O528" s="414" t="s">
        <v>400</v>
      </c>
      <c r="P528" s="655">
        <f t="shared" si="26"/>
        <v>10</v>
      </c>
      <c r="Q528" s="655">
        <f t="shared" si="27"/>
        <v>10</v>
      </c>
      <c r="R528" s="758" t="str">
        <f t="shared" si="28"/>
        <v>Gastos_Gerais</v>
      </c>
      <c r="S528" s="697" t="s">
        <v>998</v>
      </c>
      <c r="T528" s="697">
        <v>4427</v>
      </c>
    </row>
    <row r="529" spans="1:20" ht="48" x14ac:dyDescent="0.2">
      <c r="A529" s="432">
        <f>IF(B529="","",COUNT('Diário 1º PA'!$A$4:$A$2635)+COUNT('Diário 2º PA'!$A$4:$A$3040)+COUNT('Diário 3º PA'!$A$4:$A$2731)+ROW()-3)</f>
        <v>6554</v>
      </c>
      <c r="B529" s="413">
        <v>44860</v>
      </c>
      <c r="C529" s="424">
        <v>44835</v>
      </c>
      <c r="D529" s="419" t="s">
        <v>271</v>
      </c>
      <c r="E529" s="419" t="s">
        <v>71</v>
      </c>
      <c r="F529" s="422">
        <v>11</v>
      </c>
      <c r="G529" s="423" t="s">
        <v>7967</v>
      </c>
      <c r="H529" s="415" t="s">
        <v>756</v>
      </c>
      <c r="I529" s="415" t="s">
        <v>881</v>
      </c>
      <c r="J529" s="419" t="s">
        <v>882</v>
      </c>
      <c r="K529" s="419" t="s">
        <v>883</v>
      </c>
      <c r="L529" s="415" t="s">
        <v>798</v>
      </c>
      <c r="M529" s="419" t="s">
        <v>310</v>
      </c>
      <c r="N529" s="413">
        <v>44860</v>
      </c>
      <c r="O529" s="414" t="s">
        <v>400</v>
      </c>
      <c r="P529" s="655">
        <f t="shared" si="26"/>
        <v>10</v>
      </c>
      <c r="Q529" s="655">
        <f t="shared" si="27"/>
        <v>10</v>
      </c>
      <c r="R529" s="758" t="str">
        <f t="shared" si="28"/>
        <v>Gastos_Gerais</v>
      </c>
      <c r="S529" s="697" t="s">
        <v>310</v>
      </c>
      <c r="T529" s="697" t="s">
        <v>310</v>
      </c>
    </row>
    <row r="530" spans="1:20" ht="36" x14ac:dyDescent="0.2">
      <c r="A530" s="432">
        <f>IF(B530="","",COUNT('Diário 1º PA'!$A$4:$A$2635)+COUNT('Diário 2º PA'!$A$4:$A$3040)+COUNT('Diário 3º PA'!$A$4:$A$2731)+ROW()-3)</f>
        <v>6555</v>
      </c>
      <c r="B530" s="413">
        <v>44860</v>
      </c>
      <c r="C530" s="424">
        <v>44835</v>
      </c>
      <c r="D530" s="419" t="s">
        <v>271</v>
      </c>
      <c r="E530" s="419" t="s">
        <v>71</v>
      </c>
      <c r="F530" s="422">
        <v>11</v>
      </c>
      <c r="G530" s="423" t="s">
        <v>7968</v>
      </c>
      <c r="H530" s="415" t="s">
        <v>760</v>
      </c>
      <c r="I530" s="415" t="s">
        <v>881</v>
      </c>
      <c r="J530" s="419" t="s">
        <v>882</v>
      </c>
      <c r="K530" s="419" t="s">
        <v>883</v>
      </c>
      <c r="L530" s="415" t="s">
        <v>798</v>
      </c>
      <c r="M530" s="419" t="s">
        <v>310</v>
      </c>
      <c r="N530" s="413">
        <v>44860</v>
      </c>
      <c r="O530" s="414" t="s">
        <v>400</v>
      </c>
      <c r="P530" s="655">
        <f t="shared" si="26"/>
        <v>10</v>
      </c>
      <c r="Q530" s="655">
        <f t="shared" si="27"/>
        <v>10</v>
      </c>
      <c r="R530" s="758" t="str">
        <f t="shared" si="28"/>
        <v>Gastos_Gerais</v>
      </c>
      <c r="S530" s="697" t="s">
        <v>310</v>
      </c>
      <c r="T530" s="697" t="s">
        <v>310</v>
      </c>
    </row>
    <row r="531" spans="1:20" ht="36" x14ac:dyDescent="0.2">
      <c r="A531" s="432">
        <f>IF(B531="","",COUNT('Diário 1º PA'!$A$4:$A$2635)+COUNT('Diário 2º PA'!$A$4:$A$3040)+COUNT('Diário 3º PA'!$A$4:$A$2731)+ROW()-3)</f>
        <v>6556</v>
      </c>
      <c r="B531" s="413">
        <v>44860</v>
      </c>
      <c r="C531" s="431">
        <v>44835</v>
      </c>
      <c r="D531" s="419" t="s">
        <v>468</v>
      </c>
      <c r="E531" s="419" t="s">
        <v>468</v>
      </c>
      <c r="F531" s="422">
        <v>7700</v>
      </c>
      <c r="G531" s="427" t="s">
        <v>7624</v>
      </c>
      <c r="H531" s="419" t="s">
        <v>468</v>
      </c>
      <c r="I531" s="415" t="s">
        <v>6510</v>
      </c>
      <c r="J531" s="415" t="s">
        <v>1055</v>
      </c>
      <c r="K531" s="419" t="s">
        <v>830</v>
      </c>
      <c r="L531" s="415" t="s">
        <v>32</v>
      </c>
      <c r="M531" s="419" t="s">
        <v>3020</v>
      </c>
      <c r="N531" s="413">
        <v>44859</v>
      </c>
      <c r="O531" s="414" t="s">
        <v>3762</v>
      </c>
      <c r="P531" s="655">
        <f t="shared" si="26"/>
        <v>10</v>
      </c>
      <c r="Q531" s="655">
        <f t="shared" si="27"/>
        <v>10</v>
      </c>
      <c r="R531" s="758" t="str">
        <f t="shared" si="28"/>
        <v>Gastos_custeados_por_captação</v>
      </c>
      <c r="S531" s="697" t="s">
        <v>998</v>
      </c>
      <c r="T531" s="697">
        <v>4508</v>
      </c>
    </row>
    <row r="532" spans="1:20" ht="60" x14ac:dyDescent="0.2">
      <c r="A532" s="432">
        <f>IF(B532="","",COUNT('Diário 1º PA'!$A$4:$A$2635)+COUNT('Diário 2º PA'!$A$4:$A$3040)+COUNT('Diário 3º PA'!$A$4:$A$2731)+ROW()-3)</f>
        <v>6557</v>
      </c>
      <c r="B532" s="413">
        <v>44860</v>
      </c>
      <c r="C532" s="431">
        <v>44835</v>
      </c>
      <c r="D532" s="419" t="s">
        <v>468</v>
      </c>
      <c r="E532" s="419" t="s">
        <v>468</v>
      </c>
      <c r="F532" s="422">
        <v>9945.86</v>
      </c>
      <c r="G532" s="427" t="s">
        <v>7901</v>
      </c>
      <c r="H532" s="419" t="s">
        <v>468</v>
      </c>
      <c r="I532" s="415" t="s">
        <v>7760</v>
      </c>
      <c r="J532" s="415" t="s">
        <v>1594</v>
      </c>
      <c r="K532" s="419" t="s">
        <v>830</v>
      </c>
      <c r="L532" s="415" t="s">
        <v>807</v>
      </c>
      <c r="M532" s="419" t="s">
        <v>7766</v>
      </c>
      <c r="N532" s="413">
        <v>44859</v>
      </c>
      <c r="O532" s="414" t="s">
        <v>3762</v>
      </c>
      <c r="P532" s="655">
        <f t="shared" si="26"/>
        <v>10</v>
      </c>
      <c r="Q532" s="655">
        <f t="shared" si="27"/>
        <v>10</v>
      </c>
      <c r="R532" s="758" t="str">
        <f t="shared" si="28"/>
        <v>Gastos_custeados_por_captação</v>
      </c>
      <c r="S532" s="697" t="s">
        <v>999</v>
      </c>
      <c r="T532" s="697">
        <v>4491</v>
      </c>
    </row>
    <row r="533" spans="1:20" ht="36" x14ac:dyDescent="0.2">
      <c r="A533" s="432">
        <f>IF(B533="","",COUNT('Diário 1º PA'!$A$4:$A$2635)+COUNT('Diário 2º PA'!$A$4:$A$3040)+COUNT('Diário 3º PA'!$A$4:$A$2731)+ROW()-3)</f>
        <v>6558</v>
      </c>
      <c r="B533" s="413">
        <v>44860</v>
      </c>
      <c r="C533" s="431">
        <v>44835</v>
      </c>
      <c r="D533" s="419" t="s">
        <v>468</v>
      </c>
      <c r="E533" s="419" t="s">
        <v>468</v>
      </c>
      <c r="F533" s="422">
        <v>11</v>
      </c>
      <c r="G533" s="427" t="s">
        <v>2469</v>
      </c>
      <c r="H533" s="419" t="s">
        <v>468</v>
      </c>
      <c r="I533" s="639" t="s">
        <v>881</v>
      </c>
      <c r="J533" s="418" t="s">
        <v>882</v>
      </c>
      <c r="K533" s="418" t="s">
        <v>883</v>
      </c>
      <c r="L533" s="399" t="s">
        <v>798</v>
      </c>
      <c r="M533" s="544" t="s">
        <v>310</v>
      </c>
      <c r="N533" s="413">
        <v>44860</v>
      </c>
      <c r="O533" s="414" t="s">
        <v>3762</v>
      </c>
      <c r="P533" s="655">
        <f t="shared" si="26"/>
        <v>10</v>
      </c>
      <c r="Q533" s="655">
        <f t="shared" si="27"/>
        <v>10</v>
      </c>
      <c r="R533" s="758" t="str">
        <f t="shared" si="28"/>
        <v>Gastos_custeados_por_captação</v>
      </c>
      <c r="S533" s="697" t="s">
        <v>310</v>
      </c>
      <c r="T533" s="697" t="s">
        <v>310</v>
      </c>
    </row>
    <row r="534" spans="1:20" ht="36" x14ac:dyDescent="0.2">
      <c r="A534" s="432">
        <f>IF(B534="","",COUNT('Diário 1º PA'!$A$4:$A$2635)+COUNT('Diário 2º PA'!$A$4:$A$3040)+COUNT('Diário 3º PA'!$A$4:$A$2731)+ROW()-3)</f>
        <v>6559</v>
      </c>
      <c r="B534" s="413">
        <v>44860</v>
      </c>
      <c r="C534" s="431">
        <v>44835</v>
      </c>
      <c r="D534" s="419" t="s">
        <v>468</v>
      </c>
      <c r="E534" s="419" t="s">
        <v>468</v>
      </c>
      <c r="F534" s="422">
        <v>11</v>
      </c>
      <c r="G534" s="427" t="s">
        <v>2469</v>
      </c>
      <c r="H534" s="419" t="s">
        <v>468</v>
      </c>
      <c r="I534" s="639" t="s">
        <v>881</v>
      </c>
      <c r="J534" s="418" t="s">
        <v>882</v>
      </c>
      <c r="K534" s="418" t="s">
        <v>883</v>
      </c>
      <c r="L534" s="399" t="s">
        <v>798</v>
      </c>
      <c r="M534" s="544" t="s">
        <v>310</v>
      </c>
      <c r="N534" s="413">
        <v>44860</v>
      </c>
      <c r="O534" s="414" t="s">
        <v>3762</v>
      </c>
      <c r="P534" s="655">
        <f t="shared" si="26"/>
        <v>10</v>
      </c>
      <c r="Q534" s="655">
        <f t="shared" si="27"/>
        <v>10</v>
      </c>
      <c r="R534" s="758" t="str">
        <f t="shared" si="28"/>
        <v>Gastos_custeados_por_captação</v>
      </c>
      <c r="S534" s="697" t="s">
        <v>310</v>
      </c>
      <c r="T534" s="697" t="s">
        <v>310</v>
      </c>
    </row>
    <row r="535" spans="1:20" ht="36" x14ac:dyDescent="0.2">
      <c r="A535" s="432">
        <f>IF(B535="","",COUNT('Diário 1º PA'!$A$4:$A$2635)+COUNT('Diário 2º PA'!$A$4:$A$3040)+COUNT('Diário 3º PA'!$A$4:$A$2731)+ROW()-3)</f>
        <v>6560</v>
      </c>
      <c r="B535" s="413">
        <v>44860</v>
      </c>
      <c r="C535" s="431">
        <v>44805</v>
      </c>
      <c r="D535" s="419" t="s">
        <v>468</v>
      </c>
      <c r="E535" s="419" t="s">
        <v>468</v>
      </c>
      <c r="F535" s="422">
        <v>4180</v>
      </c>
      <c r="G535" s="427" t="s">
        <v>5779</v>
      </c>
      <c r="H535" s="419" t="s">
        <v>468</v>
      </c>
      <c r="I535" s="415" t="s">
        <v>6831</v>
      </c>
      <c r="J535" s="415" t="s">
        <v>5781</v>
      </c>
      <c r="K535" s="419" t="s">
        <v>806</v>
      </c>
      <c r="L535" s="415" t="s">
        <v>32</v>
      </c>
      <c r="M535" s="419" t="s">
        <v>1308</v>
      </c>
      <c r="N535" s="413">
        <v>44859</v>
      </c>
      <c r="O535" s="414" t="s">
        <v>408</v>
      </c>
      <c r="P535" s="655">
        <f t="shared" si="26"/>
        <v>10</v>
      </c>
      <c r="Q535" s="655">
        <f t="shared" si="27"/>
        <v>9</v>
      </c>
      <c r="R535" s="758" t="str">
        <f t="shared" si="28"/>
        <v>Gastos_custeados_por_captação</v>
      </c>
      <c r="S535" s="697" t="s">
        <v>1000</v>
      </c>
      <c r="T535" s="697">
        <v>4045</v>
      </c>
    </row>
    <row r="536" spans="1:20" ht="48" x14ac:dyDescent="0.2">
      <c r="A536" s="432">
        <f>IF(B536="","",COUNT('Diário 1º PA'!$A$4:$A$2635)+COUNT('Diário 2º PA'!$A$4:$A$3040)+COUNT('Diário 3º PA'!$A$4:$A$2731)+ROW()-3)</f>
        <v>6561</v>
      </c>
      <c r="B536" s="413">
        <v>44860</v>
      </c>
      <c r="C536" s="431">
        <v>44774</v>
      </c>
      <c r="D536" s="419" t="s">
        <v>468</v>
      </c>
      <c r="E536" s="419" t="s">
        <v>468</v>
      </c>
      <c r="F536" s="422">
        <v>6324.5</v>
      </c>
      <c r="G536" s="427" t="s">
        <v>2330</v>
      </c>
      <c r="H536" s="419" t="s">
        <v>468</v>
      </c>
      <c r="I536" s="415" t="s">
        <v>6422</v>
      </c>
      <c r="J536" s="415" t="s">
        <v>2329</v>
      </c>
      <c r="K536" s="419" t="s">
        <v>830</v>
      </c>
      <c r="L536" s="415" t="s">
        <v>807</v>
      </c>
      <c r="M536" s="419" t="s">
        <v>6518</v>
      </c>
      <c r="N536" s="413">
        <v>44860</v>
      </c>
      <c r="O536" s="414" t="s">
        <v>408</v>
      </c>
      <c r="P536" s="655">
        <f t="shared" si="26"/>
        <v>10</v>
      </c>
      <c r="Q536" s="655">
        <f t="shared" si="27"/>
        <v>8</v>
      </c>
      <c r="R536" s="758" t="str">
        <f t="shared" si="28"/>
        <v>Gastos_custeados_por_captação</v>
      </c>
      <c r="S536" s="697" t="s">
        <v>1000</v>
      </c>
      <c r="T536" s="697">
        <v>3094</v>
      </c>
    </row>
    <row r="537" spans="1:20" ht="36" x14ac:dyDescent="0.2">
      <c r="A537" s="432">
        <f>IF(B537="","",COUNT('Diário 1º PA'!$A$4:$A$2635)+COUNT('Diário 2º PA'!$A$4:$A$3040)+COUNT('Diário 3º PA'!$A$4:$A$2731)+ROW()-3)</f>
        <v>6562</v>
      </c>
      <c r="B537" s="413">
        <v>44860</v>
      </c>
      <c r="C537" s="431">
        <v>44774</v>
      </c>
      <c r="D537" s="419" t="s">
        <v>468</v>
      </c>
      <c r="E537" s="419" t="s">
        <v>468</v>
      </c>
      <c r="F537" s="422">
        <v>587.94000000000005</v>
      </c>
      <c r="G537" s="427" t="s">
        <v>2268</v>
      </c>
      <c r="H537" s="419" t="s">
        <v>468</v>
      </c>
      <c r="I537" s="415" t="s">
        <v>4123</v>
      </c>
      <c r="J537" s="415" t="s">
        <v>2269</v>
      </c>
      <c r="K537" s="419" t="s">
        <v>830</v>
      </c>
      <c r="L537" s="415" t="s">
        <v>807</v>
      </c>
      <c r="M537" s="419" t="s">
        <v>2661</v>
      </c>
      <c r="N537" s="413">
        <v>44860</v>
      </c>
      <c r="O537" s="414" t="s">
        <v>408</v>
      </c>
      <c r="P537" s="655">
        <f t="shared" si="26"/>
        <v>10</v>
      </c>
      <c r="Q537" s="655">
        <f t="shared" si="27"/>
        <v>8</v>
      </c>
      <c r="R537" s="758" t="str">
        <f t="shared" si="28"/>
        <v>Gastos_custeados_por_captação</v>
      </c>
      <c r="S537" s="697" t="s">
        <v>1000</v>
      </c>
      <c r="T537" s="697">
        <v>3093</v>
      </c>
    </row>
    <row r="538" spans="1:20" ht="36" x14ac:dyDescent="0.2">
      <c r="A538" s="432">
        <f>IF(B538="","",COUNT('Diário 1º PA'!$A$4:$A$2635)+COUNT('Diário 2º PA'!$A$4:$A$3040)+COUNT('Diário 3º PA'!$A$4:$A$2731)+ROW()-3)</f>
        <v>6563</v>
      </c>
      <c r="B538" s="413">
        <v>44860</v>
      </c>
      <c r="C538" s="431">
        <v>44835</v>
      </c>
      <c r="D538" s="419" t="s">
        <v>468</v>
      </c>
      <c r="E538" s="419" t="s">
        <v>468</v>
      </c>
      <c r="F538" s="422">
        <v>11</v>
      </c>
      <c r="G538" s="427" t="s">
        <v>2469</v>
      </c>
      <c r="H538" s="419" t="s">
        <v>468</v>
      </c>
      <c r="I538" s="639" t="s">
        <v>881</v>
      </c>
      <c r="J538" s="418" t="s">
        <v>882</v>
      </c>
      <c r="K538" s="418" t="s">
        <v>883</v>
      </c>
      <c r="L538" s="399" t="s">
        <v>798</v>
      </c>
      <c r="M538" s="544" t="s">
        <v>310</v>
      </c>
      <c r="N538" s="413">
        <v>44860</v>
      </c>
      <c r="O538" s="414" t="s">
        <v>408</v>
      </c>
      <c r="P538" s="655">
        <f t="shared" si="26"/>
        <v>10</v>
      </c>
      <c r="Q538" s="655">
        <f t="shared" si="27"/>
        <v>10</v>
      </c>
      <c r="R538" s="758" t="str">
        <f t="shared" si="28"/>
        <v>Gastos_custeados_por_captação</v>
      </c>
      <c r="S538" s="697" t="s">
        <v>310</v>
      </c>
      <c r="T538" s="697" t="s">
        <v>310</v>
      </c>
    </row>
    <row r="539" spans="1:20" ht="36" x14ac:dyDescent="0.2">
      <c r="A539" s="432">
        <f>IF(B539="","",COUNT('Diário 1º PA'!$A$4:$A$2635)+COUNT('Diário 2º PA'!$A$4:$A$3040)+COUNT('Diário 3º PA'!$A$4:$A$2731)+ROW()-3)</f>
        <v>6564</v>
      </c>
      <c r="B539" s="413">
        <v>44860</v>
      </c>
      <c r="C539" s="424">
        <v>44835</v>
      </c>
      <c r="D539" s="419" t="s">
        <v>468</v>
      </c>
      <c r="E539" s="419" t="s">
        <v>468</v>
      </c>
      <c r="F539" s="422">
        <v>11</v>
      </c>
      <c r="G539" s="427" t="s">
        <v>2469</v>
      </c>
      <c r="H539" s="419" t="s">
        <v>468</v>
      </c>
      <c r="I539" s="639" t="s">
        <v>881</v>
      </c>
      <c r="J539" s="418" t="s">
        <v>882</v>
      </c>
      <c r="K539" s="418" t="s">
        <v>883</v>
      </c>
      <c r="L539" s="399" t="s">
        <v>798</v>
      </c>
      <c r="M539" s="544" t="s">
        <v>310</v>
      </c>
      <c r="N539" s="413">
        <v>44860</v>
      </c>
      <c r="O539" s="414" t="s">
        <v>408</v>
      </c>
      <c r="P539" s="655">
        <f t="shared" si="26"/>
        <v>10</v>
      </c>
      <c r="Q539" s="655">
        <f t="shared" si="27"/>
        <v>10</v>
      </c>
      <c r="R539" s="758" t="str">
        <f t="shared" si="28"/>
        <v>Gastos_custeados_por_captação</v>
      </c>
      <c r="S539" s="697" t="s">
        <v>310</v>
      </c>
      <c r="T539" s="697" t="s">
        <v>310</v>
      </c>
    </row>
    <row r="540" spans="1:20" ht="48" x14ac:dyDescent="0.2">
      <c r="A540" s="432">
        <f>IF(B540="","",COUNT('Diário 1º PA'!$A$4:$A$2635)+COUNT('Diário 2º PA'!$A$4:$A$3040)+COUNT('Diário 3º PA'!$A$4:$A$2731)+ROW()-3)</f>
        <v>6565</v>
      </c>
      <c r="B540" s="413">
        <v>44860</v>
      </c>
      <c r="C540" s="431">
        <v>44835</v>
      </c>
      <c r="D540" s="419" t="s">
        <v>468</v>
      </c>
      <c r="E540" s="419" t="s">
        <v>468</v>
      </c>
      <c r="F540" s="422">
        <v>961.3</v>
      </c>
      <c r="G540" s="427" t="s">
        <v>7607</v>
      </c>
      <c r="H540" s="419" t="s">
        <v>468</v>
      </c>
      <c r="I540" s="415" t="s">
        <v>1464</v>
      </c>
      <c r="J540" s="415" t="s">
        <v>7606</v>
      </c>
      <c r="K540" s="419" t="s">
        <v>830</v>
      </c>
      <c r="L540" s="415" t="s">
        <v>32</v>
      </c>
      <c r="M540" s="419" t="s">
        <v>7998</v>
      </c>
      <c r="N540" s="413">
        <v>44859</v>
      </c>
      <c r="O540" s="414" t="s">
        <v>405</v>
      </c>
      <c r="P540" s="655">
        <f t="shared" si="26"/>
        <v>10</v>
      </c>
      <c r="Q540" s="655">
        <f t="shared" si="27"/>
        <v>10</v>
      </c>
      <c r="R540" s="758" t="str">
        <f t="shared" si="28"/>
        <v>Gastos_custeados_por_captação</v>
      </c>
      <c r="S540" s="697" t="s">
        <v>998</v>
      </c>
      <c r="T540" s="697">
        <v>4471</v>
      </c>
    </row>
    <row r="541" spans="1:20" ht="48" x14ac:dyDescent="0.2">
      <c r="A541" s="432">
        <f>IF(B541="","",COUNT('Diário 1º PA'!$A$4:$A$2635)+COUNT('Diário 2º PA'!$A$4:$A$3040)+COUNT('Diário 3º PA'!$A$4:$A$2731)+ROW()-3)</f>
        <v>6566</v>
      </c>
      <c r="B541" s="413">
        <v>44860</v>
      </c>
      <c r="C541" s="431">
        <v>44835</v>
      </c>
      <c r="D541" s="419" t="s">
        <v>468</v>
      </c>
      <c r="E541" s="419" t="s">
        <v>468</v>
      </c>
      <c r="F541" s="422">
        <v>7690.4</v>
      </c>
      <c r="G541" s="427" t="s">
        <v>7605</v>
      </c>
      <c r="H541" s="419" t="s">
        <v>468</v>
      </c>
      <c r="I541" s="415" t="s">
        <v>1464</v>
      </c>
      <c r="J541" s="415" t="s">
        <v>7606</v>
      </c>
      <c r="K541" s="419" t="s">
        <v>830</v>
      </c>
      <c r="L541" s="415" t="s">
        <v>32</v>
      </c>
      <c r="M541" s="419" t="s">
        <v>7996</v>
      </c>
      <c r="N541" s="413">
        <v>44859</v>
      </c>
      <c r="O541" s="414" t="s">
        <v>405</v>
      </c>
      <c r="P541" s="655">
        <f t="shared" si="26"/>
        <v>10</v>
      </c>
      <c r="Q541" s="655">
        <f t="shared" si="27"/>
        <v>10</v>
      </c>
      <c r="R541" s="758" t="str">
        <f t="shared" si="28"/>
        <v>Gastos_custeados_por_captação</v>
      </c>
      <c r="S541" s="697" t="s">
        <v>998</v>
      </c>
      <c r="T541" s="697">
        <v>4470</v>
      </c>
    </row>
    <row r="542" spans="1:20" ht="132" x14ac:dyDescent="0.2">
      <c r="A542" s="432">
        <f>IF(B542="","",COUNT('Diário 1º PA'!$A$4:$A$2635)+COUNT('Diário 2º PA'!$A$4:$A$3040)+COUNT('Diário 3º PA'!$A$4:$A$2731)+ROW()-3)</f>
        <v>6567</v>
      </c>
      <c r="B542" s="413">
        <v>44860</v>
      </c>
      <c r="C542" s="431">
        <v>44805</v>
      </c>
      <c r="D542" s="419" t="s">
        <v>468</v>
      </c>
      <c r="E542" s="419" t="s">
        <v>468</v>
      </c>
      <c r="F542" s="422">
        <v>5879.4</v>
      </c>
      <c r="G542" s="427" t="s">
        <v>4474</v>
      </c>
      <c r="H542" s="419" t="s">
        <v>468</v>
      </c>
      <c r="I542" s="415" t="s">
        <v>2381</v>
      </c>
      <c r="J542" s="415" t="s">
        <v>2382</v>
      </c>
      <c r="K542" s="419" t="s">
        <v>830</v>
      </c>
      <c r="L542" s="415" t="s">
        <v>32</v>
      </c>
      <c r="M542" s="419" t="s">
        <v>1700</v>
      </c>
      <c r="N542" s="413">
        <v>44859</v>
      </c>
      <c r="O542" s="414" t="s">
        <v>405</v>
      </c>
      <c r="P542" s="655">
        <f t="shared" si="26"/>
        <v>10</v>
      </c>
      <c r="Q542" s="655">
        <f t="shared" si="27"/>
        <v>9</v>
      </c>
      <c r="R542" s="758" t="str">
        <f t="shared" si="28"/>
        <v>Gastos_custeados_por_captação</v>
      </c>
      <c r="S542" s="697" t="s">
        <v>1000</v>
      </c>
      <c r="T542" s="697">
        <v>3779</v>
      </c>
    </row>
    <row r="543" spans="1:20" ht="48" x14ac:dyDescent="0.2">
      <c r="A543" s="432">
        <f>IF(B543="","",COUNT('Diário 1º PA'!$A$4:$A$2635)+COUNT('Diário 2º PA'!$A$4:$A$3040)+COUNT('Diário 3º PA'!$A$4:$A$2731)+ROW()-3)</f>
        <v>6568</v>
      </c>
      <c r="B543" s="413">
        <v>44860</v>
      </c>
      <c r="C543" s="431">
        <v>44805</v>
      </c>
      <c r="D543" s="419" t="s">
        <v>468</v>
      </c>
      <c r="E543" s="419" t="s">
        <v>468</v>
      </c>
      <c r="F543" s="422">
        <v>3233.67</v>
      </c>
      <c r="G543" s="427" t="s">
        <v>2341</v>
      </c>
      <c r="H543" s="419" t="s">
        <v>468</v>
      </c>
      <c r="I543" s="415" t="s">
        <v>2557</v>
      </c>
      <c r="J543" s="415" t="s">
        <v>2342</v>
      </c>
      <c r="K543" s="419" t="s">
        <v>830</v>
      </c>
      <c r="L543" s="415" t="s">
        <v>32</v>
      </c>
      <c r="M543" s="419" t="s">
        <v>2619</v>
      </c>
      <c r="N543" s="413">
        <v>44859</v>
      </c>
      <c r="O543" s="414" t="s">
        <v>405</v>
      </c>
      <c r="P543" s="655">
        <f t="shared" si="26"/>
        <v>10</v>
      </c>
      <c r="Q543" s="655">
        <f t="shared" si="27"/>
        <v>9</v>
      </c>
      <c r="R543" s="758" t="str">
        <f t="shared" si="28"/>
        <v>Gastos_custeados_por_captação</v>
      </c>
      <c r="S543" s="697" t="s">
        <v>1000</v>
      </c>
      <c r="T543" s="697">
        <v>3187</v>
      </c>
    </row>
    <row r="544" spans="1:20" ht="168" x14ac:dyDescent="0.2">
      <c r="A544" s="432">
        <f>IF(B544="","",COUNT('Diário 1º PA'!$A$4:$A$2635)+COUNT('Diário 2º PA'!$A$4:$A$3040)+COUNT('Diário 3º PA'!$A$4:$A$2731)+ROW()-3)</f>
        <v>6569</v>
      </c>
      <c r="B544" s="413">
        <v>44860</v>
      </c>
      <c r="C544" s="431">
        <v>44805</v>
      </c>
      <c r="D544" s="419" t="s">
        <v>468</v>
      </c>
      <c r="E544" s="419" t="s">
        <v>468</v>
      </c>
      <c r="F544" s="422">
        <v>3527.64</v>
      </c>
      <c r="G544" s="427" t="s">
        <v>6159</v>
      </c>
      <c r="H544" s="419" t="s">
        <v>468</v>
      </c>
      <c r="I544" s="415" t="s">
        <v>2557</v>
      </c>
      <c r="J544" s="415" t="s">
        <v>2342</v>
      </c>
      <c r="K544" s="419" t="s">
        <v>830</v>
      </c>
      <c r="L544" s="415" t="s">
        <v>32</v>
      </c>
      <c r="M544" s="419" t="s">
        <v>5115</v>
      </c>
      <c r="N544" s="413">
        <v>44859</v>
      </c>
      <c r="O544" s="414" t="s">
        <v>405</v>
      </c>
      <c r="P544" s="655">
        <f t="shared" si="26"/>
        <v>10</v>
      </c>
      <c r="Q544" s="655">
        <f t="shared" si="27"/>
        <v>9</v>
      </c>
      <c r="R544" s="758" t="str">
        <f t="shared" si="28"/>
        <v>Gastos_custeados_por_captação</v>
      </c>
      <c r="S544" s="697" t="s">
        <v>1000</v>
      </c>
      <c r="T544" s="697">
        <v>4185</v>
      </c>
    </row>
    <row r="545" spans="1:20" ht="60" x14ac:dyDescent="0.2">
      <c r="A545" s="432">
        <f>IF(B545="","",COUNT('Diário 1º PA'!$A$4:$A$2635)+COUNT('Diário 2º PA'!$A$4:$A$3040)+COUNT('Diário 3º PA'!$A$4:$A$2731)+ROW()-3)</f>
        <v>6570</v>
      </c>
      <c r="B545" s="413">
        <v>44860</v>
      </c>
      <c r="C545" s="431">
        <v>44835</v>
      </c>
      <c r="D545" s="419" t="s">
        <v>468</v>
      </c>
      <c r="E545" s="419" t="s">
        <v>468</v>
      </c>
      <c r="F545" s="422">
        <v>420</v>
      </c>
      <c r="G545" s="427" t="s">
        <v>7563</v>
      </c>
      <c r="H545" s="419" t="s">
        <v>468</v>
      </c>
      <c r="I545" s="415" t="s">
        <v>3802</v>
      </c>
      <c r="J545" s="415" t="s">
        <v>3323</v>
      </c>
      <c r="K545" s="419" t="s">
        <v>830</v>
      </c>
      <c r="L545" s="415" t="s">
        <v>839</v>
      </c>
      <c r="M545" s="419">
        <v>2067</v>
      </c>
      <c r="N545" s="413">
        <v>44859</v>
      </c>
      <c r="O545" s="414" t="s">
        <v>405</v>
      </c>
      <c r="P545" s="655">
        <f t="shared" ref="P545:P608" si="29">IF(B545=0,0,IF(YEAR(B545)=$Q$1,MONTH(B545)-$P$1+1,(YEAR(B545)-$Q$1)*12-$P$1+1+MONTH(B545)))</f>
        <v>10</v>
      </c>
      <c r="Q545" s="655">
        <f t="shared" ref="Q545:Q608" si="30">IF(C545=0,0,IF(YEAR(C545)=$Q$1,MONTH(C545)-$P$1+1,(YEAR(C545)-$Q$1)*12-$P$1+1+MONTH(C545)))</f>
        <v>10</v>
      </c>
      <c r="R545" s="758" t="str">
        <f t="shared" si="28"/>
        <v>Gastos_custeados_por_captação</v>
      </c>
      <c r="S545" s="697" t="s">
        <v>998</v>
      </c>
      <c r="T545" s="697">
        <v>4359</v>
      </c>
    </row>
    <row r="546" spans="1:20" ht="24" x14ac:dyDescent="0.2">
      <c r="A546" s="432">
        <f>IF(B546="","",COUNT('Diário 1º PA'!$A$4:$A$2635)+COUNT('Diário 2º PA'!$A$4:$A$3040)+COUNT('Diário 3º PA'!$A$4:$A$2731)+ROW()-3)</f>
        <v>6571</v>
      </c>
      <c r="B546" s="414">
        <v>44861</v>
      </c>
      <c r="C546" s="431">
        <v>44835</v>
      </c>
      <c r="D546" s="434" t="s">
        <v>182</v>
      </c>
      <c r="E546" s="434" t="s">
        <v>6</v>
      </c>
      <c r="F546" s="435">
        <v>5701.52</v>
      </c>
      <c r="G546" s="437" t="s">
        <v>6102</v>
      </c>
      <c r="H546" s="434" t="s">
        <v>310</v>
      </c>
      <c r="I546" s="474" t="s">
        <v>1486</v>
      </c>
      <c r="J546" s="418" t="s">
        <v>1487</v>
      </c>
      <c r="K546" s="419" t="s">
        <v>812</v>
      </c>
      <c r="L546" s="415" t="s">
        <v>32</v>
      </c>
      <c r="M546" s="415">
        <v>545935</v>
      </c>
      <c r="N546" s="414">
        <v>44866</v>
      </c>
      <c r="O546" s="414" t="s">
        <v>400</v>
      </c>
      <c r="P546" s="655">
        <f t="shared" si="29"/>
        <v>10</v>
      </c>
      <c r="Q546" s="655">
        <f t="shared" si="30"/>
        <v>10</v>
      </c>
      <c r="R546" s="758" t="str">
        <f t="shared" si="28"/>
        <v>Gastos_com_Pessoal</v>
      </c>
      <c r="S546" s="697" t="s">
        <v>310</v>
      </c>
      <c r="T546" s="697" t="s">
        <v>310</v>
      </c>
    </row>
    <row r="547" spans="1:20" ht="24" x14ac:dyDescent="0.2">
      <c r="A547" s="432">
        <f>IF(B547="","",COUNT('Diário 1º PA'!$A$4:$A$2635)+COUNT('Diário 2º PA'!$A$4:$A$3040)+COUNT('Diário 3º PA'!$A$4:$A$2731)+ROW()-3)</f>
        <v>6572</v>
      </c>
      <c r="B547" s="414">
        <v>44861</v>
      </c>
      <c r="C547" s="431">
        <v>44835</v>
      </c>
      <c r="D547" s="434" t="s">
        <v>182</v>
      </c>
      <c r="E547" s="434" t="s">
        <v>161</v>
      </c>
      <c r="F547" s="435">
        <v>2406.61</v>
      </c>
      <c r="G547" s="437" t="s">
        <v>1495</v>
      </c>
      <c r="H547" s="434" t="s">
        <v>310</v>
      </c>
      <c r="I547" s="473" t="s">
        <v>2008</v>
      </c>
      <c r="J547" s="548" t="s">
        <v>2009</v>
      </c>
      <c r="K547" s="419" t="s">
        <v>812</v>
      </c>
      <c r="L547" s="415" t="s">
        <v>32</v>
      </c>
      <c r="M547" s="415" t="s">
        <v>8167</v>
      </c>
      <c r="N547" s="414">
        <v>44865</v>
      </c>
      <c r="O547" s="414" t="s">
        <v>400</v>
      </c>
      <c r="P547" s="655">
        <f t="shared" si="29"/>
        <v>10</v>
      </c>
      <c r="Q547" s="655">
        <f t="shared" si="30"/>
        <v>10</v>
      </c>
      <c r="R547" s="758" t="str">
        <f t="shared" si="28"/>
        <v>Gastos_com_Pessoal</v>
      </c>
      <c r="S547" s="697" t="s">
        <v>310</v>
      </c>
      <c r="T547" s="697" t="s">
        <v>310</v>
      </c>
    </row>
    <row r="548" spans="1:20" ht="24" x14ac:dyDescent="0.2">
      <c r="A548" s="432">
        <f>IF(B548="","",COUNT('Diário 1º PA'!$A$4:$A$2635)+COUNT('Diário 2º PA'!$A$4:$A$3040)+COUNT('Diário 3º PA'!$A$4:$A$2731)+ROW()-3)</f>
        <v>6573</v>
      </c>
      <c r="B548" s="414">
        <v>44861</v>
      </c>
      <c r="C548" s="433">
        <v>44835</v>
      </c>
      <c r="D548" s="434" t="s">
        <v>182</v>
      </c>
      <c r="E548" s="434" t="s">
        <v>161</v>
      </c>
      <c r="F548" s="435">
        <v>917.19</v>
      </c>
      <c r="G548" s="437" t="s">
        <v>1495</v>
      </c>
      <c r="H548" s="415" t="s">
        <v>310</v>
      </c>
      <c r="I548" s="473" t="s">
        <v>1496</v>
      </c>
      <c r="J548" s="548" t="s">
        <v>1497</v>
      </c>
      <c r="K548" s="415" t="s">
        <v>812</v>
      </c>
      <c r="L548" s="415" t="s">
        <v>807</v>
      </c>
      <c r="M548" s="415" t="s">
        <v>8168</v>
      </c>
      <c r="N548" s="414">
        <v>44862</v>
      </c>
      <c r="O548" s="414" t="s">
        <v>400</v>
      </c>
      <c r="P548" s="655">
        <f t="shared" si="29"/>
        <v>10</v>
      </c>
      <c r="Q548" s="655">
        <f t="shared" si="30"/>
        <v>10</v>
      </c>
      <c r="R548" s="758" t="str">
        <f t="shared" si="28"/>
        <v>Gastos_com_Pessoal</v>
      </c>
      <c r="S548" s="697" t="s">
        <v>310</v>
      </c>
      <c r="T548" s="697" t="s">
        <v>310</v>
      </c>
    </row>
    <row r="549" spans="1:20" ht="24" x14ac:dyDescent="0.2">
      <c r="A549" s="432">
        <f>IF(B549="","",COUNT('Diário 1º PA'!$A$4:$A$2635)+COUNT('Diário 2º PA'!$A$4:$A$3040)+COUNT('Diário 3º PA'!$A$4:$A$2731)+ROW()-3)</f>
        <v>6574</v>
      </c>
      <c r="B549" s="414">
        <v>44861</v>
      </c>
      <c r="C549" s="466">
        <v>44835</v>
      </c>
      <c r="D549" s="415" t="s">
        <v>182</v>
      </c>
      <c r="E549" s="415" t="s">
        <v>6</v>
      </c>
      <c r="F549" s="425">
        <v>26859.47</v>
      </c>
      <c r="G549" s="440" t="s">
        <v>7418</v>
      </c>
      <c r="H549" s="415" t="s">
        <v>310</v>
      </c>
      <c r="I549" s="437" t="s">
        <v>1486</v>
      </c>
      <c r="J549" s="418" t="s">
        <v>1487</v>
      </c>
      <c r="K549" s="418" t="s">
        <v>812</v>
      </c>
      <c r="L549" s="399" t="s">
        <v>807</v>
      </c>
      <c r="M549" s="415">
        <v>518218</v>
      </c>
      <c r="N549" s="414">
        <v>44866</v>
      </c>
      <c r="O549" s="414" t="s">
        <v>400</v>
      </c>
      <c r="P549" s="655">
        <f t="shared" si="29"/>
        <v>10</v>
      </c>
      <c r="Q549" s="655">
        <f t="shared" si="30"/>
        <v>10</v>
      </c>
      <c r="R549" s="758" t="str">
        <f t="shared" si="28"/>
        <v>Gastos_com_Pessoal</v>
      </c>
      <c r="S549" s="697" t="s">
        <v>310</v>
      </c>
      <c r="T549" s="697" t="s">
        <v>310</v>
      </c>
    </row>
    <row r="550" spans="1:20" ht="24" x14ac:dyDescent="0.2">
      <c r="A550" s="432">
        <f>IF(B550="","",COUNT('Diário 1º PA'!$A$4:$A$2635)+COUNT('Diário 2º PA'!$A$4:$A$3040)+COUNT('Diário 3º PA'!$A$4:$A$2731)+ROW()-3)</f>
        <v>6575</v>
      </c>
      <c r="B550" s="414">
        <v>44861</v>
      </c>
      <c r="C550" s="431">
        <v>44805</v>
      </c>
      <c r="D550" s="415" t="s">
        <v>271</v>
      </c>
      <c r="E550" s="415" t="s">
        <v>297</v>
      </c>
      <c r="F550" s="425">
        <v>830.63</v>
      </c>
      <c r="G550" s="427" t="s">
        <v>5681</v>
      </c>
      <c r="H550" s="415" t="s">
        <v>309</v>
      </c>
      <c r="I550" s="415" t="s">
        <v>9013</v>
      </c>
      <c r="J550" s="415" t="s">
        <v>1483</v>
      </c>
      <c r="K550" s="415" t="s">
        <v>812</v>
      </c>
      <c r="L550" s="434" t="s">
        <v>807</v>
      </c>
      <c r="M550" s="415">
        <v>7116839</v>
      </c>
      <c r="N550" s="414">
        <v>44862</v>
      </c>
      <c r="O550" s="414" t="s">
        <v>400</v>
      </c>
      <c r="P550" s="655">
        <f t="shared" si="29"/>
        <v>10</v>
      </c>
      <c r="Q550" s="655">
        <f t="shared" si="30"/>
        <v>9</v>
      </c>
      <c r="R550" s="758" t="str">
        <f t="shared" si="28"/>
        <v>Gastos_Gerais</v>
      </c>
      <c r="S550" s="697" t="s">
        <v>1000</v>
      </c>
      <c r="T550" s="697">
        <v>3953</v>
      </c>
    </row>
    <row r="551" spans="1:20" ht="48" x14ac:dyDescent="0.2">
      <c r="A551" s="432">
        <f>IF(B551="","",COUNT('Diário 1º PA'!$A$4:$A$2635)+COUNT('Diário 2º PA'!$A$4:$A$3040)+COUNT('Diário 3º PA'!$A$4:$A$2731)+ROW()-3)</f>
        <v>6576</v>
      </c>
      <c r="B551" s="414">
        <v>44861</v>
      </c>
      <c r="C551" s="431">
        <v>44835</v>
      </c>
      <c r="D551" s="419" t="s">
        <v>271</v>
      </c>
      <c r="E551" s="419" t="s">
        <v>456</v>
      </c>
      <c r="F551" s="425">
        <v>90</v>
      </c>
      <c r="G551" s="427" t="s">
        <v>7990</v>
      </c>
      <c r="H551" s="415" t="s">
        <v>752</v>
      </c>
      <c r="I551" s="419" t="s">
        <v>7994</v>
      </c>
      <c r="J551" s="415" t="s">
        <v>7991</v>
      </c>
      <c r="K551" s="419" t="s">
        <v>830</v>
      </c>
      <c r="L551" s="415" t="s">
        <v>32</v>
      </c>
      <c r="M551" s="419">
        <v>18519</v>
      </c>
      <c r="N551" s="413">
        <v>44861</v>
      </c>
      <c r="O551" s="414" t="s">
        <v>400</v>
      </c>
      <c r="P551" s="655">
        <f t="shared" si="29"/>
        <v>10</v>
      </c>
      <c r="Q551" s="655">
        <f t="shared" si="30"/>
        <v>10</v>
      </c>
      <c r="R551" s="758" t="str">
        <f t="shared" si="28"/>
        <v>Gastos_Gerais</v>
      </c>
      <c r="S551" s="697" t="s">
        <v>999</v>
      </c>
      <c r="T551" s="697">
        <v>4658</v>
      </c>
    </row>
    <row r="552" spans="1:20" ht="36" x14ac:dyDescent="0.2">
      <c r="A552" s="432">
        <f>IF(B552="","",COUNT('Diário 1º PA'!$A$4:$A$2635)+COUNT('Diário 2º PA'!$A$4:$A$3040)+COUNT('Diário 3º PA'!$A$4:$A$2731)+ROW()-3)</f>
        <v>6577</v>
      </c>
      <c r="B552" s="414">
        <v>44861</v>
      </c>
      <c r="C552" s="424">
        <v>44835</v>
      </c>
      <c r="D552" s="419" t="s">
        <v>271</v>
      </c>
      <c r="E552" s="419" t="s">
        <v>71</v>
      </c>
      <c r="F552" s="422">
        <v>11</v>
      </c>
      <c r="G552" s="423" t="s">
        <v>7995</v>
      </c>
      <c r="H552" s="415" t="s">
        <v>752</v>
      </c>
      <c r="I552" s="415" t="s">
        <v>881</v>
      </c>
      <c r="J552" s="419" t="s">
        <v>882</v>
      </c>
      <c r="K552" s="419" t="s">
        <v>883</v>
      </c>
      <c r="L552" s="415" t="s">
        <v>798</v>
      </c>
      <c r="M552" s="419" t="s">
        <v>310</v>
      </c>
      <c r="N552" s="413">
        <v>44861</v>
      </c>
      <c r="O552" s="414" t="s">
        <v>400</v>
      </c>
      <c r="P552" s="655">
        <f t="shared" si="29"/>
        <v>10</v>
      </c>
      <c r="Q552" s="655">
        <f t="shared" si="30"/>
        <v>10</v>
      </c>
      <c r="R552" s="758" t="str">
        <f t="shared" si="28"/>
        <v>Gastos_Gerais</v>
      </c>
      <c r="S552" s="697" t="s">
        <v>310</v>
      </c>
      <c r="T552" s="697" t="s">
        <v>310</v>
      </c>
    </row>
    <row r="553" spans="1:20" ht="48" x14ac:dyDescent="0.2">
      <c r="A553" s="432">
        <f>IF(B553="","",COUNT('Diário 1º PA'!$A$4:$A$2635)+COUNT('Diário 2º PA'!$A$4:$A$3040)+COUNT('Diário 3º PA'!$A$4:$A$2731)+ROW()-3)</f>
        <v>6578</v>
      </c>
      <c r="B553" s="414">
        <v>44861</v>
      </c>
      <c r="C553" s="431">
        <v>44835</v>
      </c>
      <c r="D553" s="419" t="s">
        <v>468</v>
      </c>
      <c r="E553" s="419" t="s">
        <v>468</v>
      </c>
      <c r="F553" s="422">
        <v>1350</v>
      </c>
      <c r="G553" s="427" t="s">
        <v>7858</v>
      </c>
      <c r="H553" s="415" t="s">
        <v>468</v>
      </c>
      <c r="I553" s="415" t="s">
        <v>8024</v>
      </c>
      <c r="J553" s="415" t="s">
        <v>7859</v>
      </c>
      <c r="K553" s="419" t="s">
        <v>806</v>
      </c>
      <c r="L553" s="415" t="s">
        <v>807</v>
      </c>
      <c r="M553" s="419">
        <v>52</v>
      </c>
      <c r="N553" s="413">
        <v>44860</v>
      </c>
      <c r="O553" s="414" t="s">
        <v>405</v>
      </c>
      <c r="P553" s="655">
        <f t="shared" si="29"/>
        <v>10</v>
      </c>
      <c r="Q553" s="655">
        <f t="shared" si="30"/>
        <v>10</v>
      </c>
      <c r="R553" s="758" t="str">
        <f t="shared" si="28"/>
        <v>Gastos_custeados_por_captação</v>
      </c>
      <c r="S553" s="697" t="s">
        <v>998</v>
      </c>
      <c r="T553" s="697">
        <v>4567</v>
      </c>
    </row>
    <row r="554" spans="1:20" ht="48" x14ac:dyDescent="0.2">
      <c r="A554" s="432">
        <f>IF(B554="","",COUNT('Diário 1º PA'!$A$4:$A$2635)+COUNT('Diário 2º PA'!$A$4:$A$3040)+COUNT('Diário 3º PA'!$A$4:$A$2731)+ROW()-3)</f>
        <v>6579</v>
      </c>
      <c r="B554" s="414">
        <v>44861</v>
      </c>
      <c r="C554" s="431">
        <v>44835</v>
      </c>
      <c r="D554" s="419" t="s">
        <v>468</v>
      </c>
      <c r="E554" s="419" t="s">
        <v>468</v>
      </c>
      <c r="F554" s="422">
        <v>1134</v>
      </c>
      <c r="G554" s="427" t="s">
        <v>7783</v>
      </c>
      <c r="H554" s="415" t="s">
        <v>468</v>
      </c>
      <c r="I554" s="415" t="s">
        <v>8025</v>
      </c>
      <c r="J554" s="415" t="s">
        <v>7788</v>
      </c>
      <c r="K554" s="419" t="s">
        <v>806</v>
      </c>
      <c r="L554" s="415" t="s">
        <v>839</v>
      </c>
      <c r="M554" s="419">
        <v>2068</v>
      </c>
      <c r="N554" s="413">
        <v>44860</v>
      </c>
      <c r="O554" s="414" t="s">
        <v>405</v>
      </c>
      <c r="P554" s="655">
        <f t="shared" si="29"/>
        <v>10</v>
      </c>
      <c r="Q554" s="655">
        <f t="shared" si="30"/>
        <v>10</v>
      </c>
      <c r="R554" s="758" t="str">
        <f t="shared" si="28"/>
        <v>Gastos_custeados_por_captação</v>
      </c>
      <c r="S554" s="697" t="s">
        <v>998</v>
      </c>
      <c r="T554" s="697">
        <v>4573</v>
      </c>
    </row>
    <row r="555" spans="1:20" ht="48" x14ac:dyDescent="0.2">
      <c r="A555" s="432">
        <f>IF(B555="","",COUNT('Diário 1º PA'!$A$4:$A$2635)+COUNT('Diário 2º PA'!$A$4:$A$3040)+COUNT('Diário 3º PA'!$A$4:$A$2731)+ROW()-3)</f>
        <v>6580</v>
      </c>
      <c r="B555" s="414">
        <v>44861</v>
      </c>
      <c r="C555" s="431">
        <v>44835</v>
      </c>
      <c r="D555" s="419" t="s">
        <v>468</v>
      </c>
      <c r="E555" s="419" t="s">
        <v>468</v>
      </c>
      <c r="F555" s="422">
        <v>1050</v>
      </c>
      <c r="G555" s="427" t="s">
        <v>7785</v>
      </c>
      <c r="H555" s="415" t="s">
        <v>468</v>
      </c>
      <c r="I555" s="415" t="s">
        <v>6647</v>
      </c>
      <c r="J555" s="415" t="s">
        <v>5778</v>
      </c>
      <c r="K555" s="419" t="s">
        <v>806</v>
      </c>
      <c r="L555" s="415" t="s">
        <v>839</v>
      </c>
      <c r="M555" s="419">
        <v>2069</v>
      </c>
      <c r="N555" s="413">
        <v>44860</v>
      </c>
      <c r="O555" s="414" t="s">
        <v>405</v>
      </c>
      <c r="P555" s="655">
        <f t="shared" si="29"/>
        <v>10</v>
      </c>
      <c r="Q555" s="655">
        <f t="shared" si="30"/>
        <v>10</v>
      </c>
      <c r="R555" s="758" t="str">
        <f t="shared" si="28"/>
        <v>Gastos_custeados_por_captação</v>
      </c>
      <c r="S555" s="697" t="s">
        <v>998</v>
      </c>
      <c r="T555" s="697">
        <v>4568</v>
      </c>
    </row>
    <row r="556" spans="1:20" ht="84" x14ac:dyDescent="0.2">
      <c r="A556" s="432">
        <f>IF(B556="","",COUNT('Diário 1º PA'!$A$4:$A$2635)+COUNT('Diário 2º PA'!$A$4:$A$3040)+COUNT('Diário 3º PA'!$A$4:$A$2731)+ROW()-3)</f>
        <v>6581</v>
      </c>
      <c r="B556" s="414">
        <v>44861</v>
      </c>
      <c r="C556" s="431">
        <v>44835</v>
      </c>
      <c r="D556" s="419" t="s">
        <v>468</v>
      </c>
      <c r="E556" s="419" t="s">
        <v>468</v>
      </c>
      <c r="F556" s="422">
        <v>4450</v>
      </c>
      <c r="G556" s="427" t="s">
        <v>7778</v>
      </c>
      <c r="H556" s="415" t="s">
        <v>468</v>
      </c>
      <c r="I556" s="415" t="s">
        <v>8028</v>
      </c>
      <c r="J556" s="415" t="s">
        <v>7779</v>
      </c>
      <c r="K556" s="419" t="s">
        <v>830</v>
      </c>
      <c r="L556" s="415" t="s">
        <v>32</v>
      </c>
      <c r="M556" s="419">
        <v>65</v>
      </c>
      <c r="N556" s="413">
        <v>44859</v>
      </c>
      <c r="O556" s="414" t="s">
        <v>405</v>
      </c>
      <c r="P556" s="655">
        <f t="shared" si="29"/>
        <v>10</v>
      </c>
      <c r="Q556" s="655">
        <f t="shared" si="30"/>
        <v>10</v>
      </c>
      <c r="R556" s="758" t="str">
        <f t="shared" si="28"/>
        <v>Gastos_custeados_por_captação</v>
      </c>
      <c r="S556" s="697" t="s">
        <v>998</v>
      </c>
      <c r="T556" s="697">
        <v>4579</v>
      </c>
    </row>
    <row r="557" spans="1:20" ht="60" x14ac:dyDescent="0.2">
      <c r="A557" s="432">
        <f>IF(B557="","",COUNT('Diário 1º PA'!$A$4:$A$2635)+COUNT('Diário 2º PA'!$A$4:$A$3040)+COUNT('Diário 3º PA'!$A$4:$A$2731)+ROW()-3)</f>
        <v>6582</v>
      </c>
      <c r="B557" s="414">
        <v>44861</v>
      </c>
      <c r="C557" s="431">
        <v>44835</v>
      </c>
      <c r="D557" s="419" t="s">
        <v>468</v>
      </c>
      <c r="E557" s="419" t="s">
        <v>468</v>
      </c>
      <c r="F557" s="422">
        <v>360</v>
      </c>
      <c r="G557" s="427" t="s">
        <v>7718</v>
      </c>
      <c r="H557" s="415" t="s">
        <v>468</v>
      </c>
      <c r="I557" s="415" t="s">
        <v>8034</v>
      </c>
      <c r="J557" s="415" t="s">
        <v>7719</v>
      </c>
      <c r="K557" s="419" t="s">
        <v>830</v>
      </c>
      <c r="L557" s="415" t="s">
        <v>32</v>
      </c>
      <c r="M557" s="419">
        <v>144</v>
      </c>
      <c r="N557" s="413">
        <v>44859</v>
      </c>
      <c r="O557" s="414" t="s">
        <v>404</v>
      </c>
      <c r="P557" s="655">
        <f t="shared" si="29"/>
        <v>10</v>
      </c>
      <c r="Q557" s="655">
        <f t="shared" si="30"/>
        <v>10</v>
      </c>
      <c r="R557" s="758" t="str">
        <f t="shared" si="28"/>
        <v>Gastos_custeados_por_captação</v>
      </c>
      <c r="S557" s="697" t="s">
        <v>999</v>
      </c>
      <c r="T557" s="697">
        <v>4565</v>
      </c>
    </row>
    <row r="558" spans="1:20" ht="36" x14ac:dyDescent="0.2">
      <c r="A558" s="432">
        <f>IF(B558="","",COUNT('Diário 1º PA'!$A$4:$A$2635)+COUNT('Diário 2º PA'!$A$4:$A$3040)+COUNT('Diário 3º PA'!$A$4:$A$2731)+ROW()-3)</f>
        <v>6583</v>
      </c>
      <c r="B558" s="414">
        <v>44861</v>
      </c>
      <c r="C558" s="431">
        <v>44805</v>
      </c>
      <c r="D558" s="419" t="s">
        <v>468</v>
      </c>
      <c r="E558" s="419" t="s">
        <v>468</v>
      </c>
      <c r="F558" s="422">
        <v>2522.5500000000002</v>
      </c>
      <c r="G558" s="427" t="s">
        <v>6835</v>
      </c>
      <c r="H558" s="415" t="s">
        <v>468</v>
      </c>
      <c r="I558" s="415" t="s">
        <v>8035</v>
      </c>
      <c r="J558" s="415" t="s">
        <v>6941</v>
      </c>
      <c r="K558" s="419" t="s">
        <v>830</v>
      </c>
      <c r="L558" s="415" t="s">
        <v>839</v>
      </c>
      <c r="M558" s="419">
        <v>2037</v>
      </c>
      <c r="N558" s="413">
        <v>44839</v>
      </c>
      <c r="O558" s="414" t="s">
        <v>3762</v>
      </c>
      <c r="P558" s="655">
        <f t="shared" si="29"/>
        <v>10</v>
      </c>
      <c r="Q558" s="655">
        <f t="shared" si="30"/>
        <v>9</v>
      </c>
      <c r="R558" s="758" t="str">
        <f t="shared" si="28"/>
        <v>Gastos_custeados_por_captação</v>
      </c>
      <c r="S558" s="697" t="s">
        <v>1000</v>
      </c>
      <c r="T558" s="697">
        <v>4295</v>
      </c>
    </row>
    <row r="559" spans="1:20" ht="36" x14ac:dyDescent="0.2">
      <c r="A559" s="432">
        <f>IF(B559="","",COUNT('Diário 1º PA'!$A$4:$A$2635)+COUNT('Diário 2º PA'!$A$4:$A$3040)+COUNT('Diário 3º PA'!$A$4:$A$2731)+ROW()-3)</f>
        <v>6584</v>
      </c>
      <c r="B559" s="414">
        <v>44861</v>
      </c>
      <c r="C559" s="431">
        <v>44835</v>
      </c>
      <c r="D559" s="419" t="s">
        <v>468</v>
      </c>
      <c r="E559" s="419" t="s">
        <v>468</v>
      </c>
      <c r="F559" s="422">
        <v>11</v>
      </c>
      <c r="G559" s="427" t="s">
        <v>2469</v>
      </c>
      <c r="H559" s="415" t="s">
        <v>468</v>
      </c>
      <c r="I559" s="639" t="s">
        <v>881</v>
      </c>
      <c r="J559" s="418" t="s">
        <v>882</v>
      </c>
      <c r="K559" s="418" t="s">
        <v>883</v>
      </c>
      <c r="L559" s="399" t="s">
        <v>798</v>
      </c>
      <c r="M559" s="544" t="s">
        <v>310</v>
      </c>
      <c r="N559" s="413">
        <v>44861</v>
      </c>
      <c r="O559" s="414" t="s">
        <v>3762</v>
      </c>
      <c r="P559" s="655">
        <f t="shared" si="29"/>
        <v>10</v>
      </c>
      <c r="Q559" s="655">
        <f t="shared" si="30"/>
        <v>10</v>
      </c>
      <c r="R559" s="758" t="str">
        <f t="shared" si="28"/>
        <v>Gastos_custeados_por_captação</v>
      </c>
      <c r="S559" s="697" t="s">
        <v>310</v>
      </c>
      <c r="T559" s="697" t="s">
        <v>310</v>
      </c>
    </row>
    <row r="560" spans="1:20" ht="36" x14ac:dyDescent="0.2">
      <c r="A560" s="432">
        <f>IF(B560="","",COUNT('Diário 1º PA'!$A$4:$A$2635)+COUNT('Diário 2º PA'!$A$4:$A$3040)+COUNT('Diário 3º PA'!$A$4:$A$2731)+ROW()-3)</f>
        <v>6585</v>
      </c>
      <c r="B560" s="414">
        <v>44861</v>
      </c>
      <c r="C560" s="431">
        <v>44835</v>
      </c>
      <c r="D560" s="419" t="s">
        <v>468</v>
      </c>
      <c r="E560" s="419" t="s">
        <v>468</v>
      </c>
      <c r="F560" s="422">
        <v>11</v>
      </c>
      <c r="G560" s="427" t="s">
        <v>2469</v>
      </c>
      <c r="H560" s="415" t="s">
        <v>468</v>
      </c>
      <c r="I560" s="639" t="s">
        <v>881</v>
      </c>
      <c r="J560" s="418" t="s">
        <v>882</v>
      </c>
      <c r="K560" s="418" t="s">
        <v>883</v>
      </c>
      <c r="L560" s="399" t="s">
        <v>798</v>
      </c>
      <c r="M560" s="544" t="s">
        <v>310</v>
      </c>
      <c r="N560" s="413">
        <v>44861</v>
      </c>
      <c r="O560" s="414" t="s">
        <v>3762</v>
      </c>
      <c r="P560" s="655">
        <f t="shared" si="29"/>
        <v>10</v>
      </c>
      <c r="Q560" s="655">
        <f t="shared" si="30"/>
        <v>10</v>
      </c>
      <c r="R560" s="758" t="str">
        <f t="shared" si="28"/>
        <v>Gastos_custeados_por_captação</v>
      </c>
      <c r="S560" s="697" t="s">
        <v>310</v>
      </c>
      <c r="T560" s="697" t="s">
        <v>310</v>
      </c>
    </row>
    <row r="561" spans="1:20" ht="36" x14ac:dyDescent="0.2">
      <c r="A561" s="432">
        <f>IF(B561="","",COUNT('Diário 1º PA'!$A$4:$A$2635)+COUNT('Diário 2º PA'!$A$4:$A$3040)+COUNT('Diário 3º PA'!$A$4:$A$2731)+ROW()-3)</f>
        <v>6586</v>
      </c>
      <c r="B561" s="413">
        <v>44862</v>
      </c>
      <c r="C561" s="431">
        <v>44835</v>
      </c>
      <c r="D561" s="419" t="s">
        <v>271</v>
      </c>
      <c r="E561" s="419" t="s">
        <v>456</v>
      </c>
      <c r="F561" s="425">
        <v>267</v>
      </c>
      <c r="G561" s="427" t="s">
        <v>8004</v>
      </c>
      <c r="H561" s="415" t="s">
        <v>757</v>
      </c>
      <c r="I561" s="415" t="s">
        <v>7902</v>
      </c>
      <c r="J561" s="415" t="s">
        <v>7894</v>
      </c>
      <c r="K561" s="419" t="s">
        <v>830</v>
      </c>
      <c r="L561" s="415" t="s">
        <v>807</v>
      </c>
      <c r="M561" s="419">
        <v>6</v>
      </c>
      <c r="N561" s="413">
        <v>44861</v>
      </c>
      <c r="O561" s="414" t="s">
        <v>400</v>
      </c>
      <c r="P561" s="655">
        <f t="shared" si="29"/>
        <v>10</v>
      </c>
      <c r="Q561" s="655">
        <f t="shared" si="30"/>
        <v>10</v>
      </c>
      <c r="R561" s="758" t="str">
        <f t="shared" si="28"/>
        <v>Gastos_Gerais</v>
      </c>
      <c r="S561" s="697" t="s">
        <v>999</v>
      </c>
      <c r="T561" s="697">
        <v>4669</v>
      </c>
    </row>
    <row r="562" spans="1:20" ht="36" x14ac:dyDescent="0.2">
      <c r="A562" s="432">
        <f>IF(B562="","",COUNT('Diário 1º PA'!$A$4:$A$2635)+COUNT('Diário 2º PA'!$A$4:$A$3040)+COUNT('Diário 3º PA'!$A$4:$A$2731)+ROW()-3)</f>
        <v>6587</v>
      </c>
      <c r="B562" s="414">
        <v>44862</v>
      </c>
      <c r="C562" s="424">
        <v>44835</v>
      </c>
      <c r="D562" s="419" t="s">
        <v>271</v>
      </c>
      <c r="E562" s="419" t="s">
        <v>71</v>
      </c>
      <c r="F562" s="422">
        <v>11</v>
      </c>
      <c r="G562" s="423" t="s">
        <v>8006</v>
      </c>
      <c r="H562" s="415" t="s">
        <v>757</v>
      </c>
      <c r="I562" s="415" t="s">
        <v>881</v>
      </c>
      <c r="J562" s="419" t="s">
        <v>882</v>
      </c>
      <c r="K562" s="419" t="s">
        <v>883</v>
      </c>
      <c r="L562" s="415" t="s">
        <v>798</v>
      </c>
      <c r="M562" s="419" t="s">
        <v>310</v>
      </c>
      <c r="N562" s="413">
        <v>44862</v>
      </c>
      <c r="O562" s="414" t="s">
        <v>400</v>
      </c>
      <c r="P562" s="655">
        <f t="shared" si="29"/>
        <v>10</v>
      </c>
      <c r="Q562" s="655">
        <f t="shared" si="30"/>
        <v>10</v>
      </c>
      <c r="R562" s="758" t="str">
        <f t="shared" si="28"/>
        <v>Gastos_Gerais</v>
      </c>
      <c r="S562" s="697" t="s">
        <v>310</v>
      </c>
      <c r="T562" s="697" t="s">
        <v>310</v>
      </c>
    </row>
    <row r="563" spans="1:20" ht="72" x14ac:dyDescent="0.2">
      <c r="A563" s="432">
        <f>IF(B563="","",COUNT('Diário 1º PA'!$A$4:$A$2635)+COUNT('Diário 2º PA'!$A$4:$A$3040)+COUNT('Diário 3º PA'!$A$4:$A$2731)+ROW()-3)</f>
        <v>6588</v>
      </c>
      <c r="B563" s="414">
        <v>44862</v>
      </c>
      <c r="C563" s="431">
        <v>44835</v>
      </c>
      <c r="D563" s="419" t="s">
        <v>468</v>
      </c>
      <c r="E563" s="419" t="s">
        <v>468</v>
      </c>
      <c r="F563" s="422">
        <v>420</v>
      </c>
      <c r="G563" s="427" t="s">
        <v>7561</v>
      </c>
      <c r="H563" s="419" t="s">
        <v>468</v>
      </c>
      <c r="I563" s="415" t="s">
        <v>8029</v>
      </c>
      <c r="J563" s="415" t="s">
        <v>7562</v>
      </c>
      <c r="K563" s="419" t="s">
        <v>806</v>
      </c>
      <c r="L563" s="415" t="s">
        <v>839</v>
      </c>
      <c r="M563" s="419">
        <v>2065</v>
      </c>
      <c r="N563" s="413">
        <v>44859</v>
      </c>
      <c r="O563" s="414" t="s">
        <v>405</v>
      </c>
      <c r="P563" s="655">
        <f t="shared" si="29"/>
        <v>10</v>
      </c>
      <c r="Q563" s="655">
        <f t="shared" si="30"/>
        <v>10</v>
      </c>
      <c r="R563" s="758" t="str">
        <f t="shared" si="28"/>
        <v>Gastos_custeados_por_captação</v>
      </c>
      <c r="S563" s="697" t="s">
        <v>998</v>
      </c>
      <c r="T563" s="697">
        <v>4361</v>
      </c>
    </row>
    <row r="564" spans="1:20" ht="84" x14ac:dyDescent="0.2">
      <c r="A564" s="432">
        <f>IF(B564="","",COUNT('Diário 1º PA'!$A$4:$A$2635)+COUNT('Diário 2º PA'!$A$4:$A$3040)+COUNT('Diário 3º PA'!$A$4:$A$2731)+ROW()-3)</f>
        <v>6589</v>
      </c>
      <c r="B564" s="414">
        <v>44862</v>
      </c>
      <c r="C564" s="431">
        <v>44835</v>
      </c>
      <c r="D564" s="419" t="s">
        <v>468</v>
      </c>
      <c r="E564" s="419" t="s">
        <v>468</v>
      </c>
      <c r="F564" s="422">
        <v>9600</v>
      </c>
      <c r="G564" s="427" t="s">
        <v>7778</v>
      </c>
      <c r="H564" s="419" t="s">
        <v>468</v>
      </c>
      <c r="I564" s="415" t="s">
        <v>7988</v>
      </c>
      <c r="J564" s="415" t="s">
        <v>7777</v>
      </c>
      <c r="K564" s="419" t="s">
        <v>806</v>
      </c>
      <c r="L564" s="415" t="s">
        <v>32</v>
      </c>
      <c r="M564" s="419">
        <v>11</v>
      </c>
      <c r="N564" s="413">
        <v>44861</v>
      </c>
      <c r="O564" s="414" t="s">
        <v>405</v>
      </c>
      <c r="P564" s="655">
        <f t="shared" si="29"/>
        <v>10</v>
      </c>
      <c r="Q564" s="655">
        <f t="shared" si="30"/>
        <v>10</v>
      </c>
      <c r="R564" s="758" t="str">
        <f t="shared" si="28"/>
        <v>Gastos_custeados_por_captação</v>
      </c>
      <c r="S564" s="697" t="s">
        <v>998</v>
      </c>
      <c r="T564" s="697">
        <v>4576</v>
      </c>
    </row>
    <row r="565" spans="1:20" ht="36" x14ac:dyDescent="0.2">
      <c r="A565" s="432">
        <f>IF(B565="","",COUNT('Diário 1º PA'!$A$4:$A$2635)+COUNT('Diário 2º PA'!$A$4:$A$3040)+COUNT('Diário 3º PA'!$A$4:$A$2731)+ROW()-3)</f>
        <v>6590</v>
      </c>
      <c r="B565" s="414">
        <v>44862</v>
      </c>
      <c r="C565" s="431">
        <v>44835</v>
      </c>
      <c r="D565" s="419" t="s">
        <v>468</v>
      </c>
      <c r="E565" s="419" t="s">
        <v>468</v>
      </c>
      <c r="F565" s="422">
        <v>3000</v>
      </c>
      <c r="G565" s="427" t="s">
        <v>7866</v>
      </c>
      <c r="H565" s="419" t="s">
        <v>468</v>
      </c>
      <c r="I565" s="415" t="s">
        <v>8037</v>
      </c>
      <c r="J565" s="415" t="s">
        <v>7867</v>
      </c>
      <c r="K565" s="419" t="s">
        <v>830</v>
      </c>
      <c r="L565" s="415" t="s">
        <v>32</v>
      </c>
      <c r="M565" s="419" t="s">
        <v>842</v>
      </c>
      <c r="N565" s="413">
        <v>44860</v>
      </c>
      <c r="O565" s="414" t="s">
        <v>3762</v>
      </c>
      <c r="P565" s="655">
        <f t="shared" si="29"/>
        <v>10</v>
      </c>
      <c r="Q565" s="655">
        <f t="shared" si="30"/>
        <v>10</v>
      </c>
      <c r="R565" s="758" t="str">
        <f t="shared" si="28"/>
        <v>Gastos_custeados_por_captação</v>
      </c>
      <c r="S565" s="697" t="s">
        <v>998</v>
      </c>
      <c r="T565" s="697">
        <v>4583</v>
      </c>
    </row>
    <row r="566" spans="1:20" ht="48" x14ac:dyDescent="0.2">
      <c r="A566" s="432">
        <f>IF(B566="","",COUNT('Diário 1º PA'!$A$4:$A$2635)+COUNT('Diário 2º PA'!$A$4:$A$3040)+COUNT('Diário 3º PA'!$A$4:$A$2731)+ROW()-3)</f>
        <v>6591</v>
      </c>
      <c r="B566" s="414">
        <v>44862</v>
      </c>
      <c r="C566" s="431">
        <v>44835</v>
      </c>
      <c r="D566" s="419" t="s">
        <v>468</v>
      </c>
      <c r="E566" s="419" t="s">
        <v>468</v>
      </c>
      <c r="F566" s="422">
        <v>980</v>
      </c>
      <c r="G566" s="427" t="s">
        <v>7895</v>
      </c>
      <c r="H566" s="419" t="s">
        <v>468</v>
      </c>
      <c r="I566" s="415" t="s">
        <v>2144</v>
      </c>
      <c r="J566" s="415" t="s">
        <v>1093</v>
      </c>
      <c r="K566" s="419" t="s">
        <v>830</v>
      </c>
      <c r="L566" s="415" t="s">
        <v>32</v>
      </c>
      <c r="M566" s="419" t="s">
        <v>1703</v>
      </c>
      <c r="N566" s="413">
        <v>44861</v>
      </c>
      <c r="O566" s="414" t="s">
        <v>3762</v>
      </c>
      <c r="P566" s="655">
        <f t="shared" si="29"/>
        <v>10</v>
      </c>
      <c r="Q566" s="655">
        <f t="shared" si="30"/>
        <v>10</v>
      </c>
      <c r="R566" s="758" t="str">
        <f t="shared" si="28"/>
        <v>Gastos_custeados_por_captação</v>
      </c>
      <c r="S566" s="697" t="s">
        <v>998</v>
      </c>
      <c r="T566" s="697">
        <v>4550</v>
      </c>
    </row>
    <row r="567" spans="1:20" ht="36" x14ac:dyDescent="0.2">
      <c r="A567" s="432">
        <f>IF(B567="","",COUNT('Diário 1º PA'!$A$4:$A$2635)+COUNT('Diário 2º PA'!$A$4:$A$3040)+COUNT('Diário 3º PA'!$A$4:$A$2731)+ROW()-3)</f>
        <v>6592</v>
      </c>
      <c r="B567" s="414">
        <v>44862</v>
      </c>
      <c r="C567" s="431">
        <v>44835</v>
      </c>
      <c r="D567" s="419" t="s">
        <v>468</v>
      </c>
      <c r="E567" s="419" t="s">
        <v>468</v>
      </c>
      <c r="F567" s="422">
        <v>11</v>
      </c>
      <c r="G567" s="427" t="s">
        <v>2469</v>
      </c>
      <c r="H567" s="419" t="s">
        <v>468</v>
      </c>
      <c r="I567" s="639" t="s">
        <v>881</v>
      </c>
      <c r="J567" s="418" t="s">
        <v>882</v>
      </c>
      <c r="K567" s="418" t="s">
        <v>883</v>
      </c>
      <c r="L567" s="399" t="s">
        <v>798</v>
      </c>
      <c r="M567" s="544" t="s">
        <v>310</v>
      </c>
      <c r="N567" s="413">
        <v>44862</v>
      </c>
      <c r="O567" s="414" t="s">
        <v>3762</v>
      </c>
      <c r="P567" s="655">
        <f t="shared" si="29"/>
        <v>10</v>
      </c>
      <c r="Q567" s="655">
        <f t="shared" si="30"/>
        <v>10</v>
      </c>
      <c r="R567" s="758" t="str">
        <f t="shared" si="28"/>
        <v>Gastos_custeados_por_captação</v>
      </c>
      <c r="S567" s="697" t="s">
        <v>310</v>
      </c>
      <c r="T567" s="697" t="s">
        <v>310</v>
      </c>
    </row>
    <row r="568" spans="1:20" ht="36" x14ac:dyDescent="0.2">
      <c r="A568" s="432">
        <f>IF(B568="","",COUNT('Diário 1º PA'!$A$4:$A$2635)+COUNT('Diário 2º PA'!$A$4:$A$3040)+COUNT('Diário 3º PA'!$A$4:$A$2731)+ROW()-3)</f>
        <v>6593</v>
      </c>
      <c r="B568" s="414">
        <v>44862</v>
      </c>
      <c r="C568" s="431">
        <v>44835</v>
      </c>
      <c r="D568" s="419" t="s">
        <v>468</v>
      </c>
      <c r="E568" s="419" t="s">
        <v>468</v>
      </c>
      <c r="F568" s="422">
        <v>11</v>
      </c>
      <c r="G568" s="427" t="s">
        <v>2469</v>
      </c>
      <c r="H568" s="419" t="s">
        <v>468</v>
      </c>
      <c r="I568" s="639" t="s">
        <v>881</v>
      </c>
      <c r="J568" s="418" t="s">
        <v>882</v>
      </c>
      <c r="K568" s="418" t="s">
        <v>883</v>
      </c>
      <c r="L568" s="399" t="s">
        <v>798</v>
      </c>
      <c r="M568" s="544" t="s">
        <v>310</v>
      </c>
      <c r="N568" s="413">
        <v>44862</v>
      </c>
      <c r="O568" s="414" t="s">
        <v>3762</v>
      </c>
      <c r="P568" s="655">
        <f t="shared" si="29"/>
        <v>10</v>
      </c>
      <c r="Q568" s="655">
        <f t="shared" si="30"/>
        <v>10</v>
      </c>
      <c r="R568" s="758" t="str">
        <f t="shared" si="28"/>
        <v>Gastos_custeados_por_captação</v>
      </c>
      <c r="S568" s="697" t="s">
        <v>310</v>
      </c>
      <c r="T568" s="697" t="s">
        <v>310</v>
      </c>
    </row>
    <row r="569" spans="1:20" ht="48" x14ac:dyDescent="0.2">
      <c r="A569" s="432">
        <f>IF(B569="","",COUNT('Diário 1º PA'!$A$4:$A$2635)+COUNT('Diário 2º PA'!$A$4:$A$3040)+COUNT('Diário 3º PA'!$A$4:$A$2731)+ROW()-3)</f>
        <v>6594</v>
      </c>
      <c r="B569" s="414">
        <v>44865</v>
      </c>
      <c r="C569" s="431">
        <v>44835</v>
      </c>
      <c r="D569" s="419" t="s">
        <v>468</v>
      </c>
      <c r="E569" s="419" t="s">
        <v>468</v>
      </c>
      <c r="F569" s="422">
        <v>5000</v>
      </c>
      <c r="G569" s="423" t="s">
        <v>4713</v>
      </c>
      <c r="H569" s="419" t="s">
        <v>468</v>
      </c>
      <c r="I569" s="474" t="s">
        <v>2437</v>
      </c>
      <c r="J569" s="434" t="s">
        <v>796</v>
      </c>
      <c r="K569" s="434" t="s">
        <v>806</v>
      </c>
      <c r="L569" s="434" t="s">
        <v>798</v>
      </c>
      <c r="M569" s="436" t="s">
        <v>310</v>
      </c>
      <c r="N569" s="413">
        <v>44865</v>
      </c>
      <c r="O569" s="414" t="s">
        <v>405</v>
      </c>
      <c r="P569" s="655">
        <f t="shared" si="29"/>
        <v>10</v>
      </c>
      <c r="Q569" s="655">
        <f t="shared" si="30"/>
        <v>10</v>
      </c>
      <c r="R569" s="758" t="str">
        <f t="shared" si="28"/>
        <v>Gastos_custeados_por_captação</v>
      </c>
      <c r="S569" s="697" t="s">
        <v>310</v>
      </c>
      <c r="T569" s="697" t="s">
        <v>310</v>
      </c>
    </row>
    <row r="570" spans="1:20" ht="48" x14ac:dyDescent="0.2">
      <c r="A570" s="432">
        <f>IF(B570="","",COUNT('Diário 1º PA'!$A$4:$A$2635)+COUNT('Diário 2º PA'!$A$4:$A$3040)+COUNT('Diário 3º PA'!$A$4:$A$2731)+ROW()-3)</f>
        <v>6595</v>
      </c>
      <c r="B570" s="414">
        <v>44865</v>
      </c>
      <c r="C570" s="431">
        <v>44835</v>
      </c>
      <c r="D570" s="419" t="s">
        <v>468</v>
      </c>
      <c r="E570" s="419" t="s">
        <v>468</v>
      </c>
      <c r="F570" s="422">
        <v>5000</v>
      </c>
      <c r="G570" s="744" t="s">
        <v>6961</v>
      </c>
      <c r="H570" s="419" t="s">
        <v>468</v>
      </c>
      <c r="I570" s="474" t="s">
        <v>2437</v>
      </c>
      <c r="J570" s="434" t="s">
        <v>796</v>
      </c>
      <c r="K570" s="434" t="s">
        <v>806</v>
      </c>
      <c r="L570" s="434" t="s">
        <v>798</v>
      </c>
      <c r="M570" s="436" t="s">
        <v>310</v>
      </c>
      <c r="N570" s="413">
        <v>44865</v>
      </c>
      <c r="O570" s="414" t="s">
        <v>405</v>
      </c>
      <c r="P570" s="655">
        <f t="shared" si="29"/>
        <v>10</v>
      </c>
      <c r="Q570" s="655">
        <f t="shared" si="30"/>
        <v>10</v>
      </c>
      <c r="R570" s="758" t="str">
        <f t="shared" si="28"/>
        <v>Gastos_custeados_por_captação</v>
      </c>
      <c r="S570" s="697" t="s">
        <v>310</v>
      </c>
      <c r="T570" s="697" t="s">
        <v>310</v>
      </c>
    </row>
    <row r="571" spans="1:20" ht="48" x14ac:dyDescent="0.2">
      <c r="A571" s="432">
        <f>IF(B571="","",COUNT('Diário 1º PA'!$A$4:$A$2635)+COUNT('Diário 2º PA'!$A$4:$A$3040)+COUNT('Diário 3º PA'!$A$4:$A$2731)+ROW()-3)</f>
        <v>6596</v>
      </c>
      <c r="B571" s="414">
        <v>44865</v>
      </c>
      <c r="C571" s="431">
        <v>44835</v>
      </c>
      <c r="D571" s="419" t="s">
        <v>468</v>
      </c>
      <c r="E571" s="419" t="s">
        <v>468</v>
      </c>
      <c r="F571" s="422">
        <v>5000</v>
      </c>
      <c r="G571" s="423" t="s">
        <v>4714</v>
      </c>
      <c r="H571" s="419" t="s">
        <v>468</v>
      </c>
      <c r="I571" s="474" t="s">
        <v>2437</v>
      </c>
      <c r="J571" s="434" t="s">
        <v>796</v>
      </c>
      <c r="K571" s="434" t="s">
        <v>806</v>
      </c>
      <c r="L571" s="434" t="s">
        <v>798</v>
      </c>
      <c r="M571" s="436" t="s">
        <v>310</v>
      </c>
      <c r="N571" s="413">
        <v>44865</v>
      </c>
      <c r="O571" s="414" t="s">
        <v>405</v>
      </c>
      <c r="P571" s="655">
        <f t="shared" si="29"/>
        <v>10</v>
      </c>
      <c r="Q571" s="655">
        <f t="shared" si="30"/>
        <v>10</v>
      </c>
      <c r="R571" s="758" t="str">
        <f t="shared" si="28"/>
        <v>Gastos_custeados_por_captação</v>
      </c>
      <c r="S571" s="697" t="s">
        <v>310</v>
      </c>
      <c r="T571" s="697" t="s">
        <v>310</v>
      </c>
    </row>
    <row r="572" spans="1:20" ht="48" x14ac:dyDescent="0.2">
      <c r="A572" s="432">
        <f>IF(B572="","",COUNT('Diário 1º PA'!$A$4:$A$2635)+COUNT('Diário 2º PA'!$A$4:$A$3040)+COUNT('Diário 3º PA'!$A$4:$A$2731)+ROW()-3)</f>
        <v>6597</v>
      </c>
      <c r="B572" s="414">
        <v>44865</v>
      </c>
      <c r="C572" s="431">
        <v>44835</v>
      </c>
      <c r="D572" s="419" t="s">
        <v>468</v>
      </c>
      <c r="E572" s="419" t="s">
        <v>468</v>
      </c>
      <c r="F572" s="422">
        <v>4782</v>
      </c>
      <c r="G572" s="427" t="s">
        <v>7627</v>
      </c>
      <c r="H572" s="419" t="s">
        <v>468</v>
      </c>
      <c r="I572" s="415" t="s">
        <v>8031</v>
      </c>
      <c r="J572" s="415" t="s">
        <v>7628</v>
      </c>
      <c r="K572" s="419" t="s">
        <v>830</v>
      </c>
      <c r="L572" s="415" t="s">
        <v>32</v>
      </c>
      <c r="M572" s="419" t="s">
        <v>8032</v>
      </c>
      <c r="N572" s="413">
        <v>44858</v>
      </c>
      <c r="O572" s="414" t="s">
        <v>405</v>
      </c>
      <c r="P572" s="655">
        <f t="shared" si="29"/>
        <v>10</v>
      </c>
      <c r="Q572" s="655">
        <f t="shared" si="30"/>
        <v>10</v>
      </c>
      <c r="R572" s="758" t="str">
        <f t="shared" si="28"/>
        <v>Gastos_custeados_por_captação</v>
      </c>
      <c r="S572" s="697" t="s">
        <v>998</v>
      </c>
      <c r="T572" s="697">
        <v>4502</v>
      </c>
    </row>
    <row r="573" spans="1:20" ht="48" x14ac:dyDescent="0.2">
      <c r="A573" s="432">
        <f>IF(B573="","",COUNT('Diário 1º PA'!$A$4:$A$2635)+COUNT('Diário 2º PA'!$A$4:$A$3040)+COUNT('Diário 3º PA'!$A$4:$A$2731)+ROW()-3)</f>
        <v>6598</v>
      </c>
      <c r="B573" s="414">
        <v>44865</v>
      </c>
      <c r="C573" s="431">
        <v>44835</v>
      </c>
      <c r="D573" s="419" t="s">
        <v>468</v>
      </c>
      <c r="E573" s="419" t="s">
        <v>468</v>
      </c>
      <c r="F573" s="422">
        <v>1187.5</v>
      </c>
      <c r="G573" s="427" t="s">
        <v>7785</v>
      </c>
      <c r="H573" s="419" t="s">
        <v>468</v>
      </c>
      <c r="I573" s="415" t="s">
        <v>8092</v>
      </c>
      <c r="J573" s="415" t="s">
        <v>7786</v>
      </c>
      <c r="K573" s="419" t="s">
        <v>830</v>
      </c>
      <c r="L573" s="415" t="s">
        <v>32</v>
      </c>
      <c r="M573" s="419" t="s">
        <v>1503</v>
      </c>
      <c r="N573" s="413">
        <v>44859</v>
      </c>
      <c r="O573" s="414" t="s">
        <v>405</v>
      </c>
      <c r="P573" s="655">
        <f t="shared" si="29"/>
        <v>10</v>
      </c>
      <c r="Q573" s="655">
        <f t="shared" si="30"/>
        <v>10</v>
      </c>
      <c r="R573" s="758" t="str">
        <f t="shared" si="28"/>
        <v>Gastos_custeados_por_captação</v>
      </c>
      <c r="S573" s="697" t="s">
        <v>998</v>
      </c>
      <c r="T573" s="697">
        <v>4569</v>
      </c>
    </row>
    <row r="574" spans="1:20" ht="48" x14ac:dyDescent="0.2">
      <c r="A574" s="432">
        <f>IF(B574="","",COUNT('Diário 1º PA'!$A$4:$A$2635)+COUNT('Diário 2º PA'!$A$4:$A$3040)+COUNT('Diário 3º PA'!$A$4:$A$2731)+ROW()-3)</f>
        <v>6599</v>
      </c>
      <c r="B574" s="414">
        <v>44865</v>
      </c>
      <c r="C574" s="433">
        <v>44805</v>
      </c>
      <c r="D574" s="415" t="s">
        <v>271</v>
      </c>
      <c r="E574" s="415" t="s">
        <v>84</v>
      </c>
      <c r="F574" s="425">
        <v>-24.95</v>
      </c>
      <c r="G574" s="427" t="s">
        <v>8016</v>
      </c>
      <c r="H574" s="415" t="s">
        <v>309</v>
      </c>
      <c r="I574" s="427" t="s">
        <v>795</v>
      </c>
      <c r="J574" s="415" t="s">
        <v>796</v>
      </c>
      <c r="K574" s="415" t="s">
        <v>797</v>
      </c>
      <c r="L574" s="415" t="s">
        <v>798</v>
      </c>
      <c r="M574" s="415" t="s">
        <v>310</v>
      </c>
      <c r="N574" s="414">
        <v>44865</v>
      </c>
      <c r="O574" s="414" t="s">
        <v>400</v>
      </c>
      <c r="P574" s="655">
        <f t="shared" si="29"/>
        <v>10</v>
      </c>
      <c r="Q574" s="655">
        <f t="shared" si="30"/>
        <v>9</v>
      </c>
      <c r="R574" s="758" t="str">
        <f t="shared" si="28"/>
        <v>Gastos_Gerais</v>
      </c>
      <c r="S574" s="697" t="s">
        <v>310</v>
      </c>
      <c r="T574" s="697" t="s">
        <v>310</v>
      </c>
    </row>
    <row r="575" spans="1:20" ht="48" x14ac:dyDescent="0.2">
      <c r="A575" s="432">
        <f>IF(B575="","",COUNT('Diário 1º PA'!$A$4:$A$2635)+COUNT('Diário 2º PA'!$A$4:$A$3040)+COUNT('Diário 3º PA'!$A$4:$A$2731)+ROW()-3)</f>
        <v>6600</v>
      </c>
      <c r="B575" s="413">
        <v>44865</v>
      </c>
      <c r="C575" s="433">
        <v>44835</v>
      </c>
      <c r="D575" s="419" t="s">
        <v>34</v>
      </c>
      <c r="E575" s="419" t="s">
        <v>167</v>
      </c>
      <c r="F575" s="422">
        <v>40</v>
      </c>
      <c r="G575" s="427" t="s">
        <v>6018</v>
      </c>
      <c r="H575" s="419" t="s">
        <v>310</v>
      </c>
      <c r="I575" s="415" t="s">
        <v>795</v>
      </c>
      <c r="J575" s="419" t="s">
        <v>796</v>
      </c>
      <c r="K575" s="419" t="s">
        <v>797</v>
      </c>
      <c r="L575" s="415" t="s">
        <v>798</v>
      </c>
      <c r="M575" s="419" t="s">
        <v>310</v>
      </c>
      <c r="N575" s="413">
        <v>44865</v>
      </c>
      <c r="O575" s="413" t="s">
        <v>400</v>
      </c>
      <c r="P575" s="655">
        <f t="shared" si="29"/>
        <v>10</v>
      </c>
      <c r="Q575" s="655">
        <f t="shared" si="30"/>
        <v>10</v>
      </c>
      <c r="R575" s="758" t="str">
        <f t="shared" si="28"/>
        <v>Receitas</v>
      </c>
      <c r="S575" s="697" t="s">
        <v>310</v>
      </c>
      <c r="T575" s="697" t="s">
        <v>310</v>
      </c>
    </row>
    <row r="576" spans="1:20" ht="24" x14ac:dyDescent="0.2">
      <c r="A576" s="432">
        <f>IF(B576="","",COUNT('Diário 1º PA'!$A$4:$A$2635)+COUNT('Diário 2º PA'!$A$4:$A$3040)+COUNT('Diário 3º PA'!$A$4:$A$2731)+ROW()-3)</f>
        <v>6601</v>
      </c>
      <c r="B576" s="413">
        <v>44865</v>
      </c>
      <c r="C576" s="431">
        <v>44805</v>
      </c>
      <c r="D576" s="434" t="s">
        <v>271</v>
      </c>
      <c r="E576" s="434" t="s">
        <v>84</v>
      </c>
      <c r="F576" s="422">
        <v>94.46</v>
      </c>
      <c r="G576" s="437" t="s">
        <v>5710</v>
      </c>
      <c r="H576" s="434" t="s">
        <v>309</v>
      </c>
      <c r="I576" s="437" t="s">
        <v>766</v>
      </c>
      <c r="J576" s="434" t="s">
        <v>1019</v>
      </c>
      <c r="K576" s="418" t="s">
        <v>1392</v>
      </c>
      <c r="L576" s="415" t="s">
        <v>1372</v>
      </c>
      <c r="M576" s="419" t="s">
        <v>8017</v>
      </c>
      <c r="N576" s="413">
        <v>44862</v>
      </c>
      <c r="O576" s="414" t="s">
        <v>400</v>
      </c>
      <c r="P576" s="655">
        <f t="shared" si="29"/>
        <v>10</v>
      </c>
      <c r="Q576" s="655">
        <f t="shared" si="30"/>
        <v>9</v>
      </c>
      <c r="R576" s="758" t="str">
        <f t="shared" si="28"/>
        <v>Gastos_Gerais</v>
      </c>
      <c r="S576" s="697" t="s">
        <v>310</v>
      </c>
      <c r="T576" s="697" t="s">
        <v>310</v>
      </c>
    </row>
    <row r="577" spans="1:20" ht="36" x14ac:dyDescent="0.2">
      <c r="A577" s="432">
        <f>IF(B577="","",COUNT('Diário 1º PA'!$A$4:$A$2635)+COUNT('Diário 2º PA'!$A$4:$A$3040)+COUNT('Diário 3º PA'!$A$4:$A$2731)+ROW()-3)</f>
        <v>6602</v>
      </c>
      <c r="B577" s="413">
        <v>44865</v>
      </c>
      <c r="C577" s="431">
        <v>44835</v>
      </c>
      <c r="D577" s="434" t="s">
        <v>271</v>
      </c>
      <c r="E577" s="415" t="s">
        <v>444</v>
      </c>
      <c r="F577" s="425">
        <v>350</v>
      </c>
      <c r="G577" s="427" t="s">
        <v>8023</v>
      </c>
      <c r="H577" s="415" t="s">
        <v>757</v>
      </c>
      <c r="I577" s="415" t="s">
        <v>8018</v>
      </c>
      <c r="J577" s="419" t="s">
        <v>8019</v>
      </c>
      <c r="K577" s="419" t="s">
        <v>830</v>
      </c>
      <c r="L577" s="415" t="s">
        <v>32</v>
      </c>
      <c r="M577" s="419">
        <v>2340</v>
      </c>
      <c r="N577" s="413">
        <v>44865</v>
      </c>
      <c r="O577" s="414" t="s">
        <v>400</v>
      </c>
      <c r="P577" s="655">
        <f t="shared" si="29"/>
        <v>10</v>
      </c>
      <c r="Q577" s="655">
        <f t="shared" si="30"/>
        <v>10</v>
      </c>
      <c r="R577" s="758" t="str">
        <f t="shared" si="28"/>
        <v>Gastos_Gerais</v>
      </c>
      <c r="S577" s="697" t="s">
        <v>999</v>
      </c>
      <c r="T577" s="697">
        <v>4683</v>
      </c>
    </row>
    <row r="578" spans="1:20" ht="36" x14ac:dyDescent="0.2">
      <c r="A578" s="432">
        <f>IF(B578="","",COUNT('Diário 1º PA'!$A$4:$A$2635)+COUNT('Diário 2º PA'!$A$4:$A$3040)+COUNT('Diário 3º PA'!$A$4:$A$2731)+ROW()-3)</f>
        <v>6603</v>
      </c>
      <c r="B578" s="414">
        <v>44865</v>
      </c>
      <c r="C578" s="424">
        <v>44835</v>
      </c>
      <c r="D578" s="419" t="s">
        <v>271</v>
      </c>
      <c r="E578" s="419" t="s">
        <v>71</v>
      </c>
      <c r="F578" s="422">
        <v>11</v>
      </c>
      <c r="G578" s="423" t="s">
        <v>8020</v>
      </c>
      <c r="H578" s="415" t="s">
        <v>757</v>
      </c>
      <c r="I578" s="415" t="s">
        <v>881</v>
      </c>
      <c r="J578" s="419" t="s">
        <v>882</v>
      </c>
      <c r="K578" s="419" t="s">
        <v>883</v>
      </c>
      <c r="L578" s="415" t="s">
        <v>798</v>
      </c>
      <c r="M578" s="419" t="s">
        <v>310</v>
      </c>
      <c r="N578" s="413">
        <v>44865</v>
      </c>
      <c r="O578" s="414" t="s">
        <v>400</v>
      </c>
      <c r="P578" s="655">
        <f t="shared" si="29"/>
        <v>10</v>
      </c>
      <c r="Q578" s="655">
        <f t="shared" si="30"/>
        <v>10</v>
      </c>
      <c r="R578" s="758" t="str">
        <f t="shared" si="28"/>
        <v>Gastos_Gerais</v>
      </c>
      <c r="S578" s="697" t="s">
        <v>310</v>
      </c>
      <c r="T578" s="697" t="s">
        <v>310</v>
      </c>
    </row>
    <row r="579" spans="1:20" ht="48" x14ac:dyDescent="0.2">
      <c r="A579" s="432">
        <f>IF(B579="","",COUNT('Diário 1º PA'!$A$4:$A$2635)+COUNT('Diário 2º PA'!$A$4:$A$3040)+COUNT('Diário 3º PA'!$A$4:$A$2731)+ROW()-3)</f>
        <v>6604</v>
      </c>
      <c r="B579" s="414">
        <v>44865</v>
      </c>
      <c r="C579" s="431">
        <v>44835</v>
      </c>
      <c r="D579" s="419" t="s">
        <v>468</v>
      </c>
      <c r="E579" s="419" t="s">
        <v>468</v>
      </c>
      <c r="F579" s="422">
        <v>12000</v>
      </c>
      <c r="G579" s="427" t="s">
        <v>5585</v>
      </c>
      <c r="H579" s="415" t="s">
        <v>468</v>
      </c>
      <c r="I579" s="437" t="s">
        <v>2437</v>
      </c>
      <c r="J579" s="434" t="s">
        <v>796</v>
      </c>
      <c r="K579" s="419" t="s">
        <v>806</v>
      </c>
      <c r="L579" s="434" t="s">
        <v>798</v>
      </c>
      <c r="M579" s="436" t="s">
        <v>310</v>
      </c>
      <c r="N579" s="413">
        <v>44865</v>
      </c>
      <c r="O579" s="414" t="s">
        <v>404</v>
      </c>
      <c r="P579" s="655">
        <f t="shared" si="29"/>
        <v>10</v>
      </c>
      <c r="Q579" s="655">
        <f t="shared" si="30"/>
        <v>10</v>
      </c>
      <c r="R579" s="758" t="str">
        <f t="shared" si="28"/>
        <v>Gastos_custeados_por_captação</v>
      </c>
      <c r="S579" s="697" t="s">
        <v>310</v>
      </c>
      <c r="T579" s="697" t="s">
        <v>310</v>
      </c>
    </row>
    <row r="580" spans="1:20" ht="48" x14ac:dyDescent="0.2">
      <c r="A580" s="432">
        <f>IF(B580="","",COUNT('Diário 1º PA'!$A$4:$A$2635)+COUNT('Diário 2º PA'!$A$4:$A$3040)+COUNT('Diário 3º PA'!$A$4:$A$2731)+ROW()-3)</f>
        <v>6605</v>
      </c>
      <c r="B580" s="414">
        <v>44865</v>
      </c>
      <c r="C580" s="424">
        <v>44835</v>
      </c>
      <c r="D580" s="419" t="s">
        <v>468</v>
      </c>
      <c r="E580" s="419" t="s">
        <v>468</v>
      </c>
      <c r="F580" s="422">
        <v>6000</v>
      </c>
      <c r="G580" s="423" t="s">
        <v>6959</v>
      </c>
      <c r="H580" s="415" t="s">
        <v>468</v>
      </c>
      <c r="I580" s="437" t="s">
        <v>2437</v>
      </c>
      <c r="J580" s="434" t="s">
        <v>796</v>
      </c>
      <c r="K580" s="419" t="s">
        <v>806</v>
      </c>
      <c r="L580" s="434" t="s">
        <v>798</v>
      </c>
      <c r="M580" s="436" t="s">
        <v>310</v>
      </c>
      <c r="N580" s="413">
        <v>44865</v>
      </c>
      <c r="O580" s="414" t="s">
        <v>404</v>
      </c>
      <c r="P580" s="655">
        <f t="shared" si="29"/>
        <v>10</v>
      </c>
      <c r="Q580" s="655">
        <f t="shared" si="30"/>
        <v>10</v>
      </c>
      <c r="R580" s="758" t="str">
        <f t="shared" si="28"/>
        <v>Gastos_custeados_por_captação</v>
      </c>
      <c r="S580" s="697" t="s">
        <v>310</v>
      </c>
      <c r="T580" s="697" t="s">
        <v>310</v>
      </c>
    </row>
    <row r="581" spans="1:20" ht="48" x14ac:dyDescent="0.2">
      <c r="A581" s="432">
        <f>IF(B581="","",COUNT('Diário 1º PA'!$A$4:$A$2635)+COUNT('Diário 2º PA'!$A$4:$A$3040)+COUNT('Diário 3º PA'!$A$4:$A$2731)+ROW()-3)</f>
        <v>6606</v>
      </c>
      <c r="B581" s="414">
        <v>44865</v>
      </c>
      <c r="C581" s="424">
        <v>44835</v>
      </c>
      <c r="D581" s="419" t="s">
        <v>468</v>
      </c>
      <c r="E581" s="419" t="s">
        <v>468</v>
      </c>
      <c r="F581" s="422">
        <v>8000</v>
      </c>
      <c r="G581" s="423" t="s">
        <v>5023</v>
      </c>
      <c r="H581" s="415" t="s">
        <v>468</v>
      </c>
      <c r="I581" s="437" t="s">
        <v>2437</v>
      </c>
      <c r="J581" s="434" t="s">
        <v>796</v>
      </c>
      <c r="K581" s="419" t="s">
        <v>806</v>
      </c>
      <c r="L581" s="434" t="s">
        <v>798</v>
      </c>
      <c r="M581" s="436" t="s">
        <v>310</v>
      </c>
      <c r="N581" s="413">
        <v>44865</v>
      </c>
      <c r="O581" s="414" t="s">
        <v>404</v>
      </c>
      <c r="P581" s="655">
        <f t="shared" si="29"/>
        <v>10</v>
      </c>
      <c r="Q581" s="655">
        <f t="shared" si="30"/>
        <v>10</v>
      </c>
      <c r="R581" s="758" t="str">
        <f t="shared" ref="R581:R644" si="31">SUBSTITUTE(D581," ","_")</f>
        <v>Gastos_custeados_por_captação</v>
      </c>
      <c r="S581" s="697" t="s">
        <v>310</v>
      </c>
      <c r="T581" s="697" t="s">
        <v>310</v>
      </c>
    </row>
    <row r="582" spans="1:20" ht="84" x14ac:dyDescent="0.2">
      <c r="A582" s="432">
        <f>IF(B582="","",COUNT('Diário 1º PA'!$A$4:$A$2635)+COUNT('Diário 2º PA'!$A$4:$A$3040)+COUNT('Diário 3º PA'!$A$4:$A$2731)+ROW()-3)</f>
        <v>6607</v>
      </c>
      <c r="B582" s="414">
        <v>44865</v>
      </c>
      <c r="C582" s="431">
        <v>44835</v>
      </c>
      <c r="D582" s="419" t="s">
        <v>468</v>
      </c>
      <c r="E582" s="419" t="s">
        <v>468</v>
      </c>
      <c r="F582" s="422">
        <v>1110.71</v>
      </c>
      <c r="G582" s="427" t="s">
        <v>7582</v>
      </c>
      <c r="H582" s="415" t="s">
        <v>468</v>
      </c>
      <c r="I582" s="415" t="s">
        <v>815</v>
      </c>
      <c r="J582" s="415" t="s">
        <v>816</v>
      </c>
      <c r="K582" s="419" t="s">
        <v>812</v>
      </c>
      <c r="L582" s="415" t="s">
        <v>32</v>
      </c>
      <c r="M582" s="734">
        <v>330731</v>
      </c>
      <c r="N582" s="413">
        <v>44837</v>
      </c>
      <c r="O582" s="414" t="s">
        <v>404</v>
      </c>
      <c r="P582" s="655">
        <f t="shared" si="29"/>
        <v>10</v>
      </c>
      <c r="Q582" s="655">
        <f t="shared" si="30"/>
        <v>10</v>
      </c>
      <c r="R582" s="758" t="str">
        <f t="shared" si="31"/>
        <v>Gastos_custeados_por_captação</v>
      </c>
      <c r="S582" s="697" t="s">
        <v>999</v>
      </c>
      <c r="T582" s="697">
        <v>4428</v>
      </c>
    </row>
    <row r="583" spans="1:20" ht="36" x14ac:dyDescent="0.2">
      <c r="A583" s="432">
        <f>IF(B583="","",COUNT('Diário 1º PA'!$A$4:$A$2635)+COUNT('Diário 2º PA'!$A$4:$A$3040)+COUNT('Diário 3º PA'!$A$4:$A$2731)+ROW()-3)</f>
        <v>6608</v>
      </c>
      <c r="B583" s="414">
        <v>44865</v>
      </c>
      <c r="C583" s="431">
        <v>44835</v>
      </c>
      <c r="D583" s="419" t="s">
        <v>468</v>
      </c>
      <c r="E583" s="419" t="s">
        <v>468</v>
      </c>
      <c r="F583" s="422">
        <v>-5000</v>
      </c>
      <c r="G583" s="423" t="s">
        <v>4713</v>
      </c>
      <c r="H583" s="415" t="s">
        <v>468</v>
      </c>
      <c r="I583" s="427" t="s">
        <v>2437</v>
      </c>
      <c r="J583" s="415" t="s">
        <v>796</v>
      </c>
      <c r="K583" s="415" t="s">
        <v>797</v>
      </c>
      <c r="L583" s="415" t="s">
        <v>798</v>
      </c>
      <c r="M583" s="415" t="s">
        <v>310</v>
      </c>
      <c r="N583" s="413">
        <v>44865</v>
      </c>
      <c r="O583" s="414" t="s">
        <v>408</v>
      </c>
      <c r="P583" s="655">
        <f t="shared" si="29"/>
        <v>10</v>
      </c>
      <c r="Q583" s="655">
        <f t="shared" si="30"/>
        <v>10</v>
      </c>
      <c r="R583" s="758" t="str">
        <f t="shared" si="31"/>
        <v>Gastos_custeados_por_captação</v>
      </c>
      <c r="S583" s="697" t="s">
        <v>310</v>
      </c>
      <c r="T583" s="697" t="s">
        <v>310</v>
      </c>
    </row>
    <row r="584" spans="1:20" ht="36" x14ac:dyDescent="0.2">
      <c r="A584" s="432">
        <f>IF(B584="","",COUNT('Diário 1º PA'!$A$4:$A$2635)+COUNT('Diário 2º PA'!$A$4:$A$3040)+COUNT('Diário 3º PA'!$A$4:$A$2731)+ROW()-3)</f>
        <v>6609</v>
      </c>
      <c r="B584" s="414">
        <v>44865</v>
      </c>
      <c r="C584" s="431">
        <v>44835</v>
      </c>
      <c r="D584" s="419" t="s">
        <v>468</v>
      </c>
      <c r="E584" s="419" t="s">
        <v>468</v>
      </c>
      <c r="F584" s="422">
        <v>-5000</v>
      </c>
      <c r="G584" s="744" t="s">
        <v>6961</v>
      </c>
      <c r="H584" s="415" t="s">
        <v>468</v>
      </c>
      <c r="I584" s="427" t="s">
        <v>2437</v>
      </c>
      <c r="J584" s="415" t="s">
        <v>796</v>
      </c>
      <c r="K584" s="415" t="s">
        <v>797</v>
      </c>
      <c r="L584" s="415" t="s">
        <v>798</v>
      </c>
      <c r="M584" s="415" t="s">
        <v>310</v>
      </c>
      <c r="N584" s="413">
        <v>44865</v>
      </c>
      <c r="O584" s="414" t="s">
        <v>408</v>
      </c>
      <c r="P584" s="655">
        <f t="shared" si="29"/>
        <v>10</v>
      </c>
      <c r="Q584" s="655">
        <f t="shared" si="30"/>
        <v>10</v>
      </c>
      <c r="R584" s="758" t="str">
        <f t="shared" si="31"/>
        <v>Gastos_custeados_por_captação</v>
      </c>
      <c r="S584" s="697" t="s">
        <v>310</v>
      </c>
      <c r="T584" s="697" t="s">
        <v>310</v>
      </c>
    </row>
    <row r="585" spans="1:20" ht="36" x14ac:dyDescent="0.2">
      <c r="A585" s="432">
        <f>IF(B585="","",COUNT('Diário 1º PA'!$A$4:$A$2635)+COUNT('Diário 2º PA'!$A$4:$A$3040)+COUNT('Diário 3º PA'!$A$4:$A$2731)+ROW()-3)</f>
        <v>6610</v>
      </c>
      <c r="B585" s="414">
        <v>44865</v>
      </c>
      <c r="C585" s="431">
        <v>44835</v>
      </c>
      <c r="D585" s="419" t="s">
        <v>468</v>
      </c>
      <c r="E585" s="419" t="s">
        <v>468</v>
      </c>
      <c r="F585" s="422">
        <v>-5000</v>
      </c>
      <c r="G585" s="423" t="s">
        <v>4714</v>
      </c>
      <c r="H585" s="415" t="s">
        <v>468</v>
      </c>
      <c r="I585" s="427" t="s">
        <v>2437</v>
      </c>
      <c r="J585" s="415" t="s">
        <v>796</v>
      </c>
      <c r="K585" s="415" t="s">
        <v>797</v>
      </c>
      <c r="L585" s="415" t="s">
        <v>798</v>
      </c>
      <c r="M585" s="415" t="s">
        <v>310</v>
      </c>
      <c r="N585" s="413">
        <v>44865</v>
      </c>
      <c r="O585" s="414" t="s">
        <v>408</v>
      </c>
      <c r="P585" s="655">
        <f t="shared" si="29"/>
        <v>10</v>
      </c>
      <c r="Q585" s="655">
        <f t="shared" si="30"/>
        <v>10</v>
      </c>
      <c r="R585" s="758" t="str">
        <f t="shared" si="31"/>
        <v>Gastos_custeados_por_captação</v>
      </c>
      <c r="S585" s="697" t="s">
        <v>310</v>
      </c>
      <c r="T585" s="697" t="s">
        <v>310</v>
      </c>
    </row>
    <row r="586" spans="1:20" ht="36" x14ac:dyDescent="0.2">
      <c r="A586" s="432">
        <f>IF(B586="","",COUNT('Diário 1º PA'!$A$4:$A$2635)+COUNT('Diário 2º PA'!$A$4:$A$3040)+COUNT('Diário 3º PA'!$A$4:$A$2731)+ROW()-3)</f>
        <v>6611</v>
      </c>
      <c r="B586" s="414">
        <v>44865</v>
      </c>
      <c r="C586" s="431">
        <v>44835</v>
      </c>
      <c r="D586" s="419" t="s">
        <v>468</v>
      </c>
      <c r="E586" s="419" t="s">
        <v>468</v>
      </c>
      <c r="F586" s="422">
        <v>-12000</v>
      </c>
      <c r="G586" s="427" t="s">
        <v>5585</v>
      </c>
      <c r="H586" s="415" t="s">
        <v>468</v>
      </c>
      <c r="I586" s="427" t="s">
        <v>2437</v>
      </c>
      <c r="J586" s="415" t="s">
        <v>796</v>
      </c>
      <c r="K586" s="415" t="s">
        <v>797</v>
      </c>
      <c r="L586" s="415" t="s">
        <v>798</v>
      </c>
      <c r="M586" s="415" t="s">
        <v>310</v>
      </c>
      <c r="N586" s="413">
        <v>44865</v>
      </c>
      <c r="O586" s="414" t="s">
        <v>408</v>
      </c>
      <c r="P586" s="655">
        <f t="shared" si="29"/>
        <v>10</v>
      </c>
      <c r="Q586" s="655">
        <f t="shared" si="30"/>
        <v>10</v>
      </c>
      <c r="R586" s="758" t="str">
        <f t="shared" si="31"/>
        <v>Gastos_custeados_por_captação</v>
      </c>
      <c r="S586" s="697" t="s">
        <v>310</v>
      </c>
      <c r="T586" s="697" t="s">
        <v>310</v>
      </c>
    </row>
    <row r="587" spans="1:20" ht="36" x14ac:dyDescent="0.2">
      <c r="A587" s="432">
        <f>IF(B587="","",COUNT('Diário 1º PA'!$A$4:$A$2635)+COUNT('Diário 2º PA'!$A$4:$A$3040)+COUNT('Diário 3º PA'!$A$4:$A$2731)+ROW()-3)</f>
        <v>6612</v>
      </c>
      <c r="B587" s="414">
        <v>44865</v>
      </c>
      <c r="C587" s="431">
        <v>44835</v>
      </c>
      <c r="D587" s="419" t="s">
        <v>468</v>
      </c>
      <c r="E587" s="419" t="s">
        <v>468</v>
      </c>
      <c r="F587" s="422">
        <v>-6000</v>
      </c>
      <c r="G587" s="423" t="s">
        <v>6959</v>
      </c>
      <c r="H587" s="415" t="s">
        <v>468</v>
      </c>
      <c r="I587" s="427" t="s">
        <v>2437</v>
      </c>
      <c r="J587" s="415" t="s">
        <v>796</v>
      </c>
      <c r="K587" s="415" t="s">
        <v>797</v>
      </c>
      <c r="L587" s="415" t="s">
        <v>798</v>
      </c>
      <c r="M587" s="415" t="s">
        <v>310</v>
      </c>
      <c r="N587" s="413">
        <v>44865</v>
      </c>
      <c r="O587" s="414" t="s">
        <v>408</v>
      </c>
      <c r="P587" s="655">
        <f t="shared" si="29"/>
        <v>10</v>
      </c>
      <c r="Q587" s="655">
        <f t="shared" si="30"/>
        <v>10</v>
      </c>
      <c r="R587" s="758" t="str">
        <f t="shared" si="31"/>
        <v>Gastos_custeados_por_captação</v>
      </c>
      <c r="S587" s="697" t="s">
        <v>310</v>
      </c>
      <c r="T587" s="697" t="s">
        <v>310</v>
      </c>
    </row>
    <row r="588" spans="1:20" ht="36" x14ac:dyDescent="0.2">
      <c r="A588" s="432">
        <f>IF(B588="","",COUNT('Diário 1º PA'!$A$4:$A$2635)+COUNT('Diário 2º PA'!$A$4:$A$3040)+COUNT('Diário 3º PA'!$A$4:$A$2731)+ROW()-3)</f>
        <v>6613</v>
      </c>
      <c r="B588" s="414">
        <v>44865</v>
      </c>
      <c r="C588" s="431">
        <v>44835</v>
      </c>
      <c r="D588" s="419" t="s">
        <v>468</v>
      </c>
      <c r="E588" s="419" t="s">
        <v>468</v>
      </c>
      <c r="F588" s="422">
        <v>-8000</v>
      </c>
      <c r="G588" s="423" t="s">
        <v>5023</v>
      </c>
      <c r="H588" s="415" t="s">
        <v>468</v>
      </c>
      <c r="I588" s="427" t="s">
        <v>2437</v>
      </c>
      <c r="J588" s="415" t="s">
        <v>796</v>
      </c>
      <c r="K588" s="415" t="s">
        <v>797</v>
      </c>
      <c r="L588" s="415" t="s">
        <v>798</v>
      </c>
      <c r="M588" s="415" t="s">
        <v>310</v>
      </c>
      <c r="N588" s="413">
        <v>44865</v>
      </c>
      <c r="O588" s="414" t="s">
        <v>408</v>
      </c>
      <c r="P588" s="655">
        <f t="shared" si="29"/>
        <v>10</v>
      </c>
      <c r="Q588" s="655">
        <f t="shared" si="30"/>
        <v>10</v>
      </c>
      <c r="R588" s="758" t="str">
        <f t="shared" si="31"/>
        <v>Gastos_custeados_por_captação</v>
      </c>
      <c r="S588" s="697" t="s">
        <v>310</v>
      </c>
      <c r="T588" s="697" t="s">
        <v>310</v>
      </c>
    </row>
    <row r="589" spans="1:20" ht="36" x14ac:dyDescent="0.2">
      <c r="A589" s="432">
        <f>IF(B589="","",COUNT('Diário 1º PA'!$A$4:$A$2635)+COUNT('Diário 2º PA'!$A$4:$A$3040)+COUNT('Diário 3º PA'!$A$4:$A$2731)+ROW()-3)</f>
        <v>6614</v>
      </c>
      <c r="B589" s="414">
        <v>44865</v>
      </c>
      <c r="C589" s="431">
        <v>44835</v>
      </c>
      <c r="D589" s="419" t="s">
        <v>468</v>
      </c>
      <c r="E589" s="419" t="s">
        <v>468</v>
      </c>
      <c r="F589" s="422">
        <v>-6950</v>
      </c>
      <c r="G589" s="744" t="s">
        <v>5215</v>
      </c>
      <c r="H589" s="415" t="s">
        <v>468</v>
      </c>
      <c r="I589" s="427" t="s">
        <v>2437</v>
      </c>
      <c r="J589" s="415" t="s">
        <v>796</v>
      </c>
      <c r="K589" s="415" t="s">
        <v>797</v>
      </c>
      <c r="L589" s="415" t="s">
        <v>798</v>
      </c>
      <c r="M589" s="415" t="s">
        <v>310</v>
      </c>
      <c r="N589" s="413">
        <v>44865</v>
      </c>
      <c r="O589" s="414" t="s">
        <v>408</v>
      </c>
      <c r="P589" s="655">
        <f t="shared" si="29"/>
        <v>10</v>
      </c>
      <c r="Q589" s="655">
        <f t="shared" si="30"/>
        <v>10</v>
      </c>
      <c r="R589" s="758" t="str">
        <f t="shared" si="31"/>
        <v>Gastos_custeados_por_captação</v>
      </c>
      <c r="S589" s="697" t="s">
        <v>310</v>
      </c>
      <c r="T589" s="697" t="s">
        <v>310</v>
      </c>
    </row>
    <row r="590" spans="1:20" ht="36" x14ac:dyDescent="0.2">
      <c r="A590" s="432">
        <f>IF(B590="","",COUNT('Diário 1º PA'!$A$4:$A$2635)+COUNT('Diário 2º PA'!$A$4:$A$3040)+COUNT('Diário 3º PA'!$A$4:$A$2731)+ROW()-3)</f>
        <v>6615</v>
      </c>
      <c r="B590" s="414">
        <v>44865</v>
      </c>
      <c r="C590" s="431">
        <v>44835</v>
      </c>
      <c r="D590" s="419" t="s">
        <v>468</v>
      </c>
      <c r="E590" s="419" t="s">
        <v>468</v>
      </c>
      <c r="F590" s="422">
        <v>-5900</v>
      </c>
      <c r="G590" s="423" t="s">
        <v>5584</v>
      </c>
      <c r="H590" s="415" t="s">
        <v>468</v>
      </c>
      <c r="I590" s="427" t="s">
        <v>2437</v>
      </c>
      <c r="J590" s="415" t="s">
        <v>796</v>
      </c>
      <c r="K590" s="415" t="s">
        <v>797</v>
      </c>
      <c r="L590" s="415" t="s">
        <v>798</v>
      </c>
      <c r="M590" s="415" t="s">
        <v>310</v>
      </c>
      <c r="N590" s="413">
        <v>44865</v>
      </c>
      <c r="O590" s="414" t="s">
        <v>408</v>
      </c>
      <c r="P590" s="655">
        <f t="shared" si="29"/>
        <v>10</v>
      </c>
      <c r="Q590" s="655">
        <f t="shared" si="30"/>
        <v>10</v>
      </c>
      <c r="R590" s="758" t="str">
        <f t="shared" si="31"/>
        <v>Gastos_custeados_por_captação</v>
      </c>
      <c r="S590" s="697" t="s">
        <v>310</v>
      </c>
      <c r="T590" s="697" t="s">
        <v>310</v>
      </c>
    </row>
    <row r="591" spans="1:20" ht="36" x14ac:dyDescent="0.2">
      <c r="A591" s="432">
        <f>IF(B591="","",COUNT('Diário 1º PA'!$A$4:$A$2635)+COUNT('Diário 2º PA'!$A$4:$A$3040)+COUNT('Diário 3º PA'!$A$4:$A$2731)+ROW()-3)</f>
        <v>6616</v>
      </c>
      <c r="B591" s="414">
        <v>44865</v>
      </c>
      <c r="C591" s="431">
        <v>44835</v>
      </c>
      <c r="D591" s="419" t="s">
        <v>468</v>
      </c>
      <c r="E591" s="419" t="s">
        <v>468</v>
      </c>
      <c r="F591" s="422">
        <v>-5900</v>
      </c>
      <c r="G591" s="423" t="s">
        <v>5216</v>
      </c>
      <c r="H591" s="415" t="s">
        <v>468</v>
      </c>
      <c r="I591" s="427" t="s">
        <v>2437</v>
      </c>
      <c r="J591" s="415" t="s">
        <v>796</v>
      </c>
      <c r="K591" s="415" t="s">
        <v>797</v>
      </c>
      <c r="L591" s="415" t="s">
        <v>798</v>
      </c>
      <c r="M591" s="415" t="s">
        <v>310</v>
      </c>
      <c r="N591" s="413">
        <v>44865</v>
      </c>
      <c r="O591" s="414" t="s">
        <v>408</v>
      </c>
      <c r="P591" s="655">
        <f t="shared" si="29"/>
        <v>10</v>
      </c>
      <c r="Q591" s="655">
        <f t="shared" si="30"/>
        <v>10</v>
      </c>
      <c r="R591" s="758" t="str">
        <f t="shared" si="31"/>
        <v>Gastos_custeados_por_captação</v>
      </c>
      <c r="S591" s="697" t="s">
        <v>310</v>
      </c>
      <c r="T591" s="697" t="s">
        <v>310</v>
      </c>
    </row>
    <row r="592" spans="1:20" ht="36" x14ac:dyDescent="0.2">
      <c r="A592" s="432">
        <f>IF(B592="","",COUNT('Diário 1º PA'!$A$4:$A$2635)+COUNT('Diário 2º PA'!$A$4:$A$3040)+COUNT('Diário 3º PA'!$A$4:$A$2731)+ROW()-3)</f>
        <v>6617</v>
      </c>
      <c r="B592" s="414">
        <v>44865</v>
      </c>
      <c r="C592" s="431">
        <v>44835</v>
      </c>
      <c r="D592" s="419" t="s">
        <v>468</v>
      </c>
      <c r="E592" s="419" t="s">
        <v>468</v>
      </c>
      <c r="F592" s="422">
        <v>6950</v>
      </c>
      <c r="G592" s="744" t="s">
        <v>5215</v>
      </c>
      <c r="H592" s="415" t="s">
        <v>468</v>
      </c>
      <c r="I592" s="474" t="s">
        <v>2437</v>
      </c>
      <c r="J592" s="434" t="s">
        <v>796</v>
      </c>
      <c r="K592" s="434" t="s">
        <v>806</v>
      </c>
      <c r="L592" s="434" t="s">
        <v>798</v>
      </c>
      <c r="M592" s="436" t="s">
        <v>310</v>
      </c>
      <c r="N592" s="413">
        <v>44865</v>
      </c>
      <c r="O592" s="414" t="s">
        <v>3762</v>
      </c>
      <c r="P592" s="655">
        <f t="shared" si="29"/>
        <v>10</v>
      </c>
      <c r="Q592" s="655">
        <f t="shared" si="30"/>
        <v>10</v>
      </c>
      <c r="R592" s="758" t="str">
        <f t="shared" si="31"/>
        <v>Gastos_custeados_por_captação</v>
      </c>
      <c r="S592" s="697" t="s">
        <v>310</v>
      </c>
      <c r="T592" s="697" t="s">
        <v>310</v>
      </c>
    </row>
    <row r="593" spans="1:20" ht="36" x14ac:dyDescent="0.2">
      <c r="A593" s="432">
        <f>IF(B593="","",COUNT('Diário 1º PA'!$A$4:$A$2635)+COUNT('Diário 2º PA'!$A$4:$A$3040)+COUNT('Diário 3º PA'!$A$4:$A$2731)+ROW()-3)</f>
        <v>6618</v>
      </c>
      <c r="B593" s="414">
        <v>44865</v>
      </c>
      <c r="C593" s="431">
        <v>44835</v>
      </c>
      <c r="D593" s="419" t="s">
        <v>468</v>
      </c>
      <c r="E593" s="419" t="s">
        <v>468</v>
      </c>
      <c r="F593" s="422">
        <v>5900</v>
      </c>
      <c r="G593" s="423" t="s">
        <v>5584</v>
      </c>
      <c r="H593" s="415" t="s">
        <v>468</v>
      </c>
      <c r="I593" s="474" t="s">
        <v>2437</v>
      </c>
      <c r="J593" s="434" t="s">
        <v>796</v>
      </c>
      <c r="K593" s="434" t="s">
        <v>806</v>
      </c>
      <c r="L593" s="434" t="s">
        <v>798</v>
      </c>
      <c r="M593" s="436" t="s">
        <v>310</v>
      </c>
      <c r="N593" s="413">
        <v>44865</v>
      </c>
      <c r="O593" s="414" t="s">
        <v>3762</v>
      </c>
      <c r="P593" s="655">
        <f t="shared" si="29"/>
        <v>10</v>
      </c>
      <c r="Q593" s="655">
        <f t="shared" si="30"/>
        <v>10</v>
      </c>
      <c r="R593" s="758" t="str">
        <f t="shared" si="31"/>
        <v>Gastos_custeados_por_captação</v>
      </c>
      <c r="S593" s="697" t="s">
        <v>310</v>
      </c>
      <c r="T593" s="697" t="s">
        <v>310</v>
      </c>
    </row>
    <row r="594" spans="1:20" ht="36" x14ac:dyDescent="0.2">
      <c r="A594" s="432">
        <f>IF(B594="","",COUNT('Diário 1º PA'!$A$4:$A$2635)+COUNT('Diário 2º PA'!$A$4:$A$3040)+COUNT('Diário 3º PA'!$A$4:$A$2731)+ROW()-3)</f>
        <v>6619</v>
      </c>
      <c r="B594" s="414">
        <v>44865</v>
      </c>
      <c r="C594" s="431">
        <v>44835</v>
      </c>
      <c r="D594" s="419" t="s">
        <v>468</v>
      </c>
      <c r="E594" s="419" t="s">
        <v>468</v>
      </c>
      <c r="F594" s="422">
        <v>5900</v>
      </c>
      <c r="G594" s="423" t="s">
        <v>5216</v>
      </c>
      <c r="H594" s="415" t="s">
        <v>468</v>
      </c>
      <c r="I594" s="474" t="s">
        <v>2437</v>
      </c>
      <c r="J594" s="434" t="s">
        <v>796</v>
      </c>
      <c r="K594" s="434" t="s">
        <v>806</v>
      </c>
      <c r="L594" s="434" t="s">
        <v>798</v>
      </c>
      <c r="M594" s="436" t="s">
        <v>310</v>
      </c>
      <c r="N594" s="413">
        <v>44865</v>
      </c>
      <c r="O594" s="414" t="s">
        <v>3762</v>
      </c>
      <c r="P594" s="655">
        <f t="shared" si="29"/>
        <v>10</v>
      </c>
      <c r="Q594" s="655">
        <f t="shared" si="30"/>
        <v>10</v>
      </c>
      <c r="R594" s="758" t="str">
        <f t="shared" si="31"/>
        <v>Gastos_custeados_por_captação</v>
      </c>
      <c r="S594" s="697" t="s">
        <v>310</v>
      </c>
      <c r="T594" s="697" t="s">
        <v>310</v>
      </c>
    </row>
    <row r="595" spans="1:20" ht="36" x14ac:dyDescent="0.2">
      <c r="A595" s="432">
        <f>IF(B595="","",COUNT('Diário 1º PA'!$A$4:$A$2635)+COUNT('Diário 2º PA'!$A$4:$A$3040)+COUNT('Diário 3º PA'!$A$4:$A$2731)+ROW()-3)</f>
        <v>6620</v>
      </c>
      <c r="B595" s="414">
        <v>44865</v>
      </c>
      <c r="C595" s="431">
        <v>44835</v>
      </c>
      <c r="D595" s="415" t="s">
        <v>295</v>
      </c>
      <c r="E595" s="415" t="s">
        <v>295</v>
      </c>
      <c r="F595" s="422">
        <v>42.67</v>
      </c>
      <c r="G595" s="427" t="s">
        <v>8040</v>
      </c>
      <c r="H595" s="415" t="s">
        <v>310</v>
      </c>
      <c r="I595" s="473" t="s">
        <v>3030</v>
      </c>
      <c r="J595" s="415" t="s">
        <v>796</v>
      </c>
      <c r="K595" s="415" t="s">
        <v>797</v>
      </c>
      <c r="L595" s="415" t="s">
        <v>798</v>
      </c>
      <c r="M595" s="415" t="s">
        <v>310</v>
      </c>
      <c r="N595" s="455">
        <v>44865</v>
      </c>
      <c r="O595" s="414" t="s">
        <v>408</v>
      </c>
      <c r="P595" s="655">
        <f t="shared" si="29"/>
        <v>10</v>
      </c>
      <c r="Q595" s="655">
        <f t="shared" si="30"/>
        <v>10</v>
      </c>
      <c r="R595" s="758" t="str">
        <f t="shared" si="31"/>
        <v>Rendimentos_de_Aplicações_Fin.</v>
      </c>
      <c r="S595" s="697" t="s">
        <v>310</v>
      </c>
      <c r="T595" s="697" t="s">
        <v>310</v>
      </c>
    </row>
    <row r="596" spans="1:20" ht="36" x14ac:dyDescent="0.2">
      <c r="A596" s="432">
        <f>IF(B596="","",COUNT('Diário 1º PA'!$A$4:$A$2635)+COUNT('Diário 2º PA'!$A$4:$A$3040)+COUNT('Diário 3º PA'!$A$4:$A$2731)+ROW()-3)</f>
        <v>6621</v>
      </c>
      <c r="B596" s="414">
        <v>44865</v>
      </c>
      <c r="C596" s="431">
        <v>44835</v>
      </c>
      <c r="D596" s="415" t="s">
        <v>295</v>
      </c>
      <c r="E596" s="415" t="s">
        <v>295</v>
      </c>
      <c r="F596" s="422">
        <v>8558.32</v>
      </c>
      <c r="G596" s="427" t="s">
        <v>8041</v>
      </c>
      <c r="H596" s="415" t="s">
        <v>310</v>
      </c>
      <c r="I596" s="473" t="s">
        <v>2437</v>
      </c>
      <c r="J596" s="415" t="s">
        <v>796</v>
      </c>
      <c r="K596" s="415" t="s">
        <v>797</v>
      </c>
      <c r="L596" s="415" t="s">
        <v>798</v>
      </c>
      <c r="M596" s="415" t="s">
        <v>310</v>
      </c>
      <c r="N596" s="455">
        <v>44865</v>
      </c>
      <c r="O596" s="414" t="s">
        <v>3762</v>
      </c>
      <c r="P596" s="655">
        <f t="shared" si="29"/>
        <v>10</v>
      </c>
      <c r="Q596" s="655">
        <f t="shared" si="30"/>
        <v>10</v>
      </c>
      <c r="R596" s="758" t="str">
        <f t="shared" si="31"/>
        <v>Rendimentos_de_Aplicações_Fin.</v>
      </c>
      <c r="S596" s="697" t="s">
        <v>310</v>
      </c>
      <c r="T596" s="697" t="s">
        <v>310</v>
      </c>
    </row>
    <row r="597" spans="1:20" ht="24" x14ac:dyDescent="0.2">
      <c r="A597" s="432">
        <f>IF(B597="","",COUNT('Diário 1º PA'!$A$4:$A$2635)+COUNT('Diário 2º PA'!$A$4:$A$3040)+COUNT('Diário 3º PA'!$A$4:$A$2731)+ROW()-3)</f>
        <v>6622</v>
      </c>
      <c r="B597" s="414">
        <v>44865</v>
      </c>
      <c r="C597" s="431">
        <v>44835</v>
      </c>
      <c r="D597" s="415" t="s">
        <v>295</v>
      </c>
      <c r="E597" s="415" t="s">
        <v>295</v>
      </c>
      <c r="F597" s="422">
        <v>22410.97</v>
      </c>
      <c r="G597" s="427" t="s">
        <v>8021</v>
      </c>
      <c r="H597" s="415" t="s">
        <v>310</v>
      </c>
      <c r="I597" s="473" t="s">
        <v>3030</v>
      </c>
      <c r="J597" s="415" t="s">
        <v>796</v>
      </c>
      <c r="K597" s="415" t="s">
        <v>797</v>
      </c>
      <c r="L597" s="415" t="s">
        <v>798</v>
      </c>
      <c r="M597" s="415" t="s">
        <v>310</v>
      </c>
      <c r="N597" s="455">
        <v>44865</v>
      </c>
      <c r="O597" s="414" t="s">
        <v>400</v>
      </c>
      <c r="P597" s="655">
        <f t="shared" si="29"/>
        <v>10</v>
      </c>
      <c r="Q597" s="655">
        <f t="shared" si="30"/>
        <v>10</v>
      </c>
      <c r="R597" s="758" t="str">
        <f t="shared" si="31"/>
        <v>Rendimentos_de_Aplicações_Fin.</v>
      </c>
      <c r="S597" s="697" t="s">
        <v>310</v>
      </c>
      <c r="T597" s="697" t="s">
        <v>310</v>
      </c>
    </row>
    <row r="598" spans="1:20" ht="24" x14ac:dyDescent="0.2">
      <c r="A598" s="432">
        <f>IF(B598="","",COUNT('Diário 1º PA'!$A$4:$A$2635)+COUNT('Diário 2º PA'!$A$4:$A$3040)+COUNT('Diário 3º PA'!$A$4:$A$2731)+ROW()-3)</f>
        <v>6623</v>
      </c>
      <c r="B598" s="414">
        <v>44865</v>
      </c>
      <c r="C598" s="431">
        <v>44835</v>
      </c>
      <c r="D598" s="415" t="s">
        <v>271</v>
      </c>
      <c r="E598" s="415" t="s">
        <v>78</v>
      </c>
      <c r="F598" s="425">
        <v>2883.27</v>
      </c>
      <c r="G598" s="427" t="s">
        <v>8022</v>
      </c>
      <c r="H598" s="415" t="s">
        <v>310</v>
      </c>
      <c r="I598" s="473" t="s">
        <v>1461</v>
      </c>
      <c r="J598" s="415" t="s">
        <v>310</v>
      </c>
      <c r="K598" s="415" t="s">
        <v>1220</v>
      </c>
      <c r="L598" s="415" t="s">
        <v>1368</v>
      </c>
      <c r="M598" s="415" t="s">
        <v>310</v>
      </c>
      <c r="N598" s="455">
        <v>44865</v>
      </c>
      <c r="O598" s="414" t="s">
        <v>400</v>
      </c>
      <c r="P598" s="655">
        <f t="shared" si="29"/>
        <v>10</v>
      </c>
      <c r="Q598" s="655">
        <f t="shared" si="30"/>
        <v>10</v>
      </c>
      <c r="R598" s="758" t="str">
        <f t="shared" si="31"/>
        <v>Gastos_Gerais</v>
      </c>
      <c r="S598" s="697" t="s">
        <v>310</v>
      </c>
      <c r="T598" s="697" t="s">
        <v>310</v>
      </c>
    </row>
    <row r="599" spans="1:20" ht="48" x14ac:dyDescent="0.2">
      <c r="A599" s="432">
        <f>IF(B599="","",COUNT('Diário 1º PA'!$A$4:$A$2635)+COUNT('Diário 2º PA'!$A$4:$A$3040)+COUNT('Diário 3º PA'!$A$4:$A$2731)+ROW()-3)</f>
        <v>6624</v>
      </c>
      <c r="B599" s="413">
        <v>44866</v>
      </c>
      <c r="C599" s="431">
        <v>44835</v>
      </c>
      <c r="D599" s="419" t="s">
        <v>182</v>
      </c>
      <c r="E599" s="419" t="s">
        <v>8</v>
      </c>
      <c r="F599" s="422">
        <v>-25.92</v>
      </c>
      <c r="G599" s="427" t="s">
        <v>8048</v>
      </c>
      <c r="H599" s="419" t="s">
        <v>310</v>
      </c>
      <c r="I599" s="415" t="s">
        <v>795</v>
      </c>
      <c r="J599" s="419" t="s">
        <v>796</v>
      </c>
      <c r="K599" s="419" t="s">
        <v>797</v>
      </c>
      <c r="L599" s="415" t="s">
        <v>798</v>
      </c>
      <c r="M599" s="419" t="s">
        <v>310</v>
      </c>
      <c r="N599" s="413">
        <v>44866</v>
      </c>
      <c r="O599" s="414" t="s">
        <v>400</v>
      </c>
      <c r="P599" s="655">
        <f t="shared" si="29"/>
        <v>11</v>
      </c>
      <c r="Q599" s="655">
        <f t="shared" si="30"/>
        <v>10</v>
      </c>
      <c r="R599" s="758" t="str">
        <f t="shared" si="31"/>
        <v>Gastos_com_Pessoal</v>
      </c>
      <c r="S599" s="697" t="s">
        <v>310</v>
      </c>
      <c r="T599" s="697" t="s">
        <v>310</v>
      </c>
    </row>
    <row r="600" spans="1:20" ht="48" x14ac:dyDescent="0.2">
      <c r="A600" s="432">
        <f>IF(B600="","",COUNT('Diário 1º PA'!$A$4:$A$2635)+COUNT('Diário 2º PA'!$A$4:$A$3040)+COUNT('Diário 3º PA'!$A$4:$A$2731)+ROW()-3)</f>
        <v>6625</v>
      </c>
      <c r="B600" s="413">
        <v>44866</v>
      </c>
      <c r="C600" s="431">
        <v>44835</v>
      </c>
      <c r="D600" s="426" t="s">
        <v>182</v>
      </c>
      <c r="E600" s="426" t="s">
        <v>8</v>
      </c>
      <c r="F600" s="686">
        <v>-77.760000000000005</v>
      </c>
      <c r="G600" s="642" t="s">
        <v>8049</v>
      </c>
      <c r="H600" s="426" t="s">
        <v>310</v>
      </c>
      <c r="I600" s="434" t="s">
        <v>795</v>
      </c>
      <c r="J600" s="426" t="s">
        <v>796</v>
      </c>
      <c r="K600" s="426" t="s">
        <v>797</v>
      </c>
      <c r="L600" s="434" t="s">
        <v>798</v>
      </c>
      <c r="M600" s="419" t="s">
        <v>310</v>
      </c>
      <c r="N600" s="413">
        <v>44866</v>
      </c>
      <c r="O600" s="414" t="s">
        <v>400</v>
      </c>
      <c r="P600" s="655">
        <f t="shared" si="29"/>
        <v>11</v>
      </c>
      <c r="Q600" s="655">
        <f t="shared" si="30"/>
        <v>10</v>
      </c>
      <c r="R600" s="758" t="str">
        <f t="shared" si="31"/>
        <v>Gastos_com_Pessoal</v>
      </c>
      <c r="S600" s="697" t="s">
        <v>310</v>
      </c>
      <c r="T600" s="697" t="s">
        <v>310</v>
      </c>
    </row>
    <row r="601" spans="1:20" ht="48" x14ac:dyDescent="0.2">
      <c r="A601" s="432">
        <f>IF(B601="","",COUNT('Diário 1º PA'!$A$4:$A$2635)+COUNT('Diário 2º PA'!$A$4:$A$3040)+COUNT('Diário 3º PA'!$A$4:$A$2731)+ROW()-3)</f>
        <v>6626</v>
      </c>
      <c r="B601" s="413">
        <v>44866</v>
      </c>
      <c r="C601" s="431">
        <v>44835</v>
      </c>
      <c r="D601" s="419" t="s">
        <v>182</v>
      </c>
      <c r="E601" s="419" t="s">
        <v>179</v>
      </c>
      <c r="F601" s="422">
        <v>-75.599999999999994</v>
      </c>
      <c r="G601" s="427" t="s">
        <v>8050</v>
      </c>
      <c r="H601" s="419" t="s">
        <v>310</v>
      </c>
      <c r="I601" s="415" t="s">
        <v>795</v>
      </c>
      <c r="J601" s="419" t="s">
        <v>796</v>
      </c>
      <c r="K601" s="419" t="s">
        <v>797</v>
      </c>
      <c r="L601" s="415" t="s">
        <v>798</v>
      </c>
      <c r="M601" s="419" t="s">
        <v>310</v>
      </c>
      <c r="N601" s="413">
        <v>44866</v>
      </c>
      <c r="O601" s="414" t="s">
        <v>400</v>
      </c>
      <c r="P601" s="655">
        <f t="shared" si="29"/>
        <v>11</v>
      </c>
      <c r="Q601" s="655">
        <f t="shared" si="30"/>
        <v>10</v>
      </c>
      <c r="R601" s="758" t="str">
        <f t="shared" si="31"/>
        <v>Gastos_com_Pessoal</v>
      </c>
      <c r="S601" s="697" t="s">
        <v>310</v>
      </c>
      <c r="T601" s="697" t="s">
        <v>310</v>
      </c>
    </row>
    <row r="602" spans="1:20" ht="48" x14ac:dyDescent="0.2">
      <c r="A602" s="432">
        <f>IF(B602="","",COUNT('Diário 1º PA'!$A$4:$A$2635)+COUNT('Diário 2º PA'!$A$4:$A$3040)+COUNT('Diário 3º PA'!$A$4:$A$2731)+ROW()-3)</f>
        <v>6627</v>
      </c>
      <c r="B602" s="413">
        <v>44866</v>
      </c>
      <c r="C602" s="431">
        <v>44835</v>
      </c>
      <c r="D602" s="426" t="s">
        <v>182</v>
      </c>
      <c r="E602" s="426" t="s">
        <v>8</v>
      </c>
      <c r="F602" s="686">
        <v>-129.61000000000001</v>
      </c>
      <c r="G602" s="642" t="s">
        <v>8051</v>
      </c>
      <c r="H602" s="426" t="s">
        <v>310</v>
      </c>
      <c r="I602" s="434" t="s">
        <v>795</v>
      </c>
      <c r="J602" s="426" t="s">
        <v>796</v>
      </c>
      <c r="K602" s="419" t="s">
        <v>797</v>
      </c>
      <c r="L602" s="415" t="s">
        <v>798</v>
      </c>
      <c r="M602" s="419" t="s">
        <v>310</v>
      </c>
      <c r="N602" s="413">
        <v>44866</v>
      </c>
      <c r="O602" s="414" t="s">
        <v>400</v>
      </c>
      <c r="P602" s="655">
        <f t="shared" si="29"/>
        <v>11</v>
      </c>
      <c r="Q602" s="655">
        <f t="shared" si="30"/>
        <v>10</v>
      </c>
      <c r="R602" s="758" t="str">
        <f t="shared" si="31"/>
        <v>Gastos_com_Pessoal</v>
      </c>
      <c r="S602" s="697" t="s">
        <v>310</v>
      </c>
      <c r="T602" s="697" t="s">
        <v>310</v>
      </c>
    </row>
    <row r="603" spans="1:20" ht="48" x14ac:dyDescent="0.2">
      <c r="A603" s="432">
        <f>IF(B603="","",COUNT('Diário 1º PA'!$A$4:$A$2635)+COUNT('Diário 2º PA'!$A$4:$A$3040)+COUNT('Diário 3º PA'!$A$4:$A$2731)+ROW()-3)</f>
        <v>6628</v>
      </c>
      <c r="B603" s="413">
        <v>44866</v>
      </c>
      <c r="C603" s="431">
        <v>44835</v>
      </c>
      <c r="D603" s="419" t="s">
        <v>271</v>
      </c>
      <c r="E603" s="419" t="s">
        <v>9</v>
      </c>
      <c r="F603" s="422">
        <v>-1741.71</v>
      </c>
      <c r="G603" s="423" t="s">
        <v>1622</v>
      </c>
      <c r="H603" s="419" t="s">
        <v>309</v>
      </c>
      <c r="I603" s="415" t="s">
        <v>795</v>
      </c>
      <c r="J603" s="419" t="s">
        <v>796</v>
      </c>
      <c r="K603" s="419" t="s">
        <v>797</v>
      </c>
      <c r="L603" s="415" t="s">
        <v>798</v>
      </c>
      <c r="M603" s="419" t="s">
        <v>310</v>
      </c>
      <c r="N603" s="413">
        <v>44866</v>
      </c>
      <c r="O603" s="414" t="s">
        <v>400</v>
      </c>
      <c r="P603" s="655">
        <f t="shared" si="29"/>
        <v>11</v>
      </c>
      <c r="Q603" s="655">
        <f t="shared" si="30"/>
        <v>10</v>
      </c>
      <c r="R603" s="758" t="str">
        <f t="shared" si="31"/>
        <v>Gastos_Gerais</v>
      </c>
      <c r="S603" s="697" t="s">
        <v>310</v>
      </c>
      <c r="T603" s="697" t="s">
        <v>310</v>
      </c>
    </row>
    <row r="604" spans="1:20" ht="48" x14ac:dyDescent="0.2">
      <c r="A604" s="432">
        <f>IF(B604="","",COUNT('Diário 1º PA'!$A$4:$A$2635)+COUNT('Diário 2º PA'!$A$4:$A$3040)+COUNT('Diário 3º PA'!$A$4:$A$2731)+ROW()-3)</f>
        <v>6629</v>
      </c>
      <c r="B604" s="413">
        <v>44866</v>
      </c>
      <c r="C604" s="431">
        <v>44835</v>
      </c>
      <c r="D604" s="419" t="s">
        <v>182</v>
      </c>
      <c r="E604" s="419" t="s">
        <v>179</v>
      </c>
      <c r="F604" s="422">
        <v>-75.599999999999994</v>
      </c>
      <c r="G604" s="423" t="s">
        <v>8052</v>
      </c>
      <c r="H604" s="419" t="s">
        <v>310</v>
      </c>
      <c r="I604" s="415" t="s">
        <v>795</v>
      </c>
      <c r="J604" s="419" t="s">
        <v>796</v>
      </c>
      <c r="K604" s="419" t="s">
        <v>797</v>
      </c>
      <c r="L604" s="415" t="s">
        <v>798</v>
      </c>
      <c r="M604" s="419" t="s">
        <v>310</v>
      </c>
      <c r="N604" s="413">
        <v>44866</v>
      </c>
      <c r="O604" s="413" t="s">
        <v>400</v>
      </c>
      <c r="P604" s="655">
        <f t="shared" si="29"/>
        <v>11</v>
      </c>
      <c r="Q604" s="655">
        <f t="shared" si="30"/>
        <v>10</v>
      </c>
      <c r="R604" s="758" t="str">
        <f t="shared" si="31"/>
        <v>Gastos_com_Pessoal</v>
      </c>
      <c r="S604" s="697" t="s">
        <v>310</v>
      </c>
      <c r="T604" s="697" t="s">
        <v>310</v>
      </c>
    </row>
    <row r="605" spans="1:20" ht="72" x14ac:dyDescent="0.2">
      <c r="A605" s="432">
        <f>IF(B605="","",COUNT('Diário 1º PA'!$A$4:$A$2635)+COUNT('Diário 2º PA'!$A$4:$A$3040)+COUNT('Diário 3º PA'!$A$4:$A$2731)+ROW()-3)</f>
        <v>6630</v>
      </c>
      <c r="B605" s="413">
        <v>44866</v>
      </c>
      <c r="C605" s="431">
        <v>44835</v>
      </c>
      <c r="D605" s="419" t="s">
        <v>271</v>
      </c>
      <c r="E605" s="419" t="s">
        <v>90</v>
      </c>
      <c r="F605" s="422">
        <v>-1980.75</v>
      </c>
      <c r="G605" s="423" t="s">
        <v>7458</v>
      </c>
      <c r="H605" s="419" t="s">
        <v>309</v>
      </c>
      <c r="I605" s="415" t="s">
        <v>795</v>
      </c>
      <c r="J605" s="419" t="s">
        <v>796</v>
      </c>
      <c r="K605" s="419" t="s">
        <v>797</v>
      </c>
      <c r="L605" s="415" t="s">
        <v>798</v>
      </c>
      <c r="M605" s="419" t="s">
        <v>310</v>
      </c>
      <c r="N605" s="413">
        <v>44866</v>
      </c>
      <c r="O605" s="414" t="s">
        <v>400</v>
      </c>
      <c r="P605" s="655">
        <f t="shared" si="29"/>
        <v>11</v>
      </c>
      <c r="Q605" s="655">
        <f t="shared" si="30"/>
        <v>10</v>
      </c>
      <c r="R605" s="758" t="str">
        <f t="shared" si="31"/>
        <v>Gastos_Gerais</v>
      </c>
      <c r="S605" s="697" t="s">
        <v>310</v>
      </c>
      <c r="T605" s="697" t="s">
        <v>310</v>
      </c>
    </row>
    <row r="606" spans="1:20" ht="24" x14ac:dyDescent="0.2">
      <c r="A606" s="432">
        <f>IF(B606="","",COUNT('Diário 1º PA'!$A$4:$A$2635)+COUNT('Diário 2º PA'!$A$4:$A$3040)+COUNT('Diário 3º PA'!$A$4:$A$2731)+ROW()-3)</f>
        <v>6631</v>
      </c>
      <c r="B606" s="413">
        <v>44866</v>
      </c>
      <c r="C606" s="431">
        <v>44835</v>
      </c>
      <c r="D606" s="415" t="s">
        <v>271</v>
      </c>
      <c r="E606" s="415" t="s">
        <v>9</v>
      </c>
      <c r="F606" s="422">
        <v>6302.07</v>
      </c>
      <c r="G606" s="427" t="s">
        <v>729</v>
      </c>
      <c r="H606" s="415" t="s">
        <v>309</v>
      </c>
      <c r="I606" s="415" t="s">
        <v>1620</v>
      </c>
      <c r="J606" s="415" t="s">
        <v>1150</v>
      </c>
      <c r="K606" s="419" t="s">
        <v>806</v>
      </c>
      <c r="L606" s="415" t="s">
        <v>32</v>
      </c>
      <c r="M606" s="419" t="s">
        <v>8053</v>
      </c>
      <c r="N606" s="413">
        <v>44866</v>
      </c>
      <c r="O606" s="414" t="s">
        <v>400</v>
      </c>
      <c r="P606" s="655">
        <f t="shared" si="29"/>
        <v>11</v>
      </c>
      <c r="Q606" s="655">
        <f t="shared" si="30"/>
        <v>10</v>
      </c>
      <c r="R606" s="758" t="str">
        <f t="shared" si="31"/>
        <v>Gastos_Gerais</v>
      </c>
      <c r="S606" s="697" t="s">
        <v>1000</v>
      </c>
      <c r="T606" s="697">
        <v>2780</v>
      </c>
    </row>
    <row r="607" spans="1:20" ht="60" x14ac:dyDescent="0.2">
      <c r="A607" s="432">
        <f>IF(B607="","",COUNT('Diário 1º PA'!$A$4:$A$2635)+COUNT('Diário 2º PA'!$A$4:$A$3040)+COUNT('Diário 3º PA'!$A$4:$A$2731)+ROW()-3)</f>
        <v>6632</v>
      </c>
      <c r="B607" s="413">
        <v>44866</v>
      </c>
      <c r="C607" s="431">
        <v>44835</v>
      </c>
      <c r="D607" s="415" t="s">
        <v>271</v>
      </c>
      <c r="E607" s="415" t="s">
        <v>90</v>
      </c>
      <c r="F607" s="425">
        <v>3000</v>
      </c>
      <c r="G607" s="427" t="s">
        <v>3964</v>
      </c>
      <c r="H607" s="419" t="s">
        <v>750</v>
      </c>
      <c r="I607" s="415" t="s">
        <v>785</v>
      </c>
      <c r="J607" s="415" t="s">
        <v>1126</v>
      </c>
      <c r="K607" s="419" t="s">
        <v>806</v>
      </c>
      <c r="L607" s="415" t="s">
        <v>32</v>
      </c>
      <c r="M607" s="419" t="s">
        <v>1793</v>
      </c>
      <c r="N607" s="413">
        <v>44866</v>
      </c>
      <c r="O607" s="414" t="s">
        <v>400</v>
      </c>
      <c r="P607" s="655">
        <f t="shared" si="29"/>
        <v>11</v>
      </c>
      <c r="Q607" s="655">
        <f t="shared" si="30"/>
        <v>10</v>
      </c>
      <c r="R607" s="758" t="str">
        <f t="shared" si="31"/>
        <v>Gastos_Gerais</v>
      </c>
      <c r="S607" s="697" t="s">
        <v>1000</v>
      </c>
      <c r="T607" s="697">
        <v>4302</v>
      </c>
    </row>
    <row r="608" spans="1:20" ht="24" x14ac:dyDescent="0.2">
      <c r="A608" s="432">
        <f>IF(B608="","",COUNT('Diário 1º PA'!$A$4:$A$2635)+COUNT('Diário 2º PA'!$A$4:$A$3040)+COUNT('Diário 3º PA'!$A$4:$A$2731)+ROW()-3)</f>
        <v>6633</v>
      </c>
      <c r="B608" s="413">
        <v>44866</v>
      </c>
      <c r="C608" s="431">
        <v>44835</v>
      </c>
      <c r="D608" s="419" t="s">
        <v>182</v>
      </c>
      <c r="E608" s="419" t="s">
        <v>179</v>
      </c>
      <c r="F608" s="422">
        <v>428.97</v>
      </c>
      <c r="G608" s="427" t="s">
        <v>8055</v>
      </c>
      <c r="H608" s="419" t="s">
        <v>310</v>
      </c>
      <c r="I608" s="415" t="s">
        <v>771</v>
      </c>
      <c r="J608" s="419" t="s">
        <v>819</v>
      </c>
      <c r="K608" s="419" t="s">
        <v>812</v>
      </c>
      <c r="L608" s="415" t="s">
        <v>32</v>
      </c>
      <c r="M608" s="419">
        <v>202219768</v>
      </c>
      <c r="N608" s="413">
        <v>44851</v>
      </c>
      <c r="O608" s="414" t="s">
        <v>400</v>
      </c>
      <c r="P608" s="655">
        <f t="shared" si="29"/>
        <v>11</v>
      </c>
      <c r="Q608" s="655">
        <f t="shared" si="30"/>
        <v>10</v>
      </c>
      <c r="R608" s="758" t="str">
        <f t="shared" si="31"/>
        <v>Gastos_com_Pessoal</v>
      </c>
      <c r="S608" s="697" t="s">
        <v>310</v>
      </c>
      <c r="T608" s="697" t="s">
        <v>310</v>
      </c>
    </row>
    <row r="609" spans="1:20" ht="24" x14ac:dyDescent="0.2">
      <c r="A609" s="432">
        <f>IF(B609="","",COUNT('Diário 1º PA'!$A$4:$A$2635)+COUNT('Diário 2º PA'!$A$4:$A$3040)+COUNT('Diário 3º PA'!$A$4:$A$2731)+ROW()-3)</f>
        <v>6634</v>
      </c>
      <c r="B609" s="413">
        <v>44866</v>
      </c>
      <c r="C609" s="431">
        <v>44835</v>
      </c>
      <c r="D609" s="419" t="s">
        <v>182</v>
      </c>
      <c r="E609" s="419" t="s">
        <v>179</v>
      </c>
      <c r="F609" s="422">
        <v>610.51</v>
      </c>
      <c r="G609" s="423" t="s">
        <v>8055</v>
      </c>
      <c r="H609" s="419" t="s">
        <v>310</v>
      </c>
      <c r="I609" s="415" t="s">
        <v>771</v>
      </c>
      <c r="J609" s="419" t="s">
        <v>819</v>
      </c>
      <c r="K609" s="419" t="s">
        <v>812</v>
      </c>
      <c r="L609" s="415" t="s">
        <v>32</v>
      </c>
      <c r="M609" s="419">
        <v>202219769</v>
      </c>
      <c r="N609" s="413">
        <v>44851</v>
      </c>
      <c r="O609" s="414" t="s">
        <v>400</v>
      </c>
      <c r="P609" s="655">
        <f t="shared" ref="P609:P672" si="32">IF(B609=0,0,IF(YEAR(B609)=$Q$1,MONTH(B609)-$P$1+1,(YEAR(B609)-$Q$1)*12-$P$1+1+MONTH(B609)))</f>
        <v>11</v>
      </c>
      <c r="Q609" s="655">
        <f t="shared" ref="Q609:Q672" si="33">IF(C609=0,0,IF(YEAR(C609)=$Q$1,MONTH(C609)-$P$1+1,(YEAR(C609)-$Q$1)*12-$P$1+1+MONTH(C609)))</f>
        <v>10</v>
      </c>
      <c r="R609" s="758" t="str">
        <f t="shared" si="31"/>
        <v>Gastos_com_Pessoal</v>
      </c>
      <c r="S609" s="697" t="s">
        <v>310</v>
      </c>
      <c r="T609" s="697" t="s">
        <v>310</v>
      </c>
    </row>
    <row r="610" spans="1:20" ht="24" x14ac:dyDescent="0.2">
      <c r="A610" s="432">
        <f>IF(B610="","",COUNT('Diário 1º PA'!$A$4:$A$2635)+COUNT('Diário 2º PA'!$A$4:$A$3040)+COUNT('Diário 3º PA'!$A$4:$A$2731)+ROW()-3)</f>
        <v>6635</v>
      </c>
      <c r="B610" s="413">
        <v>44866</v>
      </c>
      <c r="C610" s="431">
        <v>44835</v>
      </c>
      <c r="D610" s="419" t="s">
        <v>182</v>
      </c>
      <c r="E610" s="419" t="s">
        <v>8</v>
      </c>
      <c r="F610" s="422">
        <v>1892.24</v>
      </c>
      <c r="G610" s="423" t="s">
        <v>506</v>
      </c>
      <c r="H610" s="419" t="s">
        <v>310</v>
      </c>
      <c r="I610" s="415" t="s">
        <v>770</v>
      </c>
      <c r="J610" s="419" t="s">
        <v>825</v>
      </c>
      <c r="K610" s="419" t="s">
        <v>812</v>
      </c>
      <c r="L610" s="415" t="s">
        <v>826</v>
      </c>
      <c r="M610" s="419">
        <v>8134322</v>
      </c>
      <c r="N610" s="413">
        <v>44851</v>
      </c>
      <c r="O610" s="414" t="s">
        <v>400</v>
      </c>
      <c r="P610" s="655">
        <f t="shared" si="32"/>
        <v>11</v>
      </c>
      <c r="Q610" s="655">
        <f t="shared" si="33"/>
        <v>10</v>
      </c>
      <c r="R610" s="758" t="str">
        <f t="shared" si="31"/>
        <v>Gastos_com_Pessoal</v>
      </c>
      <c r="S610" s="697" t="s">
        <v>310</v>
      </c>
      <c r="T610" s="697" t="s">
        <v>310</v>
      </c>
    </row>
    <row r="611" spans="1:20" ht="96" x14ac:dyDescent="0.2">
      <c r="A611" s="432">
        <f>IF(B611="","",COUNT('Diário 1º PA'!$A$4:$A$2635)+COUNT('Diário 2º PA'!$A$4:$A$3040)+COUNT('Diário 3º PA'!$A$4:$A$2731)+ROW()-3)</f>
        <v>6636</v>
      </c>
      <c r="B611" s="413">
        <v>44866</v>
      </c>
      <c r="C611" s="431">
        <v>44835</v>
      </c>
      <c r="D611" s="415" t="s">
        <v>271</v>
      </c>
      <c r="E611" s="415" t="s">
        <v>456</v>
      </c>
      <c r="F611" s="425">
        <v>4899.5</v>
      </c>
      <c r="G611" s="427" t="s">
        <v>7602</v>
      </c>
      <c r="H611" s="415" t="s">
        <v>751</v>
      </c>
      <c r="I611" s="415" t="s">
        <v>865</v>
      </c>
      <c r="J611" s="415" t="s">
        <v>866</v>
      </c>
      <c r="K611" s="419" t="s">
        <v>830</v>
      </c>
      <c r="L611" s="415" t="s">
        <v>807</v>
      </c>
      <c r="M611" s="419" t="s">
        <v>6504</v>
      </c>
      <c r="N611" s="413">
        <v>44866</v>
      </c>
      <c r="O611" s="414" t="s">
        <v>400</v>
      </c>
      <c r="P611" s="655">
        <f t="shared" si="32"/>
        <v>11</v>
      </c>
      <c r="Q611" s="655">
        <f t="shared" si="33"/>
        <v>10</v>
      </c>
      <c r="R611" s="758" t="str">
        <f t="shared" si="31"/>
        <v>Gastos_Gerais</v>
      </c>
      <c r="S611" s="697" t="s">
        <v>998</v>
      </c>
      <c r="T611" s="697">
        <v>4440</v>
      </c>
    </row>
    <row r="612" spans="1:20" ht="72" x14ac:dyDescent="0.2">
      <c r="A612" s="432">
        <f>IF(B612="","",COUNT('Diário 1º PA'!$A$4:$A$2635)+COUNT('Diário 2º PA'!$A$4:$A$3040)+COUNT('Diário 3º PA'!$A$4:$A$2731)+ROW()-3)</f>
        <v>6637</v>
      </c>
      <c r="B612" s="413">
        <v>44866</v>
      </c>
      <c r="C612" s="431">
        <v>44835</v>
      </c>
      <c r="D612" s="415" t="s">
        <v>271</v>
      </c>
      <c r="E612" s="415" t="s">
        <v>90</v>
      </c>
      <c r="F612" s="425">
        <v>3919.6</v>
      </c>
      <c r="G612" s="427" t="s">
        <v>699</v>
      </c>
      <c r="H612" s="419" t="s">
        <v>758</v>
      </c>
      <c r="I612" s="415" t="s">
        <v>865</v>
      </c>
      <c r="J612" s="415" t="s">
        <v>866</v>
      </c>
      <c r="K612" s="419" t="s">
        <v>830</v>
      </c>
      <c r="L612" s="415" t="s">
        <v>807</v>
      </c>
      <c r="M612" s="419" t="s">
        <v>4512</v>
      </c>
      <c r="N612" s="413">
        <v>44866</v>
      </c>
      <c r="O612" s="414" t="s">
        <v>400</v>
      </c>
      <c r="P612" s="655">
        <f t="shared" si="32"/>
        <v>11</v>
      </c>
      <c r="Q612" s="655">
        <f t="shared" si="33"/>
        <v>10</v>
      </c>
      <c r="R612" s="758" t="str">
        <f t="shared" si="31"/>
        <v>Gastos_Gerais</v>
      </c>
      <c r="S612" s="697" t="s">
        <v>1000</v>
      </c>
      <c r="T612" s="697">
        <v>4314</v>
      </c>
    </row>
    <row r="613" spans="1:20" ht="96" x14ac:dyDescent="0.2">
      <c r="A613" s="432">
        <f>IF(B613="","",COUNT('Diário 1º PA'!$A$4:$A$2635)+COUNT('Diário 2º PA'!$A$4:$A$3040)+COUNT('Diário 3º PA'!$A$4:$A$2731)+ROW()-3)</f>
        <v>6638</v>
      </c>
      <c r="B613" s="413">
        <v>44866</v>
      </c>
      <c r="C613" s="431">
        <v>44866</v>
      </c>
      <c r="D613" s="415" t="s">
        <v>271</v>
      </c>
      <c r="E613" s="415" t="s">
        <v>456</v>
      </c>
      <c r="F613" s="425">
        <v>734.92</v>
      </c>
      <c r="G613" s="427" t="s">
        <v>7604</v>
      </c>
      <c r="H613" s="415" t="s">
        <v>751</v>
      </c>
      <c r="I613" s="415" t="s">
        <v>865</v>
      </c>
      <c r="J613" s="415" t="s">
        <v>866</v>
      </c>
      <c r="K613" s="419" t="s">
        <v>830</v>
      </c>
      <c r="L613" s="415" t="s">
        <v>807</v>
      </c>
      <c r="M613" s="419" t="s">
        <v>6981</v>
      </c>
      <c r="N613" s="413">
        <v>44866</v>
      </c>
      <c r="O613" s="414" t="s">
        <v>400</v>
      </c>
      <c r="P613" s="655">
        <f t="shared" si="32"/>
        <v>11</v>
      </c>
      <c r="Q613" s="655">
        <f t="shared" si="33"/>
        <v>11</v>
      </c>
      <c r="R613" s="758" t="str">
        <f t="shared" si="31"/>
        <v>Gastos_Gerais</v>
      </c>
      <c r="S613" s="697" t="s">
        <v>998</v>
      </c>
      <c r="T613" s="697">
        <v>4439</v>
      </c>
    </row>
    <row r="614" spans="1:20" ht="48" x14ac:dyDescent="0.2">
      <c r="A614" s="432">
        <f>IF(B614="","",COUNT('Diário 1º PA'!$A$4:$A$2635)+COUNT('Diário 2º PA'!$A$4:$A$3040)+COUNT('Diário 3º PA'!$A$4:$A$2731)+ROW()-3)</f>
        <v>6639</v>
      </c>
      <c r="B614" s="413">
        <v>44866</v>
      </c>
      <c r="C614" s="431">
        <v>44835</v>
      </c>
      <c r="D614" s="415" t="s">
        <v>271</v>
      </c>
      <c r="E614" s="415" t="s">
        <v>456</v>
      </c>
      <c r="F614" s="425">
        <v>1176</v>
      </c>
      <c r="G614" s="427" t="s">
        <v>7688</v>
      </c>
      <c r="H614" s="415" t="s">
        <v>751</v>
      </c>
      <c r="I614" s="415" t="s">
        <v>8061</v>
      </c>
      <c r="J614" s="415" t="s">
        <v>7689</v>
      </c>
      <c r="K614" s="419" t="s">
        <v>830</v>
      </c>
      <c r="L614" s="415" t="s">
        <v>807</v>
      </c>
      <c r="M614" s="419" t="s">
        <v>8062</v>
      </c>
      <c r="N614" s="413">
        <v>44866</v>
      </c>
      <c r="O614" s="414" t="s">
        <v>400</v>
      </c>
      <c r="P614" s="655">
        <f t="shared" si="32"/>
        <v>11</v>
      </c>
      <c r="Q614" s="655">
        <f t="shared" si="33"/>
        <v>10</v>
      </c>
      <c r="R614" s="758" t="str">
        <f t="shared" si="31"/>
        <v>Gastos_Gerais</v>
      </c>
      <c r="S614" s="697" t="s">
        <v>998</v>
      </c>
      <c r="T614" s="697">
        <v>4445</v>
      </c>
    </row>
    <row r="615" spans="1:20" ht="48" x14ac:dyDescent="0.2">
      <c r="A615" s="432">
        <f>IF(B615="","",COUNT('Diário 1º PA'!$A$4:$A$2635)+COUNT('Diário 2º PA'!$A$4:$A$3040)+COUNT('Diário 3º PA'!$A$4:$A$2731)+ROW()-3)</f>
        <v>6640</v>
      </c>
      <c r="B615" s="413">
        <v>44866</v>
      </c>
      <c r="C615" s="431">
        <v>44835</v>
      </c>
      <c r="D615" s="415" t="s">
        <v>271</v>
      </c>
      <c r="E615" s="415" t="s">
        <v>90</v>
      </c>
      <c r="F615" s="425">
        <v>2000</v>
      </c>
      <c r="G615" s="427" t="s">
        <v>6966</v>
      </c>
      <c r="H615" s="419" t="s">
        <v>760</v>
      </c>
      <c r="I615" s="415" t="s">
        <v>1656</v>
      </c>
      <c r="J615" s="415" t="s">
        <v>1655</v>
      </c>
      <c r="K615" s="419" t="s">
        <v>830</v>
      </c>
      <c r="L615" s="415" t="s">
        <v>807</v>
      </c>
      <c r="M615" s="419" t="s">
        <v>3672</v>
      </c>
      <c r="N615" s="413">
        <v>44866</v>
      </c>
      <c r="O615" s="414" t="s">
        <v>400</v>
      </c>
      <c r="P615" s="655">
        <f t="shared" si="32"/>
        <v>11</v>
      </c>
      <c r="Q615" s="655">
        <f t="shared" si="33"/>
        <v>10</v>
      </c>
      <c r="R615" s="758" t="str">
        <f t="shared" si="31"/>
        <v>Gastos_Gerais</v>
      </c>
      <c r="S615" s="697" t="s">
        <v>1000</v>
      </c>
      <c r="T615" s="697">
        <v>4318</v>
      </c>
    </row>
    <row r="616" spans="1:20" ht="60" x14ac:dyDescent="0.2">
      <c r="A616" s="432">
        <f>IF(B616="","",COUNT('Diário 1º PA'!$A$4:$A$2635)+COUNT('Diário 2º PA'!$A$4:$A$3040)+COUNT('Diário 3º PA'!$A$4:$A$2731)+ROW()-3)</f>
        <v>6641</v>
      </c>
      <c r="B616" s="413">
        <v>44866</v>
      </c>
      <c r="C616" s="431">
        <v>44835</v>
      </c>
      <c r="D616" s="415" t="s">
        <v>271</v>
      </c>
      <c r="E616" s="415" t="s">
        <v>90</v>
      </c>
      <c r="F616" s="425">
        <v>3000</v>
      </c>
      <c r="G616" s="427" t="s">
        <v>3964</v>
      </c>
      <c r="H616" s="419" t="s">
        <v>750</v>
      </c>
      <c r="I616" s="415" t="s">
        <v>6976</v>
      </c>
      <c r="J616" s="415" t="s">
        <v>1077</v>
      </c>
      <c r="K616" s="419" t="s">
        <v>830</v>
      </c>
      <c r="L616" s="415" t="s">
        <v>807</v>
      </c>
      <c r="M616" s="419">
        <v>153</v>
      </c>
      <c r="N616" s="413">
        <v>44866</v>
      </c>
      <c r="O616" s="414" t="s">
        <v>400</v>
      </c>
      <c r="P616" s="655">
        <f t="shared" si="32"/>
        <v>11</v>
      </c>
      <c r="Q616" s="655">
        <f t="shared" si="33"/>
        <v>10</v>
      </c>
      <c r="R616" s="758" t="str">
        <f t="shared" si="31"/>
        <v>Gastos_Gerais</v>
      </c>
      <c r="S616" s="697" t="s">
        <v>1000</v>
      </c>
      <c r="T616" s="697">
        <v>4303</v>
      </c>
    </row>
    <row r="617" spans="1:20" ht="96" x14ac:dyDescent="0.2">
      <c r="A617" s="432">
        <f>IF(B617="","",COUNT('Diário 1º PA'!$A$4:$A$2635)+COUNT('Diário 2º PA'!$A$4:$A$3040)+COUNT('Diário 3º PA'!$A$4:$A$2731)+ROW()-3)</f>
        <v>6642</v>
      </c>
      <c r="B617" s="413">
        <v>44866</v>
      </c>
      <c r="C617" s="431">
        <v>44866</v>
      </c>
      <c r="D617" s="415" t="s">
        <v>271</v>
      </c>
      <c r="E617" s="415" t="s">
        <v>456</v>
      </c>
      <c r="F617" s="425">
        <v>1224.8699999999999</v>
      </c>
      <c r="G617" s="427" t="s">
        <v>7585</v>
      </c>
      <c r="H617" s="415" t="s">
        <v>751</v>
      </c>
      <c r="I617" s="415" t="s">
        <v>865</v>
      </c>
      <c r="J617" s="415" t="s">
        <v>866</v>
      </c>
      <c r="K617" s="419" t="s">
        <v>830</v>
      </c>
      <c r="L617" s="415" t="s">
        <v>32</v>
      </c>
      <c r="M617" s="419" t="s">
        <v>3598</v>
      </c>
      <c r="N617" s="413">
        <v>44866</v>
      </c>
      <c r="O617" s="414" t="s">
        <v>400</v>
      </c>
      <c r="P617" s="655">
        <f t="shared" si="32"/>
        <v>11</v>
      </c>
      <c r="Q617" s="655">
        <f t="shared" si="33"/>
        <v>11</v>
      </c>
      <c r="R617" s="758" t="str">
        <f t="shared" si="31"/>
        <v>Gastos_Gerais</v>
      </c>
      <c r="S617" s="697" t="s">
        <v>998</v>
      </c>
      <c r="T617" s="697">
        <v>4460</v>
      </c>
    </row>
    <row r="618" spans="1:20" ht="36" x14ac:dyDescent="0.2">
      <c r="A618" s="432">
        <f>IF(B618="","",COUNT('Diário 1º PA'!$A$4:$A$2635)+COUNT('Diário 2º PA'!$A$4:$A$3040)+COUNT('Diário 3º PA'!$A$4:$A$2731)+ROW()-3)</f>
        <v>6643</v>
      </c>
      <c r="B618" s="413">
        <v>44866</v>
      </c>
      <c r="C618" s="431">
        <v>44835</v>
      </c>
      <c r="D618" s="415" t="s">
        <v>271</v>
      </c>
      <c r="E618" s="415" t="s">
        <v>456</v>
      </c>
      <c r="F618" s="425">
        <v>1300</v>
      </c>
      <c r="G618" s="427" t="s">
        <v>7864</v>
      </c>
      <c r="H618" s="415" t="s">
        <v>751</v>
      </c>
      <c r="I618" s="415" t="s">
        <v>8065</v>
      </c>
      <c r="J618" s="415" t="s">
        <v>7865</v>
      </c>
      <c r="K618" s="419" t="s">
        <v>830</v>
      </c>
      <c r="L618" s="415" t="s">
        <v>32</v>
      </c>
      <c r="M618" s="419" t="s">
        <v>1621</v>
      </c>
      <c r="N618" s="413">
        <v>44866</v>
      </c>
      <c r="O618" s="414" t="s">
        <v>400</v>
      </c>
      <c r="P618" s="655">
        <f t="shared" si="32"/>
        <v>11</v>
      </c>
      <c r="Q618" s="655">
        <f t="shared" si="33"/>
        <v>10</v>
      </c>
      <c r="R618" s="758" t="str">
        <f t="shared" si="31"/>
        <v>Gastos_Gerais</v>
      </c>
      <c r="S618" s="697" t="s">
        <v>998</v>
      </c>
      <c r="T618" s="697">
        <v>4441</v>
      </c>
    </row>
    <row r="619" spans="1:20" ht="120" x14ac:dyDescent="0.2">
      <c r="A619" s="432">
        <f>IF(B619="","",COUNT('Diário 1º PA'!$A$4:$A$2635)+COUNT('Diário 2º PA'!$A$4:$A$3040)+COUNT('Diário 3º PA'!$A$4:$A$2731)+ROW()-3)</f>
        <v>6644</v>
      </c>
      <c r="B619" s="413">
        <v>44866</v>
      </c>
      <c r="C619" s="431">
        <v>44835</v>
      </c>
      <c r="D619" s="419" t="s">
        <v>271</v>
      </c>
      <c r="E619" s="419" t="s">
        <v>90</v>
      </c>
      <c r="F619" s="422">
        <v>7278</v>
      </c>
      <c r="G619" s="423" t="s">
        <v>862</v>
      </c>
      <c r="H619" s="419" t="s">
        <v>309</v>
      </c>
      <c r="I619" s="415" t="s">
        <v>850</v>
      </c>
      <c r="J619" s="419" t="s">
        <v>863</v>
      </c>
      <c r="K619" s="419" t="s">
        <v>830</v>
      </c>
      <c r="L619" s="415" t="s">
        <v>32</v>
      </c>
      <c r="M619" s="419" t="s">
        <v>8066</v>
      </c>
      <c r="N619" s="413">
        <v>44866</v>
      </c>
      <c r="O619" s="414" t="s">
        <v>400</v>
      </c>
      <c r="P619" s="655">
        <f t="shared" si="32"/>
        <v>11</v>
      </c>
      <c r="Q619" s="655">
        <f t="shared" si="33"/>
        <v>10</v>
      </c>
      <c r="R619" s="758" t="str">
        <f t="shared" si="31"/>
        <v>Gastos_Gerais</v>
      </c>
      <c r="S619" s="697" t="s">
        <v>1000</v>
      </c>
      <c r="T619" s="697">
        <v>1134</v>
      </c>
    </row>
    <row r="620" spans="1:20" ht="48" x14ac:dyDescent="0.2">
      <c r="A620" s="432">
        <f>IF(B620="","",COUNT('Diário 1º PA'!$A$4:$A$2635)+COUNT('Diário 2º PA'!$A$4:$A$3040)+COUNT('Diário 3º PA'!$A$4:$A$2731)+ROW()-3)</f>
        <v>6645</v>
      </c>
      <c r="B620" s="413">
        <v>44866</v>
      </c>
      <c r="C620" s="431">
        <v>44835</v>
      </c>
      <c r="D620" s="415" t="s">
        <v>271</v>
      </c>
      <c r="E620" s="415" t="s">
        <v>297</v>
      </c>
      <c r="F620" s="425">
        <v>279</v>
      </c>
      <c r="G620" s="427" t="s">
        <v>8068</v>
      </c>
      <c r="H620" s="415" t="s">
        <v>757</v>
      </c>
      <c r="I620" s="415" t="s">
        <v>8069</v>
      </c>
      <c r="J620" s="419" t="s">
        <v>8070</v>
      </c>
      <c r="K620" s="419" t="s">
        <v>830</v>
      </c>
      <c r="L620" s="415" t="s">
        <v>798</v>
      </c>
      <c r="M620" s="415" t="s">
        <v>310</v>
      </c>
      <c r="N620" s="413">
        <v>44866</v>
      </c>
      <c r="O620" s="414" t="s">
        <v>400</v>
      </c>
      <c r="P620" s="655">
        <f t="shared" si="32"/>
        <v>11</v>
      </c>
      <c r="Q620" s="655">
        <f t="shared" si="33"/>
        <v>10</v>
      </c>
      <c r="R620" s="758" t="str">
        <f t="shared" si="31"/>
        <v>Gastos_Gerais</v>
      </c>
      <c r="S620" s="697" t="s">
        <v>999</v>
      </c>
      <c r="T620" s="697">
        <v>4534</v>
      </c>
    </row>
    <row r="621" spans="1:20" ht="48" x14ac:dyDescent="0.2">
      <c r="A621" s="432">
        <f>IF(B621="","",COUNT('Diário 1º PA'!$A$4:$A$2635)+COUNT('Diário 2º PA'!$A$4:$A$3040)+COUNT('Diário 3º PA'!$A$4:$A$2731)+ROW()-3)</f>
        <v>6646</v>
      </c>
      <c r="B621" s="413">
        <v>44866</v>
      </c>
      <c r="C621" s="431">
        <v>44835</v>
      </c>
      <c r="D621" s="415" t="s">
        <v>271</v>
      </c>
      <c r="E621" s="415" t="s">
        <v>297</v>
      </c>
      <c r="F621" s="425">
        <v>47.78</v>
      </c>
      <c r="G621" s="427" t="s">
        <v>7645</v>
      </c>
      <c r="H621" s="415" t="s">
        <v>757</v>
      </c>
      <c r="I621" s="415" t="s">
        <v>8069</v>
      </c>
      <c r="J621" s="419" t="s">
        <v>8070</v>
      </c>
      <c r="K621" s="419" t="s">
        <v>830</v>
      </c>
      <c r="L621" s="415" t="s">
        <v>798</v>
      </c>
      <c r="M621" s="415" t="s">
        <v>310</v>
      </c>
      <c r="N621" s="413">
        <v>44866</v>
      </c>
      <c r="O621" s="414" t="s">
        <v>400</v>
      </c>
      <c r="P621" s="655">
        <f t="shared" si="32"/>
        <v>11</v>
      </c>
      <c r="Q621" s="655">
        <f t="shared" si="33"/>
        <v>10</v>
      </c>
      <c r="R621" s="758" t="str">
        <f t="shared" si="31"/>
        <v>Gastos_Gerais</v>
      </c>
      <c r="S621" s="697" t="s">
        <v>999</v>
      </c>
      <c r="T621" s="697">
        <v>4537</v>
      </c>
    </row>
    <row r="622" spans="1:20" ht="36" x14ac:dyDescent="0.2">
      <c r="A622" s="432">
        <f>IF(B622="","",COUNT('Diário 1º PA'!$A$4:$A$2635)+COUNT('Diário 2º PA'!$A$4:$A$3040)+COUNT('Diário 3º PA'!$A$4:$A$2731)+ROW()-3)</f>
        <v>6647</v>
      </c>
      <c r="B622" s="413">
        <v>44866</v>
      </c>
      <c r="C622" s="431">
        <v>44866</v>
      </c>
      <c r="D622" s="419" t="s">
        <v>271</v>
      </c>
      <c r="E622" s="419" t="s">
        <v>71</v>
      </c>
      <c r="F622" s="422">
        <v>11</v>
      </c>
      <c r="G622" s="423" t="s">
        <v>2458</v>
      </c>
      <c r="H622" s="419" t="s">
        <v>309</v>
      </c>
      <c r="I622" s="415" t="s">
        <v>881</v>
      </c>
      <c r="J622" s="419" t="s">
        <v>882</v>
      </c>
      <c r="K622" s="419" t="s">
        <v>883</v>
      </c>
      <c r="L622" s="415" t="s">
        <v>798</v>
      </c>
      <c r="M622" s="419" t="s">
        <v>310</v>
      </c>
      <c r="N622" s="413">
        <v>44866</v>
      </c>
      <c r="O622" s="414" t="s">
        <v>400</v>
      </c>
      <c r="P622" s="655">
        <f t="shared" si="32"/>
        <v>11</v>
      </c>
      <c r="Q622" s="655">
        <f t="shared" si="33"/>
        <v>11</v>
      </c>
      <c r="R622" s="758" t="str">
        <f t="shared" si="31"/>
        <v>Gastos_Gerais</v>
      </c>
      <c r="S622" s="697" t="s">
        <v>310</v>
      </c>
      <c r="T622" s="697" t="s">
        <v>310</v>
      </c>
    </row>
    <row r="623" spans="1:20" ht="72" x14ac:dyDescent="0.2">
      <c r="A623" s="432">
        <f>IF(B623="","",COUNT('Diário 1º PA'!$A$4:$A$2635)+COUNT('Diário 2º PA'!$A$4:$A$3040)+COUNT('Diário 3º PA'!$A$4:$A$2731)+ROW()-3)</f>
        <v>6648</v>
      </c>
      <c r="B623" s="413">
        <v>44866</v>
      </c>
      <c r="C623" s="431">
        <v>44835</v>
      </c>
      <c r="D623" s="419" t="s">
        <v>468</v>
      </c>
      <c r="E623" s="419" t="s">
        <v>468</v>
      </c>
      <c r="F623" s="422">
        <v>4783.25</v>
      </c>
      <c r="G623" s="427" t="s">
        <v>7634</v>
      </c>
      <c r="H623" s="419" t="s">
        <v>468</v>
      </c>
      <c r="I623" s="415" t="s">
        <v>8202</v>
      </c>
      <c r="J623" s="415" t="s">
        <v>7635</v>
      </c>
      <c r="K623" s="419" t="s">
        <v>830</v>
      </c>
      <c r="L623" s="415" t="s">
        <v>32</v>
      </c>
      <c r="M623" s="419" t="s">
        <v>8203</v>
      </c>
      <c r="N623" s="413">
        <v>44862</v>
      </c>
      <c r="O623" s="414" t="s">
        <v>405</v>
      </c>
      <c r="P623" s="655">
        <f t="shared" si="32"/>
        <v>11</v>
      </c>
      <c r="Q623" s="655">
        <f t="shared" si="33"/>
        <v>10</v>
      </c>
      <c r="R623" s="758" t="str">
        <f t="shared" si="31"/>
        <v>Gastos_custeados_por_captação</v>
      </c>
      <c r="S623" s="697" t="s">
        <v>998</v>
      </c>
      <c r="T623" s="697">
        <v>4518</v>
      </c>
    </row>
    <row r="624" spans="1:20" ht="48" x14ac:dyDescent="0.2">
      <c r="A624" s="432">
        <f>IF(B624="","",COUNT('Diário 1º PA'!$A$4:$A$2635)+COUNT('Diário 2º PA'!$A$4:$A$3040)+COUNT('Diário 3º PA'!$A$4:$A$2731)+ROW()-3)</f>
        <v>6649</v>
      </c>
      <c r="B624" s="413">
        <v>44866</v>
      </c>
      <c r="C624" s="431">
        <v>44835</v>
      </c>
      <c r="D624" s="419" t="s">
        <v>468</v>
      </c>
      <c r="E624" s="419" t="s">
        <v>468</v>
      </c>
      <c r="F624" s="422">
        <v>1295</v>
      </c>
      <c r="G624" s="427" t="s">
        <v>7579</v>
      </c>
      <c r="H624" s="419" t="s">
        <v>468</v>
      </c>
      <c r="I624" s="415" t="s">
        <v>815</v>
      </c>
      <c r="J624" s="415" t="s">
        <v>816</v>
      </c>
      <c r="K624" s="419" t="s">
        <v>812</v>
      </c>
      <c r="L624" s="415" t="s">
        <v>32</v>
      </c>
      <c r="M624" s="734">
        <v>330868</v>
      </c>
      <c r="N624" s="413">
        <v>44838</v>
      </c>
      <c r="O624" s="414" t="s">
        <v>404</v>
      </c>
      <c r="P624" s="655">
        <f t="shared" si="32"/>
        <v>11</v>
      </c>
      <c r="Q624" s="655">
        <f t="shared" si="33"/>
        <v>10</v>
      </c>
      <c r="R624" s="758" t="str">
        <f t="shared" si="31"/>
        <v>Gastos_custeados_por_captação</v>
      </c>
      <c r="S624" s="697" t="s">
        <v>999</v>
      </c>
      <c r="T624" s="697">
        <v>4432</v>
      </c>
    </row>
    <row r="625" spans="1:20" ht="48" x14ac:dyDescent="0.2">
      <c r="A625" s="432">
        <f>IF(B625="","",COUNT('Diário 1º PA'!$A$4:$A$2635)+COUNT('Diário 2º PA'!$A$4:$A$3040)+COUNT('Diário 3º PA'!$A$4:$A$2731)+ROW()-3)</f>
        <v>6650</v>
      </c>
      <c r="B625" s="413">
        <v>44866</v>
      </c>
      <c r="C625" s="431">
        <v>44835</v>
      </c>
      <c r="D625" s="419" t="s">
        <v>468</v>
      </c>
      <c r="E625" s="419" t="s">
        <v>468</v>
      </c>
      <c r="F625" s="422">
        <v>2500</v>
      </c>
      <c r="G625" s="427" t="s">
        <v>1986</v>
      </c>
      <c r="H625" s="419" t="s">
        <v>468</v>
      </c>
      <c r="I625" s="415" t="s">
        <v>6558</v>
      </c>
      <c r="J625" s="415" t="s">
        <v>1987</v>
      </c>
      <c r="K625" s="419" t="s">
        <v>830</v>
      </c>
      <c r="L625" s="415" t="s">
        <v>32</v>
      </c>
      <c r="M625" s="419" t="s">
        <v>1696</v>
      </c>
      <c r="N625" s="413">
        <v>44866</v>
      </c>
      <c r="O625" s="414" t="s">
        <v>404</v>
      </c>
      <c r="P625" s="655">
        <f t="shared" si="32"/>
        <v>11</v>
      </c>
      <c r="Q625" s="655">
        <f t="shared" si="33"/>
        <v>10</v>
      </c>
      <c r="R625" s="758" t="str">
        <f t="shared" si="31"/>
        <v>Gastos_custeados_por_captação</v>
      </c>
      <c r="S625" s="697" t="s">
        <v>1000</v>
      </c>
      <c r="T625" s="697">
        <v>3045</v>
      </c>
    </row>
    <row r="626" spans="1:20" ht="48" x14ac:dyDescent="0.2">
      <c r="A626" s="432">
        <f>IF(B626="","",COUNT('Diário 1º PA'!$A$4:$A$2635)+COUNT('Diário 2º PA'!$A$4:$A$3040)+COUNT('Diário 3º PA'!$A$4:$A$2731)+ROW()-3)</f>
        <v>6651</v>
      </c>
      <c r="B626" s="413">
        <v>44866</v>
      </c>
      <c r="C626" s="431">
        <v>44835</v>
      </c>
      <c r="D626" s="419" t="s">
        <v>468</v>
      </c>
      <c r="E626" s="419" t="s">
        <v>468</v>
      </c>
      <c r="F626" s="422">
        <v>3000</v>
      </c>
      <c r="G626" s="427" t="s">
        <v>6836</v>
      </c>
      <c r="H626" s="419" t="s">
        <v>468</v>
      </c>
      <c r="I626" s="415" t="s">
        <v>2848</v>
      </c>
      <c r="J626" s="415" t="s">
        <v>1085</v>
      </c>
      <c r="K626" s="419" t="s">
        <v>830</v>
      </c>
      <c r="L626" s="415" t="s">
        <v>32</v>
      </c>
      <c r="M626" s="419" t="s">
        <v>2619</v>
      </c>
      <c r="N626" s="413">
        <v>44866</v>
      </c>
      <c r="O626" s="414" t="s">
        <v>404</v>
      </c>
      <c r="P626" s="655">
        <f t="shared" si="32"/>
        <v>11</v>
      </c>
      <c r="Q626" s="655">
        <f t="shared" si="33"/>
        <v>10</v>
      </c>
      <c r="R626" s="758" t="str">
        <f t="shared" si="31"/>
        <v>Gastos_custeados_por_captação</v>
      </c>
      <c r="S626" s="697" t="s">
        <v>1000</v>
      </c>
      <c r="T626" s="697">
        <v>4294</v>
      </c>
    </row>
    <row r="627" spans="1:20" ht="72" x14ac:dyDescent="0.2">
      <c r="A627" s="432">
        <f>IF(B627="","",COUNT('Diário 1º PA'!$A$4:$A$2635)+COUNT('Diário 2º PA'!$A$4:$A$3040)+COUNT('Diário 3º PA'!$A$4:$A$2731)+ROW()-3)</f>
        <v>6652</v>
      </c>
      <c r="B627" s="413">
        <v>44866</v>
      </c>
      <c r="C627" s="431">
        <v>44835</v>
      </c>
      <c r="D627" s="419" t="s">
        <v>468</v>
      </c>
      <c r="E627" s="419" t="s">
        <v>468</v>
      </c>
      <c r="F627" s="422">
        <v>1680</v>
      </c>
      <c r="G627" s="427" t="s">
        <v>6343</v>
      </c>
      <c r="H627" s="419" t="s">
        <v>468</v>
      </c>
      <c r="I627" s="415" t="s">
        <v>6303</v>
      </c>
      <c r="J627" s="415" t="s">
        <v>6030</v>
      </c>
      <c r="K627" s="419" t="s">
        <v>830</v>
      </c>
      <c r="L627" s="415" t="s">
        <v>839</v>
      </c>
      <c r="M627" s="419">
        <v>2072</v>
      </c>
      <c r="N627" s="413">
        <v>44866</v>
      </c>
      <c r="O627" s="414" t="s">
        <v>404</v>
      </c>
      <c r="P627" s="655">
        <f t="shared" si="32"/>
        <v>11</v>
      </c>
      <c r="Q627" s="655">
        <f t="shared" si="33"/>
        <v>10</v>
      </c>
      <c r="R627" s="758" t="str">
        <f t="shared" si="31"/>
        <v>Gastos_custeados_por_captação</v>
      </c>
      <c r="S627" s="697" t="s">
        <v>1000</v>
      </c>
      <c r="T627" s="697">
        <v>4317</v>
      </c>
    </row>
    <row r="628" spans="1:20" ht="48" x14ac:dyDescent="0.2">
      <c r="A628" s="432">
        <f>IF(B628="","",COUNT('Diário 1º PA'!$A$4:$A$2635)+COUNT('Diário 2º PA'!$A$4:$A$3040)+COUNT('Diário 3º PA'!$A$4:$A$2731)+ROW()-3)</f>
        <v>6653</v>
      </c>
      <c r="B628" s="413">
        <v>44866</v>
      </c>
      <c r="C628" s="431">
        <v>44835</v>
      </c>
      <c r="D628" s="419" t="s">
        <v>468</v>
      </c>
      <c r="E628" s="419" t="s">
        <v>468</v>
      </c>
      <c r="F628" s="422">
        <v>2750</v>
      </c>
      <c r="G628" s="427" t="s">
        <v>694</v>
      </c>
      <c r="H628" s="419" t="s">
        <v>468</v>
      </c>
      <c r="I628" s="415" t="s">
        <v>2468</v>
      </c>
      <c r="J628" s="415" t="s">
        <v>1127</v>
      </c>
      <c r="K628" s="419" t="s">
        <v>830</v>
      </c>
      <c r="L628" s="415" t="s">
        <v>32</v>
      </c>
      <c r="M628" s="419" t="s">
        <v>1465</v>
      </c>
      <c r="N628" s="413">
        <v>44866</v>
      </c>
      <c r="O628" s="414" t="s">
        <v>408</v>
      </c>
      <c r="P628" s="655">
        <f t="shared" si="32"/>
        <v>11</v>
      </c>
      <c r="Q628" s="655">
        <f t="shared" si="33"/>
        <v>10</v>
      </c>
      <c r="R628" s="758" t="str">
        <f t="shared" si="31"/>
        <v>Gastos_custeados_por_captação</v>
      </c>
      <c r="S628" s="697" t="s">
        <v>1000</v>
      </c>
      <c r="T628" s="697">
        <v>2661</v>
      </c>
    </row>
    <row r="629" spans="1:20" ht="48" x14ac:dyDescent="0.2">
      <c r="A629" s="432">
        <f>IF(B629="","",COUNT('Diário 1º PA'!$A$4:$A$2635)+COUNT('Diário 2º PA'!$A$4:$A$3040)+COUNT('Diário 3º PA'!$A$4:$A$2731)+ROW()-3)</f>
        <v>6654</v>
      </c>
      <c r="B629" s="413">
        <v>44866</v>
      </c>
      <c r="C629" s="431">
        <v>44835</v>
      </c>
      <c r="D629" s="419" t="s">
        <v>468</v>
      </c>
      <c r="E629" s="419" t="s">
        <v>468</v>
      </c>
      <c r="F629" s="422">
        <v>2650</v>
      </c>
      <c r="G629" s="427" t="s">
        <v>697</v>
      </c>
      <c r="H629" s="419" t="s">
        <v>468</v>
      </c>
      <c r="I629" s="415" t="s">
        <v>2466</v>
      </c>
      <c r="J629" s="415" t="s">
        <v>1128</v>
      </c>
      <c r="K629" s="419" t="s">
        <v>830</v>
      </c>
      <c r="L629" s="415" t="s">
        <v>32</v>
      </c>
      <c r="M629" s="419" t="s">
        <v>6518</v>
      </c>
      <c r="N629" s="413">
        <v>44866</v>
      </c>
      <c r="O629" s="414" t="s">
        <v>408</v>
      </c>
      <c r="P629" s="655">
        <f t="shared" si="32"/>
        <v>11</v>
      </c>
      <c r="Q629" s="655">
        <f t="shared" si="33"/>
        <v>10</v>
      </c>
      <c r="R629" s="758" t="str">
        <f t="shared" si="31"/>
        <v>Gastos_custeados_por_captação</v>
      </c>
      <c r="S629" s="697" t="s">
        <v>1000</v>
      </c>
      <c r="T629" s="697">
        <v>2687</v>
      </c>
    </row>
    <row r="630" spans="1:20" ht="60" x14ac:dyDescent="0.2">
      <c r="A630" s="432">
        <f>IF(B630="","",COUNT('Diário 1º PA'!$A$4:$A$2635)+COUNT('Diário 2º PA'!$A$4:$A$3040)+COUNT('Diário 3º PA'!$A$4:$A$2731)+ROW()-3)</f>
        <v>6655</v>
      </c>
      <c r="B630" s="413">
        <v>44866</v>
      </c>
      <c r="C630" s="431">
        <v>44835</v>
      </c>
      <c r="D630" s="419" t="s">
        <v>468</v>
      </c>
      <c r="E630" s="419" t="s">
        <v>468</v>
      </c>
      <c r="F630" s="422">
        <v>4400</v>
      </c>
      <c r="G630" s="427" t="s">
        <v>701</v>
      </c>
      <c r="H630" s="419" t="s">
        <v>468</v>
      </c>
      <c r="I630" s="415" t="s">
        <v>2465</v>
      </c>
      <c r="J630" s="415" t="s">
        <v>1131</v>
      </c>
      <c r="K630" s="419" t="s">
        <v>830</v>
      </c>
      <c r="L630" s="415" t="s">
        <v>32</v>
      </c>
      <c r="M630" s="419" t="s">
        <v>1793</v>
      </c>
      <c r="N630" s="413">
        <v>44866</v>
      </c>
      <c r="O630" s="414" t="s">
        <v>408</v>
      </c>
      <c r="P630" s="655">
        <f t="shared" si="32"/>
        <v>11</v>
      </c>
      <c r="Q630" s="655">
        <f t="shared" si="33"/>
        <v>10</v>
      </c>
      <c r="R630" s="758" t="str">
        <f t="shared" si="31"/>
        <v>Gastos_custeados_por_captação</v>
      </c>
      <c r="S630" s="697" t="s">
        <v>1000</v>
      </c>
      <c r="T630" s="697">
        <v>2641</v>
      </c>
    </row>
    <row r="631" spans="1:20" ht="36" x14ac:dyDescent="0.2">
      <c r="A631" s="432">
        <f>IF(B631="","",COUNT('Diário 1º PA'!$A$4:$A$2635)+COUNT('Diário 2º PA'!$A$4:$A$3040)+COUNT('Diário 3º PA'!$A$4:$A$2731)+ROW()-3)</f>
        <v>6656</v>
      </c>
      <c r="B631" s="413">
        <v>44866</v>
      </c>
      <c r="C631" s="431">
        <v>44835</v>
      </c>
      <c r="D631" s="419" t="s">
        <v>468</v>
      </c>
      <c r="E631" s="419" t="s">
        <v>468</v>
      </c>
      <c r="F631" s="422">
        <v>2750</v>
      </c>
      <c r="G631" s="427" t="s">
        <v>4429</v>
      </c>
      <c r="H631" s="419" t="s">
        <v>468</v>
      </c>
      <c r="I631" s="415" t="s">
        <v>5610</v>
      </c>
      <c r="J631" s="415" t="s">
        <v>2456</v>
      </c>
      <c r="K631" s="419" t="s">
        <v>830</v>
      </c>
      <c r="L631" s="415" t="s">
        <v>32</v>
      </c>
      <c r="M631" s="419" t="s">
        <v>1465</v>
      </c>
      <c r="N631" s="413">
        <v>44866</v>
      </c>
      <c r="O631" s="414" t="s">
        <v>408</v>
      </c>
      <c r="P631" s="655">
        <f t="shared" si="32"/>
        <v>11</v>
      </c>
      <c r="Q631" s="655">
        <f t="shared" si="33"/>
        <v>10</v>
      </c>
      <c r="R631" s="758" t="str">
        <f t="shared" si="31"/>
        <v>Gastos_custeados_por_captação</v>
      </c>
      <c r="S631" s="697" t="s">
        <v>1000</v>
      </c>
      <c r="T631" s="697">
        <v>3804</v>
      </c>
    </row>
    <row r="632" spans="1:20" ht="48" x14ac:dyDescent="0.2">
      <c r="A632" s="432">
        <f>IF(B632="","",COUNT('Diário 1º PA'!$A$4:$A$2635)+COUNT('Diário 2º PA'!$A$4:$A$3040)+COUNT('Diário 3º PA'!$A$4:$A$2731)+ROW()-3)</f>
        <v>6657</v>
      </c>
      <c r="B632" s="413">
        <v>44866</v>
      </c>
      <c r="C632" s="431">
        <v>44835</v>
      </c>
      <c r="D632" s="419" t="s">
        <v>468</v>
      </c>
      <c r="E632" s="419" t="s">
        <v>468</v>
      </c>
      <c r="F632" s="422">
        <v>2750</v>
      </c>
      <c r="G632" s="427" t="s">
        <v>694</v>
      </c>
      <c r="H632" s="419" t="s">
        <v>468</v>
      </c>
      <c r="I632" s="415" t="s">
        <v>2406</v>
      </c>
      <c r="J632" s="415" t="s">
        <v>1148</v>
      </c>
      <c r="K632" s="419" t="s">
        <v>830</v>
      </c>
      <c r="L632" s="415" t="s">
        <v>32</v>
      </c>
      <c r="M632" s="419" t="s">
        <v>3075</v>
      </c>
      <c r="N632" s="413">
        <v>44866</v>
      </c>
      <c r="O632" s="414" t="s">
        <v>408</v>
      </c>
      <c r="P632" s="655">
        <f t="shared" si="32"/>
        <v>11</v>
      </c>
      <c r="Q632" s="655">
        <f t="shared" si="33"/>
        <v>10</v>
      </c>
      <c r="R632" s="758" t="str">
        <f t="shared" si="31"/>
        <v>Gastos_custeados_por_captação</v>
      </c>
      <c r="S632" s="697" t="s">
        <v>1000</v>
      </c>
      <c r="T632" s="697">
        <v>2662</v>
      </c>
    </row>
    <row r="633" spans="1:20" ht="60" x14ac:dyDescent="0.2">
      <c r="A633" s="432">
        <f>IF(B633="","",COUNT('Diário 1º PA'!$A$4:$A$2635)+COUNT('Diário 2º PA'!$A$4:$A$3040)+COUNT('Diário 3º PA'!$A$4:$A$2731)+ROW()-3)</f>
        <v>6658</v>
      </c>
      <c r="B633" s="413">
        <v>44866</v>
      </c>
      <c r="C633" s="431">
        <v>44835</v>
      </c>
      <c r="D633" s="419" t="s">
        <v>468</v>
      </c>
      <c r="E633" s="419" t="s">
        <v>468</v>
      </c>
      <c r="F633" s="422">
        <v>2500</v>
      </c>
      <c r="G633" s="423" t="s">
        <v>4311</v>
      </c>
      <c r="H633" s="419" t="s">
        <v>468</v>
      </c>
      <c r="I633" s="415" t="s">
        <v>6428</v>
      </c>
      <c r="J633" s="415" t="s">
        <v>4312</v>
      </c>
      <c r="K633" s="419" t="s">
        <v>830</v>
      </c>
      <c r="L633" s="415" t="s">
        <v>32</v>
      </c>
      <c r="M633" s="419" t="s">
        <v>1308</v>
      </c>
      <c r="N633" s="413">
        <v>44866</v>
      </c>
      <c r="O633" s="414" t="s">
        <v>408</v>
      </c>
      <c r="P633" s="655">
        <f t="shared" si="32"/>
        <v>11</v>
      </c>
      <c r="Q633" s="655">
        <f t="shared" si="33"/>
        <v>10</v>
      </c>
      <c r="R633" s="758" t="str">
        <f t="shared" si="31"/>
        <v>Gastos_custeados_por_captação</v>
      </c>
      <c r="S633" s="697" t="s">
        <v>1000</v>
      </c>
      <c r="T633" s="697">
        <v>3688</v>
      </c>
    </row>
    <row r="634" spans="1:20" ht="60" x14ac:dyDescent="0.2">
      <c r="A634" s="432">
        <f>IF(B634="","",COUNT('Diário 1º PA'!$A$4:$A$2635)+COUNT('Diário 2º PA'!$A$4:$A$3040)+COUNT('Diário 3º PA'!$A$4:$A$2731)+ROW()-3)</f>
        <v>6659</v>
      </c>
      <c r="B634" s="413">
        <v>44866</v>
      </c>
      <c r="C634" s="431">
        <v>44835</v>
      </c>
      <c r="D634" s="419" t="s">
        <v>468</v>
      </c>
      <c r="E634" s="419" t="s">
        <v>468</v>
      </c>
      <c r="F634" s="422">
        <v>2200</v>
      </c>
      <c r="G634" s="427" t="s">
        <v>4477</v>
      </c>
      <c r="H634" s="419" t="s">
        <v>468</v>
      </c>
      <c r="I634" s="415" t="s">
        <v>6401</v>
      </c>
      <c r="J634" s="415" t="s">
        <v>4478</v>
      </c>
      <c r="K634" s="419" t="s">
        <v>830</v>
      </c>
      <c r="L634" s="415" t="s">
        <v>32</v>
      </c>
      <c r="M634" s="419" t="s">
        <v>1308</v>
      </c>
      <c r="N634" s="413">
        <v>44866</v>
      </c>
      <c r="O634" s="414" t="s">
        <v>408</v>
      </c>
      <c r="P634" s="655">
        <f t="shared" si="32"/>
        <v>11</v>
      </c>
      <c r="Q634" s="655">
        <f t="shared" si="33"/>
        <v>10</v>
      </c>
      <c r="R634" s="758" t="str">
        <f t="shared" si="31"/>
        <v>Gastos_custeados_por_captação</v>
      </c>
      <c r="S634" s="697" t="s">
        <v>1000</v>
      </c>
      <c r="T634" s="697">
        <v>3829</v>
      </c>
    </row>
    <row r="635" spans="1:20" ht="36" x14ac:dyDescent="0.2">
      <c r="A635" s="432">
        <f>IF(B635="","",COUNT('Diário 1º PA'!$A$4:$A$2635)+COUNT('Diário 2º PA'!$A$4:$A$3040)+COUNT('Diário 3º PA'!$A$4:$A$2731)+ROW()-3)</f>
        <v>6660</v>
      </c>
      <c r="B635" s="413">
        <v>44866</v>
      </c>
      <c r="C635" s="431">
        <v>44835</v>
      </c>
      <c r="D635" s="419" t="s">
        <v>468</v>
      </c>
      <c r="E635" s="419" t="s">
        <v>468</v>
      </c>
      <c r="F635" s="422">
        <v>3820</v>
      </c>
      <c r="G635" s="427" t="s">
        <v>695</v>
      </c>
      <c r="H635" s="419" t="s">
        <v>468</v>
      </c>
      <c r="I635" s="415" t="s">
        <v>2405</v>
      </c>
      <c r="J635" s="415" t="s">
        <v>1125</v>
      </c>
      <c r="K635" s="419" t="s">
        <v>830</v>
      </c>
      <c r="L635" s="415" t="s">
        <v>32</v>
      </c>
      <c r="M635" s="419" t="s">
        <v>1892</v>
      </c>
      <c r="N635" s="413">
        <v>44866</v>
      </c>
      <c r="O635" s="414" t="s">
        <v>408</v>
      </c>
      <c r="P635" s="655">
        <f t="shared" si="32"/>
        <v>11</v>
      </c>
      <c r="Q635" s="655">
        <f t="shared" si="33"/>
        <v>10</v>
      </c>
      <c r="R635" s="758" t="str">
        <f t="shared" si="31"/>
        <v>Gastos_custeados_por_captação</v>
      </c>
      <c r="S635" s="697" t="s">
        <v>1000</v>
      </c>
      <c r="T635" s="697">
        <v>2631</v>
      </c>
    </row>
    <row r="636" spans="1:20" ht="36" x14ac:dyDescent="0.2">
      <c r="A636" s="432">
        <f>IF(B636="","",COUNT('Diário 1º PA'!$A$4:$A$2635)+COUNT('Diário 2º PA'!$A$4:$A$3040)+COUNT('Diário 3º PA'!$A$4:$A$2731)+ROW()-3)</f>
        <v>6661</v>
      </c>
      <c r="B636" s="413">
        <v>44866</v>
      </c>
      <c r="C636" s="431">
        <v>44835</v>
      </c>
      <c r="D636" s="419" t="s">
        <v>468</v>
      </c>
      <c r="E636" s="419" t="s">
        <v>468</v>
      </c>
      <c r="F636" s="422">
        <v>4311.5600000000004</v>
      </c>
      <c r="G636" s="427" t="s">
        <v>693</v>
      </c>
      <c r="H636" s="419" t="s">
        <v>468</v>
      </c>
      <c r="I636" s="415" t="s">
        <v>5384</v>
      </c>
      <c r="J636" s="415" t="s">
        <v>1124</v>
      </c>
      <c r="K636" s="419" t="s">
        <v>830</v>
      </c>
      <c r="L636" s="415" t="s">
        <v>32</v>
      </c>
      <c r="M636" s="419" t="s">
        <v>1700</v>
      </c>
      <c r="N636" s="413">
        <v>44866</v>
      </c>
      <c r="O636" s="414" t="s">
        <v>408</v>
      </c>
      <c r="P636" s="655">
        <f t="shared" si="32"/>
        <v>11</v>
      </c>
      <c r="Q636" s="655">
        <f t="shared" si="33"/>
        <v>10</v>
      </c>
      <c r="R636" s="758" t="str">
        <f t="shared" si="31"/>
        <v>Gastos_custeados_por_captação</v>
      </c>
      <c r="S636" s="697" t="s">
        <v>1000</v>
      </c>
      <c r="T636" s="697">
        <v>2642</v>
      </c>
    </row>
    <row r="637" spans="1:20" ht="48" x14ac:dyDescent="0.2">
      <c r="A637" s="432">
        <f>IF(B637="","",COUNT('Diário 1º PA'!$A$4:$A$2635)+COUNT('Diário 2º PA'!$A$4:$A$3040)+COUNT('Diário 3º PA'!$A$4:$A$2731)+ROW()-3)</f>
        <v>6662</v>
      </c>
      <c r="B637" s="413">
        <v>44866</v>
      </c>
      <c r="C637" s="431">
        <v>44835</v>
      </c>
      <c r="D637" s="419" t="s">
        <v>468</v>
      </c>
      <c r="E637" s="419" t="s">
        <v>468</v>
      </c>
      <c r="F637" s="422">
        <v>2750</v>
      </c>
      <c r="G637" s="427" t="s">
        <v>5687</v>
      </c>
      <c r="H637" s="419" t="s">
        <v>468</v>
      </c>
      <c r="I637" s="415" t="s">
        <v>7685</v>
      </c>
      <c r="J637" s="415" t="s">
        <v>5688</v>
      </c>
      <c r="K637" s="419" t="s">
        <v>830</v>
      </c>
      <c r="L637" s="415" t="s">
        <v>32</v>
      </c>
      <c r="M637" s="419" t="s">
        <v>1793</v>
      </c>
      <c r="N637" s="413">
        <v>44868</v>
      </c>
      <c r="O637" s="414" t="s">
        <v>408</v>
      </c>
      <c r="P637" s="655">
        <f t="shared" si="32"/>
        <v>11</v>
      </c>
      <c r="Q637" s="655">
        <f t="shared" si="33"/>
        <v>10</v>
      </c>
      <c r="R637" s="758" t="str">
        <f t="shared" si="31"/>
        <v>Gastos_custeados_por_captação</v>
      </c>
      <c r="S637" s="697" t="s">
        <v>1000</v>
      </c>
      <c r="T637" s="697">
        <v>4014</v>
      </c>
    </row>
    <row r="638" spans="1:20" ht="60" x14ac:dyDescent="0.2">
      <c r="A638" s="432">
        <f>IF(B638="","",COUNT('Diário 1º PA'!$A$4:$A$2635)+COUNT('Diário 2º PA'!$A$4:$A$3040)+COUNT('Diário 3º PA'!$A$4:$A$2731)+ROW()-3)</f>
        <v>6663</v>
      </c>
      <c r="B638" s="413">
        <v>44868</v>
      </c>
      <c r="C638" s="431">
        <v>44835</v>
      </c>
      <c r="D638" s="415" t="s">
        <v>271</v>
      </c>
      <c r="E638" s="415" t="s">
        <v>139</v>
      </c>
      <c r="F638" s="425">
        <v>670.25</v>
      </c>
      <c r="G638" s="427" t="s">
        <v>7583</v>
      </c>
      <c r="H638" s="415" t="s">
        <v>309</v>
      </c>
      <c r="I638" s="415" t="s">
        <v>1302</v>
      </c>
      <c r="J638" s="415" t="s">
        <v>1066</v>
      </c>
      <c r="K638" s="419" t="s">
        <v>812</v>
      </c>
      <c r="L638" s="415" t="s">
        <v>32</v>
      </c>
      <c r="M638" s="734">
        <v>72406</v>
      </c>
      <c r="N638" s="413">
        <v>44846</v>
      </c>
      <c r="O638" s="414" t="s">
        <v>400</v>
      </c>
      <c r="P638" s="655">
        <f t="shared" si="32"/>
        <v>11</v>
      </c>
      <c r="Q638" s="655">
        <f t="shared" si="33"/>
        <v>10</v>
      </c>
      <c r="R638" s="758" t="str">
        <f t="shared" si="31"/>
        <v>Gastos_Gerais</v>
      </c>
      <c r="S638" s="697" t="s">
        <v>999</v>
      </c>
      <c r="T638" s="697">
        <v>4442</v>
      </c>
    </row>
    <row r="639" spans="1:20" ht="72" x14ac:dyDescent="0.2">
      <c r="A639" s="432">
        <f>IF(B639="","",COUNT('Diário 1º PA'!$A$4:$A$2635)+COUNT('Diário 2º PA'!$A$4:$A$3040)+COUNT('Diário 3º PA'!$A$4:$A$2731)+ROW()-3)</f>
        <v>6664</v>
      </c>
      <c r="B639" s="413">
        <v>44868</v>
      </c>
      <c r="C639" s="424">
        <v>44835</v>
      </c>
      <c r="D639" s="419" t="s">
        <v>271</v>
      </c>
      <c r="E639" s="419" t="s">
        <v>297</v>
      </c>
      <c r="F639" s="422">
        <v>97.2</v>
      </c>
      <c r="G639" s="423" t="s">
        <v>5949</v>
      </c>
      <c r="H639" s="419" t="s">
        <v>793</v>
      </c>
      <c r="I639" s="415" t="s">
        <v>1803</v>
      </c>
      <c r="J639" s="419" t="s">
        <v>991</v>
      </c>
      <c r="K639" s="419" t="s">
        <v>830</v>
      </c>
      <c r="L639" s="415" t="s">
        <v>798</v>
      </c>
      <c r="M639" s="419" t="s">
        <v>310</v>
      </c>
      <c r="N639" s="413">
        <v>44868</v>
      </c>
      <c r="O639" s="414" t="s">
        <v>400</v>
      </c>
      <c r="P639" s="655">
        <f t="shared" si="32"/>
        <v>11</v>
      </c>
      <c r="Q639" s="655">
        <f t="shared" si="33"/>
        <v>10</v>
      </c>
      <c r="R639" s="758" t="str">
        <f t="shared" si="31"/>
        <v>Gastos_Gerais</v>
      </c>
      <c r="S639" s="697" t="s">
        <v>1000</v>
      </c>
      <c r="T639" s="697">
        <v>2768</v>
      </c>
    </row>
    <row r="640" spans="1:20" ht="36" x14ac:dyDescent="0.2">
      <c r="A640" s="432">
        <f>IF(B640="","",COUNT('Diário 1º PA'!$A$4:$A$2635)+COUNT('Diário 2º PA'!$A$4:$A$3040)+COUNT('Diário 3º PA'!$A$4:$A$2731)+ROW()-3)</f>
        <v>6665</v>
      </c>
      <c r="B640" s="413">
        <v>44868</v>
      </c>
      <c r="C640" s="431">
        <v>44835</v>
      </c>
      <c r="D640" s="419" t="s">
        <v>271</v>
      </c>
      <c r="E640" s="415" t="s">
        <v>297</v>
      </c>
      <c r="F640" s="425">
        <v>356.77</v>
      </c>
      <c r="G640" s="427" t="s">
        <v>8071</v>
      </c>
      <c r="H640" s="419" t="s">
        <v>309</v>
      </c>
      <c r="I640" s="415" t="s">
        <v>1803</v>
      </c>
      <c r="J640" s="419" t="s">
        <v>991</v>
      </c>
      <c r="K640" s="419" t="s">
        <v>830</v>
      </c>
      <c r="L640" s="415" t="s">
        <v>798</v>
      </c>
      <c r="M640" s="419" t="s">
        <v>310</v>
      </c>
      <c r="N640" s="413">
        <v>44868</v>
      </c>
      <c r="O640" s="414" t="s">
        <v>400</v>
      </c>
      <c r="P640" s="655">
        <f t="shared" si="32"/>
        <v>11</v>
      </c>
      <c r="Q640" s="655">
        <f t="shared" si="33"/>
        <v>10</v>
      </c>
      <c r="R640" s="758" t="str">
        <f t="shared" si="31"/>
        <v>Gastos_Gerais</v>
      </c>
      <c r="S640" s="697" t="s">
        <v>998</v>
      </c>
      <c r="T640" s="697">
        <v>4690</v>
      </c>
    </row>
    <row r="641" spans="1:20" ht="168" x14ac:dyDescent="0.2">
      <c r="A641" s="432">
        <f>IF(B641="","",COUNT('Diário 1º PA'!$A$4:$A$2635)+COUNT('Diário 2º PA'!$A$4:$A$3040)+COUNT('Diário 3º PA'!$A$4:$A$2731)+ROW()-3)</f>
        <v>6666</v>
      </c>
      <c r="B641" s="413">
        <v>44868</v>
      </c>
      <c r="C641" s="431">
        <v>44835</v>
      </c>
      <c r="D641" s="415" t="s">
        <v>271</v>
      </c>
      <c r="E641" s="415" t="s">
        <v>442</v>
      </c>
      <c r="F641" s="425">
        <v>1200</v>
      </c>
      <c r="G641" s="427" t="s">
        <v>7614</v>
      </c>
      <c r="H641" s="415" t="s">
        <v>751</v>
      </c>
      <c r="I641" s="415" t="s">
        <v>8077</v>
      </c>
      <c r="J641" s="415" t="s">
        <v>7599</v>
      </c>
      <c r="K641" s="419" t="s">
        <v>830</v>
      </c>
      <c r="L641" s="415" t="s">
        <v>32</v>
      </c>
      <c r="M641" s="415" t="s">
        <v>1890</v>
      </c>
      <c r="N641" s="413">
        <v>44867</v>
      </c>
      <c r="O641" s="414" t="s">
        <v>400</v>
      </c>
      <c r="P641" s="655">
        <f t="shared" si="32"/>
        <v>11</v>
      </c>
      <c r="Q641" s="655">
        <f t="shared" si="33"/>
        <v>10</v>
      </c>
      <c r="R641" s="758" t="str">
        <f t="shared" si="31"/>
        <v>Gastos_Gerais</v>
      </c>
      <c r="S641" s="697" t="s">
        <v>998</v>
      </c>
      <c r="T641" s="697">
        <v>4436</v>
      </c>
    </row>
    <row r="642" spans="1:20" ht="132" x14ac:dyDescent="0.2">
      <c r="A642" s="432">
        <f>IF(B642="","",COUNT('Diário 1º PA'!$A$4:$A$2635)+COUNT('Diário 2º PA'!$A$4:$A$3040)+COUNT('Diário 3º PA'!$A$4:$A$2731)+ROW()-3)</f>
        <v>6667</v>
      </c>
      <c r="B642" s="413">
        <v>44868</v>
      </c>
      <c r="C642" s="431">
        <v>44835</v>
      </c>
      <c r="D642" s="415" t="s">
        <v>271</v>
      </c>
      <c r="E642" s="415" t="s">
        <v>442</v>
      </c>
      <c r="F642" s="425">
        <v>800</v>
      </c>
      <c r="G642" s="427" t="s">
        <v>7615</v>
      </c>
      <c r="H642" s="415" t="s">
        <v>751</v>
      </c>
      <c r="I642" s="415" t="s">
        <v>8076</v>
      </c>
      <c r="J642" s="415" t="s">
        <v>7599</v>
      </c>
      <c r="K642" s="419" t="s">
        <v>830</v>
      </c>
      <c r="L642" s="415" t="s">
        <v>32</v>
      </c>
      <c r="M642" s="419" t="s">
        <v>1696</v>
      </c>
      <c r="N642" s="413">
        <v>44867</v>
      </c>
      <c r="O642" s="414" t="s">
        <v>400</v>
      </c>
      <c r="P642" s="655">
        <f t="shared" si="32"/>
        <v>11</v>
      </c>
      <c r="Q642" s="655">
        <f t="shared" si="33"/>
        <v>10</v>
      </c>
      <c r="R642" s="758" t="str">
        <f t="shared" si="31"/>
        <v>Gastos_Gerais</v>
      </c>
      <c r="S642" s="697" t="s">
        <v>998</v>
      </c>
      <c r="T642" s="697">
        <v>4435</v>
      </c>
    </row>
    <row r="643" spans="1:20" ht="48" x14ac:dyDescent="0.2">
      <c r="A643" s="432">
        <f>IF(B643="","",COUNT('Diário 1º PA'!$A$4:$A$2635)+COUNT('Diário 2º PA'!$A$4:$A$3040)+COUNT('Diário 3º PA'!$A$4:$A$2731)+ROW()-3)</f>
        <v>6668</v>
      </c>
      <c r="B643" s="413">
        <v>44868</v>
      </c>
      <c r="C643" s="431">
        <v>44835</v>
      </c>
      <c r="D643" s="415" t="s">
        <v>271</v>
      </c>
      <c r="E643" s="415" t="s">
        <v>442</v>
      </c>
      <c r="F643" s="425">
        <v>1600</v>
      </c>
      <c r="G643" s="427" t="s">
        <v>7598</v>
      </c>
      <c r="H643" s="415" t="s">
        <v>751</v>
      </c>
      <c r="I643" s="415" t="s">
        <v>8077</v>
      </c>
      <c r="J643" s="415" t="s">
        <v>7599</v>
      </c>
      <c r="K643" s="419" t="s">
        <v>830</v>
      </c>
      <c r="L643" s="415" t="s">
        <v>32</v>
      </c>
      <c r="M643" s="419" t="s">
        <v>1540</v>
      </c>
      <c r="N643" s="413">
        <v>44867</v>
      </c>
      <c r="O643" s="414" t="s">
        <v>400</v>
      </c>
      <c r="P643" s="655">
        <f t="shared" si="32"/>
        <v>11</v>
      </c>
      <c r="Q643" s="655">
        <f t="shared" si="33"/>
        <v>10</v>
      </c>
      <c r="R643" s="758" t="str">
        <f t="shared" si="31"/>
        <v>Gastos_Gerais</v>
      </c>
      <c r="S643" s="697" t="s">
        <v>998</v>
      </c>
      <c r="T643" s="697">
        <v>4437</v>
      </c>
    </row>
    <row r="644" spans="1:20" ht="168" x14ac:dyDescent="0.2">
      <c r="A644" s="432">
        <f>IF(B644="","",COUNT('Diário 1º PA'!$A$4:$A$2635)+COUNT('Diário 2º PA'!$A$4:$A$3040)+COUNT('Diário 3º PA'!$A$4:$A$2731)+ROW()-3)</f>
        <v>6669</v>
      </c>
      <c r="B644" s="413">
        <v>44868</v>
      </c>
      <c r="C644" s="431">
        <v>44835</v>
      </c>
      <c r="D644" s="415" t="s">
        <v>271</v>
      </c>
      <c r="E644" s="415" t="s">
        <v>442</v>
      </c>
      <c r="F644" s="422">
        <v>2939.7</v>
      </c>
      <c r="G644" s="427" t="s">
        <v>7597</v>
      </c>
      <c r="H644" s="415" t="s">
        <v>751</v>
      </c>
      <c r="I644" s="415" t="s">
        <v>8078</v>
      </c>
      <c r="J644" s="415" t="s">
        <v>7596</v>
      </c>
      <c r="K644" s="419" t="s">
        <v>830</v>
      </c>
      <c r="L644" s="415" t="s">
        <v>32</v>
      </c>
      <c r="M644" s="419" t="s">
        <v>6983</v>
      </c>
      <c r="N644" s="413">
        <v>44867</v>
      </c>
      <c r="O644" s="414" t="s">
        <v>400</v>
      </c>
      <c r="P644" s="655">
        <f t="shared" si="32"/>
        <v>11</v>
      </c>
      <c r="Q644" s="655">
        <f t="shared" si="33"/>
        <v>10</v>
      </c>
      <c r="R644" s="758" t="str">
        <f t="shared" si="31"/>
        <v>Gastos_Gerais</v>
      </c>
      <c r="S644" s="697" t="s">
        <v>998</v>
      </c>
      <c r="T644" s="697">
        <v>4449</v>
      </c>
    </row>
    <row r="645" spans="1:20" ht="108" x14ac:dyDescent="0.2">
      <c r="A645" s="432">
        <f>IF(B645="","",COUNT('Diário 1º PA'!$A$4:$A$2635)+COUNT('Diário 2º PA'!$A$4:$A$3040)+COUNT('Diário 3º PA'!$A$4:$A$2731)+ROW()-3)</f>
        <v>6670</v>
      </c>
      <c r="B645" s="413">
        <v>44868</v>
      </c>
      <c r="C645" s="431">
        <v>44835</v>
      </c>
      <c r="D645" s="415" t="s">
        <v>271</v>
      </c>
      <c r="E645" s="415" t="s">
        <v>90</v>
      </c>
      <c r="F645" s="425">
        <v>2537.5500000000002</v>
      </c>
      <c r="G645" s="427" t="s">
        <v>4128</v>
      </c>
      <c r="H645" s="419" t="s">
        <v>793</v>
      </c>
      <c r="I645" s="415" t="s">
        <v>5918</v>
      </c>
      <c r="J645" s="415" t="s">
        <v>4127</v>
      </c>
      <c r="K645" s="419" t="s">
        <v>830</v>
      </c>
      <c r="L645" s="415" t="s">
        <v>839</v>
      </c>
      <c r="M645" s="419">
        <v>4321</v>
      </c>
      <c r="N645" s="413">
        <v>44866</v>
      </c>
      <c r="O645" s="414" t="s">
        <v>400</v>
      </c>
      <c r="P645" s="655">
        <f t="shared" si="32"/>
        <v>11</v>
      </c>
      <c r="Q645" s="655">
        <f t="shared" si="33"/>
        <v>10</v>
      </c>
      <c r="R645" s="758" t="str">
        <f t="shared" ref="R645:R687" si="34">SUBSTITUTE(D645," ","_")</f>
        <v>Gastos_Gerais</v>
      </c>
      <c r="S645" s="697" t="s">
        <v>1000</v>
      </c>
      <c r="T645" s="697">
        <v>4321</v>
      </c>
    </row>
    <row r="646" spans="1:20" ht="96" x14ac:dyDescent="0.2">
      <c r="A646" s="432">
        <f>IF(B646="","",COUNT('Diário 1º PA'!$A$4:$A$2635)+COUNT('Diário 2º PA'!$A$4:$A$3040)+COUNT('Diário 3º PA'!$A$4:$A$2731)+ROW()-3)</f>
        <v>6671</v>
      </c>
      <c r="B646" s="413">
        <v>44868</v>
      </c>
      <c r="C646" s="431">
        <v>44835</v>
      </c>
      <c r="D646" s="415" t="s">
        <v>271</v>
      </c>
      <c r="E646" s="415" t="s">
        <v>442</v>
      </c>
      <c r="F646" s="422">
        <v>2939.7</v>
      </c>
      <c r="G646" s="427" t="s">
        <v>7595</v>
      </c>
      <c r="H646" s="415" t="s">
        <v>751</v>
      </c>
      <c r="I646" s="415" t="s">
        <v>8078</v>
      </c>
      <c r="J646" s="415" t="s">
        <v>7596</v>
      </c>
      <c r="K646" s="419" t="s">
        <v>830</v>
      </c>
      <c r="L646" s="415" t="s">
        <v>32</v>
      </c>
      <c r="M646" s="419" t="s">
        <v>6816</v>
      </c>
      <c r="N646" s="413">
        <v>44867</v>
      </c>
      <c r="O646" s="414" t="s">
        <v>400</v>
      </c>
      <c r="P646" s="655">
        <f t="shared" si="32"/>
        <v>11</v>
      </c>
      <c r="Q646" s="655">
        <f t="shared" si="33"/>
        <v>10</v>
      </c>
      <c r="R646" s="758" t="str">
        <f t="shared" si="34"/>
        <v>Gastos_Gerais</v>
      </c>
      <c r="S646" s="697" t="s">
        <v>998</v>
      </c>
      <c r="T646" s="697">
        <v>4448</v>
      </c>
    </row>
    <row r="647" spans="1:20" ht="108" x14ac:dyDescent="0.2">
      <c r="A647" s="432">
        <f>IF(B647="","",COUNT('Diário 1º PA'!$A$4:$A$2635)+COUNT('Diário 2º PA'!$A$4:$A$3040)+COUNT('Diário 3º PA'!$A$4:$A$2731)+ROW()-3)</f>
        <v>6672</v>
      </c>
      <c r="B647" s="413">
        <v>44868</v>
      </c>
      <c r="C647" s="431">
        <v>44835</v>
      </c>
      <c r="D647" s="415" t="s">
        <v>271</v>
      </c>
      <c r="E647" s="415" t="s">
        <v>90</v>
      </c>
      <c r="F647" s="425">
        <v>1800</v>
      </c>
      <c r="G647" s="427" t="s">
        <v>7384</v>
      </c>
      <c r="H647" s="419" t="s">
        <v>760</v>
      </c>
      <c r="I647" s="415" t="s">
        <v>7508</v>
      </c>
      <c r="J647" s="415" t="s">
        <v>7385</v>
      </c>
      <c r="K647" s="419" t="s">
        <v>830</v>
      </c>
      <c r="L647" s="415" t="s">
        <v>32</v>
      </c>
      <c r="M647" s="419">
        <v>17</v>
      </c>
      <c r="N647" s="413">
        <v>44867</v>
      </c>
      <c r="O647" s="414" t="s">
        <v>400</v>
      </c>
      <c r="P647" s="655">
        <f t="shared" si="32"/>
        <v>11</v>
      </c>
      <c r="Q647" s="655">
        <f t="shared" si="33"/>
        <v>10</v>
      </c>
      <c r="R647" s="758" t="str">
        <f t="shared" si="34"/>
        <v>Gastos_Gerais</v>
      </c>
      <c r="S647" s="697" t="s">
        <v>1000</v>
      </c>
      <c r="T647" s="697">
        <v>4313</v>
      </c>
    </row>
    <row r="648" spans="1:20" ht="36" x14ac:dyDescent="0.2">
      <c r="A648" s="432">
        <f>IF(B648="","",COUNT('Diário 1º PA'!$A$4:$A$2635)+COUNT('Diário 2º PA'!$A$4:$A$3040)+COUNT('Diário 3º PA'!$A$4:$A$2731)+ROW()-3)</f>
        <v>6673</v>
      </c>
      <c r="B648" s="413">
        <v>44868</v>
      </c>
      <c r="C648" s="431">
        <v>44866</v>
      </c>
      <c r="D648" s="419" t="s">
        <v>271</v>
      </c>
      <c r="E648" s="419" t="s">
        <v>71</v>
      </c>
      <c r="F648" s="422">
        <v>11</v>
      </c>
      <c r="G648" s="423" t="s">
        <v>6123</v>
      </c>
      <c r="H648" s="419" t="s">
        <v>793</v>
      </c>
      <c r="I648" s="415" t="s">
        <v>881</v>
      </c>
      <c r="J648" s="419" t="s">
        <v>882</v>
      </c>
      <c r="K648" s="419" t="s">
        <v>883</v>
      </c>
      <c r="L648" s="415" t="s">
        <v>798</v>
      </c>
      <c r="M648" s="419" t="s">
        <v>310</v>
      </c>
      <c r="N648" s="413">
        <v>44868</v>
      </c>
      <c r="O648" s="414" t="s">
        <v>400</v>
      </c>
      <c r="P648" s="655">
        <f t="shared" si="32"/>
        <v>11</v>
      </c>
      <c r="Q648" s="655">
        <f t="shared" si="33"/>
        <v>11</v>
      </c>
      <c r="R648" s="758" t="str">
        <f t="shared" si="34"/>
        <v>Gastos_Gerais</v>
      </c>
      <c r="S648" s="697" t="s">
        <v>310</v>
      </c>
      <c r="T648" s="697" t="s">
        <v>310</v>
      </c>
    </row>
    <row r="649" spans="1:20" ht="36" x14ac:dyDescent="0.2">
      <c r="A649" s="432">
        <f>IF(B649="","",COUNT('Diário 1º PA'!$A$4:$A$2635)+COUNT('Diário 2º PA'!$A$4:$A$3040)+COUNT('Diário 3º PA'!$A$4:$A$2731)+ROW()-3)</f>
        <v>6674</v>
      </c>
      <c r="B649" s="413">
        <v>44868</v>
      </c>
      <c r="C649" s="431">
        <v>44866</v>
      </c>
      <c r="D649" s="419" t="s">
        <v>271</v>
      </c>
      <c r="E649" s="419" t="s">
        <v>71</v>
      </c>
      <c r="F649" s="422">
        <v>11</v>
      </c>
      <c r="G649" s="423" t="s">
        <v>8084</v>
      </c>
      <c r="H649" s="419" t="s">
        <v>309</v>
      </c>
      <c r="I649" s="415" t="s">
        <v>881</v>
      </c>
      <c r="J649" s="419" t="s">
        <v>882</v>
      </c>
      <c r="K649" s="419" t="s">
        <v>883</v>
      </c>
      <c r="L649" s="415" t="s">
        <v>798</v>
      </c>
      <c r="M649" s="419" t="s">
        <v>310</v>
      </c>
      <c r="N649" s="413">
        <v>44868</v>
      </c>
      <c r="O649" s="414" t="s">
        <v>400</v>
      </c>
      <c r="P649" s="655">
        <f t="shared" si="32"/>
        <v>11</v>
      </c>
      <c r="Q649" s="655">
        <f t="shared" si="33"/>
        <v>11</v>
      </c>
      <c r="R649" s="758" t="str">
        <f t="shared" si="34"/>
        <v>Gastos_Gerais</v>
      </c>
      <c r="S649" s="697" t="s">
        <v>310</v>
      </c>
      <c r="T649" s="697" t="s">
        <v>310</v>
      </c>
    </row>
    <row r="650" spans="1:20" ht="36" x14ac:dyDescent="0.2">
      <c r="A650" s="432">
        <f>IF(B650="","",COUNT('Diário 1º PA'!$A$4:$A$2635)+COUNT('Diário 2º PA'!$A$4:$A$3040)+COUNT('Diário 3º PA'!$A$4:$A$2731)+ROW()-3)</f>
        <v>6675</v>
      </c>
      <c r="B650" s="413">
        <v>44868</v>
      </c>
      <c r="C650" s="431">
        <v>44866</v>
      </c>
      <c r="D650" s="419" t="s">
        <v>271</v>
      </c>
      <c r="E650" s="419" t="s">
        <v>71</v>
      </c>
      <c r="F650" s="422">
        <v>11</v>
      </c>
      <c r="G650" s="423" t="s">
        <v>8085</v>
      </c>
      <c r="H650" s="415" t="s">
        <v>751</v>
      </c>
      <c r="I650" s="415" t="s">
        <v>881</v>
      </c>
      <c r="J650" s="419" t="s">
        <v>882</v>
      </c>
      <c r="K650" s="419" t="s">
        <v>883</v>
      </c>
      <c r="L650" s="415" t="s">
        <v>798</v>
      </c>
      <c r="M650" s="419" t="s">
        <v>310</v>
      </c>
      <c r="N650" s="413">
        <v>44868</v>
      </c>
      <c r="O650" s="414" t="s">
        <v>400</v>
      </c>
      <c r="P650" s="655">
        <f t="shared" si="32"/>
        <v>11</v>
      </c>
      <c r="Q650" s="655">
        <f t="shared" si="33"/>
        <v>11</v>
      </c>
      <c r="R650" s="758" t="str">
        <f t="shared" si="34"/>
        <v>Gastos_Gerais</v>
      </c>
      <c r="S650" s="697" t="s">
        <v>310</v>
      </c>
      <c r="T650" s="697" t="s">
        <v>310</v>
      </c>
    </row>
    <row r="651" spans="1:20" ht="36" x14ac:dyDescent="0.2">
      <c r="A651" s="432">
        <f>IF(B651="","",COUNT('Diário 1º PA'!$A$4:$A$2635)+COUNT('Diário 2º PA'!$A$4:$A$3040)+COUNT('Diário 3º PA'!$A$4:$A$2731)+ROW()-3)</f>
        <v>6676</v>
      </c>
      <c r="B651" s="413">
        <v>44868</v>
      </c>
      <c r="C651" s="431">
        <v>44866</v>
      </c>
      <c r="D651" s="419" t="s">
        <v>271</v>
      </c>
      <c r="E651" s="419" t="s">
        <v>71</v>
      </c>
      <c r="F651" s="422">
        <v>11</v>
      </c>
      <c r="G651" s="423" t="s">
        <v>8086</v>
      </c>
      <c r="H651" s="415" t="s">
        <v>751</v>
      </c>
      <c r="I651" s="415" t="s">
        <v>881</v>
      </c>
      <c r="J651" s="419" t="s">
        <v>882</v>
      </c>
      <c r="K651" s="419" t="s">
        <v>883</v>
      </c>
      <c r="L651" s="415" t="s">
        <v>798</v>
      </c>
      <c r="M651" s="419" t="s">
        <v>310</v>
      </c>
      <c r="N651" s="413">
        <v>44868</v>
      </c>
      <c r="O651" s="414" t="s">
        <v>400</v>
      </c>
      <c r="P651" s="655">
        <f t="shared" si="32"/>
        <v>11</v>
      </c>
      <c r="Q651" s="655">
        <f t="shared" si="33"/>
        <v>11</v>
      </c>
      <c r="R651" s="758" t="str">
        <f t="shared" si="34"/>
        <v>Gastos_Gerais</v>
      </c>
      <c r="S651" s="697" t="s">
        <v>310</v>
      </c>
      <c r="T651" s="697" t="s">
        <v>310</v>
      </c>
    </row>
    <row r="652" spans="1:20" ht="36" x14ac:dyDescent="0.2">
      <c r="A652" s="432">
        <f>IF(B652="","",COUNT('Diário 1º PA'!$A$4:$A$2635)+COUNT('Diário 2º PA'!$A$4:$A$3040)+COUNT('Diário 3º PA'!$A$4:$A$2731)+ROW()-3)</f>
        <v>6677</v>
      </c>
      <c r="B652" s="413">
        <v>44868</v>
      </c>
      <c r="C652" s="431">
        <v>44866</v>
      </c>
      <c r="D652" s="419" t="s">
        <v>271</v>
      </c>
      <c r="E652" s="419" t="s">
        <v>71</v>
      </c>
      <c r="F652" s="422">
        <v>11</v>
      </c>
      <c r="G652" s="423" t="s">
        <v>8087</v>
      </c>
      <c r="H652" s="415" t="s">
        <v>751</v>
      </c>
      <c r="I652" s="415" t="s">
        <v>881</v>
      </c>
      <c r="J652" s="419" t="s">
        <v>882</v>
      </c>
      <c r="K652" s="419" t="s">
        <v>883</v>
      </c>
      <c r="L652" s="415" t="s">
        <v>798</v>
      </c>
      <c r="M652" s="419" t="s">
        <v>310</v>
      </c>
      <c r="N652" s="413">
        <v>44868</v>
      </c>
      <c r="O652" s="414" t="s">
        <v>400</v>
      </c>
      <c r="P652" s="655">
        <f t="shared" si="32"/>
        <v>11</v>
      </c>
      <c r="Q652" s="655">
        <f t="shared" si="33"/>
        <v>11</v>
      </c>
      <c r="R652" s="758" t="str">
        <f t="shared" si="34"/>
        <v>Gastos_Gerais</v>
      </c>
      <c r="S652" s="697" t="s">
        <v>310</v>
      </c>
      <c r="T652" s="697" t="s">
        <v>310</v>
      </c>
    </row>
    <row r="653" spans="1:20" ht="36" x14ac:dyDescent="0.2">
      <c r="A653" s="432">
        <f>IF(B653="","",COUNT('Diário 1º PA'!$A$4:$A$2635)+COUNT('Diário 2º PA'!$A$4:$A$3040)+COUNT('Diário 3º PA'!$A$4:$A$2731)+ROW()-3)</f>
        <v>6678</v>
      </c>
      <c r="B653" s="413">
        <v>44868</v>
      </c>
      <c r="C653" s="431">
        <v>44866</v>
      </c>
      <c r="D653" s="419" t="s">
        <v>271</v>
      </c>
      <c r="E653" s="419" t="s">
        <v>71</v>
      </c>
      <c r="F653" s="422">
        <v>11</v>
      </c>
      <c r="G653" s="423" t="s">
        <v>8088</v>
      </c>
      <c r="H653" s="415" t="s">
        <v>751</v>
      </c>
      <c r="I653" s="415" t="s">
        <v>881</v>
      </c>
      <c r="J653" s="419" t="s">
        <v>882</v>
      </c>
      <c r="K653" s="419" t="s">
        <v>883</v>
      </c>
      <c r="L653" s="415" t="s">
        <v>798</v>
      </c>
      <c r="M653" s="419" t="s">
        <v>310</v>
      </c>
      <c r="N653" s="413">
        <v>44868</v>
      </c>
      <c r="O653" s="414" t="s">
        <v>400</v>
      </c>
      <c r="P653" s="655">
        <f t="shared" si="32"/>
        <v>11</v>
      </c>
      <c r="Q653" s="655">
        <f t="shared" si="33"/>
        <v>11</v>
      </c>
      <c r="R653" s="758" t="str">
        <f t="shared" si="34"/>
        <v>Gastos_Gerais</v>
      </c>
      <c r="S653" s="697" t="s">
        <v>310</v>
      </c>
      <c r="T653" s="697" t="s">
        <v>310</v>
      </c>
    </row>
    <row r="654" spans="1:20" ht="36" x14ac:dyDescent="0.2">
      <c r="A654" s="432">
        <f>IF(B654="","",COUNT('Diário 1º PA'!$A$4:$A$2635)+COUNT('Diário 2º PA'!$A$4:$A$3040)+COUNT('Diário 3º PA'!$A$4:$A$2731)+ROW()-3)</f>
        <v>6679</v>
      </c>
      <c r="B654" s="413">
        <v>44868</v>
      </c>
      <c r="C654" s="431">
        <v>44866</v>
      </c>
      <c r="D654" s="419" t="s">
        <v>271</v>
      </c>
      <c r="E654" s="419" t="s">
        <v>71</v>
      </c>
      <c r="F654" s="422">
        <v>11</v>
      </c>
      <c r="G654" s="423" t="s">
        <v>8089</v>
      </c>
      <c r="H654" s="419" t="s">
        <v>793</v>
      </c>
      <c r="I654" s="415" t="s">
        <v>881</v>
      </c>
      <c r="J654" s="419" t="s">
        <v>882</v>
      </c>
      <c r="K654" s="419" t="s">
        <v>883</v>
      </c>
      <c r="L654" s="415" t="s">
        <v>798</v>
      </c>
      <c r="M654" s="419" t="s">
        <v>310</v>
      </c>
      <c r="N654" s="413">
        <v>44868</v>
      </c>
      <c r="O654" s="414" t="s">
        <v>400</v>
      </c>
      <c r="P654" s="655">
        <f t="shared" si="32"/>
        <v>11</v>
      </c>
      <c r="Q654" s="655">
        <f t="shared" si="33"/>
        <v>11</v>
      </c>
      <c r="R654" s="758" t="str">
        <f t="shared" si="34"/>
        <v>Gastos_Gerais</v>
      </c>
      <c r="S654" s="697" t="s">
        <v>310</v>
      </c>
      <c r="T654" s="697" t="s">
        <v>310</v>
      </c>
    </row>
    <row r="655" spans="1:20" ht="36" x14ac:dyDescent="0.2">
      <c r="A655" s="432">
        <f>IF(B655="","",COUNT('Diário 1º PA'!$A$4:$A$2635)+COUNT('Diário 2º PA'!$A$4:$A$3040)+COUNT('Diário 3º PA'!$A$4:$A$2731)+ROW()-3)</f>
        <v>6680</v>
      </c>
      <c r="B655" s="413">
        <v>44868</v>
      </c>
      <c r="C655" s="431">
        <v>44866</v>
      </c>
      <c r="D655" s="419" t="s">
        <v>271</v>
      </c>
      <c r="E655" s="419" t="s">
        <v>71</v>
      </c>
      <c r="F655" s="422">
        <v>11</v>
      </c>
      <c r="G655" s="423" t="s">
        <v>8090</v>
      </c>
      <c r="H655" s="415" t="s">
        <v>751</v>
      </c>
      <c r="I655" s="415" t="s">
        <v>881</v>
      </c>
      <c r="J655" s="419" t="s">
        <v>882</v>
      </c>
      <c r="K655" s="419" t="s">
        <v>883</v>
      </c>
      <c r="L655" s="415" t="s">
        <v>798</v>
      </c>
      <c r="M655" s="419" t="s">
        <v>310</v>
      </c>
      <c r="N655" s="413">
        <v>44868</v>
      </c>
      <c r="O655" s="414" t="s">
        <v>400</v>
      </c>
      <c r="P655" s="655">
        <f t="shared" si="32"/>
        <v>11</v>
      </c>
      <c r="Q655" s="655">
        <f t="shared" si="33"/>
        <v>11</v>
      </c>
      <c r="R655" s="758" t="str">
        <f t="shared" si="34"/>
        <v>Gastos_Gerais</v>
      </c>
      <c r="S655" s="697" t="s">
        <v>310</v>
      </c>
      <c r="T655" s="697" t="s">
        <v>310</v>
      </c>
    </row>
    <row r="656" spans="1:20" ht="36" x14ac:dyDescent="0.2">
      <c r="A656" s="432">
        <f>IF(B656="","",COUNT('Diário 1º PA'!$A$4:$A$2635)+COUNT('Diário 2º PA'!$A$4:$A$3040)+COUNT('Diário 3º PA'!$A$4:$A$2731)+ROW()-3)</f>
        <v>6681</v>
      </c>
      <c r="B656" s="413">
        <v>44868</v>
      </c>
      <c r="C656" s="431">
        <v>44866</v>
      </c>
      <c r="D656" s="419" t="s">
        <v>271</v>
      </c>
      <c r="E656" s="419" t="s">
        <v>71</v>
      </c>
      <c r="F656" s="422">
        <v>11</v>
      </c>
      <c r="G656" s="423" t="s">
        <v>8091</v>
      </c>
      <c r="H656" s="419" t="s">
        <v>760</v>
      </c>
      <c r="I656" s="415" t="s">
        <v>881</v>
      </c>
      <c r="J656" s="419" t="s">
        <v>882</v>
      </c>
      <c r="K656" s="419" t="s">
        <v>883</v>
      </c>
      <c r="L656" s="415" t="s">
        <v>798</v>
      </c>
      <c r="M656" s="419" t="s">
        <v>310</v>
      </c>
      <c r="N656" s="413">
        <v>44868</v>
      </c>
      <c r="O656" s="414" t="s">
        <v>400</v>
      </c>
      <c r="P656" s="655">
        <f t="shared" si="32"/>
        <v>11</v>
      </c>
      <c r="Q656" s="655">
        <f t="shared" si="33"/>
        <v>11</v>
      </c>
      <c r="R656" s="758" t="str">
        <f t="shared" si="34"/>
        <v>Gastos_Gerais</v>
      </c>
      <c r="S656" s="697" t="s">
        <v>310</v>
      </c>
      <c r="T656" s="697" t="s">
        <v>310</v>
      </c>
    </row>
    <row r="657" spans="1:20" ht="48" x14ac:dyDescent="0.2">
      <c r="A657" s="432">
        <f>IF(B657="","",COUNT('Diário 1º PA'!$A$4:$A$2635)+COUNT('Diário 2º PA'!$A$4:$A$3040)+COUNT('Diário 3º PA'!$A$4:$A$2731)+ROW()-3)</f>
        <v>6682</v>
      </c>
      <c r="B657" s="413">
        <v>44868</v>
      </c>
      <c r="C657" s="431">
        <v>44835</v>
      </c>
      <c r="D657" s="419" t="s">
        <v>468</v>
      </c>
      <c r="E657" s="419" t="s">
        <v>468</v>
      </c>
      <c r="F657" s="422">
        <v>2939.7</v>
      </c>
      <c r="G657" s="427" t="s">
        <v>6833</v>
      </c>
      <c r="H657" s="419" t="s">
        <v>468</v>
      </c>
      <c r="I657" s="415" t="s">
        <v>4414</v>
      </c>
      <c r="J657" s="419" t="s">
        <v>9234</v>
      </c>
      <c r="K657" s="419" t="s">
        <v>830</v>
      </c>
      <c r="L657" s="415" t="s">
        <v>807</v>
      </c>
      <c r="M657" s="419" t="s">
        <v>2168</v>
      </c>
      <c r="N657" s="413">
        <v>44866</v>
      </c>
      <c r="O657" s="414" t="s">
        <v>405</v>
      </c>
      <c r="P657" s="655">
        <f t="shared" si="32"/>
        <v>11</v>
      </c>
      <c r="Q657" s="655">
        <f t="shared" si="33"/>
        <v>10</v>
      </c>
      <c r="R657" s="758" t="str">
        <f t="shared" si="34"/>
        <v>Gastos_custeados_por_captação</v>
      </c>
      <c r="S657" s="697" t="s">
        <v>1000</v>
      </c>
      <c r="T657" s="697">
        <v>4292</v>
      </c>
    </row>
    <row r="658" spans="1:20" ht="48" x14ac:dyDescent="0.2">
      <c r="A658" s="432">
        <f>IF(B658="","",COUNT('Diário 1º PA'!$A$4:$A$2635)+COUNT('Diário 2º PA'!$A$4:$A$3040)+COUNT('Diário 3º PA'!$A$4:$A$2731)+ROW()-3)</f>
        <v>6683</v>
      </c>
      <c r="B658" s="413">
        <v>44868</v>
      </c>
      <c r="C658" s="431">
        <v>44835</v>
      </c>
      <c r="D658" s="419" t="s">
        <v>468</v>
      </c>
      <c r="E658" s="419" t="s">
        <v>468</v>
      </c>
      <c r="F658" s="422">
        <v>1350</v>
      </c>
      <c r="G658" s="427" t="s">
        <v>7783</v>
      </c>
      <c r="H658" s="419" t="s">
        <v>468</v>
      </c>
      <c r="I658" s="415" t="s">
        <v>8206</v>
      </c>
      <c r="J658" s="415" t="s">
        <v>7784</v>
      </c>
      <c r="K658" s="419" t="s">
        <v>830</v>
      </c>
      <c r="L658" s="415" t="s">
        <v>807</v>
      </c>
      <c r="M658" s="419">
        <v>43</v>
      </c>
      <c r="N658" s="413">
        <v>44866</v>
      </c>
      <c r="O658" s="414" t="s">
        <v>405</v>
      </c>
      <c r="P658" s="655">
        <f t="shared" si="32"/>
        <v>11</v>
      </c>
      <c r="Q658" s="655">
        <f t="shared" si="33"/>
        <v>10</v>
      </c>
      <c r="R658" s="758" t="str">
        <f t="shared" si="34"/>
        <v>Gastos_custeados_por_captação</v>
      </c>
      <c r="S658" s="697" t="s">
        <v>998</v>
      </c>
      <c r="T658" s="697">
        <v>4571</v>
      </c>
    </row>
    <row r="659" spans="1:20" ht="60" x14ac:dyDescent="0.2">
      <c r="A659" s="432">
        <f>IF(B659="","",COUNT('Diário 1º PA'!$A$4:$A$2635)+COUNT('Diário 2º PA'!$A$4:$A$3040)+COUNT('Diário 3º PA'!$A$4:$A$2731)+ROW()-3)</f>
        <v>6684</v>
      </c>
      <c r="B659" s="413">
        <v>44868</v>
      </c>
      <c r="C659" s="431">
        <v>44835</v>
      </c>
      <c r="D659" s="419" t="s">
        <v>468</v>
      </c>
      <c r="E659" s="419" t="s">
        <v>468</v>
      </c>
      <c r="F659" s="422">
        <v>555.35</v>
      </c>
      <c r="G659" s="427" t="s">
        <v>7601</v>
      </c>
      <c r="H659" s="419" t="s">
        <v>468</v>
      </c>
      <c r="I659" s="415" t="s">
        <v>815</v>
      </c>
      <c r="J659" s="415" t="s">
        <v>816</v>
      </c>
      <c r="K659" s="419" t="s">
        <v>6338</v>
      </c>
      <c r="L659" s="415" t="s">
        <v>32</v>
      </c>
      <c r="M659" s="734">
        <v>331037</v>
      </c>
      <c r="N659" s="413">
        <v>44839</v>
      </c>
      <c r="O659" s="414" t="s">
        <v>404</v>
      </c>
      <c r="P659" s="655">
        <f t="shared" si="32"/>
        <v>11</v>
      </c>
      <c r="Q659" s="655">
        <f t="shared" si="33"/>
        <v>10</v>
      </c>
      <c r="R659" s="758" t="str">
        <f t="shared" si="34"/>
        <v>Gastos_custeados_por_captação</v>
      </c>
      <c r="S659" s="697" t="s">
        <v>999</v>
      </c>
      <c r="T659" s="697">
        <v>4463</v>
      </c>
    </row>
    <row r="660" spans="1:20" ht="48" x14ac:dyDescent="0.2">
      <c r="A660" s="432">
        <f>IF(B660="","",COUNT('Diário 1º PA'!$A$4:$A$2635)+COUNT('Diário 2º PA'!$A$4:$A$3040)+COUNT('Diário 3º PA'!$A$4:$A$2731)+ROW()-3)</f>
        <v>6685</v>
      </c>
      <c r="B660" s="413">
        <v>44868</v>
      </c>
      <c r="C660" s="431">
        <v>44835</v>
      </c>
      <c r="D660" s="419" t="s">
        <v>468</v>
      </c>
      <c r="E660" s="419" t="s">
        <v>468</v>
      </c>
      <c r="F660" s="422">
        <v>2522.5500000000002</v>
      </c>
      <c r="G660" s="427" t="s">
        <v>6835</v>
      </c>
      <c r="H660" s="419" t="s">
        <v>468</v>
      </c>
      <c r="I660" s="415" t="s">
        <v>2358</v>
      </c>
      <c r="J660" s="415" t="s">
        <v>1132</v>
      </c>
      <c r="K660" s="419" t="s">
        <v>830</v>
      </c>
      <c r="L660" s="415" t="s">
        <v>839</v>
      </c>
      <c r="M660" s="419">
        <v>2070</v>
      </c>
      <c r="N660" s="413">
        <v>44866</v>
      </c>
      <c r="O660" s="414" t="s">
        <v>404</v>
      </c>
      <c r="P660" s="655">
        <f t="shared" si="32"/>
        <v>11</v>
      </c>
      <c r="Q660" s="655">
        <f t="shared" si="33"/>
        <v>10</v>
      </c>
      <c r="R660" s="758" t="str">
        <f t="shared" si="34"/>
        <v>Gastos_custeados_por_captação</v>
      </c>
      <c r="S660" s="697" t="s">
        <v>1000</v>
      </c>
      <c r="T660" s="697">
        <v>4293</v>
      </c>
    </row>
    <row r="661" spans="1:20" ht="84" x14ac:dyDescent="0.2">
      <c r="A661" s="432">
        <f>IF(B661="","",COUNT('Diário 1º PA'!$A$4:$A$2635)+COUNT('Diário 2º PA'!$A$4:$A$3040)+COUNT('Diário 3º PA'!$A$4:$A$2731)+ROW()-3)</f>
        <v>6686</v>
      </c>
      <c r="B661" s="413">
        <v>44868</v>
      </c>
      <c r="C661" s="431">
        <v>44835</v>
      </c>
      <c r="D661" s="419" t="s">
        <v>468</v>
      </c>
      <c r="E661" s="419" t="s">
        <v>468</v>
      </c>
      <c r="F661" s="422">
        <v>2000</v>
      </c>
      <c r="G661" s="427" t="s">
        <v>7555</v>
      </c>
      <c r="H661" s="419" t="s">
        <v>468</v>
      </c>
      <c r="I661" s="415" t="s">
        <v>8234</v>
      </c>
      <c r="J661" s="415" t="s">
        <v>7556</v>
      </c>
      <c r="K661" s="419" t="s">
        <v>830</v>
      </c>
      <c r="L661" s="415" t="s">
        <v>32</v>
      </c>
      <c r="M661" s="419" t="s">
        <v>1308</v>
      </c>
      <c r="N661" s="413">
        <v>44866</v>
      </c>
      <c r="O661" s="414" t="s">
        <v>404</v>
      </c>
      <c r="P661" s="655">
        <f t="shared" si="32"/>
        <v>11</v>
      </c>
      <c r="Q661" s="655">
        <f t="shared" si="33"/>
        <v>10</v>
      </c>
      <c r="R661" s="758" t="str">
        <f t="shared" si="34"/>
        <v>Gastos_custeados_por_captação</v>
      </c>
      <c r="S661" s="697" t="s">
        <v>1000</v>
      </c>
      <c r="T661" s="697">
        <v>4320</v>
      </c>
    </row>
    <row r="662" spans="1:20" ht="36" x14ac:dyDescent="0.2">
      <c r="A662" s="432">
        <f>IF(B662="","",COUNT('Diário 1º PA'!$A$4:$A$2635)+COUNT('Diário 2º PA'!$A$4:$A$3040)+COUNT('Diário 3º PA'!$A$4:$A$2731)+ROW()-3)</f>
        <v>6687</v>
      </c>
      <c r="B662" s="413">
        <v>44868</v>
      </c>
      <c r="C662" s="431">
        <v>44835</v>
      </c>
      <c r="D662" s="419" t="s">
        <v>468</v>
      </c>
      <c r="E662" s="419" t="s">
        <v>468</v>
      </c>
      <c r="F662" s="422">
        <v>2522.5500000000002</v>
      </c>
      <c r="G662" s="427" t="s">
        <v>6835</v>
      </c>
      <c r="H662" s="419" t="s">
        <v>468</v>
      </c>
      <c r="I662" s="415" t="s">
        <v>8035</v>
      </c>
      <c r="J662" s="415" t="s">
        <v>6941</v>
      </c>
      <c r="K662" s="419" t="s">
        <v>830</v>
      </c>
      <c r="L662" s="415" t="s">
        <v>839</v>
      </c>
      <c r="M662" s="419">
        <v>2071</v>
      </c>
      <c r="N662" s="413">
        <v>44866</v>
      </c>
      <c r="O662" s="414" t="s">
        <v>3762</v>
      </c>
      <c r="P662" s="655">
        <f t="shared" si="32"/>
        <v>11</v>
      </c>
      <c r="Q662" s="655">
        <f t="shared" si="33"/>
        <v>10</v>
      </c>
      <c r="R662" s="758" t="str">
        <f t="shared" si="34"/>
        <v>Gastos_custeados_por_captação</v>
      </c>
      <c r="S662" s="697" t="s">
        <v>1000</v>
      </c>
      <c r="T662" s="697">
        <v>4295</v>
      </c>
    </row>
    <row r="663" spans="1:20" ht="36" x14ac:dyDescent="0.2">
      <c r="A663" s="432">
        <f>IF(B663="","",COUNT('Diário 1º PA'!$A$4:$A$2635)+COUNT('Diário 2º PA'!$A$4:$A$3040)+COUNT('Diário 3º PA'!$A$4:$A$2731)+ROW()-3)</f>
        <v>6688</v>
      </c>
      <c r="B663" s="413">
        <v>44869</v>
      </c>
      <c r="C663" s="431">
        <v>44835</v>
      </c>
      <c r="D663" s="415" t="s">
        <v>271</v>
      </c>
      <c r="E663" s="415" t="s">
        <v>2</v>
      </c>
      <c r="F663" s="425">
        <v>13540.32</v>
      </c>
      <c r="G663" s="427" t="s">
        <v>8099</v>
      </c>
      <c r="H663" s="419" t="s">
        <v>309</v>
      </c>
      <c r="I663" s="415" t="s">
        <v>8098</v>
      </c>
      <c r="J663" s="415" t="s">
        <v>7567</v>
      </c>
      <c r="K663" s="419" t="s">
        <v>812</v>
      </c>
      <c r="L663" s="415" t="s">
        <v>8119</v>
      </c>
      <c r="M663" s="419">
        <v>6512</v>
      </c>
      <c r="N663" s="413">
        <v>44869</v>
      </c>
      <c r="O663" s="414" t="s">
        <v>400</v>
      </c>
      <c r="P663" s="655">
        <f t="shared" si="32"/>
        <v>11</v>
      </c>
      <c r="Q663" s="655">
        <f t="shared" si="33"/>
        <v>10</v>
      </c>
      <c r="R663" s="758" t="str">
        <f t="shared" si="34"/>
        <v>Gastos_Gerais</v>
      </c>
      <c r="S663" s="697" t="s">
        <v>1000</v>
      </c>
      <c r="T663" s="697">
        <v>4374</v>
      </c>
    </row>
    <row r="664" spans="1:20" ht="84" x14ac:dyDescent="0.2">
      <c r="A664" s="432">
        <f>IF(B664="","",COUNT('Diário 1º PA'!$A$4:$A$2635)+COUNT('Diário 2º PA'!$A$4:$A$3040)+COUNT('Diário 3º PA'!$A$4:$A$2731)+ROW()-3)</f>
        <v>6689</v>
      </c>
      <c r="B664" s="413">
        <v>44869</v>
      </c>
      <c r="C664" s="421">
        <v>44805</v>
      </c>
      <c r="D664" s="419" t="s">
        <v>271</v>
      </c>
      <c r="E664" s="419" t="s">
        <v>141</v>
      </c>
      <c r="F664" s="422">
        <v>231.05</v>
      </c>
      <c r="G664" s="423" t="s">
        <v>8096</v>
      </c>
      <c r="H664" s="419" t="s">
        <v>309</v>
      </c>
      <c r="I664" s="415" t="s">
        <v>1302</v>
      </c>
      <c r="J664" s="419" t="s">
        <v>1066</v>
      </c>
      <c r="K664" s="419" t="s">
        <v>812</v>
      </c>
      <c r="L664" s="415" t="s">
        <v>32</v>
      </c>
      <c r="M664" s="734">
        <v>72261</v>
      </c>
      <c r="N664" s="413">
        <v>44838</v>
      </c>
      <c r="O664" s="414" t="s">
        <v>400</v>
      </c>
      <c r="P664" s="655">
        <f t="shared" si="32"/>
        <v>11</v>
      </c>
      <c r="Q664" s="655">
        <f t="shared" si="33"/>
        <v>9</v>
      </c>
      <c r="R664" s="758" t="str">
        <f t="shared" si="34"/>
        <v>Gastos_Gerais</v>
      </c>
      <c r="S664" s="697" t="s">
        <v>999</v>
      </c>
      <c r="T664" s="697">
        <v>4421</v>
      </c>
    </row>
    <row r="665" spans="1:20" ht="24" x14ac:dyDescent="0.2">
      <c r="A665" s="432">
        <f>IF(B665="","",COUNT('Diário 1º PA'!$A$4:$A$2635)+COUNT('Diário 2º PA'!$A$4:$A$3040)+COUNT('Diário 3º PA'!$A$4:$A$2731)+ROW()-3)</f>
        <v>6690</v>
      </c>
      <c r="B665" s="413">
        <v>44869</v>
      </c>
      <c r="C665" s="431">
        <v>44835</v>
      </c>
      <c r="D665" s="434" t="s">
        <v>271</v>
      </c>
      <c r="E665" s="434" t="s">
        <v>2</v>
      </c>
      <c r="F665" s="422">
        <v>3227.7</v>
      </c>
      <c r="G665" s="423" t="s">
        <v>8101</v>
      </c>
      <c r="H665" s="434" t="s">
        <v>309</v>
      </c>
      <c r="I665" s="415" t="s">
        <v>8097</v>
      </c>
      <c r="J665" s="415" t="s">
        <v>7567</v>
      </c>
      <c r="K665" s="419" t="s">
        <v>812</v>
      </c>
      <c r="L665" s="415" t="s">
        <v>8119</v>
      </c>
      <c r="M665" s="734">
        <v>9</v>
      </c>
      <c r="N665" s="413">
        <v>44866</v>
      </c>
      <c r="O665" s="414" t="s">
        <v>400</v>
      </c>
      <c r="P665" s="655">
        <f t="shared" si="32"/>
        <v>11</v>
      </c>
      <c r="Q665" s="655">
        <f t="shared" si="33"/>
        <v>10</v>
      </c>
      <c r="R665" s="758" t="str">
        <f t="shared" si="34"/>
        <v>Gastos_Gerais</v>
      </c>
      <c r="S665" s="697" t="s">
        <v>1000</v>
      </c>
      <c r="T665" s="697">
        <v>4374</v>
      </c>
    </row>
    <row r="666" spans="1:20" ht="60" x14ac:dyDescent="0.2">
      <c r="A666" s="432">
        <f>IF(B666="","",COUNT('Diário 1º PA'!$A$4:$A$2635)+COUNT('Diário 2º PA'!$A$4:$A$3040)+COUNT('Diário 3º PA'!$A$4:$A$2731)+ROW()-3)</f>
        <v>6691</v>
      </c>
      <c r="B666" s="413">
        <v>44869</v>
      </c>
      <c r="C666" s="431">
        <v>44835</v>
      </c>
      <c r="D666" s="415" t="s">
        <v>271</v>
      </c>
      <c r="E666" s="415" t="s">
        <v>90</v>
      </c>
      <c r="F666" s="425">
        <v>475</v>
      </c>
      <c r="G666" s="427" t="s">
        <v>7612</v>
      </c>
      <c r="H666" s="415" t="s">
        <v>751</v>
      </c>
      <c r="I666" s="415" t="s">
        <v>5925</v>
      </c>
      <c r="J666" s="415" t="s">
        <v>7609</v>
      </c>
      <c r="K666" s="419" t="s">
        <v>830</v>
      </c>
      <c r="L666" s="415" t="s">
        <v>32</v>
      </c>
      <c r="M666" s="419">
        <v>469</v>
      </c>
      <c r="N666" s="413">
        <v>44868</v>
      </c>
      <c r="O666" s="414" t="s">
        <v>400</v>
      </c>
      <c r="P666" s="655">
        <f t="shared" si="32"/>
        <v>11</v>
      </c>
      <c r="Q666" s="655">
        <f t="shared" si="33"/>
        <v>10</v>
      </c>
      <c r="R666" s="758" t="str">
        <f t="shared" si="34"/>
        <v>Gastos_Gerais</v>
      </c>
      <c r="S666" s="697" t="s">
        <v>999</v>
      </c>
      <c r="T666" s="697">
        <v>4444</v>
      </c>
    </row>
    <row r="667" spans="1:20" ht="72" x14ac:dyDescent="0.2">
      <c r="A667" s="432">
        <f>IF(B667="","",COUNT('Diário 1º PA'!$A$4:$A$2635)+COUNT('Diário 2º PA'!$A$4:$A$3040)+COUNT('Diário 3º PA'!$A$4:$A$2731)+ROW()-3)</f>
        <v>6692</v>
      </c>
      <c r="B667" s="413">
        <v>44869</v>
      </c>
      <c r="C667" s="431">
        <v>44866</v>
      </c>
      <c r="D667" s="415" t="s">
        <v>271</v>
      </c>
      <c r="E667" s="415" t="s">
        <v>456</v>
      </c>
      <c r="F667" s="422">
        <v>750</v>
      </c>
      <c r="G667" s="427" t="s">
        <v>7891</v>
      </c>
      <c r="H667" s="415" t="s">
        <v>751</v>
      </c>
      <c r="I667" s="415" t="s">
        <v>7920</v>
      </c>
      <c r="J667" s="415" t="s">
        <v>7892</v>
      </c>
      <c r="K667" s="419" t="s">
        <v>830</v>
      </c>
      <c r="L667" s="415" t="s">
        <v>32</v>
      </c>
      <c r="M667" s="419">
        <v>36</v>
      </c>
      <c r="N667" s="413">
        <v>44869</v>
      </c>
      <c r="O667" s="414" t="s">
        <v>400</v>
      </c>
      <c r="P667" s="655">
        <f t="shared" si="32"/>
        <v>11</v>
      </c>
      <c r="Q667" s="655">
        <f t="shared" si="33"/>
        <v>11</v>
      </c>
      <c r="R667" s="758" t="str">
        <f t="shared" si="34"/>
        <v>Gastos_Gerais</v>
      </c>
      <c r="S667" s="697" t="s">
        <v>998</v>
      </c>
      <c r="T667" s="697">
        <v>4614</v>
      </c>
    </row>
    <row r="668" spans="1:20" ht="36" x14ac:dyDescent="0.2">
      <c r="A668" s="432">
        <f>IF(B668="","",COUNT('Diário 1º PA'!$A$4:$A$2635)+COUNT('Diário 2º PA'!$A$4:$A$3040)+COUNT('Diário 3º PA'!$A$4:$A$2731)+ROW()-3)</f>
        <v>6693</v>
      </c>
      <c r="B668" s="413">
        <v>44869</v>
      </c>
      <c r="C668" s="431">
        <v>44866</v>
      </c>
      <c r="D668" s="419" t="s">
        <v>271</v>
      </c>
      <c r="E668" s="419" t="s">
        <v>71</v>
      </c>
      <c r="F668" s="422">
        <v>11</v>
      </c>
      <c r="G668" s="423" t="s">
        <v>8100</v>
      </c>
      <c r="H668" s="415" t="s">
        <v>751</v>
      </c>
      <c r="I668" s="415" t="s">
        <v>881</v>
      </c>
      <c r="J668" s="419" t="s">
        <v>882</v>
      </c>
      <c r="K668" s="419" t="s">
        <v>883</v>
      </c>
      <c r="L668" s="415" t="s">
        <v>798</v>
      </c>
      <c r="M668" s="419" t="s">
        <v>310</v>
      </c>
      <c r="N668" s="413">
        <v>44872</v>
      </c>
      <c r="O668" s="414" t="s">
        <v>400</v>
      </c>
      <c r="P668" s="655">
        <f t="shared" si="32"/>
        <v>11</v>
      </c>
      <c r="Q668" s="655">
        <f t="shared" si="33"/>
        <v>11</v>
      </c>
      <c r="R668" s="758" t="str">
        <f t="shared" si="34"/>
        <v>Gastos_Gerais</v>
      </c>
      <c r="S668" s="697" t="s">
        <v>310</v>
      </c>
      <c r="T668" s="697" t="s">
        <v>310</v>
      </c>
    </row>
    <row r="669" spans="1:20" ht="36" x14ac:dyDescent="0.2">
      <c r="A669" s="432">
        <f>IF(B669="","",COUNT('Diário 1º PA'!$A$4:$A$2635)+COUNT('Diário 2º PA'!$A$4:$A$3040)+COUNT('Diário 3º PA'!$A$4:$A$2731)+ROW()-3)</f>
        <v>6694</v>
      </c>
      <c r="B669" s="413">
        <v>44869</v>
      </c>
      <c r="C669" s="431">
        <v>44866</v>
      </c>
      <c r="D669" s="419" t="s">
        <v>271</v>
      </c>
      <c r="E669" s="419" t="s">
        <v>71</v>
      </c>
      <c r="F669" s="422">
        <v>11</v>
      </c>
      <c r="G669" s="423" t="s">
        <v>7923</v>
      </c>
      <c r="H669" s="415" t="s">
        <v>751</v>
      </c>
      <c r="I669" s="415" t="s">
        <v>881</v>
      </c>
      <c r="J669" s="419" t="s">
        <v>882</v>
      </c>
      <c r="K669" s="419" t="s">
        <v>883</v>
      </c>
      <c r="L669" s="415" t="s">
        <v>798</v>
      </c>
      <c r="M669" s="419" t="s">
        <v>310</v>
      </c>
      <c r="N669" s="413">
        <v>44872</v>
      </c>
      <c r="O669" s="414" t="s">
        <v>400</v>
      </c>
      <c r="P669" s="655">
        <f t="shared" si="32"/>
        <v>11</v>
      </c>
      <c r="Q669" s="655">
        <f t="shared" si="33"/>
        <v>11</v>
      </c>
      <c r="R669" s="758" t="str">
        <f t="shared" si="34"/>
        <v>Gastos_Gerais</v>
      </c>
      <c r="S669" s="697" t="s">
        <v>310</v>
      </c>
      <c r="T669" s="697" t="s">
        <v>310</v>
      </c>
    </row>
    <row r="670" spans="1:20" ht="48" x14ac:dyDescent="0.2">
      <c r="A670" s="432">
        <f>IF(B670="","",COUNT('Diário 1º PA'!$A$4:$A$2635)+COUNT('Diário 2º PA'!$A$4:$A$3040)+COUNT('Diário 3º PA'!$A$4:$A$2731)+ROW()-3)</f>
        <v>6695</v>
      </c>
      <c r="B670" s="413">
        <v>44869</v>
      </c>
      <c r="C670" s="431">
        <v>44835</v>
      </c>
      <c r="D670" s="419" t="s">
        <v>468</v>
      </c>
      <c r="E670" s="419" t="s">
        <v>468</v>
      </c>
      <c r="F670" s="422">
        <v>18.62</v>
      </c>
      <c r="G670" s="423" t="s">
        <v>8207</v>
      </c>
      <c r="H670" s="419" t="s">
        <v>468</v>
      </c>
      <c r="I670" s="473" t="s">
        <v>1461</v>
      </c>
      <c r="J670" s="415" t="s">
        <v>310</v>
      </c>
      <c r="K670" s="415" t="s">
        <v>1220</v>
      </c>
      <c r="L670" s="415" t="s">
        <v>1368</v>
      </c>
      <c r="M670" s="415" t="s">
        <v>310</v>
      </c>
      <c r="N670" s="413">
        <v>44869</v>
      </c>
      <c r="O670" s="414" t="s">
        <v>405</v>
      </c>
      <c r="P670" s="655">
        <f t="shared" si="32"/>
        <v>11</v>
      </c>
      <c r="Q670" s="655">
        <f t="shared" si="33"/>
        <v>10</v>
      </c>
      <c r="R670" s="758" t="str">
        <f t="shared" si="34"/>
        <v>Gastos_custeados_por_captação</v>
      </c>
      <c r="S670" s="697" t="s">
        <v>310</v>
      </c>
      <c r="T670" s="697" t="s">
        <v>310</v>
      </c>
    </row>
    <row r="671" spans="1:20" ht="212.25" customHeight="1" x14ac:dyDescent="0.2">
      <c r="A671" s="432">
        <f>IF(B671="","",COUNT('Diário 1º PA'!$A$4:$A$2635)+COUNT('Diário 2º PA'!$A$4:$A$3040)+COUNT('Diário 3º PA'!$A$4:$A$2731)+ROW()-3)</f>
        <v>6696</v>
      </c>
      <c r="B671" s="413">
        <v>44869</v>
      </c>
      <c r="C671" s="431">
        <v>44835</v>
      </c>
      <c r="D671" s="419" t="s">
        <v>468</v>
      </c>
      <c r="E671" s="419" t="s">
        <v>468</v>
      </c>
      <c r="F671" s="422">
        <v>4899.79</v>
      </c>
      <c r="G671" s="427" t="s">
        <v>8210</v>
      </c>
      <c r="H671" s="419" t="s">
        <v>468</v>
      </c>
      <c r="I671" s="415" t="s">
        <v>8208</v>
      </c>
      <c r="J671" s="415" t="s">
        <v>7586</v>
      </c>
      <c r="K671" s="419" t="s">
        <v>2389</v>
      </c>
      <c r="L671" s="415" t="s">
        <v>2390</v>
      </c>
      <c r="M671" s="419" t="s">
        <v>8209</v>
      </c>
      <c r="N671" s="413">
        <v>44815</v>
      </c>
      <c r="O671" s="414" t="s">
        <v>405</v>
      </c>
      <c r="P671" s="655">
        <f t="shared" si="32"/>
        <v>11</v>
      </c>
      <c r="Q671" s="655">
        <f t="shared" si="33"/>
        <v>10</v>
      </c>
      <c r="R671" s="758" t="str">
        <f t="shared" si="34"/>
        <v>Gastos_custeados_por_captação</v>
      </c>
      <c r="S671" s="697" t="s">
        <v>998</v>
      </c>
      <c r="T671" s="697">
        <v>4458</v>
      </c>
    </row>
    <row r="672" spans="1:20" ht="48" x14ac:dyDescent="0.2">
      <c r="A672" s="432">
        <f>IF(B672="","",COUNT('Diário 1º PA'!$A$4:$A$2635)+COUNT('Diário 2º PA'!$A$4:$A$3040)+COUNT('Diário 3º PA'!$A$4:$A$2731)+ROW()-3)</f>
        <v>6697</v>
      </c>
      <c r="B672" s="413">
        <v>44869</v>
      </c>
      <c r="C672" s="431">
        <v>44835</v>
      </c>
      <c r="D672" s="419" t="s">
        <v>468</v>
      </c>
      <c r="E672" s="419" t="s">
        <v>468</v>
      </c>
      <c r="F672" s="422">
        <v>877.63</v>
      </c>
      <c r="G672" s="423" t="s">
        <v>8211</v>
      </c>
      <c r="H672" s="419" t="s">
        <v>468</v>
      </c>
      <c r="I672" s="473" t="s">
        <v>1461</v>
      </c>
      <c r="J672" s="415" t="s">
        <v>310</v>
      </c>
      <c r="K672" s="415" t="s">
        <v>1220</v>
      </c>
      <c r="L672" s="415" t="s">
        <v>1368</v>
      </c>
      <c r="M672" s="415" t="s">
        <v>310</v>
      </c>
      <c r="N672" s="413">
        <v>44869</v>
      </c>
      <c r="O672" s="414" t="s">
        <v>405</v>
      </c>
      <c r="P672" s="655">
        <f t="shared" si="32"/>
        <v>11</v>
      </c>
      <c r="Q672" s="655">
        <f t="shared" si="33"/>
        <v>10</v>
      </c>
      <c r="R672" s="758" t="str">
        <f t="shared" si="34"/>
        <v>Gastos_custeados_por_captação</v>
      </c>
      <c r="S672" s="697" t="s">
        <v>310</v>
      </c>
      <c r="T672" s="697" t="s">
        <v>310</v>
      </c>
    </row>
    <row r="673" spans="1:20" ht="48" x14ac:dyDescent="0.2">
      <c r="A673" s="432">
        <f>IF(B673="","",COUNT('Diário 1º PA'!$A$4:$A$2635)+COUNT('Diário 2º PA'!$A$4:$A$3040)+COUNT('Diário 3º PA'!$A$4:$A$2731)+ROW()-3)</f>
        <v>6698</v>
      </c>
      <c r="B673" s="413">
        <v>44869</v>
      </c>
      <c r="C673" s="431">
        <v>44835</v>
      </c>
      <c r="D673" s="419" t="s">
        <v>468</v>
      </c>
      <c r="E673" s="419" t="s">
        <v>468</v>
      </c>
      <c r="F673" s="422">
        <v>2269.2399999999998</v>
      </c>
      <c r="G673" s="427" t="s">
        <v>6938</v>
      </c>
      <c r="H673" s="419" t="s">
        <v>468</v>
      </c>
      <c r="I673" s="415" t="s">
        <v>5494</v>
      </c>
      <c r="J673" s="415" t="s">
        <v>3899</v>
      </c>
      <c r="K673" s="419" t="s">
        <v>830</v>
      </c>
      <c r="L673" s="415" t="s">
        <v>839</v>
      </c>
      <c r="M673" s="419">
        <v>2082</v>
      </c>
      <c r="N673" s="413">
        <v>44868</v>
      </c>
      <c r="O673" s="414" t="s">
        <v>405</v>
      </c>
      <c r="P673" s="655">
        <f t="shared" ref="P673:P736" si="35">IF(B673=0,0,IF(YEAR(B673)=$Q$1,MONTH(B673)-$P$1+1,(YEAR(B673)-$Q$1)*12-$P$1+1+MONTH(B673)))</f>
        <v>11</v>
      </c>
      <c r="Q673" s="655">
        <f t="shared" ref="Q673:Q736" si="36">IF(C673=0,0,IF(YEAR(C673)=$Q$1,MONTH(C673)-$P$1+1,(YEAR(C673)-$Q$1)*12-$P$1+1+MONTH(C673)))</f>
        <v>10</v>
      </c>
      <c r="R673" s="758" t="str">
        <f t="shared" si="34"/>
        <v>Gastos_custeados_por_captação</v>
      </c>
      <c r="S673" s="697" t="s">
        <v>1000</v>
      </c>
      <c r="T673" s="697">
        <v>4312</v>
      </c>
    </row>
    <row r="674" spans="1:20" ht="96" x14ac:dyDescent="0.2">
      <c r="A674" s="432">
        <f>IF(B674="","",COUNT('Diário 1º PA'!$A$4:$A$2635)+COUNT('Diário 2º PA'!$A$4:$A$3040)+COUNT('Diário 3º PA'!$A$4:$A$2731)+ROW()-3)</f>
        <v>6699</v>
      </c>
      <c r="B674" s="413">
        <v>44869</v>
      </c>
      <c r="C674" s="431">
        <v>44835</v>
      </c>
      <c r="D674" s="419" t="s">
        <v>468</v>
      </c>
      <c r="E674" s="419" t="s">
        <v>468</v>
      </c>
      <c r="F674" s="422">
        <v>2939.7</v>
      </c>
      <c r="G674" s="427" t="s">
        <v>2344</v>
      </c>
      <c r="H674" s="419" t="s">
        <v>468</v>
      </c>
      <c r="I674" s="415" t="s">
        <v>5470</v>
      </c>
      <c r="J674" s="415" t="s">
        <v>2345</v>
      </c>
      <c r="K674" s="419" t="s">
        <v>830</v>
      </c>
      <c r="L674" s="415" t="s">
        <v>32</v>
      </c>
      <c r="M674" s="419" t="s">
        <v>3763</v>
      </c>
      <c r="N674" s="413">
        <v>44869</v>
      </c>
      <c r="O674" s="414" t="s">
        <v>405</v>
      </c>
      <c r="P674" s="655">
        <f t="shared" si="35"/>
        <v>11</v>
      </c>
      <c r="Q674" s="655">
        <f t="shared" si="36"/>
        <v>10</v>
      </c>
      <c r="R674" s="758" t="str">
        <f t="shared" si="34"/>
        <v>Gastos_custeados_por_captação</v>
      </c>
      <c r="S674" s="697" t="s">
        <v>1000</v>
      </c>
      <c r="T674" s="697">
        <v>3185</v>
      </c>
    </row>
    <row r="675" spans="1:20" ht="96" x14ac:dyDescent="0.2">
      <c r="A675" s="432">
        <f>IF(B675="","",COUNT('Diário 1º PA'!$A$4:$A$2635)+COUNT('Diário 2º PA'!$A$4:$A$3040)+COUNT('Diário 3º PA'!$A$4:$A$2731)+ROW()-3)</f>
        <v>6700</v>
      </c>
      <c r="B675" s="413">
        <v>44869</v>
      </c>
      <c r="C675" s="431">
        <v>44835</v>
      </c>
      <c r="D675" s="419" t="s">
        <v>468</v>
      </c>
      <c r="E675" s="419" t="s">
        <v>468</v>
      </c>
      <c r="F675" s="422">
        <v>300</v>
      </c>
      <c r="G675" s="427" t="s">
        <v>7873</v>
      </c>
      <c r="H675" s="419" t="s">
        <v>468</v>
      </c>
      <c r="I675" s="415" t="s">
        <v>8224</v>
      </c>
      <c r="J675" s="415" t="s">
        <v>7874</v>
      </c>
      <c r="K675" s="419" t="s">
        <v>830</v>
      </c>
      <c r="L675" s="415" t="s">
        <v>1305</v>
      </c>
      <c r="M675" s="419" t="s">
        <v>310</v>
      </c>
      <c r="N675" s="413">
        <v>44868</v>
      </c>
      <c r="O675" s="414" t="s">
        <v>405</v>
      </c>
      <c r="P675" s="655">
        <f t="shared" si="35"/>
        <v>11</v>
      </c>
      <c r="Q675" s="655">
        <f t="shared" si="36"/>
        <v>10</v>
      </c>
      <c r="R675" s="758" t="str">
        <f t="shared" si="34"/>
        <v>Gastos_custeados_por_captação</v>
      </c>
      <c r="S675" s="697" t="s">
        <v>998</v>
      </c>
      <c r="T675" s="697">
        <v>4600</v>
      </c>
    </row>
    <row r="676" spans="1:20" ht="96" x14ac:dyDescent="0.2">
      <c r="A676" s="432">
        <f>IF(B676="","",COUNT('Diário 1º PA'!$A$4:$A$2635)+COUNT('Diário 2º PA'!$A$4:$A$3040)+COUNT('Diário 3º PA'!$A$4:$A$2731)+ROW()-3)</f>
        <v>6701</v>
      </c>
      <c r="B676" s="413">
        <v>44869</v>
      </c>
      <c r="C676" s="431">
        <v>44835</v>
      </c>
      <c r="D676" s="419" t="s">
        <v>468</v>
      </c>
      <c r="E676" s="419" t="s">
        <v>468</v>
      </c>
      <c r="F676" s="422">
        <v>300</v>
      </c>
      <c r="G676" s="427" t="s">
        <v>7877</v>
      </c>
      <c r="H676" s="419" t="s">
        <v>468</v>
      </c>
      <c r="I676" s="415" t="s">
        <v>8225</v>
      </c>
      <c r="J676" s="415" t="s">
        <v>7878</v>
      </c>
      <c r="K676" s="419" t="s">
        <v>830</v>
      </c>
      <c r="L676" s="415" t="s">
        <v>1305</v>
      </c>
      <c r="M676" s="419" t="s">
        <v>310</v>
      </c>
      <c r="N676" s="413">
        <v>44869</v>
      </c>
      <c r="O676" s="414" t="s">
        <v>405</v>
      </c>
      <c r="P676" s="655">
        <f t="shared" si="35"/>
        <v>11</v>
      </c>
      <c r="Q676" s="655">
        <f t="shared" si="36"/>
        <v>10</v>
      </c>
      <c r="R676" s="758" t="str">
        <f t="shared" si="34"/>
        <v>Gastos_custeados_por_captação</v>
      </c>
      <c r="S676" s="697" t="s">
        <v>998</v>
      </c>
      <c r="T676" s="697">
        <v>4599</v>
      </c>
    </row>
    <row r="677" spans="1:20" ht="96" x14ac:dyDescent="0.2">
      <c r="A677" s="432">
        <f>IF(B677="","",COUNT('Diário 1º PA'!$A$4:$A$2635)+COUNT('Diário 2º PA'!$A$4:$A$3040)+COUNT('Diário 3º PA'!$A$4:$A$2731)+ROW()-3)</f>
        <v>6702</v>
      </c>
      <c r="B677" s="413">
        <v>44869</v>
      </c>
      <c r="C677" s="431">
        <v>44835</v>
      </c>
      <c r="D677" s="419" t="s">
        <v>468</v>
      </c>
      <c r="E677" s="419" t="s">
        <v>468</v>
      </c>
      <c r="F677" s="422">
        <v>500</v>
      </c>
      <c r="G677" s="427" t="s">
        <v>7879</v>
      </c>
      <c r="H677" s="419" t="s">
        <v>468</v>
      </c>
      <c r="I677" s="415" t="s">
        <v>8226</v>
      </c>
      <c r="J677" s="415" t="s">
        <v>7880</v>
      </c>
      <c r="K677" s="419" t="s">
        <v>830</v>
      </c>
      <c r="L677" s="415" t="s">
        <v>1305</v>
      </c>
      <c r="M677" s="419" t="s">
        <v>310</v>
      </c>
      <c r="N677" s="413">
        <v>44868</v>
      </c>
      <c r="O677" s="414" t="s">
        <v>405</v>
      </c>
      <c r="P677" s="655">
        <f t="shared" si="35"/>
        <v>11</v>
      </c>
      <c r="Q677" s="655">
        <f t="shared" si="36"/>
        <v>10</v>
      </c>
      <c r="R677" s="758" t="str">
        <f t="shared" si="34"/>
        <v>Gastos_custeados_por_captação</v>
      </c>
      <c r="S677" s="697" t="s">
        <v>998</v>
      </c>
      <c r="T677" s="697">
        <v>4596</v>
      </c>
    </row>
    <row r="678" spans="1:20" ht="72" x14ac:dyDescent="0.2">
      <c r="A678" s="432">
        <f>IF(B678="","",COUNT('Diário 1º PA'!$A$4:$A$2635)+COUNT('Diário 2º PA'!$A$4:$A$3040)+COUNT('Diário 3º PA'!$A$4:$A$2731)+ROW()-3)</f>
        <v>6703</v>
      </c>
      <c r="B678" s="413">
        <v>44869</v>
      </c>
      <c r="C678" s="431">
        <v>44835</v>
      </c>
      <c r="D678" s="419" t="s">
        <v>468</v>
      </c>
      <c r="E678" s="419" t="s">
        <v>468</v>
      </c>
      <c r="F678" s="422">
        <v>3634</v>
      </c>
      <c r="G678" s="427" t="s">
        <v>5900</v>
      </c>
      <c r="H678" s="419" t="s">
        <v>468</v>
      </c>
      <c r="I678" s="415" t="s">
        <v>6468</v>
      </c>
      <c r="J678" s="415" t="s">
        <v>5901</v>
      </c>
      <c r="K678" s="419" t="s">
        <v>830</v>
      </c>
      <c r="L678" s="415" t="s">
        <v>32</v>
      </c>
      <c r="M678" s="419" t="s">
        <v>1465</v>
      </c>
      <c r="N678" s="413">
        <v>44868</v>
      </c>
      <c r="O678" s="414" t="s">
        <v>404</v>
      </c>
      <c r="P678" s="655">
        <f t="shared" si="35"/>
        <v>11</v>
      </c>
      <c r="Q678" s="655">
        <f t="shared" si="36"/>
        <v>10</v>
      </c>
      <c r="R678" s="758" t="str">
        <f t="shared" si="34"/>
        <v>Gastos_custeados_por_captação</v>
      </c>
      <c r="S678" s="697" t="s">
        <v>1000</v>
      </c>
      <c r="T678" s="697">
        <v>4098</v>
      </c>
    </row>
    <row r="679" spans="1:20" ht="60" x14ac:dyDescent="0.2">
      <c r="A679" s="432">
        <f>IF(B679="","",COUNT('Diário 1º PA'!$A$4:$A$2635)+COUNT('Diário 2º PA'!$A$4:$A$3040)+COUNT('Diário 3º PA'!$A$4:$A$2731)+ROW()-3)</f>
        <v>6704</v>
      </c>
      <c r="B679" s="413">
        <v>44869</v>
      </c>
      <c r="C679" s="421">
        <v>44866</v>
      </c>
      <c r="D679" s="419" t="s">
        <v>468</v>
      </c>
      <c r="E679" s="419" t="s">
        <v>468</v>
      </c>
      <c r="F679" s="422">
        <v>146.4</v>
      </c>
      <c r="G679" s="427" t="s">
        <v>8105</v>
      </c>
      <c r="H679" s="419" t="s">
        <v>468</v>
      </c>
      <c r="I679" s="415" t="s">
        <v>8435</v>
      </c>
      <c r="J679" s="415" t="s">
        <v>8106</v>
      </c>
      <c r="K679" s="419" t="s">
        <v>830</v>
      </c>
      <c r="L679" s="415" t="s">
        <v>32</v>
      </c>
      <c r="M679" s="419">
        <v>9818</v>
      </c>
      <c r="N679" s="413">
        <v>44869</v>
      </c>
      <c r="O679" s="414" t="s">
        <v>3762</v>
      </c>
      <c r="P679" s="655">
        <f t="shared" si="35"/>
        <v>11</v>
      </c>
      <c r="Q679" s="655">
        <f t="shared" si="36"/>
        <v>11</v>
      </c>
      <c r="R679" s="758" t="str">
        <f t="shared" si="34"/>
        <v>Gastos_custeados_por_captação</v>
      </c>
      <c r="S679" s="697" t="s">
        <v>999</v>
      </c>
      <c r="T679" s="697">
        <v>4689</v>
      </c>
    </row>
    <row r="680" spans="1:20" ht="36" x14ac:dyDescent="0.2">
      <c r="A680" s="432">
        <f>IF(B680="","",COUNT('Diário 1º PA'!$A$4:$A$2635)+COUNT('Diário 2º PA'!$A$4:$A$3040)+COUNT('Diário 3º PA'!$A$4:$A$2731)+ROW()-3)</f>
        <v>6705</v>
      </c>
      <c r="B680" s="413">
        <v>44869</v>
      </c>
      <c r="C680" s="431">
        <v>44835</v>
      </c>
      <c r="D680" s="419" t="s">
        <v>468</v>
      </c>
      <c r="E680" s="419" t="s">
        <v>468</v>
      </c>
      <c r="F680" s="422">
        <v>5738.4</v>
      </c>
      <c r="G680" s="427" t="s">
        <v>7648</v>
      </c>
      <c r="H680" s="419" t="s">
        <v>468</v>
      </c>
      <c r="I680" s="415" t="s">
        <v>8031</v>
      </c>
      <c r="J680" s="415" t="s">
        <v>7649</v>
      </c>
      <c r="K680" s="419" t="s">
        <v>830</v>
      </c>
      <c r="L680" s="415" t="s">
        <v>32</v>
      </c>
      <c r="M680" s="419" t="s">
        <v>8436</v>
      </c>
      <c r="N680" s="413">
        <v>44858</v>
      </c>
      <c r="O680" s="414" t="s">
        <v>3762</v>
      </c>
      <c r="P680" s="655">
        <f t="shared" si="35"/>
        <v>11</v>
      </c>
      <c r="Q680" s="655">
        <f t="shared" si="36"/>
        <v>10</v>
      </c>
      <c r="R680" s="758" t="str">
        <f t="shared" si="34"/>
        <v>Gastos_custeados_por_captação</v>
      </c>
      <c r="S680" s="697" t="s">
        <v>998</v>
      </c>
      <c r="T680" s="697">
        <v>4509</v>
      </c>
    </row>
    <row r="681" spans="1:20" ht="108" x14ac:dyDescent="0.2">
      <c r="A681" s="432">
        <f>IF(B681="","",COUNT('Diário 1º PA'!$A$4:$A$2635)+COUNT('Diário 2º PA'!$A$4:$A$3040)+COUNT('Diário 3º PA'!$A$4:$A$2731)+ROW()-3)</f>
        <v>6706</v>
      </c>
      <c r="B681" s="413">
        <v>44869</v>
      </c>
      <c r="C681" s="431">
        <v>44835</v>
      </c>
      <c r="D681" s="419" t="s">
        <v>468</v>
      </c>
      <c r="E681" s="419" t="s">
        <v>468</v>
      </c>
      <c r="F681" s="422">
        <v>3623.67</v>
      </c>
      <c r="G681" s="427" t="s">
        <v>6265</v>
      </c>
      <c r="H681" s="419" t="s">
        <v>468</v>
      </c>
      <c r="I681" s="415" t="s">
        <v>7952</v>
      </c>
      <c r="J681" s="415" t="s">
        <v>2345</v>
      </c>
      <c r="K681" s="419" t="s">
        <v>830</v>
      </c>
      <c r="L681" s="415" t="s">
        <v>32</v>
      </c>
      <c r="M681" s="419" t="s">
        <v>1724</v>
      </c>
      <c r="N681" s="413">
        <v>44868</v>
      </c>
      <c r="O681" s="414" t="s">
        <v>3762</v>
      </c>
      <c r="P681" s="655">
        <f t="shared" si="35"/>
        <v>11</v>
      </c>
      <c r="Q681" s="655">
        <f t="shared" si="36"/>
        <v>10</v>
      </c>
      <c r="R681" s="758" t="str">
        <f t="shared" si="34"/>
        <v>Gastos_custeados_por_captação</v>
      </c>
      <c r="S681" s="697" t="s">
        <v>1000</v>
      </c>
      <c r="T681" s="697">
        <v>4210</v>
      </c>
    </row>
    <row r="682" spans="1:20" ht="60" x14ac:dyDescent="0.2">
      <c r="A682" s="432">
        <f>IF(B682="","",COUNT('Diário 1º PA'!$A$4:$A$2635)+COUNT('Diário 2º PA'!$A$4:$A$3040)+COUNT('Diário 3º PA'!$A$4:$A$2731)+ROW()-3)</f>
        <v>6707</v>
      </c>
      <c r="B682" s="413">
        <v>44869</v>
      </c>
      <c r="C682" s="431">
        <v>44835</v>
      </c>
      <c r="D682" s="419" t="s">
        <v>468</v>
      </c>
      <c r="E682" s="419" t="s">
        <v>468</v>
      </c>
      <c r="F682" s="422">
        <v>2866.21</v>
      </c>
      <c r="G682" s="427" t="s">
        <v>7260</v>
      </c>
      <c r="H682" s="419" t="s">
        <v>468</v>
      </c>
      <c r="I682" s="415" t="s">
        <v>2512</v>
      </c>
      <c r="J682" s="415" t="s">
        <v>1026</v>
      </c>
      <c r="K682" s="419" t="s">
        <v>830</v>
      </c>
      <c r="L682" s="415" t="s">
        <v>8439</v>
      </c>
      <c r="M682" s="419" t="s">
        <v>1793</v>
      </c>
      <c r="N682" s="413">
        <v>44869</v>
      </c>
      <c r="O682" s="414" t="s">
        <v>3762</v>
      </c>
      <c r="P682" s="655">
        <f t="shared" si="35"/>
        <v>11</v>
      </c>
      <c r="Q682" s="655">
        <f t="shared" si="36"/>
        <v>10</v>
      </c>
      <c r="R682" s="758" t="str">
        <f t="shared" si="34"/>
        <v>Gastos_custeados_por_captação</v>
      </c>
      <c r="S682" s="697" t="s">
        <v>998</v>
      </c>
      <c r="T682" s="697">
        <v>4349</v>
      </c>
    </row>
    <row r="683" spans="1:20" ht="72" x14ac:dyDescent="0.2">
      <c r="A683" s="432">
        <f>IF(B683="","",COUNT('Diário 1º PA'!$A$4:$A$2635)+COUNT('Diário 2º PA'!$A$4:$A$3040)+COUNT('Diário 3º PA'!$A$4:$A$2731)+ROW()-3)</f>
        <v>6708</v>
      </c>
      <c r="B683" s="413">
        <v>44872</v>
      </c>
      <c r="C683" s="431">
        <v>44835</v>
      </c>
      <c r="D683" s="419" t="s">
        <v>468</v>
      </c>
      <c r="E683" s="419" t="s">
        <v>468</v>
      </c>
      <c r="F683" s="422">
        <v>6853</v>
      </c>
      <c r="G683" s="427" t="s">
        <v>7898</v>
      </c>
      <c r="H683" s="419" t="s">
        <v>468</v>
      </c>
      <c r="I683" s="415" t="s">
        <v>4132</v>
      </c>
      <c r="J683" s="415" t="s">
        <v>1089</v>
      </c>
      <c r="K683" s="419" t="s">
        <v>830</v>
      </c>
      <c r="L683" s="415" t="s">
        <v>32</v>
      </c>
      <c r="M683" s="419" t="s">
        <v>5211</v>
      </c>
      <c r="N683" s="413">
        <v>44869</v>
      </c>
      <c r="O683" s="414" t="s">
        <v>405</v>
      </c>
      <c r="P683" s="655">
        <f t="shared" si="35"/>
        <v>11</v>
      </c>
      <c r="Q683" s="655">
        <f t="shared" si="36"/>
        <v>10</v>
      </c>
      <c r="R683" s="758" t="str">
        <f t="shared" si="34"/>
        <v>Gastos_custeados_por_captação</v>
      </c>
      <c r="S683" s="697" t="s">
        <v>998</v>
      </c>
      <c r="T683" s="697">
        <v>4610</v>
      </c>
    </row>
    <row r="684" spans="1:20" ht="84" x14ac:dyDescent="0.2">
      <c r="A684" s="432">
        <f>IF(B684="","",COUNT('Diário 1º PA'!$A$4:$A$2635)+COUNT('Diário 2º PA'!$A$4:$A$3040)+COUNT('Diário 3º PA'!$A$4:$A$2731)+ROW()-3)</f>
        <v>6709</v>
      </c>
      <c r="B684" s="413">
        <v>44872</v>
      </c>
      <c r="C684" s="431">
        <v>44805</v>
      </c>
      <c r="D684" s="419" t="s">
        <v>468</v>
      </c>
      <c r="E684" s="419" t="s">
        <v>468</v>
      </c>
      <c r="F684" s="422">
        <v>2939.7</v>
      </c>
      <c r="G684" s="427" t="s">
        <v>6344</v>
      </c>
      <c r="H684" s="419" t="s">
        <v>468</v>
      </c>
      <c r="I684" s="415" t="s">
        <v>2510</v>
      </c>
      <c r="J684" s="415" t="s">
        <v>1025</v>
      </c>
      <c r="K684" s="419" t="s">
        <v>830</v>
      </c>
      <c r="L684" s="415" t="s">
        <v>32</v>
      </c>
      <c r="M684" s="419" t="s">
        <v>4512</v>
      </c>
      <c r="N684" s="413">
        <v>44869</v>
      </c>
      <c r="O684" s="414" t="s">
        <v>405</v>
      </c>
      <c r="P684" s="655">
        <f t="shared" si="35"/>
        <v>11</v>
      </c>
      <c r="Q684" s="655">
        <f t="shared" si="36"/>
        <v>9</v>
      </c>
      <c r="R684" s="758" t="str">
        <f t="shared" si="34"/>
        <v>Gastos_custeados_por_captação</v>
      </c>
      <c r="S684" s="697" t="s">
        <v>1000</v>
      </c>
      <c r="T684" s="697">
        <v>4212</v>
      </c>
    </row>
    <row r="685" spans="1:20" ht="96" x14ac:dyDescent="0.2">
      <c r="A685" s="432">
        <f>IF(B685="","",COUNT('Diário 1º PA'!$A$4:$A$2635)+COUNT('Diário 2º PA'!$A$4:$A$3040)+COUNT('Diário 3º PA'!$A$4:$A$2731)+ROW()-3)</f>
        <v>6710</v>
      </c>
      <c r="B685" s="413">
        <v>44872</v>
      </c>
      <c r="C685" s="431">
        <v>44835</v>
      </c>
      <c r="D685" s="419" t="s">
        <v>468</v>
      </c>
      <c r="E685" s="419" t="s">
        <v>468</v>
      </c>
      <c r="F685" s="422">
        <v>300</v>
      </c>
      <c r="G685" s="427" t="s">
        <v>7853</v>
      </c>
      <c r="H685" s="419" t="s">
        <v>468</v>
      </c>
      <c r="I685" s="415" t="s">
        <v>8229</v>
      </c>
      <c r="J685" s="415" t="s">
        <v>7850</v>
      </c>
      <c r="K685" s="419" t="s">
        <v>830</v>
      </c>
      <c r="L685" s="415" t="s">
        <v>1305</v>
      </c>
      <c r="M685" s="419" t="s">
        <v>310</v>
      </c>
      <c r="N685" s="413">
        <v>44869</v>
      </c>
      <c r="O685" s="414" t="s">
        <v>405</v>
      </c>
      <c r="P685" s="655">
        <f t="shared" si="35"/>
        <v>11</v>
      </c>
      <c r="Q685" s="655">
        <f t="shared" si="36"/>
        <v>10</v>
      </c>
      <c r="R685" s="758" t="str">
        <f t="shared" si="34"/>
        <v>Gastos_custeados_por_captação</v>
      </c>
      <c r="S685" s="697" t="s">
        <v>998</v>
      </c>
      <c r="T685" s="697">
        <v>4589</v>
      </c>
    </row>
    <row r="686" spans="1:20" ht="96" x14ac:dyDescent="0.2">
      <c r="A686" s="432">
        <f>IF(B686="","",COUNT('Diário 1º PA'!$A$4:$A$2635)+COUNT('Diário 2º PA'!$A$4:$A$3040)+COUNT('Diário 3º PA'!$A$4:$A$2731)+ROW()-3)</f>
        <v>6711</v>
      </c>
      <c r="B686" s="413">
        <v>44872</v>
      </c>
      <c r="C686" s="421">
        <v>44835</v>
      </c>
      <c r="D686" s="419" t="s">
        <v>468</v>
      </c>
      <c r="E686" s="419" t="s">
        <v>468</v>
      </c>
      <c r="F686" s="422">
        <v>11000</v>
      </c>
      <c r="G686" s="423" t="s">
        <v>8441</v>
      </c>
      <c r="H686" s="419" t="s">
        <v>468</v>
      </c>
      <c r="I686" s="415" t="s">
        <v>8442</v>
      </c>
      <c r="J686" s="419" t="s">
        <v>8443</v>
      </c>
      <c r="K686" s="419" t="s">
        <v>830</v>
      </c>
      <c r="L686" s="415" t="s">
        <v>32</v>
      </c>
      <c r="M686" s="419" t="s">
        <v>848</v>
      </c>
      <c r="N686" s="413">
        <v>44869</v>
      </c>
      <c r="O686" s="414" t="s">
        <v>3762</v>
      </c>
      <c r="P686" s="655">
        <f t="shared" si="35"/>
        <v>11</v>
      </c>
      <c r="Q686" s="655">
        <f t="shared" si="36"/>
        <v>10</v>
      </c>
      <c r="R686" s="758" t="str">
        <f t="shared" si="34"/>
        <v>Gastos_custeados_por_captação</v>
      </c>
      <c r="S686" s="697" t="s">
        <v>998</v>
      </c>
      <c r="T686" s="697">
        <v>4607</v>
      </c>
    </row>
    <row r="687" spans="1:20" ht="36" x14ac:dyDescent="0.2">
      <c r="A687" s="432">
        <f>IF(B687="","",COUNT('Diário 1º PA'!$A$4:$A$2635)+COUNT('Diário 2º PA'!$A$4:$A$3040)+COUNT('Diário 3º PA'!$A$4:$A$2731)+ROW()-3)</f>
        <v>6712</v>
      </c>
      <c r="B687" s="413">
        <v>44872</v>
      </c>
      <c r="C687" s="421">
        <v>44866</v>
      </c>
      <c r="D687" s="419" t="s">
        <v>468</v>
      </c>
      <c r="E687" s="419" t="s">
        <v>468</v>
      </c>
      <c r="F687" s="422">
        <v>153</v>
      </c>
      <c r="G687" s="440" t="s">
        <v>880</v>
      </c>
      <c r="H687" s="419" t="s">
        <v>468</v>
      </c>
      <c r="I687" s="639" t="s">
        <v>881</v>
      </c>
      <c r="J687" s="418" t="s">
        <v>882</v>
      </c>
      <c r="K687" s="418" t="s">
        <v>883</v>
      </c>
      <c r="L687" s="399" t="s">
        <v>798</v>
      </c>
      <c r="M687" s="544" t="s">
        <v>310</v>
      </c>
      <c r="N687" s="413">
        <v>44872</v>
      </c>
      <c r="O687" s="414" t="s">
        <v>3762</v>
      </c>
      <c r="P687" s="655">
        <f t="shared" si="35"/>
        <v>11</v>
      </c>
      <c r="Q687" s="655">
        <f t="shared" si="36"/>
        <v>11</v>
      </c>
      <c r="R687" s="758" t="str">
        <f t="shared" si="34"/>
        <v>Gastos_custeados_por_captação</v>
      </c>
      <c r="S687" s="697" t="s">
        <v>310</v>
      </c>
      <c r="T687" s="697" t="s">
        <v>310</v>
      </c>
    </row>
    <row r="688" spans="1:20" ht="48" x14ac:dyDescent="0.2">
      <c r="A688" s="432">
        <f>IF(B688="","",COUNT('Diário 1º PA'!$A$4:$A$2635)+COUNT('Diário 2º PA'!$A$4:$A$3040)+COUNT('Diário 3º PA'!$A$4:$A$2731)+ROW()-3)</f>
        <v>6713</v>
      </c>
      <c r="B688" s="413">
        <v>44872</v>
      </c>
      <c r="C688" s="466">
        <v>44835</v>
      </c>
      <c r="D688" s="426" t="s">
        <v>182</v>
      </c>
      <c r="E688" s="426" t="s">
        <v>4</v>
      </c>
      <c r="F688" s="686">
        <v>-883.22</v>
      </c>
      <c r="G688" s="642" t="s">
        <v>8122</v>
      </c>
      <c r="H688" s="426" t="s">
        <v>310</v>
      </c>
      <c r="I688" s="434" t="s">
        <v>795</v>
      </c>
      <c r="J688" s="426" t="s">
        <v>796</v>
      </c>
      <c r="K688" s="426" t="s">
        <v>797</v>
      </c>
      <c r="L688" s="434" t="s">
        <v>798</v>
      </c>
      <c r="M688" s="426" t="s">
        <v>310</v>
      </c>
      <c r="N688" s="413">
        <v>44872</v>
      </c>
      <c r="O688" s="414" t="s">
        <v>400</v>
      </c>
      <c r="P688" s="655">
        <f t="shared" si="35"/>
        <v>11</v>
      </c>
      <c r="Q688" s="655">
        <f t="shared" si="36"/>
        <v>10</v>
      </c>
      <c r="R688" s="758" t="s">
        <v>6942</v>
      </c>
      <c r="S688" s="697" t="s">
        <v>310</v>
      </c>
      <c r="T688" s="697" t="s">
        <v>310</v>
      </c>
    </row>
    <row r="689" spans="1:20" ht="60" x14ac:dyDescent="0.2">
      <c r="A689" s="432">
        <f>IF(B689="","",COUNT('Diário 1º PA'!$A$4:$A$2635)+COUNT('Diário 2º PA'!$A$4:$A$3040)+COUNT('Diário 3º PA'!$A$4:$A$2731)+ROW()-3)</f>
        <v>6714</v>
      </c>
      <c r="B689" s="413">
        <v>44872</v>
      </c>
      <c r="C689" s="466">
        <v>44835</v>
      </c>
      <c r="D689" s="426" t="s">
        <v>182</v>
      </c>
      <c r="E689" s="426" t="s">
        <v>4</v>
      </c>
      <c r="F689" s="686">
        <v>-1015.89</v>
      </c>
      <c r="G689" s="642" t="s">
        <v>8123</v>
      </c>
      <c r="H689" s="426" t="s">
        <v>310</v>
      </c>
      <c r="I689" s="434" t="s">
        <v>795</v>
      </c>
      <c r="J689" s="426" t="s">
        <v>796</v>
      </c>
      <c r="K689" s="426" t="s">
        <v>797</v>
      </c>
      <c r="L689" s="434" t="s">
        <v>798</v>
      </c>
      <c r="M689" s="419" t="s">
        <v>310</v>
      </c>
      <c r="N689" s="413">
        <v>44872</v>
      </c>
      <c r="O689" s="414" t="s">
        <v>400</v>
      </c>
      <c r="P689" s="655">
        <f t="shared" si="35"/>
        <v>11</v>
      </c>
      <c r="Q689" s="655">
        <f t="shared" si="36"/>
        <v>10</v>
      </c>
      <c r="R689" s="758" t="s">
        <v>6942</v>
      </c>
      <c r="S689" s="697" t="s">
        <v>310</v>
      </c>
      <c r="T689" s="697" t="s">
        <v>310</v>
      </c>
    </row>
    <row r="690" spans="1:20" ht="48" x14ac:dyDescent="0.2">
      <c r="A690" s="432">
        <f>IF(B690="","",COUNT('Diário 1º PA'!$A$4:$A$2635)+COUNT('Diário 2º PA'!$A$4:$A$3040)+COUNT('Diário 3º PA'!$A$4:$A$2731)+ROW()-3)</f>
        <v>6715</v>
      </c>
      <c r="B690" s="413">
        <v>44872</v>
      </c>
      <c r="C690" s="466">
        <v>44835</v>
      </c>
      <c r="D690" s="426" t="s">
        <v>182</v>
      </c>
      <c r="E690" s="426" t="s">
        <v>4</v>
      </c>
      <c r="F690" s="686">
        <v>-114.97</v>
      </c>
      <c r="G690" s="642" t="s">
        <v>8124</v>
      </c>
      <c r="H690" s="426" t="s">
        <v>310</v>
      </c>
      <c r="I690" s="434" t="s">
        <v>795</v>
      </c>
      <c r="J690" s="426" t="s">
        <v>796</v>
      </c>
      <c r="K690" s="426" t="s">
        <v>797</v>
      </c>
      <c r="L690" s="434" t="s">
        <v>798</v>
      </c>
      <c r="M690" s="419" t="s">
        <v>310</v>
      </c>
      <c r="N690" s="413">
        <v>44872</v>
      </c>
      <c r="O690" s="414" t="s">
        <v>400</v>
      </c>
      <c r="P690" s="655">
        <f t="shared" si="35"/>
        <v>11</v>
      </c>
      <c r="Q690" s="655">
        <f t="shared" si="36"/>
        <v>10</v>
      </c>
      <c r="R690" s="758" t="s">
        <v>6942</v>
      </c>
      <c r="S690" s="697" t="s">
        <v>310</v>
      </c>
      <c r="T690" s="697" t="s">
        <v>310</v>
      </c>
    </row>
    <row r="691" spans="1:20" ht="36" x14ac:dyDescent="0.2">
      <c r="A691" s="432">
        <f>IF(B691="","",COUNT('Diário 1º PA'!$A$4:$A$2635)+COUNT('Diário 2º PA'!$A$4:$A$3040)+COUNT('Diário 3º PA'!$A$4:$A$2731)+ROW()-3)</f>
        <v>6716</v>
      </c>
      <c r="B691" s="413">
        <v>44872</v>
      </c>
      <c r="C691" s="421">
        <v>44835</v>
      </c>
      <c r="D691" s="419" t="s">
        <v>182</v>
      </c>
      <c r="E691" s="419" t="s">
        <v>1</v>
      </c>
      <c r="F691" s="422">
        <v>3063.43</v>
      </c>
      <c r="G691" s="427" t="s">
        <v>8125</v>
      </c>
      <c r="H691" s="419" t="s">
        <v>310</v>
      </c>
      <c r="I691" s="415" t="s">
        <v>907</v>
      </c>
      <c r="J691" s="415" t="s">
        <v>908</v>
      </c>
      <c r="K691" s="415" t="s">
        <v>806</v>
      </c>
      <c r="L691" s="415" t="s">
        <v>909</v>
      </c>
      <c r="M691" s="419" t="s">
        <v>310</v>
      </c>
      <c r="N691" s="413">
        <v>44872</v>
      </c>
      <c r="O691" s="414" t="s">
        <v>400</v>
      </c>
      <c r="P691" s="655">
        <f t="shared" si="35"/>
        <v>11</v>
      </c>
      <c r="Q691" s="655">
        <f t="shared" si="36"/>
        <v>10</v>
      </c>
      <c r="R691" s="758" t="str">
        <f t="shared" ref="R691:R722" si="37">SUBSTITUTE(D691," ","_")</f>
        <v>Gastos_com_Pessoal</v>
      </c>
      <c r="S691" s="697" t="s">
        <v>310</v>
      </c>
      <c r="T691" s="697" t="s">
        <v>310</v>
      </c>
    </row>
    <row r="692" spans="1:20" ht="36" x14ac:dyDescent="0.2">
      <c r="A692" s="432">
        <f>IF(B692="","",COUNT('Diário 1º PA'!$A$4:$A$2635)+COUNT('Diário 2º PA'!$A$4:$A$3040)+COUNT('Diário 3º PA'!$A$4:$A$2731)+ROW()-3)</f>
        <v>6717</v>
      </c>
      <c r="B692" s="413">
        <v>44872</v>
      </c>
      <c r="C692" s="424">
        <v>44835</v>
      </c>
      <c r="D692" s="419" t="s">
        <v>182</v>
      </c>
      <c r="E692" s="419" t="s">
        <v>1</v>
      </c>
      <c r="F692" s="422">
        <v>2465.48</v>
      </c>
      <c r="G692" s="427" t="s">
        <v>8126</v>
      </c>
      <c r="H692" s="419" t="s">
        <v>310</v>
      </c>
      <c r="I692" s="415" t="s">
        <v>914</v>
      </c>
      <c r="J692" s="415" t="s">
        <v>915</v>
      </c>
      <c r="K692" s="415" t="s">
        <v>806</v>
      </c>
      <c r="L692" s="415" t="s">
        <v>909</v>
      </c>
      <c r="M692" s="419" t="s">
        <v>310</v>
      </c>
      <c r="N692" s="413">
        <v>44872</v>
      </c>
      <c r="O692" s="414" t="s">
        <v>400</v>
      </c>
      <c r="P692" s="655">
        <f t="shared" si="35"/>
        <v>11</v>
      </c>
      <c r="Q692" s="655">
        <f t="shared" si="36"/>
        <v>10</v>
      </c>
      <c r="R692" s="758" t="str">
        <f t="shared" si="37"/>
        <v>Gastos_com_Pessoal</v>
      </c>
      <c r="S692" s="697" t="s">
        <v>310</v>
      </c>
      <c r="T692" s="697" t="s">
        <v>310</v>
      </c>
    </row>
    <row r="693" spans="1:20" ht="36" x14ac:dyDescent="0.2">
      <c r="A693" s="432">
        <f>IF(B693="","",COUNT('Diário 1º PA'!$A$4:$A$2635)+COUNT('Diário 2º PA'!$A$4:$A$3040)+COUNT('Diário 3º PA'!$A$4:$A$2731)+ROW()-3)</f>
        <v>6718</v>
      </c>
      <c r="B693" s="413">
        <v>44872</v>
      </c>
      <c r="C693" s="424">
        <v>44835</v>
      </c>
      <c r="D693" s="419" t="s">
        <v>182</v>
      </c>
      <c r="E693" s="419" t="s">
        <v>1</v>
      </c>
      <c r="F693" s="422">
        <v>2286.4</v>
      </c>
      <c r="G693" s="427" t="s">
        <v>8127</v>
      </c>
      <c r="H693" s="419" t="s">
        <v>310</v>
      </c>
      <c r="I693" s="415" t="s">
        <v>916</v>
      </c>
      <c r="J693" s="419" t="s">
        <v>917</v>
      </c>
      <c r="K693" s="419" t="s">
        <v>806</v>
      </c>
      <c r="L693" s="415" t="s">
        <v>909</v>
      </c>
      <c r="M693" s="419" t="s">
        <v>310</v>
      </c>
      <c r="N693" s="413">
        <v>44872</v>
      </c>
      <c r="O693" s="414" t="s">
        <v>400</v>
      </c>
      <c r="P693" s="655">
        <f t="shared" si="35"/>
        <v>11</v>
      </c>
      <c r="Q693" s="655">
        <f t="shared" si="36"/>
        <v>10</v>
      </c>
      <c r="R693" s="758" t="str">
        <f t="shared" si="37"/>
        <v>Gastos_com_Pessoal</v>
      </c>
      <c r="S693" s="697" t="s">
        <v>310</v>
      </c>
      <c r="T693" s="697" t="s">
        <v>310</v>
      </c>
    </row>
    <row r="694" spans="1:20" ht="36" x14ac:dyDescent="0.2">
      <c r="A694" s="432">
        <f>IF(B694="","",COUNT('Diário 1º PA'!$A$4:$A$2635)+COUNT('Diário 2º PA'!$A$4:$A$3040)+COUNT('Diário 3º PA'!$A$4:$A$2731)+ROW()-3)</f>
        <v>6719</v>
      </c>
      <c r="B694" s="413">
        <v>44872</v>
      </c>
      <c r="C694" s="424">
        <v>44835</v>
      </c>
      <c r="D694" s="419" t="s">
        <v>182</v>
      </c>
      <c r="E694" s="419" t="s">
        <v>1</v>
      </c>
      <c r="F694" s="422">
        <v>2286.4</v>
      </c>
      <c r="G694" s="423" t="s">
        <v>8127</v>
      </c>
      <c r="H694" s="419" t="s">
        <v>310</v>
      </c>
      <c r="I694" s="415" t="s">
        <v>918</v>
      </c>
      <c r="J694" s="419" t="s">
        <v>919</v>
      </c>
      <c r="K694" s="419" t="s">
        <v>806</v>
      </c>
      <c r="L694" s="415" t="s">
        <v>909</v>
      </c>
      <c r="M694" s="419" t="s">
        <v>310</v>
      </c>
      <c r="N694" s="413">
        <v>44872</v>
      </c>
      <c r="O694" s="414" t="s">
        <v>400</v>
      </c>
      <c r="P694" s="655">
        <f t="shared" si="35"/>
        <v>11</v>
      </c>
      <c r="Q694" s="655">
        <f t="shared" si="36"/>
        <v>10</v>
      </c>
      <c r="R694" s="758" t="str">
        <f t="shared" si="37"/>
        <v>Gastos_com_Pessoal</v>
      </c>
      <c r="S694" s="697" t="s">
        <v>310</v>
      </c>
      <c r="T694" s="697" t="s">
        <v>310</v>
      </c>
    </row>
    <row r="695" spans="1:20" ht="36" x14ac:dyDescent="0.2">
      <c r="A695" s="432">
        <f>IF(B695="","",COUNT('Diário 1º PA'!$A$4:$A$2635)+COUNT('Diário 2º PA'!$A$4:$A$3040)+COUNT('Diário 3º PA'!$A$4:$A$2731)+ROW()-3)</f>
        <v>6720</v>
      </c>
      <c r="B695" s="413">
        <v>44872</v>
      </c>
      <c r="C695" s="424">
        <v>44835</v>
      </c>
      <c r="D695" s="419" t="s">
        <v>182</v>
      </c>
      <c r="E695" s="419" t="s">
        <v>1</v>
      </c>
      <c r="F695" s="422">
        <v>2286.4</v>
      </c>
      <c r="G695" s="423" t="s">
        <v>8127</v>
      </c>
      <c r="H695" s="419" t="s">
        <v>310</v>
      </c>
      <c r="I695" s="415" t="s">
        <v>920</v>
      </c>
      <c r="J695" s="419" t="s">
        <v>921</v>
      </c>
      <c r="K695" s="419" t="s">
        <v>806</v>
      </c>
      <c r="L695" s="415" t="s">
        <v>909</v>
      </c>
      <c r="M695" s="419" t="s">
        <v>310</v>
      </c>
      <c r="N695" s="413">
        <v>44872</v>
      </c>
      <c r="O695" s="414" t="s">
        <v>400</v>
      </c>
      <c r="P695" s="655">
        <f t="shared" si="35"/>
        <v>11</v>
      </c>
      <c r="Q695" s="655">
        <f t="shared" si="36"/>
        <v>10</v>
      </c>
      <c r="R695" s="758" t="str">
        <f t="shared" si="37"/>
        <v>Gastos_com_Pessoal</v>
      </c>
      <c r="S695" s="697" t="s">
        <v>310</v>
      </c>
      <c r="T695" s="697" t="s">
        <v>310</v>
      </c>
    </row>
    <row r="696" spans="1:20" ht="36" x14ac:dyDescent="0.2">
      <c r="A696" s="432">
        <f>IF(B696="","",COUNT('Diário 1º PA'!$A$4:$A$2635)+COUNT('Diário 2º PA'!$A$4:$A$3040)+COUNT('Diário 3º PA'!$A$4:$A$2731)+ROW()-3)</f>
        <v>6721</v>
      </c>
      <c r="B696" s="413">
        <v>44872</v>
      </c>
      <c r="C696" s="424">
        <v>44835</v>
      </c>
      <c r="D696" s="419" t="s">
        <v>182</v>
      </c>
      <c r="E696" s="419" t="s">
        <v>1</v>
      </c>
      <c r="F696" s="422">
        <v>4870.51</v>
      </c>
      <c r="G696" s="423" t="s">
        <v>8128</v>
      </c>
      <c r="H696" s="419" t="s">
        <v>310</v>
      </c>
      <c r="I696" s="415" t="s">
        <v>923</v>
      </c>
      <c r="J696" s="419" t="s">
        <v>924</v>
      </c>
      <c r="K696" s="419" t="s">
        <v>806</v>
      </c>
      <c r="L696" s="415" t="s">
        <v>909</v>
      </c>
      <c r="M696" s="419" t="s">
        <v>310</v>
      </c>
      <c r="N696" s="413">
        <v>44872</v>
      </c>
      <c r="O696" s="414" t="s">
        <v>400</v>
      </c>
      <c r="P696" s="655">
        <f t="shared" si="35"/>
        <v>11</v>
      </c>
      <c r="Q696" s="655">
        <f t="shared" si="36"/>
        <v>10</v>
      </c>
      <c r="R696" s="758" t="str">
        <f t="shared" si="37"/>
        <v>Gastos_com_Pessoal</v>
      </c>
      <c r="S696" s="697" t="s">
        <v>310</v>
      </c>
      <c r="T696" s="697" t="s">
        <v>310</v>
      </c>
    </row>
    <row r="697" spans="1:20" ht="36" x14ac:dyDescent="0.2">
      <c r="A697" s="432">
        <f>IF(B697="","",COUNT('Diário 1º PA'!$A$4:$A$2635)+COUNT('Diário 2º PA'!$A$4:$A$3040)+COUNT('Diário 3º PA'!$A$4:$A$2731)+ROW()-3)</f>
        <v>6722</v>
      </c>
      <c r="B697" s="413">
        <v>44872</v>
      </c>
      <c r="C697" s="424">
        <v>44835</v>
      </c>
      <c r="D697" s="419" t="s">
        <v>182</v>
      </c>
      <c r="E697" s="419" t="s">
        <v>1</v>
      </c>
      <c r="F697" s="422">
        <v>2268.42</v>
      </c>
      <c r="G697" s="423" t="s">
        <v>8127</v>
      </c>
      <c r="H697" s="419" t="s">
        <v>310</v>
      </c>
      <c r="I697" s="415" t="s">
        <v>926</v>
      </c>
      <c r="J697" s="419" t="s">
        <v>927</v>
      </c>
      <c r="K697" s="419" t="s">
        <v>806</v>
      </c>
      <c r="L697" s="415" t="s">
        <v>909</v>
      </c>
      <c r="M697" s="419" t="s">
        <v>310</v>
      </c>
      <c r="N697" s="413">
        <v>44872</v>
      </c>
      <c r="O697" s="414" t="s">
        <v>400</v>
      </c>
      <c r="P697" s="655">
        <f t="shared" si="35"/>
        <v>11</v>
      </c>
      <c r="Q697" s="655">
        <f t="shared" si="36"/>
        <v>10</v>
      </c>
      <c r="R697" s="758" t="str">
        <f t="shared" si="37"/>
        <v>Gastos_com_Pessoal</v>
      </c>
      <c r="S697" s="697" t="s">
        <v>310</v>
      </c>
      <c r="T697" s="697" t="s">
        <v>310</v>
      </c>
    </row>
    <row r="698" spans="1:20" ht="36" x14ac:dyDescent="0.2">
      <c r="A698" s="432">
        <f>IF(B698="","",COUNT('Diário 1º PA'!$A$4:$A$2635)+COUNT('Diário 2º PA'!$A$4:$A$3040)+COUNT('Diário 3º PA'!$A$4:$A$2731)+ROW()-3)</f>
        <v>6723</v>
      </c>
      <c r="B698" s="413">
        <v>44872</v>
      </c>
      <c r="C698" s="431">
        <v>44774</v>
      </c>
      <c r="D698" s="415" t="s">
        <v>271</v>
      </c>
      <c r="E698" s="415" t="s">
        <v>442</v>
      </c>
      <c r="F698" s="425">
        <v>850</v>
      </c>
      <c r="G698" s="427" t="s">
        <v>6640</v>
      </c>
      <c r="H698" s="419" t="s">
        <v>749</v>
      </c>
      <c r="I698" s="415" t="s">
        <v>8129</v>
      </c>
      <c r="J698" s="419" t="s">
        <v>6641</v>
      </c>
      <c r="K698" s="419" t="s">
        <v>806</v>
      </c>
      <c r="L698" s="415" t="s">
        <v>32</v>
      </c>
      <c r="M698" s="419" t="s">
        <v>1608</v>
      </c>
      <c r="N698" s="413">
        <v>44866</v>
      </c>
      <c r="O698" s="414" t="s">
        <v>400</v>
      </c>
      <c r="P698" s="655">
        <f t="shared" si="35"/>
        <v>11</v>
      </c>
      <c r="Q698" s="655">
        <f t="shared" si="36"/>
        <v>8</v>
      </c>
      <c r="R698" s="758" t="str">
        <f t="shared" si="37"/>
        <v>Gastos_Gerais</v>
      </c>
      <c r="S698" s="697" t="s">
        <v>998</v>
      </c>
      <c r="T698" s="697">
        <v>4261</v>
      </c>
    </row>
    <row r="699" spans="1:20" ht="36" x14ac:dyDescent="0.2">
      <c r="A699" s="432">
        <f>IF(B699="","",COUNT('Diário 1º PA'!$A$4:$A$2635)+COUNT('Diário 2º PA'!$A$4:$A$3040)+COUNT('Diário 3º PA'!$A$4:$A$2731)+ROW()-3)</f>
        <v>6724</v>
      </c>
      <c r="B699" s="413">
        <v>44872</v>
      </c>
      <c r="C699" s="424">
        <v>44835</v>
      </c>
      <c r="D699" s="419" t="s">
        <v>182</v>
      </c>
      <c r="E699" s="419" t="s">
        <v>1</v>
      </c>
      <c r="F699" s="422">
        <v>2134.6</v>
      </c>
      <c r="G699" s="427" t="s">
        <v>8130</v>
      </c>
      <c r="H699" s="419" t="s">
        <v>310</v>
      </c>
      <c r="I699" s="415" t="s">
        <v>932</v>
      </c>
      <c r="J699" s="419" t="s">
        <v>933</v>
      </c>
      <c r="K699" s="419" t="s">
        <v>806</v>
      </c>
      <c r="L699" s="415" t="s">
        <v>909</v>
      </c>
      <c r="M699" s="419" t="s">
        <v>310</v>
      </c>
      <c r="N699" s="413">
        <v>44872</v>
      </c>
      <c r="O699" s="414" t="s">
        <v>400</v>
      </c>
      <c r="P699" s="655">
        <f t="shared" si="35"/>
        <v>11</v>
      </c>
      <c r="Q699" s="655">
        <f t="shared" si="36"/>
        <v>10</v>
      </c>
      <c r="R699" s="758" t="str">
        <f t="shared" si="37"/>
        <v>Gastos_com_Pessoal</v>
      </c>
      <c r="S699" s="697" t="s">
        <v>310</v>
      </c>
      <c r="T699" s="697" t="s">
        <v>310</v>
      </c>
    </row>
    <row r="700" spans="1:20" ht="36" x14ac:dyDescent="0.2">
      <c r="A700" s="432">
        <f>IF(B700="","",COUNT('Diário 1º PA'!$A$4:$A$2635)+COUNT('Diário 2º PA'!$A$4:$A$3040)+COUNT('Diário 3º PA'!$A$4:$A$2731)+ROW()-3)</f>
        <v>6725</v>
      </c>
      <c r="B700" s="413">
        <v>44872</v>
      </c>
      <c r="C700" s="424">
        <v>44835</v>
      </c>
      <c r="D700" s="419" t="s">
        <v>182</v>
      </c>
      <c r="E700" s="419" t="s">
        <v>1</v>
      </c>
      <c r="F700" s="422">
        <v>2286.4</v>
      </c>
      <c r="G700" s="423" t="s">
        <v>8127</v>
      </c>
      <c r="H700" s="419" t="s">
        <v>310</v>
      </c>
      <c r="I700" s="415" t="s">
        <v>935</v>
      </c>
      <c r="J700" s="419" t="s">
        <v>936</v>
      </c>
      <c r="K700" s="419" t="s">
        <v>806</v>
      </c>
      <c r="L700" s="415" t="s">
        <v>909</v>
      </c>
      <c r="M700" s="419" t="s">
        <v>310</v>
      </c>
      <c r="N700" s="413">
        <v>44872</v>
      </c>
      <c r="O700" s="414" t="s">
        <v>400</v>
      </c>
      <c r="P700" s="655">
        <f t="shared" si="35"/>
        <v>11</v>
      </c>
      <c r="Q700" s="655">
        <f t="shared" si="36"/>
        <v>10</v>
      </c>
      <c r="R700" s="758" t="str">
        <f t="shared" si="37"/>
        <v>Gastos_com_Pessoal</v>
      </c>
      <c r="S700" s="697" t="s">
        <v>310</v>
      </c>
      <c r="T700" s="697" t="s">
        <v>310</v>
      </c>
    </row>
    <row r="701" spans="1:20" ht="36" x14ac:dyDescent="0.2">
      <c r="A701" s="432">
        <f>IF(B701="","",COUNT('Diário 1º PA'!$A$4:$A$2635)+COUNT('Diário 2º PA'!$A$4:$A$3040)+COUNT('Diário 3º PA'!$A$4:$A$2731)+ROW()-3)</f>
        <v>6726</v>
      </c>
      <c r="B701" s="413">
        <v>44872</v>
      </c>
      <c r="C701" s="424">
        <v>44835</v>
      </c>
      <c r="D701" s="419" t="s">
        <v>182</v>
      </c>
      <c r="E701" s="419" t="s">
        <v>1</v>
      </c>
      <c r="F701" s="422">
        <v>3147.4</v>
      </c>
      <c r="G701" s="423" t="s">
        <v>8131</v>
      </c>
      <c r="H701" s="419" t="s">
        <v>310</v>
      </c>
      <c r="I701" s="415" t="s">
        <v>938</v>
      </c>
      <c r="J701" s="419" t="s">
        <v>939</v>
      </c>
      <c r="K701" s="419" t="s">
        <v>806</v>
      </c>
      <c r="L701" s="415" t="s">
        <v>909</v>
      </c>
      <c r="M701" s="419" t="s">
        <v>310</v>
      </c>
      <c r="N701" s="413">
        <v>44872</v>
      </c>
      <c r="O701" s="414" t="s">
        <v>400</v>
      </c>
      <c r="P701" s="655">
        <f t="shared" si="35"/>
        <v>11</v>
      </c>
      <c r="Q701" s="655">
        <f t="shared" si="36"/>
        <v>10</v>
      </c>
      <c r="R701" s="758" t="str">
        <f t="shared" si="37"/>
        <v>Gastos_com_Pessoal</v>
      </c>
      <c r="S701" s="697" t="s">
        <v>310</v>
      </c>
      <c r="T701" s="697" t="s">
        <v>310</v>
      </c>
    </row>
    <row r="702" spans="1:20" ht="36" x14ac:dyDescent="0.2">
      <c r="A702" s="432">
        <f>IF(B702="","",COUNT('Diário 1º PA'!$A$4:$A$2635)+COUNT('Diário 2º PA'!$A$4:$A$3040)+COUNT('Diário 3º PA'!$A$4:$A$2731)+ROW()-3)</f>
        <v>6727</v>
      </c>
      <c r="B702" s="413">
        <v>44872</v>
      </c>
      <c r="C702" s="424">
        <v>44835</v>
      </c>
      <c r="D702" s="419" t="s">
        <v>182</v>
      </c>
      <c r="E702" s="419" t="s">
        <v>1</v>
      </c>
      <c r="F702" s="422">
        <v>13542.95</v>
      </c>
      <c r="G702" s="423" t="s">
        <v>8132</v>
      </c>
      <c r="H702" s="419" t="s">
        <v>310</v>
      </c>
      <c r="I702" s="415" t="s">
        <v>941</v>
      </c>
      <c r="J702" s="419" t="s">
        <v>942</v>
      </c>
      <c r="K702" s="419" t="s">
        <v>806</v>
      </c>
      <c r="L702" s="415" t="s">
        <v>909</v>
      </c>
      <c r="M702" s="419" t="s">
        <v>310</v>
      </c>
      <c r="N702" s="413">
        <v>44872</v>
      </c>
      <c r="O702" s="414" t="s">
        <v>400</v>
      </c>
      <c r="P702" s="655">
        <f t="shared" si="35"/>
        <v>11</v>
      </c>
      <c r="Q702" s="655">
        <f t="shared" si="36"/>
        <v>10</v>
      </c>
      <c r="R702" s="758" t="str">
        <f t="shared" si="37"/>
        <v>Gastos_com_Pessoal</v>
      </c>
      <c r="S702" s="697" t="s">
        <v>310</v>
      </c>
      <c r="T702" s="697" t="s">
        <v>310</v>
      </c>
    </row>
    <row r="703" spans="1:20" ht="36" x14ac:dyDescent="0.2">
      <c r="A703" s="432">
        <f>IF(B703="","",COUNT('Diário 1º PA'!$A$4:$A$2635)+COUNT('Diário 2º PA'!$A$4:$A$3040)+COUNT('Diário 3º PA'!$A$4:$A$2731)+ROW()-3)</f>
        <v>6728</v>
      </c>
      <c r="B703" s="413">
        <v>44872</v>
      </c>
      <c r="C703" s="424">
        <v>44835</v>
      </c>
      <c r="D703" s="419" t="s">
        <v>182</v>
      </c>
      <c r="E703" s="419" t="s">
        <v>1</v>
      </c>
      <c r="F703" s="422">
        <v>2286.4</v>
      </c>
      <c r="G703" s="423" t="s">
        <v>8127</v>
      </c>
      <c r="H703" s="419" t="s">
        <v>310</v>
      </c>
      <c r="I703" s="415" t="s">
        <v>943</v>
      </c>
      <c r="J703" s="419" t="s">
        <v>1553</v>
      </c>
      <c r="K703" s="419" t="s">
        <v>806</v>
      </c>
      <c r="L703" s="415" t="s">
        <v>909</v>
      </c>
      <c r="M703" s="419" t="s">
        <v>310</v>
      </c>
      <c r="N703" s="413">
        <v>44872</v>
      </c>
      <c r="O703" s="414" t="s">
        <v>400</v>
      </c>
      <c r="P703" s="655">
        <f t="shared" si="35"/>
        <v>11</v>
      </c>
      <c r="Q703" s="655">
        <f t="shared" si="36"/>
        <v>10</v>
      </c>
      <c r="R703" s="758" t="str">
        <f t="shared" si="37"/>
        <v>Gastos_com_Pessoal</v>
      </c>
      <c r="S703" s="697" t="s">
        <v>310</v>
      </c>
      <c r="T703" s="697" t="s">
        <v>310</v>
      </c>
    </row>
    <row r="704" spans="1:20" ht="36" x14ac:dyDescent="0.2">
      <c r="A704" s="432">
        <f>IF(B704="","",COUNT('Diário 1º PA'!$A$4:$A$2635)+COUNT('Diário 2º PA'!$A$4:$A$3040)+COUNT('Diário 3º PA'!$A$4:$A$2731)+ROW()-3)</f>
        <v>6729</v>
      </c>
      <c r="B704" s="413">
        <v>44872</v>
      </c>
      <c r="C704" s="424">
        <v>44835</v>
      </c>
      <c r="D704" s="419" t="s">
        <v>182</v>
      </c>
      <c r="E704" s="419" t="s">
        <v>1</v>
      </c>
      <c r="F704" s="422">
        <v>4686.8599999999997</v>
      </c>
      <c r="G704" s="423" t="s">
        <v>8133</v>
      </c>
      <c r="H704" s="419" t="s">
        <v>310</v>
      </c>
      <c r="I704" s="415" t="s">
        <v>949</v>
      </c>
      <c r="J704" s="419" t="s">
        <v>950</v>
      </c>
      <c r="K704" s="419" t="s">
        <v>806</v>
      </c>
      <c r="L704" s="415" t="s">
        <v>909</v>
      </c>
      <c r="M704" s="419" t="s">
        <v>310</v>
      </c>
      <c r="N704" s="413">
        <v>44872</v>
      </c>
      <c r="O704" s="414" t="s">
        <v>400</v>
      </c>
      <c r="P704" s="655">
        <f t="shared" si="35"/>
        <v>11</v>
      </c>
      <c r="Q704" s="655">
        <f t="shared" si="36"/>
        <v>10</v>
      </c>
      <c r="R704" s="758" t="str">
        <f t="shared" si="37"/>
        <v>Gastos_com_Pessoal</v>
      </c>
      <c r="S704" s="697" t="s">
        <v>310</v>
      </c>
      <c r="T704" s="697" t="s">
        <v>310</v>
      </c>
    </row>
    <row r="705" spans="1:20" ht="36" x14ac:dyDescent="0.2">
      <c r="A705" s="432">
        <f>IF(B705="","",COUNT('Diário 1º PA'!$A$4:$A$2635)+COUNT('Diário 2º PA'!$A$4:$A$3040)+COUNT('Diário 3º PA'!$A$4:$A$2731)+ROW()-3)</f>
        <v>6730</v>
      </c>
      <c r="B705" s="413">
        <v>44872</v>
      </c>
      <c r="C705" s="424">
        <v>44835</v>
      </c>
      <c r="D705" s="419" t="s">
        <v>182</v>
      </c>
      <c r="E705" s="419" t="s">
        <v>1</v>
      </c>
      <c r="F705" s="422">
        <v>484.8</v>
      </c>
      <c r="G705" s="427" t="s">
        <v>8134</v>
      </c>
      <c r="H705" s="419" t="s">
        <v>310</v>
      </c>
      <c r="I705" s="415" t="s">
        <v>6297</v>
      </c>
      <c r="J705" s="419" t="s">
        <v>6298</v>
      </c>
      <c r="K705" s="419" t="s">
        <v>830</v>
      </c>
      <c r="L705" s="415" t="s">
        <v>909</v>
      </c>
      <c r="M705" s="419" t="s">
        <v>310</v>
      </c>
      <c r="N705" s="413">
        <v>44872</v>
      </c>
      <c r="O705" s="414" t="s">
        <v>400</v>
      </c>
      <c r="P705" s="655">
        <f t="shared" si="35"/>
        <v>11</v>
      </c>
      <c r="Q705" s="655">
        <f t="shared" si="36"/>
        <v>10</v>
      </c>
      <c r="R705" s="758" t="str">
        <f t="shared" si="37"/>
        <v>Gastos_com_Pessoal</v>
      </c>
      <c r="S705" s="697" t="s">
        <v>310</v>
      </c>
      <c r="T705" s="697" t="s">
        <v>310</v>
      </c>
    </row>
    <row r="706" spans="1:20" ht="36" x14ac:dyDescent="0.2">
      <c r="A706" s="432">
        <f>IF(B706="","",COUNT('Diário 1º PA'!$A$4:$A$2635)+COUNT('Diário 2º PA'!$A$4:$A$3040)+COUNT('Diário 3º PA'!$A$4:$A$2731)+ROW()-3)</f>
        <v>6731</v>
      </c>
      <c r="B706" s="413">
        <v>44872</v>
      </c>
      <c r="C706" s="424">
        <v>44835</v>
      </c>
      <c r="D706" s="419" t="s">
        <v>182</v>
      </c>
      <c r="E706" s="419" t="s">
        <v>1</v>
      </c>
      <c r="F706" s="422">
        <v>969.47</v>
      </c>
      <c r="G706" s="427" t="s">
        <v>8135</v>
      </c>
      <c r="H706" s="419" t="s">
        <v>310</v>
      </c>
      <c r="I706" s="415" t="s">
        <v>1207</v>
      </c>
      <c r="J706" s="419" t="s">
        <v>1206</v>
      </c>
      <c r="K706" s="419" t="s">
        <v>830</v>
      </c>
      <c r="L706" s="415" t="s">
        <v>909</v>
      </c>
      <c r="M706" s="419" t="s">
        <v>310</v>
      </c>
      <c r="N706" s="413">
        <v>44872</v>
      </c>
      <c r="O706" s="414" t="s">
        <v>400</v>
      </c>
      <c r="P706" s="655">
        <f t="shared" si="35"/>
        <v>11</v>
      </c>
      <c r="Q706" s="655">
        <f t="shared" si="36"/>
        <v>10</v>
      </c>
      <c r="R706" s="758" t="str">
        <f t="shared" si="37"/>
        <v>Gastos_com_Pessoal</v>
      </c>
      <c r="S706" s="697" t="s">
        <v>310</v>
      </c>
      <c r="T706" s="697" t="s">
        <v>310</v>
      </c>
    </row>
    <row r="707" spans="1:20" ht="36" x14ac:dyDescent="0.2">
      <c r="A707" s="432">
        <f>IF(B707="","",COUNT('Diário 1º PA'!$A$4:$A$2635)+COUNT('Diário 2º PA'!$A$4:$A$3040)+COUNT('Diário 3º PA'!$A$4:$A$2731)+ROW()-3)</f>
        <v>6732</v>
      </c>
      <c r="B707" s="413">
        <v>44872</v>
      </c>
      <c r="C707" s="424">
        <v>44835</v>
      </c>
      <c r="D707" s="419" t="s">
        <v>182</v>
      </c>
      <c r="E707" s="419" t="s">
        <v>1</v>
      </c>
      <c r="F707" s="422">
        <v>2286.4</v>
      </c>
      <c r="G707" s="427" t="s">
        <v>8136</v>
      </c>
      <c r="H707" s="419" t="s">
        <v>310</v>
      </c>
      <c r="I707" s="415" t="s">
        <v>1205</v>
      </c>
      <c r="J707" s="419" t="s">
        <v>1204</v>
      </c>
      <c r="K707" s="419" t="s">
        <v>830</v>
      </c>
      <c r="L707" s="415" t="s">
        <v>909</v>
      </c>
      <c r="M707" s="419" t="s">
        <v>310</v>
      </c>
      <c r="N707" s="413">
        <v>44872</v>
      </c>
      <c r="O707" s="414" t="s">
        <v>400</v>
      </c>
      <c r="P707" s="655">
        <f t="shared" si="35"/>
        <v>11</v>
      </c>
      <c r="Q707" s="655">
        <f t="shared" si="36"/>
        <v>10</v>
      </c>
      <c r="R707" s="758" t="str">
        <f t="shared" si="37"/>
        <v>Gastos_com_Pessoal</v>
      </c>
      <c r="S707" s="697" t="s">
        <v>310</v>
      </c>
      <c r="T707" s="697" t="s">
        <v>310</v>
      </c>
    </row>
    <row r="708" spans="1:20" ht="36" x14ac:dyDescent="0.2">
      <c r="A708" s="432">
        <f>IF(B708="","",COUNT('Diário 1º PA'!$A$4:$A$2635)+COUNT('Diário 2º PA'!$A$4:$A$3040)+COUNT('Diário 3º PA'!$A$4:$A$2731)+ROW()-3)</f>
        <v>6733</v>
      </c>
      <c r="B708" s="413">
        <v>44872</v>
      </c>
      <c r="C708" s="424">
        <v>44835</v>
      </c>
      <c r="D708" s="419" t="s">
        <v>182</v>
      </c>
      <c r="E708" s="419" t="s">
        <v>1</v>
      </c>
      <c r="F708" s="422">
        <v>2232.4</v>
      </c>
      <c r="G708" s="427" t="s">
        <v>8137</v>
      </c>
      <c r="H708" s="419" t="s">
        <v>310</v>
      </c>
      <c r="I708" s="415" t="s">
        <v>1203</v>
      </c>
      <c r="J708" s="419" t="s">
        <v>1201</v>
      </c>
      <c r="K708" s="419" t="s">
        <v>830</v>
      </c>
      <c r="L708" s="415" t="s">
        <v>909</v>
      </c>
      <c r="M708" s="419" t="s">
        <v>310</v>
      </c>
      <c r="N708" s="413">
        <v>44872</v>
      </c>
      <c r="O708" s="414" t="s">
        <v>400</v>
      </c>
      <c r="P708" s="655">
        <f t="shared" si="35"/>
        <v>11</v>
      </c>
      <c r="Q708" s="655">
        <f t="shared" si="36"/>
        <v>10</v>
      </c>
      <c r="R708" s="758" t="str">
        <f t="shared" si="37"/>
        <v>Gastos_com_Pessoal</v>
      </c>
      <c r="S708" s="697" t="s">
        <v>310</v>
      </c>
      <c r="T708" s="697" t="s">
        <v>310</v>
      </c>
    </row>
    <row r="709" spans="1:20" ht="36" x14ac:dyDescent="0.2">
      <c r="A709" s="432">
        <f>IF(B709="","",COUNT('Diário 1º PA'!$A$4:$A$2635)+COUNT('Diário 2º PA'!$A$4:$A$3040)+COUNT('Diário 3º PA'!$A$4:$A$2731)+ROW()-3)</f>
        <v>6734</v>
      </c>
      <c r="B709" s="413">
        <v>44872</v>
      </c>
      <c r="C709" s="424">
        <v>44835</v>
      </c>
      <c r="D709" s="419" t="s">
        <v>182</v>
      </c>
      <c r="E709" s="419" t="s">
        <v>1</v>
      </c>
      <c r="F709" s="422">
        <v>2951.4</v>
      </c>
      <c r="G709" s="427" t="s">
        <v>8138</v>
      </c>
      <c r="H709" s="419" t="s">
        <v>310</v>
      </c>
      <c r="I709" s="415" t="s">
        <v>5864</v>
      </c>
      <c r="J709" s="419" t="s">
        <v>5865</v>
      </c>
      <c r="K709" s="419" t="s">
        <v>830</v>
      </c>
      <c r="L709" s="415" t="s">
        <v>909</v>
      </c>
      <c r="M709" s="419" t="s">
        <v>310</v>
      </c>
      <c r="N709" s="413">
        <v>44872</v>
      </c>
      <c r="O709" s="414" t="s">
        <v>400</v>
      </c>
      <c r="P709" s="655">
        <f t="shared" si="35"/>
        <v>11</v>
      </c>
      <c r="Q709" s="655">
        <f t="shared" si="36"/>
        <v>10</v>
      </c>
      <c r="R709" s="758" t="str">
        <f t="shared" si="37"/>
        <v>Gastos_com_Pessoal</v>
      </c>
      <c r="S709" s="697" t="s">
        <v>310</v>
      </c>
      <c r="T709" s="697" t="s">
        <v>310</v>
      </c>
    </row>
    <row r="710" spans="1:20" ht="36" x14ac:dyDescent="0.2">
      <c r="A710" s="432">
        <f>IF(B710="","",COUNT('Diário 1º PA'!$A$4:$A$2635)+COUNT('Diário 2º PA'!$A$4:$A$3040)+COUNT('Diário 3º PA'!$A$4:$A$2731)+ROW()-3)</f>
        <v>6735</v>
      </c>
      <c r="B710" s="413">
        <v>44872</v>
      </c>
      <c r="C710" s="424">
        <v>44835</v>
      </c>
      <c r="D710" s="419" t="s">
        <v>182</v>
      </c>
      <c r="E710" s="419" t="s">
        <v>1</v>
      </c>
      <c r="F710" s="422">
        <v>2134.6</v>
      </c>
      <c r="G710" s="427" t="s">
        <v>8139</v>
      </c>
      <c r="H710" s="419" t="s">
        <v>310</v>
      </c>
      <c r="I710" s="415" t="s">
        <v>6317</v>
      </c>
      <c r="J710" s="419" t="s">
        <v>6318</v>
      </c>
      <c r="K710" s="419" t="s">
        <v>830</v>
      </c>
      <c r="L710" s="415" t="s">
        <v>909</v>
      </c>
      <c r="M710" s="419" t="s">
        <v>310</v>
      </c>
      <c r="N710" s="413">
        <v>44872</v>
      </c>
      <c r="O710" s="414" t="s">
        <v>400</v>
      </c>
      <c r="P710" s="655">
        <f t="shared" si="35"/>
        <v>11</v>
      </c>
      <c r="Q710" s="655">
        <f t="shared" si="36"/>
        <v>10</v>
      </c>
      <c r="R710" s="758" t="str">
        <f t="shared" si="37"/>
        <v>Gastos_com_Pessoal</v>
      </c>
      <c r="S710" s="697" t="s">
        <v>310</v>
      </c>
      <c r="T710" s="697" t="s">
        <v>310</v>
      </c>
    </row>
    <row r="711" spans="1:20" ht="36" x14ac:dyDescent="0.2">
      <c r="A711" s="432">
        <f>IF(B711="","",COUNT('Diário 1º PA'!$A$4:$A$2635)+COUNT('Diário 2º PA'!$A$4:$A$3040)+COUNT('Diário 3º PA'!$A$4:$A$2731)+ROW()-3)</f>
        <v>6736</v>
      </c>
      <c r="B711" s="413">
        <v>44872</v>
      </c>
      <c r="C711" s="424">
        <v>44835</v>
      </c>
      <c r="D711" s="419" t="s">
        <v>182</v>
      </c>
      <c r="E711" s="419" t="s">
        <v>1</v>
      </c>
      <c r="F711" s="422">
        <v>2219.9699999999998</v>
      </c>
      <c r="G711" s="427" t="s">
        <v>8140</v>
      </c>
      <c r="H711" s="419" t="s">
        <v>310</v>
      </c>
      <c r="I711" s="415" t="s">
        <v>1202</v>
      </c>
      <c r="J711" s="419" t="s">
        <v>1201</v>
      </c>
      <c r="K711" s="419" t="s">
        <v>830</v>
      </c>
      <c r="L711" s="415" t="s">
        <v>909</v>
      </c>
      <c r="M711" s="419" t="s">
        <v>310</v>
      </c>
      <c r="N711" s="413">
        <v>44872</v>
      </c>
      <c r="O711" s="414" t="s">
        <v>400</v>
      </c>
      <c r="P711" s="655">
        <f t="shared" si="35"/>
        <v>11</v>
      </c>
      <c r="Q711" s="655">
        <f t="shared" si="36"/>
        <v>10</v>
      </c>
      <c r="R711" s="758" t="str">
        <f t="shared" si="37"/>
        <v>Gastos_com_Pessoal</v>
      </c>
      <c r="S711" s="697" t="s">
        <v>310</v>
      </c>
      <c r="T711" s="697" t="s">
        <v>310</v>
      </c>
    </row>
    <row r="712" spans="1:20" ht="36" x14ac:dyDescent="0.2">
      <c r="A712" s="432">
        <f>IF(B712="","",COUNT('Diário 1º PA'!$A$4:$A$2635)+COUNT('Diário 2º PA'!$A$4:$A$3040)+COUNT('Diário 3º PA'!$A$4:$A$2731)+ROW()-3)</f>
        <v>6737</v>
      </c>
      <c r="B712" s="413">
        <v>44872</v>
      </c>
      <c r="C712" s="424">
        <v>44835</v>
      </c>
      <c r="D712" s="419" t="s">
        <v>182</v>
      </c>
      <c r="E712" s="419" t="s">
        <v>1</v>
      </c>
      <c r="F712" s="422">
        <v>1624.33</v>
      </c>
      <c r="G712" s="427" t="s">
        <v>8127</v>
      </c>
      <c r="H712" s="419" t="s">
        <v>310</v>
      </c>
      <c r="I712" s="415" t="s">
        <v>1200</v>
      </c>
      <c r="J712" s="419" t="s">
        <v>1201</v>
      </c>
      <c r="K712" s="419" t="s">
        <v>830</v>
      </c>
      <c r="L712" s="415" t="s">
        <v>909</v>
      </c>
      <c r="M712" s="419" t="s">
        <v>310</v>
      </c>
      <c r="N712" s="413">
        <v>44872</v>
      </c>
      <c r="O712" s="414" t="s">
        <v>400</v>
      </c>
      <c r="P712" s="655">
        <f t="shared" si="35"/>
        <v>11</v>
      </c>
      <c r="Q712" s="655">
        <f t="shared" si="36"/>
        <v>10</v>
      </c>
      <c r="R712" s="758" t="str">
        <f t="shared" si="37"/>
        <v>Gastos_com_Pessoal</v>
      </c>
      <c r="S712" s="697" t="s">
        <v>310</v>
      </c>
      <c r="T712" s="697" t="s">
        <v>310</v>
      </c>
    </row>
    <row r="713" spans="1:20" ht="36" x14ac:dyDescent="0.2">
      <c r="A713" s="432">
        <f>IF(B713="","",COUNT('Diário 1º PA'!$A$4:$A$2635)+COUNT('Diário 2º PA'!$A$4:$A$3040)+COUNT('Diário 3º PA'!$A$4:$A$2731)+ROW()-3)</f>
        <v>6738</v>
      </c>
      <c r="B713" s="413">
        <v>44872</v>
      </c>
      <c r="C713" s="424">
        <v>44835</v>
      </c>
      <c r="D713" s="419" t="s">
        <v>182</v>
      </c>
      <c r="E713" s="419" t="s">
        <v>1</v>
      </c>
      <c r="F713" s="422">
        <v>2210.5300000000002</v>
      </c>
      <c r="G713" s="427" t="s">
        <v>8139</v>
      </c>
      <c r="H713" s="419" t="s">
        <v>310</v>
      </c>
      <c r="I713" s="415" t="s">
        <v>6359</v>
      </c>
      <c r="J713" s="419" t="s">
        <v>6311</v>
      </c>
      <c r="K713" s="419" t="s">
        <v>830</v>
      </c>
      <c r="L713" s="415" t="s">
        <v>909</v>
      </c>
      <c r="M713" s="419" t="s">
        <v>310</v>
      </c>
      <c r="N713" s="413">
        <v>44872</v>
      </c>
      <c r="O713" s="414" t="s">
        <v>400</v>
      </c>
      <c r="P713" s="655">
        <f t="shared" si="35"/>
        <v>11</v>
      </c>
      <c r="Q713" s="655">
        <f t="shared" si="36"/>
        <v>10</v>
      </c>
      <c r="R713" s="758" t="str">
        <f t="shared" si="37"/>
        <v>Gastos_com_Pessoal</v>
      </c>
      <c r="S713" s="697" t="s">
        <v>310</v>
      </c>
      <c r="T713" s="697" t="s">
        <v>310</v>
      </c>
    </row>
    <row r="714" spans="1:20" ht="36" x14ac:dyDescent="0.2">
      <c r="A714" s="432">
        <f>IF(B714="","",COUNT('Diário 1º PA'!$A$4:$A$2635)+COUNT('Diário 2º PA'!$A$4:$A$3040)+COUNT('Diário 3º PA'!$A$4:$A$2731)+ROW()-3)</f>
        <v>6739</v>
      </c>
      <c r="B714" s="413">
        <v>44872</v>
      </c>
      <c r="C714" s="424">
        <v>44835</v>
      </c>
      <c r="D714" s="419" t="s">
        <v>182</v>
      </c>
      <c r="E714" s="419" t="s">
        <v>1</v>
      </c>
      <c r="F714" s="422">
        <v>2116.62</v>
      </c>
      <c r="G714" s="427" t="s">
        <v>8141</v>
      </c>
      <c r="H714" s="419" t="s">
        <v>310</v>
      </c>
      <c r="I714" s="415" t="s">
        <v>1198</v>
      </c>
      <c r="J714" s="419" t="s">
        <v>1197</v>
      </c>
      <c r="K714" s="419" t="s">
        <v>830</v>
      </c>
      <c r="L714" s="415" t="s">
        <v>909</v>
      </c>
      <c r="M714" s="419" t="s">
        <v>310</v>
      </c>
      <c r="N714" s="413">
        <v>44872</v>
      </c>
      <c r="O714" s="414" t="s">
        <v>400</v>
      </c>
      <c r="P714" s="655">
        <f t="shared" si="35"/>
        <v>11</v>
      </c>
      <c r="Q714" s="655">
        <f t="shared" si="36"/>
        <v>10</v>
      </c>
      <c r="R714" s="758" t="str">
        <f t="shared" si="37"/>
        <v>Gastos_com_Pessoal</v>
      </c>
      <c r="S714" s="697" t="s">
        <v>310</v>
      </c>
      <c r="T714" s="697" t="s">
        <v>310</v>
      </c>
    </row>
    <row r="715" spans="1:20" ht="36" x14ac:dyDescent="0.2">
      <c r="A715" s="432">
        <f>IF(B715="","",COUNT('Diário 1º PA'!$A$4:$A$2635)+COUNT('Diário 2º PA'!$A$4:$A$3040)+COUNT('Diário 3º PA'!$A$4:$A$2731)+ROW()-3)</f>
        <v>6740</v>
      </c>
      <c r="B715" s="413">
        <v>44872</v>
      </c>
      <c r="C715" s="424">
        <v>44835</v>
      </c>
      <c r="D715" s="419" t="s">
        <v>182</v>
      </c>
      <c r="E715" s="419" t="s">
        <v>1</v>
      </c>
      <c r="F715" s="422">
        <v>1701.18</v>
      </c>
      <c r="G715" s="427" t="s">
        <v>8142</v>
      </c>
      <c r="H715" s="419" t="s">
        <v>310</v>
      </c>
      <c r="I715" s="415" t="s">
        <v>1196</v>
      </c>
      <c r="J715" s="419" t="s">
        <v>1195</v>
      </c>
      <c r="K715" s="419" t="s">
        <v>830</v>
      </c>
      <c r="L715" s="415" t="s">
        <v>909</v>
      </c>
      <c r="M715" s="419" t="s">
        <v>310</v>
      </c>
      <c r="N715" s="413">
        <v>44872</v>
      </c>
      <c r="O715" s="414" t="s">
        <v>400</v>
      </c>
      <c r="P715" s="655">
        <f t="shared" si="35"/>
        <v>11</v>
      </c>
      <c r="Q715" s="655">
        <f t="shared" si="36"/>
        <v>10</v>
      </c>
      <c r="R715" s="758" t="str">
        <f t="shared" si="37"/>
        <v>Gastos_com_Pessoal</v>
      </c>
      <c r="S715" s="697" t="s">
        <v>310</v>
      </c>
      <c r="T715" s="697" t="s">
        <v>310</v>
      </c>
    </row>
    <row r="716" spans="1:20" ht="36" x14ac:dyDescent="0.2">
      <c r="A716" s="432">
        <f>IF(B716="","",COUNT('Diário 1º PA'!$A$4:$A$2635)+COUNT('Diário 2º PA'!$A$4:$A$3040)+COUNT('Diário 3º PA'!$A$4:$A$2731)+ROW()-3)</f>
        <v>6741</v>
      </c>
      <c r="B716" s="413">
        <v>44841</v>
      </c>
      <c r="C716" s="424">
        <v>44835</v>
      </c>
      <c r="D716" s="419" t="s">
        <v>182</v>
      </c>
      <c r="E716" s="419" t="s">
        <v>1</v>
      </c>
      <c r="F716" s="422">
        <v>2300.62</v>
      </c>
      <c r="G716" s="427" t="s">
        <v>8127</v>
      </c>
      <c r="H716" s="419" t="s">
        <v>310</v>
      </c>
      <c r="I716" s="415" t="s">
        <v>3197</v>
      </c>
      <c r="J716" s="419" t="s">
        <v>3198</v>
      </c>
      <c r="K716" s="419" t="s">
        <v>830</v>
      </c>
      <c r="L716" s="415" t="s">
        <v>909</v>
      </c>
      <c r="M716" s="419" t="s">
        <v>310</v>
      </c>
      <c r="N716" s="413">
        <v>44872</v>
      </c>
      <c r="O716" s="414" t="s">
        <v>400</v>
      </c>
      <c r="P716" s="655">
        <f t="shared" si="35"/>
        <v>10</v>
      </c>
      <c r="Q716" s="655">
        <f t="shared" si="36"/>
        <v>10</v>
      </c>
      <c r="R716" s="758" t="str">
        <f t="shared" si="37"/>
        <v>Gastos_com_Pessoal</v>
      </c>
      <c r="S716" s="697" t="s">
        <v>310</v>
      </c>
      <c r="T716" s="697" t="s">
        <v>310</v>
      </c>
    </row>
    <row r="717" spans="1:20" ht="36" x14ac:dyDescent="0.2">
      <c r="A717" s="432">
        <f>IF(B717="","",COUNT('Diário 1º PA'!$A$4:$A$2635)+COUNT('Diário 2º PA'!$A$4:$A$3040)+COUNT('Diário 3º PA'!$A$4:$A$2731)+ROW()-3)</f>
        <v>6742</v>
      </c>
      <c r="B717" s="413">
        <v>44872</v>
      </c>
      <c r="C717" s="424">
        <v>44835</v>
      </c>
      <c r="D717" s="419" t="s">
        <v>182</v>
      </c>
      <c r="E717" s="419" t="s">
        <v>1</v>
      </c>
      <c r="F717" s="422">
        <v>1157.17</v>
      </c>
      <c r="G717" s="427" t="s">
        <v>8143</v>
      </c>
      <c r="H717" s="419" t="s">
        <v>310</v>
      </c>
      <c r="I717" s="415" t="s">
        <v>1194</v>
      </c>
      <c r="J717" s="419" t="s">
        <v>1193</v>
      </c>
      <c r="K717" s="419" t="s">
        <v>830</v>
      </c>
      <c r="L717" s="415" t="s">
        <v>909</v>
      </c>
      <c r="M717" s="419" t="s">
        <v>310</v>
      </c>
      <c r="N717" s="413">
        <v>44872</v>
      </c>
      <c r="O717" s="414" t="s">
        <v>400</v>
      </c>
      <c r="P717" s="655">
        <f t="shared" si="35"/>
        <v>11</v>
      </c>
      <c r="Q717" s="655">
        <f t="shared" si="36"/>
        <v>10</v>
      </c>
      <c r="R717" s="758" t="str">
        <f t="shared" si="37"/>
        <v>Gastos_com_Pessoal</v>
      </c>
      <c r="S717" s="697" t="s">
        <v>310</v>
      </c>
      <c r="T717" s="697" t="s">
        <v>310</v>
      </c>
    </row>
    <row r="718" spans="1:20" ht="36" x14ac:dyDescent="0.2">
      <c r="A718" s="432">
        <f>IF(B718="","",COUNT('Diário 1º PA'!$A$4:$A$2635)+COUNT('Diário 2º PA'!$A$4:$A$3040)+COUNT('Diário 3º PA'!$A$4:$A$2731)+ROW()-3)</f>
        <v>6743</v>
      </c>
      <c r="B718" s="413">
        <v>44872</v>
      </c>
      <c r="C718" s="424">
        <v>44835</v>
      </c>
      <c r="D718" s="419" t="s">
        <v>182</v>
      </c>
      <c r="E718" s="419" t="s">
        <v>1</v>
      </c>
      <c r="F718" s="422">
        <v>3057.12</v>
      </c>
      <c r="G718" s="427" t="s">
        <v>8144</v>
      </c>
      <c r="H718" s="419" t="s">
        <v>310</v>
      </c>
      <c r="I718" s="415" t="s">
        <v>1192</v>
      </c>
      <c r="J718" s="419" t="s">
        <v>1191</v>
      </c>
      <c r="K718" s="419" t="s">
        <v>830</v>
      </c>
      <c r="L718" s="415" t="s">
        <v>909</v>
      </c>
      <c r="M718" s="419" t="s">
        <v>310</v>
      </c>
      <c r="N718" s="413">
        <v>44872</v>
      </c>
      <c r="O718" s="414" t="s">
        <v>400</v>
      </c>
      <c r="P718" s="655">
        <f t="shared" si="35"/>
        <v>11</v>
      </c>
      <c r="Q718" s="655">
        <f t="shared" si="36"/>
        <v>10</v>
      </c>
      <c r="R718" s="758" t="str">
        <f t="shared" si="37"/>
        <v>Gastos_com_Pessoal</v>
      </c>
      <c r="S718" s="697" t="s">
        <v>310</v>
      </c>
      <c r="T718" s="697" t="s">
        <v>310</v>
      </c>
    </row>
    <row r="719" spans="1:20" ht="36" x14ac:dyDescent="0.2">
      <c r="A719" s="432">
        <f>IF(B719="","",COUNT('Diário 1º PA'!$A$4:$A$2635)+COUNT('Diário 2º PA'!$A$4:$A$3040)+COUNT('Diário 3º PA'!$A$4:$A$2731)+ROW()-3)</f>
        <v>6744</v>
      </c>
      <c r="B719" s="413">
        <v>44872</v>
      </c>
      <c r="C719" s="424">
        <v>44835</v>
      </c>
      <c r="D719" s="419" t="s">
        <v>182</v>
      </c>
      <c r="E719" s="419" t="s">
        <v>1</v>
      </c>
      <c r="F719" s="422">
        <v>3704.6</v>
      </c>
      <c r="G719" s="427" t="s">
        <v>8145</v>
      </c>
      <c r="H719" s="419" t="s">
        <v>310</v>
      </c>
      <c r="I719" s="415" t="s">
        <v>2061</v>
      </c>
      <c r="J719" s="419" t="s">
        <v>2062</v>
      </c>
      <c r="K719" s="419" t="s">
        <v>830</v>
      </c>
      <c r="L719" s="415" t="s">
        <v>909</v>
      </c>
      <c r="M719" s="419" t="s">
        <v>310</v>
      </c>
      <c r="N719" s="413">
        <v>44872</v>
      </c>
      <c r="O719" s="414" t="s">
        <v>400</v>
      </c>
      <c r="P719" s="655">
        <f t="shared" si="35"/>
        <v>11</v>
      </c>
      <c r="Q719" s="655">
        <f t="shared" si="36"/>
        <v>10</v>
      </c>
      <c r="R719" s="758" t="str">
        <f t="shared" si="37"/>
        <v>Gastos_com_Pessoal</v>
      </c>
      <c r="S719" s="697" t="s">
        <v>310</v>
      </c>
      <c r="T719" s="697" t="s">
        <v>310</v>
      </c>
    </row>
    <row r="720" spans="1:20" ht="36" x14ac:dyDescent="0.2">
      <c r="A720" s="432">
        <f>IF(B720="","",COUNT('Diário 1º PA'!$A$4:$A$2635)+COUNT('Diário 2º PA'!$A$4:$A$3040)+COUNT('Diário 3º PA'!$A$4:$A$2731)+ROW()-3)</f>
        <v>6745</v>
      </c>
      <c r="B720" s="413">
        <v>44872</v>
      </c>
      <c r="C720" s="424">
        <v>44835</v>
      </c>
      <c r="D720" s="415" t="s">
        <v>182</v>
      </c>
      <c r="E720" s="415" t="s">
        <v>1</v>
      </c>
      <c r="F720" s="425">
        <v>2062.4899999999998</v>
      </c>
      <c r="G720" s="440" t="s">
        <v>8127</v>
      </c>
      <c r="H720" s="415" t="s">
        <v>310</v>
      </c>
      <c r="I720" s="639" t="s">
        <v>1190</v>
      </c>
      <c r="J720" s="399" t="s">
        <v>1191</v>
      </c>
      <c r="K720" s="415" t="s">
        <v>830</v>
      </c>
      <c r="L720" s="415" t="s">
        <v>909</v>
      </c>
      <c r="M720" s="415" t="s">
        <v>310</v>
      </c>
      <c r="N720" s="413">
        <v>44872</v>
      </c>
      <c r="O720" s="414" t="s">
        <v>400</v>
      </c>
      <c r="P720" s="655">
        <f t="shared" si="35"/>
        <v>11</v>
      </c>
      <c r="Q720" s="655">
        <f t="shared" si="36"/>
        <v>10</v>
      </c>
      <c r="R720" s="758" t="str">
        <f t="shared" si="37"/>
        <v>Gastos_com_Pessoal</v>
      </c>
      <c r="S720" s="697" t="s">
        <v>310</v>
      </c>
      <c r="T720" s="697" t="s">
        <v>310</v>
      </c>
    </row>
    <row r="721" spans="1:20" ht="36" x14ac:dyDescent="0.2">
      <c r="A721" s="432">
        <f>IF(B721="","",COUNT('Diário 1º PA'!$A$4:$A$2635)+COUNT('Diário 2º PA'!$A$4:$A$3040)+COUNT('Diário 3º PA'!$A$4:$A$2731)+ROW()-3)</f>
        <v>6746</v>
      </c>
      <c r="B721" s="413">
        <v>44872</v>
      </c>
      <c r="C721" s="424">
        <v>44835</v>
      </c>
      <c r="D721" s="419" t="s">
        <v>182</v>
      </c>
      <c r="E721" s="419" t="s">
        <v>1</v>
      </c>
      <c r="F721" s="422">
        <v>2237.35</v>
      </c>
      <c r="G721" s="423" t="s">
        <v>8146</v>
      </c>
      <c r="H721" s="419" t="s">
        <v>310</v>
      </c>
      <c r="I721" s="415" t="s">
        <v>7040</v>
      </c>
      <c r="J721" s="419" t="s">
        <v>6358</v>
      </c>
      <c r="K721" s="419" t="s">
        <v>830</v>
      </c>
      <c r="L721" s="415" t="s">
        <v>909</v>
      </c>
      <c r="M721" s="419" t="s">
        <v>310</v>
      </c>
      <c r="N721" s="413">
        <v>44872</v>
      </c>
      <c r="O721" s="414" t="s">
        <v>400</v>
      </c>
      <c r="P721" s="655">
        <f t="shared" si="35"/>
        <v>11</v>
      </c>
      <c r="Q721" s="655">
        <f t="shared" si="36"/>
        <v>10</v>
      </c>
      <c r="R721" s="758" t="str">
        <f t="shared" si="37"/>
        <v>Gastos_com_Pessoal</v>
      </c>
      <c r="S721" s="697" t="s">
        <v>310</v>
      </c>
      <c r="T721" s="697" t="s">
        <v>310</v>
      </c>
    </row>
    <row r="722" spans="1:20" ht="36" x14ac:dyDescent="0.2">
      <c r="A722" s="432">
        <f>IF(B722="","",COUNT('Diário 1º PA'!$A$4:$A$2635)+COUNT('Diário 2º PA'!$A$4:$A$3040)+COUNT('Diário 3º PA'!$A$4:$A$2731)+ROW()-3)</f>
        <v>6747</v>
      </c>
      <c r="B722" s="413">
        <v>44872</v>
      </c>
      <c r="C722" s="424">
        <v>44835</v>
      </c>
      <c r="D722" s="419" t="s">
        <v>182</v>
      </c>
      <c r="E722" s="419" t="s">
        <v>1</v>
      </c>
      <c r="F722" s="422">
        <v>2644.25</v>
      </c>
      <c r="G722" s="423" t="s">
        <v>8144</v>
      </c>
      <c r="H722" s="419" t="s">
        <v>310</v>
      </c>
      <c r="I722" s="415" t="s">
        <v>1188</v>
      </c>
      <c r="J722" s="419" t="s">
        <v>1189</v>
      </c>
      <c r="K722" s="419" t="s">
        <v>830</v>
      </c>
      <c r="L722" s="415" t="s">
        <v>909</v>
      </c>
      <c r="M722" s="419" t="s">
        <v>310</v>
      </c>
      <c r="N722" s="413">
        <v>44872</v>
      </c>
      <c r="O722" s="414" t="s">
        <v>400</v>
      </c>
      <c r="P722" s="655">
        <f t="shared" si="35"/>
        <v>11</v>
      </c>
      <c r="Q722" s="655">
        <f t="shared" si="36"/>
        <v>10</v>
      </c>
      <c r="R722" s="758" t="str">
        <f t="shared" si="37"/>
        <v>Gastos_com_Pessoal</v>
      </c>
      <c r="S722" s="697" t="s">
        <v>310</v>
      </c>
      <c r="T722" s="697" t="s">
        <v>310</v>
      </c>
    </row>
    <row r="723" spans="1:20" ht="36" x14ac:dyDescent="0.2">
      <c r="A723" s="432">
        <f>IF(B723="","",COUNT('Diário 1º PA'!$A$4:$A$2635)+COUNT('Diário 2º PA'!$A$4:$A$3040)+COUNT('Diário 3º PA'!$A$4:$A$2731)+ROW()-3)</f>
        <v>6748</v>
      </c>
      <c r="B723" s="413">
        <v>44872</v>
      </c>
      <c r="C723" s="424">
        <v>44835</v>
      </c>
      <c r="D723" s="419" t="s">
        <v>182</v>
      </c>
      <c r="E723" s="419" t="s">
        <v>1</v>
      </c>
      <c r="F723" s="422">
        <v>3129.42</v>
      </c>
      <c r="G723" s="423" t="s">
        <v>8144</v>
      </c>
      <c r="H723" s="419" t="s">
        <v>310</v>
      </c>
      <c r="I723" s="415" t="s">
        <v>1186</v>
      </c>
      <c r="J723" s="419" t="s">
        <v>1187</v>
      </c>
      <c r="K723" s="419" t="s">
        <v>830</v>
      </c>
      <c r="L723" s="415" t="s">
        <v>909</v>
      </c>
      <c r="M723" s="419" t="s">
        <v>310</v>
      </c>
      <c r="N723" s="413">
        <v>44872</v>
      </c>
      <c r="O723" s="414" t="s">
        <v>400</v>
      </c>
      <c r="P723" s="655">
        <f t="shared" si="35"/>
        <v>11</v>
      </c>
      <c r="Q723" s="655">
        <f t="shared" si="36"/>
        <v>10</v>
      </c>
      <c r="R723" s="758" t="str">
        <f t="shared" ref="R723:R754" si="38">SUBSTITUTE(D723," ","_")</f>
        <v>Gastos_com_Pessoal</v>
      </c>
      <c r="S723" s="697" t="s">
        <v>310</v>
      </c>
      <c r="T723" s="697" t="s">
        <v>310</v>
      </c>
    </row>
    <row r="724" spans="1:20" ht="36" x14ac:dyDescent="0.2">
      <c r="A724" s="432">
        <f>IF(B724="","",COUNT('Diário 1º PA'!$A$4:$A$2635)+COUNT('Diário 2º PA'!$A$4:$A$3040)+COUNT('Diário 3º PA'!$A$4:$A$2731)+ROW()-3)</f>
        <v>6749</v>
      </c>
      <c r="B724" s="413">
        <v>44872</v>
      </c>
      <c r="C724" s="424">
        <v>44835</v>
      </c>
      <c r="D724" s="419" t="s">
        <v>182</v>
      </c>
      <c r="E724" s="419" t="s">
        <v>1</v>
      </c>
      <c r="F724" s="422">
        <v>3147.4</v>
      </c>
      <c r="G724" s="423" t="s">
        <v>8144</v>
      </c>
      <c r="H724" s="419" t="s">
        <v>310</v>
      </c>
      <c r="I724" s="415" t="s">
        <v>1184</v>
      </c>
      <c r="J724" s="419" t="s">
        <v>1185</v>
      </c>
      <c r="K724" s="419" t="s">
        <v>830</v>
      </c>
      <c r="L724" s="415" t="s">
        <v>909</v>
      </c>
      <c r="M724" s="419" t="s">
        <v>310</v>
      </c>
      <c r="N724" s="413">
        <v>44872</v>
      </c>
      <c r="O724" s="414" t="s">
        <v>400</v>
      </c>
      <c r="P724" s="655">
        <f t="shared" si="35"/>
        <v>11</v>
      </c>
      <c r="Q724" s="655">
        <f t="shared" si="36"/>
        <v>10</v>
      </c>
      <c r="R724" s="758" t="str">
        <f t="shared" si="38"/>
        <v>Gastos_com_Pessoal</v>
      </c>
      <c r="S724" s="697" t="s">
        <v>310</v>
      </c>
      <c r="T724" s="697" t="s">
        <v>310</v>
      </c>
    </row>
    <row r="725" spans="1:20" ht="36" x14ac:dyDescent="0.2">
      <c r="A725" s="432">
        <f>IF(B725="","",COUNT('Diário 1º PA'!$A$4:$A$2635)+COUNT('Diário 2º PA'!$A$4:$A$3040)+COUNT('Diário 3º PA'!$A$4:$A$2731)+ROW()-3)</f>
        <v>6750</v>
      </c>
      <c r="B725" s="413">
        <v>44872</v>
      </c>
      <c r="C725" s="424">
        <v>44835</v>
      </c>
      <c r="D725" s="419" t="s">
        <v>182</v>
      </c>
      <c r="E725" s="419" t="s">
        <v>1</v>
      </c>
      <c r="F725" s="422">
        <v>2286.4</v>
      </c>
      <c r="G725" s="423" t="s">
        <v>8147</v>
      </c>
      <c r="H725" s="419" t="s">
        <v>310</v>
      </c>
      <c r="I725" s="415" t="s">
        <v>1182</v>
      </c>
      <c r="J725" s="419" t="s">
        <v>1183</v>
      </c>
      <c r="K725" s="419" t="s">
        <v>830</v>
      </c>
      <c r="L725" s="415" t="s">
        <v>909</v>
      </c>
      <c r="M725" s="419" t="s">
        <v>310</v>
      </c>
      <c r="N725" s="413">
        <v>44872</v>
      </c>
      <c r="O725" s="414" t="s">
        <v>400</v>
      </c>
      <c r="P725" s="655">
        <f t="shared" si="35"/>
        <v>11</v>
      </c>
      <c r="Q725" s="655">
        <f t="shared" si="36"/>
        <v>10</v>
      </c>
      <c r="R725" s="758" t="str">
        <f t="shared" si="38"/>
        <v>Gastos_com_Pessoal</v>
      </c>
      <c r="S725" s="697" t="s">
        <v>310</v>
      </c>
      <c r="T725" s="697" t="s">
        <v>310</v>
      </c>
    </row>
    <row r="726" spans="1:20" ht="36" x14ac:dyDescent="0.2">
      <c r="A726" s="432">
        <f>IF(B726="","",COUNT('Diário 1º PA'!$A$4:$A$2635)+COUNT('Diário 2º PA'!$A$4:$A$3040)+COUNT('Diário 3º PA'!$A$4:$A$2731)+ROW()-3)</f>
        <v>6751</v>
      </c>
      <c r="B726" s="413">
        <v>44872</v>
      </c>
      <c r="C726" s="424">
        <v>44835</v>
      </c>
      <c r="D726" s="419" t="s">
        <v>182</v>
      </c>
      <c r="E726" s="419" t="s">
        <v>1</v>
      </c>
      <c r="F726" s="422">
        <v>3031.59</v>
      </c>
      <c r="G726" s="423" t="s">
        <v>8148</v>
      </c>
      <c r="H726" s="419" t="s">
        <v>310</v>
      </c>
      <c r="I726" s="415" t="s">
        <v>1181</v>
      </c>
      <c r="J726" s="419" t="s">
        <v>933</v>
      </c>
      <c r="K726" s="419" t="s">
        <v>830</v>
      </c>
      <c r="L726" s="415" t="s">
        <v>909</v>
      </c>
      <c r="M726" s="419" t="s">
        <v>310</v>
      </c>
      <c r="N726" s="413">
        <v>44872</v>
      </c>
      <c r="O726" s="414" t="s">
        <v>400</v>
      </c>
      <c r="P726" s="655">
        <f t="shared" si="35"/>
        <v>11</v>
      </c>
      <c r="Q726" s="655">
        <f t="shared" si="36"/>
        <v>10</v>
      </c>
      <c r="R726" s="758" t="str">
        <f t="shared" si="38"/>
        <v>Gastos_com_Pessoal</v>
      </c>
      <c r="S726" s="697" t="s">
        <v>310</v>
      </c>
      <c r="T726" s="697" t="s">
        <v>310</v>
      </c>
    </row>
    <row r="727" spans="1:20" ht="36" x14ac:dyDescent="0.2">
      <c r="A727" s="432">
        <f>IF(B727="","",COUNT('Diário 1º PA'!$A$4:$A$2635)+COUNT('Diário 2º PA'!$A$4:$A$3040)+COUNT('Diário 3º PA'!$A$4:$A$2731)+ROW()-3)</f>
        <v>6752</v>
      </c>
      <c r="B727" s="413">
        <v>44872</v>
      </c>
      <c r="C727" s="466">
        <v>44835</v>
      </c>
      <c r="D727" s="426" t="s">
        <v>182</v>
      </c>
      <c r="E727" s="426" t="s">
        <v>1</v>
      </c>
      <c r="F727" s="686">
        <v>3084.86</v>
      </c>
      <c r="G727" s="642" t="s">
        <v>8149</v>
      </c>
      <c r="H727" s="426" t="s">
        <v>310</v>
      </c>
      <c r="I727" s="434" t="s">
        <v>1179</v>
      </c>
      <c r="J727" s="426" t="s">
        <v>1180</v>
      </c>
      <c r="K727" s="426" t="s">
        <v>830</v>
      </c>
      <c r="L727" s="434" t="s">
        <v>909</v>
      </c>
      <c r="M727" s="426" t="s">
        <v>310</v>
      </c>
      <c r="N727" s="685">
        <v>44872</v>
      </c>
      <c r="O727" s="414" t="s">
        <v>400</v>
      </c>
      <c r="P727" s="655">
        <f t="shared" si="35"/>
        <v>11</v>
      </c>
      <c r="Q727" s="655">
        <f t="shared" si="36"/>
        <v>10</v>
      </c>
      <c r="R727" s="758" t="str">
        <f t="shared" si="38"/>
        <v>Gastos_com_Pessoal</v>
      </c>
      <c r="S727" s="697" t="s">
        <v>310</v>
      </c>
      <c r="T727" s="697" t="s">
        <v>310</v>
      </c>
    </row>
    <row r="728" spans="1:20" ht="36" x14ac:dyDescent="0.2">
      <c r="A728" s="432">
        <f>IF(B728="","",COUNT('Diário 1º PA'!$A$4:$A$2635)+COUNT('Diário 2º PA'!$A$4:$A$3040)+COUNT('Diário 3º PA'!$A$4:$A$2731)+ROW()-3)</f>
        <v>6753</v>
      </c>
      <c r="B728" s="413">
        <v>44872</v>
      </c>
      <c r="C728" s="424">
        <v>44835</v>
      </c>
      <c r="D728" s="419" t="s">
        <v>182</v>
      </c>
      <c r="E728" s="419" t="s">
        <v>1</v>
      </c>
      <c r="F728" s="422">
        <v>3147.4</v>
      </c>
      <c r="G728" s="423" t="s">
        <v>8148</v>
      </c>
      <c r="H728" s="419" t="s">
        <v>310</v>
      </c>
      <c r="I728" s="415" t="s">
        <v>3195</v>
      </c>
      <c r="J728" s="419" t="s">
        <v>3518</v>
      </c>
      <c r="K728" s="419" t="s">
        <v>830</v>
      </c>
      <c r="L728" s="415" t="s">
        <v>909</v>
      </c>
      <c r="M728" s="419" t="s">
        <v>310</v>
      </c>
      <c r="N728" s="413">
        <v>44872</v>
      </c>
      <c r="O728" s="414" t="s">
        <v>400</v>
      </c>
      <c r="P728" s="655">
        <f t="shared" si="35"/>
        <v>11</v>
      </c>
      <c r="Q728" s="655">
        <f t="shared" si="36"/>
        <v>10</v>
      </c>
      <c r="R728" s="758" t="str">
        <f t="shared" si="38"/>
        <v>Gastos_com_Pessoal</v>
      </c>
      <c r="S728" s="697" t="s">
        <v>310</v>
      </c>
      <c r="T728" s="697" t="s">
        <v>310</v>
      </c>
    </row>
    <row r="729" spans="1:20" ht="36" x14ac:dyDescent="0.2">
      <c r="A729" s="432">
        <f>IF(B729="","",COUNT('Diário 1º PA'!$A$4:$A$2635)+COUNT('Diário 2º PA'!$A$4:$A$3040)+COUNT('Diário 3º PA'!$A$4:$A$2731)+ROW()-3)</f>
        <v>6754</v>
      </c>
      <c r="B729" s="413">
        <v>44872</v>
      </c>
      <c r="C729" s="424">
        <v>44835</v>
      </c>
      <c r="D729" s="419" t="s">
        <v>182</v>
      </c>
      <c r="E729" s="419" t="s">
        <v>1</v>
      </c>
      <c r="F729" s="422">
        <v>1893.07</v>
      </c>
      <c r="G729" s="423" t="s">
        <v>8127</v>
      </c>
      <c r="H729" s="419" t="s">
        <v>310</v>
      </c>
      <c r="I729" s="415" t="s">
        <v>1175</v>
      </c>
      <c r="J729" s="419" t="s">
        <v>1176</v>
      </c>
      <c r="K729" s="419" t="s">
        <v>830</v>
      </c>
      <c r="L729" s="415" t="s">
        <v>909</v>
      </c>
      <c r="M729" s="419" t="s">
        <v>310</v>
      </c>
      <c r="N729" s="413">
        <v>44872</v>
      </c>
      <c r="O729" s="414" t="s">
        <v>400</v>
      </c>
      <c r="P729" s="655">
        <f t="shared" si="35"/>
        <v>11</v>
      </c>
      <c r="Q729" s="655">
        <f t="shared" si="36"/>
        <v>10</v>
      </c>
      <c r="R729" s="758" t="str">
        <f t="shared" si="38"/>
        <v>Gastos_com_Pessoal</v>
      </c>
      <c r="S729" s="697" t="s">
        <v>310</v>
      </c>
      <c r="T729" s="697" t="s">
        <v>310</v>
      </c>
    </row>
    <row r="730" spans="1:20" ht="36" x14ac:dyDescent="0.2">
      <c r="A730" s="432">
        <f>IF(B730="","",COUNT('Diário 1º PA'!$A$4:$A$2635)+COUNT('Diário 2º PA'!$A$4:$A$3040)+COUNT('Diário 3º PA'!$A$4:$A$2731)+ROW()-3)</f>
        <v>6755</v>
      </c>
      <c r="B730" s="413">
        <v>44872</v>
      </c>
      <c r="C730" s="424">
        <v>44835</v>
      </c>
      <c r="D730" s="419" t="s">
        <v>182</v>
      </c>
      <c r="E730" s="419" t="s">
        <v>1</v>
      </c>
      <c r="F730" s="422">
        <v>1986.65</v>
      </c>
      <c r="G730" s="423" t="s">
        <v>8127</v>
      </c>
      <c r="H730" s="419" t="s">
        <v>310</v>
      </c>
      <c r="I730" s="415" t="s">
        <v>1173</v>
      </c>
      <c r="J730" s="419" t="s">
        <v>1174</v>
      </c>
      <c r="K730" s="419" t="s">
        <v>830</v>
      </c>
      <c r="L730" s="415" t="s">
        <v>909</v>
      </c>
      <c r="M730" s="419" t="s">
        <v>310</v>
      </c>
      <c r="N730" s="413">
        <v>44872</v>
      </c>
      <c r="O730" s="414" t="s">
        <v>400</v>
      </c>
      <c r="P730" s="655">
        <f t="shared" si="35"/>
        <v>11</v>
      </c>
      <c r="Q730" s="655">
        <f t="shared" si="36"/>
        <v>10</v>
      </c>
      <c r="R730" s="758" t="str">
        <f t="shared" si="38"/>
        <v>Gastos_com_Pessoal</v>
      </c>
      <c r="S730" s="697" t="s">
        <v>310</v>
      </c>
      <c r="T730" s="697" t="s">
        <v>310</v>
      </c>
    </row>
    <row r="731" spans="1:20" ht="36" x14ac:dyDescent="0.2">
      <c r="A731" s="432">
        <f>IF(B731="","",COUNT('Diário 1º PA'!$A$4:$A$2635)+COUNT('Diário 2º PA'!$A$4:$A$3040)+COUNT('Diário 3º PA'!$A$4:$A$2731)+ROW()-3)</f>
        <v>6756</v>
      </c>
      <c r="B731" s="413">
        <v>44872</v>
      </c>
      <c r="C731" s="424">
        <v>44835</v>
      </c>
      <c r="D731" s="419" t="s">
        <v>182</v>
      </c>
      <c r="E731" s="419" t="s">
        <v>1</v>
      </c>
      <c r="F731" s="422">
        <v>2207.8200000000002</v>
      </c>
      <c r="G731" s="423" t="s">
        <v>8127</v>
      </c>
      <c r="H731" s="419" t="s">
        <v>310</v>
      </c>
      <c r="I731" s="415" t="s">
        <v>1171</v>
      </c>
      <c r="J731" s="419" t="s">
        <v>1172</v>
      </c>
      <c r="K731" s="419" t="s">
        <v>830</v>
      </c>
      <c r="L731" s="415" t="s">
        <v>909</v>
      </c>
      <c r="M731" s="419" t="s">
        <v>310</v>
      </c>
      <c r="N731" s="413">
        <v>44872</v>
      </c>
      <c r="O731" s="414" t="s">
        <v>400</v>
      </c>
      <c r="P731" s="655">
        <f t="shared" si="35"/>
        <v>11</v>
      </c>
      <c r="Q731" s="655">
        <f t="shared" si="36"/>
        <v>10</v>
      </c>
      <c r="R731" s="758" t="str">
        <f t="shared" si="38"/>
        <v>Gastos_com_Pessoal</v>
      </c>
      <c r="S731" s="697" t="s">
        <v>310</v>
      </c>
      <c r="T731" s="697" t="s">
        <v>310</v>
      </c>
    </row>
    <row r="732" spans="1:20" ht="36" x14ac:dyDescent="0.2">
      <c r="A732" s="432">
        <f>IF(B732="","",COUNT('Diário 1º PA'!$A$4:$A$2635)+COUNT('Diário 2º PA'!$A$4:$A$3040)+COUNT('Diário 3º PA'!$A$4:$A$2731)+ROW()-3)</f>
        <v>6757</v>
      </c>
      <c r="B732" s="413">
        <v>44872</v>
      </c>
      <c r="C732" s="424">
        <v>44835</v>
      </c>
      <c r="D732" s="419" t="s">
        <v>182</v>
      </c>
      <c r="E732" s="419" t="s">
        <v>1</v>
      </c>
      <c r="F732" s="422">
        <v>1697.77</v>
      </c>
      <c r="G732" s="423" t="s">
        <v>8150</v>
      </c>
      <c r="H732" s="419" t="s">
        <v>310</v>
      </c>
      <c r="I732" s="415" t="s">
        <v>1169</v>
      </c>
      <c r="J732" s="419" t="s">
        <v>1170</v>
      </c>
      <c r="K732" s="419" t="s">
        <v>830</v>
      </c>
      <c r="L732" s="415" t="s">
        <v>909</v>
      </c>
      <c r="M732" s="419" t="s">
        <v>310</v>
      </c>
      <c r="N732" s="413">
        <v>44872</v>
      </c>
      <c r="O732" s="414" t="s">
        <v>400</v>
      </c>
      <c r="P732" s="655">
        <f t="shared" si="35"/>
        <v>11</v>
      </c>
      <c r="Q732" s="655">
        <f t="shared" si="36"/>
        <v>10</v>
      </c>
      <c r="R732" s="758" t="str">
        <f t="shared" si="38"/>
        <v>Gastos_com_Pessoal</v>
      </c>
      <c r="S732" s="697" t="s">
        <v>310</v>
      </c>
      <c r="T732" s="697" t="s">
        <v>310</v>
      </c>
    </row>
    <row r="733" spans="1:20" ht="36" x14ac:dyDescent="0.2">
      <c r="A733" s="432">
        <f>IF(B733="","",COUNT('Diário 1º PA'!$A$4:$A$2635)+COUNT('Diário 2º PA'!$A$4:$A$3040)+COUNT('Diário 3º PA'!$A$4:$A$2731)+ROW()-3)</f>
        <v>6758</v>
      </c>
      <c r="B733" s="413">
        <v>44872</v>
      </c>
      <c r="C733" s="424">
        <v>44835</v>
      </c>
      <c r="D733" s="419" t="s">
        <v>182</v>
      </c>
      <c r="E733" s="419" t="s">
        <v>1</v>
      </c>
      <c r="F733" s="422">
        <v>2201.9899999999998</v>
      </c>
      <c r="G733" s="423" t="s">
        <v>8130</v>
      </c>
      <c r="H733" s="419" t="s">
        <v>310</v>
      </c>
      <c r="I733" s="415" t="s">
        <v>1167</v>
      </c>
      <c r="J733" s="419" t="s">
        <v>1168</v>
      </c>
      <c r="K733" s="419" t="s">
        <v>830</v>
      </c>
      <c r="L733" s="415" t="s">
        <v>909</v>
      </c>
      <c r="M733" s="419" t="s">
        <v>310</v>
      </c>
      <c r="N733" s="413">
        <v>44872</v>
      </c>
      <c r="O733" s="414" t="s">
        <v>400</v>
      </c>
      <c r="P733" s="655">
        <f t="shared" si="35"/>
        <v>11</v>
      </c>
      <c r="Q733" s="655">
        <f t="shared" si="36"/>
        <v>10</v>
      </c>
      <c r="R733" s="758" t="str">
        <f t="shared" si="38"/>
        <v>Gastos_com_Pessoal</v>
      </c>
      <c r="S733" s="697" t="s">
        <v>310</v>
      </c>
      <c r="T733" s="697" t="s">
        <v>310</v>
      </c>
    </row>
    <row r="734" spans="1:20" ht="36" x14ac:dyDescent="0.2">
      <c r="A734" s="432">
        <f>IF(B734="","",COUNT('Diário 1º PA'!$A$4:$A$2635)+COUNT('Diário 2º PA'!$A$4:$A$3040)+COUNT('Diário 3º PA'!$A$4:$A$2731)+ROW()-3)</f>
        <v>6759</v>
      </c>
      <c r="B734" s="413">
        <v>44872</v>
      </c>
      <c r="C734" s="424">
        <v>44835</v>
      </c>
      <c r="D734" s="419" t="s">
        <v>182</v>
      </c>
      <c r="E734" s="419" t="s">
        <v>1</v>
      </c>
      <c r="F734" s="422">
        <v>3129.42</v>
      </c>
      <c r="G734" s="423" t="s">
        <v>8148</v>
      </c>
      <c r="H734" s="419" t="s">
        <v>310</v>
      </c>
      <c r="I734" s="415" t="s">
        <v>996</v>
      </c>
      <c r="J734" s="419" t="s">
        <v>997</v>
      </c>
      <c r="K734" s="419" t="s">
        <v>830</v>
      </c>
      <c r="L734" s="415" t="s">
        <v>909</v>
      </c>
      <c r="M734" s="419" t="s">
        <v>310</v>
      </c>
      <c r="N734" s="413">
        <v>44872</v>
      </c>
      <c r="O734" s="414" t="s">
        <v>400</v>
      </c>
      <c r="P734" s="655">
        <f t="shared" si="35"/>
        <v>11</v>
      </c>
      <c r="Q734" s="655">
        <f t="shared" si="36"/>
        <v>10</v>
      </c>
      <c r="R734" s="758" t="str">
        <f t="shared" si="38"/>
        <v>Gastos_com_Pessoal</v>
      </c>
      <c r="S734" s="697" t="s">
        <v>310</v>
      </c>
      <c r="T734" s="697" t="s">
        <v>310</v>
      </c>
    </row>
    <row r="735" spans="1:20" ht="36" x14ac:dyDescent="0.2">
      <c r="A735" s="432">
        <f>IF(B735="","",COUNT('Diário 1º PA'!$A$4:$A$2635)+COUNT('Diário 2º PA'!$A$4:$A$3040)+COUNT('Diário 3º PA'!$A$4:$A$2731)+ROW()-3)</f>
        <v>6760</v>
      </c>
      <c r="B735" s="413">
        <v>44872</v>
      </c>
      <c r="C735" s="424">
        <v>44835</v>
      </c>
      <c r="D735" s="419" t="s">
        <v>182</v>
      </c>
      <c r="E735" s="419" t="s">
        <v>1</v>
      </c>
      <c r="F735" s="422">
        <v>2134.6</v>
      </c>
      <c r="G735" s="423" t="s">
        <v>8127</v>
      </c>
      <c r="H735" s="419" t="s">
        <v>310</v>
      </c>
      <c r="I735" s="415" t="s">
        <v>6019</v>
      </c>
      <c r="J735" s="419" t="s">
        <v>1178</v>
      </c>
      <c r="K735" s="419" t="s">
        <v>830</v>
      </c>
      <c r="L735" s="415" t="s">
        <v>909</v>
      </c>
      <c r="M735" s="419" t="s">
        <v>310</v>
      </c>
      <c r="N735" s="413">
        <v>44872</v>
      </c>
      <c r="O735" s="414" t="s">
        <v>400</v>
      </c>
      <c r="P735" s="655">
        <f t="shared" si="35"/>
        <v>11</v>
      </c>
      <c r="Q735" s="655">
        <f t="shared" si="36"/>
        <v>10</v>
      </c>
      <c r="R735" s="758" t="str">
        <f t="shared" si="38"/>
        <v>Gastos_com_Pessoal</v>
      </c>
      <c r="S735" s="697" t="s">
        <v>310</v>
      </c>
      <c r="T735" s="697" t="s">
        <v>310</v>
      </c>
    </row>
    <row r="736" spans="1:20" ht="36" x14ac:dyDescent="0.2">
      <c r="A736" s="432">
        <f>IF(B736="","",COUNT('Diário 1º PA'!$A$4:$A$2635)+COUNT('Diário 2º PA'!$A$4:$A$3040)+COUNT('Diário 3º PA'!$A$4:$A$2731)+ROW()-3)</f>
        <v>6761</v>
      </c>
      <c r="B736" s="413">
        <v>44872</v>
      </c>
      <c r="C736" s="424">
        <v>44835</v>
      </c>
      <c r="D736" s="419" t="s">
        <v>182</v>
      </c>
      <c r="E736" s="419" t="s">
        <v>1</v>
      </c>
      <c r="F736" s="422">
        <v>2300.62</v>
      </c>
      <c r="G736" s="427" t="s">
        <v>8130</v>
      </c>
      <c r="H736" s="419" t="s">
        <v>310</v>
      </c>
      <c r="I736" s="415" t="s">
        <v>994</v>
      </c>
      <c r="J736" s="419" t="s">
        <v>995</v>
      </c>
      <c r="K736" s="419" t="s">
        <v>830</v>
      </c>
      <c r="L736" s="415" t="s">
        <v>909</v>
      </c>
      <c r="M736" s="419" t="s">
        <v>310</v>
      </c>
      <c r="N736" s="413">
        <v>44872</v>
      </c>
      <c r="O736" s="414" t="s">
        <v>400</v>
      </c>
      <c r="P736" s="655">
        <f t="shared" si="35"/>
        <v>11</v>
      </c>
      <c r="Q736" s="655">
        <f t="shared" si="36"/>
        <v>10</v>
      </c>
      <c r="R736" s="758" t="str">
        <f t="shared" si="38"/>
        <v>Gastos_com_Pessoal</v>
      </c>
      <c r="S736" s="697" t="s">
        <v>310</v>
      </c>
      <c r="T736" s="697" t="s">
        <v>310</v>
      </c>
    </row>
    <row r="737" spans="1:20" ht="36" x14ac:dyDescent="0.2">
      <c r="A737" s="432">
        <f>IF(B737="","",COUNT('Diário 1º PA'!$A$4:$A$2635)+COUNT('Diário 2º PA'!$A$4:$A$3040)+COUNT('Diário 3º PA'!$A$4:$A$2731)+ROW()-3)</f>
        <v>6762</v>
      </c>
      <c r="B737" s="413">
        <v>44872</v>
      </c>
      <c r="C737" s="424">
        <v>44835</v>
      </c>
      <c r="D737" s="419" t="s">
        <v>182</v>
      </c>
      <c r="E737" s="419" t="s">
        <v>1</v>
      </c>
      <c r="F737" s="422">
        <v>2179.12</v>
      </c>
      <c r="G737" s="437" t="s">
        <v>8127</v>
      </c>
      <c r="H737" s="419" t="s">
        <v>310</v>
      </c>
      <c r="I737" s="415" t="s">
        <v>992</v>
      </c>
      <c r="J737" s="419" t="s">
        <v>993</v>
      </c>
      <c r="K737" s="419" t="s">
        <v>830</v>
      </c>
      <c r="L737" s="415" t="s">
        <v>909</v>
      </c>
      <c r="M737" s="419" t="s">
        <v>310</v>
      </c>
      <c r="N737" s="413">
        <v>44872</v>
      </c>
      <c r="O737" s="414" t="s">
        <v>400</v>
      </c>
      <c r="P737" s="655">
        <f t="shared" ref="P737:P800" si="39">IF(B737=0,0,IF(YEAR(B737)=$Q$1,MONTH(B737)-$P$1+1,(YEAR(B737)-$Q$1)*12-$P$1+1+MONTH(B737)))</f>
        <v>11</v>
      </c>
      <c r="Q737" s="655">
        <f t="shared" ref="Q737:Q800" si="40">IF(C737=0,0,IF(YEAR(C737)=$Q$1,MONTH(C737)-$P$1+1,(YEAR(C737)-$Q$1)*12-$P$1+1+MONTH(C737)))</f>
        <v>10</v>
      </c>
      <c r="R737" s="758" t="str">
        <f t="shared" si="38"/>
        <v>Gastos_com_Pessoal</v>
      </c>
      <c r="S737" s="697" t="s">
        <v>310</v>
      </c>
      <c r="T737" s="697" t="s">
        <v>310</v>
      </c>
    </row>
    <row r="738" spans="1:20" ht="36" x14ac:dyDescent="0.2">
      <c r="A738" s="432">
        <f>IF(B738="","",COUNT('Diário 1º PA'!$A$4:$A$2635)+COUNT('Diário 2º PA'!$A$4:$A$3040)+COUNT('Diário 3º PA'!$A$4:$A$2731)+ROW()-3)</f>
        <v>6763</v>
      </c>
      <c r="B738" s="413">
        <v>44872</v>
      </c>
      <c r="C738" s="424">
        <v>44835</v>
      </c>
      <c r="D738" s="419" t="s">
        <v>182</v>
      </c>
      <c r="E738" s="419" t="s">
        <v>1</v>
      </c>
      <c r="F738" s="422">
        <v>2939.52</v>
      </c>
      <c r="G738" s="423" t="s">
        <v>8148</v>
      </c>
      <c r="H738" s="419" t="s">
        <v>310</v>
      </c>
      <c r="I738" s="415" t="s">
        <v>7486</v>
      </c>
      <c r="J738" s="419" t="s">
        <v>7442</v>
      </c>
      <c r="K738" s="419" t="s">
        <v>830</v>
      </c>
      <c r="L738" s="415" t="s">
        <v>909</v>
      </c>
      <c r="M738" s="419" t="s">
        <v>310</v>
      </c>
      <c r="N738" s="413">
        <v>44872</v>
      </c>
      <c r="O738" s="414" t="s">
        <v>400</v>
      </c>
      <c r="P738" s="655">
        <f t="shared" si="39"/>
        <v>11</v>
      </c>
      <c r="Q738" s="655">
        <f t="shared" si="40"/>
        <v>10</v>
      </c>
      <c r="R738" s="758" t="str">
        <f t="shared" si="38"/>
        <v>Gastos_com_Pessoal</v>
      </c>
      <c r="S738" s="697" t="s">
        <v>310</v>
      </c>
      <c r="T738" s="697" t="s">
        <v>310</v>
      </c>
    </row>
    <row r="739" spans="1:20" ht="36" x14ac:dyDescent="0.2">
      <c r="A739" s="432">
        <f>IF(B739="","",COUNT('Diário 1º PA'!$A$4:$A$2635)+COUNT('Diário 2º PA'!$A$4:$A$3040)+COUNT('Diário 3º PA'!$A$4:$A$2731)+ROW()-3)</f>
        <v>6764</v>
      </c>
      <c r="B739" s="413">
        <v>44872</v>
      </c>
      <c r="C739" s="424">
        <v>44835</v>
      </c>
      <c r="D739" s="419" t="s">
        <v>182</v>
      </c>
      <c r="E739" s="419" t="s">
        <v>1</v>
      </c>
      <c r="F739" s="422">
        <v>11756.36</v>
      </c>
      <c r="G739" s="427" t="s">
        <v>8151</v>
      </c>
      <c r="H739" s="419" t="s">
        <v>310</v>
      </c>
      <c r="I739" s="415" t="s">
        <v>990</v>
      </c>
      <c r="J739" s="419" t="s">
        <v>991</v>
      </c>
      <c r="K739" s="419" t="s">
        <v>830</v>
      </c>
      <c r="L739" s="415" t="s">
        <v>909</v>
      </c>
      <c r="M739" s="419" t="s">
        <v>310</v>
      </c>
      <c r="N739" s="413">
        <v>44872</v>
      </c>
      <c r="O739" s="414" t="s">
        <v>400</v>
      </c>
      <c r="P739" s="655">
        <f t="shared" si="39"/>
        <v>11</v>
      </c>
      <c r="Q739" s="655">
        <f t="shared" si="40"/>
        <v>10</v>
      </c>
      <c r="R739" s="758" t="str">
        <f t="shared" si="38"/>
        <v>Gastos_com_Pessoal</v>
      </c>
      <c r="S739" s="697" t="s">
        <v>310</v>
      </c>
      <c r="T739" s="697" t="s">
        <v>310</v>
      </c>
    </row>
    <row r="740" spans="1:20" ht="36" x14ac:dyDescent="0.2">
      <c r="A740" s="432">
        <f>IF(B740="","",COUNT('Diário 1º PA'!$A$4:$A$2635)+COUNT('Diário 2º PA'!$A$4:$A$3040)+COUNT('Diário 3º PA'!$A$4:$A$2731)+ROW()-3)</f>
        <v>6765</v>
      </c>
      <c r="B740" s="413">
        <v>44872</v>
      </c>
      <c r="C740" s="424">
        <v>44835</v>
      </c>
      <c r="D740" s="419" t="s">
        <v>182</v>
      </c>
      <c r="E740" s="419" t="s">
        <v>1</v>
      </c>
      <c r="F740" s="422">
        <v>3150.46</v>
      </c>
      <c r="G740" s="423" t="s">
        <v>8152</v>
      </c>
      <c r="H740" s="419" t="s">
        <v>310</v>
      </c>
      <c r="I740" s="415" t="s">
        <v>946</v>
      </c>
      <c r="J740" s="419" t="s">
        <v>947</v>
      </c>
      <c r="K740" s="419" t="s">
        <v>806</v>
      </c>
      <c r="L740" s="415" t="s">
        <v>909</v>
      </c>
      <c r="M740" s="419" t="s">
        <v>310</v>
      </c>
      <c r="N740" s="413">
        <v>44872</v>
      </c>
      <c r="O740" s="414" t="s">
        <v>400</v>
      </c>
      <c r="P740" s="655">
        <f t="shared" si="39"/>
        <v>11</v>
      </c>
      <c r="Q740" s="655">
        <f t="shared" si="40"/>
        <v>10</v>
      </c>
      <c r="R740" s="758" t="str">
        <f t="shared" si="38"/>
        <v>Gastos_com_Pessoal</v>
      </c>
      <c r="S740" s="697" t="s">
        <v>310</v>
      </c>
      <c r="T740" s="697" t="s">
        <v>310</v>
      </c>
    </row>
    <row r="741" spans="1:20" ht="36" x14ac:dyDescent="0.2">
      <c r="A741" s="432">
        <f>IF(B741="","",COUNT('Diário 1º PA'!$A$4:$A$2635)+COUNT('Diário 2º PA'!$A$4:$A$3040)+COUNT('Diário 3º PA'!$A$4:$A$2731)+ROW()-3)</f>
        <v>6766</v>
      </c>
      <c r="B741" s="413">
        <v>44872</v>
      </c>
      <c r="C741" s="424">
        <v>44835</v>
      </c>
      <c r="D741" s="419" t="s">
        <v>182</v>
      </c>
      <c r="E741" s="419" t="s">
        <v>1</v>
      </c>
      <c r="F741" s="422">
        <v>2268.42</v>
      </c>
      <c r="G741" s="427" t="s">
        <v>8137</v>
      </c>
      <c r="H741" s="419" t="s">
        <v>310</v>
      </c>
      <c r="I741" s="415" t="s">
        <v>6328</v>
      </c>
      <c r="J741" s="419">
        <v>12909142655</v>
      </c>
      <c r="K741" s="419" t="s">
        <v>830</v>
      </c>
      <c r="L741" s="415" t="s">
        <v>909</v>
      </c>
      <c r="M741" s="419" t="s">
        <v>310</v>
      </c>
      <c r="N741" s="413">
        <v>44872</v>
      </c>
      <c r="O741" s="414" t="s">
        <v>400</v>
      </c>
      <c r="P741" s="655">
        <f t="shared" si="39"/>
        <v>11</v>
      </c>
      <c r="Q741" s="655">
        <f t="shared" si="40"/>
        <v>10</v>
      </c>
      <c r="R741" s="758" t="str">
        <f t="shared" si="38"/>
        <v>Gastos_com_Pessoal</v>
      </c>
      <c r="S741" s="697" t="s">
        <v>310</v>
      </c>
      <c r="T741" s="697" t="s">
        <v>310</v>
      </c>
    </row>
    <row r="742" spans="1:20" ht="36" x14ac:dyDescent="0.2">
      <c r="A742" s="432">
        <f>IF(B742="","",COUNT('Diário 1º PA'!$A$4:$A$2635)+COUNT('Diário 2º PA'!$A$4:$A$3040)+COUNT('Diário 3º PA'!$A$4:$A$2731)+ROW()-3)</f>
        <v>6767</v>
      </c>
      <c r="B742" s="413">
        <v>44872</v>
      </c>
      <c r="C742" s="424">
        <v>44835</v>
      </c>
      <c r="D742" s="419" t="s">
        <v>182</v>
      </c>
      <c r="E742" s="419" t="s">
        <v>1</v>
      </c>
      <c r="F742" s="422">
        <v>2268.42</v>
      </c>
      <c r="G742" s="423" t="s">
        <v>8140</v>
      </c>
      <c r="H742" s="419" t="s">
        <v>310</v>
      </c>
      <c r="I742" s="415" t="s">
        <v>3519</v>
      </c>
      <c r="J742" s="419" t="s">
        <v>988</v>
      </c>
      <c r="K742" s="419" t="s">
        <v>830</v>
      </c>
      <c r="L742" s="415" t="s">
        <v>909</v>
      </c>
      <c r="M742" s="419" t="s">
        <v>310</v>
      </c>
      <c r="N742" s="413">
        <v>44872</v>
      </c>
      <c r="O742" s="414" t="s">
        <v>400</v>
      </c>
      <c r="P742" s="655">
        <f t="shared" si="39"/>
        <v>11</v>
      </c>
      <c r="Q742" s="655">
        <f t="shared" si="40"/>
        <v>10</v>
      </c>
      <c r="R742" s="758" t="str">
        <f t="shared" si="38"/>
        <v>Gastos_com_Pessoal</v>
      </c>
      <c r="S742" s="697" t="s">
        <v>310</v>
      </c>
      <c r="T742" s="697" t="s">
        <v>310</v>
      </c>
    </row>
    <row r="743" spans="1:20" ht="36" x14ac:dyDescent="0.2">
      <c r="A743" s="432">
        <f>IF(B743="","",COUNT('Diário 1º PA'!$A$4:$A$2635)+COUNT('Diário 2º PA'!$A$4:$A$3040)+COUNT('Diário 3º PA'!$A$4:$A$2731)+ROW()-3)</f>
        <v>6768</v>
      </c>
      <c r="B743" s="413">
        <v>44872</v>
      </c>
      <c r="C743" s="424">
        <v>44835</v>
      </c>
      <c r="D743" s="419" t="s">
        <v>182</v>
      </c>
      <c r="E743" s="419" t="s">
        <v>1</v>
      </c>
      <c r="F743" s="422">
        <v>2933.84</v>
      </c>
      <c r="G743" s="423" t="s">
        <v>8153</v>
      </c>
      <c r="H743" s="419" t="s">
        <v>310</v>
      </c>
      <c r="I743" s="415" t="s">
        <v>985</v>
      </c>
      <c r="J743" s="419" t="s">
        <v>986</v>
      </c>
      <c r="K743" s="419" t="s">
        <v>830</v>
      </c>
      <c r="L743" s="415" t="s">
        <v>909</v>
      </c>
      <c r="M743" s="419" t="s">
        <v>310</v>
      </c>
      <c r="N743" s="413">
        <v>44872</v>
      </c>
      <c r="O743" s="414" t="s">
        <v>400</v>
      </c>
      <c r="P743" s="655">
        <f t="shared" si="39"/>
        <v>11</v>
      </c>
      <c r="Q743" s="655">
        <f t="shared" si="40"/>
        <v>10</v>
      </c>
      <c r="R743" s="758" t="str">
        <f t="shared" si="38"/>
        <v>Gastos_com_Pessoal</v>
      </c>
      <c r="S743" s="697" t="s">
        <v>310</v>
      </c>
      <c r="T743" s="697" t="s">
        <v>310</v>
      </c>
    </row>
    <row r="744" spans="1:20" ht="36" x14ac:dyDescent="0.2">
      <c r="A744" s="432">
        <f>IF(B744="","",COUNT('Diário 1º PA'!$A$4:$A$2635)+COUNT('Diário 2º PA'!$A$4:$A$3040)+COUNT('Diário 3º PA'!$A$4:$A$2731)+ROW()-3)</f>
        <v>6769</v>
      </c>
      <c r="B744" s="413">
        <v>44872</v>
      </c>
      <c r="C744" s="424">
        <v>44835</v>
      </c>
      <c r="D744" s="419" t="s">
        <v>182</v>
      </c>
      <c r="E744" s="419" t="s">
        <v>1</v>
      </c>
      <c r="F744" s="422">
        <v>2164.92</v>
      </c>
      <c r="G744" s="423" t="s">
        <v>8146</v>
      </c>
      <c r="H744" s="419" t="s">
        <v>310</v>
      </c>
      <c r="I744" s="415" t="s">
        <v>982</v>
      </c>
      <c r="J744" s="419" t="s">
        <v>983</v>
      </c>
      <c r="K744" s="419" t="s">
        <v>830</v>
      </c>
      <c r="L744" s="415" t="s">
        <v>909</v>
      </c>
      <c r="M744" s="419" t="s">
        <v>310</v>
      </c>
      <c r="N744" s="413">
        <v>44872</v>
      </c>
      <c r="O744" s="414" t="s">
        <v>400</v>
      </c>
      <c r="P744" s="655">
        <f t="shared" si="39"/>
        <v>11</v>
      </c>
      <c r="Q744" s="655">
        <f t="shared" si="40"/>
        <v>10</v>
      </c>
      <c r="R744" s="758" t="str">
        <f t="shared" si="38"/>
        <v>Gastos_com_Pessoal</v>
      </c>
      <c r="S744" s="697" t="s">
        <v>310</v>
      </c>
      <c r="T744" s="697" t="s">
        <v>310</v>
      </c>
    </row>
    <row r="745" spans="1:20" ht="36" x14ac:dyDescent="0.2">
      <c r="A745" s="432">
        <f>IF(B745="","",COUNT('Diário 1º PA'!$A$4:$A$2635)+COUNT('Diário 2º PA'!$A$4:$A$3040)+COUNT('Diário 3º PA'!$A$4:$A$2731)+ROW()-3)</f>
        <v>6770</v>
      </c>
      <c r="B745" s="413">
        <v>44872</v>
      </c>
      <c r="C745" s="424">
        <v>44835</v>
      </c>
      <c r="D745" s="419" t="s">
        <v>182</v>
      </c>
      <c r="E745" s="419" t="s">
        <v>1</v>
      </c>
      <c r="F745" s="422">
        <v>2268.42</v>
      </c>
      <c r="G745" s="423" t="s">
        <v>8146</v>
      </c>
      <c r="H745" s="419" t="s">
        <v>310</v>
      </c>
      <c r="I745" s="415" t="s">
        <v>980</v>
      </c>
      <c r="J745" s="419" t="s">
        <v>981</v>
      </c>
      <c r="K745" s="419" t="s">
        <v>830</v>
      </c>
      <c r="L745" s="415" t="s">
        <v>909</v>
      </c>
      <c r="M745" s="419" t="s">
        <v>310</v>
      </c>
      <c r="N745" s="413">
        <v>44872</v>
      </c>
      <c r="O745" s="414" t="s">
        <v>400</v>
      </c>
      <c r="P745" s="655">
        <f t="shared" si="39"/>
        <v>11</v>
      </c>
      <c r="Q745" s="655">
        <f t="shared" si="40"/>
        <v>10</v>
      </c>
      <c r="R745" s="758" t="str">
        <f t="shared" si="38"/>
        <v>Gastos_com_Pessoal</v>
      </c>
      <c r="S745" s="697" t="s">
        <v>310</v>
      </c>
      <c r="T745" s="697" t="s">
        <v>310</v>
      </c>
    </row>
    <row r="746" spans="1:20" ht="36" x14ac:dyDescent="0.2">
      <c r="A746" s="432">
        <f>IF(B746="","",COUNT('Diário 1º PA'!$A$4:$A$2635)+COUNT('Diário 2º PA'!$A$4:$A$3040)+COUNT('Diário 3º PA'!$A$4:$A$2731)+ROW()-3)</f>
        <v>6771</v>
      </c>
      <c r="B746" s="413">
        <v>44872</v>
      </c>
      <c r="C746" s="424">
        <v>44835</v>
      </c>
      <c r="D746" s="419" t="s">
        <v>182</v>
      </c>
      <c r="E746" s="419" t="s">
        <v>1</v>
      </c>
      <c r="F746" s="422">
        <v>1619.7</v>
      </c>
      <c r="G746" s="427" t="s">
        <v>8154</v>
      </c>
      <c r="H746" s="419" t="s">
        <v>310</v>
      </c>
      <c r="I746" s="415" t="s">
        <v>828</v>
      </c>
      <c r="J746" s="419" t="s">
        <v>829</v>
      </c>
      <c r="K746" s="419" t="s">
        <v>830</v>
      </c>
      <c r="L746" s="415" t="s">
        <v>909</v>
      </c>
      <c r="M746" s="734" t="s">
        <v>310</v>
      </c>
      <c r="N746" s="413">
        <v>44872</v>
      </c>
      <c r="O746" s="414" t="s">
        <v>400</v>
      </c>
      <c r="P746" s="655">
        <f t="shared" si="39"/>
        <v>11</v>
      </c>
      <c r="Q746" s="655">
        <f t="shared" si="40"/>
        <v>10</v>
      </c>
      <c r="R746" s="758" t="str">
        <f t="shared" si="38"/>
        <v>Gastos_com_Pessoal</v>
      </c>
      <c r="S746" s="697" t="s">
        <v>310</v>
      </c>
      <c r="T746" s="697" t="s">
        <v>310</v>
      </c>
    </row>
    <row r="747" spans="1:20" ht="36" x14ac:dyDescent="0.2">
      <c r="A747" s="432">
        <f>IF(B747="","",COUNT('Diário 1º PA'!$A$4:$A$2635)+COUNT('Diário 2º PA'!$A$4:$A$3040)+COUNT('Diário 3º PA'!$A$4:$A$2731)+ROW()-3)</f>
        <v>6772</v>
      </c>
      <c r="B747" s="413">
        <v>44872</v>
      </c>
      <c r="C747" s="424">
        <v>44835</v>
      </c>
      <c r="D747" s="419" t="s">
        <v>182</v>
      </c>
      <c r="E747" s="419" t="s">
        <v>1</v>
      </c>
      <c r="F747" s="422">
        <v>3147.4</v>
      </c>
      <c r="G747" s="427" t="s">
        <v>8148</v>
      </c>
      <c r="H747" s="419" t="s">
        <v>310</v>
      </c>
      <c r="I747" s="415" t="s">
        <v>3665</v>
      </c>
      <c r="J747" s="419" t="s">
        <v>3193</v>
      </c>
      <c r="K747" s="419" t="s">
        <v>830</v>
      </c>
      <c r="L747" s="415" t="s">
        <v>909</v>
      </c>
      <c r="M747" s="734" t="s">
        <v>310</v>
      </c>
      <c r="N747" s="413">
        <v>44872</v>
      </c>
      <c r="O747" s="414" t="s">
        <v>400</v>
      </c>
      <c r="P747" s="655">
        <f t="shared" si="39"/>
        <v>11</v>
      </c>
      <c r="Q747" s="655">
        <f t="shared" si="40"/>
        <v>10</v>
      </c>
      <c r="R747" s="758" t="str">
        <f t="shared" si="38"/>
        <v>Gastos_com_Pessoal</v>
      </c>
      <c r="S747" s="697" t="s">
        <v>310</v>
      </c>
      <c r="T747" s="697" t="s">
        <v>310</v>
      </c>
    </row>
    <row r="748" spans="1:20" ht="36" x14ac:dyDescent="0.2">
      <c r="A748" s="432">
        <f>IF(B748="","",COUNT('Diário 1º PA'!$A$4:$A$2635)+COUNT('Diário 2º PA'!$A$4:$A$3040)+COUNT('Diário 3º PA'!$A$4:$A$2731)+ROW()-3)</f>
        <v>6773</v>
      </c>
      <c r="B748" s="413">
        <v>44872</v>
      </c>
      <c r="C748" s="424">
        <v>44835</v>
      </c>
      <c r="D748" s="419" t="s">
        <v>182</v>
      </c>
      <c r="E748" s="419" t="s">
        <v>1</v>
      </c>
      <c r="F748" s="422">
        <v>2241.4</v>
      </c>
      <c r="G748" s="427" t="s">
        <v>8130</v>
      </c>
      <c r="H748" s="419" t="s">
        <v>310</v>
      </c>
      <c r="I748" s="415" t="s">
        <v>975</v>
      </c>
      <c r="J748" s="419" t="s">
        <v>1565</v>
      </c>
      <c r="K748" s="419" t="s">
        <v>830</v>
      </c>
      <c r="L748" s="415" t="s">
        <v>909</v>
      </c>
      <c r="M748" s="419" t="s">
        <v>310</v>
      </c>
      <c r="N748" s="413">
        <v>44872</v>
      </c>
      <c r="O748" s="414" t="s">
        <v>400</v>
      </c>
      <c r="P748" s="655">
        <f t="shared" si="39"/>
        <v>11</v>
      </c>
      <c r="Q748" s="655">
        <f t="shared" si="40"/>
        <v>10</v>
      </c>
      <c r="R748" s="758" t="str">
        <f t="shared" si="38"/>
        <v>Gastos_com_Pessoal</v>
      </c>
      <c r="S748" s="697" t="s">
        <v>310</v>
      </c>
      <c r="T748" s="697" t="s">
        <v>310</v>
      </c>
    </row>
    <row r="749" spans="1:20" ht="36" x14ac:dyDescent="0.2">
      <c r="A749" s="432">
        <f>IF(B749="","",COUNT('Diário 1º PA'!$A$4:$A$2635)+COUNT('Diário 2º PA'!$A$4:$A$3040)+COUNT('Diário 3º PA'!$A$4:$A$2731)+ROW()-3)</f>
        <v>6774</v>
      </c>
      <c r="B749" s="413">
        <v>44872</v>
      </c>
      <c r="C749" s="424">
        <v>44835</v>
      </c>
      <c r="D749" s="419" t="s">
        <v>182</v>
      </c>
      <c r="E749" s="419" t="s">
        <v>1</v>
      </c>
      <c r="F749" s="422">
        <v>2465.48</v>
      </c>
      <c r="G749" s="427" t="s">
        <v>8155</v>
      </c>
      <c r="H749" s="419" t="s">
        <v>310</v>
      </c>
      <c r="I749" s="415" t="s">
        <v>972</v>
      </c>
      <c r="J749" s="419" t="s">
        <v>973</v>
      </c>
      <c r="K749" s="419" t="s">
        <v>830</v>
      </c>
      <c r="L749" s="415" t="s">
        <v>909</v>
      </c>
      <c r="M749" s="419" t="s">
        <v>310</v>
      </c>
      <c r="N749" s="413">
        <v>44872</v>
      </c>
      <c r="O749" s="414" t="s">
        <v>400</v>
      </c>
      <c r="P749" s="655">
        <f t="shared" si="39"/>
        <v>11</v>
      </c>
      <c r="Q749" s="655">
        <f t="shared" si="40"/>
        <v>10</v>
      </c>
      <c r="R749" s="758" t="str">
        <f t="shared" si="38"/>
        <v>Gastos_com_Pessoal</v>
      </c>
      <c r="S749" s="697" t="s">
        <v>310</v>
      </c>
      <c r="T749" s="697" t="s">
        <v>310</v>
      </c>
    </row>
    <row r="750" spans="1:20" ht="36" x14ac:dyDescent="0.2">
      <c r="A750" s="432">
        <f>IF(B750="","",COUNT('Diário 1º PA'!$A$4:$A$2635)+COUNT('Diário 2º PA'!$A$4:$A$3040)+COUNT('Diário 3º PA'!$A$4:$A$2731)+ROW()-3)</f>
        <v>6775</v>
      </c>
      <c r="B750" s="413">
        <v>44872</v>
      </c>
      <c r="C750" s="424">
        <v>44835</v>
      </c>
      <c r="D750" s="419" t="s">
        <v>182</v>
      </c>
      <c r="E750" s="419" t="s">
        <v>1</v>
      </c>
      <c r="F750" s="422">
        <v>2100.17</v>
      </c>
      <c r="G750" s="427" t="s">
        <v>8156</v>
      </c>
      <c r="H750" s="419" t="s">
        <v>310</v>
      </c>
      <c r="I750" s="415" t="s">
        <v>969</v>
      </c>
      <c r="J750" s="419" t="s">
        <v>970</v>
      </c>
      <c r="K750" s="419" t="s">
        <v>830</v>
      </c>
      <c r="L750" s="415" t="s">
        <v>909</v>
      </c>
      <c r="M750" s="419" t="s">
        <v>310</v>
      </c>
      <c r="N750" s="413">
        <v>44872</v>
      </c>
      <c r="O750" s="414" t="s">
        <v>400</v>
      </c>
      <c r="P750" s="655">
        <f t="shared" si="39"/>
        <v>11</v>
      </c>
      <c r="Q750" s="655">
        <f t="shared" si="40"/>
        <v>10</v>
      </c>
      <c r="R750" s="758" t="str">
        <f t="shared" si="38"/>
        <v>Gastos_com_Pessoal</v>
      </c>
      <c r="S750" s="697" t="s">
        <v>310</v>
      </c>
      <c r="T750" s="697" t="s">
        <v>310</v>
      </c>
    </row>
    <row r="751" spans="1:20" ht="36" x14ac:dyDescent="0.2">
      <c r="A751" s="432">
        <f>IF(B751="","",COUNT('Diário 1º PA'!$A$4:$A$2635)+COUNT('Diário 2º PA'!$A$4:$A$3040)+COUNT('Diário 3º PA'!$A$4:$A$2731)+ROW()-3)</f>
        <v>6776</v>
      </c>
      <c r="B751" s="413">
        <v>44872</v>
      </c>
      <c r="C751" s="424">
        <v>44835</v>
      </c>
      <c r="D751" s="419" t="s">
        <v>182</v>
      </c>
      <c r="E751" s="419" t="s">
        <v>1</v>
      </c>
      <c r="F751" s="422">
        <v>3326.77</v>
      </c>
      <c r="G751" s="427" t="s">
        <v>8157</v>
      </c>
      <c r="H751" s="419" t="s">
        <v>310</v>
      </c>
      <c r="I751" s="415" t="s">
        <v>963</v>
      </c>
      <c r="J751" s="419" t="s">
        <v>964</v>
      </c>
      <c r="K751" s="419" t="s">
        <v>830</v>
      </c>
      <c r="L751" s="415" t="s">
        <v>909</v>
      </c>
      <c r="M751" s="419" t="s">
        <v>310</v>
      </c>
      <c r="N751" s="413">
        <v>44872</v>
      </c>
      <c r="O751" s="414" t="s">
        <v>400</v>
      </c>
      <c r="P751" s="655">
        <f t="shared" si="39"/>
        <v>11</v>
      </c>
      <c r="Q751" s="655">
        <f t="shared" si="40"/>
        <v>10</v>
      </c>
      <c r="R751" s="758" t="str">
        <f t="shared" si="38"/>
        <v>Gastos_com_Pessoal</v>
      </c>
      <c r="S751" s="697" t="s">
        <v>310</v>
      </c>
      <c r="T751" s="697" t="s">
        <v>310</v>
      </c>
    </row>
    <row r="752" spans="1:20" ht="36" x14ac:dyDescent="0.2">
      <c r="A752" s="432">
        <f>IF(B752="","",COUNT('Diário 1º PA'!$A$4:$A$2635)+COUNT('Diário 2º PA'!$A$4:$A$3040)+COUNT('Diário 3º PA'!$A$4:$A$2731)+ROW()-3)</f>
        <v>6777</v>
      </c>
      <c r="B752" s="413">
        <v>44872</v>
      </c>
      <c r="C752" s="424">
        <v>44835</v>
      </c>
      <c r="D752" s="419" t="s">
        <v>182</v>
      </c>
      <c r="E752" s="419" t="s">
        <v>1</v>
      </c>
      <c r="F752" s="422">
        <v>2201.9899999999998</v>
      </c>
      <c r="G752" s="423" t="s">
        <v>8158</v>
      </c>
      <c r="H752" s="419" t="s">
        <v>310</v>
      </c>
      <c r="I752" s="415" t="s">
        <v>961</v>
      </c>
      <c r="J752" s="419" t="s">
        <v>962</v>
      </c>
      <c r="K752" s="419" t="s">
        <v>830</v>
      </c>
      <c r="L752" s="415" t="s">
        <v>909</v>
      </c>
      <c r="M752" s="419" t="s">
        <v>310</v>
      </c>
      <c r="N752" s="413">
        <v>44872</v>
      </c>
      <c r="O752" s="414" t="s">
        <v>400</v>
      </c>
      <c r="P752" s="655">
        <f t="shared" si="39"/>
        <v>11</v>
      </c>
      <c r="Q752" s="655">
        <f t="shared" si="40"/>
        <v>10</v>
      </c>
      <c r="R752" s="758" t="str">
        <f t="shared" si="38"/>
        <v>Gastos_com_Pessoal</v>
      </c>
      <c r="S752" s="697" t="s">
        <v>310</v>
      </c>
      <c r="T752" s="697" t="s">
        <v>310</v>
      </c>
    </row>
    <row r="753" spans="1:20" ht="36" x14ac:dyDescent="0.2">
      <c r="A753" s="432">
        <f>IF(B753="","",COUNT('Diário 1º PA'!$A$4:$A$2635)+COUNT('Diário 2º PA'!$A$4:$A$3040)+COUNT('Diário 3º PA'!$A$4:$A$2731)+ROW()-3)</f>
        <v>6778</v>
      </c>
      <c r="B753" s="413">
        <v>44872</v>
      </c>
      <c r="C753" s="424">
        <v>44835</v>
      </c>
      <c r="D753" s="419" t="s">
        <v>182</v>
      </c>
      <c r="E753" s="419" t="s">
        <v>1</v>
      </c>
      <c r="F753" s="422">
        <v>3129.42</v>
      </c>
      <c r="G753" s="423" t="s">
        <v>8159</v>
      </c>
      <c r="H753" s="419" t="s">
        <v>310</v>
      </c>
      <c r="I753" s="415" t="s">
        <v>959</v>
      </c>
      <c r="J753" s="419" t="s">
        <v>960</v>
      </c>
      <c r="K753" s="419" t="s">
        <v>830</v>
      </c>
      <c r="L753" s="415" t="s">
        <v>909</v>
      </c>
      <c r="M753" s="419" t="s">
        <v>310</v>
      </c>
      <c r="N753" s="413">
        <v>44872</v>
      </c>
      <c r="O753" s="414" t="s">
        <v>400</v>
      </c>
      <c r="P753" s="655">
        <f t="shared" si="39"/>
        <v>11</v>
      </c>
      <c r="Q753" s="655">
        <f t="shared" si="40"/>
        <v>10</v>
      </c>
      <c r="R753" s="758" t="str">
        <f t="shared" si="38"/>
        <v>Gastos_com_Pessoal</v>
      </c>
      <c r="S753" s="697" t="s">
        <v>310</v>
      </c>
      <c r="T753" s="697" t="s">
        <v>310</v>
      </c>
    </row>
    <row r="754" spans="1:20" ht="36" x14ac:dyDescent="0.2">
      <c r="A754" s="432">
        <f>IF(B754="","",COUNT('Diário 1º PA'!$A$4:$A$2635)+COUNT('Diário 2º PA'!$A$4:$A$3040)+COUNT('Diário 3º PA'!$A$4:$A$2731)+ROW()-3)</f>
        <v>6779</v>
      </c>
      <c r="B754" s="413">
        <v>44872</v>
      </c>
      <c r="C754" s="424">
        <v>44835</v>
      </c>
      <c r="D754" s="419" t="s">
        <v>182</v>
      </c>
      <c r="E754" s="419" t="s">
        <v>1</v>
      </c>
      <c r="F754" s="422">
        <v>1606.29</v>
      </c>
      <c r="G754" s="423" t="s">
        <v>8154</v>
      </c>
      <c r="H754" s="419" t="s">
        <v>310</v>
      </c>
      <c r="I754" s="415" t="s">
        <v>929</v>
      </c>
      <c r="J754" s="419" t="s">
        <v>930</v>
      </c>
      <c r="K754" s="419" t="s">
        <v>806</v>
      </c>
      <c r="L754" s="415" t="s">
        <v>909</v>
      </c>
      <c r="M754" s="419" t="s">
        <v>310</v>
      </c>
      <c r="N754" s="413">
        <v>44872</v>
      </c>
      <c r="O754" s="414" t="s">
        <v>400</v>
      </c>
      <c r="P754" s="655">
        <f t="shared" si="39"/>
        <v>11</v>
      </c>
      <c r="Q754" s="655">
        <f t="shared" si="40"/>
        <v>10</v>
      </c>
      <c r="R754" s="758" t="str">
        <f t="shared" si="38"/>
        <v>Gastos_com_Pessoal</v>
      </c>
      <c r="S754" s="697" t="s">
        <v>310</v>
      </c>
      <c r="T754" s="697" t="s">
        <v>310</v>
      </c>
    </row>
    <row r="755" spans="1:20" ht="36" x14ac:dyDescent="0.2">
      <c r="A755" s="432">
        <f>IF(B755="","",COUNT('Diário 1º PA'!$A$4:$A$2635)+COUNT('Diário 2º PA'!$A$4:$A$3040)+COUNT('Diário 3º PA'!$A$4:$A$2731)+ROW()-3)</f>
        <v>6780</v>
      </c>
      <c r="B755" s="413">
        <v>44872</v>
      </c>
      <c r="C755" s="424">
        <v>44835</v>
      </c>
      <c r="D755" s="419" t="s">
        <v>182</v>
      </c>
      <c r="E755" s="419" t="s">
        <v>1</v>
      </c>
      <c r="F755" s="422">
        <v>2268.42</v>
      </c>
      <c r="G755" s="423" t="s">
        <v>8127</v>
      </c>
      <c r="H755" s="419" t="s">
        <v>310</v>
      </c>
      <c r="I755" s="415" t="s">
        <v>954</v>
      </c>
      <c r="J755" s="419" t="s">
        <v>955</v>
      </c>
      <c r="K755" s="419" t="s">
        <v>830</v>
      </c>
      <c r="L755" s="415" t="s">
        <v>909</v>
      </c>
      <c r="M755" s="419" t="s">
        <v>310</v>
      </c>
      <c r="N755" s="413">
        <v>44872</v>
      </c>
      <c r="O755" s="414" t="s">
        <v>400</v>
      </c>
      <c r="P755" s="655">
        <f t="shared" si="39"/>
        <v>11</v>
      </c>
      <c r="Q755" s="655">
        <f t="shared" si="40"/>
        <v>10</v>
      </c>
      <c r="R755" s="758" t="str">
        <f t="shared" ref="R755:R786" si="41">SUBSTITUTE(D755," ","_")</f>
        <v>Gastos_com_Pessoal</v>
      </c>
      <c r="S755" s="697" t="s">
        <v>310</v>
      </c>
      <c r="T755" s="697" t="s">
        <v>310</v>
      </c>
    </row>
    <row r="756" spans="1:20" ht="36" x14ac:dyDescent="0.2">
      <c r="A756" s="432">
        <f>IF(B756="","",COUNT('Diário 1º PA'!$A$4:$A$2635)+COUNT('Diário 2º PA'!$A$4:$A$3040)+COUNT('Diário 3º PA'!$A$4:$A$2731)+ROW()-3)</f>
        <v>6781</v>
      </c>
      <c r="B756" s="413">
        <v>44872</v>
      </c>
      <c r="C756" s="424">
        <v>44835</v>
      </c>
      <c r="D756" s="419" t="s">
        <v>182</v>
      </c>
      <c r="E756" s="419" t="s">
        <v>1</v>
      </c>
      <c r="F756" s="422">
        <v>10135.4</v>
      </c>
      <c r="G756" s="423" t="s">
        <v>8160</v>
      </c>
      <c r="H756" s="419" t="s">
        <v>310</v>
      </c>
      <c r="I756" s="415" t="s">
        <v>952</v>
      </c>
      <c r="J756" s="419" t="s">
        <v>953</v>
      </c>
      <c r="K756" s="419" t="s">
        <v>830</v>
      </c>
      <c r="L756" s="415" t="s">
        <v>909</v>
      </c>
      <c r="M756" s="419" t="s">
        <v>310</v>
      </c>
      <c r="N756" s="413">
        <v>44872</v>
      </c>
      <c r="O756" s="414" t="s">
        <v>400</v>
      </c>
      <c r="P756" s="655">
        <f t="shared" si="39"/>
        <v>11</v>
      </c>
      <c r="Q756" s="655">
        <f t="shared" si="40"/>
        <v>10</v>
      </c>
      <c r="R756" s="758" t="str">
        <f t="shared" si="41"/>
        <v>Gastos_com_Pessoal</v>
      </c>
      <c r="S756" s="697" t="s">
        <v>310</v>
      </c>
      <c r="T756" s="697" t="s">
        <v>310</v>
      </c>
    </row>
    <row r="757" spans="1:20" ht="24" x14ac:dyDescent="0.2">
      <c r="A757" s="432">
        <f>IF(B757="","",COUNT('Diário 1º PA'!$A$4:$A$2635)+COUNT('Diário 2º PA'!$A$4:$A$3040)+COUNT('Diário 3º PA'!$A$4:$A$2731)+ROW()-3)</f>
        <v>6782</v>
      </c>
      <c r="B757" s="413">
        <v>44872</v>
      </c>
      <c r="C757" s="431">
        <v>44835</v>
      </c>
      <c r="D757" s="415" t="s">
        <v>271</v>
      </c>
      <c r="E757" s="415" t="s">
        <v>297</v>
      </c>
      <c r="F757" s="425">
        <v>21908.73</v>
      </c>
      <c r="G757" s="427" t="s">
        <v>7531</v>
      </c>
      <c r="H757" s="415" t="s">
        <v>750</v>
      </c>
      <c r="I757" s="427" t="s">
        <v>774</v>
      </c>
      <c r="J757" s="415" t="s">
        <v>844</v>
      </c>
      <c r="K757" s="419" t="s">
        <v>812</v>
      </c>
      <c r="L757" s="415" t="s">
        <v>310</v>
      </c>
      <c r="M757" s="419" t="s">
        <v>310</v>
      </c>
      <c r="N757" s="413">
        <v>44872</v>
      </c>
      <c r="O757" s="414" t="s">
        <v>400</v>
      </c>
      <c r="P757" s="655">
        <f t="shared" si="39"/>
        <v>11</v>
      </c>
      <c r="Q757" s="655">
        <f t="shared" si="40"/>
        <v>10</v>
      </c>
      <c r="R757" s="758" t="str">
        <f t="shared" si="41"/>
        <v>Gastos_Gerais</v>
      </c>
      <c r="S757" s="697" t="s">
        <v>310</v>
      </c>
      <c r="T757" s="697" t="s">
        <v>310</v>
      </c>
    </row>
    <row r="758" spans="1:20" ht="24" x14ac:dyDescent="0.2">
      <c r="A758" s="432">
        <f>IF(B758="","",COUNT('Diário 1º PA'!$A$4:$A$2635)+COUNT('Diário 2º PA'!$A$4:$A$3040)+COUNT('Diário 3º PA'!$A$4:$A$2731)+ROW()-3)</f>
        <v>6783</v>
      </c>
      <c r="B758" s="413">
        <v>44872</v>
      </c>
      <c r="C758" s="466">
        <v>44835</v>
      </c>
      <c r="D758" s="426" t="s">
        <v>182</v>
      </c>
      <c r="E758" s="426" t="s">
        <v>4</v>
      </c>
      <c r="F758" s="686">
        <v>21114.32</v>
      </c>
      <c r="G758" s="642" t="s">
        <v>8161</v>
      </c>
      <c r="H758" s="426" t="s">
        <v>310</v>
      </c>
      <c r="I758" s="434" t="s">
        <v>1219</v>
      </c>
      <c r="J758" s="426" t="s">
        <v>310</v>
      </c>
      <c r="K758" s="426" t="s">
        <v>1220</v>
      </c>
      <c r="L758" s="434" t="s">
        <v>4</v>
      </c>
      <c r="M758" s="426" t="s">
        <v>310</v>
      </c>
      <c r="N758" s="413">
        <v>44872</v>
      </c>
      <c r="O758" s="414" t="s">
        <v>400</v>
      </c>
      <c r="P758" s="655">
        <f t="shared" si="39"/>
        <v>11</v>
      </c>
      <c r="Q758" s="655">
        <f t="shared" si="40"/>
        <v>10</v>
      </c>
      <c r="R758" s="758" t="str">
        <f t="shared" si="41"/>
        <v>Gastos_com_Pessoal</v>
      </c>
      <c r="S758" s="697" t="s">
        <v>310</v>
      </c>
      <c r="T758" s="697" t="s">
        <v>310</v>
      </c>
    </row>
    <row r="759" spans="1:20" ht="60" x14ac:dyDescent="0.2">
      <c r="A759" s="432">
        <f>IF(B759="","",COUNT('Diário 1º PA'!$A$4:$A$2635)+COUNT('Diário 2º PA'!$A$4:$A$3040)+COUNT('Diário 3º PA'!$A$4:$A$2731)+ROW()-3)</f>
        <v>6784</v>
      </c>
      <c r="B759" s="413">
        <v>44872</v>
      </c>
      <c r="C759" s="431">
        <v>44835</v>
      </c>
      <c r="D759" s="415" t="s">
        <v>271</v>
      </c>
      <c r="E759" s="415" t="s">
        <v>442</v>
      </c>
      <c r="F759" s="425">
        <v>1000</v>
      </c>
      <c r="G759" s="427" t="s">
        <v>7690</v>
      </c>
      <c r="H759" s="415" t="s">
        <v>751</v>
      </c>
      <c r="I759" s="415" t="s">
        <v>8162</v>
      </c>
      <c r="J759" s="415" t="s">
        <v>7691</v>
      </c>
      <c r="K759" s="419" t="s">
        <v>830</v>
      </c>
      <c r="L759" s="415" t="s">
        <v>32</v>
      </c>
      <c r="M759" s="419" t="s">
        <v>3508</v>
      </c>
      <c r="N759" s="413">
        <v>44866</v>
      </c>
      <c r="O759" s="414" t="s">
        <v>400</v>
      </c>
      <c r="P759" s="655">
        <f t="shared" si="39"/>
        <v>11</v>
      </c>
      <c r="Q759" s="655">
        <f t="shared" si="40"/>
        <v>10</v>
      </c>
      <c r="R759" s="758" t="str">
        <f t="shared" si="41"/>
        <v>Gastos_Gerais</v>
      </c>
      <c r="S759" s="697" t="s">
        <v>998</v>
      </c>
      <c r="T759" s="697">
        <v>4544</v>
      </c>
    </row>
    <row r="760" spans="1:20" ht="24" x14ac:dyDescent="0.2">
      <c r="A760" s="432">
        <f>IF(B760="","",COUNT('Diário 1º PA'!$A$4:$A$2635)+COUNT('Diário 2º PA'!$A$4:$A$3040)+COUNT('Diário 3º PA'!$A$4:$A$2731)+ROW()-3)</f>
        <v>6785</v>
      </c>
      <c r="B760" s="413">
        <v>44872</v>
      </c>
      <c r="C760" s="431">
        <v>44866</v>
      </c>
      <c r="D760" s="419" t="s">
        <v>271</v>
      </c>
      <c r="E760" s="419" t="s">
        <v>71</v>
      </c>
      <c r="F760" s="422">
        <v>11</v>
      </c>
      <c r="G760" s="419" t="s">
        <v>8709</v>
      </c>
      <c r="H760" s="419" t="s">
        <v>310</v>
      </c>
      <c r="I760" s="415" t="s">
        <v>881</v>
      </c>
      <c r="J760" s="419" t="s">
        <v>882</v>
      </c>
      <c r="K760" s="419" t="s">
        <v>883</v>
      </c>
      <c r="L760" s="415" t="s">
        <v>798</v>
      </c>
      <c r="M760" s="419" t="s">
        <v>310</v>
      </c>
      <c r="N760" s="685">
        <v>44872</v>
      </c>
      <c r="O760" s="414" t="s">
        <v>400</v>
      </c>
      <c r="P760" s="655">
        <f t="shared" si="39"/>
        <v>11</v>
      </c>
      <c r="Q760" s="655">
        <f t="shared" si="40"/>
        <v>11</v>
      </c>
      <c r="R760" s="758" t="str">
        <f t="shared" si="41"/>
        <v>Gastos_Gerais</v>
      </c>
      <c r="S760" s="697" t="s">
        <v>310</v>
      </c>
      <c r="T760" s="697" t="s">
        <v>310</v>
      </c>
    </row>
    <row r="761" spans="1:20" ht="24" x14ac:dyDescent="0.2">
      <c r="A761" s="432">
        <f>IF(B761="","",COUNT('Diário 1º PA'!$A$4:$A$2635)+COUNT('Diário 2º PA'!$A$4:$A$3040)+COUNT('Diário 3º PA'!$A$4:$A$2731)+ROW()-3)</f>
        <v>6786</v>
      </c>
      <c r="B761" s="413">
        <v>44872</v>
      </c>
      <c r="C761" s="431">
        <v>44866</v>
      </c>
      <c r="D761" s="419" t="s">
        <v>271</v>
      </c>
      <c r="E761" s="419" t="s">
        <v>71</v>
      </c>
      <c r="F761" s="422">
        <v>11</v>
      </c>
      <c r="G761" s="419" t="s">
        <v>8709</v>
      </c>
      <c r="H761" s="419" t="s">
        <v>310</v>
      </c>
      <c r="I761" s="415" t="s">
        <v>881</v>
      </c>
      <c r="J761" s="419" t="s">
        <v>882</v>
      </c>
      <c r="K761" s="419" t="s">
        <v>883</v>
      </c>
      <c r="L761" s="415" t="s">
        <v>798</v>
      </c>
      <c r="M761" s="419" t="s">
        <v>310</v>
      </c>
      <c r="N761" s="685">
        <v>44872</v>
      </c>
      <c r="O761" s="414" t="s">
        <v>400</v>
      </c>
      <c r="P761" s="655">
        <f t="shared" si="39"/>
        <v>11</v>
      </c>
      <c r="Q761" s="655">
        <f t="shared" si="40"/>
        <v>11</v>
      </c>
      <c r="R761" s="758" t="str">
        <f t="shared" si="41"/>
        <v>Gastos_Gerais</v>
      </c>
      <c r="S761" s="697" t="s">
        <v>310</v>
      </c>
      <c r="T761" s="697" t="s">
        <v>310</v>
      </c>
    </row>
    <row r="762" spans="1:20" ht="24" x14ac:dyDescent="0.2">
      <c r="A762" s="432">
        <f>IF(B762="","",COUNT('Diário 1º PA'!$A$4:$A$2635)+COUNT('Diário 2º PA'!$A$4:$A$3040)+COUNT('Diário 3º PA'!$A$4:$A$2731)+ROW()-3)</f>
        <v>6787</v>
      </c>
      <c r="B762" s="413">
        <v>44872</v>
      </c>
      <c r="C762" s="431">
        <v>44866</v>
      </c>
      <c r="D762" s="419" t="s">
        <v>271</v>
      </c>
      <c r="E762" s="419" t="s">
        <v>71</v>
      </c>
      <c r="F762" s="422">
        <v>11</v>
      </c>
      <c r="G762" s="419" t="s">
        <v>8709</v>
      </c>
      <c r="H762" s="419" t="s">
        <v>310</v>
      </c>
      <c r="I762" s="415" t="s">
        <v>881</v>
      </c>
      <c r="J762" s="419" t="s">
        <v>882</v>
      </c>
      <c r="K762" s="419" t="s">
        <v>883</v>
      </c>
      <c r="L762" s="415" t="s">
        <v>798</v>
      </c>
      <c r="M762" s="419" t="s">
        <v>310</v>
      </c>
      <c r="N762" s="685">
        <v>44872</v>
      </c>
      <c r="O762" s="414" t="s">
        <v>400</v>
      </c>
      <c r="P762" s="655">
        <f t="shared" si="39"/>
        <v>11</v>
      </c>
      <c r="Q762" s="655">
        <f t="shared" si="40"/>
        <v>11</v>
      </c>
      <c r="R762" s="758" t="str">
        <f t="shared" si="41"/>
        <v>Gastos_Gerais</v>
      </c>
      <c r="S762" s="697" t="s">
        <v>310</v>
      </c>
      <c r="T762" s="697" t="s">
        <v>310</v>
      </c>
    </row>
    <row r="763" spans="1:20" ht="24" x14ac:dyDescent="0.2">
      <c r="A763" s="432">
        <f>IF(B763="","",COUNT('Diário 1º PA'!$A$4:$A$2635)+COUNT('Diário 2º PA'!$A$4:$A$3040)+COUNT('Diário 3º PA'!$A$4:$A$2731)+ROW()-3)</f>
        <v>6788</v>
      </c>
      <c r="B763" s="413">
        <v>44872</v>
      </c>
      <c r="C763" s="431">
        <v>44866</v>
      </c>
      <c r="D763" s="419" t="s">
        <v>271</v>
      </c>
      <c r="E763" s="419" t="s">
        <v>71</v>
      </c>
      <c r="F763" s="422">
        <v>11</v>
      </c>
      <c r="G763" s="419" t="s">
        <v>8709</v>
      </c>
      <c r="H763" s="419" t="s">
        <v>310</v>
      </c>
      <c r="I763" s="415" t="s">
        <v>881</v>
      </c>
      <c r="J763" s="419" t="s">
        <v>882</v>
      </c>
      <c r="K763" s="419" t="s">
        <v>883</v>
      </c>
      <c r="L763" s="415" t="s">
        <v>798</v>
      </c>
      <c r="M763" s="419" t="s">
        <v>310</v>
      </c>
      <c r="N763" s="685">
        <v>44872</v>
      </c>
      <c r="O763" s="414" t="s">
        <v>400</v>
      </c>
      <c r="P763" s="655">
        <f t="shared" si="39"/>
        <v>11</v>
      </c>
      <c r="Q763" s="655">
        <f t="shared" si="40"/>
        <v>11</v>
      </c>
      <c r="R763" s="758" t="str">
        <f t="shared" si="41"/>
        <v>Gastos_Gerais</v>
      </c>
      <c r="S763" s="697" t="s">
        <v>310</v>
      </c>
      <c r="T763" s="697" t="s">
        <v>310</v>
      </c>
    </row>
    <row r="764" spans="1:20" ht="24" x14ac:dyDescent="0.2">
      <c r="A764" s="432">
        <f>IF(B764="","",COUNT('Diário 1º PA'!$A$4:$A$2635)+COUNT('Diário 2º PA'!$A$4:$A$3040)+COUNT('Diário 3º PA'!$A$4:$A$2731)+ROW()-3)</f>
        <v>6789</v>
      </c>
      <c r="B764" s="413">
        <v>44872</v>
      </c>
      <c r="C764" s="431">
        <v>44866</v>
      </c>
      <c r="D764" s="419" t="s">
        <v>271</v>
      </c>
      <c r="E764" s="419" t="s">
        <v>71</v>
      </c>
      <c r="F764" s="422">
        <v>11</v>
      </c>
      <c r="G764" s="419" t="s">
        <v>8709</v>
      </c>
      <c r="H764" s="419" t="s">
        <v>310</v>
      </c>
      <c r="I764" s="415" t="s">
        <v>881</v>
      </c>
      <c r="J764" s="419" t="s">
        <v>882</v>
      </c>
      <c r="K764" s="419" t="s">
        <v>883</v>
      </c>
      <c r="L764" s="415" t="s">
        <v>798</v>
      </c>
      <c r="M764" s="419" t="s">
        <v>310</v>
      </c>
      <c r="N764" s="685">
        <v>44872</v>
      </c>
      <c r="O764" s="414" t="s">
        <v>400</v>
      </c>
      <c r="P764" s="655">
        <f t="shared" si="39"/>
        <v>11</v>
      </c>
      <c r="Q764" s="655">
        <f t="shared" si="40"/>
        <v>11</v>
      </c>
      <c r="R764" s="758" t="str">
        <f t="shared" si="41"/>
        <v>Gastos_Gerais</v>
      </c>
      <c r="S764" s="697" t="s">
        <v>310</v>
      </c>
      <c r="T764" s="697" t="s">
        <v>310</v>
      </c>
    </row>
    <row r="765" spans="1:20" ht="24" x14ac:dyDescent="0.2">
      <c r="A765" s="432">
        <f>IF(B765="","",COUNT('Diário 1º PA'!$A$4:$A$2635)+COUNT('Diário 2º PA'!$A$4:$A$3040)+COUNT('Diário 3º PA'!$A$4:$A$2731)+ROW()-3)</f>
        <v>6790</v>
      </c>
      <c r="B765" s="413">
        <v>44872</v>
      </c>
      <c r="C765" s="431">
        <v>44866</v>
      </c>
      <c r="D765" s="419" t="s">
        <v>271</v>
      </c>
      <c r="E765" s="419" t="s">
        <v>71</v>
      </c>
      <c r="F765" s="422">
        <v>11</v>
      </c>
      <c r="G765" s="419" t="s">
        <v>8709</v>
      </c>
      <c r="H765" s="419" t="s">
        <v>310</v>
      </c>
      <c r="I765" s="415" t="s">
        <v>881</v>
      </c>
      <c r="J765" s="419" t="s">
        <v>882</v>
      </c>
      <c r="K765" s="419" t="s">
        <v>883</v>
      </c>
      <c r="L765" s="415" t="s">
        <v>798</v>
      </c>
      <c r="M765" s="419" t="s">
        <v>310</v>
      </c>
      <c r="N765" s="685">
        <v>44872</v>
      </c>
      <c r="O765" s="414" t="s">
        <v>400</v>
      </c>
      <c r="P765" s="655">
        <f t="shared" si="39"/>
        <v>11</v>
      </c>
      <c r="Q765" s="655">
        <f t="shared" si="40"/>
        <v>11</v>
      </c>
      <c r="R765" s="758" t="str">
        <f t="shared" si="41"/>
        <v>Gastos_Gerais</v>
      </c>
      <c r="S765" s="697" t="s">
        <v>310</v>
      </c>
      <c r="T765" s="697" t="s">
        <v>310</v>
      </c>
    </row>
    <row r="766" spans="1:20" ht="24" x14ac:dyDescent="0.2">
      <c r="A766" s="432">
        <f>IF(B766="","",COUNT('Diário 1º PA'!$A$4:$A$2635)+COUNT('Diário 2º PA'!$A$4:$A$3040)+COUNT('Diário 3º PA'!$A$4:$A$2731)+ROW()-3)</f>
        <v>6791</v>
      </c>
      <c r="B766" s="413">
        <v>44872</v>
      </c>
      <c r="C766" s="431">
        <v>44866</v>
      </c>
      <c r="D766" s="419" t="s">
        <v>271</v>
      </c>
      <c r="E766" s="419" t="s">
        <v>71</v>
      </c>
      <c r="F766" s="422">
        <v>11</v>
      </c>
      <c r="G766" s="419" t="s">
        <v>8709</v>
      </c>
      <c r="H766" s="419" t="s">
        <v>310</v>
      </c>
      <c r="I766" s="415" t="s">
        <v>881</v>
      </c>
      <c r="J766" s="419" t="s">
        <v>882</v>
      </c>
      <c r="K766" s="419" t="s">
        <v>883</v>
      </c>
      <c r="L766" s="415" t="s">
        <v>798</v>
      </c>
      <c r="M766" s="419" t="s">
        <v>310</v>
      </c>
      <c r="N766" s="685">
        <v>44872</v>
      </c>
      <c r="O766" s="414" t="s">
        <v>400</v>
      </c>
      <c r="P766" s="655">
        <f t="shared" si="39"/>
        <v>11</v>
      </c>
      <c r="Q766" s="655">
        <f t="shared" si="40"/>
        <v>11</v>
      </c>
      <c r="R766" s="758" t="str">
        <f t="shared" si="41"/>
        <v>Gastos_Gerais</v>
      </c>
      <c r="S766" s="697" t="s">
        <v>310</v>
      </c>
      <c r="T766" s="697" t="s">
        <v>310</v>
      </c>
    </row>
    <row r="767" spans="1:20" ht="24" x14ac:dyDescent="0.2">
      <c r="A767" s="432">
        <f>IF(B767="","",COUNT('Diário 1º PA'!$A$4:$A$2635)+COUNT('Diário 2º PA'!$A$4:$A$3040)+COUNT('Diário 3º PA'!$A$4:$A$2731)+ROW()-3)</f>
        <v>6792</v>
      </c>
      <c r="B767" s="413">
        <v>44872</v>
      </c>
      <c r="C767" s="431">
        <v>44866</v>
      </c>
      <c r="D767" s="419" t="s">
        <v>271</v>
      </c>
      <c r="E767" s="419" t="s">
        <v>71</v>
      </c>
      <c r="F767" s="422">
        <v>11</v>
      </c>
      <c r="G767" s="419" t="s">
        <v>8709</v>
      </c>
      <c r="H767" s="419" t="s">
        <v>310</v>
      </c>
      <c r="I767" s="415" t="s">
        <v>881</v>
      </c>
      <c r="J767" s="419" t="s">
        <v>882</v>
      </c>
      <c r="K767" s="419" t="s">
        <v>883</v>
      </c>
      <c r="L767" s="415" t="s">
        <v>798</v>
      </c>
      <c r="M767" s="419" t="s">
        <v>310</v>
      </c>
      <c r="N767" s="685">
        <v>44872</v>
      </c>
      <c r="O767" s="414" t="s">
        <v>400</v>
      </c>
      <c r="P767" s="655">
        <f t="shared" si="39"/>
        <v>11</v>
      </c>
      <c r="Q767" s="655">
        <f t="shared" si="40"/>
        <v>11</v>
      </c>
      <c r="R767" s="758" t="str">
        <f t="shared" si="41"/>
        <v>Gastos_Gerais</v>
      </c>
      <c r="S767" s="697" t="s">
        <v>310</v>
      </c>
      <c r="T767" s="697" t="s">
        <v>310</v>
      </c>
    </row>
    <row r="768" spans="1:20" ht="24" x14ac:dyDescent="0.2">
      <c r="A768" s="432">
        <f>IF(B768="","",COUNT('Diário 1º PA'!$A$4:$A$2635)+COUNT('Diário 2º PA'!$A$4:$A$3040)+COUNT('Diário 3º PA'!$A$4:$A$2731)+ROW()-3)</f>
        <v>6793</v>
      </c>
      <c r="B768" s="413">
        <v>44872</v>
      </c>
      <c r="C768" s="431">
        <v>44866</v>
      </c>
      <c r="D768" s="419" t="s">
        <v>271</v>
      </c>
      <c r="E768" s="419" t="s">
        <v>71</v>
      </c>
      <c r="F768" s="422">
        <v>11</v>
      </c>
      <c r="G768" s="419" t="s">
        <v>8709</v>
      </c>
      <c r="H768" s="419" t="s">
        <v>310</v>
      </c>
      <c r="I768" s="415" t="s">
        <v>881</v>
      </c>
      <c r="J768" s="419" t="s">
        <v>882</v>
      </c>
      <c r="K768" s="419" t="s">
        <v>883</v>
      </c>
      <c r="L768" s="415" t="s">
        <v>798</v>
      </c>
      <c r="M768" s="419" t="s">
        <v>310</v>
      </c>
      <c r="N768" s="685">
        <v>44872</v>
      </c>
      <c r="O768" s="414" t="s">
        <v>400</v>
      </c>
      <c r="P768" s="655">
        <f t="shared" si="39"/>
        <v>11</v>
      </c>
      <c r="Q768" s="655">
        <f t="shared" si="40"/>
        <v>11</v>
      </c>
      <c r="R768" s="758" t="str">
        <f t="shared" si="41"/>
        <v>Gastos_Gerais</v>
      </c>
      <c r="S768" s="697" t="s">
        <v>310</v>
      </c>
      <c r="T768" s="697" t="s">
        <v>310</v>
      </c>
    </row>
    <row r="769" spans="1:20" ht="24" x14ac:dyDescent="0.2">
      <c r="A769" s="432">
        <f>IF(B769="","",COUNT('Diário 1º PA'!$A$4:$A$2635)+COUNT('Diário 2º PA'!$A$4:$A$3040)+COUNT('Diário 3º PA'!$A$4:$A$2731)+ROW()-3)</f>
        <v>6794</v>
      </c>
      <c r="B769" s="413">
        <v>44872</v>
      </c>
      <c r="C769" s="431">
        <v>44866</v>
      </c>
      <c r="D769" s="419" t="s">
        <v>271</v>
      </c>
      <c r="E769" s="419" t="s">
        <v>71</v>
      </c>
      <c r="F769" s="422">
        <v>11</v>
      </c>
      <c r="G769" s="419" t="s">
        <v>8709</v>
      </c>
      <c r="H769" s="419" t="s">
        <v>310</v>
      </c>
      <c r="I769" s="415" t="s">
        <v>881</v>
      </c>
      <c r="J769" s="419" t="s">
        <v>882</v>
      </c>
      <c r="K769" s="419" t="s">
        <v>883</v>
      </c>
      <c r="L769" s="415" t="s">
        <v>798</v>
      </c>
      <c r="M769" s="419" t="s">
        <v>310</v>
      </c>
      <c r="N769" s="685">
        <v>44872</v>
      </c>
      <c r="O769" s="414" t="s">
        <v>400</v>
      </c>
      <c r="P769" s="655">
        <f t="shared" si="39"/>
        <v>11</v>
      </c>
      <c r="Q769" s="655">
        <f t="shared" si="40"/>
        <v>11</v>
      </c>
      <c r="R769" s="758" t="str">
        <f t="shared" si="41"/>
        <v>Gastos_Gerais</v>
      </c>
      <c r="S769" s="697" t="s">
        <v>310</v>
      </c>
      <c r="T769" s="697" t="s">
        <v>310</v>
      </c>
    </row>
    <row r="770" spans="1:20" ht="24" x14ac:dyDescent="0.2">
      <c r="A770" s="432">
        <f>IF(B770="","",COUNT('Diário 1º PA'!$A$4:$A$2635)+COUNT('Diário 2º PA'!$A$4:$A$3040)+COUNT('Diário 3º PA'!$A$4:$A$2731)+ROW()-3)</f>
        <v>6795</v>
      </c>
      <c r="B770" s="413">
        <v>44872</v>
      </c>
      <c r="C770" s="431">
        <v>44866</v>
      </c>
      <c r="D770" s="419" t="s">
        <v>271</v>
      </c>
      <c r="E770" s="419" t="s">
        <v>71</v>
      </c>
      <c r="F770" s="422">
        <v>11</v>
      </c>
      <c r="G770" s="419" t="s">
        <v>8709</v>
      </c>
      <c r="H770" s="419" t="s">
        <v>310</v>
      </c>
      <c r="I770" s="415" t="s">
        <v>881</v>
      </c>
      <c r="J770" s="419" t="s">
        <v>882</v>
      </c>
      <c r="K770" s="419" t="s">
        <v>883</v>
      </c>
      <c r="L770" s="415" t="s">
        <v>798</v>
      </c>
      <c r="M770" s="419" t="s">
        <v>310</v>
      </c>
      <c r="N770" s="685">
        <v>44872</v>
      </c>
      <c r="O770" s="414" t="s">
        <v>400</v>
      </c>
      <c r="P770" s="655">
        <f t="shared" si="39"/>
        <v>11</v>
      </c>
      <c r="Q770" s="655">
        <f t="shared" si="40"/>
        <v>11</v>
      </c>
      <c r="R770" s="758" t="str">
        <f t="shared" si="41"/>
        <v>Gastos_Gerais</v>
      </c>
      <c r="S770" s="697" t="s">
        <v>310</v>
      </c>
      <c r="T770" s="697" t="s">
        <v>310</v>
      </c>
    </row>
    <row r="771" spans="1:20" ht="24" x14ac:dyDescent="0.2">
      <c r="A771" s="432">
        <f>IF(B771="","",COUNT('Diário 1º PA'!$A$4:$A$2635)+COUNT('Diário 2º PA'!$A$4:$A$3040)+COUNT('Diário 3º PA'!$A$4:$A$2731)+ROW()-3)</f>
        <v>6796</v>
      </c>
      <c r="B771" s="413">
        <v>44872</v>
      </c>
      <c r="C771" s="431">
        <v>44866</v>
      </c>
      <c r="D771" s="419" t="s">
        <v>271</v>
      </c>
      <c r="E771" s="419" t="s">
        <v>71</v>
      </c>
      <c r="F771" s="422">
        <v>11</v>
      </c>
      <c r="G771" s="419" t="s">
        <v>8709</v>
      </c>
      <c r="H771" s="419" t="s">
        <v>310</v>
      </c>
      <c r="I771" s="415" t="s">
        <v>881</v>
      </c>
      <c r="J771" s="419" t="s">
        <v>882</v>
      </c>
      <c r="K771" s="419" t="s">
        <v>883</v>
      </c>
      <c r="L771" s="415" t="s">
        <v>798</v>
      </c>
      <c r="M771" s="419" t="s">
        <v>310</v>
      </c>
      <c r="N771" s="685">
        <v>44872</v>
      </c>
      <c r="O771" s="414" t="s">
        <v>400</v>
      </c>
      <c r="P771" s="655">
        <f t="shared" si="39"/>
        <v>11</v>
      </c>
      <c r="Q771" s="655">
        <f t="shared" si="40"/>
        <v>11</v>
      </c>
      <c r="R771" s="758" t="str">
        <f t="shared" si="41"/>
        <v>Gastos_Gerais</v>
      </c>
      <c r="S771" s="697" t="s">
        <v>310</v>
      </c>
      <c r="T771" s="697" t="s">
        <v>310</v>
      </c>
    </row>
    <row r="772" spans="1:20" ht="24" x14ac:dyDescent="0.2">
      <c r="A772" s="432">
        <f>IF(B772="","",COUNT('Diário 1º PA'!$A$4:$A$2635)+COUNT('Diário 2º PA'!$A$4:$A$3040)+COUNT('Diário 3º PA'!$A$4:$A$2731)+ROW()-3)</f>
        <v>6797</v>
      </c>
      <c r="B772" s="413">
        <v>44872</v>
      </c>
      <c r="C772" s="431">
        <v>44866</v>
      </c>
      <c r="D772" s="419" t="s">
        <v>271</v>
      </c>
      <c r="E772" s="419" t="s">
        <v>71</v>
      </c>
      <c r="F772" s="422">
        <v>11</v>
      </c>
      <c r="G772" s="419" t="s">
        <v>8709</v>
      </c>
      <c r="H772" s="419" t="s">
        <v>310</v>
      </c>
      <c r="I772" s="415" t="s">
        <v>881</v>
      </c>
      <c r="J772" s="419" t="s">
        <v>882</v>
      </c>
      <c r="K772" s="419" t="s">
        <v>883</v>
      </c>
      <c r="L772" s="415" t="s">
        <v>798</v>
      </c>
      <c r="M772" s="419" t="s">
        <v>310</v>
      </c>
      <c r="N772" s="685">
        <v>44872</v>
      </c>
      <c r="O772" s="414" t="s">
        <v>400</v>
      </c>
      <c r="P772" s="655">
        <f t="shared" si="39"/>
        <v>11</v>
      </c>
      <c r="Q772" s="655">
        <f t="shared" si="40"/>
        <v>11</v>
      </c>
      <c r="R772" s="758" t="str">
        <f t="shared" si="41"/>
        <v>Gastos_Gerais</v>
      </c>
      <c r="S772" s="697" t="s">
        <v>310</v>
      </c>
      <c r="T772" s="697" t="s">
        <v>310</v>
      </c>
    </row>
    <row r="773" spans="1:20" ht="24" x14ac:dyDescent="0.2">
      <c r="A773" s="432">
        <f>IF(B773="","",COUNT('Diário 1º PA'!$A$4:$A$2635)+COUNT('Diário 2º PA'!$A$4:$A$3040)+COUNT('Diário 3º PA'!$A$4:$A$2731)+ROW()-3)</f>
        <v>6798</v>
      </c>
      <c r="B773" s="413">
        <v>44872</v>
      </c>
      <c r="C773" s="431">
        <v>44866</v>
      </c>
      <c r="D773" s="419" t="s">
        <v>271</v>
      </c>
      <c r="E773" s="419" t="s">
        <v>71</v>
      </c>
      <c r="F773" s="422">
        <v>11</v>
      </c>
      <c r="G773" s="419" t="s">
        <v>8709</v>
      </c>
      <c r="H773" s="419" t="s">
        <v>310</v>
      </c>
      <c r="I773" s="415" t="s">
        <v>881</v>
      </c>
      <c r="J773" s="419" t="s">
        <v>882</v>
      </c>
      <c r="K773" s="419" t="s">
        <v>883</v>
      </c>
      <c r="L773" s="415" t="s">
        <v>798</v>
      </c>
      <c r="M773" s="419" t="s">
        <v>310</v>
      </c>
      <c r="N773" s="685">
        <v>44872</v>
      </c>
      <c r="O773" s="414" t="s">
        <v>400</v>
      </c>
      <c r="P773" s="655">
        <f t="shared" si="39"/>
        <v>11</v>
      </c>
      <c r="Q773" s="655">
        <f t="shared" si="40"/>
        <v>11</v>
      </c>
      <c r="R773" s="758" t="str">
        <f t="shared" si="41"/>
        <v>Gastos_Gerais</v>
      </c>
      <c r="S773" s="697" t="s">
        <v>310</v>
      </c>
      <c r="T773" s="697" t="s">
        <v>310</v>
      </c>
    </row>
    <row r="774" spans="1:20" ht="24" x14ac:dyDescent="0.2">
      <c r="A774" s="432">
        <f>IF(B774="","",COUNT('Diário 1º PA'!$A$4:$A$2635)+COUNT('Diário 2º PA'!$A$4:$A$3040)+COUNT('Diário 3º PA'!$A$4:$A$2731)+ROW()-3)</f>
        <v>6799</v>
      </c>
      <c r="B774" s="413">
        <v>44872</v>
      </c>
      <c r="C774" s="431">
        <v>44866</v>
      </c>
      <c r="D774" s="419" t="s">
        <v>271</v>
      </c>
      <c r="E774" s="419" t="s">
        <v>71</v>
      </c>
      <c r="F774" s="422">
        <v>11</v>
      </c>
      <c r="G774" s="419" t="s">
        <v>8709</v>
      </c>
      <c r="H774" s="419" t="s">
        <v>310</v>
      </c>
      <c r="I774" s="415" t="s">
        <v>881</v>
      </c>
      <c r="J774" s="419" t="s">
        <v>882</v>
      </c>
      <c r="K774" s="419" t="s">
        <v>883</v>
      </c>
      <c r="L774" s="415" t="s">
        <v>798</v>
      </c>
      <c r="M774" s="419" t="s">
        <v>310</v>
      </c>
      <c r="N774" s="685">
        <v>44872</v>
      </c>
      <c r="O774" s="414" t="s">
        <v>400</v>
      </c>
      <c r="P774" s="655">
        <f t="shared" si="39"/>
        <v>11</v>
      </c>
      <c r="Q774" s="655">
        <f t="shared" si="40"/>
        <v>11</v>
      </c>
      <c r="R774" s="758" t="str">
        <f t="shared" si="41"/>
        <v>Gastos_Gerais</v>
      </c>
      <c r="S774" s="697" t="s">
        <v>310</v>
      </c>
      <c r="T774" s="697" t="s">
        <v>310</v>
      </c>
    </row>
    <row r="775" spans="1:20" ht="24" x14ac:dyDescent="0.2">
      <c r="A775" s="432">
        <f>IF(B775="","",COUNT('Diário 1º PA'!$A$4:$A$2635)+COUNT('Diário 2º PA'!$A$4:$A$3040)+COUNT('Diário 3º PA'!$A$4:$A$2731)+ROW()-3)</f>
        <v>6800</v>
      </c>
      <c r="B775" s="413">
        <v>44872</v>
      </c>
      <c r="C775" s="431">
        <v>44866</v>
      </c>
      <c r="D775" s="419" t="s">
        <v>271</v>
      </c>
      <c r="E775" s="419" t="s">
        <v>71</v>
      </c>
      <c r="F775" s="422">
        <v>11</v>
      </c>
      <c r="G775" s="419" t="s">
        <v>8709</v>
      </c>
      <c r="H775" s="419" t="s">
        <v>310</v>
      </c>
      <c r="I775" s="415" t="s">
        <v>881</v>
      </c>
      <c r="J775" s="419" t="s">
        <v>882</v>
      </c>
      <c r="K775" s="419" t="s">
        <v>883</v>
      </c>
      <c r="L775" s="415" t="s">
        <v>798</v>
      </c>
      <c r="M775" s="419" t="s">
        <v>310</v>
      </c>
      <c r="N775" s="685">
        <v>44872</v>
      </c>
      <c r="O775" s="414" t="s">
        <v>400</v>
      </c>
      <c r="P775" s="655">
        <f t="shared" si="39"/>
        <v>11</v>
      </c>
      <c r="Q775" s="655">
        <f t="shared" si="40"/>
        <v>11</v>
      </c>
      <c r="R775" s="758" t="str">
        <f t="shared" si="41"/>
        <v>Gastos_Gerais</v>
      </c>
      <c r="S775" s="697" t="s">
        <v>310</v>
      </c>
      <c r="T775" s="697" t="s">
        <v>310</v>
      </c>
    </row>
    <row r="776" spans="1:20" ht="24" x14ac:dyDescent="0.2">
      <c r="A776" s="432">
        <f>IF(B776="","",COUNT('Diário 1º PA'!$A$4:$A$2635)+COUNT('Diário 2º PA'!$A$4:$A$3040)+COUNT('Diário 3º PA'!$A$4:$A$2731)+ROW()-3)</f>
        <v>6801</v>
      </c>
      <c r="B776" s="413">
        <v>44872</v>
      </c>
      <c r="C776" s="431">
        <v>44866</v>
      </c>
      <c r="D776" s="419" t="s">
        <v>271</v>
      </c>
      <c r="E776" s="419" t="s">
        <v>71</v>
      </c>
      <c r="F776" s="422">
        <v>11</v>
      </c>
      <c r="G776" s="419" t="s">
        <v>8709</v>
      </c>
      <c r="H776" s="419" t="s">
        <v>310</v>
      </c>
      <c r="I776" s="415" t="s">
        <v>881</v>
      </c>
      <c r="J776" s="419" t="s">
        <v>882</v>
      </c>
      <c r="K776" s="419" t="s">
        <v>883</v>
      </c>
      <c r="L776" s="415" t="s">
        <v>798</v>
      </c>
      <c r="M776" s="419" t="s">
        <v>310</v>
      </c>
      <c r="N776" s="685">
        <v>44872</v>
      </c>
      <c r="O776" s="414" t="s">
        <v>400</v>
      </c>
      <c r="P776" s="655">
        <f t="shared" si="39"/>
        <v>11</v>
      </c>
      <c r="Q776" s="655">
        <f t="shared" si="40"/>
        <v>11</v>
      </c>
      <c r="R776" s="758" t="str">
        <f t="shared" si="41"/>
        <v>Gastos_Gerais</v>
      </c>
      <c r="S776" s="697" t="s">
        <v>310</v>
      </c>
      <c r="T776" s="697" t="s">
        <v>310</v>
      </c>
    </row>
    <row r="777" spans="1:20" ht="24" x14ac:dyDescent="0.2">
      <c r="A777" s="432">
        <f>IF(B777="","",COUNT('Diário 1º PA'!$A$4:$A$2635)+COUNT('Diário 2º PA'!$A$4:$A$3040)+COUNT('Diário 3º PA'!$A$4:$A$2731)+ROW()-3)</f>
        <v>6802</v>
      </c>
      <c r="B777" s="413">
        <v>44872</v>
      </c>
      <c r="C777" s="431">
        <v>44866</v>
      </c>
      <c r="D777" s="419" t="s">
        <v>271</v>
      </c>
      <c r="E777" s="419" t="s">
        <v>71</v>
      </c>
      <c r="F777" s="422">
        <v>11</v>
      </c>
      <c r="G777" s="419" t="s">
        <v>8709</v>
      </c>
      <c r="H777" s="419" t="s">
        <v>310</v>
      </c>
      <c r="I777" s="415" t="s">
        <v>881</v>
      </c>
      <c r="J777" s="419" t="s">
        <v>882</v>
      </c>
      <c r="K777" s="419" t="s">
        <v>883</v>
      </c>
      <c r="L777" s="415" t="s">
        <v>798</v>
      </c>
      <c r="M777" s="419" t="s">
        <v>310</v>
      </c>
      <c r="N777" s="685">
        <v>44872</v>
      </c>
      <c r="O777" s="414" t="s">
        <v>400</v>
      </c>
      <c r="P777" s="655">
        <f t="shared" si="39"/>
        <v>11</v>
      </c>
      <c r="Q777" s="655">
        <f t="shared" si="40"/>
        <v>11</v>
      </c>
      <c r="R777" s="758" t="str">
        <f t="shared" si="41"/>
        <v>Gastos_Gerais</v>
      </c>
      <c r="S777" s="697" t="s">
        <v>310</v>
      </c>
      <c r="T777" s="697" t="s">
        <v>310</v>
      </c>
    </row>
    <row r="778" spans="1:20" ht="24" x14ac:dyDescent="0.2">
      <c r="A778" s="432">
        <f>IF(B778="","",COUNT('Diário 1º PA'!$A$4:$A$2635)+COUNT('Diário 2º PA'!$A$4:$A$3040)+COUNT('Diário 3º PA'!$A$4:$A$2731)+ROW()-3)</f>
        <v>6803</v>
      </c>
      <c r="B778" s="413">
        <v>44872</v>
      </c>
      <c r="C778" s="431">
        <v>44866</v>
      </c>
      <c r="D778" s="419" t="s">
        <v>271</v>
      </c>
      <c r="E778" s="419" t="s">
        <v>71</v>
      </c>
      <c r="F778" s="422">
        <v>11</v>
      </c>
      <c r="G778" s="419" t="s">
        <v>8709</v>
      </c>
      <c r="H778" s="419" t="s">
        <v>310</v>
      </c>
      <c r="I778" s="415" t="s">
        <v>881</v>
      </c>
      <c r="J778" s="419" t="s">
        <v>882</v>
      </c>
      <c r="K778" s="419" t="s">
        <v>883</v>
      </c>
      <c r="L778" s="415" t="s">
        <v>798</v>
      </c>
      <c r="M778" s="419" t="s">
        <v>310</v>
      </c>
      <c r="N778" s="685">
        <v>44872</v>
      </c>
      <c r="O778" s="414" t="s">
        <v>400</v>
      </c>
      <c r="P778" s="655">
        <f t="shared" si="39"/>
        <v>11</v>
      </c>
      <c r="Q778" s="655">
        <f t="shared" si="40"/>
        <v>11</v>
      </c>
      <c r="R778" s="758" t="str">
        <f t="shared" si="41"/>
        <v>Gastos_Gerais</v>
      </c>
      <c r="S778" s="697" t="s">
        <v>310</v>
      </c>
      <c r="T778" s="697" t="s">
        <v>310</v>
      </c>
    </row>
    <row r="779" spans="1:20" ht="24" x14ac:dyDescent="0.2">
      <c r="A779" s="432">
        <f>IF(B779="","",COUNT('Diário 1º PA'!$A$4:$A$2635)+COUNT('Diário 2º PA'!$A$4:$A$3040)+COUNT('Diário 3º PA'!$A$4:$A$2731)+ROW()-3)</f>
        <v>6804</v>
      </c>
      <c r="B779" s="413">
        <v>44872</v>
      </c>
      <c r="C779" s="431">
        <v>44866</v>
      </c>
      <c r="D779" s="419" t="s">
        <v>271</v>
      </c>
      <c r="E779" s="419" t="s">
        <v>71</v>
      </c>
      <c r="F779" s="422">
        <v>11</v>
      </c>
      <c r="G779" s="419" t="s">
        <v>8709</v>
      </c>
      <c r="H779" s="419" t="s">
        <v>310</v>
      </c>
      <c r="I779" s="415" t="s">
        <v>881</v>
      </c>
      <c r="J779" s="419" t="s">
        <v>882</v>
      </c>
      <c r="K779" s="419" t="s">
        <v>883</v>
      </c>
      <c r="L779" s="415" t="s">
        <v>798</v>
      </c>
      <c r="M779" s="419" t="s">
        <v>310</v>
      </c>
      <c r="N779" s="685">
        <v>44872</v>
      </c>
      <c r="O779" s="414" t="s">
        <v>400</v>
      </c>
      <c r="P779" s="655">
        <f t="shared" si="39"/>
        <v>11</v>
      </c>
      <c r="Q779" s="655">
        <f t="shared" si="40"/>
        <v>11</v>
      </c>
      <c r="R779" s="758" t="str">
        <f t="shared" si="41"/>
        <v>Gastos_Gerais</v>
      </c>
      <c r="S779" s="697" t="s">
        <v>310</v>
      </c>
      <c r="T779" s="697" t="s">
        <v>310</v>
      </c>
    </row>
    <row r="780" spans="1:20" ht="24" x14ac:dyDescent="0.2">
      <c r="A780" s="432">
        <f>IF(B780="","",COUNT('Diário 1º PA'!$A$4:$A$2635)+COUNT('Diário 2º PA'!$A$4:$A$3040)+COUNT('Diário 3º PA'!$A$4:$A$2731)+ROW()-3)</f>
        <v>6805</v>
      </c>
      <c r="B780" s="413">
        <v>44872</v>
      </c>
      <c r="C780" s="431">
        <v>44866</v>
      </c>
      <c r="D780" s="419" t="s">
        <v>271</v>
      </c>
      <c r="E780" s="419" t="s">
        <v>71</v>
      </c>
      <c r="F780" s="422">
        <v>11</v>
      </c>
      <c r="G780" s="419" t="s">
        <v>8709</v>
      </c>
      <c r="H780" s="419" t="s">
        <v>310</v>
      </c>
      <c r="I780" s="415" t="s">
        <v>881</v>
      </c>
      <c r="J780" s="419" t="s">
        <v>882</v>
      </c>
      <c r="K780" s="419" t="s">
        <v>883</v>
      </c>
      <c r="L780" s="415" t="s">
        <v>798</v>
      </c>
      <c r="M780" s="419" t="s">
        <v>310</v>
      </c>
      <c r="N780" s="685">
        <v>44872</v>
      </c>
      <c r="O780" s="414" t="s">
        <v>400</v>
      </c>
      <c r="P780" s="655">
        <f t="shared" si="39"/>
        <v>11</v>
      </c>
      <c r="Q780" s="655">
        <f t="shared" si="40"/>
        <v>11</v>
      </c>
      <c r="R780" s="758" t="str">
        <f t="shared" si="41"/>
        <v>Gastos_Gerais</v>
      </c>
      <c r="S780" s="697" t="s">
        <v>310</v>
      </c>
      <c r="T780" s="697" t="s">
        <v>310</v>
      </c>
    </row>
    <row r="781" spans="1:20" ht="24" x14ac:dyDescent="0.2">
      <c r="A781" s="432">
        <f>IF(B781="","",COUNT('Diário 1º PA'!$A$4:$A$2635)+COUNT('Diário 2º PA'!$A$4:$A$3040)+COUNT('Diário 3º PA'!$A$4:$A$2731)+ROW()-3)</f>
        <v>6806</v>
      </c>
      <c r="B781" s="413">
        <v>44872</v>
      </c>
      <c r="C781" s="431">
        <v>44866</v>
      </c>
      <c r="D781" s="419" t="s">
        <v>271</v>
      </c>
      <c r="E781" s="419" t="s">
        <v>71</v>
      </c>
      <c r="F781" s="422">
        <v>11</v>
      </c>
      <c r="G781" s="419" t="s">
        <v>8709</v>
      </c>
      <c r="H781" s="419" t="s">
        <v>310</v>
      </c>
      <c r="I781" s="415" t="s">
        <v>881</v>
      </c>
      <c r="J781" s="419" t="s">
        <v>882</v>
      </c>
      <c r="K781" s="419" t="s">
        <v>883</v>
      </c>
      <c r="L781" s="415" t="s">
        <v>798</v>
      </c>
      <c r="M781" s="419" t="s">
        <v>310</v>
      </c>
      <c r="N781" s="685">
        <v>44872</v>
      </c>
      <c r="O781" s="414" t="s">
        <v>400</v>
      </c>
      <c r="P781" s="655">
        <f t="shared" si="39"/>
        <v>11</v>
      </c>
      <c r="Q781" s="655">
        <f t="shared" si="40"/>
        <v>11</v>
      </c>
      <c r="R781" s="758" t="str">
        <f t="shared" si="41"/>
        <v>Gastos_Gerais</v>
      </c>
      <c r="S781" s="697" t="s">
        <v>310</v>
      </c>
      <c r="T781" s="697" t="s">
        <v>310</v>
      </c>
    </row>
    <row r="782" spans="1:20" ht="24" x14ac:dyDescent="0.2">
      <c r="A782" s="432">
        <f>IF(B782="","",COUNT('Diário 1º PA'!$A$4:$A$2635)+COUNT('Diário 2º PA'!$A$4:$A$3040)+COUNT('Diário 3º PA'!$A$4:$A$2731)+ROW()-3)</f>
        <v>6807</v>
      </c>
      <c r="B782" s="413">
        <v>44872</v>
      </c>
      <c r="C782" s="431">
        <v>44866</v>
      </c>
      <c r="D782" s="419" t="s">
        <v>271</v>
      </c>
      <c r="E782" s="419" t="s">
        <v>71</v>
      </c>
      <c r="F782" s="422">
        <v>11</v>
      </c>
      <c r="G782" s="419" t="s">
        <v>8709</v>
      </c>
      <c r="H782" s="419" t="s">
        <v>310</v>
      </c>
      <c r="I782" s="415" t="s">
        <v>881</v>
      </c>
      <c r="J782" s="419" t="s">
        <v>882</v>
      </c>
      <c r="K782" s="419" t="s">
        <v>883</v>
      </c>
      <c r="L782" s="415" t="s">
        <v>798</v>
      </c>
      <c r="M782" s="419" t="s">
        <v>310</v>
      </c>
      <c r="N782" s="685">
        <v>44872</v>
      </c>
      <c r="O782" s="414" t="s">
        <v>400</v>
      </c>
      <c r="P782" s="655">
        <f t="shared" si="39"/>
        <v>11</v>
      </c>
      <c r="Q782" s="655">
        <f t="shared" si="40"/>
        <v>11</v>
      </c>
      <c r="R782" s="758" t="str">
        <f t="shared" si="41"/>
        <v>Gastos_Gerais</v>
      </c>
      <c r="S782" s="697" t="s">
        <v>310</v>
      </c>
      <c r="T782" s="697" t="s">
        <v>310</v>
      </c>
    </row>
    <row r="783" spans="1:20" ht="24" x14ac:dyDescent="0.2">
      <c r="A783" s="432">
        <f>IF(B783="","",COUNT('Diário 1º PA'!$A$4:$A$2635)+COUNT('Diário 2º PA'!$A$4:$A$3040)+COUNT('Diário 3º PA'!$A$4:$A$2731)+ROW()-3)</f>
        <v>6808</v>
      </c>
      <c r="B783" s="413">
        <v>44872</v>
      </c>
      <c r="C783" s="431">
        <v>44866</v>
      </c>
      <c r="D783" s="419" t="s">
        <v>271</v>
      </c>
      <c r="E783" s="419" t="s">
        <v>71</v>
      </c>
      <c r="F783" s="422">
        <v>11</v>
      </c>
      <c r="G783" s="419" t="s">
        <v>8709</v>
      </c>
      <c r="H783" s="419" t="s">
        <v>310</v>
      </c>
      <c r="I783" s="415" t="s">
        <v>881</v>
      </c>
      <c r="J783" s="419" t="s">
        <v>882</v>
      </c>
      <c r="K783" s="419" t="s">
        <v>883</v>
      </c>
      <c r="L783" s="415" t="s">
        <v>798</v>
      </c>
      <c r="M783" s="419" t="s">
        <v>310</v>
      </c>
      <c r="N783" s="685">
        <v>44872</v>
      </c>
      <c r="O783" s="414" t="s">
        <v>400</v>
      </c>
      <c r="P783" s="655">
        <f t="shared" si="39"/>
        <v>11</v>
      </c>
      <c r="Q783" s="655">
        <f t="shared" si="40"/>
        <v>11</v>
      </c>
      <c r="R783" s="758" t="str">
        <f t="shared" si="41"/>
        <v>Gastos_Gerais</v>
      </c>
      <c r="S783" s="697" t="s">
        <v>310</v>
      </c>
      <c r="T783" s="697" t="s">
        <v>310</v>
      </c>
    </row>
    <row r="784" spans="1:20" ht="24" x14ac:dyDescent="0.2">
      <c r="A784" s="432">
        <f>IF(B784="","",COUNT('Diário 1º PA'!$A$4:$A$2635)+COUNT('Diário 2º PA'!$A$4:$A$3040)+COUNT('Diário 3º PA'!$A$4:$A$2731)+ROW()-3)</f>
        <v>6809</v>
      </c>
      <c r="B784" s="413">
        <v>44872</v>
      </c>
      <c r="C784" s="431">
        <v>44866</v>
      </c>
      <c r="D784" s="419" t="s">
        <v>271</v>
      </c>
      <c r="E784" s="419" t="s">
        <v>71</v>
      </c>
      <c r="F784" s="422">
        <v>11</v>
      </c>
      <c r="G784" s="419" t="s">
        <v>8709</v>
      </c>
      <c r="H784" s="419" t="s">
        <v>310</v>
      </c>
      <c r="I784" s="415" t="s">
        <v>881</v>
      </c>
      <c r="J784" s="419" t="s">
        <v>882</v>
      </c>
      <c r="K784" s="419" t="s">
        <v>883</v>
      </c>
      <c r="L784" s="415" t="s">
        <v>798</v>
      </c>
      <c r="M784" s="419" t="s">
        <v>310</v>
      </c>
      <c r="N784" s="685">
        <v>44872</v>
      </c>
      <c r="O784" s="414" t="s">
        <v>400</v>
      </c>
      <c r="P784" s="655">
        <f t="shared" si="39"/>
        <v>11</v>
      </c>
      <c r="Q784" s="655">
        <f t="shared" si="40"/>
        <v>11</v>
      </c>
      <c r="R784" s="758" t="str">
        <f t="shared" si="41"/>
        <v>Gastos_Gerais</v>
      </c>
      <c r="S784" s="697" t="s">
        <v>310</v>
      </c>
      <c r="T784" s="697" t="s">
        <v>310</v>
      </c>
    </row>
    <row r="785" spans="1:20" ht="24" x14ac:dyDescent="0.2">
      <c r="A785" s="432">
        <f>IF(B785="","",COUNT('Diário 1º PA'!$A$4:$A$2635)+COUNT('Diário 2º PA'!$A$4:$A$3040)+COUNT('Diário 3º PA'!$A$4:$A$2731)+ROW()-3)</f>
        <v>6810</v>
      </c>
      <c r="B785" s="413">
        <v>44872</v>
      </c>
      <c r="C785" s="431">
        <v>44866</v>
      </c>
      <c r="D785" s="419" t="s">
        <v>271</v>
      </c>
      <c r="E785" s="419" t="s">
        <v>71</v>
      </c>
      <c r="F785" s="422">
        <v>11</v>
      </c>
      <c r="G785" s="419" t="s">
        <v>8709</v>
      </c>
      <c r="H785" s="419" t="s">
        <v>310</v>
      </c>
      <c r="I785" s="415" t="s">
        <v>881</v>
      </c>
      <c r="J785" s="419" t="s">
        <v>882</v>
      </c>
      <c r="K785" s="419" t="s">
        <v>883</v>
      </c>
      <c r="L785" s="415" t="s">
        <v>798</v>
      </c>
      <c r="M785" s="419" t="s">
        <v>310</v>
      </c>
      <c r="N785" s="685">
        <v>44872</v>
      </c>
      <c r="O785" s="414" t="s">
        <v>400</v>
      </c>
      <c r="P785" s="655">
        <f t="shared" si="39"/>
        <v>11</v>
      </c>
      <c r="Q785" s="655">
        <f t="shared" si="40"/>
        <v>11</v>
      </c>
      <c r="R785" s="758" t="str">
        <f t="shared" si="41"/>
        <v>Gastos_Gerais</v>
      </c>
      <c r="S785" s="697" t="s">
        <v>310</v>
      </c>
      <c r="T785" s="697" t="s">
        <v>310</v>
      </c>
    </row>
    <row r="786" spans="1:20" ht="24" x14ac:dyDescent="0.2">
      <c r="A786" s="432">
        <f>IF(B786="","",COUNT('Diário 1º PA'!$A$4:$A$2635)+COUNT('Diário 2º PA'!$A$4:$A$3040)+COUNT('Diário 3º PA'!$A$4:$A$2731)+ROW()-3)</f>
        <v>6811</v>
      </c>
      <c r="B786" s="413">
        <v>44872</v>
      </c>
      <c r="C786" s="431">
        <v>44866</v>
      </c>
      <c r="D786" s="419" t="s">
        <v>271</v>
      </c>
      <c r="E786" s="419" t="s">
        <v>71</v>
      </c>
      <c r="F786" s="422">
        <v>11</v>
      </c>
      <c r="G786" s="419" t="s">
        <v>8709</v>
      </c>
      <c r="H786" s="419" t="s">
        <v>310</v>
      </c>
      <c r="I786" s="415" t="s">
        <v>881</v>
      </c>
      <c r="J786" s="419" t="s">
        <v>882</v>
      </c>
      <c r="K786" s="419" t="s">
        <v>883</v>
      </c>
      <c r="L786" s="415" t="s">
        <v>798</v>
      </c>
      <c r="M786" s="419" t="s">
        <v>310</v>
      </c>
      <c r="N786" s="685">
        <v>44872</v>
      </c>
      <c r="O786" s="414" t="s">
        <v>400</v>
      </c>
      <c r="P786" s="655">
        <f t="shared" si="39"/>
        <v>11</v>
      </c>
      <c r="Q786" s="655">
        <f t="shared" si="40"/>
        <v>11</v>
      </c>
      <c r="R786" s="758" t="str">
        <f t="shared" si="41"/>
        <v>Gastos_Gerais</v>
      </c>
      <c r="S786" s="697" t="s">
        <v>310</v>
      </c>
      <c r="T786" s="697" t="s">
        <v>310</v>
      </c>
    </row>
    <row r="787" spans="1:20" ht="24" x14ac:dyDescent="0.2">
      <c r="A787" s="432">
        <f>IF(B787="","",COUNT('Diário 1º PA'!$A$4:$A$2635)+COUNT('Diário 2º PA'!$A$4:$A$3040)+COUNT('Diário 3º PA'!$A$4:$A$2731)+ROW()-3)</f>
        <v>6812</v>
      </c>
      <c r="B787" s="413">
        <v>44872</v>
      </c>
      <c r="C787" s="431">
        <v>44866</v>
      </c>
      <c r="D787" s="419" t="s">
        <v>271</v>
      </c>
      <c r="E787" s="419" t="s">
        <v>71</v>
      </c>
      <c r="F787" s="422">
        <v>11</v>
      </c>
      <c r="G787" s="419" t="s">
        <v>8709</v>
      </c>
      <c r="H787" s="419" t="s">
        <v>310</v>
      </c>
      <c r="I787" s="415" t="s">
        <v>881</v>
      </c>
      <c r="J787" s="419" t="s">
        <v>882</v>
      </c>
      <c r="K787" s="419" t="s">
        <v>883</v>
      </c>
      <c r="L787" s="415" t="s">
        <v>798</v>
      </c>
      <c r="M787" s="419" t="s">
        <v>310</v>
      </c>
      <c r="N787" s="685">
        <v>44872</v>
      </c>
      <c r="O787" s="414" t="s">
        <v>400</v>
      </c>
      <c r="P787" s="655">
        <f t="shared" si="39"/>
        <v>11</v>
      </c>
      <c r="Q787" s="655">
        <f t="shared" si="40"/>
        <v>11</v>
      </c>
      <c r="R787" s="758" t="str">
        <f t="shared" ref="R787:R813" si="42">SUBSTITUTE(D787," ","_")</f>
        <v>Gastos_Gerais</v>
      </c>
      <c r="S787" s="697" t="s">
        <v>310</v>
      </c>
      <c r="T787" s="697" t="s">
        <v>310</v>
      </c>
    </row>
    <row r="788" spans="1:20" ht="24" x14ac:dyDescent="0.2">
      <c r="A788" s="432">
        <f>IF(B788="","",COUNT('Diário 1º PA'!$A$4:$A$2635)+COUNT('Diário 2º PA'!$A$4:$A$3040)+COUNT('Diário 3º PA'!$A$4:$A$2731)+ROW()-3)</f>
        <v>6813</v>
      </c>
      <c r="B788" s="413">
        <v>44872</v>
      </c>
      <c r="C788" s="431">
        <v>44866</v>
      </c>
      <c r="D788" s="419" t="s">
        <v>271</v>
      </c>
      <c r="E788" s="419" t="s">
        <v>71</v>
      </c>
      <c r="F788" s="422">
        <v>11</v>
      </c>
      <c r="G788" s="419" t="s">
        <v>8709</v>
      </c>
      <c r="H788" s="419" t="s">
        <v>310</v>
      </c>
      <c r="I788" s="415" t="s">
        <v>881</v>
      </c>
      <c r="J788" s="419" t="s">
        <v>882</v>
      </c>
      <c r="K788" s="419" t="s">
        <v>883</v>
      </c>
      <c r="L788" s="415" t="s">
        <v>798</v>
      </c>
      <c r="M788" s="419" t="s">
        <v>310</v>
      </c>
      <c r="N788" s="685">
        <v>44872</v>
      </c>
      <c r="O788" s="414" t="s">
        <v>400</v>
      </c>
      <c r="P788" s="655">
        <f t="shared" si="39"/>
        <v>11</v>
      </c>
      <c r="Q788" s="655">
        <f t="shared" si="40"/>
        <v>11</v>
      </c>
      <c r="R788" s="758" t="str">
        <f t="shared" si="42"/>
        <v>Gastos_Gerais</v>
      </c>
      <c r="S788" s="697" t="s">
        <v>310</v>
      </c>
      <c r="T788" s="697" t="s">
        <v>310</v>
      </c>
    </row>
    <row r="789" spans="1:20" ht="24" x14ac:dyDescent="0.2">
      <c r="A789" s="432">
        <f>IF(B789="","",COUNT('Diário 1º PA'!$A$4:$A$2635)+COUNT('Diário 2º PA'!$A$4:$A$3040)+COUNT('Diário 3º PA'!$A$4:$A$2731)+ROW()-3)</f>
        <v>6814</v>
      </c>
      <c r="B789" s="413">
        <v>44872</v>
      </c>
      <c r="C789" s="431">
        <v>44866</v>
      </c>
      <c r="D789" s="419" t="s">
        <v>271</v>
      </c>
      <c r="E789" s="419" t="s">
        <v>71</v>
      </c>
      <c r="F789" s="422">
        <v>11</v>
      </c>
      <c r="G789" s="419" t="s">
        <v>8709</v>
      </c>
      <c r="H789" s="419" t="s">
        <v>310</v>
      </c>
      <c r="I789" s="415" t="s">
        <v>881</v>
      </c>
      <c r="J789" s="419" t="s">
        <v>882</v>
      </c>
      <c r="K789" s="419" t="s">
        <v>883</v>
      </c>
      <c r="L789" s="415" t="s">
        <v>798</v>
      </c>
      <c r="M789" s="419" t="s">
        <v>310</v>
      </c>
      <c r="N789" s="685">
        <v>44872</v>
      </c>
      <c r="O789" s="414" t="s">
        <v>400</v>
      </c>
      <c r="P789" s="655">
        <f t="shared" si="39"/>
        <v>11</v>
      </c>
      <c r="Q789" s="655">
        <f t="shared" si="40"/>
        <v>11</v>
      </c>
      <c r="R789" s="758" t="str">
        <f t="shared" si="42"/>
        <v>Gastos_Gerais</v>
      </c>
      <c r="S789" s="697" t="s">
        <v>310</v>
      </c>
      <c r="T789" s="697" t="s">
        <v>310</v>
      </c>
    </row>
    <row r="790" spans="1:20" ht="24" x14ac:dyDescent="0.2">
      <c r="A790" s="432">
        <f>IF(B790="","",COUNT('Diário 1º PA'!$A$4:$A$2635)+COUNT('Diário 2º PA'!$A$4:$A$3040)+COUNT('Diário 3º PA'!$A$4:$A$2731)+ROW()-3)</f>
        <v>6815</v>
      </c>
      <c r="B790" s="413">
        <v>44872</v>
      </c>
      <c r="C790" s="431">
        <v>44866</v>
      </c>
      <c r="D790" s="419" t="s">
        <v>271</v>
      </c>
      <c r="E790" s="419" t="s">
        <v>71</v>
      </c>
      <c r="F790" s="422">
        <v>11</v>
      </c>
      <c r="G790" s="419" t="s">
        <v>8709</v>
      </c>
      <c r="H790" s="419" t="s">
        <v>310</v>
      </c>
      <c r="I790" s="415" t="s">
        <v>881</v>
      </c>
      <c r="J790" s="419" t="s">
        <v>882</v>
      </c>
      <c r="K790" s="419" t="s">
        <v>883</v>
      </c>
      <c r="L790" s="415" t="s">
        <v>798</v>
      </c>
      <c r="M790" s="419" t="s">
        <v>310</v>
      </c>
      <c r="N790" s="685">
        <v>44872</v>
      </c>
      <c r="O790" s="414" t="s">
        <v>400</v>
      </c>
      <c r="P790" s="655">
        <f t="shared" si="39"/>
        <v>11</v>
      </c>
      <c r="Q790" s="655">
        <f t="shared" si="40"/>
        <v>11</v>
      </c>
      <c r="R790" s="758" t="str">
        <f t="shared" si="42"/>
        <v>Gastos_Gerais</v>
      </c>
      <c r="S790" s="697" t="s">
        <v>310</v>
      </c>
      <c r="T790" s="697" t="s">
        <v>310</v>
      </c>
    </row>
    <row r="791" spans="1:20" ht="24" x14ac:dyDescent="0.2">
      <c r="A791" s="432">
        <f>IF(B791="","",COUNT('Diário 1º PA'!$A$4:$A$2635)+COUNT('Diário 2º PA'!$A$4:$A$3040)+COUNT('Diário 3º PA'!$A$4:$A$2731)+ROW()-3)</f>
        <v>6816</v>
      </c>
      <c r="B791" s="413">
        <v>44872</v>
      </c>
      <c r="C791" s="431">
        <v>44866</v>
      </c>
      <c r="D791" s="419" t="s">
        <v>271</v>
      </c>
      <c r="E791" s="419" t="s">
        <v>71</v>
      </c>
      <c r="F791" s="422">
        <v>11</v>
      </c>
      <c r="G791" s="419" t="s">
        <v>8709</v>
      </c>
      <c r="H791" s="419" t="s">
        <v>310</v>
      </c>
      <c r="I791" s="415" t="s">
        <v>881</v>
      </c>
      <c r="J791" s="419" t="s">
        <v>882</v>
      </c>
      <c r="K791" s="419" t="s">
        <v>883</v>
      </c>
      <c r="L791" s="415" t="s">
        <v>798</v>
      </c>
      <c r="M791" s="419" t="s">
        <v>310</v>
      </c>
      <c r="N791" s="685">
        <v>44872</v>
      </c>
      <c r="O791" s="414" t="s">
        <v>400</v>
      </c>
      <c r="P791" s="655">
        <f t="shared" si="39"/>
        <v>11</v>
      </c>
      <c r="Q791" s="655">
        <f t="shared" si="40"/>
        <v>11</v>
      </c>
      <c r="R791" s="758" t="str">
        <f t="shared" si="42"/>
        <v>Gastos_Gerais</v>
      </c>
      <c r="S791" s="697" t="s">
        <v>310</v>
      </c>
      <c r="T791" s="697" t="s">
        <v>310</v>
      </c>
    </row>
    <row r="792" spans="1:20" ht="24" x14ac:dyDescent="0.2">
      <c r="A792" s="432">
        <f>IF(B792="","",COUNT('Diário 1º PA'!$A$4:$A$2635)+COUNT('Diário 2º PA'!$A$4:$A$3040)+COUNT('Diário 3º PA'!$A$4:$A$2731)+ROW()-3)</f>
        <v>6817</v>
      </c>
      <c r="B792" s="413">
        <v>44872</v>
      </c>
      <c r="C792" s="431">
        <v>44866</v>
      </c>
      <c r="D792" s="419" t="s">
        <v>271</v>
      </c>
      <c r="E792" s="419" t="s">
        <v>71</v>
      </c>
      <c r="F792" s="422">
        <v>11</v>
      </c>
      <c r="G792" s="419" t="s">
        <v>8709</v>
      </c>
      <c r="H792" s="419" t="s">
        <v>310</v>
      </c>
      <c r="I792" s="415" t="s">
        <v>881</v>
      </c>
      <c r="J792" s="419" t="s">
        <v>882</v>
      </c>
      <c r="K792" s="419" t="s">
        <v>883</v>
      </c>
      <c r="L792" s="415" t="s">
        <v>798</v>
      </c>
      <c r="M792" s="419" t="s">
        <v>310</v>
      </c>
      <c r="N792" s="685">
        <v>44872</v>
      </c>
      <c r="O792" s="414" t="s">
        <v>400</v>
      </c>
      <c r="P792" s="655">
        <f t="shared" si="39"/>
        <v>11</v>
      </c>
      <c r="Q792" s="655">
        <f t="shared" si="40"/>
        <v>11</v>
      </c>
      <c r="R792" s="758" t="str">
        <f t="shared" si="42"/>
        <v>Gastos_Gerais</v>
      </c>
      <c r="S792" s="697" t="s">
        <v>310</v>
      </c>
      <c r="T792" s="697" t="s">
        <v>310</v>
      </c>
    </row>
    <row r="793" spans="1:20" ht="24" x14ac:dyDescent="0.2">
      <c r="A793" s="432">
        <f>IF(B793="","",COUNT('Diário 1º PA'!$A$4:$A$2635)+COUNT('Diário 2º PA'!$A$4:$A$3040)+COUNT('Diário 3º PA'!$A$4:$A$2731)+ROW()-3)</f>
        <v>6818</v>
      </c>
      <c r="B793" s="413">
        <v>44872</v>
      </c>
      <c r="C793" s="431">
        <v>44866</v>
      </c>
      <c r="D793" s="419" t="s">
        <v>271</v>
      </c>
      <c r="E793" s="419" t="s">
        <v>71</v>
      </c>
      <c r="F793" s="422">
        <v>11</v>
      </c>
      <c r="G793" s="419" t="s">
        <v>8709</v>
      </c>
      <c r="H793" s="419" t="s">
        <v>310</v>
      </c>
      <c r="I793" s="415" t="s">
        <v>881</v>
      </c>
      <c r="J793" s="419" t="s">
        <v>882</v>
      </c>
      <c r="K793" s="419" t="s">
        <v>883</v>
      </c>
      <c r="L793" s="415" t="s">
        <v>798</v>
      </c>
      <c r="M793" s="419" t="s">
        <v>310</v>
      </c>
      <c r="N793" s="685">
        <v>44872</v>
      </c>
      <c r="O793" s="414" t="s">
        <v>400</v>
      </c>
      <c r="P793" s="655">
        <f t="shared" si="39"/>
        <v>11</v>
      </c>
      <c r="Q793" s="655">
        <f t="shared" si="40"/>
        <v>11</v>
      </c>
      <c r="R793" s="758" t="str">
        <f t="shared" si="42"/>
        <v>Gastos_Gerais</v>
      </c>
      <c r="S793" s="697" t="s">
        <v>310</v>
      </c>
      <c r="T793" s="697" t="s">
        <v>310</v>
      </c>
    </row>
    <row r="794" spans="1:20" ht="24" x14ac:dyDescent="0.2">
      <c r="A794" s="432">
        <f>IF(B794="","",COUNT('Diário 1º PA'!$A$4:$A$2635)+COUNT('Diário 2º PA'!$A$4:$A$3040)+COUNT('Diário 3º PA'!$A$4:$A$2731)+ROW()-3)</f>
        <v>6819</v>
      </c>
      <c r="B794" s="413">
        <v>44872</v>
      </c>
      <c r="C794" s="431">
        <v>44866</v>
      </c>
      <c r="D794" s="419" t="s">
        <v>271</v>
      </c>
      <c r="E794" s="419" t="s">
        <v>71</v>
      </c>
      <c r="F794" s="422">
        <v>11</v>
      </c>
      <c r="G794" s="419" t="s">
        <v>8709</v>
      </c>
      <c r="H794" s="419" t="s">
        <v>310</v>
      </c>
      <c r="I794" s="415" t="s">
        <v>881</v>
      </c>
      <c r="J794" s="419" t="s">
        <v>882</v>
      </c>
      <c r="K794" s="419" t="s">
        <v>883</v>
      </c>
      <c r="L794" s="415" t="s">
        <v>798</v>
      </c>
      <c r="M794" s="419" t="s">
        <v>310</v>
      </c>
      <c r="N794" s="685">
        <v>44872</v>
      </c>
      <c r="O794" s="414" t="s">
        <v>400</v>
      </c>
      <c r="P794" s="655">
        <f t="shared" si="39"/>
        <v>11</v>
      </c>
      <c r="Q794" s="655">
        <f t="shared" si="40"/>
        <v>11</v>
      </c>
      <c r="R794" s="758" t="str">
        <f t="shared" si="42"/>
        <v>Gastos_Gerais</v>
      </c>
      <c r="S794" s="697" t="s">
        <v>310</v>
      </c>
      <c r="T794" s="697" t="s">
        <v>310</v>
      </c>
    </row>
    <row r="795" spans="1:20" ht="24" x14ac:dyDescent="0.2">
      <c r="A795" s="432">
        <f>IF(B795="","",COUNT('Diário 1º PA'!$A$4:$A$2635)+COUNT('Diário 2º PA'!$A$4:$A$3040)+COUNT('Diário 3º PA'!$A$4:$A$2731)+ROW()-3)</f>
        <v>6820</v>
      </c>
      <c r="B795" s="413">
        <v>44872</v>
      </c>
      <c r="C795" s="431">
        <v>44866</v>
      </c>
      <c r="D795" s="419" t="s">
        <v>271</v>
      </c>
      <c r="E795" s="419" t="s">
        <v>71</v>
      </c>
      <c r="F795" s="422">
        <v>11</v>
      </c>
      <c r="G795" s="419" t="s">
        <v>8709</v>
      </c>
      <c r="H795" s="419" t="s">
        <v>310</v>
      </c>
      <c r="I795" s="415" t="s">
        <v>881</v>
      </c>
      <c r="J795" s="419" t="s">
        <v>882</v>
      </c>
      <c r="K795" s="419" t="s">
        <v>883</v>
      </c>
      <c r="L795" s="415" t="s">
        <v>798</v>
      </c>
      <c r="M795" s="419" t="s">
        <v>310</v>
      </c>
      <c r="N795" s="685">
        <v>44872</v>
      </c>
      <c r="O795" s="414" t="s">
        <v>400</v>
      </c>
      <c r="P795" s="655">
        <f t="shared" si="39"/>
        <v>11</v>
      </c>
      <c r="Q795" s="655">
        <f t="shared" si="40"/>
        <v>11</v>
      </c>
      <c r="R795" s="758" t="str">
        <f t="shared" si="42"/>
        <v>Gastos_Gerais</v>
      </c>
      <c r="S795" s="697" t="s">
        <v>310</v>
      </c>
      <c r="T795" s="697" t="s">
        <v>310</v>
      </c>
    </row>
    <row r="796" spans="1:20" ht="24" x14ac:dyDescent="0.2">
      <c r="A796" s="432">
        <f>IF(B796="","",COUNT('Diário 1º PA'!$A$4:$A$2635)+COUNT('Diário 2º PA'!$A$4:$A$3040)+COUNT('Diário 3º PA'!$A$4:$A$2731)+ROW()-3)</f>
        <v>6821</v>
      </c>
      <c r="B796" s="413">
        <v>44872</v>
      </c>
      <c r="C796" s="431">
        <v>44866</v>
      </c>
      <c r="D796" s="419" t="s">
        <v>271</v>
      </c>
      <c r="E796" s="419" t="s">
        <v>71</v>
      </c>
      <c r="F796" s="422">
        <v>11</v>
      </c>
      <c r="G796" s="419" t="s">
        <v>8709</v>
      </c>
      <c r="H796" s="419" t="s">
        <v>310</v>
      </c>
      <c r="I796" s="415" t="s">
        <v>881</v>
      </c>
      <c r="J796" s="419" t="s">
        <v>882</v>
      </c>
      <c r="K796" s="419" t="s">
        <v>883</v>
      </c>
      <c r="L796" s="415" t="s">
        <v>798</v>
      </c>
      <c r="M796" s="419" t="s">
        <v>310</v>
      </c>
      <c r="N796" s="685">
        <v>44872</v>
      </c>
      <c r="O796" s="414" t="s">
        <v>400</v>
      </c>
      <c r="P796" s="655">
        <f t="shared" si="39"/>
        <v>11</v>
      </c>
      <c r="Q796" s="655">
        <f t="shared" si="40"/>
        <v>11</v>
      </c>
      <c r="R796" s="758" t="str">
        <f t="shared" si="42"/>
        <v>Gastos_Gerais</v>
      </c>
      <c r="S796" s="697" t="s">
        <v>310</v>
      </c>
      <c r="T796" s="697" t="s">
        <v>310</v>
      </c>
    </row>
    <row r="797" spans="1:20" ht="24" x14ac:dyDescent="0.2">
      <c r="A797" s="432">
        <f>IF(B797="","",COUNT('Diário 1º PA'!$A$4:$A$2635)+COUNT('Diário 2º PA'!$A$4:$A$3040)+COUNT('Diário 3º PA'!$A$4:$A$2731)+ROW()-3)</f>
        <v>6822</v>
      </c>
      <c r="B797" s="413">
        <v>44872</v>
      </c>
      <c r="C797" s="431">
        <v>44866</v>
      </c>
      <c r="D797" s="419" t="s">
        <v>271</v>
      </c>
      <c r="E797" s="419" t="s">
        <v>71</v>
      </c>
      <c r="F797" s="422">
        <v>11</v>
      </c>
      <c r="G797" s="419" t="s">
        <v>8709</v>
      </c>
      <c r="H797" s="419" t="s">
        <v>310</v>
      </c>
      <c r="I797" s="415" t="s">
        <v>881</v>
      </c>
      <c r="J797" s="419" t="s">
        <v>882</v>
      </c>
      <c r="K797" s="419" t="s">
        <v>883</v>
      </c>
      <c r="L797" s="415" t="s">
        <v>798</v>
      </c>
      <c r="M797" s="419" t="s">
        <v>310</v>
      </c>
      <c r="N797" s="685">
        <v>44872</v>
      </c>
      <c r="O797" s="414" t="s">
        <v>400</v>
      </c>
      <c r="P797" s="655">
        <f t="shared" si="39"/>
        <v>11</v>
      </c>
      <c r="Q797" s="655">
        <f t="shared" si="40"/>
        <v>11</v>
      </c>
      <c r="R797" s="758" t="str">
        <f t="shared" si="42"/>
        <v>Gastos_Gerais</v>
      </c>
      <c r="S797" s="697" t="s">
        <v>310</v>
      </c>
      <c r="T797" s="697" t="s">
        <v>310</v>
      </c>
    </row>
    <row r="798" spans="1:20" ht="24" x14ac:dyDescent="0.2">
      <c r="A798" s="432">
        <f>IF(B798="","",COUNT('Diário 1º PA'!$A$4:$A$2635)+COUNT('Diário 2º PA'!$A$4:$A$3040)+COUNT('Diário 3º PA'!$A$4:$A$2731)+ROW()-3)</f>
        <v>6823</v>
      </c>
      <c r="B798" s="413">
        <v>44872</v>
      </c>
      <c r="C798" s="431">
        <v>44866</v>
      </c>
      <c r="D798" s="419" t="s">
        <v>271</v>
      </c>
      <c r="E798" s="419" t="s">
        <v>71</v>
      </c>
      <c r="F798" s="422">
        <v>11</v>
      </c>
      <c r="G798" s="419" t="s">
        <v>8709</v>
      </c>
      <c r="H798" s="419" t="s">
        <v>310</v>
      </c>
      <c r="I798" s="415" t="s">
        <v>881</v>
      </c>
      <c r="J798" s="419" t="s">
        <v>882</v>
      </c>
      <c r="K798" s="419" t="s">
        <v>883</v>
      </c>
      <c r="L798" s="415" t="s">
        <v>798</v>
      </c>
      <c r="M798" s="419" t="s">
        <v>310</v>
      </c>
      <c r="N798" s="685">
        <v>44872</v>
      </c>
      <c r="O798" s="414" t="s">
        <v>400</v>
      </c>
      <c r="P798" s="655">
        <f t="shared" si="39"/>
        <v>11</v>
      </c>
      <c r="Q798" s="655">
        <f t="shared" si="40"/>
        <v>11</v>
      </c>
      <c r="R798" s="758" t="str">
        <f t="shared" si="42"/>
        <v>Gastos_Gerais</v>
      </c>
      <c r="S798" s="697" t="s">
        <v>310</v>
      </c>
      <c r="T798" s="697" t="s">
        <v>310</v>
      </c>
    </row>
    <row r="799" spans="1:20" ht="24" x14ac:dyDescent="0.2">
      <c r="A799" s="432">
        <f>IF(B799="","",COUNT('Diário 1º PA'!$A$4:$A$2635)+COUNT('Diário 2º PA'!$A$4:$A$3040)+COUNT('Diário 3º PA'!$A$4:$A$2731)+ROW()-3)</f>
        <v>6824</v>
      </c>
      <c r="B799" s="413">
        <v>44872</v>
      </c>
      <c r="C799" s="431">
        <v>44866</v>
      </c>
      <c r="D799" s="419" t="s">
        <v>271</v>
      </c>
      <c r="E799" s="419" t="s">
        <v>71</v>
      </c>
      <c r="F799" s="422">
        <v>11</v>
      </c>
      <c r="G799" s="419" t="s">
        <v>8709</v>
      </c>
      <c r="H799" s="419" t="s">
        <v>310</v>
      </c>
      <c r="I799" s="415" t="s">
        <v>881</v>
      </c>
      <c r="J799" s="419" t="s">
        <v>882</v>
      </c>
      <c r="K799" s="419" t="s">
        <v>883</v>
      </c>
      <c r="L799" s="415" t="s">
        <v>798</v>
      </c>
      <c r="M799" s="419" t="s">
        <v>310</v>
      </c>
      <c r="N799" s="685">
        <v>44872</v>
      </c>
      <c r="O799" s="414" t="s">
        <v>400</v>
      </c>
      <c r="P799" s="655">
        <f t="shared" si="39"/>
        <v>11</v>
      </c>
      <c r="Q799" s="655">
        <f t="shared" si="40"/>
        <v>11</v>
      </c>
      <c r="R799" s="758" t="str">
        <f t="shared" si="42"/>
        <v>Gastos_Gerais</v>
      </c>
      <c r="S799" s="697" t="s">
        <v>310</v>
      </c>
      <c r="T799" s="697" t="s">
        <v>310</v>
      </c>
    </row>
    <row r="800" spans="1:20" ht="24" x14ac:dyDescent="0.2">
      <c r="A800" s="432">
        <f>IF(B800="","",COUNT('Diário 1º PA'!$A$4:$A$2635)+COUNT('Diário 2º PA'!$A$4:$A$3040)+COUNT('Diário 3º PA'!$A$4:$A$2731)+ROW()-3)</f>
        <v>6825</v>
      </c>
      <c r="B800" s="413">
        <v>44872</v>
      </c>
      <c r="C800" s="431">
        <v>44866</v>
      </c>
      <c r="D800" s="419" t="s">
        <v>271</v>
      </c>
      <c r="E800" s="419" t="s">
        <v>71</v>
      </c>
      <c r="F800" s="422">
        <v>11</v>
      </c>
      <c r="G800" s="419" t="s">
        <v>8709</v>
      </c>
      <c r="H800" s="419" t="s">
        <v>310</v>
      </c>
      <c r="I800" s="415" t="s">
        <v>881</v>
      </c>
      <c r="J800" s="419" t="s">
        <v>882</v>
      </c>
      <c r="K800" s="419" t="s">
        <v>883</v>
      </c>
      <c r="L800" s="415" t="s">
        <v>798</v>
      </c>
      <c r="M800" s="419" t="s">
        <v>310</v>
      </c>
      <c r="N800" s="685">
        <v>44872</v>
      </c>
      <c r="O800" s="414" t="s">
        <v>400</v>
      </c>
      <c r="P800" s="655">
        <f t="shared" si="39"/>
        <v>11</v>
      </c>
      <c r="Q800" s="655">
        <f t="shared" si="40"/>
        <v>11</v>
      </c>
      <c r="R800" s="758" t="str">
        <f t="shared" si="42"/>
        <v>Gastos_Gerais</v>
      </c>
      <c r="S800" s="697" t="s">
        <v>310</v>
      </c>
      <c r="T800" s="697" t="s">
        <v>310</v>
      </c>
    </row>
    <row r="801" spans="1:20" ht="24" x14ac:dyDescent="0.2">
      <c r="A801" s="432">
        <f>IF(B801="","",COUNT('Diário 1º PA'!$A$4:$A$2635)+COUNT('Diário 2º PA'!$A$4:$A$3040)+COUNT('Diário 3º PA'!$A$4:$A$2731)+ROW()-3)</f>
        <v>6826</v>
      </c>
      <c r="B801" s="413">
        <v>44872</v>
      </c>
      <c r="C801" s="431">
        <v>44866</v>
      </c>
      <c r="D801" s="419" t="s">
        <v>271</v>
      </c>
      <c r="E801" s="419" t="s">
        <v>71</v>
      </c>
      <c r="F801" s="422">
        <v>11</v>
      </c>
      <c r="G801" s="419" t="s">
        <v>8709</v>
      </c>
      <c r="H801" s="419" t="s">
        <v>310</v>
      </c>
      <c r="I801" s="415" t="s">
        <v>881</v>
      </c>
      <c r="J801" s="419" t="s">
        <v>882</v>
      </c>
      <c r="K801" s="419" t="s">
        <v>883</v>
      </c>
      <c r="L801" s="415" t="s">
        <v>798</v>
      </c>
      <c r="M801" s="419" t="s">
        <v>310</v>
      </c>
      <c r="N801" s="685">
        <v>44872</v>
      </c>
      <c r="O801" s="414" t="s">
        <v>400</v>
      </c>
      <c r="P801" s="655">
        <f t="shared" ref="P801:P864" si="43">IF(B801=0,0,IF(YEAR(B801)=$Q$1,MONTH(B801)-$P$1+1,(YEAR(B801)-$Q$1)*12-$P$1+1+MONTH(B801)))</f>
        <v>11</v>
      </c>
      <c r="Q801" s="655">
        <f t="shared" ref="Q801:Q864" si="44">IF(C801=0,0,IF(YEAR(C801)=$Q$1,MONTH(C801)-$P$1+1,(YEAR(C801)-$Q$1)*12-$P$1+1+MONTH(C801)))</f>
        <v>11</v>
      </c>
      <c r="R801" s="758" t="str">
        <f t="shared" si="42"/>
        <v>Gastos_Gerais</v>
      </c>
      <c r="S801" s="697" t="s">
        <v>310</v>
      </c>
      <c r="T801" s="697" t="s">
        <v>310</v>
      </c>
    </row>
    <row r="802" spans="1:20" ht="24" x14ac:dyDescent="0.2">
      <c r="A802" s="432">
        <f>IF(B802="","",COUNT('Diário 1º PA'!$A$4:$A$2635)+COUNT('Diário 2º PA'!$A$4:$A$3040)+COUNT('Diário 3º PA'!$A$4:$A$2731)+ROW()-3)</f>
        <v>6827</v>
      </c>
      <c r="B802" s="413">
        <v>44872</v>
      </c>
      <c r="C802" s="431">
        <v>44866</v>
      </c>
      <c r="D802" s="419" t="s">
        <v>271</v>
      </c>
      <c r="E802" s="419" t="s">
        <v>71</v>
      </c>
      <c r="F802" s="422">
        <v>11</v>
      </c>
      <c r="G802" s="419" t="s">
        <v>8709</v>
      </c>
      <c r="H802" s="419" t="s">
        <v>310</v>
      </c>
      <c r="I802" s="415" t="s">
        <v>881</v>
      </c>
      <c r="J802" s="419" t="s">
        <v>882</v>
      </c>
      <c r="K802" s="419" t="s">
        <v>883</v>
      </c>
      <c r="L802" s="415" t="s">
        <v>798</v>
      </c>
      <c r="M802" s="419" t="s">
        <v>310</v>
      </c>
      <c r="N802" s="685">
        <v>44872</v>
      </c>
      <c r="O802" s="414" t="s">
        <v>400</v>
      </c>
      <c r="P802" s="655">
        <f t="shared" si="43"/>
        <v>11</v>
      </c>
      <c r="Q802" s="655">
        <f t="shared" si="44"/>
        <v>11</v>
      </c>
      <c r="R802" s="758" t="str">
        <f t="shared" si="42"/>
        <v>Gastos_Gerais</v>
      </c>
      <c r="S802" s="697" t="s">
        <v>310</v>
      </c>
      <c r="T802" s="697" t="s">
        <v>310</v>
      </c>
    </row>
    <row r="803" spans="1:20" ht="24" x14ac:dyDescent="0.2">
      <c r="A803" s="432">
        <f>IF(B803="","",COUNT('Diário 1º PA'!$A$4:$A$2635)+COUNT('Diário 2º PA'!$A$4:$A$3040)+COUNT('Diário 3º PA'!$A$4:$A$2731)+ROW()-3)</f>
        <v>6828</v>
      </c>
      <c r="B803" s="413">
        <v>44872</v>
      </c>
      <c r="C803" s="431">
        <v>44866</v>
      </c>
      <c r="D803" s="419" t="s">
        <v>271</v>
      </c>
      <c r="E803" s="419" t="s">
        <v>71</v>
      </c>
      <c r="F803" s="422">
        <v>11</v>
      </c>
      <c r="G803" s="419" t="s">
        <v>8709</v>
      </c>
      <c r="H803" s="419" t="s">
        <v>310</v>
      </c>
      <c r="I803" s="415" t="s">
        <v>881</v>
      </c>
      <c r="J803" s="419" t="s">
        <v>882</v>
      </c>
      <c r="K803" s="419" t="s">
        <v>883</v>
      </c>
      <c r="L803" s="415" t="s">
        <v>798</v>
      </c>
      <c r="M803" s="419" t="s">
        <v>310</v>
      </c>
      <c r="N803" s="685">
        <v>44872</v>
      </c>
      <c r="O803" s="414" t="s">
        <v>400</v>
      </c>
      <c r="P803" s="655">
        <f t="shared" si="43"/>
        <v>11</v>
      </c>
      <c r="Q803" s="655">
        <f t="shared" si="44"/>
        <v>11</v>
      </c>
      <c r="R803" s="758" t="str">
        <f t="shared" si="42"/>
        <v>Gastos_Gerais</v>
      </c>
      <c r="S803" s="697" t="s">
        <v>310</v>
      </c>
      <c r="T803" s="697" t="s">
        <v>310</v>
      </c>
    </row>
    <row r="804" spans="1:20" ht="24" x14ac:dyDescent="0.2">
      <c r="A804" s="432">
        <f>IF(B804="","",COUNT('Diário 1º PA'!$A$4:$A$2635)+COUNT('Diário 2º PA'!$A$4:$A$3040)+COUNT('Diário 3º PA'!$A$4:$A$2731)+ROW()-3)</f>
        <v>6829</v>
      </c>
      <c r="B804" s="413">
        <v>44872</v>
      </c>
      <c r="C804" s="431">
        <v>44866</v>
      </c>
      <c r="D804" s="419" t="s">
        <v>271</v>
      </c>
      <c r="E804" s="419" t="s">
        <v>71</v>
      </c>
      <c r="F804" s="422">
        <v>11</v>
      </c>
      <c r="G804" s="419" t="s">
        <v>8709</v>
      </c>
      <c r="H804" s="419" t="s">
        <v>310</v>
      </c>
      <c r="I804" s="415" t="s">
        <v>881</v>
      </c>
      <c r="J804" s="419" t="s">
        <v>882</v>
      </c>
      <c r="K804" s="419" t="s">
        <v>883</v>
      </c>
      <c r="L804" s="415" t="s">
        <v>798</v>
      </c>
      <c r="M804" s="419" t="s">
        <v>310</v>
      </c>
      <c r="N804" s="685">
        <v>44872</v>
      </c>
      <c r="O804" s="414" t="s">
        <v>400</v>
      </c>
      <c r="P804" s="655">
        <f t="shared" si="43"/>
        <v>11</v>
      </c>
      <c r="Q804" s="655">
        <f t="shared" si="44"/>
        <v>11</v>
      </c>
      <c r="R804" s="758" t="str">
        <f t="shared" si="42"/>
        <v>Gastos_Gerais</v>
      </c>
      <c r="S804" s="697" t="s">
        <v>310</v>
      </c>
      <c r="T804" s="697" t="s">
        <v>310</v>
      </c>
    </row>
    <row r="805" spans="1:20" ht="24" x14ac:dyDescent="0.2">
      <c r="A805" s="432">
        <f>IF(B805="","",COUNT('Diário 1º PA'!$A$4:$A$2635)+COUNT('Diário 2º PA'!$A$4:$A$3040)+COUNT('Diário 3º PA'!$A$4:$A$2731)+ROW()-3)</f>
        <v>6830</v>
      </c>
      <c r="B805" s="413">
        <v>44872</v>
      </c>
      <c r="C805" s="431">
        <v>44866</v>
      </c>
      <c r="D805" s="419" t="s">
        <v>271</v>
      </c>
      <c r="E805" s="419" t="s">
        <v>71</v>
      </c>
      <c r="F805" s="422">
        <v>11</v>
      </c>
      <c r="G805" s="419" t="s">
        <v>8709</v>
      </c>
      <c r="H805" s="419" t="s">
        <v>310</v>
      </c>
      <c r="I805" s="415" t="s">
        <v>881</v>
      </c>
      <c r="J805" s="419" t="s">
        <v>882</v>
      </c>
      <c r="K805" s="419" t="s">
        <v>883</v>
      </c>
      <c r="L805" s="415" t="s">
        <v>798</v>
      </c>
      <c r="M805" s="419" t="s">
        <v>310</v>
      </c>
      <c r="N805" s="685">
        <v>44872</v>
      </c>
      <c r="O805" s="414" t="s">
        <v>400</v>
      </c>
      <c r="P805" s="655">
        <f t="shared" si="43"/>
        <v>11</v>
      </c>
      <c r="Q805" s="655">
        <f t="shared" si="44"/>
        <v>11</v>
      </c>
      <c r="R805" s="758" t="str">
        <f t="shared" si="42"/>
        <v>Gastos_Gerais</v>
      </c>
      <c r="S805" s="697" t="s">
        <v>310</v>
      </c>
      <c r="T805" s="697" t="s">
        <v>310</v>
      </c>
    </row>
    <row r="806" spans="1:20" ht="24" x14ac:dyDescent="0.2">
      <c r="A806" s="432">
        <f>IF(B806="","",COUNT('Diário 1º PA'!$A$4:$A$2635)+COUNT('Diário 2º PA'!$A$4:$A$3040)+COUNT('Diário 3º PA'!$A$4:$A$2731)+ROW()-3)</f>
        <v>6831</v>
      </c>
      <c r="B806" s="413">
        <v>44872</v>
      </c>
      <c r="C806" s="431">
        <v>44866</v>
      </c>
      <c r="D806" s="419" t="s">
        <v>271</v>
      </c>
      <c r="E806" s="419" t="s">
        <v>71</v>
      </c>
      <c r="F806" s="422">
        <v>11</v>
      </c>
      <c r="G806" s="419" t="s">
        <v>8709</v>
      </c>
      <c r="H806" s="419" t="s">
        <v>310</v>
      </c>
      <c r="I806" s="415" t="s">
        <v>881</v>
      </c>
      <c r="J806" s="419" t="s">
        <v>882</v>
      </c>
      <c r="K806" s="419" t="s">
        <v>883</v>
      </c>
      <c r="L806" s="415" t="s">
        <v>798</v>
      </c>
      <c r="M806" s="419" t="s">
        <v>310</v>
      </c>
      <c r="N806" s="685">
        <v>44872</v>
      </c>
      <c r="O806" s="414" t="s">
        <v>400</v>
      </c>
      <c r="P806" s="655">
        <f t="shared" si="43"/>
        <v>11</v>
      </c>
      <c r="Q806" s="655">
        <f t="shared" si="44"/>
        <v>11</v>
      </c>
      <c r="R806" s="758" t="str">
        <f t="shared" si="42"/>
        <v>Gastos_Gerais</v>
      </c>
      <c r="S806" s="697" t="s">
        <v>310</v>
      </c>
      <c r="T806" s="697" t="s">
        <v>310</v>
      </c>
    </row>
    <row r="807" spans="1:20" ht="24" x14ac:dyDescent="0.2">
      <c r="A807" s="432">
        <f>IF(B807="","",COUNT('Diário 1º PA'!$A$4:$A$2635)+COUNT('Diário 2º PA'!$A$4:$A$3040)+COUNT('Diário 3º PA'!$A$4:$A$2731)+ROW()-3)</f>
        <v>6832</v>
      </c>
      <c r="B807" s="413">
        <v>44872</v>
      </c>
      <c r="C807" s="431">
        <v>44866</v>
      </c>
      <c r="D807" s="419" t="s">
        <v>271</v>
      </c>
      <c r="E807" s="419" t="s">
        <v>71</v>
      </c>
      <c r="F807" s="422">
        <v>11</v>
      </c>
      <c r="G807" s="419" t="s">
        <v>8709</v>
      </c>
      <c r="H807" s="419" t="s">
        <v>310</v>
      </c>
      <c r="I807" s="415" t="s">
        <v>881</v>
      </c>
      <c r="J807" s="419" t="s">
        <v>882</v>
      </c>
      <c r="K807" s="419" t="s">
        <v>883</v>
      </c>
      <c r="L807" s="415" t="s">
        <v>798</v>
      </c>
      <c r="M807" s="419" t="s">
        <v>310</v>
      </c>
      <c r="N807" s="685">
        <v>44872</v>
      </c>
      <c r="O807" s="414" t="s">
        <v>400</v>
      </c>
      <c r="P807" s="655">
        <f t="shared" si="43"/>
        <v>11</v>
      </c>
      <c r="Q807" s="655">
        <f t="shared" si="44"/>
        <v>11</v>
      </c>
      <c r="R807" s="758" t="str">
        <f t="shared" si="42"/>
        <v>Gastos_Gerais</v>
      </c>
      <c r="S807" s="697" t="s">
        <v>310</v>
      </c>
      <c r="T807" s="697" t="s">
        <v>310</v>
      </c>
    </row>
    <row r="808" spans="1:20" ht="24" x14ac:dyDescent="0.2">
      <c r="A808" s="432">
        <f>IF(B808="","",COUNT('Diário 1º PA'!$A$4:$A$2635)+COUNT('Diário 2º PA'!$A$4:$A$3040)+COUNT('Diário 3º PA'!$A$4:$A$2731)+ROW()-3)</f>
        <v>6833</v>
      </c>
      <c r="B808" s="413">
        <v>44872</v>
      </c>
      <c r="C808" s="431">
        <v>44866</v>
      </c>
      <c r="D808" s="419" t="s">
        <v>271</v>
      </c>
      <c r="E808" s="419" t="s">
        <v>71</v>
      </c>
      <c r="F808" s="422">
        <v>11</v>
      </c>
      <c r="G808" s="419" t="s">
        <v>8709</v>
      </c>
      <c r="H808" s="419" t="s">
        <v>310</v>
      </c>
      <c r="I808" s="415" t="s">
        <v>881</v>
      </c>
      <c r="J808" s="419" t="s">
        <v>882</v>
      </c>
      <c r="K808" s="419" t="s">
        <v>883</v>
      </c>
      <c r="L808" s="415" t="s">
        <v>798</v>
      </c>
      <c r="M808" s="419" t="s">
        <v>310</v>
      </c>
      <c r="N808" s="685">
        <v>44872</v>
      </c>
      <c r="O808" s="414" t="s">
        <v>400</v>
      </c>
      <c r="P808" s="655">
        <f t="shared" si="43"/>
        <v>11</v>
      </c>
      <c r="Q808" s="655">
        <f t="shared" si="44"/>
        <v>11</v>
      </c>
      <c r="R808" s="758" t="str">
        <f t="shared" si="42"/>
        <v>Gastos_Gerais</v>
      </c>
      <c r="S808" s="697" t="s">
        <v>310</v>
      </c>
      <c r="T808" s="697" t="s">
        <v>310</v>
      </c>
    </row>
    <row r="809" spans="1:20" ht="24" x14ac:dyDescent="0.2">
      <c r="A809" s="432">
        <f>IF(B809="","",COUNT('Diário 1º PA'!$A$4:$A$2635)+COUNT('Diário 2º PA'!$A$4:$A$3040)+COUNT('Diário 3º PA'!$A$4:$A$2731)+ROW()-3)</f>
        <v>6834</v>
      </c>
      <c r="B809" s="413">
        <v>44872</v>
      </c>
      <c r="C809" s="431">
        <v>44866</v>
      </c>
      <c r="D809" s="419" t="s">
        <v>271</v>
      </c>
      <c r="E809" s="419" t="s">
        <v>71</v>
      </c>
      <c r="F809" s="422">
        <v>11</v>
      </c>
      <c r="G809" s="419" t="s">
        <v>8709</v>
      </c>
      <c r="H809" s="419" t="s">
        <v>310</v>
      </c>
      <c r="I809" s="415" t="s">
        <v>881</v>
      </c>
      <c r="J809" s="419" t="s">
        <v>882</v>
      </c>
      <c r="K809" s="419" t="s">
        <v>883</v>
      </c>
      <c r="L809" s="415" t="s">
        <v>798</v>
      </c>
      <c r="M809" s="419" t="s">
        <v>310</v>
      </c>
      <c r="N809" s="685">
        <v>44872</v>
      </c>
      <c r="O809" s="414" t="s">
        <v>400</v>
      </c>
      <c r="P809" s="655">
        <f t="shared" si="43"/>
        <v>11</v>
      </c>
      <c r="Q809" s="655">
        <f t="shared" si="44"/>
        <v>11</v>
      </c>
      <c r="R809" s="758" t="str">
        <f t="shared" si="42"/>
        <v>Gastos_Gerais</v>
      </c>
      <c r="S809" s="697" t="s">
        <v>310</v>
      </c>
      <c r="T809" s="697" t="s">
        <v>310</v>
      </c>
    </row>
    <row r="810" spans="1:20" ht="24" x14ac:dyDescent="0.2">
      <c r="A810" s="432">
        <f>IF(B810="","",COUNT('Diário 1º PA'!$A$4:$A$2635)+COUNT('Diário 2º PA'!$A$4:$A$3040)+COUNT('Diário 3º PA'!$A$4:$A$2731)+ROW()-3)</f>
        <v>6835</v>
      </c>
      <c r="B810" s="413">
        <v>44872</v>
      </c>
      <c r="C810" s="431">
        <v>44866</v>
      </c>
      <c r="D810" s="419" t="s">
        <v>271</v>
      </c>
      <c r="E810" s="419" t="s">
        <v>71</v>
      </c>
      <c r="F810" s="422">
        <v>11</v>
      </c>
      <c r="G810" s="419" t="s">
        <v>8709</v>
      </c>
      <c r="H810" s="419" t="s">
        <v>310</v>
      </c>
      <c r="I810" s="415" t="s">
        <v>881</v>
      </c>
      <c r="J810" s="419" t="s">
        <v>882</v>
      </c>
      <c r="K810" s="419" t="s">
        <v>883</v>
      </c>
      <c r="L810" s="415" t="s">
        <v>798</v>
      </c>
      <c r="M810" s="419" t="s">
        <v>310</v>
      </c>
      <c r="N810" s="685">
        <v>44872</v>
      </c>
      <c r="O810" s="414" t="s">
        <v>400</v>
      </c>
      <c r="P810" s="655">
        <f t="shared" si="43"/>
        <v>11</v>
      </c>
      <c r="Q810" s="655">
        <f t="shared" si="44"/>
        <v>11</v>
      </c>
      <c r="R810" s="758" t="str">
        <f t="shared" si="42"/>
        <v>Gastos_Gerais</v>
      </c>
      <c r="S810" s="697" t="s">
        <v>310</v>
      </c>
      <c r="T810" s="697" t="s">
        <v>310</v>
      </c>
    </row>
    <row r="811" spans="1:20" ht="24" x14ac:dyDescent="0.2">
      <c r="A811" s="432">
        <f>IF(B811="","",COUNT('Diário 1º PA'!$A$4:$A$2635)+COUNT('Diário 2º PA'!$A$4:$A$3040)+COUNT('Diário 3º PA'!$A$4:$A$2731)+ROW()-3)</f>
        <v>6836</v>
      </c>
      <c r="B811" s="413">
        <v>44872</v>
      </c>
      <c r="C811" s="431">
        <v>44866</v>
      </c>
      <c r="D811" s="419" t="s">
        <v>271</v>
      </c>
      <c r="E811" s="419" t="s">
        <v>71</v>
      </c>
      <c r="F811" s="422">
        <v>11</v>
      </c>
      <c r="G811" s="419" t="s">
        <v>8709</v>
      </c>
      <c r="H811" s="419" t="s">
        <v>310</v>
      </c>
      <c r="I811" s="415" t="s">
        <v>881</v>
      </c>
      <c r="J811" s="419" t="s">
        <v>882</v>
      </c>
      <c r="K811" s="419" t="s">
        <v>883</v>
      </c>
      <c r="L811" s="415" t="s">
        <v>798</v>
      </c>
      <c r="M811" s="419" t="s">
        <v>310</v>
      </c>
      <c r="N811" s="685">
        <v>44872</v>
      </c>
      <c r="O811" s="414" t="s">
        <v>400</v>
      </c>
      <c r="P811" s="655">
        <f t="shared" si="43"/>
        <v>11</v>
      </c>
      <c r="Q811" s="655">
        <f t="shared" si="44"/>
        <v>11</v>
      </c>
      <c r="R811" s="758" t="str">
        <f t="shared" si="42"/>
        <v>Gastos_Gerais</v>
      </c>
      <c r="S811" s="697" t="s">
        <v>310</v>
      </c>
      <c r="T811" s="697" t="s">
        <v>310</v>
      </c>
    </row>
    <row r="812" spans="1:20" ht="36" x14ac:dyDescent="0.2">
      <c r="A812" s="432">
        <f>IF(B812="","",COUNT('Diário 1º PA'!$A$4:$A$2635)+COUNT('Diário 2º PA'!$A$4:$A$3040)+COUNT('Diário 3º PA'!$A$4:$A$2731)+ROW()-3)</f>
        <v>6837</v>
      </c>
      <c r="B812" s="413">
        <v>44872</v>
      </c>
      <c r="C812" s="431">
        <v>44866</v>
      </c>
      <c r="D812" s="419" t="s">
        <v>271</v>
      </c>
      <c r="E812" s="419" t="s">
        <v>71</v>
      </c>
      <c r="F812" s="422">
        <v>11</v>
      </c>
      <c r="G812" s="423" t="s">
        <v>8163</v>
      </c>
      <c r="H812" s="415" t="s">
        <v>751</v>
      </c>
      <c r="I812" s="415" t="s">
        <v>881</v>
      </c>
      <c r="J812" s="419" t="s">
        <v>882</v>
      </c>
      <c r="K812" s="419" t="s">
        <v>883</v>
      </c>
      <c r="L812" s="415" t="s">
        <v>798</v>
      </c>
      <c r="M812" s="419" t="s">
        <v>310</v>
      </c>
      <c r="N812" s="685">
        <v>44872</v>
      </c>
      <c r="O812" s="414" t="s">
        <v>400</v>
      </c>
      <c r="P812" s="655">
        <f t="shared" si="43"/>
        <v>11</v>
      </c>
      <c r="Q812" s="655">
        <f t="shared" si="44"/>
        <v>11</v>
      </c>
      <c r="R812" s="758" t="str">
        <f t="shared" si="42"/>
        <v>Gastos_Gerais</v>
      </c>
      <c r="S812" s="697" t="s">
        <v>310</v>
      </c>
      <c r="T812" s="697" t="s">
        <v>310</v>
      </c>
    </row>
    <row r="813" spans="1:20" ht="24" x14ac:dyDescent="0.2">
      <c r="A813" s="432">
        <f>IF(B813="","",COUNT('Diário 1º PA'!$A$4:$A$2635)+COUNT('Diário 2º PA'!$A$4:$A$3040)+COUNT('Diário 3º PA'!$A$4:$A$2731)+ROW()-3)</f>
        <v>6838</v>
      </c>
      <c r="B813" s="413">
        <v>44872</v>
      </c>
      <c r="C813" s="431">
        <v>44866</v>
      </c>
      <c r="D813" s="419" t="s">
        <v>271</v>
      </c>
      <c r="E813" s="419" t="s">
        <v>71</v>
      </c>
      <c r="F813" s="422">
        <v>153</v>
      </c>
      <c r="G813" s="423" t="s">
        <v>880</v>
      </c>
      <c r="H813" s="419" t="s">
        <v>309</v>
      </c>
      <c r="I813" s="415" t="s">
        <v>881</v>
      </c>
      <c r="J813" s="419" t="s">
        <v>882</v>
      </c>
      <c r="K813" s="419" t="s">
        <v>883</v>
      </c>
      <c r="L813" s="415" t="s">
        <v>798</v>
      </c>
      <c r="M813" s="419" t="s">
        <v>310</v>
      </c>
      <c r="N813" s="413">
        <v>44872</v>
      </c>
      <c r="O813" s="414" t="s">
        <v>400</v>
      </c>
      <c r="P813" s="655">
        <f t="shared" si="43"/>
        <v>11</v>
      </c>
      <c r="Q813" s="655">
        <f t="shared" si="44"/>
        <v>11</v>
      </c>
      <c r="R813" s="758" t="str">
        <f t="shared" si="42"/>
        <v>Gastos_Gerais</v>
      </c>
      <c r="S813" s="697" t="s">
        <v>310</v>
      </c>
      <c r="T813" s="697" t="s">
        <v>310</v>
      </c>
    </row>
    <row r="814" spans="1:20" ht="48" x14ac:dyDescent="0.2">
      <c r="A814" s="432">
        <f>IF(B814="","",COUNT('Diário 1º PA'!$A$4:$A$2635)+COUNT('Diário 2º PA'!$A$4:$A$3040)+COUNT('Diário 3º PA'!$A$4:$A$2731)+ROW()-3)</f>
        <v>6839</v>
      </c>
      <c r="B814" s="413">
        <v>44873</v>
      </c>
      <c r="C814" s="424">
        <v>44835</v>
      </c>
      <c r="D814" s="419" t="s">
        <v>271</v>
      </c>
      <c r="E814" s="419" t="s">
        <v>297</v>
      </c>
      <c r="F814" s="422">
        <v>-28.94</v>
      </c>
      <c r="G814" s="427" t="s">
        <v>3907</v>
      </c>
      <c r="H814" s="419" t="s">
        <v>309</v>
      </c>
      <c r="I814" s="415" t="s">
        <v>795</v>
      </c>
      <c r="J814" s="419" t="s">
        <v>796</v>
      </c>
      <c r="K814" s="419" t="s">
        <v>797</v>
      </c>
      <c r="L814" s="415" t="s">
        <v>798</v>
      </c>
      <c r="M814" s="419" t="s">
        <v>310</v>
      </c>
      <c r="N814" s="413">
        <v>44873</v>
      </c>
      <c r="O814" s="414" t="s">
        <v>400</v>
      </c>
      <c r="P814" s="655">
        <f t="shared" si="43"/>
        <v>11</v>
      </c>
      <c r="Q814" s="655">
        <f t="shared" si="44"/>
        <v>10</v>
      </c>
      <c r="R814" s="758" t="s">
        <v>1531</v>
      </c>
      <c r="S814" s="697" t="s">
        <v>310</v>
      </c>
      <c r="T814" s="697" t="s">
        <v>310</v>
      </c>
    </row>
    <row r="815" spans="1:20" ht="48" x14ac:dyDescent="0.2">
      <c r="A815" s="432">
        <f>IF(B815="","",COUNT('Diário 1º PA'!$A$4:$A$2635)+COUNT('Diário 2º PA'!$A$4:$A$3040)+COUNT('Diário 3º PA'!$A$4:$A$2731)+ROW()-3)</f>
        <v>6840</v>
      </c>
      <c r="B815" s="413">
        <v>44873</v>
      </c>
      <c r="C815" s="466">
        <v>44835</v>
      </c>
      <c r="D815" s="426" t="s">
        <v>271</v>
      </c>
      <c r="E815" s="426" t="s">
        <v>297</v>
      </c>
      <c r="F815" s="686">
        <v>-303.87</v>
      </c>
      <c r="G815" s="642" t="s">
        <v>6345</v>
      </c>
      <c r="H815" s="426" t="s">
        <v>309</v>
      </c>
      <c r="I815" s="434" t="s">
        <v>795</v>
      </c>
      <c r="J815" s="426" t="s">
        <v>796</v>
      </c>
      <c r="K815" s="426" t="s">
        <v>797</v>
      </c>
      <c r="L815" s="434" t="s">
        <v>798</v>
      </c>
      <c r="M815" s="426" t="s">
        <v>310</v>
      </c>
      <c r="N815" s="413">
        <v>44873</v>
      </c>
      <c r="O815" s="414" t="s">
        <v>400</v>
      </c>
      <c r="P815" s="655">
        <f t="shared" si="43"/>
        <v>11</v>
      </c>
      <c r="Q815" s="655">
        <f t="shared" si="44"/>
        <v>10</v>
      </c>
      <c r="R815" s="758" t="s">
        <v>1531</v>
      </c>
      <c r="S815" s="697" t="s">
        <v>310</v>
      </c>
      <c r="T815" s="697" t="s">
        <v>310</v>
      </c>
    </row>
    <row r="816" spans="1:20" ht="48" x14ac:dyDescent="0.2">
      <c r="A816" s="432">
        <f>IF(B816="","",COUNT('Diário 1º PA'!$A$4:$A$2635)+COUNT('Diário 2º PA'!$A$4:$A$3040)+COUNT('Diário 3º PA'!$A$4:$A$2731)+ROW()-3)</f>
        <v>6841</v>
      </c>
      <c r="B816" s="413">
        <v>44873</v>
      </c>
      <c r="C816" s="466">
        <v>44835</v>
      </c>
      <c r="D816" s="426" t="s">
        <v>271</v>
      </c>
      <c r="E816" s="426" t="s">
        <v>297</v>
      </c>
      <c r="F816" s="686">
        <v>-28.94</v>
      </c>
      <c r="G816" s="642" t="s">
        <v>3907</v>
      </c>
      <c r="H816" s="426" t="s">
        <v>309</v>
      </c>
      <c r="I816" s="434" t="s">
        <v>795</v>
      </c>
      <c r="J816" s="426" t="s">
        <v>796</v>
      </c>
      <c r="K816" s="426" t="s">
        <v>797</v>
      </c>
      <c r="L816" s="434" t="s">
        <v>798</v>
      </c>
      <c r="M816" s="426" t="s">
        <v>310</v>
      </c>
      <c r="N816" s="413">
        <v>44873</v>
      </c>
      <c r="O816" s="414" t="s">
        <v>400</v>
      </c>
      <c r="P816" s="655">
        <f t="shared" si="43"/>
        <v>11</v>
      </c>
      <c r="Q816" s="655">
        <f t="shared" si="44"/>
        <v>10</v>
      </c>
      <c r="R816" s="758" t="s">
        <v>1531</v>
      </c>
      <c r="S816" s="697" t="s">
        <v>310</v>
      </c>
      <c r="T816" s="697" t="s">
        <v>310</v>
      </c>
    </row>
    <row r="817" spans="1:20" ht="60" x14ac:dyDescent="0.2">
      <c r="A817" s="432">
        <f>IF(B817="","",COUNT('Diário 1º PA'!$A$4:$A$2635)+COUNT('Diário 2º PA'!$A$4:$A$3040)+COUNT('Diário 3º PA'!$A$4:$A$2731)+ROW()-3)</f>
        <v>6842</v>
      </c>
      <c r="B817" s="413">
        <v>44873</v>
      </c>
      <c r="C817" s="431">
        <v>44835</v>
      </c>
      <c r="D817" s="415" t="s">
        <v>271</v>
      </c>
      <c r="E817" s="415" t="s">
        <v>465</v>
      </c>
      <c r="F817" s="422">
        <v>485</v>
      </c>
      <c r="G817" s="427" t="s">
        <v>7641</v>
      </c>
      <c r="H817" s="415" t="s">
        <v>751</v>
      </c>
      <c r="I817" s="415" t="s">
        <v>5217</v>
      </c>
      <c r="J817" s="415" t="s">
        <v>3296</v>
      </c>
      <c r="K817" s="426" t="s">
        <v>806</v>
      </c>
      <c r="L817" s="415" t="s">
        <v>32</v>
      </c>
      <c r="M817" s="419" t="s">
        <v>8177</v>
      </c>
      <c r="N817" s="413">
        <v>44852</v>
      </c>
      <c r="O817" s="414" t="s">
        <v>400</v>
      </c>
      <c r="P817" s="655">
        <f t="shared" si="43"/>
        <v>11</v>
      </c>
      <c r="Q817" s="655">
        <f t="shared" si="44"/>
        <v>10</v>
      </c>
      <c r="R817" s="758" t="str">
        <f t="shared" ref="R817:R880" si="45">SUBSTITUTE(D817," ","_")</f>
        <v>Gastos_Gerais</v>
      </c>
      <c r="S817" s="697" t="s">
        <v>1000</v>
      </c>
      <c r="T817" s="697">
        <v>4524</v>
      </c>
    </row>
    <row r="818" spans="1:20" ht="60" x14ac:dyDescent="0.2">
      <c r="A818" s="432">
        <f>IF(B818="","",COUNT('Diário 1º PA'!$A$4:$A$2635)+COUNT('Diário 2º PA'!$A$4:$A$3040)+COUNT('Diário 3º PA'!$A$4:$A$2731)+ROW()-3)</f>
        <v>6843</v>
      </c>
      <c r="B818" s="413">
        <v>44873</v>
      </c>
      <c r="C818" s="431">
        <v>44835</v>
      </c>
      <c r="D818" s="415" t="s">
        <v>271</v>
      </c>
      <c r="E818" s="415" t="s">
        <v>465</v>
      </c>
      <c r="F818" s="425">
        <v>679</v>
      </c>
      <c r="G818" s="427" t="s">
        <v>7641</v>
      </c>
      <c r="H818" s="415" t="s">
        <v>751</v>
      </c>
      <c r="I818" s="415" t="s">
        <v>5217</v>
      </c>
      <c r="J818" s="415" t="s">
        <v>3296</v>
      </c>
      <c r="K818" s="426" t="s">
        <v>806</v>
      </c>
      <c r="L818" s="415" t="s">
        <v>32</v>
      </c>
      <c r="M818" s="419" t="s">
        <v>8178</v>
      </c>
      <c r="N818" s="413">
        <v>44852</v>
      </c>
      <c r="O818" s="414" t="s">
        <v>400</v>
      </c>
      <c r="P818" s="655">
        <f t="shared" si="43"/>
        <v>11</v>
      </c>
      <c r="Q818" s="655">
        <f t="shared" si="44"/>
        <v>10</v>
      </c>
      <c r="R818" s="758" t="str">
        <f t="shared" si="45"/>
        <v>Gastos_Gerais</v>
      </c>
      <c r="S818" s="697" t="s">
        <v>998</v>
      </c>
      <c r="T818" s="697">
        <v>4524</v>
      </c>
    </row>
    <row r="819" spans="1:20" ht="120" x14ac:dyDescent="0.2">
      <c r="A819" s="432">
        <f>IF(B819="","",COUNT('Diário 1º PA'!$A$4:$A$2635)+COUNT('Diário 2º PA'!$A$4:$A$3040)+COUNT('Diário 3º PA'!$A$4:$A$2731)+ROW()-3)</f>
        <v>6844</v>
      </c>
      <c r="B819" s="413">
        <v>44873</v>
      </c>
      <c r="C819" s="431">
        <v>44835</v>
      </c>
      <c r="D819" s="419" t="s">
        <v>271</v>
      </c>
      <c r="E819" s="419" t="s">
        <v>297</v>
      </c>
      <c r="F819" s="422">
        <v>1258.8900000000001</v>
      </c>
      <c r="G819" s="423" t="s">
        <v>3925</v>
      </c>
      <c r="H819" s="419" t="s">
        <v>309</v>
      </c>
      <c r="I819" s="415" t="s">
        <v>776</v>
      </c>
      <c r="J819" s="419" t="s">
        <v>1036</v>
      </c>
      <c r="K819" s="419" t="s">
        <v>812</v>
      </c>
      <c r="L819" s="415" t="s">
        <v>32</v>
      </c>
      <c r="M819" s="419">
        <v>52998</v>
      </c>
      <c r="N819" s="413">
        <v>44866</v>
      </c>
      <c r="O819" s="414" t="s">
        <v>400</v>
      </c>
      <c r="P819" s="655">
        <f t="shared" si="43"/>
        <v>11</v>
      </c>
      <c r="Q819" s="655">
        <f t="shared" si="44"/>
        <v>10</v>
      </c>
      <c r="R819" s="758" t="str">
        <f t="shared" si="45"/>
        <v>Gastos_Gerais</v>
      </c>
      <c r="S819" s="697" t="s">
        <v>1000</v>
      </c>
      <c r="T819" s="697">
        <v>1141</v>
      </c>
    </row>
    <row r="820" spans="1:20" ht="24" x14ac:dyDescent="0.2">
      <c r="A820" s="432">
        <f>IF(B820="","",COUNT('Diário 1º PA'!$A$4:$A$2635)+COUNT('Diário 2º PA'!$A$4:$A$3040)+COUNT('Diário 3º PA'!$A$4:$A$2731)+ROW()-3)</f>
        <v>6845</v>
      </c>
      <c r="B820" s="413">
        <v>44873</v>
      </c>
      <c r="C820" s="424">
        <v>44835</v>
      </c>
      <c r="D820" s="419" t="s">
        <v>271</v>
      </c>
      <c r="E820" s="419" t="s">
        <v>85</v>
      </c>
      <c r="F820" s="422">
        <v>85.13</v>
      </c>
      <c r="G820" s="423" t="s">
        <v>8180</v>
      </c>
      <c r="H820" s="419" t="s">
        <v>750</v>
      </c>
      <c r="I820" s="415" t="s">
        <v>765</v>
      </c>
      <c r="J820" s="419" t="s">
        <v>892</v>
      </c>
      <c r="K820" s="419" t="s">
        <v>893</v>
      </c>
      <c r="L820" s="415" t="s">
        <v>807</v>
      </c>
      <c r="M820" s="419">
        <v>89245394</v>
      </c>
      <c r="N820" s="413">
        <v>44852</v>
      </c>
      <c r="O820" s="414" t="s">
        <v>400</v>
      </c>
      <c r="P820" s="655">
        <f t="shared" si="43"/>
        <v>11</v>
      </c>
      <c r="Q820" s="655">
        <f t="shared" si="44"/>
        <v>10</v>
      </c>
      <c r="R820" s="758" t="str">
        <f t="shared" si="45"/>
        <v>Gastos_Gerais</v>
      </c>
      <c r="S820" s="697" t="s">
        <v>310</v>
      </c>
      <c r="T820" s="697" t="s">
        <v>310</v>
      </c>
    </row>
    <row r="821" spans="1:20" ht="72" x14ac:dyDescent="0.2">
      <c r="A821" s="432">
        <f>IF(B821="","",COUNT('Diário 1º PA'!$A$4:$A$2635)+COUNT('Diário 2º PA'!$A$4:$A$3040)+COUNT('Diário 3º PA'!$A$4:$A$2731)+ROW()-3)</f>
        <v>6846</v>
      </c>
      <c r="B821" s="413">
        <v>44873</v>
      </c>
      <c r="C821" s="431">
        <v>44835</v>
      </c>
      <c r="D821" s="415" t="s">
        <v>271</v>
      </c>
      <c r="E821" s="415" t="s">
        <v>465</v>
      </c>
      <c r="F821" s="422">
        <v>144.19</v>
      </c>
      <c r="G821" s="427" t="s">
        <v>7868</v>
      </c>
      <c r="H821" s="415" t="s">
        <v>755</v>
      </c>
      <c r="I821" s="415" t="s">
        <v>1464</v>
      </c>
      <c r="J821" s="415" t="s">
        <v>1010</v>
      </c>
      <c r="K821" s="419" t="s">
        <v>830</v>
      </c>
      <c r="L821" s="415" t="s">
        <v>32</v>
      </c>
      <c r="M821" s="419" t="s">
        <v>8181</v>
      </c>
      <c r="N821" s="413">
        <v>44872</v>
      </c>
      <c r="O821" s="414" t="s">
        <v>400</v>
      </c>
      <c r="P821" s="655">
        <f t="shared" si="43"/>
        <v>11</v>
      </c>
      <c r="Q821" s="655">
        <f t="shared" si="44"/>
        <v>10</v>
      </c>
      <c r="R821" s="758" t="str">
        <f t="shared" si="45"/>
        <v>Gastos_Gerais</v>
      </c>
      <c r="S821" s="697" t="s">
        <v>998</v>
      </c>
      <c r="T821" s="697">
        <v>4605</v>
      </c>
    </row>
    <row r="822" spans="1:20" ht="24" x14ac:dyDescent="0.2">
      <c r="A822" s="432">
        <f>IF(B822="","",COUNT('Diário 1º PA'!$A$4:$A$2635)+COUNT('Diário 2º PA'!$A$4:$A$3040)+COUNT('Diário 3º PA'!$A$4:$A$2731)+ROW()-3)</f>
        <v>6847</v>
      </c>
      <c r="B822" s="413">
        <v>44873</v>
      </c>
      <c r="C822" s="431">
        <v>44805</v>
      </c>
      <c r="D822" s="415" t="s">
        <v>271</v>
      </c>
      <c r="E822" s="415" t="s">
        <v>326</v>
      </c>
      <c r="F822" s="425">
        <v>65.55</v>
      </c>
      <c r="G822" s="427" t="s">
        <v>7824</v>
      </c>
      <c r="H822" s="415" t="s">
        <v>309</v>
      </c>
      <c r="I822" s="415" t="s">
        <v>764</v>
      </c>
      <c r="J822" s="419" t="s">
        <v>310</v>
      </c>
      <c r="K822" s="419" t="s">
        <v>1220</v>
      </c>
      <c r="L822" s="415" t="s">
        <v>3443</v>
      </c>
      <c r="M822" s="597">
        <v>222254746636</v>
      </c>
      <c r="N822" s="413">
        <v>44873</v>
      </c>
      <c r="O822" s="414" t="s">
        <v>400</v>
      </c>
      <c r="P822" s="655">
        <f t="shared" si="43"/>
        <v>11</v>
      </c>
      <c r="Q822" s="655">
        <f t="shared" si="44"/>
        <v>9</v>
      </c>
      <c r="R822" s="758" t="str">
        <f t="shared" si="45"/>
        <v>Gastos_Gerais</v>
      </c>
      <c r="S822" s="697" t="s">
        <v>310</v>
      </c>
      <c r="T822" s="697" t="s">
        <v>310</v>
      </c>
    </row>
    <row r="823" spans="1:20" ht="24" x14ac:dyDescent="0.2">
      <c r="A823" s="432">
        <f>IF(B823="","",COUNT('Diário 1º PA'!$A$4:$A$2635)+COUNT('Diário 2º PA'!$A$4:$A$3040)+COUNT('Diário 3º PA'!$A$4:$A$2731)+ROW()-3)</f>
        <v>6848</v>
      </c>
      <c r="B823" s="413">
        <v>44873</v>
      </c>
      <c r="C823" s="431">
        <v>44743</v>
      </c>
      <c r="D823" s="415" t="s">
        <v>271</v>
      </c>
      <c r="E823" s="415" t="s">
        <v>90</v>
      </c>
      <c r="F823" s="425">
        <v>57</v>
      </c>
      <c r="G823" s="427" t="s">
        <v>7549</v>
      </c>
      <c r="H823" s="415" t="s">
        <v>753</v>
      </c>
      <c r="I823" s="415" t="s">
        <v>764</v>
      </c>
      <c r="J823" s="419" t="s">
        <v>310</v>
      </c>
      <c r="K823" s="419" t="s">
        <v>1220</v>
      </c>
      <c r="L823" s="415" t="s">
        <v>3443</v>
      </c>
      <c r="M823" s="597">
        <v>222254745826</v>
      </c>
      <c r="N823" s="413">
        <v>44873</v>
      </c>
      <c r="O823" s="414" t="s">
        <v>400</v>
      </c>
      <c r="P823" s="655">
        <f t="shared" si="43"/>
        <v>11</v>
      </c>
      <c r="Q823" s="655">
        <f t="shared" si="44"/>
        <v>7</v>
      </c>
      <c r="R823" s="758" t="str">
        <f t="shared" si="45"/>
        <v>Gastos_Gerais</v>
      </c>
      <c r="S823" s="697" t="s">
        <v>310</v>
      </c>
      <c r="T823" s="697" t="s">
        <v>310</v>
      </c>
    </row>
    <row r="824" spans="1:20" ht="24" x14ac:dyDescent="0.2">
      <c r="A824" s="432">
        <f>IF(B824="","",COUNT('Diário 1º PA'!$A$4:$A$2635)+COUNT('Diário 2º PA'!$A$4:$A$3040)+COUNT('Diário 3º PA'!$A$4:$A$2731)+ROW()-3)</f>
        <v>6849</v>
      </c>
      <c r="B824" s="413">
        <v>44873</v>
      </c>
      <c r="C824" s="431">
        <v>44805</v>
      </c>
      <c r="D824" s="415" t="s">
        <v>271</v>
      </c>
      <c r="E824" s="415" t="s">
        <v>9</v>
      </c>
      <c r="F824" s="425">
        <v>291.49</v>
      </c>
      <c r="G824" s="427" t="s">
        <v>7538</v>
      </c>
      <c r="H824" s="415" t="s">
        <v>309</v>
      </c>
      <c r="I824" s="415" t="s">
        <v>764</v>
      </c>
      <c r="J824" s="419" t="s">
        <v>310</v>
      </c>
      <c r="K824" s="419" t="s">
        <v>1220</v>
      </c>
      <c r="L824" s="415" t="s">
        <v>3443</v>
      </c>
      <c r="M824" s="597">
        <v>222254745311</v>
      </c>
      <c r="N824" s="413">
        <v>44873</v>
      </c>
      <c r="O824" s="414" t="s">
        <v>400</v>
      </c>
      <c r="P824" s="655">
        <f t="shared" si="43"/>
        <v>11</v>
      </c>
      <c r="Q824" s="655">
        <f t="shared" si="44"/>
        <v>9</v>
      </c>
      <c r="R824" s="758" t="str">
        <f t="shared" si="45"/>
        <v>Gastos_Gerais</v>
      </c>
      <c r="S824" s="697" t="s">
        <v>310</v>
      </c>
      <c r="T824" s="697" t="s">
        <v>310</v>
      </c>
    </row>
    <row r="825" spans="1:20" ht="36" x14ac:dyDescent="0.2">
      <c r="A825" s="432">
        <f>IF(B825="","",COUNT('Diário 1º PA'!$A$4:$A$2635)+COUNT('Diário 2º PA'!$A$4:$A$3040)+COUNT('Diário 3º PA'!$A$4:$A$2731)+ROW()-3)</f>
        <v>6850</v>
      </c>
      <c r="B825" s="413">
        <v>44873</v>
      </c>
      <c r="C825" s="431">
        <v>44835</v>
      </c>
      <c r="D825" s="415" t="s">
        <v>271</v>
      </c>
      <c r="E825" s="415" t="s">
        <v>465</v>
      </c>
      <c r="F825" s="425">
        <v>15</v>
      </c>
      <c r="G825" s="427" t="s">
        <v>8176</v>
      </c>
      <c r="H825" s="415" t="s">
        <v>751</v>
      </c>
      <c r="I825" s="415" t="s">
        <v>764</v>
      </c>
      <c r="J825" s="419" t="s">
        <v>310</v>
      </c>
      <c r="K825" s="419" t="s">
        <v>1220</v>
      </c>
      <c r="L825" s="415" t="s">
        <v>3443</v>
      </c>
      <c r="M825" s="597">
        <v>222254749732</v>
      </c>
      <c r="N825" s="413">
        <v>44873</v>
      </c>
      <c r="O825" s="414" t="s">
        <v>400</v>
      </c>
      <c r="P825" s="655">
        <f t="shared" si="43"/>
        <v>11</v>
      </c>
      <c r="Q825" s="655">
        <f t="shared" si="44"/>
        <v>10</v>
      </c>
      <c r="R825" s="758" t="str">
        <f t="shared" si="45"/>
        <v>Gastos_Gerais</v>
      </c>
      <c r="S825" s="697" t="s">
        <v>310</v>
      </c>
      <c r="T825" s="697" t="s">
        <v>310</v>
      </c>
    </row>
    <row r="826" spans="1:20" ht="24" x14ac:dyDescent="0.2">
      <c r="A826" s="432">
        <f>IF(B826="","",COUNT('Diário 1º PA'!$A$4:$A$2635)+COUNT('Diário 2º PA'!$A$4:$A$3040)+COUNT('Diário 3º PA'!$A$4:$A$2731)+ROW()-3)</f>
        <v>6851</v>
      </c>
      <c r="B826" s="413">
        <v>44873</v>
      </c>
      <c r="C826" s="431">
        <v>44774</v>
      </c>
      <c r="D826" s="415" t="s">
        <v>271</v>
      </c>
      <c r="E826" s="415" t="s">
        <v>450</v>
      </c>
      <c r="F826" s="425">
        <v>140</v>
      </c>
      <c r="G826" s="427" t="s">
        <v>7545</v>
      </c>
      <c r="H826" s="415" t="s">
        <v>758</v>
      </c>
      <c r="I826" s="415" t="s">
        <v>764</v>
      </c>
      <c r="J826" s="419" t="s">
        <v>310</v>
      </c>
      <c r="K826" s="419" t="s">
        <v>1220</v>
      </c>
      <c r="L826" s="415" t="s">
        <v>3443</v>
      </c>
      <c r="M826" s="597">
        <v>222254747101</v>
      </c>
      <c r="N826" s="413">
        <v>44873</v>
      </c>
      <c r="O826" s="414" t="s">
        <v>400</v>
      </c>
      <c r="P826" s="655">
        <f t="shared" si="43"/>
        <v>11</v>
      </c>
      <c r="Q826" s="655">
        <f t="shared" si="44"/>
        <v>8</v>
      </c>
      <c r="R826" s="758" t="str">
        <f t="shared" si="45"/>
        <v>Gastos_Gerais</v>
      </c>
      <c r="S826" s="697" t="s">
        <v>310</v>
      </c>
      <c r="T826" s="697" t="s">
        <v>310</v>
      </c>
    </row>
    <row r="827" spans="1:20" ht="36" x14ac:dyDescent="0.2">
      <c r="A827" s="432">
        <f>IF(B827="","",COUNT('Diário 1º PA'!$A$4:$A$2635)+COUNT('Diário 2º PA'!$A$4:$A$3040)+COUNT('Diário 3º PA'!$A$4:$A$2731)+ROW()-3)</f>
        <v>6852</v>
      </c>
      <c r="B827" s="413">
        <v>44873</v>
      </c>
      <c r="C827" s="431">
        <v>44835</v>
      </c>
      <c r="D827" s="415" t="s">
        <v>271</v>
      </c>
      <c r="E827" s="415" t="s">
        <v>178</v>
      </c>
      <c r="F827" s="425">
        <v>26</v>
      </c>
      <c r="G827" s="427" t="s">
        <v>7767</v>
      </c>
      <c r="H827" s="419" t="s">
        <v>755</v>
      </c>
      <c r="I827" s="415" t="s">
        <v>764</v>
      </c>
      <c r="J827" s="419" t="s">
        <v>310</v>
      </c>
      <c r="K827" s="419" t="s">
        <v>1220</v>
      </c>
      <c r="L827" s="415" t="s">
        <v>3443</v>
      </c>
      <c r="M827" s="597">
        <v>222254749651</v>
      </c>
      <c r="N827" s="413">
        <v>44873</v>
      </c>
      <c r="O827" s="414" t="s">
        <v>400</v>
      </c>
      <c r="P827" s="655">
        <f t="shared" si="43"/>
        <v>11</v>
      </c>
      <c r="Q827" s="655">
        <f t="shared" si="44"/>
        <v>10</v>
      </c>
      <c r="R827" s="758" t="str">
        <f t="shared" si="45"/>
        <v>Gastos_Gerais</v>
      </c>
      <c r="S827" s="697" t="s">
        <v>310</v>
      </c>
      <c r="T827" s="697" t="s">
        <v>310</v>
      </c>
    </row>
    <row r="828" spans="1:20" ht="36" x14ac:dyDescent="0.2">
      <c r="A828" s="432">
        <f>IF(B828="","",COUNT('Diário 1º PA'!$A$4:$A$2635)+COUNT('Diário 2º PA'!$A$4:$A$3040)+COUNT('Diário 3º PA'!$A$4:$A$2731)+ROW()-3)</f>
        <v>6853</v>
      </c>
      <c r="B828" s="413">
        <v>44873</v>
      </c>
      <c r="C828" s="433">
        <v>44805</v>
      </c>
      <c r="D828" s="434" t="s">
        <v>182</v>
      </c>
      <c r="E828" s="434" t="s">
        <v>1</v>
      </c>
      <c r="F828" s="422">
        <v>22.77</v>
      </c>
      <c r="G828" s="427" t="s">
        <v>8183</v>
      </c>
      <c r="H828" s="415" t="s">
        <v>310</v>
      </c>
      <c r="I828" s="415" t="s">
        <v>764</v>
      </c>
      <c r="J828" s="419" t="s">
        <v>310</v>
      </c>
      <c r="K828" s="419" t="s">
        <v>1220</v>
      </c>
      <c r="L828" s="415" t="s">
        <v>3443</v>
      </c>
      <c r="M828" s="597">
        <v>222254746555</v>
      </c>
      <c r="N828" s="413">
        <v>44873</v>
      </c>
      <c r="O828" s="414" t="s">
        <v>400</v>
      </c>
      <c r="P828" s="655">
        <f t="shared" si="43"/>
        <v>11</v>
      </c>
      <c r="Q828" s="655">
        <f t="shared" si="44"/>
        <v>9</v>
      </c>
      <c r="R828" s="758" t="str">
        <f t="shared" si="45"/>
        <v>Gastos_com_Pessoal</v>
      </c>
      <c r="S828" s="697" t="s">
        <v>310</v>
      </c>
      <c r="T828" s="697" t="s">
        <v>310</v>
      </c>
    </row>
    <row r="829" spans="1:20" ht="24" x14ac:dyDescent="0.2">
      <c r="A829" s="432">
        <f>IF(B829="","",COUNT('Diário 1º PA'!$A$4:$A$2635)+COUNT('Diário 2º PA'!$A$4:$A$3040)+COUNT('Diário 3º PA'!$A$4:$A$2731)+ROW()-3)</f>
        <v>6854</v>
      </c>
      <c r="B829" s="413">
        <v>44873</v>
      </c>
      <c r="C829" s="433">
        <v>44835</v>
      </c>
      <c r="D829" s="434" t="s">
        <v>182</v>
      </c>
      <c r="E829" s="434" t="s">
        <v>179</v>
      </c>
      <c r="F829" s="435">
        <v>20.16</v>
      </c>
      <c r="G829" s="437" t="s">
        <v>8057</v>
      </c>
      <c r="H829" s="434" t="s">
        <v>310</v>
      </c>
      <c r="I829" s="415" t="s">
        <v>764</v>
      </c>
      <c r="J829" s="419" t="s">
        <v>310</v>
      </c>
      <c r="K829" s="419" t="s">
        <v>1220</v>
      </c>
      <c r="L829" s="415" t="s">
        <v>3443</v>
      </c>
      <c r="M829" s="597">
        <v>222254749309</v>
      </c>
      <c r="N829" s="413">
        <v>44873</v>
      </c>
      <c r="O829" s="414" t="s">
        <v>400</v>
      </c>
      <c r="P829" s="655">
        <f t="shared" si="43"/>
        <v>11</v>
      </c>
      <c r="Q829" s="655">
        <f t="shared" si="44"/>
        <v>10</v>
      </c>
      <c r="R829" s="758" t="str">
        <f t="shared" si="45"/>
        <v>Gastos_com_Pessoal</v>
      </c>
      <c r="S829" s="697" t="s">
        <v>310</v>
      </c>
      <c r="T829" s="697" t="s">
        <v>310</v>
      </c>
    </row>
    <row r="830" spans="1:20" ht="36" x14ac:dyDescent="0.2">
      <c r="A830" s="432">
        <f>IF(B830="","",COUNT('Diário 1º PA'!$A$4:$A$2635)+COUNT('Diário 2º PA'!$A$4:$A$3040)+COUNT('Diário 3º PA'!$A$4:$A$2731)+ROW()-3)</f>
        <v>6855</v>
      </c>
      <c r="B830" s="413">
        <v>44873</v>
      </c>
      <c r="C830" s="431">
        <v>44805</v>
      </c>
      <c r="D830" s="415" t="s">
        <v>271</v>
      </c>
      <c r="E830" s="415" t="s">
        <v>453</v>
      </c>
      <c r="F830" s="425">
        <v>6.8</v>
      </c>
      <c r="G830" s="427" t="s">
        <v>7925</v>
      </c>
      <c r="H830" s="419" t="s">
        <v>754</v>
      </c>
      <c r="I830" s="415" t="s">
        <v>764</v>
      </c>
      <c r="J830" s="419" t="s">
        <v>310</v>
      </c>
      <c r="K830" s="419" t="s">
        <v>1220</v>
      </c>
      <c r="L830" s="415" t="s">
        <v>3443</v>
      </c>
      <c r="M830" s="597">
        <v>222254747799</v>
      </c>
      <c r="N830" s="413">
        <v>44873</v>
      </c>
      <c r="O830" s="414" t="s">
        <v>400</v>
      </c>
      <c r="P830" s="655">
        <f t="shared" si="43"/>
        <v>11</v>
      </c>
      <c r="Q830" s="655">
        <f t="shared" si="44"/>
        <v>9</v>
      </c>
      <c r="R830" s="758" t="str">
        <f t="shared" si="45"/>
        <v>Gastos_Gerais</v>
      </c>
      <c r="S830" s="697" t="s">
        <v>310</v>
      </c>
      <c r="T830" s="697" t="s">
        <v>310</v>
      </c>
    </row>
    <row r="831" spans="1:20" ht="24" x14ac:dyDescent="0.2">
      <c r="A831" s="432">
        <f>IF(B831="","",COUNT('Diário 1º PA'!$A$4:$A$2635)+COUNT('Diário 2º PA'!$A$4:$A$3040)+COUNT('Diário 3º PA'!$A$4:$A$2731)+ROW()-3)</f>
        <v>6856</v>
      </c>
      <c r="B831" s="413">
        <v>44873</v>
      </c>
      <c r="C831" s="431">
        <v>44805</v>
      </c>
      <c r="D831" s="415" t="s">
        <v>271</v>
      </c>
      <c r="E831" s="415" t="s">
        <v>90</v>
      </c>
      <c r="F831" s="425">
        <v>80.400000000000006</v>
      </c>
      <c r="G831" s="427" t="s">
        <v>7554</v>
      </c>
      <c r="H831" s="419" t="s">
        <v>758</v>
      </c>
      <c r="I831" s="415" t="s">
        <v>764</v>
      </c>
      <c r="J831" s="419" t="s">
        <v>310</v>
      </c>
      <c r="K831" s="419" t="s">
        <v>1220</v>
      </c>
      <c r="L831" s="415" t="s">
        <v>3443</v>
      </c>
      <c r="M831" s="597">
        <v>222254745907</v>
      </c>
      <c r="N831" s="413">
        <v>44873</v>
      </c>
      <c r="O831" s="414" t="s">
        <v>400</v>
      </c>
      <c r="P831" s="655">
        <f t="shared" si="43"/>
        <v>11</v>
      </c>
      <c r="Q831" s="655">
        <f t="shared" si="44"/>
        <v>9</v>
      </c>
      <c r="R831" s="758" t="str">
        <f t="shared" si="45"/>
        <v>Gastos_Gerais</v>
      </c>
      <c r="S831" s="697" t="s">
        <v>310</v>
      </c>
      <c r="T831" s="697" t="s">
        <v>310</v>
      </c>
    </row>
    <row r="832" spans="1:20" ht="36" x14ac:dyDescent="0.2">
      <c r="A832" s="432">
        <f>IF(B832="","",COUNT('Diário 1º PA'!$A$4:$A$2635)+COUNT('Diário 2º PA'!$A$4:$A$3040)+COUNT('Diário 3º PA'!$A$4:$A$2731)+ROW()-3)</f>
        <v>6857</v>
      </c>
      <c r="B832" s="413">
        <v>44873</v>
      </c>
      <c r="C832" s="431">
        <v>44835</v>
      </c>
      <c r="D832" s="415" t="s">
        <v>271</v>
      </c>
      <c r="E832" s="415" t="s">
        <v>465</v>
      </c>
      <c r="F832" s="425">
        <v>21</v>
      </c>
      <c r="G832" s="427" t="s">
        <v>8179</v>
      </c>
      <c r="H832" s="415" t="s">
        <v>751</v>
      </c>
      <c r="I832" s="415" t="s">
        <v>764</v>
      </c>
      <c r="J832" s="419" t="s">
        <v>310</v>
      </c>
      <c r="K832" s="419" t="s">
        <v>1220</v>
      </c>
      <c r="L832" s="415" t="s">
        <v>3443</v>
      </c>
      <c r="M832" s="597">
        <v>222254749813</v>
      </c>
      <c r="N832" s="413">
        <v>44873</v>
      </c>
      <c r="O832" s="414" t="s">
        <v>400</v>
      </c>
      <c r="P832" s="655">
        <f t="shared" si="43"/>
        <v>11</v>
      </c>
      <c r="Q832" s="655">
        <f t="shared" si="44"/>
        <v>10</v>
      </c>
      <c r="R832" s="758" t="str">
        <f t="shared" si="45"/>
        <v>Gastos_Gerais</v>
      </c>
      <c r="S832" s="697" t="s">
        <v>310</v>
      </c>
      <c r="T832" s="697" t="s">
        <v>310</v>
      </c>
    </row>
    <row r="833" spans="1:20" ht="36" x14ac:dyDescent="0.2">
      <c r="A833" s="432">
        <f>IF(B833="","",COUNT('Diário 1º PA'!$A$4:$A$2635)+COUNT('Diário 2º PA'!$A$4:$A$3040)+COUNT('Diário 3º PA'!$A$4:$A$2731)+ROW()-3)</f>
        <v>6858</v>
      </c>
      <c r="B833" s="413">
        <v>44873</v>
      </c>
      <c r="C833" s="431">
        <v>44835</v>
      </c>
      <c r="D833" s="415" t="s">
        <v>271</v>
      </c>
      <c r="E833" s="415" t="s">
        <v>456</v>
      </c>
      <c r="F833" s="425">
        <v>15.07</v>
      </c>
      <c r="G833" s="427" t="s">
        <v>7681</v>
      </c>
      <c r="H833" s="415" t="s">
        <v>751</v>
      </c>
      <c r="I833" s="415" t="s">
        <v>764</v>
      </c>
      <c r="J833" s="419" t="s">
        <v>310</v>
      </c>
      <c r="K833" s="419" t="s">
        <v>1220</v>
      </c>
      <c r="L833" s="415" t="s">
        <v>3443</v>
      </c>
      <c r="M833" s="597">
        <v>222254749147</v>
      </c>
      <c r="N833" s="413">
        <v>44873</v>
      </c>
      <c r="O833" s="414" t="s">
        <v>400</v>
      </c>
      <c r="P833" s="655">
        <f t="shared" si="43"/>
        <v>11</v>
      </c>
      <c r="Q833" s="655">
        <f t="shared" si="44"/>
        <v>10</v>
      </c>
      <c r="R833" s="758" t="str">
        <f t="shared" si="45"/>
        <v>Gastos_Gerais</v>
      </c>
      <c r="S833" s="697" t="s">
        <v>310</v>
      </c>
      <c r="T833" s="697" t="s">
        <v>310</v>
      </c>
    </row>
    <row r="834" spans="1:20" ht="36" x14ac:dyDescent="0.2">
      <c r="A834" s="432">
        <f>IF(B834="","",COUNT('Diário 1º PA'!$A$4:$A$2635)+COUNT('Diário 2º PA'!$A$4:$A$3040)+COUNT('Diário 3º PA'!$A$4:$A$2731)+ROW()-3)</f>
        <v>6859</v>
      </c>
      <c r="B834" s="413">
        <v>44873</v>
      </c>
      <c r="C834" s="431">
        <v>44805</v>
      </c>
      <c r="D834" s="415" t="s">
        <v>271</v>
      </c>
      <c r="E834" s="415" t="s">
        <v>453</v>
      </c>
      <c r="F834" s="425">
        <v>25.5</v>
      </c>
      <c r="G834" s="427" t="s">
        <v>7725</v>
      </c>
      <c r="H834" s="419" t="s">
        <v>760</v>
      </c>
      <c r="I834" s="415" t="s">
        <v>764</v>
      </c>
      <c r="J834" s="419" t="s">
        <v>310</v>
      </c>
      <c r="K834" s="419" t="s">
        <v>1220</v>
      </c>
      <c r="L834" s="415" t="s">
        <v>3443</v>
      </c>
      <c r="M834" s="597">
        <v>222254748841</v>
      </c>
      <c r="N834" s="413">
        <v>44873</v>
      </c>
      <c r="O834" s="414" t="s">
        <v>400</v>
      </c>
      <c r="P834" s="655">
        <f t="shared" si="43"/>
        <v>11</v>
      </c>
      <c r="Q834" s="655">
        <f t="shared" si="44"/>
        <v>9</v>
      </c>
      <c r="R834" s="758" t="str">
        <f t="shared" si="45"/>
        <v>Gastos_Gerais</v>
      </c>
      <c r="S834" s="697" t="s">
        <v>310</v>
      </c>
      <c r="T834" s="697" t="s">
        <v>310</v>
      </c>
    </row>
    <row r="835" spans="1:20" ht="48" x14ac:dyDescent="0.2">
      <c r="A835" s="432">
        <f>IF(B835="","",COUNT('Diário 1º PA'!$A$4:$A$2635)+COUNT('Diário 2º PA'!$A$4:$A$3040)+COUNT('Diário 3º PA'!$A$4:$A$2731)+ROW()-3)</f>
        <v>6860</v>
      </c>
      <c r="B835" s="413">
        <v>44873</v>
      </c>
      <c r="C835" s="431">
        <v>44835</v>
      </c>
      <c r="D835" s="415" t="s">
        <v>271</v>
      </c>
      <c r="E835" s="415" t="s">
        <v>328</v>
      </c>
      <c r="F835" s="425">
        <v>9.1199999999999992</v>
      </c>
      <c r="G835" s="427" t="s">
        <v>7965</v>
      </c>
      <c r="H835" s="415" t="s">
        <v>756</v>
      </c>
      <c r="I835" s="415" t="s">
        <v>764</v>
      </c>
      <c r="J835" s="419" t="s">
        <v>310</v>
      </c>
      <c r="K835" s="419" t="s">
        <v>1220</v>
      </c>
      <c r="L835" s="415" t="s">
        <v>3443</v>
      </c>
      <c r="M835" s="597">
        <v>222254750072</v>
      </c>
      <c r="N835" s="413">
        <v>44873</v>
      </c>
      <c r="O835" s="414" t="s">
        <v>400</v>
      </c>
      <c r="P835" s="655">
        <f t="shared" si="43"/>
        <v>11</v>
      </c>
      <c r="Q835" s="655">
        <f t="shared" si="44"/>
        <v>10</v>
      </c>
      <c r="R835" s="758" t="str">
        <f t="shared" si="45"/>
        <v>Gastos_Gerais</v>
      </c>
      <c r="S835" s="697" t="s">
        <v>310</v>
      </c>
      <c r="T835" s="697" t="s">
        <v>310</v>
      </c>
    </row>
    <row r="836" spans="1:20" ht="36" x14ac:dyDescent="0.2">
      <c r="A836" s="432">
        <f>IF(B836="","",COUNT('Diário 1º PA'!$A$4:$A$2635)+COUNT('Diário 2º PA'!$A$4:$A$3040)+COUNT('Diário 3º PA'!$A$4:$A$2731)+ROW()-3)</f>
        <v>6861</v>
      </c>
      <c r="B836" s="413">
        <v>44873</v>
      </c>
      <c r="C836" s="431">
        <v>44805</v>
      </c>
      <c r="D836" s="415" t="s">
        <v>271</v>
      </c>
      <c r="E836" s="415" t="s">
        <v>456</v>
      </c>
      <c r="F836" s="425">
        <v>43.88</v>
      </c>
      <c r="G836" s="427" t="s">
        <v>7679</v>
      </c>
      <c r="H836" s="419" t="s">
        <v>755</v>
      </c>
      <c r="I836" s="415" t="s">
        <v>764</v>
      </c>
      <c r="J836" s="419" t="s">
        <v>310</v>
      </c>
      <c r="K836" s="419" t="s">
        <v>1220</v>
      </c>
      <c r="L836" s="415" t="s">
        <v>3443</v>
      </c>
      <c r="M836" s="597">
        <v>222254746474</v>
      </c>
      <c r="N836" s="413">
        <v>44873</v>
      </c>
      <c r="O836" s="414" t="s">
        <v>400</v>
      </c>
      <c r="P836" s="655">
        <f t="shared" si="43"/>
        <v>11</v>
      </c>
      <c r="Q836" s="655">
        <f t="shared" si="44"/>
        <v>9</v>
      </c>
      <c r="R836" s="758" t="str">
        <f t="shared" si="45"/>
        <v>Gastos_Gerais</v>
      </c>
      <c r="S836" s="697" t="s">
        <v>310</v>
      </c>
      <c r="T836" s="697" t="s">
        <v>310</v>
      </c>
    </row>
    <row r="837" spans="1:20" ht="36" x14ac:dyDescent="0.2">
      <c r="A837" s="432">
        <f>IF(B837="","",COUNT('Diário 1º PA'!$A$4:$A$2635)+COUNT('Diário 2º PA'!$A$4:$A$3040)+COUNT('Diário 3º PA'!$A$4:$A$2731)+ROW()-3)</f>
        <v>6862</v>
      </c>
      <c r="B837" s="413">
        <v>44873</v>
      </c>
      <c r="C837" s="431">
        <v>44805</v>
      </c>
      <c r="D837" s="415" t="s">
        <v>271</v>
      </c>
      <c r="E837" s="415" t="s">
        <v>186</v>
      </c>
      <c r="F837" s="425">
        <v>75.7</v>
      </c>
      <c r="G837" s="427" t="s">
        <v>7829</v>
      </c>
      <c r="H837" s="415" t="s">
        <v>751</v>
      </c>
      <c r="I837" s="415" t="s">
        <v>764</v>
      </c>
      <c r="J837" s="419" t="s">
        <v>310</v>
      </c>
      <c r="K837" s="419" t="s">
        <v>1220</v>
      </c>
      <c r="L837" s="415" t="s">
        <v>3443</v>
      </c>
      <c r="M837" s="597">
        <v>222254748337</v>
      </c>
      <c r="N837" s="413">
        <v>44873</v>
      </c>
      <c r="O837" s="414" t="s">
        <v>400</v>
      </c>
      <c r="P837" s="655">
        <f t="shared" si="43"/>
        <v>11</v>
      </c>
      <c r="Q837" s="655">
        <f t="shared" si="44"/>
        <v>9</v>
      </c>
      <c r="R837" s="758" t="str">
        <f t="shared" si="45"/>
        <v>Gastos_Gerais</v>
      </c>
      <c r="S837" s="697" t="s">
        <v>310</v>
      </c>
      <c r="T837" s="697" t="s">
        <v>310</v>
      </c>
    </row>
    <row r="838" spans="1:20" ht="36" x14ac:dyDescent="0.2">
      <c r="A838" s="432">
        <f>IF(B838="","",COUNT('Diário 1º PA'!$A$4:$A$2635)+COUNT('Diário 2º PA'!$A$4:$A$3040)+COUNT('Diário 3º PA'!$A$4:$A$2731)+ROW()-3)</f>
        <v>6863</v>
      </c>
      <c r="B838" s="413">
        <v>44873</v>
      </c>
      <c r="C838" s="433">
        <v>44835</v>
      </c>
      <c r="D838" s="415" t="s">
        <v>182</v>
      </c>
      <c r="E838" s="415" t="s">
        <v>325</v>
      </c>
      <c r="F838" s="422">
        <v>230.29</v>
      </c>
      <c r="G838" s="427" t="s">
        <v>8184</v>
      </c>
      <c r="H838" s="415" t="s">
        <v>310</v>
      </c>
      <c r="I838" s="415" t="s">
        <v>764</v>
      </c>
      <c r="J838" s="419" t="s">
        <v>310</v>
      </c>
      <c r="K838" s="419" t="s">
        <v>1220</v>
      </c>
      <c r="L838" s="415" t="s">
        <v>3443</v>
      </c>
      <c r="M838" s="597">
        <v>222254748256</v>
      </c>
      <c r="N838" s="413">
        <v>44873</v>
      </c>
      <c r="O838" s="414" t="s">
        <v>400</v>
      </c>
      <c r="P838" s="655">
        <f t="shared" si="43"/>
        <v>11</v>
      </c>
      <c r="Q838" s="655">
        <f t="shared" si="44"/>
        <v>10</v>
      </c>
      <c r="R838" s="758" t="str">
        <f t="shared" si="45"/>
        <v>Gastos_com_Pessoal</v>
      </c>
      <c r="S838" s="697" t="s">
        <v>310</v>
      </c>
      <c r="T838" s="697" t="s">
        <v>310</v>
      </c>
    </row>
    <row r="839" spans="1:20" ht="24" x14ac:dyDescent="0.2">
      <c r="A839" s="432">
        <f>IF(B839="","",COUNT('Diário 1º PA'!$A$4:$A$2635)+COUNT('Diário 2º PA'!$A$4:$A$3040)+COUNT('Diário 3º PA'!$A$4:$A$2731)+ROW()-3)</f>
        <v>6864</v>
      </c>
      <c r="B839" s="413">
        <v>44873</v>
      </c>
      <c r="C839" s="431">
        <v>44774</v>
      </c>
      <c r="D839" s="415" t="s">
        <v>271</v>
      </c>
      <c r="E839" s="415" t="s">
        <v>453</v>
      </c>
      <c r="F839" s="425">
        <v>30.6</v>
      </c>
      <c r="G839" s="427" t="s">
        <v>7552</v>
      </c>
      <c r="H839" s="419" t="s">
        <v>748</v>
      </c>
      <c r="I839" s="415" t="s">
        <v>764</v>
      </c>
      <c r="J839" s="419" t="s">
        <v>310</v>
      </c>
      <c r="K839" s="419" t="s">
        <v>1220</v>
      </c>
      <c r="L839" s="415" t="s">
        <v>3443</v>
      </c>
      <c r="M839" s="597">
        <v>222254746806</v>
      </c>
      <c r="N839" s="413">
        <v>44873</v>
      </c>
      <c r="O839" s="414" t="s">
        <v>400</v>
      </c>
      <c r="P839" s="655">
        <f t="shared" si="43"/>
        <v>11</v>
      </c>
      <c r="Q839" s="655">
        <f t="shared" si="44"/>
        <v>8</v>
      </c>
      <c r="R839" s="758" t="str">
        <f t="shared" si="45"/>
        <v>Gastos_Gerais</v>
      </c>
      <c r="S839" s="697" t="s">
        <v>310</v>
      </c>
      <c r="T839" s="697" t="s">
        <v>310</v>
      </c>
    </row>
    <row r="840" spans="1:20" ht="36" x14ac:dyDescent="0.2">
      <c r="A840" s="432">
        <f>IF(B840="","",COUNT('Diário 1º PA'!$A$4:$A$2635)+COUNT('Diário 2º PA'!$A$4:$A$3040)+COUNT('Diário 3º PA'!$A$4:$A$2731)+ROW()-3)</f>
        <v>6865</v>
      </c>
      <c r="B840" s="413">
        <v>44873</v>
      </c>
      <c r="C840" s="431">
        <v>44805</v>
      </c>
      <c r="D840" s="415" t="s">
        <v>271</v>
      </c>
      <c r="E840" s="415" t="s">
        <v>456</v>
      </c>
      <c r="F840" s="425">
        <v>14.47</v>
      </c>
      <c r="G840" s="427" t="s">
        <v>7564</v>
      </c>
      <c r="H840" s="419" t="s">
        <v>755</v>
      </c>
      <c r="I840" s="415" t="s">
        <v>764</v>
      </c>
      <c r="J840" s="419" t="s">
        <v>310</v>
      </c>
      <c r="K840" s="419" t="s">
        <v>1220</v>
      </c>
      <c r="L840" s="415" t="s">
        <v>3443</v>
      </c>
      <c r="M840" s="597">
        <v>222254744773</v>
      </c>
      <c r="N840" s="413">
        <v>44873</v>
      </c>
      <c r="O840" s="414" t="s">
        <v>400</v>
      </c>
      <c r="P840" s="655">
        <f t="shared" si="43"/>
        <v>11</v>
      </c>
      <c r="Q840" s="655">
        <f t="shared" si="44"/>
        <v>9</v>
      </c>
      <c r="R840" s="758" t="str">
        <f t="shared" si="45"/>
        <v>Gastos_Gerais</v>
      </c>
      <c r="S840" s="697" t="s">
        <v>310</v>
      </c>
      <c r="T840" s="697" t="s">
        <v>310</v>
      </c>
    </row>
    <row r="841" spans="1:20" ht="24" x14ac:dyDescent="0.2">
      <c r="A841" s="432">
        <f>IF(B841="","",COUNT('Diário 1º PA'!$A$4:$A$2635)+COUNT('Diário 2º PA'!$A$4:$A$3040)+COUNT('Diário 3º PA'!$A$4:$A$2731)+ROW()-3)</f>
        <v>6866</v>
      </c>
      <c r="B841" s="413">
        <v>44873</v>
      </c>
      <c r="C841" s="431">
        <v>44835</v>
      </c>
      <c r="D841" s="434" t="s">
        <v>182</v>
      </c>
      <c r="E841" s="434" t="s">
        <v>161</v>
      </c>
      <c r="F841" s="435">
        <v>1.19</v>
      </c>
      <c r="G841" s="427" t="s">
        <v>8185</v>
      </c>
      <c r="H841" s="434" t="s">
        <v>310</v>
      </c>
      <c r="I841" s="415" t="s">
        <v>764</v>
      </c>
      <c r="J841" s="419" t="s">
        <v>310</v>
      </c>
      <c r="K841" s="419" t="s">
        <v>1220</v>
      </c>
      <c r="L841" s="415" t="s">
        <v>3443</v>
      </c>
      <c r="M841" s="597">
        <v>222254750234</v>
      </c>
      <c r="N841" s="413">
        <v>44873</v>
      </c>
      <c r="O841" s="414" t="s">
        <v>400</v>
      </c>
      <c r="P841" s="655">
        <f t="shared" si="43"/>
        <v>11</v>
      </c>
      <c r="Q841" s="655">
        <f t="shared" si="44"/>
        <v>10</v>
      </c>
      <c r="R841" s="758" t="str">
        <f t="shared" si="45"/>
        <v>Gastos_com_Pessoal</v>
      </c>
      <c r="S841" s="697" t="s">
        <v>310</v>
      </c>
      <c r="T841" s="697" t="s">
        <v>310</v>
      </c>
    </row>
    <row r="842" spans="1:20" ht="24" x14ac:dyDescent="0.2">
      <c r="A842" s="432">
        <f>IF(B842="","",COUNT('Diário 1º PA'!$A$4:$A$2635)+COUNT('Diário 2º PA'!$A$4:$A$3040)+COUNT('Diário 3º PA'!$A$4:$A$2731)+ROW()-3)</f>
        <v>6867</v>
      </c>
      <c r="B842" s="413">
        <v>44873</v>
      </c>
      <c r="C842" s="431">
        <v>44805</v>
      </c>
      <c r="D842" s="415" t="s">
        <v>271</v>
      </c>
      <c r="E842" s="415" t="s">
        <v>90</v>
      </c>
      <c r="F842" s="425">
        <v>75</v>
      </c>
      <c r="G842" s="427" t="s">
        <v>7557</v>
      </c>
      <c r="H842" s="419" t="s">
        <v>793</v>
      </c>
      <c r="I842" s="415" t="s">
        <v>764</v>
      </c>
      <c r="J842" s="419" t="s">
        <v>310</v>
      </c>
      <c r="K842" s="419" t="s">
        <v>1220</v>
      </c>
      <c r="L842" s="415" t="s">
        <v>3443</v>
      </c>
      <c r="M842" s="597">
        <v>222254745400</v>
      </c>
      <c r="N842" s="413">
        <v>44873</v>
      </c>
      <c r="O842" s="414" t="s">
        <v>400</v>
      </c>
      <c r="P842" s="655">
        <f t="shared" si="43"/>
        <v>11</v>
      </c>
      <c r="Q842" s="655">
        <f t="shared" si="44"/>
        <v>9</v>
      </c>
      <c r="R842" s="758" t="str">
        <f t="shared" si="45"/>
        <v>Gastos_Gerais</v>
      </c>
      <c r="S842" s="697" t="s">
        <v>310</v>
      </c>
      <c r="T842" s="697" t="s">
        <v>310</v>
      </c>
    </row>
    <row r="843" spans="1:20" ht="24" x14ac:dyDescent="0.2">
      <c r="A843" s="432">
        <f>IF(B843="","",COUNT('Diário 1º PA'!$A$4:$A$2635)+COUNT('Diário 2º PA'!$A$4:$A$3040)+COUNT('Diário 3º PA'!$A$4:$A$2731)+ROW()-3)</f>
        <v>6868</v>
      </c>
      <c r="B843" s="413">
        <v>44873</v>
      </c>
      <c r="C843" s="431">
        <v>44774</v>
      </c>
      <c r="D843" s="415" t="s">
        <v>271</v>
      </c>
      <c r="E843" s="415" t="s">
        <v>453</v>
      </c>
      <c r="F843" s="425">
        <v>156</v>
      </c>
      <c r="G843" s="427" t="s">
        <v>7550</v>
      </c>
      <c r="H843" s="419" t="s">
        <v>752</v>
      </c>
      <c r="I843" s="415" t="s">
        <v>764</v>
      </c>
      <c r="J843" s="419" t="s">
        <v>310</v>
      </c>
      <c r="K843" s="419" t="s">
        <v>1220</v>
      </c>
      <c r="L843" s="415" t="s">
        <v>3443</v>
      </c>
      <c r="M843" s="597">
        <v>222254745583</v>
      </c>
      <c r="N843" s="413">
        <v>44873</v>
      </c>
      <c r="O843" s="414" t="s">
        <v>400</v>
      </c>
      <c r="P843" s="655">
        <f t="shared" si="43"/>
        <v>11</v>
      </c>
      <c r="Q843" s="655">
        <f t="shared" si="44"/>
        <v>8</v>
      </c>
      <c r="R843" s="758" t="str">
        <f t="shared" si="45"/>
        <v>Gastos_Gerais</v>
      </c>
      <c r="S843" s="697" t="s">
        <v>310</v>
      </c>
      <c r="T843" s="697" t="s">
        <v>310</v>
      </c>
    </row>
    <row r="844" spans="1:20" ht="24" x14ac:dyDescent="0.2">
      <c r="A844" s="432">
        <f>IF(B844="","",COUNT('Diário 1º PA'!$A$4:$A$2635)+COUNT('Diário 2º PA'!$A$4:$A$3040)+COUNT('Diário 3º PA'!$A$4:$A$2731)+ROW()-3)</f>
        <v>6869</v>
      </c>
      <c r="B844" s="413">
        <v>44873</v>
      </c>
      <c r="C844" s="431">
        <v>44805</v>
      </c>
      <c r="D844" s="415" t="s">
        <v>271</v>
      </c>
      <c r="E844" s="415" t="s">
        <v>90</v>
      </c>
      <c r="F844" s="425">
        <v>204</v>
      </c>
      <c r="G844" s="427" t="s">
        <v>7537</v>
      </c>
      <c r="H844" s="415" t="s">
        <v>309</v>
      </c>
      <c r="I844" s="415" t="s">
        <v>764</v>
      </c>
      <c r="J844" s="419" t="s">
        <v>310</v>
      </c>
      <c r="K844" s="419" t="s">
        <v>1220</v>
      </c>
      <c r="L844" s="415" t="s">
        <v>3443</v>
      </c>
      <c r="M844" s="597">
        <v>222254746202</v>
      </c>
      <c r="N844" s="413">
        <v>44873</v>
      </c>
      <c r="O844" s="414" t="s">
        <v>400</v>
      </c>
      <c r="P844" s="655">
        <f t="shared" si="43"/>
        <v>11</v>
      </c>
      <c r="Q844" s="655">
        <f t="shared" si="44"/>
        <v>9</v>
      </c>
      <c r="R844" s="758" t="str">
        <f t="shared" si="45"/>
        <v>Gastos_Gerais</v>
      </c>
      <c r="S844" s="697" t="s">
        <v>310</v>
      </c>
      <c r="T844" s="697" t="s">
        <v>310</v>
      </c>
    </row>
    <row r="845" spans="1:20" ht="36" x14ac:dyDescent="0.2">
      <c r="A845" s="432">
        <f>IF(B845="","",COUNT('Diário 1º PA'!$A$4:$A$2635)+COUNT('Diário 2º PA'!$A$4:$A$3040)+COUNT('Diário 3º PA'!$A$4:$A$2731)+ROW()-3)</f>
        <v>6870</v>
      </c>
      <c r="B845" s="413">
        <v>44873</v>
      </c>
      <c r="C845" s="431">
        <v>44835</v>
      </c>
      <c r="D845" s="415" t="s">
        <v>271</v>
      </c>
      <c r="E845" s="415" t="s">
        <v>297</v>
      </c>
      <c r="F845" s="425">
        <v>13.06</v>
      </c>
      <c r="G845" s="427" t="s">
        <v>7966</v>
      </c>
      <c r="H845" s="415" t="s">
        <v>760</v>
      </c>
      <c r="I845" s="415" t="s">
        <v>764</v>
      </c>
      <c r="J845" s="419" t="s">
        <v>310</v>
      </c>
      <c r="K845" s="419" t="s">
        <v>1220</v>
      </c>
      <c r="L845" s="415" t="s">
        <v>3443</v>
      </c>
      <c r="M845" s="597">
        <v>222254749902</v>
      </c>
      <c r="N845" s="413">
        <v>44873</v>
      </c>
      <c r="O845" s="414" t="s">
        <v>400</v>
      </c>
      <c r="P845" s="655">
        <f t="shared" si="43"/>
        <v>11</v>
      </c>
      <c r="Q845" s="655">
        <f t="shared" si="44"/>
        <v>10</v>
      </c>
      <c r="R845" s="758" t="str">
        <f t="shared" si="45"/>
        <v>Gastos_Gerais</v>
      </c>
      <c r="S845" s="697" t="s">
        <v>310</v>
      </c>
      <c r="T845" s="697" t="s">
        <v>310</v>
      </c>
    </row>
    <row r="846" spans="1:20" ht="24" x14ac:dyDescent="0.2">
      <c r="A846" s="432">
        <f>IF(B846="","",COUNT('Diário 1º PA'!$A$4:$A$2635)+COUNT('Diário 2º PA'!$A$4:$A$3040)+COUNT('Diário 3º PA'!$A$4:$A$2731)+ROW()-3)</f>
        <v>6871</v>
      </c>
      <c r="B846" s="413">
        <v>44873</v>
      </c>
      <c r="C846" s="466">
        <v>44835</v>
      </c>
      <c r="D846" s="415" t="s">
        <v>182</v>
      </c>
      <c r="E846" s="415" t="s">
        <v>161</v>
      </c>
      <c r="F846" s="425">
        <v>0.03</v>
      </c>
      <c r="G846" s="427" t="s">
        <v>8186</v>
      </c>
      <c r="H846" s="415" t="s">
        <v>310</v>
      </c>
      <c r="I846" s="415" t="s">
        <v>764</v>
      </c>
      <c r="J846" s="419" t="s">
        <v>310</v>
      </c>
      <c r="K846" s="419" t="s">
        <v>1220</v>
      </c>
      <c r="L846" s="415" t="s">
        <v>3443</v>
      </c>
      <c r="M846" s="597">
        <v>222254749570</v>
      </c>
      <c r="N846" s="413">
        <v>44873</v>
      </c>
      <c r="O846" s="414" t="s">
        <v>400</v>
      </c>
      <c r="P846" s="655">
        <f t="shared" si="43"/>
        <v>11</v>
      </c>
      <c r="Q846" s="655">
        <f t="shared" si="44"/>
        <v>10</v>
      </c>
      <c r="R846" s="758" t="str">
        <f t="shared" si="45"/>
        <v>Gastos_com_Pessoal</v>
      </c>
      <c r="S846" s="697" t="s">
        <v>310</v>
      </c>
      <c r="T846" s="697" t="s">
        <v>310</v>
      </c>
    </row>
    <row r="847" spans="1:20" ht="42" customHeight="1" x14ac:dyDescent="0.2">
      <c r="A847" s="432">
        <f>IF(B847="","",COUNT('Diário 1º PA'!$A$4:$A$2635)+COUNT('Diário 2º PA'!$A$4:$A$3040)+COUNT('Diário 3º PA'!$A$4:$A$2731)+ROW()-3)</f>
        <v>6872</v>
      </c>
      <c r="B847" s="413">
        <v>44873</v>
      </c>
      <c r="C847" s="431">
        <v>44805</v>
      </c>
      <c r="D847" s="415" t="s">
        <v>271</v>
      </c>
      <c r="E847" s="415" t="s">
        <v>453</v>
      </c>
      <c r="F847" s="425">
        <v>25.5</v>
      </c>
      <c r="G847" s="427" t="s">
        <v>7728</v>
      </c>
      <c r="H847" s="419" t="s">
        <v>749</v>
      </c>
      <c r="I847" s="415" t="s">
        <v>764</v>
      </c>
      <c r="J847" s="419" t="s">
        <v>310</v>
      </c>
      <c r="K847" s="419" t="s">
        <v>1220</v>
      </c>
      <c r="L847" s="415" t="s">
        <v>3443</v>
      </c>
      <c r="M847" s="597">
        <v>222254749066</v>
      </c>
      <c r="N847" s="413">
        <v>44873</v>
      </c>
      <c r="O847" s="414" t="s">
        <v>400</v>
      </c>
      <c r="P847" s="655">
        <f t="shared" si="43"/>
        <v>11</v>
      </c>
      <c r="Q847" s="655">
        <f t="shared" si="44"/>
        <v>9</v>
      </c>
      <c r="R847" s="758" t="str">
        <f t="shared" si="45"/>
        <v>Gastos_Gerais</v>
      </c>
      <c r="S847" s="697" t="s">
        <v>310</v>
      </c>
      <c r="T847" s="697" t="s">
        <v>310</v>
      </c>
    </row>
    <row r="848" spans="1:20" ht="24" x14ac:dyDescent="0.2">
      <c r="A848" s="432">
        <f>IF(B848="","",COUNT('Diário 1º PA'!$A$4:$A$2635)+COUNT('Diário 2º PA'!$A$4:$A$3040)+COUNT('Diário 3º PA'!$A$4:$A$2731)+ROW()-3)</f>
        <v>6873</v>
      </c>
      <c r="B848" s="413">
        <v>44873</v>
      </c>
      <c r="C848" s="433">
        <v>44774</v>
      </c>
      <c r="D848" s="434" t="s">
        <v>182</v>
      </c>
      <c r="E848" s="434" t="s">
        <v>161</v>
      </c>
      <c r="F848" s="435">
        <v>0.45</v>
      </c>
      <c r="G848" s="427" t="s">
        <v>8187</v>
      </c>
      <c r="H848" s="415" t="s">
        <v>310</v>
      </c>
      <c r="I848" s="415" t="s">
        <v>764</v>
      </c>
      <c r="J848" s="419" t="s">
        <v>310</v>
      </c>
      <c r="K848" s="419" t="s">
        <v>1220</v>
      </c>
      <c r="L848" s="415" t="s">
        <v>3443</v>
      </c>
      <c r="M848" s="597">
        <v>222254750153</v>
      </c>
      <c r="N848" s="413">
        <v>44873</v>
      </c>
      <c r="O848" s="414" t="s">
        <v>400</v>
      </c>
      <c r="P848" s="655">
        <f t="shared" si="43"/>
        <v>11</v>
      </c>
      <c r="Q848" s="655">
        <f t="shared" si="44"/>
        <v>8</v>
      </c>
      <c r="R848" s="758" t="str">
        <f t="shared" si="45"/>
        <v>Gastos_com_Pessoal</v>
      </c>
      <c r="S848" s="697" t="s">
        <v>310</v>
      </c>
      <c r="T848" s="697" t="s">
        <v>310</v>
      </c>
    </row>
    <row r="849" spans="1:20" ht="36" x14ac:dyDescent="0.2">
      <c r="A849" s="432">
        <f>IF(B849="","",COUNT('Diário 1º PA'!$A$4:$A$2635)+COUNT('Diário 2º PA'!$A$4:$A$3040)+COUNT('Diário 3º PA'!$A$4:$A$2731)+ROW()-3)</f>
        <v>6874</v>
      </c>
      <c r="B849" s="413">
        <v>44873</v>
      </c>
      <c r="C849" s="431">
        <v>44835</v>
      </c>
      <c r="D849" s="415" t="s">
        <v>271</v>
      </c>
      <c r="E849" s="415" t="s">
        <v>456</v>
      </c>
      <c r="F849" s="425">
        <v>25.12</v>
      </c>
      <c r="G849" s="427" t="s">
        <v>7656</v>
      </c>
      <c r="H849" s="415" t="s">
        <v>751</v>
      </c>
      <c r="I849" s="415" t="s">
        <v>764</v>
      </c>
      <c r="J849" s="419" t="s">
        <v>310</v>
      </c>
      <c r="K849" s="419" t="s">
        <v>1220</v>
      </c>
      <c r="L849" s="415" t="s">
        <v>3443</v>
      </c>
      <c r="M849" s="597">
        <v>222254748760</v>
      </c>
      <c r="N849" s="413">
        <v>44873</v>
      </c>
      <c r="O849" s="414" t="s">
        <v>400</v>
      </c>
      <c r="P849" s="655">
        <f t="shared" si="43"/>
        <v>11</v>
      </c>
      <c r="Q849" s="655">
        <f t="shared" si="44"/>
        <v>10</v>
      </c>
      <c r="R849" s="758" t="str">
        <f t="shared" si="45"/>
        <v>Gastos_Gerais</v>
      </c>
      <c r="S849" s="697" t="s">
        <v>310</v>
      </c>
      <c r="T849" s="697" t="s">
        <v>310</v>
      </c>
    </row>
    <row r="850" spans="1:20" ht="24" x14ac:dyDescent="0.2">
      <c r="A850" s="432">
        <f>IF(B850="","",COUNT('Diário 1º PA'!$A$4:$A$2635)+COUNT('Diário 2º PA'!$A$4:$A$3040)+COUNT('Diário 3º PA'!$A$4:$A$2731)+ROW()-3)</f>
        <v>6875</v>
      </c>
      <c r="B850" s="413">
        <v>44873</v>
      </c>
      <c r="C850" s="433">
        <v>44835</v>
      </c>
      <c r="D850" s="434" t="s">
        <v>182</v>
      </c>
      <c r="E850" s="434" t="s">
        <v>179</v>
      </c>
      <c r="F850" s="435">
        <v>11.55</v>
      </c>
      <c r="G850" s="437" t="s">
        <v>8195</v>
      </c>
      <c r="H850" s="434" t="s">
        <v>310</v>
      </c>
      <c r="I850" s="415" t="s">
        <v>764</v>
      </c>
      <c r="J850" s="419" t="s">
        <v>310</v>
      </c>
      <c r="K850" s="419" t="s">
        <v>1220</v>
      </c>
      <c r="L850" s="415" t="s">
        <v>3443</v>
      </c>
      <c r="M850" s="597">
        <v>222254749228</v>
      </c>
      <c r="N850" s="413">
        <v>44873</v>
      </c>
      <c r="O850" s="414" t="s">
        <v>400</v>
      </c>
      <c r="P850" s="655">
        <f t="shared" si="43"/>
        <v>11</v>
      </c>
      <c r="Q850" s="655">
        <f t="shared" si="44"/>
        <v>10</v>
      </c>
      <c r="R850" s="758" t="str">
        <f t="shared" si="45"/>
        <v>Gastos_com_Pessoal</v>
      </c>
      <c r="S850" s="697" t="s">
        <v>310</v>
      </c>
      <c r="T850" s="697" t="s">
        <v>310</v>
      </c>
    </row>
    <row r="851" spans="1:20" ht="36" x14ac:dyDescent="0.2">
      <c r="A851" s="432">
        <f>IF(B851="","",COUNT('Diário 1º PA'!$A$4:$A$2635)+COUNT('Diário 2º PA'!$A$4:$A$3040)+COUNT('Diário 3º PA'!$A$4:$A$2731)+ROW()-3)</f>
        <v>6876</v>
      </c>
      <c r="B851" s="413">
        <v>44873</v>
      </c>
      <c r="C851" s="431">
        <v>44866</v>
      </c>
      <c r="D851" s="419" t="s">
        <v>271</v>
      </c>
      <c r="E851" s="419" t="s">
        <v>71</v>
      </c>
      <c r="F851" s="422">
        <v>11</v>
      </c>
      <c r="G851" s="423" t="s">
        <v>8188</v>
      </c>
      <c r="H851" s="415" t="s">
        <v>755</v>
      </c>
      <c r="I851" s="415" t="s">
        <v>881</v>
      </c>
      <c r="J851" s="419" t="s">
        <v>882</v>
      </c>
      <c r="K851" s="419" t="s">
        <v>883</v>
      </c>
      <c r="L851" s="415" t="s">
        <v>798</v>
      </c>
      <c r="M851" s="419" t="s">
        <v>310</v>
      </c>
      <c r="N851" s="413">
        <v>44873</v>
      </c>
      <c r="O851" s="414" t="s">
        <v>400</v>
      </c>
      <c r="P851" s="655">
        <f t="shared" si="43"/>
        <v>11</v>
      </c>
      <c r="Q851" s="655">
        <f t="shared" si="44"/>
        <v>11</v>
      </c>
      <c r="R851" s="758" t="str">
        <f t="shared" si="45"/>
        <v>Gastos_Gerais</v>
      </c>
      <c r="S851" s="697" t="s">
        <v>310</v>
      </c>
      <c r="T851" s="697" t="s">
        <v>310</v>
      </c>
    </row>
    <row r="852" spans="1:20" ht="48" x14ac:dyDescent="0.2">
      <c r="A852" s="432">
        <f>IF(B852="","",COUNT('Diário 1º PA'!$A$4:$A$2635)+COUNT('Diário 2º PA'!$A$4:$A$3040)+COUNT('Diário 3º PA'!$A$4:$A$2731)+ROW()-3)</f>
        <v>6877</v>
      </c>
      <c r="B852" s="413">
        <v>44873</v>
      </c>
      <c r="C852" s="431">
        <v>44835</v>
      </c>
      <c r="D852" s="419" t="s">
        <v>468</v>
      </c>
      <c r="E852" s="419" t="s">
        <v>468</v>
      </c>
      <c r="F852" s="422">
        <v>4190</v>
      </c>
      <c r="G852" s="427" t="s">
        <v>7630</v>
      </c>
      <c r="H852" s="415" t="s">
        <v>468</v>
      </c>
      <c r="I852" s="415" t="s">
        <v>2803</v>
      </c>
      <c r="J852" s="415" t="s">
        <v>2426</v>
      </c>
      <c r="K852" s="419" t="s">
        <v>806</v>
      </c>
      <c r="L852" s="415" t="s">
        <v>32</v>
      </c>
      <c r="M852" s="734">
        <v>35819107</v>
      </c>
      <c r="N852" s="413">
        <v>44872</v>
      </c>
      <c r="O852" s="414" t="s">
        <v>405</v>
      </c>
      <c r="P852" s="655">
        <f t="shared" si="43"/>
        <v>11</v>
      </c>
      <c r="Q852" s="655">
        <f t="shared" si="44"/>
        <v>10</v>
      </c>
      <c r="R852" s="758" t="str">
        <f t="shared" si="45"/>
        <v>Gastos_custeados_por_captação</v>
      </c>
      <c r="S852" s="697" t="s">
        <v>998</v>
      </c>
      <c r="T852" s="697">
        <v>4525</v>
      </c>
    </row>
    <row r="853" spans="1:20" ht="48" x14ac:dyDescent="0.2">
      <c r="A853" s="432">
        <f>IF(B853="","",COUNT('Diário 1º PA'!$A$4:$A$2635)+COUNT('Diário 2º PA'!$A$4:$A$3040)+COUNT('Diário 3º PA'!$A$4:$A$2731)+ROW()-3)</f>
        <v>6878</v>
      </c>
      <c r="B853" s="413">
        <v>44873</v>
      </c>
      <c r="C853" s="431">
        <v>44835</v>
      </c>
      <c r="D853" s="419" t="s">
        <v>468</v>
      </c>
      <c r="E853" s="419" t="s">
        <v>468</v>
      </c>
      <c r="F853" s="422">
        <v>1134</v>
      </c>
      <c r="G853" s="427" t="s">
        <v>7783</v>
      </c>
      <c r="H853" s="415" t="s">
        <v>468</v>
      </c>
      <c r="I853" s="415" t="s">
        <v>8271</v>
      </c>
      <c r="J853" s="415" t="s">
        <v>7787</v>
      </c>
      <c r="K853" s="419" t="s">
        <v>806</v>
      </c>
      <c r="L853" s="415" t="s">
        <v>839</v>
      </c>
      <c r="M853" s="419">
        <v>2084</v>
      </c>
      <c r="N853" s="413">
        <v>44869</v>
      </c>
      <c r="O853" s="414" t="s">
        <v>405</v>
      </c>
      <c r="P853" s="655">
        <f t="shared" si="43"/>
        <v>11</v>
      </c>
      <c r="Q853" s="655">
        <f t="shared" si="44"/>
        <v>10</v>
      </c>
      <c r="R853" s="758" t="str">
        <f t="shared" si="45"/>
        <v>Gastos_custeados_por_captação</v>
      </c>
      <c r="S853" s="697" t="s">
        <v>998</v>
      </c>
      <c r="T853" s="697">
        <v>4572</v>
      </c>
    </row>
    <row r="854" spans="1:20" ht="48" x14ac:dyDescent="0.2">
      <c r="A854" s="432">
        <f>IF(B854="","",COUNT('Diário 1º PA'!$A$4:$A$2635)+COUNT('Diário 2º PA'!$A$4:$A$3040)+COUNT('Diário 3º PA'!$A$4:$A$2731)+ROW()-3)</f>
        <v>6879</v>
      </c>
      <c r="B854" s="413">
        <v>44873</v>
      </c>
      <c r="C854" s="431">
        <v>44835</v>
      </c>
      <c r="D854" s="419" t="s">
        <v>468</v>
      </c>
      <c r="E854" s="419" t="s">
        <v>468</v>
      </c>
      <c r="F854" s="422">
        <v>3841.2</v>
      </c>
      <c r="G854" s="427" t="s">
        <v>7629</v>
      </c>
      <c r="H854" s="415" t="s">
        <v>468</v>
      </c>
      <c r="I854" s="415" t="s">
        <v>5217</v>
      </c>
      <c r="J854" s="415" t="s">
        <v>3296</v>
      </c>
      <c r="K854" s="419" t="s">
        <v>812</v>
      </c>
      <c r="L854" s="415" t="s">
        <v>32</v>
      </c>
      <c r="M854" s="419" t="s">
        <v>8274</v>
      </c>
      <c r="N854" s="413">
        <v>44852</v>
      </c>
      <c r="O854" s="414" t="s">
        <v>405</v>
      </c>
      <c r="P854" s="655">
        <f t="shared" si="43"/>
        <v>11</v>
      </c>
      <c r="Q854" s="655">
        <f t="shared" si="44"/>
        <v>10</v>
      </c>
      <c r="R854" s="758" t="str">
        <f t="shared" si="45"/>
        <v>Gastos_custeados_por_captação</v>
      </c>
      <c r="S854" s="697" t="s">
        <v>998</v>
      </c>
      <c r="T854" s="697">
        <v>4521</v>
      </c>
    </row>
    <row r="855" spans="1:20" ht="48" x14ac:dyDescent="0.2">
      <c r="A855" s="432">
        <f>IF(B855="","",COUNT('Diário 1º PA'!$A$4:$A$2635)+COUNT('Diário 2º PA'!$A$4:$A$3040)+COUNT('Diário 3º PA'!$A$4:$A$2731)+ROW()-3)</f>
        <v>6880</v>
      </c>
      <c r="B855" s="413">
        <v>44873</v>
      </c>
      <c r="C855" s="431">
        <v>44835</v>
      </c>
      <c r="D855" s="419" t="s">
        <v>468</v>
      </c>
      <c r="E855" s="419" t="s">
        <v>468</v>
      </c>
      <c r="F855" s="422">
        <v>1050</v>
      </c>
      <c r="G855" s="427" t="s">
        <v>7785</v>
      </c>
      <c r="H855" s="415" t="s">
        <v>468</v>
      </c>
      <c r="I855" s="415" t="s">
        <v>8276</v>
      </c>
      <c r="J855" s="415" t="s">
        <v>7849</v>
      </c>
      <c r="K855" s="419" t="s">
        <v>830</v>
      </c>
      <c r="L855" s="415" t="s">
        <v>839</v>
      </c>
      <c r="M855" s="419">
        <v>2083</v>
      </c>
      <c r="N855" s="413">
        <v>44869</v>
      </c>
      <c r="O855" s="414" t="s">
        <v>405</v>
      </c>
      <c r="P855" s="655">
        <f t="shared" si="43"/>
        <v>11</v>
      </c>
      <c r="Q855" s="655">
        <f t="shared" si="44"/>
        <v>10</v>
      </c>
      <c r="R855" s="758" t="str">
        <f t="shared" si="45"/>
        <v>Gastos_custeados_por_captação</v>
      </c>
      <c r="S855" s="697" t="s">
        <v>998</v>
      </c>
      <c r="T855" s="697">
        <v>4570</v>
      </c>
    </row>
    <row r="856" spans="1:20" ht="96" x14ac:dyDescent="0.2">
      <c r="A856" s="432">
        <f>IF(B856="","",COUNT('Diário 1º PA'!$A$4:$A$2635)+COUNT('Diário 2º PA'!$A$4:$A$3040)+COUNT('Diário 3º PA'!$A$4:$A$2731)+ROW()-3)</f>
        <v>6881</v>
      </c>
      <c r="B856" s="413">
        <v>44873</v>
      </c>
      <c r="C856" s="431">
        <v>44835</v>
      </c>
      <c r="D856" s="419" t="s">
        <v>468</v>
      </c>
      <c r="E856" s="419" t="s">
        <v>468</v>
      </c>
      <c r="F856" s="422">
        <v>300</v>
      </c>
      <c r="G856" s="427" t="s">
        <v>7856</v>
      </c>
      <c r="H856" s="415" t="s">
        <v>468</v>
      </c>
      <c r="I856" s="415" t="s">
        <v>8279</v>
      </c>
      <c r="J856" s="415" t="s">
        <v>7857</v>
      </c>
      <c r="K856" s="419" t="s">
        <v>830</v>
      </c>
      <c r="L856" s="415" t="s">
        <v>1305</v>
      </c>
      <c r="M856" s="419" t="s">
        <v>310</v>
      </c>
      <c r="N856" s="413">
        <v>44872</v>
      </c>
      <c r="O856" s="414" t="s">
        <v>405</v>
      </c>
      <c r="P856" s="655">
        <f t="shared" si="43"/>
        <v>11</v>
      </c>
      <c r="Q856" s="655">
        <f t="shared" si="44"/>
        <v>10</v>
      </c>
      <c r="R856" s="758" t="str">
        <f t="shared" si="45"/>
        <v>Gastos_custeados_por_captação</v>
      </c>
      <c r="S856" s="697" t="s">
        <v>998</v>
      </c>
      <c r="T856" s="697">
        <v>4591</v>
      </c>
    </row>
    <row r="857" spans="1:20" ht="108" x14ac:dyDescent="0.2">
      <c r="A857" s="432">
        <f>IF(B857="","",COUNT('Diário 1º PA'!$A$4:$A$2635)+COUNT('Diário 2º PA'!$A$4:$A$3040)+COUNT('Diário 3º PA'!$A$4:$A$2731)+ROW()-3)</f>
        <v>6882</v>
      </c>
      <c r="B857" s="413">
        <v>44873</v>
      </c>
      <c r="C857" s="431">
        <v>44835</v>
      </c>
      <c r="D857" s="419" t="s">
        <v>468</v>
      </c>
      <c r="E857" s="419" t="s">
        <v>468</v>
      </c>
      <c r="F857" s="422">
        <v>300</v>
      </c>
      <c r="G857" s="427" t="s">
        <v>7852</v>
      </c>
      <c r="H857" s="415" t="s">
        <v>468</v>
      </c>
      <c r="I857" s="415" t="s">
        <v>8276</v>
      </c>
      <c r="J857" s="415" t="s">
        <v>7849</v>
      </c>
      <c r="K857" s="419" t="s">
        <v>830</v>
      </c>
      <c r="L857" s="415" t="s">
        <v>1305</v>
      </c>
      <c r="M857" s="419" t="s">
        <v>310</v>
      </c>
      <c r="N857" s="413">
        <v>44870</v>
      </c>
      <c r="O857" s="414" t="s">
        <v>405</v>
      </c>
      <c r="P857" s="655">
        <f t="shared" si="43"/>
        <v>11</v>
      </c>
      <c r="Q857" s="655">
        <f t="shared" si="44"/>
        <v>10</v>
      </c>
      <c r="R857" s="758" t="str">
        <f t="shared" si="45"/>
        <v>Gastos_custeados_por_captação</v>
      </c>
      <c r="S857" s="697" t="s">
        <v>998</v>
      </c>
      <c r="T857" s="697">
        <v>4587</v>
      </c>
    </row>
    <row r="858" spans="1:20" ht="96" x14ac:dyDescent="0.2">
      <c r="A858" s="432">
        <f>IF(B858="","",COUNT('Diário 1º PA'!$A$4:$A$2635)+COUNT('Diário 2º PA'!$A$4:$A$3040)+COUNT('Diário 3º PA'!$A$4:$A$2731)+ROW()-3)</f>
        <v>6883</v>
      </c>
      <c r="B858" s="413">
        <v>44873</v>
      </c>
      <c r="C858" s="431">
        <v>44835</v>
      </c>
      <c r="D858" s="419" t="s">
        <v>468</v>
      </c>
      <c r="E858" s="419" t="s">
        <v>468</v>
      </c>
      <c r="F858" s="422">
        <v>500</v>
      </c>
      <c r="G858" s="427" t="s">
        <v>7875</v>
      </c>
      <c r="H858" s="415" t="s">
        <v>468</v>
      </c>
      <c r="I858" s="415" t="s">
        <v>8280</v>
      </c>
      <c r="J858" s="415" t="s">
        <v>7876</v>
      </c>
      <c r="K858" s="419" t="s">
        <v>830</v>
      </c>
      <c r="L858" s="415" t="s">
        <v>1305</v>
      </c>
      <c r="M858" s="419" t="s">
        <v>310</v>
      </c>
      <c r="N858" s="413">
        <v>44872</v>
      </c>
      <c r="O858" s="414" t="s">
        <v>405</v>
      </c>
      <c r="P858" s="655">
        <f t="shared" si="43"/>
        <v>11</v>
      </c>
      <c r="Q858" s="655">
        <f t="shared" si="44"/>
        <v>10</v>
      </c>
      <c r="R858" s="758" t="str">
        <f t="shared" si="45"/>
        <v>Gastos_custeados_por_captação</v>
      </c>
      <c r="S858" s="697" t="s">
        <v>998</v>
      </c>
      <c r="T858" s="697">
        <v>4602</v>
      </c>
    </row>
    <row r="859" spans="1:20" ht="84" x14ac:dyDescent="0.2">
      <c r="A859" s="432">
        <f>IF(B859="","",COUNT('Diário 1º PA'!$A$4:$A$2635)+COUNT('Diário 2º PA'!$A$4:$A$3040)+COUNT('Diário 3º PA'!$A$4:$A$2731)+ROW()-3)</f>
        <v>6884</v>
      </c>
      <c r="B859" s="413">
        <v>44873</v>
      </c>
      <c r="C859" s="431">
        <v>44835</v>
      </c>
      <c r="D859" s="419" t="s">
        <v>468</v>
      </c>
      <c r="E859" s="419" t="s">
        <v>468</v>
      </c>
      <c r="F859" s="422">
        <v>2939.7</v>
      </c>
      <c r="G859" s="427" t="s">
        <v>6344</v>
      </c>
      <c r="H859" s="415" t="s">
        <v>468</v>
      </c>
      <c r="I859" s="415" t="s">
        <v>2510</v>
      </c>
      <c r="J859" s="415" t="s">
        <v>1025</v>
      </c>
      <c r="K859" s="419" t="s">
        <v>830</v>
      </c>
      <c r="L859" s="415" t="s">
        <v>32</v>
      </c>
      <c r="M859" s="419" t="s">
        <v>6504</v>
      </c>
      <c r="N859" s="413">
        <v>44869</v>
      </c>
      <c r="O859" s="419" t="s">
        <v>405</v>
      </c>
      <c r="P859" s="655">
        <f t="shared" si="43"/>
        <v>11</v>
      </c>
      <c r="Q859" s="655">
        <f t="shared" si="44"/>
        <v>10</v>
      </c>
      <c r="R859" s="758" t="str">
        <f t="shared" si="45"/>
        <v>Gastos_custeados_por_captação</v>
      </c>
      <c r="S859" s="697" t="s">
        <v>998</v>
      </c>
      <c r="T859" s="697">
        <v>4212</v>
      </c>
    </row>
    <row r="860" spans="1:20" ht="48" x14ac:dyDescent="0.2">
      <c r="A860" s="432">
        <f>IF(B860="","",COUNT('Diário 1º PA'!$A$4:$A$2635)+COUNT('Diário 2º PA'!$A$4:$A$3040)+COUNT('Diário 3º PA'!$A$4:$A$2731)+ROW()-3)</f>
        <v>6885</v>
      </c>
      <c r="B860" s="413">
        <v>44873</v>
      </c>
      <c r="C860" s="424">
        <v>44743</v>
      </c>
      <c r="D860" s="419" t="s">
        <v>468</v>
      </c>
      <c r="E860" s="419" t="s">
        <v>468</v>
      </c>
      <c r="F860" s="422">
        <v>262.5</v>
      </c>
      <c r="G860" s="427" t="s">
        <v>7764</v>
      </c>
      <c r="H860" s="415" t="s">
        <v>468</v>
      </c>
      <c r="I860" s="415" t="s">
        <v>764</v>
      </c>
      <c r="J860" s="426" t="s">
        <v>310</v>
      </c>
      <c r="K860" s="415" t="s">
        <v>1220</v>
      </c>
      <c r="L860" s="415" t="s">
        <v>3443</v>
      </c>
      <c r="M860" s="597">
        <v>222254736169</v>
      </c>
      <c r="N860" s="413">
        <v>44873</v>
      </c>
      <c r="O860" s="414" t="s">
        <v>405</v>
      </c>
      <c r="P860" s="655">
        <f t="shared" si="43"/>
        <v>11</v>
      </c>
      <c r="Q860" s="655">
        <f t="shared" si="44"/>
        <v>7</v>
      </c>
      <c r="R860" s="758" t="str">
        <f t="shared" si="45"/>
        <v>Gastos_custeados_por_captação</v>
      </c>
      <c r="S860" s="697" t="s">
        <v>310</v>
      </c>
      <c r="T860" s="697" t="s">
        <v>310</v>
      </c>
    </row>
    <row r="861" spans="1:20" ht="48" x14ac:dyDescent="0.2">
      <c r="A861" s="432">
        <f>IF(B861="","",COUNT('Diário 1º PA'!$A$4:$A$2635)+COUNT('Diário 2º PA'!$A$4:$A$3040)+COUNT('Diário 3º PA'!$A$4:$A$2731)+ROW()-3)</f>
        <v>6886</v>
      </c>
      <c r="B861" s="413">
        <v>44873</v>
      </c>
      <c r="C861" s="431">
        <v>44743</v>
      </c>
      <c r="D861" s="419" t="s">
        <v>468</v>
      </c>
      <c r="E861" s="419" t="s">
        <v>468</v>
      </c>
      <c r="F861" s="422">
        <v>312.5</v>
      </c>
      <c r="G861" s="427" t="s">
        <v>7740</v>
      </c>
      <c r="H861" s="415" t="s">
        <v>468</v>
      </c>
      <c r="I861" s="415" t="s">
        <v>764</v>
      </c>
      <c r="J861" s="426" t="s">
        <v>310</v>
      </c>
      <c r="K861" s="415" t="s">
        <v>1220</v>
      </c>
      <c r="L861" s="415" t="s">
        <v>3443</v>
      </c>
      <c r="M861" s="597">
        <v>222254736240</v>
      </c>
      <c r="N861" s="413">
        <v>44873</v>
      </c>
      <c r="O861" s="414" t="s">
        <v>405</v>
      </c>
      <c r="P861" s="655">
        <f t="shared" si="43"/>
        <v>11</v>
      </c>
      <c r="Q861" s="655">
        <f t="shared" si="44"/>
        <v>7</v>
      </c>
      <c r="R861" s="758" t="str">
        <f t="shared" si="45"/>
        <v>Gastos_custeados_por_captação</v>
      </c>
      <c r="S861" s="697" t="s">
        <v>310</v>
      </c>
      <c r="T861" s="697" t="s">
        <v>310</v>
      </c>
    </row>
    <row r="862" spans="1:20" ht="48" x14ac:dyDescent="0.2">
      <c r="A862" s="432">
        <f>IF(B862="","",COUNT('Diário 1º PA'!$A$4:$A$2635)+COUNT('Diário 2º PA'!$A$4:$A$3040)+COUNT('Diário 3º PA'!$A$4:$A$2731)+ROW()-3)</f>
        <v>6887</v>
      </c>
      <c r="B862" s="413">
        <v>44873</v>
      </c>
      <c r="C862" s="431">
        <v>44805</v>
      </c>
      <c r="D862" s="419" t="s">
        <v>468</v>
      </c>
      <c r="E862" s="419" t="s">
        <v>468</v>
      </c>
      <c r="F862" s="422">
        <v>60.3</v>
      </c>
      <c r="G862" s="427" t="s">
        <v>7744</v>
      </c>
      <c r="H862" s="415" t="s">
        <v>468</v>
      </c>
      <c r="I862" s="415" t="s">
        <v>764</v>
      </c>
      <c r="J862" s="426" t="s">
        <v>310</v>
      </c>
      <c r="K862" s="415" t="s">
        <v>1220</v>
      </c>
      <c r="L862" s="415" t="s">
        <v>3443</v>
      </c>
      <c r="M862" s="597">
        <v>222254736754</v>
      </c>
      <c r="N862" s="413">
        <v>44873</v>
      </c>
      <c r="O862" s="414" t="s">
        <v>405</v>
      </c>
      <c r="P862" s="655">
        <f t="shared" si="43"/>
        <v>11</v>
      </c>
      <c r="Q862" s="655">
        <f t="shared" si="44"/>
        <v>9</v>
      </c>
      <c r="R862" s="758" t="str">
        <f t="shared" si="45"/>
        <v>Gastos_custeados_por_captação</v>
      </c>
      <c r="S862" s="697" t="s">
        <v>310</v>
      </c>
      <c r="T862" s="697" t="s">
        <v>310</v>
      </c>
    </row>
    <row r="863" spans="1:20" ht="48" x14ac:dyDescent="0.2">
      <c r="A863" s="432">
        <f>IF(B863="","",COUNT('Diário 1º PA'!$A$4:$A$2635)+COUNT('Diário 2º PA'!$A$4:$A$3040)+COUNT('Diário 3º PA'!$A$4:$A$2731)+ROW()-3)</f>
        <v>6888</v>
      </c>
      <c r="B863" s="413">
        <v>44873</v>
      </c>
      <c r="C863" s="431">
        <v>44805</v>
      </c>
      <c r="D863" s="419" t="s">
        <v>468</v>
      </c>
      <c r="E863" s="419" t="s">
        <v>468</v>
      </c>
      <c r="F863" s="422">
        <v>32.159999999999997</v>
      </c>
      <c r="G863" s="427" t="s">
        <v>7742</v>
      </c>
      <c r="H863" s="415" t="s">
        <v>468</v>
      </c>
      <c r="I863" s="415" t="s">
        <v>764</v>
      </c>
      <c r="J863" s="426" t="s">
        <v>310</v>
      </c>
      <c r="K863" s="415" t="s">
        <v>1220</v>
      </c>
      <c r="L863" s="415" t="s">
        <v>3443</v>
      </c>
      <c r="M863" s="597">
        <v>222254736835</v>
      </c>
      <c r="N863" s="413">
        <v>44873</v>
      </c>
      <c r="O863" s="414" t="s">
        <v>405</v>
      </c>
      <c r="P863" s="655">
        <f t="shared" si="43"/>
        <v>11</v>
      </c>
      <c r="Q863" s="655">
        <f t="shared" si="44"/>
        <v>9</v>
      </c>
      <c r="R863" s="758" t="str">
        <f t="shared" si="45"/>
        <v>Gastos_custeados_por_captação</v>
      </c>
      <c r="S863" s="697" t="s">
        <v>310</v>
      </c>
      <c r="T863" s="697" t="s">
        <v>310</v>
      </c>
    </row>
    <row r="864" spans="1:20" ht="48" x14ac:dyDescent="0.2">
      <c r="A864" s="432">
        <f>IF(B864="","",COUNT('Diário 1º PA'!$A$4:$A$2635)+COUNT('Diário 2º PA'!$A$4:$A$3040)+COUNT('Diário 3º PA'!$A$4:$A$2731)+ROW()-3)</f>
        <v>6889</v>
      </c>
      <c r="B864" s="413">
        <v>44873</v>
      </c>
      <c r="C864" s="431">
        <v>44805</v>
      </c>
      <c r="D864" s="419" t="s">
        <v>468</v>
      </c>
      <c r="E864" s="419" t="s">
        <v>468</v>
      </c>
      <c r="F864" s="422">
        <v>137.5</v>
      </c>
      <c r="G864" s="427" t="s">
        <v>7747</v>
      </c>
      <c r="H864" s="415" t="s">
        <v>468</v>
      </c>
      <c r="I864" s="415" t="s">
        <v>764</v>
      </c>
      <c r="J864" s="426" t="s">
        <v>310</v>
      </c>
      <c r="K864" s="415" t="s">
        <v>1220</v>
      </c>
      <c r="L864" s="415" t="s">
        <v>3443</v>
      </c>
      <c r="M864" s="597">
        <v>222254736916</v>
      </c>
      <c r="N864" s="413">
        <v>44873</v>
      </c>
      <c r="O864" s="414" t="s">
        <v>405</v>
      </c>
      <c r="P864" s="655">
        <f t="shared" si="43"/>
        <v>11</v>
      </c>
      <c r="Q864" s="655">
        <f t="shared" si="44"/>
        <v>9</v>
      </c>
      <c r="R864" s="758" t="str">
        <f t="shared" si="45"/>
        <v>Gastos_custeados_por_captação</v>
      </c>
      <c r="S864" s="697" t="s">
        <v>310</v>
      </c>
      <c r="T864" s="697" t="s">
        <v>310</v>
      </c>
    </row>
    <row r="865" spans="1:20" ht="48" x14ac:dyDescent="0.2">
      <c r="A865" s="432">
        <f>IF(B865="","",COUNT('Diário 1º PA'!$A$4:$A$2635)+COUNT('Diário 2º PA'!$A$4:$A$3040)+COUNT('Diário 3º PA'!$A$4:$A$2731)+ROW()-3)</f>
        <v>6890</v>
      </c>
      <c r="B865" s="413">
        <v>44873</v>
      </c>
      <c r="C865" s="431">
        <v>44774</v>
      </c>
      <c r="D865" s="419" t="s">
        <v>468</v>
      </c>
      <c r="E865" s="419" t="s">
        <v>468</v>
      </c>
      <c r="F865" s="422">
        <v>120.6</v>
      </c>
      <c r="G865" s="427" t="s">
        <v>7752</v>
      </c>
      <c r="H865" s="415" t="s">
        <v>468</v>
      </c>
      <c r="I865" s="415" t="s">
        <v>764</v>
      </c>
      <c r="J865" s="426" t="s">
        <v>310</v>
      </c>
      <c r="K865" s="415" t="s">
        <v>1220</v>
      </c>
      <c r="L865" s="415" t="s">
        <v>3443</v>
      </c>
      <c r="M865" s="597">
        <v>222254737130</v>
      </c>
      <c r="N865" s="413">
        <v>44873</v>
      </c>
      <c r="O865" s="414" t="s">
        <v>405</v>
      </c>
      <c r="P865" s="655">
        <f t="shared" ref="P865:P928" si="46">IF(B865=0,0,IF(YEAR(B865)=$Q$1,MONTH(B865)-$P$1+1,(YEAR(B865)-$Q$1)*12-$P$1+1+MONTH(B865)))</f>
        <v>11</v>
      </c>
      <c r="Q865" s="655">
        <f t="shared" ref="Q865:Q928" si="47">IF(C865=0,0,IF(YEAR(C865)=$Q$1,MONTH(C865)-$P$1+1,(YEAR(C865)-$Q$1)*12-$P$1+1+MONTH(C865)))</f>
        <v>8</v>
      </c>
      <c r="R865" s="758" t="str">
        <f t="shared" si="45"/>
        <v>Gastos_custeados_por_captação</v>
      </c>
      <c r="S865" s="697" t="s">
        <v>310</v>
      </c>
      <c r="T865" s="697" t="s">
        <v>310</v>
      </c>
    </row>
    <row r="866" spans="1:20" ht="48" x14ac:dyDescent="0.2">
      <c r="A866" s="432">
        <f>IF(B866="","",COUNT('Diário 1º PA'!$A$4:$A$2635)+COUNT('Diário 2º PA'!$A$4:$A$3040)+COUNT('Diário 3º PA'!$A$4:$A$2731)+ROW()-3)</f>
        <v>6891</v>
      </c>
      <c r="B866" s="413">
        <v>44873</v>
      </c>
      <c r="C866" s="431">
        <v>44774</v>
      </c>
      <c r="D866" s="419" t="s">
        <v>468</v>
      </c>
      <c r="E866" s="419" t="s">
        <v>468</v>
      </c>
      <c r="F866" s="422">
        <v>132.66</v>
      </c>
      <c r="G866" s="427" t="s">
        <v>7750</v>
      </c>
      <c r="H866" s="415" t="s">
        <v>468</v>
      </c>
      <c r="I866" s="415" t="s">
        <v>764</v>
      </c>
      <c r="J866" s="426" t="s">
        <v>310</v>
      </c>
      <c r="K866" s="415" t="s">
        <v>1220</v>
      </c>
      <c r="L866" s="415" t="s">
        <v>3443</v>
      </c>
      <c r="M866" s="597">
        <v>222254737211</v>
      </c>
      <c r="N866" s="413">
        <v>44873</v>
      </c>
      <c r="O866" s="414" t="s">
        <v>405</v>
      </c>
      <c r="P866" s="655">
        <f t="shared" si="46"/>
        <v>11</v>
      </c>
      <c r="Q866" s="655">
        <f t="shared" si="47"/>
        <v>8</v>
      </c>
      <c r="R866" s="758" t="str">
        <f t="shared" si="45"/>
        <v>Gastos_custeados_por_captação</v>
      </c>
      <c r="S866" s="697" t="s">
        <v>310</v>
      </c>
      <c r="T866" s="697" t="s">
        <v>310</v>
      </c>
    </row>
    <row r="867" spans="1:20" ht="48" x14ac:dyDescent="0.2">
      <c r="A867" s="432">
        <f>IF(B867="","",COUNT('Diário 1º PA'!$A$4:$A$2635)+COUNT('Diário 2º PA'!$A$4:$A$3040)+COUNT('Diário 3º PA'!$A$4:$A$2731)+ROW()-3)</f>
        <v>6892</v>
      </c>
      <c r="B867" s="413">
        <v>44873</v>
      </c>
      <c r="C867" s="431">
        <v>44743</v>
      </c>
      <c r="D867" s="419" t="s">
        <v>468</v>
      </c>
      <c r="E867" s="419" t="s">
        <v>468</v>
      </c>
      <c r="F867" s="422">
        <v>72.36</v>
      </c>
      <c r="G867" s="427" t="s">
        <v>7751</v>
      </c>
      <c r="H867" s="415" t="s">
        <v>468</v>
      </c>
      <c r="I867" s="415" t="s">
        <v>764</v>
      </c>
      <c r="J867" s="426" t="s">
        <v>310</v>
      </c>
      <c r="K867" s="415" t="s">
        <v>1220</v>
      </c>
      <c r="L867" s="415" t="s">
        <v>3443</v>
      </c>
      <c r="M867" s="597">
        <v>222254737300</v>
      </c>
      <c r="N867" s="413">
        <v>44873</v>
      </c>
      <c r="O867" s="414" t="s">
        <v>405</v>
      </c>
      <c r="P867" s="655">
        <f t="shared" si="46"/>
        <v>11</v>
      </c>
      <c r="Q867" s="655">
        <f t="shared" si="47"/>
        <v>7</v>
      </c>
      <c r="R867" s="758" t="str">
        <f t="shared" si="45"/>
        <v>Gastos_custeados_por_captação</v>
      </c>
      <c r="S867" s="697" t="s">
        <v>310</v>
      </c>
      <c r="T867" s="697" t="s">
        <v>310</v>
      </c>
    </row>
    <row r="868" spans="1:20" ht="48" x14ac:dyDescent="0.2">
      <c r="A868" s="432">
        <f>IF(B868="","",COUNT('Diário 1º PA'!$A$4:$A$2635)+COUNT('Diário 2º PA'!$A$4:$A$3040)+COUNT('Diário 3º PA'!$A$4:$A$2731)+ROW()-3)</f>
        <v>6893</v>
      </c>
      <c r="B868" s="413">
        <v>44873</v>
      </c>
      <c r="C868" s="431">
        <v>44805</v>
      </c>
      <c r="D868" s="419" t="s">
        <v>468</v>
      </c>
      <c r="E868" s="419" t="s">
        <v>468</v>
      </c>
      <c r="F868" s="422">
        <v>55.27</v>
      </c>
      <c r="G868" s="427" t="s">
        <v>7753</v>
      </c>
      <c r="H868" s="415" t="s">
        <v>468</v>
      </c>
      <c r="I868" s="415" t="s">
        <v>764</v>
      </c>
      <c r="J868" s="426" t="s">
        <v>310</v>
      </c>
      <c r="K868" s="415" t="s">
        <v>1220</v>
      </c>
      <c r="L868" s="415" t="s">
        <v>3443</v>
      </c>
      <c r="M868" s="597">
        <v>222254737483</v>
      </c>
      <c r="N868" s="413">
        <v>44873</v>
      </c>
      <c r="O868" s="414" t="s">
        <v>405</v>
      </c>
      <c r="P868" s="655">
        <f t="shared" si="46"/>
        <v>11</v>
      </c>
      <c r="Q868" s="655">
        <f t="shared" si="47"/>
        <v>9</v>
      </c>
      <c r="R868" s="758" t="str">
        <f t="shared" si="45"/>
        <v>Gastos_custeados_por_captação</v>
      </c>
      <c r="S868" s="697" t="s">
        <v>310</v>
      </c>
      <c r="T868" s="697" t="s">
        <v>310</v>
      </c>
    </row>
    <row r="869" spans="1:20" ht="48" x14ac:dyDescent="0.2">
      <c r="A869" s="432">
        <f>IF(B869="","",COUNT('Diário 1º PA'!$A$4:$A$2635)+COUNT('Diário 2º PA'!$A$4:$A$3040)+COUNT('Diário 3º PA'!$A$4:$A$2731)+ROW()-3)</f>
        <v>6894</v>
      </c>
      <c r="B869" s="413">
        <v>44873</v>
      </c>
      <c r="C869" s="431">
        <v>44835</v>
      </c>
      <c r="D869" s="419" t="s">
        <v>468</v>
      </c>
      <c r="E869" s="419" t="s">
        <v>468</v>
      </c>
      <c r="F869" s="422">
        <v>15.96</v>
      </c>
      <c r="G869" s="427" t="s">
        <v>7761</v>
      </c>
      <c r="H869" s="415" t="s">
        <v>468</v>
      </c>
      <c r="I869" s="415" t="s">
        <v>764</v>
      </c>
      <c r="J869" s="426" t="s">
        <v>310</v>
      </c>
      <c r="K869" s="415" t="s">
        <v>1220</v>
      </c>
      <c r="L869" s="415" t="s">
        <v>3443</v>
      </c>
      <c r="M869" s="597">
        <v>222254737726</v>
      </c>
      <c r="N869" s="413">
        <v>44873</v>
      </c>
      <c r="O869" s="414" t="s">
        <v>405</v>
      </c>
      <c r="P869" s="655">
        <f t="shared" si="46"/>
        <v>11</v>
      </c>
      <c r="Q869" s="655">
        <f t="shared" si="47"/>
        <v>10</v>
      </c>
      <c r="R869" s="758" t="str">
        <f t="shared" si="45"/>
        <v>Gastos_custeados_por_captação</v>
      </c>
      <c r="S869" s="697" t="s">
        <v>310</v>
      </c>
      <c r="T869" s="697" t="s">
        <v>310</v>
      </c>
    </row>
    <row r="870" spans="1:20" ht="48" x14ac:dyDescent="0.2">
      <c r="A870" s="432">
        <f>IF(B870="","",COUNT('Diário 1º PA'!$A$4:$A$2635)+COUNT('Diário 2º PA'!$A$4:$A$3040)+COUNT('Diário 3º PA'!$A$4:$A$2731)+ROW()-3)</f>
        <v>6895</v>
      </c>
      <c r="B870" s="413">
        <v>44873</v>
      </c>
      <c r="C870" s="431">
        <v>44805</v>
      </c>
      <c r="D870" s="419" t="s">
        <v>468</v>
      </c>
      <c r="E870" s="419" t="s">
        <v>468</v>
      </c>
      <c r="F870" s="422">
        <v>60.3</v>
      </c>
      <c r="G870" s="427" t="s">
        <v>7757</v>
      </c>
      <c r="H870" s="415" t="s">
        <v>468</v>
      </c>
      <c r="I870" s="415" t="s">
        <v>764</v>
      </c>
      <c r="J870" s="426" t="s">
        <v>310</v>
      </c>
      <c r="K870" s="415" t="s">
        <v>1220</v>
      </c>
      <c r="L870" s="415" t="s">
        <v>3443</v>
      </c>
      <c r="M870" s="597">
        <v>222254737807</v>
      </c>
      <c r="N870" s="413">
        <v>44873</v>
      </c>
      <c r="O870" s="414" t="s">
        <v>405</v>
      </c>
      <c r="P870" s="655">
        <f t="shared" si="46"/>
        <v>11</v>
      </c>
      <c r="Q870" s="655">
        <f t="shared" si="47"/>
        <v>9</v>
      </c>
      <c r="R870" s="758" t="str">
        <f t="shared" si="45"/>
        <v>Gastos_custeados_por_captação</v>
      </c>
      <c r="S870" s="697" t="s">
        <v>310</v>
      </c>
      <c r="T870" s="697" t="s">
        <v>310</v>
      </c>
    </row>
    <row r="871" spans="1:20" ht="48" x14ac:dyDescent="0.2">
      <c r="A871" s="432">
        <f>IF(B871="","",COUNT('Diário 1º PA'!$A$4:$A$2635)+COUNT('Diário 2º PA'!$A$4:$A$3040)+COUNT('Diário 3º PA'!$A$4:$A$2731)+ROW()-3)</f>
        <v>6896</v>
      </c>
      <c r="B871" s="413">
        <v>44873</v>
      </c>
      <c r="C871" s="431">
        <v>44805</v>
      </c>
      <c r="D871" s="419" t="s">
        <v>468</v>
      </c>
      <c r="E871" s="419" t="s">
        <v>468</v>
      </c>
      <c r="F871" s="422">
        <v>42.71</v>
      </c>
      <c r="G871" s="427" t="s">
        <v>7758</v>
      </c>
      <c r="H871" s="415" t="s">
        <v>468</v>
      </c>
      <c r="I871" s="415" t="s">
        <v>764</v>
      </c>
      <c r="J871" s="426" t="s">
        <v>310</v>
      </c>
      <c r="K871" s="415" t="s">
        <v>1220</v>
      </c>
      <c r="L871" s="415" t="s">
        <v>3443</v>
      </c>
      <c r="M871" s="597">
        <v>222254738374</v>
      </c>
      <c r="N871" s="413">
        <v>44873</v>
      </c>
      <c r="O871" s="414" t="s">
        <v>405</v>
      </c>
      <c r="P871" s="655">
        <f t="shared" si="46"/>
        <v>11</v>
      </c>
      <c r="Q871" s="655">
        <f t="shared" si="47"/>
        <v>9</v>
      </c>
      <c r="R871" s="758" t="str">
        <f t="shared" si="45"/>
        <v>Gastos_custeados_por_captação</v>
      </c>
      <c r="S871" s="697" t="s">
        <v>310</v>
      </c>
      <c r="T871" s="697" t="s">
        <v>310</v>
      </c>
    </row>
    <row r="872" spans="1:20" ht="48" x14ac:dyDescent="0.2">
      <c r="A872" s="432">
        <f>IF(B872="","",COUNT('Diário 1º PA'!$A$4:$A$2635)+COUNT('Diário 2º PA'!$A$4:$A$3040)+COUNT('Diário 3º PA'!$A$4:$A$2731)+ROW()-3)</f>
        <v>6897</v>
      </c>
      <c r="B872" s="413">
        <v>44873</v>
      </c>
      <c r="C872" s="431">
        <v>44835</v>
      </c>
      <c r="D872" s="419" t="s">
        <v>468</v>
      </c>
      <c r="E872" s="419" t="s">
        <v>468</v>
      </c>
      <c r="F872" s="422">
        <v>70</v>
      </c>
      <c r="G872" s="427" t="s">
        <v>7755</v>
      </c>
      <c r="H872" s="415" t="s">
        <v>468</v>
      </c>
      <c r="I872" s="415" t="s">
        <v>764</v>
      </c>
      <c r="J872" s="426" t="s">
        <v>310</v>
      </c>
      <c r="K872" s="415" t="s">
        <v>1220</v>
      </c>
      <c r="L872" s="415" t="s">
        <v>3443</v>
      </c>
      <c r="M872" s="597">
        <v>222254738455</v>
      </c>
      <c r="N872" s="413">
        <v>44873</v>
      </c>
      <c r="O872" s="414" t="s">
        <v>405</v>
      </c>
      <c r="P872" s="655">
        <f t="shared" si="46"/>
        <v>11</v>
      </c>
      <c r="Q872" s="655">
        <f t="shared" si="47"/>
        <v>10</v>
      </c>
      <c r="R872" s="758" t="str">
        <f t="shared" si="45"/>
        <v>Gastos_custeados_por_captação</v>
      </c>
      <c r="S872" s="697" t="s">
        <v>310</v>
      </c>
      <c r="T872" s="697" t="s">
        <v>310</v>
      </c>
    </row>
    <row r="873" spans="1:20" ht="48" x14ac:dyDescent="0.2">
      <c r="A873" s="432">
        <f>IF(B873="","",COUNT('Diário 1º PA'!$A$4:$A$2635)+COUNT('Diário 2º PA'!$A$4:$A$3040)+COUNT('Diário 3º PA'!$A$4:$A$2731)+ROW()-3)</f>
        <v>6898</v>
      </c>
      <c r="B873" s="413">
        <v>44873</v>
      </c>
      <c r="C873" s="431">
        <v>44774</v>
      </c>
      <c r="D873" s="419" t="s">
        <v>468</v>
      </c>
      <c r="E873" s="419" t="s">
        <v>468</v>
      </c>
      <c r="F873" s="422">
        <v>60</v>
      </c>
      <c r="G873" s="427" t="s">
        <v>7756</v>
      </c>
      <c r="H873" s="415" t="s">
        <v>468</v>
      </c>
      <c r="I873" s="415" t="s">
        <v>764</v>
      </c>
      <c r="J873" s="426" t="s">
        <v>310</v>
      </c>
      <c r="K873" s="415" t="s">
        <v>1220</v>
      </c>
      <c r="L873" s="415" t="s">
        <v>3443</v>
      </c>
      <c r="M873" s="597">
        <v>222254738706</v>
      </c>
      <c r="N873" s="413">
        <v>44873</v>
      </c>
      <c r="O873" s="414" t="s">
        <v>405</v>
      </c>
      <c r="P873" s="655">
        <f t="shared" si="46"/>
        <v>11</v>
      </c>
      <c r="Q873" s="655">
        <f t="shared" si="47"/>
        <v>8</v>
      </c>
      <c r="R873" s="758" t="str">
        <f t="shared" si="45"/>
        <v>Gastos_custeados_por_captação</v>
      </c>
      <c r="S873" s="697" t="s">
        <v>310</v>
      </c>
      <c r="T873" s="697" t="s">
        <v>310</v>
      </c>
    </row>
    <row r="874" spans="1:20" ht="48" x14ac:dyDescent="0.2">
      <c r="A874" s="432">
        <f>IF(B874="","",COUNT('Diário 1º PA'!$A$4:$A$2635)+COUNT('Diário 2º PA'!$A$4:$A$3040)+COUNT('Diário 3º PA'!$A$4:$A$2731)+ROW()-3)</f>
        <v>6899</v>
      </c>
      <c r="B874" s="413">
        <v>44873</v>
      </c>
      <c r="C874" s="431">
        <v>44835</v>
      </c>
      <c r="D874" s="419" t="s">
        <v>468</v>
      </c>
      <c r="E874" s="419" t="s">
        <v>468</v>
      </c>
      <c r="F874" s="422">
        <v>118.8</v>
      </c>
      <c r="G874" s="427" t="s">
        <v>8275</v>
      </c>
      <c r="H874" s="415" t="s">
        <v>468</v>
      </c>
      <c r="I874" s="415" t="s">
        <v>764</v>
      </c>
      <c r="J874" s="426" t="s">
        <v>310</v>
      </c>
      <c r="K874" s="415" t="s">
        <v>1220</v>
      </c>
      <c r="L874" s="415" t="s">
        <v>3443</v>
      </c>
      <c r="M874" s="597">
        <v>222254738960</v>
      </c>
      <c r="N874" s="413">
        <v>44873</v>
      </c>
      <c r="O874" s="414" t="s">
        <v>405</v>
      </c>
      <c r="P874" s="655">
        <f t="shared" si="46"/>
        <v>11</v>
      </c>
      <c r="Q874" s="655">
        <f t="shared" si="47"/>
        <v>10</v>
      </c>
      <c r="R874" s="758" t="str">
        <f t="shared" si="45"/>
        <v>Gastos_custeados_por_captação</v>
      </c>
      <c r="S874" s="697" t="s">
        <v>310</v>
      </c>
      <c r="T874" s="697" t="s">
        <v>310</v>
      </c>
    </row>
    <row r="875" spans="1:20" ht="48" x14ac:dyDescent="0.2">
      <c r="A875" s="432">
        <f>IF(B875="","",COUNT('Diário 1º PA'!$A$4:$A$2635)+COUNT('Diário 2º PA'!$A$4:$A$3040)+COUNT('Diário 3º PA'!$A$4:$A$2731)+ROW()-3)</f>
        <v>6900</v>
      </c>
      <c r="B875" s="413">
        <v>44873</v>
      </c>
      <c r="C875" s="431">
        <v>44835</v>
      </c>
      <c r="D875" s="419" t="s">
        <v>468</v>
      </c>
      <c r="E875" s="419" t="s">
        <v>468</v>
      </c>
      <c r="F875" s="422">
        <v>218</v>
      </c>
      <c r="G875" s="427" t="s">
        <v>8033</v>
      </c>
      <c r="H875" s="415" t="s">
        <v>468</v>
      </c>
      <c r="I875" s="415" t="s">
        <v>764</v>
      </c>
      <c r="J875" s="426" t="s">
        <v>310</v>
      </c>
      <c r="K875" s="415" t="s">
        <v>1220</v>
      </c>
      <c r="L875" s="415" t="s">
        <v>3443</v>
      </c>
      <c r="M875" s="597">
        <v>222254739001</v>
      </c>
      <c r="N875" s="413">
        <v>44873</v>
      </c>
      <c r="O875" s="414" t="s">
        <v>405</v>
      </c>
      <c r="P875" s="655">
        <f t="shared" si="46"/>
        <v>11</v>
      </c>
      <c r="Q875" s="655">
        <f t="shared" si="47"/>
        <v>10</v>
      </c>
      <c r="R875" s="758" t="str">
        <f t="shared" si="45"/>
        <v>Gastos_custeados_por_captação</v>
      </c>
      <c r="S875" s="697" t="s">
        <v>310</v>
      </c>
      <c r="T875" s="697" t="s">
        <v>310</v>
      </c>
    </row>
    <row r="876" spans="1:20" ht="48" x14ac:dyDescent="0.2">
      <c r="A876" s="432">
        <f>IF(B876="","",COUNT('Diário 1º PA'!$A$4:$A$2635)+COUNT('Diário 2º PA'!$A$4:$A$3040)+COUNT('Diário 3º PA'!$A$4:$A$2731)+ROW()-3)</f>
        <v>6901</v>
      </c>
      <c r="B876" s="413">
        <v>44873</v>
      </c>
      <c r="C876" s="431">
        <v>44835</v>
      </c>
      <c r="D876" s="419" t="s">
        <v>468</v>
      </c>
      <c r="E876" s="419" t="s">
        <v>468</v>
      </c>
      <c r="F876" s="422">
        <v>25</v>
      </c>
      <c r="G876" s="427" t="s">
        <v>8030</v>
      </c>
      <c r="H876" s="415" t="s">
        <v>468</v>
      </c>
      <c r="I876" s="415" t="s">
        <v>764</v>
      </c>
      <c r="J876" s="426" t="s">
        <v>310</v>
      </c>
      <c r="K876" s="415" t="s">
        <v>1220</v>
      </c>
      <c r="L876" s="415" t="s">
        <v>3443</v>
      </c>
      <c r="M876" s="597">
        <v>222254739184</v>
      </c>
      <c r="N876" s="413">
        <v>44873</v>
      </c>
      <c r="O876" s="414" t="s">
        <v>405</v>
      </c>
      <c r="P876" s="655">
        <f t="shared" si="46"/>
        <v>11</v>
      </c>
      <c r="Q876" s="655">
        <f t="shared" si="47"/>
        <v>10</v>
      </c>
      <c r="R876" s="758" t="str">
        <f t="shared" si="45"/>
        <v>Gastos_custeados_por_captação</v>
      </c>
      <c r="S876" s="697" t="s">
        <v>310</v>
      </c>
      <c r="T876" s="697" t="s">
        <v>310</v>
      </c>
    </row>
    <row r="877" spans="1:20" ht="48" x14ac:dyDescent="0.2">
      <c r="A877" s="432">
        <f>IF(B877="","",COUNT('Diário 1º PA'!$A$4:$A$2635)+COUNT('Diário 2º PA'!$A$4:$A$3040)+COUNT('Diário 3º PA'!$A$4:$A$2731)+ROW()-3)</f>
        <v>6902</v>
      </c>
      <c r="B877" s="413">
        <v>44873</v>
      </c>
      <c r="C877" s="431">
        <v>44835</v>
      </c>
      <c r="D877" s="419" t="s">
        <v>468</v>
      </c>
      <c r="E877" s="419" t="s">
        <v>468</v>
      </c>
      <c r="F877" s="422">
        <v>25</v>
      </c>
      <c r="G877" s="427" t="s">
        <v>8003</v>
      </c>
      <c r="H877" s="415" t="s">
        <v>468</v>
      </c>
      <c r="I877" s="415" t="s">
        <v>764</v>
      </c>
      <c r="J877" s="426" t="s">
        <v>310</v>
      </c>
      <c r="K877" s="415" t="s">
        <v>1220</v>
      </c>
      <c r="L877" s="415" t="s">
        <v>3443</v>
      </c>
      <c r="M877" s="597">
        <v>222254739346</v>
      </c>
      <c r="N877" s="413">
        <v>44873</v>
      </c>
      <c r="O877" s="414" t="s">
        <v>405</v>
      </c>
      <c r="P877" s="655">
        <f t="shared" si="46"/>
        <v>11</v>
      </c>
      <c r="Q877" s="655">
        <f t="shared" si="47"/>
        <v>10</v>
      </c>
      <c r="R877" s="758" t="str">
        <f t="shared" si="45"/>
        <v>Gastos_custeados_por_captação</v>
      </c>
      <c r="S877" s="697" t="s">
        <v>310</v>
      </c>
      <c r="T877" s="697" t="s">
        <v>310</v>
      </c>
    </row>
    <row r="878" spans="1:20" ht="48" x14ac:dyDescent="0.2">
      <c r="A878" s="432">
        <f>IF(B878="","",COUNT('Diário 1º PA'!$A$4:$A$2635)+COUNT('Diário 2º PA'!$A$4:$A$3040)+COUNT('Diário 3º PA'!$A$4:$A$2731)+ROW()-3)</f>
        <v>6903</v>
      </c>
      <c r="B878" s="413">
        <v>44873</v>
      </c>
      <c r="C878" s="431">
        <v>44835</v>
      </c>
      <c r="D878" s="419" t="s">
        <v>468</v>
      </c>
      <c r="E878" s="419" t="s">
        <v>468</v>
      </c>
      <c r="F878" s="422">
        <v>62.5</v>
      </c>
      <c r="G878" s="427" t="s">
        <v>8093</v>
      </c>
      <c r="H878" s="415" t="s">
        <v>468</v>
      </c>
      <c r="I878" s="415" t="s">
        <v>764</v>
      </c>
      <c r="J878" s="426" t="s">
        <v>310</v>
      </c>
      <c r="K878" s="415" t="s">
        <v>1220</v>
      </c>
      <c r="L878" s="415" t="s">
        <v>3443</v>
      </c>
      <c r="M878" s="597">
        <v>222254740433</v>
      </c>
      <c r="N878" s="413">
        <v>44873</v>
      </c>
      <c r="O878" s="414" t="s">
        <v>405</v>
      </c>
      <c r="P878" s="655">
        <f t="shared" si="46"/>
        <v>11</v>
      </c>
      <c r="Q878" s="655">
        <f t="shared" si="47"/>
        <v>10</v>
      </c>
      <c r="R878" s="758" t="str">
        <f t="shared" si="45"/>
        <v>Gastos_custeados_por_captação</v>
      </c>
      <c r="S878" s="697" t="s">
        <v>310</v>
      </c>
      <c r="T878" s="697" t="s">
        <v>310</v>
      </c>
    </row>
    <row r="879" spans="1:20" ht="48" x14ac:dyDescent="0.2">
      <c r="A879" s="432">
        <f>IF(B879="","",COUNT('Diário 1º PA'!$A$4:$A$2635)+COUNT('Diário 2º PA'!$A$4:$A$3040)+COUNT('Diário 3º PA'!$A$4:$A$2731)+ROW()-3)</f>
        <v>6904</v>
      </c>
      <c r="B879" s="413">
        <v>44873</v>
      </c>
      <c r="C879" s="431">
        <v>44805</v>
      </c>
      <c r="D879" s="419" t="s">
        <v>468</v>
      </c>
      <c r="E879" s="419" t="s">
        <v>468</v>
      </c>
      <c r="F879" s="422">
        <v>120.6</v>
      </c>
      <c r="G879" s="427" t="s">
        <v>8000</v>
      </c>
      <c r="H879" s="415" t="s">
        <v>468</v>
      </c>
      <c r="I879" s="415" t="s">
        <v>764</v>
      </c>
      <c r="J879" s="426" t="s">
        <v>310</v>
      </c>
      <c r="K879" s="415" t="s">
        <v>1220</v>
      </c>
      <c r="L879" s="415" t="s">
        <v>3443</v>
      </c>
      <c r="M879" s="597">
        <v>222254740867</v>
      </c>
      <c r="N879" s="413">
        <v>44873</v>
      </c>
      <c r="O879" s="414" t="s">
        <v>405</v>
      </c>
      <c r="P879" s="655">
        <f t="shared" si="46"/>
        <v>11</v>
      </c>
      <c r="Q879" s="655">
        <f t="shared" si="47"/>
        <v>9</v>
      </c>
      <c r="R879" s="758" t="str">
        <f t="shared" si="45"/>
        <v>Gastos_custeados_por_captação</v>
      </c>
      <c r="S879" s="697" t="s">
        <v>310</v>
      </c>
      <c r="T879" s="697" t="s">
        <v>310</v>
      </c>
    </row>
    <row r="880" spans="1:20" ht="48" x14ac:dyDescent="0.2">
      <c r="A880" s="432">
        <f>IF(B880="","",COUNT('Diário 1º PA'!$A$4:$A$2635)+COUNT('Diário 2º PA'!$A$4:$A$3040)+COUNT('Diário 3º PA'!$A$4:$A$2731)+ROW()-3)</f>
        <v>6905</v>
      </c>
      <c r="B880" s="413">
        <v>44873</v>
      </c>
      <c r="C880" s="431">
        <v>44805</v>
      </c>
      <c r="D880" s="419" t="s">
        <v>468</v>
      </c>
      <c r="E880" s="419" t="s">
        <v>468</v>
      </c>
      <c r="F880" s="422">
        <v>66.33</v>
      </c>
      <c r="G880" s="427" t="s">
        <v>8001</v>
      </c>
      <c r="H880" s="415" t="s">
        <v>468</v>
      </c>
      <c r="I880" s="415" t="s">
        <v>764</v>
      </c>
      <c r="J880" s="426" t="s">
        <v>310</v>
      </c>
      <c r="K880" s="415" t="s">
        <v>1220</v>
      </c>
      <c r="L880" s="415" t="s">
        <v>3443</v>
      </c>
      <c r="M880" s="597">
        <v>222254741081</v>
      </c>
      <c r="N880" s="413">
        <v>44873</v>
      </c>
      <c r="O880" s="414" t="s">
        <v>405</v>
      </c>
      <c r="P880" s="655">
        <f t="shared" si="46"/>
        <v>11</v>
      </c>
      <c r="Q880" s="655">
        <f t="shared" si="47"/>
        <v>9</v>
      </c>
      <c r="R880" s="758" t="str">
        <f t="shared" si="45"/>
        <v>Gastos_custeados_por_captação</v>
      </c>
      <c r="S880" s="697" t="s">
        <v>310</v>
      </c>
      <c r="T880" s="697" t="s">
        <v>310</v>
      </c>
    </row>
    <row r="881" spans="1:20" ht="48" x14ac:dyDescent="0.2">
      <c r="A881" s="432">
        <f>IF(B881="","",COUNT('Diário 1º PA'!$A$4:$A$2635)+COUNT('Diário 2º PA'!$A$4:$A$3040)+COUNT('Diário 3º PA'!$A$4:$A$2731)+ROW()-3)</f>
        <v>6906</v>
      </c>
      <c r="B881" s="413">
        <v>44873</v>
      </c>
      <c r="C881" s="431">
        <v>44805</v>
      </c>
      <c r="D881" s="419" t="s">
        <v>468</v>
      </c>
      <c r="E881" s="419" t="s">
        <v>468</v>
      </c>
      <c r="F881" s="422">
        <v>72.36</v>
      </c>
      <c r="G881" s="427" t="s">
        <v>8002</v>
      </c>
      <c r="H881" s="415" t="s">
        <v>468</v>
      </c>
      <c r="I881" s="415" t="s">
        <v>764</v>
      </c>
      <c r="J881" s="426" t="s">
        <v>310</v>
      </c>
      <c r="K881" s="415" t="s">
        <v>1220</v>
      </c>
      <c r="L881" s="415" t="s">
        <v>3443</v>
      </c>
      <c r="M881" s="597">
        <v>222254741162</v>
      </c>
      <c r="N881" s="413">
        <v>44873</v>
      </c>
      <c r="O881" s="414" t="s">
        <v>405</v>
      </c>
      <c r="P881" s="655">
        <f t="shared" si="46"/>
        <v>11</v>
      </c>
      <c r="Q881" s="655">
        <f t="shared" si="47"/>
        <v>9</v>
      </c>
      <c r="R881" s="758" t="str">
        <f t="shared" ref="R881:R944" si="48">SUBSTITUTE(D881," ","_")</f>
        <v>Gastos_custeados_por_captação</v>
      </c>
      <c r="S881" s="697" t="s">
        <v>310</v>
      </c>
      <c r="T881" s="697" t="s">
        <v>310</v>
      </c>
    </row>
    <row r="882" spans="1:20" ht="48" x14ac:dyDescent="0.2">
      <c r="A882" s="432">
        <f>IF(B882="","",COUNT('Diário 1º PA'!$A$4:$A$2635)+COUNT('Diário 2º PA'!$A$4:$A$3040)+COUNT('Diário 3º PA'!$A$4:$A$2731)+ROW()-3)</f>
        <v>6907</v>
      </c>
      <c r="B882" s="413">
        <v>44873</v>
      </c>
      <c r="C882" s="431">
        <v>44835</v>
      </c>
      <c r="D882" s="419" t="s">
        <v>468</v>
      </c>
      <c r="E882" s="419" t="s">
        <v>468</v>
      </c>
      <c r="F882" s="422">
        <v>309.60000000000002</v>
      </c>
      <c r="G882" s="427" t="s">
        <v>7997</v>
      </c>
      <c r="H882" s="415" t="s">
        <v>468</v>
      </c>
      <c r="I882" s="415" t="s">
        <v>764</v>
      </c>
      <c r="J882" s="426" t="s">
        <v>310</v>
      </c>
      <c r="K882" s="415" t="s">
        <v>1220</v>
      </c>
      <c r="L882" s="415" t="s">
        <v>3443</v>
      </c>
      <c r="M882" s="597">
        <v>222254741677</v>
      </c>
      <c r="N882" s="413">
        <v>44873</v>
      </c>
      <c r="O882" s="414" t="s">
        <v>405</v>
      </c>
      <c r="P882" s="655">
        <f t="shared" si="46"/>
        <v>11</v>
      </c>
      <c r="Q882" s="655">
        <f t="shared" si="47"/>
        <v>10</v>
      </c>
      <c r="R882" s="758" t="str">
        <f t="shared" si="48"/>
        <v>Gastos_custeados_por_captação</v>
      </c>
      <c r="S882" s="697" t="s">
        <v>310</v>
      </c>
      <c r="T882" s="697" t="s">
        <v>310</v>
      </c>
    </row>
    <row r="883" spans="1:20" ht="48" x14ac:dyDescent="0.2">
      <c r="A883" s="432">
        <f>IF(B883="","",COUNT('Diário 1º PA'!$A$4:$A$2635)+COUNT('Diário 2º PA'!$A$4:$A$3040)+COUNT('Diário 3º PA'!$A$4:$A$2731)+ROW()-3)</f>
        <v>6908</v>
      </c>
      <c r="B883" s="413">
        <v>44873</v>
      </c>
      <c r="C883" s="431">
        <v>44835</v>
      </c>
      <c r="D883" s="419" t="s">
        <v>468</v>
      </c>
      <c r="E883" s="419" t="s">
        <v>468</v>
      </c>
      <c r="F883" s="422">
        <v>38.700000000000003</v>
      </c>
      <c r="G883" s="427" t="s">
        <v>7999</v>
      </c>
      <c r="H883" s="415" t="s">
        <v>468</v>
      </c>
      <c r="I883" s="415" t="s">
        <v>764</v>
      </c>
      <c r="J883" s="426" t="s">
        <v>310</v>
      </c>
      <c r="K883" s="415" t="s">
        <v>1220</v>
      </c>
      <c r="L883" s="415" t="s">
        <v>3443</v>
      </c>
      <c r="M883" s="597">
        <v>222254741758</v>
      </c>
      <c r="N883" s="413">
        <v>44873</v>
      </c>
      <c r="O883" s="414" t="s">
        <v>405</v>
      </c>
      <c r="P883" s="655">
        <f t="shared" si="46"/>
        <v>11</v>
      </c>
      <c r="Q883" s="655">
        <f t="shared" si="47"/>
        <v>10</v>
      </c>
      <c r="R883" s="758" t="str">
        <f t="shared" si="48"/>
        <v>Gastos_custeados_por_captação</v>
      </c>
      <c r="S883" s="697" t="s">
        <v>310</v>
      </c>
      <c r="T883" s="697" t="s">
        <v>310</v>
      </c>
    </row>
    <row r="884" spans="1:20" ht="48" x14ac:dyDescent="0.2">
      <c r="A884" s="432">
        <f>IF(B884="","",COUNT('Diário 1º PA'!$A$4:$A$2635)+COUNT('Diário 2º PA'!$A$4:$A$3040)+COUNT('Diário 3º PA'!$A$4:$A$2731)+ROW()-3)</f>
        <v>6909</v>
      </c>
      <c r="B884" s="413">
        <v>44873</v>
      </c>
      <c r="C884" s="431">
        <v>44835</v>
      </c>
      <c r="D884" s="419" t="s">
        <v>468</v>
      </c>
      <c r="E884" s="419" t="s">
        <v>468</v>
      </c>
      <c r="F884" s="422">
        <v>67.5</v>
      </c>
      <c r="G884" s="427" t="s">
        <v>8026</v>
      </c>
      <c r="H884" s="415" t="s">
        <v>468</v>
      </c>
      <c r="I884" s="415" t="s">
        <v>764</v>
      </c>
      <c r="J884" s="426" t="s">
        <v>310</v>
      </c>
      <c r="K884" s="415" t="s">
        <v>1220</v>
      </c>
      <c r="L884" s="415" t="s">
        <v>3443</v>
      </c>
      <c r="M884" s="597">
        <v>222254742053</v>
      </c>
      <c r="N884" s="413">
        <v>44873</v>
      </c>
      <c r="O884" s="414" t="s">
        <v>405</v>
      </c>
      <c r="P884" s="655">
        <f t="shared" si="46"/>
        <v>11</v>
      </c>
      <c r="Q884" s="655">
        <f t="shared" si="47"/>
        <v>10</v>
      </c>
      <c r="R884" s="758" t="str">
        <f t="shared" si="48"/>
        <v>Gastos_custeados_por_captação</v>
      </c>
      <c r="S884" s="697" t="s">
        <v>310</v>
      </c>
      <c r="T884" s="697" t="s">
        <v>310</v>
      </c>
    </row>
    <row r="885" spans="1:20" ht="48" x14ac:dyDescent="0.2">
      <c r="A885" s="432">
        <f>IF(B885="","",COUNT('Diário 1º PA'!$A$4:$A$2635)+COUNT('Diário 2º PA'!$A$4:$A$3040)+COUNT('Diário 3º PA'!$A$4:$A$2731)+ROW()-3)</f>
        <v>6910</v>
      </c>
      <c r="B885" s="413">
        <v>44873</v>
      </c>
      <c r="C885" s="431">
        <v>44835</v>
      </c>
      <c r="D885" s="419" t="s">
        <v>468</v>
      </c>
      <c r="E885" s="419" t="s">
        <v>468</v>
      </c>
      <c r="F885" s="422">
        <v>62.5</v>
      </c>
      <c r="G885" s="427" t="s">
        <v>8027</v>
      </c>
      <c r="H885" s="415" t="s">
        <v>468</v>
      </c>
      <c r="I885" s="415" t="s">
        <v>764</v>
      </c>
      <c r="J885" s="426" t="s">
        <v>310</v>
      </c>
      <c r="K885" s="415" t="s">
        <v>1220</v>
      </c>
      <c r="L885" s="415" t="s">
        <v>3443</v>
      </c>
      <c r="M885" s="597">
        <v>222254742134</v>
      </c>
      <c r="N885" s="413">
        <v>44873</v>
      </c>
      <c r="O885" s="414" t="s">
        <v>405</v>
      </c>
      <c r="P885" s="655">
        <f t="shared" si="46"/>
        <v>11</v>
      </c>
      <c r="Q885" s="655">
        <f t="shared" si="47"/>
        <v>10</v>
      </c>
      <c r="R885" s="758" t="str">
        <f t="shared" si="48"/>
        <v>Gastos_custeados_por_captação</v>
      </c>
      <c r="S885" s="697" t="s">
        <v>310</v>
      </c>
      <c r="T885" s="697" t="s">
        <v>310</v>
      </c>
    </row>
    <row r="886" spans="1:20" ht="48" x14ac:dyDescent="0.2">
      <c r="A886" s="432">
        <f>IF(B886="","",COUNT('Diário 1º PA'!$A$4:$A$2635)+COUNT('Diário 2º PA'!$A$4:$A$3040)+COUNT('Diário 3º PA'!$A$4:$A$2731)+ROW()-3)</f>
        <v>6911</v>
      </c>
      <c r="B886" s="413">
        <v>44873</v>
      </c>
      <c r="C886" s="431">
        <v>44835</v>
      </c>
      <c r="D886" s="419" t="s">
        <v>468</v>
      </c>
      <c r="E886" s="419" t="s">
        <v>468</v>
      </c>
      <c r="F886" s="422">
        <v>251.75</v>
      </c>
      <c r="G886" s="427" t="s">
        <v>8204</v>
      </c>
      <c r="H886" s="415" t="s">
        <v>468</v>
      </c>
      <c r="I886" s="415" t="s">
        <v>764</v>
      </c>
      <c r="J886" s="426" t="s">
        <v>310</v>
      </c>
      <c r="K886" s="415" t="s">
        <v>1220</v>
      </c>
      <c r="L886" s="415" t="s">
        <v>3443</v>
      </c>
      <c r="M886" s="597">
        <v>222254742215</v>
      </c>
      <c r="N886" s="413">
        <v>44873</v>
      </c>
      <c r="O886" s="414" t="s">
        <v>405</v>
      </c>
      <c r="P886" s="655">
        <f t="shared" si="46"/>
        <v>11</v>
      </c>
      <c r="Q886" s="655">
        <f t="shared" si="47"/>
        <v>10</v>
      </c>
      <c r="R886" s="758" t="str">
        <f t="shared" si="48"/>
        <v>Gastos_custeados_por_captação</v>
      </c>
      <c r="S886" s="697" t="s">
        <v>310</v>
      </c>
      <c r="T886" s="697" t="s">
        <v>310</v>
      </c>
    </row>
    <row r="887" spans="1:20" ht="48" x14ac:dyDescent="0.2">
      <c r="A887" s="432">
        <f>IF(B887="","",COUNT('Diário 1º PA'!$A$4:$A$2635)+COUNT('Diário 2º PA'!$A$4:$A$3040)+COUNT('Diário 3º PA'!$A$4:$A$2731)+ROW()-3)</f>
        <v>6912</v>
      </c>
      <c r="B887" s="413">
        <v>44873</v>
      </c>
      <c r="C887" s="431">
        <v>44713</v>
      </c>
      <c r="D887" s="419" t="s">
        <v>468</v>
      </c>
      <c r="E887" s="419" t="s">
        <v>468</v>
      </c>
      <c r="F887" s="422">
        <v>298.3</v>
      </c>
      <c r="G887" s="427" t="s">
        <v>7792</v>
      </c>
      <c r="H887" s="415" t="s">
        <v>468</v>
      </c>
      <c r="I887" s="415" t="s">
        <v>764</v>
      </c>
      <c r="J887" s="419" t="s">
        <v>310</v>
      </c>
      <c r="K887" s="419" t="s">
        <v>1220</v>
      </c>
      <c r="L887" s="415" t="s">
        <v>3443</v>
      </c>
      <c r="M887" s="597">
        <v>222254787073</v>
      </c>
      <c r="N887" s="413">
        <v>44873</v>
      </c>
      <c r="O887" s="414" t="s">
        <v>404</v>
      </c>
      <c r="P887" s="655">
        <f t="shared" si="46"/>
        <v>11</v>
      </c>
      <c r="Q887" s="655">
        <f t="shared" si="47"/>
        <v>6</v>
      </c>
      <c r="R887" s="758" t="str">
        <f t="shared" si="48"/>
        <v>Gastos_custeados_por_captação</v>
      </c>
      <c r="S887" s="697" t="s">
        <v>310</v>
      </c>
      <c r="T887" s="697" t="s">
        <v>310</v>
      </c>
    </row>
    <row r="888" spans="1:20" ht="48" x14ac:dyDescent="0.2">
      <c r="A888" s="432">
        <f>IF(B888="","",COUNT('Diário 1º PA'!$A$4:$A$2635)+COUNT('Diário 2º PA'!$A$4:$A$3040)+COUNT('Diário 3º PA'!$A$4:$A$2731)+ROW()-3)</f>
        <v>6913</v>
      </c>
      <c r="B888" s="413">
        <v>44873</v>
      </c>
      <c r="C888" s="431">
        <v>44805</v>
      </c>
      <c r="D888" s="419" t="s">
        <v>468</v>
      </c>
      <c r="E888" s="419" t="s">
        <v>468</v>
      </c>
      <c r="F888" s="422">
        <v>100</v>
      </c>
      <c r="G888" s="427" t="s">
        <v>7794</v>
      </c>
      <c r="H888" s="415" t="s">
        <v>468</v>
      </c>
      <c r="I888" s="415" t="s">
        <v>764</v>
      </c>
      <c r="J888" s="419" t="s">
        <v>310</v>
      </c>
      <c r="K888" s="419" t="s">
        <v>1220</v>
      </c>
      <c r="L888" s="415" t="s">
        <v>3443</v>
      </c>
      <c r="M888" s="597">
        <v>222254787154</v>
      </c>
      <c r="N888" s="413">
        <v>44873</v>
      </c>
      <c r="O888" s="414" t="s">
        <v>404</v>
      </c>
      <c r="P888" s="655">
        <f t="shared" si="46"/>
        <v>11</v>
      </c>
      <c r="Q888" s="655">
        <f t="shared" si="47"/>
        <v>9</v>
      </c>
      <c r="R888" s="758" t="str">
        <f t="shared" si="48"/>
        <v>Gastos_custeados_por_captação</v>
      </c>
      <c r="S888" s="697" t="s">
        <v>310</v>
      </c>
      <c r="T888" s="697" t="s">
        <v>310</v>
      </c>
    </row>
    <row r="889" spans="1:20" ht="48" x14ac:dyDescent="0.2">
      <c r="A889" s="432">
        <f>IF(B889="","",COUNT('Diário 1º PA'!$A$4:$A$2635)+COUNT('Diário 2º PA'!$A$4:$A$3040)+COUNT('Diário 3º PA'!$A$4:$A$2731)+ROW()-3)</f>
        <v>6914</v>
      </c>
      <c r="B889" s="413">
        <v>44873</v>
      </c>
      <c r="C889" s="431">
        <v>44805</v>
      </c>
      <c r="D889" s="419" t="s">
        <v>468</v>
      </c>
      <c r="E889" s="419" t="s">
        <v>468</v>
      </c>
      <c r="F889" s="422">
        <v>120</v>
      </c>
      <c r="G889" s="427" t="s">
        <v>7796</v>
      </c>
      <c r="H889" s="415" t="s">
        <v>468</v>
      </c>
      <c r="I889" s="415" t="s">
        <v>764</v>
      </c>
      <c r="J889" s="419" t="s">
        <v>310</v>
      </c>
      <c r="K889" s="419" t="s">
        <v>1220</v>
      </c>
      <c r="L889" s="415" t="s">
        <v>3443</v>
      </c>
      <c r="M889" s="597">
        <v>222254787669</v>
      </c>
      <c r="N889" s="413">
        <v>44873</v>
      </c>
      <c r="O889" s="414" t="s">
        <v>404</v>
      </c>
      <c r="P889" s="655">
        <f t="shared" si="46"/>
        <v>11</v>
      </c>
      <c r="Q889" s="655">
        <f t="shared" si="47"/>
        <v>9</v>
      </c>
      <c r="R889" s="758" t="str">
        <f t="shared" si="48"/>
        <v>Gastos_custeados_por_captação</v>
      </c>
      <c r="S889" s="697" t="s">
        <v>310</v>
      </c>
      <c r="T889" s="697" t="s">
        <v>310</v>
      </c>
    </row>
    <row r="890" spans="1:20" ht="48" x14ac:dyDescent="0.2">
      <c r="A890" s="432">
        <f>IF(B890="","",COUNT('Diário 1º PA'!$A$4:$A$2635)+COUNT('Diário 2º PA'!$A$4:$A$3040)+COUNT('Diário 3º PA'!$A$4:$A$2731)+ROW()-3)</f>
        <v>6915</v>
      </c>
      <c r="B890" s="413">
        <v>44873</v>
      </c>
      <c r="C890" s="431">
        <v>44774</v>
      </c>
      <c r="D890" s="419" t="s">
        <v>468</v>
      </c>
      <c r="E890" s="419" t="s">
        <v>468</v>
      </c>
      <c r="F890" s="422">
        <v>100</v>
      </c>
      <c r="G890" s="427" t="s">
        <v>7803</v>
      </c>
      <c r="H890" s="415" t="s">
        <v>468</v>
      </c>
      <c r="I890" s="415" t="s">
        <v>764</v>
      </c>
      <c r="J890" s="419" t="s">
        <v>310</v>
      </c>
      <c r="K890" s="419" t="s">
        <v>1220</v>
      </c>
      <c r="L890" s="415" t="s">
        <v>3443</v>
      </c>
      <c r="M890" s="597">
        <v>222254787901</v>
      </c>
      <c r="N890" s="413">
        <v>44873</v>
      </c>
      <c r="O890" s="414" t="s">
        <v>404</v>
      </c>
      <c r="P890" s="655">
        <f t="shared" si="46"/>
        <v>11</v>
      </c>
      <c r="Q890" s="655">
        <f t="shared" si="47"/>
        <v>8</v>
      </c>
      <c r="R890" s="758" t="str">
        <f t="shared" si="48"/>
        <v>Gastos_custeados_por_captação</v>
      </c>
      <c r="S890" s="697" t="s">
        <v>310</v>
      </c>
      <c r="T890" s="697" t="s">
        <v>310</v>
      </c>
    </row>
    <row r="891" spans="1:20" ht="48" x14ac:dyDescent="0.2">
      <c r="A891" s="432">
        <f>IF(B891="","",COUNT('Diário 1º PA'!$A$4:$A$2635)+COUNT('Diário 2º PA'!$A$4:$A$3040)+COUNT('Diário 3º PA'!$A$4:$A$2731)+ROW()-3)</f>
        <v>6916</v>
      </c>
      <c r="B891" s="413">
        <v>44873</v>
      </c>
      <c r="C891" s="431">
        <v>44774</v>
      </c>
      <c r="D891" s="419" t="s">
        <v>468</v>
      </c>
      <c r="E891" s="419" t="s">
        <v>468</v>
      </c>
      <c r="F891" s="422">
        <v>100</v>
      </c>
      <c r="G891" s="427" t="s">
        <v>7801</v>
      </c>
      <c r="H891" s="415" t="s">
        <v>468</v>
      </c>
      <c r="I891" s="415" t="s">
        <v>764</v>
      </c>
      <c r="J891" s="419" t="s">
        <v>310</v>
      </c>
      <c r="K891" s="419" t="s">
        <v>1220</v>
      </c>
      <c r="L891" s="415" t="s">
        <v>3443</v>
      </c>
      <c r="M891" s="597">
        <v>222254788207</v>
      </c>
      <c r="N891" s="413">
        <v>44873</v>
      </c>
      <c r="O891" s="414" t="s">
        <v>404</v>
      </c>
      <c r="P891" s="655">
        <f t="shared" si="46"/>
        <v>11</v>
      </c>
      <c r="Q891" s="655">
        <f t="shared" si="47"/>
        <v>8</v>
      </c>
      <c r="R891" s="758" t="str">
        <f t="shared" si="48"/>
        <v>Gastos_custeados_por_captação</v>
      </c>
      <c r="S891" s="697" t="s">
        <v>310</v>
      </c>
      <c r="T891" s="697" t="s">
        <v>310</v>
      </c>
    </row>
    <row r="892" spans="1:20" ht="48" x14ac:dyDescent="0.2">
      <c r="A892" s="432">
        <f>IF(B892="","",COUNT('Diário 1º PA'!$A$4:$A$2635)+COUNT('Diário 2º PA'!$A$4:$A$3040)+COUNT('Diário 3º PA'!$A$4:$A$2731)+ROW()-3)</f>
        <v>6917</v>
      </c>
      <c r="B892" s="413">
        <v>44873</v>
      </c>
      <c r="C892" s="431">
        <v>44774</v>
      </c>
      <c r="D892" s="419" t="s">
        <v>468</v>
      </c>
      <c r="E892" s="419" t="s">
        <v>468</v>
      </c>
      <c r="F892" s="422">
        <v>100</v>
      </c>
      <c r="G892" s="427" t="s">
        <v>7804</v>
      </c>
      <c r="H892" s="415" t="s">
        <v>468</v>
      </c>
      <c r="I892" s="415" t="s">
        <v>764</v>
      </c>
      <c r="J892" s="419" t="s">
        <v>310</v>
      </c>
      <c r="K892" s="419" t="s">
        <v>1220</v>
      </c>
      <c r="L892" s="415" t="s">
        <v>3443</v>
      </c>
      <c r="M892" s="597">
        <v>222254788550</v>
      </c>
      <c r="N892" s="413">
        <v>44873</v>
      </c>
      <c r="O892" s="414" t="s">
        <v>404</v>
      </c>
      <c r="P892" s="655">
        <f t="shared" si="46"/>
        <v>11</v>
      </c>
      <c r="Q892" s="655">
        <f t="shared" si="47"/>
        <v>8</v>
      </c>
      <c r="R892" s="758" t="str">
        <f t="shared" si="48"/>
        <v>Gastos_custeados_por_captação</v>
      </c>
      <c r="S892" s="697" t="s">
        <v>310</v>
      </c>
      <c r="T892" s="697" t="s">
        <v>310</v>
      </c>
    </row>
    <row r="893" spans="1:20" ht="48" x14ac:dyDescent="0.2">
      <c r="A893" s="432">
        <f>IF(B893="","",COUNT('Diário 1º PA'!$A$4:$A$2635)+COUNT('Diário 2º PA'!$A$4:$A$3040)+COUNT('Diário 3º PA'!$A$4:$A$2731)+ROW()-3)</f>
        <v>6918</v>
      </c>
      <c r="B893" s="413">
        <v>44873</v>
      </c>
      <c r="C893" s="431">
        <v>44774</v>
      </c>
      <c r="D893" s="419" t="s">
        <v>468</v>
      </c>
      <c r="E893" s="419" t="s">
        <v>468</v>
      </c>
      <c r="F893" s="422">
        <v>100</v>
      </c>
      <c r="G893" s="427" t="s">
        <v>7800</v>
      </c>
      <c r="H893" s="415" t="s">
        <v>468</v>
      </c>
      <c r="I893" s="415" t="s">
        <v>764</v>
      </c>
      <c r="J893" s="419" t="s">
        <v>310</v>
      </c>
      <c r="K893" s="419" t="s">
        <v>1220</v>
      </c>
      <c r="L893" s="415" t="s">
        <v>3443</v>
      </c>
      <c r="M893" s="597">
        <v>222254788711</v>
      </c>
      <c r="N893" s="413">
        <v>44873</v>
      </c>
      <c r="O893" s="414" t="s">
        <v>404</v>
      </c>
      <c r="P893" s="655">
        <f t="shared" si="46"/>
        <v>11</v>
      </c>
      <c r="Q893" s="655">
        <f t="shared" si="47"/>
        <v>8</v>
      </c>
      <c r="R893" s="758" t="str">
        <f t="shared" si="48"/>
        <v>Gastos_custeados_por_captação</v>
      </c>
      <c r="S893" s="697" t="s">
        <v>310</v>
      </c>
      <c r="T893" s="697" t="s">
        <v>310</v>
      </c>
    </row>
    <row r="894" spans="1:20" ht="48" x14ac:dyDescent="0.2">
      <c r="A894" s="432">
        <f>IF(B894="","",COUNT('Diário 1º PA'!$A$4:$A$2635)+COUNT('Diário 2º PA'!$A$4:$A$3040)+COUNT('Diário 3º PA'!$A$4:$A$2731)+ROW()-3)</f>
        <v>6919</v>
      </c>
      <c r="B894" s="413">
        <v>44873</v>
      </c>
      <c r="C894" s="431">
        <v>44774</v>
      </c>
      <c r="D894" s="419" t="s">
        <v>468</v>
      </c>
      <c r="E894" s="419" t="s">
        <v>468</v>
      </c>
      <c r="F894" s="422">
        <v>100</v>
      </c>
      <c r="G894" s="427" t="s">
        <v>7887</v>
      </c>
      <c r="H894" s="415" t="s">
        <v>468</v>
      </c>
      <c r="I894" s="415" t="s">
        <v>764</v>
      </c>
      <c r="J894" s="419" t="s">
        <v>310</v>
      </c>
      <c r="K894" s="419" t="s">
        <v>1220</v>
      </c>
      <c r="L894" s="415" t="s">
        <v>3443</v>
      </c>
      <c r="M894" s="597">
        <v>222254788983</v>
      </c>
      <c r="N894" s="413">
        <v>44873</v>
      </c>
      <c r="O894" s="414" t="s">
        <v>404</v>
      </c>
      <c r="P894" s="655">
        <f t="shared" si="46"/>
        <v>11</v>
      </c>
      <c r="Q894" s="655">
        <f t="shared" si="47"/>
        <v>8</v>
      </c>
      <c r="R894" s="758" t="str">
        <f t="shared" si="48"/>
        <v>Gastos_custeados_por_captação</v>
      </c>
      <c r="S894" s="697" t="s">
        <v>310</v>
      </c>
      <c r="T894" s="697" t="s">
        <v>310</v>
      </c>
    </row>
    <row r="895" spans="1:20" ht="48" x14ac:dyDescent="0.2">
      <c r="A895" s="432">
        <f>IF(B895="","",COUNT('Diário 1º PA'!$A$4:$A$2635)+COUNT('Diário 2º PA'!$A$4:$A$3040)+COUNT('Diário 3º PA'!$A$4:$A$2731)+ROW()-3)</f>
        <v>6920</v>
      </c>
      <c r="B895" s="413">
        <v>44873</v>
      </c>
      <c r="C895" s="431">
        <v>44774</v>
      </c>
      <c r="D895" s="419" t="s">
        <v>468</v>
      </c>
      <c r="E895" s="419" t="s">
        <v>468</v>
      </c>
      <c r="F895" s="422">
        <v>100</v>
      </c>
      <c r="G895" s="427" t="s">
        <v>7886</v>
      </c>
      <c r="H895" s="415" t="s">
        <v>468</v>
      </c>
      <c r="I895" s="415" t="s">
        <v>764</v>
      </c>
      <c r="J895" s="419" t="s">
        <v>310</v>
      </c>
      <c r="K895" s="419" t="s">
        <v>1220</v>
      </c>
      <c r="L895" s="415" t="s">
        <v>3443</v>
      </c>
      <c r="M895" s="597">
        <v>222254789106</v>
      </c>
      <c r="N895" s="413">
        <v>44873</v>
      </c>
      <c r="O895" s="414" t="s">
        <v>404</v>
      </c>
      <c r="P895" s="655">
        <f t="shared" si="46"/>
        <v>11</v>
      </c>
      <c r="Q895" s="655">
        <f t="shared" si="47"/>
        <v>8</v>
      </c>
      <c r="R895" s="758" t="str">
        <f t="shared" si="48"/>
        <v>Gastos_custeados_por_captação</v>
      </c>
      <c r="S895" s="697" t="s">
        <v>310</v>
      </c>
      <c r="T895" s="697" t="s">
        <v>310</v>
      </c>
    </row>
    <row r="896" spans="1:20" ht="48" x14ac:dyDescent="0.2">
      <c r="A896" s="432">
        <f>IF(B896="","",COUNT('Diário 1º PA'!$A$4:$A$2635)+COUNT('Diário 2º PA'!$A$4:$A$3040)+COUNT('Diário 3º PA'!$A$4:$A$2731)+ROW()-3)</f>
        <v>6921</v>
      </c>
      <c r="B896" s="413">
        <v>44873</v>
      </c>
      <c r="C896" s="431">
        <v>44774</v>
      </c>
      <c r="D896" s="419" t="s">
        <v>468</v>
      </c>
      <c r="E896" s="419" t="s">
        <v>468</v>
      </c>
      <c r="F896" s="422">
        <v>100</v>
      </c>
      <c r="G896" s="427" t="s">
        <v>7805</v>
      </c>
      <c r="H896" s="415" t="s">
        <v>468</v>
      </c>
      <c r="I896" s="415" t="s">
        <v>764</v>
      </c>
      <c r="J896" s="419" t="s">
        <v>310</v>
      </c>
      <c r="K896" s="419" t="s">
        <v>1220</v>
      </c>
      <c r="L896" s="415" t="s">
        <v>3443</v>
      </c>
      <c r="M896" s="597">
        <v>222254789440</v>
      </c>
      <c r="N896" s="413">
        <v>44873</v>
      </c>
      <c r="O896" s="414" t="s">
        <v>404</v>
      </c>
      <c r="P896" s="655">
        <f t="shared" si="46"/>
        <v>11</v>
      </c>
      <c r="Q896" s="655">
        <f t="shared" si="47"/>
        <v>8</v>
      </c>
      <c r="R896" s="758" t="str">
        <f t="shared" si="48"/>
        <v>Gastos_custeados_por_captação</v>
      </c>
      <c r="S896" s="697" t="s">
        <v>310</v>
      </c>
      <c r="T896" s="697" t="s">
        <v>310</v>
      </c>
    </row>
    <row r="897" spans="1:20" ht="48" x14ac:dyDescent="0.2">
      <c r="A897" s="432">
        <f>IF(B897="","",COUNT('Diário 1º PA'!$A$4:$A$2635)+COUNT('Diário 2º PA'!$A$4:$A$3040)+COUNT('Diário 3º PA'!$A$4:$A$2731)+ROW()-3)</f>
        <v>6922</v>
      </c>
      <c r="B897" s="413">
        <v>44873</v>
      </c>
      <c r="C897" s="431">
        <v>44774</v>
      </c>
      <c r="D897" s="419" t="s">
        <v>468</v>
      </c>
      <c r="E897" s="419" t="s">
        <v>468</v>
      </c>
      <c r="F897" s="422">
        <v>100</v>
      </c>
      <c r="G897" s="427" t="s">
        <v>7802</v>
      </c>
      <c r="H897" s="415" t="s">
        <v>468</v>
      </c>
      <c r="I897" s="415" t="s">
        <v>764</v>
      </c>
      <c r="J897" s="419" t="s">
        <v>310</v>
      </c>
      <c r="K897" s="419" t="s">
        <v>1220</v>
      </c>
      <c r="L897" s="415" t="s">
        <v>3443</v>
      </c>
      <c r="M897" s="597">
        <v>222254789793</v>
      </c>
      <c r="N897" s="413">
        <v>44873</v>
      </c>
      <c r="O897" s="414" t="s">
        <v>404</v>
      </c>
      <c r="P897" s="655">
        <f t="shared" si="46"/>
        <v>11</v>
      </c>
      <c r="Q897" s="655">
        <f t="shared" si="47"/>
        <v>8</v>
      </c>
      <c r="R897" s="758" t="str">
        <f t="shared" si="48"/>
        <v>Gastos_custeados_por_captação</v>
      </c>
      <c r="S897" s="697" t="s">
        <v>310</v>
      </c>
      <c r="T897" s="697" t="s">
        <v>310</v>
      </c>
    </row>
    <row r="898" spans="1:20" ht="48" x14ac:dyDescent="0.2">
      <c r="A898" s="432">
        <f>IF(B898="","",COUNT('Diário 1º PA'!$A$4:$A$2635)+COUNT('Diário 2º PA'!$A$4:$A$3040)+COUNT('Diário 3º PA'!$A$4:$A$2731)+ROW()-3)</f>
        <v>6923</v>
      </c>
      <c r="B898" s="413">
        <v>44873</v>
      </c>
      <c r="C898" s="431">
        <v>44743</v>
      </c>
      <c r="D898" s="419" t="s">
        <v>468</v>
      </c>
      <c r="E898" s="419" t="s">
        <v>468</v>
      </c>
      <c r="F898" s="422">
        <v>850</v>
      </c>
      <c r="G898" s="427" t="s">
        <v>7799</v>
      </c>
      <c r="H898" s="415" t="s">
        <v>468</v>
      </c>
      <c r="I898" s="415" t="s">
        <v>764</v>
      </c>
      <c r="J898" s="419" t="s">
        <v>310</v>
      </c>
      <c r="K898" s="419" t="s">
        <v>1220</v>
      </c>
      <c r="L898" s="415" t="s">
        <v>3443</v>
      </c>
      <c r="M898" s="597">
        <v>222254789874</v>
      </c>
      <c r="N898" s="413">
        <v>44873</v>
      </c>
      <c r="O898" s="414" t="s">
        <v>404</v>
      </c>
      <c r="P898" s="655">
        <f t="shared" si="46"/>
        <v>11</v>
      </c>
      <c r="Q898" s="655">
        <f t="shared" si="47"/>
        <v>7</v>
      </c>
      <c r="R898" s="758" t="str">
        <f t="shared" si="48"/>
        <v>Gastos_custeados_por_captação</v>
      </c>
      <c r="S898" s="697" t="s">
        <v>310</v>
      </c>
      <c r="T898" s="697" t="s">
        <v>310</v>
      </c>
    </row>
    <row r="899" spans="1:20" ht="48" x14ac:dyDescent="0.2">
      <c r="A899" s="432">
        <f>IF(B899="","",COUNT('Diário 1º PA'!$A$4:$A$2635)+COUNT('Diário 2º PA'!$A$4:$A$3040)+COUNT('Diário 3º PA'!$A$4:$A$2731)+ROW()-3)</f>
        <v>6924</v>
      </c>
      <c r="B899" s="413">
        <v>44873</v>
      </c>
      <c r="C899" s="431">
        <v>44743</v>
      </c>
      <c r="D899" s="419" t="s">
        <v>468</v>
      </c>
      <c r="E899" s="419" t="s">
        <v>468</v>
      </c>
      <c r="F899" s="422">
        <v>1360.13</v>
      </c>
      <c r="G899" s="427" t="s">
        <v>7806</v>
      </c>
      <c r="H899" s="415" t="s">
        <v>468</v>
      </c>
      <c r="I899" s="415" t="s">
        <v>764</v>
      </c>
      <c r="J899" s="419" t="s">
        <v>310</v>
      </c>
      <c r="K899" s="419" t="s">
        <v>1220</v>
      </c>
      <c r="L899" s="415" t="s">
        <v>3443</v>
      </c>
      <c r="M899" s="597">
        <v>222254789955</v>
      </c>
      <c r="N899" s="413">
        <v>44873</v>
      </c>
      <c r="O899" s="414" t="s">
        <v>404</v>
      </c>
      <c r="P899" s="655">
        <f t="shared" si="46"/>
        <v>11</v>
      </c>
      <c r="Q899" s="655">
        <f t="shared" si="47"/>
        <v>7</v>
      </c>
      <c r="R899" s="758" t="str">
        <f t="shared" si="48"/>
        <v>Gastos_custeados_por_captação</v>
      </c>
      <c r="S899" s="697" t="s">
        <v>310</v>
      </c>
      <c r="T899" s="697" t="s">
        <v>310</v>
      </c>
    </row>
    <row r="900" spans="1:20" ht="48" x14ac:dyDescent="0.2">
      <c r="A900" s="432">
        <f>IF(B900="","",COUNT('Diário 1º PA'!$A$4:$A$2635)+COUNT('Diário 2º PA'!$A$4:$A$3040)+COUNT('Diário 3º PA'!$A$4:$A$2731)+ROW()-3)</f>
        <v>6925</v>
      </c>
      <c r="B900" s="413">
        <v>44873</v>
      </c>
      <c r="C900" s="431">
        <v>44805</v>
      </c>
      <c r="D900" s="419" t="s">
        <v>468</v>
      </c>
      <c r="E900" s="419" t="s">
        <v>468</v>
      </c>
      <c r="F900" s="422">
        <v>137.5</v>
      </c>
      <c r="G900" s="427" t="s">
        <v>7889</v>
      </c>
      <c r="H900" s="415" t="s">
        <v>468</v>
      </c>
      <c r="I900" s="415" t="s">
        <v>764</v>
      </c>
      <c r="J900" s="419" t="s">
        <v>310</v>
      </c>
      <c r="K900" s="419" t="s">
        <v>1220</v>
      </c>
      <c r="L900" s="415" t="s">
        <v>3443</v>
      </c>
      <c r="M900" s="597">
        <v>222254790295</v>
      </c>
      <c r="N900" s="413">
        <v>44873</v>
      </c>
      <c r="O900" s="414" t="s">
        <v>404</v>
      </c>
      <c r="P900" s="655">
        <f t="shared" si="46"/>
        <v>11</v>
      </c>
      <c r="Q900" s="655">
        <f t="shared" si="47"/>
        <v>9</v>
      </c>
      <c r="R900" s="758" t="str">
        <f t="shared" si="48"/>
        <v>Gastos_custeados_por_captação</v>
      </c>
      <c r="S900" s="697" t="s">
        <v>310</v>
      </c>
      <c r="T900" s="697" t="s">
        <v>310</v>
      </c>
    </row>
    <row r="901" spans="1:20" ht="48" x14ac:dyDescent="0.2">
      <c r="A901" s="432">
        <f>IF(B901="","",COUNT('Diário 1º PA'!$A$4:$A$2635)+COUNT('Diário 2º PA'!$A$4:$A$3040)+COUNT('Diário 3º PA'!$A$4:$A$2731)+ROW()-3)</f>
        <v>6926</v>
      </c>
      <c r="B901" s="413">
        <v>44873</v>
      </c>
      <c r="C901" s="431">
        <v>44805</v>
      </c>
      <c r="D901" s="419" t="s">
        <v>468</v>
      </c>
      <c r="E901" s="419" t="s">
        <v>468</v>
      </c>
      <c r="F901" s="422">
        <v>90</v>
      </c>
      <c r="G901" s="427" t="s">
        <v>7790</v>
      </c>
      <c r="H901" s="415" t="s">
        <v>468</v>
      </c>
      <c r="I901" s="415" t="s">
        <v>764</v>
      </c>
      <c r="J901" s="419" t="s">
        <v>310</v>
      </c>
      <c r="K901" s="419" t="s">
        <v>1220</v>
      </c>
      <c r="L901" s="415" t="s">
        <v>3443</v>
      </c>
      <c r="M901" s="597">
        <v>222254826664</v>
      </c>
      <c r="N901" s="413">
        <v>44873</v>
      </c>
      <c r="O901" s="414" t="s">
        <v>404</v>
      </c>
      <c r="P901" s="655">
        <f t="shared" si="46"/>
        <v>11</v>
      </c>
      <c r="Q901" s="655">
        <f t="shared" si="47"/>
        <v>9</v>
      </c>
      <c r="R901" s="758" t="str">
        <f t="shared" si="48"/>
        <v>Gastos_custeados_por_captação</v>
      </c>
      <c r="S901" s="697" t="s">
        <v>310</v>
      </c>
      <c r="T901" s="697" t="s">
        <v>310</v>
      </c>
    </row>
    <row r="902" spans="1:20" ht="36" x14ac:dyDescent="0.2">
      <c r="A902" s="432">
        <f>IF(B902="","",COUNT('Diário 1º PA'!$A$4:$A$2635)+COUNT('Diário 2º PA'!$A$4:$A$3040)+COUNT('Diário 3º PA'!$A$4:$A$2731)+ROW()-3)</f>
        <v>6927</v>
      </c>
      <c r="B902" s="413">
        <v>44873</v>
      </c>
      <c r="C902" s="431">
        <v>44805</v>
      </c>
      <c r="D902" s="419" t="s">
        <v>468</v>
      </c>
      <c r="E902" s="419" t="s">
        <v>468</v>
      </c>
      <c r="F902" s="422">
        <v>90</v>
      </c>
      <c r="G902" s="427" t="s">
        <v>7714</v>
      </c>
      <c r="H902" s="415" t="s">
        <v>468</v>
      </c>
      <c r="I902" s="415" t="s">
        <v>764</v>
      </c>
      <c r="J902" s="426" t="s">
        <v>310</v>
      </c>
      <c r="K902" s="415" t="s">
        <v>1220</v>
      </c>
      <c r="L902" s="415" t="s">
        <v>3443</v>
      </c>
      <c r="M902" s="597">
        <v>222254729979</v>
      </c>
      <c r="N902" s="413">
        <v>44873</v>
      </c>
      <c r="O902" s="414" t="s">
        <v>408</v>
      </c>
      <c r="P902" s="655">
        <f t="shared" si="46"/>
        <v>11</v>
      </c>
      <c r="Q902" s="655">
        <f t="shared" si="47"/>
        <v>9</v>
      </c>
      <c r="R902" s="758" t="str">
        <f t="shared" si="48"/>
        <v>Gastos_custeados_por_captação</v>
      </c>
      <c r="S902" s="697" t="s">
        <v>310</v>
      </c>
      <c r="T902" s="697" t="s">
        <v>310</v>
      </c>
    </row>
    <row r="903" spans="1:20" ht="36" x14ac:dyDescent="0.2">
      <c r="A903" s="432">
        <f>IF(B903="","",COUNT('Diário 1º PA'!$A$4:$A$2635)+COUNT('Diário 2º PA'!$A$4:$A$3040)+COUNT('Diário 3º PA'!$A$4:$A$2731)+ROW()-3)</f>
        <v>6928</v>
      </c>
      <c r="B903" s="413">
        <v>44873</v>
      </c>
      <c r="C903" s="431">
        <v>44805</v>
      </c>
      <c r="D903" s="419" t="s">
        <v>468</v>
      </c>
      <c r="E903" s="419" t="s">
        <v>468</v>
      </c>
      <c r="F903" s="422">
        <v>88.44</v>
      </c>
      <c r="G903" s="427" t="s">
        <v>7686</v>
      </c>
      <c r="H903" s="415" t="s">
        <v>468</v>
      </c>
      <c r="I903" s="415" t="s">
        <v>764</v>
      </c>
      <c r="J903" s="426" t="s">
        <v>310</v>
      </c>
      <c r="K903" s="415" t="s">
        <v>1220</v>
      </c>
      <c r="L903" s="415" t="s">
        <v>3443</v>
      </c>
      <c r="M903" s="597">
        <v>222254730470</v>
      </c>
      <c r="N903" s="413">
        <v>44873</v>
      </c>
      <c r="O903" s="414" t="s">
        <v>408</v>
      </c>
      <c r="P903" s="655">
        <f t="shared" si="46"/>
        <v>11</v>
      </c>
      <c r="Q903" s="655">
        <f t="shared" si="47"/>
        <v>9</v>
      </c>
      <c r="R903" s="758" t="str">
        <f t="shared" si="48"/>
        <v>Gastos_custeados_por_captação</v>
      </c>
      <c r="S903" s="697" t="s">
        <v>310</v>
      </c>
      <c r="T903" s="697" t="s">
        <v>310</v>
      </c>
    </row>
    <row r="904" spans="1:20" ht="36" x14ac:dyDescent="0.2">
      <c r="A904" s="432">
        <f>IF(B904="","",COUNT('Diário 1º PA'!$A$4:$A$2635)+COUNT('Diário 2º PA'!$A$4:$A$3040)+COUNT('Diário 3º PA'!$A$4:$A$2731)+ROW()-3)</f>
        <v>6929</v>
      </c>
      <c r="B904" s="413">
        <v>44873</v>
      </c>
      <c r="C904" s="431">
        <v>44805</v>
      </c>
      <c r="D904" s="419" t="s">
        <v>468</v>
      </c>
      <c r="E904" s="419" t="s">
        <v>468</v>
      </c>
      <c r="F904" s="422">
        <v>180</v>
      </c>
      <c r="G904" s="427" t="s">
        <v>7684</v>
      </c>
      <c r="H904" s="415" t="s">
        <v>468</v>
      </c>
      <c r="I904" s="415" t="s">
        <v>764</v>
      </c>
      <c r="J904" s="426" t="s">
        <v>310</v>
      </c>
      <c r="K904" s="415" t="s">
        <v>1220</v>
      </c>
      <c r="L904" s="415" t="s">
        <v>3443</v>
      </c>
      <c r="M904" s="597">
        <v>222254730632</v>
      </c>
      <c r="N904" s="413">
        <v>44873</v>
      </c>
      <c r="O904" s="414" t="s">
        <v>408</v>
      </c>
      <c r="P904" s="655">
        <f t="shared" si="46"/>
        <v>11</v>
      </c>
      <c r="Q904" s="655">
        <f t="shared" si="47"/>
        <v>9</v>
      </c>
      <c r="R904" s="758" t="str">
        <f t="shared" si="48"/>
        <v>Gastos_custeados_por_captação</v>
      </c>
      <c r="S904" s="697" t="s">
        <v>310</v>
      </c>
      <c r="T904" s="697" t="s">
        <v>310</v>
      </c>
    </row>
    <row r="905" spans="1:20" ht="36" x14ac:dyDescent="0.2">
      <c r="A905" s="432">
        <f>IF(B905="","",COUNT('Diário 1º PA'!$A$4:$A$2635)+COUNT('Diário 2º PA'!$A$4:$A$3040)+COUNT('Diário 3º PA'!$A$4:$A$2731)+ROW()-3)</f>
        <v>6930</v>
      </c>
      <c r="B905" s="413">
        <v>44873</v>
      </c>
      <c r="C905" s="431">
        <v>44805</v>
      </c>
      <c r="D905" s="419" t="s">
        <v>468</v>
      </c>
      <c r="E905" s="419" t="s">
        <v>468</v>
      </c>
      <c r="F905" s="422">
        <v>55.27</v>
      </c>
      <c r="G905" s="427" t="s">
        <v>7687</v>
      </c>
      <c r="H905" s="415" t="s">
        <v>468</v>
      </c>
      <c r="I905" s="415" t="s">
        <v>764</v>
      </c>
      <c r="J905" s="426" t="s">
        <v>310</v>
      </c>
      <c r="K905" s="415" t="s">
        <v>1220</v>
      </c>
      <c r="L905" s="415" t="s">
        <v>3443</v>
      </c>
      <c r="M905" s="597">
        <v>222254730713</v>
      </c>
      <c r="N905" s="413">
        <v>44873</v>
      </c>
      <c r="O905" s="414" t="s">
        <v>408</v>
      </c>
      <c r="P905" s="655">
        <f t="shared" si="46"/>
        <v>11</v>
      </c>
      <c r="Q905" s="655">
        <f t="shared" si="47"/>
        <v>9</v>
      </c>
      <c r="R905" s="758" t="str">
        <f t="shared" si="48"/>
        <v>Gastos_custeados_por_captação</v>
      </c>
      <c r="S905" s="697" t="s">
        <v>310</v>
      </c>
      <c r="T905" s="697" t="s">
        <v>310</v>
      </c>
    </row>
    <row r="906" spans="1:20" ht="36" x14ac:dyDescent="0.2">
      <c r="A906" s="432">
        <f>IF(B906="","",COUNT('Diário 1º PA'!$A$4:$A$2635)+COUNT('Diário 2º PA'!$A$4:$A$3040)+COUNT('Diário 3º PA'!$A$4:$A$2731)+ROW()-3)</f>
        <v>6931</v>
      </c>
      <c r="B906" s="413">
        <v>44873</v>
      </c>
      <c r="C906" s="431">
        <v>44805</v>
      </c>
      <c r="D906" s="419" t="s">
        <v>468</v>
      </c>
      <c r="E906" s="419" t="s">
        <v>468</v>
      </c>
      <c r="F906" s="422">
        <v>180.9</v>
      </c>
      <c r="G906" s="427" t="s">
        <v>7717</v>
      </c>
      <c r="H906" s="415" t="s">
        <v>468</v>
      </c>
      <c r="I906" s="415" t="s">
        <v>764</v>
      </c>
      <c r="J906" s="426" t="s">
        <v>310</v>
      </c>
      <c r="K906" s="415" t="s">
        <v>1220</v>
      </c>
      <c r="L906" s="415" t="s">
        <v>3443</v>
      </c>
      <c r="M906" s="597">
        <v>222254731361</v>
      </c>
      <c r="N906" s="413">
        <v>44873</v>
      </c>
      <c r="O906" s="414" t="s">
        <v>408</v>
      </c>
      <c r="P906" s="655">
        <f t="shared" si="46"/>
        <v>11</v>
      </c>
      <c r="Q906" s="655">
        <f t="shared" si="47"/>
        <v>9</v>
      </c>
      <c r="R906" s="758" t="str">
        <f t="shared" si="48"/>
        <v>Gastos_custeados_por_captação</v>
      </c>
      <c r="S906" s="697" t="s">
        <v>310</v>
      </c>
      <c r="T906" s="697" t="s">
        <v>310</v>
      </c>
    </row>
    <row r="907" spans="1:20" ht="36" x14ac:dyDescent="0.2">
      <c r="A907" s="432">
        <f>IF(B907="","",COUNT('Diário 1º PA'!$A$4:$A$2635)+COUNT('Diário 2º PA'!$A$4:$A$3040)+COUNT('Diário 3º PA'!$A$4:$A$2731)+ROW()-3)</f>
        <v>6932</v>
      </c>
      <c r="B907" s="413">
        <v>44873</v>
      </c>
      <c r="C907" s="431">
        <v>44805</v>
      </c>
      <c r="D907" s="419" t="s">
        <v>468</v>
      </c>
      <c r="E907" s="419" t="s">
        <v>468</v>
      </c>
      <c r="F907" s="422">
        <v>175</v>
      </c>
      <c r="G907" s="427" t="s">
        <v>7909</v>
      </c>
      <c r="H907" s="415" t="s">
        <v>468</v>
      </c>
      <c r="I907" s="415" t="s">
        <v>764</v>
      </c>
      <c r="J907" s="426" t="s">
        <v>310</v>
      </c>
      <c r="K907" s="415" t="s">
        <v>1220</v>
      </c>
      <c r="L907" s="415" t="s">
        <v>3443</v>
      </c>
      <c r="M907" s="597">
        <v>222254732090</v>
      </c>
      <c r="N907" s="413">
        <v>44873</v>
      </c>
      <c r="O907" s="414" t="s">
        <v>408</v>
      </c>
      <c r="P907" s="655">
        <f t="shared" si="46"/>
        <v>11</v>
      </c>
      <c r="Q907" s="655">
        <f t="shared" si="47"/>
        <v>9</v>
      </c>
      <c r="R907" s="758" t="str">
        <f t="shared" si="48"/>
        <v>Gastos_custeados_por_captação</v>
      </c>
      <c r="S907" s="697" t="s">
        <v>310</v>
      </c>
      <c r="T907" s="697" t="s">
        <v>310</v>
      </c>
    </row>
    <row r="908" spans="1:20" ht="36" x14ac:dyDescent="0.2">
      <c r="A908" s="432">
        <f>IF(B908="","",COUNT('Diário 1º PA'!$A$4:$A$2635)+COUNT('Diário 2º PA'!$A$4:$A$3040)+COUNT('Diário 3º PA'!$A$4:$A$2731)+ROW()-3)</f>
        <v>6933</v>
      </c>
      <c r="B908" s="413">
        <v>44873</v>
      </c>
      <c r="C908" s="431">
        <v>44805</v>
      </c>
      <c r="D908" s="419" t="s">
        <v>468</v>
      </c>
      <c r="E908" s="419" t="s">
        <v>468</v>
      </c>
      <c r="F908" s="422">
        <v>220</v>
      </c>
      <c r="G908" s="427" t="s">
        <v>8007</v>
      </c>
      <c r="H908" s="415" t="s">
        <v>468</v>
      </c>
      <c r="I908" s="415" t="s">
        <v>764</v>
      </c>
      <c r="J908" s="426" t="s">
        <v>310</v>
      </c>
      <c r="K908" s="415" t="s">
        <v>1220</v>
      </c>
      <c r="L908" s="415" t="s">
        <v>3443</v>
      </c>
      <c r="M908" s="597">
        <v>222254732414</v>
      </c>
      <c r="N908" s="413">
        <v>44873</v>
      </c>
      <c r="O908" s="414" t="s">
        <v>408</v>
      </c>
      <c r="P908" s="655">
        <f t="shared" si="46"/>
        <v>11</v>
      </c>
      <c r="Q908" s="655">
        <f t="shared" si="47"/>
        <v>9</v>
      </c>
      <c r="R908" s="758" t="str">
        <f t="shared" si="48"/>
        <v>Gastos_custeados_por_captação</v>
      </c>
      <c r="S908" s="697" t="s">
        <v>310</v>
      </c>
      <c r="T908" s="697" t="s">
        <v>310</v>
      </c>
    </row>
    <row r="909" spans="1:20" ht="48" x14ac:dyDescent="0.2">
      <c r="A909" s="432">
        <f>IF(B909="","",COUNT('Diário 1º PA'!$A$4:$A$2635)+COUNT('Diário 2º PA'!$A$4:$A$3040)+COUNT('Diário 3º PA'!$A$4:$A$2731)+ROW()-3)</f>
        <v>6934</v>
      </c>
      <c r="B909" s="413">
        <v>44873</v>
      </c>
      <c r="C909" s="431">
        <v>44774</v>
      </c>
      <c r="D909" s="419" t="s">
        <v>468</v>
      </c>
      <c r="E909" s="419" t="s">
        <v>468</v>
      </c>
      <c r="F909" s="422">
        <v>175.5</v>
      </c>
      <c r="G909" s="427" t="s">
        <v>8311</v>
      </c>
      <c r="H909" s="415" t="s">
        <v>468</v>
      </c>
      <c r="I909" s="415" t="s">
        <v>764</v>
      </c>
      <c r="J909" s="426" t="s">
        <v>310</v>
      </c>
      <c r="K909" s="415" t="s">
        <v>1220</v>
      </c>
      <c r="L909" s="415" t="s">
        <v>3443</v>
      </c>
      <c r="M909" s="597">
        <v>222254732686</v>
      </c>
      <c r="N909" s="413">
        <v>44873</v>
      </c>
      <c r="O909" s="414" t="s">
        <v>408</v>
      </c>
      <c r="P909" s="655">
        <f t="shared" si="46"/>
        <v>11</v>
      </c>
      <c r="Q909" s="655">
        <f t="shared" si="47"/>
        <v>8</v>
      </c>
      <c r="R909" s="758" t="str">
        <f t="shared" si="48"/>
        <v>Gastos_custeados_por_captação</v>
      </c>
      <c r="S909" s="697" t="s">
        <v>310</v>
      </c>
      <c r="T909" s="697" t="s">
        <v>310</v>
      </c>
    </row>
    <row r="910" spans="1:20" ht="36" x14ac:dyDescent="0.2">
      <c r="A910" s="432">
        <f>IF(B910="","",COUNT('Diário 1º PA'!$A$4:$A$2635)+COUNT('Diário 2º PA'!$A$4:$A$3040)+COUNT('Diário 3º PA'!$A$4:$A$2731)+ROW()-3)</f>
        <v>6935</v>
      </c>
      <c r="B910" s="413">
        <v>44873</v>
      </c>
      <c r="C910" s="431">
        <v>44774</v>
      </c>
      <c r="D910" s="419" t="s">
        <v>468</v>
      </c>
      <c r="E910" s="419" t="s">
        <v>468</v>
      </c>
      <c r="F910" s="422">
        <v>12.06</v>
      </c>
      <c r="G910" s="427" t="s">
        <v>8008</v>
      </c>
      <c r="H910" s="415" t="s">
        <v>468</v>
      </c>
      <c r="I910" s="415" t="s">
        <v>764</v>
      </c>
      <c r="J910" s="426" t="s">
        <v>310</v>
      </c>
      <c r="K910" s="415" t="s">
        <v>1220</v>
      </c>
      <c r="L910" s="415" t="s">
        <v>3443</v>
      </c>
      <c r="M910" s="597">
        <v>222254732848</v>
      </c>
      <c r="N910" s="413">
        <v>44873</v>
      </c>
      <c r="O910" s="414" t="s">
        <v>408</v>
      </c>
      <c r="P910" s="655">
        <f t="shared" si="46"/>
        <v>11</v>
      </c>
      <c r="Q910" s="655">
        <f t="shared" si="47"/>
        <v>8</v>
      </c>
      <c r="R910" s="758" t="str">
        <f t="shared" si="48"/>
        <v>Gastos_custeados_por_captação</v>
      </c>
      <c r="S910" s="697" t="s">
        <v>310</v>
      </c>
      <c r="T910" s="697" t="s">
        <v>310</v>
      </c>
    </row>
    <row r="911" spans="1:20" ht="60" x14ac:dyDescent="0.2">
      <c r="A911" s="432">
        <f>IF(B911="","",COUNT('Diário 1º PA'!$A$4:$A$2635)+COUNT('Diário 2º PA'!$A$4:$A$3040)+COUNT('Diário 3º PA'!$A$4:$A$2731)+ROW()-3)</f>
        <v>6936</v>
      </c>
      <c r="B911" s="413">
        <v>44873</v>
      </c>
      <c r="C911" s="431">
        <v>44835</v>
      </c>
      <c r="D911" s="419" t="s">
        <v>468</v>
      </c>
      <c r="E911" s="419" t="s">
        <v>468</v>
      </c>
      <c r="F911" s="422">
        <v>2462.5500000000002</v>
      </c>
      <c r="G911" s="427" t="s">
        <v>7127</v>
      </c>
      <c r="H911" s="415" t="s">
        <v>468</v>
      </c>
      <c r="I911" s="415" t="s">
        <v>7937</v>
      </c>
      <c r="J911" s="415" t="s">
        <v>7128</v>
      </c>
      <c r="K911" s="419" t="s">
        <v>830</v>
      </c>
      <c r="L911" s="415" t="s">
        <v>839</v>
      </c>
      <c r="M911" s="419">
        <v>2085</v>
      </c>
      <c r="N911" s="413">
        <v>44869</v>
      </c>
      <c r="O911" s="414" t="s">
        <v>3762</v>
      </c>
      <c r="P911" s="655">
        <f t="shared" si="46"/>
        <v>11</v>
      </c>
      <c r="Q911" s="655">
        <f t="shared" si="47"/>
        <v>10</v>
      </c>
      <c r="R911" s="758" t="str">
        <f t="shared" si="48"/>
        <v>Gastos_custeados_por_captação</v>
      </c>
      <c r="S911" s="697" t="s">
        <v>1000</v>
      </c>
      <c r="T911" s="697">
        <v>4301</v>
      </c>
    </row>
    <row r="912" spans="1:20" ht="36" x14ac:dyDescent="0.2">
      <c r="A912" s="432">
        <f>IF(B912="","",COUNT('Diário 1º PA'!$A$4:$A$2635)+COUNT('Diário 2º PA'!$A$4:$A$3040)+COUNT('Diário 3º PA'!$A$4:$A$2731)+ROW()-3)</f>
        <v>6937</v>
      </c>
      <c r="B912" s="413">
        <v>44873</v>
      </c>
      <c r="C912" s="431">
        <v>44743</v>
      </c>
      <c r="D912" s="419" t="s">
        <v>468</v>
      </c>
      <c r="E912" s="419" t="s">
        <v>468</v>
      </c>
      <c r="F912" s="422">
        <v>114.57</v>
      </c>
      <c r="G912" s="427" t="s">
        <v>7926</v>
      </c>
      <c r="H912" s="415" t="s">
        <v>468</v>
      </c>
      <c r="I912" s="415" t="s">
        <v>764</v>
      </c>
      <c r="J912" s="426" t="s">
        <v>310</v>
      </c>
      <c r="K912" s="415" t="s">
        <v>1220</v>
      </c>
      <c r="L912" s="415" t="s">
        <v>3443</v>
      </c>
      <c r="M912" s="597">
        <v>222254776209</v>
      </c>
      <c r="N912" s="413">
        <v>44873</v>
      </c>
      <c r="O912" s="414" t="s">
        <v>3762</v>
      </c>
      <c r="P912" s="655">
        <f t="shared" si="46"/>
        <v>11</v>
      </c>
      <c r="Q912" s="655">
        <f t="shared" si="47"/>
        <v>7</v>
      </c>
      <c r="R912" s="758" t="str">
        <f t="shared" si="48"/>
        <v>Gastos_custeados_por_captação</v>
      </c>
      <c r="S912" s="697" t="s">
        <v>310</v>
      </c>
      <c r="T912" s="697" t="s">
        <v>310</v>
      </c>
    </row>
    <row r="913" spans="1:20" ht="36" x14ac:dyDescent="0.2">
      <c r="A913" s="432">
        <f>IF(B913="","",COUNT('Diário 1º PA'!$A$4:$A$2635)+COUNT('Diário 2º PA'!$A$4:$A$3040)+COUNT('Diário 3º PA'!$A$4:$A$2731)+ROW()-3)</f>
        <v>6938</v>
      </c>
      <c r="B913" s="413">
        <v>44873</v>
      </c>
      <c r="C913" s="431">
        <v>44743</v>
      </c>
      <c r="D913" s="419" t="s">
        <v>468</v>
      </c>
      <c r="E913" s="419" t="s">
        <v>468</v>
      </c>
      <c r="F913" s="422">
        <v>2343.38</v>
      </c>
      <c r="G913" s="427" t="s">
        <v>7928</v>
      </c>
      <c r="H913" s="415" t="s">
        <v>468</v>
      </c>
      <c r="I913" s="415" t="s">
        <v>764</v>
      </c>
      <c r="J913" s="426" t="s">
        <v>310</v>
      </c>
      <c r="K913" s="415" t="s">
        <v>1220</v>
      </c>
      <c r="L913" s="415" t="s">
        <v>3443</v>
      </c>
      <c r="M913" s="597">
        <v>222254780060</v>
      </c>
      <c r="N913" s="413">
        <v>44873</v>
      </c>
      <c r="O913" s="414" t="s">
        <v>3762</v>
      </c>
      <c r="P913" s="655">
        <f t="shared" si="46"/>
        <v>11</v>
      </c>
      <c r="Q913" s="655">
        <f t="shared" si="47"/>
        <v>7</v>
      </c>
      <c r="R913" s="758" t="str">
        <f t="shared" si="48"/>
        <v>Gastos_custeados_por_captação</v>
      </c>
      <c r="S913" s="697" t="s">
        <v>310</v>
      </c>
      <c r="T913" s="697" t="s">
        <v>310</v>
      </c>
    </row>
    <row r="914" spans="1:20" ht="36" x14ac:dyDescent="0.2">
      <c r="A914" s="432">
        <f>IF(B914="","",COUNT('Diário 1º PA'!$A$4:$A$2635)+COUNT('Diário 2º PA'!$A$4:$A$3040)+COUNT('Diário 3º PA'!$A$4:$A$2731)+ROW()-3)</f>
        <v>6939</v>
      </c>
      <c r="B914" s="413">
        <v>44873</v>
      </c>
      <c r="C914" s="431">
        <v>44805</v>
      </c>
      <c r="D914" s="419" t="s">
        <v>468</v>
      </c>
      <c r="E914" s="419" t="s">
        <v>468</v>
      </c>
      <c r="F914" s="422">
        <v>90</v>
      </c>
      <c r="G914" s="427" t="s">
        <v>8036</v>
      </c>
      <c r="H914" s="415" t="s">
        <v>468</v>
      </c>
      <c r="I914" s="415" t="s">
        <v>764</v>
      </c>
      <c r="J914" s="426" t="s">
        <v>310</v>
      </c>
      <c r="K914" s="415" t="s">
        <v>1220</v>
      </c>
      <c r="L914" s="415" t="s">
        <v>3443</v>
      </c>
      <c r="M914" s="597">
        <v>222254780737</v>
      </c>
      <c r="N914" s="413">
        <v>44873</v>
      </c>
      <c r="O914" s="414" t="s">
        <v>3762</v>
      </c>
      <c r="P914" s="655">
        <f t="shared" si="46"/>
        <v>11</v>
      </c>
      <c r="Q914" s="655">
        <f t="shared" si="47"/>
        <v>9</v>
      </c>
      <c r="R914" s="758" t="str">
        <f t="shared" si="48"/>
        <v>Gastos_custeados_por_captação</v>
      </c>
      <c r="S914" s="697" t="s">
        <v>310</v>
      </c>
      <c r="T914" s="697" t="s">
        <v>310</v>
      </c>
    </row>
    <row r="915" spans="1:20" ht="36" x14ac:dyDescent="0.2">
      <c r="A915" s="432">
        <f>IF(B915="","",COUNT('Diário 1º PA'!$A$4:$A$2635)+COUNT('Diário 2º PA'!$A$4:$A$3040)+COUNT('Diário 3º PA'!$A$4:$A$2731)+ROW()-3)</f>
        <v>6940</v>
      </c>
      <c r="B915" s="413">
        <v>44873</v>
      </c>
      <c r="C915" s="431">
        <v>44805</v>
      </c>
      <c r="D915" s="419" t="s">
        <v>468</v>
      </c>
      <c r="E915" s="419" t="s">
        <v>468</v>
      </c>
      <c r="F915" s="422">
        <v>100</v>
      </c>
      <c r="G915" s="427" t="s">
        <v>7936</v>
      </c>
      <c r="H915" s="415" t="s">
        <v>468</v>
      </c>
      <c r="I915" s="415" t="s">
        <v>764</v>
      </c>
      <c r="J915" s="426" t="s">
        <v>310</v>
      </c>
      <c r="K915" s="415" t="s">
        <v>1220</v>
      </c>
      <c r="L915" s="415" t="s">
        <v>3443</v>
      </c>
      <c r="M915" s="597">
        <v>222254780818</v>
      </c>
      <c r="N915" s="413">
        <v>44873</v>
      </c>
      <c r="O915" s="414" t="s">
        <v>3762</v>
      </c>
      <c r="P915" s="655">
        <f t="shared" si="46"/>
        <v>11</v>
      </c>
      <c r="Q915" s="655">
        <f t="shared" si="47"/>
        <v>9</v>
      </c>
      <c r="R915" s="758" t="str">
        <f t="shared" si="48"/>
        <v>Gastos_custeados_por_captação</v>
      </c>
      <c r="S915" s="697" t="s">
        <v>310</v>
      </c>
      <c r="T915" s="697" t="s">
        <v>310</v>
      </c>
    </row>
    <row r="916" spans="1:20" ht="36" x14ac:dyDescent="0.2">
      <c r="A916" s="432">
        <f>IF(B916="","",COUNT('Diário 1º PA'!$A$4:$A$2635)+COUNT('Diário 2º PA'!$A$4:$A$3040)+COUNT('Diário 3º PA'!$A$4:$A$2731)+ROW()-3)</f>
        <v>6941</v>
      </c>
      <c r="B916" s="413">
        <v>44873</v>
      </c>
      <c r="C916" s="431">
        <v>44805</v>
      </c>
      <c r="D916" s="419" t="s">
        <v>468</v>
      </c>
      <c r="E916" s="419" t="s">
        <v>468</v>
      </c>
      <c r="F916" s="422">
        <v>100</v>
      </c>
      <c r="G916" s="427" t="s">
        <v>7930</v>
      </c>
      <c r="H916" s="415" t="s">
        <v>468</v>
      </c>
      <c r="I916" s="415" t="s">
        <v>764</v>
      </c>
      <c r="J916" s="426" t="s">
        <v>310</v>
      </c>
      <c r="K916" s="415" t="s">
        <v>1220</v>
      </c>
      <c r="L916" s="415" t="s">
        <v>3443</v>
      </c>
      <c r="M916" s="597">
        <v>222254780907</v>
      </c>
      <c r="N916" s="413">
        <v>44873</v>
      </c>
      <c r="O916" s="414" t="s">
        <v>3762</v>
      </c>
      <c r="P916" s="655">
        <f t="shared" si="46"/>
        <v>11</v>
      </c>
      <c r="Q916" s="655">
        <f t="shared" si="47"/>
        <v>9</v>
      </c>
      <c r="R916" s="758" t="str">
        <f t="shared" si="48"/>
        <v>Gastos_custeados_por_captação</v>
      </c>
      <c r="S916" s="697" t="s">
        <v>310</v>
      </c>
      <c r="T916" s="697" t="s">
        <v>310</v>
      </c>
    </row>
    <row r="917" spans="1:20" ht="36" x14ac:dyDescent="0.2">
      <c r="A917" s="432">
        <f>IF(B917="","",COUNT('Diário 1º PA'!$A$4:$A$2635)+COUNT('Diário 2º PA'!$A$4:$A$3040)+COUNT('Diário 3º PA'!$A$4:$A$2731)+ROW()-3)</f>
        <v>6942</v>
      </c>
      <c r="B917" s="413">
        <v>44873</v>
      </c>
      <c r="C917" s="431">
        <v>44805</v>
      </c>
      <c r="D917" s="419" t="s">
        <v>468</v>
      </c>
      <c r="E917" s="419" t="s">
        <v>468</v>
      </c>
      <c r="F917" s="422">
        <v>100</v>
      </c>
      <c r="G917" s="427" t="s">
        <v>7948</v>
      </c>
      <c r="H917" s="415" t="s">
        <v>468</v>
      </c>
      <c r="I917" s="415" t="s">
        <v>764</v>
      </c>
      <c r="J917" s="426" t="s">
        <v>310</v>
      </c>
      <c r="K917" s="415" t="s">
        <v>1220</v>
      </c>
      <c r="L917" s="415" t="s">
        <v>3443</v>
      </c>
      <c r="M917" s="597">
        <v>222254781032</v>
      </c>
      <c r="N917" s="413">
        <v>44873</v>
      </c>
      <c r="O917" s="414" t="s">
        <v>3762</v>
      </c>
      <c r="P917" s="655">
        <f t="shared" si="46"/>
        <v>11</v>
      </c>
      <c r="Q917" s="655">
        <f t="shared" si="47"/>
        <v>9</v>
      </c>
      <c r="R917" s="758" t="str">
        <f t="shared" si="48"/>
        <v>Gastos_custeados_por_captação</v>
      </c>
      <c r="S917" s="697" t="s">
        <v>310</v>
      </c>
      <c r="T917" s="697" t="s">
        <v>310</v>
      </c>
    </row>
    <row r="918" spans="1:20" ht="36" x14ac:dyDescent="0.2">
      <c r="A918" s="432">
        <f>IF(B918="","",COUNT('Diário 1º PA'!$A$4:$A$2635)+COUNT('Diário 2º PA'!$A$4:$A$3040)+COUNT('Diário 3º PA'!$A$4:$A$2731)+ROW()-3)</f>
        <v>6943</v>
      </c>
      <c r="B918" s="413">
        <v>44873</v>
      </c>
      <c r="C918" s="431">
        <v>44805</v>
      </c>
      <c r="D918" s="419" t="s">
        <v>468</v>
      </c>
      <c r="E918" s="419" t="s">
        <v>468</v>
      </c>
      <c r="F918" s="422">
        <v>150</v>
      </c>
      <c r="G918" s="427" t="s">
        <v>7941</v>
      </c>
      <c r="H918" s="415" t="s">
        <v>468</v>
      </c>
      <c r="I918" s="415" t="s">
        <v>764</v>
      </c>
      <c r="J918" s="426" t="s">
        <v>310</v>
      </c>
      <c r="K918" s="415" t="s">
        <v>1220</v>
      </c>
      <c r="L918" s="415" t="s">
        <v>3443</v>
      </c>
      <c r="M918" s="597">
        <v>222254781113</v>
      </c>
      <c r="N918" s="413">
        <v>44873</v>
      </c>
      <c r="O918" s="414" t="s">
        <v>3762</v>
      </c>
      <c r="P918" s="655">
        <f t="shared" si="46"/>
        <v>11</v>
      </c>
      <c r="Q918" s="655">
        <f t="shared" si="47"/>
        <v>9</v>
      </c>
      <c r="R918" s="758" t="str">
        <f t="shared" si="48"/>
        <v>Gastos_custeados_por_captação</v>
      </c>
      <c r="S918" s="697" t="s">
        <v>310</v>
      </c>
      <c r="T918" s="697" t="s">
        <v>310</v>
      </c>
    </row>
    <row r="919" spans="1:20" ht="36" x14ac:dyDescent="0.2">
      <c r="A919" s="432">
        <f>IF(B919="","",COUNT('Diário 1º PA'!$A$4:$A$2635)+COUNT('Diário 2º PA'!$A$4:$A$3040)+COUNT('Diário 3º PA'!$A$4:$A$2731)+ROW()-3)</f>
        <v>6944</v>
      </c>
      <c r="B919" s="413">
        <v>44873</v>
      </c>
      <c r="C919" s="431">
        <v>44805</v>
      </c>
      <c r="D919" s="419" t="s">
        <v>468</v>
      </c>
      <c r="E919" s="419" t="s">
        <v>468</v>
      </c>
      <c r="F919" s="422">
        <v>65.33</v>
      </c>
      <c r="G919" s="427" t="s">
        <v>7929</v>
      </c>
      <c r="H919" s="415" t="s">
        <v>468</v>
      </c>
      <c r="I919" s="415" t="s">
        <v>764</v>
      </c>
      <c r="J919" s="426" t="s">
        <v>310</v>
      </c>
      <c r="K919" s="415" t="s">
        <v>1220</v>
      </c>
      <c r="L919" s="415" t="s">
        <v>3443</v>
      </c>
      <c r="M919" s="597">
        <v>222254781202</v>
      </c>
      <c r="N919" s="413">
        <v>44873</v>
      </c>
      <c r="O919" s="414" t="s">
        <v>3762</v>
      </c>
      <c r="P919" s="655">
        <f t="shared" si="46"/>
        <v>11</v>
      </c>
      <c r="Q919" s="655">
        <f t="shared" si="47"/>
        <v>9</v>
      </c>
      <c r="R919" s="758" t="str">
        <f t="shared" si="48"/>
        <v>Gastos_custeados_por_captação</v>
      </c>
      <c r="S919" s="697" t="s">
        <v>310</v>
      </c>
      <c r="T919" s="697" t="s">
        <v>310</v>
      </c>
    </row>
    <row r="920" spans="1:20" ht="36" x14ac:dyDescent="0.2">
      <c r="A920" s="432">
        <f>IF(B920="","",COUNT('Diário 1º PA'!$A$4:$A$2635)+COUNT('Diário 2º PA'!$A$4:$A$3040)+COUNT('Diário 3º PA'!$A$4:$A$2731)+ROW()-3)</f>
        <v>6945</v>
      </c>
      <c r="B920" s="413">
        <v>44873</v>
      </c>
      <c r="C920" s="431">
        <v>44805</v>
      </c>
      <c r="D920" s="419" t="s">
        <v>468</v>
      </c>
      <c r="E920" s="419" t="s">
        <v>468</v>
      </c>
      <c r="F920" s="422">
        <v>150</v>
      </c>
      <c r="G920" s="427" t="s">
        <v>7938</v>
      </c>
      <c r="H920" s="415" t="s">
        <v>468</v>
      </c>
      <c r="I920" s="415" t="s">
        <v>764</v>
      </c>
      <c r="J920" s="426" t="s">
        <v>310</v>
      </c>
      <c r="K920" s="415" t="s">
        <v>1220</v>
      </c>
      <c r="L920" s="415" t="s">
        <v>3443</v>
      </c>
      <c r="M920" s="597">
        <v>222254781547</v>
      </c>
      <c r="N920" s="413">
        <v>44873</v>
      </c>
      <c r="O920" s="414" t="s">
        <v>3762</v>
      </c>
      <c r="P920" s="655">
        <f t="shared" si="46"/>
        <v>11</v>
      </c>
      <c r="Q920" s="655">
        <f t="shared" si="47"/>
        <v>9</v>
      </c>
      <c r="R920" s="758" t="str">
        <f t="shared" si="48"/>
        <v>Gastos_custeados_por_captação</v>
      </c>
      <c r="S920" s="697" t="s">
        <v>310</v>
      </c>
      <c r="T920" s="697" t="s">
        <v>310</v>
      </c>
    </row>
    <row r="921" spans="1:20" ht="36" x14ac:dyDescent="0.2">
      <c r="A921" s="432">
        <f>IF(B921="","",COUNT('Diário 1º PA'!$A$4:$A$2635)+COUNT('Diário 2º PA'!$A$4:$A$3040)+COUNT('Diário 3º PA'!$A$4:$A$2731)+ROW()-3)</f>
        <v>6946</v>
      </c>
      <c r="B921" s="413">
        <v>44873</v>
      </c>
      <c r="C921" s="431">
        <v>44805</v>
      </c>
      <c r="D921" s="419" t="s">
        <v>468</v>
      </c>
      <c r="E921" s="419" t="s">
        <v>468</v>
      </c>
      <c r="F921" s="422">
        <v>150</v>
      </c>
      <c r="G921" s="427" t="s">
        <v>7934</v>
      </c>
      <c r="H921" s="415" t="s">
        <v>468</v>
      </c>
      <c r="I921" s="415" t="s">
        <v>764</v>
      </c>
      <c r="J921" s="426" t="s">
        <v>310</v>
      </c>
      <c r="K921" s="415" t="s">
        <v>1220</v>
      </c>
      <c r="L921" s="415" t="s">
        <v>3443</v>
      </c>
      <c r="M921" s="597">
        <v>222254781890</v>
      </c>
      <c r="N921" s="413">
        <v>44873</v>
      </c>
      <c r="O921" s="414" t="s">
        <v>3762</v>
      </c>
      <c r="P921" s="655">
        <f t="shared" si="46"/>
        <v>11</v>
      </c>
      <c r="Q921" s="655">
        <f t="shared" si="47"/>
        <v>9</v>
      </c>
      <c r="R921" s="758" t="str">
        <f t="shared" si="48"/>
        <v>Gastos_custeados_por_captação</v>
      </c>
      <c r="S921" s="697" t="s">
        <v>310</v>
      </c>
      <c r="T921" s="697" t="s">
        <v>310</v>
      </c>
    </row>
    <row r="922" spans="1:20" ht="36" x14ac:dyDescent="0.2">
      <c r="A922" s="432">
        <f>IF(B922="","",COUNT('Diário 1º PA'!$A$4:$A$2635)+COUNT('Diário 2º PA'!$A$4:$A$3040)+COUNT('Diário 3º PA'!$A$4:$A$2731)+ROW()-3)</f>
        <v>6947</v>
      </c>
      <c r="B922" s="413">
        <v>44873</v>
      </c>
      <c r="C922" s="431">
        <v>44805</v>
      </c>
      <c r="D922" s="419" t="s">
        <v>468</v>
      </c>
      <c r="E922" s="419" t="s">
        <v>468</v>
      </c>
      <c r="F922" s="422">
        <v>150</v>
      </c>
      <c r="G922" s="427" t="s">
        <v>7944</v>
      </c>
      <c r="H922" s="415" t="s">
        <v>468</v>
      </c>
      <c r="I922" s="415" t="s">
        <v>764</v>
      </c>
      <c r="J922" s="426" t="s">
        <v>310</v>
      </c>
      <c r="K922" s="415" t="s">
        <v>1220</v>
      </c>
      <c r="L922" s="415" t="s">
        <v>3443</v>
      </c>
      <c r="M922" s="597">
        <v>222254782195</v>
      </c>
      <c r="N922" s="413">
        <v>44873</v>
      </c>
      <c r="O922" s="414" t="s">
        <v>3762</v>
      </c>
      <c r="P922" s="655">
        <f t="shared" si="46"/>
        <v>11</v>
      </c>
      <c r="Q922" s="655">
        <f t="shared" si="47"/>
        <v>9</v>
      </c>
      <c r="R922" s="758" t="str">
        <f t="shared" si="48"/>
        <v>Gastos_custeados_por_captação</v>
      </c>
      <c r="S922" s="697" t="s">
        <v>310</v>
      </c>
      <c r="T922" s="697" t="s">
        <v>310</v>
      </c>
    </row>
    <row r="923" spans="1:20" ht="36" x14ac:dyDescent="0.2">
      <c r="A923" s="432">
        <f>IF(B923="","",COUNT('Diário 1º PA'!$A$4:$A$2635)+COUNT('Diário 2º PA'!$A$4:$A$3040)+COUNT('Diário 3º PA'!$A$4:$A$2731)+ROW()-3)</f>
        <v>6948</v>
      </c>
      <c r="B923" s="413">
        <v>44873</v>
      </c>
      <c r="C923" s="431">
        <v>44835</v>
      </c>
      <c r="D923" s="419" t="s">
        <v>468</v>
      </c>
      <c r="E923" s="419" t="s">
        <v>468</v>
      </c>
      <c r="F923" s="422">
        <v>16.16</v>
      </c>
      <c r="G923" s="427" t="s">
        <v>7947</v>
      </c>
      <c r="H923" s="415" t="s">
        <v>468</v>
      </c>
      <c r="I923" s="415" t="s">
        <v>764</v>
      </c>
      <c r="J923" s="426" t="s">
        <v>310</v>
      </c>
      <c r="K923" s="415" t="s">
        <v>1220</v>
      </c>
      <c r="L923" s="415" t="s">
        <v>3443</v>
      </c>
      <c r="M923" s="597">
        <v>222254782276</v>
      </c>
      <c r="N923" s="413">
        <v>44873</v>
      </c>
      <c r="O923" s="414" t="s">
        <v>3762</v>
      </c>
      <c r="P923" s="655">
        <f t="shared" si="46"/>
        <v>11</v>
      </c>
      <c r="Q923" s="655">
        <f t="shared" si="47"/>
        <v>10</v>
      </c>
      <c r="R923" s="758" t="str">
        <f t="shared" si="48"/>
        <v>Gastos_custeados_por_captação</v>
      </c>
      <c r="S923" s="697" t="s">
        <v>310</v>
      </c>
      <c r="T923" s="697" t="s">
        <v>310</v>
      </c>
    </row>
    <row r="924" spans="1:20" ht="48" x14ac:dyDescent="0.2">
      <c r="A924" s="432">
        <f>IF(B924="","",COUNT('Diário 1º PA'!$A$4:$A$2635)+COUNT('Diário 2º PA'!$A$4:$A$3040)+COUNT('Diário 3º PA'!$A$4:$A$2731)+ROW()-3)</f>
        <v>6949</v>
      </c>
      <c r="B924" s="413">
        <v>44873</v>
      </c>
      <c r="C924" s="431">
        <v>44835</v>
      </c>
      <c r="D924" s="419" t="s">
        <v>468</v>
      </c>
      <c r="E924" s="419" t="s">
        <v>468</v>
      </c>
      <c r="F924" s="422">
        <v>2.92</v>
      </c>
      <c r="G924" s="427" t="s">
        <v>7955</v>
      </c>
      <c r="H924" s="415" t="s">
        <v>468</v>
      </c>
      <c r="I924" s="415" t="s">
        <v>764</v>
      </c>
      <c r="J924" s="426" t="s">
        <v>310</v>
      </c>
      <c r="K924" s="415" t="s">
        <v>1220</v>
      </c>
      <c r="L924" s="415" t="s">
        <v>3443</v>
      </c>
      <c r="M924" s="597">
        <v>222254782519</v>
      </c>
      <c r="N924" s="413">
        <v>44873</v>
      </c>
      <c r="O924" s="414" t="s">
        <v>3762</v>
      </c>
      <c r="P924" s="655">
        <f t="shared" si="46"/>
        <v>11</v>
      </c>
      <c r="Q924" s="655">
        <f t="shared" si="47"/>
        <v>10</v>
      </c>
      <c r="R924" s="758" t="str">
        <f t="shared" si="48"/>
        <v>Gastos_custeados_por_captação</v>
      </c>
      <c r="S924" s="697" t="s">
        <v>310</v>
      </c>
      <c r="T924" s="697" t="s">
        <v>310</v>
      </c>
    </row>
    <row r="925" spans="1:20" ht="36" x14ac:dyDescent="0.2">
      <c r="A925" s="432">
        <f>IF(B925="","",COUNT('Diário 1º PA'!$A$4:$A$2635)+COUNT('Diário 2º PA'!$A$4:$A$3040)+COUNT('Diário 3º PA'!$A$4:$A$2731)+ROW()-3)</f>
        <v>6950</v>
      </c>
      <c r="B925" s="413">
        <v>44873</v>
      </c>
      <c r="C925" s="431">
        <v>44805</v>
      </c>
      <c r="D925" s="419" t="s">
        <v>468</v>
      </c>
      <c r="E925" s="419" t="s">
        <v>468</v>
      </c>
      <c r="F925" s="422">
        <v>45</v>
      </c>
      <c r="G925" s="427" t="s">
        <v>8447</v>
      </c>
      <c r="H925" s="415" t="s">
        <v>468</v>
      </c>
      <c r="I925" s="415" t="s">
        <v>764</v>
      </c>
      <c r="J925" s="426" t="s">
        <v>310</v>
      </c>
      <c r="K925" s="415" t="s">
        <v>1220</v>
      </c>
      <c r="L925" s="415" t="s">
        <v>3443</v>
      </c>
      <c r="M925" s="597">
        <v>222254782780</v>
      </c>
      <c r="N925" s="413">
        <v>44873</v>
      </c>
      <c r="O925" s="414" t="s">
        <v>3762</v>
      </c>
      <c r="P925" s="655">
        <f t="shared" si="46"/>
        <v>11</v>
      </c>
      <c r="Q925" s="655">
        <f t="shared" si="47"/>
        <v>9</v>
      </c>
      <c r="R925" s="758" t="str">
        <f t="shared" si="48"/>
        <v>Gastos_custeados_por_captação</v>
      </c>
      <c r="S925" s="697" t="s">
        <v>310</v>
      </c>
      <c r="T925" s="697" t="s">
        <v>310</v>
      </c>
    </row>
    <row r="926" spans="1:20" ht="36" x14ac:dyDescent="0.2">
      <c r="A926" s="432">
        <f>IF(B926="","",COUNT('Diário 1º PA'!$A$4:$A$2635)+COUNT('Diário 2º PA'!$A$4:$A$3040)+COUNT('Diário 3º PA'!$A$4:$A$2731)+ROW()-3)</f>
        <v>6951</v>
      </c>
      <c r="B926" s="413">
        <v>44873</v>
      </c>
      <c r="C926" s="431">
        <v>44805</v>
      </c>
      <c r="D926" s="419" t="s">
        <v>468</v>
      </c>
      <c r="E926" s="419" t="s">
        <v>468</v>
      </c>
      <c r="F926" s="422">
        <v>74.33</v>
      </c>
      <c r="G926" s="427" t="s">
        <v>7953</v>
      </c>
      <c r="H926" s="415" t="s">
        <v>468</v>
      </c>
      <c r="I926" s="415" t="s">
        <v>764</v>
      </c>
      <c r="J926" s="426" t="s">
        <v>310</v>
      </c>
      <c r="K926" s="415" t="s">
        <v>1220</v>
      </c>
      <c r="L926" s="415" t="s">
        <v>3443</v>
      </c>
      <c r="M926" s="597">
        <v>222254782861</v>
      </c>
      <c r="N926" s="413">
        <v>44873</v>
      </c>
      <c r="O926" s="414" t="s">
        <v>3762</v>
      </c>
      <c r="P926" s="655">
        <f t="shared" si="46"/>
        <v>11</v>
      </c>
      <c r="Q926" s="655">
        <f t="shared" si="47"/>
        <v>9</v>
      </c>
      <c r="R926" s="758" t="str">
        <f t="shared" si="48"/>
        <v>Gastos_custeados_por_captação</v>
      </c>
      <c r="S926" s="697" t="s">
        <v>310</v>
      </c>
      <c r="T926" s="697" t="s">
        <v>310</v>
      </c>
    </row>
    <row r="927" spans="1:20" ht="36" x14ac:dyDescent="0.2">
      <c r="A927" s="432">
        <f>IF(B927="","",COUNT('Diário 1º PA'!$A$4:$A$2635)+COUNT('Diário 2º PA'!$A$4:$A$3040)+COUNT('Diário 3º PA'!$A$4:$A$2731)+ROW()-3)</f>
        <v>6952</v>
      </c>
      <c r="B927" s="413">
        <v>44873</v>
      </c>
      <c r="C927" s="431">
        <v>44835</v>
      </c>
      <c r="D927" s="419" t="s">
        <v>468</v>
      </c>
      <c r="E927" s="419" t="s">
        <v>468</v>
      </c>
      <c r="F927" s="422">
        <v>11.76</v>
      </c>
      <c r="G927" s="427" t="s">
        <v>7950</v>
      </c>
      <c r="H927" s="415" t="s">
        <v>468</v>
      </c>
      <c r="I927" s="415" t="s">
        <v>764</v>
      </c>
      <c r="J927" s="426" t="s">
        <v>310</v>
      </c>
      <c r="K927" s="415" t="s">
        <v>1220</v>
      </c>
      <c r="L927" s="415" t="s">
        <v>3443</v>
      </c>
      <c r="M927" s="597">
        <v>222254783086</v>
      </c>
      <c r="N927" s="413">
        <v>44873</v>
      </c>
      <c r="O927" s="414" t="s">
        <v>3762</v>
      </c>
      <c r="P927" s="655">
        <f t="shared" si="46"/>
        <v>11</v>
      </c>
      <c r="Q927" s="655">
        <f t="shared" si="47"/>
        <v>10</v>
      </c>
      <c r="R927" s="758" t="str">
        <f t="shared" si="48"/>
        <v>Gastos_custeados_por_captação</v>
      </c>
      <c r="S927" s="697" t="s">
        <v>310</v>
      </c>
      <c r="T927" s="697" t="s">
        <v>310</v>
      </c>
    </row>
    <row r="928" spans="1:20" ht="36" x14ac:dyDescent="0.2">
      <c r="A928" s="432">
        <f>IF(B928="","",COUNT('Diário 1º PA'!$A$4:$A$2635)+COUNT('Diário 2º PA'!$A$4:$A$3040)+COUNT('Diário 3º PA'!$A$4:$A$2731)+ROW()-3)</f>
        <v>6953</v>
      </c>
      <c r="B928" s="413">
        <v>44873</v>
      </c>
      <c r="C928" s="431">
        <v>44835</v>
      </c>
      <c r="D928" s="419" t="s">
        <v>468</v>
      </c>
      <c r="E928" s="419" t="s">
        <v>468</v>
      </c>
      <c r="F928" s="422">
        <v>529.66999999999996</v>
      </c>
      <c r="G928" s="427" t="s">
        <v>7959</v>
      </c>
      <c r="H928" s="415" t="s">
        <v>468</v>
      </c>
      <c r="I928" s="415" t="s">
        <v>764</v>
      </c>
      <c r="J928" s="426" t="s">
        <v>310</v>
      </c>
      <c r="K928" s="415" t="s">
        <v>1220</v>
      </c>
      <c r="L928" s="415" t="s">
        <v>3443</v>
      </c>
      <c r="M928" s="597">
        <v>222254783400</v>
      </c>
      <c r="N928" s="413">
        <v>44873</v>
      </c>
      <c r="O928" s="414" t="s">
        <v>3762</v>
      </c>
      <c r="P928" s="655">
        <f t="shared" si="46"/>
        <v>11</v>
      </c>
      <c r="Q928" s="655">
        <f t="shared" si="47"/>
        <v>10</v>
      </c>
      <c r="R928" s="758" t="str">
        <f t="shared" si="48"/>
        <v>Gastos_custeados_por_captação</v>
      </c>
      <c r="S928" s="697" t="s">
        <v>310</v>
      </c>
      <c r="T928" s="697" t="s">
        <v>310</v>
      </c>
    </row>
    <row r="929" spans="1:20" ht="36" x14ac:dyDescent="0.2">
      <c r="A929" s="432">
        <f>IF(B929="","",COUNT('Diário 1º PA'!$A$4:$A$2635)+COUNT('Diário 2º PA'!$A$4:$A$3040)+COUNT('Diário 3º PA'!$A$4:$A$2731)+ROW()-3)</f>
        <v>6954</v>
      </c>
      <c r="B929" s="413">
        <v>44873</v>
      </c>
      <c r="C929" s="431">
        <v>44835</v>
      </c>
      <c r="D929" s="419" t="s">
        <v>468</v>
      </c>
      <c r="E929" s="419" t="s">
        <v>468</v>
      </c>
      <c r="F929" s="422">
        <v>261.60000000000002</v>
      </c>
      <c r="G929" s="427" t="s">
        <v>8437</v>
      </c>
      <c r="H929" s="415" t="s">
        <v>468</v>
      </c>
      <c r="I929" s="415" t="s">
        <v>764</v>
      </c>
      <c r="J929" s="426" t="s">
        <v>310</v>
      </c>
      <c r="K929" s="415" t="s">
        <v>1220</v>
      </c>
      <c r="L929" s="415" t="s">
        <v>3443</v>
      </c>
      <c r="M929" s="597">
        <v>222254783671</v>
      </c>
      <c r="N929" s="413">
        <v>44873</v>
      </c>
      <c r="O929" s="414" t="s">
        <v>3762</v>
      </c>
      <c r="P929" s="655">
        <f t="shared" ref="P929:P992" si="49">IF(B929=0,0,IF(YEAR(B929)=$Q$1,MONTH(B929)-$P$1+1,(YEAR(B929)-$Q$1)*12-$P$1+1+MONTH(B929)))</f>
        <v>11</v>
      </c>
      <c r="Q929" s="655">
        <f t="shared" ref="Q929:Q992" si="50">IF(C929=0,0,IF(YEAR(C929)=$Q$1,MONTH(C929)-$P$1+1,(YEAR(C929)-$Q$1)*12-$P$1+1+MONTH(C929)))</f>
        <v>10</v>
      </c>
      <c r="R929" s="758" t="str">
        <f t="shared" si="48"/>
        <v>Gastos_custeados_por_captação</v>
      </c>
      <c r="S929" s="697" t="s">
        <v>310</v>
      </c>
      <c r="T929" s="697" t="s">
        <v>310</v>
      </c>
    </row>
    <row r="930" spans="1:20" ht="36" x14ac:dyDescent="0.2">
      <c r="A930" s="432">
        <f>IF(B930="","",COUNT('Diário 1º PA'!$A$4:$A$2635)+COUNT('Diário 2º PA'!$A$4:$A$3040)+COUNT('Diário 3º PA'!$A$4:$A$2731)+ROW()-3)</f>
        <v>6955</v>
      </c>
      <c r="B930" s="413">
        <v>44873</v>
      </c>
      <c r="C930" s="431">
        <v>44835</v>
      </c>
      <c r="D930" s="419" t="s">
        <v>468</v>
      </c>
      <c r="E930" s="419" t="s">
        <v>468</v>
      </c>
      <c r="F930" s="422">
        <v>300</v>
      </c>
      <c r="G930" s="427" t="s">
        <v>8010</v>
      </c>
      <c r="H930" s="415" t="s">
        <v>468</v>
      </c>
      <c r="I930" s="415" t="s">
        <v>764</v>
      </c>
      <c r="J930" s="426" t="s">
        <v>310</v>
      </c>
      <c r="K930" s="415" t="s">
        <v>1220</v>
      </c>
      <c r="L930" s="415" t="s">
        <v>3443</v>
      </c>
      <c r="M930" s="597">
        <v>222254783914</v>
      </c>
      <c r="N930" s="413">
        <v>44873</v>
      </c>
      <c r="O930" s="414" t="s">
        <v>3762</v>
      </c>
      <c r="P930" s="655">
        <f t="shared" si="49"/>
        <v>11</v>
      </c>
      <c r="Q930" s="655">
        <f t="shared" si="50"/>
        <v>10</v>
      </c>
      <c r="R930" s="758" t="str">
        <f t="shared" si="48"/>
        <v>Gastos_custeados_por_captação</v>
      </c>
      <c r="S930" s="697" t="s">
        <v>310</v>
      </c>
      <c r="T930" s="697" t="s">
        <v>310</v>
      </c>
    </row>
    <row r="931" spans="1:20" ht="48" x14ac:dyDescent="0.2">
      <c r="A931" s="432">
        <f>IF(B931="","",COUNT('Diário 1º PA'!$A$4:$A$2635)+COUNT('Diário 2º PA'!$A$4:$A$3040)+COUNT('Diário 3º PA'!$A$4:$A$2731)+ROW()-3)</f>
        <v>6956</v>
      </c>
      <c r="B931" s="413">
        <v>44873</v>
      </c>
      <c r="C931" s="431">
        <v>44835</v>
      </c>
      <c r="D931" s="419" t="s">
        <v>468</v>
      </c>
      <c r="E931" s="419" t="s">
        <v>468</v>
      </c>
      <c r="F931" s="422">
        <v>3.97</v>
      </c>
      <c r="G931" s="427" t="s">
        <v>8011</v>
      </c>
      <c r="H931" s="415" t="s">
        <v>468</v>
      </c>
      <c r="I931" s="415" t="s">
        <v>764</v>
      </c>
      <c r="J931" s="426" t="s">
        <v>310</v>
      </c>
      <c r="K931" s="415" t="s">
        <v>1220</v>
      </c>
      <c r="L931" s="415" t="s">
        <v>3443</v>
      </c>
      <c r="M931" s="597">
        <v>222254784139</v>
      </c>
      <c r="N931" s="413">
        <v>44873</v>
      </c>
      <c r="O931" s="414" t="s">
        <v>3762</v>
      </c>
      <c r="P931" s="655">
        <f t="shared" si="49"/>
        <v>11</v>
      </c>
      <c r="Q931" s="655">
        <f t="shared" si="50"/>
        <v>10</v>
      </c>
      <c r="R931" s="758" t="str">
        <f t="shared" si="48"/>
        <v>Gastos_custeados_por_captação</v>
      </c>
      <c r="S931" s="697" t="s">
        <v>310</v>
      </c>
      <c r="T931" s="697" t="s">
        <v>310</v>
      </c>
    </row>
    <row r="932" spans="1:20" ht="36" x14ac:dyDescent="0.2">
      <c r="A932" s="432">
        <f>IF(B932="","",COUNT('Diário 1º PA'!$A$4:$A$2635)+COUNT('Diário 2º PA'!$A$4:$A$3040)+COUNT('Diário 3º PA'!$A$4:$A$2731)+ROW()-3)</f>
        <v>6957</v>
      </c>
      <c r="B932" s="413">
        <v>44873</v>
      </c>
      <c r="C932" s="431">
        <v>44835</v>
      </c>
      <c r="D932" s="419" t="s">
        <v>468</v>
      </c>
      <c r="E932" s="419" t="s">
        <v>468</v>
      </c>
      <c r="F932" s="422">
        <v>20</v>
      </c>
      <c r="G932" s="427" t="s">
        <v>8038</v>
      </c>
      <c r="H932" s="415" t="s">
        <v>468</v>
      </c>
      <c r="I932" s="415" t="s">
        <v>764</v>
      </c>
      <c r="J932" s="426" t="s">
        <v>310</v>
      </c>
      <c r="K932" s="415" t="s">
        <v>1220</v>
      </c>
      <c r="L932" s="415" t="s">
        <v>3443</v>
      </c>
      <c r="M932" s="597">
        <v>222254784309</v>
      </c>
      <c r="N932" s="413">
        <v>44873</v>
      </c>
      <c r="O932" s="414" t="s">
        <v>3762</v>
      </c>
      <c r="P932" s="655">
        <f t="shared" si="49"/>
        <v>11</v>
      </c>
      <c r="Q932" s="655">
        <f t="shared" si="50"/>
        <v>10</v>
      </c>
      <c r="R932" s="758" t="str">
        <f t="shared" si="48"/>
        <v>Gastos_custeados_por_captação</v>
      </c>
      <c r="S932" s="697" t="s">
        <v>310</v>
      </c>
      <c r="T932" s="697" t="s">
        <v>310</v>
      </c>
    </row>
    <row r="933" spans="1:20" ht="36" x14ac:dyDescent="0.2">
      <c r="A933" s="432">
        <f>IF(B933="","",COUNT('Diário 1º PA'!$A$4:$A$2635)+COUNT('Diário 2º PA'!$A$4:$A$3040)+COUNT('Diário 3º PA'!$A$4:$A$2731)+ROW()-3)</f>
        <v>6958</v>
      </c>
      <c r="B933" s="413">
        <v>44874</v>
      </c>
      <c r="C933" s="431">
        <v>44835</v>
      </c>
      <c r="D933" s="415" t="s">
        <v>271</v>
      </c>
      <c r="E933" s="415" t="s">
        <v>465</v>
      </c>
      <c r="F933" s="422">
        <v>564.54</v>
      </c>
      <c r="G933" s="427" t="s">
        <v>7863</v>
      </c>
      <c r="H933" s="415" t="s">
        <v>751</v>
      </c>
      <c r="I933" s="415" t="s">
        <v>5217</v>
      </c>
      <c r="J933" s="415" t="s">
        <v>3296</v>
      </c>
      <c r="K933" s="419" t="s">
        <v>806</v>
      </c>
      <c r="L933" s="415" t="s">
        <v>32</v>
      </c>
      <c r="M933" s="419" t="s">
        <v>8191</v>
      </c>
      <c r="N933" s="413">
        <v>44872</v>
      </c>
      <c r="O933" s="414" t="s">
        <v>400</v>
      </c>
      <c r="P933" s="655">
        <f t="shared" si="49"/>
        <v>11</v>
      </c>
      <c r="Q933" s="655">
        <f t="shared" si="50"/>
        <v>10</v>
      </c>
      <c r="R933" s="758" t="str">
        <f t="shared" si="48"/>
        <v>Gastos_Gerais</v>
      </c>
      <c r="S933" s="697" t="s">
        <v>998</v>
      </c>
      <c r="T933" s="697">
        <v>4609</v>
      </c>
    </row>
    <row r="934" spans="1:20" ht="48" x14ac:dyDescent="0.2">
      <c r="A934" s="432">
        <f>IF(B934="","",COUNT('Diário 1º PA'!$A$4:$A$2635)+COUNT('Diário 2º PA'!$A$4:$A$3040)+COUNT('Diário 3º PA'!$A$4:$A$2731)+ROW()-3)</f>
        <v>6959</v>
      </c>
      <c r="B934" s="413">
        <v>44874</v>
      </c>
      <c r="C934" s="431">
        <v>44835</v>
      </c>
      <c r="D934" s="415" t="s">
        <v>271</v>
      </c>
      <c r="E934" s="415" t="s">
        <v>297</v>
      </c>
      <c r="F934" s="425">
        <v>99.9</v>
      </c>
      <c r="G934" s="427" t="s">
        <v>8193</v>
      </c>
      <c r="H934" s="415" t="s">
        <v>757</v>
      </c>
      <c r="I934" s="415" t="s">
        <v>1803</v>
      </c>
      <c r="J934" s="415" t="s">
        <v>991</v>
      </c>
      <c r="K934" s="419" t="s">
        <v>830</v>
      </c>
      <c r="L934" s="415" t="s">
        <v>798</v>
      </c>
      <c r="M934" s="415" t="s">
        <v>310</v>
      </c>
      <c r="N934" s="413">
        <v>44874</v>
      </c>
      <c r="O934" s="414" t="s">
        <v>400</v>
      </c>
      <c r="P934" s="655">
        <f t="shared" si="49"/>
        <v>11</v>
      </c>
      <c r="Q934" s="655">
        <f t="shared" si="50"/>
        <v>10</v>
      </c>
      <c r="R934" s="758" t="str">
        <f t="shared" si="48"/>
        <v>Gastos_Gerais</v>
      </c>
      <c r="S934" s="697" t="s">
        <v>999</v>
      </c>
      <c r="T934" s="697">
        <v>4604</v>
      </c>
    </row>
    <row r="935" spans="1:20" ht="48" x14ac:dyDescent="0.2">
      <c r="A935" s="432">
        <f>IF(B935="","",COUNT('Diário 1º PA'!$A$4:$A$2635)+COUNT('Diário 2º PA'!$A$4:$A$3040)+COUNT('Diário 3º PA'!$A$4:$A$2731)+ROW()-3)</f>
        <v>6960</v>
      </c>
      <c r="B935" s="413">
        <v>44874</v>
      </c>
      <c r="C935" s="431">
        <v>44835</v>
      </c>
      <c r="D935" s="415" t="s">
        <v>271</v>
      </c>
      <c r="E935" s="415" t="s">
        <v>297</v>
      </c>
      <c r="F935" s="425">
        <v>159.9</v>
      </c>
      <c r="G935" s="427" t="s">
        <v>8193</v>
      </c>
      <c r="H935" s="415" t="s">
        <v>757</v>
      </c>
      <c r="I935" s="415" t="s">
        <v>1803</v>
      </c>
      <c r="J935" s="415" t="s">
        <v>991</v>
      </c>
      <c r="K935" s="419" t="s">
        <v>830</v>
      </c>
      <c r="L935" s="415" t="s">
        <v>798</v>
      </c>
      <c r="M935" s="415" t="s">
        <v>310</v>
      </c>
      <c r="N935" s="413">
        <v>44874</v>
      </c>
      <c r="O935" s="414" t="s">
        <v>400</v>
      </c>
      <c r="P935" s="655">
        <f t="shared" si="49"/>
        <v>11</v>
      </c>
      <c r="Q935" s="655">
        <f t="shared" si="50"/>
        <v>10</v>
      </c>
      <c r="R935" s="758" t="str">
        <f t="shared" si="48"/>
        <v>Gastos_Gerais</v>
      </c>
      <c r="S935" s="697" t="s">
        <v>999</v>
      </c>
      <c r="T935" s="697">
        <v>4533</v>
      </c>
    </row>
    <row r="936" spans="1:20" ht="48" x14ac:dyDescent="0.2">
      <c r="A936" s="432">
        <f>IF(B936="","",COUNT('Diário 1º PA'!$A$4:$A$2635)+COUNT('Diário 2º PA'!$A$4:$A$3040)+COUNT('Diário 3º PA'!$A$4:$A$2731)+ROW()-3)</f>
        <v>6961</v>
      </c>
      <c r="B936" s="413">
        <v>44874</v>
      </c>
      <c r="C936" s="431">
        <v>44835</v>
      </c>
      <c r="D936" s="415" t="s">
        <v>271</v>
      </c>
      <c r="E936" s="415" t="s">
        <v>297</v>
      </c>
      <c r="F936" s="425">
        <v>479.8</v>
      </c>
      <c r="G936" s="427" t="s">
        <v>8193</v>
      </c>
      <c r="H936" s="415" t="s">
        <v>757</v>
      </c>
      <c r="I936" s="415" t="s">
        <v>1803</v>
      </c>
      <c r="J936" s="415" t="s">
        <v>991</v>
      </c>
      <c r="K936" s="419" t="s">
        <v>830</v>
      </c>
      <c r="L936" s="415" t="s">
        <v>798</v>
      </c>
      <c r="M936" s="415" t="s">
        <v>310</v>
      </c>
      <c r="N936" s="413">
        <v>44874</v>
      </c>
      <c r="O936" s="414" t="s">
        <v>400</v>
      </c>
      <c r="P936" s="655">
        <f t="shared" si="49"/>
        <v>11</v>
      </c>
      <c r="Q936" s="655">
        <f t="shared" si="50"/>
        <v>10</v>
      </c>
      <c r="R936" s="758" t="str">
        <f t="shared" si="48"/>
        <v>Gastos_Gerais</v>
      </c>
      <c r="S936" s="697" t="s">
        <v>999</v>
      </c>
      <c r="T936" s="697">
        <v>4530</v>
      </c>
    </row>
    <row r="937" spans="1:20" ht="48" x14ac:dyDescent="0.2">
      <c r="A937" s="432">
        <f>IF(B937="","",COUNT('Diário 1º PA'!$A$4:$A$2635)+COUNT('Diário 2º PA'!$A$4:$A$3040)+COUNT('Diário 3º PA'!$A$4:$A$2731)+ROW()-3)</f>
        <v>6962</v>
      </c>
      <c r="B937" s="413">
        <v>44874</v>
      </c>
      <c r="C937" s="431">
        <v>44835</v>
      </c>
      <c r="D937" s="415" t="s">
        <v>271</v>
      </c>
      <c r="E937" s="415" t="s">
        <v>297</v>
      </c>
      <c r="F937" s="425">
        <v>219.8</v>
      </c>
      <c r="G937" s="427" t="s">
        <v>8193</v>
      </c>
      <c r="H937" s="415" t="s">
        <v>757</v>
      </c>
      <c r="I937" s="415" t="s">
        <v>1803</v>
      </c>
      <c r="J937" s="415" t="s">
        <v>991</v>
      </c>
      <c r="K937" s="419" t="s">
        <v>830</v>
      </c>
      <c r="L937" s="415" t="s">
        <v>798</v>
      </c>
      <c r="M937" s="415" t="s">
        <v>310</v>
      </c>
      <c r="N937" s="413">
        <v>44874</v>
      </c>
      <c r="O937" s="414" t="s">
        <v>400</v>
      </c>
      <c r="P937" s="655">
        <f t="shared" si="49"/>
        <v>11</v>
      </c>
      <c r="Q937" s="655">
        <f t="shared" si="50"/>
        <v>10</v>
      </c>
      <c r="R937" s="758" t="str">
        <f t="shared" si="48"/>
        <v>Gastos_Gerais</v>
      </c>
      <c r="S937" s="697" t="s">
        <v>999</v>
      </c>
      <c r="T937" s="697">
        <v>4531</v>
      </c>
    </row>
    <row r="938" spans="1:20" ht="48" x14ac:dyDescent="0.2">
      <c r="A938" s="432">
        <f>IF(B938="","",COUNT('Diário 1º PA'!$A$4:$A$2635)+COUNT('Diário 2º PA'!$A$4:$A$3040)+COUNT('Diário 3º PA'!$A$4:$A$2731)+ROW()-3)</f>
        <v>6963</v>
      </c>
      <c r="B938" s="413">
        <v>44874</v>
      </c>
      <c r="C938" s="431">
        <v>44835</v>
      </c>
      <c r="D938" s="415" t="s">
        <v>271</v>
      </c>
      <c r="E938" s="415" t="s">
        <v>297</v>
      </c>
      <c r="F938" s="425">
        <v>189.97</v>
      </c>
      <c r="G938" s="427" t="s">
        <v>8193</v>
      </c>
      <c r="H938" s="415" t="s">
        <v>757</v>
      </c>
      <c r="I938" s="415" t="s">
        <v>1803</v>
      </c>
      <c r="J938" s="415" t="s">
        <v>991</v>
      </c>
      <c r="K938" s="419" t="s">
        <v>830</v>
      </c>
      <c r="L938" s="415" t="s">
        <v>798</v>
      </c>
      <c r="M938" s="415" t="s">
        <v>310</v>
      </c>
      <c r="N938" s="413">
        <v>44874</v>
      </c>
      <c r="O938" s="414" t="s">
        <v>400</v>
      </c>
      <c r="P938" s="655">
        <f t="shared" si="49"/>
        <v>11</v>
      </c>
      <c r="Q938" s="655">
        <f t="shared" si="50"/>
        <v>10</v>
      </c>
      <c r="R938" s="758" t="str">
        <f t="shared" si="48"/>
        <v>Gastos_Gerais</v>
      </c>
      <c r="S938" s="697" t="s">
        <v>999</v>
      </c>
      <c r="T938" s="697">
        <v>4526</v>
      </c>
    </row>
    <row r="939" spans="1:20" ht="48" x14ac:dyDescent="0.2">
      <c r="A939" s="432">
        <f>IF(B939="","",COUNT('Diário 1º PA'!$A$4:$A$2635)+COUNT('Diário 2º PA'!$A$4:$A$3040)+COUNT('Diário 3º PA'!$A$4:$A$2731)+ROW()-3)</f>
        <v>6964</v>
      </c>
      <c r="B939" s="413">
        <v>44874</v>
      </c>
      <c r="C939" s="431">
        <v>44835</v>
      </c>
      <c r="D939" s="415" t="s">
        <v>271</v>
      </c>
      <c r="E939" s="415" t="s">
        <v>297</v>
      </c>
      <c r="F939" s="425">
        <v>69.900000000000006</v>
      </c>
      <c r="G939" s="427" t="s">
        <v>8194</v>
      </c>
      <c r="H939" s="415" t="s">
        <v>757</v>
      </c>
      <c r="I939" s="415" t="s">
        <v>1803</v>
      </c>
      <c r="J939" s="415" t="s">
        <v>991</v>
      </c>
      <c r="K939" s="419" t="s">
        <v>830</v>
      </c>
      <c r="L939" s="415" t="s">
        <v>798</v>
      </c>
      <c r="M939" s="415" t="s">
        <v>310</v>
      </c>
      <c r="N939" s="413">
        <v>44874</v>
      </c>
      <c r="O939" s="414" t="s">
        <v>400</v>
      </c>
      <c r="P939" s="655">
        <f t="shared" si="49"/>
        <v>11</v>
      </c>
      <c r="Q939" s="655">
        <f t="shared" si="50"/>
        <v>10</v>
      </c>
      <c r="R939" s="758" t="str">
        <f t="shared" si="48"/>
        <v>Gastos_Gerais</v>
      </c>
      <c r="S939" s="697" t="s">
        <v>999</v>
      </c>
      <c r="T939" s="697">
        <v>4603</v>
      </c>
    </row>
    <row r="940" spans="1:20" ht="36" x14ac:dyDescent="0.2">
      <c r="A940" s="432">
        <f>IF(B940="","",COUNT('Diário 1º PA'!$A$4:$A$2635)+COUNT('Diário 2º PA'!$A$4:$A$3040)+COUNT('Diário 3º PA'!$A$4:$A$2731)+ROW()-3)</f>
        <v>6965</v>
      </c>
      <c r="B940" s="413">
        <v>44874</v>
      </c>
      <c r="C940" s="431">
        <v>44866</v>
      </c>
      <c r="D940" s="419" t="s">
        <v>271</v>
      </c>
      <c r="E940" s="419" t="s">
        <v>71</v>
      </c>
      <c r="F940" s="422">
        <v>11</v>
      </c>
      <c r="G940" s="423" t="s">
        <v>8196</v>
      </c>
      <c r="H940" s="415" t="s">
        <v>757</v>
      </c>
      <c r="I940" s="415" t="s">
        <v>881</v>
      </c>
      <c r="J940" s="419" t="s">
        <v>882</v>
      </c>
      <c r="K940" s="419" t="s">
        <v>883</v>
      </c>
      <c r="L940" s="415" t="s">
        <v>798</v>
      </c>
      <c r="M940" s="419" t="s">
        <v>310</v>
      </c>
      <c r="N940" s="413">
        <v>44874</v>
      </c>
      <c r="O940" s="414" t="s">
        <v>400</v>
      </c>
      <c r="P940" s="655">
        <f t="shared" si="49"/>
        <v>11</v>
      </c>
      <c r="Q940" s="655">
        <f t="shared" si="50"/>
        <v>11</v>
      </c>
      <c r="R940" s="758" t="str">
        <f t="shared" si="48"/>
        <v>Gastos_Gerais</v>
      </c>
      <c r="S940" s="697" t="s">
        <v>310</v>
      </c>
      <c r="T940" s="697" t="s">
        <v>310</v>
      </c>
    </row>
    <row r="941" spans="1:20" ht="36" x14ac:dyDescent="0.2">
      <c r="A941" s="432">
        <f>IF(B941="","",COUNT('Diário 1º PA'!$A$4:$A$2635)+COUNT('Diário 2º PA'!$A$4:$A$3040)+COUNT('Diário 3º PA'!$A$4:$A$2731)+ROW()-3)</f>
        <v>6966</v>
      </c>
      <c r="B941" s="413">
        <v>44874</v>
      </c>
      <c r="C941" s="431">
        <v>44866</v>
      </c>
      <c r="D941" s="419" t="s">
        <v>271</v>
      </c>
      <c r="E941" s="419" t="s">
        <v>71</v>
      </c>
      <c r="F941" s="422">
        <v>11</v>
      </c>
      <c r="G941" s="423" t="s">
        <v>8197</v>
      </c>
      <c r="H941" s="415" t="s">
        <v>757</v>
      </c>
      <c r="I941" s="415" t="s">
        <v>881</v>
      </c>
      <c r="J941" s="419" t="s">
        <v>882</v>
      </c>
      <c r="K941" s="419" t="s">
        <v>883</v>
      </c>
      <c r="L941" s="415" t="s">
        <v>798</v>
      </c>
      <c r="M941" s="419" t="s">
        <v>310</v>
      </c>
      <c r="N941" s="413">
        <v>44874</v>
      </c>
      <c r="O941" s="414" t="s">
        <v>400</v>
      </c>
      <c r="P941" s="655">
        <f t="shared" si="49"/>
        <v>11</v>
      </c>
      <c r="Q941" s="655">
        <f t="shared" si="50"/>
        <v>11</v>
      </c>
      <c r="R941" s="758" t="str">
        <f t="shared" si="48"/>
        <v>Gastos_Gerais</v>
      </c>
      <c r="S941" s="697" t="s">
        <v>310</v>
      </c>
      <c r="T941" s="697" t="s">
        <v>310</v>
      </c>
    </row>
    <row r="942" spans="1:20" ht="36" x14ac:dyDescent="0.2">
      <c r="A942" s="432">
        <f>IF(B942="","",COUNT('Diário 1º PA'!$A$4:$A$2635)+COUNT('Diário 2º PA'!$A$4:$A$3040)+COUNT('Diário 3º PA'!$A$4:$A$2731)+ROW()-3)</f>
        <v>6967</v>
      </c>
      <c r="B942" s="413">
        <v>44874</v>
      </c>
      <c r="C942" s="431">
        <v>44866</v>
      </c>
      <c r="D942" s="419" t="s">
        <v>271</v>
      </c>
      <c r="E942" s="419" t="s">
        <v>71</v>
      </c>
      <c r="F942" s="422">
        <v>11</v>
      </c>
      <c r="G942" s="423" t="s">
        <v>8198</v>
      </c>
      <c r="H942" s="415" t="s">
        <v>757</v>
      </c>
      <c r="I942" s="415" t="s">
        <v>881</v>
      </c>
      <c r="J942" s="419" t="s">
        <v>882</v>
      </c>
      <c r="K942" s="419" t="s">
        <v>883</v>
      </c>
      <c r="L942" s="415" t="s">
        <v>798</v>
      </c>
      <c r="M942" s="419" t="s">
        <v>310</v>
      </c>
      <c r="N942" s="413">
        <v>44874</v>
      </c>
      <c r="O942" s="414" t="s">
        <v>400</v>
      </c>
      <c r="P942" s="655">
        <f t="shared" si="49"/>
        <v>11</v>
      </c>
      <c r="Q942" s="655">
        <f t="shared" si="50"/>
        <v>11</v>
      </c>
      <c r="R942" s="758" t="str">
        <f t="shared" si="48"/>
        <v>Gastos_Gerais</v>
      </c>
      <c r="S942" s="697" t="s">
        <v>310</v>
      </c>
      <c r="T942" s="697" t="s">
        <v>310</v>
      </c>
    </row>
    <row r="943" spans="1:20" ht="36" x14ac:dyDescent="0.2">
      <c r="A943" s="432">
        <f>IF(B943="","",COUNT('Diário 1º PA'!$A$4:$A$2635)+COUNT('Diário 2º PA'!$A$4:$A$3040)+COUNT('Diário 3º PA'!$A$4:$A$2731)+ROW()-3)</f>
        <v>6968</v>
      </c>
      <c r="B943" s="413">
        <v>44874</v>
      </c>
      <c r="C943" s="431">
        <v>44866</v>
      </c>
      <c r="D943" s="419" t="s">
        <v>271</v>
      </c>
      <c r="E943" s="419" t="s">
        <v>71</v>
      </c>
      <c r="F943" s="422">
        <v>11</v>
      </c>
      <c r="G943" s="423" t="s">
        <v>8199</v>
      </c>
      <c r="H943" s="415" t="s">
        <v>757</v>
      </c>
      <c r="I943" s="415" t="s">
        <v>881</v>
      </c>
      <c r="J943" s="419" t="s">
        <v>882</v>
      </c>
      <c r="K943" s="419" t="s">
        <v>883</v>
      </c>
      <c r="L943" s="415" t="s">
        <v>798</v>
      </c>
      <c r="M943" s="419" t="s">
        <v>310</v>
      </c>
      <c r="N943" s="413">
        <v>44874</v>
      </c>
      <c r="O943" s="414" t="s">
        <v>400</v>
      </c>
      <c r="P943" s="655">
        <f t="shared" si="49"/>
        <v>11</v>
      </c>
      <c r="Q943" s="655">
        <f t="shared" si="50"/>
        <v>11</v>
      </c>
      <c r="R943" s="758" t="str">
        <f t="shared" si="48"/>
        <v>Gastos_Gerais</v>
      </c>
      <c r="S943" s="697" t="s">
        <v>310</v>
      </c>
      <c r="T943" s="697" t="s">
        <v>310</v>
      </c>
    </row>
    <row r="944" spans="1:20" ht="36" x14ac:dyDescent="0.2">
      <c r="A944" s="432">
        <f>IF(B944="","",COUNT('Diário 1º PA'!$A$4:$A$2635)+COUNT('Diário 2º PA'!$A$4:$A$3040)+COUNT('Diário 3º PA'!$A$4:$A$2731)+ROW()-3)</f>
        <v>6969</v>
      </c>
      <c r="B944" s="413">
        <v>44874</v>
      </c>
      <c r="C944" s="431">
        <v>44866</v>
      </c>
      <c r="D944" s="419" t="s">
        <v>271</v>
      </c>
      <c r="E944" s="419" t="s">
        <v>71</v>
      </c>
      <c r="F944" s="422">
        <v>11</v>
      </c>
      <c r="G944" s="423" t="s">
        <v>8200</v>
      </c>
      <c r="H944" s="415" t="s">
        <v>757</v>
      </c>
      <c r="I944" s="415" t="s">
        <v>881</v>
      </c>
      <c r="J944" s="419" t="s">
        <v>882</v>
      </c>
      <c r="K944" s="419" t="s">
        <v>883</v>
      </c>
      <c r="L944" s="415" t="s">
        <v>798</v>
      </c>
      <c r="M944" s="419" t="s">
        <v>310</v>
      </c>
      <c r="N944" s="413">
        <v>44874</v>
      </c>
      <c r="O944" s="414" t="s">
        <v>400</v>
      </c>
      <c r="P944" s="655">
        <f t="shared" si="49"/>
        <v>11</v>
      </c>
      <c r="Q944" s="655">
        <f t="shared" si="50"/>
        <v>11</v>
      </c>
      <c r="R944" s="758" t="str">
        <f t="shared" si="48"/>
        <v>Gastos_Gerais</v>
      </c>
      <c r="S944" s="697" t="s">
        <v>310</v>
      </c>
      <c r="T944" s="697" t="s">
        <v>310</v>
      </c>
    </row>
    <row r="945" spans="1:20" ht="36" x14ac:dyDescent="0.2">
      <c r="A945" s="432">
        <f>IF(B945="","",COUNT('Diário 1º PA'!$A$4:$A$2635)+COUNT('Diário 2º PA'!$A$4:$A$3040)+COUNT('Diário 3º PA'!$A$4:$A$2731)+ROW()-3)</f>
        <v>6970</v>
      </c>
      <c r="B945" s="413">
        <v>44874</v>
      </c>
      <c r="C945" s="431">
        <v>44866</v>
      </c>
      <c r="D945" s="419" t="s">
        <v>271</v>
      </c>
      <c r="E945" s="419" t="s">
        <v>71</v>
      </c>
      <c r="F945" s="422">
        <v>11</v>
      </c>
      <c r="G945" s="423" t="s">
        <v>8201</v>
      </c>
      <c r="H945" s="415" t="s">
        <v>757</v>
      </c>
      <c r="I945" s="415" t="s">
        <v>881</v>
      </c>
      <c r="J945" s="419" t="s">
        <v>882</v>
      </c>
      <c r="K945" s="419" t="s">
        <v>883</v>
      </c>
      <c r="L945" s="415" t="s">
        <v>798</v>
      </c>
      <c r="M945" s="419" t="s">
        <v>310</v>
      </c>
      <c r="N945" s="413">
        <v>44874</v>
      </c>
      <c r="O945" s="414" t="s">
        <v>400</v>
      </c>
      <c r="P945" s="655">
        <f t="shared" si="49"/>
        <v>11</v>
      </c>
      <c r="Q945" s="655">
        <f t="shared" si="50"/>
        <v>11</v>
      </c>
      <c r="R945" s="758" t="str">
        <f t="shared" ref="R945:R1008" si="51">SUBSTITUTE(D945," ","_")</f>
        <v>Gastos_Gerais</v>
      </c>
      <c r="S945" s="697" t="s">
        <v>310</v>
      </c>
      <c r="T945" s="697" t="s">
        <v>310</v>
      </c>
    </row>
    <row r="946" spans="1:20" ht="48" x14ac:dyDescent="0.2">
      <c r="A946" s="432">
        <f>IF(B946="","",COUNT('Diário 1º PA'!$A$4:$A$2635)+COUNT('Diário 2º PA'!$A$4:$A$3040)+COUNT('Diário 3º PA'!$A$4:$A$2731)+ROW()-3)</f>
        <v>6971</v>
      </c>
      <c r="B946" s="413">
        <v>44874</v>
      </c>
      <c r="C946" s="431">
        <v>44835</v>
      </c>
      <c r="D946" s="419" t="s">
        <v>468</v>
      </c>
      <c r="E946" s="419" t="s">
        <v>468</v>
      </c>
      <c r="F946" s="422">
        <v>5326.32</v>
      </c>
      <c r="G946" s="427" t="s">
        <v>7644</v>
      </c>
      <c r="H946" s="415" t="s">
        <v>468</v>
      </c>
      <c r="I946" s="415" t="s">
        <v>4598</v>
      </c>
      <c r="J946" s="415" t="s">
        <v>2310</v>
      </c>
      <c r="K946" s="419" t="s">
        <v>806</v>
      </c>
      <c r="L946" s="415" t="s">
        <v>32</v>
      </c>
      <c r="M946" s="419" t="s">
        <v>8288</v>
      </c>
      <c r="N946" s="413">
        <v>44873</v>
      </c>
      <c r="O946" s="414" t="s">
        <v>405</v>
      </c>
      <c r="P946" s="655">
        <f t="shared" si="49"/>
        <v>11</v>
      </c>
      <c r="Q946" s="655">
        <f t="shared" si="50"/>
        <v>10</v>
      </c>
      <c r="R946" s="758" t="str">
        <f t="shared" si="51"/>
        <v>Gastos_custeados_por_captação</v>
      </c>
      <c r="S946" s="697" t="s">
        <v>998</v>
      </c>
      <c r="T946" s="697">
        <v>4539</v>
      </c>
    </row>
    <row r="947" spans="1:20" ht="48" x14ac:dyDescent="0.2">
      <c r="A947" s="432">
        <f>IF(B947="","",COUNT('Diário 1º PA'!$A$4:$A$2635)+COUNT('Diário 2º PA'!$A$4:$A$3040)+COUNT('Diário 3º PA'!$A$4:$A$2731)+ROW()-3)</f>
        <v>6972</v>
      </c>
      <c r="B947" s="413">
        <v>44874</v>
      </c>
      <c r="C947" s="431">
        <v>44835</v>
      </c>
      <c r="D947" s="419" t="s">
        <v>468</v>
      </c>
      <c r="E947" s="419" t="s">
        <v>468</v>
      </c>
      <c r="F947" s="422">
        <v>1350</v>
      </c>
      <c r="G947" s="427" t="s">
        <v>7780</v>
      </c>
      <c r="H947" s="415" t="s">
        <v>468</v>
      </c>
      <c r="I947" s="415" t="s">
        <v>8290</v>
      </c>
      <c r="J947" s="415" t="s">
        <v>7781</v>
      </c>
      <c r="K947" s="419" t="s">
        <v>830</v>
      </c>
      <c r="L947" s="415" t="s">
        <v>32</v>
      </c>
      <c r="M947" s="419" t="s">
        <v>3508</v>
      </c>
      <c r="N947" s="413">
        <v>44873</v>
      </c>
      <c r="O947" s="414" t="s">
        <v>405</v>
      </c>
      <c r="P947" s="655">
        <f t="shared" si="49"/>
        <v>11</v>
      </c>
      <c r="Q947" s="655">
        <f t="shared" si="50"/>
        <v>10</v>
      </c>
      <c r="R947" s="758" t="str">
        <f t="shared" si="51"/>
        <v>Gastos_custeados_por_captação</v>
      </c>
      <c r="S947" s="697" t="s">
        <v>998</v>
      </c>
      <c r="T947" s="697">
        <v>4574</v>
      </c>
    </row>
    <row r="948" spans="1:20" ht="48" x14ac:dyDescent="0.2">
      <c r="A948" s="432">
        <f>IF(B948="","",COUNT('Diário 1º PA'!$A$4:$A$2635)+COUNT('Diário 2º PA'!$A$4:$A$3040)+COUNT('Diário 3º PA'!$A$4:$A$2731)+ROW()-3)</f>
        <v>6973</v>
      </c>
      <c r="B948" s="413">
        <v>44874</v>
      </c>
      <c r="C948" s="431">
        <v>44835</v>
      </c>
      <c r="D948" s="419" t="s">
        <v>468</v>
      </c>
      <c r="E948" s="419" t="s">
        <v>468</v>
      </c>
      <c r="F948" s="422">
        <v>4000</v>
      </c>
      <c r="G948" s="427" t="s">
        <v>7871</v>
      </c>
      <c r="H948" s="415" t="s">
        <v>468</v>
      </c>
      <c r="I948" s="415" t="s">
        <v>8291</v>
      </c>
      <c r="J948" s="415" t="s">
        <v>7872</v>
      </c>
      <c r="K948" s="419" t="s">
        <v>830</v>
      </c>
      <c r="L948" s="415" t="s">
        <v>32</v>
      </c>
      <c r="M948" s="419" t="s">
        <v>842</v>
      </c>
      <c r="N948" s="413">
        <v>44873</v>
      </c>
      <c r="O948" s="414" t="s">
        <v>405</v>
      </c>
      <c r="P948" s="655">
        <f t="shared" si="49"/>
        <v>11</v>
      </c>
      <c r="Q948" s="655">
        <f t="shared" si="50"/>
        <v>10</v>
      </c>
      <c r="R948" s="758" t="str">
        <f t="shared" si="51"/>
        <v>Gastos_custeados_por_captação</v>
      </c>
      <c r="S948" s="697" t="s">
        <v>998</v>
      </c>
      <c r="T948" s="697">
        <v>4606</v>
      </c>
    </row>
    <row r="949" spans="1:20" ht="48" x14ac:dyDescent="0.2">
      <c r="A949" s="432">
        <f>IF(B949="","",COUNT('Diário 1º PA'!$A$4:$A$2635)+COUNT('Diário 2º PA'!$A$4:$A$3040)+COUNT('Diário 3º PA'!$A$4:$A$2731)+ROW()-3)</f>
        <v>6974</v>
      </c>
      <c r="B949" s="413">
        <v>44874</v>
      </c>
      <c r="C949" s="431">
        <v>44743</v>
      </c>
      <c r="D949" s="419" t="s">
        <v>468</v>
      </c>
      <c r="E949" s="419" t="s">
        <v>468</v>
      </c>
      <c r="F949" s="422">
        <v>139.87</v>
      </c>
      <c r="G949" s="423" t="s">
        <v>8238</v>
      </c>
      <c r="H949" s="415" t="s">
        <v>468</v>
      </c>
      <c r="I949" s="437" t="s">
        <v>6805</v>
      </c>
      <c r="J949" s="415" t="s">
        <v>4978</v>
      </c>
      <c r="K949" s="418" t="s">
        <v>830</v>
      </c>
      <c r="L949" s="399" t="s">
        <v>32</v>
      </c>
      <c r="M949" s="544">
        <v>1525</v>
      </c>
      <c r="N949" s="413">
        <v>44840</v>
      </c>
      <c r="O949" s="414" t="s">
        <v>404</v>
      </c>
      <c r="P949" s="655">
        <f t="shared" si="49"/>
        <v>11</v>
      </c>
      <c r="Q949" s="655">
        <f t="shared" si="50"/>
        <v>7</v>
      </c>
      <c r="R949" s="758" t="str">
        <f t="shared" si="51"/>
        <v>Gastos_custeados_por_captação</v>
      </c>
      <c r="S949" s="697" t="s">
        <v>1000</v>
      </c>
      <c r="T949" s="697">
        <v>3934</v>
      </c>
    </row>
    <row r="950" spans="1:20" ht="48" x14ac:dyDescent="0.2">
      <c r="A950" s="432">
        <f>IF(B950="","",COUNT('Diário 1º PA'!$A$4:$A$2635)+COUNT('Diário 2º PA'!$A$4:$A$3040)+COUNT('Diário 3º PA'!$A$4:$A$2731)+ROW()-3)</f>
        <v>6975</v>
      </c>
      <c r="B950" s="413">
        <v>44874</v>
      </c>
      <c r="C950" s="431">
        <v>44835</v>
      </c>
      <c r="D950" s="419" t="s">
        <v>468</v>
      </c>
      <c r="E950" s="419" t="s">
        <v>468</v>
      </c>
      <c r="F950" s="422">
        <v>2750</v>
      </c>
      <c r="G950" s="427" t="s">
        <v>694</v>
      </c>
      <c r="H950" s="415" t="s">
        <v>468</v>
      </c>
      <c r="I950" s="415" t="s">
        <v>2476</v>
      </c>
      <c r="J950" s="415" t="s">
        <v>1133</v>
      </c>
      <c r="K950" s="419" t="s">
        <v>830</v>
      </c>
      <c r="L950" s="415" t="s">
        <v>32</v>
      </c>
      <c r="M950" s="419" t="s">
        <v>1711</v>
      </c>
      <c r="N950" s="413">
        <v>44874</v>
      </c>
      <c r="O950" s="414" t="s">
        <v>408</v>
      </c>
      <c r="P950" s="655">
        <f t="shared" si="49"/>
        <v>11</v>
      </c>
      <c r="Q950" s="655">
        <f t="shared" si="50"/>
        <v>10</v>
      </c>
      <c r="R950" s="758" t="str">
        <f t="shared" si="51"/>
        <v>Gastos_custeados_por_captação</v>
      </c>
      <c r="S950" s="697" t="s">
        <v>1000</v>
      </c>
      <c r="T950" s="697">
        <v>2740</v>
      </c>
    </row>
    <row r="951" spans="1:20" ht="36" x14ac:dyDescent="0.2">
      <c r="A951" s="432">
        <f>IF(B951="","",COUNT('Diário 1º PA'!$A$4:$A$2635)+COUNT('Diário 2º PA'!$A$4:$A$3040)+COUNT('Diário 3º PA'!$A$4:$A$2731)+ROW()-3)</f>
        <v>6976</v>
      </c>
      <c r="B951" s="413">
        <v>44874</v>
      </c>
      <c r="C951" s="431">
        <v>44866</v>
      </c>
      <c r="D951" s="419" t="s">
        <v>468</v>
      </c>
      <c r="E951" s="419" t="s">
        <v>468</v>
      </c>
      <c r="F951" s="422">
        <v>11</v>
      </c>
      <c r="G951" s="427" t="s">
        <v>2469</v>
      </c>
      <c r="H951" s="419" t="s">
        <v>468</v>
      </c>
      <c r="I951" s="639" t="s">
        <v>881</v>
      </c>
      <c r="J951" s="418" t="s">
        <v>882</v>
      </c>
      <c r="K951" s="418" t="s">
        <v>883</v>
      </c>
      <c r="L951" s="399" t="s">
        <v>798</v>
      </c>
      <c r="M951" s="544" t="s">
        <v>310</v>
      </c>
      <c r="N951" s="413">
        <v>44874</v>
      </c>
      <c r="O951" s="414" t="s">
        <v>408</v>
      </c>
      <c r="P951" s="655">
        <f t="shared" si="49"/>
        <v>11</v>
      </c>
      <c r="Q951" s="655">
        <f t="shared" si="50"/>
        <v>11</v>
      </c>
      <c r="R951" s="758" t="str">
        <f t="shared" si="51"/>
        <v>Gastos_custeados_por_captação</v>
      </c>
      <c r="S951" s="697" t="s">
        <v>310</v>
      </c>
      <c r="T951" s="697" t="s">
        <v>310</v>
      </c>
    </row>
    <row r="952" spans="1:20" ht="48" x14ac:dyDescent="0.2">
      <c r="A952" s="432">
        <f>IF(B952="","",COUNT('Diário 1º PA'!$A$4:$A$2635)+COUNT('Diário 2º PA'!$A$4:$A$3040)+COUNT('Diário 3º PA'!$A$4:$A$2731)+ROW()-3)</f>
        <v>6977</v>
      </c>
      <c r="B952" s="413">
        <v>44874</v>
      </c>
      <c r="C952" s="431">
        <v>44835</v>
      </c>
      <c r="D952" s="419" t="s">
        <v>468</v>
      </c>
      <c r="E952" s="419" t="s">
        <v>468</v>
      </c>
      <c r="F952" s="422">
        <v>2462.5500000000002</v>
      </c>
      <c r="G952" s="427" t="s">
        <v>7110</v>
      </c>
      <c r="H952" s="415" t="s">
        <v>468</v>
      </c>
      <c r="I952" s="415" t="s">
        <v>8448</v>
      </c>
      <c r="J952" s="415" t="s">
        <v>7933</v>
      </c>
      <c r="K952" s="419" t="s">
        <v>830</v>
      </c>
      <c r="L952" s="415" t="s">
        <v>1341</v>
      </c>
      <c r="M952" s="419">
        <v>2087</v>
      </c>
      <c r="N952" s="413">
        <v>44873</v>
      </c>
      <c r="O952" s="414" t="s">
        <v>3762</v>
      </c>
      <c r="P952" s="655">
        <f t="shared" si="49"/>
        <v>11</v>
      </c>
      <c r="Q952" s="655">
        <f t="shared" si="50"/>
        <v>10</v>
      </c>
      <c r="R952" s="758" t="str">
        <f t="shared" si="51"/>
        <v>Gastos_custeados_por_captação</v>
      </c>
      <c r="S952" s="697" t="s">
        <v>1000</v>
      </c>
      <c r="T952" s="697">
        <v>4344</v>
      </c>
    </row>
    <row r="953" spans="1:20" ht="36" x14ac:dyDescent="0.2">
      <c r="A953" s="432">
        <f>IF(B953="","",COUNT('Diário 1º PA'!$A$4:$A$2635)+COUNT('Diário 2º PA'!$A$4:$A$3040)+COUNT('Diário 3º PA'!$A$4:$A$2731)+ROW()-3)</f>
        <v>6978</v>
      </c>
      <c r="B953" s="413">
        <v>44874</v>
      </c>
      <c r="C953" s="431">
        <v>44835</v>
      </c>
      <c r="D953" s="419" t="s">
        <v>468</v>
      </c>
      <c r="E953" s="419" t="s">
        <v>468</v>
      </c>
      <c r="F953" s="422">
        <v>1680</v>
      </c>
      <c r="G953" s="427" t="s">
        <v>7121</v>
      </c>
      <c r="H953" s="415" t="s">
        <v>468</v>
      </c>
      <c r="I953" s="415" t="s">
        <v>3587</v>
      </c>
      <c r="J953" s="415" t="s">
        <v>1991</v>
      </c>
      <c r="K953" s="419" t="s">
        <v>830</v>
      </c>
      <c r="L953" s="415" t="s">
        <v>1341</v>
      </c>
      <c r="M953" s="419">
        <v>2088</v>
      </c>
      <c r="N953" s="413">
        <v>44873</v>
      </c>
      <c r="O953" s="414" t="s">
        <v>3762</v>
      </c>
      <c r="P953" s="655">
        <f t="shared" si="49"/>
        <v>11</v>
      </c>
      <c r="Q953" s="655">
        <f t="shared" si="50"/>
        <v>10</v>
      </c>
      <c r="R953" s="758" t="str">
        <f t="shared" si="51"/>
        <v>Gastos_custeados_por_captação</v>
      </c>
      <c r="S953" s="697" t="s">
        <v>1000</v>
      </c>
      <c r="T953" s="697">
        <v>4343</v>
      </c>
    </row>
    <row r="954" spans="1:20" ht="48" x14ac:dyDescent="0.2">
      <c r="A954" s="432">
        <f>IF(B954="","",COUNT('Diário 1º PA'!$A$4:$A$2635)+COUNT('Diário 2º PA'!$A$4:$A$3040)+COUNT('Diário 3º PA'!$A$4:$A$2731)+ROW()-3)</f>
        <v>6979</v>
      </c>
      <c r="B954" s="413">
        <v>44874</v>
      </c>
      <c r="C954" s="431">
        <v>44835</v>
      </c>
      <c r="D954" s="419" t="s">
        <v>468</v>
      </c>
      <c r="E954" s="419" t="s">
        <v>468</v>
      </c>
      <c r="F954" s="422">
        <v>1680</v>
      </c>
      <c r="G954" s="427" t="s">
        <v>7114</v>
      </c>
      <c r="H954" s="415" t="s">
        <v>468</v>
      </c>
      <c r="I954" s="415" t="s">
        <v>5427</v>
      </c>
      <c r="J954" s="415" t="s">
        <v>1990</v>
      </c>
      <c r="K954" s="419" t="s">
        <v>830</v>
      </c>
      <c r="L954" s="415" t="s">
        <v>1341</v>
      </c>
      <c r="M954" s="419">
        <v>2090</v>
      </c>
      <c r="N954" s="413">
        <v>44873</v>
      </c>
      <c r="O954" s="414" t="s">
        <v>3762</v>
      </c>
      <c r="P954" s="655">
        <f t="shared" si="49"/>
        <v>11</v>
      </c>
      <c r="Q954" s="655">
        <f t="shared" si="50"/>
        <v>10</v>
      </c>
      <c r="R954" s="758" t="str">
        <f t="shared" si="51"/>
        <v>Gastos_custeados_por_captação</v>
      </c>
      <c r="S954" s="697" t="s">
        <v>1000</v>
      </c>
      <c r="T954" s="697">
        <v>4341</v>
      </c>
    </row>
    <row r="955" spans="1:20" ht="60" x14ac:dyDescent="0.2">
      <c r="A955" s="432">
        <f>IF(B955="","",COUNT('Diário 1º PA'!$A$4:$A$2635)+COUNT('Diário 2º PA'!$A$4:$A$3040)+COUNT('Diário 3º PA'!$A$4:$A$2731)+ROW()-3)</f>
        <v>6980</v>
      </c>
      <c r="B955" s="413">
        <v>44875</v>
      </c>
      <c r="C955" s="424">
        <v>44835</v>
      </c>
      <c r="D955" s="419" t="s">
        <v>271</v>
      </c>
      <c r="E955" s="419" t="s">
        <v>187</v>
      </c>
      <c r="F955" s="422">
        <v>-184.87</v>
      </c>
      <c r="G955" s="423" t="s">
        <v>8216</v>
      </c>
      <c r="H955" s="419" t="s">
        <v>309</v>
      </c>
      <c r="I955" s="415" t="s">
        <v>795</v>
      </c>
      <c r="J955" s="419" t="s">
        <v>796</v>
      </c>
      <c r="K955" s="419" t="s">
        <v>797</v>
      </c>
      <c r="L955" s="415" t="s">
        <v>798</v>
      </c>
      <c r="M955" s="419" t="s">
        <v>310</v>
      </c>
      <c r="N955" s="413">
        <v>44876</v>
      </c>
      <c r="O955" s="414" t="s">
        <v>400</v>
      </c>
      <c r="P955" s="655">
        <f t="shared" si="49"/>
        <v>11</v>
      </c>
      <c r="Q955" s="655">
        <f t="shared" si="50"/>
        <v>10</v>
      </c>
      <c r="R955" s="758" t="str">
        <f t="shared" si="51"/>
        <v>Gastos_Gerais</v>
      </c>
      <c r="S955" s="697" t="s">
        <v>310</v>
      </c>
      <c r="T955" s="697" t="s">
        <v>310</v>
      </c>
    </row>
    <row r="956" spans="1:20" ht="72" x14ac:dyDescent="0.2">
      <c r="A956" s="432">
        <f>IF(B956="","",COUNT('Diário 1º PA'!$A$4:$A$2635)+COUNT('Diário 2º PA'!$A$4:$A$3040)+COUNT('Diário 3º PA'!$A$4:$A$2731)+ROW()-3)</f>
        <v>6981</v>
      </c>
      <c r="B956" s="413">
        <v>44875</v>
      </c>
      <c r="C956" s="424">
        <v>44866</v>
      </c>
      <c r="D956" s="419" t="s">
        <v>271</v>
      </c>
      <c r="E956" s="419" t="s">
        <v>67</v>
      </c>
      <c r="F956" s="422">
        <v>-99.9</v>
      </c>
      <c r="G956" s="423" t="s">
        <v>8217</v>
      </c>
      <c r="H956" s="419" t="s">
        <v>309</v>
      </c>
      <c r="I956" s="415" t="s">
        <v>795</v>
      </c>
      <c r="J956" s="419" t="s">
        <v>796</v>
      </c>
      <c r="K956" s="419" t="s">
        <v>797</v>
      </c>
      <c r="L956" s="415" t="s">
        <v>798</v>
      </c>
      <c r="M956" s="419" t="s">
        <v>310</v>
      </c>
      <c r="N956" s="413">
        <v>44876</v>
      </c>
      <c r="O956" s="414" t="s">
        <v>400</v>
      </c>
      <c r="P956" s="655">
        <f t="shared" si="49"/>
        <v>11</v>
      </c>
      <c r="Q956" s="655">
        <f t="shared" si="50"/>
        <v>11</v>
      </c>
      <c r="R956" s="758" t="str">
        <f t="shared" si="51"/>
        <v>Gastos_Gerais</v>
      </c>
      <c r="S956" s="697" t="s">
        <v>310</v>
      </c>
      <c r="T956" s="697" t="s">
        <v>310</v>
      </c>
    </row>
    <row r="957" spans="1:20" ht="60" x14ac:dyDescent="0.2">
      <c r="A957" s="432">
        <f>IF(B957="","",COUNT('Diário 1º PA'!$A$4:$A$2635)+COUNT('Diário 2º PA'!$A$4:$A$3040)+COUNT('Diário 3º PA'!$A$4:$A$2731)+ROW()-3)</f>
        <v>6982</v>
      </c>
      <c r="B957" s="413">
        <v>44875</v>
      </c>
      <c r="C957" s="431">
        <v>44835</v>
      </c>
      <c r="D957" s="419" t="s">
        <v>271</v>
      </c>
      <c r="E957" s="415" t="s">
        <v>183</v>
      </c>
      <c r="F957" s="425">
        <v>128.77000000000001</v>
      </c>
      <c r="G957" s="427" t="s">
        <v>551</v>
      </c>
      <c r="H957" s="419" t="s">
        <v>753</v>
      </c>
      <c r="I957" s="415" t="s">
        <v>6366</v>
      </c>
      <c r="J957" s="735" t="s">
        <v>1704</v>
      </c>
      <c r="K957" s="419" t="s">
        <v>1404</v>
      </c>
      <c r="L957" s="415" t="s">
        <v>32</v>
      </c>
      <c r="M957" s="597">
        <v>2210953713540</v>
      </c>
      <c r="N957" s="413">
        <v>44852</v>
      </c>
      <c r="O957" s="414" t="s">
        <v>400</v>
      </c>
      <c r="P957" s="655">
        <f t="shared" si="49"/>
        <v>11</v>
      </c>
      <c r="Q957" s="655">
        <f t="shared" si="50"/>
        <v>10</v>
      </c>
      <c r="R957" s="758" t="str">
        <f t="shared" si="51"/>
        <v>Gastos_Gerais</v>
      </c>
      <c r="S957" s="697" t="s">
        <v>1000</v>
      </c>
      <c r="T957" s="697">
        <v>1997</v>
      </c>
    </row>
    <row r="958" spans="1:20" ht="48" x14ac:dyDescent="0.2">
      <c r="A958" s="432">
        <f>IF(B958="","",COUNT('Diário 1º PA'!$A$4:$A$2635)+COUNT('Diário 2º PA'!$A$4:$A$3040)+COUNT('Diário 3º PA'!$A$4:$A$2731)+ROW()-3)</f>
        <v>6983</v>
      </c>
      <c r="B958" s="413">
        <v>44875</v>
      </c>
      <c r="C958" s="424">
        <v>44866</v>
      </c>
      <c r="D958" s="419" t="s">
        <v>271</v>
      </c>
      <c r="E958" s="419" t="s">
        <v>67</v>
      </c>
      <c r="F958" s="422">
        <v>378.25</v>
      </c>
      <c r="G958" s="423" t="s">
        <v>7543</v>
      </c>
      <c r="H958" s="419" t="s">
        <v>309</v>
      </c>
      <c r="I958" s="415" t="s">
        <v>764</v>
      </c>
      <c r="J958" s="419" t="s">
        <v>310</v>
      </c>
      <c r="K958" s="419" t="s">
        <v>1220</v>
      </c>
      <c r="L958" s="415" t="s">
        <v>3973</v>
      </c>
      <c r="M958" s="419" t="s">
        <v>8218</v>
      </c>
      <c r="N958" s="413">
        <v>44875</v>
      </c>
      <c r="O958" s="414" t="s">
        <v>400</v>
      </c>
      <c r="P958" s="655">
        <f t="shared" si="49"/>
        <v>11</v>
      </c>
      <c r="Q958" s="655">
        <f t="shared" si="50"/>
        <v>11</v>
      </c>
      <c r="R958" s="758" t="str">
        <f t="shared" si="51"/>
        <v>Gastos_Gerais</v>
      </c>
      <c r="S958" s="697" t="s">
        <v>310</v>
      </c>
      <c r="T958" s="697" t="s">
        <v>310</v>
      </c>
    </row>
    <row r="959" spans="1:20" ht="48" x14ac:dyDescent="0.2">
      <c r="A959" s="432">
        <f>IF(B959="","",COUNT('Diário 1º PA'!$A$4:$A$2635)+COUNT('Diário 2º PA'!$A$4:$A$3040)+COUNT('Diário 3º PA'!$A$4:$A$2731)+ROW()-3)</f>
        <v>6984</v>
      </c>
      <c r="B959" s="413">
        <v>44875</v>
      </c>
      <c r="C959" s="431">
        <v>44835</v>
      </c>
      <c r="D959" s="415" t="s">
        <v>271</v>
      </c>
      <c r="E959" s="415" t="s">
        <v>62</v>
      </c>
      <c r="F959" s="425">
        <v>200.2</v>
      </c>
      <c r="G959" s="427" t="s">
        <v>7574</v>
      </c>
      <c r="H959" s="419" t="s">
        <v>310</v>
      </c>
      <c r="I959" s="415" t="s">
        <v>8219</v>
      </c>
      <c r="J959" s="415" t="s">
        <v>7575</v>
      </c>
      <c r="K959" s="419" t="s">
        <v>812</v>
      </c>
      <c r="L959" s="415" t="s">
        <v>32</v>
      </c>
      <c r="M959" s="419">
        <v>6435</v>
      </c>
      <c r="N959" s="413">
        <v>44868</v>
      </c>
      <c r="O959" s="415" t="s">
        <v>400</v>
      </c>
      <c r="P959" s="655">
        <f t="shared" si="49"/>
        <v>11</v>
      </c>
      <c r="Q959" s="655">
        <f t="shared" si="50"/>
        <v>10</v>
      </c>
      <c r="R959" s="758" t="str">
        <f t="shared" si="51"/>
        <v>Gastos_Gerais</v>
      </c>
      <c r="S959" s="697" t="s">
        <v>1000</v>
      </c>
      <c r="T959" s="697">
        <v>4417</v>
      </c>
    </row>
    <row r="960" spans="1:20" ht="96" x14ac:dyDescent="0.2">
      <c r="A960" s="432">
        <f>IF(B960="","",COUNT('Diário 1º PA'!$A$4:$A$2635)+COUNT('Diário 2º PA'!$A$4:$A$3040)+COUNT('Diário 3º PA'!$A$4:$A$2731)+ROW()-3)</f>
        <v>6985</v>
      </c>
      <c r="B960" s="413">
        <v>44875</v>
      </c>
      <c r="C960" s="424">
        <v>44835</v>
      </c>
      <c r="D960" s="419" t="s">
        <v>271</v>
      </c>
      <c r="E960" s="419" t="s">
        <v>187</v>
      </c>
      <c r="F960" s="422">
        <v>700</v>
      </c>
      <c r="G960" s="423" t="s">
        <v>7534</v>
      </c>
      <c r="H960" s="419" t="s">
        <v>309</v>
      </c>
      <c r="I960" s="415" t="s">
        <v>1701</v>
      </c>
      <c r="J960" s="419" t="s">
        <v>1071</v>
      </c>
      <c r="K960" s="419" t="s">
        <v>812</v>
      </c>
      <c r="L960" s="415" t="s">
        <v>32</v>
      </c>
      <c r="M960" s="419" t="s">
        <v>8220</v>
      </c>
      <c r="N960" s="413">
        <v>44868</v>
      </c>
      <c r="O960" s="414" t="s">
        <v>400</v>
      </c>
      <c r="P960" s="655">
        <f t="shared" si="49"/>
        <v>11</v>
      </c>
      <c r="Q960" s="655">
        <f t="shared" si="50"/>
        <v>10</v>
      </c>
      <c r="R960" s="758" t="str">
        <f t="shared" si="51"/>
        <v>Gastos_Gerais</v>
      </c>
      <c r="S960" s="697" t="s">
        <v>1000</v>
      </c>
      <c r="T960" s="697">
        <v>2666</v>
      </c>
    </row>
    <row r="961" spans="1:20" ht="60" x14ac:dyDescent="0.2">
      <c r="A961" s="432">
        <f>IF(B961="","",COUNT('Diário 1º PA'!$A$4:$A$2635)+COUNT('Diário 2º PA'!$A$4:$A$3040)+COUNT('Diário 3º PA'!$A$4:$A$2731)+ROW()-3)</f>
        <v>6986</v>
      </c>
      <c r="B961" s="413">
        <v>44875</v>
      </c>
      <c r="C961" s="431">
        <v>44835</v>
      </c>
      <c r="D961" s="415" t="s">
        <v>271</v>
      </c>
      <c r="E961" s="415" t="s">
        <v>297</v>
      </c>
      <c r="F961" s="425">
        <v>881.91</v>
      </c>
      <c r="G961" s="427" t="s">
        <v>7613</v>
      </c>
      <c r="H961" s="415" t="s">
        <v>760</v>
      </c>
      <c r="I961" s="415" t="s">
        <v>3975</v>
      </c>
      <c r="J961" s="415" t="s">
        <v>1921</v>
      </c>
      <c r="K961" s="419" t="s">
        <v>830</v>
      </c>
      <c r="L961" s="415" t="s">
        <v>32</v>
      </c>
      <c r="M961" s="419" t="s">
        <v>3672</v>
      </c>
      <c r="N961" s="413">
        <v>44873</v>
      </c>
      <c r="O961" s="414" t="s">
        <v>400</v>
      </c>
      <c r="P961" s="655">
        <f t="shared" si="49"/>
        <v>11</v>
      </c>
      <c r="Q961" s="655">
        <f t="shared" si="50"/>
        <v>10</v>
      </c>
      <c r="R961" s="758" t="str">
        <f t="shared" si="51"/>
        <v>Gastos_Gerais</v>
      </c>
      <c r="S961" s="697" t="s">
        <v>998</v>
      </c>
      <c r="T961" s="697">
        <v>4426</v>
      </c>
    </row>
    <row r="962" spans="1:20" ht="36" x14ac:dyDescent="0.2">
      <c r="A962" s="432">
        <f>IF(B962="","",COUNT('Diário 1º PA'!$A$4:$A$2635)+COUNT('Diário 2º PA'!$A$4:$A$3040)+COUNT('Diário 3º PA'!$A$4:$A$2731)+ROW()-3)</f>
        <v>6987</v>
      </c>
      <c r="B962" s="413">
        <v>44875</v>
      </c>
      <c r="C962" s="431">
        <v>44866</v>
      </c>
      <c r="D962" s="419" t="s">
        <v>271</v>
      </c>
      <c r="E962" s="419" t="s">
        <v>71</v>
      </c>
      <c r="F962" s="422">
        <v>11</v>
      </c>
      <c r="G962" s="423" t="s">
        <v>8222</v>
      </c>
      <c r="H962" s="415" t="s">
        <v>760</v>
      </c>
      <c r="I962" s="415" t="s">
        <v>881</v>
      </c>
      <c r="J962" s="419" t="s">
        <v>882</v>
      </c>
      <c r="K962" s="419" t="s">
        <v>883</v>
      </c>
      <c r="L962" s="415" t="s">
        <v>798</v>
      </c>
      <c r="M962" s="419" t="s">
        <v>310</v>
      </c>
      <c r="N962" s="413">
        <v>44875</v>
      </c>
      <c r="O962" s="414" t="s">
        <v>400</v>
      </c>
      <c r="P962" s="655">
        <f t="shared" si="49"/>
        <v>11</v>
      </c>
      <c r="Q962" s="655">
        <f t="shared" si="50"/>
        <v>11</v>
      </c>
      <c r="R962" s="758" t="str">
        <f t="shared" si="51"/>
        <v>Gastos_Gerais</v>
      </c>
      <c r="S962" s="697" t="s">
        <v>310</v>
      </c>
      <c r="T962" s="697" t="s">
        <v>310</v>
      </c>
    </row>
    <row r="963" spans="1:20" ht="96" x14ac:dyDescent="0.2">
      <c r="A963" s="432">
        <f>IF(B963="","",COUNT('Diário 1º PA'!$A$4:$A$2635)+COUNT('Diário 2º PA'!$A$4:$A$3040)+COUNT('Diário 3º PA'!$A$4:$A$2731)+ROW()-3)</f>
        <v>6988</v>
      </c>
      <c r="B963" s="413">
        <v>44875</v>
      </c>
      <c r="C963" s="431">
        <v>44835</v>
      </c>
      <c r="D963" s="419" t="s">
        <v>468</v>
      </c>
      <c r="E963" s="419" t="s">
        <v>468</v>
      </c>
      <c r="F963" s="422">
        <v>300</v>
      </c>
      <c r="G963" s="427" t="s">
        <v>7854</v>
      </c>
      <c r="H963" s="419" t="s">
        <v>468</v>
      </c>
      <c r="I963" s="415" t="s">
        <v>8292</v>
      </c>
      <c r="J963" s="415" t="s">
        <v>7855</v>
      </c>
      <c r="K963" s="419" t="s">
        <v>806</v>
      </c>
      <c r="L963" s="415" t="s">
        <v>1412</v>
      </c>
      <c r="M963" s="419" t="s">
        <v>310</v>
      </c>
      <c r="N963" s="413">
        <v>44874</v>
      </c>
      <c r="O963" s="414" t="s">
        <v>405</v>
      </c>
      <c r="P963" s="655">
        <f t="shared" si="49"/>
        <v>11</v>
      </c>
      <c r="Q963" s="655">
        <f t="shared" si="50"/>
        <v>10</v>
      </c>
      <c r="R963" s="758" t="str">
        <f t="shared" si="51"/>
        <v>Gastos_custeados_por_captação</v>
      </c>
      <c r="S963" s="697" t="s">
        <v>998</v>
      </c>
      <c r="T963" s="697">
        <v>4590</v>
      </c>
    </row>
    <row r="964" spans="1:20" ht="72" x14ac:dyDescent="0.2">
      <c r="A964" s="432">
        <f>IF(B964="","",COUNT('Diário 1º PA'!$A$4:$A$2635)+COUNT('Diário 2º PA'!$A$4:$A$3040)+COUNT('Diário 3º PA'!$A$4:$A$2731)+ROW()-3)</f>
        <v>6989</v>
      </c>
      <c r="B964" s="413">
        <v>44875</v>
      </c>
      <c r="C964" s="431">
        <v>44835</v>
      </c>
      <c r="D964" s="419" t="s">
        <v>468</v>
      </c>
      <c r="E964" s="419" t="s">
        <v>468</v>
      </c>
      <c r="F964" s="422">
        <v>2694.72</v>
      </c>
      <c r="G964" s="427" t="s">
        <v>8293</v>
      </c>
      <c r="H964" s="419" t="s">
        <v>468</v>
      </c>
      <c r="I964" s="473" t="s">
        <v>795</v>
      </c>
      <c r="J964" s="415" t="s">
        <v>796</v>
      </c>
      <c r="K964" s="415" t="s">
        <v>797</v>
      </c>
      <c r="L964" s="415" t="s">
        <v>798</v>
      </c>
      <c r="M964" s="415" t="s">
        <v>310</v>
      </c>
      <c r="N964" s="413">
        <v>44875</v>
      </c>
      <c r="O964" s="414" t="s">
        <v>405</v>
      </c>
      <c r="P964" s="655">
        <f t="shared" si="49"/>
        <v>11</v>
      </c>
      <c r="Q964" s="655">
        <f t="shared" si="50"/>
        <v>10</v>
      </c>
      <c r="R964" s="758" t="str">
        <f t="shared" si="51"/>
        <v>Gastos_custeados_por_captação</v>
      </c>
      <c r="S964" s="697" t="s">
        <v>1000</v>
      </c>
      <c r="T964" s="697">
        <v>4310</v>
      </c>
    </row>
    <row r="965" spans="1:20" ht="48" x14ac:dyDescent="0.2">
      <c r="A965" s="432">
        <f>IF(B965="","",COUNT('Diário 1º PA'!$A$4:$A$2635)+COUNT('Diário 2º PA'!$A$4:$A$3040)+COUNT('Diário 3º PA'!$A$4:$A$2731)+ROW()-3)</f>
        <v>6990</v>
      </c>
      <c r="B965" s="413">
        <v>44875</v>
      </c>
      <c r="C965" s="431">
        <v>44835</v>
      </c>
      <c r="D965" s="419" t="s">
        <v>468</v>
      </c>
      <c r="E965" s="419" t="s">
        <v>468</v>
      </c>
      <c r="F965" s="422">
        <v>2462.5500000000002</v>
      </c>
      <c r="G965" s="427" t="s">
        <v>7110</v>
      </c>
      <c r="H965" s="419" t="s">
        <v>468</v>
      </c>
      <c r="I965" s="415" t="s">
        <v>7943</v>
      </c>
      <c r="J965" s="415" t="s">
        <v>7123</v>
      </c>
      <c r="K965" s="419" t="s">
        <v>830</v>
      </c>
      <c r="L965" s="415" t="s">
        <v>839</v>
      </c>
      <c r="M965" s="419">
        <v>2092</v>
      </c>
      <c r="N965" s="413">
        <v>44873</v>
      </c>
      <c r="O965" s="414" t="s">
        <v>3762</v>
      </c>
      <c r="P965" s="655">
        <f t="shared" si="49"/>
        <v>11</v>
      </c>
      <c r="Q965" s="655">
        <f t="shared" si="50"/>
        <v>10</v>
      </c>
      <c r="R965" s="758" t="str">
        <f t="shared" si="51"/>
        <v>Gastos_custeados_por_captação</v>
      </c>
      <c r="S965" s="697" t="s">
        <v>1000</v>
      </c>
      <c r="T965" s="697">
        <v>4346</v>
      </c>
    </row>
    <row r="966" spans="1:20" ht="36" x14ac:dyDescent="0.2">
      <c r="A966" s="432">
        <f>IF(B966="","",COUNT('Diário 1º PA'!$A$4:$A$2635)+COUNT('Diário 2º PA'!$A$4:$A$3040)+COUNT('Diário 3º PA'!$A$4:$A$2731)+ROW()-3)</f>
        <v>6991</v>
      </c>
      <c r="B966" s="413">
        <v>44875</v>
      </c>
      <c r="C966" s="431">
        <v>44835</v>
      </c>
      <c r="D966" s="419" t="s">
        <v>468</v>
      </c>
      <c r="E966" s="419" t="s">
        <v>468</v>
      </c>
      <c r="F966" s="422">
        <v>1680</v>
      </c>
      <c r="G966" s="427" t="s">
        <v>7119</v>
      </c>
      <c r="H966" s="419" t="s">
        <v>468</v>
      </c>
      <c r="I966" s="415" t="s">
        <v>3690</v>
      </c>
      <c r="J966" s="415" t="s">
        <v>1989</v>
      </c>
      <c r="K966" s="419" t="s">
        <v>830</v>
      </c>
      <c r="L966" s="415" t="s">
        <v>1341</v>
      </c>
      <c r="M966" s="419">
        <v>2089</v>
      </c>
      <c r="N966" s="413">
        <v>44873</v>
      </c>
      <c r="O966" s="414" t="s">
        <v>3762</v>
      </c>
      <c r="P966" s="655">
        <f t="shared" si="49"/>
        <v>11</v>
      </c>
      <c r="Q966" s="655">
        <f t="shared" si="50"/>
        <v>10</v>
      </c>
      <c r="R966" s="758" t="str">
        <f t="shared" si="51"/>
        <v>Gastos_custeados_por_captação</v>
      </c>
      <c r="S966" s="697" t="s">
        <v>1000</v>
      </c>
      <c r="T966" s="697">
        <v>4342</v>
      </c>
    </row>
    <row r="967" spans="1:20" ht="48" x14ac:dyDescent="0.2">
      <c r="A967" s="432">
        <f>IF(B967="","",COUNT('Diário 1º PA'!$A$4:$A$2635)+COUNT('Diário 2º PA'!$A$4:$A$3040)+COUNT('Diário 3º PA'!$A$4:$A$2731)+ROW()-3)</f>
        <v>6992</v>
      </c>
      <c r="B967" s="413">
        <v>44875</v>
      </c>
      <c r="C967" s="431">
        <v>44835</v>
      </c>
      <c r="D967" s="419" t="s">
        <v>468</v>
      </c>
      <c r="E967" s="419" t="s">
        <v>468</v>
      </c>
      <c r="F967" s="422">
        <v>2462.5500000000002</v>
      </c>
      <c r="G967" s="427" t="s">
        <v>7110</v>
      </c>
      <c r="H967" s="419" t="s">
        <v>468</v>
      </c>
      <c r="I967" s="415" t="s">
        <v>7093</v>
      </c>
      <c r="J967" s="415" t="s">
        <v>1109</v>
      </c>
      <c r="K967" s="419" t="s">
        <v>830</v>
      </c>
      <c r="L967" s="415" t="s">
        <v>1341</v>
      </c>
      <c r="M967" s="419">
        <v>2091</v>
      </c>
      <c r="N967" s="413">
        <v>44873</v>
      </c>
      <c r="O967" s="414" t="s">
        <v>3762</v>
      </c>
      <c r="P967" s="655">
        <f t="shared" si="49"/>
        <v>11</v>
      </c>
      <c r="Q967" s="655">
        <f t="shared" si="50"/>
        <v>10</v>
      </c>
      <c r="R967" s="758" t="str">
        <f t="shared" si="51"/>
        <v>Gastos_custeados_por_captação</v>
      </c>
      <c r="S967" s="697" t="s">
        <v>1000</v>
      </c>
      <c r="T967" s="697">
        <v>4345</v>
      </c>
    </row>
    <row r="968" spans="1:20" ht="156" x14ac:dyDescent="0.2">
      <c r="A968" s="432">
        <f>IF(B968="","",COUNT('Diário 1º PA'!$A$4:$A$2635)+COUNT('Diário 2º PA'!$A$4:$A$3040)+COUNT('Diário 3º PA'!$A$4:$A$2731)+ROW()-3)</f>
        <v>6993</v>
      </c>
      <c r="B968" s="413">
        <v>44875</v>
      </c>
      <c r="C968" s="431">
        <v>44835</v>
      </c>
      <c r="D968" s="419" t="s">
        <v>468</v>
      </c>
      <c r="E968" s="419" t="s">
        <v>468</v>
      </c>
      <c r="F968" s="422">
        <v>2000</v>
      </c>
      <c r="G968" s="427" t="s">
        <v>4470</v>
      </c>
      <c r="H968" s="419" t="s">
        <v>468</v>
      </c>
      <c r="I968" s="415" t="s">
        <v>8464</v>
      </c>
      <c r="J968" s="415" t="s">
        <v>7588</v>
      </c>
      <c r="K968" s="419" t="s">
        <v>830</v>
      </c>
      <c r="L968" s="415" t="s">
        <v>32</v>
      </c>
      <c r="M968" s="419" t="s">
        <v>1892</v>
      </c>
      <c r="N968" s="413">
        <v>44872</v>
      </c>
      <c r="O968" s="414" t="s">
        <v>3762</v>
      </c>
      <c r="P968" s="655">
        <f t="shared" si="49"/>
        <v>11</v>
      </c>
      <c r="Q968" s="655">
        <f t="shared" si="50"/>
        <v>10</v>
      </c>
      <c r="R968" s="758" t="str">
        <f t="shared" si="51"/>
        <v>Gastos_custeados_por_captação</v>
      </c>
      <c r="S968" s="697" t="s">
        <v>1000</v>
      </c>
      <c r="T968" s="697">
        <v>4433</v>
      </c>
    </row>
    <row r="969" spans="1:20" ht="36" x14ac:dyDescent="0.2">
      <c r="A969" s="432">
        <f>IF(B969="","",COUNT('Diário 1º PA'!$A$4:$A$2635)+COUNT('Diário 2º PA'!$A$4:$A$3040)+COUNT('Diário 3º PA'!$A$4:$A$2731)+ROW()-3)</f>
        <v>6994</v>
      </c>
      <c r="B969" s="413">
        <v>44875</v>
      </c>
      <c r="C969" s="421">
        <v>44866</v>
      </c>
      <c r="D969" s="419" t="s">
        <v>468</v>
      </c>
      <c r="E969" s="419" t="s">
        <v>468</v>
      </c>
      <c r="F969" s="422">
        <v>11</v>
      </c>
      <c r="G969" s="427" t="s">
        <v>2469</v>
      </c>
      <c r="H969" s="419" t="s">
        <v>468</v>
      </c>
      <c r="I969" s="639" t="s">
        <v>881</v>
      </c>
      <c r="J969" s="418" t="s">
        <v>882</v>
      </c>
      <c r="K969" s="418" t="s">
        <v>883</v>
      </c>
      <c r="L969" s="399" t="s">
        <v>798</v>
      </c>
      <c r="M969" s="544" t="s">
        <v>310</v>
      </c>
      <c r="N969" s="413">
        <v>44875</v>
      </c>
      <c r="O969" s="414" t="s">
        <v>3762</v>
      </c>
      <c r="P969" s="655">
        <f t="shared" si="49"/>
        <v>11</v>
      </c>
      <c r="Q969" s="655">
        <f t="shared" si="50"/>
        <v>11</v>
      </c>
      <c r="R969" s="758" t="str">
        <f t="shared" si="51"/>
        <v>Gastos_custeados_por_captação</v>
      </c>
      <c r="S969" s="697" t="s">
        <v>310</v>
      </c>
      <c r="T969" s="697" t="s">
        <v>310</v>
      </c>
    </row>
    <row r="970" spans="1:20" ht="36" x14ac:dyDescent="0.2">
      <c r="A970" s="432">
        <f>IF(B970="","",COUNT('Diário 1º PA'!$A$4:$A$2635)+COUNT('Diário 2º PA'!$A$4:$A$3040)+COUNT('Diário 3º PA'!$A$4:$A$2731)+ROW()-3)</f>
        <v>6995</v>
      </c>
      <c r="B970" s="413">
        <v>44875</v>
      </c>
      <c r="C970" s="421">
        <v>44866</v>
      </c>
      <c r="D970" s="419" t="s">
        <v>468</v>
      </c>
      <c r="E970" s="419" t="s">
        <v>468</v>
      </c>
      <c r="F970" s="422">
        <v>11</v>
      </c>
      <c r="G970" s="427" t="s">
        <v>2469</v>
      </c>
      <c r="H970" s="419" t="s">
        <v>468</v>
      </c>
      <c r="I970" s="639" t="s">
        <v>881</v>
      </c>
      <c r="J970" s="418" t="s">
        <v>882</v>
      </c>
      <c r="K970" s="418" t="s">
        <v>883</v>
      </c>
      <c r="L970" s="399" t="s">
        <v>798</v>
      </c>
      <c r="M970" s="544" t="s">
        <v>310</v>
      </c>
      <c r="N970" s="413">
        <v>44875</v>
      </c>
      <c r="O970" s="414" t="s">
        <v>3762</v>
      </c>
      <c r="P970" s="655">
        <f t="shared" si="49"/>
        <v>11</v>
      </c>
      <c r="Q970" s="655">
        <f t="shared" si="50"/>
        <v>11</v>
      </c>
      <c r="R970" s="758" t="str">
        <f t="shared" si="51"/>
        <v>Gastos_custeados_por_captação</v>
      </c>
      <c r="S970" s="697" t="s">
        <v>310</v>
      </c>
      <c r="T970" s="697" t="s">
        <v>310</v>
      </c>
    </row>
    <row r="971" spans="1:20" ht="36" x14ac:dyDescent="0.2">
      <c r="A971" s="432">
        <f>IF(B971="","",COUNT('Diário 1º PA'!$A$4:$A$2635)+COUNT('Diário 2º PA'!$A$4:$A$3040)+COUNT('Diário 3º PA'!$A$4:$A$2731)+ROW()-3)</f>
        <v>6996</v>
      </c>
      <c r="B971" s="413">
        <v>44875</v>
      </c>
      <c r="C971" s="421">
        <v>44866</v>
      </c>
      <c r="D971" s="419" t="s">
        <v>468</v>
      </c>
      <c r="E971" s="419" t="s">
        <v>468</v>
      </c>
      <c r="F971" s="422">
        <v>11</v>
      </c>
      <c r="G971" s="427" t="s">
        <v>2469</v>
      </c>
      <c r="H971" s="419" t="s">
        <v>468</v>
      </c>
      <c r="I971" s="639" t="s">
        <v>881</v>
      </c>
      <c r="J971" s="418" t="s">
        <v>882</v>
      </c>
      <c r="K971" s="418" t="s">
        <v>883</v>
      </c>
      <c r="L971" s="399" t="s">
        <v>798</v>
      </c>
      <c r="M971" s="544" t="s">
        <v>310</v>
      </c>
      <c r="N971" s="413">
        <v>44875</v>
      </c>
      <c r="O971" s="414" t="s">
        <v>3762</v>
      </c>
      <c r="P971" s="655">
        <f t="shared" si="49"/>
        <v>11</v>
      </c>
      <c r="Q971" s="655">
        <f t="shared" si="50"/>
        <v>11</v>
      </c>
      <c r="R971" s="758" t="str">
        <f t="shared" si="51"/>
        <v>Gastos_custeados_por_captação</v>
      </c>
      <c r="S971" s="697" t="s">
        <v>310</v>
      </c>
      <c r="T971" s="697" t="s">
        <v>310</v>
      </c>
    </row>
    <row r="972" spans="1:20" ht="36" x14ac:dyDescent="0.2">
      <c r="A972" s="432">
        <f>IF(B972="","",COUNT('Diário 1º PA'!$A$4:$A$2635)+COUNT('Diário 2º PA'!$A$4:$A$3040)+COUNT('Diário 3º PA'!$A$4:$A$2731)+ROW()-3)</f>
        <v>6997</v>
      </c>
      <c r="B972" s="413">
        <v>44875</v>
      </c>
      <c r="C972" s="421">
        <v>44866</v>
      </c>
      <c r="D972" s="419" t="s">
        <v>468</v>
      </c>
      <c r="E972" s="419" t="s">
        <v>468</v>
      </c>
      <c r="F972" s="422">
        <v>11</v>
      </c>
      <c r="G972" s="427" t="s">
        <v>2469</v>
      </c>
      <c r="H972" s="419" t="s">
        <v>468</v>
      </c>
      <c r="I972" s="639" t="s">
        <v>881</v>
      </c>
      <c r="J972" s="418" t="s">
        <v>882</v>
      </c>
      <c r="K972" s="418" t="s">
        <v>883</v>
      </c>
      <c r="L972" s="399" t="s">
        <v>798</v>
      </c>
      <c r="M972" s="544" t="s">
        <v>310</v>
      </c>
      <c r="N972" s="413">
        <v>44875</v>
      </c>
      <c r="O972" s="414" t="s">
        <v>3762</v>
      </c>
      <c r="P972" s="655">
        <f t="shared" si="49"/>
        <v>11</v>
      </c>
      <c r="Q972" s="655">
        <f t="shared" si="50"/>
        <v>11</v>
      </c>
      <c r="R972" s="758" t="str">
        <f t="shared" si="51"/>
        <v>Gastos_custeados_por_captação</v>
      </c>
      <c r="S972" s="697" t="s">
        <v>310</v>
      </c>
      <c r="T972" s="697" t="s">
        <v>310</v>
      </c>
    </row>
    <row r="973" spans="1:20" ht="48" x14ac:dyDescent="0.2">
      <c r="A973" s="432">
        <f>IF(B973="","",COUNT('Diário 1º PA'!$A$4:$A$2635)+COUNT('Diário 2º PA'!$A$4:$A$3040)+COUNT('Diário 3º PA'!$A$4:$A$2731)+ROW()-3)</f>
        <v>6998</v>
      </c>
      <c r="B973" s="413">
        <v>44876</v>
      </c>
      <c r="C973" s="433">
        <v>44835</v>
      </c>
      <c r="D973" s="419" t="s">
        <v>34</v>
      </c>
      <c r="E973" s="419" t="s">
        <v>167</v>
      </c>
      <c r="F973" s="422">
        <v>550</v>
      </c>
      <c r="G973" s="427" t="s">
        <v>8239</v>
      </c>
      <c r="H973" s="419" t="s">
        <v>310</v>
      </c>
      <c r="I973" s="415" t="s">
        <v>795</v>
      </c>
      <c r="J973" s="419" t="s">
        <v>796</v>
      </c>
      <c r="K973" s="419" t="s">
        <v>797</v>
      </c>
      <c r="L973" s="415" t="s">
        <v>798</v>
      </c>
      <c r="M973" s="419" t="s">
        <v>310</v>
      </c>
      <c r="N973" s="413">
        <v>44876</v>
      </c>
      <c r="O973" s="413" t="s">
        <v>400</v>
      </c>
      <c r="P973" s="655">
        <f t="shared" si="49"/>
        <v>11</v>
      </c>
      <c r="Q973" s="655">
        <f t="shared" si="50"/>
        <v>10</v>
      </c>
      <c r="R973" s="758" t="str">
        <f t="shared" si="51"/>
        <v>Receitas</v>
      </c>
      <c r="S973" s="697" t="s">
        <v>310</v>
      </c>
      <c r="T973" s="697" t="s">
        <v>310</v>
      </c>
    </row>
    <row r="974" spans="1:20" ht="36" x14ac:dyDescent="0.2">
      <c r="A974" s="432">
        <f>IF(B974="","",COUNT('Diário 1º PA'!$A$4:$A$2635)+COUNT('Diário 2º PA'!$A$4:$A$3040)+COUNT('Diário 3º PA'!$A$4:$A$2731)+ROW()-3)</f>
        <v>6999</v>
      </c>
      <c r="B974" s="413">
        <v>44876</v>
      </c>
      <c r="C974" s="421">
        <v>44866</v>
      </c>
      <c r="D974" s="415" t="s">
        <v>182</v>
      </c>
      <c r="E974" s="415" t="s">
        <v>175</v>
      </c>
      <c r="F974" s="422">
        <v>13862.98</v>
      </c>
      <c r="G974" s="423" t="s">
        <v>8240</v>
      </c>
      <c r="H974" s="419" t="s">
        <v>310</v>
      </c>
      <c r="I974" s="415" t="s">
        <v>949</v>
      </c>
      <c r="J974" s="419" t="s">
        <v>950</v>
      </c>
      <c r="K974" s="419" t="s">
        <v>806</v>
      </c>
      <c r="L974" s="415" t="s">
        <v>6731</v>
      </c>
      <c r="M974" s="415" t="s">
        <v>310</v>
      </c>
      <c r="N974" s="413">
        <v>44876</v>
      </c>
      <c r="O974" s="414" t="s">
        <v>400</v>
      </c>
      <c r="P974" s="655">
        <f t="shared" si="49"/>
        <v>11</v>
      </c>
      <c r="Q974" s="655">
        <f t="shared" si="50"/>
        <v>11</v>
      </c>
      <c r="R974" s="758" t="str">
        <f t="shared" si="51"/>
        <v>Gastos_com_Pessoal</v>
      </c>
      <c r="S974" s="697" t="s">
        <v>310</v>
      </c>
      <c r="T974" s="697" t="s">
        <v>310</v>
      </c>
    </row>
    <row r="975" spans="1:20" ht="24" x14ac:dyDescent="0.2">
      <c r="A975" s="432">
        <f>IF(B975="","",COUNT('Diário 1º PA'!$A$4:$A$2635)+COUNT('Diário 2º PA'!$A$4:$A$3040)+COUNT('Diário 3º PA'!$A$4:$A$2731)+ROW()-3)</f>
        <v>7000</v>
      </c>
      <c r="B975" s="413">
        <v>44876</v>
      </c>
      <c r="C975" s="421">
        <v>44866</v>
      </c>
      <c r="D975" s="415" t="s">
        <v>182</v>
      </c>
      <c r="E975" s="415" t="s">
        <v>10</v>
      </c>
      <c r="F975" s="422">
        <v>4784.16</v>
      </c>
      <c r="G975" s="440" t="s">
        <v>8241</v>
      </c>
      <c r="H975" s="419" t="s">
        <v>310</v>
      </c>
      <c r="I975" s="639" t="s">
        <v>1219</v>
      </c>
      <c r="J975" s="418" t="s">
        <v>310</v>
      </c>
      <c r="K975" s="418" t="s">
        <v>1220</v>
      </c>
      <c r="L975" s="399" t="s">
        <v>4</v>
      </c>
      <c r="M975" s="543" t="s">
        <v>310</v>
      </c>
      <c r="N975" s="413">
        <v>44876</v>
      </c>
      <c r="O975" s="414" t="s">
        <v>400</v>
      </c>
      <c r="P975" s="655">
        <f t="shared" si="49"/>
        <v>11</v>
      </c>
      <c r="Q975" s="655">
        <f t="shared" si="50"/>
        <v>11</v>
      </c>
      <c r="R975" s="758" t="str">
        <f t="shared" si="51"/>
        <v>Gastos_com_Pessoal</v>
      </c>
      <c r="S975" s="697" t="s">
        <v>310</v>
      </c>
      <c r="T975" s="697" t="s">
        <v>310</v>
      </c>
    </row>
    <row r="976" spans="1:20" ht="48" x14ac:dyDescent="0.2">
      <c r="A976" s="432">
        <f>IF(B976="","",COUNT('Diário 1º PA'!$A$4:$A$2635)+COUNT('Diário 2º PA'!$A$4:$A$3040)+COUNT('Diário 3º PA'!$A$4:$A$2731)+ROW()-3)</f>
        <v>7001</v>
      </c>
      <c r="B976" s="413">
        <v>44876</v>
      </c>
      <c r="C976" s="431">
        <v>44835</v>
      </c>
      <c r="D976" s="415" t="s">
        <v>271</v>
      </c>
      <c r="E976" s="415" t="s">
        <v>456</v>
      </c>
      <c r="F976" s="422">
        <v>1900</v>
      </c>
      <c r="G976" s="427" t="s">
        <v>7869</v>
      </c>
      <c r="H976" s="415" t="s">
        <v>751</v>
      </c>
      <c r="I976" s="415" t="s">
        <v>8242</v>
      </c>
      <c r="J976" s="415" t="s">
        <v>7870</v>
      </c>
      <c r="K976" s="419" t="s">
        <v>830</v>
      </c>
      <c r="L976" s="415" t="s">
        <v>32</v>
      </c>
      <c r="M976" s="419">
        <v>352</v>
      </c>
      <c r="N976" s="413">
        <v>44875</v>
      </c>
      <c r="O976" s="414" t="s">
        <v>400</v>
      </c>
      <c r="P976" s="655">
        <f t="shared" si="49"/>
        <v>11</v>
      </c>
      <c r="Q976" s="655">
        <f t="shared" si="50"/>
        <v>10</v>
      </c>
      <c r="R976" s="758" t="str">
        <f t="shared" si="51"/>
        <v>Gastos_Gerais</v>
      </c>
      <c r="S976" s="697" t="s">
        <v>998</v>
      </c>
      <c r="T976" s="697">
        <v>4438</v>
      </c>
    </row>
    <row r="977" spans="1:20" ht="108" x14ac:dyDescent="0.2">
      <c r="A977" s="432">
        <f>IF(B977="","",COUNT('Diário 1º PA'!$A$4:$A$2635)+COUNT('Diário 2º PA'!$A$4:$A$3040)+COUNT('Diário 3º PA'!$A$4:$A$2731)+ROW()-3)</f>
        <v>7002</v>
      </c>
      <c r="B977" s="413">
        <v>44876</v>
      </c>
      <c r="C977" s="431">
        <v>44682</v>
      </c>
      <c r="D977" s="415" t="s">
        <v>271</v>
      </c>
      <c r="E977" s="415" t="s">
        <v>456</v>
      </c>
      <c r="F977" s="425">
        <v>1000</v>
      </c>
      <c r="G977" s="427" t="s">
        <v>4336</v>
      </c>
      <c r="H977" s="415" t="s">
        <v>760</v>
      </c>
      <c r="I977" s="419" t="s">
        <v>1230</v>
      </c>
      <c r="J977" s="415" t="s">
        <v>1039</v>
      </c>
      <c r="K977" s="419" t="s">
        <v>830</v>
      </c>
      <c r="L977" s="415" t="s">
        <v>32</v>
      </c>
      <c r="M977" s="419" t="s">
        <v>2168</v>
      </c>
      <c r="N977" s="413">
        <v>44876</v>
      </c>
      <c r="O977" s="414" t="s">
        <v>400</v>
      </c>
      <c r="P977" s="655">
        <f t="shared" si="49"/>
        <v>11</v>
      </c>
      <c r="Q977" s="655">
        <f t="shared" si="50"/>
        <v>5</v>
      </c>
      <c r="R977" s="758" t="str">
        <f t="shared" si="51"/>
        <v>Gastos_Gerais</v>
      </c>
      <c r="S977" s="697" t="s">
        <v>998</v>
      </c>
      <c r="T977" s="697">
        <v>3520</v>
      </c>
    </row>
    <row r="978" spans="1:20" ht="48" x14ac:dyDescent="0.2">
      <c r="A978" s="432">
        <f>IF(B978="","",COUNT('Diário 1º PA'!$A$4:$A$2635)+COUNT('Diário 2º PA'!$A$4:$A$3040)+COUNT('Diário 3º PA'!$A$4:$A$2731)+ROW()-3)</f>
        <v>7003</v>
      </c>
      <c r="B978" s="413">
        <v>44876</v>
      </c>
      <c r="C978" s="431">
        <v>44835</v>
      </c>
      <c r="D978" s="415" t="s">
        <v>271</v>
      </c>
      <c r="E978" s="415" t="s">
        <v>461</v>
      </c>
      <c r="F978" s="425">
        <v>300</v>
      </c>
      <c r="G978" s="427" t="s">
        <v>7600</v>
      </c>
      <c r="H978" s="415" t="s">
        <v>755</v>
      </c>
      <c r="I978" s="415" t="s">
        <v>1939</v>
      </c>
      <c r="J978" s="415" t="s">
        <v>1081</v>
      </c>
      <c r="K978" s="419" t="s">
        <v>830</v>
      </c>
      <c r="L978" s="415" t="s">
        <v>32</v>
      </c>
      <c r="M978" s="419" t="s">
        <v>2168</v>
      </c>
      <c r="N978" s="413">
        <v>44875</v>
      </c>
      <c r="O978" s="414" t="s">
        <v>400</v>
      </c>
      <c r="P978" s="655">
        <f t="shared" si="49"/>
        <v>11</v>
      </c>
      <c r="Q978" s="655">
        <f t="shared" si="50"/>
        <v>10</v>
      </c>
      <c r="R978" s="758" t="str">
        <f t="shared" si="51"/>
        <v>Gastos_Gerais</v>
      </c>
      <c r="S978" s="697" t="s">
        <v>998</v>
      </c>
      <c r="T978" s="697">
        <v>4469</v>
      </c>
    </row>
    <row r="979" spans="1:20" ht="72" x14ac:dyDescent="0.2">
      <c r="A979" s="432">
        <f>IF(B979="","",COUNT('Diário 1º PA'!$A$4:$A$2635)+COUNT('Diário 2º PA'!$A$4:$A$3040)+COUNT('Diário 3º PA'!$A$4:$A$2731)+ROW()-3)</f>
        <v>7004</v>
      </c>
      <c r="B979" s="413">
        <v>44876</v>
      </c>
      <c r="C979" s="431">
        <v>44866</v>
      </c>
      <c r="D979" s="419" t="s">
        <v>271</v>
      </c>
      <c r="E979" s="415" t="s">
        <v>90</v>
      </c>
      <c r="F979" s="425">
        <v>581.88</v>
      </c>
      <c r="G979" s="427" t="s">
        <v>8112</v>
      </c>
      <c r="H979" s="419" t="s">
        <v>753</v>
      </c>
      <c r="I979" s="415" t="s">
        <v>872</v>
      </c>
      <c r="J979" s="415" t="s">
        <v>873</v>
      </c>
      <c r="K979" s="419" t="s">
        <v>830</v>
      </c>
      <c r="L979" s="415" t="s">
        <v>32</v>
      </c>
      <c r="M979" s="419" t="s">
        <v>6626</v>
      </c>
      <c r="N979" s="413">
        <v>44875</v>
      </c>
      <c r="O979" s="414" t="s">
        <v>400</v>
      </c>
      <c r="P979" s="655">
        <f t="shared" si="49"/>
        <v>11</v>
      </c>
      <c r="Q979" s="655">
        <f t="shared" si="50"/>
        <v>11</v>
      </c>
      <c r="R979" s="758" t="str">
        <f t="shared" si="51"/>
        <v>Gastos_Gerais</v>
      </c>
      <c r="S979" s="697" t="s">
        <v>998</v>
      </c>
      <c r="T979" s="697">
        <v>4512</v>
      </c>
    </row>
    <row r="980" spans="1:20" ht="96" x14ac:dyDescent="0.2">
      <c r="A980" s="432">
        <f>IF(B980="","",COUNT('Diário 1º PA'!$A$4:$A$2635)+COUNT('Diário 2º PA'!$A$4:$A$3040)+COUNT('Diário 3º PA'!$A$4:$A$2731)+ROW()-3)</f>
        <v>7005</v>
      </c>
      <c r="B980" s="413">
        <v>44876</v>
      </c>
      <c r="C980" s="431">
        <v>44866</v>
      </c>
      <c r="D980" s="419" t="s">
        <v>271</v>
      </c>
      <c r="E980" s="415" t="s">
        <v>297</v>
      </c>
      <c r="F980" s="422">
        <v>13327.5</v>
      </c>
      <c r="G980" s="427" t="s">
        <v>8115</v>
      </c>
      <c r="H980" s="419" t="s">
        <v>8113</v>
      </c>
      <c r="I980" s="415" t="s">
        <v>8246</v>
      </c>
      <c r="J980" s="415" t="s">
        <v>8116</v>
      </c>
      <c r="K980" s="419" t="s">
        <v>830</v>
      </c>
      <c r="L980" s="415" t="s">
        <v>32</v>
      </c>
      <c r="M980" s="419" t="s">
        <v>1503</v>
      </c>
      <c r="N980" s="413">
        <v>44876</v>
      </c>
      <c r="O980" s="414" t="s">
        <v>400</v>
      </c>
      <c r="P980" s="655">
        <f t="shared" si="49"/>
        <v>11</v>
      </c>
      <c r="Q980" s="655">
        <f t="shared" si="50"/>
        <v>11</v>
      </c>
      <c r="R980" s="758" t="str">
        <f t="shared" si="51"/>
        <v>Gastos_Gerais</v>
      </c>
      <c r="S980" s="697" t="s">
        <v>1000</v>
      </c>
      <c r="T980" s="697">
        <v>4686</v>
      </c>
    </row>
    <row r="981" spans="1:20" ht="36" x14ac:dyDescent="0.2">
      <c r="A981" s="432">
        <f>IF(B981="","",COUNT('Diário 1º PA'!$A$4:$A$2635)+COUNT('Diário 2º PA'!$A$4:$A$3040)+COUNT('Diário 3º PA'!$A$4:$A$2731)+ROW()-3)</f>
        <v>7006</v>
      </c>
      <c r="B981" s="413">
        <v>44876</v>
      </c>
      <c r="C981" s="431">
        <v>44866</v>
      </c>
      <c r="D981" s="419" t="s">
        <v>271</v>
      </c>
      <c r="E981" s="419" t="s">
        <v>71</v>
      </c>
      <c r="F981" s="422">
        <v>11</v>
      </c>
      <c r="G981" s="423" t="s">
        <v>8250</v>
      </c>
      <c r="H981" s="415" t="s">
        <v>751</v>
      </c>
      <c r="I981" s="415" t="s">
        <v>881</v>
      </c>
      <c r="J981" s="419" t="s">
        <v>882</v>
      </c>
      <c r="K981" s="419" t="s">
        <v>883</v>
      </c>
      <c r="L981" s="415" t="s">
        <v>798</v>
      </c>
      <c r="M981" s="419" t="s">
        <v>310</v>
      </c>
      <c r="N981" s="413">
        <v>44876</v>
      </c>
      <c r="O981" s="414" t="s">
        <v>400</v>
      </c>
      <c r="P981" s="655">
        <f t="shared" si="49"/>
        <v>11</v>
      </c>
      <c r="Q981" s="655">
        <f t="shared" si="50"/>
        <v>11</v>
      </c>
      <c r="R981" s="758" t="str">
        <f t="shared" si="51"/>
        <v>Gastos_Gerais</v>
      </c>
      <c r="S981" s="697" t="s">
        <v>310</v>
      </c>
      <c r="T981" s="697" t="s">
        <v>310</v>
      </c>
    </row>
    <row r="982" spans="1:20" ht="36" x14ac:dyDescent="0.2">
      <c r="A982" s="432">
        <f>IF(B982="","",COUNT('Diário 1º PA'!$A$4:$A$2635)+COUNT('Diário 2º PA'!$A$4:$A$3040)+COUNT('Diário 3º PA'!$A$4:$A$2731)+ROW()-3)</f>
        <v>7007</v>
      </c>
      <c r="B982" s="413">
        <v>44876</v>
      </c>
      <c r="C982" s="431">
        <v>44866</v>
      </c>
      <c r="D982" s="419" t="s">
        <v>271</v>
      </c>
      <c r="E982" s="419" t="s">
        <v>71</v>
      </c>
      <c r="F982" s="422">
        <v>11</v>
      </c>
      <c r="G982" s="423" t="s">
        <v>8251</v>
      </c>
      <c r="H982" s="415" t="s">
        <v>760</v>
      </c>
      <c r="I982" s="415" t="s">
        <v>881</v>
      </c>
      <c r="J982" s="419" t="s">
        <v>882</v>
      </c>
      <c r="K982" s="419" t="s">
        <v>883</v>
      </c>
      <c r="L982" s="415" t="s">
        <v>798</v>
      </c>
      <c r="M982" s="419" t="s">
        <v>310</v>
      </c>
      <c r="N982" s="413">
        <v>44876</v>
      </c>
      <c r="O982" s="414" t="s">
        <v>400</v>
      </c>
      <c r="P982" s="655">
        <f t="shared" si="49"/>
        <v>11</v>
      </c>
      <c r="Q982" s="655">
        <f t="shared" si="50"/>
        <v>11</v>
      </c>
      <c r="R982" s="758" t="str">
        <f t="shared" si="51"/>
        <v>Gastos_Gerais</v>
      </c>
      <c r="S982" s="697" t="s">
        <v>310</v>
      </c>
      <c r="T982" s="697" t="s">
        <v>310</v>
      </c>
    </row>
    <row r="983" spans="1:20" ht="48" x14ac:dyDescent="0.2">
      <c r="A983" s="432">
        <f>IF(B983="","",COUNT('Diário 1º PA'!$A$4:$A$2635)+COUNT('Diário 2º PA'!$A$4:$A$3040)+COUNT('Diário 3º PA'!$A$4:$A$2731)+ROW()-3)</f>
        <v>7008</v>
      </c>
      <c r="B983" s="413">
        <v>44876</v>
      </c>
      <c r="C983" s="431">
        <v>44866</v>
      </c>
      <c r="D983" s="419" t="s">
        <v>271</v>
      </c>
      <c r="E983" s="419" t="s">
        <v>71</v>
      </c>
      <c r="F983" s="422">
        <v>11</v>
      </c>
      <c r="G983" s="423" t="s">
        <v>8252</v>
      </c>
      <c r="H983" s="415" t="s">
        <v>755</v>
      </c>
      <c r="I983" s="415" t="s">
        <v>881</v>
      </c>
      <c r="J983" s="419" t="s">
        <v>882</v>
      </c>
      <c r="K983" s="419" t="s">
        <v>883</v>
      </c>
      <c r="L983" s="415" t="s">
        <v>798</v>
      </c>
      <c r="M983" s="419" t="s">
        <v>310</v>
      </c>
      <c r="N983" s="413">
        <v>44876</v>
      </c>
      <c r="O983" s="414" t="s">
        <v>400</v>
      </c>
      <c r="P983" s="655">
        <f t="shared" si="49"/>
        <v>11</v>
      </c>
      <c r="Q983" s="655">
        <f t="shared" si="50"/>
        <v>11</v>
      </c>
      <c r="R983" s="758" t="str">
        <f t="shared" si="51"/>
        <v>Gastos_Gerais</v>
      </c>
      <c r="S983" s="697" t="s">
        <v>310</v>
      </c>
      <c r="T983" s="697" t="s">
        <v>310</v>
      </c>
    </row>
    <row r="984" spans="1:20" ht="36" x14ac:dyDescent="0.2">
      <c r="A984" s="432">
        <f>IF(B984="","",COUNT('Diário 1º PA'!$A$4:$A$2635)+COUNT('Diário 2º PA'!$A$4:$A$3040)+COUNT('Diário 3º PA'!$A$4:$A$2731)+ROW()-3)</f>
        <v>7009</v>
      </c>
      <c r="B984" s="413">
        <v>44876</v>
      </c>
      <c r="C984" s="431">
        <v>44866</v>
      </c>
      <c r="D984" s="419" t="s">
        <v>271</v>
      </c>
      <c r="E984" s="419" t="s">
        <v>71</v>
      </c>
      <c r="F984" s="422">
        <v>11</v>
      </c>
      <c r="G984" s="423" t="s">
        <v>8253</v>
      </c>
      <c r="H984" s="419" t="s">
        <v>753</v>
      </c>
      <c r="I984" s="415" t="s">
        <v>881</v>
      </c>
      <c r="J984" s="419" t="s">
        <v>882</v>
      </c>
      <c r="K984" s="419" t="s">
        <v>883</v>
      </c>
      <c r="L984" s="415" t="s">
        <v>798</v>
      </c>
      <c r="M984" s="419" t="s">
        <v>310</v>
      </c>
      <c r="N984" s="413">
        <v>44876</v>
      </c>
      <c r="O984" s="414" t="s">
        <v>400</v>
      </c>
      <c r="P984" s="655">
        <f t="shared" si="49"/>
        <v>11</v>
      </c>
      <c r="Q984" s="655">
        <f t="shared" si="50"/>
        <v>11</v>
      </c>
      <c r="R984" s="758" t="str">
        <f t="shared" si="51"/>
        <v>Gastos_Gerais</v>
      </c>
      <c r="S984" s="697" t="s">
        <v>310</v>
      </c>
      <c r="T984" s="697" t="s">
        <v>310</v>
      </c>
    </row>
    <row r="985" spans="1:20" ht="36" x14ac:dyDescent="0.2">
      <c r="A985" s="432">
        <f>IF(B985="","",COUNT('Diário 1º PA'!$A$4:$A$2635)+COUNT('Diário 2º PA'!$A$4:$A$3040)+COUNT('Diário 3º PA'!$A$4:$A$2731)+ROW()-3)</f>
        <v>7010</v>
      </c>
      <c r="B985" s="413">
        <v>44876</v>
      </c>
      <c r="C985" s="431">
        <v>44866</v>
      </c>
      <c r="D985" s="419" t="s">
        <v>271</v>
      </c>
      <c r="E985" s="419" t="s">
        <v>71</v>
      </c>
      <c r="F985" s="422">
        <v>11</v>
      </c>
      <c r="G985" s="423" t="s">
        <v>8254</v>
      </c>
      <c r="H985" s="419" t="s">
        <v>8113</v>
      </c>
      <c r="I985" s="415" t="s">
        <v>881</v>
      </c>
      <c r="J985" s="419" t="s">
        <v>882</v>
      </c>
      <c r="K985" s="419" t="s">
        <v>883</v>
      </c>
      <c r="L985" s="415" t="s">
        <v>798</v>
      </c>
      <c r="M985" s="419" t="s">
        <v>310</v>
      </c>
      <c r="N985" s="413">
        <v>44876</v>
      </c>
      <c r="O985" s="414" t="s">
        <v>400</v>
      </c>
      <c r="P985" s="655">
        <f t="shared" si="49"/>
        <v>11</v>
      </c>
      <c r="Q985" s="655">
        <f t="shared" si="50"/>
        <v>11</v>
      </c>
      <c r="R985" s="758" t="str">
        <f t="shared" si="51"/>
        <v>Gastos_Gerais</v>
      </c>
      <c r="S985" s="697" t="s">
        <v>310</v>
      </c>
      <c r="T985" s="697" t="s">
        <v>310</v>
      </c>
    </row>
    <row r="986" spans="1:20" ht="48" x14ac:dyDescent="0.2">
      <c r="A986" s="432">
        <f>IF(B986="","",COUNT('Diário 1º PA'!$A$4:$A$2635)+COUNT('Diário 2º PA'!$A$4:$A$3040)+COUNT('Diário 3º PA'!$A$4:$A$2731)+ROW()-3)</f>
        <v>7011</v>
      </c>
      <c r="B986" s="413">
        <v>44876</v>
      </c>
      <c r="C986" s="431">
        <v>44835</v>
      </c>
      <c r="D986" s="419" t="s">
        <v>468</v>
      </c>
      <c r="E986" s="419" t="s">
        <v>468</v>
      </c>
      <c r="F986" s="422">
        <v>1200</v>
      </c>
      <c r="G986" s="423" t="s">
        <v>8108</v>
      </c>
      <c r="H986" s="419" t="s">
        <v>468</v>
      </c>
      <c r="I986" s="415" t="s">
        <v>8028</v>
      </c>
      <c r="J986" s="419" t="s">
        <v>7779</v>
      </c>
      <c r="K986" s="419" t="s">
        <v>830</v>
      </c>
      <c r="L986" s="415" t="s">
        <v>807</v>
      </c>
      <c r="M986" s="419">
        <v>66</v>
      </c>
      <c r="N986" s="413">
        <v>44875</v>
      </c>
      <c r="O986" s="414" t="s">
        <v>405</v>
      </c>
      <c r="P986" s="655">
        <f t="shared" si="49"/>
        <v>11</v>
      </c>
      <c r="Q986" s="655">
        <f t="shared" si="50"/>
        <v>10</v>
      </c>
      <c r="R986" s="758" t="str">
        <f t="shared" si="51"/>
        <v>Gastos_custeados_por_captação</v>
      </c>
      <c r="S986" s="697" t="s">
        <v>998</v>
      </c>
      <c r="T986" s="697">
        <v>4665</v>
      </c>
    </row>
    <row r="987" spans="1:20" ht="48" x14ac:dyDescent="0.2">
      <c r="A987" s="432">
        <f>IF(B987="","",COUNT('Diário 1º PA'!$A$4:$A$2635)+COUNT('Diário 2º PA'!$A$4:$A$3040)+COUNT('Diário 3º PA'!$A$4:$A$2731)+ROW()-3)</f>
        <v>7012</v>
      </c>
      <c r="B987" s="413">
        <v>44876</v>
      </c>
      <c r="C987" s="431">
        <v>44835</v>
      </c>
      <c r="D987" s="419" t="s">
        <v>468</v>
      </c>
      <c r="E987" s="419" t="s">
        <v>468</v>
      </c>
      <c r="F987" s="422">
        <v>540</v>
      </c>
      <c r="G987" s="423" t="s">
        <v>8072</v>
      </c>
      <c r="H987" s="419" t="s">
        <v>468</v>
      </c>
      <c r="I987" s="415" t="s">
        <v>8206</v>
      </c>
      <c r="J987" s="419" t="s">
        <v>7784</v>
      </c>
      <c r="K987" s="419" t="s">
        <v>830</v>
      </c>
      <c r="L987" s="415" t="s">
        <v>807</v>
      </c>
      <c r="M987" s="419">
        <v>46</v>
      </c>
      <c r="N987" s="413">
        <v>44874</v>
      </c>
      <c r="O987" s="414" t="s">
        <v>405</v>
      </c>
      <c r="P987" s="655">
        <f t="shared" si="49"/>
        <v>11</v>
      </c>
      <c r="Q987" s="655">
        <f t="shared" si="50"/>
        <v>10</v>
      </c>
      <c r="R987" s="758" t="str">
        <f t="shared" si="51"/>
        <v>Gastos_custeados_por_captação</v>
      </c>
      <c r="S987" s="697" t="s">
        <v>998</v>
      </c>
      <c r="T987" s="697">
        <v>4660</v>
      </c>
    </row>
    <row r="988" spans="1:20" ht="48" x14ac:dyDescent="0.2">
      <c r="A988" s="432">
        <f>IF(B988="","",COUNT('Diário 1º PA'!$A$4:$A$2635)+COUNT('Diário 2º PA'!$A$4:$A$3040)+COUNT('Diário 3º PA'!$A$4:$A$2731)+ROW()-3)</f>
        <v>7013</v>
      </c>
      <c r="B988" s="413">
        <v>44876</v>
      </c>
      <c r="C988" s="431">
        <v>44835</v>
      </c>
      <c r="D988" s="419" t="s">
        <v>468</v>
      </c>
      <c r="E988" s="419" t="s">
        <v>468</v>
      </c>
      <c r="F988" s="422">
        <v>453.6</v>
      </c>
      <c r="G988" s="423" t="s">
        <v>8074</v>
      </c>
      <c r="H988" s="419" t="s">
        <v>468</v>
      </c>
      <c r="I988" s="415" t="s">
        <v>8276</v>
      </c>
      <c r="J988" s="419" t="s">
        <v>7849</v>
      </c>
      <c r="K988" s="419" t="s">
        <v>830</v>
      </c>
      <c r="L988" s="415" t="s">
        <v>839</v>
      </c>
      <c r="M988" s="419">
        <v>2095</v>
      </c>
      <c r="N988" s="413">
        <v>44874</v>
      </c>
      <c r="O988" s="414" t="s">
        <v>405</v>
      </c>
      <c r="P988" s="655">
        <f t="shared" si="49"/>
        <v>11</v>
      </c>
      <c r="Q988" s="655">
        <f t="shared" si="50"/>
        <v>10</v>
      </c>
      <c r="R988" s="758" t="str">
        <f t="shared" si="51"/>
        <v>Gastos_custeados_por_captação</v>
      </c>
      <c r="S988" s="697" t="s">
        <v>998</v>
      </c>
      <c r="T988" s="697">
        <v>4661</v>
      </c>
    </row>
    <row r="989" spans="1:20" ht="48" x14ac:dyDescent="0.2">
      <c r="A989" s="432">
        <f>IF(B989="","",COUNT('Diário 1º PA'!$A$4:$A$2635)+COUNT('Diário 2º PA'!$A$4:$A$3040)+COUNT('Diário 3º PA'!$A$4:$A$2731)+ROW()-3)</f>
        <v>7014</v>
      </c>
      <c r="B989" s="413">
        <v>44876</v>
      </c>
      <c r="C989" s="431">
        <v>44835</v>
      </c>
      <c r="D989" s="419" t="s">
        <v>468</v>
      </c>
      <c r="E989" s="419" t="s">
        <v>468</v>
      </c>
      <c r="F989" s="422">
        <v>453.6</v>
      </c>
      <c r="G989" s="423" t="s">
        <v>8074</v>
      </c>
      <c r="H989" s="419" t="s">
        <v>468</v>
      </c>
      <c r="I989" s="415" t="s">
        <v>8815</v>
      </c>
      <c r="J989" s="419" t="s">
        <v>8075</v>
      </c>
      <c r="K989" s="419" t="s">
        <v>830</v>
      </c>
      <c r="L989" s="415" t="s">
        <v>839</v>
      </c>
      <c r="M989" s="419">
        <v>2096</v>
      </c>
      <c r="N989" s="413">
        <v>44875</v>
      </c>
      <c r="O989" s="414" t="s">
        <v>405</v>
      </c>
      <c r="P989" s="655">
        <f t="shared" si="49"/>
        <v>11</v>
      </c>
      <c r="Q989" s="655">
        <f t="shared" si="50"/>
        <v>10</v>
      </c>
      <c r="R989" s="758" t="str">
        <f t="shared" si="51"/>
        <v>Gastos_custeados_por_captação</v>
      </c>
      <c r="S989" s="697" t="s">
        <v>998</v>
      </c>
      <c r="T989" s="697">
        <v>4662</v>
      </c>
    </row>
    <row r="990" spans="1:20" ht="36" x14ac:dyDescent="0.2">
      <c r="A990" s="432">
        <f>IF(B990="","",COUNT('Diário 1º PA'!$A$4:$A$2635)+COUNT('Diário 2º PA'!$A$4:$A$3040)+COUNT('Diário 3º PA'!$A$4:$A$2731)+ROW()-3)</f>
        <v>7015</v>
      </c>
      <c r="B990" s="413">
        <v>44876</v>
      </c>
      <c r="C990" s="431">
        <v>44835</v>
      </c>
      <c r="D990" s="419" t="s">
        <v>468</v>
      </c>
      <c r="E990" s="419" t="s">
        <v>468</v>
      </c>
      <c r="F990" s="422">
        <v>2827.55</v>
      </c>
      <c r="G990" s="427" t="s">
        <v>4106</v>
      </c>
      <c r="H990" s="419" t="s">
        <v>468</v>
      </c>
      <c r="I990" s="415" t="s">
        <v>6424</v>
      </c>
      <c r="J990" s="415" t="s">
        <v>4107</v>
      </c>
      <c r="K990" s="419" t="s">
        <v>806</v>
      </c>
      <c r="L990" s="415" t="s">
        <v>839</v>
      </c>
      <c r="M990" s="419">
        <v>2100</v>
      </c>
      <c r="N990" s="413">
        <v>44875</v>
      </c>
      <c r="O990" s="414" t="s">
        <v>408</v>
      </c>
      <c r="P990" s="655">
        <f t="shared" si="49"/>
        <v>11</v>
      </c>
      <c r="Q990" s="655">
        <f t="shared" si="50"/>
        <v>10</v>
      </c>
      <c r="R990" s="758" t="str">
        <f t="shared" si="51"/>
        <v>Gastos_custeados_por_captação</v>
      </c>
      <c r="S990" s="697" t="s">
        <v>1000</v>
      </c>
      <c r="T990" s="697">
        <v>3700</v>
      </c>
    </row>
    <row r="991" spans="1:20" ht="36" x14ac:dyDescent="0.2">
      <c r="A991" s="432">
        <f>IF(B991="","",COUNT('Diário 1º PA'!$A$4:$A$2635)+COUNT('Diário 2º PA'!$A$4:$A$3040)+COUNT('Diário 3º PA'!$A$4:$A$2731)+ROW()-3)</f>
        <v>7016</v>
      </c>
      <c r="B991" s="413">
        <v>44876</v>
      </c>
      <c r="C991" s="431">
        <v>44835</v>
      </c>
      <c r="D991" s="419" t="s">
        <v>468</v>
      </c>
      <c r="E991" s="419" t="s">
        <v>468</v>
      </c>
      <c r="F991" s="422">
        <v>5585.43</v>
      </c>
      <c r="G991" s="427" t="s">
        <v>4099</v>
      </c>
      <c r="H991" s="419" t="s">
        <v>468</v>
      </c>
      <c r="I991" s="415" t="s">
        <v>5611</v>
      </c>
      <c r="J991" s="415" t="s">
        <v>4100</v>
      </c>
      <c r="K991" s="419" t="s">
        <v>830</v>
      </c>
      <c r="L991" s="415" t="s">
        <v>32</v>
      </c>
      <c r="M991" s="419" t="s">
        <v>1795</v>
      </c>
      <c r="N991" s="413">
        <v>44876</v>
      </c>
      <c r="O991" s="414" t="s">
        <v>408</v>
      </c>
      <c r="P991" s="655">
        <f t="shared" si="49"/>
        <v>11</v>
      </c>
      <c r="Q991" s="655">
        <f t="shared" si="50"/>
        <v>10</v>
      </c>
      <c r="R991" s="758" t="str">
        <f t="shared" si="51"/>
        <v>Gastos_custeados_por_captação</v>
      </c>
      <c r="S991" s="697" t="s">
        <v>1000</v>
      </c>
      <c r="T991" s="697">
        <v>3699</v>
      </c>
    </row>
    <row r="992" spans="1:20" ht="36" x14ac:dyDescent="0.2">
      <c r="A992" s="432">
        <f>IF(B992="","",COUNT('Diário 1º PA'!$A$4:$A$2635)+COUNT('Diário 2º PA'!$A$4:$A$3040)+COUNT('Diário 3º PA'!$A$4:$A$2731)+ROW()-3)</f>
        <v>7017</v>
      </c>
      <c r="B992" s="413">
        <v>44876</v>
      </c>
      <c r="C992" s="431">
        <v>44835</v>
      </c>
      <c r="D992" s="419" t="s">
        <v>468</v>
      </c>
      <c r="E992" s="419" t="s">
        <v>468</v>
      </c>
      <c r="F992" s="422">
        <v>8819.1</v>
      </c>
      <c r="G992" s="427" t="s">
        <v>4102</v>
      </c>
      <c r="H992" s="419" t="s">
        <v>468</v>
      </c>
      <c r="I992" s="415" t="s">
        <v>5619</v>
      </c>
      <c r="J992" s="415" t="s">
        <v>4103</v>
      </c>
      <c r="K992" s="419" t="s">
        <v>830</v>
      </c>
      <c r="L992" s="415" t="s">
        <v>32</v>
      </c>
      <c r="M992" s="419" t="s">
        <v>1892</v>
      </c>
      <c r="N992" s="413">
        <v>44876</v>
      </c>
      <c r="O992" s="414" t="s">
        <v>408</v>
      </c>
      <c r="P992" s="655">
        <f t="shared" si="49"/>
        <v>11</v>
      </c>
      <c r="Q992" s="655">
        <f t="shared" si="50"/>
        <v>10</v>
      </c>
      <c r="R992" s="758" t="str">
        <f t="shared" si="51"/>
        <v>Gastos_custeados_por_captação</v>
      </c>
      <c r="S992" s="697" t="s">
        <v>1000</v>
      </c>
      <c r="T992" s="697">
        <v>3697</v>
      </c>
    </row>
    <row r="993" spans="1:20" ht="36" x14ac:dyDescent="0.2">
      <c r="A993" s="432">
        <f>IF(B993="","",COUNT('Diário 1º PA'!$A$4:$A$2635)+COUNT('Diário 2º PA'!$A$4:$A$3040)+COUNT('Diário 3º PA'!$A$4:$A$2731)+ROW()-3)</f>
        <v>7018</v>
      </c>
      <c r="B993" s="413">
        <v>44876</v>
      </c>
      <c r="C993" s="431">
        <v>44866</v>
      </c>
      <c r="D993" s="419" t="s">
        <v>468</v>
      </c>
      <c r="E993" s="419" t="s">
        <v>468</v>
      </c>
      <c r="F993" s="422">
        <v>11</v>
      </c>
      <c r="G993" s="427" t="s">
        <v>2469</v>
      </c>
      <c r="H993" s="419" t="s">
        <v>468</v>
      </c>
      <c r="I993" s="639" t="s">
        <v>881</v>
      </c>
      <c r="J993" s="418" t="s">
        <v>882</v>
      </c>
      <c r="K993" s="418" t="s">
        <v>883</v>
      </c>
      <c r="L993" s="399" t="s">
        <v>798</v>
      </c>
      <c r="M993" s="544" t="s">
        <v>310</v>
      </c>
      <c r="N993" s="413">
        <v>44876</v>
      </c>
      <c r="O993" s="414" t="s">
        <v>408</v>
      </c>
      <c r="P993" s="655">
        <f t="shared" ref="P993:P1056" si="52">IF(B993=0,0,IF(YEAR(B993)=$Q$1,MONTH(B993)-$P$1+1,(YEAR(B993)-$Q$1)*12-$P$1+1+MONTH(B993)))</f>
        <v>11</v>
      </c>
      <c r="Q993" s="655">
        <f t="shared" ref="Q993:Q1056" si="53">IF(C993=0,0,IF(YEAR(C993)=$Q$1,MONTH(C993)-$P$1+1,(YEAR(C993)-$Q$1)*12-$P$1+1+MONTH(C993)))</f>
        <v>11</v>
      </c>
      <c r="R993" s="758" t="str">
        <f t="shared" si="51"/>
        <v>Gastos_custeados_por_captação</v>
      </c>
      <c r="S993" s="697" t="s">
        <v>310</v>
      </c>
      <c r="T993" s="697" t="s">
        <v>310</v>
      </c>
    </row>
    <row r="994" spans="1:20" ht="36" x14ac:dyDescent="0.2">
      <c r="A994" s="432">
        <f>IF(B994="","",COUNT('Diário 1º PA'!$A$4:$A$2635)+COUNT('Diário 2º PA'!$A$4:$A$3040)+COUNT('Diário 3º PA'!$A$4:$A$2731)+ROW()-3)</f>
        <v>7019</v>
      </c>
      <c r="B994" s="413">
        <v>44876</v>
      </c>
      <c r="C994" s="431">
        <v>44866</v>
      </c>
      <c r="D994" s="419" t="s">
        <v>468</v>
      </c>
      <c r="E994" s="419" t="s">
        <v>468</v>
      </c>
      <c r="F994" s="422">
        <v>11</v>
      </c>
      <c r="G994" s="427" t="s">
        <v>2469</v>
      </c>
      <c r="H994" s="419" t="s">
        <v>468</v>
      </c>
      <c r="I994" s="639" t="s">
        <v>881</v>
      </c>
      <c r="J994" s="418" t="s">
        <v>882</v>
      </c>
      <c r="K994" s="418" t="s">
        <v>883</v>
      </c>
      <c r="L994" s="399" t="s">
        <v>798</v>
      </c>
      <c r="M994" s="544" t="s">
        <v>310</v>
      </c>
      <c r="N994" s="413">
        <v>44876</v>
      </c>
      <c r="O994" s="414" t="s">
        <v>408</v>
      </c>
      <c r="P994" s="655">
        <f t="shared" si="52"/>
        <v>11</v>
      </c>
      <c r="Q994" s="655">
        <f t="shared" si="53"/>
        <v>11</v>
      </c>
      <c r="R994" s="758" t="str">
        <f t="shared" si="51"/>
        <v>Gastos_custeados_por_captação</v>
      </c>
      <c r="S994" s="697" t="s">
        <v>310</v>
      </c>
      <c r="T994" s="697" t="s">
        <v>310</v>
      </c>
    </row>
    <row r="995" spans="1:20" ht="48" x14ac:dyDescent="0.2">
      <c r="A995" s="432">
        <f>IF(B995="","",COUNT('Diário 1º PA'!$A$4:$A$2635)+COUNT('Diário 2º PA'!$A$4:$A$3040)+COUNT('Diário 3º PA'!$A$4:$A$2731)+ROW()-3)</f>
        <v>7020</v>
      </c>
      <c r="B995" s="413">
        <v>44879</v>
      </c>
      <c r="C995" s="433">
        <v>44835</v>
      </c>
      <c r="D995" s="415" t="s">
        <v>271</v>
      </c>
      <c r="E995" s="415" t="s">
        <v>92</v>
      </c>
      <c r="F995" s="425">
        <v>-132.05000000000001</v>
      </c>
      <c r="G995" s="427" t="s">
        <v>8255</v>
      </c>
      <c r="H995" s="415" t="s">
        <v>309</v>
      </c>
      <c r="I995" s="473" t="s">
        <v>795</v>
      </c>
      <c r="J995" s="415" t="s">
        <v>796</v>
      </c>
      <c r="K995" s="415" t="s">
        <v>797</v>
      </c>
      <c r="L995" s="399" t="s">
        <v>798</v>
      </c>
      <c r="M995" s="544" t="s">
        <v>310</v>
      </c>
      <c r="N995" s="413">
        <v>44876</v>
      </c>
      <c r="O995" s="414" t="s">
        <v>400</v>
      </c>
      <c r="P995" s="655">
        <f t="shared" si="52"/>
        <v>11</v>
      </c>
      <c r="Q995" s="655">
        <f t="shared" si="53"/>
        <v>10</v>
      </c>
      <c r="R995" s="758" t="str">
        <f t="shared" si="51"/>
        <v>Gastos_Gerais</v>
      </c>
      <c r="S995" s="697" t="s">
        <v>310</v>
      </c>
      <c r="T995" s="697" t="s">
        <v>310</v>
      </c>
    </row>
    <row r="996" spans="1:20" ht="48" x14ac:dyDescent="0.2">
      <c r="A996" s="432">
        <f>IF(B996="","",COUNT('Diário 1º PA'!$A$4:$A$2635)+COUNT('Diário 2º PA'!$A$4:$A$3040)+COUNT('Diário 3º PA'!$A$4:$A$2731)+ROW()-3)</f>
        <v>7021</v>
      </c>
      <c r="B996" s="413">
        <v>44879</v>
      </c>
      <c r="C996" s="431">
        <v>44835</v>
      </c>
      <c r="D996" s="415" t="s">
        <v>271</v>
      </c>
      <c r="E996" s="415" t="s">
        <v>92</v>
      </c>
      <c r="F996" s="422">
        <v>500</v>
      </c>
      <c r="G996" s="427" t="s">
        <v>692</v>
      </c>
      <c r="H996" s="415" t="s">
        <v>309</v>
      </c>
      <c r="I996" s="415" t="s">
        <v>5969</v>
      </c>
      <c r="J996" s="415" t="s">
        <v>1123</v>
      </c>
      <c r="K996" s="418" t="s">
        <v>812</v>
      </c>
      <c r="L996" s="415" t="s">
        <v>1372</v>
      </c>
      <c r="M996" s="419" t="s">
        <v>8256</v>
      </c>
      <c r="N996" s="413">
        <v>44868</v>
      </c>
      <c r="O996" s="414" t="s">
        <v>400</v>
      </c>
      <c r="P996" s="655">
        <f t="shared" si="52"/>
        <v>11</v>
      </c>
      <c r="Q996" s="655">
        <f t="shared" si="53"/>
        <v>10</v>
      </c>
      <c r="R996" s="758" t="str">
        <f t="shared" si="51"/>
        <v>Gastos_Gerais</v>
      </c>
      <c r="S996" s="697" t="s">
        <v>1000</v>
      </c>
      <c r="T996" s="697">
        <v>2665</v>
      </c>
    </row>
    <row r="997" spans="1:20" ht="36" x14ac:dyDescent="0.2">
      <c r="A997" s="432">
        <f>IF(B997="","",COUNT('Diário 1º PA'!$A$4:$A$2635)+COUNT('Diário 2º PA'!$A$4:$A$3040)+COUNT('Diário 3º PA'!$A$4:$A$2731)+ROW()-3)</f>
        <v>7022</v>
      </c>
      <c r="B997" s="413">
        <v>44879</v>
      </c>
      <c r="C997" s="431">
        <v>44835</v>
      </c>
      <c r="D997" s="419" t="s">
        <v>271</v>
      </c>
      <c r="E997" s="415" t="s">
        <v>64</v>
      </c>
      <c r="F997" s="425">
        <v>559.09</v>
      </c>
      <c r="G997" s="423" t="s">
        <v>8257</v>
      </c>
      <c r="H997" s="419" t="s">
        <v>309</v>
      </c>
      <c r="I997" s="415" t="s">
        <v>6337</v>
      </c>
      <c r="J997" s="415" t="s">
        <v>1330</v>
      </c>
      <c r="K997" s="419" t="s">
        <v>6338</v>
      </c>
      <c r="L997" s="415" t="s">
        <v>32</v>
      </c>
      <c r="M997" s="419" t="s">
        <v>8258</v>
      </c>
      <c r="N997" s="413">
        <v>44872</v>
      </c>
      <c r="O997" s="414" t="s">
        <v>400</v>
      </c>
      <c r="P997" s="655">
        <f t="shared" si="52"/>
        <v>11</v>
      </c>
      <c r="Q997" s="655">
        <f t="shared" si="53"/>
        <v>10</v>
      </c>
      <c r="R997" s="758" t="str">
        <f t="shared" si="51"/>
        <v>Gastos_Gerais</v>
      </c>
      <c r="S997" s="697" t="s">
        <v>310</v>
      </c>
      <c r="T997" s="697" t="s">
        <v>310</v>
      </c>
    </row>
    <row r="998" spans="1:20" ht="48" x14ac:dyDescent="0.2">
      <c r="A998" s="432">
        <f>IF(B998="","",COUNT('Diário 1º PA'!$A$4:$A$2635)+COUNT('Diário 2º PA'!$A$4:$A$3040)+COUNT('Diário 3º PA'!$A$4:$A$2731)+ROW()-3)</f>
        <v>7023</v>
      </c>
      <c r="B998" s="413">
        <v>44879</v>
      </c>
      <c r="C998" s="431">
        <v>44835</v>
      </c>
      <c r="D998" s="419" t="s">
        <v>468</v>
      </c>
      <c r="E998" s="419" t="s">
        <v>468</v>
      </c>
      <c r="F998" s="425">
        <v>1500</v>
      </c>
      <c r="G998" s="423" t="s">
        <v>7253</v>
      </c>
      <c r="H998" s="419" t="s">
        <v>468</v>
      </c>
      <c r="I998" s="427" t="s">
        <v>2948</v>
      </c>
      <c r="J998" s="415" t="s">
        <v>2414</v>
      </c>
      <c r="K998" s="419" t="s">
        <v>812</v>
      </c>
      <c r="L998" s="415" t="s">
        <v>32</v>
      </c>
      <c r="M998" s="419">
        <v>67657</v>
      </c>
      <c r="N998" s="413">
        <v>44848</v>
      </c>
      <c r="O998" s="414" t="s">
        <v>408</v>
      </c>
      <c r="P998" s="655">
        <f t="shared" si="52"/>
        <v>11</v>
      </c>
      <c r="Q998" s="655">
        <f t="shared" si="53"/>
        <v>10</v>
      </c>
      <c r="R998" s="758" t="str">
        <f t="shared" si="51"/>
        <v>Gastos_custeados_por_captação</v>
      </c>
      <c r="S998" s="697" t="s">
        <v>1000</v>
      </c>
      <c r="T998" s="697">
        <v>2456</v>
      </c>
    </row>
    <row r="999" spans="1:20" ht="36" x14ac:dyDescent="0.2">
      <c r="A999" s="432">
        <f>IF(B999="","",COUNT('Diário 1º PA'!$A$4:$A$2635)+COUNT('Diário 2º PA'!$A$4:$A$3040)+COUNT('Diário 3º PA'!$A$4:$A$2731)+ROW()-3)</f>
        <v>7024</v>
      </c>
      <c r="B999" s="413">
        <v>44879</v>
      </c>
      <c r="C999" s="431">
        <v>44866</v>
      </c>
      <c r="D999" s="419" t="s">
        <v>468</v>
      </c>
      <c r="E999" s="419" t="s">
        <v>468</v>
      </c>
      <c r="F999" s="425">
        <v>153</v>
      </c>
      <c r="G999" s="440" t="s">
        <v>880</v>
      </c>
      <c r="H999" s="419" t="s">
        <v>468</v>
      </c>
      <c r="I999" s="639" t="s">
        <v>881</v>
      </c>
      <c r="J999" s="418" t="s">
        <v>882</v>
      </c>
      <c r="K999" s="418" t="s">
        <v>883</v>
      </c>
      <c r="L999" s="399" t="s">
        <v>798</v>
      </c>
      <c r="M999" s="544" t="s">
        <v>310</v>
      </c>
      <c r="N999" s="413">
        <v>44879</v>
      </c>
      <c r="O999" s="414" t="s">
        <v>408</v>
      </c>
      <c r="P999" s="655">
        <f t="shared" si="52"/>
        <v>11</v>
      </c>
      <c r="Q999" s="655">
        <f t="shared" si="53"/>
        <v>11</v>
      </c>
      <c r="R999" s="758" t="str">
        <f t="shared" si="51"/>
        <v>Gastos_custeados_por_captação</v>
      </c>
      <c r="S999" s="697" t="s">
        <v>310</v>
      </c>
      <c r="T999" s="697" t="s">
        <v>310</v>
      </c>
    </row>
    <row r="1000" spans="1:20" ht="48" x14ac:dyDescent="0.2">
      <c r="A1000" s="432">
        <f>IF(B1000="","",COUNT('Diário 1º PA'!$A$4:$A$2635)+COUNT('Diário 2º PA'!$A$4:$A$3040)+COUNT('Diário 3º PA'!$A$4:$A$2731)+ROW()-3)</f>
        <v>7025</v>
      </c>
      <c r="B1000" s="413">
        <v>44881</v>
      </c>
      <c r="C1000" s="466">
        <v>44866</v>
      </c>
      <c r="D1000" s="415" t="s">
        <v>182</v>
      </c>
      <c r="E1000" s="415" t="s">
        <v>325</v>
      </c>
      <c r="F1000" s="425">
        <v>-175.49</v>
      </c>
      <c r="G1000" s="427" t="s">
        <v>8287</v>
      </c>
      <c r="H1000" s="415" t="s">
        <v>310</v>
      </c>
      <c r="I1000" s="473" t="s">
        <v>795</v>
      </c>
      <c r="J1000" s="415" t="s">
        <v>796</v>
      </c>
      <c r="K1000" s="415" t="s">
        <v>797</v>
      </c>
      <c r="L1000" s="415" t="s">
        <v>798</v>
      </c>
      <c r="M1000" s="415" t="s">
        <v>310</v>
      </c>
      <c r="N1000" s="414">
        <v>44881</v>
      </c>
      <c r="O1000" s="414" t="s">
        <v>400</v>
      </c>
      <c r="P1000" s="655">
        <f t="shared" si="52"/>
        <v>11</v>
      </c>
      <c r="Q1000" s="655">
        <f t="shared" si="53"/>
        <v>11</v>
      </c>
      <c r="R1000" s="758" t="str">
        <f t="shared" si="51"/>
        <v>Gastos_com_Pessoal</v>
      </c>
      <c r="S1000" s="697" t="s">
        <v>310</v>
      </c>
      <c r="T1000" s="697" t="s">
        <v>310</v>
      </c>
    </row>
    <row r="1001" spans="1:20" ht="60" x14ac:dyDescent="0.2">
      <c r="A1001" s="432">
        <f>IF(B1001="","",COUNT('Diário 1º PA'!$A$4:$A$2635)+COUNT('Diário 2º PA'!$A$4:$A$3040)+COUNT('Diário 3º PA'!$A$4:$A$2731)+ROW()-3)</f>
        <v>7026</v>
      </c>
      <c r="B1001" s="413">
        <v>44881</v>
      </c>
      <c r="C1001" s="431">
        <v>44835</v>
      </c>
      <c r="D1001" s="434" t="s">
        <v>271</v>
      </c>
      <c r="E1001" s="434" t="s">
        <v>91</v>
      </c>
      <c r="F1001" s="435">
        <v>317.74</v>
      </c>
      <c r="G1001" s="437" t="s">
        <v>471</v>
      </c>
      <c r="H1001" s="434" t="s">
        <v>309</v>
      </c>
      <c r="I1001" s="415" t="s">
        <v>1505</v>
      </c>
      <c r="J1001" s="434" t="s">
        <v>1009</v>
      </c>
      <c r="K1001" s="419" t="s">
        <v>812</v>
      </c>
      <c r="L1001" s="415" t="s">
        <v>32</v>
      </c>
      <c r="M1001" s="419">
        <v>4510953</v>
      </c>
      <c r="N1001" s="413">
        <v>44866</v>
      </c>
      <c r="O1001" s="414" t="s">
        <v>400</v>
      </c>
      <c r="P1001" s="655">
        <f t="shared" si="52"/>
        <v>11</v>
      </c>
      <c r="Q1001" s="655">
        <f t="shared" si="53"/>
        <v>10</v>
      </c>
      <c r="R1001" s="758" t="str">
        <f t="shared" si="51"/>
        <v>Gastos_Gerais</v>
      </c>
      <c r="S1001" s="697" t="s">
        <v>1000</v>
      </c>
      <c r="T1001" s="697">
        <v>1142</v>
      </c>
    </row>
    <row r="1002" spans="1:20" ht="72" x14ac:dyDescent="0.2">
      <c r="A1002" s="432">
        <f>IF(B1002="","",COUNT('Diário 1º PA'!$A$4:$A$2635)+COUNT('Diário 2º PA'!$A$4:$A$3040)+COUNT('Diário 3º PA'!$A$4:$A$2731)+ROW()-3)</f>
        <v>7027</v>
      </c>
      <c r="B1002" s="413">
        <v>44881</v>
      </c>
      <c r="C1002" s="431">
        <v>44835</v>
      </c>
      <c r="D1002" s="415" t="s">
        <v>271</v>
      </c>
      <c r="E1002" s="415" t="s">
        <v>456</v>
      </c>
      <c r="F1002" s="422">
        <v>1711.12</v>
      </c>
      <c r="G1002" s="427" t="s">
        <v>552</v>
      </c>
      <c r="H1002" s="419" t="s">
        <v>755</v>
      </c>
      <c r="I1002" s="415" t="s">
        <v>1785</v>
      </c>
      <c r="J1002" s="415" t="s">
        <v>1044</v>
      </c>
      <c r="K1002" s="419" t="s">
        <v>812</v>
      </c>
      <c r="L1002" s="415" t="s">
        <v>32</v>
      </c>
      <c r="M1002" s="419" t="s">
        <v>8283</v>
      </c>
      <c r="N1002" s="413">
        <v>44869</v>
      </c>
      <c r="O1002" s="414" t="s">
        <v>400</v>
      </c>
      <c r="P1002" s="655">
        <f t="shared" si="52"/>
        <v>11</v>
      </c>
      <c r="Q1002" s="655">
        <f t="shared" si="53"/>
        <v>10</v>
      </c>
      <c r="R1002" s="758" t="str">
        <f t="shared" si="51"/>
        <v>Gastos_Gerais</v>
      </c>
      <c r="S1002" s="697" t="s">
        <v>1000</v>
      </c>
      <c r="T1002" s="697">
        <v>1371</v>
      </c>
    </row>
    <row r="1003" spans="1:20" ht="36" x14ac:dyDescent="0.2">
      <c r="A1003" s="432">
        <f>IF(B1003="","",COUNT('Diário 1º PA'!$A$4:$A$2635)+COUNT('Diário 2º PA'!$A$4:$A$3040)+COUNT('Diário 3º PA'!$A$4:$A$2731)+ROW()-3)</f>
        <v>7028</v>
      </c>
      <c r="B1003" s="413">
        <v>44881</v>
      </c>
      <c r="C1003" s="433">
        <v>44805</v>
      </c>
      <c r="D1003" s="434" t="s">
        <v>182</v>
      </c>
      <c r="E1003" s="434" t="s">
        <v>1</v>
      </c>
      <c r="F1003" s="422">
        <v>2459.79</v>
      </c>
      <c r="G1003" s="427" t="s">
        <v>4117</v>
      </c>
      <c r="H1003" s="415" t="s">
        <v>310</v>
      </c>
      <c r="I1003" s="437" t="s">
        <v>773</v>
      </c>
      <c r="J1003" s="434" t="s">
        <v>1397</v>
      </c>
      <c r="K1003" s="419" t="s">
        <v>812</v>
      </c>
      <c r="L1003" s="415" t="s">
        <v>32</v>
      </c>
      <c r="M1003" s="725" t="s">
        <v>8285</v>
      </c>
      <c r="N1003" s="414">
        <v>44838</v>
      </c>
      <c r="O1003" s="414" t="s">
        <v>400</v>
      </c>
      <c r="P1003" s="655">
        <f t="shared" si="52"/>
        <v>11</v>
      </c>
      <c r="Q1003" s="655">
        <f t="shared" si="53"/>
        <v>9</v>
      </c>
      <c r="R1003" s="758" t="str">
        <f t="shared" si="51"/>
        <v>Gastos_com_Pessoal</v>
      </c>
      <c r="S1003" s="697" t="s">
        <v>310</v>
      </c>
      <c r="T1003" s="697" t="s">
        <v>310</v>
      </c>
    </row>
    <row r="1004" spans="1:20" ht="108" x14ac:dyDescent="0.2">
      <c r="A1004" s="432">
        <f>IF(B1004="","",COUNT('Diário 1º PA'!$A$4:$A$2635)+COUNT('Diário 2º PA'!$A$4:$A$3040)+COUNT('Diário 3º PA'!$A$4:$A$2731)+ROW()-3)</f>
        <v>7029</v>
      </c>
      <c r="B1004" s="413">
        <v>44881</v>
      </c>
      <c r="C1004" s="433">
        <v>44866</v>
      </c>
      <c r="D1004" s="415" t="s">
        <v>182</v>
      </c>
      <c r="E1004" s="415" t="s">
        <v>325</v>
      </c>
      <c r="F1004" s="422">
        <v>25357.15</v>
      </c>
      <c r="G1004" s="427" t="s">
        <v>1399</v>
      </c>
      <c r="H1004" s="415" t="s">
        <v>310</v>
      </c>
      <c r="I1004" s="437" t="s">
        <v>773</v>
      </c>
      <c r="J1004" s="434" t="s">
        <v>1397</v>
      </c>
      <c r="K1004" s="419" t="s">
        <v>812</v>
      </c>
      <c r="L1004" s="415" t="s">
        <v>32</v>
      </c>
      <c r="M1004" s="725" t="s">
        <v>8286</v>
      </c>
      <c r="N1004" s="414">
        <v>44841</v>
      </c>
      <c r="O1004" s="414" t="s">
        <v>400</v>
      </c>
      <c r="P1004" s="655">
        <f t="shared" si="52"/>
        <v>11</v>
      </c>
      <c r="Q1004" s="655">
        <f t="shared" si="53"/>
        <v>11</v>
      </c>
      <c r="R1004" s="758" t="str">
        <f t="shared" si="51"/>
        <v>Gastos_com_Pessoal</v>
      </c>
      <c r="S1004" s="697" t="s">
        <v>310</v>
      </c>
      <c r="T1004" s="697" t="s">
        <v>310</v>
      </c>
    </row>
    <row r="1005" spans="1:20" ht="48" x14ac:dyDescent="0.2">
      <c r="A1005" s="432">
        <f>IF(B1005="","",COUNT('Diário 1º PA'!$A$4:$A$2635)+COUNT('Diário 2º PA'!$A$4:$A$3040)+COUNT('Diário 3º PA'!$A$4:$A$2731)+ROW()-3)</f>
        <v>7030</v>
      </c>
      <c r="B1005" s="413">
        <v>44881</v>
      </c>
      <c r="C1005" s="421">
        <v>44835</v>
      </c>
      <c r="D1005" s="419" t="s">
        <v>468</v>
      </c>
      <c r="E1005" s="419" t="s">
        <v>468</v>
      </c>
      <c r="F1005" s="422">
        <v>3.49</v>
      </c>
      <c r="G1005" s="423" t="s">
        <v>8365</v>
      </c>
      <c r="H1005" s="419" t="s">
        <v>468</v>
      </c>
      <c r="I1005" s="398" t="s">
        <v>881</v>
      </c>
      <c r="J1005" s="418" t="s">
        <v>882</v>
      </c>
      <c r="K1005" s="418" t="s">
        <v>883</v>
      </c>
      <c r="L1005" s="399" t="s">
        <v>798</v>
      </c>
      <c r="M1005" s="544" t="s">
        <v>310</v>
      </c>
      <c r="N1005" s="413">
        <v>44881</v>
      </c>
      <c r="O1005" s="414" t="s">
        <v>405</v>
      </c>
      <c r="P1005" s="655">
        <f t="shared" si="52"/>
        <v>11</v>
      </c>
      <c r="Q1005" s="655">
        <f t="shared" si="53"/>
        <v>10</v>
      </c>
      <c r="R1005" s="758" t="str">
        <f t="shared" si="51"/>
        <v>Gastos_custeados_por_captação</v>
      </c>
      <c r="S1005" s="697" t="s">
        <v>310</v>
      </c>
      <c r="T1005" s="697" t="s">
        <v>310</v>
      </c>
    </row>
    <row r="1006" spans="1:20" ht="96" x14ac:dyDescent="0.2">
      <c r="A1006" s="432">
        <f>IF(B1006="","",COUNT('Diário 1º PA'!$A$4:$A$2635)+COUNT('Diário 2º PA'!$A$4:$A$3040)+COUNT('Diário 3º PA'!$A$4:$A$2731)+ROW()-3)</f>
        <v>7031</v>
      </c>
      <c r="B1006" s="413">
        <v>44881</v>
      </c>
      <c r="C1006" s="421">
        <v>44835</v>
      </c>
      <c r="D1006" s="419" t="s">
        <v>468</v>
      </c>
      <c r="E1006" s="419" t="s">
        <v>468</v>
      </c>
      <c r="F1006" s="422">
        <v>917.3</v>
      </c>
      <c r="G1006" s="423" t="s">
        <v>8366</v>
      </c>
      <c r="H1006" s="419" t="s">
        <v>468</v>
      </c>
      <c r="I1006" s="415" t="s">
        <v>8816</v>
      </c>
      <c r="J1006" s="419">
        <v>548571338</v>
      </c>
      <c r="K1006" s="419" t="s">
        <v>2389</v>
      </c>
      <c r="L1006" s="415" t="s">
        <v>1305</v>
      </c>
      <c r="M1006" s="419" t="s">
        <v>310</v>
      </c>
      <c r="N1006" s="413">
        <v>44877</v>
      </c>
      <c r="O1006" s="414" t="s">
        <v>405</v>
      </c>
      <c r="P1006" s="655">
        <f t="shared" si="52"/>
        <v>11</v>
      </c>
      <c r="Q1006" s="655">
        <f t="shared" si="53"/>
        <v>10</v>
      </c>
      <c r="R1006" s="758" t="str">
        <f t="shared" si="51"/>
        <v>Gastos_custeados_por_captação</v>
      </c>
      <c r="S1006" s="697" t="s">
        <v>998</v>
      </c>
      <c r="T1006" s="697">
        <v>4594</v>
      </c>
    </row>
    <row r="1007" spans="1:20" ht="48" x14ac:dyDescent="0.2">
      <c r="A1007" s="432">
        <f>IF(B1007="","",COUNT('Diário 1º PA'!$A$4:$A$2635)+COUNT('Diário 2º PA'!$A$4:$A$3040)+COUNT('Diário 3º PA'!$A$4:$A$2731)+ROW()-3)</f>
        <v>7032</v>
      </c>
      <c r="B1007" s="413">
        <v>44881</v>
      </c>
      <c r="C1007" s="421">
        <v>44835</v>
      </c>
      <c r="D1007" s="419" t="s">
        <v>468</v>
      </c>
      <c r="E1007" s="419" t="s">
        <v>468</v>
      </c>
      <c r="F1007" s="422">
        <v>161.88</v>
      </c>
      <c r="G1007" s="423" t="s">
        <v>8367</v>
      </c>
      <c r="H1007" s="419" t="s">
        <v>468</v>
      </c>
      <c r="I1007" s="415" t="s">
        <v>1461</v>
      </c>
      <c r="J1007" s="419" t="s">
        <v>310</v>
      </c>
      <c r="K1007" s="419" t="s">
        <v>1220</v>
      </c>
      <c r="L1007" s="415" t="s">
        <v>1368</v>
      </c>
      <c r="M1007" s="419" t="s">
        <v>310</v>
      </c>
      <c r="N1007" s="413">
        <v>44881</v>
      </c>
      <c r="O1007" s="414" t="s">
        <v>405</v>
      </c>
      <c r="P1007" s="655">
        <f t="shared" si="52"/>
        <v>11</v>
      </c>
      <c r="Q1007" s="655">
        <f t="shared" si="53"/>
        <v>10</v>
      </c>
      <c r="R1007" s="758" t="str">
        <f t="shared" si="51"/>
        <v>Gastos_custeados_por_captação</v>
      </c>
      <c r="S1007" s="697" t="s">
        <v>310</v>
      </c>
      <c r="T1007" s="697" t="s">
        <v>310</v>
      </c>
    </row>
    <row r="1008" spans="1:20" ht="36" x14ac:dyDescent="0.2">
      <c r="A1008" s="432">
        <f>IF(B1008="","",COUNT('Diário 1º PA'!$A$4:$A$2635)+COUNT('Diário 2º PA'!$A$4:$A$3040)+COUNT('Diário 3º PA'!$A$4:$A$2731)+ROW()-3)</f>
        <v>7033</v>
      </c>
      <c r="B1008" s="413">
        <v>44881</v>
      </c>
      <c r="C1008" s="431">
        <v>44835</v>
      </c>
      <c r="D1008" s="419" t="s">
        <v>468</v>
      </c>
      <c r="E1008" s="419" t="s">
        <v>468</v>
      </c>
      <c r="F1008" s="422">
        <v>5585.43</v>
      </c>
      <c r="G1008" s="427" t="s">
        <v>4099</v>
      </c>
      <c r="H1008" s="419" t="s">
        <v>468</v>
      </c>
      <c r="I1008" s="415" t="s">
        <v>5619</v>
      </c>
      <c r="J1008" s="415" t="s">
        <v>4103</v>
      </c>
      <c r="K1008" s="419" t="s">
        <v>830</v>
      </c>
      <c r="L1008" s="415" t="s">
        <v>32</v>
      </c>
      <c r="M1008" s="419" t="s">
        <v>1428</v>
      </c>
      <c r="N1008" s="413">
        <v>44876</v>
      </c>
      <c r="O1008" s="414" t="s">
        <v>408</v>
      </c>
      <c r="P1008" s="655">
        <f t="shared" si="52"/>
        <v>11</v>
      </c>
      <c r="Q1008" s="655">
        <f t="shared" si="53"/>
        <v>10</v>
      </c>
      <c r="R1008" s="758" t="str">
        <f t="shared" si="51"/>
        <v>Gastos_custeados_por_captação</v>
      </c>
      <c r="S1008" s="697" t="s">
        <v>1000</v>
      </c>
      <c r="T1008" s="697">
        <v>3698</v>
      </c>
    </row>
    <row r="1009" spans="1:20" ht="36" x14ac:dyDescent="0.2">
      <c r="A1009" s="432">
        <f>IF(B1009="","",COUNT('Diário 1º PA'!$A$4:$A$2635)+COUNT('Diário 2º PA'!$A$4:$A$3040)+COUNT('Diário 3º PA'!$A$4:$A$2731)+ROW()-3)</f>
        <v>7034</v>
      </c>
      <c r="B1009" s="413">
        <v>44881</v>
      </c>
      <c r="C1009" s="431">
        <v>44866</v>
      </c>
      <c r="D1009" s="419" t="s">
        <v>468</v>
      </c>
      <c r="E1009" s="419" t="s">
        <v>468</v>
      </c>
      <c r="F1009" s="422">
        <v>11</v>
      </c>
      <c r="G1009" s="427" t="s">
        <v>2469</v>
      </c>
      <c r="H1009" s="419" t="s">
        <v>468</v>
      </c>
      <c r="I1009" s="639" t="s">
        <v>881</v>
      </c>
      <c r="J1009" s="418" t="s">
        <v>882</v>
      </c>
      <c r="K1009" s="418" t="s">
        <v>883</v>
      </c>
      <c r="L1009" s="399" t="s">
        <v>798</v>
      </c>
      <c r="M1009" s="544" t="s">
        <v>310</v>
      </c>
      <c r="N1009" s="413">
        <v>44881</v>
      </c>
      <c r="O1009" s="414" t="s">
        <v>408</v>
      </c>
      <c r="P1009" s="655">
        <f t="shared" si="52"/>
        <v>11</v>
      </c>
      <c r="Q1009" s="655">
        <f t="shared" si="53"/>
        <v>11</v>
      </c>
      <c r="R1009" s="758" t="str">
        <f t="shared" ref="R1009:R1072" si="54">SUBSTITUTE(D1009," ","_")</f>
        <v>Gastos_custeados_por_captação</v>
      </c>
      <c r="S1009" s="697" t="s">
        <v>310</v>
      </c>
      <c r="T1009" s="697" t="s">
        <v>310</v>
      </c>
    </row>
    <row r="1010" spans="1:20" ht="48" x14ac:dyDescent="0.2">
      <c r="A1010" s="432">
        <f>IF(B1010="","",COUNT('Diário 1º PA'!$A$4:$A$2635)+COUNT('Diário 2º PA'!$A$4:$A$3040)+COUNT('Diário 3º PA'!$A$4:$A$2731)+ROW()-3)</f>
        <v>7035</v>
      </c>
      <c r="B1010" s="413">
        <v>44882</v>
      </c>
      <c r="C1010" s="466">
        <v>44866</v>
      </c>
      <c r="D1010" s="415" t="s">
        <v>182</v>
      </c>
      <c r="E1010" s="415" t="s">
        <v>325</v>
      </c>
      <c r="F1010" s="425">
        <v>-2534.58</v>
      </c>
      <c r="G1010" s="427" t="s">
        <v>8296</v>
      </c>
      <c r="H1010" s="415" t="s">
        <v>310</v>
      </c>
      <c r="I1010" s="473" t="s">
        <v>795</v>
      </c>
      <c r="J1010" s="415" t="s">
        <v>796</v>
      </c>
      <c r="K1010" s="415" t="s">
        <v>797</v>
      </c>
      <c r="L1010" s="415" t="s">
        <v>798</v>
      </c>
      <c r="M1010" s="415" t="s">
        <v>310</v>
      </c>
      <c r="N1010" s="414">
        <v>44882</v>
      </c>
      <c r="O1010" s="414" t="s">
        <v>400</v>
      </c>
      <c r="P1010" s="655">
        <f t="shared" si="52"/>
        <v>11</v>
      </c>
      <c r="Q1010" s="655">
        <f t="shared" si="53"/>
        <v>11</v>
      </c>
      <c r="R1010" s="758" t="str">
        <f t="shared" si="54"/>
        <v>Gastos_com_Pessoal</v>
      </c>
      <c r="S1010" s="697" t="s">
        <v>310</v>
      </c>
      <c r="T1010" s="697" t="s">
        <v>310</v>
      </c>
    </row>
    <row r="1011" spans="1:20" ht="48" x14ac:dyDescent="0.2">
      <c r="A1011" s="432">
        <f>IF(B1011="","",COUNT('Diário 1º PA'!$A$4:$A$2635)+COUNT('Diário 2º PA'!$A$4:$A$3040)+COUNT('Diário 3º PA'!$A$4:$A$2731)+ROW()-3)</f>
        <v>7036</v>
      </c>
      <c r="B1011" s="413">
        <v>44882</v>
      </c>
      <c r="C1011" s="433">
        <v>44805</v>
      </c>
      <c r="D1011" s="415" t="s">
        <v>182</v>
      </c>
      <c r="E1011" s="415" t="s">
        <v>1</v>
      </c>
      <c r="F1011" s="425">
        <v>-124.94</v>
      </c>
      <c r="G1011" s="427" t="s">
        <v>8297</v>
      </c>
      <c r="H1011" s="415" t="s">
        <v>310</v>
      </c>
      <c r="I1011" s="473" t="s">
        <v>795</v>
      </c>
      <c r="J1011" s="415" t="s">
        <v>796</v>
      </c>
      <c r="K1011" s="415" t="s">
        <v>797</v>
      </c>
      <c r="L1011" s="415" t="s">
        <v>798</v>
      </c>
      <c r="M1011" s="415" t="s">
        <v>310</v>
      </c>
      <c r="N1011" s="414">
        <v>44882</v>
      </c>
      <c r="O1011" s="414" t="s">
        <v>400</v>
      </c>
      <c r="P1011" s="655">
        <f t="shared" si="52"/>
        <v>11</v>
      </c>
      <c r="Q1011" s="655">
        <f t="shared" si="53"/>
        <v>9</v>
      </c>
      <c r="R1011" s="758" t="str">
        <f t="shared" si="54"/>
        <v>Gastos_com_Pessoal</v>
      </c>
      <c r="S1011" s="697" t="s">
        <v>310</v>
      </c>
      <c r="T1011" s="697" t="s">
        <v>310</v>
      </c>
    </row>
    <row r="1012" spans="1:20" ht="48" x14ac:dyDescent="0.2">
      <c r="A1012" s="432">
        <f>IF(B1012="","",COUNT('Diário 1º PA'!$A$4:$A$2635)+COUNT('Diário 2º PA'!$A$4:$A$3040)+COUNT('Diário 3º PA'!$A$4:$A$2731)+ROW()-3)</f>
        <v>7037</v>
      </c>
      <c r="B1012" s="413">
        <v>44882</v>
      </c>
      <c r="C1012" s="433">
        <v>44835</v>
      </c>
      <c r="D1012" s="415" t="s">
        <v>271</v>
      </c>
      <c r="E1012" s="415" t="s">
        <v>164</v>
      </c>
      <c r="F1012" s="435">
        <v>-134.9</v>
      </c>
      <c r="G1012" s="427" t="s">
        <v>8298</v>
      </c>
      <c r="H1012" s="415" t="s">
        <v>309</v>
      </c>
      <c r="I1012" s="473" t="s">
        <v>795</v>
      </c>
      <c r="J1012" s="415" t="s">
        <v>796</v>
      </c>
      <c r="K1012" s="415" t="s">
        <v>797</v>
      </c>
      <c r="L1012" s="415" t="s">
        <v>798</v>
      </c>
      <c r="M1012" s="415" t="s">
        <v>310</v>
      </c>
      <c r="N1012" s="414">
        <v>44882</v>
      </c>
      <c r="O1012" s="414" t="s">
        <v>400</v>
      </c>
      <c r="P1012" s="655">
        <f t="shared" si="52"/>
        <v>11</v>
      </c>
      <c r="Q1012" s="655">
        <f t="shared" si="53"/>
        <v>10</v>
      </c>
      <c r="R1012" s="758" t="str">
        <f t="shared" si="54"/>
        <v>Gastos_Gerais</v>
      </c>
      <c r="S1012" s="697" t="s">
        <v>310</v>
      </c>
      <c r="T1012" s="699" t="s">
        <v>310</v>
      </c>
    </row>
    <row r="1013" spans="1:20" ht="48" x14ac:dyDescent="0.2">
      <c r="A1013" s="432">
        <f>IF(B1013="","",COUNT('Diário 1º PA'!$A$4:$A$2635)+COUNT('Diário 2º PA'!$A$4:$A$3040)+COUNT('Diário 3º PA'!$A$4:$A$2731)+ROW()-3)</f>
        <v>7038</v>
      </c>
      <c r="B1013" s="413">
        <v>44882</v>
      </c>
      <c r="C1013" s="433">
        <v>44866</v>
      </c>
      <c r="D1013" s="419" t="s">
        <v>34</v>
      </c>
      <c r="E1013" s="419" t="s">
        <v>167</v>
      </c>
      <c r="F1013" s="422">
        <v>65</v>
      </c>
      <c r="G1013" s="427" t="s">
        <v>8299</v>
      </c>
      <c r="H1013" s="419" t="s">
        <v>310</v>
      </c>
      <c r="I1013" s="415" t="s">
        <v>795</v>
      </c>
      <c r="J1013" s="419" t="s">
        <v>796</v>
      </c>
      <c r="K1013" s="419" t="s">
        <v>797</v>
      </c>
      <c r="L1013" s="415" t="s">
        <v>798</v>
      </c>
      <c r="M1013" s="419" t="s">
        <v>310</v>
      </c>
      <c r="N1013" s="413">
        <v>44882</v>
      </c>
      <c r="O1013" s="413" t="s">
        <v>400</v>
      </c>
      <c r="P1013" s="655">
        <f t="shared" si="52"/>
        <v>11</v>
      </c>
      <c r="Q1013" s="655">
        <f t="shared" si="53"/>
        <v>11</v>
      </c>
      <c r="R1013" s="758" t="str">
        <f t="shared" si="54"/>
        <v>Receitas</v>
      </c>
      <c r="S1013" s="697" t="s">
        <v>310</v>
      </c>
      <c r="T1013" s="699" t="s">
        <v>310</v>
      </c>
    </row>
    <row r="1014" spans="1:20" ht="96" x14ac:dyDescent="0.2">
      <c r="A1014" s="432">
        <f>IF(B1014="","",COUNT('Diário 1º PA'!$A$4:$A$2635)+COUNT('Diário 2º PA'!$A$4:$A$3040)+COUNT('Diário 3º PA'!$A$4:$A$2731)+ROW()-3)</f>
        <v>7039</v>
      </c>
      <c r="B1014" s="413">
        <v>44882</v>
      </c>
      <c r="C1014" s="431">
        <v>44835</v>
      </c>
      <c r="D1014" s="419" t="s">
        <v>271</v>
      </c>
      <c r="E1014" s="419" t="s">
        <v>456</v>
      </c>
      <c r="F1014" s="425">
        <v>1596</v>
      </c>
      <c r="G1014" s="427" t="s">
        <v>7992</v>
      </c>
      <c r="H1014" s="415" t="s">
        <v>757</v>
      </c>
      <c r="I1014" s="415" t="s">
        <v>8300</v>
      </c>
      <c r="J1014" s="415" t="s">
        <v>7993</v>
      </c>
      <c r="K1014" s="419" t="s">
        <v>806</v>
      </c>
      <c r="L1014" s="415" t="s">
        <v>839</v>
      </c>
      <c r="M1014" s="419">
        <v>2102</v>
      </c>
      <c r="N1014" s="413">
        <v>44876</v>
      </c>
      <c r="O1014" s="413" t="s">
        <v>400</v>
      </c>
      <c r="P1014" s="655">
        <f t="shared" si="52"/>
        <v>11</v>
      </c>
      <c r="Q1014" s="655">
        <f t="shared" si="53"/>
        <v>10</v>
      </c>
      <c r="R1014" s="758" t="str">
        <f t="shared" si="54"/>
        <v>Gastos_Gerais</v>
      </c>
      <c r="S1014" s="697" t="s">
        <v>998</v>
      </c>
      <c r="T1014" s="697">
        <v>4548</v>
      </c>
    </row>
    <row r="1015" spans="1:20" ht="48" x14ac:dyDescent="0.2">
      <c r="A1015" s="432">
        <f>IF(B1015="","",COUNT('Diário 1º PA'!$A$4:$A$2635)+COUNT('Diário 2º PA'!$A$4:$A$3040)+COUNT('Diário 3º PA'!$A$4:$A$2731)+ROW()-3)</f>
        <v>7040</v>
      </c>
      <c r="B1015" s="413">
        <v>44882</v>
      </c>
      <c r="C1015" s="466">
        <v>44866</v>
      </c>
      <c r="D1015" s="415" t="s">
        <v>182</v>
      </c>
      <c r="E1015" s="415" t="s">
        <v>325</v>
      </c>
      <c r="F1015" s="422">
        <v>408.61</v>
      </c>
      <c r="G1015" s="423" t="s">
        <v>8303</v>
      </c>
      <c r="H1015" s="419" t="s">
        <v>310</v>
      </c>
      <c r="I1015" s="415" t="s">
        <v>795</v>
      </c>
      <c r="J1015" s="419" t="s">
        <v>796</v>
      </c>
      <c r="K1015" s="419" t="s">
        <v>797</v>
      </c>
      <c r="L1015" s="415" t="s">
        <v>798</v>
      </c>
      <c r="M1015" s="419" t="s">
        <v>310</v>
      </c>
      <c r="N1015" s="413">
        <v>44882</v>
      </c>
      <c r="O1015" s="413" t="s">
        <v>400</v>
      </c>
      <c r="P1015" s="655">
        <f t="shared" si="52"/>
        <v>11</v>
      </c>
      <c r="Q1015" s="655">
        <f t="shared" si="53"/>
        <v>11</v>
      </c>
      <c r="R1015" s="758" t="str">
        <f t="shared" si="54"/>
        <v>Gastos_com_Pessoal</v>
      </c>
      <c r="S1015" s="697" t="s">
        <v>310</v>
      </c>
      <c r="T1015" s="699" t="s">
        <v>310</v>
      </c>
    </row>
    <row r="1016" spans="1:20" ht="84" x14ac:dyDescent="0.2">
      <c r="A1016" s="432">
        <f>IF(B1016="","",COUNT('Diário 1º PA'!$A$4:$A$2635)+COUNT('Diário 2º PA'!$A$4:$A$3040)+COUNT('Diário 3º PA'!$A$4:$A$2731)+ROW()-3)</f>
        <v>7041</v>
      </c>
      <c r="B1016" s="413">
        <v>44882</v>
      </c>
      <c r="C1016" s="431">
        <v>44774</v>
      </c>
      <c r="D1016" s="415" t="s">
        <v>271</v>
      </c>
      <c r="E1016" s="415" t="s">
        <v>456</v>
      </c>
      <c r="F1016" s="425">
        <v>1050</v>
      </c>
      <c r="G1016" s="427" t="s">
        <v>6173</v>
      </c>
      <c r="H1016" s="419" t="s">
        <v>748</v>
      </c>
      <c r="I1016" s="415" t="s">
        <v>7163</v>
      </c>
      <c r="J1016" s="415" t="s">
        <v>6174</v>
      </c>
      <c r="K1016" s="419" t="s">
        <v>806</v>
      </c>
      <c r="L1016" s="415" t="s">
        <v>839</v>
      </c>
      <c r="M1016" s="419">
        <v>2093</v>
      </c>
      <c r="N1016" s="413">
        <v>44874</v>
      </c>
      <c r="O1016" s="413" t="s">
        <v>400</v>
      </c>
      <c r="P1016" s="655">
        <f t="shared" si="52"/>
        <v>11</v>
      </c>
      <c r="Q1016" s="655">
        <f t="shared" si="53"/>
        <v>8</v>
      </c>
      <c r="R1016" s="758" t="str">
        <f t="shared" si="54"/>
        <v>Gastos_Gerais</v>
      </c>
      <c r="S1016" s="697" t="s">
        <v>998</v>
      </c>
      <c r="T1016" s="697">
        <v>4060</v>
      </c>
    </row>
    <row r="1017" spans="1:20" ht="24" x14ac:dyDescent="0.2">
      <c r="A1017" s="432">
        <f>IF(B1017="","",COUNT('Diário 1º PA'!$A$4:$A$2635)+COUNT('Diário 2º PA'!$A$4:$A$3040)+COUNT('Diário 3º PA'!$A$4:$A$2731)+ROW()-3)</f>
        <v>7042</v>
      </c>
      <c r="B1017" s="413">
        <v>44882</v>
      </c>
      <c r="C1017" s="433">
        <v>44835</v>
      </c>
      <c r="D1017" s="434" t="s">
        <v>271</v>
      </c>
      <c r="E1017" s="434" t="s">
        <v>164</v>
      </c>
      <c r="F1017" s="422">
        <v>510.78</v>
      </c>
      <c r="G1017" s="437" t="s">
        <v>8306</v>
      </c>
      <c r="H1017" s="434" t="s">
        <v>309</v>
      </c>
      <c r="I1017" s="437" t="s">
        <v>768</v>
      </c>
      <c r="J1017" s="434" t="s">
        <v>1021</v>
      </c>
      <c r="K1017" s="419" t="s">
        <v>1404</v>
      </c>
      <c r="L1017" s="415" t="s">
        <v>1273</v>
      </c>
      <c r="M1017" s="415" t="s">
        <v>310</v>
      </c>
      <c r="N1017" s="414">
        <v>44866</v>
      </c>
      <c r="O1017" s="414" t="s">
        <v>400</v>
      </c>
      <c r="P1017" s="655">
        <f t="shared" si="52"/>
        <v>11</v>
      </c>
      <c r="Q1017" s="655">
        <f t="shared" si="53"/>
        <v>10</v>
      </c>
      <c r="R1017" s="758" t="str">
        <f t="shared" si="54"/>
        <v>Gastos_Gerais</v>
      </c>
      <c r="S1017" s="697" t="s">
        <v>310</v>
      </c>
      <c r="T1017" s="699" t="s">
        <v>310</v>
      </c>
    </row>
    <row r="1018" spans="1:20" ht="24" x14ac:dyDescent="0.2">
      <c r="A1018" s="432">
        <f>IF(B1018="","",COUNT('Diário 1º PA'!$A$4:$A$2635)+COUNT('Diário 2º PA'!$A$4:$A$3040)+COUNT('Diário 3º PA'!$A$4:$A$2731)+ROW()-3)</f>
        <v>7043</v>
      </c>
      <c r="B1018" s="413">
        <v>44882</v>
      </c>
      <c r="C1018" s="431">
        <v>44835</v>
      </c>
      <c r="D1018" s="434" t="s">
        <v>271</v>
      </c>
      <c r="E1018" s="434" t="s">
        <v>84</v>
      </c>
      <c r="F1018" s="435">
        <v>213.02</v>
      </c>
      <c r="G1018" s="437" t="s">
        <v>1479</v>
      </c>
      <c r="H1018" s="434" t="s">
        <v>750</v>
      </c>
      <c r="I1018" s="415" t="s">
        <v>766</v>
      </c>
      <c r="J1018" s="415" t="s">
        <v>1019</v>
      </c>
      <c r="K1018" s="418" t="s">
        <v>1392</v>
      </c>
      <c r="L1018" s="399" t="s">
        <v>1372</v>
      </c>
      <c r="M1018" s="419" t="s">
        <v>8307</v>
      </c>
      <c r="N1018" s="413">
        <v>44882</v>
      </c>
      <c r="O1018" s="414" t="s">
        <v>400</v>
      </c>
      <c r="P1018" s="655">
        <f t="shared" si="52"/>
        <v>11</v>
      </c>
      <c r="Q1018" s="655">
        <f t="shared" si="53"/>
        <v>10</v>
      </c>
      <c r="R1018" s="758" t="str">
        <f t="shared" si="54"/>
        <v>Gastos_Gerais</v>
      </c>
      <c r="S1018" s="697" t="s">
        <v>310</v>
      </c>
      <c r="T1018" s="699" t="s">
        <v>310</v>
      </c>
    </row>
    <row r="1019" spans="1:20" ht="48" x14ac:dyDescent="0.2">
      <c r="A1019" s="432">
        <f>IF(B1019="","",COUNT('Diário 1º PA'!$A$4:$A$2635)+COUNT('Diário 2º PA'!$A$4:$A$3040)+COUNT('Diário 3º PA'!$A$4:$A$2731)+ROW()-3)</f>
        <v>7044</v>
      </c>
      <c r="B1019" s="413">
        <v>44882</v>
      </c>
      <c r="C1019" s="421">
        <v>44835</v>
      </c>
      <c r="D1019" s="419" t="s">
        <v>468</v>
      </c>
      <c r="E1019" s="419" t="s">
        <v>468</v>
      </c>
      <c r="F1019" s="422">
        <v>0.88</v>
      </c>
      <c r="G1019" s="423" t="s">
        <v>8368</v>
      </c>
      <c r="H1019" s="419" t="s">
        <v>468</v>
      </c>
      <c r="I1019" s="398" t="s">
        <v>881</v>
      </c>
      <c r="J1019" s="418" t="s">
        <v>882</v>
      </c>
      <c r="K1019" s="418" t="s">
        <v>883</v>
      </c>
      <c r="L1019" s="399" t="s">
        <v>798</v>
      </c>
      <c r="M1019" s="544" t="s">
        <v>310</v>
      </c>
      <c r="N1019" s="413">
        <v>44882</v>
      </c>
      <c r="O1019" s="414" t="s">
        <v>405</v>
      </c>
      <c r="P1019" s="655">
        <f t="shared" si="52"/>
        <v>11</v>
      </c>
      <c r="Q1019" s="655">
        <f t="shared" si="53"/>
        <v>10</v>
      </c>
      <c r="R1019" s="758" t="str">
        <f t="shared" si="54"/>
        <v>Gastos_custeados_por_captação</v>
      </c>
      <c r="S1019" s="697" t="s">
        <v>310</v>
      </c>
      <c r="T1019" s="697" t="s">
        <v>310</v>
      </c>
    </row>
    <row r="1020" spans="1:20" ht="96" x14ac:dyDescent="0.2">
      <c r="A1020" s="432">
        <f>IF(B1020="","",COUNT('Diário 1º PA'!$A$4:$A$2635)+COUNT('Diário 2º PA'!$A$4:$A$3040)+COUNT('Diário 3º PA'!$A$4:$A$2731)+ROW()-3)</f>
        <v>7045</v>
      </c>
      <c r="B1020" s="413">
        <v>44882</v>
      </c>
      <c r="C1020" s="421">
        <v>44835</v>
      </c>
      <c r="D1020" s="419" t="s">
        <v>468</v>
      </c>
      <c r="E1020" s="419" t="s">
        <v>468</v>
      </c>
      <c r="F1020" s="422">
        <v>232.56</v>
      </c>
      <c r="G1020" s="423" t="s">
        <v>8369</v>
      </c>
      <c r="H1020" s="419" t="s">
        <v>468</v>
      </c>
      <c r="I1020" s="415" t="s">
        <v>8817</v>
      </c>
      <c r="J1020" s="419">
        <v>1719945055</v>
      </c>
      <c r="K1020" s="419" t="s">
        <v>2389</v>
      </c>
      <c r="L1020" s="415" t="s">
        <v>1305</v>
      </c>
      <c r="M1020" s="419" t="s">
        <v>310</v>
      </c>
      <c r="N1020" s="413">
        <v>44879</v>
      </c>
      <c r="O1020" s="414" t="s">
        <v>405</v>
      </c>
      <c r="P1020" s="655">
        <f t="shared" si="52"/>
        <v>11</v>
      </c>
      <c r="Q1020" s="655">
        <f t="shared" si="53"/>
        <v>10</v>
      </c>
      <c r="R1020" s="758" t="str">
        <f t="shared" si="54"/>
        <v>Gastos_custeados_por_captação</v>
      </c>
      <c r="S1020" s="697" t="s">
        <v>998</v>
      </c>
      <c r="T1020" s="697">
        <v>4601</v>
      </c>
    </row>
    <row r="1021" spans="1:20" ht="48" x14ac:dyDescent="0.2">
      <c r="A1021" s="432">
        <f>IF(B1021="","",COUNT('Diário 1º PA'!$A$4:$A$2635)+COUNT('Diário 2º PA'!$A$4:$A$3040)+COUNT('Diário 3º PA'!$A$4:$A$2731)+ROW()-3)</f>
        <v>7046</v>
      </c>
      <c r="B1021" s="413">
        <v>44882</v>
      </c>
      <c r="C1021" s="421">
        <v>44835</v>
      </c>
      <c r="D1021" s="419" t="s">
        <v>468</v>
      </c>
      <c r="E1021" s="419" t="s">
        <v>468</v>
      </c>
      <c r="F1021" s="422">
        <v>41.04</v>
      </c>
      <c r="G1021" s="423" t="s">
        <v>8370</v>
      </c>
      <c r="H1021" s="419" t="s">
        <v>468</v>
      </c>
      <c r="I1021" s="415" t="s">
        <v>1461</v>
      </c>
      <c r="J1021" s="419" t="s">
        <v>310</v>
      </c>
      <c r="K1021" s="419" t="s">
        <v>1220</v>
      </c>
      <c r="L1021" s="415" t="s">
        <v>1368</v>
      </c>
      <c r="M1021" s="419" t="s">
        <v>310</v>
      </c>
      <c r="N1021" s="413">
        <v>44882</v>
      </c>
      <c r="O1021" s="414" t="s">
        <v>405</v>
      </c>
      <c r="P1021" s="655">
        <f t="shared" si="52"/>
        <v>11</v>
      </c>
      <c r="Q1021" s="655">
        <f t="shared" si="53"/>
        <v>10</v>
      </c>
      <c r="R1021" s="758" t="str">
        <f t="shared" si="54"/>
        <v>Gastos_custeados_por_captação</v>
      </c>
      <c r="S1021" s="697" t="s">
        <v>310</v>
      </c>
      <c r="T1021" s="697" t="s">
        <v>310</v>
      </c>
    </row>
    <row r="1022" spans="1:20" ht="48" x14ac:dyDescent="0.2">
      <c r="A1022" s="432">
        <f>IF(B1022="","",COUNT('Diário 1º PA'!$A$4:$A$2635)+COUNT('Diário 2º PA'!$A$4:$A$3040)+COUNT('Diário 3º PA'!$A$4:$A$2731)+ROW()-3)</f>
        <v>7047</v>
      </c>
      <c r="B1022" s="413">
        <v>44882</v>
      </c>
      <c r="C1022" s="421">
        <v>44835</v>
      </c>
      <c r="D1022" s="419" t="s">
        <v>468</v>
      </c>
      <c r="E1022" s="419" t="s">
        <v>468</v>
      </c>
      <c r="F1022" s="422">
        <v>16.8</v>
      </c>
      <c r="G1022" s="423" t="s">
        <v>8371</v>
      </c>
      <c r="H1022" s="419" t="s">
        <v>468</v>
      </c>
      <c r="I1022" s="398" t="s">
        <v>881</v>
      </c>
      <c r="J1022" s="418" t="s">
        <v>882</v>
      </c>
      <c r="K1022" s="418" t="s">
        <v>883</v>
      </c>
      <c r="L1022" s="399" t="s">
        <v>798</v>
      </c>
      <c r="M1022" s="544" t="s">
        <v>310</v>
      </c>
      <c r="N1022" s="413">
        <v>44882</v>
      </c>
      <c r="O1022" s="414" t="s">
        <v>405</v>
      </c>
      <c r="P1022" s="655">
        <f t="shared" si="52"/>
        <v>11</v>
      </c>
      <c r="Q1022" s="655">
        <f t="shared" si="53"/>
        <v>10</v>
      </c>
      <c r="R1022" s="758" t="str">
        <f t="shared" si="54"/>
        <v>Gastos_custeados_por_captação</v>
      </c>
      <c r="S1022" s="697" t="s">
        <v>310</v>
      </c>
      <c r="T1022" s="697" t="s">
        <v>310</v>
      </c>
    </row>
    <row r="1023" spans="1:20" ht="72" x14ac:dyDescent="0.2">
      <c r="A1023" s="432">
        <f>IF(B1023="","",COUNT('Diário 1º PA'!$A$4:$A$2635)+COUNT('Diário 2º PA'!$A$4:$A$3040)+COUNT('Diário 3º PA'!$A$4:$A$2731)+ROW()-3)</f>
        <v>7048</v>
      </c>
      <c r="B1023" s="413">
        <v>44882</v>
      </c>
      <c r="C1023" s="421">
        <v>44835</v>
      </c>
      <c r="D1023" s="419" t="s">
        <v>468</v>
      </c>
      <c r="E1023" s="419" t="s">
        <v>468</v>
      </c>
      <c r="F1023" s="422">
        <v>4420</v>
      </c>
      <c r="G1023" s="423" t="s">
        <v>7782</v>
      </c>
      <c r="H1023" s="419" t="s">
        <v>468</v>
      </c>
      <c r="I1023" s="415" t="s">
        <v>8818</v>
      </c>
      <c r="J1023" s="419">
        <v>1505551</v>
      </c>
      <c r="K1023" s="419" t="s">
        <v>2389</v>
      </c>
      <c r="L1023" s="415" t="s">
        <v>1305</v>
      </c>
      <c r="M1023" s="419" t="s">
        <v>310</v>
      </c>
      <c r="N1023" s="413">
        <v>44875</v>
      </c>
      <c r="O1023" s="414" t="s">
        <v>405</v>
      </c>
      <c r="P1023" s="655">
        <f t="shared" si="52"/>
        <v>11</v>
      </c>
      <c r="Q1023" s="655">
        <f t="shared" si="53"/>
        <v>10</v>
      </c>
      <c r="R1023" s="758" t="str">
        <f t="shared" si="54"/>
        <v>Gastos_custeados_por_captação</v>
      </c>
      <c r="S1023" s="697" t="s">
        <v>998</v>
      </c>
      <c r="T1023" s="697">
        <v>4578</v>
      </c>
    </row>
    <row r="1024" spans="1:20" ht="48" x14ac:dyDescent="0.2">
      <c r="A1024" s="432">
        <f>IF(B1024="","",COUNT('Diário 1º PA'!$A$4:$A$2635)+COUNT('Diário 2º PA'!$A$4:$A$3040)+COUNT('Diário 3º PA'!$A$4:$A$2731)+ROW()-3)</f>
        <v>7049</v>
      </c>
      <c r="B1024" s="413">
        <v>44882</v>
      </c>
      <c r="C1024" s="421">
        <v>44835</v>
      </c>
      <c r="D1024" s="419" t="s">
        <v>468</v>
      </c>
      <c r="E1024" s="419" t="s">
        <v>468</v>
      </c>
      <c r="F1024" s="422">
        <v>780</v>
      </c>
      <c r="G1024" s="423" t="s">
        <v>8372</v>
      </c>
      <c r="H1024" s="419" t="s">
        <v>468</v>
      </c>
      <c r="I1024" s="415" t="s">
        <v>1461</v>
      </c>
      <c r="J1024" s="419" t="s">
        <v>310</v>
      </c>
      <c r="K1024" s="419" t="s">
        <v>1220</v>
      </c>
      <c r="L1024" s="415" t="s">
        <v>1368</v>
      </c>
      <c r="M1024" s="419" t="s">
        <v>310</v>
      </c>
      <c r="N1024" s="413">
        <v>44882</v>
      </c>
      <c r="O1024" s="414" t="s">
        <v>405</v>
      </c>
      <c r="P1024" s="655">
        <f t="shared" si="52"/>
        <v>11</v>
      </c>
      <c r="Q1024" s="655">
        <f t="shared" si="53"/>
        <v>10</v>
      </c>
      <c r="R1024" s="758" t="str">
        <f t="shared" si="54"/>
        <v>Gastos_custeados_por_captação</v>
      </c>
      <c r="S1024" s="697" t="s">
        <v>310</v>
      </c>
      <c r="T1024" s="697" t="s">
        <v>310</v>
      </c>
    </row>
    <row r="1025" spans="1:20" ht="108" x14ac:dyDescent="0.2">
      <c r="A1025" s="432">
        <f>IF(B1025="","",COUNT('Diário 1º PA'!$A$4:$A$2635)+COUNT('Diário 2º PA'!$A$4:$A$3040)+COUNT('Diário 3º PA'!$A$4:$A$2731)+ROW()-3)</f>
        <v>7050</v>
      </c>
      <c r="B1025" s="413">
        <v>44882</v>
      </c>
      <c r="C1025" s="421">
        <v>44835</v>
      </c>
      <c r="D1025" s="419" t="s">
        <v>468</v>
      </c>
      <c r="E1025" s="419" t="s">
        <v>468</v>
      </c>
      <c r="F1025" s="422">
        <v>2082.29</v>
      </c>
      <c r="G1025" s="423" t="s">
        <v>6186</v>
      </c>
      <c r="H1025" s="419" t="s">
        <v>468</v>
      </c>
      <c r="I1025" s="415" t="s">
        <v>8373</v>
      </c>
      <c r="J1025" s="419" t="s">
        <v>6187</v>
      </c>
      <c r="K1025" s="419" t="s">
        <v>830</v>
      </c>
      <c r="L1025" s="415" t="s">
        <v>807</v>
      </c>
      <c r="M1025" s="419" t="s">
        <v>1621</v>
      </c>
      <c r="N1025" s="413">
        <v>44876</v>
      </c>
      <c r="O1025" s="414" t="s">
        <v>405</v>
      </c>
      <c r="P1025" s="655">
        <f t="shared" si="52"/>
        <v>11</v>
      </c>
      <c r="Q1025" s="655">
        <f t="shared" si="53"/>
        <v>10</v>
      </c>
      <c r="R1025" s="758" t="str">
        <f t="shared" si="54"/>
        <v>Gastos_custeados_por_captação</v>
      </c>
      <c r="S1025" s="697" t="s">
        <v>1000</v>
      </c>
      <c r="T1025" s="697">
        <v>4184</v>
      </c>
    </row>
    <row r="1026" spans="1:20" ht="48" x14ac:dyDescent="0.2">
      <c r="A1026" s="432">
        <f>IF(B1026="","",COUNT('Diário 1º PA'!$A$4:$A$2635)+COUNT('Diário 2º PA'!$A$4:$A$3040)+COUNT('Diário 3º PA'!$A$4:$A$2731)+ROW()-3)</f>
        <v>7051</v>
      </c>
      <c r="B1026" s="413">
        <v>44882</v>
      </c>
      <c r="C1026" s="421">
        <v>44835</v>
      </c>
      <c r="D1026" s="419" t="s">
        <v>468</v>
      </c>
      <c r="E1026" s="419" t="s">
        <v>468</v>
      </c>
      <c r="F1026" s="422">
        <v>457.26</v>
      </c>
      <c r="G1026" s="423" t="s">
        <v>8375</v>
      </c>
      <c r="H1026" s="419" t="s">
        <v>468</v>
      </c>
      <c r="I1026" s="415" t="s">
        <v>1461</v>
      </c>
      <c r="J1026" s="419" t="s">
        <v>310</v>
      </c>
      <c r="K1026" s="419" t="s">
        <v>1220</v>
      </c>
      <c r="L1026" s="415" t="s">
        <v>1368</v>
      </c>
      <c r="M1026" s="419" t="s">
        <v>310</v>
      </c>
      <c r="N1026" s="413">
        <v>44882</v>
      </c>
      <c r="O1026" s="414" t="s">
        <v>405</v>
      </c>
      <c r="P1026" s="655">
        <f t="shared" si="52"/>
        <v>11</v>
      </c>
      <c r="Q1026" s="655">
        <f t="shared" si="53"/>
        <v>10</v>
      </c>
      <c r="R1026" s="758" t="str">
        <f t="shared" si="54"/>
        <v>Gastos_custeados_por_captação</v>
      </c>
      <c r="S1026" s="697" t="s">
        <v>310</v>
      </c>
      <c r="T1026" s="697" t="s">
        <v>310</v>
      </c>
    </row>
    <row r="1027" spans="1:20" ht="48" x14ac:dyDescent="0.2">
      <c r="A1027" s="432">
        <f>IF(B1027="","",COUNT('Diário 1º PA'!$A$4:$A$2635)+COUNT('Diário 2º PA'!$A$4:$A$3040)+COUNT('Diário 3º PA'!$A$4:$A$2731)+ROW()-3)</f>
        <v>7052</v>
      </c>
      <c r="B1027" s="413">
        <v>44882</v>
      </c>
      <c r="C1027" s="421">
        <v>44835</v>
      </c>
      <c r="D1027" s="419" t="s">
        <v>468</v>
      </c>
      <c r="E1027" s="419" t="s">
        <v>468</v>
      </c>
      <c r="F1027" s="422">
        <v>99.27</v>
      </c>
      <c r="G1027" s="423" t="s">
        <v>8376</v>
      </c>
      <c r="H1027" s="419" t="s">
        <v>468</v>
      </c>
      <c r="I1027" s="415" t="s">
        <v>1461</v>
      </c>
      <c r="J1027" s="419" t="s">
        <v>310</v>
      </c>
      <c r="K1027" s="419" t="s">
        <v>1220</v>
      </c>
      <c r="L1027" s="415" t="s">
        <v>1368</v>
      </c>
      <c r="M1027" s="419" t="s">
        <v>310</v>
      </c>
      <c r="N1027" s="413">
        <v>44882</v>
      </c>
      <c r="O1027" s="414" t="s">
        <v>405</v>
      </c>
      <c r="P1027" s="655">
        <f t="shared" si="52"/>
        <v>11</v>
      </c>
      <c r="Q1027" s="655">
        <f t="shared" si="53"/>
        <v>10</v>
      </c>
      <c r="R1027" s="758" t="str">
        <f t="shared" si="54"/>
        <v>Gastos_custeados_por_captação</v>
      </c>
      <c r="S1027" s="697" t="s">
        <v>310</v>
      </c>
      <c r="T1027" s="697" t="s">
        <v>310</v>
      </c>
    </row>
    <row r="1028" spans="1:20" ht="120" x14ac:dyDescent="0.2">
      <c r="A1028" s="432">
        <f>IF(B1028="","",COUNT('Diário 1º PA'!$A$4:$A$2635)+COUNT('Diário 2º PA'!$A$4:$A$3040)+COUNT('Diário 3º PA'!$A$4:$A$2731)+ROW()-3)</f>
        <v>7053</v>
      </c>
      <c r="B1028" s="413">
        <v>44882</v>
      </c>
      <c r="C1028" s="431">
        <v>44835</v>
      </c>
      <c r="D1028" s="419" t="s">
        <v>468</v>
      </c>
      <c r="E1028" s="419" t="s">
        <v>468</v>
      </c>
      <c r="F1028" s="422">
        <v>1700</v>
      </c>
      <c r="G1028" s="427" t="s">
        <v>6923</v>
      </c>
      <c r="H1028" s="419" t="s">
        <v>468</v>
      </c>
      <c r="I1028" s="415" t="s">
        <v>7354</v>
      </c>
      <c r="J1028" s="415" t="s">
        <v>6924</v>
      </c>
      <c r="K1028" s="419" t="s">
        <v>830</v>
      </c>
      <c r="L1028" s="415" t="s">
        <v>807</v>
      </c>
      <c r="M1028" s="419" t="s">
        <v>1608</v>
      </c>
      <c r="N1028" s="413">
        <v>44881</v>
      </c>
      <c r="O1028" s="414" t="s">
        <v>3762</v>
      </c>
      <c r="P1028" s="655">
        <f t="shared" si="52"/>
        <v>11</v>
      </c>
      <c r="Q1028" s="655">
        <f t="shared" si="53"/>
        <v>10</v>
      </c>
      <c r="R1028" s="758" t="str">
        <f t="shared" si="54"/>
        <v>Gastos_custeados_por_captação</v>
      </c>
      <c r="S1028" s="697" t="s">
        <v>1000</v>
      </c>
      <c r="T1028" s="697">
        <v>4211</v>
      </c>
    </row>
    <row r="1029" spans="1:20" ht="36" x14ac:dyDescent="0.2">
      <c r="A1029" s="432">
        <f>IF(B1029="","",COUNT('Diário 1º PA'!$A$4:$A$2635)+COUNT('Diário 2º PA'!$A$4:$A$3040)+COUNT('Diário 3º PA'!$A$4:$A$2731)+ROW()-3)</f>
        <v>7054</v>
      </c>
      <c r="B1029" s="413">
        <v>44882</v>
      </c>
      <c r="C1029" s="421">
        <v>44866</v>
      </c>
      <c r="D1029" s="419" t="s">
        <v>468</v>
      </c>
      <c r="E1029" s="419" t="s">
        <v>468</v>
      </c>
      <c r="F1029" s="422">
        <v>11</v>
      </c>
      <c r="G1029" s="427" t="s">
        <v>2469</v>
      </c>
      <c r="H1029" s="419" t="s">
        <v>468</v>
      </c>
      <c r="I1029" s="639" t="s">
        <v>881</v>
      </c>
      <c r="J1029" s="418" t="s">
        <v>882</v>
      </c>
      <c r="K1029" s="418" t="s">
        <v>883</v>
      </c>
      <c r="L1029" s="399" t="s">
        <v>798</v>
      </c>
      <c r="M1029" s="544" t="s">
        <v>310</v>
      </c>
      <c r="N1029" s="413">
        <v>44882</v>
      </c>
      <c r="O1029" s="414" t="s">
        <v>3762</v>
      </c>
      <c r="P1029" s="655">
        <f t="shared" si="52"/>
        <v>11</v>
      </c>
      <c r="Q1029" s="655">
        <f t="shared" si="53"/>
        <v>11</v>
      </c>
      <c r="R1029" s="758" t="str">
        <f t="shared" si="54"/>
        <v>Gastos_custeados_por_captação</v>
      </c>
      <c r="S1029" s="697" t="s">
        <v>310</v>
      </c>
      <c r="T1029" s="697" t="s">
        <v>310</v>
      </c>
    </row>
    <row r="1030" spans="1:20" ht="48" x14ac:dyDescent="0.2">
      <c r="A1030" s="432">
        <f>IF(B1030="","",COUNT('Diário 1º PA'!$A$4:$A$2635)+COUNT('Diário 2º PA'!$A$4:$A$3040)+COUNT('Diário 3º PA'!$A$4:$A$2731)+ROW()-3)</f>
        <v>7055</v>
      </c>
      <c r="B1030" s="413">
        <v>44883</v>
      </c>
      <c r="C1030" s="424">
        <v>44743</v>
      </c>
      <c r="D1030" s="419" t="s">
        <v>468</v>
      </c>
      <c r="E1030" s="419" t="s">
        <v>468</v>
      </c>
      <c r="F1030" s="425">
        <v>1627.5</v>
      </c>
      <c r="G1030" s="427" t="s">
        <v>8383</v>
      </c>
      <c r="H1030" s="419" t="s">
        <v>468</v>
      </c>
      <c r="I1030" s="596" t="s">
        <v>795</v>
      </c>
      <c r="J1030" s="720" t="s">
        <v>796</v>
      </c>
      <c r="K1030" s="419" t="s">
        <v>806</v>
      </c>
      <c r="L1030" s="399" t="s">
        <v>310</v>
      </c>
      <c r="M1030" s="400" t="s">
        <v>310</v>
      </c>
      <c r="N1030" s="413">
        <v>44883</v>
      </c>
      <c r="O1030" s="414" t="s">
        <v>405</v>
      </c>
      <c r="P1030" s="655">
        <f t="shared" si="52"/>
        <v>11</v>
      </c>
      <c r="Q1030" s="655">
        <f t="shared" si="53"/>
        <v>7</v>
      </c>
      <c r="R1030" s="758" t="str">
        <f t="shared" si="54"/>
        <v>Gastos_custeados_por_captação</v>
      </c>
      <c r="S1030" s="697" t="s">
        <v>310</v>
      </c>
      <c r="T1030" s="697" t="s">
        <v>310</v>
      </c>
    </row>
    <row r="1031" spans="1:20" ht="48" x14ac:dyDescent="0.2">
      <c r="A1031" s="432">
        <f>IF(B1031="","",COUNT('Diário 1º PA'!$A$4:$A$2635)+COUNT('Diário 2º PA'!$A$4:$A$3040)+COUNT('Diário 3º PA'!$A$4:$A$2731)+ROW()-3)</f>
        <v>7056</v>
      </c>
      <c r="B1031" s="413">
        <v>44883</v>
      </c>
      <c r="C1031" s="431">
        <v>44743</v>
      </c>
      <c r="D1031" s="419" t="s">
        <v>468</v>
      </c>
      <c r="E1031" s="419" t="s">
        <v>468</v>
      </c>
      <c r="F1031" s="425">
        <v>1937.5</v>
      </c>
      <c r="G1031" s="427" t="s">
        <v>8384</v>
      </c>
      <c r="H1031" s="419" t="s">
        <v>468</v>
      </c>
      <c r="I1031" s="596" t="s">
        <v>795</v>
      </c>
      <c r="J1031" s="720" t="s">
        <v>796</v>
      </c>
      <c r="K1031" s="419" t="s">
        <v>806</v>
      </c>
      <c r="L1031" s="399" t="s">
        <v>310</v>
      </c>
      <c r="M1031" s="400" t="s">
        <v>310</v>
      </c>
      <c r="N1031" s="413">
        <v>44883</v>
      </c>
      <c r="O1031" s="414" t="s">
        <v>405</v>
      </c>
      <c r="P1031" s="655">
        <f t="shared" si="52"/>
        <v>11</v>
      </c>
      <c r="Q1031" s="655">
        <f t="shared" si="53"/>
        <v>7</v>
      </c>
      <c r="R1031" s="758" t="str">
        <f t="shared" si="54"/>
        <v>Gastos_custeados_por_captação</v>
      </c>
      <c r="S1031" s="697" t="s">
        <v>310</v>
      </c>
      <c r="T1031" s="697" t="s">
        <v>310</v>
      </c>
    </row>
    <row r="1032" spans="1:20" ht="48" x14ac:dyDescent="0.2">
      <c r="A1032" s="432">
        <f>IF(B1032="","",COUNT('Diário 1º PA'!$A$4:$A$2635)+COUNT('Diário 2º PA'!$A$4:$A$3040)+COUNT('Diário 3º PA'!$A$4:$A$2731)+ROW()-3)</f>
        <v>7057</v>
      </c>
      <c r="B1032" s="413">
        <v>44883</v>
      </c>
      <c r="C1032" s="431">
        <v>44805</v>
      </c>
      <c r="D1032" s="419" t="s">
        <v>468</v>
      </c>
      <c r="E1032" s="419" t="s">
        <v>468</v>
      </c>
      <c r="F1032" s="425">
        <v>852.5</v>
      </c>
      <c r="G1032" s="427" t="s">
        <v>8385</v>
      </c>
      <c r="H1032" s="419" t="s">
        <v>468</v>
      </c>
      <c r="I1032" s="596" t="s">
        <v>795</v>
      </c>
      <c r="J1032" s="720" t="s">
        <v>796</v>
      </c>
      <c r="K1032" s="419" t="s">
        <v>806</v>
      </c>
      <c r="L1032" s="399" t="s">
        <v>310</v>
      </c>
      <c r="M1032" s="400" t="s">
        <v>310</v>
      </c>
      <c r="N1032" s="413">
        <v>44883</v>
      </c>
      <c r="O1032" s="414" t="s">
        <v>405</v>
      </c>
      <c r="P1032" s="655">
        <f t="shared" si="52"/>
        <v>11</v>
      </c>
      <c r="Q1032" s="655">
        <f t="shared" si="53"/>
        <v>9</v>
      </c>
      <c r="R1032" s="758" t="str">
        <f t="shared" si="54"/>
        <v>Gastos_custeados_por_captação</v>
      </c>
      <c r="S1032" s="697" t="s">
        <v>310</v>
      </c>
      <c r="T1032" s="697" t="s">
        <v>310</v>
      </c>
    </row>
    <row r="1033" spans="1:20" ht="48" x14ac:dyDescent="0.2">
      <c r="A1033" s="432">
        <f>IF(B1033="","",COUNT('Diário 1º PA'!$A$4:$A$2635)+COUNT('Diário 2º PA'!$A$4:$A$3040)+COUNT('Diário 3º PA'!$A$4:$A$2731)+ROW()-3)</f>
        <v>7058</v>
      </c>
      <c r="B1033" s="413">
        <v>44883</v>
      </c>
      <c r="C1033" s="431">
        <v>44835</v>
      </c>
      <c r="D1033" s="419" t="s">
        <v>468</v>
      </c>
      <c r="E1033" s="419" t="s">
        <v>468</v>
      </c>
      <c r="F1033" s="425">
        <v>155</v>
      </c>
      <c r="G1033" s="427" t="s">
        <v>8386</v>
      </c>
      <c r="H1033" s="419" t="s">
        <v>468</v>
      </c>
      <c r="I1033" s="596" t="s">
        <v>795</v>
      </c>
      <c r="J1033" s="720" t="s">
        <v>796</v>
      </c>
      <c r="K1033" s="419" t="s">
        <v>806</v>
      </c>
      <c r="L1033" s="399" t="s">
        <v>310</v>
      </c>
      <c r="M1033" s="400" t="s">
        <v>310</v>
      </c>
      <c r="N1033" s="413">
        <v>44883</v>
      </c>
      <c r="O1033" s="414" t="s">
        <v>405</v>
      </c>
      <c r="P1033" s="655">
        <f t="shared" si="52"/>
        <v>11</v>
      </c>
      <c r="Q1033" s="655">
        <f t="shared" si="53"/>
        <v>10</v>
      </c>
      <c r="R1033" s="758" t="str">
        <f t="shared" si="54"/>
        <v>Gastos_custeados_por_captação</v>
      </c>
      <c r="S1033" s="697" t="s">
        <v>310</v>
      </c>
      <c r="T1033" s="697" t="s">
        <v>310</v>
      </c>
    </row>
    <row r="1034" spans="1:20" ht="48" x14ac:dyDescent="0.2">
      <c r="A1034" s="432">
        <f>IF(B1034="","",COUNT('Diário 1º PA'!$A$4:$A$2635)+COUNT('Diário 2º PA'!$A$4:$A$3040)+COUNT('Diário 3º PA'!$A$4:$A$2731)+ROW()-3)</f>
        <v>7059</v>
      </c>
      <c r="B1034" s="413">
        <v>44883</v>
      </c>
      <c r="C1034" s="431">
        <v>44835</v>
      </c>
      <c r="D1034" s="419" t="s">
        <v>468</v>
      </c>
      <c r="E1034" s="419" t="s">
        <v>468</v>
      </c>
      <c r="F1034" s="425">
        <v>155</v>
      </c>
      <c r="G1034" s="427" t="s">
        <v>8387</v>
      </c>
      <c r="H1034" s="419" t="s">
        <v>468</v>
      </c>
      <c r="I1034" s="596" t="s">
        <v>795</v>
      </c>
      <c r="J1034" s="720" t="s">
        <v>796</v>
      </c>
      <c r="K1034" s="419" t="s">
        <v>806</v>
      </c>
      <c r="L1034" s="399" t="s">
        <v>310</v>
      </c>
      <c r="M1034" s="400" t="s">
        <v>310</v>
      </c>
      <c r="N1034" s="413">
        <v>44883</v>
      </c>
      <c r="O1034" s="414" t="s">
        <v>405</v>
      </c>
      <c r="P1034" s="655">
        <f t="shared" si="52"/>
        <v>11</v>
      </c>
      <c r="Q1034" s="655">
        <f t="shared" si="53"/>
        <v>10</v>
      </c>
      <c r="R1034" s="758" t="str">
        <f t="shared" si="54"/>
        <v>Gastos_custeados_por_captação</v>
      </c>
      <c r="S1034" s="697" t="s">
        <v>310</v>
      </c>
      <c r="T1034" s="697" t="s">
        <v>310</v>
      </c>
    </row>
    <row r="1035" spans="1:20" ht="48" x14ac:dyDescent="0.2">
      <c r="A1035" s="432">
        <f>IF(B1035="","",COUNT('Diário 1º PA'!$A$4:$A$2635)+COUNT('Diário 2º PA'!$A$4:$A$3040)+COUNT('Diário 3º PA'!$A$4:$A$2731)+ROW()-3)</f>
        <v>7060</v>
      </c>
      <c r="B1035" s="413">
        <v>44883</v>
      </c>
      <c r="C1035" s="431">
        <v>44835</v>
      </c>
      <c r="D1035" s="419" t="s">
        <v>468</v>
      </c>
      <c r="E1035" s="419" t="s">
        <v>468</v>
      </c>
      <c r="F1035" s="425">
        <v>418.5</v>
      </c>
      <c r="G1035" s="427" t="s">
        <v>8388</v>
      </c>
      <c r="H1035" s="419" t="s">
        <v>468</v>
      </c>
      <c r="I1035" s="596" t="s">
        <v>795</v>
      </c>
      <c r="J1035" s="720" t="s">
        <v>796</v>
      </c>
      <c r="K1035" s="419" t="s">
        <v>806</v>
      </c>
      <c r="L1035" s="399" t="s">
        <v>310</v>
      </c>
      <c r="M1035" s="400" t="s">
        <v>310</v>
      </c>
      <c r="N1035" s="413">
        <v>44883</v>
      </c>
      <c r="O1035" s="414" t="s">
        <v>405</v>
      </c>
      <c r="P1035" s="655">
        <f t="shared" si="52"/>
        <v>11</v>
      </c>
      <c r="Q1035" s="655">
        <f t="shared" si="53"/>
        <v>10</v>
      </c>
      <c r="R1035" s="758" t="str">
        <f t="shared" si="54"/>
        <v>Gastos_custeados_por_captação</v>
      </c>
      <c r="S1035" s="697" t="s">
        <v>310</v>
      </c>
      <c r="T1035" s="697" t="s">
        <v>310</v>
      </c>
    </row>
    <row r="1036" spans="1:20" ht="48" x14ac:dyDescent="0.2">
      <c r="A1036" s="432">
        <f>IF(B1036="","",COUNT('Diário 1º PA'!$A$4:$A$2635)+COUNT('Diário 2º PA'!$A$4:$A$3040)+COUNT('Diário 3º PA'!$A$4:$A$2731)+ROW()-3)</f>
        <v>7061</v>
      </c>
      <c r="B1036" s="413">
        <v>44883</v>
      </c>
      <c r="C1036" s="431">
        <v>44835</v>
      </c>
      <c r="D1036" s="419" t="s">
        <v>468</v>
      </c>
      <c r="E1036" s="419" t="s">
        <v>468</v>
      </c>
      <c r="F1036" s="425">
        <v>387.5</v>
      </c>
      <c r="G1036" s="423" t="s">
        <v>8389</v>
      </c>
      <c r="H1036" s="419" t="s">
        <v>468</v>
      </c>
      <c r="I1036" s="596" t="s">
        <v>795</v>
      </c>
      <c r="J1036" s="720" t="s">
        <v>796</v>
      </c>
      <c r="K1036" s="419" t="s">
        <v>806</v>
      </c>
      <c r="L1036" s="399" t="s">
        <v>310</v>
      </c>
      <c r="M1036" s="400" t="s">
        <v>310</v>
      </c>
      <c r="N1036" s="413">
        <v>44883</v>
      </c>
      <c r="O1036" s="414" t="s">
        <v>405</v>
      </c>
      <c r="P1036" s="655">
        <f t="shared" si="52"/>
        <v>11</v>
      </c>
      <c r="Q1036" s="655">
        <f t="shared" si="53"/>
        <v>10</v>
      </c>
      <c r="R1036" s="758" t="str">
        <f t="shared" si="54"/>
        <v>Gastos_custeados_por_captação</v>
      </c>
      <c r="S1036" s="697" t="s">
        <v>310</v>
      </c>
      <c r="T1036" s="697" t="s">
        <v>310</v>
      </c>
    </row>
    <row r="1037" spans="1:20" ht="48" x14ac:dyDescent="0.2">
      <c r="A1037" s="432">
        <f>IF(B1037="","",COUNT('Diário 1º PA'!$A$4:$A$2635)+COUNT('Diário 2º PA'!$A$4:$A$3040)+COUNT('Diário 3º PA'!$A$4:$A$2731)+ROW()-3)</f>
        <v>7062</v>
      </c>
      <c r="B1037" s="413">
        <v>44883</v>
      </c>
      <c r="C1037" s="431">
        <v>44866</v>
      </c>
      <c r="D1037" s="419" t="s">
        <v>468</v>
      </c>
      <c r="E1037" s="419" t="s">
        <v>468</v>
      </c>
      <c r="F1037" s="422">
        <v>5000</v>
      </c>
      <c r="G1037" s="423" t="s">
        <v>4713</v>
      </c>
      <c r="H1037" s="419" t="s">
        <v>468</v>
      </c>
      <c r="I1037" s="474" t="s">
        <v>2437</v>
      </c>
      <c r="J1037" s="434" t="s">
        <v>796</v>
      </c>
      <c r="K1037" s="434" t="s">
        <v>806</v>
      </c>
      <c r="L1037" s="434" t="s">
        <v>798</v>
      </c>
      <c r="M1037" s="436" t="s">
        <v>310</v>
      </c>
      <c r="N1037" s="413">
        <v>44865</v>
      </c>
      <c r="O1037" s="414" t="s">
        <v>405</v>
      </c>
      <c r="P1037" s="655">
        <f t="shared" si="52"/>
        <v>11</v>
      </c>
      <c r="Q1037" s="655">
        <f t="shared" si="53"/>
        <v>11</v>
      </c>
      <c r="R1037" s="758" t="str">
        <f t="shared" si="54"/>
        <v>Gastos_custeados_por_captação</v>
      </c>
      <c r="S1037" s="697" t="s">
        <v>310</v>
      </c>
      <c r="T1037" s="697" t="s">
        <v>310</v>
      </c>
    </row>
    <row r="1038" spans="1:20" ht="96" x14ac:dyDescent="0.2">
      <c r="A1038" s="432">
        <f>IF(B1038="","",COUNT('Diário 1º PA'!$A$4:$A$2635)+COUNT('Diário 2º PA'!$A$4:$A$3040)+COUNT('Diário 3º PA'!$A$4:$A$2731)+ROW()-3)</f>
        <v>7063</v>
      </c>
      <c r="B1038" s="413">
        <v>44883</v>
      </c>
      <c r="C1038" s="431">
        <v>44835</v>
      </c>
      <c r="D1038" s="419" t="s">
        <v>468</v>
      </c>
      <c r="E1038" s="419" t="s">
        <v>468</v>
      </c>
      <c r="F1038" s="422">
        <v>300</v>
      </c>
      <c r="G1038" s="427" t="s">
        <v>8259</v>
      </c>
      <c r="H1038" s="419" t="s">
        <v>468</v>
      </c>
      <c r="I1038" s="415" t="s">
        <v>8390</v>
      </c>
      <c r="J1038" s="415" t="s">
        <v>8260</v>
      </c>
      <c r="K1038" s="434" t="s">
        <v>806</v>
      </c>
      <c r="L1038" s="415" t="s">
        <v>1305</v>
      </c>
      <c r="M1038" s="436" t="s">
        <v>310</v>
      </c>
      <c r="N1038" s="413">
        <v>44882</v>
      </c>
      <c r="O1038" s="414" t="s">
        <v>405</v>
      </c>
      <c r="P1038" s="655">
        <f t="shared" si="52"/>
        <v>11</v>
      </c>
      <c r="Q1038" s="655">
        <f t="shared" si="53"/>
        <v>10</v>
      </c>
      <c r="R1038" s="758" t="str">
        <f t="shared" si="54"/>
        <v>Gastos_custeados_por_captação</v>
      </c>
      <c r="S1038" s="697" t="s">
        <v>998</v>
      </c>
      <c r="T1038" s="697">
        <v>4597</v>
      </c>
    </row>
    <row r="1039" spans="1:20" ht="48" x14ac:dyDescent="0.2">
      <c r="A1039" s="432">
        <f>IF(B1039="","",COUNT('Diário 1º PA'!$A$4:$A$2635)+COUNT('Diário 2º PA'!$A$4:$A$3040)+COUNT('Diário 3º PA'!$A$4:$A$2731)+ROW()-3)</f>
        <v>7064</v>
      </c>
      <c r="B1039" s="413">
        <v>44883</v>
      </c>
      <c r="C1039" s="424">
        <v>44743</v>
      </c>
      <c r="D1039" s="419" t="s">
        <v>468</v>
      </c>
      <c r="E1039" s="419" t="s">
        <v>468</v>
      </c>
      <c r="F1039" s="425">
        <v>415.58</v>
      </c>
      <c r="G1039" s="427" t="s">
        <v>7765</v>
      </c>
      <c r="H1039" s="419" t="s">
        <v>468</v>
      </c>
      <c r="I1039" s="415" t="s">
        <v>1461</v>
      </c>
      <c r="J1039" s="419" t="s">
        <v>310</v>
      </c>
      <c r="K1039" s="419" t="s">
        <v>1220</v>
      </c>
      <c r="L1039" s="415" t="s">
        <v>1368</v>
      </c>
      <c r="M1039" s="419" t="s">
        <v>310</v>
      </c>
      <c r="N1039" s="413">
        <v>44883</v>
      </c>
      <c r="O1039" s="414" t="s">
        <v>405</v>
      </c>
      <c r="P1039" s="655">
        <f t="shared" si="52"/>
        <v>11</v>
      </c>
      <c r="Q1039" s="655">
        <f t="shared" si="53"/>
        <v>7</v>
      </c>
      <c r="R1039" s="758" t="str">
        <f t="shared" si="54"/>
        <v>Gastos_custeados_por_captação</v>
      </c>
      <c r="S1039" s="697" t="s">
        <v>310</v>
      </c>
      <c r="T1039" s="697" t="s">
        <v>310</v>
      </c>
    </row>
    <row r="1040" spans="1:20" ht="48" x14ac:dyDescent="0.2">
      <c r="A1040" s="432">
        <f>IF(B1040="","",COUNT('Diário 1º PA'!$A$4:$A$2635)+COUNT('Diário 2º PA'!$A$4:$A$3040)+COUNT('Diário 3º PA'!$A$4:$A$2731)+ROW()-3)</f>
        <v>7065</v>
      </c>
      <c r="B1040" s="413">
        <v>44883</v>
      </c>
      <c r="C1040" s="431">
        <v>44743</v>
      </c>
      <c r="D1040" s="419" t="s">
        <v>468</v>
      </c>
      <c r="E1040" s="419" t="s">
        <v>468</v>
      </c>
      <c r="F1040" s="425">
        <v>660.33</v>
      </c>
      <c r="G1040" s="427" t="s">
        <v>7741</v>
      </c>
      <c r="H1040" s="419" t="s">
        <v>468</v>
      </c>
      <c r="I1040" s="415" t="s">
        <v>1461</v>
      </c>
      <c r="J1040" s="419" t="s">
        <v>310</v>
      </c>
      <c r="K1040" s="419" t="s">
        <v>1220</v>
      </c>
      <c r="L1040" s="415" t="s">
        <v>1368</v>
      </c>
      <c r="M1040" s="419" t="s">
        <v>310</v>
      </c>
      <c r="N1040" s="413">
        <v>44883</v>
      </c>
      <c r="O1040" s="414" t="s">
        <v>405</v>
      </c>
      <c r="P1040" s="655">
        <f t="shared" si="52"/>
        <v>11</v>
      </c>
      <c r="Q1040" s="655">
        <f t="shared" si="53"/>
        <v>7</v>
      </c>
      <c r="R1040" s="758" t="str">
        <f t="shared" si="54"/>
        <v>Gastos_custeados_por_captação</v>
      </c>
      <c r="S1040" s="697" t="s">
        <v>310</v>
      </c>
      <c r="T1040" s="697" t="s">
        <v>310</v>
      </c>
    </row>
    <row r="1041" spans="1:20" ht="48" x14ac:dyDescent="0.2">
      <c r="A1041" s="432">
        <f>IF(B1041="","",COUNT('Diário 1º PA'!$A$4:$A$2635)+COUNT('Diário 2º PA'!$A$4:$A$3040)+COUNT('Diário 3º PA'!$A$4:$A$2731)+ROW()-3)</f>
        <v>7066</v>
      </c>
      <c r="B1041" s="413">
        <v>44883</v>
      </c>
      <c r="C1041" s="431">
        <v>44805</v>
      </c>
      <c r="D1041" s="419" t="s">
        <v>468</v>
      </c>
      <c r="E1041" s="419" t="s">
        <v>468</v>
      </c>
      <c r="F1041" s="425">
        <v>40.76</v>
      </c>
      <c r="G1041" s="427" t="s">
        <v>7748</v>
      </c>
      <c r="H1041" s="419" t="s">
        <v>468</v>
      </c>
      <c r="I1041" s="415" t="s">
        <v>1461</v>
      </c>
      <c r="J1041" s="419" t="s">
        <v>310</v>
      </c>
      <c r="K1041" s="419" t="s">
        <v>1220</v>
      </c>
      <c r="L1041" s="415" t="s">
        <v>1368</v>
      </c>
      <c r="M1041" s="419" t="s">
        <v>310</v>
      </c>
      <c r="N1041" s="413">
        <v>44883</v>
      </c>
      <c r="O1041" s="414" t="s">
        <v>405</v>
      </c>
      <c r="P1041" s="655">
        <f t="shared" si="52"/>
        <v>11</v>
      </c>
      <c r="Q1041" s="655">
        <f t="shared" si="53"/>
        <v>9</v>
      </c>
      <c r="R1041" s="758" t="str">
        <f t="shared" si="54"/>
        <v>Gastos_custeados_por_captação</v>
      </c>
      <c r="S1041" s="697" t="s">
        <v>310</v>
      </c>
      <c r="T1041" s="697" t="s">
        <v>310</v>
      </c>
    </row>
    <row r="1042" spans="1:20" ht="60" x14ac:dyDescent="0.2">
      <c r="A1042" s="432">
        <f>IF(B1042="","",COUNT('Diário 1º PA'!$A$4:$A$2635)+COUNT('Diário 2º PA'!$A$4:$A$3040)+COUNT('Diário 3º PA'!$A$4:$A$2731)+ROW()-3)</f>
        <v>7067</v>
      </c>
      <c r="B1042" s="413">
        <v>44883</v>
      </c>
      <c r="C1042" s="431">
        <v>44835</v>
      </c>
      <c r="D1042" s="419" t="s">
        <v>468</v>
      </c>
      <c r="E1042" s="419" t="s">
        <v>468</v>
      </c>
      <c r="F1042" s="422">
        <v>328.02</v>
      </c>
      <c r="G1042" s="427" t="s">
        <v>8012</v>
      </c>
      <c r="H1042" s="419" t="s">
        <v>468</v>
      </c>
      <c r="I1042" s="427" t="s">
        <v>7989</v>
      </c>
      <c r="J1042" s="415" t="s">
        <v>7594</v>
      </c>
      <c r="K1042" s="419" t="s">
        <v>812</v>
      </c>
      <c r="L1042" s="415" t="s">
        <v>2140</v>
      </c>
      <c r="M1042" s="419">
        <v>23048</v>
      </c>
      <c r="N1042" s="413">
        <v>44868</v>
      </c>
      <c r="O1042" s="414" t="s">
        <v>405</v>
      </c>
      <c r="P1042" s="655">
        <f t="shared" si="52"/>
        <v>11</v>
      </c>
      <c r="Q1042" s="655">
        <f t="shared" si="53"/>
        <v>10</v>
      </c>
      <c r="R1042" s="758" t="str">
        <f t="shared" si="54"/>
        <v>Gastos_custeados_por_captação</v>
      </c>
      <c r="S1042" s="697" t="s">
        <v>998</v>
      </c>
      <c r="T1042" s="697">
        <v>4668</v>
      </c>
    </row>
    <row r="1043" spans="1:20" ht="96" x14ac:dyDescent="0.2">
      <c r="A1043" s="432">
        <f>IF(B1043="","",COUNT('Diário 1º PA'!$A$4:$A$2635)+COUNT('Diário 2º PA'!$A$4:$A$3040)+COUNT('Diário 3º PA'!$A$4:$A$2731)+ROW()-3)</f>
        <v>7068</v>
      </c>
      <c r="B1043" s="413">
        <v>44883</v>
      </c>
      <c r="C1043" s="431">
        <v>44835</v>
      </c>
      <c r="D1043" s="419" t="s">
        <v>468</v>
      </c>
      <c r="E1043" s="419" t="s">
        <v>468</v>
      </c>
      <c r="F1043" s="422">
        <v>300</v>
      </c>
      <c r="G1043" s="427" t="s">
        <v>8044</v>
      </c>
      <c r="H1043" s="419" t="s">
        <v>468</v>
      </c>
      <c r="I1043" s="415" t="s">
        <v>8391</v>
      </c>
      <c r="J1043" s="415" t="s">
        <v>8045</v>
      </c>
      <c r="K1043" s="419" t="s">
        <v>830</v>
      </c>
      <c r="L1043" s="415" t="s">
        <v>1305</v>
      </c>
      <c r="M1043" s="419" t="s">
        <v>310</v>
      </c>
      <c r="N1043" s="413">
        <v>44882</v>
      </c>
      <c r="O1043" s="414" t="s">
        <v>405</v>
      </c>
      <c r="P1043" s="655">
        <f t="shared" si="52"/>
        <v>11</v>
      </c>
      <c r="Q1043" s="655">
        <f t="shared" si="53"/>
        <v>10</v>
      </c>
      <c r="R1043" s="758" t="str">
        <f t="shared" si="54"/>
        <v>Gastos_custeados_por_captação</v>
      </c>
      <c r="S1043" s="697" t="s">
        <v>998</v>
      </c>
      <c r="T1043" s="697">
        <v>4593</v>
      </c>
    </row>
    <row r="1044" spans="1:20" ht="84" x14ac:dyDescent="0.2">
      <c r="A1044" s="432">
        <f>IF(B1044="","",COUNT('Diário 1º PA'!$A$4:$A$2635)+COUNT('Diário 2º PA'!$A$4:$A$3040)+COUNT('Diário 3º PA'!$A$4:$A$2731)+ROW()-3)</f>
        <v>7069</v>
      </c>
      <c r="B1044" s="413">
        <v>44883</v>
      </c>
      <c r="C1044" s="421">
        <v>44835</v>
      </c>
      <c r="D1044" s="419" t="s">
        <v>468</v>
      </c>
      <c r="E1044" s="419" t="s">
        <v>468</v>
      </c>
      <c r="F1044" s="422">
        <v>1998.6</v>
      </c>
      <c r="G1044" s="423" t="s">
        <v>7698</v>
      </c>
      <c r="H1044" s="419" t="s">
        <v>468</v>
      </c>
      <c r="I1044" s="415" t="s">
        <v>8377</v>
      </c>
      <c r="J1044" s="419" t="s">
        <v>7699</v>
      </c>
      <c r="K1044" s="419" t="s">
        <v>806</v>
      </c>
      <c r="L1044" s="415" t="s">
        <v>839</v>
      </c>
      <c r="M1044" s="419">
        <v>2105</v>
      </c>
      <c r="N1044" s="413">
        <v>44882</v>
      </c>
      <c r="O1044" s="414" t="s">
        <v>404</v>
      </c>
      <c r="P1044" s="655">
        <f t="shared" si="52"/>
        <v>11</v>
      </c>
      <c r="Q1044" s="655">
        <f t="shared" si="53"/>
        <v>10</v>
      </c>
      <c r="R1044" s="758" t="str">
        <f t="shared" si="54"/>
        <v>Gastos_custeados_por_captação</v>
      </c>
      <c r="S1044" s="697" t="s">
        <v>1000</v>
      </c>
      <c r="T1044" s="697">
        <v>4513</v>
      </c>
    </row>
    <row r="1045" spans="1:20" ht="48" x14ac:dyDescent="0.2">
      <c r="A1045" s="432">
        <f>IF(B1045="","",COUNT('Diário 1º PA'!$A$4:$A$2635)+COUNT('Diário 2º PA'!$A$4:$A$3040)+COUNT('Diário 3º PA'!$A$4:$A$2731)+ROW()-3)</f>
        <v>7070</v>
      </c>
      <c r="B1045" s="413">
        <v>44883</v>
      </c>
      <c r="C1045" s="431">
        <v>44805</v>
      </c>
      <c r="D1045" s="419" t="s">
        <v>468</v>
      </c>
      <c r="E1045" s="419" t="s">
        <v>468</v>
      </c>
      <c r="F1045" s="425">
        <v>930</v>
      </c>
      <c r="G1045" s="427" t="s">
        <v>8405</v>
      </c>
      <c r="H1045" s="419" t="s">
        <v>468</v>
      </c>
      <c r="I1045" s="474" t="s">
        <v>2437</v>
      </c>
      <c r="J1045" s="434" t="s">
        <v>796</v>
      </c>
      <c r="K1045" s="434" t="s">
        <v>806</v>
      </c>
      <c r="L1045" s="434" t="s">
        <v>798</v>
      </c>
      <c r="M1045" s="436" t="s">
        <v>310</v>
      </c>
      <c r="N1045" s="413">
        <v>44883</v>
      </c>
      <c r="O1045" s="414" t="s">
        <v>404</v>
      </c>
      <c r="P1045" s="655">
        <f t="shared" si="52"/>
        <v>11</v>
      </c>
      <c r="Q1045" s="655">
        <f t="shared" si="53"/>
        <v>9</v>
      </c>
      <c r="R1045" s="758" t="str">
        <f t="shared" si="54"/>
        <v>Gastos_custeados_por_captação</v>
      </c>
      <c r="S1045" s="697" t="s">
        <v>310</v>
      </c>
      <c r="T1045" s="697" t="s">
        <v>310</v>
      </c>
    </row>
    <row r="1046" spans="1:20" ht="48" x14ac:dyDescent="0.2">
      <c r="A1046" s="432">
        <f>IF(B1046="","",COUNT('Diário 1º PA'!$A$4:$A$2635)+COUNT('Diário 2º PA'!$A$4:$A$3040)+COUNT('Diário 3º PA'!$A$4:$A$2731)+ROW()-3)</f>
        <v>7071</v>
      </c>
      <c r="B1046" s="413">
        <v>44883</v>
      </c>
      <c r="C1046" s="431">
        <v>44805</v>
      </c>
      <c r="D1046" s="419" t="s">
        <v>468</v>
      </c>
      <c r="E1046" s="419" t="s">
        <v>468</v>
      </c>
      <c r="F1046" s="425">
        <v>620</v>
      </c>
      <c r="G1046" s="427" t="s">
        <v>8406</v>
      </c>
      <c r="H1046" s="419" t="s">
        <v>468</v>
      </c>
      <c r="I1046" s="474" t="s">
        <v>2437</v>
      </c>
      <c r="J1046" s="434" t="s">
        <v>796</v>
      </c>
      <c r="K1046" s="434" t="s">
        <v>806</v>
      </c>
      <c r="L1046" s="434" t="s">
        <v>798</v>
      </c>
      <c r="M1046" s="436" t="s">
        <v>310</v>
      </c>
      <c r="N1046" s="413">
        <v>44883</v>
      </c>
      <c r="O1046" s="414" t="s">
        <v>404</v>
      </c>
      <c r="P1046" s="655">
        <f t="shared" si="52"/>
        <v>11</v>
      </c>
      <c r="Q1046" s="655">
        <f t="shared" si="53"/>
        <v>9</v>
      </c>
      <c r="R1046" s="758" t="str">
        <f t="shared" si="54"/>
        <v>Gastos_custeados_por_captação</v>
      </c>
      <c r="S1046" s="697" t="s">
        <v>310</v>
      </c>
      <c r="T1046" s="697" t="s">
        <v>310</v>
      </c>
    </row>
    <row r="1047" spans="1:20" ht="48" x14ac:dyDescent="0.2">
      <c r="A1047" s="432">
        <f>IF(B1047="","",COUNT('Diário 1º PA'!$A$4:$A$2635)+COUNT('Diário 2º PA'!$A$4:$A$3040)+COUNT('Diário 3º PA'!$A$4:$A$2731)+ROW()-3)</f>
        <v>7072</v>
      </c>
      <c r="B1047" s="413">
        <v>44883</v>
      </c>
      <c r="C1047" s="431">
        <v>44774</v>
      </c>
      <c r="D1047" s="419" t="s">
        <v>468</v>
      </c>
      <c r="E1047" s="419" t="s">
        <v>468</v>
      </c>
      <c r="F1047" s="425">
        <v>620</v>
      </c>
      <c r="G1047" s="427" t="s">
        <v>8407</v>
      </c>
      <c r="H1047" s="419" t="s">
        <v>468</v>
      </c>
      <c r="I1047" s="474" t="s">
        <v>2437</v>
      </c>
      <c r="J1047" s="434" t="s">
        <v>796</v>
      </c>
      <c r="K1047" s="434" t="s">
        <v>806</v>
      </c>
      <c r="L1047" s="434" t="s">
        <v>798</v>
      </c>
      <c r="M1047" s="436" t="s">
        <v>310</v>
      </c>
      <c r="N1047" s="413">
        <v>44883</v>
      </c>
      <c r="O1047" s="414" t="s">
        <v>404</v>
      </c>
      <c r="P1047" s="655">
        <f t="shared" si="52"/>
        <v>11</v>
      </c>
      <c r="Q1047" s="655">
        <f t="shared" si="53"/>
        <v>8</v>
      </c>
      <c r="R1047" s="758" t="str">
        <f t="shared" si="54"/>
        <v>Gastos_custeados_por_captação</v>
      </c>
      <c r="S1047" s="697" t="s">
        <v>310</v>
      </c>
      <c r="T1047" s="697" t="s">
        <v>310</v>
      </c>
    </row>
    <row r="1048" spans="1:20" ht="48" x14ac:dyDescent="0.2">
      <c r="A1048" s="432">
        <f>IF(B1048="","",COUNT('Diário 1º PA'!$A$4:$A$2635)+COUNT('Diário 2º PA'!$A$4:$A$3040)+COUNT('Diário 3º PA'!$A$4:$A$2731)+ROW()-3)</f>
        <v>7073</v>
      </c>
      <c r="B1048" s="413">
        <v>44883</v>
      </c>
      <c r="C1048" s="431">
        <v>44774</v>
      </c>
      <c r="D1048" s="419" t="s">
        <v>468</v>
      </c>
      <c r="E1048" s="419" t="s">
        <v>468</v>
      </c>
      <c r="F1048" s="425">
        <v>620</v>
      </c>
      <c r="G1048" s="427" t="s">
        <v>8408</v>
      </c>
      <c r="H1048" s="419" t="s">
        <v>468</v>
      </c>
      <c r="I1048" s="474" t="s">
        <v>2437</v>
      </c>
      <c r="J1048" s="434" t="s">
        <v>796</v>
      </c>
      <c r="K1048" s="434" t="s">
        <v>806</v>
      </c>
      <c r="L1048" s="434" t="s">
        <v>798</v>
      </c>
      <c r="M1048" s="436" t="s">
        <v>310</v>
      </c>
      <c r="N1048" s="413">
        <v>44883</v>
      </c>
      <c r="O1048" s="414" t="s">
        <v>404</v>
      </c>
      <c r="P1048" s="655">
        <f t="shared" si="52"/>
        <v>11</v>
      </c>
      <c r="Q1048" s="655">
        <f t="shared" si="53"/>
        <v>8</v>
      </c>
      <c r="R1048" s="758" t="str">
        <f t="shared" si="54"/>
        <v>Gastos_custeados_por_captação</v>
      </c>
      <c r="S1048" s="697" t="s">
        <v>310</v>
      </c>
      <c r="T1048" s="697" t="s">
        <v>310</v>
      </c>
    </row>
    <row r="1049" spans="1:20" ht="48" x14ac:dyDescent="0.2">
      <c r="A1049" s="432">
        <f>IF(B1049="","",COUNT('Diário 1º PA'!$A$4:$A$2635)+COUNT('Diário 2º PA'!$A$4:$A$3040)+COUNT('Diário 3º PA'!$A$4:$A$2731)+ROW()-3)</f>
        <v>7074</v>
      </c>
      <c r="B1049" s="413">
        <v>44883</v>
      </c>
      <c r="C1049" s="431">
        <v>44774</v>
      </c>
      <c r="D1049" s="419" t="s">
        <v>468</v>
      </c>
      <c r="E1049" s="419" t="s">
        <v>468</v>
      </c>
      <c r="F1049" s="425">
        <v>620</v>
      </c>
      <c r="G1049" s="427" t="s">
        <v>8409</v>
      </c>
      <c r="H1049" s="419" t="s">
        <v>468</v>
      </c>
      <c r="I1049" s="474" t="s">
        <v>2437</v>
      </c>
      <c r="J1049" s="434" t="s">
        <v>796</v>
      </c>
      <c r="K1049" s="434" t="s">
        <v>806</v>
      </c>
      <c r="L1049" s="434" t="s">
        <v>798</v>
      </c>
      <c r="M1049" s="436" t="s">
        <v>310</v>
      </c>
      <c r="N1049" s="413">
        <v>44883</v>
      </c>
      <c r="O1049" s="414" t="s">
        <v>404</v>
      </c>
      <c r="P1049" s="655">
        <f t="shared" si="52"/>
        <v>11</v>
      </c>
      <c r="Q1049" s="655">
        <f t="shared" si="53"/>
        <v>8</v>
      </c>
      <c r="R1049" s="758" t="str">
        <f t="shared" si="54"/>
        <v>Gastos_custeados_por_captação</v>
      </c>
      <c r="S1049" s="697" t="s">
        <v>310</v>
      </c>
      <c r="T1049" s="697" t="s">
        <v>310</v>
      </c>
    </row>
    <row r="1050" spans="1:20" ht="48" x14ac:dyDescent="0.2">
      <c r="A1050" s="432">
        <f>IF(B1050="","",COUNT('Diário 1º PA'!$A$4:$A$2635)+COUNT('Diário 2º PA'!$A$4:$A$3040)+COUNT('Diário 3º PA'!$A$4:$A$2731)+ROW()-3)</f>
        <v>7075</v>
      </c>
      <c r="B1050" s="413">
        <v>44883</v>
      </c>
      <c r="C1050" s="431">
        <v>44774</v>
      </c>
      <c r="D1050" s="419" t="s">
        <v>468</v>
      </c>
      <c r="E1050" s="419" t="s">
        <v>468</v>
      </c>
      <c r="F1050" s="425">
        <v>620</v>
      </c>
      <c r="G1050" s="427" t="s">
        <v>8410</v>
      </c>
      <c r="H1050" s="419" t="s">
        <v>468</v>
      </c>
      <c r="I1050" s="474" t="s">
        <v>2437</v>
      </c>
      <c r="J1050" s="434" t="s">
        <v>796</v>
      </c>
      <c r="K1050" s="434" t="s">
        <v>806</v>
      </c>
      <c r="L1050" s="434" t="s">
        <v>798</v>
      </c>
      <c r="M1050" s="436" t="s">
        <v>310</v>
      </c>
      <c r="N1050" s="413">
        <v>44883</v>
      </c>
      <c r="O1050" s="414" t="s">
        <v>404</v>
      </c>
      <c r="P1050" s="655">
        <f t="shared" si="52"/>
        <v>11</v>
      </c>
      <c r="Q1050" s="655">
        <f t="shared" si="53"/>
        <v>8</v>
      </c>
      <c r="R1050" s="758" t="str">
        <f t="shared" si="54"/>
        <v>Gastos_custeados_por_captação</v>
      </c>
      <c r="S1050" s="697" t="s">
        <v>310</v>
      </c>
      <c r="T1050" s="697" t="s">
        <v>310</v>
      </c>
    </row>
    <row r="1051" spans="1:20" ht="48" x14ac:dyDescent="0.2">
      <c r="A1051" s="432">
        <f>IF(B1051="","",COUNT('Diário 1º PA'!$A$4:$A$2635)+COUNT('Diário 2º PA'!$A$4:$A$3040)+COUNT('Diário 3º PA'!$A$4:$A$2731)+ROW()-3)</f>
        <v>7076</v>
      </c>
      <c r="B1051" s="413">
        <v>44883</v>
      </c>
      <c r="C1051" s="431">
        <v>44774</v>
      </c>
      <c r="D1051" s="419" t="s">
        <v>468</v>
      </c>
      <c r="E1051" s="419" t="s">
        <v>468</v>
      </c>
      <c r="F1051" s="425">
        <v>620</v>
      </c>
      <c r="G1051" s="427" t="s">
        <v>8411</v>
      </c>
      <c r="H1051" s="419" t="s">
        <v>468</v>
      </c>
      <c r="I1051" s="474" t="s">
        <v>2437</v>
      </c>
      <c r="J1051" s="434" t="s">
        <v>796</v>
      </c>
      <c r="K1051" s="434" t="s">
        <v>806</v>
      </c>
      <c r="L1051" s="434" t="s">
        <v>798</v>
      </c>
      <c r="M1051" s="436" t="s">
        <v>310</v>
      </c>
      <c r="N1051" s="413">
        <v>44883</v>
      </c>
      <c r="O1051" s="414" t="s">
        <v>404</v>
      </c>
      <c r="P1051" s="655">
        <f t="shared" si="52"/>
        <v>11</v>
      </c>
      <c r="Q1051" s="655">
        <f t="shared" si="53"/>
        <v>8</v>
      </c>
      <c r="R1051" s="758" t="str">
        <f t="shared" si="54"/>
        <v>Gastos_custeados_por_captação</v>
      </c>
      <c r="S1051" s="697" t="s">
        <v>310</v>
      </c>
      <c r="T1051" s="697" t="s">
        <v>310</v>
      </c>
    </row>
    <row r="1052" spans="1:20" ht="48" x14ac:dyDescent="0.2">
      <c r="A1052" s="432">
        <f>IF(B1052="","",COUNT('Diário 1º PA'!$A$4:$A$2635)+COUNT('Diário 2º PA'!$A$4:$A$3040)+COUNT('Diário 3º PA'!$A$4:$A$2731)+ROW()-3)</f>
        <v>7077</v>
      </c>
      <c r="B1052" s="413">
        <v>44883</v>
      </c>
      <c r="C1052" s="431">
        <v>44774</v>
      </c>
      <c r="D1052" s="419" t="s">
        <v>468</v>
      </c>
      <c r="E1052" s="419" t="s">
        <v>468</v>
      </c>
      <c r="F1052" s="425">
        <v>620</v>
      </c>
      <c r="G1052" s="427" t="s">
        <v>8412</v>
      </c>
      <c r="H1052" s="419" t="s">
        <v>468</v>
      </c>
      <c r="I1052" s="474" t="s">
        <v>2437</v>
      </c>
      <c r="J1052" s="434" t="s">
        <v>796</v>
      </c>
      <c r="K1052" s="434" t="s">
        <v>806</v>
      </c>
      <c r="L1052" s="434" t="s">
        <v>798</v>
      </c>
      <c r="M1052" s="436" t="s">
        <v>310</v>
      </c>
      <c r="N1052" s="413">
        <v>44883</v>
      </c>
      <c r="O1052" s="414" t="s">
        <v>404</v>
      </c>
      <c r="P1052" s="655">
        <f t="shared" si="52"/>
        <v>11</v>
      </c>
      <c r="Q1052" s="655">
        <f t="shared" si="53"/>
        <v>8</v>
      </c>
      <c r="R1052" s="758" t="str">
        <f t="shared" si="54"/>
        <v>Gastos_custeados_por_captação</v>
      </c>
      <c r="S1052" s="697" t="s">
        <v>310</v>
      </c>
      <c r="T1052" s="697" t="s">
        <v>310</v>
      </c>
    </row>
    <row r="1053" spans="1:20" ht="48" x14ac:dyDescent="0.2">
      <c r="A1053" s="432">
        <f>IF(B1053="","",COUNT('Diário 1º PA'!$A$4:$A$2635)+COUNT('Diário 2º PA'!$A$4:$A$3040)+COUNT('Diário 3º PA'!$A$4:$A$2731)+ROW()-3)</f>
        <v>7078</v>
      </c>
      <c r="B1053" s="413">
        <v>44883</v>
      </c>
      <c r="C1053" s="431">
        <v>44774</v>
      </c>
      <c r="D1053" s="419" t="s">
        <v>468</v>
      </c>
      <c r="E1053" s="419" t="s">
        <v>468</v>
      </c>
      <c r="F1053" s="425">
        <v>620</v>
      </c>
      <c r="G1053" s="427" t="s">
        <v>8413</v>
      </c>
      <c r="H1053" s="419" t="s">
        <v>468</v>
      </c>
      <c r="I1053" s="474" t="s">
        <v>2437</v>
      </c>
      <c r="J1053" s="434" t="s">
        <v>796</v>
      </c>
      <c r="K1053" s="434" t="s">
        <v>806</v>
      </c>
      <c r="L1053" s="434" t="s">
        <v>798</v>
      </c>
      <c r="M1053" s="436" t="s">
        <v>310</v>
      </c>
      <c r="N1053" s="413">
        <v>44883</v>
      </c>
      <c r="O1053" s="414" t="s">
        <v>404</v>
      </c>
      <c r="P1053" s="655">
        <f t="shared" si="52"/>
        <v>11</v>
      </c>
      <c r="Q1053" s="655">
        <f t="shared" si="53"/>
        <v>8</v>
      </c>
      <c r="R1053" s="758" t="str">
        <f t="shared" si="54"/>
        <v>Gastos_custeados_por_captação</v>
      </c>
      <c r="S1053" s="697" t="s">
        <v>310</v>
      </c>
      <c r="T1053" s="697" t="s">
        <v>310</v>
      </c>
    </row>
    <row r="1054" spans="1:20" ht="48" x14ac:dyDescent="0.2">
      <c r="A1054" s="432">
        <f>IF(B1054="","",COUNT('Diário 1º PA'!$A$4:$A$2635)+COUNT('Diário 2º PA'!$A$4:$A$3040)+COUNT('Diário 3º PA'!$A$4:$A$2731)+ROW()-3)</f>
        <v>7079</v>
      </c>
      <c r="B1054" s="413">
        <v>44883</v>
      </c>
      <c r="C1054" s="431">
        <v>44774</v>
      </c>
      <c r="D1054" s="419" t="s">
        <v>468</v>
      </c>
      <c r="E1054" s="419" t="s">
        <v>468</v>
      </c>
      <c r="F1054" s="425">
        <v>620</v>
      </c>
      <c r="G1054" s="427" t="s">
        <v>8414</v>
      </c>
      <c r="H1054" s="419" t="s">
        <v>468</v>
      </c>
      <c r="I1054" s="474" t="s">
        <v>2437</v>
      </c>
      <c r="J1054" s="434" t="s">
        <v>796</v>
      </c>
      <c r="K1054" s="434" t="s">
        <v>806</v>
      </c>
      <c r="L1054" s="434" t="s">
        <v>798</v>
      </c>
      <c r="M1054" s="436" t="s">
        <v>310</v>
      </c>
      <c r="N1054" s="413">
        <v>44883</v>
      </c>
      <c r="O1054" s="414" t="s">
        <v>404</v>
      </c>
      <c r="P1054" s="655">
        <f t="shared" si="52"/>
        <v>11</v>
      </c>
      <c r="Q1054" s="655">
        <f t="shared" si="53"/>
        <v>8</v>
      </c>
      <c r="R1054" s="758" t="str">
        <f t="shared" si="54"/>
        <v>Gastos_custeados_por_captação</v>
      </c>
      <c r="S1054" s="697" t="s">
        <v>310</v>
      </c>
      <c r="T1054" s="697" t="s">
        <v>310</v>
      </c>
    </row>
    <row r="1055" spans="1:20" ht="48" x14ac:dyDescent="0.2">
      <c r="A1055" s="432">
        <f>IF(B1055="","",COUNT('Diário 1º PA'!$A$4:$A$2635)+COUNT('Diário 2º PA'!$A$4:$A$3040)+COUNT('Diário 3º PA'!$A$4:$A$2731)+ROW()-3)</f>
        <v>7080</v>
      </c>
      <c r="B1055" s="413">
        <v>44883</v>
      </c>
      <c r="C1055" s="431">
        <v>44805</v>
      </c>
      <c r="D1055" s="419" t="s">
        <v>468</v>
      </c>
      <c r="E1055" s="419" t="s">
        <v>468</v>
      </c>
      <c r="F1055" s="425">
        <v>852.5</v>
      </c>
      <c r="G1055" s="427" t="s">
        <v>8415</v>
      </c>
      <c r="H1055" s="419" t="s">
        <v>468</v>
      </c>
      <c r="I1055" s="474" t="s">
        <v>2437</v>
      </c>
      <c r="J1055" s="434" t="s">
        <v>796</v>
      </c>
      <c r="K1055" s="434" t="s">
        <v>806</v>
      </c>
      <c r="L1055" s="434" t="s">
        <v>798</v>
      </c>
      <c r="M1055" s="436" t="s">
        <v>310</v>
      </c>
      <c r="N1055" s="413">
        <v>44883</v>
      </c>
      <c r="O1055" s="414" t="s">
        <v>404</v>
      </c>
      <c r="P1055" s="655">
        <f t="shared" si="52"/>
        <v>11</v>
      </c>
      <c r="Q1055" s="655">
        <f t="shared" si="53"/>
        <v>9</v>
      </c>
      <c r="R1055" s="758" t="str">
        <f t="shared" si="54"/>
        <v>Gastos_custeados_por_captação</v>
      </c>
      <c r="S1055" s="697" t="s">
        <v>310</v>
      </c>
      <c r="T1055" s="697" t="s">
        <v>310</v>
      </c>
    </row>
    <row r="1056" spans="1:20" ht="60" x14ac:dyDescent="0.2">
      <c r="A1056" s="432">
        <f>IF(B1056="","",COUNT('Diário 1º PA'!$A$4:$A$2635)+COUNT('Diário 2º PA'!$A$4:$A$3040)+COUNT('Diário 3º PA'!$A$4:$A$2731)+ROW()-3)</f>
        <v>7081</v>
      </c>
      <c r="B1056" s="413">
        <v>44883</v>
      </c>
      <c r="C1056" s="431">
        <v>44835</v>
      </c>
      <c r="D1056" s="419" t="s">
        <v>468</v>
      </c>
      <c r="E1056" s="419" t="s">
        <v>468</v>
      </c>
      <c r="F1056" s="422">
        <v>2269.2399999999998</v>
      </c>
      <c r="G1056" s="427" t="s">
        <v>8416</v>
      </c>
      <c r="H1056" s="419" t="s">
        <v>468</v>
      </c>
      <c r="I1056" s="415" t="s">
        <v>7888</v>
      </c>
      <c r="J1056" s="415" t="s">
        <v>7198</v>
      </c>
      <c r="K1056" s="434" t="s">
        <v>806</v>
      </c>
      <c r="L1056" s="415" t="s">
        <v>839</v>
      </c>
      <c r="M1056" s="419">
        <v>2106</v>
      </c>
      <c r="N1056" s="413">
        <v>44882</v>
      </c>
      <c r="O1056" s="414" t="s">
        <v>404</v>
      </c>
      <c r="P1056" s="655">
        <f t="shared" si="52"/>
        <v>11</v>
      </c>
      <c r="Q1056" s="655">
        <f t="shared" si="53"/>
        <v>10</v>
      </c>
      <c r="R1056" s="758" t="str">
        <f t="shared" si="54"/>
        <v>Gastos_custeados_por_captação</v>
      </c>
      <c r="S1056" s="697" t="s">
        <v>1000</v>
      </c>
      <c r="T1056" s="697">
        <v>4351</v>
      </c>
    </row>
    <row r="1057" spans="1:20" ht="48" x14ac:dyDescent="0.2">
      <c r="A1057" s="432">
        <f>IF(B1057="","",COUNT('Diário 1º PA'!$A$4:$A$2635)+COUNT('Diário 2º PA'!$A$4:$A$3040)+COUNT('Diário 3º PA'!$A$4:$A$2731)+ROW()-3)</f>
        <v>7082</v>
      </c>
      <c r="B1057" s="413">
        <v>44883</v>
      </c>
      <c r="C1057" s="431">
        <v>44805</v>
      </c>
      <c r="D1057" s="419" t="s">
        <v>468</v>
      </c>
      <c r="E1057" s="419" t="s">
        <v>468</v>
      </c>
      <c r="F1057" s="422">
        <v>186</v>
      </c>
      <c r="G1057" s="427" t="s">
        <v>7798</v>
      </c>
      <c r="H1057" s="419" t="s">
        <v>468</v>
      </c>
      <c r="I1057" s="434" t="s">
        <v>1461</v>
      </c>
      <c r="J1057" s="415" t="s">
        <v>310</v>
      </c>
      <c r="K1057" s="415" t="s">
        <v>1220</v>
      </c>
      <c r="L1057" s="415" t="s">
        <v>1368</v>
      </c>
      <c r="M1057" s="415" t="s">
        <v>310</v>
      </c>
      <c r="N1057" s="413">
        <v>44883</v>
      </c>
      <c r="O1057" s="414" t="s">
        <v>404</v>
      </c>
      <c r="P1057" s="655">
        <f t="shared" ref="P1057:P1120" si="55">IF(B1057=0,0,IF(YEAR(B1057)=$Q$1,MONTH(B1057)-$P$1+1,(YEAR(B1057)-$Q$1)*12-$P$1+1+MONTH(B1057)))</f>
        <v>11</v>
      </c>
      <c r="Q1057" s="655">
        <f t="shared" ref="Q1057:Q1120" si="56">IF(C1057=0,0,IF(YEAR(C1057)=$Q$1,MONTH(C1057)-$P$1+1,(YEAR(C1057)-$Q$1)*12-$P$1+1+MONTH(C1057)))</f>
        <v>9</v>
      </c>
      <c r="R1057" s="758" t="str">
        <f t="shared" si="54"/>
        <v>Gastos_custeados_por_captação</v>
      </c>
      <c r="S1057" s="697" t="s">
        <v>310</v>
      </c>
      <c r="T1057" s="697" t="s">
        <v>310</v>
      </c>
    </row>
    <row r="1058" spans="1:20" ht="48" x14ac:dyDescent="0.2">
      <c r="A1058" s="432">
        <f>IF(B1058="","",COUNT('Diário 1º PA'!$A$4:$A$2635)+COUNT('Diário 2º PA'!$A$4:$A$3040)+COUNT('Diário 3º PA'!$A$4:$A$2731)+ROW()-3)</f>
        <v>7083</v>
      </c>
      <c r="B1058" s="413">
        <v>44883</v>
      </c>
      <c r="C1058" s="431">
        <v>44805</v>
      </c>
      <c r="D1058" s="419" t="s">
        <v>468</v>
      </c>
      <c r="E1058" s="419" t="s">
        <v>468</v>
      </c>
      <c r="F1058" s="422">
        <v>60</v>
      </c>
      <c r="G1058" s="427" t="s">
        <v>7797</v>
      </c>
      <c r="H1058" s="419" t="s">
        <v>468</v>
      </c>
      <c r="I1058" s="434" t="s">
        <v>1461</v>
      </c>
      <c r="J1058" s="415" t="s">
        <v>310</v>
      </c>
      <c r="K1058" s="415" t="s">
        <v>1220</v>
      </c>
      <c r="L1058" s="415" t="s">
        <v>1368</v>
      </c>
      <c r="M1058" s="415" t="s">
        <v>310</v>
      </c>
      <c r="N1058" s="413">
        <v>44883</v>
      </c>
      <c r="O1058" s="414" t="s">
        <v>404</v>
      </c>
      <c r="P1058" s="655">
        <f t="shared" si="55"/>
        <v>11</v>
      </c>
      <c r="Q1058" s="655">
        <f t="shared" si="56"/>
        <v>9</v>
      </c>
      <c r="R1058" s="758" t="str">
        <f t="shared" si="54"/>
        <v>Gastos_custeados_por_captação</v>
      </c>
      <c r="S1058" s="697" t="s">
        <v>310</v>
      </c>
      <c r="T1058" s="697" t="s">
        <v>310</v>
      </c>
    </row>
    <row r="1059" spans="1:20" ht="48" x14ac:dyDescent="0.2">
      <c r="A1059" s="432">
        <f>IF(B1059="","",COUNT('Diário 1º PA'!$A$4:$A$2635)+COUNT('Diário 2º PA'!$A$4:$A$3040)+COUNT('Diário 3º PA'!$A$4:$A$2731)+ROW()-3)</f>
        <v>7084</v>
      </c>
      <c r="B1059" s="413">
        <v>44883</v>
      </c>
      <c r="C1059" s="431">
        <v>44805</v>
      </c>
      <c r="D1059" s="419" t="s">
        <v>468</v>
      </c>
      <c r="E1059" s="419" t="s">
        <v>468</v>
      </c>
      <c r="F1059" s="425">
        <v>57.45</v>
      </c>
      <c r="G1059" s="427" t="s">
        <v>7791</v>
      </c>
      <c r="H1059" s="419" t="s">
        <v>468</v>
      </c>
      <c r="I1059" s="434" t="s">
        <v>1461</v>
      </c>
      <c r="J1059" s="415" t="s">
        <v>310</v>
      </c>
      <c r="K1059" s="415" t="s">
        <v>1220</v>
      </c>
      <c r="L1059" s="415" t="s">
        <v>1368</v>
      </c>
      <c r="M1059" s="415" t="s">
        <v>310</v>
      </c>
      <c r="N1059" s="413">
        <v>44883</v>
      </c>
      <c r="O1059" s="414" t="s">
        <v>404</v>
      </c>
      <c r="P1059" s="655">
        <f t="shared" si="55"/>
        <v>11</v>
      </c>
      <c r="Q1059" s="655">
        <f t="shared" si="56"/>
        <v>9</v>
      </c>
      <c r="R1059" s="758" t="str">
        <f t="shared" si="54"/>
        <v>Gastos_custeados_por_captação</v>
      </c>
      <c r="S1059" s="697" t="s">
        <v>310</v>
      </c>
      <c r="T1059" s="697" t="s">
        <v>310</v>
      </c>
    </row>
    <row r="1060" spans="1:20" ht="48" x14ac:dyDescent="0.2">
      <c r="A1060" s="432">
        <f>IF(B1060="","",COUNT('Diário 1º PA'!$A$4:$A$2635)+COUNT('Diário 2º PA'!$A$4:$A$3040)+COUNT('Diário 3º PA'!$A$4:$A$2731)+ROW()-3)</f>
        <v>7085</v>
      </c>
      <c r="B1060" s="413">
        <v>44883</v>
      </c>
      <c r="C1060" s="431">
        <v>44805</v>
      </c>
      <c r="D1060" s="419" t="s">
        <v>468</v>
      </c>
      <c r="E1060" s="419" t="s">
        <v>468</v>
      </c>
      <c r="F1060" s="425">
        <v>40.76</v>
      </c>
      <c r="G1060" s="427" t="s">
        <v>7890</v>
      </c>
      <c r="H1060" s="419" t="s">
        <v>468</v>
      </c>
      <c r="I1060" s="434" t="s">
        <v>1461</v>
      </c>
      <c r="J1060" s="415" t="s">
        <v>310</v>
      </c>
      <c r="K1060" s="415" t="s">
        <v>1220</v>
      </c>
      <c r="L1060" s="415" t="s">
        <v>1368</v>
      </c>
      <c r="M1060" s="415" t="s">
        <v>310</v>
      </c>
      <c r="N1060" s="413">
        <v>44883</v>
      </c>
      <c r="O1060" s="414" t="s">
        <v>404</v>
      </c>
      <c r="P1060" s="655">
        <f t="shared" si="55"/>
        <v>11</v>
      </c>
      <c r="Q1060" s="655">
        <f t="shared" si="56"/>
        <v>9</v>
      </c>
      <c r="R1060" s="758" t="str">
        <f t="shared" si="54"/>
        <v>Gastos_custeados_por_captação</v>
      </c>
      <c r="S1060" s="697" t="s">
        <v>310</v>
      </c>
      <c r="T1060" s="697" t="s">
        <v>310</v>
      </c>
    </row>
    <row r="1061" spans="1:20" ht="36" x14ac:dyDescent="0.2">
      <c r="A1061" s="432">
        <f>IF(B1061="","",COUNT('Diário 1º PA'!$A$4:$A$2635)+COUNT('Diário 2º PA'!$A$4:$A$3040)+COUNT('Diário 3º PA'!$A$4:$A$2731)+ROW()-3)</f>
        <v>7086</v>
      </c>
      <c r="B1061" s="413">
        <v>44883</v>
      </c>
      <c r="C1061" s="421">
        <v>44866</v>
      </c>
      <c r="D1061" s="419" t="s">
        <v>468</v>
      </c>
      <c r="E1061" s="419" t="s">
        <v>468</v>
      </c>
      <c r="F1061" s="422">
        <v>-5000</v>
      </c>
      <c r="G1061" s="423" t="s">
        <v>4713</v>
      </c>
      <c r="H1061" s="419" t="s">
        <v>468</v>
      </c>
      <c r="I1061" s="427" t="s">
        <v>2437</v>
      </c>
      <c r="J1061" s="415" t="s">
        <v>796</v>
      </c>
      <c r="K1061" s="415" t="s">
        <v>797</v>
      </c>
      <c r="L1061" s="415" t="s">
        <v>798</v>
      </c>
      <c r="M1061" s="415" t="s">
        <v>310</v>
      </c>
      <c r="N1061" s="413">
        <v>44883</v>
      </c>
      <c r="O1061" s="414" t="s">
        <v>408</v>
      </c>
      <c r="P1061" s="655">
        <f t="shared" si="55"/>
        <v>11</v>
      </c>
      <c r="Q1061" s="655">
        <f t="shared" si="56"/>
        <v>11</v>
      </c>
      <c r="R1061" s="758" t="str">
        <f t="shared" si="54"/>
        <v>Gastos_custeados_por_captação</v>
      </c>
      <c r="S1061" s="697" t="s">
        <v>310</v>
      </c>
      <c r="T1061" s="697" t="s">
        <v>310</v>
      </c>
    </row>
    <row r="1062" spans="1:20" ht="36" x14ac:dyDescent="0.2">
      <c r="A1062" s="432">
        <f>IF(B1062="","",COUNT('Diário 1º PA'!$A$4:$A$2635)+COUNT('Diário 2º PA'!$A$4:$A$3040)+COUNT('Diário 3º PA'!$A$4:$A$2731)+ROW()-3)</f>
        <v>7087</v>
      </c>
      <c r="B1062" s="413">
        <v>44883</v>
      </c>
      <c r="C1062" s="431">
        <v>44805</v>
      </c>
      <c r="D1062" s="419" t="s">
        <v>468</v>
      </c>
      <c r="E1062" s="419" t="s">
        <v>468</v>
      </c>
      <c r="F1062" s="425">
        <v>930</v>
      </c>
      <c r="G1062" s="427" t="s">
        <v>8425</v>
      </c>
      <c r="H1062" s="419" t="s">
        <v>468</v>
      </c>
      <c r="I1062" s="474" t="s">
        <v>2437</v>
      </c>
      <c r="J1062" s="434" t="s">
        <v>796</v>
      </c>
      <c r="K1062" s="434" t="s">
        <v>806</v>
      </c>
      <c r="L1062" s="434" t="s">
        <v>798</v>
      </c>
      <c r="M1062" s="436" t="s">
        <v>310</v>
      </c>
      <c r="N1062" s="413">
        <v>44883</v>
      </c>
      <c r="O1062" s="414" t="s">
        <v>408</v>
      </c>
      <c r="P1062" s="655">
        <f t="shared" si="55"/>
        <v>11</v>
      </c>
      <c r="Q1062" s="655">
        <f t="shared" si="56"/>
        <v>9</v>
      </c>
      <c r="R1062" s="758" t="str">
        <f t="shared" si="54"/>
        <v>Gastos_custeados_por_captação</v>
      </c>
      <c r="S1062" s="697" t="s">
        <v>310</v>
      </c>
      <c r="T1062" s="697" t="s">
        <v>310</v>
      </c>
    </row>
    <row r="1063" spans="1:20" ht="36" x14ac:dyDescent="0.2">
      <c r="A1063" s="432">
        <f>IF(B1063="","",COUNT('Diário 1º PA'!$A$4:$A$2635)+COUNT('Diário 2º PA'!$A$4:$A$3040)+COUNT('Diário 3º PA'!$A$4:$A$2731)+ROW()-3)</f>
        <v>7088</v>
      </c>
      <c r="B1063" s="413">
        <v>44883</v>
      </c>
      <c r="C1063" s="431">
        <v>44805</v>
      </c>
      <c r="D1063" s="419" t="s">
        <v>468</v>
      </c>
      <c r="E1063" s="419" t="s">
        <v>468</v>
      </c>
      <c r="F1063" s="425">
        <v>1085</v>
      </c>
      <c r="G1063" s="423" t="s">
        <v>8426</v>
      </c>
      <c r="H1063" s="419" t="s">
        <v>468</v>
      </c>
      <c r="I1063" s="474" t="s">
        <v>2437</v>
      </c>
      <c r="J1063" s="434" t="s">
        <v>796</v>
      </c>
      <c r="K1063" s="434" t="s">
        <v>806</v>
      </c>
      <c r="L1063" s="434" t="s">
        <v>798</v>
      </c>
      <c r="M1063" s="436" t="s">
        <v>310</v>
      </c>
      <c r="N1063" s="413">
        <v>44883</v>
      </c>
      <c r="O1063" s="414" t="s">
        <v>408</v>
      </c>
      <c r="P1063" s="655">
        <f t="shared" si="55"/>
        <v>11</v>
      </c>
      <c r="Q1063" s="655">
        <f t="shared" si="56"/>
        <v>9</v>
      </c>
      <c r="R1063" s="758" t="str">
        <f t="shared" si="54"/>
        <v>Gastos_custeados_por_captação</v>
      </c>
      <c r="S1063" s="697" t="s">
        <v>310</v>
      </c>
      <c r="T1063" s="697" t="s">
        <v>310</v>
      </c>
    </row>
    <row r="1064" spans="1:20" ht="36" x14ac:dyDescent="0.2">
      <c r="A1064" s="432">
        <f>IF(B1064="","",COUNT('Diário 1º PA'!$A$4:$A$2635)+COUNT('Diário 2º PA'!$A$4:$A$3040)+COUNT('Diário 3º PA'!$A$4:$A$2731)+ROW()-3)</f>
        <v>7089</v>
      </c>
      <c r="B1064" s="413">
        <v>44883</v>
      </c>
      <c r="C1064" s="431">
        <v>44805</v>
      </c>
      <c r="D1064" s="419" t="s">
        <v>468</v>
      </c>
      <c r="E1064" s="419" t="s">
        <v>468</v>
      </c>
      <c r="F1064" s="425">
        <v>112.45</v>
      </c>
      <c r="G1064" s="427" t="s">
        <v>7910</v>
      </c>
      <c r="H1064" s="419" t="s">
        <v>468</v>
      </c>
      <c r="I1064" s="434" t="s">
        <v>1461</v>
      </c>
      <c r="J1064" s="415" t="s">
        <v>310</v>
      </c>
      <c r="K1064" s="415" t="s">
        <v>1220</v>
      </c>
      <c r="L1064" s="415" t="s">
        <v>1368</v>
      </c>
      <c r="M1064" s="415" t="s">
        <v>310</v>
      </c>
      <c r="N1064" s="413">
        <v>44883</v>
      </c>
      <c r="O1064" s="414" t="s">
        <v>408</v>
      </c>
      <c r="P1064" s="655">
        <f t="shared" si="55"/>
        <v>11</v>
      </c>
      <c r="Q1064" s="655">
        <f t="shared" si="56"/>
        <v>9</v>
      </c>
      <c r="R1064" s="758" t="str">
        <f t="shared" si="54"/>
        <v>Gastos_custeados_por_captação</v>
      </c>
      <c r="S1064" s="697" t="s">
        <v>310</v>
      </c>
      <c r="T1064" s="697" t="s">
        <v>310</v>
      </c>
    </row>
    <row r="1065" spans="1:20" ht="36" x14ac:dyDescent="0.2">
      <c r="A1065" s="432">
        <f>IF(B1065="","",COUNT('Diário 1º PA'!$A$4:$A$2635)+COUNT('Diário 2º PA'!$A$4:$A$3040)+COUNT('Diário 3º PA'!$A$4:$A$2731)+ROW()-3)</f>
        <v>7090</v>
      </c>
      <c r="B1065" s="413">
        <v>44883</v>
      </c>
      <c r="C1065" s="431">
        <v>44805</v>
      </c>
      <c r="D1065" s="419" t="s">
        <v>468</v>
      </c>
      <c r="E1065" s="419" t="s">
        <v>468</v>
      </c>
      <c r="F1065" s="425">
        <v>57.45</v>
      </c>
      <c r="G1065" s="427" t="s">
        <v>7715</v>
      </c>
      <c r="H1065" s="419" t="s">
        <v>468</v>
      </c>
      <c r="I1065" s="434" t="s">
        <v>1461</v>
      </c>
      <c r="J1065" s="415" t="s">
        <v>310</v>
      </c>
      <c r="K1065" s="415" t="s">
        <v>1220</v>
      </c>
      <c r="L1065" s="415" t="s">
        <v>1368</v>
      </c>
      <c r="M1065" s="415" t="s">
        <v>310</v>
      </c>
      <c r="N1065" s="413">
        <v>44883</v>
      </c>
      <c r="O1065" s="414" t="s">
        <v>408</v>
      </c>
      <c r="P1065" s="655">
        <f t="shared" si="55"/>
        <v>11</v>
      </c>
      <c r="Q1065" s="655">
        <f t="shared" si="56"/>
        <v>9</v>
      </c>
      <c r="R1065" s="758" t="str">
        <f t="shared" si="54"/>
        <v>Gastos_custeados_por_captação</v>
      </c>
      <c r="S1065" s="697" t="s">
        <v>310</v>
      </c>
      <c r="T1065" s="697" t="s">
        <v>310</v>
      </c>
    </row>
    <row r="1066" spans="1:20" ht="48" x14ac:dyDescent="0.2">
      <c r="A1066" s="432">
        <f>IF(B1066="","",COUNT('Diário 1º PA'!$A$4:$A$2635)+COUNT('Diário 2º PA'!$A$4:$A$3040)+COUNT('Diário 3º PA'!$A$4:$A$2731)+ROW()-3)</f>
        <v>7091</v>
      </c>
      <c r="B1066" s="413">
        <v>44883</v>
      </c>
      <c r="C1066" s="431">
        <v>44805</v>
      </c>
      <c r="D1066" s="419" t="s">
        <v>468</v>
      </c>
      <c r="E1066" s="419" t="s">
        <v>468</v>
      </c>
      <c r="F1066" s="425">
        <v>930</v>
      </c>
      <c r="G1066" s="427" t="s">
        <v>8486</v>
      </c>
      <c r="H1066" s="419" t="s">
        <v>468</v>
      </c>
      <c r="I1066" s="474" t="s">
        <v>2437</v>
      </c>
      <c r="J1066" s="434" t="s">
        <v>796</v>
      </c>
      <c r="K1066" s="434" t="s">
        <v>806</v>
      </c>
      <c r="L1066" s="434" t="s">
        <v>798</v>
      </c>
      <c r="M1066" s="436" t="s">
        <v>310</v>
      </c>
      <c r="N1066" s="413">
        <v>44883</v>
      </c>
      <c r="O1066" s="414" t="s">
        <v>3762</v>
      </c>
      <c r="P1066" s="655">
        <f t="shared" si="55"/>
        <v>11</v>
      </c>
      <c r="Q1066" s="655">
        <f t="shared" si="56"/>
        <v>9</v>
      </c>
      <c r="R1066" s="758" t="str">
        <f t="shared" si="54"/>
        <v>Gastos_custeados_por_captação</v>
      </c>
      <c r="S1066" s="697" t="s">
        <v>310</v>
      </c>
      <c r="T1066" s="697" t="s">
        <v>310</v>
      </c>
    </row>
    <row r="1067" spans="1:20" ht="48" x14ac:dyDescent="0.2">
      <c r="A1067" s="432">
        <f>IF(B1067="","",COUNT('Diário 1º PA'!$A$4:$A$2635)+COUNT('Diário 2º PA'!$A$4:$A$3040)+COUNT('Diário 3º PA'!$A$4:$A$2731)+ROW()-3)</f>
        <v>7092</v>
      </c>
      <c r="B1067" s="413">
        <v>44883</v>
      </c>
      <c r="C1067" s="431">
        <v>44805</v>
      </c>
      <c r="D1067" s="419" t="s">
        <v>468</v>
      </c>
      <c r="E1067" s="419" t="s">
        <v>468</v>
      </c>
      <c r="F1067" s="425">
        <v>620</v>
      </c>
      <c r="G1067" s="427" t="s">
        <v>8487</v>
      </c>
      <c r="H1067" s="419" t="s">
        <v>468</v>
      </c>
      <c r="I1067" s="474" t="s">
        <v>2437</v>
      </c>
      <c r="J1067" s="434" t="s">
        <v>796</v>
      </c>
      <c r="K1067" s="434" t="s">
        <v>806</v>
      </c>
      <c r="L1067" s="434" t="s">
        <v>798</v>
      </c>
      <c r="M1067" s="436" t="s">
        <v>310</v>
      </c>
      <c r="N1067" s="413">
        <v>44883</v>
      </c>
      <c r="O1067" s="414" t="s">
        <v>3762</v>
      </c>
      <c r="P1067" s="655">
        <f t="shared" si="55"/>
        <v>11</v>
      </c>
      <c r="Q1067" s="655">
        <f t="shared" si="56"/>
        <v>9</v>
      </c>
      <c r="R1067" s="758" t="str">
        <f t="shared" si="54"/>
        <v>Gastos_custeados_por_captação</v>
      </c>
      <c r="S1067" s="697" t="s">
        <v>310</v>
      </c>
      <c r="T1067" s="697" t="s">
        <v>310</v>
      </c>
    </row>
    <row r="1068" spans="1:20" ht="36" x14ac:dyDescent="0.2">
      <c r="A1068" s="432">
        <f>IF(B1068="","",COUNT('Diário 1º PA'!$A$4:$A$2635)+COUNT('Diário 2º PA'!$A$4:$A$3040)+COUNT('Diário 3º PA'!$A$4:$A$2731)+ROW()-3)</f>
        <v>7093</v>
      </c>
      <c r="B1068" s="413">
        <v>44883</v>
      </c>
      <c r="C1068" s="431">
        <v>44805</v>
      </c>
      <c r="D1068" s="419" t="s">
        <v>468</v>
      </c>
      <c r="E1068" s="419" t="s">
        <v>468</v>
      </c>
      <c r="F1068" s="425">
        <v>620</v>
      </c>
      <c r="G1068" s="427" t="s">
        <v>8488</v>
      </c>
      <c r="H1068" s="419" t="s">
        <v>468</v>
      </c>
      <c r="I1068" s="474" t="s">
        <v>2437</v>
      </c>
      <c r="J1068" s="434" t="s">
        <v>796</v>
      </c>
      <c r="K1068" s="434" t="s">
        <v>806</v>
      </c>
      <c r="L1068" s="434" t="s">
        <v>798</v>
      </c>
      <c r="M1068" s="436" t="s">
        <v>310</v>
      </c>
      <c r="N1068" s="413">
        <v>44883</v>
      </c>
      <c r="O1068" s="414" t="s">
        <v>3762</v>
      </c>
      <c r="P1068" s="655">
        <f t="shared" si="55"/>
        <v>11</v>
      </c>
      <c r="Q1068" s="655">
        <f t="shared" si="56"/>
        <v>9</v>
      </c>
      <c r="R1068" s="758" t="str">
        <f t="shared" si="54"/>
        <v>Gastos_custeados_por_captação</v>
      </c>
      <c r="S1068" s="697" t="s">
        <v>310</v>
      </c>
      <c r="T1068" s="697" t="s">
        <v>310</v>
      </c>
    </row>
    <row r="1069" spans="1:20" ht="36" x14ac:dyDescent="0.2">
      <c r="A1069" s="432">
        <f>IF(B1069="","",COUNT('Diário 1º PA'!$A$4:$A$2635)+COUNT('Diário 2º PA'!$A$4:$A$3040)+COUNT('Diário 3º PA'!$A$4:$A$2731)+ROW()-3)</f>
        <v>7094</v>
      </c>
      <c r="B1069" s="413">
        <v>44883</v>
      </c>
      <c r="C1069" s="431">
        <v>44805</v>
      </c>
      <c r="D1069" s="419" t="s">
        <v>468</v>
      </c>
      <c r="E1069" s="419" t="s">
        <v>468</v>
      </c>
      <c r="F1069" s="425">
        <v>620</v>
      </c>
      <c r="G1069" s="427" t="s">
        <v>8489</v>
      </c>
      <c r="H1069" s="419" t="s">
        <v>468</v>
      </c>
      <c r="I1069" s="474" t="s">
        <v>2437</v>
      </c>
      <c r="J1069" s="434" t="s">
        <v>796</v>
      </c>
      <c r="K1069" s="434" t="s">
        <v>806</v>
      </c>
      <c r="L1069" s="434" t="s">
        <v>798</v>
      </c>
      <c r="M1069" s="436" t="s">
        <v>310</v>
      </c>
      <c r="N1069" s="413">
        <v>44883</v>
      </c>
      <c r="O1069" s="414" t="s">
        <v>3762</v>
      </c>
      <c r="P1069" s="655">
        <f t="shared" si="55"/>
        <v>11</v>
      </c>
      <c r="Q1069" s="655">
        <f t="shared" si="56"/>
        <v>9</v>
      </c>
      <c r="R1069" s="758" t="str">
        <f t="shared" si="54"/>
        <v>Gastos_custeados_por_captação</v>
      </c>
      <c r="S1069" s="697" t="s">
        <v>310</v>
      </c>
      <c r="T1069" s="697" t="s">
        <v>310</v>
      </c>
    </row>
    <row r="1070" spans="1:20" ht="48" x14ac:dyDescent="0.2">
      <c r="A1070" s="432">
        <f>IF(B1070="","",COUNT('Diário 1º PA'!$A$4:$A$2635)+COUNT('Diário 2º PA'!$A$4:$A$3040)+COUNT('Diário 3º PA'!$A$4:$A$2731)+ROW()-3)</f>
        <v>7095</v>
      </c>
      <c r="B1070" s="413">
        <v>44883</v>
      </c>
      <c r="C1070" s="431">
        <v>44805</v>
      </c>
      <c r="D1070" s="419" t="s">
        <v>468</v>
      </c>
      <c r="E1070" s="419" t="s">
        <v>468</v>
      </c>
      <c r="F1070" s="425">
        <v>930</v>
      </c>
      <c r="G1070" s="423" t="s">
        <v>8490</v>
      </c>
      <c r="H1070" s="419" t="s">
        <v>468</v>
      </c>
      <c r="I1070" s="474" t="s">
        <v>2437</v>
      </c>
      <c r="J1070" s="434" t="s">
        <v>796</v>
      </c>
      <c r="K1070" s="434" t="s">
        <v>806</v>
      </c>
      <c r="L1070" s="434" t="s">
        <v>798</v>
      </c>
      <c r="M1070" s="436" t="s">
        <v>310</v>
      </c>
      <c r="N1070" s="413">
        <v>44883</v>
      </c>
      <c r="O1070" s="414" t="s">
        <v>3762</v>
      </c>
      <c r="P1070" s="655">
        <f t="shared" si="55"/>
        <v>11</v>
      </c>
      <c r="Q1070" s="655">
        <f t="shared" si="56"/>
        <v>9</v>
      </c>
      <c r="R1070" s="758" t="str">
        <f t="shared" si="54"/>
        <v>Gastos_custeados_por_captação</v>
      </c>
      <c r="S1070" s="697" t="s">
        <v>310</v>
      </c>
      <c r="T1070" s="697" t="s">
        <v>310</v>
      </c>
    </row>
    <row r="1071" spans="1:20" ht="48" x14ac:dyDescent="0.2">
      <c r="A1071" s="432">
        <f>IF(B1071="","",COUNT('Diário 1º PA'!$A$4:$A$2635)+COUNT('Diário 2º PA'!$A$4:$A$3040)+COUNT('Diário 3º PA'!$A$4:$A$2731)+ROW()-3)</f>
        <v>7096</v>
      </c>
      <c r="B1071" s="413">
        <v>44883</v>
      </c>
      <c r="C1071" s="431">
        <v>44805</v>
      </c>
      <c r="D1071" s="419" t="s">
        <v>468</v>
      </c>
      <c r="E1071" s="419" t="s">
        <v>468</v>
      </c>
      <c r="F1071" s="425">
        <v>930</v>
      </c>
      <c r="G1071" s="423" t="s">
        <v>8491</v>
      </c>
      <c r="H1071" s="419" t="s">
        <v>468</v>
      </c>
      <c r="I1071" s="474" t="s">
        <v>2437</v>
      </c>
      <c r="J1071" s="434" t="s">
        <v>796</v>
      </c>
      <c r="K1071" s="434" t="s">
        <v>806</v>
      </c>
      <c r="L1071" s="434" t="s">
        <v>798</v>
      </c>
      <c r="M1071" s="436" t="s">
        <v>310</v>
      </c>
      <c r="N1071" s="413">
        <v>44883</v>
      </c>
      <c r="O1071" s="414" t="s">
        <v>3762</v>
      </c>
      <c r="P1071" s="655">
        <f t="shared" si="55"/>
        <v>11</v>
      </c>
      <c r="Q1071" s="655">
        <f t="shared" si="56"/>
        <v>9</v>
      </c>
      <c r="R1071" s="758" t="str">
        <f t="shared" si="54"/>
        <v>Gastos_custeados_por_captação</v>
      </c>
      <c r="S1071" s="697" t="s">
        <v>310</v>
      </c>
      <c r="T1071" s="697" t="s">
        <v>310</v>
      </c>
    </row>
    <row r="1072" spans="1:20" ht="36" x14ac:dyDescent="0.2">
      <c r="A1072" s="432">
        <f>IF(B1072="","",COUNT('Diário 1º PA'!$A$4:$A$2635)+COUNT('Diário 2º PA'!$A$4:$A$3040)+COUNT('Diário 3º PA'!$A$4:$A$2731)+ROW()-3)</f>
        <v>7097</v>
      </c>
      <c r="B1072" s="413">
        <v>44883</v>
      </c>
      <c r="C1072" s="431">
        <v>44805</v>
      </c>
      <c r="D1072" s="419" t="s">
        <v>468</v>
      </c>
      <c r="E1072" s="419" t="s">
        <v>468</v>
      </c>
      <c r="F1072" s="425">
        <v>930</v>
      </c>
      <c r="G1072" s="423" t="s">
        <v>8492</v>
      </c>
      <c r="H1072" s="419" t="s">
        <v>468</v>
      </c>
      <c r="I1072" s="474" t="s">
        <v>2437</v>
      </c>
      <c r="J1072" s="434" t="s">
        <v>796</v>
      </c>
      <c r="K1072" s="434" t="s">
        <v>806</v>
      </c>
      <c r="L1072" s="434" t="s">
        <v>798</v>
      </c>
      <c r="M1072" s="436" t="s">
        <v>310</v>
      </c>
      <c r="N1072" s="413">
        <v>44883</v>
      </c>
      <c r="O1072" s="414" t="s">
        <v>3762</v>
      </c>
      <c r="P1072" s="655">
        <f t="shared" si="55"/>
        <v>11</v>
      </c>
      <c r="Q1072" s="655">
        <f t="shared" si="56"/>
        <v>9</v>
      </c>
      <c r="R1072" s="758" t="str">
        <f t="shared" si="54"/>
        <v>Gastos_custeados_por_captação</v>
      </c>
      <c r="S1072" s="697" t="s">
        <v>310</v>
      </c>
      <c r="T1072" s="697" t="s">
        <v>310</v>
      </c>
    </row>
    <row r="1073" spans="1:20" ht="48" x14ac:dyDescent="0.2">
      <c r="A1073" s="432">
        <f>IF(B1073="","",COUNT('Diário 1º PA'!$A$4:$A$2635)+COUNT('Diário 2º PA'!$A$4:$A$3040)+COUNT('Diário 3º PA'!$A$4:$A$2731)+ROW()-3)</f>
        <v>7098</v>
      </c>
      <c r="B1073" s="413">
        <v>44883</v>
      </c>
      <c r="C1073" s="431">
        <v>44805</v>
      </c>
      <c r="D1073" s="419" t="s">
        <v>468</v>
      </c>
      <c r="E1073" s="419" t="s">
        <v>468</v>
      </c>
      <c r="F1073" s="425">
        <v>930</v>
      </c>
      <c r="G1073" s="423" t="s">
        <v>8493</v>
      </c>
      <c r="H1073" s="419" t="s">
        <v>468</v>
      </c>
      <c r="I1073" s="474" t="s">
        <v>2437</v>
      </c>
      <c r="J1073" s="434" t="s">
        <v>796</v>
      </c>
      <c r="K1073" s="434" t="s">
        <v>806</v>
      </c>
      <c r="L1073" s="434" t="s">
        <v>798</v>
      </c>
      <c r="M1073" s="436" t="s">
        <v>310</v>
      </c>
      <c r="N1073" s="413">
        <v>44883</v>
      </c>
      <c r="O1073" s="414" t="s">
        <v>3762</v>
      </c>
      <c r="P1073" s="655">
        <f t="shared" si="55"/>
        <v>11</v>
      </c>
      <c r="Q1073" s="655">
        <f t="shared" si="56"/>
        <v>9</v>
      </c>
      <c r="R1073" s="758" t="str">
        <f t="shared" ref="R1073:R1137" si="57">SUBSTITUTE(D1073," ","_")</f>
        <v>Gastos_custeados_por_captação</v>
      </c>
      <c r="S1073" s="697" t="s">
        <v>310</v>
      </c>
      <c r="T1073" s="697" t="s">
        <v>310</v>
      </c>
    </row>
    <row r="1074" spans="1:20" ht="36" x14ac:dyDescent="0.2">
      <c r="A1074" s="432">
        <f>IF(B1074="","",COUNT('Diário 1º PA'!$A$4:$A$2635)+COUNT('Diário 2º PA'!$A$4:$A$3040)+COUNT('Diário 3º PA'!$A$4:$A$2731)+ROW()-3)</f>
        <v>7099</v>
      </c>
      <c r="B1074" s="413">
        <v>44883</v>
      </c>
      <c r="C1074" s="431">
        <v>44805</v>
      </c>
      <c r="D1074" s="419" t="s">
        <v>468</v>
      </c>
      <c r="E1074" s="419" t="s">
        <v>468</v>
      </c>
      <c r="F1074" s="425">
        <v>57.45</v>
      </c>
      <c r="G1074" s="427" t="s">
        <v>7939</v>
      </c>
      <c r="H1074" s="419" t="s">
        <v>468</v>
      </c>
      <c r="I1074" s="427" t="s">
        <v>1461</v>
      </c>
      <c r="J1074" s="418" t="s">
        <v>310</v>
      </c>
      <c r="K1074" s="418" t="s">
        <v>1220</v>
      </c>
      <c r="L1074" s="399" t="s">
        <v>1368</v>
      </c>
      <c r="M1074" s="544" t="s">
        <v>310</v>
      </c>
      <c r="N1074" s="413">
        <v>44883</v>
      </c>
      <c r="O1074" s="414" t="s">
        <v>3762</v>
      </c>
      <c r="P1074" s="655">
        <f t="shared" si="55"/>
        <v>11</v>
      </c>
      <c r="Q1074" s="655">
        <f t="shared" si="56"/>
        <v>9</v>
      </c>
      <c r="R1074" s="758" t="str">
        <f t="shared" si="57"/>
        <v>Gastos_custeados_por_captação</v>
      </c>
      <c r="S1074" s="697" t="s">
        <v>310</v>
      </c>
      <c r="T1074" s="697" t="s">
        <v>310</v>
      </c>
    </row>
    <row r="1075" spans="1:20" ht="36" x14ac:dyDescent="0.2">
      <c r="A1075" s="432">
        <f>IF(B1075="","",COUNT('Diário 1º PA'!$A$4:$A$2635)+COUNT('Diário 2º PA'!$A$4:$A$3040)+COUNT('Diário 3º PA'!$A$4:$A$2731)+ROW()-3)</f>
        <v>7100</v>
      </c>
      <c r="B1075" s="413">
        <v>44883</v>
      </c>
      <c r="C1075" s="431">
        <v>44805</v>
      </c>
      <c r="D1075" s="419" t="s">
        <v>468</v>
      </c>
      <c r="E1075" s="419" t="s">
        <v>468</v>
      </c>
      <c r="F1075" s="425">
        <v>57.45</v>
      </c>
      <c r="G1075" s="427" t="s">
        <v>7935</v>
      </c>
      <c r="H1075" s="419" t="s">
        <v>468</v>
      </c>
      <c r="I1075" s="427" t="s">
        <v>1461</v>
      </c>
      <c r="J1075" s="418" t="s">
        <v>310</v>
      </c>
      <c r="K1075" s="418" t="s">
        <v>1220</v>
      </c>
      <c r="L1075" s="399" t="s">
        <v>1368</v>
      </c>
      <c r="M1075" s="544" t="s">
        <v>310</v>
      </c>
      <c r="N1075" s="413">
        <v>44883</v>
      </c>
      <c r="O1075" s="414" t="s">
        <v>3762</v>
      </c>
      <c r="P1075" s="655">
        <f t="shared" si="55"/>
        <v>11</v>
      </c>
      <c r="Q1075" s="655">
        <f t="shared" si="56"/>
        <v>9</v>
      </c>
      <c r="R1075" s="758" t="str">
        <f t="shared" si="57"/>
        <v>Gastos_custeados_por_captação</v>
      </c>
      <c r="S1075" s="697" t="s">
        <v>310</v>
      </c>
      <c r="T1075" s="697" t="s">
        <v>310</v>
      </c>
    </row>
    <row r="1076" spans="1:20" ht="36" x14ac:dyDescent="0.2">
      <c r="A1076" s="432">
        <f>IF(B1076="","",COUNT('Diário 1º PA'!$A$4:$A$2635)+COUNT('Diário 2º PA'!$A$4:$A$3040)+COUNT('Diário 3º PA'!$A$4:$A$2731)+ROW()-3)</f>
        <v>7101</v>
      </c>
      <c r="B1076" s="413">
        <v>44883</v>
      </c>
      <c r="C1076" s="431">
        <v>44805</v>
      </c>
      <c r="D1076" s="419" t="s">
        <v>468</v>
      </c>
      <c r="E1076" s="419" t="s">
        <v>468</v>
      </c>
      <c r="F1076" s="425">
        <v>57.45</v>
      </c>
      <c r="G1076" s="427" t="s">
        <v>7942</v>
      </c>
      <c r="H1076" s="419" t="s">
        <v>468</v>
      </c>
      <c r="I1076" s="427" t="s">
        <v>1461</v>
      </c>
      <c r="J1076" s="418" t="s">
        <v>310</v>
      </c>
      <c r="K1076" s="418" t="s">
        <v>1220</v>
      </c>
      <c r="L1076" s="399" t="s">
        <v>1368</v>
      </c>
      <c r="M1076" s="544" t="s">
        <v>310</v>
      </c>
      <c r="N1076" s="413">
        <v>44883</v>
      </c>
      <c r="O1076" s="414" t="s">
        <v>3762</v>
      </c>
      <c r="P1076" s="655">
        <f t="shared" si="55"/>
        <v>11</v>
      </c>
      <c r="Q1076" s="655">
        <f t="shared" si="56"/>
        <v>9</v>
      </c>
      <c r="R1076" s="758" t="str">
        <f t="shared" si="57"/>
        <v>Gastos_custeados_por_captação</v>
      </c>
      <c r="S1076" s="697" t="s">
        <v>310</v>
      </c>
      <c r="T1076" s="697" t="s">
        <v>310</v>
      </c>
    </row>
    <row r="1077" spans="1:20" ht="36" x14ac:dyDescent="0.2">
      <c r="A1077" s="432">
        <f>IF(B1077="","",COUNT('Diário 1º PA'!$A$4:$A$2635)+COUNT('Diário 2º PA'!$A$4:$A$3040)+COUNT('Diário 3º PA'!$A$4:$A$2731)+ROW()-3)</f>
        <v>7102</v>
      </c>
      <c r="B1077" s="413">
        <v>44883</v>
      </c>
      <c r="C1077" s="431">
        <v>44805</v>
      </c>
      <c r="D1077" s="419" t="s">
        <v>468</v>
      </c>
      <c r="E1077" s="419" t="s">
        <v>468</v>
      </c>
      <c r="F1077" s="425">
        <v>57.45</v>
      </c>
      <c r="G1077" s="427" t="s">
        <v>7945</v>
      </c>
      <c r="H1077" s="419" t="s">
        <v>468</v>
      </c>
      <c r="I1077" s="427" t="s">
        <v>1461</v>
      </c>
      <c r="J1077" s="418" t="s">
        <v>310</v>
      </c>
      <c r="K1077" s="418" t="s">
        <v>1220</v>
      </c>
      <c r="L1077" s="399" t="s">
        <v>1368</v>
      </c>
      <c r="M1077" s="544" t="s">
        <v>310</v>
      </c>
      <c r="N1077" s="413">
        <v>44883</v>
      </c>
      <c r="O1077" s="414" t="s">
        <v>3762</v>
      </c>
      <c r="P1077" s="655">
        <f t="shared" si="55"/>
        <v>11</v>
      </c>
      <c r="Q1077" s="655">
        <f t="shared" si="56"/>
        <v>9</v>
      </c>
      <c r="R1077" s="758" t="str">
        <f t="shared" si="57"/>
        <v>Gastos_custeados_por_captação</v>
      </c>
      <c r="S1077" s="697" t="s">
        <v>310</v>
      </c>
      <c r="T1077" s="697" t="s">
        <v>310</v>
      </c>
    </row>
    <row r="1078" spans="1:20" ht="36" x14ac:dyDescent="0.2">
      <c r="A1078" s="432">
        <f>IF(B1078="","",COUNT('Diário 1º PA'!$A$4:$A$2635)+COUNT('Diário 2º PA'!$A$4:$A$3040)+COUNT('Diário 3º PA'!$A$4:$A$2731)+ROW()-3)</f>
        <v>7103</v>
      </c>
      <c r="B1078" s="413">
        <v>44883</v>
      </c>
      <c r="C1078" s="431">
        <v>44835</v>
      </c>
      <c r="D1078" s="419" t="s">
        <v>468</v>
      </c>
      <c r="E1078" s="419" t="s">
        <v>468</v>
      </c>
      <c r="F1078" s="425">
        <v>57.45</v>
      </c>
      <c r="G1078" s="427" t="s">
        <v>8433</v>
      </c>
      <c r="H1078" s="419" t="s">
        <v>468</v>
      </c>
      <c r="I1078" s="427" t="s">
        <v>1461</v>
      </c>
      <c r="J1078" s="418" t="s">
        <v>310</v>
      </c>
      <c r="K1078" s="418" t="s">
        <v>1220</v>
      </c>
      <c r="L1078" s="399" t="s">
        <v>1368</v>
      </c>
      <c r="M1078" s="544" t="s">
        <v>310</v>
      </c>
      <c r="N1078" s="413">
        <v>44883</v>
      </c>
      <c r="O1078" s="414" t="s">
        <v>3762</v>
      </c>
      <c r="P1078" s="655">
        <f t="shared" si="55"/>
        <v>11</v>
      </c>
      <c r="Q1078" s="655">
        <f t="shared" si="56"/>
        <v>10</v>
      </c>
      <c r="R1078" s="758" t="str">
        <f t="shared" si="57"/>
        <v>Gastos_custeados_por_captação</v>
      </c>
      <c r="S1078" s="697" t="s">
        <v>310</v>
      </c>
      <c r="T1078" s="697" t="s">
        <v>310</v>
      </c>
    </row>
    <row r="1079" spans="1:20" ht="36" x14ac:dyDescent="0.2">
      <c r="A1079" s="432">
        <f>IF(B1079="","",COUNT('Diário 1º PA'!$A$4:$A$2635)+COUNT('Diário 2º PA'!$A$4:$A$3040)+COUNT('Diário 3º PA'!$A$4:$A$2731)+ROW()-3)</f>
        <v>7104</v>
      </c>
      <c r="B1079" s="413">
        <v>44883</v>
      </c>
      <c r="C1079" s="431">
        <v>44835</v>
      </c>
      <c r="D1079" s="419" t="s">
        <v>468</v>
      </c>
      <c r="E1079" s="419" t="s">
        <v>468</v>
      </c>
      <c r="F1079" s="422">
        <v>37.4</v>
      </c>
      <c r="G1079" s="427" t="s">
        <v>7951</v>
      </c>
      <c r="H1079" s="419" t="s">
        <v>468</v>
      </c>
      <c r="I1079" s="427" t="s">
        <v>1461</v>
      </c>
      <c r="J1079" s="418" t="s">
        <v>310</v>
      </c>
      <c r="K1079" s="418" t="s">
        <v>1220</v>
      </c>
      <c r="L1079" s="399" t="s">
        <v>1368</v>
      </c>
      <c r="M1079" s="544" t="s">
        <v>310</v>
      </c>
      <c r="N1079" s="413">
        <v>44883</v>
      </c>
      <c r="O1079" s="414" t="s">
        <v>3762</v>
      </c>
      <c r="P1079" s="655">
        <f t="shared" si="55"/>
        <v>11</v>
      </c>
      <c r="Q1079" s="655">
        <f t="shared" si="56"/>
        <v>10</v>
      </c>
      <c r="R1079" s="758" t="str">
        <f t="shared" si="57"/>
        <v>Gastos_custeados_por_captação</v>
      </c>
      <c r="S1079" s="697" t="s">
        <v>310</v>
      </c>
      <c r="T1079" s="697" t="s">
        <v>310</v>
      </c>
    </row>
    <row r="1080" spans="1:20" ht="48" x14ac:dyDescent="0.2">
      <c r="A1080" s="432">
        <f>IF(B1080="","",COUNT('Diário 1º PA'!$A$4:$A$2635)+COUNT('Diário 2º PA'!$A$4:$A$3040)+COUNT('Diário 3º PA'!$A$4:$A$2731)+ROW()-3)</f>
        <v>7105</v>
      </c>
      <c r="B1080" s="413">
        <v>44883</v>
      </c>
      <c r="C1080" s="431">
        <v>44835</v>
      </c>
      <c r="D1080" s="415" t="s">
        <v>468</v>
      </c>
      <c r="E1080" s="415" t="s">
        <v>468</v>
      </c>
      <c r="F1080" s="425">
        <v>-2715.59</v>
      </c>
      <c r="G1080" s="427" t="s">
        <v>8313</v>
      </c>
      <c r="H1080" s="415" t="s">
        <v>468</v>
      </c>
      <c r="I1080" s="427" t="s">
        <v>795</v>
      </c>
      <c r="J1080" s="415" t="s">
        <v>796</v>
      </c>
      <c r="K1080" s="419" t="s">
        <v>806</v>
      </c>
      <c r="L1080" s="415" t="s">
        <v>798</v>
      </c>
      <c r="M1080" s="415" t="s">
        <v>310</v>
      </c>
      <c r="N1080" s="413">
        <v>44883</v>
      </c>
      <c r="O1080" s="414" t="s">
        <v>400</v>
      </c>
      <c r="P1080" s="655">
        <f t="shared" si="55"/>
        <v>11</v>
      </c>
      <c r="Q1080" s="655">
        <f t="shared" si="56"/>
        <v>10</v>
      </c>
      <c r="R1080" s="758" t="str">
        <f t="shared" si="57"/>
        <v>Gastos_custeados_por_captação</v>
      </c>
      <c r="S1080" s="697" t="s">
        <v>310</v>
      </c>
      <c r="T1080" s="697" t="s">
        <v>310</v>
      </c>
    </row>
    <row r="1081" spans="1:20" ht="48" x14ac:dyDescent="0.2">
      <c r="A1081" s="432">
        <f>IF(B1081="","",COUNT('Diário 1º PA'!$A$4:$A$2635)+COUNT('Diário 2º PA'!$A$4:$A$3040)+COUNT('Diário 3º PA'!$A$4:$A$2731)+ROW()-3)</f>
        <v>7106</v>
      </c>
      <c r="B1081" s="413">
        <v>44883</v>
      </c>
      <c r="C1081" s="431">
        <v>44835</v>
      </c>
      <c r="D1081" s="415" t="s">
        <v>468</v>
      </c>
      <c r="E1081" s="415" t="s">
        <v>468</v>
      </c>
      <c r="F1081" s="425">
        <v>-3759.26</v>
      </c>
      <c r="G1081" s="427" t="s">
        <v>8314</v>
      </c>
      <c r="H1081" s="415" t="s">
        <v>468</v>
      </c>
      <c r="I1081" s="398" t="s">
        <v>795</v>
      </c>
      <c r="J1081" s="418" t="s">
        <v>796</v>
      </c>
      <c r="K1081" s="418" t="s">
        <v>797</v>
      </c>
      <c r="L1081" s="399" t="s">
        <v>798</v>
      </c>
      <c r="M1081" s="544" t="s">
        <v>310</v>
      </c>
      <c r="N1081" s="413">
        <v>44883</v>
      </c>
      <c r="O1081" s="414" t="s">
        <v>400</v>
      </c>
      <c r="P1081" s="655">
        <f t="shared" si="55"/>
        <v>11</v>
      </c>
      <c r="Q1081" s="655">
        <f t="shared" si="56"/>
        <v>10</v>
      </c>
      <c r="R1081" s="758" t="str">
        <f t="shared" si="57"/>
        <v>Gastos_custeados_por_captação</v>
      </c>
      <c r="S1081" s="697" t="s">
        <v>310</v>
      </c>
      <c r="T1081" s="697" t="s">
        <v>310</v>
      </c>
    </row>
    <row r="1082" spans="1:20" ht="48" x14ac:dyDescent="0.2">
      <c r="A1082" s="432">
        <f>IF(B1082="","",COUNT('Diário 1º PA'!$A$4:$A$2635)+COUNT('Diário 2º PA'!$A$4:$A$3040)+COUNT('Diário 3º PA'!$A$4:$A$2731)+ROW()-3)</f>
        <v>7107</v>
      </c>
      <c r="B1082" s="413">
        <v>44883</v>
      </c>
      <c r="C1082" s="431">
        <v>44835</v>
      </c>
      <c r="D1082" s="415" t="s">
        <v>271</v>
      </c>
      <c r="E1082" s="415" t="s">
        <v>90</v>
      </c>
      <c r="F1082" s="425">
        <v>-1320</v>
      </c>
      <c r="G1082" s="427" t="s">
        <v>8315</v>
      </c>
      <c r="H1082" s="415" t="s">
        <v>310</v>
      </c>
      <c r="I1082" s="398" t="s">
        <v>795</v>
      </c>
      <c r="J1082" s="418" t="s">
        <v>796</v>
      </c>
      <c r="K1082" s="418" t="s">
        <v>797</v>
      </c>
      <c r="L1082" s="399" t="s">
        <v>798</v>
      </c>
      <c r="M1082" s="544" t="s">
        <v>310</v>
      </c>
      <c r="N1082" s="413">
        <v>44883</v>
      </c>
      <c r="O1082" s="414" t="s">
        <v>400</v>
      </c>
      <c r="P1082" s="655">
        <f t="shared" si="55"/>
        <v>11</v>
      </c>
      <c r="Q1082" s="655">
        <f t="shared" si="56"/>
        <v>10</v>
      </c>
      <c r="R1082" s="758" t="str">
        <f t="shared" si="57"/>
        <v>Gastos_Gerais</v>
      </c>
      <c r="S1082" s="697" t="s">
        <v>310</v>
      </c>
      <c r="T1082" s="697" t="s">
        <v>310</v>
      </c>
    </row>
    <row r="1083" spans="1:20" ht="48" x14ac:dyDescent="0.2">
      <c r="A1083" s="432">
        <f>IF(B1083="","",COUNT('Diário 1º PA'!$A$4:$A$2635)+COUNT('Diário 2º PA'!$A$4:$A$3040)+COUNT('Diário 3º PA'!$A$4:$A$2731)+ROW()-3)</f>
        <v>7108</v>
      </c>
      <c r="B1083" s="413">
        <v>44883</v>
      </c>
      <c r="C1083" s="431">
        <v>44835</v>
      </c>
      <c r="D1083" s="415" t="s">
        <v>468</v>
      </c>
      <c r="E1083" s="415" t="s">
        <v>468</v>
      </c>
      <c r="F1083" s="425">
        <v>-930</v>
      </c>
      <c r="G1083" s="427" t="s">
        <v>8316</v>
      </c>
      <c r="H1083" s="415" t="s">
        <v>468</v>
      </c>
      <c r="I1083" s="398" t="s">
        <v>795</v>
      </c>
      <c r="J1083" s="418" t="s">
        <v>796</v>
      </c>
      <c r="K1083" s="418" t="s">
        <v>797</v>
      </c>
      <c r="L1083" s="399" t="s">
        <v>798</v>
      </c>
      <c r="M1083" s="544" t="s">
        <v>310</v>
      </c>
      <c r="N1083" s="413">
        <v>44883</v>
      </c>
      <c r="O1083" s="414" t="s">
        <v>400</v>
      </c>
      <c r="P1083" s="655">
        <f t="shared" si="55"/>
        <v>11</v>
      </c>
      <c r="Q1083" s="655">
        <f t="shared" si="56"/>
        <v>10</v>
      </c>
      <c r="R1083" s="758" t="str">
        <f t="shared" si="57"/>
        <v>Gastos_custeados_por_captação</v>
      </c>
      <c r="S1083" s="697" t="s">
        <v>310</v>
      </c>
      <c r="T1083" s="697" t="s">
        <v>310</v>
      </c>
    </row>
    <row r="1084" spans="1:20" ht="48" x14ac:dyDescent="0.2">
      <c r="A1084" s="432">
        <f>IF(B1084="","",COUNT('Diário 1º PA'!$A$4:$A$2635)+COUNT('Diário 2º PA'!$A$4:$A$3040)+COUNT('Diário 3º PA'!$A$4:$A$2731)+ROW()-3)</f>
        <v>7109</v>
      </c>
      <c r="B1084" s="413">
        <v>44883</v>
      </c>
      <c r="C1084" s="431">
        <v>44835</v>
      </c>
      <c r="D1084" s="415" t="s">
        <v>468</v>
      </c>
      <c r="E1084" s="415" t="s">
        <v>468</v>
      </c>
      <c r="F1084" s="425">
        <v>-5533.5</v>
      </c>
      <c r="G1084" s="427" t="s">
        <v>8317</v>
      </c>
      <c r="H1084" s="415" t="s">
        <v>468</v>
      </c>
      <c r="I1084" s="398" t="s">
        <v>795</v>
      </c>
      <c r="J1084" s="418" t="s">
        <v>796</v>
      </c>
      <c r="K1084" s="418" t="s">
        <v>797</v>
      </c>
      <c r="L1084" s="399" t="s">
        <v>798</v>
      </c>
      <c r="M1084" s="544" t="s">
        <v>310</v>
      </c>
      <c r="N1084" s="413">
        <v>44883</v>
      </c>
      <c r="O1084" s="414" t="s">
        <v>400</v>
      </c>
      <c r="P1084" s="655">
        <f t="shared" si="55"/>
        <v>11</v>
      </c>
      <c r="Q1084" s="655">
        <f t="shared" si="56"/>
        <v>10</v>
      </c>
      <c r="R1084" s="758" t="str">
        <f t="shared" si="57"/>
        <v>Gastos_custeados_por_captação</v>
      </c>
      <c r="S1084" s="697" t="s">
        <v>310</v>
      </c>
      <c r="T1084" s="697" t="s">
        <v>310</v>
      </c>
    </row>
    <row r="1085" spans="1:20" ht="48" x14ac:dyDescent="0.2">
      <c r="A1085" s="432">
        <f>IF(B1085="","",COUNT('Diário 1º PA'!$A$4:$A$2635)+COUNT('Diário 2º PA'!$A$4:$A$3040)+COUNT('Diário 3º PA'!$A$4:$A$2731)+ROW()-3)</f>
        <v>7110</v>
      </c>
      <c r="B1085" s="413">
        <v>44883</v>
      </c>
      <c r="C1085" s="431">
        <v>44835</v>
      </c>
      <c r="D1085" s="415" t="s">
        <v>271</v>
      </c>
      <c r="E1085" s="415" t="s">
        <v>90</v>
      </c>
      <c r="F1085" s="425">
        <v>-1452</v>
      </c>
      <c r="G1085" s="427" t="s">
        <v>8318</v>
      </c>
      <c r="H1085" s="415" t="s">
        <v>310</v>
      </c>
      <c r="I1085" s="398" t="s">
        <v>795</v>
      </c>
      <c r="J1085" s="418" t="s">
        <v>796</v>
      </c>
      <c r="K1085" s="418" t="s">
        <v>797</v>
      </c>
      <c r="L1085" s="399" t="s">
        <v>798</v>
      </c>
      <c r="M1085" s="544" t="s">
        <v>310</v>
      </c>
      <c r="N1085" s="413">
        <v>44883</v>
      </c>
      <c r="O1085" s="414" t="s">
        <v>400</v>
      </c>
      <c r="P1085" s="655">
        <f t="shared" si="55"/>
        <v>11</v>
      </c>
      <c r="Q1085" s="655">
        <f t="shared" si="56"/>
        <v>10</v>
      </c>
      <c r="R1085" s="758" t="str">
        <f t="shared" si="57"/>
        <v>Gastos_Gerais</v>
      </c>
      <c r="S1085" s="697" t="s">
        <v>310</v>
      </c>
      <c r="T1085" s="697" t="s">
        <v>310</v>
      </c>
    </row>
    <row r="1086" spans="1:20" ht="48" x14ac:dyDescent="0.2">
      <c r="A1086" s="432">
        <f>IF(B1086="","",COUNT('Diário 1º PA'!$A$4:$A$2635)+COUNT('Diário 2º PA'!$A$4:$A$3040)+COUNT('Diário 3º PA'!$A$4:$A$2731)+ROW()-3)</f>
        <v>7111</v>
      </c>
      <c r="B1086" s="413">
        <v>44883</v>
      </c>
      <c r="C1086" s="431">
        <v>44835</v>
      </c>
      <c r="D1086" s="415" t="s">
        <v>182</v>
      </c>
      <c r="E1086" s="415" t="s">
        <v>1</v>
      </c>
      <c r="F1086" s="425">
        <v>-2025.82</v>
      </c>
      <c r="G1086" s="427" t="s">
        <v>8320</v>
      </c>
      <c r="H1086" s="415" t="s">
        <v>310</v>
      </c>
      <c r="I1086" s="473" t="s">
        <v>795</v>
      </c>
      <c r="J1086" s="415" t="s">
        <v>796</v>
      </c>
      <c r="K1086" s="415" t="s">
        <v>797</v>
      </c>
      <c r="L1086" s="415" t="s">
        <v>798</v>
      </c>
      <c r="M1086" s="415" t="s">
        <v>310</v>
      </c>
      <c r="N1086" s="413">
        <v>44883</v>
      </c>
      <c r="O1086" s="414" t="s">
        <v>400</v>
      </c>
      <c r="P1086" s="655">
        <f t="shared" si="55"/>
        <v>11</v>
      </c>
      <c r="Q1086" s="655">
        <f t="shared" si="56"/>
        <v>10</v>
      </c>
      <c r="R1086" s="758" t="str">
        <f t="shared" si="57"/>
        <v>Gastos_com_Pessoal</v>
      </c>
      <c r="S1086" s="697" t="s">
        <v>310</v>
      </c>
      <c r="T1086" s="697" t="s">
        <v>310</v>
      </c>
    </row>
    <row r="1087" spans="1:20" ht="48" x14ac:dyDescent="0.2">
      <c r="A1087" s="432">
        <f>IF(B1087="","",COUNT('Diário 1º PA'!$A$4:$A$2635)+COUNT('Diário 2º PA'!$A$4:$A$3040)+COUNT('Diário 3º PA'!$A$4:$A$2731)+ROW()-3)</f>
        <v>7112</v>
      </c>
      <c r="B1087" s="413">
        <v>44883</v>
      </c>
      <c r="C1087" s="431">
        <v>44835</v>
      </c>
      <c r="D1087" s="415" t="s">
        <v>182</v>
      </c>
      <c r="E1087" s="415" t="s">
        <v>252</v>
      </c>
      <c r="F1087" s="425">
        <v>-5407.16</v>
      </c>
      <c r="G1087" s="427" t="s">
        <v>8321</v>
      </c>
      <c r="H1087" s="415" t="s">
        <v>310</v>
      </c>
      <c r="I1087" s="473" t="s">
        <v>795</v>
      </c>
      <c r="J1087" s="415" t="s">
        <v>796</v>
      </c>
      <c r="K1087" s="415" t="s">
        <v>797</v>
      </c>
      <c r="L1087" s="415" t="s">
        <v>798</v>
      </c>
      <c r="M1087" s="415" t="s">
        <v>310</v>
      </c>
      <c r="N1087" s="413">
        <v>44883</v>
      </c>
      <c r="O1087" s="414" t="s">
        <v>400</v>
      </c>
      <c r="P1087" s="655">
        <f t="shared" si="55"/>
        <v>11</v>
      </c>
      <c r="Q1087" s="655">
        <f t="shared" si="56"/>
        <v>10</v>
      </c>
      <c r="R1087" s="758" t="str">
        <f t="shared" si="57"/>
        <v>Gastos_com_Pessoal</v>
      </c>
      <c r="S1087" s="697" t="s">
        <v>310</v>
      </c>
      <c r="T1087" s="697" t="s">
        <v>310</v>
      </c>
    </row>
    <row r="1088" spans="1:20" ht="48" x14ac:dyDescent="0.2">
      <c r="A1088" s="432">
        <f>IF(B1088="","",COUNT('Diário 1º PA'!$A$4:$A$2635)+COUNT('Diário 2º PA'!$A$4:$A$3040)+COUNT('Diário 3º PA'!$A$4:$A$2731)+ROW()-3)</f>
        <v>7113</v>
      </c>
      <c r="B1088" s="413">
        <v>44883</v>
      </c>
      <c r="C1088" s="431">
        <v>44835</v>
      </c>
      <c r="D1088" s="415" t="s">
        <v>271</v>
      </c>
      <c r="E1088" s="415" t="s">
        <v>90</v>
      </c>
      <c r="F1088" s="425">
        <v>-626.20000000000005</v>
      </c>
      <c r="G1088" s="427" t="s">
        <v>8322</v>
      </c>
      <c r="H1088" s="415" t="s">
        <v>310</v>
      </c>
      <c r="I1088" s="398" t="s">
        <v>795</v>
      </c>
      <c r="J1088" s="418" t="s">
        <v>796</v>
      </c>
      <c r="K1088" s="418" t="s">
        <v>797</v>
      </c>
      <c r="L1088" s="399" t="s">
        <v>798</v>
      </c>
      <c r="M1088" s="544" t="s">
        <v>310</v>
      </c>
      <c r="N1088" s="413">
        <v>44883</v>
      </c>
      <c r="O1088" s="414" t="s">
        <v>400</v>
      </c>
      <c r="P1088" s="655">
        <f t="shared" si="55"/>
        <v>11</v>
      </c>
      <c r="Q1088" s="655">
        <f t="shared" si="56"/>
        <v>10</v>
      </c>
      <c r="R1088" s="758" t="str">
        <f t="shared" si="57"/>
        <v>Gastos_Gerais</v>
      </c>
      <c r="S1088" s="697" t="s">
        <v>310</v>
      </c>
      <c r="T1088" s="697" t="s">
        <v>310</v>
      </c>
    </row>
    <row r="1089" spans="1:20" ht="48" x14ac:dyDescent="0.2">
      <c r="A1089" s="432">
        <f>IF(B1089="","",COUNT('Diário 1º PA'!$A$4:$A$2635)+COUNT('Diário 2º PA'!$A$4:$A$3040)+COUNT('Diário 3º PA'!$A$4:$A$2731)+ROW()-3)</f>
        <v>7114</v>
      </c>
      <c r="B1089" s="413">
        <v>44883</v>
      </c>
      <c r="C1089" s="431">
        <v>44835</v>
      </c>
      <c r="D1089" s="415" t="s">
        <v>468</v>
      </c>
      <c r="E1089" s="415" t="s">
        <v>468</v>
      </c>
      <c r="F1089" s="425">
        <v>-7362.5</v>
      </c>
      <c r="G1089" s="427" t="s">
        <v>8319</v>
      </c>
      <c r="H1089" s="415" t="s">
        <v>468</v>
      </c>
      <c r="I1089" s="427" t="s">
        <v>795</v>
      </c>
      <c r="J1089" s="415" t="s">
        <v>796</v>
      </c>
      <c r="K1089" s="415" t="s">
        <v>797</v>
      </c>
      <c r="L1089" s="415" t="s">
        <v>798</v>
      </c>
      <c r="M1089" s="415" t="s">
        <v>310</v>
      </c>
      <c r="N1089" s="413">
        <v>44883</v>
      </c>
      <c r="O1089" s="414" t="s">
        <v>400</v>
      </c>
      <c r="P1089" s="655">
        <f t="shared" si="55"/>
        <v>11</v>
      </c>
      <c r="Q1089" s="655">
        <f t="shared" si="56"/>
        <v>10</v>
      </c>
      <c r="R1089" s="758" t="str">
        <f t="shared" si="57"/>
        <v>Gastos_custeados_por_captação</v>
      </c>
      <c r="S1089" s="697" t="s">
        <v>310</v>
      </c>
      <c r="T1089" s="697" t="s">
        <v>310</v>
      </c>
    </row>
    <row r="1090" spans="1:20" ht="48" x14ac:dyDescent="0.2">
      <c r="A1090" s="432">
        <f>IF(B1090="","",COUNT('Diário 1º PA'!$A$4:$A$2635)+COUNT('Diário 2º PA'!$A$4:$A$3040)+COUNT('Diário 3º PA'!$A$4:$A$2731)+ROW()-3)</f>
        <v>7115</v>
      </c>
      <c r="B1090" s="413">
        <v>44883</v>
      </c>
      <c r="C1090" s="431">
        <v>44835</v>
      </c>
      <c r="D1090" s="415" t="s">
        <v>468</v>
      </c>
      <c r="E1090" s="415" t="s">
        <v>468</v>
      </c>
      <c r="F1090" s="425">
        <v>-477.59</v>
      </c>
      <c r="G1090" s="427" t="s">
        <v>8323</v>
      </c>
      <c r="H1090" s="415" t="s">
        <v>468</v>
      </c>
      <c r="I1090" s="473" t="s">
        <v>795</v>
      </c>
      <c r="J1090" s="415" t="s">
        <v>796</v>
      </c>
      <c r="K1090" s="415" t="s">
        <v>797</v>
      </c>
      <c r="L1090" s="415" t="s">
        <v>798</v>
      </c>
      <c r="M1090" s="415" t="s">
        <v>310</v>
      </c>
      <c r="N1090" s="413">
        <v>44883</v>
      </c>
      <c r="O1090" s="414" t="s">
        <v>400</v>
      </c>
      <c r="P1090" s="655">
        <f t="shared" si="55"/>
        <v>11</v>
      </c>
      <c r="Q1090" s="655">
        <f t="shared" si="56"/>
        <v>10</v>
      </c>
      <c r="R1090" s="758" t="str">
        <f t="shared" si="57"/>
        <v>Gastos_custeados_por_captação</v>
      </c>
      <c r="S1090" s="697" t="s">
        <v>310</v>
      </c>
      <c r="T1090" s="697" t="s">
        <v>310</v>
      </c>
    </row>
    <row r="1091" spans="1:20" ht="48" x14ac:dyDescent="0.2">
      <c r="A1091" s="432">
        <f>IF(B1091="","",COUNT('Diário 1º PA'!$A$4:$A$2635)+COUNT('Diário 2º PA'!$A$4:$A$3040)+COUNT('Diário 3º PA'!$A$4:$A$2731)+ROW()-3)</f>
        <v>7116</v>
      </c>
      <c r="B1091" s="413">
        <v>44883</v>
      </c>
      <c r="C1091" s="431">
        <v>44835</v>
      </c>
      <c r="D1091" s="415" t="s">
        <v>468</v>
      </c>
      <c r="E1091" s="415" t="s">
        <v>468</v>
      </c>
      <c r="F1091" s="425">
        <v>-3100</v>
      </c>
      <c r="G1091" s="427" t="s">
        <v>8324</v>
      </c>
      <c r="H1091" s="415" t="s">
        <v>468</v>
      </c>
      <c r="I1091" s="473" t="s">
        <v>795</v>
      </c>
      <c r="J1091" s="415" t="s">
        <v>796</v>
      </c>
      <c r="K1091" s="415" t="s">
        <v>797</v>
      </c>
      <c r="L1091" s="415" t="s">
        <v>798</v>
      </c>
      <c r="M1091" s="415" t="s">
        <v>310</v>
      </c>
      <c r="N1091" s="413">
        <v>44883</v>
      </c>
      <c r="O1091" s="414" t="s">
        <v>400</v>
      </c>
      <c r="P1091" s="655">
        <f t="shared" si="55"/>
        <v>11</v>
      </c>
      <c r="Q1091" s="655">
        <f t="shared" si="56"/>
        <v>10</v>
      </c>
      <c r="R1091" s="758" t="str">
        <f t="shared" si="57"/>
        <v>Gastos_custeados_por_captação</v>
      </c>
      <c r="S1091" s="697" t="s">
        <v>310</v>
      </c>
      <c r="T1091" s="697" t="s">
        <v>310</v>
      </c>
    </row>
    <row r="1092" spans="1:20" ht="48" x14ac:dyDescent="0.2">
      <c r="A1092" s="432">
        <f>IF(B1092="","",COUNT('Diário 1º PA'!$A$4:$A$2635)+COUNT('Diário 2º PA'!$A$4:$A$3040)+COUNT('Diário 3º PA'!$A$4:$A$2731)+ROW()-3)</f>
        <v>7117</v>
      </c>
      <c r="B1092" s="413">
        <v>44883</v>
      </c>
      <c r="C1092" s="431">
        <v>44835</v>
      </c>
      <c r="D1092" s="415" t="s">
        <v>468</v>
      </c>
      <c r="E1092" s="415" t="s">
        <v>468</v>
      </c>
      <c r="F1092" s="425">
        <v>-2015</v>
      </c>
      <c r="G1092" s="427" t="s">
        <v>8325</v>
      </c>
      <c r="H1092" s="415" t="s">
        <v>468</v>
      </c>
      <c r="I1092" s="473" t="s">
        <v>795</v>
      </c>
      <c r="J1092" s="415" t="s">
        <v>796</v>
      </c>
      <c r="K1092" s="415" t="s">
        <v>797</v>
      </c>
      <c r="L1092" s="415" t="s">
        <v>798</v>
      </c>
      <c r="M1092" s="415" t="s">
        <v>310</v>
      </c>
      <c r="N1092" s="413">
        <v>44883</v>
      </c>
      <c r="O1092" s="414" t="s">
        <v>400</v>
      </c>
      <c r="P1092" s="655">
        <f t="shared" si="55"/>
        <v>11</v>
      </c>
      <c r="Q1092" s="655">
        <f t="shared" si="56"/>
        <v>10</v>
      </c>
      <c r="R1092" s="758" t="str">
        <f t="shared" si="57"/>
        <v>Gastos_custeados_por_captação</v>
      </c>
      <c r="S1092" s="697" t="s">
        <v>310</v>
      </c>
      <c r="T1092" s="697" t="s">
        <v>310</v>
      </c>
    </row>
    <row r="1093" spans="1:20" ht="48" x14ac:dyDescent="0.2">
      <c r="A1093" s="432">
        <f>IF(B1093="","",COUNT('Diário 1º PA'!$A$4:$A$2635)+COUNT('Diário 2º PA'!$A$4:$A$3040)+COUNT('Diário 3º PA'!$A$4:$A$2731)+ROW()-3)</f>
        <v>7118</v>
      </c>
      <c r="B1093" s="413">
        <v>44883</v>
      </c>
      <c r="C1093" s="431">
        <v>44835</v>
      </c>
      <c r="D1093" s="415" t="s">
        <v>468</v>
      </c>
      <c r="E1093" s="415" t="s">
        <v>468</v>
      </c>
      <c r="F1093" s="425">
        <v>-8595.89</v>
      </c>
      <c r="G1093" s="427" t="s">
        <v>8326</v>
      </c>
      <c r="H1093" s="415" t="s">
        <v>468</v>
      </c>
      <c r="I1093" s="473" t="s">
        <v>795</v>
      </c>
      <c r="J1093" s="415" t="s">
        <v>796</v>
      </c>
      <c r="K1093" s="415" t="s">
        <v>797</v>
      </c>
      <c r="L1093" s="415" t="s">
        <v>798</v>
      </c>
      <c r="M1093" s="415" t="s">
        <v>310</v>
      </c>
      <c r="N1093" s="413">
        <v>44883</v>
      </c>
      <c r="O1093" s="414" t="s">
        <v>400</v>
      </c>
      <c r="P1093" s="655">
        <f t="shared" si="55"/>
        <v>11</v>
      </c>
      <c r="Q1093" s="655">
        <f t="shared" si="56"/>
        <v>10</v>
      </c>
      <c r="R1093" s="758" t="str">
        <f t="shared" si="57"/>
        <v>Gastos_custeados_por_captação</v>
      </c>
      <c r="S1093" s="697" t="s">
        <v>310</v>
      </c>
      <c r="T1093" s="697" t="s">
        <v>310</v>
      </c>
    </row>
    <row r="1094" spans="1:20" ht="48" x14ac:dyDescent="0.2">
      <c r="A1094" s="432">
        <f>IF(B1094="","",COUNT('Diário 1º PA'!$A$4:$A$2635)+COUNT('Diário 2º PA'!$A$4:$A$3040)+COUNT('Diário 3º PA'!$A$4:$A$2731)+ROW()-3)</f>
        <v>7119</v>
      </c>
      <c r="B1094" s="413">
        <v>44883</v>
      </c>
      <c r="C1094" s="431">
        <v>44835</v>
      </c>
      <c r="D1094" s="415" t="s">
        <v>468</v>
      </c>
      <c r="E1094" s="415" t="s">
        <v>468</v>
      </c>
      <c r="F1094" s="425">
        <v>-6510</v>
      </c>
      <c r="G1094" s="427" t="s">
        <v>8327</v>
      </c>
      <c r="H1094" s="415" t="s">
        <v>468</v>
      </c>
      <c r="I1094" s="473" t="s">
        <v>795</v>
      </c>
      <c r="J1094" s="415" t="s">
        <v>796</v>
      </c>
      <c r="K1094" s="415" t="s">
        <v>797</v>
      </c>
      <c r="L1094" s="415" t="s">
        <v>798</v>
      </c>
      <c r="M1094" s="415" t="s">
        <v>310</v>
      </c>
      <c r="N1094" s="413">
        <v>44883</v>
      </c>
      <c r="O1094" s="414" t="s">
        <v>400</v>
      </c>
      <c r="P1094" s="655">
        <f t="shared" si="55"/>
        <v>11</v>
      </c>
      <c r="Q1094" s="655">
        <f t="shared" si="56"/>
        <v>10</v>
      </c>
      <c r="R1094" s="758" t="str">
        <f t="shared" si="57"/>
        <v>Gastos_custeados_por_captação</v>
      </c>
      <c r="S1094" s="697" t="s">
        <v>310</v>
      </c>
      <c r="T1094" s="697" t="s">
        <v>310</v>
      </c>
    </row>
    <row r="1095" spans="1:20" ht="24" x14ac:dyDescent="0.2">
      <c r="A1095" s="432">
        <f>IF(B1095="","",COUNT('Diário 1º PA'!$A$4:$A$2635)+COUNT('Diário 2º PA'!$A$4:$A$3040)+COUNT('Diário 3º PA'!$A$4:$A$2731)+ROW()-3)</f>
        <v>7120</v>
      </c>
      <c r="B1095" s="413">
        <v>44883</v>
      </c>
      <c r="C1095" s="431">
        <v>44805</v>
      </c>
      <c r="D1095" s="415" t="s">
        <v>271</v>
      </c>
      <c r="E1095" s="415" t="s">
        <v>59</v>
      </c>
      <c r="F1095" s="425">
        <v>395.25</v>
      </c>
      <c r="G1095" s="427" t="s">
        <v>7540</v>
      </c>
      <c r="H1095" s="415" t="s">
        <v>309</v>
      </c>
      <c r="I1095" s="473" t="s">
        <v>1461</v>
      </c>
      <c r="J1095" s="415" t="s">
        <v>310</v>
      </c>
      <c r="K1095" s="415" t="s">
        <v>1220</v>
      </c>
      <c r="L1095" s="415" t="s">
        <v>1368</v>
      </c>
      <c r="M1095" s="415" t="s">
        <v>310</v>
      </c>
      <c r="N1095" s="413">
        <v>44883</v>
      </c>
      <c r="O1095" s="414" t="s">
        <v>400</v>
      </c>
      <c r="P1095" s="655">
        <f t="shared" si="55"/>
        <v>11</v>
      </c>
      <c r="Q1095" s="655">
        <f t="shared" si="56"/>
        <v>9</v>
      </c>
      <c r="R1095" s="758" t="str">
        <f t="shared" si="57"/>
        <v>Gastos_Gerais</v>
      </c>
      <c r="S1095" s="697" t="s">
        <v>310</v>
      </c>
      <c r="T1095" s="697" t="s">
        <v>310</v>
      </c>
    </row>
    <row r="1096" spans="1:20" ht="36" x14ac:dyDescent="0.2">
      <c r="A1096" s="432">
        <f>IF(B1096="","",COUNT('Diário 1º PA'!$A$4:$A$2635)+COUNT('Diário 2º PA'!$A$4:$A$3040)+COUNT('Diário 3º PA'!$A$4:$A$2731)+ROW()-3)</f>
        <v>7121</v>
      </c>
      <c r="B1096" s="413">
        <v>44883</v>
      </c>
      <c r="C1096" s="433">
        <v>44774</v>
      </c>
      <c r="D1096" s="434" t="s">
        <v>182</v>
      </c>
      <c r="E1096" s="434" t="s">
        <v>1</v>
      </c>
      <c r="F1096" s="425">
        <v>44.27</v>
      </c>
      <c r="G1096" s="427" t="s">
        <v>8328</v>
      </c>
      <c r="H1096" s="415" t="s">
        <v>310</v>
      </c>
      <c r="I1096" s="473" t="s">
        <v>1461</v>
      </c>
      <c r="J1096" s="415" t="s">
        <v>310</v>
      </c>
      <c r="K1096" s="415" t="s">
        <v>1220</v>
      </c>
      <c r="L1096" s="415" t="s">
        <v>1368</v>
      </c>
      <c r="M1096" s="415" t="s">
        <v>310</v>
      </c>
      <c r="N1096" s="413">
        <v>44883</v>
      </c>
      <c r="O1096" s="414" t="s">
        <v>400</v>
      </c>
      <c r="P1096" s="655">
        <f t="shared" si="55"/>
        <v>11</v>
      </c>
      <c r="Q1096" s="655">
        <f t="shared" si="56"/>
        <v>8</v>
      </c>
      <c r="R1096" s="758" t="str">
        <f t="shared" si="57"/>
        <v>Gastos_com_Pessoal</v>
      </c>
      <c r="S1096" s="697" t="s">
        <v>310</v>
      </c>
      <c r="T1096" s="697" t="s">
        <v>310</v>
      </c>
    </row>
    <row r="1097" spans="1:20" ht="24" x14ac:dyDescent="0.2">
      <c r="A1097" s="432">
        <f>IF(B1097="","",COUNT('Diário 1º PA'!$A$4:$A$2635)+COUNT('Diário 2º PA'!$A$4:$A$3040)+COUNT('Diário 3º PA'!$A$4:$A$2731)+ROW()-3)</f>
        <v>7122</v>
      </c>
      <c r="B1097" s="413">
        <v>44883</v>
      </c>
      <c r="C1097" s="433">
        <v>44805</v>
      </c>
      <c r="D1097" s="434" t="s">
        <v>182</v>
      </c>
      <c r="E1097" s="434" t="s">
        <v>179</v>
      </c>
      <c r="F1097" s="435">
        <v>21.2</v>
      </c>
      <c r="G1097" s="437" t="s">
        <v>7528</v>
      </c>
      <c r="H1097" s="434" t="s">
        <v>310</v>
      </c>
      <c r="I1097" s="473" t="s">
        <v>1461</v>
      </c>
      <c r="J1097" s="415" t="s">
        <v>310</v>
      </c>
      <c r="K1097" s="415" t="s">
        <v>1220</v>
      </c>
      <c r="L1097" s="415" t="s">
        <v>1368</v>
      </c>
      <c r="M1097" s="415" t="s">
        <v>310</v>
      </c>
      <c r="N1097" s="413">
        <v>44883</v>
      </c>
      <c r="O1097" s="414" t="s">
        <v>400</v>
      </c>
      <c r="P1097" s="655">
        <f t="shared" si="55"/>
        <v>11</v>
      </c>
      <c r="Q1097" s="655">
        <f t="shared" si="56"/>
        <v>9</v>
      </c>
      <c r="R1097" s="758" t="str">
        <f t="shared" si="57"/>
        <v>Gastos_com_Pessoal</v>
      </c>
      <c r="S1097" s="697" t="s">
        <v>310</v>
      </c>
      <c r="T1097" s="697" t="s">
        <v>310</v>
      </c>
    </row>
    <row r="1098" spans="1:20" ht="24" x14ac:dyDescent="0.2">
      <c r="A1098" s="432">
        <f>IF(B1098="","",COUNT('Diário 1º PA'!$A$4:$A$2635)+COUNT('Diário 2º PA'!$A$4:$A$3040)+COUNT('Diário 3º PA'!$A$4:$A$2731)+ROW()-3)</f>
        <v>7123</v>
      </c>
      <c r="B1098" s="413">
        <v>44883</v>
      </c>
      <c r="C1098" s="433">
        <v>44805</v>
      </c>
      <c r="D1098" s="434" t="s">
        <v>182</v>
      </c>
      <c r="E1098" s="434" t="s">
        <v>179</v>
      </c>
      <c r="F1098" s="435">
        <v>30.83</v>
      </c>
      <c r="G1098" s="437" t="s">
        <v>7529</v>
      </c>
      <c r="H1098" s="434" t="s">
        <v>310</v>
      </c>
      <c r="I1098" s="473" t="s">
        <v>1461</v>
      </c>
      <c r="J1098" s="415" t="s">
        <v>310</v>
      </c>
      <c r="K1098" s="415" t="s">
        <v>1220</v>
      </c>
      <c r="L1098" s="415" t="s">
        <v>1368</v>
      </c>
      <c r="M1098" s="415" t="s">
        <v>310</v>
      </c>
      <c r="N1098" s="413">
        <v>44883</v>
      </c>
      <c r="O1098" s="414" t="s">
        <v>400</v>
      </c>
      <c r="P1098" s="655">
        <f t="shared" si="55"/>
        <v>11</v>
      </c>
      <c r="Q1098" s="655">
        <f t="shared" si="56"/>
        <v>9</v>
      </c>
      <c r="R1098" s="758" t="str">
        <f t="shared" si="57"/>
        <v>Gastos_com_Pessoal</v>
      </c>
      <c r="S1098" s="697" t="s">
        <v>310</v>
      </c>
      <c r="T1098" s="697" t="s">
        <v>310</v>
      </c>
    </row>
    <row r="1099" spans="1:20" ht="24" x14ac:dyDescent="0.2">
      <c r="A1099" s="432">
        <f>IF(B1099="","",COUNT('Diário 1º PA'!$A$4:$A$2635)+COUNT('Diário 2º PA'!$A$4:$A$3040)+COUNT('Diário 3º PA'!$A$4:$A$2731)+ROW()-3)</f>
        <v>7124</v>
      </c>
      <c r="B1099" s="413">
        <v>44883</v>
      </c>
      <c r="C1099" s="433">
        <v>44805</v>
      </c>
      <c r="D1099" s="434" t="s">
        <v>271</v>
      </c>
      <c r="E1099" s="434" t="s">
        <v>2</v>
      </c>
      <c r="F1099" s="435">
        <v>1881</v>
      </c>
      <c r="G1099" s="427" t="s">
        <v>494</v>
      </c>
      <c r="H1099" s="434" t="s">
        <v>309</v>
      </c>
      <c r="I1099" s="473" t="s">
        <v>1461</v>
      </c>
      <c r="J1099" s="415" t="s">
        <v>310</v>
      </c>
      <c r="K1099" s="415" t="s">
        <v>1220</v>
      </c>
      <c r="L1099" s="415" t="s">
        <v>1368</v>
      </c>
      <c r="M1099" s="415" t="s">
        <v>310</v>
      </c>
      <c r="N1099" s="413">
        <v>44883</v>
      </c>
      <c r="O1099" s="414" t="s">
        <v>400</v>
      </c>
      <c r="P1099" s="655">
        <f t="shared" si="55"/>
        <v>11</v>
      </c>
      <c r="Q1099" s="655">
        <f t="shared" si="56"/>
        <v>9</v>
      </c>
      <c r="R1099" s="758" t="str">
        <f t="shared" si="57"/>
        <v>Gastos_Gerais</v>
      </c>
      <c r="S1099" s="697" t="s">
        <v>310</v>
      </c>
      <c r="T1099" s="697" t="s">
        <v>310</v>
      </c>
    </row>
    <row r="1100" spans="1:20" ht="24" x14ac:dyDescent="0.2">
      <c r="A1100" s="432">
        <f>IF(B1100="","",COUNT('Diário 1º PA'!$A$4:$A$2635)+COUNT('Diário 2º PA'!$A$4:$A$3040)+COUNT('Diário 3º PA'!$A$4:$A$2731)+ROW()-3)</f>
        <v>7125</v>
      </c>
      <c r="B1100" s="413">
        <v>44883</v>
      </c>
      <c r="C1100" s="433">
        <v>44774</v>
      </c>
      <c r="D1100" s="434" t="s">
        <v>182</v>
      </c>
      <c r="E1100" s="434" t="s">
        <v>1</v>
      </c>
      <c r="F1100" s="425">
        <v>11.69</v>
      </c>
      <c r="G1100" s="427" t="s">
        <v>8329</v>
      </c>
      <c r="H1100" s="415" t="s">
        <v>310</v>
      </c>
      <c r="I1100" s="473" t="s">
        <v>1461</v>
      </c>
      <c r="J1100" s="415" t="s">
        <v>310</v>
      </c>
      <c r="K1100" s="415" t="s">
        <v>1220</v>
      </c>
      <c r="L1100" s="415" t="s">
        <v>1368</v>
      </c>
      <c r="M1100" s="415" t="s">
        <v>310</v>
      </c>
      <c r="N1100" s="413">
        <v>44883</v>
      </c>
      <c r="O1100" s="414" t="s">
        <v>400</v>
      </c>
      <c r="P1100" s="655">
        <f t="shared" si="55"/>
        <v>11</v>
      </c>
      <c r="Q1100" s="655">
        <f t="shared" si="56"/>
        <v>8</v>
      </c>
      <c r="R1100" s="758" t="str">
        <f t="shared" si="57"/>
        <v>Gastos_com_Pessoal</v>
      </c>
      <c r="S1100" s="697" t="s">
        <v>310</v>
      </c>
      <c r="T1100" s="697" t="s">
        <v>310</v>
      </c>
    </row>
    <row r="1101" spans="1:20" ht="24" x14ac:dyDescent="0.2">
      <c r="A1101" s="432">
        <f>IF(B1101="","",COUNT('Diário 1º PA'!$A$4:$A$2635)+COUNT('Diário 2º PA'!$A$4:$A$3040)+COUNT('Diário 3º PA'!$A$4:$A$2731)+ROW()-3)</f>
        <v>7126</v>
      </c>
      <c r="B1101" s="413">
        <v>44883</v>
      </c>
      <c r="C1101" s="433">
        <v>44835</v>
      </c>
      <c r="D1101" s="434" t="s">
        <v>182</v>
      </c>
      <c r="E1101" s="434" t="s">
        <v>179</v>
      </c>
      <c r="F1101" s="435">
        <v>10.08</v>
      </c>
      <c r="G1101" s="437" t="s">
        <v>8059</v>
      </c>
      <c r="H1101" s="434" t="s">
        <v>310</v>
      </c>
      <c r="I1101" s="473" t="s">
        <v>1461</v>
      </c>
      <c r="J1101" s="415" t="s">
        <v>310</v>
      </c>
      <c r="K1101" s="415" t="s">
        <v>1220</v>
      </c>
      <c r="L1101" s="415" t="s">
        <v>1368</v>
      </c>
      <c r="M1101" s="415" t="s">
        <v>310</v>
      </c>
      <c r="N1101" s="413">
        <v>44883</v>
      </c>
      <c r="O1101" s="414" t="s">
        <v>400</v>
      </c>
      <c r="P1101" s="655">
        <f t="shared" si="55"/>
        <v>11</v>
      </c>
      <c r="Q1101" s="655">
        <f t="shared" si="56"/>
        <v>10</v>
      </c>
      <c r="R1101" s="758" t="str">
        <f t="shared" si="57"/>
        <v>Gastos_com_Pessoal</v>
      </c>
      <c r="S1101" s="697" t="s">
        <v>310</v>
      </c>
      <c r="T1101" s="697" t="s">
        <v>310</v>
      </c>
    </row>
    <row r="1102" spans="1:20" ht="24" x14ac:dyDescent="0.2">
      <c r="A1102" s="432">
        <f>IF(B1102="","",COUNT('Diário 1º PA'!$A$4:$A$2635)+COUNT('Diário 2º PA'!$A$4:$A$3040)+COUNT('Diário 3º PA'!$A$4:$A$2731)+ROW()-3)</f>
        <v>7127</v>
      </c>
      <c r="B1102" s="413">
        <v>44883</v>
      </c>
      <c r="C1102" s="433">
        <v>44805</v>
      </c>
      <c r="D1102" s="415" t="s">
        <v>182</v>
      </c>
      <c r="E1102" s="415" t="s">
        <v>1</v>
      </c>
      <c r="F1102" s="425">
        <v>18192.13</v>
      </c>
      <c r="G1102" s="427" t="s">
        <v>7439</v>
      </c>
      <c r="H1102" s="415" t="s">
        <v>310</v>
      </c>
      <c r="I1102" s="473" t="s">
        <v>1461</v>
      </c>
      <c r="J1102" s="415" t="s">
        <v>310</v>
      </c>
      <c r="K1102" s="415" t="s">
        <v>1220</v>
      </c>
      <c r="L1102" s="415" t="s">
        <v>1368</v>
      </c>
      <c r="M1102" s="415" t="s">
        <v>310</v>
      </c>
      <c r="N1102" s="413">
        <v>44883</v>
      </c>
      <c r="O1102" s="414" t="s">
        <v>400</v>
      </c>
      <c r="P1102" s="655">
        <f t="shared" si="55"/>
        <v>11</v>
      </c>
      <c r="Q1102" s="655">
        <f t="shared" si="56"/>
        <v>9</v>
      </c>
      <c r="R1102" s="758" t="str">
        <f t="shared" si="57"/>
        <v>Gastos_com_Pessoal</v>
      </c>
      <c r="S1102" s="697" t="s">
        <v>310</v>
      </c>
      <c r="T1102" s="697" t="s">
        <v>310</v>
      </c>
    </row>
    <row r="1103" spans="1:20" ht="24" x14ac:dyDescent="0.2">
      <c r="A1103" s="432">
        <f>IF(B1103="","",COUNT('Diário 1º PA'!$A$4:$A$2635)+COUNT('Diário 2º PA'!$A$4:$A$3040)+COUNT('Diário 3º PA'!$A$4:$A$2731)+ROW()-3)</f>
        <v>7128</v>
      </c>
      <c r="B1103" s="413">
        <v>44883</v>
      </c>
      <c r="C1103" s="433">
        <v>44835</v>
      </c>
      <c r="D1103" s="434" t="s">
        <v>182</v>
      </c>
      <c r="E1103" s="434" t="s">
        <v>287</v>
      </c>
      <c r="F1103" s="435">
        <v>108.71</v>
      </c>
      <c r="G1103" s="437" t="s">
        <v>7654</v>
      </c>
      <c r="H1103" s="434" t="s">
        <v>310</v>
      </c>
      <c r="I1103" s="473" t="s">
        <v>1461</v>
      </c>
      <c r="J1103" s="415" t="s">
        <v>310</v>
      </c>
      <c r="K1103" s="415" t="s">
        <v>1220</v>
      </c>
      <c r="L1103" s="415" t="s">
        <v>1368</v>
      </c>
      <c r="M1103" s="415" t="s">
        <v>310</v>
      </c>
      <c r="N1103" s="413">
        <v>44883</v>
      </c>
      <c r="O1103" s="414" t="s">
        <v>400</v>
      </c>
      <c r="P1103" s="655">
        <f t="shared" si="55"/>
        <v>11</v>
      </c>
      <c r="Q1103" s="655">
        <f t="shared" si="56"/>
        <v>10</v>
      </c>
      <c r="R1103" s="758" t="str">
        <f t="shared" si="57"/>
        <v>Gastos_com_Pessoal</v>
      </c>
      <c r="S1103" s="697" t="s">
        <v>310</v>
      </c>
      <c r="T1103" s="697" t="s">
        <v>310</v>
      </c>
    </row>
    <row r="1104" spans="1:20" ht="24" x14ac:dyDescent="0.2">
      <c r="A1104" s="432">
        <f>IF(B1104="","",COUNT('Diário 1º PA'!$A$4:$A$2635)+COUNT('Diário 2º PA'!$A$4:$A$3040)+COUNT('Diário 3º PA'!$A$4:$A$2731)+ROW()-3)</f>
        <v>7129</v>
      </c>
      <c r="B1104" s="413">
        <v>44883</v>
      </c>
      <c r="C1104" s="431">
        <v>44805</v>
      </c>
      <c r="D1104" s="415" t="s">
        <v>271</v>
      </c>
      <c r="E1104" s="415" t="s">
        <v>90</v>
      </c>
      <c r="F1104" s="425">
        <v>57.45</v>
      </c>
      <c r="G1104" s="427" t="s">
        <v>7558</v>
      </c>
      <c r="H1104" s="419" t="s">
        <v>793</v>
      </c>
      <c r="I1104" s="473" t="s">
        <v>1461</v>
      </c>
      <c r="J1104" s="415" t="s">
        <v>310</v>
      </c>
      <c r="K1104" s="415" t="s">
        <v>1220</v>
      </c>
      <c r="L1104" s="415" t="s">
        <v>1368</v>
      </c>
      <c r="M1104" s="415" t="s">
        <v>310</v>
      </c>
      <c r="N1104" s="413">
        <v>44883</v>
      </c>
      <c r="O1104" s="414" t="s">
        <v>400</v>
      </c>
      <c r="P1104" s="655">
        <f t="shared" si="55"/>
        <v>11</v>
      </c>
      <c r="Q1104" s="655">
        <f t="shared" si="56"/>
        <v>9</v>
      </c>
      <c r="R1104" s="758" t="str">
        <f t="shared" si="57"/>
        <v>Gastos_Gerais</v>
      </c>
      <c r="S1104" s="697" t="s">
        <v>310</v>
      </c>
      <c r="T1104" s="697" t="s">
        <v>310</v>
      </c>
    </row>
    <row r="1105" spans="1:20" ht="24" x14ac:dyDescent="0.2">
      <c r="A1105" s="432">
        <f>IF(B1105="","",COUNT('Diário 1º PA'!$A$4:$A$2635)+COUNT('Diário 2º PA'!$A$4:$A$3040)+COUNT('Diário 3º PA'!$A$4:$A$2731)+ROW()-3)</f>
        <v>7130</v>
      </c>
      <c r="B1105" s="413">
        <v>44883</v>
      </c>
      <c r="C1105" s="431">
        <v>44774</v>
      </c>
      <c r="D1105" s="415" t="s">
        <v>271</v>
      </c>
      <c r="E1105" s="415" t="s">
        <v>450</v>
      </c>
      <c r="F1105" s="425">
        <v>44.1</v>
      </c>
      <c r="G1105" s="427" t="s">
        <v>7546</v>
      </c>
      <c r="H1105" s="415" t="s">
        <v>758</v>
      </c>
      <c r="I1105" s="473" t="s">
        <v>1461</v>
      </c>
      <c r="J1105" s="415" t="s">
        <v>310</v>
      </c>
      <c r="K1105" s="415" t="s">
        <v>1220</v>
      </c>
      <c r="L1105" s="415" t="s">
        <v>1368</v>
      </c>
      <c r="M1105" s="415" t="s">
        <v>310</v>
      </c>
      <c r="N1105" s="413">
        <v>44883</v>
      </c>
      <c r="O1105" s="414" t="s">
        <v>400</v>
      </c>
      <c r="P1105" s="655">
        <f t="shared" si="55"/>
        <v>11</v>
      </c>
      <c r="Q1105" s="655">
        <f t="shared" si="56"/>
        <v>8</v>
      </c>
      <c r="R1105" s="758" t="str">
        <f t="shared" si="57"/>
        <v>Gastos_Gerais</v>
      </c>
      <c r="S1105" s="697" t="s">
        <v>310</v>
      </c>
      <c r="T1105" s="697" t="s">
        <v>310</v>
      </c>
    </row>
    <row r="1106" spans="1:20" ht="24" x14ac:dyDescent="0.2">
      <c r="A1106" s="432">
        <f>IF(B1106="","",COUNT('Diário 1º PA'!$A$4:$A$2635)+COUNT('Diário 2º PA'!$A$4:$A$3040)+COUNT('Diário 3º PA'!$A$4:$A$2731)+ROW()-3)</f>
        <v>7131</v>
      </c>
      <c r="B1106" s="413">
        <v>44883</v>
      </c>
      <c r="C1106" s="466">
        <v>44774</v>
      </c>
      <c r="D1106" s="426" t="s">
        <v>271</v>
      </c>
      <c r="E1106" s="426" t="s">
        <v>453</v>
      </c>
      <c r="F1106" s="425">
        <v>65.459999999999994</v>
      </c>
      <c r="G1106" s="427" t="s">
        <v>8333</v>
      </c>
      <c r="H1106" s="426" t="s">
        <v>752</v>
      </c>
      <c r="I1106" s="473" t="s">
        <v>1461</v>
      </c>
      <c r="J1106" s="415" t="s">
        <v>310</v>
      </c>
      <c r="K1106" s="415" t="s">
        <v>1220</v>
      </c>
      <c r="L1106" s="415" t="s">
        <v>1368</v>
      </c>
      <c r="M1106" s="415" t="s">
        <v>310</v>
      </c>
      <c r="N1106" s="413">
        <v>44883</v>
      </c>
      <c r="O1106" s="414" t="s">
        <v>400</v>
      </c>
      <c r="P1106" s="655">
        <f t="shared" si="55"/>
        <v>11</v>
      </c>
      <c r="Q1106" s="655">
        <f t="shared" si="56"/>
        <v>8</v>
      </c>
      <c r="R1106" s="758" t="str">
        <f t="shared" si="57"/>
        <v>Gastos_Gerais</v>
      </c>
      <c r="S1106" s="697" t="s">
        <v>310</v>
      </c>
      <c r="T1106" s="697" t="s">
        <v>310</v>
      </c>
    </row>
    <row r="1107" spans="1:20" ht="36" x14ac:dyDescent="0.2">
      <c r="A1107" s="432">
        <f>IF(B1107="","",COUNT('Diário 1º PA'!$A$4:$A$2635)+COUNT('Diário 2º PA'!$A$4:$A$3040)+COUNT('Diário 3º PA'!$A$4:$A$2731)+ROW()-3)</f>
        <v>7132</v>
      </c>
      <c r="B1107" s="413">
        <v>44883</v>
      </c>
      <c r="C1107" s="431">
        <v>44835</v>
      </c>
      <c r="D1107" s="415" t="s">
        <v>271</v>
      </c>
      <c r="E1107" s="415" t="s">
        <v>90</v>
      </c>
      <c r="F1107" s="422">
        <v>1452</v>
      </c>
      <c r="G1107" s="427" t="s">
        <v>8331</v>
      </c>
      <c r="H1107" s="415" t="s">
        <v>310</v>
      </c>
      <c r="I1107" s="427" t="s">
        <v>1461</v>
      </c>
      <c r="J1107" s="415" t="s">
        <v>310</v>
      </c>
      <c r="K1107" s="415" t="s">
        <v>1220</v>
      </c>
      <c r="L1107" s="415" t="s">
        <v>1368</v>
      </c>
      <c r="M1107" s="415" t="s">
        <v>310</v>
      </c>
      <c r="N1107" s="413">
        <v>44883</v>
      </c>
      <c r="O1107" s="414" t="s">
        <v>400</v>
      </c>
      <c r="P1107" s="655">
        <f t="shared" si="55"/>
        <v>11</v>
      </c>
      <c r="Q1107" s="655">
        <f t="shared" si="56"/>
        <v>10</v>
      </c>
      <c r="R1107" s="758" t="str">
        <f t="shared" si="57"/>
        <v>Gastos_Gerais</v>
      </c>
      <c r="S1107" s="697" t="s">
        <v>310</v>
      </c>
      <c r="T1107" s="697" t="s">
        <v>310</v>
      </c>
    </row>
    <row r="1108" spans="1:20" ht="24" x14ac:dyDescent="0.2">
      <c r="A1108" s="432">
        <f>IF(B1108="","",COUNT('Diário 1º PA'!$A$4:$A$2635)+COUNT('Diário 2º PA'!$A$4:$A$3040)+COUNT('Diário 3º PA'!$A$4:$A$2731)+ROW()-3)</f>
        <v>7133</v>
      </c>
      <c r="B1108" s="413">
        <v>44883</v>
      </c>
      <c r="C1108" s="431">
        <v>44835</v>
      </c>
      <c r="D1108" s="415" t="s">
        <v>271</v>
      </c>
      <c r="E1108" s="415" t="s">
        <v>90</v>
      </c>
      <c r="F1108" s="422">
        <v>1320</v>
      </c>
      <c r="G1108" s="427" t="s">
        <v>8330</v>
      </c>
      <c r="H1108" s="415" t="s">
        <v>310</v>
      </c>
      <c r="I1108" s="427" t="s">
        <v>1461</v>
      </c>
      <c r="J1108" s="415" t="s">
        <v>310</v>
      </c>
      <c r="K1108" s="415" t="s">
        <v>1220</v>
      </c>
      <c r="L1108" s="415" t="s">
        <v>1368</v>
      </c>
      <c r="M1108" s="415" t="s">
        <v>310</v>
      </c>
      <c r="N1108" s="413">
        <v>44883</v>
      </c>
      <c r="O1108" s="414" t="s">
        <v>400</v>
      </c>
      <c r="P1108" s="655">
        <f t="shared" si="55"/>
        <v>11</v>
      </c>
      <c r="Q1108" s="655">
        <f t="shared" si="56"/>
        <v>10</v>
      </c>
      <c r="R1108" s="758" t="str">
        <f t="shared" si="57"/>
        <v>Gastos_Gerais</v>
      </c>
      <c r="S1108" s="697" t="s">
        <v>310</v>
      </c>
      <c r="T1108" s="697" t="s">
        <v>310</v>
      </c>
    </row>
    <row r="1109" spans="1:20" ht="36" x14ac:dyDescent="0.2">
      <c r="A1109" s="432">
        <f>IF(B1109="","",COUNT('Diário 1º PA'!$A$4:$A$2635)+COUNT('Diário 2º PA'!$A$4:$A$3040)+COUNT('Diário 3º PA'!$A$4:$A$2731)+ROW()-3)</f>
        <v>7134</v>
      </c>
      <c r="B1109" s="413">
        <v>44883</v>
      </c>
      <c r="C1109" s="431">
        <v>44835</v>
      </c>
      <c r="D1109" s="415" t="s">
        <v>271</v>
      </c>
      <c r="E1109" s="415" t="s">
        <v>178</v>
      </c>
      <c r="F1109" s="425">
        <v>143</v>
      </c>
      <c r="G1109" s="427" t="s">
        <v>7768</v>
      </c>
      <c r="H1109" s="419" t="s">
        <v>755</v>
      </c>
      <c r="I1109" s="427" t="s">
        <v>1461</v>
      </c>
      <c r="J1109" s="415" t="s">
        <v>310</v>
      </c>
      <c r="K1109" s="415" t="s">
        <v>1220</v>
      </c>
      <c r="L1109" s="415" t="s">
        <v>1368</v>
      </c>
      <c r="M1109" s="415" t="s">
        <v>310</v>
      </c>
      <c r="N1109" s="413">
        <v>44883</v>
      </c>
      <c r="O1109" s="414" t="s">
        <v>400</v>
      </c>
      <c r="P1109" s="655">
        <f t="shared" si="55"/>
        <v>11</v>
      </c>
      <c r="Q1109" s="655">
        <f t="shared" si="56"/>
        <v>10</v>
      </c>
      <c r="R1109" s="758" t="str">
        <f t="shared" si="57"/>
        <v>Gastos_Gerais</v>
      </c>
      <c r="S1109" s="697" t="s">
        <v>310</v>
      </c>
      <c r="T1109" s="697" t="s">
        <v>310</v>
      </c>
    </row>
    <row r="1110" spans="1:20" ht="24" x14ac:dyDescent="0.2">
      <c r="A1110" s="432">
        <f>IF(B1110="","",COUNT('Diário 1º PA'!$A$4:$A$2635)+COUNT('Diário 2º PA'!$A$4:$A$3040)+COUNT('Diário 3º PA'!$A$4:$A$2731)+ROW()-3)</f>
        <v>7135</v>
      </c>
      <c r="B1110" s="413">
        <v>44883</v>
      </c>
      <c r="C1110" s="431">
        <v>44805</v>
      </c>
      <c r="D1110" s="415" t="s">
        <v>271</v>
      </c>
      <c r="E1110" s="415" t="s">
        <v>90</v>
      </c>
      <c r="F1110" s="425">
        <v>930</v>
      </c>
      <c r="G1110" s="427" t="s">
        <v>7559</v>
      </c>
      <c r="H1110" s="419" t="s">
        <v>793</v>
      </c>
      <c r="I1110" s="427" t="s">
        <v>1461</v>
      </c>
      <c r="J1110" s="415" t="s">
        <v>310</v>
      </c>
      <c r="K1110" s="415" t="s">
        <v>1220</v>
      </c>
      <c r="L1110" s="415" t="s">
        <v>1368</v>
      </c>
      <c r="M1110" s="415" t="s">
        <v>310</v>
      </c>
      <c r="N1110" s="413">
        <v>44883</v>
      </c>
      <c r="O1110" s="414" t="s">
        <v>400</v>
      </c>
      <c r="P1110" s="655">
        <f t="shared" si="55"/>
        <v>11</v>
      </c>
      <c r="Q1110" s="655">
        <f t="shared" si="56"/>
        <v>9</v>
      </c>
      <c r="R1110" s="758" t="str">
        <f t="shared" si="57"/>
        <v>Gastos_Gerais</v>
      </c>
      <c r="S1110" s="697" t="s">
        <v>310</v>
      </c>
      <c r="T1110" s="697" t="s">
        <v>310</v>
      </c>
    </row>
    <row r="1111" spans="1:20" ht="24" x14ac:dyDescent="0.2">
      <c r="A1111" s="432">
        <f>IF(B1111="","",COUNT('Diário 1º PA'!$A$4:$A$2635)+COUNT('Diário 2º PA'!$A$4:$A$3040)+COUNT('Diário 3º PA'!$A$4:$A$2731)+ROW()-3)</f>
        <v>7136</v>
      </c>
      <c r="B1111" s="413">
        <v>44883</v>
      </c>
      <c r="C1111" s="431">
        <v>44774</v>
      </c>
      <c r="D1111" s="415" t="s">
        <v>271</v>
      </c>
      <c r="E1111" s="415" t="s">
        <v>453</v>
      </c>
      <c r="F1111" s="425">
        <v>967.2</v>
      </c>
      <c r="G1111" s="427" t="s">
        <v>7551</v>
      </c>
      <c r="H1111" s="419" t="s">
        <v>752</v>
      </c>
      <c r="I1111" s="427" t="s">
        <v>1461</v>
      </c>
      <c r="J1111" s="415" t="s">
        <v>310</v>
      </c>
      <c r="K1111" s="415" t="s">
        <v>1220</v>
      </c>
      <c r="L1111" s="415" t="s">
        <v>1368</v>
      </c>
      <c r="M1111" s="415" t="s">
        <v>310</v>
      </c>
      <c r="N1111" s="413">
        <v>44883</v>
      </c>
      <c r="O1111" s="414" t="s">
        <v>400</v>
      </c>
      <c r="P1111" s="655">
        <f t="shared" si="55"/>
        <v>11</v>
      </c>
      <c r="Q1111" s="655">
        <f t="shared" si="56"/>
        <v>8</v>
      </c>
      <c r="R1111" s="758" t="str">
        <f t="shared" si="57"/>
        <v>Gastos_Gerais</v>
      </c>
      <c r="S1111" s="697" t="s">
        <v>310</v>
      </c>
      <c r="T1111" s="697" t="s">
        <v>310</v>
      </c>
    </row>
    <row r="1112" spans="1:20" ht="24" x14ac:dyDescent="0.2">
      <c r="A1112" s="432">
        <f>IF(B1112="","",COUNT('Diário 1º PA'!$A$4:$A$2635)+COUNT('Diário 2º PA'!$A$4:$A$3040)+COUNT('Diário 3º PA'!$A$4:$A$2731)+ROW()-3)</f>
        <v>7137</v>
      </c>
      <c r="B1112" s="413">
        <v>44883</v>
      </c>
      <c r="C1112" s="431">
        <v>44774</v>
      </c>
      <c r="D1112" s="415" t="s">
        <v>271</v>
      </c>
      <c r="E1112" s="415" t="s">
        <v>453</v>
      </c>
      <c r="F1112" s="425">
        <v>316.2</v>
      </c>
      <c r="G1112" s="427" t="s">
        <v>7553</v>
      </c>
      <c r="H1112" s="419" t="s">
        <v>748</v>
      </c>
      <c r="I1112" s="427" t="s">
        <v>1461</v>
      </c>
      <c r="J1112" s="415" t="s">
        <v>310</v>
      </c>
      <c r="K1112" s="415" t="s">
        <v>1220</v>
      </c>
      <c r="L1112" s="415" t="s">
        <v>1368</v>
      </c>
      <c r="M1112" s="415" t="s">
        <v>310</v>
      </c>
      <c r="N1112" s="413">
        <v>44883</v>
      </c>
      <c r="O1112" s="414" t="s">
        <v>400</v>
      </c>
      <c r="P1112" s="655">
        <f t="shared" si="55"/>
        <v>11</v>
      </c>
      <c r="Q1112" s="655">
        <f t="shared" si="56"/>
        <v>8</v>
      </c>
      <c r="R1112" s="758" t="str">
        <f t="shared" si="57"/>
        <v>Gastos_Gerais</v>
      </c>
      <c r="S1112" s="697" t="s">
        <v>310</v>
      </c>
      <c r="T1112" s="697" t="s">
        <v>310</v>
      </c>
    </row>
    <row r="1113" spans="1:20" ht="24" x14ac:dyDescent="0.2">
      <c r="A1113" s="432">
        <f>IF(B1113="","",COUNT('Diário 1º PA'!$A$4:$A$2635)+COUNT('Diário 2º PA'!$A$4:$A$3040)+COUNT('Diário 3º PA'!$A$4:$A$2731)+ROW()-3)</f>
        <v>7138</v>
      </c>
      <c r="B1113" s="413">
        <v>44883</v>
      </c>
      <c r="C1113" s="431">
        <v>44774</v>
      </c>
      <c r="D1113" s="415" t="s">
        <v>271</v>
      </c>
      <c r="E1113" s="415" t="s">
        <v>450</v>
      </c>
      <c r="F1113" s="425">
        <v>868</v>
      </c>
      <c r="G1113" s="427" t="s">
        <v>7547</v>
      </c>
      <c r="H1113" s="415" t="s">
        <v>758</v>
      </c>
      <c r="I1113" s="427" t="s">
        <v>1461</v>
      </c>
      <c r="J1113" s="415" t="s">
        <v>310</v>
      </c>
      <c r="K1113" s="415" t="s">
        <v>1220</v>
      </c>
      <c r="L1113" s="415" t="s">
        <v>1368</v>
      </c>
      <c r="M1113" s="415" t="s">
        <v>310</v>
      </c>
      <c r="N1113" s="413">
        <v>44883</v>
      </c>
      <c r="O1113" s="414" t="s">
        <v>400</v>
      </c>
      <c r="P1113" s="655">
        <f t="shared" si="55"/>
        <v>11</v>
      </c>
      <c r="Q1113" s="655">
        <f t="shared" si="56"/>
        <v>8</v>
      </c>
      <c r="R1113" s="758" t="str">
        <f t="shared" si="57"/>
        <v>Gastos_Gerais</v>
      </c>
      <c r="S1113" s="697" t="s">
        <v>310</v>
      </c>
      <c r="T1113" s="697" t="s">
        <v>310</v>
      </c>
    </row>
    <row r="1114" spans="1:20" ht="36" x14ac:dyDescent="0.2">
      <c r="A1114" s="432">
        <f>IF(B1114="","",COUNT('Diário 1º PA'!$A$4:$A$2635)+COUNT('Diário 2º PA'!$A$4:$A$3040)+COUNT('Diário 3º PA'!$A$4:$A$2731)+ROW()-3)</f>
        <v>7139</v>
      </c>
      <c r="B1114" s="413">
        <v>44883</v>
      </c>
      <c r="C1114" s="431">
        <v>44805</v>
      </c>
      <c r="D1114" s="415" t="s">
        <v>271</v>
      </c>
      <c r="E1114" s="415" t="s">
        <v>453</v>
      </c>
      <c r="F1114" s="425">
        <v>263.5</v>
      </c>
      <c r="G1114" s="427" t="s">
        <v>7726</v>
      </c>
      <c r="H1114" s="419" t="s">
        <v>760</v>
      </c>
      <c r="I1114" s="427" t="s">
        <v>1461</v>
      </c>
      <c r="J1114" s="415" t="s">
        <v>310</v>
      </c>
      <c r="K1114" s="415" t="s">
        <v>1220</v>
      </c>
      <c r="L1114" s="415" t="s">
        <v>1368</v>
      </c>
      <c r="M1114" s="415" t="s">
        <v>310</v>
      </c>
      <c r="N1114" s="413">
        <v>44883</v>
      </c>
      <c r="O1114" s="414" t="s">
        <v>400</v>
      </c>
      <c r="P1114" s="655">
        <f t="shared" si="55"/>
        <v>11</v>
      </c>
      <c r="Q1114" s="655">
        <f t="shared" si="56"/>
        <v>9</v>
      </c>
      <c r="R1114" s="758" t="str">
        <f t="shared" si="57"/>
        <v>Gastos_Gerais</v>
      </c>
      <c r="S1114" s="697" t="s">
        <v>310</v>
      </c>
      <c r="T1114" s="697" t="s">
        <v>310</v>
      </c>
    </row>
    <row r="1115" spans="1:20" ht="24" x14ac:dyDescent="0.2">
      <c r="A1115" s="432">
        <f>IF(B1115="","",COUNT('Diário 1º PA'!$A$4:$A$2635)+COUNT('Diário 2º PA'!$A$4:$A$3040)+COUNT('Diário 3º PA'!$A$4:$A$2731)+ROW()-3)</f>
        <v>7140</v>
      </c>
      <c r="B1115" s="413">
        <v>44883</v>
      </c>
      <c r="C1115" s="431">
        <v>44805</v>
      </c>
      <c r="D1115" s="415" t="s">
        <v>271</v>
      </c>
      <c r="E1115" s="415" t="s">
        <v>453</v>
      </c>
      <c r="F1115" s="425">
        <v>263.5</v>
      </c>
      <c r="G1115" s="427" t="s">
        <v>7729</v>
      </c>
      <c r="H1115" s="419" t="s">
        <v>749</v>
      </c>
      <c r="I1115" s="427" t="s">
        <v>1461</v>
      </c>
      <c r="J1115" s="415" t="s">
        <v>310</v>
      </c>
      <c r="K1115" s="415" t="s">
        <v>1220</v>
      </c>
      <c r="L1115" s="415" t="s">
        <v>1368</v>
      </c>
      <c r="M1115" s="415" t="s">
        <v>310</v>
      </c>
      <c r="N1115" s="413">
        <v>44883</v>
      </c>
      <c r="O1115" s="414" t="s">
        <v>400</v>
      </c>
      <c r="P1115" s="655">
        <f t="shared" si="55"/>
        <v>11</v>
      </c>
      <c r="Q1115" s="655">
        <f t="shared" si="56"/>
        <v>9</v>
      </c>
      <c r="R1115" s="758" t="str">
        <f t="shared" si="57"/>
        <v>Gastos_Gerais</v>
      </c>
      <c r="S1115" s="697" t="s">
        <v>310</v>
      </c>
      <c r="T1115" s="697" t="s">
        <v>310</v>
      </c>
    </row>
    <row r="1116" spans="1:20" ht="48" x14ac:dyDescent="0.2">
      <c r="A1116" s="432">
        <f>IF(B1116="","",COUNT('Diário 1º PA'!$A$4:$A$2635)+COUNT('Diário 2º PA'!$A$4:$A$3040)+COUNT('Diário 3º PA'!$A$4:$A$2731)+ROW()-3)</f>
        <v>7141</v>
      </c>
      <c r="B1116" s="413">
        <v>44883</v>
      </c>
      <c r="C1116" s="424">
        <v>44835</v>
      </c>
      <c r="D1116" s="415" t="s">
        <v>468</v>
      </c>
      <c r="E1116" s="415" t="s">
        <v>468</v>
      </c>
      <c r="F1116" s="425">
        <v>2715.59</v>
      </c>
      <c r="G1116" s="427" t="s">
        <v>8332</v>
      </c>
      <c r="H1116" s="415" t="s">
        <v>468</v>
      </c>
      <c r="I1116" s="427" t="s">
        <v>795</v>
      </c>
      <c r="J1116" s="415" t="s">
        <v>796</v>
      </c>
      <c r="K1116" s="419" t="s">
        <v>806</v>
      </c>
      <c r="L1116" s="415" t="s">
        <v>798</v>
      </c>
      <c r="M1116" s="415" t="s">
        <v>310</v>
      </c>
      <c r="N1116" s="413">
        <v>44883</v>
      </c>
      <c r="O1116" s="414" t="s">
        <v>400</v>
      </c>
      <c r="P1116" s="655">
        <f t="shared" si="55"/>
        <v>11</v>
      </c>
      <c r="Q1116" s="655">
        <f t="shared" si="56"/>
        <v>10</v>
      </c>
      <c r="R1116" s="758" t="str">
        <f t="shared" si="57"/>
        <v>Gastos_custeados_por_captação</v>
      </c>
      <c r="S1116" s="697" t="s">
        <v>310</v>
      </c>
      <c r="T1116" s="697" t="s">
        <v>310</v>
      </c>
    </row>
    <row r="1117" spans="1:20" ht="48" x14ac:dyDescent="0.2">
      <c r="A1117" s="432">
        <f>IF(B1117="","",COUNT('Diário 1º PA'!$A$4:$A$2635)+COUNT('Diário 2º PA'!$A$4:$A$3040)+COUNT('Diário 3º PA'!$A$4:$A$2731)+ROW()-3)</f>
        <v>7142</v>
      </c>
      <c r="B1117" s="413">
        <v>44883</v>
      </c>
      <c r="C1117" s="431">
        <v>44835</v>
      </c>
      <c r="D1117" s="415" t="s">
        <v>468</v>
      </c>
      <c r="E1117" s="415" t="s">
        <v>468</v>
      </c>
      <c r="F1117" s="422">
        <v>2015</v>
      </c>
      <c r="G1117" s="427" t="s">
        <v>8334</v>
      </c>
      <c r="H1117" s="415" t="s">
        <v>468</v>
      </c>
      <c r="I1117" s="427" t="s">
        <v>795</v>
      </c>
      <c r="J1117" s="415" t="s">
        <v>796</v>
      </c>
      <c r="K1117" s="419" t="s">
        <v>806</v>
      </c>
      <c r="L1117" s="415" t="s">
        <v>798</v>
      </c>
      <c r="M1117" s="415" t="s">
        <v>310</v>
      </c>
      <c r="N1117" s="413">
        <v>44883</v>
      </c>
      <c r="O1117" s="414" t="s">
        <v>400</v>
      </c>
      <c r="P1117" s="655">
        <f t="shared" si="55"/>
        <v>11</v>
      </c>
      <c r="Q1117" s="655">
        <f t="shared" si="56"/>
        <v>10</v>
      </c>
      <c r="R1117" s="758" t="str">
        <f t="shared" si="57"/>
        <v>Gastos_custeados_por_captação</v>
      </c>
      <c r="S1117" s="697" t="s">
        <v>310</v>
      </c>
      <c r="T1117" s="697" t="s">
        <v>310</v>
      </c>
    </row>
    <row r="1118" spans="1:20" ht="48" x14ac:dyDescent="0.2">
      <c r="A1118" s="432">
        <f>IF(B1118="","",COUNT('Diário 1º PA'!$A$4:$A$2635)+COUNT('Diário 2º PA'!$A$4:$A$3040)+COUNT('Diário 3º PA'!$A$4:$A$2731)+ROW()-3)</f>
        <v>7143</v>
      </c>
      <c r="B1118" s="413">
        <v>44883</v>
      </c>
      <c r="C1118" s="431">
        <v>44835</v>
      </c>
      <c r="D1118" s="415" t="s">
        <v>468</v>
      </c>
      <c r="E1118" s="415" t="s">
        <v>468</v>
      </c>
      <c r="F1118" s="425">
        <v>3100</v>
      </c>
      <c r="G1118" s="427" t="s">
        <v>8335</v>
      </c>
      <c r="H1118" s="415" t="s">
        <v>468</v>
      </c>
      <c r="I1118" s="473" t="s">
        <v>795</v>
      </c>
      <c r="J1118" s="415" t="s">
        <v>796</v>
      </c>
      <c r="K1118" s="415" t="s">
        <v>797</v>
      </c>
      <c r="L1118" s="415" t="s">
        <v>798</v>
      </c>
      <c r="M1118" s="415" t="s">
        <v>310</v>
      </c>
      <c r="N1118" s="413">
        <v>44883</v>
      </c>
      <c r="O1118" s="414" t="s">
        <v>400</v>
      </c>
      <c r="P1118" s="655">
        <f t="shared" si="55"/>
        <v>11</v>
      </c>
      <c r="Q1118" s="655">
        <f t="shared" si="56"/>
        <v>10</v>
      </c>
      <c r="R1118" s="758" t="str">
        <f t="shared" si="57"/>
        <v>Gastos_custeados_por_captação</v>
      </c>
      <c r="S1118" s="697" t="s">
        <v>310</v>
      </c>
      <c r="T1118" s="697" t="s">
        <v>310</v>
      </c>
    </row>
    <row r="1119" spans="1:20" ht="48" x14ac:dyDescent="0.2">
      <c r="A1119" s="432">
        <f>IF(B1119="","",COUNT('Diário 1º PA'!$A$4:$A$2635)+COUNT('Diário 2º PA'!$A$4:$A$3040)+COUNT('Diário 3º PA'!$A$4:$A$2731)+ROW()-3)</f>
        <v>7144</v>
      </c>
      <c r="B1119" s="413">
        <v>44883</v>
      </c>
      <c r="C1119" s="431">
        <v>44835</v>
      </c>
      <c r="D1119" s="415" t="s">
        <v>468</v>
      </c>
      <c r="E1119" s="415" t="s">
        <v>468</v>
      </c>
      <c r="F1119" s="425">
        <v>5533.5</v>
      </c>
      <c r="G1119" s="427" t="s">
        <v>8336</v>
      </c>
      <c r="H1119" s="415" t="s">
        <v>468</v>
      </c>
      <c r="I1119" s="473" t="s">
        <v>795</v>
      </c>
      <c r="J1119" s="415" t="s">
        <v>796</v>
      </c>
      <c r="K1119" s="415" t="s">
        <v>797</v>
      </c>
      <c r="L1119" s="415" t="s">
        <v>798</v>
      </c>
      <c r="M1119" s="415" t="s">
        <v>310</v>
      </c>
      <c r="N1119" s="413">
        <v>44883</v>
      </c>
      <c r="O1119" s="414" t="s">
        <v>400</v>
      </c>
      <c r="P1119" s="655">
        <f t="shared" si="55"/>
        <v>11</v>
      </c>
      <c r="Q1119" s="655">
        <f t="shared" si="56"/>
        <v>10</v>
      </c>
      <c r="R1119" s="758" t="str">
        <f t="shared" si="57"/>
        <v>Gastos_custeados_por_captação</v>
      </c>
      <c r="S1119" s="697" t="s">
        <v>310</v>
      </c>
      <c r="T1119" s="697" t="s">
        <v>310</v>
      </c>
    </row>
    <row r="1120" spans="1:20" ht="48" x14ac:dyDescent="0.2">
      <c r="A1120" s="432">
        <f>IF(B1120="","",COUNT('Diário 1º PA'!$A$4:$A$2635)+COUNT('Diário 2º PA'!$A$4:$A$3040)+COUNT('Diário 3º PA'!$A$4:$A$2731)+ROW()-3)</f>
        <v>7145</v>
      </c>
      <c r="B1120" s="413">
        <v>44883</v>
      </c>
      <c r="C1120" s="431">
        <v>44835</v>
      </c>
      <c r="D1120" s="415" t="s">
        <v>468</v>
      </c>
      <c r="E1120" s="415" t="s">
        <v>468</v>
      </c>
      <c r="F1120" s="425">
        <v>930</v>
      </c>
      <c r="G1120" s="427" t="s">
        <v>8337</v>
      </c>
      <c r="H1120" s="415" t="s">
        <v>468</v>
      </c>
      <c r="I1120" s="473" t="s">
        <v>795</v>
      </c>
      <c r="J1120" s="415" t="s">
        <v>796</v>
      </c>
      <c r="K1120" s="415" t="s">
        <v>797</v>
      </c>
      <c r="L1120" s="415" t="s">
        <v>798</v>
      </c>
      <c r="M1120" s="415" t="s">
        <v>310</v>
      </c>
      <c r="N1120" s="413">
        <v>44883</v>
      </c>
      <c r="O1120" s="414" t="s">
        <v>400</v>
      </c>
      <c r="P1120" s="655">
        <f t="shared" si="55"/>
        <v>11</v>
      </c>
      <c r="Q1120" s="655">
        <f t="shared" si="56"/>
        <v>10</v>
      </c>
      <c r="R1120" s="758" t="str">
        <f t="shared" si="57"/>
        <v>Gastos_custeados_por_captação</v>
      </c>
      <c r="S1120" s="697" t="s">
        <v>310</v>
      </c>
      <c r="T1120" s="697" t="s">
        <v>310</v>
      </c>
    </row>
    <row r="1121" spans="1:20" ht="48" x14ac:dyDescent="0.2">
      <c r="A1121" s="432">
        <f>IF(B1121="","",COUNT('Diário 1º PA'!$A$4:$A$2635)+COUNT('Diário 2º PA'!$A$4:$A$3040)+COUNT('Diário 3º PA'!$A$4:$A$2731)+ROW()-3)</f>
        <v>7146</v>
      </c>
      <c r="B1121" s="413">
        <v>44883</v>
      </c>
      <c r="C1121" s="431">
        <v>44835</v>
      </c>
      <c r="D1121" s="415" t="s">
        <v>271</v>
      </c>
      <c r="E1121" s="415" t="s">
        <v>90</v>
      </c>
      <c r="F1121" s="425">
        <v>626.20000000000005</v>
      </c>
      <c r="G1121" s="427" t="s">
        <v>8322</v>
      </c>
      <c r="H1121" s="415" t="s">
        <v>310</v>
      </c>
      <c r="I1121" s="398" t="s">
        <v>795</v>
      </c>
      <c r="J1121" s="418" t="s">
        <v>796</v>
      </c>
      <c r="K1121" s="418" t="s">
        <v>797</v>
      </c>
      <c r="L1121" s="399" t="s">
        <v>798</v>
      </c>
      <c r="M1121" s="544" t="s">
        <v>310</v>
      </c>
      <c r="N1121" s="413">
        <v>44883</v>
      </c>
      <c r="O1121" s="414" t="s">
        <v>400</v>
      </c>
      <c r="P1121" s="655">
        <f t="shared" ref="P1121:P1186" si="58">IF(B1121=0,0,IF(YEAR(B1121)=$Q$1,MONTH(B1121)-$P$1+1,(YEAR(B1121)-$Q$1)*12-$P$1+1+MONTH(B1121)))</f>
        <v>11</v>
      </c>
      <c r="Q1121" s="655">
        <f t="shared" ref="Q1121:Q1186" si="59">IF(C1121=0,0,IF(YEAR(C1121)=$Q$1,MONTH(C1121)-$P$1+1,(YEAR(C1121)-$Q$1)*12-$P$1+1+MONTH(C1121)))</f>
        <v>10</v>
      </c>
      <c r="R1121" s="758" t="str">
        <f t="shared" si="57"/>
        <v>Gastos_Gerais</v>
      </c>
      <c r="S1121" s="697" t="s">
        <v>310</v>
      </c>
      <c r="T1121" s="697" t="s">
        <v>310</v>
      </c>
    </row>
    <row r="1122" spans="1:20" ht="48" x14ac:dyDescent="0.2">
      <c r="A1122" s="432">
        <f>IF(B1122="","",COUNT('Diário 1º PA'!$A$4:$A$2635)+COUNT('Diário 2º PA'!$A$4:$A$3040)+COUNT('Diário 3º PA'!$A$4:$A$2731)+ROW()-3)</f>
        <v>7147</v>
      </c>
      <c r="B1122" s="413">
        <v>44883</v>
      </c>
      <c r="C1122" s="431">
        <v>44835</v>
      </c>
      <c r="D1122" s="415" t="s">
        <v>468</v>
      </c>
      <c r="E1122" s="415" t="s">
        <v>468</v>
      </c>
      <c r="F1122" s="686">
        <v>8595.89</v>
      </c>
      <c r="G1122" s="427" t="s">
        <v>8338</v>
      </c>
      <c r="H1122" s="415" t="s">
        <v>310</v>
      </c>
      <c r="I1122" s="473" t="s">
        <v>795</v>
      </c>
      <c r="J1122" s="415" t="s">
        <v>796</v>
      </c>
      <c r="K1122" s="419" t="s">
        <v>806</v>
      </c>
      <c r="L1122" s="415" t="s">
        <v>798</v>
      </c>
      <c r="M1122" s="415" t="s">
        <v>310</v>
      </c>
      <c r="N1122" s="413">
        <v>44883</v>
      </c>
      <c r="O1122" s="414" t="s">
        <v>400</v>
      </c>
      <c r="P1122" s="655">
        <f t="shared" si="58"/>
        <v>11</v>
      </c>
      <c r="Q1122" s="655">
        <f t="shared" si="59"/>
        <v>10</v>
      </c>
      <c r="R1122" s="758" t="str">
        <f t="shared" si="57"/>
        <v>Gastos_custeados_por_captação</v>
      </c>
      <c r="S1122" s="697" t="s">
        <v>310</v>
      </c>
      <c r="T1122" s="697" t="s">
        <v>310</v>
      </c>
    </row>
    <row r="1123" spans="1:20" ht="48" x14ac:dyDescent="0.2">
      <c r="A1123" s="432">
        <f>IF(B1123="","",COUNT('Diário 1º PA'!$A$4:$A$2635)+COUNT('Diário 2º PA'!$A$4:$A$3040)+COUNT('Diário 3º PA'!$A$4:$A$2731)+ROW()-3)</f>
        <v>7148</v>
      </c>
      <c r="B1123" s="413">
        <v>44883</v>
      </c>
      <c r="C1123" s="431">
        <v>44835</v>
      </c>
      <c r="D1123" s="415" t="s">
        <v>468</v>
      </c>
      <c r="E1123" s="415" t="s">
        <v>468</v>
      </c>
      <c r="F1123" s="686">
        <v>6510</v>
      </c>
      <c r="G1123" s="427" t="s">
        <v>8339</v>
      </c>
      <c r="H1123" s="415" t="s">
        <v>310</v>
      </c>
      <c r="I1123" s="473" t="s">
        <v>795</v>
      </c>
      <c r="J1123" s="415" t="s">
        <v>796</v>
      </c>
      <c r="K1123" s="419" t="s">
        <v>806</v>
      </c>
      <c r="L1123" s="415" t="s">
        <v>798</v>
      </c>
      <c r="M1123" s="415" t="s">
        <v>310</v>
      </c>
      <c r="N1123" s="413">
        <v>44883</v>
      </c>
      <c r="O1123" s="414" t="s">
        <v>400</v>
      </c>
      <c r="P1123" s="655">
        <f t="shared" si="58"/>
        <v>11</v>
      </c>
      <c r="Q1123" s="655">
        <f t="shared" si="59"/>
        <v>10</v>
      </c>
      <c r="R1123" s="758" t="str">
        <f t="shared" si="57"/>
        <v>Gastos_custeados_por_captação</v>
      </c>
      <c r="S1123" s="697" t="s">
        <v>310</v>
      </c>
      <c r="T1123" s="697" t="s">
        <v>310</v>
      </c>
    </row>
    <row r="1124" spans="1:20" ht="48" x14ac:dyDescent="0.2">
      <c r="A1124" s="432">
        <f>IF(B1124="","",COUNT('Diário 1º PA'!$A$4:$A$2635)+COUNT('Diário 2º PA'!$A$4:$A$3040)+COUNT('Diário 3º PA'!$A$4:$A$2731)+ROW()-3)</f>
        <v>7149</v>
      </c>
      <c r="B1124" s="413">
        <v>44883</v>
      </c>
      <c r="C1124" s="431">
        <v>44835</v>
      </c>
      <c r="D1124" s="415" t="s">
        <v>468</v>
      </c>
      <c r="E1124" s="415" t="s">
        <v>468</v>
      </c>
      <c r="F1124" s="686">
        <v>7362.5</v>
      </c>
      <c r="G1124" s="427" t="s">
        <v>8340</v>
      </c>
      <c r="H1124" s="415" t="s">
        <v>310</v>
      </c>
      <c r="I1124" s="473" t="s">
        <v>795</v>
      </c>
      <c r="J1124" s="415" t="s">
        <v>796</v>
      </c>
      <c r="K1124" s="419" t="s">
        <v>806</v>
      </c>
      <c r="L1124" s="415" t="s">
        <v>798</v>
      </c>
      <c r="M1124" s="415" t="s">
        <v>310</v>
      </c>
      <c r="N1124" s="413">
        <v>44883</v>
      </c>
      <c r="O1124" s="414" t="s">
        <v>400</v>
      </c>
      <c r="P1124" s="655">
        <f t="shared" si="58"/>
        <v>11</v>
      </c>
      <c r="Q1124" s="655">
        <f t="shared" si="59"/>
        <v>10</v>
      </c>
      <c r="R1124" s="758" t="str">
        <f t="shared" si="57"/>
        <v>Gastos_custeados_por_captação</v>
      </c>
      <c r="S1124" s="697" t="s">
        <v>310</v>
      </c>
      <c r="T1124" s="697" t="s">
        <v>310</v>
      </c>
    </row>
    <row r="1125" spans="1:20" ht="48" x14ac:dyDescent="0.2">
      <c r="A1125" s="432">
        <f>IF(B1125="","",COUNT('Diário 1º PA'!$A$4:$A$2635)+COUNT('Diário 2º PA'!$A$4:$A$3040)+COUNT('Diário 3º PA'!$A$4:$A$2731)+ROW()-3)</f>
        <v>7150</v>
      </c>
      <c r="B1125" s="413">
        <v>44883</v>
      </c>
      <c r="C1125" s="431">
        <v>44835</v>
      </c>
      <c r="D1125" s="415" t="s">
        <v>182</v>
      </c>
      <c r="E1125" s="415" t="s">
        <v>1</v>
      </c>
      <c r="F1125" s="425">
        <v>2025.82</v>
      </c>
      <c r="G1125" s="427" t="s">
        <v>8341</v>
      </c>
      <c r="H1125" s="415" t="s">
        <v>310</v>
      </c>
      <c r="I1125" s="473" t="s">
        <v>795</v>
      </c>
      <c r="J1125" s="415" t="s">
        <v>796</v>
      </c>
      <c r="K1125" s="415" t="s">
        <v>797</v>
      </c>
      <c r="L1125" s="415" t="s">
        <v>798</v>
      </c>
      <c r="M1125" s="415" t="s">
        <v>310</v>
      </c>
      <c r="N1125" s="413">
        <v>44883</v>
      </c>
      <c r="O1125" s="414" t="s">
        <v>400</v>
      </c>
      <c r="P1125" s="655">
        <f t="shared" si="58"/>
        <v>11</v>
      </c>
      <c r="Q1125" s="655">
        <f t="shared" si="59"/>
        <v>10</v>
      </c>
      <c r="R1125" s="758" t="str">
        <f t="shared" si="57"/>
        <v>Gastos_com_Pessoal</v>
      </c>
      <c r="S1125" s="697" t="s">
        <v>310</v>
      </c>
      <c r="T1125" s="697" t="s">
        <v>310</v>
      </c>
    </row>
    <row r="1126" spans="1:20" ht="48" x14ac:dyDescent="0.2">
      <c r="A1126" s="432">
        <f>IF(B1126="","",COUNT('Diário 1º PA'!$A$4:$A$2635)+COUNT('Diário 2º PA'!$A$4:$A$3040)+COUNT('Diário 3º PA'!$A$4:$A$2731)+ROW()-3)</f>
        <v>7151</v>
      </c>
      <c r="B1126" s="413">
        <v>44883</v>
      </c>
      <c r="C1126" s="431">
        <v>44835</v>
      </c>
      <c r="D1126" s="415" t="s">
        <v>182</v>
      </c>
      <c r="E1126" s="415" t="s">
        <v>252</v>
      </c>
      <c r="F1126" s="425">
        <v>5407.16</v>
      </c>
      <c r="G1126" s="427" t="s">
        <v>8342</v>
      </c>
      <c r="H1126" s="415" t="s">
        <v>310</v>
      </c>
      <c r="I1126" s="473" t="s">
        <v>795</v>
      </c>
      <c r="J1126" s="415" t="s">
        <v>796</v>
      </c>
      <c r="K1126" s="415" t="s">
        <v>797</v>
      </c>
      <c r="L1126" s="415" t="s">
        <v>798</v>
      </c>
      <c r="M1126" s="415" t="s">
        <v>310</v>
      </c>
      <c r="N1126" s="413">
        <v>44883</v>
      </c>
      <c r="O1126" s="414" t="s">
        <v>400</v>
      </c>
      <c r="P1126" s="655">
        <f t="shared" si="58"/>
        <v>11</v>
      </c>
      <c r="Q1126" s="655">
        <f t="shared" si="59"/>
        <v>10</v>
      </c>
      <c r="R1126" s="758" t="str">
        <f t="shared" si="57"/>
        <v>Gastos_com_Pessoal</v>
      </c>
      <c r="S1126" s="697" t="s">
        <v>310</v>
      </c>
      <c r="T1126" s="697" t="s">
        <v>310</v>
      </c>
    </row>
    <row r="1127" spans="1:20" ht="24" x14ac:dyDescent="0.2">
      <c r="A1127" s="432">
        <f>IF(B1127="","",COUNT('Diário 1º PA'!$A$4:$A$2635)+COUNT('Diário 2º PA'!$A$4:$A$3040)+COUNT('Diário 3º PA'!$A$4:$A$2731)+ROW()-3)</f>
        <v>7152</v>
      </c>
      <c r="B1127" s="413">
        <v>44883</v>
      </c>
      <c r="C1127" s="431">
        <v>44835</v>
      </c>
      <c r="D1127" s="415" t="s">
        <v>182</v>
      </c>
      <c r="E1127" s="415" t="s">
        <v>1</v>
      </c>
      <c r="F1127" s="425">
        <v>19301.89</v>
      </c>
      <c r="G1127" s="427" t="s">
        <v>8121</v>
      </c>
      <c r="H1127" s="415" t="s">
        <v>310</v>
      </c>
      <c r="I1127" s="473" t="s">
        <v>1461</v>
      </c>
      <c r="J1127" s="415" t="s">
        <v>310</v>
      </c>
      <c r="K1127" s="415" t="s">
        <v>1220</v>
      </c>
      <c r="L1127" s="415" t="s">
        <v>1368</v>
      </c>
      <c r="M1127" s="415" t="s">
        <v>310</v>
      </c>
      <c r="N1127" s="413">
        <v>44883</v>
      </c>
      <c r="O1127" s="414" t="s">
        <v>400</v>
      </c>
      <c r="P1127" s="655">
        <f t="shared" si="58"/>
        <v>11</v>
      </c>
      <c r="Q1127" s="655">
        <f t="shared" si="59"/>
        <v>10</v>
      </c>
      <c r="R1127" s="758" t="str">
        <f t="shared" si="57"/>
        <v>Gastos_com_Pessoal</v>
      </c>
      <c r="S1127" s="697" t="s">
        <v>310</v>
      </c>
      <c r="T1127" s="697" t="s">
        <v>310</v>
      </c>
    </row>
    <row r="1128" spans="1:20" ht="24" x14ac:dyDescent="0.2">
      <c r="A1128" s="432">
        <f>IF(B1128="","",COUNT('Diário 1º PA'!$A$4:$A$2635)+COUNT('Diário 2º PA'!$A$4:$A$3040)+COUNT('Diário 3º PA'!$A$4:$A$2731)+ROW()-3)</f>
        <v>7153</v>
      </c>
      <c r="B1128" s="413">
        <v>44883</v>
      </c>
      <c r="C1128" s="431">
        <v>44835</v>
      </c>
      <c r="D1128" s="415" t="s">
        <v>182</v>
      </c>
      <c r="E1128" s="415" t="s">
        <v>252</v>
      </c>
      <c r="F1128" s="425">
        <v>59900.02</v>
      </c>
      <c r="G1128" s="427" t="s">
        <v>8343</v>
      </c>
      <c r="H1128" s="415" t="s">
        <v>310</v>
      </c>
      <c r="I1128" s="473" t="s">
        <v>1461</v>
      </c>
      <c r="J1128" s="415" t="s">
        <v>310</v>
      </c>
      <c r="K1128" s="415" t="s">
        <v>1220</v>
      </c>
      <c r="L1128" s="415" t="s">
        <v>1368</v>
      </c>
      <c r="M1128" s="415" t="s">
        <v>310</v>
      </c>
      <c r="N1128" s="413">
        <v>44883</v>
      </c>
      <c r="O1128" s="414" t="s">
        <v>400</v>
      </c>
      <c r="P1128" s="655">
        <f t="shared" si="58"/>
        <v>11</v>
      </c>
      <c r="Q1128" s="655">
        <f t="shared" si="59"/>
        <v>10</v>
      </c>
      <c r="R1128" s="758" t="str">
        <f t="shared" si="57"/>
        <v>Gastos_com_Pessoal</v>
      </c>
      <c r="S1128" s="697" t="s">
        <v>310</v>
      </c>
      <c r="T1128" s="697" t="s">
        <v>310</v>
      </c>
    </row>
    <row r="1129" spans="1:20" ht="48" x14ac:dyDescent="0.2">
      <c r="A1129" s="432">
        <f>IF(B1129="","",COUNT('Diário 1º PA'!$A$4:$A$2635)+COUNT('Diário 2º PA'!$A$4:$A$3040)+COUNT('Diário 3º PA'!$A$4:$A$2731)+ROW()-3)</f>
        <v>7154</v>
      </c>
      <c r="B1129" s="413">
        <v>44883</v>
      </c>
      <c r="C1129" s="431">
        <v>44835</v>
      </c>
      <c r="D1129" s="415" t="s">
        <v>468</v>
      </c>
      <c r="E1129" s="415" t="s">
        <v>468</v>
      </c>
      <c r="F1129" s="425">
        <v>477.59</v>
      </c>
      <c r="G1129" s="427" t="s">
        <v>8344</v>
      </c>
      <c r="H1129" s="415" t="s">
        <v>468</v>
      </c>
      <c r="I1129" s="473" t="s">
        <v>795</v>
      </c>
      <c r="J1129" s="415" t="s">
        <v>796</v>
      </c>
      <c r="K1129" s="419" t="s">
        <v>806</v>
      </c>
      <c r="L1129" s="415" t="s">
        <v>798</v>
      </c>
      <c r="M1129" s="415" t="s">
        <v>310</v>
      </c>
      <c r="N1129" s="413">
        <v>44883</v>
      </c>
      <c r="O1129" s="414" t="s">
        <v>400</v>
      </c>
      <c r="P1129" s="655">
        <f t="shared" si="58"/>
        <v>11</v>
      </c>
      <c r="Q1129" s="655">
        <f t="shared" si="59"/>
        <v>10</v>
      </c>
      <c r="R1129" s="758" t="str">
        <f t="shared" si="57"/>
        <v>Gastos_custeados_por_captação</v>
      </c>
      <c r="S1129" s="697" t="s">
        <v>310</v>
      </c>
      <c r="T1129" s="697" t="s">
        <v>310</v>
      </c>
    </row>
    <row r="1130" spans="1:20" ht="48" x14ac:dyDescent="0.2">
      <c r="A1130" s="432">
        <f>IF(B1130="","",COUNT('Diário 1º PA'!$A$4:$A$2635)+COUNT('Diário 2º PA'!$A$4:$A$3040)+COUNT('Diário 3º PA'!$A$4:$A$2731)+ROW()-3)</f>
        <v>7155</v>
      </c>
      <c r="B1130" s="413">
        <v>44883</v>
      </c>
      <c r="C1130" s="431">
        <v>44835</v>
      </c>
      <c r="D1130" s="415" t="s">
        <v>468</v>
      </c>
      <c r="E1130" s="415" t="s">
        <v>468</v>
      </c>
      <c r="F1130" s="425">
        <v>3759.29</v>
      </c>
      <c r="G1130" s="427" t="s">
        <v>8345</v>
      </c>
      <c r="H1130" s="415" t="s">
        <v>468</v>
      </c>
      <c r="I1130" s="473" t="s">
        <v>795</v>
      </c>
      <c r="J1130" s="415" t="s">
        <v>796</v>
      </c>
      <c r="K1130" s="419" t="s">
        <v>806</v>
      </c>
      <c r="L1130" s="415" t="s">
        <v>798</v>
      </c>
      <c r="M1130" s="415" t="s">
        <v>310</v>
      </c>
      <c r="N1130" s="413">
        <v>44883</v>
      </c>
      <c r="O1130" s="414" t="s">
        <v>400</v>
      </c>
      <c r="P1130" s="655">
        <f t="shared" si="58"/>
        <v>11</v>
      </c>
      <c r="Q1130" s="655">
        <f t="shared" si="59"/>
        <v>10</v>
      </c>
      <c r="R1130" s="758" t="str">
        <f t="shared" si="57"/>
        <v>Gastos_custeados_por_captação</v>
      </c>
      <c r="S1130" s="697" t="s">
        <v>310</v>
      </c>
      <c r="T1130" s="697" t="s">
        <v>310</v>
      </c>
    </row>
    <row r="1131" spans="1:20" ht="36" x14ac:dyDescent="0.2">
      <c r="A1131" s="432">
        <f>IF(B1131="","",COUNT('Diário 1º PA'!$A$4:$A$2635)+COUNT('Diário 2º PA'!$A$4:$A$3040)+COUNT('Diário 3º PA'!$A$4:$A$2731)+ROW()-3)</f>
        <v>7156</v>
      </c>
      <c r="B1131" s="413">
        <v>44883</v>
      </c>
      <c r="C1131" s="431">
        <v>44866</v>
      </c>
      <c r="D1131" s="415" t="s">
        <v>468</v>
      </c>
      <c r="E1131" s="415" t="s">
        <v>468</v>
      </c>
      <c r="F1131" s="425">
        <v>340</v>
      </c>
      <c r="G1131" s="766" t="s">
        <v>9222</v>
      </c>
      <c r="H1131" s="415" t="s">
        <v>468</v>
      </c>
      <c r="I1131" s="473" t="s">
        <v>9223</v>
      </c>
      <c r="J1131" s="415" t="s">
        <v>9224</v>
      </c>
      <c r="K1131" s="419" t="s">
        <v>830</v>
      </c>
      <c r="L1131" s="415" t="s">
        <v>807</v>
      </c>
      <c r="M1131" s="415">
        <v>17534</v>
      </c>
      <c r="N1131" s="413">
        <v>44883</v>
      </c>
      <c r="O1131" s="414" t="s">
        <v>403</v>
      </c>
      <c r="P1131" s="655">
        <f t="shared" ref="P1131" si="60">IF(B1131=0,0,IF(YEAR(B1131)=$Q$1,MONTH(B1131)-$P$1+1,(YEAR(B1131)-$Q$1)*12-$P$1+1+MONTH(B1131)))</f>
        <v>11</v>
      </c>
      <c r="Q1131" s="655">
        <f t="shared" ref="Q1131" si="61">IF(C1131=0,0,IF(YEAR(C1131)=$Q$1,MONTH(C1131)-$P$1+1,(YEAR(C1131)-$Q$1)*12-$P$1+1+MONTH(C1131)))</f>
        <v>11</v>
      </c>
      <c r="R1131" s="758" t="str">
        <f t="shared" ref="R1131" si="62">SUBSTITUTE(D1131," ","_")</f>
        <v>Gastos_custeados_por_captação</v>
      </c>
      <c r="S1131" s="697" t="s">
        <v>999</v>
      </c>
      <c r="T1131" s="697">
        <v>4754</v>
      </c>
    </row>
    <row r="1132" spans="1:20" ht="48" x14ac:dyDescent="0.2">
      <c r="A1132" s="432">
        <f>IF(B1132="","",COUNT('Diário 1º PA'!$A$4:$A$2635)+COUNT('Diário 2º PA'!$A$4:$A$3040)+COUNT('Diário 3º PA'!$A$4:$A$2731)+ROW()-3)</f>
        <v>7157</v>
      </c>
      <c r="B1132" s="413">
        <v>44886</v>
      </c>
      <c r="C1132" s="431">
        <v>44835</v>
      </c>
      <c r="D1132" s="415" t="s">
        <v>271</v>
      </c>
      <c r="E1132" s="415" t="s">
        <v>326</v>
      </c>
      <c r="F1132" s="425">
        <v>-396.15</v>
      </c>
      <c r="G1132" s="427" t="s">
        <v>4849</v>
      </c>
      <c r="H1132" s="415" t="s">
        <v>309</v>
      </c>
      <c r="I1132" s="473" t="s">
        <v>795</v>
      </c>
      <c r="J1132" s="415" t="s">
        <v>796</v>
      </c>
      <c r="K1132" s="415" t="s">
        <v>797</v>
      </c>
      <c r="L1132" s="415" t="s">
        <v>798</v>
      </c>
      <c r="M1132" s="415" t="s">
        <v>310</v>
      </c>
      <c r="N1132" s="413">
        <v>44886</v>
      </c>
      <c r="O1132" s="414" t="s">
        <v>400</v>
      </c>
      <c r="P1132" s="655">
        <f t="shared" si="58"/>
        <v>11</v>
      </c>
      <c r="Q1132" s="655">
        <f t="shared" si="59"/>
        <v>10</v>
      </c>
      <c r="R1132" s="758" t="str">
        <f t="shared" si="57"/>
        <v>Gastos_Gerais</v>
      </c>
      <c r="S1132" s="697" t="s">
        <v>310</v>
      </c>
      <c r="T1132" s="697" t="s">
        <v>310</v>
      </c>
    </row>
    <row r="1133" spans="1:20" ht="24" x14ac:dyDescent="0.2">
      <c r="A1133" s="432">
        <f>IF(B1133="","",COUNT('Diário 1º PA'!$A$4:$A$2635)+COUNT('Diário 2º PA'!$A$4:$A$3040)+COUNT('Diário 3º PA'!$A$4:$A$2731)+ROW()-3)</f>
        <v>7158</v>
      </c>
      <c r="B1133" s="413">
        <v>44886</v>
      </c>
      <c r="C1133" s="466">
        <v>44866</v>
      </c>
      <c r="D1133" s="415" t="s">
        <v>182</v>
      </c>
      <c r="E1133" s="415" t="s">
        <v>6</v>
      </c>
      <c r="F1133" s="425">
        <v>191.08</v>
      </c>
      <c r="G1133" s="440" t="s">
        <v>8354</v>
      </c>
      <c r="H1133" s="415" t="s">
        <v>310</v>
      </c>
      <c r="I1133" s="437" t="s">
        <v>1486</v>
      </c>
      <c r="J1133" s="418" t="s">
        <v>1487</v>
      </c>
      <c r="K1133" s="418" t="s">
        <v>812</v>
      </c>
      <c r="L1133" s="399" t="s">
        <v>807</v>
      </c>
      <c r="M1133" s="415">
        <v>244021</v>
      </c>
      <c r="N1133" s="414">
        <v>44889</v>
      </c>
      <c r="O1133" s="414" t="s">
        <v>400</v>
      </c>
      <c r="P1133" s="655">
        <f t="shared" si="58"/>
        <v>11</v>
      </c>
      <c r="Q1133" s="655">
        <f t="shared" si="59"/>
        <v>11</v>
      </c>
      <c r="R1133" s="758" t="str">
        <f t="shared" si="57"/>
        <v>Gastos_com_Pessoal</v>
      </c>
      <c r="S1133" s="697" t="s">
        <v>310</v>
      </c>
      <c r="T1133" s="697" t="s">
        <v>310</v>
      </c>
    </row>
    <row r="1134" spans="1:20" ht="24" x14ac:dyDescent="0.2">
      <c r="A1134" s="432">
        <f>IF(B1134="","",COUNT('Diário 1º PA'!$A$4:$A$2635)+COUNT('Diário 2º PA'!$A$4:$A$3040)+COUNT('Diário 3º PA'!$A$4:$A$2731)+ROW()-3)</f>
        <v>7159</v>
      </c>
      <c r="B1134" s="413">
        <v>44886</v>
      </c>
      <c r="C1134" s="466">
        <v>44866</v>
      </c>
      <c r="D1134" s="415" t="s">
        <v>182</v>
      </c>
      <c r="E1134" s="415" t="s">
        <v>161</v>
      </c>
      <c r="F1134" s="425">
        <v>73.2</v>
      </c>
      <c r="G1134" s="427" t="s">
        <v>7652</v>
      </c>
      <c r="H1134" s="415" t="s">
        <v>310</v>
      </c>
      <c r="I1134" s="473" t="s">
        <v>2008</v>
      </c>
      <c r="J1134" s="548" t="s">
        <v>2009</v>
      </c>
      <c r="K1134" s="415" t="s">
        <v>812</v>
      </c>
      <c r="L1134" s="415" t="s">
        <v>807</v>
      </c>
      <c r="M1134" s="415" t="s">
        <v>8806</v>
      </c>
      <c r="N1134" s="414">
        <v>44888</v>
      </c>
      <c r="O1134" s="414" t="s">
        <v>400</v>
      </c>
      <c r="P1134" s="655">
        <f t="shared" si="58"/>
        <v>11</v>
      </c>
      <c r="Q1134" s="655">
        <f t="shared" si="59"/>
        <v>11</v>
      </c>
      <c r="R1134" s="758" t="str">
        <f t="shared" si="57"/>
        <v>Gastos_com_Pessoal</v>
      </c>
      <c r="S1134" s="697" t="s">
        <v>310</v>
      </c>
      <c r="T1134" s="697" t="s">
        <v>310</v>
      </c>
    </row>
    <row r="1135" spans="1:20" ht="24" x14ac:dyDescent="0.2">
      <c r="A1135" s="432">
        <f>IF(B1135="","",COUNT('Diário 1º PA'!$A$4:$A$2635)+COUNT('Diário 2º PA'!$A$4:$A$3040)+COUNT('Diário 3º PA'!$A$4:$A$2731)+ROW()-3)</f>
        <v>7160</v>
      </c>
      <c r="B1135" s="413">
        <v>44886</v>
      </c>
      <c r="C1135" s="431">
        <v>44835</v>
      </c>
      <c r="D1135" s="415" t="s">
        <v>271</v>
      </c>
      <c r="E1135" s="415" t="s">
        <v>326</v>
      </c>
      <c r="F1135" s="422">
        <v>1434.45</v>
      </c>
      <c r="G1135" s="427" t="s">
        <v>4068</v>
      </c>
      <c r="H1135" s="415" t="s">
        <v>309</v>
      </c>
      <c r="I1135" s="415" t="s">
        <v>4856</v>
      </c>
      <c r="J1135" s="415" t="s">
        <v>3604</v>
      </c>
      <c r="K1135" s="419" t="s">
        <v>812</v>
      </c>
      <c r="L1135" s="415" t="s">
        <v>32</v>
      </c>
      <c r="M1135" s="419" t="s">
        <v>6001</v>
      </c>
      <c r="N1135" s="413">
        <v>44869</v>
      </c>
      <c r="O1135" s="414" t="s">
        <v>400</v>
      </c>
      <c r="P1135" s="655">
        <f t="shared" si="58"/>
        <v>11</v>
      </c>
      <c r="Q1135" s="655">
        <f t="shared" si="59"/>
        <v>10</v>
      </c>
      <c r="R1135" s="758" t="str">
        <f t="shared" si="57"/>
        <v>Gastos_Gerais</v>
      </c>
      <c r="S1135" s="697" t="s">
        <v>1000</v>
      </c>
      <c r="T1135" s="697">
        <v>3559</v>
      </c>
    </row>
    <row r="1136" spans="1:20" ht="72" x14ac:dyDescent="0.2">
      <c r="A1136" s="432">
        <f>IF(B1136="","",COUNT('Diário 1º PA'!$A$4:$A$2635)+COUNT('Diário 2º PA'!$A$4:$A$3040)+COUNT('Diário 3º PA'!$A$4:$A$2731)+ROW()-3)</f>
        <v>7161</v>
      </c>
      <c r="B1136" s="413">
        <v>44886</v>
      </c>
      <c r="C1136" s="431">
        <v>44835</v>
      </c>
      <c r="D1136" s="415" t="s">
        <v>271</v>
      </c>
      <c r="E1136" s="415" t="s">
        <v>186</v>
      </c>
      <c r="F1136" s="425">
        <v>2952.47</v>
      </c>
      <c r="G1136" s="427" t="s">
        <v>3151</v>
      </c>
      <c r="H1136" s="415" t="s">
        <v>751</v>
      </c>
      <c r="I1136" s="415" t="s">
        <v>3740</v>
      </c>
      <c r="J1136" s="415" t="s">
        <v>1029</v>
      </c>
      <c r="K1136" s="419" t="s">
        <v>812</v>
      </c>
      <c r="L1136" s="415" t="s">
        <v>32</v>
      </c>
      <c r="M1136" s="419" t="s">
        <v>8357</v>
      </c>
      <c r="N1136" s="413">
        <v>44873</v>
      </c>
      <c r="O1136" s="414" t="s">
        <v>400</v>
      </c>
      <c r="P1136" s="655">
        <f t="shared" si="58"/>
        <v>11</v>
      </c>
      <c r="Q1136" s="655">
        <f t="shared" si="59"/>
        <v>10</v>
      </c>
      <c r="R1136" s="758" t="str">
        <f t="shared" si="57"/>
        <v>Gastos_Gerais</v>
      </c>
      <c r="S1136" s="697" t="s">
        <v>1000</v>
      </c>
      <c r="T1136" s="697">
        <v>1501</v>
      </c>
    </row>
    <row r="1137" spans="1:20" ht="48" x14ac:dyDescent="0.2">
      <c r="A1137" s="432">
        <f>IF(B1137="","",COUNT('Diário 1º PA'!$A$4:$A$2635)+COUNT('Diário 2º PA'!$A$4:$A$3040)+COUNT('Diário 3º PA'!$A$4:$A$2731)+ROW()-3)</f>
        <v>7162</v>
      </c>
      <c r="B1137" s="413">
        <v>44886</v>
      </c>
      <c r="C1137" s="431">
        <v>44835</v>
      </c>
      <c r="D1137" s="419" t="s">
        <v>468</v>
      </c>
      <c r="E1137" s="419" t="s">
        <v>468</v>
      </c>
      <c r="F1137" s="422">
        <v>453.6</v>
      </c>
      <c r="G1137" s="427" t="s">
        <v>8072</v>
      </c>
      <c r="H1137" s="419" t="s">
        <v>468</v>
      </c>
      <c r="I1137" s="415" t="s">
        <v>8494</v>
      </c>
      <c r="J1137" s="415" t="s">
        <v>8073</v>
      </c>
      <c r="K1137" s="419" t="s">
        <v>806</v>
      </c>
      <c r="L1137" s="415" t="s">
        <v>839</v>
      </c>
      <c r="M1137" s="419">
        <v>2112</v>
      </c>
      <c r="N1137" s="413">
        <v>44883</v>
      </c>
      <c r="O1137" s="414" t="s">
        <v>405</v>
      </c>
      <c r="P1137" s="655">
        <f t="shared" si="58"/>
        <v>11</v>
      </c>
      <c r="Q1137" s="655">
        <f t="shared" si="59"/>
        <v>10</v>
      </c>
      <c r="R1137" s="758" t="str">
        <f t="shared" si="57"/>
        <v>Gastos_custeados_por_captação</v>
      </c>
      <c r="S1137" s="697" t="s">
        <v>998</v>
      </c>
      <c r="T1137" s="697">
        <v>4659</v>
      </c>
    </row>
    <row r="1138" spans="1:20" ht="84" x14ac:dyDescent="0.2">
      <c r="A1138" s="432">
        <f>IF(B1138="","",COUNT('Diário 1º PA'!$A$4:$A$2635)+COUNT('Diário 2º PA'!$A$4:$A$3040)+COUNT('Diário 3º PA'!$A$4:$A$2731)+ROW()-3)</f>
        <v>7163</v>
      </c>
      <c r="B1138" s="413">
        <v>44886</v>
      </c>
      <c r="C1138" s="431">
        <v>44835</v>
      </c>
      <c r="D1138" s="419" t="s">
        <v>468</v>
      </c>
      <c r="E1138" s="419" t="s">
        <v>468</v>
      </c>
      <c r="F1138" s="422">
        <v>1998.6</v>
      </c>
      <c r="G1138" s="427" t="s">
        <v>7698</v>
      </c>
      <c r="H1138" s="419" t="s">
        <v>468</v>
      </c>
      <c r="I1138" s="415" t="s">
        <v>8498</v>
      </c>
      <c r="J1138" s="415" t="s">
        <v>7706</v>
      </c>
      <c r="K1138" s="419" t="s">
        <v>806</v>
      </c>
      <c r="L1138" s="415" t="s">
        <v>839</v>
      </c>
      <c r="M1138" s="419">
        <v>2108</v>
      </c>
      <c r="N1138" s="413">
        <v>44883</v>
      </c>
      <c r="O1138" s="414" t="s">
        <v>404</v>
      </c>
      <c r="P1138" s="655">
        <f t="shared" si="58"/>
        <v>11</v>
      </c>
      <c r="Q1138" s="655">
        <f t="shared" si="59"/>
        <v>10</v>
      </c>
      <c r="R1138" s="758" t="str">
        <f t="shared" ref="R1138:R1202" si="63">SUBSTITUTE(D1138," ","_")</f>
        <v>Gastos_custeados_por_captação</v>
      </c>
      <c r="S1138" s="697" t="s">
        <v>1000</v>
      </c>
      <c r="T1138" s="697">
        <v>4494</v>
      </c>
    </row>
    <row r="1139" spans="1:20" ht="84" x14ac:dyDescent="0.2">
      <c r="A1139" s="432">
        <f>IF(B1139="","",COUNT('Diário 1º PA'!$A$4:$A$2635)+COUNT('Diário 2º PA'!$A$4:$A$3040)+COUNT('Diário 3º PA'!$A$4:$A$2731)+ROW()-3)</f>
        <v>7164</v>
      </c>
      <c r="B1139" s="413">
        <v>44886</v>
      </c>
      <c r="C1139" s="431">
        <v>44835</v>
      </c>
      <c r="D1139" s="419" t="s">
        <v>468</v>
      </c>
      <c r="E1139" s="419" t="s">
        <v>468</v>
      </c>
      <c r="F1139" s="422">
        <v>1998.6</v>
      </c>
      <c r="G1139" s="427" t="s">
        <v>7697</v>
      </c>
      <c r="H1139" s="419" t="s">
        <v>468</v>
      </c>
      <c r="I1139" s="415" t="s">
        <v>8501</v>
      </c>
      <c r="J1139" s="415" t="s">
        <v>7696</v>
      </c>
      <c r="K1139" s="419" t="s">
        <v>830</v>
      </c>
      <c r="L1139" s="415" t="s">
        <v>839</v>
      </c>
      <c r="M1139" s="419">
        <v>2107</v>
      </c>
      <c r="N1139" s="413">
        <v>44883</v>
      </c>
      <c r="O1139" s="414" t="s">
        <v>404</v>
      </c>
      <c r="P1139" s="655">
        <f t="shared" si="58"/>
        <v>11</v>
      </c>
      <c r="Q1139" s="655">
        <f t="shared" si="59"/>
        <v>10</v>
      </c>
      <c r="R1139" s="758" t="str">
        <f t="shared" si="63"/>
        <v>Gastos_custeados_por_captação</v>
      </c>
      <c r="S1139" s="697" t="s">
        <v>1000</v>
      </c>
      <c r="T1139" s="697">
        <v>4495</v>
      </c>
    </row>
    <row r="1140" spans="1:20" ht="36" x14ac:dyDescent="0.2">
      <c r="A1140" s="432">
        <f>IF(B1140="","",COUNT('Diário 1º PA'!$A$4:$A$2635)+COUNT('Diário 2º PA'!$A$4:$A$3040)+COUNT('Diário 3º PA'!$A$4:$A$2731)+ROW()-3)</f>
        <v>7165</v>
      </c>
      <c r="B1140" s="413">
        <v>44886</v>
      </c>
      <c r="C1140" s="431">
        <v>44835</v>
      </c>
      <c r="D1140" s="419" t="s">
        <v>468</v>
      </c>
      <c r="E1140" s="419" t="s">
        <v>468</v>
      </c>
      <c r="F1140" s="422">
        <v>1000</v>
      </c>
      <c r="G1140" s="427" t="s">
        <v>4124</v>
      </c>
      <c r="H1140" s="419" t="s">
        <v>468</v>
      </c>
      <c r="I1140" s="398" t="s">
        <v>6421</v>
      </c>
      <c r="J1140" s="415" t="s">
        <v>2994</v>
      </c>
      <c r="K1140" s="418" t="s">
        <v>812</v>
      </c>
      <c r="L1140" s="399" t="s">
        <v>32</v>
      </c>
      <c r="M1140" s="419">
        <v>4386</v>
      </c>
      <c r="N1140" s="413">
        <v>44866</v>
      </c>
      <c r="O1140" s="414" t="s">
        <v>408</v>
      </c>
      <c r="P1140" s="655">
        <f t="shared" si="58"/>
        <v>11</v>
      </c>
      <c r="Q1140" s="655">
        <f t="shared" si="59"/>
        <v>10</v>
      </c>
      <c r="R1140" s="758" t="str">
        <f t="shared" si="63"/>
        <v>Gastos_custeados_por_captação</v>
      </c>
      <c r="S1140" s="697" t="s">
        <v>1000</v>
      </c>
      <c r="T1140" s="697">
        <v>2783</v>
      </c>
    </row>
    <row r="1141" spans="1:20" ht="48" x14ac:dyDescent="0.2">
      <c r="A1141" s="432">
        <f>IF(B1141="","",COUNT('Diário 1º PA'!$A$4:$A$2635)+COUNT('Diário 2º PA'!$A$4:$A$3040)+COUNT('Diário 3º PA'!$A$4:$A$2731)+ROW()-3)</f>
        <v>7166</v>
      </c>
      <c r="B1141" s="413">
        <v>44887</v>
      </c>
      <c r="C1141" s="431">
        <v>44835</v>
      </c>
      <c r="D1141" s="419" t="s">
        <v>468</v>
      </c>
      <c r="E1141" s="419" t="s">
        <v>468</v>
      </c>
      <c r="F1141" s="422">
        <v>3233.67</v>
      </c>
      <c r="G1141" s="427" t="s">
        <v>2341</v>
      </c>
      <c r="H1141" s="419" t="s">
        <v>468</v>
      </c>
      <c r="I1141" s="415" t="s">
        <v>2557</v>
      </c>
      <c r="J1141" s="415" t="s">
        <v>2342</v>
      </c>
      <c r="K1141" s="419" t="s">
        <v>830</v>
      </c>
      <c r="L1141" s="415" t="s">
        <v>32</v>
      </c>
      <c r="M1141" s="419" t="s">
        <v>5492</v>
      </c>
      <c r="N1141" s="413">
        <v>44887</v>
      </c>
      <c r="O1141" s="414" t="s">
        <v>405</v>
      </c>
      <c r="P1141" s="655">
        <f t="shared" si="58"/>
        <v>11</v>
      </c>
      <c r="Q1141" s="655">
        <f t="shared" si="59"/>
        <v>10</v>
      </c>
      <c r="R1141" s="758" t="str">
        <f t="shared" si="63"/>
        <v>Gastos_custeados_por_captação</v>
      </c>
      <c r="S1141" s="697" t="s">
        <v>1000</v>
      </c>
      <c r="T1141" s="697">
        <v>3187</v>
      </c>
    </row>
    <row r="1142" spans="1:20" ht="168" x14ac:dyDescent="0.2">
      <c r="A1142" s="432">
        <f>IF(B1142="","",COUNT('Diário 1º PA'!$A$4:$A$2635)+COUNT('Diário 2º PA'!$A$4:$A$3040)+COUNT('Diário 3º PA'!$A$4:$A$2731)+ROW()-3)</f>
        <v>7167</v>
      </c>
      <c r="B1142" s="413">
        <v>44887</v>
      </c>
      <c r="C1142" s="431">
        <v>44835</v>
      </c>
      <c r="D1142" s="419" t="s">
        <v>468</v>
      </c>
      <c r="E1142" s="419" t="s">
        <v>468</v>
      </c>
      <c r="F1142" s="422">
        <v>3527.64</v>
      </c>
      <c r="G1142" s="427" t="s">
        <v>6159</v>
      </c>
      <c r="H1142" s="419" t="s">
        <v>468</v>
      </c>
      <c r="I1142" s="415" t="s">
        <v>2557</v>
      </c>
      <c r="J1142" s="415" t="s">
        <v>2342</v>
      </c>
      <c r="K1142" s="419" t="s">
        <v>830</v>
      </c>
      <c r="L1142" s="415" t="s">
        <v>807</v>
      </c>
      <c r="M1142" s="419" t="s">
        <v>3508</v>
      </c>
      <c r="N1142" s="413">
        <v>44887</v>
      </c>
      <c r="O1142" s="414" t="s">
        <v>405</v>
      </c>
      <c r="P1142" s="655">
        <f t="shared" si="58"/>
        <v>11</v>
      </c>
      <c r="Q1142" s="655">
        <f t="shared" si="59"/>
        <v>10</v>
      </c>
      <c r="R1142" s="758" t="str">
        <f t="shared" si="63"/>
        <v>Gastos_custeados_por_captação</v>
      </c>
      <c r="S1142" s="697" t="s">
        <v>1000</v>
      </c>
      <c r="T1142" s="697">
        <v>4185</v>
      </c>
    </row>
    <row r="1143" spans="1:20" ht="84" x14ac:dyDescent="0.2">
      <c r="A1143" s="432">
        <f>IF(B1143="","",COUNT('Diário 1º PA'!$A$4:$A$2635)+COUNT('Diário 2º PA'!$A$4:$A$3040)+COUNT('Diário 3º PA'!$A$4:$A$2731)+ROW()-3)</f>
        <v>7168</v>
      </c>
      <c r="B1143" s="413">
        <v>44887</v>
      </c>
      <c r="C1143" s="431">
        <v>44835</v>
      </c>
      <c r="D1143" s="419" t="s">
        <v>468</v>
      </c>
      <c r="E1143" s="419" t="s">
        <v>468</v>
      </c>
      <c r="F1143" s="422">
        <v>1998.6</v>
      </c>
      <c r="G1143" s="427" t="s">
        <v>7698</v>
      </c>
      <c r="H1143" s="419" t="s">
        <v>468</v>
      </c>
      <c r="I1143" s="415" t="s">
        <v>8504</v>
      </c>
      <c r="J1143" s="415" t="s">
        <v>7694</v>
      </c>
      <c r="K1143" s="419" t="s">
        <v>830</v>
      </c>
      <c r="L1143" s="415" t="s">
        <v>839</v>
      </c>
      <c r="M1143" s="419">
        <v>2110</v>
      </c>
      <c r="N1143" s="413">
        <v>44883</v>
      </c>
      <c r="O1143" s="414" t="s">
        <v>404</v>
      </c>
      <c r="P1143" s="655">
        <f t="shared" si="58"/>
        <v>11</v>
      </c>
      <c r="Q1143" s="655">
        <f t="shared" si="59"/>
        <v>10</v>
      </c>
      <c r="R1143" s="758" t="str">
        <f t="shared" si="63"/>
        <v>Gastos_custeados_por_captação</v>
      </c>
      <c r="S1143" s="697" t="s">
        <v>1000</v>
      </c>
      <c r="T1143" s="697">
        <v>4496</v>
      </c>
    </row>
    <row r="1144" spans="1:20" ht="84" x14ac:dyDescent="0.2">
      <c r="A1144" s="432">
        <f>IF(B1144="","",COUNT('Diário 1º PA'!$A$4:$A$2635)+COUNT('Diário 2º PA'!$A$4:$A$3040)+COUNT('Diário 3º PA'!$A$4:$A$2731)+ROW()-3)</f>
        <v>7169</v>
      </c>
      <c r="B1144" s="413">
        <v>44887</v>
      </c>
      <c r="C1144" s="431">
        <v>44835</v>
      </c>
      <c r="D1144" s="419" t="s">
        <v>468</v>
      </c>
      <c r="E1144" s="419" t="s">
        <v>468</v>
      </c>
      <c r="F1144" s="422">
        <v>1998.6</v>
      </c>
      <c r="G1144" s="427" t="s">
        <v>7698</v>
      </c>
      <c r="H1144" s="419" t="s">
        <v>468</v>
      </c>
      <c r="I1144" s="415" t="s">
        <v>8507</v>
      </c>
      <c r="J1144" s="415" t="s">
        <v>7701</v>
      </c>
      <c r="K1144" s="419" t="s">
        <v>830</v>
      </c>
      <c r="L1144" s="415" t="s">
        <v>839</v>
      </c>
      <c r="M1144" s="419">
        <v>2113</v>
      </c>
      <c r="N1144" s="413">
        <v>44883</v>
      </c>
      <c r="O1144" s="414" t="s">
        <v>404</v>
      </c>
      <c r="P1144" s="655">
        <f t="shared" si="58"/>
        <v>11</v>
      </c>
      <c r="Q1144" s="655">
        <f t="shared" si="59"/>
        <v>10</v>
      </c>
      <c r="R1144" s="758" t="str">
        <f t="shared" si="63"/>
        <v>Gastos_custeados_por_captação</v>
      </c>
      <c r="S1144" s="697" t="s">
        <v>1000</v>
      </c>
      <c r="T1144" s="697">
        <v>4515</v>
      </c>
    </row>
    <row r="1145" spans="1:20" ht="84" x14ac:dyDescent="0.2">
      <c r="A1145" s="432">
        <f>IF(B1145="","",COUNT('Diário 1º PA'!$A$4:$A$2635)+COUNT('Diário 2º PA'!$A$4:$A$3040)+COUNT('Diário 3º PA'!$A$4:$A$2731)+ROW()-3)</f>
        <v>7170</v>
      </c>
      <c r="B1145" s="413">
        <v>44887</v>
      </c>
      <c r="C1145" s="431">
        <v>44835</v>
      </c>
      <c r="D1145" s="419" t="s">
        <v>468</v>
      </c>
      <c r="E1145" s="419" t="s">
        <v>468</v>
      </c>
      <c r="F1145" s="422">
        <v>1998.6</v>
      </c>
      <c r="G1145" s="427" t="s">
        <v>7698</v>
      </c>
      <c r="H1145" s="419" t="s">
        <v>468</v>
      </c>
      <c r="I1145" s="415" t="s">
        <v>8510</v>
      </c>
      <c r="J1145" s="415" t="s">
        <v>7704</v>
      </c>
      <c r="K1145" s="419" t="s">
        <v>830</v>
      </c>
      <c r="L1145" s="415" t="s">
        <v>839</v>
      </c>
      <c r="M1145" s="419">
        <v>2109</v>
      </c>
      <c r="N1145" s="413">
        <v>44883</v>
      </c>
      <c r="O1145" s="414" t="s">
        <v>404</v>
      </c>
      <c r="P1145" s="655">
        <f t="shared" si="58"/>
        <v>11</v>
      </c>
      <c r="Q1145" s="655">
        <f t="shared" si="59"/>
        <v>10</v>
      </c>
      <c r="R1145" s="758" t="str">
        <f t="shared" si="63"/>
        <v>Gastos_custeados_por_captação</v>
      </c>
      <c r="S1145" s="697" t="s">
        <v>1000</v>
      </c>
      <c r="T1145" s="697">
        <v>4514</v>
      </c>
    </row>
    <row r="1146" spans="1:20" ht="48" x14ac:dyDescent="0.2">
      <c r="A1146" s="432">
        <f>IF(B1146="","",COUNT('Diário 1º PA'!$A$4:$A$2635)+COUNT('Diário 2º PA'!$A$4:$A$3040)+COUNT('Diário 3º PA'!$A$4:$A$2731)+ROW()-3)</f>
        <v>7171</v>
      </c>
      <c r="B1146" s="413">
        <v>44887</v>
      </c>
      <c r="C1146" s="421">
        <v>44866</v>
      </c>
      <c r="D1146" s="419" t="s">
        <v>34</v>
      </c>
      <c r="E1146" s="419" t="s">
        <v>330</v>
      </c>
      <c r="F1146" s="422">
        <v>616667.24</v>
      </c>
      <c r="G1146" s="423" t="s">
        <v>8427</v>
      </c>
      <c r="H1146" s="419" t="s">
        <v>310</v>
      </c>
      <c r="I1146" s="427" t="s">
        <v>795</v>
      </c>
      <c r="J1146" s="415" t="s">
        <v>796</v>
      </c>
      <c r="K1146" s="415" t="s">
        <v>797</v>
      </c>
      <c r="L1146" s="415" t="s">
        <v>1305</v>
      </c>
      <c r="M1146" s="415" t="s">
        <v>310</v>
      </c>
      <c r="N1146" s="414">
        <v>44887</v>
      </c>
      <c r="O1146" s="414" t="s">
        <v>400</v>
      </c>
      <c r="P1146" s="655">
        <f t="shared" si="58"/>
        <v>11</v>
      </c>
      <c r="Q1146" s="655">
        <f t="shared" si="59"/>
        <v>11</v>
      </c>
      <c r="R1146" s="758" t="str">
        <f t="shared" si="63"/>
        <v>Receitas</v>
      </c>
      <c r="S1146" s="697" t="s">
        <v>310</v>
      </c>
      <c r="T1146" s="697" t="s">
        <v>310</v>
      </c>
    </row>
    <row r="1147" spans="1:20" ht="48" x14ac:dyDescent="0.2">
      <c r="A1147" s="432">
        <f>IF(B1147="","",COUNT('Diário 1º PA'!$A$4:$A$2635)+COUNT('Diário 2º PA'!$A$4:$A$3040)+COUNT('Diário 3º PA'!$A$4:$A$2731)+ROW()-3)</f>
        <v>7172</v>
      </c>
      <c r="B1147" s="413">
        <v>44887</v>
      </c>
      <c r="C1147" s="433">
        <v>44866</v>
      </c>
      <c r="D1147" s="419" t="s">
        <v>34</v>
      </c>
      <c r="E1147" s="419" t="s">
        <v>167</v>
      </c>
      <c r="F1147" s="422">
        <v>210</v>
      </c>
      <c r="G1147" s="427" t="s">
        <v>8520</v>
      </c>
      <c r="H1147" s="419" t="s">
        <v>310</v>
      </c>
      <c r="I1147" s="415" t="s">
        <v>795</v>
      </c>
      <c r="J1147" s="419" t="s">
        <v>796</v>
      </c>
      <c r="K1147" s="419" t="s">
        <v>797</v>
      </c>
      <c r="L1147" s="415" t="s">
        <v>798</v>
      </c>
      <c r="M1147" s="419" t="s">
        <v>310</v>
      </c>
      <c r="N1147" s="413">
        <v>44887</v>
      </c>
      <c r="O1147" s="413" t="s">
        <v>400</v>
      </c>
      <c r="P1147" s="655">
        <f t="shared" si="58"/>
        <v>11</v>
      </c>
      <c r="Q1147" s="655">
        <f t="shared" si="59"/>
        <v>11</v>
      </c>
      <c r="R1147" s="758" t="str">
        <f t="shared" si="63"/>
        <v>Receitas</v>
      </c>
      <c r="S1147" s="697" t="s">
        <v>310</v>
      </c>
      <c r="T1147" s="699" t="s">
        <v>310</v>
      </c>
    </row>
    <row r="1148" spans="1:20" ht="24" x14ac:dyDescent="0.2">
      <c r="A1148" s="432">
        <f>IF(B1148="","",COUNT('Diário 1º PA'!$A$4:$A$2635)+COUNT('Diário 2º PA'!$A$4:$A$3040)+COUNT('Diário 3º PA'!$A$4:$A$2731)+ROW()-3)</f>
        <v>7173</v>
      </c>
      <c r="B1148" s="413">
        <v>44887</v>
      </c>
      <c r="C1148" s="421">
        <v>44835</v>
      </c>
      <c r="D1148" s="419" t="s">
        <v>271</v>
      </c>
      <c r="E1148" s="419" t="s">
        <v>139</v>
      </c>
      <c r="F1148" s="422">
        <v>96</v>
      </c>
      <c r="G1148" s="423" t="s">
        <v>8346</v>
      </c>
      <c r="H1148" s="419" t="s">
        <v>753</v>
      </c>
      <c r="I1148" s="415" t="s">
        <v>8429</v>
      </c>
      <c r="J1148" s="419" t="s">
        <v>1254</v>
      </c>
      <c r="K1148" s="419" t="s">
        <v>830</v>
      </c>
      <c r="L1148" s="415" t="s">
        <v>807</v>
      </c>
      <c r="M1148" s="419" t="s">
        <v>8430</v>
      </c>
      <c r="N1148" s="413">
        <v>44886</v>
      </c>
      <c r="O1148" s="413" t="s">
        <v>400</v>
      </c>
      <c r="P1148" s="655">
        <f t="shared" si="58"/>
        <v>11</v>
      </c>
      <c r="Q1148" s="655">
        <f t="shared" si="59"/>
        <v>10</v>
      </c>
      <c r="R1148" s="758" t="str">
        <f t="shared" si="63"/>
        <v>Gastos_Gerais</v>
      </c>
      <c r="S1148" s="697" t="s">
        <v>999</v>
      </c>
      <c r="T1148" s="697">
        <v>4780</v>
      </c>
    </row>
    <row r="1149" spans="1:20" ht="84" x14ac:dyDescent="0.2">
      <c r="A1149" s="432">
        <f>IF(B1149="","",COUNT('Diário 1º PA'!$A$4:$A$2635)+COUNT('Diário 2º PA'!$A$4:$A$3040)+COUNT('Diário 3º PA'!$A$4:$A$2731)+ROW()-3)</f>
        <v>7174</v>
      </c>
      <c r="B1149" s="413">
        <v>44887</v>
      </c>
      <c r="C1149" s="421">
        <v>44835</v>
      </c>
      <c r="D1149" s="419" t="s">
        <v>271</v>
      </c>
      <c r="E1149" s="419" t="s">
        <v>456</v>
      </c>
      <c r="F1149" s="422">
        <v>407.25</v>
      </c>
      <c r="G1149" s="423" t="s">
        <v>8428</v>
      </c>
      <c r="H1149" s="415" t="s">
        <v>753</v>
      </c>
      <c r="I1149" s="415" t="s">
        <v>3486</v>
      </c>
      <c r="J1149" s="419" t="s">
        <v>1065</v>
      </c>
      <c r="K1149" s="419" t="s">
        <v>812</v>
      </c>
      <c r="L1149" s="415" t="s">
        <v>807</v>
      </c>
      <c r="M1149" s="419">
        <v>19504</v>
      </c>
      <c r="N1149" s="413">
        <v>44854</v>
      </c>
      <c r="O1149" s="413" t="s">
        <v>400</v>
      </c>
      <c r="P1149" s="655">
        <f t="shared" si="58"/>
        <v>11</v>
      </c>
      <c r="Q1149" s="655">
        <f t="shared" si="59"/>
        <v>10</v>
      </c>
      <c r="R1149" s="758" t="str">
        <f t="shared" si="63"/>
        <v>Gastos_Gerais</v>
      </c>
      <c r="S1149" s="697" t="s">
        <v>999</v>
      </c>
      <c r="T1149" s="697">
        <v>4510</v>
      </c>
    </row>
    <row r="1150" spans="1:20" ht="36" x14ac:dyDescent="0.2">
      <c r="A1150" s="432">
        <f>IF(B1150="","",COUNT('Diário 1º PA'!$A$4:$A$2635)+COUNT('Diário 2º PA'!$A$4:$A$3040)+COUNT('Diário 3º PA'!$A$4:$A$2731)+ROW()-3)</f>
        <v>7175</v>
      </c>
      <c r="B1150" s="413">
        <v>44887</v>
      </c>
      <c r="C1150" s="424">
        <v>44866</v>
      </c>
      <c r="D1150" s="419" t="s">
        <v>271</v>
      </c>
      <c r="E1150" s="419" t="s">
        <v>71</v>
      </c>
      <c r="F1150" s="422">
        <v>11</v>
      </c>
      <c r="G1150" s="423" t="s">
        <v>8431</v>
      </c>
      <c r="H1150" s="419" t="s">
        <v>753</v>
      </c>
      <c r="I1150" s="415" t="s">
        <v>881</v>
      </c>
      <c r="J1150" s="419" t="s">
        <v>882</v>
      </c>
      <c r="K1150" s="419" t="s">
        <v>883</v>
      </c>
      <c r="L1150" s="415" t="s">
        <v>798</v>
      </c>
      <c r="M1150" s="419" t="s">
        <v>310</v>
      </c>
      <c r="N1150" s="413">
        <v>44887</v>
      </c>
      <c r="O1150" s="414" t="s">
        <v>400</v>
      </c>
      <c r="P1150" s="655">
        <f t="shared" si="58"/>
        <v>11</v>
      </c>
      <c r="Q1150" s="655">
        <f t="shared" si="59"/>
        <v>11</v>
      </c>
      <c r="R1150" s="758" t="str">
        <f t="shared" si="63"/>
        <v>Gastos_Gerais</v>
      </c>
      <c r="S1150" s="697" t="s">
        <v>310</v>
      </c>
      <c r="T1150" s="697" t="s">
        <v>310</v>
      </c>
    </row>
    <row r="1151" spans="1:20" ht="48" x14ac:dyDescent="0.2">
      <c r="A1151" s="432">
        <f>IF(B1151="","",COUNT('Diário 1º PA'!$A$4:$A$2635)+COUNT('Diário 2º PA'!$A$4:$A$3040)+COUNT('Diário 3º PA'!$A$4:$A$2731)+ROW()-3)</f>
        <v>7176</v>
      </c>
      <c r="B1151" s="413">
        <v>44888</v>
      </c>
      <c r="C1151" s="431">
        <v>44652</v>
      </c>
      <c r="D1151" s="415" t="s">
        <v>271</v>
      </c>
      <c r="E1151" s="415" t="s">
        <v>456</v>
      </c>
      <c r="F1151" s="422">
        <v>-91.96</v>
      </c>
      <c r="G1151" s="427" t="s">
        <v>8525</v>
      </c>
      <c r="H1151" s="415" t="s">
        <v>792</v>
      </c>
      <c r="I1151" s="427" t="s">
        <v>795</v>
      </c>
      <c r="J1151" s="415" t="s">
        <v>796</v>
      </c>
      <c r="K1151" s="415" t="s">
        <v>797</v>
      </c>
      <c r="L1151" s="415" t="s">
        <v>798</v>
      </c>
      <c r="M1151" s="419" t="s">
        <v>310</v>
      </c>
      <c r="N1151" s="413">
        <v>44888</v>
      </c>
      <c r="O1151" s="414" t="s">
        <v>400</v>
      </c>
      <c r="P1151" s="655">
        <f t="shared" si="58"/>
        <v>11</v>
      </c>
      <c r="Q1151" s="655">
        <f t="shared" si="59"/>
        <v>4</v>
      </c>
      <c r="R1151" s="758" t="str">
        <f t="shared" si="63"/>
        <v>Gastos_Gerais</v>
      </c>
      <c r="S1151" s="697" t="s">
        <v>310</v>
      </c>
      <c r="T1151" s="697" t="s">
        <v>310</v>
      </c>
    </row>
    <row r="1152" spans="1:20" ht="48" x14ac:dyDescent="0.2">
      <c r="A1152" s="432">
        <f>IF(B1152="","",COUNT('Diário 1º PA'!$A$4:$A$2635)+COUNT('Diário 2º PA'!$A$4:$A$3040)+COUNT('Diário 3º PA'!$A$4:$A$2731)+ROW()-3)</f>
        <v>7177</v>
      </c>
      <c r="B1152" s="413">
        <v>44888</v>
      </c>
      <c r="C1152" s="431">
        <v>44652</v>
      </c>
      <c r="D1152" s="415" t="s">
        <v>271</v>
      </c>
      <c r="E1152" s="415" t="s">
        <v>456</v>
      </c>
      <c r="F1152" s="422">
        <v>-56.43</v>
      </c>
      <c r="G1152" s="427" t="s">
        <v>8525</v>
      </c>
      <c r="H1152" s="415" t="s">
        <v>792</v>
      </c>
      <c r="I1152" s="427" t="s">
        <v>795</v>
      </c>
      <c r="J1152" s="415" t="s">
        <v>796</v>
      </c>
      <c r="K1152" s="415" t="s">
        <v>797</v>
      </c>
      <c r="L1152" s="415" t="s">
        <v>798</v>
      </c>
      <c r="M1152" s="419" t="s">
        <v>310</v>
      </c>
      <c r="N1152" s="413">
        <v>44888</v>
      </c>
      <c r="O1152" s="414" t="s">
        <v>400</v>
      </c>
      <c r="P1152" s="655">
        <f t="shared" si="58"/>
        <v>11</v>
      </c>
      <c r="Q1152" s="655">
        <f t="shared" si="59"/>
        <v>4</v>
      </c>
      <c r="R1152" s="758" t="str">
        <f t="shared" si="63"/>
        <v>Gastos_Gerais</v>
      </c>
      <c r="S1152" s="697" t="s">
        <v>310</v>
      </c>
      <c r="T1152" s="697" t="s">
        <v>310</v>
      </c>
    </row>
    <row r="1153" spans="1:20" ht="48" x14ac:dyDescent="0.2">
      <c r="A1153" s="432">
        <f>IF(B1153="","",COUNT('Diário 1º PA'!$A$4:$A$2635)+COUNT('Diário 2º PA'!$A$4:$A$3040)+COUNT('Diário 3º PA'!$A$4:$A$2731)+ROW()-3)</f>
        <v>7178</v>
      </c>
      <c r="B1153" s="413">
        <v>44888</v>
      </c>
      <c r="C1153" s="431">
        <v>44652</v>
      </c>
      <c r="D1153" s="415" t="s">
        <v>271</v>
      </c>
      <c r="E1153" s="415" t="s">
        <v>456</v>
      </c>
      <c r="F1153" s="422">
        <v>-60.61</v>
      </c>
      <c r="G1153" s="427" t="s">
        <v>8525</v>
      </c>
      <c r="H1153" s="415" t="s">
        <v>792</v>
      </c>
      <c r="I1153" s="427" t="s">
        <v>795</v>
      </c>
      <c r="J1153" s="415" t="s">
        <v>796</v>
      </c>
      <c r="K1153" s="415" t="s">
        <v>797</v>
      </c>
      <c r="L1153" s="415" t="s">
        <v>798</v>
      </c>
      <c r="M1153" s="419" t="s">
        <v>310</v>
      </c>
      <c r="N1153" s="413">
        <v>44888</v>
      </c>
      <c r="O1153" s="414" t="s">
        <v>400</v>
      </c>
      <c r="P1153" s="655">
        <f t="shared" si="58"/>
        <v>11</v>
      </c>
      <c r="Q1153" s="655">
        <f t="shared" si="59"/>
        <v>4</v>
      </c>
      <c r="R1153" s="758" t="str">
        <f t="shared" si="63"/>
        <v>Gastos_Gerais</v>
      </c>
      <c r="S1153" s="697" t="s">
        <v>310</v>
      </c>
      <c r="T1153" s="697" t="s">
        <v>310</v>
      </c>
    </row>
    <row r="1154" spans="1:20" ht="48" x14ac:dyDescent="0.2">
      <c r="A1154" s="432">
        <f>IF(B1154="","",COUNT('Diário 1º PA'!$A$4:$A$2635)+COUNT('Diário 2º PA'!$A$4:$A$3040)+COUNT('Diário 3º PA'!$A$4:$A$2731)+ROW()-3)</f>
        <v>7179</v>
      </c>
      <c r="B1154" s="413">
        <v>44888</v>
      </c>
      <c r="C1154" s="421">
        <v>44774</v>
      </c>
      <c r="D1154" s="419" t="s">
        <v>271</v>
      </c>
      <c r="E1154" s="419" t="s">
        <v>297</v>
      </c>
      <c r="F1154" s="422">
        <v>-4.26</v>
      </c>
      <c r="G1154" s="423" t="s">
        <v>8516</v>
      </c>
      <c r="H1154" s="419" t="s">
        <v>310</v>
      </c>
      <c r="I1154" s="427" t="s">
        <v>795</v>
      </c>
      <c r="J1154" s="415" t="s">
        <v>796</v>
      </c>
      <c r="K1154" s="415" t="s">
        <v>797</v>
      </c>
      <c r="L1154" s="415" t="s">
        <v>798</v>
      </c>
      <c r="M1154" s="419" t="s">
        <v>310</v>
      </c>
      <c r="N1154" s="413">
        <v>44888</v>
      </c>
      <c r="O1154" s="414" t="s">
        <v>400</v>
      </c>
      <c r="P1154" s="655">
        <f t="shared" si="58"/>
        <v>11</v>
      </c>
      <c r="Q1154" s="655">
        <f t="shared" si="59"/>
        <v>8</v>
      </c>
      <c r="R1154" s="758" t="str">
        <f t="shared" si="63"/>
        <v>Gastos_Gerais</v>
      </c>
      <c r="S1154" s="697" t="s">
        <v>310</v>
      </c>
      <c r="T1154" s="697" t="s">
        <v>310</v>
      </c>
    </row>
    <row r="1155" spans="1:20" ht="24" x14ac:dyDescent="0.2">
      <c r="A1155" s="432">
        <f>IF(B1155="","",COUNT('Diário 1º PA'!$A$4:$A$2635)+COUNT('Diário 2º PA'!$A$4:$A$3040)+COUNT('Diário 3º PA'!$A$4:$A$2731)+ROW()-3)</f>
        <v>7180</v>
      </c>
      <c r="B1155" s="413">
        <v>44888</v>
      </c>
      <c r="C1155" s="431">
        <v>44866</v>
      </c>
      <c r="D1155" s="434" t="s">
        <v>271</v>
      </c>
      <c r="E1155" s="434" t="s">
        <v>84</v>
      </c>
      <c r="F1155" s="435">
        <v>36.369999999999997</v>
      </c>
      <c r="G1155" s="437" t="s">
        <v>1479</v>
      </c>
      <c r="H1155" s="434" t="s">
        <v>750</v>
      </c>
      <c r="I1155" s="415" t="s">
        <v>766</v>
      </c>
      <c r="J1155" s="415" t="s">
        <v>1019</v>
      </c>
      <c r="K1155" s="418" t="s">
        <v>1392</v>
      </c>
      <c r="L1155" s="399" t="s">
        <v>1372</v>
      </c>
      <c r="M1155" s="419" t="s">
        <v>8515</v>
      </c>
      <c r="N1155" s="413">
        <v>44882</v>
      </c>
      <c r="O1155" s="414" t="s">
        <v>400</v>
      </c>
      <c r="P1155" s="655">
        <f t="shared" si="58"/>
        <v>11</v>
      </c>
      <c r="Q1155" s="655">
        <f t="shared" si="59"/>
        <v>11</v>
      </c>
      <c r="R1155" s="758" t="str">
        <f t="shared" si="63"/>
        <v>Gastos_Gerais</v>
      </c>
      <c r="S1155" s="697" t="s">
        <v>310</v>
      </c>
      <c r="T1155" s="699" t="s">
        <v>310</v>
      </c>
    </row>
    <row r="1156" spans="1:20" ht="96" x14ac:dyDescent="0.2">
      <c r="A1156" s="432">
        <f>IF(B1156="","",COUNT('Diário 1º PA'!$A$4:$A$2635)+COUNT('Diário 2º PA'!$A$4:$A$3040)+COUNT('Diário 3º PA'!$A$4:$A$2731)+ROW()-3)</f>
        <v>7181</v>
      </c>
      <c r="B1156" s="413">
        <v>44888</v>
      </c>
      <c r="C1156" s="431">
        <v>44835</v>
      </c>
      <c r="D1156" s="434" t="s">
        <v>468</v>
      </c>
      <c r="E1156" s="419" t="s">
        <v>468</v>
      </c>
      <c r="F1156" s="435">
        <v>300</v>
      </c>
      <c r="G1156" s="427" t="s">
        <v>8042</v>
      </c>
      <c r="H1156" s="434" t="s">
        <v>468</v>
      </c>
      <c r="I1156" s="415" t="s">
        <v>8530</v>
      </c>
      <c r="J1156" s="415" t="s">
        <v>8043</v>
      </c>
      <c r="K1156" s="418" t="s">
        <v>806</v>
      </c>
      <c r="L1156" s="399" t="s">
        <v>1305</v>
      </c>
      <c r="M1156" s="419" t="s">
        <v>310</v>
      </c>
      <c r="N1156" s="413">
        <v>44886</v>
      </c>
      <c r="O1156" s="414" t="s">
        <v>405</v>
      </c>
      <c r="P1156" s="655">
        <f t="shared" si="58"/>
        <v>11</v>
      </c>
      <c r="Q1156" s="655">
        <f t="shared" si="59"/>
        <v>10</v>
      </c>
      <c r="R1156" s="758" t="str">
        <f t="shared" si="63"/>
        <v>Gastos_custeados_por_captação</v>
      </c>
      <c r="S1156" s="697" t="s">
        <v>998</v>
      </c>
      <c r="T1156" s="699">
        <v>4588</v>
      </c>
    </row>
    <row r="1157" spans="1:20" ht="132" x14ac:dyDescent="0.2">
      <c r="A1157" s="432">
        <f>IF(B1157="","",COUNT('Diário 1º PA'!$A$4:$A$2635)+COUNT('Diário 2º PA'!$A$4:$A$3040)+COUNT('Diário 3º PA'!$A$4:$A$2731)+ROW()-3)</f>
        <v>7182</v>
      </c>
      <c r="B1157" s="413">
        <v>44888</v>
      </c>
      <c r="C1157" s="431">
        <v>44835</v>
      </c>
      <c r="D1157" s="434" t="s">
        <v>468</v>
      </c>
      <c r="E1157" s="419" t="s">
        <v>468</v>
      </c>
      <c r="F1157" s="435">
        <v>5869.8</v>
      </c>
      <c r="G1157" s="427" t="s">
        <v>4474</v>
      </c>
      <c r="H1157" s="434" t="s">
        <v>468</v>
      </c>
      <c r="I1157" s="415" t="s">
        <v>2381</v>
      </c>
      <c r="J1157" s="415" t="s">
        <v>2382</v>
      </c>
      <c r="K1157" s="418" t="s">
        <v>830</v>
      </c>
      <c r="L1157" s="399" t="s">
        <v>32</v>
      </c>
      <c r="M1157" s="419" t="s">
        <v>1428</v>
      </c>
      <c r="N1157" s="413">
        <v>44887</v>
      </c>
      <c r="O1157" s="414" t="s">
        <v>405</v>
      </c>
      <c r="P1157" s="655">
        <f t="shared" si="58"/>
        <v>11</v>
      </c>
      <c r="Q1157" s="655">
        <f t="shared" si="59"/>
        <v>10</v>
      </c>
      <c r="R1157" s="758" t="str">
        <f t="shared" si="63"/>
        <v>Gastos_custeados_por_captação</v>
      </c>
      <c r="S1157" s="697" t="s">
        <v>1000</v>
      </c>
      <c r="T1157" s="699">
        <v>3779</v>
      </c>
    </row>
    <row r="1158" spans="1:20" ht="48" x14ac:dyDescent="0.2">
      <c r="A1158" s="432">
        <f>IF(B1158="","",COUNT('Diário 1º PA'!$A$4:$A$2635)+COUNT('Diário 2º PA'!$A$4:$A$3040)+COUNT('Diário 3º PA'!$A$4:$A$2731)+ROW()-3)</f>
        <v>7183</v>
      </c>
      <c r="B1158" s="413">
        <v>44888</v>
      </c>
      <c r="C1158" s="431">
        <v>44866</v>
      </c>
      <c r="D1158" s="434" t="s">
        <v>468</v>
      </c>
      <c r="E1158" s="419" t="s">
        <v>468</v>
      </c>
      <c r="F1158" s="435">
        <v>3429.65</v>
      </c>
      <c r="G1158" s="427" t="s">
        <v>3260</v>
      </c>
      <c r="H1158" s="434" t="s">
        <v>468</v>
      </c>
      <c r="I1158" s="415" t="s">
        <v>3091</v>
      </c>
      <c r="J1158" s="415" t="s">
        <v>1141</v>
      </c>
      <c r="K1158" s="418" t="s">
        <v>830</v>
      </c>
      <c r="L1158" s="399" t="s">
        <v>32</v>
      </c>
      <c r="M1158" s="419" t="s">
        <v>6518</v>
      </c>
      <c r="N1158" s="413">
        <v>44887</v>
      </c>
      <c r="O1158" s="414" t="s">
        <v>405</v>
      </c>
      <c r="P1158" s="655">
        <f t="shared" si="58"/>
        <v>11</v>
      </c>
      <c r="Q1158" s="655">
        <f t="shared" si="59"/>
        <v>11</v>
      </c>
      <c r="R1158" s="758" t="str">
        <f t="shared" si="63"/>
        <v>Gastos_custeados_por_captação</v>
      </c>
      <c r="S1158" s="697" t="s">
        <v>1000</v>
      </c>
      <c r="T1158" s="699">
        <v>3295</v>
      </c>
    </row>
    <row r="1159" spans="1:20" ht="48" x14ac:dyDescent="0.2">
      <c r="A1159" s="432">
        <f>IF(B1159="","",COUNT('Diário 1º PA'!$A$4:$A$2635)+COUNT('Diário 2º PA'!$A$4:$A$3040)+COUNT('Diário 3º PA'!$A$4:$A$2731)+ROW()-3)</f>
        <v>7184</v>
      </c>
      <c r="B1159" s="413">
        <v>44888</v>
      </c>
      <c r="C1159" s="431">
        <v>44835</v>
      </c>
      <c r="D1159" s="434" t="s">
        <v>468</v>
      </c>
      <c r="E1159" s="419" t="s">
        <v>468</v>
      </c>
      <c r="F1159" s="435">
        <v>453.6</v>
      </c>
      <c r="G1159" s="427" t="s">
        <v>8074</v>
      </c>
      <c r="H1159" s="434" t="s">
        <v>468</v>
      </c>
      <c r="I1159" s="415" t="s">
        <v>8533</v>
      </c>
      <c r="J1159" s="415" t="s">
        <v>9235</v>
      </c>
      <c r="K1159" s="418" t="s">
        <v>830</v>
      </c>
      <c r="L1159" s="399" t="s">
        <v>839</v>
      </c>
      <c r="M1159" s="419">
        <v>2111</v>
      </c>
      <c r="N1159" s="413">
        <v>44883</v>
      </c>
      <c r="O1159" s="414" t="s">
        <v>405</v>
      </c>
      <c r="P1159" s="655">
        <f t="shared" si="58"/>
        <v>11</v>
      </c>
      <c r="Q1159" s="655">
        <f t="shared" si="59"/>
        <v>10</v>
      </c>
      <c r="R1159" s="758" t="str">
        <f t="shared" si="63"/>
        <v>Gastos_custeados_por_captação</v>
      </c>
      <c r="S1159" s="697" t="s">
        <v>998</v>
      </c>
      <c r="T1159" s="699">
        <v>4663</v>
      </c>
    </row>
    <row r="1160" spans="1:20" ht="48" x14ac:dyDescent="0.2">
      <c r="A1160" s="432">
        <f>IF(B1160="","",COUNT('Diário 1º PA'!$A$4:$A$2635)+COUNT('Diário 2º PA'!$A$4:$A$3040)+COUNT('Diário 3º PA'!$A$4:$A$2731)+ROW()-3)</f>
        <v>7185</v>
      </c>
      <c r="B1160" s="413">
        <v>44889</v>
      </c>
      <c r="C1160" s="433">
        <v>44866</v>
      </c>
      <c r="D1160" s="419" t="s">
        <v>34</v>
      </c>
      <c r="E1160" s="419" t="s">
        <v>167</v>
      </c>
      <c r="F1160" s="422">
        <v>60</v>
      </c>
      <c r="G1160" s="427" t="s">
        <v>8926</v>
      </c>
      <c r="H1160" s="419" t="s">
        <v>310</v>
      </c>
      <c r="I1160" s="415" t="s">
        <v>795</v>
      </c>
      <c r="J1160" s="419" t="s">
        <v>796</v>
      </c>
      <c r="K1160" s="419" t="s">
        <v>797</v>
      </c>
      <c r="L1160" s="415" t="s">
        <v>798</v>
      </c>
      <c r="M1160" s="419" t="s">
        <v>310</v>
      </c>
      <c r="N1160" s="413">
        <v>44889</v>
      </c>
      <c r="O1160" s="413" t="s">
        <v>400</v>
      </c>
      <c r="P1160" s="655">
        <f t="shared" si="58"/>
        <v>11</v>
      </c>
      <c r="Q1160" s="655">
        <f t="shared" si="59"/>
        <v>11</v>
      </c>
      <c r="R1160" s="758" t="str">
        <f t="shared" si="63"/>
        <v>Receitas</v>
      </c>
      <c r="S1160" s="697" t="s">
        <v>310</v>
      </c>
      <c r="T1160" s="699" t="s">
        <v>310</v>
      </c>
    </row>
    <row r="1161" spans="1:20" ht="48" x14ac:dyDescent="0.2">
      <c r="A1161" s="432">
        <f>IF(B1161="","",COUNT('Diário 1º PA'!$A$4:$A$2635)+COUNT('Diário 2º PA'!$A$4:$A$3040)+COUNT('Diário 3º PA'!$A$4:$A$2731)+ROW()-3)</f>
        <v>7186</v>
      </c>
      <c r="B1161" s="413">
        <v>44889</v>
      </c>
      <c r="C1161" s="424">
        <v>44835</v>
      </c>
      <c r="D1161" s="419" t="s">
        <v>271</v>
      </c>
      <c r="E1161" s="419" t="s">
        <v>92</v>
      </c>
      <c r="F1161" s="422">
        <v>500</v>
      </c>
      <c r="G1161" s="423" t="s">
        <v>1590</v>
      </c>
      <c r="H1161" s="419" t="s">
        <v>309</v>
      </c>
      <c r="I1161" s="415" t="s">
        <v>1304</v>
      </c>
      <c r="J1161" s="419" t="s">
        <v>1033</v>
      </c>
      <c r="K1161" s="419" t="s">
        <v>830</v>
      </c>
      <c r="L1161" s="415" t="s">
        <v>1305</v>
      </c>
      <c r="M1161" s="419" t="s">
        <v>310</v>
      </c>
      <c r="N1161" s="413">
        <v>44866</v>
      </c>
      <c r="O1161" s="414" t="s">
        <v>400</v>
      </c>
      <c r="P1161" s="655">
        <f t="shared" si="58"/>
        <v>11</v>
      </c>
      <c r="Q1161" s="655">
        <f t="shared" si="59"/>
        <v>10</v>
      </c>
      <c r="R1161" s="758" t="str">
        <f t="shared" si="63"/>
        <v>Gastos_Gerais</v>
      </c>
      <c r="S1161" s="697" t="s">
        <v>1000</v>
      </c>
      <c r="T1161" s="697">
        <v>2842</v>
      </c>
    </row>
    <row r="1162" spans="1:20" ht="48" x14ac:dyDescent="0.2">
      <c r="A1162" s="432">
        <f>IF(B1162="","",COUNT('Diário 1º PA'!$A$4:$A$2635)+COUNT('Diário 2º PA'!$A$4:$A$3040)+COUNT('Diário 3º PA'!$A$4:$A$2731)+ROW()-3)</f>
        <v>7187</v>
      </c>
      <c r="B1162" s="413">
        <v>44889</v>
      </c>
      <c r="C1162" s="431">
        <v>44835</v>
      </c>
      <c r="D1162" s="415" t="s">
        <v>271</v>
      </c>
      <c r="E1162" s="415" t="s">
        <v>453</v>
      </c>
      <c r="F1162" s="422">
        <v>850</v>
      </c>
      <c r="G1162" s="423" t="s">
        <v>7580</v>
      </c>
      <c r="H1162" s="415" t="s">
        <v>758</v>
      </c>
      <c r="I1162" s="415" t="s">
        <v>8521</v>
      </c>
      <c r="J1162" s="419" t="s">
        <v>7581</v>
      </c>
      <c r="K1162" s="419" t="s">
        <v>830</v>
      </c>
      <c r="L1162" s="415" t="s">
        <v>807</v>
      </c>
      <c r="M1162" s="419" t="s">
        <v>1608</v>
      </c>
      <c r="N1162" s="413">
        <v>44889</v>
      </c>
      <c r="O1162" s="414" t="s">
        <v>400</v>
      </c>
      <c r="P1162" s="655">
        <f t="shared" si="58"/>
        <v>11</v>
      </c>
      <c r="Q1162" s="655">
        <f t="shared" si="59"/>
        <v>10</v>
      </c>
      <c r="R1162" s="758" t="str">
        <f t="shared" si="63"/>
        <v>Gastos_Gerais</v>
      </c>
      <c r="S1162" s="697" t="s">
        <v>998</v>
      </c>
      <c r="T1162" s="697">
        <v>4424</v>
      </c>
    </row>
    <row r="1163" spans="1:20" ht="36" x14ac:dyDescent="0.2">
      <c r="A1163" s="432">
        <f>IF(B1163="","",COUNT('Diário 1º PA'!$A$4:$A$2635)+COUNT('Diário 2º PA'!$A$4:$A$3040)+COUNT('Diário 3º PA'!$A$4:$A$2731)+ROW()-3)</f>
        <v>7188</v>
      </c>
      <c r="B1163" s="413">
        <v>44889</v>
      </c>
      <c r="C1163" s="424">
        <v>44866</v>
      </c>
      <c r="D1163" s="419" t="s">
        <v>271</v>
      </c>
      <c r="E1163" s="419" t="s">
        <v>71</v>
      </c>
      <c r="F1163" s="422">
        <v>11</v>
      </c>
      <c r="G1163" s="423" t="s">
        <v>8522</v>
      </c>
      <c r="H1163" s="419" t="s">
        <v>309</v>
      </c>
      <c r="I1163" s="415" t="s">
        <v>881</v>
      </c>
      <c r="J1163" s="419" t="s">
        <v>882</v>
      </c>
      <c r="K1163" s="419" t="s">
        <v>883</v>
      </c>
      <c r="L1163" s="415" t="s">
        <v>798</v>
      </c>
      <c r="M1163" s="419" t="s">
        <v>310</v>
      </c>
      <c r="N1163" s="413">
        <v>44889</v>
      </c>
      <c r="O1163" s="414" t="s">
        <v>400</v>
      </c>
      <c r="P1163" s="655">
        <f t="shared" si="58"/>
        <v>11</v>
      </c>
      <c r="Q1163" s="655">
        <f t="shared" si="59"/>
        <v>11</v>
      </c>
      <c r="R1163" s="758" t="str">
        <f t="shared" si="63"/>
        <v>Gastos_Gerais</v>
      </c>
      <c r="S1163" s="697" t="s">
        <v>310</v>
      </c>
      <c r="T1163" s="697" t="s">
        <v>310</v>
      </c>
    </row>
    <row r="1164" spans="1:20" ht="36" x14ac:dyDescent="0.2">
      <c r="A1164" s="432">
        <f>IF(B1164="","",COUNT('Diário 1º PA'!$A$4:$A$2635)+COUNT('Diário 2º PA'!$A$4:$A$3040)+COUNT('Diário 3º PA'!$A$4:$A$2731)+ROW()-3)</f>
        <v>7189</v>
      </c>
      <c r="B1164" s="413">
        <v>44889</v>
      </c>
      <c r="C1164" s="424">
        <v>44866</v>
      </c>
      <c r="D1164" s="419" t="s">
        <v>271</v>
      </c>
      <c r="E1164" s="419" t="s">
        <v>71</v>
      </c>
      <c r="F1164" s="422">
        <v>11</v>
      </c>
      <c r="G1164" s="423" t="s">
        <v>8523</v>
      </c>
      <c r="H1164" s="415" t="s">
        <v>758</v>
      </c>
      <c r="I1164" s="415" t="s">
        <v>881</v>
      </c>
      <c r="J1164" s="419" t="s">
        <v>882</v>
      </c>
      <c r="K1164" s="419" t="s">
        <v>883</v>
      </c>
      <c r="L1164" s="415" t="s">
        <v>798</v>
      </c>
      <c r="M1164" s="419" t="s">
        <v>310</v>
      </c>
      <c r="N1164" s="413">
        <v>44889</v>
      </c>
      <c r="O1164" s="414" t="s">
        <v>400</v>
      </c>
      <c r="P1164" s="655">
        <f t="shared" si="58"/>
        <v>11</v>
      </c>
      <c r="Q1164" s="655">
        <f t="shared" si="59"/>
        <v>11</v>
      </c>
      <c r="R1164" s="758" t="str">
        <f t="shared" si="63"/>
        <v>Gastos_Gerais</v>
      </c>
      <c r="S1164" s="697" t="s">
        <v>310</v>
      </c>
      <c r="T1164" s="697" t="s">
        <v>310</v>
      </c>
    </row>
    <row r="1165" spans="1:20" ht="84" x14ac:dyDescent="0.2">
      <c r="A1165" s="432">
        <f>IF(B1165="","",COUNT('Diário 1º PA'!$A$4:$A$2635)+COUNT('Diário 2º PA'!$A$4:$A$3040)+COUNT('Diário 3º PA'!$A$4:$A$2731)+ROW()-3)</f>
        <v>7190</v>
      </c>
      <c r="B1165" s="413">
        <v>44889</v>
      </c>
      <c r="C1165" s="431">
        <v>44835</v>
      </c>
      <c r="D1165" s="419" t="s">
        <v>468</v>
      </c>
      <c r="E1165" s="419" t="s">
        <v>468</v>
      </c>
      <c r="F1165" s="422">
        <v>7546</v>
      </c>
      <c r="G1165" s="427" t="s">
        <v>7636</v>
      </c>
      <c r="H1165" s="419" t="s">
        <v>468</v>
      </c>
      <c r="I1165" s="415" t="s">
        <v>3026</v>
      </c>
      <c r="J1165" s="415" t="s">
        <v>1037</v>
      </c>
      <c r="K1165" s="419" t="s">
        <v>806</v>
      </c>
      <c r="L1165" s="415" t="s">
        <v>32</v>
      </c>
      <c r="M1165" s="419" t="s">
        <v>6716</v>
      </c>
      <c r="N1165" s="413">
        <v>44887</v>
      </c>
      <c r="O1165" s="414" t="s">
        <v>404</v>
      </c>
      <c r="P1165" s="655">
        <f t="shared" si="58"/>
        <v>11</v>
      </c>
      <c r="Q1165" s="655">
        <f t="shared" si="59"/>
        <v>10</v>
      </c>
      <c r="R1165" s="758" t="str">
        <f t="shared" si="63"/>
        <v>Gastos_custeados_por_captação</v>
      </c>
      <c r="S1165" s="697" t="s">
        <v>1000</v>
      </c>
      <c r="T1165" s="697">
        <v>4486</v>
      </c>
    </row>
    <row r="1166" spans="1:20" ht="48" x14ac:dyDescent="0.2">
      <c r="A1166" s="432">
        <f>IF(B1166="","",COUNT('Diário 1º PA'!$A$4:$A$2635)+COUNT('Diário 2º PA'!$A$4:$A$3040)+COUNT('Diário 3º PA'!$A$4:$A$2731)+ROW()-3)</f>
        <v>7191</v>
      </c>
      <c r="B1166" s="413">
        <v>44889</v>
      </c>
      <c r="C1166" s="431">
        <v>44866</v>
      </c>
      <c r="D1166" s="419" t="s">
        <v>468</v>
      </c>
      <c r="E1166" s="419" t="s">
        <v>468</v>
      </c>
      <c r="F1166" s="422">
        <v>1110</v>
      </c>
      <c r="G1166" s="427" t="s">
        <v>8312</v>
      </c>
      <c r="H1166" s="419" t="s">
        <v>468</v>
      </c>
      <c r="I1166" s="415" t="s">
        <v>5222</v>
      </c>
      <c r="J1166" s="415" t="s">
        <v>1042</v>
      </c>
      <c r="K1166" s="419" t="s">
        <v>830</v>
      </c>
      <c r="L1166" s="415" t="s">
        <v>32</v>
      </c>
      <c r="M1166" s="419">
        <v>8358</v>
      </c>
      <c r="N1166" s="413">
        <v>44883</v>
      </c>
      <c r="O1166" s="414" t="s">
        <v>3762</v>
      </c>
      <c r="P1166" s="655">
        <f t="shared" si="58"/>
        <v>11</v>
      </c>
      <c r="Q1166" s="655">
        <f t="shared" si="59"/>
        <v>11</v>
      </c>
      <c r="R1166" s="758" t="str">
        <f t="shared" si="63"/>
        <v>Gastos_custeados_por_captação</v>
      </c>
      <c r="S1166" s="697" t="s">
        <v>999</v>
      </c>
      <c r="T1166" s="697">
        <v>4715</v>
      </c>
    </row>
    <row r="1167" spans="1:20" ht="36" x14ac:dyDescent="0.2">
      <c r="A1167" s="432">
        <f>IF(B1167="","",COUNT('Diário 1º PA'!$A$4:$A$2635)+COUNT('Diário 2º PA'!$A$4:$A$3040)+COUNT('Diário 3º PA'!$A$4:$A$2731)+ROW()-3)</f>
        <v>7192</v>
      </c>
      <c r="B1167" s="413">
        <v>44889</v>
      </c>
      <c r="C1167" s="421">
        <v>44866</v>
      </c>
      <c r="D1167" s="419" t="s">
        <v>468</v>
      </c>
      <c r="E1167" s="419" t="s">
        <v>468</v>
      </c>
      <c r="F1167" s="422">
        <v>11</v>
      </c>
      <c r="G1167" s="427" t="s">
        <v>2469</v>
      </c>
      <c r="H1167" s="419" t="s">
        <v>468</v>
      </c>
      <c r="I1167" s="639" t="s">
        <v>881</v>
      </c>
      <c r="J1167" s="418" t="s">
        <v>882</v>
      </c>
      <c r="K1167" s="418" t="s">
        <v>883</v>
      </c>
      <c r="L1167" s="399" t="s">
        <v>798</v>
      </c>
      <c r="M1167" s="544" t="s">
        <v>310</v>
      </c>
      <c r="N1167" s="413">
        <v>44882</v>
      </c>
      <c r="O1167" s="414" t="s">
        <v>3762</v>
      </c>
      <c r="P1167" s="655">
        <f t="shared" si="58"/>
        <v>11</v>
      </c>
      <c r="Q1167" s="655">
        <f t="shared" si="59"/>
        <v>11</v>
      </c>
      <c r="R1167" s="758" t="str">
        <f t="shared" si="63"/>
        <v>Gastos_custeados_por_captação</v>
      </c>
      <c r="S1167" s="697" t="s">
        <v>310</v>
      </c>
      <c r="T1167" s="697" t="s">
        <v>310</v>
      </c>
    </row>
    <row r="1168" spans="1:20" ht="48" x14ac:dyDescent="0.2">
      <c r="A1168" s="432">
        <f>IF(B1168="","",COUNT('Diário 1º PA'!$A$4:$A$2635)+COUNT('Diário 2º PA'!$A$4:$A$3040)+COUNT('Diário 3º PA'!$A$4:$A$2731)+ROW()-3)</f>
        <v>7193</v>
      </c>
      <c r="B1168" s="413">
        <v>44890</v>
      </c>
      <c r="C1168" s="466">
        <v>44835</v>
      </c>
      <c r="D1168" s="415" t="s">
        <v>271</v>
      </c>
      <c r="E1168" s="415" t="s">
        <v>164</v>
      </c>
      <c r="F1168" s="435">
        <v>-204.18</v>
      </c>
      <c r="G1168" s="427" t="s">
        <v>8298</v>
      </c>
      <c r="H1168" s="415" t="s">
        <v>309</v>
      </c>
      <c r="I1168" s="473" t="s">
        <v>795</v>
      </c>
      <c r="J1168" s="415" t="s">
        <v>796</v>
      </c>
      <c r="K1168" s="415" t="s">
        <v>797</v>
      </c>
      <c r="L1168" s="415" t="s">
        <v>798</v>
      </c>
      <c r="M1168" s="415" t="s">
        <v>310</v>
      </c>
      <c r="N1168" s="414">
        <v>44890</v>
      </c>
      <c r="O1168" s="414" t="s">
        <v>400</v>
      </c>
      <c r="P1168" s="655">
        <f t="shared" si="58"/>
        <v>11</v>
      </c>
      <c r="Q1168" s="655">
        <f t="shared" si="59"/>
        <v>10</v>
      </c>
      <c r="R1168" s="758" t="str">
        <f t="shared" si="63"/>
        <v>Gastos_Gerais</v>
      </c>
      <c r="S1168" s="697" t="s">
        <v>310</v>
      </c>
      <c r="T1168" s="697" t="s">
        <v>310</v>
      </c>
    </row>
    <row r="1169" spans="1:20" ht="36" x14ac:dyDescent="0.2">
      <c r="A1169" s="432">
        <f>IF(B1169="","",COUNT('Diário 1º PA'!$A$4:$A$2635)+COUNT('Diário 2º PA'!$A$4:$A$3040)+COUNT('Diário 3º PA'!$A$4:$A$2731)+ROW()-3)</f>
        <v>7194</v>
      </c>
      <c r="B1169" s="413">
        <v>44890</v>
      </c>
      <c r="C1169" s="466">
        <v>44835</v>
      </c>
      <c r="D1169" s="415" t="s">
        <v>315</v>
      </c>
      <c r="E1169" s="415" t="s">
        <v>315</v>
      </c>
      <c r="F1169" s="425">
        <v>18556.169999999998</v>
      </c>
      <c r="G1169" s="427" t="s">
        <v>8021</v>
      </c>
      <c r="H1169" s="415" t="s">
        <v>310</v>
      </c>
      <c r="I1169" s="427" t="s">
        <v>7429</v>
      </c>
      <c r="J1169" s="415" t="s">
        <v>796</v>
      </c>
      <c r="K1169" s="415" t="s">
        <v>806</v>
      </c>
      <c r="L1169" s="415" t="s">
        <v>798</v>
      </c>
      <c r="M1169" s="415" t="s">
        <v>310</v>
      </c>
      <c r="N1169" s="414">
        <v>44890</v>
      </c>
      <c r="O1169" s="414" t="s">
        <v>400</v>
      </c>
      <c r="P1169" s="655">
        <f t="shared" si="58"/>
        <v>11</v>
      </c>
      <c r="Q1169" s="655">
        <f t="shared" si="59"/>
        <v>10</v>
      </c>
      <c r="R1169" s="758" t="str">
        <f t="shared" si="63"/>
        <v>Transferência_para_Reserva_de_Recursos</v>
      </c>
      <c r="S1169" s="697" t="s">
        <v>310</v>
      </c>
      <c r="T1169" s="697" t="s">
        <v>310</v>
      </c>
    </row>
    <row r="1170" spans="1:20" ht="24" x14ac:dyDescent="0.2">
      <c r="A1170" s="432">
        <f>IF(B1170="","",COUNT('Diário 1º PA'!$A$4:$A$2635)+COUNT('Diário 2º PA'!$A$4:$A$3040)+COUNT('Diário 3º PA'!$A$4:$A$2731)+ROW()-3)</f>
        <v>7195</v>
      </c>
      <c r="B1170" s="413">
        <v>44890</v>
      </c>
      <c r="C1170" s="466">
        <v>44835</v>
      </c>
      <c r="D1170" s="415" t="s">
        <v>182</v>
      </c>
      <c r="E1170" s="415" t="s">
        <v>267</v>
      </c>
      <c r="F1170" s="435">
        <v>2351.2399999999998</v>
      </c>
      <c r="G1170" s="437" t="s">
        <v>8541</v>
      </c>
      <c r="H1170" s="434" t="s">
        <v>310</v>
      </c>
      <c r="I1170" s="398" t="s">
        <v>1461</v>
      </c>
      <c r="J1170" s="434" t="s">
        <v>310</v>
      </c>
      <c r="K1170" s="434" t="s">
        <v>1220</v>
      </c>
      <c r="L1170" s="434" t="s">
        <v>1368</v>
      </c>
      <c r="M1170" s="415" t="s">
        <v>310</v>
      </c>
      <c r="N1170" s="414">
        <v>44890</v>
      </c>
      <c r="O1170" s="414" t="s">
        <v>400</v>
      </c>
      <c r="P1170" s="655">
        <f t="shared" si="58"/>
        <v>11</v>
      </c>
      <c r="Q1170" s="655">
        <f t="shared" si="59"/>
        <v>10</v>
      </c>
      <c r="R1170" s="758" t="str">
        <f t="shared" si="63"/>
        <v>Gastos_com_Pessoal</v>
      </c>
      <c r="S1170" s="697" t="s">
        <v>310</v>
      </c>
      <c r="T1170" s="697">
        <v>3953</v>
      </c>
    </row>
    <row r="1171" spans="1:20" ht="24" x14ac:dyDescent="0.2">
      <c r="A1171" s="432">
        <f>IF(B1171="","",COUNT('Diário 1º PA'!$A$4:$A$2635)+COUNT('Diário 2º PA'!$A$4:$A$3040)+COUNT('Diário 3º PA'!$A$4:$A$2731)+ROW()-3)</f>
        <v>7196</v>
      </c>
      <c r="B1171" s="413">
        <v>44890</v>
      </c>
      <c r="C1171" s="466">
        <v>44835</v>
      </c>
      <c r="D1171" s="415" t="s">
        <v>271</v>
      </c>
      <c r="E1171" s="415" t="s">
        <v>297</v>
      </c>
      <c r="F1171" s="425">
        <v>600</v>
      </c>
      <c r="G1171" s="427" t="s">
        <v>5681</v>
      </c>
      <c r="H1171" s="415" t="s">
        <v>309</v>
      </c>
      <c r="I1171" s="415" t="s">
        <v>9013</v>
      </c>
      <c r="J1171" s="415" t="s">
        <v>1483</v>
      </c>
      <c r="K1171" s="415" t="s">
        <v>812</v>
      </c>
      <c r="L1171" s="434" t="s">
        <v>32</v>
      </c>
      <c r="M1171" s="415">
        <v>7299997</v>
      </c>
      <c r="N1171" s="414">
        <v>44893</v>
      </c>
      <c r="O1171" s="414" t="s">
        <v>400</v>
      </c>
      <c r="P1171" s="655">
        <f t="shared" si="58"/>
        <v>11</v>
      </c>
      <c r="Q1171" s="655">
        <f t="shared" si="59"/>
        <v>10</v>
      </c>
      <c r="R1171" s="758" t="str">
        <f t="shared" si="63"/>
        <v>Gastos_Gerais</v>
      </c>
      <c r="S1171" s="697" t="s">
        <v>1000</v>
      </c>
      <c r="T1171" s="697" t="s">
        <v>310</v>
      </c>
    </row>
    <row r="1172" spans="1:20" ht="36" x14ac:dyDescent="0.2">
      <c r="A1172" s="432">
        <f>IF(B1172="","",COUNT('Diário 1º PA'!$A$4:$A$2635)+COUNT('Diário 2º PA'!$A$4:$A$3040)+COUNT('Diário 3º PA'!$A$4:$A$2731)+ROW()-3)</f>
        <v>7197</v>
      </c>
      <c r="B1172" s="413">
        <v>44890</v>
      </c>
      <c r="C1172" s="466">
        <v>44866</v>
      </c>
      <c r="D1172" s="426" t="s">
        <v>182</v>
      </c>
      <c r="E1172" s="426" t="s">
        <v>287</v>
      </c>
      <c r="F1172" s="686">
        <v>2598.48</v>
      </c>
      <c r="G1172" s="642" t="s">
        <v>8542</v>
      </c>
      <c r="H1172" s="426" t="s">
        <v>310</v>
      </c>
      <c r="I1172" s="434" t="s">
        <v>1179</v>
      </c>
      <c r="J1172" s="426" t="s">
        <v>1180</v>
      </c>
      <c r="K1172" s="426" t="s">
        <v>830</v>
      </c>
      <c r="L1172" s="434" t="s">
        <v>925</v>
      </c>
      <c r="M1172" s="426" t="s">
        <v>310</v>
      </c>
      <c r="N1172" s="685">
        <v>44890</v>
      </c>
      <c r="O1172" s="414" t="s">
        <v>400</v>
      </c>
      <c r="P1172" s="655">
        <f t="shared" si="58"/>
        <v>11</v>
      </c>
      <c r="Q1172" s="655">
        <f t="shared" si="59"/>
        <v>11</v>
      </c>
      <c r="R1172" s="758" t="str">
        <f t="shared" si="63"/>
        <v>Gastos_com_Pessoal</v>
      </c>
      <c r="S1172" s="697" t="s">
        <v>310</v>
      </c>
      <c r="T1172" s="697" t="s">
        <v>310</v>
      </c>
    </row>
    <row r="1173" spans="1:20" ht="24" x14ac:dyDescent="0.2">
      <c r="A1173" s="432">
        <f>IF(B1173="","",COUNT('Diário 1º PA'!$A$4:$A$2635)+COUNT('Diário 2º PA'!$A$4:$A$3040)+COUNT('Diário 3º PA'!$A$4:$A$2731)+ROW()-3)</f>
        <v>7198</v>
      </c>
      <c r="B1173" s="413">
        <v>44890</v>
      </c>
      <c r="C1173" s="466">
        <v>44835</v>
      </c>
      <c r="D1173" s="434" t="s">
        <v>271</v>
      </c>
      <c r="E1173" s="434" t="s">
        <v>164</v>
      </c>
      <c r="F1173" s="422">
        <v>773.13</v>
      </c>
      <c r="G1173" s="437" t="s">
        <v>502</v>
      </c>
      <c r="H1173" s="434" t="s">
        <v>309</v>
      </c>
      <c r="I1173" s="437" t="s">
        <v>769</v>
      </c>
      <c r="J1173" s="434" t="s">
        <v>1478</v>
      </c>
      <c r="K1173" s="434" t="s">
        <v>1404</v>
      </c>
      <c r="L1173" s="434" t="s">
        <v>1372</v>
      </c>
      <c r="M1173" s="419">
        <v>4833298915</v>
      </c>
      <c r="N1173" s="413">
        <v>44872</v>
      </c>
      <c r="O1173" s="414" t="s">
        <v>400</v>
      </c>
      <c r="P1173" s="655">
        <f t="shared" si="58"/>
        <v>11</v>
      </c>
      <c r="Q1173" s="655">
        <f t="shared" si="59"/>
        <v>10</v>
      </c>
      <c r="R1173" s="758" t="str">
        <f t="shared" si="63"/>
        <v>Gastos_Gerais</v>
      </c>
      <c r="S1173" s="697" t="s">
        <v>310</v>
      </c>
      <c r="T1173" s="697" t="s">
        <v>310</v>
      </c>
    </row>
    <row r="1174" spans="1:20" ht="36" x14ac:dyDescent="0.2">
      <c r="A1174" s="432">
        <f>IF(B1174="","",COUNT('Diário 1º PA'!$A$4:$A$2635)+COUNT('Diário 2º PA'!$A$4:$A$3040)+COUNT('Diário 3º PA'!$A$4:$A$2731)+ROW()-3)</f>
        <v>7199</v>
      </c>
      <c r="B1174" s="413">
        <v>44890</v>
      </c>
      <c r="C1174" s="431">
        <v>44866</v>
      </c>
      <c r="D1174" s="419" t="s">
        <v>271</v>
      </c>
      <c r="E1174" s="415" t="s">
        <v>456</v>
      </c>
      <c r="F1174" s="422">
        <v>202.9</v>
      </c>
      <c r="G1174" s="423" t="s">
        <v>8267</v>
      </c>
      <c r="H1174" s="419" t="s">
        <v>760</v>
      </c>
      <c r="I1174" s="415" t="s">
        <v>8544</v>
      </c>
      <c r="J1174" s="419" t="s">
        <v>8268</v>
      </c>
      <c r="K1174" s="419" t="s">
        <v>830</v>
      </c>
      <c r="L1174" s="415" t="s">
        <v>807</v>
      </c>
      <c r="M1174" s="419">
        <v>45</v>
      </c>
      <c r="N1174" s="413">
        <v>44889</v>
      </c>
      <c r="O1174" s="414" t="s">
        <v>400</v>
      </c>
      <c r="P1174" s="655">
        <f t="shared" si="58"/>
        <v>11</v>
      </c>
      <c r="Q1174" s="655">
        <f t="shared" si="59"/>
        <v>11</v>
      </c>
      <c r="R1174" s="758" t="str">
        <f t="shared" si="63"/>
        <v>Gastos_Gerais</v>
      </c>
      <c r="S1174" s="697" t="s">
        <v>998</v>
      </c>
      <c r="T1174" s="697">
        <v>4731</v>
      </c>
    </row>
    <row r="1175" spans="1:20" ht="24" x14ac:dyDescent="0.2">
      <c r="A1175" s="432">
        <f>IF(B1175="","",COUNT('Diário 1º PA'!$A$4:$A$2635)+COUNT('Diário 2º PA'!$A$4:$A$3040)+COUNT('Diário 3º PA'!$A$4:$A$2731)+ROW()-3)</f>
        <v>7200</v>
      </c>
      <c r="B1175" s="413">
        <v>44890</v>
      </c>
      <c r="C1175" s="431">
        <v>44835</v>
      </c>
      <c r="D1175" s="415" t="s">
        <v>271</v>
      </c>
      <c r="E1175" s="415" t="s">
        <v>67</v>
      </c>
      <c r="F1175" s="425">
        <v>971.53</v>
      </c>
      <c r="G1175" s="427" t="s">
        <v>8545</v>
      </c>
      <c r="H1175" s="419" t="s">
        <v>310</v>
      </c>
      <c r="I1175" s="427" t="s">
        <v>1461</v>
      </c>
      <c r="J1175" s="418" t="s">
        <v>310</v>
      </c>
      <c r="K1175" s="418" t="s">
        <v>1220</v>
      </c>
      <c r="L1175" s="399" t="s">
        <v>1368</v>
      </c>
      <c r="M1175" s="544" t="s">
        <v>310</v>
      </c>
      <c r="N1175" s="413">
        <v>44890</v>
      </c>
      <c r="O1175" s="414" t="s">
        <v>400</v>
      </c>
      <c r="P1175" s="655">
        <f t="shared" si="58"/>
        <v>11</v>
      </c>
      <c r="Q1175" s="655">
        <f t="shared" si="59"/>
        <v>10</v>
      </c>
      <c r="R1175" s="758" t="str">
        <f t="shared" si="63"/>
        <v>Gastos_Gerais</v>
      </c>
      <c r="S1175" s="697" t="s">
        <v>310</v>
      </c>
      <c r="T1175" s="697" t="s">
        <v>310</v>
      </c>
    </row>
    <row r="1176" spans="1:20" ht="36" x14ac:dyDescent="0.2">
      <c r="A1176" s="432">
        <f>IF(B1176="","",COUNT('Diário 1º PA'!$A$4:$A$2635)+COUNT('Diário 2º PA'!$A$4:$A$3040)+COUNT('Diário 3º PA'!$A$4:$A$2731)+ROW()-3)</f>
        <v>7201</v>
      </c>
      <c r="B1176" s="413">
        <v>44890</v>
      </c>
      <c r="C1176" s="431">
        <v>44866</v>
      </c>
      <c r="D1176" s="419" t="s">
        <v>271</v>
      </c>
      <c r="E1176" s="415" t="s">
        <v>180</v>
      </c>
      <c r="F1176" s="422">
        <v>40</v>
      </c>
      <c r="G1176" s="423" t="s">
        <v>8528</v>
      </c>
      <c r="H1176" s="419" t="s">
        <v>309</v>
      </c>
      <c r="I1176" s="415" t="s">
        <v>8546</v>
      </c>
      <c r="J1176" s="419" t="s">
        <v>8529</v>
      </c>
      <c r="K1176" s="419" t="s">
        <v>812</v>
      </c>
      <c r="L1176" s="415" t="s">
        <v>310</v>
      </c>
      <c r="M1176" s="415" t="s">
        <v>310</v>
      </c>
      <c r="N1176" s="413">
        <v>44890</v>
      </c>
      <c r="O1176" s="414" t="s">
        <v>400</v>
      </c>
      <c r="P1176" s="655">
        <f t="shared" si="58"/>
        <v>11</v>
      </c>
      <c r="Q1176" s="655">
        <f t="shared" si="59"/>
        <v>11</v>
      </c>
      <c r="R1176" s="758" t="str">
        <f t="shared" si="63"/>
        <v>Gastos_Gerais</v>
      </c>
      <c r="S1176" s="697" t="s">
        <v>998</v>
      </c>
      <c r="T1176" s="697">
        <v>4799</v>
      </c>
    </row>
    <row r="1177" spans="1:20" ht="84" x14ac:dyDescent="0.2">
      <c r="A1177" s="432">
        <f>IF(B1177="","",COUNT('Diário 1º PA'!$A$4:$A$2635)+COUNT('Diário 2º PA'!$A$4:$A$3040)+COUNT('Diário 3º PA'!$A$4:$A$2731)+ROW()-3)</f>
        <v>7202</v>
      </c>
      <c r="B1177" s="413">
        <v>44890</v>
      </c>
      <c r="C1177" s="431">
        <v>44866</v>
      </c>
      <c r="D1177" s="419" t="s">
        <v>271</v>
      </c>
      <c r="E1177" s="415" t="s">
        <v>180</v>
      </c>
      <c r="F1177" s="422">
        <v>40</v>
      </c>
      <c r="G1177" s="423" t="s">
        <v>8661</v>
      </c>
      <c r="H1177" s="419" t="s">
        <v>309</v>
      </c>
      <c r="I1177" s="415" t="s">
        <v>8546</v>
      </c>
      <c r="J1177" s="419" t="s">
        <v>8529</v>
      </c>
      <c r="K1177" s="419" t="s">
        <v>812</v>
      </c>
      <c r="L1177" s="415" t="s">
        <v>310</v>
      </c>
      <c r="M1177" s="415" t="s">
        <v>310</v>
      </c>
      <c r="N1177" s="413">
        <v>44890</v>
      </c>
      <c r="O1177" s="414" t="s">
        <v>400</v>
      </c>
      <c r="P1177" s="655">
        <f t="shared" si="58"/>
        <v>11</v>
      </c>
      <c r="Q1177" s="655">
        <f t="shared" si="59"/>
        <v>11</v>
      </c>
      <c r="R1177" s="758" t="str">
        <f t="shared" si="63"/>
        <v>Gastos_Gerais</v>
      </c>
      <c r="S1177" s="697" t="s">
        <v>310</v>
      </c>
      <c r="T1177" s="697" t="s">
        <v>310</v>
      </c>
    </row>
    <row r="1178" spans="1:20" ht="24" x14ac:dyDescent="0.2">
      <c r="A1178" s="432">
        <f>IF(B1178="","",COUNT('Diário 1º PA'!$A$4:$A$2635)+COUNT('Diário 2º PA'!$A$4:$A$3040)+COUNT('Diário 3º PA'!$A$4:$A$2731)+ROW()-3)</f>
        <v>7203</v>
      </c>
      <c r="B1178" s="413">
        <v>44890</v>
      </c>
      <c r="C1178" s="424">
        <v>44866</v>
      </c>
      <c r="D1178" s="419" t="s">
        <v>271</v>
      </c>
      <c r="E1178" s="419" t="s">
        <v>71</v>
      </c>
      <c r="F1178" s="422">
        <v>11</v>
      </c>
      <c r="G1178" s="423" t="s">
        <v>8547</v>
      </c>
      <c r="H1178" s="419" t="s">
        <v>310</v>
      </c>
      <c r="I1178" s="415" t="s">
        <v>881</v>
      </c>
      <c r="J1178" s="419" t="s">
        <v>882</v>
      </c>
      <c r="K1178" s="419" t="s">
        <v>883</v>
      </c>
      <c r="L1178" s="415" t="s">
        <v>798</v>
      </c>
      <c r="M1178" s="419" t="s">
        <v>310</v>
      </c>
      <c r="N1178" s="413">
        <v>44890</v>
      </c>
      <c r="O1178" s="414" t="s">
        <v>400</v>
      </c>
      <c r="P1178" s="655">
        <f t="shared" si="58"/>
        <v>11</v>
      </c>
      <c r="Q1178" s="655">
        <f t="shared" si="59"/>
        <v>11</v>
      </c>
      <c r="R1178" s="758" t="str">
        <f t="shared" si="63"/>
        <v>Gastos_Gerais</v>
      </c>
      <c r="S1178" s="697" t="s">
        <v>310</v>
      </c>
      <c r="T1178" s="697" t="s">
        <v>310</v>
      </c>
    </row>
    <row r="1179" spans="1:20" ht="36" x14ac:dyDescent="0.2">
      <c r="A1179" s="432">
        <f>IF(B1179="","",COUNT('Diário 1º PA'!$A$4:$A$2635)+COUNT('Diário 2º PA'!$A$4:$A$3040)+COUNT('Diário 3º PA'!$A$4:$A$2731)+ROW()-3)</f>
        <v>7204</v>
      </c>
      <c r="B1179" s="413">
        <v>44890</v>
      </c>
      <c r="C1179" s="424">
        <v>44866</v>
      </c>
      <c r="D1179" s="419" t="s">
        <v>271</v>
      </c>
      <c r="E1179" s="419" t="s">
        <v>71</v>
      </c>
      <c r="F1179" s="422">
        <v>11</v>
      </c>
      <c r="G1179" s="423" t="s">
        <v>8548</v>
      </c>
      <c r="H1179" s="419" t="s">
        <v>760</v>
      </c>
      <c r="I1179" s="415" t="s">
        <v>881</v>
      </c>
      <c r="J1179" s="419" t="s">
        <v>882</v>
      </c>
      <c r="K1179" s="419" t="s">
        <v>883</v>
      </c>
      <c r="L1179" s="415" t="s">
        <v>798</v>
      </c>
      <c r="M1179" s="419" t="s">
        <v>310</v>
      </c>
      <c r="N1179" s="413">
        <v>44890</v>
      </c>
      <c r="O1179" s="414" t="s">
        <v>400</v>
      </c>
      <c r="P1179" s="655">
        <f t="shared" si="58"/>
        <v>11</v>
      </c>
      <c r="Q1179" s="655">
        <f t="shared" si="59"/>
        <v>11</v>
      </c>
      <c r="R1179" s="758" t="str">
        <f t="shared" si="63"/>
        <v>Gastos_Gerais</v>
      </c>
      <c r="S1179" s="697" t="s">
        <v>310</v>
      </c>
      <c r="T1179" s="697" t="s">
        <v>310</v>
      </c>
    </row>
    <row r="1180" spans="1:20" ht="48" x14ac:dyDescent="0.2">
      <c r="A1180" s="432">
        <f>IF(B1180="","",COUNT('Diário 1º PA'!$A$4:$A$2635)+COUNT('Diário 2º PA'!$A$4:$A$3040)+COUNT('Diário 3º PA'!$A$4:$A$2731)+ROW()-3)</f>
        <v>7205</v>
      </c>
      <c r="B1180" s="413">
        <v>44890</v>
      </c>
      <c r="C1180" s="424">
        <v>44835</v>
      </c>
      <c r="D1180" s="419" t="s">
        <v>468</v>
      </c>
      <c r="E1180" s="419" t="s">
        <v>468</v>
      </c>
      <c r="F1180" s="422">
        <v>272.87</v>
      </c>
      <c r="G1180" s="419" t="s">
        <v>8563</v>
      </c>
      <c r="H1180" s="419" t="s">
        <v>468</v>
      </c>
      <c r="I1180" s="427" t="s">
        <v>1461</v>
      </c>
      <c r="J1180" s="418" t="s">
        <v>310</v>
      </c>
      <c r="K1180" s="418" t="s">
        <v>1220</v>
      </c>
      <c r="L1180" s="399" t="s">
        <v>1368</v>
      </c>
      <c r="M1180" s="544" t="s">
        <v>310</v>
      </c>
      <c r="N1180" s="413">
        <v>44890</v>
      </c>
      <c r="O1180" s="414" t="s">
        <v>405</v>
      </c>
      <c r="P1180" s="655">
        <f t="shared" si="58"/>
        <v>11</v>
      </c>
      <c r="Q1180" s="655">
        <f t="shared" si="59"/>
        <v>10</v>
      </c>
      <c r="R1180" s="758" t="str">
        <f t="shared" si="63"/>
        <v>Gastos_custeados_por_captação</v>
      </c>
      <c r="S1180" s="697" t="s">
        <v>310</v>
      </c>
      <c r="T1180" s="697" t="s">
        <v>310</v>
      </c>
    </row>
    <row r="1181" spans="1:20" ht="48" x14ac:dyDescent="0.2">
      <c r="A1181" s="432">
        <f>IF(B1181="","",COUNT('Diário 1º PA'!$A$4:$A$2635)+COUNT('Diário 2º PA'!$A$4:$A$3040)+COUNT('Diário 3º PA'!$A$4:$A$2731)+ROW()-3)</f>
        <v>7206</v>
      </c>
      <c r="B1181" s="413">
        <v>44890</v>
      </c>
      <c r="C1181" s="424">
        <v>44835</v>
      </c>
      <c r="D1181" s="419" t="s">
        <v>468</v>
      </c>
      <c r="E1181" s="419" t="s">
        <v>468</v>
      </c>
      <c r="F1181" s="422">
        <v>317.12</v>
      </c>
      <c r="G1181" s="427" t="s">
        <v>8559</v>
      </c>
      <c r="H1181" s="419" t="s">
        <v>468</v>
      </c>
      <c r="I1181" s="415" t="s">
        <v>1461</v>
      </c>
      <c r="J1181" s="419" t="s">
        <v>310</v>
      </c>
      <c r="K1181" s="419" t="s">
        <v>1220</v>
      </c>
      <c r="L1181" s="415" t="s">
        <v>1368</v>
      </c>
      <c r="M1181" s="419" t="s">
        <v>310</v>
      </c>
      <c r="N1181" s="413">
        <v>44890</v>
      </c>
      <c r="O1181" s="414" t="s">
        <v>404</v>
      </c>
      <c r="P1181" s="655">
        <f t="shared" si="58"/>
        <v>11</v>
      </c>
      <c r="Q1181" s="655">
        <f t="shared" si="59"/>
        <v>10</v>
      </c>
      <c r="R1181" s="758" t="str">
        <f t="shared" si="63"/>
        <v>Gastos_custeados_por_captação</v>
      </c>
      <c r="S1181" s="697" t="s">
        <v>310</v>
      </c>
      <c r="T1181" s="697" t="s">
        <v>310</v>
      </c>
    </row>
    <row r="1182" spans="1:20" ht="48" x14ac:dyDescent="0.2">
      <c r="A1182" s="432">
        <f>IF(B1182="","",COUNT('Diário 1º PA'!$A$4:$A$2635)+COUNT('Diário 2º PA'!$A$4:$A$3040)+COUNT('Diário 3º PA'!$A$4:$A$2731)+ROW()-3)</f>
        <v>7207</v>
      </c>
      <c r="B1182" s="413">
        <v>44890</v>
      </c>
      <c r="C1182" s="421">
        <v>44866</v>
      </c>
      <c r="D1182" s="419" t="s">
        <v>468</v>
      </c>
      <c r="E1182" s="419" t="s">
        <v>468</v>
      </c>
      <c r="F1182" s="422">
        <v>229.54</v>
      </c>
      <c r="G1182" s="427" t="s">
        <v>8526</v>
      </c>
      <c r="H1182" s="419" t="s">
        <v>468</v>
      </c>
      <c r="I1182" s="415" t="s">
        <v>8560</v>
      </c>
      <c r="J1182" s="415" t="s">
        <v>8527</v>
      </c>
      <c r="K1182" s="419" t="s">
        <v>806</v>
      </c>
      <c r="L1182" s="415" t="s">
        <v>32</v>
      </c>
      <c r="M1182" s="419">
        <v>23308</v>
      </c>
      <c r="N1182" s="413">
        <v>44890</v>
      </c>
      <c r="O1182" s="414" t="s">
        <v>3762</v>
      </c>
      <c r="P1182" s="655">
        <f t="shared" si="58"/>
        <v>11</v>
      </c>
      <c r="Q1182" s="655">
        <f t="shared" si="59"/>
        <v>11</v>
      </c>
      <c r="R1182" s="758" t="str">
        <f t="shared" si="63"/>
        <v>Gastos_custeados_por_captação</v>
      </c>
      <c r="S1182" s="697" t="s">
        <v>999</v>
      </c>
      <c r="T1182" s="697">
        <v>4801</v>
      </c>
    </row>
    <row r="1183" spans="1:20" ht="36" x14ac:dyDescent="0.2">
      <c r="A1183" s="432">
        <f>IF(B1183="","",COUNT('Diário 1º PA'!$A$4:$A$2635)+COUNT('Diário 2º PA'!$A$4:$A$3040)+COUNT('Diário 3º PA'!$A$4:$A$2731)+ROW()-3)</f>
        <v>7208</v>
      </c>
      <c r="B1183" s="413">
        <v>44890</v>
      </c>
      <c r="C1183" s="424">
        <v>44835</v>
      </c>
      <c r="D1183" s="419" t="s">
        <v>468</v>
      </c>
      <c r="E1183" s="419" t="s">
        <v>468</v>
      </c>
      <c r="F1183" s="422">
        <v>380.16</v>
      </c>
      <c r="G1183" s="427" t="s">
        <v>8562</v>
      </c>
      <c r="H1183" s="419" t="s">
        <v>468</v>
      </c>
      <c r="I1183" s="427" t="s">
        <v>1461</v>
      </c>
      <c r="J1183" s="415" t="s">
        <v>310</v>
      </c>
      <c r="K1183" s="415" t="s">
        <v>1220</v>
      </c>
      <c r="L1183" s="415" t="s">
        <v>1368</v>
      </c>
      <c r="M1183" s="415" t="s">
        <v>310</v>
      </c>
      <c r="N1183" s="413">
        <v>44890</v>
      </c>
      <c r="O1183" s="414" t="s">
        <v>3762</v>
      </c>
      <c r="P1183" s="655">
        <f t="shared" si="58"/>
        <v>11</v>
      </c>
      <c r="Q1183" s="655">
        <f t="shared" si="59"/>
        <v>10</v>
      </c>
      <c r="R1183" s="758" t="str">
        <f t="shared" si="63"/>
        <v>Gastos_custeados_por_captação</v>
      </c>
      <c r="S1183" s="697" t="s">
        <v>310</v>
      </c>
      <c r="T1183" s="697" t="s">
        <v>310</v>
      </c>
    </row>
    <row r="1184" spans="1:20" ht="36" x14ac:dyDescent="0.2">
      <c r="A1184" s="432">
        <f>IF(B1184="","",COUNT('Diário 1º PA'!$A$4:$A$2635)+COUNT('Diário 2º PA'!$A$4:$A$3040)+COUNT('Diário 3º PA'!$A$4:$A$2731)+ROW()-3)</f>
        <v>7209</v>
      </c>
      <c r="B1184" s="413">
        <v>44890</v>
      </c>
      <c r="C1184" s="424">
        <v>44835</v>
      </c>
      <c r="D1184" s="419" t="s">
        <v>468</v>
      </c>
      <c r="E1184" s="419" t="s">
        <v>468</v>
      </c>
      <c r="F1184" s="422">
        <v>267.57</v>
      </c>
      <c r="G1184" s="427" t="s">
        <v>9225</v>
      </c>
      <c r="H1184" s="419" t="s">
        <v>468</v>
      </c>
      <c r="I1184" s="427" t="s">
        <v>1461</v>
      </c>
      <c r="J1184" s="415" t="s">
        <v>310</v>
      </c>
      <c r="K1184" s="415" t="s">
        <v>1220</v>
      </c>
      <c r="L1184" s="415" t="s">
        <v>1368</v>
      </c>
      <c r="M1184" s="415" t="s">
        <v>310</v>
      </c>
      <c r="N1184" s="413">
        <v>44890</v>
      </c>
      <c r="O1184" s="414" t="s">
        <v>403</v>
      </c>
      <c r="P1184" s="655">
        <f t="shared" ref="P1184" si="64">IF(B1184=0,0,IF(YEAR(B1184)=$Q$1,MONTH(B1184)-$P$1+1,(YEAR(B1184)-$Q$1)*12-$P$1+1+MONTH(B1184)))</f>
        <v>11</v>
      </c>
      <c r="Q1184" s="655">
        <f t="shared" ref="Q1184" si="65">IF(C1184=0,0,IF(YEAR(C1184)=$Q$1,MONTH(C1184)-$P$1+1,(YEAR(C1184)-$Q$1)*12-$P$1+1+MONTH(C1184)))</f>
        <v>10</v>
      </c>
      <c r="R1184" s="758" t="str">
        <f t="shared" ref="R1184" si="66">SUBSTITUTE(D1184," ","_")</f>
        <v>Gastos_custeados_por_captação</v>
      </c>
      <c r="S1184" s="697" t="s">
        <v>310</v>
      </c>
      <c r="T1184" s="697" t="s">
        <v>310</v>
      </c>
    </row>
    <row r="1185" spans="1:20" ht="48" x14ac:dyDescent="0.2">
      <c r="A1185" s="432">
        <f>IF(B1185="","",COUNT('Diário 1º PA'!$A$4:$A$2635)+COUNT('Diário 2º PA'!$A$4:$A$3040)+COUNT('Diário 3º PA'!$A$4:$A$2731)+ROW()-3)</f>
        <v>7210</v>
      </c>
      <c r="B1185" s="413">
        <v>44893</v>
      </c>
      <c r="C1185" s="431">
        <v>44835</v>
      </c>
      <c r="D1185" s="415" t="s">
        <v>271</v>
      </c>
      <c r="E1185" s="415" t="s">
        <v>163</v>
      </c>
      <c r="F1185" s="425">
        <v>-57.66</v>
      </c>
      <c r="G1185" s="427" t="s">
        <v>8553</v>
      </c>
      <c r="H1185" s="415" t="s">
        <v>309</v>
      </c>
      <c r="I1185" s="473" t="s">
        <v>795</v>
      </c>
      <c r="J1185" s="415" t="s">
        <v>796</v>
      </c>
      <c r="K1185" s="415" t="s">
        <v>797</v>
      </c>
      <c r="L1185" s="415" t="s">
        <v>798</v>
      </c>
      <c r="M1185" s="415" t="s">
        <v>310</v>
      </c>
      <c r="N1185" s="413">
        <v>44893</v>
      </c>
      <c r="O1185" s="414" t="s">
        <v>400</v>
      </c>
      <c r="P1185" s="655">
        <f t="shared" si="58"/>
        <v>11</v>
      </c>
      <c r="Q1185" s="655">
        <f t="shared" si="59"/>
        <v>10</v>
      </c>
      <c r="R1185" s="758" t="str">
        <f t="shared" si="63"/>
        <v>Gastos_Gerais</v>
      </c>
      <c r="S1185" s="697" t="s">
        <v>310</v>
      </c>
      <c r="T1185" s="697" t="s">
        <v>310</v>
      </c>
    </row>
    <row r="1186" spans="1:20" ht="24" x14ac:dyDescent="0.2">
      <c r="A1186" s="432">
        <f>IF(B1186="","",COUNT('Diário 1º PA'!$A$4:$A$2635)+COUNT('Diário 2º PA'!$A$4:$A$3040)+COUNT('Diário 3º PA'!$A$4:$A$2731)+ROW()-3)</f>
        <v>7211</v>
      </c>
      <c r="B1186" s="413">
        <v>44893</v>
      </c>
      <c r="C1186" s="431">
        <v>44835</v>
      </c>
      <c r="D1186" s="415" t="s">
        <v>271</v>
      </c>
      <c r="E1186" s="434" t="s">
        <v>163</v>
      </c>
      <c r="F1186" s="435">
        <v>218.32</v>
      </c>
      <c r="G1186" s="427" t="s">
        <v>7662</v>
      </c>
      <c r="H1186" s="415" t="s">
        <v>309</v>
      </c>
      <c r="I1186" s="437" t="s">
        <v>768</v>
      </c>
      <c r="J1186" s="434" t="s">
        <v>1021</v>
      </c>
      <c r="K1186" s="419" t="s">
        <v>1404</v>
      </c>
      <c r="L1186" s="415" t="s">
        <v>807</v>
      </c>
      <c r="M1186" s="419" t="s">
        <v>8554</v>
      </c>
      <c r="N1186" s="413">
        <v>44853</v>
      </c>
      <c r="O1186" s="414" t="s">
        <v>400</v>
      </c>
      <c r="P1186" s="655">
        <f t="shared" si="58"/>
        <v>11</v>
      </c>
      <c r="Q1186" s="655">
        <f t="shared" si="59"/>
        <v>10</v>
      </c>
      <c r="R1186" s="758" t="str">
        <f t="shared" si="63"/>
        <v>Gastos_Gerais</v>
      </c>
      <c r="S1186" s="697" t="s">
        <v>310</v>
      </c>
      <c r="T1186" s="697" t="s">
        <v>310</v>
      </c>
    </row>
    <row r="1187" spans="1:20" ht="60" x14ac:dyDescent="0.2">
      <c r="A1187" s="432">
        <f>IF(B1187="","",COUNT('Diário 1º PA'!$A$4:$A$2635)+COUNT('Diário 2º PA'!$A$4:$A$3040)+COUNT('Diário 3º PA'!$A$4:$A$2731)+ROW()-3)</f>
        <v>7212</v>
      </c>
      <c r="B1187" s="413">
        <v>44893</v>
      </c>
      <c r="C1187" s="431">
        <v>44866</v>
      </c>
      <c r="D1187" s="419" t="s">
        <v>271</v>
      </c>
      <c r="E1187" s="415" t="s">
        <v>442</v>
      </c>
      <c r="F1187" s="422">
        <v>3000</v>
      </c>
      <c r="G1187" s="423" t="s">
        <v>8308</v>
      </c>
      <c r="H1187" s="419" t="s">
        <v>749</v>
      </c>
      <c r="I1187" s="415" t="s">
        <v>8555</v>
      </c>
      <c r="J1187" s="419" t="s">
        <v>8309</v>
      </c>
      <c r="K1187" s="419" t="s">
        <v>830</v>
      </c>
      <c r="L1187" s="415" t="s">
        <v>807</v>
      </c>
      <c r="M1187" s="419" t="s">
        <v>1540</v>
      </c>
      <c r="N1187" s="413">
        <v>44890</v>
      </c>
      <c r="O1187" s="414" t="s">
        <v>400</v>
      </c>
      <c r="P1187" s="655">
        <f t="shared" ref="P1187:P1250" si="67">IF(B1187=0,0,IF(YEAR(B1187)=$Q$1,MONTH(B1187)-$P$1+1,(YEAR(B1187)-$Q$1)*12-$P$1+1+MONTH(B1187)))</f>
        <v>11</v>
      </c>
      <c r="Q1187" s="655">
        <f t="shared" ref="Q1187:Q1250" si="68">IF(C1187=0,0,IF(YEAR(C1187)=$Q$1,MONTH(C1187)-$P$1+1,(YEAR(C1187)-$Q$1)*12-$P$1+1+MONTH(C1187)))</f>
        <v>11</v>
      </c>
      <c r="R1187" s="758" t="str">
        <f t="shared" si="63"/>
        <v>Gastos_Gerais</v>
      </c>
      <c r="S1187" s="697" t="s">
        <v>998</v>
      </c>
      <c r="T1187" s="697">
        <v>4750</v>
      </c>
    </row>
    <row r="1188" spans="1:20" ht="24" x14ac:dyDescent="0.2">
      <c r="A1188" s="432">
        <f>IF(B1188="","",COUNT('Diário 1º PA'!$A$4:$A$2635)+COUNT('Diário 2º PA'!$A$4:$A$3040)+COUNT('Diário 3º PA'!$A$4:$A$2731)+ROW()-3)</f>
        <v>7213</v>
      </c>
      <c r="B1188" s="413">
        <v>44893</v>
      </c>
      <c r="C1188" s="431">
        <v>44866</v>
      </c>
      <c r="D1188" s="434" t="s">
        <v>182</v>
      </c>
      <c r="E1188" s="434" t="s">
        <v>6</v>
      </c>
      <c r="F1188" s="422">
        <v>26220.5</v>
      </c>
      <c r="G1188" s="437" t="s">
        <v>6101</v>
      </c>
      <c r="H1188" s="434" t="s">
        <v>310</v>
      </c>
      <c r="I1188" s="474" t="s">
        <v>1486</v>
      </c>
      <c r="J1188" s="418" t="s">
        <v>1487</v>
      </c>
      <c r="K1188" s="419" t="s">
        <v>812</v>
      </c>
      <c r="L1188" s="415" t="s">
        <v>32</v>
      </c>
      <c r="M1188" s="415">
        <v>452857</v>
      </c>
      <c r="N1188" s="414">
        <v>44896</v>
      </c>
      <c r="O1188" s="414" t="s">
        <v>400</v>
      </c>
      <c r="P1188" s="655">
        <f t="shared" si="67"/>
        <v>11</v>
      </c>
      <c r="Q1188" s="655">
        <f t="shared" si="68"/>
        <v>11</v>
      </c>
      <c r="R1188" s="758" t="str">
        <f t="shared" si="63"/>
        <v>Gastos_com_Pessoal</v>
      </c>
      <c r="S1188" s="697" t="s">
        <v>310</v>
      </c>
      <c r="T1188" s="697" t="s">
        <v>310</v>
      </c>
    </row>
    <row r="1189" spans="1:20" ht="24" x14ac:dyDescent="0.2">
      <c r="A1189" s="432">
        <f>IF(B1189="","",COUNT('Diário 1º PA'!$A$4:$A$2635)+COUNT('Diário 2º PA'!$A$4:$A$3040)+COUNT('Diário 3º PA'!$A$4:$A$2731)+ROW()-3)</f>
        <v>7214</v>
      </c>
      <c r="B1189" s="413">
        <v>44893</v>
      </c>
      <c r="C1189" s="431">
        <v>44866</v>
      </c>
      <c r="D1189" s="434" t="s">
        <v>182</v>
      </c>
      <c r="E1189" s="434" t="s">
        <v>6</v>
      </c>
      <c r="F1189" s="422">
        <v>5442.36</v>
      </c>
      <c r="G1189" s="437" t="s">
        <v>6102</v>
      </c>
      <c r="H1189" s="434" t="s">
        <v>310</v>
      </c>
      <c r="I1189" s="474" t="s">
        <v>1486</v>
      </c>
      <c r="J1189" s="418" t="s">
        <v>1487</v>
      </c>
      <c r="K1189" s="419" t="s">
        <v>812</v>
      </c>
      <c r="L1189" s="415" t="s">
        <v>32</v>
      </c>
      <c r="M1189" s="415">
        <v>360925</v>
      </c>
      <c r="N1189" s="414">
        <v>44896</v>
      </c>
      <c r="O1189" s="414" t="s">
        <v>400</v>
      </c>
      <c r="P1189" s="655">
        <f t="shared" si="67"/>
        <v>11</v>
      </c>
      <c r="Q1189" s="655">
        <f t="shared" si="68"/>
        <v>11</v>
      </c>
      <c r="R1189" s="758" t="str">
        <f t="shared" si="63"/>
        <v>Gastos_com_Pessoal</v>
      </c>
      <c r="S1189" s="697" t="s">
        <v>310</v>
      </c>
      <c r="T1189" s="697" t="s">
        <v>310</v>
      </c>
    </row>
    <row r="1190" spans="1:20" ht="48" x14ac:dyDescent="0.2">
      <c r="A1190" s="432">
        <f>IF(B1190="","",COUNT('Diário 1º PA'!$A$4:$A$2635)+COUNT('Diário 2º PA'!$A$4:$A$3040)+COUNT('Diário 3º PA'!$A$4:$A$2731)+ROW()-3)</f>
        <v>7215</v>
      </c>
      <c r="B1190" s="413">
        <v>44893</v>
      </c>
      <c r="C1190" s="424">
        <v>44866</v>
      </c>
      <c r="D1190" s="419" t="s">
        <v>271</v>
      </c>
      <c r="E1190" s="419" t="s">
        <v>71</v>
      </c>
      <c r="F1190" s="422">
        <v>11</v>
      </c>
      <c r="G1190" s="423" t="s">
        <v>8556</v>
      </c>
      <c r="H1190" s="419" t="s">
        <v>749</v>
      </c>
      <c r="I1190" s="415" t="s">
        <v>881</v>
      </c>
      <c r="J1190" s="419" t="s">
        <v>882</v>
      </c>
      <c r="K1190" s="419" t="s">
        <v>883</v>
      </c>
      <c r="L1190" s="415" t="s">
        <v>798</v>
      </c>
      <c r="M1190" s="419" t="s">
        <v>310</v>
      </c>
      <c r="N1190" s="413">
        <v>44890</v>
      </c>
      <c r="O1190" s="414" t="s">
        <v>400</v>
      </c>
      <c r="P1190" s="655">
        <f t="shared" si="67"/>
        <v>11</v>
      </c>
      <c r="Q1190" s="655">
        <f t="shared" si="68"/>
        <v>11</v>
      </c>
      <c r="R1190" s="758" t="str">
        <f t="shared" si="63"/>
        <v>Gastos_Gerais</v>
      </c>
      <c r="S1190" s="697" t="s">
        <v>310</v>
      </c>
      <c r="T1190" s="697" t="s">
        <v>310</v>
      </c>
    </row>
    <row r="1191" spans="1:20" ht="24" x14ac:dyDescent="0.2">
      <c r="A1191" s="432">
        <f>IF(B1191="","",COUNT('Diário 1º PA'!$A$4:$A$2635)+COUNT('Diário 2º PA'!$A$4:$A$3040)+COUNT('Diário 3º PA'!$A$4:$A$2731)+ROW()-3)</f>
        <v>7216</v>
      </c>
      <c r="B1191" s="414">
        <v>44894</v>
      </c>
      <c r="C1191" s="433">
        <v>44866</v>
      </c>
      <c r="D1191" s="434" t="s">
        <v>182</v>
      </c>
      <c r="E1191" s="434" t="s">
        <v>161</v>
      </c>
      <c r="F1191" s="435">
        <v>969.52</v>
      </c>
      <c r="G1191" s="437" t="s">
        <v>1495</v>
      </c>
      <c r="H1191" s="415" t="s">
        <v>310</v>
      </c>
      <c r="I1191" s="473" t="s">
        <v>1496</v>
      </c>
      <c r="J1191" s="548" t="s">
        <v>1497</v>
      </c>
      <c r="K1191" s="415" t="s">
        <v>812</v>
      </c>
      <c r="L1191" s="415" t="s">
        <v>807</v>
      </c>
      <c r="M1191" s="415" t="s">
        <v>8807</v>
      </c>
      <c r="N1191" s="414">
        <v>44896</v>
      </c>
      <c r="O1191" s="414" t="s">
        <v>400</v>
      </c>
      <c r="P1191" s="655">
        <f t="shared" si="67"/>
        <v>11</v>
      </c>
      <c r="Q1191" s="655">
        <f t="shared" si="68"/>
        <v>11</v>
      </c>
      <c r="R1191" s="758" t="str">
        <f t="shared" si="63"/>
        <v>Gastos_com_Pessoal</v>
      </c>
      <c r="S1191" s="697" t="s">
        <v>310</v>
      </c>
      <c r="T1191" s="697" t="s">
        <v>310</v>
      </c>
    </row>
    <row r="1192" spans="1:20" ht="24" x14ac:dyDescent="0.2">
      <c r="A1192" s="432">
        <f>IF(B1192="","",COUNT('Diário 1º PA'!$A$4:$A$2635)+COUNT('Diário 2º PA'!$A$4:$A$3040)+COUNT('Diário 3º PA'!$A$4:$A$2731)+ROW()-3)</f>
        <v>7217</v>
      </c>
      <c r="B1192" s="414">
        <v>44894</v>
      </c>
      <c r="C1192" s="433">
        <v>44866</v>
      </c>
      <c r="D1192" s="415" t="s">
        <v>182</v>
      </c>
      <c r="E1192" s="415" t="s">
        <v>161</v>
      </c>
      <c r="F1192" s="425">
        <v>1839.53</v>
      </c>
      <c r="G1192" s="427" t="s">
        <v>7652</v>
      </c>
      <c r="H1192" s="415" t="s">
        <v>310</v>
      </c>
      <c r="I1192" s="473" t="s">
        <v>2008</v>
      </c>
      <c r="J1192" s="548" t="s">
        <v>2009</v>
      </c>
      <c r="K1192" s="415" t="s">
        <v>812</v>
      </c>
      <c r="L1192" s="415" t="s">
        <v>807</v>
      </c>
      <c r="M1192" s="415" t="s">
        <v>8808</v>
      </c>
      <c r="N1192" s="414">
        <v>44896</v>
      </c>
      <c r="O1192" s="414" t="s">
        <v>400</v>
      </c>
      <c r="P1192" s="655">
        <f t="shared" si="67"/>
        <v>11</v>
      </c>
      <c r="Q1192" s="655">
        <f t="shared" si="68"/>
        <v>11</v>
      </c>
      <c r="R1192" s="758" t="str">
        <f t="shared" si="63"/>
        <v>Gastos_com_Pessoal</v>
      </c>
      <c r="S1192" s="697" t="s">
        <v>310</v>
      </c>
      <c r="T1192" s="697" t="s">
        <v>310</v>
      </c>
    </row>
    <row r="1193" spans="1:20" ht="96" x14ac:dyDescent="0.2">
      <c r="A1193" s="432">
        <f>IF(B1193="","",COUNT('Diário 1º PA'!$A$4:$A$2635)+COUNT('Diário 2º PA'!$A$4:$A$3040)+COUNT('Diário 3º PA'!$A$4:$A$2731)+ROW()-3)</f>
        <v>7218</v>
      </c>
      <c r="B1193" s="413">
        <v>44894</v>
      </c>
      <c r="C1193" s="431">
        <v>44866</v>
      </c>
      <c r="D1193" s="419" t="s">
        <v>271</v>
      </c>
      <c r="E1193" s="415" t="s">
        <v>456</v>
      </c>
      <c r="F1193" s="422">
        <v>4000</v>
      </c>
      <c r="G1193" s="423" t="s">
        <v>8265</v>
      </c>
      <c r="H1193" s="419" t="s">
        <v>748</v>
      </c>
      <c r="I1193" s="415" t="s">
        <v>8570</v>
      </c>
      <c r="J1193" s="419" t="s">
        <v>8266</v>
      </c>
      <c r="K1193" s="419" t="s">
        <v>830</v>
      </c>
      <c r="L1193" s="415" t="s">
        <v>807</v>
      </c>
      <c r="M1193" s="419">
        <v>114</v>
      </c>
      <c r="N1193" s="413">
        <v>44893</v>
      </c>
      <c r="O1193" s="414" t="s">
        <v>400</v>
      </c>
      <c r="P1193" s="655">
        <f t="shared" si="67"/>
        <v>11</v>
      </c>
      <c r="Q1193" s="655">
        <f t="shared" si="68"/>
        <v>11</v>
      </c>
      <c r="R1193" s="758" t="str">
        <f t="shared" si="63"/>
        <v>Gastos_Gerais</v>
      </c>
      <c r="S1193" s="697" t="s">
        <v>1000</v>
      </c>
      <c r="T1193" s="697">
        <v>4684</v>
      </c>
    </row>
    <row r="1194" spans="1:20" ht="36" x14ac:dyDescent="0.2">
      <c r="A1194" s="432">
        <f>IF(B1194="","",COUNT('Diário 1º PA'!$A$4:$A$2635)+COUNT('Diário 2º PA'!$A$4:$A$3040)+COUNT('Diário 3º PA'!$A$4:$A$2731)+ROW()-3)</f>
        <v>7219</v>
      </c>
      <c r="B1194" s="413">
        <v>44894</v>
      </c>
      <c r="C1194" s="424">
        <v>44866</v>
      </c>
      <c r="D1194" s="419" t="s">
        <v>271</v>
      </c>
      <c r="E1194" s="419" t="s">
        <v>71</v>
      </c>
      <c r="F1194" s="422">
        <v>11</v>
      </c>
      <c r="G1194" s="423" t="s">
        <v>8571</v>
      </c>
      <c r="H1194" s="419" t="s">
        <v>748</v>
      </c>
      <c r="I1194" s="415" t="s">
        <v>881</v>
      </c>
      <c r="J1194" s="419" t="s">
        <v>882</v>
      </c>
      <c r="K1194" s="419" t="s">
        <v>883</v>
      </c>
      <c r="L1194" s="415" t="s">
        <v>798</v>
      </c>
      <c r="M1194" s="419" t="s">
        <v>310</v>
      </c>
      <c r="N1194" s="413">
        <v>44890</v>
      </c>
      <c r="O1194" s="414" t="s">
        <v>400</v>
      </c>
      <c r="P1194" s="655">
        <f t="shared" si="67"/>
        <v>11</v>
      </c>
      <c r="Q1194" s="655">
        <f t="shared" si="68"/>
        <v>11</v>
      </c>
      <c r="R1194" s="758" t="str">
        <f t="shared" si="63"/>
        <v>Gastos_Gerais</v>
      </c>
      <c r="S1194" s="697" t="s">
        <v>310</v>
      </c>
      <c r="T1194" s="697" t="s">
        <v>310</v>
      </c>
    </row>
    <row r="1195" spans="1:20" ht="36" x14ac:dyDescent="0.2">
      <c r="A1195" s="432">
        <f>IF(B1195="","",COUNT('Diário 1º PA'!$A$4:$A$2635)+COUNT('Diário 2º PA'!$A$4:$A$3040)+COUNT('Diário 3º PA'!$A$4:$A$2731)+ROW()-3)</f>
        <v>7220</v>
      </c>
      <c r="B1195" s="413">
        <v>44894</v>
      </c>
      <c r="C1195" s="421">
        <v>44866</v>
      </c>
      <c r="D1195" s="419" t="s">
        <v>468</v>
      </c>
      <c r="E1195" s="419" t="s">
        <v>468</v>
      </c>
      <c r="F1195" s="422">
        <v>115</v>
      </c>
      <c r="G1195" s="757" t="s">
        <v>8568</v>
      </c>
      <c r="H1195" s="419" t="s">
        <v>468</v>
      </c>
      <c r="I1195" s="415" t="s">
        <v>8870</v>
      </c>
      <c r="J1195" s="417" t="s">
        <v>8569</v>
      </c>
      <c r="K1195" s="419" t="s">
        <v>830</v>
      </c>
      <c r="L1195" s="415" t="s">
        <v>807</v>
      </c>
      <c r="M1195" s="419">
        <v>341</v>
      </c>
      <c r="N1195" s="413">
        <v>44895</v>
      </c>
      <c r="O1195" s="414" t="s">
        <v>3762</v>
      </c>
      <c r="P1195" s="655">
        <f t="shared" si="67"/>
        <v>11</v>
      </c>
      <c r="Q1195" s="655">
        <f t="shared" si="68"/>
        <v>11</v>
      </c>
      <c r="R1195" s="758" t="str">
        <f t="shared" si="63"/>
        <v>Gastos_custeados_por_captação</v>
      </c>
      <c r="S1195" s="697" t="s">
        <v>999</v>
      </c>
      <c r="T1195" s="697">
        <v>4802</v>
      </c>
    </row>
    <row r="1196" spans="1:20" ht="36" x14ac:dyDescent="0.2">
      <c r="A1196" s="432">
        <f>IF(B1196="","",COUNT('Diário 1º PA'!$A$4:$A$2635)+COUNT('Diário 2º PA'!$A$4:$A$3040)+COUNT('Diário 3º PA'!$A$4:$A$2731)+ROW()-3)</f>
        <v>7221</v>
      </c>
      <c r="B1196" s="413">
        <v>44894</v>
      </c>
      <c r="C1196" s="421">
        <v>44866</v>
      </c>
      <c r="D1196" s="419" t="s">
        <v>468</v>
      </c>
      <c r="E1196" s="419" t="s">
        <v>468</v>
      </c>
      <c r="F1196" s="422">
        <v>11</v>
      </c>
      <c r="G1196" s="427" t="s">
        <v>2469</v>
      </c>
      <c r="H1196" s="419" t="s">
        <v>468</v>
      </c>
      <c r="I1196" s="639" t="s">
        <v>881</v>
      </c>
      <c r="J1196" s="418" t="s">
        <v>882</v>
      </c>
      <c r="K1196" s="418" t="s">
        <v>883</v>
      </c>
      <c r="L1196" s="399" t="s">
        <v>798</v>
      </c>
      <c r="M1196" s="544" t="s">
        <v>310</v>
      </c>
      <c r="N1196" s="413">
        <v>44894</v>
      </c>
      <c r="O1196" s="414" t="s">
        <v>3762</v>
      </c>
      <c r="P1196" s="655">
        <f t="shared" si="67"/>
        <v>11</v>
      </c>
      <c r="Q1196" s="655">
        <f t="shared" si="68"/>
        <v>11</v>
      </c>
      <c r="R1196" s="758" t="str">
        <f t="shared" si="63"/>
        <v>Gastos_custeados_por_captação</v>
      </c>
      <c r="S1196" s="697" t="s">
        <v>310</v>
      </c>
      <c r="T1196" s="697" t="s">
        <v>310</v>
      </c>
    </row>
    <row r="1197" spans="1:20" ht="72" x14ac:dyDescent="0.2">
      <c r="A1197" s="432">
        <f>IF(B1197="","",COUNT('Diário 1º PA'!$A$4:$A$2635)+COUNT('Diário 2º PA'!$A$4:$A$3040)+COUNT('Diário 3º PA'!$A$4:$A$2731)+ROW()-3)</f>
        <v>7222</v>
      </c>
      <c r="B1197" s="413">
        <v>44894</v>
      </c>
      <c r="C1197" s="759">
        <v>44866</v>
      </c>
      <c r="D1197" s="419" t="s">
        <v>468</v>
      </c>
      <c r="E1197" s="419" t="s">
        <v>468</v>
      </c>
      <c r="F1197" s="422">
        <v>283.8</v>
      </c>
      <c r="G1197" s="757" t="s">
        <v>8539</v>
      </c>
      <c r="H1197" s="419" t="s">
        <v>468</v>
      </c>
      <c r="I1197" s="639" t="s">
        <v>9157</v>
      </c>
      <c r="J1197" s="417" t="s">
        <v>8540</v>
      </c>
      <c r="K1197" s="418" t="s">
        <v>806</v>
      </c>
      <c r="L1197" s="399" t="s">
        <v>839</v>
      </c>
      <c r="M1197" s="544">
        <v>2114</v>
      </c>
      <c r="N1197" s="413">
        <v>44894</v>
      </c>
      <c r="O1197" s="414" t="s">
        <v>404</v>
      </c>
      <c r="P1197" s="655">
        <f t="shared" si="67"/>
        <v>11</v>
      </c>
      <c r="Q1197" s="655">
        <f t="shared" si="68"/>
        <v>11</v>
      </c>
      <c r="R1197" s="758" t="str">
        <f t="shared" si="63"/>
        <v>Gastos_custeados_por_captação</v>
      </c>
      <c r="S1197" s="697" t="s">
        <v>998</v>
      </c>
      <c r="T1197" s="697">
        <v>4619</v>
      </c>
    </row>
    <row r="1198" spans="1:20" ht="60" x14ac:dyDescent="0.2">
      <c r="A1198" s="432">
        <f>IF(B1198="","",COUNT('Diário 1º PA'!$A$4:$A$2635)+COUNT('Diário 2º PA'!$A$4:$A$3040)+COUNT('Diário 3º PA'!$A$4:$A$2731)+ROW()-3)</f>
        <v>7223</v>
      </c>
      <c r="B1198" s="413">
        <v>44894</v>
      </c>
      <c r="C1198" s="759">
        <v>44866</v>
      </c>
      <c r="D1198" s="419" t="s">
        <v>468</v>
      </c>
      <c r="E1198" s="419" t="s">
        <v>468</v>
      </c>
      <c r="F1198" s="422">
        <v>283.8</v>
      </c>
      <c r="G1198" s="757" t="s">
        <v>8537</v>
      </c>
      <c r="H1198" s="419" t="s">
        <v>468</v>
      </c>
      <c r="I1198" s="639" t="s">
        <v>9158</v>
      </c>
      <c r="J1198" s="417" t="s">
        <v>8538</v>
      </c>
      <c r="K1198" s="418" t="s">
        <v>830</v>
      </c>
      <c r="L1198" s="399" t="s">
        <v>839</v>
      </c>
      <c r="M1198" s="544">
        <v>2115</v>
      </c>
      <c r="N1198" s="413">
        <v>44894</v>
      </c>
      <c r="O1198" s="414" t="s">
        <v>404</v>
      </c>
      <c r="P1198" s="655">
        <f t="shared" si="67"/>
        <v>11</v>
      </c>
      <c r="Q1198" s="655">
        <f t="shared" si="68"/>
        <v>11</v>
      </c>
      <c r="R1198" s="758" t="str">
        <f t="shared" si="63"/>
        <v>Gastos_custeados_por_captação</v>
      </c>
      <c r="S1198" s="697" t="s">
        <v>998</v>
      </c>
      <c r="T1198" s="697">
        <v>4615</v>
      </c>
    </row>
    <row r="1199" spans="1:20" ht="36" x14ac:dyDescent="0.2">
      <c r="A1199" s="432">
        <f>IF(B1199="","",COUNT('Diário 1º PA'!$A$4:$A$2635)+COUNT('Diário 2º PA'!$A$4:$A$3040)+COUNT('Diário 3º PA'!$A$4:$A$2731)+ROW()-3)</f>
        <v>7224</v>
      </c>
      <c r="B1199" s="413">
        <v>44895</v>
      </c>
      <c r="C1199" s="421">
        <v>44866</v>
      </c>
      <c r="D1199" s="419" t="s">
        <v>182</v>
      </c>
      <c r="E1199" s="419" t="s">
        <v>268</v>
      </c>
      <c r="F1199" s="422">
        <v>7923.6</v>
      </c>
      <c r="G1199" s="423" t="s">
        <v>8594</v>
      </c>
      <c r="H1199" s="419" t="s">
        <v>310</v>
      </c>
      <c r="I1199" s="415" t="s">
        <v>952</v>
      </c>
      <c r="J1199" s="419" t="s">
        <v>953</v>
      </c>
      <c r="K1199" s="419" t="s">
        <v>830</v>
      </c>
      <c r="L1199" s="415" t="s">
        <v>909</v>
      </c>
      <c r="M1199" s="419" t="s">
        <v>310</v>
      </c>
      <c r="N1199" s="413">
        <v>44895</v>
      </c>
      <c r="O1199" s="414" t="s">
        <v>400</v>
      </c>
      <c r="P1199" s="655">
        <f t="shared" si="67"/>
        <v>11</v>
      </c>
      <c r="Q1199" s="655">
        <f t="shared" si="68"/>
        <v>11</v>
      </c>
      <c r="R1199" s="758" t="str">
        <f t="shared" si="63"/>
        <v>Gastos_com_Pessoal</v>
      </c>
      <c r="S1199" s="697" t="s">
        <v>310</v>
      </c>
      <c r="T1199" s="697" t="s">
        <v>310</v>
      </c>
    </row>
    <row r="1200" spans="1:20" ht="36" x14ac:dyDescent="0.2">
      <c r="A1200" s="432">
        <f>IF(B1200="","",COUNT('Diário 1º PA'!$A$4:$A$2635)+COUNT('Diário 2º PA'!$A$4:$A$3040)+COUNT('Diário 3º PA'!$A$4:$A$2731)+ROW()-3)</f>
        <v>7225</v>
      </c>
      <c r="B1200" s="413">
        <v>44895</v>
      </c>
      <c r="C1200" s="421">
        <v>44866</v>
      </c>
      <c r="D1200" s="419" t="s">
        <v>182</v>
      </c>
      <c r="E1200" s="419" t="s">
        <v>268</v>
      </c>
      <c r="F1200" s="422">
        <v>1265</v>
      </c>
      <c r="G1200" s="423" t="s">
        <v>8593</v>
      </c>
      <c r="H1200" s="419" t="s">
        <v>310</v>
      </c>
      <c r="I1200" s="415" t="s">
        <v>954</v>
      </c>
      <c r="J1200" s="419" t="s">
        <v>955</v>
      </c>
      <c r="K1200" s="419" t="s">
        <v>830</v>
      </c>
      <c r="L1200" s="415" t="s">
        <v>909</v>
      </c>
      <c r="M1200" s="419" t="s">
        <v>310</v>
      </c>
      <c r="N1200" s="413">
        <v>44895</v>
      </c>
      <c r="O1200" s="414" t="s">
        <v>400</v>
      </c>
      <c r="P1200" s="655">
        <f t="shared" si="67"/>
        <v>11</v>
      </c>
      <c r="Q1200" s="655">
        <f t="shared" si="68"/>
        <v>11</v>
      </c>
      <c r="R1200" s="758" t="str">
        <f t="shared" si="63"/>
        <v>Gastos_com_Pessoal</v>
      </c>
      <c r="S1200" s="697" t="s">
        <v>310</v>
      </c>
      <c r="T1200" s="697" t="s">
        <v>310</v>
      </c>
    </row>
    <row r="1201" spans="1:20" ht="36" x14ac:dyDescent="0.2">
      <c r="A1201" s="432">
        <f>IF(B1201="","",COUNT('Diário 1º PA'!$A$4:$A$2635)+COUNT('Diário 2º PA'!$A$4:$A$3040)+COUNT('Diário 3º PA'!$A$4:$A$2731)+ROW()-3)</f>
        <v>7226</v>
      </c>
      <c r="B1201" s="413">
        <v>44895</v>
      </c>
      <c r="C1201" s="421">
        <v>44866</v>
      </c>
      <c r="D1201" s="419" t="s">
        <v>182</v>
      </c>
      <c r="E1201" s="419" t="s">
        <v>268</v>
      </c>
      <c r="F1201" s="422">
        <v>942.07</v>
      </c>
      <c r="G1201" s="423" t="s">
        <v>8592</v>
      </c>
      <c r="H1201" s="419" t="s">
        <v>310</v>
      </c>
      <c r="I1201" s="415" t="s">
        <v>929</v>
      </c>
      <c r="J1201" s="419" t="s">
        <v>930</v>
      </c>
      <c r="K1201" s="419" t="s">
        <v>806</v>
      </c>
      <c r="L1201" s="415" t="s">
        <v>909</v>
      </c>
      <c r="M1201" s="419" t="s">
        <v>310</v>
      </c>
      <c r="N1201" s="413">
        <v>44895</v>
      </c>
      <c r="O1201" s="414" t="s">
        <v>400</v>
      </c>
      <c r="P1201" s="655">
        <f t="shared" si="67"/>
        <v>11</v>
      </c>
      <c r="Q1201" s="655">
        <f t="shared" si="68"/>
        <v>11</v>
      </c>
      <c r="R1201" s="758" t="str">
        <f t="shared" si="63"/>
        <v>Gastos_com_Pessoal</v>
      </c>
      <c r="S1201" s="697" t="s">
        <v>310</v>
      </c>
      <c r="T1201" s="697" t="s">
        <v>310</v>
      </c>
    </row>
    <row r="1202" spans="1:20" ht="36" x14ac:dyDescent="0.2">
      <c r="A1202" s="432">
        <f>IF(B1202="","",COUNT('Diário 1º PA'!$A$4:$A$2635)+COUNT('Diário 2º PA'!$A$4:$A$3040)+COUNT('Diário 3º PA'!$A$4:$A$2731)+ROW()-3)</f>
        <v>7227</v>
      </c>
      <c r="B1202" s="413">
        <v>44895</v>
      </c>
      <c r="C1202" s="421">
        <v>44866</v>
      </c>
      <c r="D1202" s="419" t="s">
        <v>182</v>
      </c>
      <c r="E1202" s="419" t="s">
        <v>268</v>
      </c>
      <c r="F1202" s="422">
        <v>1815</v>
      </c>
      <c r="G1202" s="423" t="s">
        <v>8591</v>
      </c>
      <c r="H1202" s="419" t="s">
        <v>310</v>
      </c>
      <c r="I1202" s="415" t="s">
        <v>959</v>
      </c>
      <c r="J1202" s="419" t="s">
        <v>960</v>
      </c>
      <c r="K1202" s="419" t="s">
        <v>830</v>
      </c>
      <c r="L1202" s="415" t="s">
        <v>909</v>
      </c>
      <c r="M1202" s="419" t="s">
        <v>310</v>
      </c>
      <c r="N1202" s="413">
        <v>44895</v>
      </c>
      <c r="O1202" s="414" t="s">
        <v>400</v>
      </c>
      <c r="P1202" s="655">
        <f t="shared" si="67"/>
        <v>11</v>
      </c>
      <c r="Q1202" s="655">
        <f t="shared" si="68"/>
        <v>11</v>
      </c>
      <c r="R1202" s="758" t="str">
        <f t="shared" si="63"/>
        <v>Gastos_com_Pessoal</v>
      </c>
      <c r="S1202" s="697" t="s">
        <v>310</v>
      </c>
      <c r="T1202" s="697" t="s">
        <v>310</v>
      </c>
    </row>
    <row r="1203" spans="1:20" ht="36" x14ac:dyDescent="0.2">
      <c r="A1203" s="432">
        <f>IF(B1203="","",COUNT('Diário 1º PA'!$A$4:$A$2635)+COUNT('Diário 2º PA'!$A$4:$A$3040)+COUNT('Diário 3º PA'!$A$4:$A$2731)+ROW()-3)</f>
        <v>7228</v>
      </c>
      <c r="B1203" s="413">
        <v>44895</v>
      </c>
      <c r="C1203" s="421">
        <v>44866</v>
      </c>
      <c r="D1203" s="419" t="s">
        <v>182</v>
      </c>
      <c r="E1203" s="419" t="s">
        <v>268</v>
      </c>
      <c r="F1203" s="422">
        <v>1265</v>
      </c>
      <c r="G1203" s="423" t="s">
        <v>8590</v>
      </c>
      <c r="H1203" s="419" t="s">
        <v>310</v>
      </c>
      <c r="I1203" s="415" t="s">
        <v>961</v>
      </c>
      <c r="J1203" s="419" t="s">
        <v>962</v>
      </c>
      <c r="K1203" s="419" t="s">
        <v>830</v>
      </c>
      <c r="L1203" s="415" t="s">
        <v>909</v>
      </c>
      <c r="M1203" s="419" t="s">
        <v>310</v>
      </c>
      <c r="N1203" s="413">
        <v>44895</v>
      </c>
      <c r="O1203" s="414" t="s">
        <v>400</v>
      </c>
      <c r="P1203" s="655">
        <f t="shared" si="67"/>
        <v>11</v>
      </c>
      <c r="Q1203" s="655">
        <f t="shared" si="68"/>
        <v>11</v>
      </c>
      <c r="R1203" s="758" t="str">
        <f t="shared" ref="R1203:R1266" si="69">SUBSTITUTE(D1203," ","_")</f>
        <v>Gastos_com_Pessoal</v>
      </c>
      <c r="S1203" s="697" t="s">
        <v>310</v>
      </c>
      <c r="T1203" s="697" t="s">
        <v>310</v>
      </c>
    </row>
    <row r="1204" spans="1:20" ht="36" x14ac:dyDescent="0.2">
      <c r="A1204" s="432">
        <f>IF(B1204="","",COUNT('Diário 1º PA'!$A$4:$A$2635)+COUNT('Diário 2º PA'!$A$4:$A$3040)+COUNT('Diário 3º PA'!$A$4:$A$2731)+ROW()-3)</f>
        <v>7229</v>
      </c>
      <c r="B1204" s="413">
        <v>44895</v>
      </c>
      <c r="C1204" s="421">
        <v>44866</v>
      </c>
      <c r="D1204" s="419" t="s">
        <v>182</v>
      </c>
      <c r="E1204" s="419" t="s">
        <v>268</v>
      </c>
      <c r="F1204" s="422">
        <v>1944.8</v>
      </c>
      <c r="G1204" s="427" t="s">
        <v>8589</v>
      </c>
      <c r="H1204" s="419" t="s">
        <v>310</v>
      </c>
      <c r="I1204" s="415" t="s">
        <v>963</v>
      </c>
      <c r="J1204" s="419" t="s">
        <v>964</v>
      </c>
      <c r="K1204" s="419" t="s">
        <v>830</v>
      </c>
      <c r="L1204" s="415" t="s">
        <v>909</v>
      </c>
      <c r="M1204" s="419" t="s">
        <v>310</v>
      </c>
      <c r="N1204" s="413">
        <v>44895</v>
      </c>
      <c r="O1204" s="414" t="s">
        <v>400</v>
      </c>
      <c r="P1204" s="655">
        <f t="shared" si="67"/>
        <v>11</v>
      </c>
      <c r="Q1204" s="655">
        <f t="shared" si="68"/>
        <v>11</v>
      </c>
      <c r="R1204" s="758" t="str">
        <f t="shared" si="69"/>
        <v>Gastos_com_Pessoal</v>
      </c>
      <c r="S1204" s="697" t="s">
        <v>310</v>
      </c>
      <c r="T1204" s="697" t="s">
        <v>310</v>
      </c>
    </row>
    <row r="1205" spans="1:20" ht="36" x14ac:dyDescent="0.2">
      <c r="A1205" s="432">
        <f>IF(B1205="","",COUNT('Diário 1º PA'!$A$4:$A$2635)+COUNT('Diário 2º PA'!$A$4:$A$3040)+COUNT('Diário 3º PA'!$A$4:$A$2731)+ROW()-3)</f>
        <v>7230</v>
      </c>
      <c r="B1205" s="413">
        <v>44895</v>
      </c>
      <c r="C1205" s="421">
        <v>44866</v>
      </c>
      <c r="D1205" s="419" t="s">
        <v>182</v>
      </c>
      <c r="E1205" s="419" t="s">
        <v>268</v>
      </c>
      <c r="F1205" s="422">
        <v>1265</v>
      </c>
      <c r="G1205" s="427" t="s">
        <v>8588</v>
      </c>
      <c r="H1205" s="419" t="s">
        <v>310</v>
      </c>
      <c r="I1205" s="415" t="s">
        <v>969</v>
      </c>
      <c r="J1205" s="419" t="s">
        <v>970</v>
      </c>
      <c r="K1205" s="419" t="s">
        <v>830</v>
      </c>
      <c r="L1205" s="415" t="s">
        <v>909</v>
      </c>
      <c r="M1205" s="419" t="s">
        <v>310</v>
      </c>
      <c r="N1205" s="413">
        <v>44895</v>
      </c>
      <c r="O1205" s="414" t="s">
        <v>400</v>
      </c>
      <c r="P1205" s="655">
        <f t="shared" si="67"/>
        <v>11</v>
      </c>
      <c r="Q1205" s="655">
        <f t="shared" si="68"/>
        <v>11</v>
      </c>
      <c r="R1205" s="758" t="str">
        <f t="shared" si="69"/>
        <v>Gastos_com_Pessoal</v>
      </c>
      <c r="S1205" s="697" t="s">
        <v>310</v>
      </c>
      <c r="T1205" s="697" t="s">
        <v>310</v>
      </c>
    </row>
    <row r="1206" spans="1:20" ht="36" x14ac:dyDescent="0.2">
      <c r="A1206" s="432">
        <f>IF(B1206="","",COUNT('Diário 1º PA'!$A$4:$A$2635)+COUNT('Diário 2º PA'!$A$4:$A$3040)+COUNT('Diário 3º PA'!$A$4:$A$2731)+ROW()-3)</f>
        <v>7231</v>
      </c>
      <c r="B1206" s="413">
        <v>44895</v>
      </c>
      <c r="C1206" s="421">
        <v>44866</v>
      </c>
      <c r="D1206" s="419" t="s">
        <v>182</v>
      </c>
      <c r="E1206" s="419" t="s">
        <v>268</v>
      </c>
      <c r="F1206" s="422">
        <v>1375</v>
      </c>
      <c r="G1206" s="427" t="s">
        <v>8587</v>
      </c>
      <c r="H1206" s="419" t="s">
        <v>310</v>
      </c>
      <c r="I1206" s="415" t="s">
        <v>972</v>
      </c>
      <c r="J1206" s="419" t="s">
        <v>973</v>
      </c>
      <c r="K1206" s="419" t="s">
        <v>830</v>
      </c>
      <c r="L1206" s="415" t="s">
        <v>909</v>
      </c>
      <c r="M1206" s="419" t="s">
        <v>310</v>
      </c>
      <c r="N1206" s="413">
        <v>44895</v>
      </c>
      <c r="O1206" s="414" t="s">
        <v>400</v>
      </c>
      <c r="P1206" s="655">
        <f t="shared" si="67"/>
        <v>11</v>
      </c>
      <c r="Q1206" s="655">
        <f t="shared" si="68"/>
        <v>11</v>
      </c>
      <c r="R1206" s="758" t="str">
        <f t="shared" si="69"/>
        <v>Gastos_com_Pessoal</v>
      </c>
      <c r="S1206" s="697" t="s">
        <v>310</v>
      </c>
      <c r="T1206" s="697" t="s">
        <v>310</v>
      </c>
    </row>
    <row r="1207" spans="1:20" ht="36" x14ac:dyDescent="0.2">
      <c r="A1207" s="432">
        <f>IF(B1207="","",COUNT('Diário 1º PA'!$A$4:$A$2635)+COUNT('Diário 2º PA'!$A$4:$A$3040)+COUNT('Diário 3º PA'!$A$4:$A$2731)+ROW()-3)</f>
        <v>7232</v>
      </c>
      <c r="B1207" s="413">
        <v>44895</v>
      </c>
      <c r="C1207" s="421">
        <v>44866</v>
      </c>
      <c r="D1207" s="419" t="s">
        <v>182</v>
      </c>
      <c r="E1207" s="419" t="s">
        <v>268</v>
      </c>
      <c r="F1207" s="422">
        <v>1265</v>
      </c>
      <c r="G1207" s="427" t="s">
        <v>8580</v>
      </c>
      <c r="H1207" s="419" t="s">
        <v>310</v>
      </c>
      <c r="I1207" s="415" t="s">
        <v>975</v>
      </c>
      <c r="J1207" s="419" t="s">
        <v>1565</v>
      </c>
      <c r="K1207" s="419" t="s">
        <v>830</v>
      </c>
      <c r="L1207" s="415" t="s">
        <v>909</v>
      </c>
      <c r="M1207" s="419" t="s">
        <v>310</v>
      </c>
      <c r="N1207" s="413">
        <v>44895</v>
      </c>
      <c r="O1207" s="414" t="s">
        <v>400</v>
      </c>
      <c r="P1207" s="655">
        <f t="shared" si="67"/>
        <v>11</v>
      </c>
      <c r="Q1207" s="655">
        <f t="shared" si="68"/>
        <v>11</v>
      </c>
      <c r="R1207" s="758" t="str">
        <f t="shared" si="69"/>
        <v>Gastos_com_Pessoal</v>
      </c>
      <c r="S1207" s="697" t="s">
        <v>310</v>
      </c>
      <c r="T1207" s="697" t="s">
        <v>310</v>
      </c>
    </row>
    <row r="1208" spans="1:20" ht="36" x14ac:dyDescent="0.2">
      <c r="A1208" s="432">
        <f>IF(B1208="","",COUNT('Diário 1º PA'!$A$4:$A$2635)+COUNT('Diário 2º PA'!$A$4:$A$3040)+COUNT('Diário 3º PA'!$A$4:$A$2731)+ROW()-3)</f>
        <v>7233</v>
      </c>
      <c r="B1208" s="413">
        <v>44895</v>
      </c>
      <c r="C1208" s="421">
        <v>44866</v>
      </c>
      <c r="D1208" s="419" t="s">
        <v>182</v>
      </c>
      <c r="E1208" s="419" t="s">
        <v>268</v>
      </c>
      <c r="F1208" s="422">
        <v>1361.25</v>
      </c>
      <c r="G1208" s="427" t="s">
        <v>8577</v>
      </c>
      <c r="H1208" s="419" t="s">
        <v>310</v>
      </c>
      <c r="I1208" s="415" t="s">
        <v>3665</v>
      </c>
      <c r="J1208" s="419" t="s">
        <v>3193</v>
      </c>
      <c r="K1208" s="419" t="s">
        <v>830</v>
      </c>
      <c r="L1208" s="415" t="s">
        <v>909</v>
      </c>
      <c r="M1208" s="734" t="s">
        <v>310</v>
      </c>
      <c r="N1208" s="413">
        <v>44895</v>
      </c>
      <c r="O1208" s="414" t="s">
        <v>400</v>
      </c>
      <c r="P1208" s="655">
        <f t="shared" si="67"/>
        <v>11</v>
      </c>
      <c r="Q1208" s="655">
        <f t="shared" si="68"/>
        <v>11</v>
      </c>
      <c r="R1208" s="758" t="str">
        <f t="shared" si="69"/>
        <v>Gastos_com_Pessoal</v>
      </c>
      <c r="S1208" s="697" t="s">
        <v>310</v>
      </c>
      <c r="T1208" s="697" t="s">
        <v>310</v>
      </c>
    </row>
    <row r="1209" spans="1:20" ht="36" x14ac:dyDescent="0.2">
      <c r="A1209" s="432">
        <f>IF(B1209="","",COUNT('Diário 1º PA'!$A$4:$A$2635)+COUNT('Diário 2º PA'!$A$4:$A$3040)+COUNT('Diário 3º PA'!$A$4:$A$2731)+ROW()-3)</f>
        <v>7234</v>
      </c>
      <c r="B1209" s="413">
        <v>44895</v>
      </c>
      <c r="C1209" s="421">
        <v>44866</v>
      </c>
      <c r="D1209" s="419" t="s">
        <v>182</v>
      </c>
      <c r="E1209" s="419" t="s">
        <v>268</v>
      </c>
      <c r="F1209" s="422">
        <v>942.07</v>
      </c>
      <c r="G1209" s="427" t="s">
        <v>8586</v>
      </c>
      <c r="H1209" s="419" t="s">
        <v>310</v>
      </c>
      <c r="I1209" s="415" t="s">
        <v>828</v>
      </c>
      <c r="J1209" s="419" t="s">
        <v>829</v>
      </c>
      <c r="K1209" s="419" t="s">
        <v>830</v>
      </c>
      <c r="L1209" s="415" t="s">
        <v>909</v>
      </c>
      <c r="M1209" s="734" t="s">
        <v>310</v>
      </c>
      <c r="N1209" s="413">
        <v>44895</v>
      </c>
      <c r="O1209" s="414" t="s">
        <v>400</v>
      </c>
      <c r="P1209" s="655">
        <f t="shared" si="67"/>
        <v>11</v>
      </c>
      <c r="Q1209" s="655">
        <f t="shared" si="68"/>
        <v>11</v>
      </c>
      <c r="R1209" s="758" t="str">
        <f t="shared" si="69"/>
        <v>Gastos_com_Pessoal</v>
      </c>
      <c r="S1209" s="697" t="s">
        <v>310</v>
      </c>
      <c r="T1209" s="697" t="s">
        <v>310</v>
      </c>
    </row>
    <row r="1210" spans="1:20" ht="36" x14ac:dyDescent="0.2">
      <c r="A1210" s="432">
        <f>IF(B1210="","",COUNT('Diário 1º PA'!$A$4:$A$2635)+COUNT('Diário 2º PA'!$A$4:$A$3040)+COUNT('Diário 3º PA'!$A$4:$A$2731)+ROW()-3)</f>
        <v>7235</v>
      </c>
      <c r="B1210" s="413">
        <v>44895</v>
      </c>
      <c r="C1210" s="421">
        <v>44866</v>
      </c>
      <c r="D1210" s="419" t="s">
        <v>182</v>
      </c>
      <c r="E1210" s="419" t="s">
        <v>268</v>
      </c>
      <c r="F1210" s="422">
        <v>1210</v>
      </c>
      <c r="G1210" s="427" t="s">
        <v>8575</v>
      </c>
      <c r="H1210" s="419" t="s">
        <v>310</v>
      </c>
      <c r="I1210" s="415" t="s">
        <v>977</v>
      </c>
      <c r="J1210" s="419" t="s">
        <v>978</v>
      </c>
      <c r="K1210" s="419" t="s">
        <v>830</v>
      </c>
      <c r="L1210" s="415" t="s">
        <v>909</v>
      </c>
      <c r="M1210" s="419" t="s">
        <v>310</v>
      </c>
      <c r="N1210" s="413">
        <v>44895</v>
      </c>
      <c r="O1210" s="414" t="s">
        <v>400</v>
      </c>
      <c r="P1210" s="655">
        <f t="shared" si="67"/>
        <v>11</v>
      </c>
      <c r="Q1210" s="655">
        <f t="shared" si="68"/>
        <v>11</v>
      </c>
      <c r="R1210" s="758" t="str">
        <f t="shared" si="69"/>
        <v>Gastos_com_Pessoal</v>
      </c>
      <c r="S1210" s="697" t="s">
        <v>310</v>
      </c>
      <c r="T1210" s="697" t="s">
        <v>310</v>
      </c>
    </row>
    <row r="1211" spans="1:20" ht="36" x14ac:dyDescent="0.2">
      <c r="A1211" s="432">
        <f>IF(B1211="","",COUNT('Diário 1º PA'!$A$4:$A$2635)+COUNT('Diário 2º PA'!$A$4:$A$3040)+COUNT('Diário 3º PA'!$A$4:$A$2731)+ROW()-3)</f>
        <v>7236</v>
      </c>
      <c r="B1211" s="413">
        <v>44895</v>
      </c>
      <c r="C1211" s="421">
        <v>44866</v>
      </c>
      <c r="D1211" s="419" t="s">
        <v>182</v>
      </c>
      <c r="E1211" s="419" t="s">
        <v>268</v>
      </c>
      <c r="F1211" s="422">
        <v>1265</v>
      </c>
      <c r="G1211" s="423" t="s">
        <v>8585</v>
      </c>
      <c r="H1211" s="419" t="s">
        <v>310</v>
      </c>
      <c r="I1211" s="415" t="s">
        <v>980</v>
      </c>
      <c r="J1211" s="419" t="s">
        <v>981</v>
      </c>
      <c r="K1211" s="419" t="s">
        <v>830</v>
      </c>
      <c r="L1211" s="415" t="s">
        <v>909</v>
      </c>
      <c r="M1211" s="419" t="s">
        <v>310</v>
      </c>
      <c r="N1211" s="413">
        <v>44895</v>
      </c>
      <c r="O1211" s="414" t="s">
        <v>400</v>
      </c>
      <c r="P1211" s="655">
        <f t="shared" si="67"/>
        <v>11</v>
      </c>
      <c r="Q1211" s="655">
        <f t="shared" si="68"/>
        <v>11</v>
      </c>
      <c r="R1211" s="758" t="str">
        <f t="shared" si="69"/>
        <v>Gastos_com_Pessoal</v>
      </c>
      <c r="S1211" s="697" t="s">
        <v>310</v>
      </c>
      <c r="T1211" s="697" t="s">
        <v>310</v>
      </c>
    </row>
    <row r="1212" spans="1:20" ht="36" x14ac:dyDescent="0.2">
      <c r="A1212" s="432">
        <f>IF(B1212="","",COUNT('Diário 1º PA'!$A$4:$A$2635)+COUNT('Diário 2º PA'!$A$4:$A$3040)+COUNT('Diário 3º PA'!$A$4:$A$2731)+ROW()-3)</f>
        <v>7237</v>
      </c>
      <c r="B1212" s="413">
        <v>44895</v>
      </c>
      <c r="C1212" s="421">
        <v>44866</v>
      </c>
      <c r="D1212" s="419" t="s">
        <v>182</v>
      </c>
      <c r="E1212" s="419" t="s">
        <v>268</v>
      </c>
      <c r="F1212" s="422">
        <v>1265</v>
      </c>
      <c r="G1212" s="423" t="s">
        <v>8584</v>
      </c>
      <c r="H1212" s="419" t="s">
        <v>310</v>
      </c>
      <c r="I1212" s="415" t="s">
        <v>982</v>
      </c>
      <c r="J1212" s="419" t="s">
        <v>983</v>
      </c>
      <c r="K1212" s="419" t="s">
        <v>830</v>
      </c>
      <c r="L1212" s="415" t="s">
        <v>909</v>
      </c>
      <c r="M1212" s="419" t="s">
        <v>310</v>
      </c>
      <c r="N1212" s="413">
        <v>44895</v>
      </c>
      <c r="O1212" s="414" t="s">
        <v>400</v>
      </c>
      <c r="P1212" s="655">
        <f t="shared" si="67"/>
        <v>11</v>
      </c>
      <c r="Q1212" s="655">
        <f t="shared" si="68"/>
        <v>11</v>
      </c>
      <c r="R1212" s="758" t="str">
        <f t="shared" si="69"/>
        <v>Gastos_com_Pessoal</v>
      </c>
      <c r="S1212" s="697" t="s">
        <v>310</v>
      </c>
      <c r="T1212" s="697" t="s">
        <v>310</v>
      </c>
    </row>
    <row r="1213" spans="1:20" ht="36" x14ac:dyDescent="0.2">
      <c r="A1213" s="432">
        <f>IF(B1213="","",COUNT('Diário 1º PA'!$A$4:$A$2635)+COUNT('Diário 2º PA'!$A$4:$A$3040)+COUNT('Diário 3º PA'!$A$4:$A$2731)+ROW()-3)</f>
        <v>7238</v>
      </c>
      <c r="B1213" s="413">
        <v>44895</v>
      </c>
      <c r="C1213" s="421">
        <v>44866</v>
      </c>
      <c r="D1213" s="419" t="s">
        <v>182</v>
      </c>
      <c r="E1213" s="419" t="s">
        <v>268</v>
      </c>
      <c r="F1213" s="422">
        <v>1705</v>
      </c>
      <c r="G1213" s="423" t="s">
        <v>8583</v>
      </c>
      <c r="H1213" s="419" t="s">
        <v>310</v>
      </c>
      <c r="I1213" s="415" t="s">
        <v>985</v>
      </c>
      <c r="J1213" s="419" t="s">
        <v>986</v>
      </c>
      <c r="K1213" s="419" t="s">
        <v>830</v>
      </c>
      <c r="L1213" s="415" t="s">
        <v>909</v>
      </c>
      <c r="M1213" s="419" t="s">
        <v>310</v>
      </c>
      <c r="N1213" s="413">
        <v>44895</v>
      </c>
      <c r="O1213" s="414" t="s">
        <v>400</v>
      </c>
      <c r="P1213" s="655">
        <f t="shared" si="67"/>
        <v>11</v>
      </c>
      <c r="Q1213" s="655">
        <f t="shared" si="68"/>
        <v>11</v>
      </c>
      <c r="R1213" s="758" t="str">
        <f t="shared" si="69"/>
        <v>Gastos_com_Pessoal</v>
      </c>
      <c r="S1213" s="697" t="s">
        <v>310</v>
      </c>
      <c r="T1213" s="697" t="s">
        <v>310</v>
      </c>
    </row>
    <row r="1214" spans="1:20" ht="36" x14ac:dyDescent="0.2">
      <c r="A1214" s="432">
        <f>IF(B1214="","",COUNT('Diário 1º PA'!$A$4:$A$2635)+COUNT('Diário 2º PA'!$A$4:$A$3040)+COUNT('Diário 3º PA'!$A$4:$A$2731)+ROW()-3)</f>
        <v>7239</v>
      </c>
      <c r="B1214" s="413">
        <v>44895</v>
      </c>
      <c r="C1214" s="421">
        <v>44866</v>
      </c>
      <c r="D1214" s="419" t="s">
        <v>182</v>
      </c>
      <c r="E1214" s="419" t="s">
        <v>268</v>
      </c>
      <c r="F1214" s="422">
        <v>1265</v>
      </c>
      <c r="G1214" s="423" t="s">
        <v>8582</v>
      </c>
      <c r="H1214" s="419" t="s">
        <v>310</v>
      </c>
      <c r="I1214" s="415" t="s">
        <v>3519</v>
      </c>
      <c r="J1214" s="419" t="s">
        <v>988</v>
      </c>
      <c r="K1214" s="419" t="s">
        <v>830</v>
      </c>
      <c r="L1214" s="415" t="s">
        <v>909</v>
      </c>
      <c r="M1214" s="419" t="s">
        <v>310</v>
      </c>
      <c r="N1214" s="413">
        <v>44895</v>
      </c>
      <c r="O1214" s="414" t="s">
        <v>400</v>
      </c>
      <c r="P1214" s="655">
        <f t="shared" si="67"/>
        <v>11</v>
      </c>
      <c r="Q1214" s="655">
        <f t="shared" si="68"/>
        <v>11</v>
      </c>
      <c r="R1214" s="758" t="str">
        <f t="shared" si="69"/>
        <v>Gastos_com_Pessoal</v>
      </c>
      <c r="S1214" s="697" t="s">
        <v>310</v>
      </c>
      <c r="T1214" s="697" t="s">
        <v>310</v>
      </c>
    </row>
    <row r="1215" spans="1:20" ht="36" x14ac:dyDescent="0.2">
      <c r="A1215" s="432">
        <f>IF(B1215="","",COUNT('Diário 1º PA'!$A$4:$A$2635)+COUNT('Diário 2º PA'!$A$4:$A$3040)+COUNT('Diário 3º PA'!$A$4:$A$2731)+ROW()-3)</f>
        <v>7240</v>
      </c>
      <c r="B1215" s="413">
        <v>44895</v>
      </c>
      <c r="C1215" s="421">
        <v>44866</v>
      </c>
      <c r="D1215" s="419" t="s">
        <v>182</v>
      </c>
      <c r="E1215" s="419" t="s">
        <v>268</v>
      </c>
      <c r="F1215" s="422">
        <v>7850.56</v>
      </c>
      <c r="G1215" s="427" t="s">
        <v>8581</v>
      </c>
      <c r="H1215" s="419" t="s">
        <v>310</v>
      </c>
      <c r="I1215" s="415" t="s">
        <v>990</v>
      </c>
      <c r="J1215" s="419" t="s">
        <v>991</v>
      </c>
      <c r="K1215" s="419" t="s">
        <v>830</v>
      </c>
      <c r="L1215" s="415" t="s">
        <v>909</v>
      </c>
      <c r="M1215" s="419" t="s">
        <v>310</v>
      </c>
      <c r="N1215" s="413">
        <v>44895</v>
      </c>
      <c r="O1215" s="414" t="s">
        <v>400</v>
      </c>
      <c r="P1215" s="655">
        <f t="shared" si="67"/>
        <v>11</v>
      </c>
      <c r="Q1215" s="655">
        <f t="shared" si="68"/>
        <v>11</v>
      </c>
      <c r="R1215" s="758" t="str">
        <f t="shared" si="69"/>
        <v>Gastos_com_Pessoal</v>
      </c>
      <c r="S1215" s="697" t="s">
        <v>310</v>
      </c>
      <c r="T1215" s="697" t="s">
        <v>310</v>
      </c>
    </row>
    <row r="1216" spans="1:20" ht="36" x14ac:dyDescent="0.2">
      <c r="A1216" s="432">
        <f>IF(B1216="","",COUNT('Diário 1º PA'!$A$4:$A$2635)+COUNT('Diário 2º PA'!$A$4:$A$3040)+COUNT('Diário 3º PA'!$A$4:$A$2731)+ROW()-3)</f>
        <v>7241</v>
      </c>
      <c r="B1216" s="413">
        <v>44895</v>
      </c>
      <c r="C1216" s="421">
        <v>44866</v>
      </c>
      <c r="D1216" s="419" t="s">
        <v>182</v>
      </c>
      <c r="E1216" s="419" t="s">
        <v>268</v>
      </c>
      <c r="F1216" s="422">
        <v>1265</v>
      </c>
      <c r="G1216" s="437" t="s">
        <v>8579</v>
      </c>
      <c r="H1216" s="419" t="s">
        <v>310</v>
      </c>
      <c r="I1216" s="415" t="s">
        <v>992</v>
      </c>
      <c r="J1216" s="419" t="s">
        <v>993</v>
      </c>
      <c r="K1216" s="419" t="s">
        <v>830</v>
      </c>
      <c r="L1216" s="415" t="s">
        <v>909</v>
      </c>
      <c r="M1216" s="419" t="s">
        <v>310</v>
      </c>
      <c r="N1216" s="413">
        <v>44895</v>
      </c>
      <c r="O1216" s="414" t="s">
        <v>400</v>
      </c>
      <c r="P1216" s="655">
        <f t="shared" si="67"/>
        <v>11</v>
      </c>
      <c r="Q1216" s="655">
        <f t="shared" si="68"/>
        <v>11</v>
      </c>
      <c r="R1216" s="758" t="str">
        <f t="shared" si="69"/>
        <v>Gastos_com_Pessoal</v>
      </c>
      <c r="S1216" s="697" t="s">
        <v>310</v>
      </c>
      <c r="T1216" s="697" t="s">
        <v>310</v>
      </c>
    </row>
    <row r="1217" spans="1:20" ht="36" x14ac:dyDescent="0.2">
      <c r="A1217" s="432">
        <f>IF(B1217="","",COUNT('Diário 1º PA'!$A$4:$A$2635)+COUNT('Diário 2º PA'!$A$4:$A$3040)+COUNT('Diário 3º PA'!$A$4:$A$2731)+ROW()-3)</f>
        <v>7242</v>
      </c>
      <c r="B1217" s="413">
        <v>44895</v>
      </c>
      <c r="C1217" s="421">
        <v>44866</v>
      </c>
      <c r="D1217" s="419" t="s">
        <v>182</v>
      </c>
      <c r="E1217" s="419" t="s">
        <v>268</v>
      </c>
      <c r="F1217" s="422">
        <v>1265</v>
      </c>
      <c r="G1217" s="427" t="s">
        <v>8580</v>
      </c>
      <c r="H1217" s="419" t="s">
        <v>310</v>
      </c>
      <c r="I1217" s="415" t="s">
        <v>994</v>
      </c>
      <c r="J1217" s="419" t="s">
        <v>995</v>
      </c>
      <c r="K1217" s="419" t="s">
        <v>830</v>
      </c>
      <c r="L1217" s="415" t="s">
        <v>909</v>
      </c>
      <c r="M1217" s="419" t="s">
        <v>310</v>
      </c>
      <c r="N1217" s="413">
        <v>44895</v>
      </c>
      <c r="O1217" s="414" t="s">
        <v>400</v>
      </c>
      <c r="P1217" s="655">
        <f t="shared" si="67"/>
        <v>11</v>
      </c>
      <c r="Q1217" s="655">
        <f t="shared" si="68"/>
        <v>11</v>
      </c>
      <c r="R1217" s="758" t="str">
        <f t="shared" si="69"/>
        <v>Gastos_com_Pessoal</v>
      </c>
      <c r="S1217" s="697" t="s">
        <v>310</v>
      </c>
      <c r="T1217" s="697" t="s">
        <v>310</v>
      </c>
    </row>
    <row r="1218" spans="1:20" ht="36" x14ac:dyDescent="0.2">
      <c r="A1218" s="432">
        <f>IF(B1218="","",COUNT('Diário 1º PA'!$A$4:$A$2635)+COUNT('Diário 2º PA'!$A$4:$A$3040)+COUNT('Diário 3º PA'!$A$4:$A$2731)+ROW()-3)</f>
        <v>7243</v>
      </c>
      <c r="B1218" s="413">
        <v>44895</v>
      </c>
      <c r="C1218" s="421">
        <v>44866</v>
      </c>
      <c r="D1218" s="419" t="s">
        <v>182</v>
      </c>
      <c r="E1218" s="419" t="s">
        <v>268</v>
      </c>
      <c r="F1218" s="422">
        <v>1265</v>
      </c>
      <c r="G1218" s="423" t="s">
        <v>8577</v>
      </c>
      <c r="H1218" s="419" t="s">
        <v>310</v>
      </c>
      <c r="I1218" s="415" t="s">
        <v>996</v>
      </c>
      <c r="J1218" s="419" t="s">
        <v>997</v>
      </c>
      <c r="K1218" s="419" t="s">
        <v>830</v>
      </c>
      <c r="L1218" s="415" t="s">
        <v>909</v>
      </c>
      <c r="M1218" s="419" t="s">
        <v>310</v>
      </c>
      <c r="N1218" s="413">
        <v>44895</v>
      </c>
      <c r="O1218" s="414" t="s">
        <v>400</v>
      </c>
      <c r="P1218" s="655">
        <f t="shared" si="67"/>
        <v>11</v>
      </c>
      <c r="Q1218" s="655">
        <f t="shared" si="68"/>
        <v>11</v>
      </c>
      <c r="R1218" s="758" t="str">
        <f t="shared" si="69"/>
        <v>Gastos_com_Pessoal</v>
      </c>
      <c r="S1218" s="697" t="s">
        <v>310</v>
      </c>
      <c r="T1218" s="697" t="s">
        <v>310</v>
      </c>
    </row>
    <row r="1219" spans="1:20" ht="36" x14ac:dyDescent="0.2">
      <c r="A1219" s="432">
        <f>IF(B1219="","",COUNT('Diário 1º PA'!$A$4:$A$2635)+COUNT('Diário 2º PA'!$A$4:$A$3040)+COUNT('Diário 3º PA'!$A$4:$A$2731)+ROW()-3)</f>
        <v>7244</v>
      </c>
      <c r="B1219" s="413">
        <v>44895</v>
      </c>
      <c r="C1219" s="421">
        <v>44866</v>
      </c>
      <c r="D1219" s="419" t="s">
        <v>182</v>
      </c>
      <c r="E1219" s="419" t="s">
        <v>268</v>
      </c>
      <c r="F1219" s="422">
        <v>1815</v>
      </c>
      <c r="G1219" s="423" t="s">
        <v>8579</v>
      </c>
      <c r="H1219" s="419" t="s">
        <v>310</v>
      </c>
      <c r="I1219" s="415" t="s">
        <v>6019</v>
      </c>
      <c r="J1219" s="419" t="s">
        <v>1178</v>
      </c>
      <c r="K1219" s="419" t="s">
        <v>830</v>
      </c>
      <c r="L1219" s="415" t="s">
        <v>909</v>
      </c>
      <c r="M1219" s="419" t="s">
        <v>310</v>
      </c>
      <c r="N1219" s="413">
        <v>44895</v>
      </c>
      <c r="O1219" s="414" t="s">
        <v>400</v>
      </c>
      <c r="P1219" s="655">
        <f t="shared" si="67"/>
        <v>11</v>
      </c>
      <c r="Q1219" s="655">
        <f t="shared" si="68"/>
        <v>11</v>
      </c>
      <c r="R1219" s="758" t="str">
        <f t="shared" si="69"/>
        <v>Gastos_com_Pessoal</v>
      </c>
      <c r="S1219" s="697" t="s">
        <v>310</v>
      </c>
      <c r="T1219" s="697" t="s">
        <v>310</v>
      </c>
    </row>
    <row r="1220" spans="1:20" ht="36" x14ac:dyDescent="0.2">
      <c r="A1220" s="432">
        <f>IF(B1220="","",COUNT('Diário 1º PA'!$A$4:$A$2635)+COUNT('Diário 2º PA'!$A$4:$A$3040)+COUNT('Diário 3º PA'!$A$4:$A$2731)+ROW()-3)</f>
        <v>7245</v>
      </c>
      <c r="B1220" s="413">
        <v>44895</v>
      </c>
      <c r="C1220" s="421">
        <v>44866</v>
      </c>
      <c r="D1220" s="419" t="s">
        <v>182</v>
      </c>
      <c r="E1220" s="419" t="s">
        <v>268</v>
      </c>
      <c r="F1220" s="422">
        <v>1265</v>
      </c>
      <c r="G1220" s="423" t="s">
        <v>8580</v>
      </c>
      <c r="H1220" s="419" t="s">
        <v>310</v>
      </c>
      <c r="I1220" s="415" t="s">
        <v>1167</v>
      </c>
      <c r="J1220" s="419" t="s">
        <v>1168</v>
      </c>
      <c r="K1220" s="419" t="s">
        <v>830</v>
      </c>
      <c r="L1220" s="415" t="s">
        <v>909</v>
      </c>
      <c r="M1220" s="419" t="s">
        <v>310</v>
      </c>
      <c r="N1220" s="413">
        <v>44895</v>
      </c>
      <c r="O1220" s="414" t="s">
        <v>400</v>
      </c>
      <c r="P1220" s="655">
        <f t="shared" si="67"/>
        <v>11</v>
      </c>
      <c r="Q1220" s="655">
        <f t="shared" si="68"/>
        <v>11</v>
      </c>
      <c r="R1220" s="758" t="str">
        <f t="shared" si="69"/>
        <v>Gastos_com_Pessoal</v>
      </c>
      <c r="S1220" s="697" t="s">
        <v>310</v>
      </c>
      <c r="T1220" s="697" t="s">
        <v>310</v>
      </c>
    </row>
    <row r="1221" spans="1:20" ht="36" x14ac:dyDescent="0.2">
      <c r="A1221" s="432">
        <f>IF(B1221="","",COUNT('Diário 1º PA'!$A$4:$A$2635)+COUNT('Diário 2º PA'!$A$4:$A$3040)+COUNT('Diário 3º PA'!$A$4:$A$2731)+ROW()-3)</f>
        <v>7246</v>
      </c>
      <c r="B1221" s="413">
        <v>44895</v>
      </c>
      <c r="C1221" s="421">
        <v>44866</v>
      </c>
      <c r="D1221" s="419" t="s">
        <v>182</v>
      </c>
      <c r="E1221" s="419" t="s">
        <v>268</v>
      </c>
      <c r="F1221" s="422">
        <v>3152.71</v>
      </c>
      <c r="G1221" s="423" t="s">
        <v>8574</v>
      </c>
      <c r="H1221" s="419" t="s">
        <v>310</v>
      </c>
      <c r="I1221" s="415" t="s">
        <v>1169</v>
      </c>
      <c r="J1221" s="419" t="s">
        <v>1170</v>
      </c>
      <c r="K1221" s="419" t="s">
        <v>830</v>
      </c>
      <c r="L1221" s="415" t="s">
        <v>909</v>
      </c>
      <c r="M1221" s="419" t="s">
        <v>310</v>
      </c>
      <c r="N1221" s="413">
        <v>44895</v>
      </c>
      <c r="O1221" s="414" t="s">
        <v>400</v>
      </c>
      <c r="P1221" s="655">
        <f t="shared" si="67"/>
        <v>11</v>
      </c>
      <c r="Q1221" s="655">
        <f t="shared" si="68"/>
        <v>11</v>
      </c>
      <c r="R1221" s="758" t="str">
        <f t="shared" si="69"/>
        <v>Gastos_com_Pessoal</v>
      </c>
      <c r="S1221" s="697" t="s">
        <v>310</v>
      </c>
      <c r="T1221" s="697" t="s">
        <v>310</v>
      </c>
    </row>
    <row r="1222" spans="1:20" ht="36" x14ac:dyDescent="0.2">
      <c r="A1222" s="432">
        <f>IF(B1222="","",COUNT('Diário 1º PA'!$A$4:$A$2635)+COUNT('Diário 2º PA'!$A$4:$A$3040)+COUNT('Diário 3º PA'!$A$4:$A$2731)+ROW()-3)</f>
        <v>7247</v>
      </c>
      <c r="B1222" s="413">
        <v>44895</v>
      </c>
      <c r="C1222" s="421">
        <v>44866</v>
      </c>
      <c r="D1222" s="419" t="s">
        <v>182</v>
      </c>
      <c r="E1222" s="419" t="s">
        <v>268</v>
      </c>
      <c r="F1222" s="422">
        <v>1265</v>
      </c>
      <c r="G1222" s="423" t="s">
        <v>8579</v>
      </c>
      <c r="H1222" s="419" t="s">
        <v>310</v>
      </c>
      <c r="I1222" s="415" t="s">
        <v>1171</v>
      </c>
      <c r="J1222" s="419" t="s">
        <v>1172</v>
      </c>
      <c r="K1222" s="419" t="s">
        <v>830</v>
      </c>
      <c r="L1222" s="415" t="s">
        <v>909</v>
      </c>
      <c r="M1222" s="419" t="s">
        <v>310</v>
      </c>
      <c r="N1222" s="413">
        <v>44895</v>
      </c>
      <c r="O1222" s="414" t="s">
        <v>400</v>
      </c>
      <c r="P1222" s="655">
        <f t="shared" si="67"/>
        <v>11</v>
      </c>
      <c r="Q1222" s="655">
        <f t="shared" si="68"/>
        <v>11</v>
      </c>
      <c r="R1222" s="758" t="str">
        <f t="shared" si="69"/>
        <v>Gastos_com_Pessoal</v>
      </c>
      <c r="S1222" s="697" t="s">
        <v>310</v>
      </c>
      <c r="T1222" s="697" t="s">
        <v>310</v>
      </c>
    </row>
    <row r="1223" spans="1:20" ht="36" x14ac:dyDescent="0.2">
      <c r="A1223" s="432">
        <f>IF(B1223="","",COUNT('Diário 1º PA'!$A$4:$A$2635)+COUNT('Diário 2º PA'!$A$4:$A$3040)+COUNT('Diário 3º PA'!$A$4:$A$2731)+ROW()-3)</f>
        <v>7248</v>
      </c>
      <c r="B1223" s="413">
        <v>44895</v>
      </c>
      <c r="C1223" s="421">
        <v>44866</v>
      </c>
      <c r="D1223" s="419" t="s">
        <v>182</v>
      </c>
      <c r="E1223" s="419" t="s">
        <v>268</v>
      </c>
      <c r="F1223" s="422">
        <v>1265</v>
      </c>
      <c r="G1223" s="423" t="s">
        <v>8579</v>
      </c>
      <c r="H1223" s="419" t="s">
        <v>310</v>
      </c>
      <c r="I1223" s="415" t="s">
        <v>1173</v>
      </c>
      <c r="J1223" s="419" t="s">
        <v>1174</v>
      </c>
      <c r="K1223" s="419" t="s">
        <v>830</v>
      </c>
      <c r="L1223" s="415" t="s">
        <v>909</v>
      </c>
      <c r="M1223" s="419" t="s">
        <v>310</v>
      </c>
      <c r="N1223" s="413">
        <v>44895</v>
      </c>
      <c r="O1223" s="414" t="s">
        <v>400</v>
      </c>
      <c r="P1223" s="655">
        <f t="shared" si="67"/>
        <v>11</v>
      </c>
      <c r="Q1223" s="655">
        <f t="shared" si="68"/>
        <v>11</v>
      </c>
      <c r="R1223" s="758" t="str">
        <f t="shared" si="69"/>
        <v>Gastos_com_Pessoal</v>
      </c>
      <c r="S1223" s="697" t="s">
        <v>310</v>
      </c>
      <c r="T1223" s="697" t="s">
        <v>310</v>
      </c>
    </row>
    <row r="1224" spans="1:20" ht="36" x14ac:dyDescent="0.2">
      <c r="A1224" s="432">
        <f>IF(B1224="","",COUNT('Diário 1º PA'!$A$4:$A$2635)+COUNT('Diário 2º PA'!$A$4:$A$3040)+COUNT('Diário 3º PA'!$A$4:$A$2731)+ROW()-3)</f>
        <v>7249</v>
      </c>
      <c r="B1224" s="413">
        <v>44895</v>
      </c>
      <c r="C1224" s="421">
        <v>44866</v>
      </c>
      <c r="D1224" s="419" t="s">
        <v>182</v>
      </c>
      <c r="E1224" s="419" t="s">
        <v>268</v>
      </c>
      <c r="F1224" s="422">
        <v>1265</v>
      </c>
      <c r="G1224" s="423" t="s">
        <v>8579</v>
      </c>
      <c r="H1224" s="419" t="s">
        <v>310</v>
      </c>
      <c r="I1224" s="415" t="s">
        <v>1175</v>
      </c>
      <c r="J1224" s="419" t="s">
        <v>1176</v>
      </c>
      <c r="K1224" s="419" t="s">
        <v>830</v>
      </c>
      <c r="L1224" s="415" t="s">
        <v>909</v>
      </c>
      <c r="M1224" s="419" t="s">
        <v>310</v>
      </c>
      <c r="N1224" s="413">
        <v>44895</v>
      </c>
      <c r="O1224" s="414" t="s">
        <v>400</v>
      </c>
      <c r="P1224" s="655">
        <f t="shared" si="67"/>
        <v>11</v>
      </c>
      <c r="Q1224" s="655">
        <f t="shared" si="68"/>
        <v>11</v>
      </c>
      <c r="R1224" s="758" t="str">
        <f t="shared" si="69"/>
        <v>Gastos_com_Pessoal</v>
      </c>
      <c r="S1224" s="697" t="s">
        <v>310</v>
      </c>
      <c r="T1224" s="697" t="s">
        <v>310</v>
      </c>
    </row>
    <row r="1225" spans="1:20" ht="36" x14ac:dyDescent="0.2">
      <c r="A1225" s="432">
        <f>IF(B1225="","",COUNT('Diário 1º PA'!$A$4:$A$2635)+COUNT('Diário 2º PA'!$A$4:$A$3040)+COUNT('Diário 3º PA'!$A$4:$A$2731)+ROW()-3)</f>
        <v>7250</v>
      </c>
      <c r="B1225" s="413">
        <v>44895</v>
      </c>
      <c r="C1225" s="421">
        <v>44866</v>
      </c>
      <c r="D1225" s="419" t="s">
        <v>182</v>
      </c>
      <c r="E1225" s="419" t="s">
        <v>268</v>
      </c>
      <c r="F1225" s="422">
        <v>1361.25</v>
      </c>
      <c r="G1225" s="423" t="s">
        <v>8577</v>
      </c>
      <c r="H1225" s="419" t="s">
        <v>310</v>
      </c>
      <c r="I1225" s="415" t="s">
        <v>3195</v>
      </c>
      <c r="J1225" s="419" t="s">
        <v>3518</v>
      </c>
      <c r="K1225" s="419" t="s">
        <v>830</v>
      </c>
      <c r="L1225" s="415" t="s">
        <v>909</v>
      </c>
      <c r="M1225" s="419" t="s">
        <v>310</v>
      </c>
      <c r="N1225" s="413">
        <v>44895</v>
      </c>
      <c r="O1225" s="414" t="s">
        <v>400</v>
      </c>
      <c r="P1225" s="655">
        <f t="shared" si="67"/>
        <v>11</v>
      </c>
      <c r="Q1225" s="655">
        <f t="shared" si="68"/>
        <v>11</v>
      </c>
      <c r="R1225" s="758" t="str">
        <f t="shared" si="69"/>
        <v>Gastos_com_Pessoal</v>
      </c>
      <c r="S1225" s="697" t="s">
        <v>310</v>
      </c>
      <c r="T1225" s="697" t="s">
        <v>310</v>
      </c>
    </row>
    <row r="1226" spans="1:20" ht="36" x14ac:dyDescent="0.2">
      <c r="A1226" s="432">
        <f>IF(B1226="","",COUNT('Diário 1º PA'!$A$4:$A$2635)+COUNT('Diário 2º PA'!$A$4:$A$3040)+COUNT('Diário 3º PA'!$A$4:$A$2731)+ROW()-3)</f>
        <v>7251</v>
      </c>
      <c r="B1226" s="413">
        <v>44895</v>
      </c>
      <c r="C1226" s="421">
        <v>44866</v>
      </c>
      <c r="D1226" s="419" t="s">
        <v>182</v>
      </c>
      <c r="E1226" s="419" t="s">
        <v>268</v>
      </c>
      <c r="F1226" s="422">
        <v>1773.2</v>
      </c>
      <c r="G1226" s="642" t="s">
        <v>8578</v>
      </c>
      <c r="H1226" s="419" t="s">
        <v>310</v>
      </c>
      <c r="I1226" s="434" t="s">
        <v>1179</v>
      </c>
      <c r="J1226" s="426" t="s">
        <v>1180</v>
      </c>
      <c r="K1226" s="426" t="s">
        <v>830</v>
      </c>
      <c r="L1226" s="434" t="s">
        <v>909</v>
      </c>
      <c r="M1226" s="426" t="s">
        <v>310</v>
      </c>
      <c r="N1226" s="413">
        <v>44895</v>
      </c>
      <c r="O1226" s="414" t="s">
        <v>400</v>
      </c>
      <c r="P1226" s="655">
        <f t="shared" si="67"/>
        <v>11</v>
      </c>
      <c r="Q1226" s="655">
        <f t="shared" si="68"/>
        <v>11</v>
      </c>
      <c r="R1226" s="758" t="str">
        <f t="shared" si="69"/>
        <v>Gastos_com_Pessoal</v>
      </c>
      <c r="S1226" s="697" t="s">
        <v>310</v>
      </c>
      <c r="T1226" s="697" t="s">
        <v>310</v>
      </c>
    </row>
    <row r="1227" spans="1:20" ht="36" x14ac:dyDescent="0.2">
      <c r="A1227" s="432">
        <f>IF(B1227="","",COUNT('Diário 1º PA'!$A$4:$A$2635)+COUNT('Diário 2º PA'!$A$4:$A$3040)+COUNT('Diário 3º PA'!$A$4:$A$2731)+ROW()-3)</f>
        <v>7252</v>
      </c>
      <c r="B1227" s="413">
        <v>44895</v>
      </c>
      <c r="C1227" s="421">
        <v>44866</v>
      </c>
      <c r="D1227" s="419" t="s">
        <v>182</v>
      </c>
      <c r="E1227" s="419" t="s">
        <v>268</v>
      </c>
      <c r="F1227" s="422">
        <v>1815</v>
      </c>
      <c r="G1227" s="423" t="s">
        <v>8577</v>
      </c>
      <c r="H1227" s="419" t="s">
        <v>310</v>
      </c>
      <c r="I1227" s="415" t="s">
        <v>1181</v>
      </c>
      <c r="J1227" s="419" t="s">
        <v>933</v>
      </c>
      <c r="K1227" s="419" t="s">
        <v>830</v>
      </c>
      <c r="L1227" s="415" t="s">
        <v>909</v>
      </c>
      <c r="M1227" s="419" t="s">
        <v>310</v>
      </c>
      <c r="N1227" s="413">
        <v>44895</v>
      </c>
      <c r="O1227" s="414" t="s">
        <v>400</v>
      </c>
      <c r="P1227" s="655">
        <f t="shared" si="67"/>
        <v>11</v>
      </c>
      <c r="Q1227" s="655">
        <f t="shared" si="68"/>
        <v>11</v>
      </c>
      <c r="R1227" s="758" t="str">
        <f t="shared" si="69"/>
        <v>Gastos_com_Pessoal</v>
      </c>
      <c r="S1227" s="697" t="s">
        <v>310</v>
      </c>
      <c r="T1227" s="697" t="s">
        <v>310</v>
      </c>
    </row>
    <row r="1228" spans="1:20" ht="36" x14ac:dyDescent="0.2">
      <c r="A1228" s="432">
        <f>IF(B1228="","",COUNT('Diário 1º PA'!$A$4:$A$2635)+COUNT('Diário 2º PA'!$A$4:$A$3040)+COUNT('Diário 3º PA'!$A$4:$A$2731)+ROW()-3)</f>
        <v>7253</v>
      </c>
      <c r="B1228" s="413">
        <v>44895</v>
      </c>
      <c r="C1228" s="421">
        <v>44866</v>
      </c>
      <c r="D1228" s="419" t="s">
        <v>182</v>
      </c>
      <c r="E1228" s="419" t="s">
        <v>268</v>
      </c>
      <c r="F1228" s="422">
        <v>1265</v>
      </c>
      <c r="G1228" s="423" t="s">
        <v>8576</v>
      </c>
      <c r="H1228" s="419" t="s">
        <v>310</v>
      </c>
      <c r="I1228" s="415" t="s">
        <v>1182</v>
      </c>
      <c r="J1228" s="419" t="s">
        <v>1183</v>
      </c>
      <c r="K1228" s="419" t="s">
        <v>830</v>
      </c>
      <c r="L1228" s="415" t="s">
        <v>909</v>
      </c>
      <c r="M1228" s="419" t="s">
        <v>310</v>
      </c>
      <c r="N1228" s="413">
        <v>44895</v>
      </c>
      <c r="O1228" s="414" t="s">
        <v>400</v>
      </c>
      <c r="P1228" s="655">
        <f t="shared" si="67"/>
        <v>11</v>
      </c>
      <c r="Q1228" s="655">
        <f t="shared" si="68"/>
        <v>11</v>
      </c>
      <c r="R1228" s="758" t="str">
        <f t="shared" si="69"/>
        <v>Gastos_com_Pessoal</v>
      </c>
      <c r="S1228" s="697" t="s">
        <v>310</v>
      </c>
      <c r="T1228" s="697" t="s">
        <v>310</v>
      </c>
    </row>
    <row r="1229" spans="1:20" ht="36" x14ac:dyDescent="0.2">
      <c r="A1229" s="432">
        <f>IF(B1229="","",COUNT('Diário 1º PA'!$A$4:$A$2635)+COUNT('Diário 2º PA'!$A$4:$A$3040)+COUNT('Diário 3º PA'!$A$4:$A$2731)+ROW()-3)</f>
        <v>7254</v>
      </c>
      <c r="B1229" s="413">
        <v>44895</v>
      </c>
      <c r="C1229" s="421">
        <v>44866</v>
      </c>
      <c r="D1229" s="419" t="s">
        <v>182</v>
      </c>
      <c r="E1229" s="419" t="s">
        <v>268</v>
      </c>
      <c r="F1229" s="422">
        <v>1815</v>
      </c>
      <c r="G1229" s="423" t="s">
        <v>8575</v>
      </c>
      <c r="H1229" s="419" t="s">
        <v>310</v>
      </c>
      <c r="I1229" s="415" t="s">
        <v>1184</v>
      </c>
      <c r="J1229" s="419" t="s">
        <v>1185</v>
      </c>
      <c r="K1229" s="419" t="s">
        <v>830</v>
      </c>
      <c r="L1229" s="415" t="s">
        <v>909</v>
      </c>
      <c r="M1229" s="419" t="s">
        <v>310</v>
      </c>
      <c r="N1229" s="413">
        <v>44895</v>
      </c>
      <c r="O1229" s="414" t="s">
        <v>400</v>
      </c>
      <c r="P1229" s="655">
        <f t="shared" si="67"/>
        <v>11</v>
      </c>
      <c r="Q1229" s="655">
        <f t="shared" si="68"/>
        <v>11</v>
      </c>
      <c r="R1229" s="758" t="str">
        <f t="shared" si="69"/>
        <v>Gastos_com_Pessoal</v>
      </c>
      <c r="S1229" s="697" t="s">
        <v>310</v>
      </c>
      <c r="T1229" s="697" t="s">
        <v>310</v>
      </c>
    </row>
    <row r="1230" spans="1:20" ht="36" x14ac:dyDescent="0.2">
      <c r="A1230" s="432">
        <f>IF(B1230="","",COUNT('Diário 1º PA'!$A$4:$A$2635)+COUNT('Diário 2º PA'!$A$4:$A$3040)+COUNT('Diário 3º PA'!$A$4:$A$2731)+ROW()-3)</f>
        <v>7255</v>
      </c>
      <c r="B1230" s="413">
        <v>44895</v>
      </c>
      <c r="C1230" s="421">
        <v>44866</v>
      </c>
      <c r="D1230" s="419" t="s">
        <v>182</v>
      </c>
      <c r="E1230" s="419" t="s">
        <v>268</v>
      </c>
      <c r="F1230" s="422">
        <v>1815</v>
      </c>
      <c r="G1230" s="423" t="s">
        <v>8575</v>
      </c>
      <c r="H1230" s="419" t="s">
        <v>310</v>
      </c>
      <c r="I1230" s="415" t="s">
        <v>1186</v>
      </c>
      <c r="J1230" s="419" t="s">
        <v>1187</v>
      </c>
      <c r="K1230" s="419" t="s">
        <v>830</v>
      </c>
      <c r="L1230" s="415" t="s">
        <v>909</v>
      </c>
      <c r="M1230" s="419" t="s">
        <v>310</v>
      </c>
      <c r="N1230" s="413">
        <v>44895</v>
      </c>
      <c r="O1230" s="414" t="s">
        <v>400</v>
      </c>
      <c r="P1230" s="655">
        <f t="shared" si="67"/>
        <v>11</v>
      </c>
      <c r="Q1230" s="655">
        <f t="shared" si="68"/>
        <v>11</v>
      </c>
      <c r="R1230" s="758" t="str">
        <f t="shared" si="69"/>
        <v>Gastos_com_Pessoal</v>
      </c>
      <c r="S1230" s="697" t="s">
        <v>310</v>
      </c>
      <c r="T1230" s="697" t="s">
        <v>310</v>
      </c>
    </row>
    <row r="1231" spans="1:20" ht="36" x14ac:dyDescent="0.2">
      <c r="A1231" s="432">
        <f>IF(B1231="","",COUNT('Diário 1º PA'!$A$4:$A$2635)+COUNT('Diário 2º PA'!$A$4:$A$3040)+COUNT('Diário 3º PA'!$A$4:$A$2731)+ROW()-3)</f>
        <v>7256</v>
      </c>
      <c r="B1231" s="413">
        <v>44895</v>
      </c>
      <c r="C1231" s="421">
        <v>44866</v>
      </c>
      <c r="D1231" s="419" t="s">
        <v>182</v>
      </c>
      <c r="E1231" s="419" t="s">
        <v>268</v>
      </c>
      <c r="F1231" s="422">
        <v>1815</v>
      </c>
      <c r="G1231" s="423" t="s">
        <v>8575</v>
      </c>
      <c r="H1231" s="419" t="s">
        <v>310</v>
      </c>
      <c r="I1231" s="415" t="s">
        <v>1188</v>
      </c>
      <c r="J1231" s="419" t="s">
        <v>1189</v>
      </c>
      <c r="K1231" s="419" t="s">
        <v>830</v>
      </c>
      <c r="L1231" s="415" t="s">
        <v>909</v>
      </c>
      <c r="M1231" s="419" t="s">
        <v>310</v>
      </c>
      <c r="N1231" s="413">
        <v>44895</v>
      </c>
      <c r="O1231" s="414" t="s">
        <v>400</v>
      </c>
      <c r="P1231" s="655">
        <f t="shared" si="67"/>
        <v>11</v>
      </c>
      <c r="Q1231" s="655">
        <f t="shared" si="68"/>
        <v>11</v>
      </c>
      <c r="R1231" s="758" t="str">
        <f t="shared" si="69"/>
        <v>Gastos_com_Pessoal</v>
      </c>
      <c r="S1231" s="697" t="s">
        <v>310</v>
      </c>
      <c r="T1231" s="697" t="s">
        <v>310</v>
      </c>
    </row>
    <row r="1232" spans="1:20" ht="36" x14ac:dyDescent="0.2">
      <c r="A1232" s="432">
        <f>IF(B1232="","",COUNT('Diário 1º PA'!$A$4:$A$2635)+COUNT('Diário 2º PA'!$A$4:$A$3040)+COUNT('Diário 3º PA'!$A$4:$A$2731)+ROW()-3)</f>
        <v>7257</v>
      </c>
      <c r="B1232" s="413">
        <v>44895</v>
      </c>
      <c r="C1232" s="421">
        <v>44866</v>
      </c>
      <c r="D1232" s="419" t="s">
        <v>182</v>
      </c>
      <c r="E1232" s="419" t="s">
        <v>268</v>
      </c>
      <c r="F1232" s="422">
        <v>1265</v>
      </c>
      <c r="G1232" s="423" t="s">
        <v>8595</v>
      </c>
      <c r="H1232" s="419" t="s">
        <v>310</v>
      </c>
      <c r="I1232" s="415" t="s">
        <v>1190</v>
      </c>
      <c r="J1232" s="419" t="s">
        <v>1191</v>
      </c>
      <c r="K1232" s="419" t="s">
        <v>830</v>
      </c>
      <c r="L1232" s="415" t="s">
        <v>909</v>
      </c>
      <c r="M1232" s="419" t="s">
        <v>310</v>
      </c>
      <c r="N1232" s="413">
        <v>44895</v>
      </c>
      <c r="O1232" s="414" t="s">
        <v>400</v>
      </c>
      <c r="P1232" s="655">
        <f t="shared" si="67"/>
        <v>11</v>
      </c>
      <c r="Q1232" s="655">
        <f t="shared" si="68"/>
        <v>11</v>
      </c>
      <c r="R1232" s="758" t="str">
        <f t="shared" si="69"/>
        <v>Gastos_com_Pessoal</v>
      </c>
      <c r="S1232" s="697" t="s">
        <v>310</v>
      </c>
      <c r="T1232" s="697" t="s">
        <v>310</v>
      </c>
    </row>
    <row r="1233" spans="1:20" ht="36" x14ac:dyDescent="0.2">
      <c r="A1233" s="432">
        <f>IF(B1233="","",COUNT('Diário 1º PA'!$A$4:$A$2635)+COUNT('Diário 2º PA'!$A$4:$A$3040)+COUNT('Diário 3º PA'!$A$4:$A$2731)+ROW()-3)</f>
        <v>7258</v>
      </c>
      <c r="B1233" s="413">
        <v>44895</v>
      </c>
      <c r="C1233" s="421">
        <v>44866</v>
      </c>
      <c r="D1233" s="419" t="s">
        <v>182</v>
      </c>
      <c r="E1233" s="419" t="s">
        <v>268</v>
      </c>
      <c r="F1233" s="422">
        <v>1924.09</v>
      </c>
      <c r="G1233" s="427" t="s">
        <v>8596</v>
      </c>
      <c r="H1233" s="419" t="s">
        <v>310</v>
      </c>
      <c r="I1233" s="415" t="s">
        <v>2061</v>
      </c>
      <c r="J1233" s="419" t="s">
        <v>2062</v>
      </c>
      <c r="K1233" s="419" t="s">
        <v>830</v>
      </c>
      <c r="L1233" s="415" t="s">
        <v>909</v>
      </c>
      <c r="M1233" s="419" t="s">
        <v>310</v>
      </c>
      <c r="N1233" s="413">
        <v>44895</v>
      </c>
      <c r="O1233" s="414" t="s">
        <v>400</v>
      </c>
      <c r="P1233" s="655">
        <f t="shared" si="67"/>
        <v>11</v>
      </c>
      <c r="Q1233" s="655">
        <f t="shared" si="68"/>
        <v>11</v>
      </c>
      <c r="R1233" s="758" t="str">
        <f t="shared" si="69"/>
        <v>Gastos_com_Pessoal</v>
      </c>
      <c r="S1233" s="697" t="s">
        <v>310</v>
      </c>
      <c r="T1233" s="697" t="s">
        <v>310</v>
      </c>
    </row>
    <row r="1234" spans="1:20" ht="36" x14ac:dyDescent="0.2">
      <c r="A1234" s="432">
        <f>IF(B1234="","",COUNT('Diário 1º PA'!$A$4:$A$2635)+COUNT('Diário 2º PA'!$A$4:$A$3040)+COUNT('Diário 3º PA'!$A$4:$A$2731)+ROW()-3)</f>
        <v>7259</v>
      </c>
      <c r="B1234" s="413">
        <v>44895</v>
      </c>
      <c r="C1234" s="421">
        <v>44866</v>
      </c>
      <c r="D1234" s="419" t="s">
        <v>182</v>
      </c>
      <c r="E1234" s="419" t="s">
        <v>268</v>
      </c>
      <c r="F1234" s="422">
        <v>1815</v>
      </c>
      <c r="G1234" s="427" t="s">
        <v>8597</v>
      </c>
      <c r="H1234" s="419" t="s">
        <v>310</v>
      </c>
      <c r="I1234" s="415" t="s">
        <v>1192</v>
      </c>
      <c r="J1234" s="419" t="s">
        <v>1191</v>
      </c>
      <c r="K1234" s="419" t="s">
        <v>830</v>
      </c>
      <c r="L1234" s="415" t="s">
        <v>909</v>
      </c>
      <c r="M1234" s="419" t="s">
        <v>310</v>
      </c>
      <c r="N1234" s="413">
        <v>44895</v>
      </c>
      <c r="O1234" s="414" t="s">
        <v>400</v>
      </c>
      <c r="P1234" s="655">
        <f t="shared" si="67"/>
        <v>11</v>
      </c>
      <c r="Q1234" s="655">
        <f t="shared" si="68"/>
        <v>11</v>
      </c>
      <c r="R1234" s="758" t="str">
        <f t="shared" si="69"/>
        <v>Gastos_com_Pessoal</v>
      </c>
      <c r="S1234" s="697" t="s">
        <v>310</v>
      </c>
      <c r="T1234" s="697" t="s">
        <v>310</v>
      </c>
    </row>
    <row r="1235" spans="1:20" ht="36" x14ac:dyDescent="0.2">
      <c r="A1235" s="432">
        <f>IF(B1235="","",COUNT('Diário 1º PA'!$A$4:$A$2635)+COUNT('Diário 2º PA'!$A$4:$A$3040)+COUNT('Diário 3º PA'!$A$4:$A$2731)+ROW()-3)</f>
        <v>7260</v>
      </c>
      <c r="B1235" s="413">
        <v>44895</v>
      </c>
      <c r="C1235" s="421">
        <v>44866</v>
      </c>
      <c r="D1235" s="419" t="s">
        <v>182</v>
      </c>
      <c r="E1235" s="419" t="s">
        <v>268</v>
      </c>
      <c r="F1235" s="422">
        <v>647.35</v>
      </c>
      <c r="G1235" s="427" t="s">
        <v>8598</v>
      </c>
      <c r="H1235" s="419" t="s">
        <v>310</v>
      </c>
      <c r="I1235" s="415" t="s">
        <v>1194</v>
      </c>
      <c r="J1235" s="419" t="s">
        <v>1193</v>
      </c>
      <c r="K1235" s="419" t="s">
        <v>830</v>
      </c>
      <c r="L1235" s="415" t="s">
        <v>909</v>
      </c>
      <c r="M1235" s="419" t="s">
        <v>310</v>
      </c>
      <c r="N1235" s="413">
        <v>44895</v>
      </c>
      <c r="O1235" s="414" t="s">
        <v>400</v>
      </c>
      <c r="P1235" s="655">
        <f t="shared" si="67"/>
        <v>11</v>
      </c>
      <c r="Q1235" s="655">
        <f t="shared" si="68"/>
        <v>11</v>
      </c>
      <c r="R1235" s="758" t="str">
        <f t="shared" si="69"/>
        <v>Gastos_com_Pessoal</v>
      </c>
      <c r="S1235" s="697" t="s">
        <v>310</v>
      </c>
      <c r="T1235" s="697" t="s">
        <v>310</v>
      </c>
    </row>
    <row r="1236" spans="1:20" ht="36" x14ac:dyDescent="0.2">
      <c r="A1236" s="432">
        <f>IF(B1236="","",COUNT('Diário 1º PA'!$A$4:$A$2635)+COUNT('Diário 2º PA'!$A$4:$A$3040)+COUNT('Diário 3º PA'!$A$4:$A$2731)+ROW()-3)</f>
        <v>7261</v>
      </c>
      <c r="B1236" s="413">
        <v>44895</v>
      </c>
      <c r="C1236" s="421">
        <v>44866</v>
      </c>
      <c r="D1236" s="419" t="s">
        <v>182</v>
      </c>
      <c r="E1236" s="419" t="s">
        <v>268</v>
      </c>
      <c r="F1236" s="422">
        <v>948.75</v>
      </c>
      <c r="G1236" s="427" t="s">
        <v>8595</v>
      </c>
      <c r="H1236" s="419" t="s">
        <v>310</v>
      </c>
      <c r="I1236" s="415" t="s">
        <v>3197</v>
      </c>
      <c r="J1236" s="419" t="s">
        <v>3198</v>
      </c>
      <c r="K1236" s="419" t="s">
        <v>830</v>
      </c>
      <c r="L1236" s="415" t="s">
        <v>909</v>
      </c>
      <c r="M1236" s="419" t="s">
        <v>310</v>
      </c>
      <c r="N1236" s="413">
        <v>44895</v>
      </c>
      <c r="O1236" s="414" t="s">
        <v>400</v>
      </c>
      <c r="P1236" s="655">
        <f t="shared" si="67"/>
        <v>11</v>
      </c>
      <c r="Q1236" s="655">
        <f t="shared" si="68"/>
        <v>11</v>
      </c>
      <c r="R1236" s="758" t="str">
        <f t="shared" si="69"/>
        <v>Gastos_com_Pessoal</v>
      </c>
      <c r="S1236" s="697" t="s">
        <v>310</v>
      </c>
      <c r="T1236" s="697" t="s">
        <v>310</v>
      </c>
    </row>
    <row r="1237" spans="1:20" ht="36" x14ac:dyDescent="0.2">
      <c r="A1237" s="432">
        <f>IF(B1237="","",COUNT('Diário 1º PA'!$A$4:$A$2635)+COUNT('Diário 2º PA'!$A$4:$A$3040)+COUNT('Diário 3º PA'!$A$4:$A$2731)+ROW()-3)</f>
        <v>7262</v>
      </c>
      <c r="B1237" s="413">
        <v>44895</v>
      </c>
      <c r="C1237" s="421">
        <v>44866</v>
      </c>
      <c r="D1237" s="419" t="s">
        <v>182</v>
      </c>
      <c r="E1237" s="419" t="s">
        <v>268</v>
      </c>
      <c r="F1237" s="422">
        <v>990</v>
      </c>
      <c r="G1237" s="427" t="s">
        <v>8599</v>
      </c>
      <c r="H1237" s="419" t="s">
        <v>310</v>
      </c>
      <c r="I1237" s="415" t="s">
        <v>1196</v>
      </c>
      <c r="J1237" s="419" t="s">
        <v>1195</v>
      </c>
      <c r="K1237" s="419" t="s">
        <v>830</v>
      </c>
      <c r="L1237" s="415" t="s">
        <v>909</v>
      </c>
      <c r="M1237" s="419" t="s">
        <v>310</v>
      </c>
      <c r="N1237" s="413">
        <v>44895</v>
      </c>
      <c r="O1237" s="414" t="s">
        <v>400</v>
      </c>
      <c r="P1237" s="655">
        <f t="shared" si="67"/>
        <v>11</v>
      </c>
      <c r="Q1237" s="655">
        <f t="shared" si="68"/>
        <v>11</v>
      </c>
      <c r="R1237" s="758" t="str">
        <f t="shared" si="69"/>
        <v>Gastos_com_Pessoal</v>
      </c>
      <c r="S1237" s="697" t="s">
        <v>310</v>
      </c>
      <c r="T1237" s="697" t="s">
        <v>310</v>
      </c>
    </row>
    <row r="1238" spans="1:20" ht="36" x14ac:dyDescent="0.2">
      <c r="A1238" s="432">
        <f>IF(B1238="","",COUNT('Diário 1º PA'!$A$4:$A$2635)+COUNT('Diário 2º PA'!$A$4:$A$3040)+COUNT('Diário 3º PA'!$A$4:$A$2731)+ROW()-3)</f>
        <v>7263</v>
      </c>
      <c r="B1238" s="413">
        <v>44895</v>
      </c>
      <c r="C1238" s="421">
        <v>44866</v>
      </c>
      <c r="D1238" s="419" t="s">
        <v>182</v>
      </c>
      <c r="E1238" s="419" t="s">
        <v>268</v>
      </c>
      <c r="F1238" s="422">
        <v>1265</v>
      </c>
      <c r="G1238" s="427" t="s">
        <v>8600</v>
      </c>
      <c r="H1238" s="419" t="s">
        <v>310</v>
      </c>
      <c r="I1238" s="415" t="s">
        <v>1198</v>
      </c>
      <c r="J1238" s="419" t="s">
        <v>1197</v>
      </c>
      <c r="K1238" s="419" t="s">
        <v>830</v>
      </c>
      <c r="L1238" s="415" t="s">
        <v>909</v>
      </c>
      <c r="M1238" s="419" t="s">
        <v>310</v>
      </c>
      <c r="N1238" s="413">
        <v>44895</v>
      </c>
      <c r="O1238" s="414" t="s">
        <v>400</v>
      </c>
      <c r="P1238" s="655">
        <f t="shared" si="67"/>
        <v>11</v>
      </c>
      <c r="Q1238" s="655">
        <f t="shared" si="68"/>
        <v>11</v>
      </c>
      <c r="R1238" s="758" t="str">
        <f t="shared" si="69"/>
        <v>Gastos_com_Pessoal</v>
      </c>
      <c r="S1238" s="697" t="s">
        <v>310</v>
      </c>
      <c r="T1238" s="697" t="s">
        <v>310</v>
      </c>
    </row>
    <row r="1239" spans="1:20" ht="36" x14ac:dyDescent="0.2">
      <c r="A1239" s="432">
        <f>IF(B1239="","",COUNT('Diário 1º PA'!$A$4:$A$2635)+COUNT('Diário 2º PA'!$A$4:$A$3040)+COUNT('Diário 3º PA'!$A$4:$A$2731)+ROW()-3)</f>
        <v>7264</v>
      </c>
      <c r="B1239" s="413">
        <v>44895</v>
      </c>
      <c r="C1239" s="421">
        <v>44866</v>
      </c>
      <c r="D1239" s="419" t="s">
        <v>182</v>
      </c>
      <c r="E1239" s="419" t="s">
        <v>268</v>
      </c>
      <c r="F1239" s="422">
        <v>632.5</v>
      </c>
      <c r="G1239" s="427" t="s">
        <v>8601</v>
      </c>
      <c r="H1239" s="419" t="s">
        <v>310</v>
      </c>
      <c r="I1239" s="415" t="s">
        <v>6359</v>
      </c>
      <c r="J1239" s="419" t="s">
        <v>6311</v>
      </c>
      <c r="K1239" s="419" t="s">
        <v>830</v>
      </c>
      <c r="L1239" s="415" t="s">
        <v>909</v>
      </c>
      <c r="M1239" s="419" t="s">
        <v>310</v>
      </c>
      <c r="N1239" s="413">
        <v>44895</v>
      </c>
      <c r="O1239" s="414" t="s">
        <v>400</v>
      </c>
      <c r="P1239" s="655">
        <f t="shared" si="67"/>
        <v>11</v>
      </c>
      <c r="Q1239" s="655">
        <f t="shared" si="68"/>
        <v>11</v>
      </c>
      <c r="R1239" s="758" t="str">
        <f t="shared" si="69"/>
        <v>Gastos_com_Pessoal</v>
      </c>
      <c r="S1239" s="697" t="s">
        <v>310</v>
      </c>
      <c r="T1239" s="697" t="s">
        <v>310</v>
      </c>
    </row>
    <row r="1240" spans="1:20" ht="36" x14ac:dyDescent="0.2">
      <c r="A1240" s="432">
        <f>IF(B1240="","",COUNT('Diário 1º PA'!$A$4:$A$2635)+COUNT('Diário 2º PA'!$A$4:$A$3040)+COUNT('Diário 3º PA'!$A$4:$A$2731)+ROW()-3)</f>
        <v>7265</v>
      </c>
      <c r="B1240" s="413">
        <v>44895</v>
      </c>
      <c r="C1240" s="421">
        <v>44866</v>
      </c>
      <c r="D1240" s="419" t="s">
        <v>182</v>
      </c>
      <c r="E1240" s="419" t="s">
        <v>268</v>
      </c>
      <c r="F1240" s="422">
        <v>1265</v>
      </c>
      <c r="G1240" s="427" t="s">
        <v>8595</v>
      </c>
      <c r="H1240" s="419" t="s">
        <v>310</v>
      </c>
      <c r="I1240" s="415" t="s">
        <v>1200</v>
      </c>
      <c r="J1240" s="419" t="s">
        <v>1201</v>
      </c>
      <c r="K1240" s="419" t="s">
        <v>830</v>
      </c>
      <c r="L1240" s="415" t="s">
        <v>909</v>
      </c>
      <c r="M1240" s="419" t="s">
        <v>310</v>
      </c>
      <c r="N1240" s="413">
        <v>44895</v>
      </c>
      <c r="O1240" s="414" t="s">
        <v>400</v>
      </c>
      <c r="P1240" s="655">
        <f t="shared" si="67"/>
        <v>11</v>
      </c>
      <c r="Q1240" s="655">
        <f t="shared" si="68"/>
        <v>11</v>
      </c>
      <c r="R1240" s="758" t="str">
        <f t="shared" si="69"/>
        <v>Gastos_com_Pessoal</v>
      </c>
      <c r="S1240" s="697" t="s">
        <v>310</v>
      </c>
      <c r="T1240" s="697" t="s">
        <v>310</v>
      </c>
    </row>
    <row r="1241" spans="1:20" ht="36" x14ac:dyDescent="0.2">
      <c r="A1241" s="432">
        <f>IF(B1241="","",COUNT('Diário 1º PA'!$A$4:$A$2635)+COUNT('Diário 2º PA'!$A$4:$A$3040)+COUNT('Diário 3º PA'!$A$4:$A$2731)+ROW()-3)</f>
        <v>7266</v>
      </c>
      <c r="B1241" s="413">
        <v>44895</v>
      </c>
      <c r="C1241" s="421">
        <v>44866</v>
      </c>
      <c r="D1241" s="419" t="s">
        <v>182</v>
      </c>
      <c r="E1241" s="419" t="s">
        <v>268</v>
      </c>
      <c r="F1241" s="422">
        <v>1265</v>
      </c>
      <c r="G1241" s="427" t="s">
        <v>8602</v>
      </c>
      <c r="H1241" s="419" t="s">
        <v>310</v>
      </c>
      <c r="I1241" s="415" t="s">
        <v>1202</v>
      </c>
      <c r="J1241" s="419" t="s">
        <v>1201</v>
      </c>
      <c r="K1241" s="419" t="s">
        <v>830</v>
      </c>
      <c r="L1241" s="415" t="s">
        <v>909</v>
      </c>
      <c r="M1241" s="419" t="s">
        <v>310</v>
      </c>
      <c r="N1241" s="413">
        <v>44895</v>
      </c>
      <c r="O1241" s="414" t="s">
        <v>400</v>
      </c>
      <c r="P1241" s="655">
        <f t="shared" si="67"/>
        <v>11</v>
      </c>
      <c r="Q1241" s="655">
        <f t="shared" si="68"/>
        <v>11</v>
      </c>
      <c r="R1241" s="758" t="str">
        <f t="shared" si="69"/>
        <v>Gastos_com_Pessoal</v>
      </c>
      <c r="S1241" s="697" t="s">
        <v>310</v>
      </c>
      <c r="T1241" s="697" t="s">
        <v>310</v>
      </c>
    </row>
    <row r="1242" spans="1:20" ht="36" x14ac:dyDescent="0.2">
      <c r="A1242" s="432">
        <f>IF(B1242="","",COUNT('Diário 1º PA'!$A$4:$A$2635)+COUNT('Diário 2º PA'!$A$4:$A$3040)+COUNT('Diário 3º PA'!$A$4:$A$2731)+ROW()-3)</f>
        <v>7267</v>
      </c>
      <c r="B1242" s="413">
        <v>44895</v>
      </c>
      <c r="C1242" s="421">
        <v>44866</v>
      </c>
      <c r="D1242" s="419" t="s">
        <v>182</v>
      </c>
      <c r="E1242" s="419" t="s">
        <v>268</v>
      </c>
      <c r="F1242" s="422">
        <v>632.5</v>
      </c>
      <c r="G1242" s="427" t="s">
        <v>8603</v>
      </c>
      <c r="H1242" s="419" t="s">
        <v>310</v>
      </c>
      <c r="I1242" s="415" t="s">
        <v>6317</v>
      </c>
      <c r="J1242" s="419" t="s">
        <v>6318</v>
      </c>
      <c r="K1242" s="419" t="s">
        <v>830</v>
      </c>
      <c r="L1242" s="415" t="s">
        <v>909</v>
      </c>
      <c r="M1242" s="419" t="s">
        <v>310</v>
      </c>
      <c r="N1242" s="413">
        <v>44895</v>
      </c>
      <c r="O1242" s="414" t="s">
        <v>400</v>
      </c>
      <c r="P1242" s="655">
        <f t="shared" si="67"/>
        <v>11</v>
      </c>
      <c r="Q1242" s="655">
        <f t="shared" si="68"/>
        <v>11</v>
      </c>
      <c r="R1242" s="758" t="str">
        <f t="shared" si="69"/>
        <v>Gastos_com_Pessoal</v>
      </c>
      <c r="S1242" s="697" t="s">
        <v>310</v>
      </c>
      <c r="T1242" s="697" t="s">
        <v>310</v>
      </c>
    </row>
    <row r="1243" spans="1:20" ht="36" x14ac:dyDescent="0.2">
      <c r="A1243" s="432">
        <f>IF(B1243="","",COUNT('Diário 1º PA'!$A$4:$A$2635)+COUNT('Diário 2º PA'!$A$4:$A$3040)+COUNT('Diário 3º PA'!$A$4:$A$2731)+ROW()-3)</f>
        <v>7268</v>
      </c>
      <c r="B1243" s="413">
        <v>44895</v>
      </c>
      <c r="C1243" s="421">
        <v>44866</v>
      </c>
      <c r="D1243" s="419" t="s">
        <v>182</v>
      </c>
      <c r="E1243" s="419" t="s">
        <v>268</v>
      </c>
      <c r="F1243" s="422">
        <v>850</v>
      </c>
      <c r="G1243" s="427" t="s">
        <v>8604</v>
      </c>
      <c r="H1243" s="419" t="s">
        <v>310</v>
      </c>
      <c r="I1243" s="415" t="s">
        <v>5864</v>
      </c>
      <c r="J1243" s="419" t="s">
        <v>5865</v>
      </c>
      <c r="K1243" s="419" t="s">
        <v>830</v>
      </c>
      <c r="L1243" s="415" t="s">
        <v>909</v>
      </c>
      <c r="M1243" s="419" t="s">
        <v>310</v>
      </c>
      <c r="N1243" s="413">
        <v>44895</v>
      </c>
      <c r="O1243" s="414" t="s">
        <v>400</v>
      </c>
      <c r="P1243" s="655">
        <f t="shared" si="67"/>
        <v>11</v>
      </c>
      <c r="Q1243" s="655">
        <f t="shared" si="68"/>
        <v>11</v>
      </c>
      <c r="R1243" s="758" t="str">
        <f t="shared" si="69"/>
        <v>Gastos_com_Pessoal</v>
      </c>
      <c r="S1243" s="697" t="s">
        <v>310</v>
      </c>
      <c r="T1243" s="697" t="s">
        <v>310</v>
      </c>
    </row>
    <row r="1244" spans="1:20" ht="36" x14ac:dyDescent="0.2">
      <c r="A1244" s="432">
        <f>IF(B1244="","",COUNT('Diário 1º PA'!$A$4:$A$2635)+COUNT('Diário 2º PA'!$A$4:$A$3040)+COUNT('Diário 3º PA'!$A$4:$A$2731)+ROW()-3)</f>
        <v>7269</v>
      </c>
      <c r="B1244" s="413">
        <v>44895</v>
      </c>
      <c r="C1244" s="421">
        <v>44866</v>
      </c>
      <c r="D1244" s="419" t="s">
        <v>182</v>
      </c>
      <c r="E1244" s="419" t="s">
        <v>268</v>
      </c>
      <c r="F1244" s="422">
        <v>1265</v>
      </c>
      <c r="G1244" s="427" t="s">
        <v>8605</v>
      </c>
      <c r="H1244" s="419" t="s">
        <v>310</v>
      </c>
      <c r="I1244" s="415" t="s">
        <v>1203</v>
      </c>
      <c r="J1244" s="419" t="s">
        <v>1201</v>
      </c>
      <c r="K1244" s="419" t="s">
        <v>830</v>
      </c>
      <c r="L1244" s="415" t="s">
        <v>909</v>
      </c>
      <c r="M1244" s="419" t="s">
        <v>310</v>
      </c>
      <c r="N1244" s="413">
        <v>44895</v>
      </c>
      <c r="O1244" s="414" t="s">
        <v>400</v>
      </c>
      <c r="P1244" s="655">
        <f t="shared" si="67"/>
        <v>11</v>
      </c>
      <c r="Q1244" s="655">
        <f t="shared" si="68"/>
        <v>11</v>
      </c>
      <c r="R1244" s="758" t="str">
        <f t="shared" si="69"/>
        <v>Gastos_com_Pessoal</v>
      </c>
      <c r="S1244" s="697" t="s">
        <v>310</v>
      </c>
      <c r="T1244" s="697" t="s">
        <v>310</v>
      </c>
    </row>
    <row r="1245" spans="1:20" ht="36" x14ac:dyDescent="0.2">
      <c r="A1245" s="432">
        <f>IF(B1245="","",COUNT('Diário 1º PA'!$A$4:$A$2635)+COUNT('Diário 2º PA'!$A$4:$A$3040)+COUNT('Diário 3º PA'!$A$4:$A$2731)+ROW()-3)</f>
        <v>7270</v>
      </c>
      <c r="B1245" s="413">
        <v>44895</v>
      </c>
      <c r="C1245" s="421">
        <v>44866</v>
      </c>
      <c r="D1245" s="419" t="s">
        <v>182</v>
      </c>
      <c r="E1245" s="419" t="s">
        <v>268</v>
      </c>
      <c r="F1245" s="422">
        <v>1265</v>
      </c>
      <c r="G1245" s="427" t="s">
        <v>8606</v>
      </c>
      <c r="H1245" s="419" t="s">
        <v>310</v>
      </c>
      <c r="I1245" s="415" t="s">
        <v>1205</v>
      </c>
      <c r="J1245" s="419" t="s">
        <v>1204</v>
      </c>
      <c r="K1245" s="419" t="s">
        <v>830</v>
      </c>
      <c r="L1245" s="415" t="s">
        <v>909</v>
      </c>
      <c r="M1245" s="419" t="s">
        <v>310</v>
      </c>
      <c r="N1245" s="413">
        <v>44895</v>
      </c>
      <c r="O1245" s="414" t="s">
        <v>400</v>
      </c>
      <c r="P1245" s="655">
        <f t="shared" si="67"/>
        <v>11</v>
      </c>
      <c r="Q1245" s="655">
        <f t="shared" si="68"/>
        <v>11</v>
      </c>
      <c r="R1245" s="758" t="str">
        <f t="shared" si="69"/>
        <v>Gastos_com_Pessoal</v>
      </c>
      <c r="S1245" s="697" t="s">
        <v>310</v>
      </c>
      <c r="T1245" s="697" t="s">
        <v>310</v>
      </c>
    </row>
    <row r="1246" spans="1:20" ht="36" x14ac:dyDescent="0.2">
      <c r="A1246" s="432">
        <f>IF(B1246="","",COUNT('Diário 1º PA'!$A$4:$A$2635)+COUNT('Diário 2º PA'!$A$4:$A$3040)+COUNT('Diário 3º PA'!$A$4:$A$2731)+ROW()-3)</f>
        <v>7271</v>
      </c>
      <c r="B1246" s="413">
        <v>44895</v>
      </c>
      <c r="C1246" s="421">
        <v>44866</v>
      </c>
      <c r="D1246" s="419" t="s">
        <v>182</v>
      </c>
      <c r="E1246" s="419" t="s">
        <v>268</v>
      </c>
      <c r="F1246" s="422">
        <v>942.07</v>
      </c>
      <c r="G1246" s="427" t="s">
        <v>8607</v>
      </c>
      <c r="H1246" s="419" t="s">
        <v>310</v>
      </c>
      <c r="I1246" s="415" t="s">
        <v>1207</v>
      </c>
      <c r="J1246" s="419" t="s">
        <v>1206</v>
      </c>
      <c r="K1246" s="419" t="s">
        <v>830</v>
      </c>
      <c r="L1246" s="415" t="s">
        <v>909</v>
      </c>
      <c r="M1246" s="419" t="s">
        <v>310</v>
      </c>
      <c r="N1246" s="413">
        <v>44895</v>
      </c>
      <c r="O1246" s="414" t="s">
        <v>400</v>
      </c>
      <c r="P1246" s="655">
        <f t="shared" si="67"/>
        <v>11</v>
      </c>
      <c r="Q1246" s="655">
        <f t="shared" si="68"/>
        <v>11</v>
      </c>
      <c r="R1246" s="758" t="str">
        <f t="shared" si="69"/>
        <v>Gastos_com_Pessoal</v>
      </c>
      <c r="S1246" s="697" t="s">
        <v>310</v>
      </c>
      <c r="T1246" s="697" t="s">
        <v>310</v>
      </c>
    </row>
    <row r="1247" spans="1:20" ht="36" x14ac:dyDescent="0.2">
      <c r="A1247" s="432">
        <f>IF(B1247="","",COUNT('Diário 1º PA'!$A$4:$A$2635)+COUNT('Diário 2º PA'!$A$4:$A$3040)+COUNT('Diário 3º PA'!$A$4:$A$2731)+ROW()-3)</f>
        <v>7272</v>
      </c>
      <c r="B1247" s="413">
        <v>44895</v>
      </c>
      <c r="C1247" s="421">
        <v>44866</v>
      </c>
      <c r="D1247" s="419" t="s">
        <v>182</v>
      </c>
      <c r="E1247" s="419" t="s">
        <v>268</v>
      </c>
      <c r="F1247" s="422">
        <v>147.77000000000001</v>
      </c>
      <c r="G1247" s="427" t="s">
        <v>8610</v>
      </c>
      <c r="H1247" s="419" t="s">
        <v>310</v>
      </c>
      <c r="I1247" s="415" t="s">
        <v>8608</v>
      </c>
      <c r="J1247" s="419" t="s">
        <v>8609</v>
      </c>
      <c r="K1247" s="419" t="s">
        <v>830</v>
      </c>
      <c r="L1247" s="415" t="s">
        <v>909</v>
      </c>
      <c r="M1247" s="419" t="s">
        <v>310</v>
      </c>
      <c r="N1247" s="413">
        <v>44895</v>
      </c>
      <c r="O1247" s="414" t="s">
        <v>400</v>
      </c>
      <c r="P1247" s="655">
        <f t="shared" si="67"/>
        <v>11</v>
      </c>
      <c r="Q1247" s="655">
        <f t="shared" si="68"/>
        <v>11</v>
      </c>
      <c r="R1247" s="758" t="str">
        <f t="shared" si="69"/>
        <v>Gastos_com_Pessoal</v>
      </c>
      <c r="S1247" s="697" t="s">
        <v>310</v>
      </c>
      <c r="T1247" s="697" t="s">
        <v>310</v>
      </c>
    </row>
    <row r="1248" spans="1:20" ht="36" x14ac:dyDescent="0.2">
      <c r="A1248" s="432">
        <f>IF(B1248="","",COUNT('Diário 1º PA'!$A$4:$A$2635)+COUNT('Diário 2º PA'!$A$4:$A$3040)+COUNT('Diário 3º PA'!$A$4:$A$2731)+ROW()-3)</f>
        <v>7273</v>
      </c>
      <c r="B1248" s="413">
        <v>44895</v>
      </c>
      <c r="C1248" s="421">
        <v>44866</v>
      </c>
      <c r="D1248" s="419" t="s">
        <v>182</v>
      </c>
      <c r="E1248" s="419" t="s">
        <v>268</v>
      </c>
      <c r="F1248" s="422">
        <v>632.5</v>
      </c>
      <c r="G1248" s="423" t="s">
        <v>8611</v>
      </c>
      <c r="H1248" s="419" t="s">
        <v>310</v>
      </c>
      <c r="I1248" s="415" t="s">
        <v>7040</v>
      </c>
      <c r="J1248" s="419" t="s">
        <v>6358</v>
      </c>
      <c r="K1248" s="419" t="s">
        <v>830</v>
      </c>
      <c r="L1248" s="415" t="s">
        <v>909</v>
      </c>
      <c r="M1248" s="419" t="s">
        <v>310</v>
      </c>
      <c r="N1248" s="413">
        <v>44895</v>
      </c>
      <c r="O1248" s="414" t="s">
        <v>400</v>
      </c>
      <c r="P1248" s="655">
        <f t="shared" si="67"/>
        <v>11</v>
      </c>
      <c r="Q1248" s="655">
        <f t="shared" si="68"/>
        <v>11</v>
      </c>
      <c r="R1248" s="758" t="str">
        <f t="shared" si="69"/>
        <v>Gastos_com_Pessoal</v>
      </c>
      <c r="S1248" s="697" t="s">
        <v>310</v>
      </c>
      <c r="T1248" s="697" t="s">
        <v>310</v>
      </c>
    </row>
    <row r="1249" spans="1:20" ht="36" x14ac:dyDescent="0.2">
      <c r="A1249" s="432">
        <f>IF(B1249="","",COUNT('Diário 1º PA'!$A$4:$A$2635)+COUNT('Diário 2º PA'!$A$4:$A$3040)+COUNT('Diário 3º PA'!$A$4:$A$2731)+ROW()-3)</f>
        <v>7274</v>
      </c>
      <c r="B1249" s="413">
        <v>44895</v>
      </c>
      <c r="C1249" s="421">
        <v>44866</v>
      </c>
      <c r="D1249" s="419" t="s">
        <v>182</v>
      </c>
      <c r="E1249" s="419" t="s">
        <v>268</v>
      </c>
      <c r="F1249" s="422">
        <v>632.5</v>
      </c>
      <c r="G1249" s="427" t="s">
        <v>8605</v>
      </c>
      <c r="H1249" s="419" t="s">
        <v>310</v>
      </c>
      <c r="I1249" s="415" t="s">
        <v>6328</v>
      </c>
      <c r="J1249" s="419">
        <v>12909142655</v>
      </c>
      <c r="K1249" s="419" t="s">
        <v>830</v>
      </c>
      <c r="L1249" s="415" t="s">
        <v>909</v>
      </c>
      <c r="M1249" s="419" t="s">
        <v>310</v>
      </c>
      <c r="N1249" s="413">
        <v>44895</v>
      </c>
      <c r="O1249" s="414" t="s">
        <v>400</v>
      </c>
      <c r="P1249" s="655">
        <f t="shared" si="67"/>
        <v>11</v>
      </c>
      <c r="Q1249" s="655">
        <f t="shared" si="68"/>
        <v>11</v>
      </c>
      <c r="R1249" s="758" t="str">
        <f t="shared" si="69"/>
        <v>Gastos_com_Pessoal</v>
      </c>
      <c r="S1249" s="697" t="s">
        <v>310</v>
      </c>
      <c r="T1249" s="697" t="s">
        <v>310</v>
      </c>
    </row>
    <row r="1250" spans="1:20" ht="36" x14ac:dyDescent="0.2">
      <c r="A1250" s="432">
        <f>IF(B1250="","",COUNT('Diário 1º PA'!$A$4:$A$2635)+COUNT('Diário 2º PA'!$A$4:$A$3040)+COUNT('Diário 3º PA'!$A$4:$A$2731)+ROW()-3)</f>
        <v>7275</v>
      </c>
      <c r="B1250" s="413">
        <v>44895</v>
      </c>
      <c r="C1250" s="421">
        <v>44866</v>
      </c>
      <c r="D1250" s="419" t="s">
        <v>182</v>
      </c>
      <c r="E1250" s="419" t="s">
        <v>268</v>
      </c>
      <c r="F1250" s="422">
        <v>1829.26</v>
      </c>
      <c r="G1250" s="423" t="s">
        <v>8612</v>
      </c>
      <c r="H1250" s="419" t="s">
        <v>310</v>
      </c>
      <c r="I1250" s="415" t="s">
        <v>946</v>
      </c>
      <c r="J1250" s="419" t="s">
        <v>947</v>
      </c>
      <c r="K1250" s="419" t="s">
        <v>806</v>
      </c>
      <c r="L1250" s="415" t="s">
        <v>909</v>
      </c>
      <c r="M1250" s="419"/>
      <c r="N1250" s="413">
        <v>44895</v>
      </c>
      <c r="O1250" s="414" t="s">
        <v>400</v>
      </c>
      <c r="P1250" s="655">
        <f t="shared" si="67"/>
        <v>11</v>
      </c>
      <c r="Q1250" s="655">
        <f t="shared" si="68"/>
        <v>11</v>
      </c>
      <c r="R1250" s="758" t="str">
        <f t="shared" si="69"/>
        <v>Gastos_com_Pessoal</v>
      </c>
      <c r="S1250" s="697" t="s">
        <v>310</v>
      </c>
      <c r="T1250" s="697" t="s">
        <v>310</v>
      </c>
    </row>
    <row r="1251" spans="1:20" ht="36" x14ac:dyDescent="0.2">
      <c r="A1251" s="432">
        <f>IF(B1251="","",COUNT('Diário 1º PA'!$A$4:$A$2635)+COUNT('Diário 2º PA'!$A$4:$A$3040)+COUNT('Diário 3º PA'!$A$4:$A$2731)+ROW()-3)</f>
        <v>7276</v>
      </c>
      <c r="B1251" s="413">
        <v>44895</v>
      </c>
      <c r="C1251" s="421">
        <v>44866</v>
      </c>
      <c r="D1251" s="419" t="s">
        <v>182</v>
      </c>
      <c r="E1251" s="419" t="s">
        <v>268</v>
      </c>
      <c r="F1251" s="422">
        <v>453.75</v>
      </c>
      <c r="G1251" s="423" t="s">
        <v>8577</v>
      </c>
      <c r="H1251" s="419" t="s">
        <v>310</v>
      </c>
      <c r="I1251" s="415" t="s">
        <v>7486</v>
      </c>
      <c r="J1251" s="419" t="s">
        <v>7442</v>
      </c>
      <c r="K1251" s="419" t="s">
        <v>830</v>
      </c>
      <c r="L1251" s="415" t="s">
        <v>909</v>
      </c>
      <c r="M1251" s="419"/>
      <c r="N1251" s="413">
        <v>44895</v>
      </c>
      <c r="O1251" s="414" t="s">
        <v>400</v>
      </c>
      <c r="P1251" s="655">
        <f t="shared" ref="P1251:P1314" si="70">IF(B1251=0,0,IF(YEAR(B1251)=$Q$1,MONTH(B1251)-$P$1+1,(YEAR(B1251)-$Q$1)*12-$P$1+1+MONTH(B1251)))</f>
        <v>11</v>
      </c>
      <c r="Q1251" s="655">
        <f t="shared" ref="Q1251:Q1314" si="71">IF(C1251=0,0,IF(YEAR(C1251)=$Q$1,MONTH(C1251)-$P$1+1,(YEAR(C1251)-$Q$1)*12-$P$1+1+MONTH(C1251)))</f>
        <v>11</v>
      </c>
      <c r="R1251" s="758" t="str">
        <f t="shared" si="69"/>
        <v>Gastos_com_Pessoal</v>
      </c>
      <c r="S1251" s="697" t="s">
        <v>310</v>
      </c>
      <c r="T1251" s="697" t="s">
        <v>310</v>
      </c>
    </row>
    <row r="1252" spans="1:20" ht="36" x14ac:dyDescent="0.2">
      <c r="A1252" s="432">
        <f>IF(B1252="","",COUNT('Diário 1º PA'!$A$4:$A$2635)+COUNT('Diário 2º PA'!$A$4:$A$3040)+COUNT('Diário 3º PA'!$A$4:$A$2731)+ROW()-3)</f>
        <v>7277</v>
      </c>
      <c r="B1252" s="413">
        <v>44895</v>
      </c>
      <c r="C1252" s="421">
        <v>44866</v>
      </c>
      <c r="D1252" s="419" t="s">
        <v>182</v>
      </c>
      <c r="E1252" s="419" t="s">
        <v>268</v>
      </c>
      <c r="F1252" s="422">
        <v>3152.71</v>
      </c>
      <c r="G1252" s="427" t="s">
        <v>8613</v>
      </c>
      <c r="H1252" s="419" t="s">
        <v>310</v>
      </c>
      <c r="I1252" s="415" t="s">
        <v>907</v>
      </c>
      <c r="J1252" s="415" t="s">
        <v>908</v>
      </c>
      <c r="K1252" s="415" t="s">
        <v>806</v>
      </c>
      <c r="L1252" s="415" t="s">
        <v>909</v>
      </c>
      <c r="M1252" s="419" t="s">
        <v>310</v>
      </c>
      <c r="N1252" s="413">
        <v>44895</v>
      </c>
      <c r="O1252" s="414" t="s">
        <v>400</v>
      </c>
      <c r="P1252" s="655">
        <f t="shared" si="70"/>
        <v>11</v>
      </c>
      <c r="Q1252" s="655">
        <f t="shared" si="71"/>
        <v>11</v>
      </c>
      <c r="R1252" s="758" t="str">
        <f t="shared" si="69"/>
        <v>Gastos_com_Pessoal</v>
      </c>
      <c r="S1252" s="697" t="s">
        <v>310</v>
      </c>
      <c r="T1252" s="697" t="s">
        <v>310</v>
      </c>
    </row>
    <row r="1253" spans="1:20" ht="36" x14ac:dyDescent="0.2">
      <c r="A1253" s="432">
        <f>IF(B1253="","",COUNT('Diário 1º PA'!$A$4:$A$2635)+COUNT('Diário 2º PA'!$A$4:$A$3040)+COUNT('Diário 3º PA'!$A$4:$A$2731)+ROW()-3)</f>
        <v>7278</v>
      </c>
      <c r="B1253" s="413">
        <v>44895</v>
      </c>
      <c r="C1253" s="421">
        <v>44866</v>
      </c>
      <c r="D1253" s="419" t="s">
        <v>182</v>
      </c>
      <c r="E1253" s="419" t="s">
        <v>268</v>
      </c>
      <c r="F1253" s="422">
        <v>1375</v>
      </c>
      <c r="G1253" s="427" t="s">
        <v>8614</v>
      </c>
      <c r="H1253" s="419" t="s">
        <v>310</v>
      </c>
      <c r="I1253" s="415" t="s">
        <v>914</v>
      </c>
      <c r="J1253" s="415" t="s">
        <v>915</v>
      </c>
      <c r="K1253" s="415" t="s">
        <v>806</v>
      </c>
      <c r="L1253" s="415" t="s">
        <v>909</v>
      </c>
      <c r="M1253" s="419" t="s">
        <v>310</v>
      </c>
      <c r="N1253" s="413">
        <v>44895</v>
      </c>
      <c r="O1253" s="414" t="s">
        <v>400</v>
      </c>
      <c r="P1253" s="655">
        <f t="shared" si="70"/>
        <v>11</v>
      </c>
      <c r="Q1253" s="655">
        <f t="shared" si="71"/>
        <v>11</v>
      </c>
      <c r="R1253" s="758" t="str">
        <f t="shared" si="69"/>
        <v>Gastos_com_Pessoal</v>
      </c>
      <c r="S1253" s="697" t="s">
        <v>310</v>
      </c>
      <c r="T1253" s="697" t="s">
        <v>310</v>
      </c>
    </row>
    <row r="1254" spans="1:20" ht="36" x14ac:dyDescent="0.2">
      <c r="A1254" s="432">
        <f>IF(B1254="","",COUNT('Diário 1º PA'!$A$4:$A$2635)+COUNT('Diário 2º PA'!$A$4:$A$3040)+COUNT('Diário 3º PA'!$A$4:$A$2731)+ROW()-3)</f>
        <v>7279</v>
      </c>
      <c r="B1254" s="413">
        <v>44895</v>
      </c>
      <c r="C1254" s="421">
        <v>44866</v>
      </c>
      <c r="D1254" s="419" t="s">
        <v>182</v>
      </c>
      <c r="E1254" s="419" t="s">
        <v>268</v>
      </c>
      <c r="F1254" s="422">
        <v>1265</v>
      </c>
      <c r="G1254" s="427" t="s">
        <v>8579</v>
      </c>
      <c r="H1254" s="419" t="s">
        <v>310</v>
      </c>
      <c r="I1254" s="415" t="s">
        <v>916</v>
      </c>
      <c r="J1254" s="419" t="s">
        <v>917</v>
      </c>
      <c r="K1254" s="419" t="s">
        <v>806</v>
      </c>
      <c r="L1254" s="415" t="s">
        <v>909</v>
      </c>
      <c r="M1254" s="419" t="s">
        <v>310</v>
      </c>
      <c r="N1254" s="413">
        <v>44895</v>
      </c>
      <c r="O1254" s="414" t="s">
        <v>400</v>
      </c>
      <c r="P1254" s="655">
        <f t="shared" si="70"/>
        <v>11</v>
      </c>
      <c r="Q1254" s="655">
        <f t="shared" si="71"/>
        <v>11</v>
      </c>
      <c r="R1254" s="758" t="str">
        <f t="shared" si="69"/>
        <v>Gastos_com_Pessoal</v>
      </c>
      <c r="S1254" s="697" t="s">
        <v>310</v>
      </c>
      <c r="T1254" s="697" t="s">
        <v>310</v>
      </c>
    </row>
    <row r="1255" spans="1:20" ht="36" x14ac:dyDescent="0.2">
      <c r="A1255" s="432">
        <f>IF(B1255="","",COUNT('Diário 1º PA'!$A$4:$A$2635)+COUNT('Diário 2º PA'!$A$4:$A$3040)+COUNT('Diário 3º PA'!$A$4:$A$2731)+ROW()-3)</f>
        <v>7280</v>
      </c>
      <c r="B1255" s="413">
        <v>44895</v>
      </c>
      <c r="C1255" s="421">
        <v>44866</v>
      </c>
      <c r="D1255" s="419" t="s">
        <v>182</v>
      </c>
      <c r="E1255" s="419" t="s">
        <v>268</v>
      </c>
      <c r="F1255" s="422">
        <v>843.34</v>
      </c>
      <c r="G1255" s="423" t="s">
        <v>8579</v>
      </c>
      <c r="H1255" s="419" t="s">
        <v>310</v>
      </c>
      <c r="I1255" s="415" t="s">
        <v>918</v>
      </c>
      <c r="J1255" s="419" t="s">
        <v>919</v>
      </c>
      <c r="K1255" s="419" t="s">
        <v>806</v>
      </c>
      <c r="L1255" s="415" t="s">
        <v>909</v>
      </c>
      <c r="M1255" s="419" t="s">
        <v>310</v>
      </c>
      <c r="N1255" s="413">
        <v>44895</v>
      </c>
      <c r="O1255" s="414" t="s">
        <v>400</v>
      </c>
      <c r="P1255" s="655">
        <f t="shared" si="70"/>
        <v>11</v>
      </c>
      <c r="Q1255" s="655">
        <f t="shared" si="71"/>
        <v>11</v>
      </c>
      <c r="R1255" s="758" t="str">
        <f t="shared" si="69"/>
        <v>Gastos_com_Pessoal</v>
      </c>
      <c r="S1255" s="697" t="s">
        <v>310</v>
      </c>
      <c r="T1255" s="697" t="s">
        <v>310</v>
      </c>
    </row>
    <row r="1256" spans="1:20" ht="36" x14ac:dyDescent="0.2">
      <c r="A1256" s="432">
        <f>IF(B1256="","",COUNT('Diário 1º PA'!$A$4:$A$2635)+COUNT('Diário 2º PA'!$A$4:$A$3040)+COUNT('Diário 3º PA'!$A$4:$A$2731)+ROW()-3)</f>
        <v>7281</v>
      </c>
      <c r="B1256" s="413">
        <v>44895</v>
      </c>
      <c r="C1256" s="421">
        <v>44866</v>
      </c>
      <c r="D1256" s="419" t="s">
        <v>182</v>
      </c>
      <c r="E1256" s="419" t="s">
        <v>268</v>
      </c>
      <c r="F1256" s="422">
        <v>1265</v>
      </c>
      <c r="G1256" s="423" t="s">
        <v>8579</v>
      </c>
      <c r="H1256" s="419" t="s">
        <v>310</v>
      </c>
      <c r="I1256" s="415" t="s">
        <v>920</v>
      </c>
      <c r="J1256" s="419" t="s">
        <v>921</v>
      </c>
      <c r="K1256" s="419" t="s">
        <v>806</v>
      </c>
      <c r="L1256" s="415" t="s">
        <v>909</v>
      </c>
      <c r="M1256" s="419" t="s">
        <v>310</v>
      </c>
      <c r="N1256" s="413">
        <v>44895</v>
      </c>
      <c r="O1256" s="414" t="s">
        <v>400</v>
      </c>
      <c r="P1256" s="655">
        <f t="shared" si="70"/>
        <v>11</v>
      </c>
      <c r="Q1256" s="655">
        <f t="shared" si="71"/>
        <v>11</v>
      </c>
      <c r="R1256" s="758" t="str">
        <f t="shared" si="69"/>
        <v>Gastos_com_Pessoal</v>
      </c>
      <c r="S1256" s="697" t="s">
        <v>310</v>
      </c>
      <c r="T1256" s="697" t="s">
        <v>310</v>
      </c>
    </row>
    <row r="1257" spans="1:20" ht="36" x14ac:dyDescent="0.2">
      <c r="A1257" s="432">
        <f>IF(B1257="","",COUNT('Diário 1º PA'!$A$4:$A$2635)+COUNT('Diário 2º PA'!$A$4:$A$3040)+COUNT('Diário 3º PA'!$A$4:$A$2731)+ROW()-3)</f>
        <v>7282</v>
      </c>
      <c r="B1257" s="413">
        <v>44895</v>
      </c>
      <c r="C1257" s="421">
        <v>44866</v>
      </c>
      <c r="D1257" s="419" t="s">
        <v>182</v>
      </c>
      <c r="E1257" s="419" t="s">
        <v>268</v>
      </c>
      <c r="F1257" s="422">
        <v>3152.17</v>
      </c>
      <c r="G1257" s="423" t="s">
        <v>8615</v>
      </c>
      <c r="H1257" s="419" t="s">
        <v>310</v>
      </c>
      <c r="I1257" s="415" t="s">
        <v>923</v>
      </c>
      <c r="J1257" s="419" t="s">
        <v>924</v>
      </c>
      <c r="K1257" s="419" t="s">
        <v>806</v>
      </c>
      <c r="L1257" s="415" t="s">
        <v>909</v>
      </c>
      <c r="M1257" s="419" t="s">
        <v>310</v>
      </c>
      <c r="N1257" s="413">
        <v>44895</v>
      </c>
      <c r="O1257" s="414" t="s">
        <v>400</v>
      </c>
      <c r="P1257" s="655">
        <f t="shared" si="70"/>
        <v>11</v>
      </c>
      <c r="Q1257" s="655">
        <f t="shared" si="71"/>
        <v>11</v>
      </c>
      <c r="R1257" s="758" t="str">
        <f t="shared" si="69"/>
        <v>Gastos_com_Pessoal</v>
      </c>
      <c r="S1257" s="697" t="s">
        <v>310</v>
      </c>
      <c r="T1257" s="697" t="s">
        <v>310</v>
      </c>
    </row>
    <row r="1258" spans="1:20" ht="36" x14ac:dyDescent="0.2">
      <c r="A1258" s="432">
        <f>IF(B1258="","",COUNT('Diário 1º PA'!$A$4:$A$2635)+COUNT('Diário 2º PA'!$A$4:$A$3040)+COUNT('Diário 3º PA'!$A$4:$A$2731)+ROW()-3)</f>
        <v>7283</v>
      </c>
      <c r="B1258" s="413">
        <v>44895</v>
      </c>
      <c r="C1258" s="421">
        <v>44866</v>
      </c>
      <c r="D1258" s="419" t="s">
        <v>182</v>
      </c>
      <c r="E1258" s="419" t="s">
        <v>268</v>
      </c>
      <c r="F1258" s="422">
        <v>1265</v>
      </c>
      <c r="G1258" s="423" t="s">
        <v>8579</v>
      </c>
      <c r="H1258" s="419" t="s">
        <v>310</v>
      </c>
      <c r="I1258" s="415" t="s">
        <v>926</v>
      </c>
      <c r="J1258" s="419" t="s">
        <v>927</v>
      </c>
      <c r="K1258" s="419" t="s">
        <v>806</v>
      </c>
      <c r="L1258" s="415" t="s">
        <v>909</v>
      </c>
      <c r="M1258" s="419" t="s">
        <v>310</v>
      </c>
      <c r="N1258" s="413">
        <v>44895</v>
      </c>
      <c r="O1258" s="414" t="s">
        <v>400</v>
      </c>
      <c r="P1258" s="655">
        <f t="shared" si="70"/>
        <v>11</v>
      </c>
      <c r="Q1258" s="655">
        <f t="shared" si="71"/>
        <v>11</v>
      </c>
      <c r="R1258" s="758" t="str">
        <f t="shared" si="69"/>
        <v>Gastos_com_Pessoal</v>
      </c>
      <c r="S1258" s="697" t="s">
        <v>310</v>
      </c>
      <c r="T1258" s="697" t="s">
        <v>310</v>
      </c>
    </row>
    <row r="1259" spans="1:20" ht="36" x14ac:dyDescent="0.2">
      <c r="A1259" s="432">
        <f>IF(B1259="","",COUNT('Diário 1º PA'!$A$4:$A$2635)+COUNT('Diário 2º PA'!$A$4:$A$3040)+COUNT('Diário 3º PA'!$A$4:$A$2731)+ROW()-3)</f>
        <v>7284</v>
      </c>
      <c r="B1259" s="413">
        <v>44895</v>
      </c>
      <c r="C1259" s="421">
        <v>44866</v>
      </c>
      <c r="D1259" s="419" t="s">
        <v>182</v>
      </c>
      <c r="E1259" s="419" t="s">
        <v>268</v>
      </c>
      <c r="F1259" s="422">
        <v>1265</v>
      </c>
      <c r="G1259" s="427" t="s">
        <v>8580</v>
      </c>
      <c r="H1259" s="419" t="s">
        <v>310</v>
      </c>
      <c r="I1259" s="415" t="s">
        <v>932</v>
      </c>
      <c r="J1259" s="419" t="s">
        <v>933</v>
      </c>
      <c r="K1259" s="419" t="s">
        <v>806</v>
      </c>
      <c r="L1259" s="415" t="s">
        <v>909</v>
      </c>
      <c r="M1259" s="419" t="s">
        <v>310</v>
      </c>
      <c r="N1259" s="413">
        <v>44895</v>
      </c>
      <c r="O1259" s="414" t="s">
        <v>400</v>
      </c>
      <c r="P1259" s="655">
        <f t="shared" si="70"/>
        <v>11</v>
      </c>
      <c r="Q1259" s="655">
        <f t="shared" si="71"/>
        <v>11</v>
      </c>
      <c r="R1259" s="758" t="str">
        <f t="shared" si="69"/>
        <v>Gastos_com_Pessoal</v>
      </c>
      <c r="S1259" s="697" t="s">
        <v>310</v>
      </c>
      <c r="T1259" s="697" t="s">
        <v>310</v>
      </c>
    </row>
    <row r="1260" spans="1:20" ht="36" x14ac:dyDescent="0.2">
      <c r="A1260" s="432">
        <f>IF(B1260="","",COUNT('Diário 1º PA'!$A$4:$A$2635)+COUNT('Diário 2º PA'!$A$4:$A$3040)+COUNT('Diário 3º PA'!$A$4:$A$2731)+ROW()-3)</f>
        <v>7285</v>
      </c>
      <c r="B1260" s="413">
        <v>44895</v>
      </c>
      <c r="C1260" s="421">
        <v>44866</v>
      </c>
      <c r="D1260" s="419" t="s">
        <v>182</v>
      </c>
      <c r="E1260" s="419" t="s">
        <v>268</v>
      </c>
      <c r="F1260" s="422">
        <v>1265</v>
      </c>
      <c r="G1260" s="423" t="s">
        <v>8595</v>
      </c>
      <c r="H1260" s="419" t="s">
        <v>310</v>
      </c>
      <c r="I1260" s="415" t="s">
        <v>935</v>
      </c>
      <c r="J1260" s="419" t="s">
        <v>936</v>
      </c>
      <c r="K1260" s="419" t="s">
        <v>806</v>
      </c>
      <c r="L1260" s="415" t="s">
        <v>909</v>
      </c>
      <c r="M1260" s="419" t="s">
        <v>310</v>
      </c>
      <c r="N1260" s="413">
        <v>44895</v>
      </c>
      <c r="O1260" s="414" t="s">
        <v>400</v>
      </c>
      <c r="P1260" s="655">
        <f t="shared" si="70"/>
        <v>11</v>
      </c>
      <c r="Q1260" s="655">
        <f t="shared" si="71"/>
        <v>11</v>
      </c>
      <c r="R1260" s="758" t="str">
        <f t="shared" si="69"/>
        <v>Gastos_com_Pessoal</v>
      </c>
      <c r="S1260" s="697" t="s">
        <v>310</v>
      </c>
      <c r="T1260" s="697" t="s">
        <v>310</v>
      </c>
    </row>
    <row r="1261" spans="1:20" ht="36" x14ac:dyDescent="0.2">
      <c r="A1261" s="432">
        <f>IF(B1261="","",COUNT('Diário 1º PA'!$A$4:$A$2635)+COUNT('Diário 2º PA'!$A$4:$A$3040)+COUNT('Diário 3º PA'!$A$4:$A$2731)+ROW()-3)</f>
        <v>7286</v>
      </c>
      <c r="B1261" s="413">
        <v>44895</v>
      </c>
      <c r="C1261" s="421">
        <v>44866</v>
      </c>
      <c r="D1261" s="419" t="s">
        <v>182</v>
      </c>
      <c r="E1261" s="419" t="s">
        <v>268</v>
      </c>
      <c r="F1261" s="422">
        <v>1815</v>
      </c>
      <c r="G1261" s="423" t="s">
        <v>8616</v>
      </c>
      <c r="H1261" s="419" t="s">
        <v>310</v>
      </c>
      <c r="I1261" s="415" t="s">
        <v>938</v>
      </c>
      <c r="J1261" s="419" t="s">
        <v>939</v>
      </c>
      <c r="K1261" s="419" t="s">
        <v>806</v>
      </c>
      <c r="L1261" s="415" t="s">
        <v>909</v>
      </c>
      <c r="M1261" s="419" t="s">
        <v>310</v>
      </c>
      <c r="N1261" s="413">
        <v>44895</v>
      </c>
      <c r="O1261" s="414" t="s">
        <v>400</v>
      </c>
      <c r="P1261" s="655">
        <f t="shared" si="70"/>
        <v>11</v>
      </c>
      <c r="Q1261" s="655">
        <f t="shared" si="71"/>
        <v>11</v>
      </c>
      <c r="R1261" s="758" t="str">
        <f t="shared" si="69"/>
        <v>Gastos_com_Pessoal</v>
      </c>
      <c r="S1261" s="697" t="s">
        <v>310</v>
      </c>
      <c r="T1261" s="697" t="s">
        <v>310</v>
      </c>
    </row>
    <row r="1262" spans="1:20" ht="36" x14ac:dyDescent="0.2">
      <c r="A1262" s="432">
        <f>IF(B1262="","",COUNT('Diário 1º PA'!$A$4:$A$2635)+COUNT('Diário 2º PA'!$A$4:$A$3040)+COUNT('Diário 3º PA'!$A$4:$A$2731)+ROW()-3)</f>
        <v>7287</v>
      </c>
      <c r="B1262" s="413">
        <v>44895</v>
      </c>
      <c r="C1262" s="421">
        <v>44866</v>
      </c>
      <c r="D1262" s="419" t="s">
        <v>182</v>
      </c>
      <c r="E1262" s="419" t="s">
        <v>268</v>
      </c>
      <c r="F1262" s="422">
        <v>9390.7800000000007</v>
      </c>
      <c r="G1262" s="423" t="s">
        <v>8617</v>
      </c>
      <c r="H1262" s="419" t="s">
        <v>310</v>
      </c>
      <c r="I1262" s="415" t="s">
        <v>941</v>
      </c>
      <c r="J1262" s="419" t="s">
        <v>942</v>
      </c>
      <c r="K1262" s="419" t="s">
        <v>806</v>
      </c>
      <c r="L1262" s="415" t="s">
        <v>909</v>
      </c>
      <c r="M1262" s="419" t="s">
        <v>310</v>
      </c>
      <c r="N1262" s="413">
        <v>44895</v>
      </c>
      <c r="O1262" s="414" t="s">
        <v>400</v>
      </c>
      <c r="P1262" s="655">
        <f t="shared" si="70"/>
        <v>11</v>
      </c>
      <c r="Q1262" s="655">
        <f t="shared" si="71"/>
        <v>11</v>
      </c>
      <c r="R1262" s="758" t="str">
        <f t="shared" si="69"/>
        <v>Gastos_com_Pessoal</v>
      </c>
      <c r="S1262" s="697" t="s">
        <v>310</v>
      </c>
      <c r="T1262" s="697" t="s">
        <v>310</v>
      </c>
    </row>
    <row r="1263" spans="1:20" ht="36" x14ac:dyDescent="0.2">
      <c r="A1263" s="432">
        <f>IF(B1263="","",COUNT('Diário 1º PA'!$A$4:$A$2635)+COUNT('Diário 2º PA'!$A$4:$A$3040)+COUNT('Diário 3º PA'!$A$4:$A$2731)+ROW()-3)</f>
        <v>7288</v>
      </c>
      <c r="B1263" s="413">
        <v>44895</v>
      </c>
      <c r="C1263" s="421">
        <v>44866</v>
      </c>
      <c r="D1263" s="419" t="s">
        <v>182</v>
      </c>
      <c r="E1263" s="419" t="s">
        <v>268</v>
      </c>
      <c r="F1263" s="422">
        <v>1265</v>
      </c>
      <c r="G1263" s="423" t="s">
        <v>8579</v>
      </c>
      <c r="H1263" s="419" t="s">
        <v>310</v>
      </c>
      <c r="I1263" s="415" t="s">
        <v>943</v>
      </c>
      <c r="J1263" s="419" t="s">
        <v>1553</v>
      </c>
      <c r="K1263" s="419" t="s">
        <v>806</v>
      </c>
      <c r="L1263" s="415" t="s">
        <v>909</v>
      </c>
      <c r="M1263" s="419" t="s">
        <v>310</v>
      </c>
      <c r="N1263" s="413">
        <v>44895</v>
      </c>
      <c r="O1263" s="414" t="s">
        <v>400</v>
      </c>
      <c r="P1263" s="655">
        <f t="shared" si="70"/>
        <v>11</v>
      </c>
      <c r="Q1263" s="655">
        <f t="shared" si="71"/>
        <v>11</v>
      </c>
      <c r="R1263" s="758" t="str">
        <f t="shared" si="69"/>
        <v>Gastos_com_Pessoal</v>
      </c>
      <c r="S1263" s="697" t="s">
        <v>310</v>
      </c>
      <c r="T1263" s="697" t="s">
        <v>310</v>
      </c>
    </row>
    <row r="1264" spans="1:20" ht="24" x14ac:dyDescent="0.2">
      <c r="A1264" s="432">
        <f>IF(B1264="","",COUNT('Diário 1º PA'!$A$4:$A$2635)+COUNT('Diário 2º PA'!$A$4:$A$3040)+COUNT('Diário 3º PA'!$A$4:$A$2731)+ROW()-3)</f>
        <v>7289</v>
      </c>
      <c r="B1264" s="413">
        <v>44895</v>
      </c>
      <c r="C1264" s="431">
        <v>44866</v>
      </c>
      <c r="D1264" s="419" t="s">
        <v>271</v>
      </c>
      <c r="E1264" s="419" t="s">
        <v>71</v>
      </c>
      <c r="F1264" s="422">
        <v>11</v>
      </c>
      <c r="G1264" s="419" t="s">
        <v>8709</v>
      </c>
      <c r="H1264" s="419" t="s">
        <v>310</v>
      </c>
      <c r="I1264" s="415" t="s">
        <v>881</v>
      </c>
      <c r="J1264" s="419" t="s">
        <v>882</v>
      </c>
      <c r="K1264" s="419" t="s">
        <v>883</v>
      </c>
      <c r="L1264" s="415" t="s">
        <v>798</v>
      </c>
      <c r="M1264" s="419" t="s">
        <v>310</v>
      </c>
      <c r="N1264" s="413">
        <v>44895</v>
      </c>
      <c r="O1264" s="414" t="s">
        <v>400</v>
      </c>
      <c r="P1264" s="655">
        <f t="shared" si="70"/>
        <v>11</v>
      </c>
      <c r="Q1264" s="655">
        <f t="shared" si="71"/>
        <v>11</v>
      </c>
      <c r="R1264" s="758" t="str">
        <f t="shared" si="69"/>
        <v>Gastos_Gerais</v>
      </c>
      <c r="S1264" s="697" t="s">
        <v>310</v>
      </c>
      <c r="T1264" s="697" t="s">
        <v>310</v>
      </c>
    </row>
    <row r="1265" spans="1:20" ht="24" x14ac:dyDescent="0.2">
      <c r="A1265" s="432">
        <f>IF(B1265="","",COUNT('Diário 1º PA'!$A$4:$A$2635)+COUNT('Diário 2º PA'!$A$4:$A$3040)+COUNT('Diário 3º PA'!$A$4:$A$2731)+ROW()-3)</f>
        <v>7290</v>
      </c>
      <c r="B1265" s="413">
        <v>44895</v>
      </c>
      <c r="C1265" s="431">
        <v>44866</v>
      </c>
      <c r="D1265" s="419" t="s">
        <v>271</v>
      </c>
      <c r="E1265" s="419" t="s">
        <v>71</v>
      </c>
      <c r="F1265" s="422">
        <v>11</v>
      </c>
      <c r="G1265" s="419" t="s">
        <v>8709</v>
      </c>
      <c r="H1265" s="419" t="s">
        <v>310</v>
      </c>
      <c r="I1265" s="415" t="s">
        <v>881</v>
      </c>
      <c r="J1265" s="419" t="s">
        <v>882</v>
      </c>
      <c r="K1265" s="419" t="s">
        <v>883</v>
      </c>
      <c r="L1265" s="415" t="s">
        <v>798</v>
      </c>
      <c r="M1265" s="419" t="s">
        <v>310</v>
      </c>
      <c r="N1265" s="413">
        <v>44895</v>
      </c>
      <c r="O1265" s="414" t="s">
        <v>400</v>
      </c>
      <c r="P1265" s="655">
        <f t="shared" si="70"/>
        <v>11</v>
      </c>
      <c r="Q1265" s="655">
        <f t="shared" si="71"/>
        <v>11</v>
      </c>
      <c r="R1265" s="758" t="str">
        <f t="shared" si="69"/>
        <v>Gastos_Gerais</v>
      </c>
      <c r="S1265" s="697" t="s">
        <v>310</v>
      </c>
      <c r="T1265" s="697" t="s">
        <v>310</v>
      </c>
    </row>
    <row r="1266" spans="1:20" ht="24" x14ac:dyDescent="0.2">
      <c r="A1266" s="432">
        <f>IF(B1266="","",COUNT('Diário 1º PA'!$A$4:$A$2635)+COUNT('Diário 2º PA'!$A$4:$A$3040)+COUNT('Diário 3º PA'!$A$4:$A$2731)+ROW()-3)</f>
        <v>7291</v>
      </c>
      <c r="B1266" s="413">
        <v>44895</v>
      </c>
      <c r="C1266" s="431">
        <v>44866</v>
      </c>
      <c r="D1266" s="419" t="s">
        <v>271</v>
      </c>
      <c r="E1266" s="419" t="s">
        <v>71</v>
      </c>
      <c r="F1266" s="422">
        <v>11</v>
      </c>
      <c r="G1266" s="419" t="s">
        <v>8709</v>
      </c>
      <c r="H1266" s="419" t="s">
        <v>310</v>
      </c>
      <c r="I1266" s="415" t="s">
        <v>881</v>
      </c>
      <c r="J1266" s="419" t="s">
        <v>882</v>
      </c>
      <c r="K1266" s="419" t="s">
        <v>883</v>
      </c>
      <c r="L1266" s="415" t="s">
        <v>798</v>
      </c>
      <c r="M1266" s="419" t="s">
        <v>310</v>
      </c>
      <c r="N1266" s="413">
        <v>44895</v>
      </c>
      <c r="O1266" s="414" t="s">
        <v>400</v>
      </c>
      <c r="P1266" s="655">
        <f t="shared" si="70"/>
        <v>11</v>
      </c>
      <c r="Q1266" s="655">
        <f t="shared" si="71"/>
        <v>11</v>
      </c>
      <c r="R1266" s="758" t="str">
        <f t="shared" si="69"/>
        <v>Gastos_Gerais</v>
      </c>
      <c r="S1266" s="697" t="s">
        <v>310</v>
      </c>
      <c r="T1266" s="697" t="s">
        <v>310</v>
      </c>
    </row>
    <row r="1267" spans="1:20" ht="24" x14ac:dyDescent="0.2">
      <c r="A1267" s="432">
        <f>IF(B1267="","",COUNT('Diário 1º PA'!$A$4:$A$2635)+COUNT('Diário 2º PA'!$A$4:$A$3040)+COUNT('Diário 3º PA'!$A$4:$A$2731)+ROW()-3)</f>
        <v>7292</v>
      </c>
      <c r="B1267" s="413">
        <v>44895</v>
      </c>
      <c r="C1267" s="431">
        <v>44866</v>
      </c>
      <c r="D1267" s="419" t="s">
        <v>271</v>
      </c>
      <c r="E1267" s="419" t="s">
        <v>71</v>
      </c>
      <c r="F1267" s="422">
        <v>11</v>
      </c>
      <c r="G1267" s="419" t="s">
        <v>8709</v>
      </c>
      <c r="H1267" s="419" t="s">
        <v>310</v>
      </c>
      <c r="I1267" s="415" t="s">
        <v>881</v>
      </c>
      <c r="J1267" s="419" t="s">
        <v>882</v>
      </c>
      <c r="K1267" s="419" t="s">
        <v>883</v>
      </c>
      <c r="L1267" s="415" t="s">
        <v>798</v>
      </c>
      <c r="M1267" s="419" t="s">
        <v>310</v>
      </c>
      <c r="N1267" s="413">
        <v>44895</v>
      </c>
      <c r="O1267" s="414" t="s">
        <v>400</v>
      </c>
      <c r="P1267" s="655">
        <f t="shared" si="70"/>
        <v>11</v>
      </c>
      <c r="Q1267" s="655">
        <f t="shared" si="71"/>
        <v>11</v>
      </c>
      <c r="R1267" s="758" t="str">
        <f t="shared" ref="R1267:R1330" si="72">SUBSTITUTE(D1267," ","_")</f>
        <v>Gastos_Gerais</v>
      </c>
      <c r="S1267" s="697" t="s">
        <v>310</v>
      </c>
      <c r="T1267" s="697" t="s">
        <v>310</v>
      </c>
    </row>
    <row r="1268" spans="1:20" ht="24" x14ac:dyDescent="0.2">
      <c r="A1268" s="432">
        <f>IF(B1268="","",COUNT('Diário 1º PA'!$A$4:$A$2635)+COUNT('Diário 2º PA'!$A$4:$A$3040)+COUNT('Diário 3º PA'!$A$4:$A$2731)+ROW()-3)</f>
        <v>7293</v>
      </c>
      <c r="B1268" s="413">
        <v>44895</v>
      </c>
      <c r="C1268" s="431">
        <v>44866</v>
      </c>
      <c r="D1268" s="419" t="s">
        <v>271</v>
      </c>
      <c r="E1268" s="419" t="s">
        <v>71</v>
      </c>
      <c r="F1268" s="422">
        <v>11</v>
      </c>
      <c r="G1268" s="419" t="s">
        <v>8709</v>
      </c>
      <c r="H1268" s="419" t="s">
        <v>310</v>
      </c>
      <c r="I1268" s="415" t="s">
        <v>881</v>
      </c>
      <c r="J1268" s="419" t="s">
        <v>882</v>
      </c>
      <c r="K1268" s="419" t="s">
        <v>883</v>
      </c>
      <c r="L1268" s="415" t="s">
        <v>798</v>
      </c>
      <c r="M1268" s="419" t="s">
        <v>310</v>
      </c>
      <c r="N1268" s="413">
        <v>44895</v>
      </c>
      <c r="O1268" s="414" t="s">
        <v>400</v>
      </c>
      <c r="P1268" s="655">
        <f t="shared" si="70"/>
        <v>11</v>
      </c>
      <c r="Q1268" s="655">
        <f t="shared" si="71"/>
        <v>11</v>
      </c>
      <c r="R1268" s="758" t="str">
        <f t="shared" si="72"/>
        <v>Gastos_Gerais</v>
      </c>
      <c r="S1268" s="697" t="s">
        <v>310</v>
      </c>
      <c r="T1268" s="697" t="s">
        <v>310</v>
      </c>
    </row>
    <row r="1269" spans="1:20" ht="24" x14ac:dyDescent="0.2">
      <c r="A1269" s="432">
        <f>IF(B1269="","",COUNT('Diário 1º PA'!$A$4:$A$2635)+COUNT('Diário 2º PA'!$A$4:$A$3040)+COUNT('Diário 3º PA'!$A$4:$A$2731)+ROW()-3)</f>
        <v>7294</v>
      </c>
      <c r="B1269" s="413">
        <v>44895</v>
      </c>
      <c r="C1269" s="431">
        <v>44866</v>
      </c>
      <c r="D1269" s="419" t="s">
        <v>271</v>
      </c>
      <c r="E1269" s="419" t="s">
        <v>71</v>
      </c>
      <c r="F1269" s="422">
        <v>11</v>
      </c>
      <c r="G1269" s="419" t="s">
        <v>8709</v>
      </c>
      <c r="H1269" s="419" t="s">
        <v>310</v>
      </c>
      <c r="I1269" s="415" t="s">
        <v>881</v>
      </c>
      <c r="J1269" s="419" t="s">
        <v>882</v>
      </c>
      <c r="K1269" s="419" t="s">
        <v>883</v>
      </c>
      <c r="L1269" s="415" t="s">
        <v>798</v>
      </c>
      <c r="M1269" s="419" t="s">
        <v>310</v>
      </c>
      <c r="N1269" s="413">
        <v>44895</v>
      </c>
      <c r="O1269" s="414" t="s">
        <v>400</v>
      </c>
      <c r="P1269" s="655">
        <f t="shared" si="70"/>
        <v>11</v>
      </c>
      <c r="Q1269" s="655">
        <f t="shared" si="71"/>
        <v>11</v>
      </c>
      <c r="R1269" s="758" t="str">
        <f t="shared" si="72"/>
        <v>Gastos_Gerais</v>
      </c>
      <c r="S1269" s="697" t="s">
        <v>310</v>
      </c>
      <c r="T1269" s="697" t="s">
        <v>310</v>
      </c>
    </row>
    <row r="1270" spans="1:20" ht="24" x14ac:dyDescent="0.2">
      <c r="A1270" s="432">
        <f>IF(B1270="","",COUNT('Diário 1º PA'!$A$4:$A$2635)+COUNT('Diário 2º PA'!$A$4:$A$3040)+COUNT('Diário 3º PA'!$A$4:$A$2731)+ROW()-3)</f>
        <v>7295</v>
      </c>
      <c r="B1270" s="413">
        <v>44895</v>
      </c>
      <c r="C1270" s="431">
        <v>44866</v>
      </c>
      <c r="D1270" s="419" t="s">
        <v>271</v>
      </c>
      <c r="E1270" s="419" t="s">
        <v>71</v>
      </c>
      <c r="F1270" s="422">
        <v>11</v>
      </c>
      <c r="G1270" s="419" t="s">
        <v>8709</v>
      </c>
      <c r="H1270" s="419" t="s">
        <v>310</v>
      </c>
      <c r="I1270" s="415" t="s">
        <v>881</v>
      </c>
      <c r="J1270" s="419" t="s">
        <v>882</v>
      </c>
      <c r="K1270" s="419" t="s">
        <v>883</v>
      </c>
      <c r="L1270" s="415" t="s">
        <v>798</v>
      </c>
      <c r="M1270" s="419" t="s">
        <v>310</v>
      </c>
      <c r="N1270" s="413">
        <v>44895</v>
      </c>
      <c r="O1270" s="414" t="s">
        <v>400</v>
      </c>
      <c r="P1270" s="655">
        <f t="shared" si="70"/>
        <v>11</v>
      </c>
      <c r="Q1270" s="655">
        <f t="shared" si="71"/>
        <v>11</v>
      </c>
      <c r="R1270" s="758" t="str">
        <f t="shared" si="72"/>
        <v>Gastos_Gerais</v>
      </c>
      <c r="S1270" s="697" t="s">
        <v>310</v>
      </c>
      <c r="T1270" s="697" t="s">
        <v>310</v>
      </c>
    </row>
    <row r="1271" spans="1:20" ht="24" x14ac:dyDescent="0.2">
      <c r="A1271" s="432">
        <f>IF(B1271="","",COUNT('Diário 1º PA'!$A$4:$A$2635)+COUNT('Diário 2º PA'!$A$4:$A$3040)+COUNT('Diário 3º PA'!$A$4:$A$2731)+ROW()-3)</f>
        <v>7296</v>
      </c>
      <c r="B1271" s="413">
        <v>44895</v>
      </c>
      <c r="C1271" s="431">
        <v>44866</v>
      </c>
      <c r="D1271" s="419" t="s">
        <v>271</v>
      </c>
      <c r="E1271" s="419" t="s">
        <v>71</v>
      </c>
      <c r="F1271" s="422">
        <v>11</v>
      </c>
      <c r="G1271" s="419" t="s">
        <v>8709</v>
      </c>
      <c r="H1271" s="419" t="s">
        <v>310</v>
      </c>
      <c r="I1271" s="415" t="s">
        <v>881</v>
      </c>
      <c r="J1271" s="419" t="s">
        <v>882</v>
      </c>
      <c r="K1271" s="419" t="s">
        <v>883</v>
      </c>
      <c r="L1271" s="415" t="s">
        <v>798</v>
      </c>
      <c r="M1271" s="419" t="s">
        <v>310</v>
      </c>
      <c r="N1271" s="413">
        <v>44895</v>
      </c>
      <c r="O1271" s="414" t="s">
        <v>400</v>
      </c>
      <c r="P1271" s="655">
        <f t="shared" si="70"/>
        <v>11</v>
      </c>
      <c r="Q1271" s="655">
        <f t="shared" si="71"/>
        <v>11</v>
      </c>
      <c r="R1271" s="758" t="str">
        <f t="shared" si="72"/>
        <v>Gastos_Gerais</v>
      </c>
      <c r="S1271" s="697" t="s">
        <v>310</v>
      </c>
      <c r="T1271" s="697" t="s">
        <v>310</v>
      </c>
    </row>
    <row r="1272" spans="1:20" ht="24" x14ac:dyDescent="0.2">
      <c r="A1272" s="432">
        <f>IF(B1272="","",COUNT('Diário 1º PA'!$A$4:$A$2635)+COUNT('Diário 2º PA'!$A$4:$A$3040)+COUNT('Diário 3º PA'!$A$4:$A$2731)+ROW()-3)</f>
        <v>7297</v>
      </c>
      <c r="B1272" s="413">
        <v>44895</v>
      </c>
      <c r="C1272" s="431">
        <v>44866</v>
      </c>
      <c r="D1272" s="419" t="s">
        <v>271</v>
      </c>
      <c r="E1272" s="419" t="s">
        <v>71</v>
      </c>
      <c r="F1272" s="422">
        <v>11</v>
      </c>
      <c r="G1272" s="419" t="s">
        <v>8709</v>
      </c>
      <c r="H1272" s="419" t="s">
        <v>310</v>
      </c>
      <c r="I1272" s="415" t="s">
        <v>881</v>
      </c>
      <c r="J1272" s="419" t="s">
        <v>882</v>
      </c>
      <c r="K1272" s="419" t="s">
        <v>883</v>
      </c>
      <c r="L1272" s="415" t="s">
        <v>798</v>
      </c>
      <c r="M1272" s="419" t="s">
        <v>310</v>
      </c>
      <c r="N1272" s="413">
        <v>44895</v>
      </c>
      <c r="O1272" s="414" t="s">
        <v>400</v>
      </c>
      <c r="P1272" s="655">
        <f t="shared" si="70"/>
        <v>11</v>
      </c>
      <c r="Q1272" s="655">
        <f t="shared" si="71"/>
        <v>11</v>
      </c>
      <c r="R1272" s="758" t="str">
        <f t="shared" si="72"/>
        <v>Gastos_Gerais</v>
      </c>
      <c r="S1272" s="697" t="s">
        <v>310</v>
      </c>
      <c r="T1272" s="697" t="s">
        <v>310</v>
      </c>
    </row>
    <row r="1273" spans="1:20" ht="24" x14ac:dyDescent="0.2">
      <c r="A1273" s="432">
        <f>IF(B1273="","",COUNT('Diário 1º PA'!$A$4:$A$2635)+COUNT('Diário 2º PA'!$A$4:$A$3040)+COUNT('Diário 3º PA'!$A$4:$A$2731)+ROW()-3)</f>
        <v>7298</v>
      </c>
      <c r="B1273" s="413">
        <v>44895</v>
      </c>
      <c r="C1273" s="431">
        <v>44866</v>
      </c>
      <c r="D1273" s="419" t="s">
        <v>271</v>
      </c>
      <c r="E1273" s="419" t="s">
        <v>71</v>
      </c>
      <c r="F1273" s="422">
        <v>11</v>
      </c>
      <c r="G1273" s="419" t="s">
        <v>8709</v>
      </c>
      <c r="H1273" s="419" t="s">
        <v>310</v>
      </c>
      <c r="I1273" s="415" t="s">
        <v>881</v>
      </c>
      <c r="J1273" s="419" t="s">
        <v>882</v>
      </c>
      <c r="K1273" s="419" t="s">
        <v>883</v>
      </c>
      <c r="L1273" s="415" t="s">
        <v>798</v>
      </c>
      <c r="M1273" s="419" t="s">
        <v>310</v>
      </c>
      <c r="N1273" s="413">
        <v>44895</v>
      </c>
      <c r="O1273" s="414" t="s">
        <v>400</v>
      </c>
      <c r="P1273" s="655">
        <f t="shared" si="70"/>
        <v>11</v>
      </c>
      <c r="Q1273" s="655">
        <f t="shared" si="71"/>
        <v>11</v>
      </c>
      <c r="R1273" s="758" t="str">
        <f t="shared" si="72"/>
        <v>Gastos_Gerais</v>
      </c>
      <c r="S1273" s="697" t="s">
        <v>310</v>
      </c>
      <c r="T1273" s="697" t="s">
        <v>310</v>
      </c>
    </row>
    <row r="1274" spans="1:20" ht="24" x14ac:dyDescent="0.2">
      <c r="A1274" s="432">
        <f>IF(B1274="","",COUNT('Diário 1º PA'!$A$4:$A$2635)+COUNT('Diário 2º PA'!$A$4:$A$3040)+COUNT('Diário 3º PA'!$A$4:$A$2731)+ROW()-3)</f>
        <v>7299</v>
      </c>
      <c r="B1274" s="413">
        <v>44895</v>
      </c>
      <c r="C1274" s="431">
        <v>44866</v>
      </c>
      <c r="D1274" s="419" t="s">
        <v>271</v>
      </c>
      <c r="E1274" s="419" t="s">
        <v>71</v>
      </c>
      <c r="F1274" s="422">
        <v>11</v>
      </c>
      <c r="G1274" s="419" t="s">
        <v>8709</v>
      </c>
      <c r="H1274" s="419" t="s">
        <v>310</v>
      </c>
      <c r="I1274" s="415" t="s">
        <v>881</v>
      </c>
      <c r="J1274" s="419" t="s">
        <v>882</v>
      </c>
      <c r="K1274" s="419" t="s">
        <v>883</v>
      </c>
      <c r="L1274" s="415" t="s">
        <v>798</v>
      </c>
      <c r="M1274" s="419" t="s">
        <v>310</v>
      </c>
      <c r="N1274" s="413">
        <v>44895</v>
      </c>
      <c r="O1274" s="414" t="s">
        <v>400</v>
      </c>
      <c r="P1274" s="655">
        <f t="shared" si="70"/>
        <v>11</v>
      </c>
      <c r="Q1274" s="655">
        <f t="shared" si="71"/>
        <v>11</v>
      </c>
      <c r="R1274" s="758" t="str">
        <f t="shared" si="72"/>
        <v>Gastos_Gerais</v>
      </c>
      <c r="S1274" s="697" t="s">
        <v>310</v>
      </c>
      <c r="T1274" s="697" t="s">
        <v>310</v>
      </c>
    </row>
    <row r="1275" spans="1:20" ht="24" x14ac:dyDescent="0.2">
      <c r="A1275" s="432">
        <f>IF(B1275="","",COUNT('Diário 1º PA'!$A$4:$A$2635)+COUNT('Diário 2º PA'!$A$4:$A$3040)+COUNT('Diário 3º PA'!$A$4:$A$2731)+ROW()-3)</f>
        <v>7300</v>
      </c>
      <c r="B1275" s="413">
        <v>44895</v>
      </c>
      <c r="C1275" s="431">
        <v>44866</v>
      </c>
      <c r="D1275" s="419" t="s">
        <v>271</v>
      </c>
      <c r="E1275" s="419" t="s">
        <v>71</v>
      </c>
      <c r="F1275" s="422">
        <v>11</v>
      </c>
      <c r="G1275" s="419" t="s">
        <v>8709</v>
      </c>
      <c r="H1275" s="419" t="s">
        <v>310</v>
      </c>
      <c r="I1275" s="415" t="s">
        <v>881</v>
      </c>
      <c r="J1275" s="419" t="s">
        <v>882</v>
      </c>
      <c r="K1275" s="419" t="s">
        <v>883</v>
      </c>
      <c r="L1275" s="415" t="s">
        <v>798</v>
      </c>
      <c r="M1275" s="419" t="s">
        <v>310</v>
      </c>
      <c r="N1275" s="413">
        <v>44895</v>
      </c>
      <c r="O1275" s="414" t="s">
        <v>400</v>
      </c>
      <c r="P1275" s="655">
        <f t="shared" si="70"/>
        <v>11</v>
      </c>
      <c r="Q1275" s="655">
        <f t="shared" si="71"/>
        <v>11</v>
      </c>
      <c r="R1275" s="758" t="str">
        <f t="shared" si="72"/>
        <v>Gastos_Gerais</v>
      </c>
      <c r="S1275" s="697" t="s">
        <v>310</v>
      </c>
      <c r="T1275" s="697" t="s">
        <v>310</v>
      </c>
    </row>
    <row r="1276" spans="1:20" ht="24" x14ac:dyDescent="0.2">
      <c r="A1276" s="432">
        <f>IF(B1276="","",COUNT('Diário 1º PA'!$A$4:$A$2635)+COUNT('Diário 2º PA'!$A$4:$A$3040)+COUNT('Diário 3º PA'!$A$4:$A$2731)+ROW()-3)</f>
        <v>7301</v>
      </c>
      <c r="B1276" s="413">
        <v>44895</v>
      </c>
      <c r="C1276" s="431">
        <v>44866</v>
      </c>
      <c r="D1276" s="419" t="s">
        <v>271</v>
      </c>
      <c r="E1276" s="419" t="s">
        <v>71</v>
      </c>
      <c r="F1276" s="422">
        <v>11</v>
      </c>
      <c r="G1276" s="419" t="s">
        <v>8709</v>
      </c>
      <c r="H1276" s="419" t="s">
        <v>310</v>
      </c>
      <c r="I1276" s="415" t="s">
        <v>881</v>
      </c>
      <c r="J1276" s="419" t="s">
        <v>882</v>
      </c>
      <c r="K1276" s="419" t="s">
        <v>883</v>
      </c>
      <c r="L1276" s="415" t="s">
        <v>798</v>
      </c>
      <c r="M1276" s="419" t="s">
        <v>310</v>
      </c>
      <c r="N1276" s="413">
        <v>44895</v>
      </c>
      <c r="O1276" s="414" t="s">
        <v>400</v>
      </c>
      <c r="P1276" s="655">
        <f t="shared" si="70"/>
        <v>11</v>
      </c>
      <c r="Q1276" s="655">
        <f t="shared" si="71"/>
        <v>11</v>
      </c>
      <c r="R1276" s="758" t="str">
        <f t="shared" si="72"/>
        <v>Gastos_Gerais</v>
      </c>
      <c r="S1276" s="697" t="s">
        <v>310</v>
      </c>
      <c r="T1276" s="697" t="s">
        <v>310</v>
      </c>
    </row>
    <row r="1277" spans="1:20" ht="24" x14ac:dyDescent="0.2">
      <c r="A1277" s="432">
        <f>IF(B1277="","",COUNT('Diário 1º PA'!$A$4:$A$2635)+COUNT('Diário 2º PA'!$A$4:$A$3040)+COUNT('Diário 3º PA'!$A$4:$A$2731)+ROW()-3)</f>
        <v>7302</v>
      </c>
      <c r="B1277" s="413">
        <v>44895</v>
      </c>
      <c r="C1277" s="431">
        <v>44866</v>
      </c>
      <c r="D1277" s="419" t="s">
        <v>271</v>
      </c>
      <c r="E1277" s="419" t="s">
        <v>71</v>
      </c>
      <c r="F1277" s="422">
        <v>11</v>
      </c>
      <c r="G1277" s="419" t="s">
        <v>8709</v>
      </c>
      <c r="H1277" s="419" t="s">
        <v>310</v>
      </c>
      <c r="I1277" s="415" t="s">
        <v>881</v>
      </c>
      <c r="J1277" s="419" t="s">
        <v>882</v>
      </c>
      <c r="K1277" s="419" t="s">
        <v>883</v>
      </c>
      <c r="L1277" s="415" t="s">
        <v>798</v>
      </c>
      <c r="M1277" s="419" t="s">
        <v>310</v>
      </c>
      <c r="N1277" s="413">
        <v>44895</v>
      </c>
      <c r="O1277" s="414" t="s">
        <v>400</v>
      </c>
      <c r="P1277" s="655">
        <f t="shared" si="70"/>
        <v>11</v>
      </c>
      <c r="Q1277" s="655">
        <f t="shared" si="71"/>
        <v>11</v>
      </c>
      <c r="R1277" s="758" t="str">
        <f t="shared" si="72"/>
        <v>Gastos_Gerais</v>
      </c>
      <c r="S1277" s="697" t="s">
        <v>310</v>
      </c>
      <c r="T1277" s="697" t="s">
        <v>310</v>
      </c>
    </row>
    <row r="1278" spans="1:20" ht="24" x14ac:dyDescent="0.2">
      <c r="A1278" s="432">
        <f>IF(B1278="","",COUNT('Diário 1º PA'!$A$4:$A$2635)+COUNT('Diário 2º PA'!$A$4:$A$3040)+COUNT('Diário 3º PA'!$A$4:$A$2731)+ROW()-3)</f>
        <v>7303</v>
      </c>
      <c r="B1278" s="413">
        <v>44895</v>
      </c>
      <c r="C1278" s="431">
        <v>44866</v>
      </c>
      <c r="D1278" s="419" t="s">
        <v>271</v>
      </c>
      <c r="E1278" s="419" t="s">
        <v>71</v>
      </c>
      <c r="F1278" s="422">
        <v>11</v>
      </c>
      <c r="G1278" s="419" t="s">
        <v>8709</v>
      </c>
      <c r="H1278" s="419" t="s">
        <v>310</v>
      </c>
      <c r="I1278" s="415" t="s">
        <v>881</v>
      </c>
      <c r="J1278" s="419" t="s">
        <v>882</v>
      </c>
      <c r="K1278" s="419" t="s">
        <v>883</v>
      </c>
      <c r="L1278" s="415" t="s">
        <v>798</v>
      </c>
      <c r="M1278" s="419" t="s">
        <v>310</v>
      </c>
      <c r="N1278" s="413">
        <v>44895</v>
      </c>
      <c r="O1278" s="414" t="s">
        <v>400</v>
      </c>
      <c r="P1278" s="655">
        <f t="shared" si="70"/>
        <v>11</v>
      </c>
      <c r="Q1278" s="655">
        <f t="shared" si="71"/>
        <v>11</v>
      </c>
      <c r="R1278" s="758" t="str">
        <f t="shared" si="72"/>
        <v>Gastos_Gerais</v>
      </c>
      <c r="S1278" s="697" t="s">
        <v>310</v>
      </c>
      <c r="T1278" s="697" t="s">
        <v>310</v>
      </c>
    </row>
    <row r="1279" spans="1:20" ht="24" x14ac:dyDescent="0.2">
      <c r="A1279" s="432">
        <f>IF(B1279="","",COUNT('Diário 1º PA'!$A$4:$A$2635)+COUNT('Diário 2º PA'!$A$4:$A$3040)+COUNT('Diário 3º PA'!$A$4:$A$2731)+ROW()-3)</f>
        <v>7304</v>
      </c>
      <c r="B1279" s="413">
        <v>44895</v>
      </c>
      <c r="C1279" s="431">
        <v>44866</v>
      </c>
      <c r="D1279" s="419" t="s">
        <v>271</v>
      </c>
      <c r="E1279" s="419" t="s">
        <v>71</v>
      </c>
      <c r="F1279" s="422">
        <v>11</v>
      </c>
      <c r="G1279" s="419" t="s">
        <v>8709</v>
      </c>
      <c r="H1279" s="419" t="s">
        <v>310</v>
      </c>
      <c r="I1279" s="415" t="s">
        <v>881</v>
      </c>
      <c r="J1279" s="419" t="s">
        <v>882</v>
      </c>
      <c r="K1279" s="419" t="s">
        <v>883</v>
      </c>
      <c r="L1279" s="415" t="s">
        <v>798</v>
      </c>
      <c r="M1279" s="419" t="s">
        <v>310</v>
      </c>
      <c r="N1279" s="413">
        <v>44895</v>
      </c>
      <c r="O1279" s="414" t="s">
        <v>400</v>
      </c>
      <c r="P1279" s="655">
        <f t="shared" si="70"/>
        <v>11</v>
      </c>
      <c r="Q1279" s="655">
        <f t="shared" si="71"/>
        <v>11</v>
      </c>
      <c r="R1279" s="758" t="str">
        <f t="shared" si="72"/>
        <v>Gastos_Gerais</v>
      </c>
      <c r="S1279" s="697" t="s">
        <v>310</v>
      </c>
      <c r="T1279" s="697" t="s">
        <v>310</v>
      </c>
    </row>
    <row r="1280" spans="1:20" ht="24" x14ac:dyDescent="0.2">
      <c r="A1280" s="432">
        <f>IF(B1280="","",COUNT('Diário 1º PA'!$A$4:$A$2635)+COUNT('Diário 2º PA'!$A$4:$A$3040)+COUNT('Diário 3º PA'!$A$4:$A$2731)+ROW()-3)</f>
        <v>7305</v>
      </c>
      <c r="B1280" s="413">
        <v>44895</v>
      </c>
      <c r="C1280" s="431">
        <v>44866</v>
      </c>
      <c r="D1280" s="419" t="s">
        <v>271</v>
      </c>
      <c r="E1280" s="419" t="s">
        <v>71</v>
      </c>
      <c r="F1280" s="422">
        <v>11</v>
      </c>
      <c r="G1280" s="419" t="s">
        <v>8709</v>
      </c>
      <c r="H1280" s="419" t="s">
        <v>310</v>
      </c>
      <c r="I1280" s="415" t="s">
        <v>881</v>
      </c>
      <c r="J1280" s="419" t="s">
        <v>882</v>
      </c>
      <c r="K1280" s="419" t="s">
        <v>883</v>
      </c>
      <c r="L1280" s="415" t="s">
        <v>798</v>
      </c>
      <c r="M1280" s="419" t="s">
        <v>310</v>
      </c>
      <c r="N1280" s="413">
        <v>44895</v>
      </c>
      <c r="O1280" s="414" t="s">
        <v>400</v>
      </c>
      <c r="P1280" s="655">
        <f t="shared" si="70"/>
        <v>11</v>
      </c>
      <c r="Q1280" s="655">
        <f t="shared" si="71"/>
        <v>11</v>
      </c>
      <c r="R1280" s="758" t="str">
        <f t="shared" si="72"/>
        <v>Gastos_Gerais</v>
      </c>
      <c r="S1280" s="697" t="s">
        <v>310</v>
      </c>
      <c r="T1280" s="697" t="s">
        <v>310</v>
      </c>
    </row>
    <row r="1281" spans="1:20" ht="24" x14ac:dyDescent="0.2">
      <c r="A1281" s="432">
        <f>IF(B1281="","",COUNT('Diário 1º PA'!$A$4:$A$2635)+COUNT('Diário 2º PA'!$A$4:$A$3040)+COUNT('Diário 3º PA'!$A$4:$A$2731)+ROW()-3)</f>
        <v>7306</v>
      </c>
      <c r="B1281" s="413">
        <v>44895</v>
      </c>
      <c r="C1281" s="431">
        <v>44866</v>
      </c>
      <c r="D1281" s="419" t="s">
        <v>271</v>
      </c>
      <c r="E1281" s="419" t="s">
        <v>71</v>
      </c>
      <c r="F1281" s="422">
        <v>11</v>
      </c>
      <c r="G1281" s="419" t="s">
        <v>8709</v>
      </c>
      <c r="H1281" s="419" t="s">
        <v>310</v>
      </c>
      <c r="I1281" s="415" t="s">
        <v>881</v>
      </c>
      <c r="J1281" s="419" t="s">
        <v>882</v>
      </c>
      <c r="K1281" s="419" t="s">
        <v>883</v>
      </c>
      <c r="L1281" s="415" t="s">
        <v>798</v>
      </c>
      <c r="M1281" s="419" t="s">
        <v>310</v>
      </c>
      <c r="N1281" s="413">
        <v>44895</v>
      </c>
      <c r="O1281" s="414" t="s">
        <v>400</v>
      </c>
      <c r="P1281" s="655">
        <f t="shared" si="70"/>
        <v>11</v>
      </c>
      <c r="Q1281" s="655">
        <f t="shared" si="71"/>
        <v>11</v>
      </c>
      <c r="R1281" s="758" t="str">
        <f t="shared" si="72"/>
        <v>Gastos_Gerais</v>
      </c>
      <c r="S1281" s="697" t="s">
        <v>310</v>
      </c>
      <c r="T1281" s="697" t="s">
        <v>310</v>
      </c>
    </row>
    <row r="1282" spans="1:20" ht="24" x14ac:dyDescent="0.2">
      <c r="A1282" s="432">
        <f>IF(B1282="","",COUNT('Diário 1º PA'!$A$4:$A$2635)+COUNT('Diário 2º PA'!$A$4:$A$3040)+COUNT('Diário 3º PA'!$A$4:$A$2731)+ROW()-3)</f>
        <v>7307</v>
      </c>
      <c r="B1282" s="413">
        <v>44895</v>
      </c>
      <c r="C1282" s="431">
        <v>44866</v>
      </c>
      <c r="D1282" s="419" t="s">
        <v>271</v>
      </c>
      <c r="E1282" s="419" t="s">
        <v>71</v>
      </c>
      <c r="F1282" s="422">
        <v>11</v>
      </c>
      <c r="G1282" s="419" t="s">
        <v>8709</v>
      </c>
      <c r="H1282" s="419" t="s">
        <v>310</v>
      </c>
      <c r="I1282" s="415" t="s">
        <v>881</v>
      </c>
      <c r="J1282" s="419" t="s">
        <v>882</v>
      </c>
      <c r="K1282" s="419" t="s">
        <v>883</v>
      </c>
      <c r="L1282" s="415" t="s">
        <v>798</v>
      </c>
      <c r="M1282" s="419" t="s">
        <v>310</v>
      </c>
      <c r="N1282" s="413">
        <v>44895</v>
      </c>
      <c r="O1282" s="414" t="s">
        <v>400</v>
      </c>
      <c r="P1282" s="655">
        <f t="shared" si="70"/>
        <v>11</v>
      </c>
      <c r="Q1282" s="655">
        <f t="shared" si="71"/>
        <v>11</v>
      </c>
      <c r="R1282" s="758" t="str">
        <f t="shared" si="72"/>
        <v>Gastos_Gerais</v>
      </c>
      <c r="S1282" s="697" t="s">
        <v>310</v>
      </c>
      <c r="T1282" s="697" t="s">
        <v>310</v>
      </c>
    </row>
    <row r="1283" spans="1:20" ht="24" x14ac:dyDescent="0.2">
      <c r="A1283" s="432">
        <f>IF(B1283="","",COUNT('Diário 1º PA'!$A$4:$A$2635)+COUNT('Diário 2º PA'!$A$4:$A$3040)+COUNT('Diário 3º PA'!$A$4:$A$2731)+ROW()-3)</f>
        <v>7308</v>
      </c>
      <c r="B1283" s="413">
        <v>44895</v>
      </c>
      <c r="C1283" s="431">
        <v>44866</v>
      </c>
      <c r="D1283" s="419" t="s">
        <v>271</v>
      </c>
      <c r="E1283" s="419" t="s">
        <v>71</v>
      </c>
      <c r="F1283" s="422">
        <v>11</v>
      </c>
      <c r="G1283" s="419" t="s">
        <v>8709</v>
      </c>
      <c r="H1283" s="419" t="s">
        <v>310</v>
      </c>
      <c r="I1283" s="415" t="s">
        <v>881</v>
      </c>
      <c r="J1283" s="419" t="s">
        <v>882</v>
      </c>
      <c r="K1283" s="419" t="s">
        <v>883</v>
      </c>
      <c r="L1283" s="415" t="s">
        <v>798</v>
      </c>
      <c r="M1283" s="419" t="s">
        <v>310</v>
      </c>
      <c r="N1283" s="413">
        <v>44895</v>
      </c>
      <c r="O1283" s="414" t="s">
        <v>400</v>
      </c>
      <c r="P1283" s="655">
        <f t="shared" si="70"/>
        <v>11</v>
      </c>
      <c r="Q1283" s="655">
        <f t="shared" si="71"/>
        <v>11</v>
      </c>
      <c r="R1283" s="758" t="str">
        <f t="shared" si="72"/>
        <v>Gastos_Gerais</v>
      </c>
      <c r="S1283" s="697" t="s">
        <v>310</v>
      </c>
      <c r="T1283" s="697" t="s">
        <v>310</v>
      </c>
    </row>
    <row r="1284" spans="1:20" ht="24" x14ac:dyDescent="0.2">
      <c r="A1284" s="432">
        <f>IF(B1284="","",COUNT('Diário 1º PA'!$A$4:$A$2635)+COUNT('Diário 2º PA'!$A$4:$A$3040)+COUNT('Diário 3º PA'!$A$4:$A$2731)+ROW()-3)</f>
        <v>7309</v>
      </c>
      <c r="B1284" s="413">
        <v>44895</v>
      </c>
      <c r="C1284" s="431">
        <v>44866</v>
      </c>
      <c r="D1284" s="419" t="s">
        <v>271</v>
      </c>
      <c r="E1284" s="419" t="s">
        <v>71</v>
      </c>
      <c r="F1284" s="422">
        <v>11</v>
      </c>
      <c r="G1284" s="419" t="s">
        <v>8709</v>
      </c>
      <c r="H1284" s="419" t="s">
        <v>310</v>
      </c>
      <c r="I1284" s="415" t="s">
        <v>881</v>
      </c>
      <c r="J1284" s="419" t="s">
        <v>882</v>
      </c>
      <c r="K1284" s="419" t="s">
        <v>883</v>
      </c>
      <c r="L1284" s="415" t="s">
        <v>798</v>
      </c>
      <c r="M1284" s="419" t="s">
        <v>310</v>
      </c>
      <c r="N1284" s="413">
        <v>44895</v>
      </c>
      <c r="O1284" s="414" t="s">
        <v>400</v>
      </c>
      <c r="P1284" s="655">
        <f t="shared" si="70"/>
        <v>11</v>
      </c>
      <c r="Q1284" s="655">
        <f t="shared" si="71"/>
        <v>11</v>
      </c>
      <c r="R1284" s="758" t="str">
        <f t="shared" si="72"/>
        <v>Gastos_Gerais</v>
      </c>
      <c r="S1284" s="697" t="s">
        <v>310</v>
      </c>
      <c r="T1284" s="697" t="s">
        <v>310</v>
      </c>
    </row>
    <row r="1285" spans="1:20" ht="24" x14ac:dyDescent="0.2">
      <c r="A1285" s="432">
        <f>IF(B1285="","",COUNT('Diário 1º PA'!$A$4:$A$2635)+COUNT('Diário 2º PA'!$A$4:$A$3040)+COUNT('Diário 3º PA'!$A$4:$A$2731)+ROW()-3)</f>
        <v>7310</v>
      </c>
      <c r="B1285" s="413">
        <v>44895</v>
      </c>
      <c r="C1285" s="431">
        <v>44866</v>
      </c>
      <c r="D1285" s="419" t="s">
        <v>271</v>
      </c>
      <c r="E1285" s="419" t="s">
        <v>71</v>
      </c>
      <c r="F1285" s="422">
        <v>11</v>
      </c>
      <c r="G1285" s="419" t="s">
        <v>8709</v>
      </c>
      <c r="H1285" s="419" t="s">
        <v>310</v>
      </c>
      <c r="I1285" s="415" t="s">
        <v>881</v>
      </c>
      <c r="J1285" s="419" t="s">
        <v>882</v>
      </c>
      <c r="K1285" s="419" t="s">
        <v>883</v>
      </c>
      <c r="L1285" s="415" t="s">
        <v>798</v>
      </c>
      <c r="M1285" s="419" t="s">
        <v>310</v>
      </c>
      <c r="N1285" s="413">
        <v>44895</v>
      </c>
      <c r="O1285" s="414" t="s">
        <v>400</v>
      </c>
      <c r="P1285" s="655">
        <f t="shared" si="70"/>
        <v>11</v>
      </c>
      <c r="Q1285" s="655">
        <f t="shared" si="71"/>
        <v>11</v>
      </c>
      <c r="R1285" s="758" t="str">
        <f t="shared" si="72"/>
        <v>Gastos_Gerais</v>
      </c>
      <c r="S1285" s="697" t="s">
        <v>310</v>
      </c>
      <c r="T1285" s="697" t="s">
        <v>310</v>
      </c>
    </row>
    <row r="1286" spans="1:20" ht="24" x14ac:dyDescent="0.2">
      <c r="A1286" s="432">
        <f>IF(B1286="","",COUNT('Diário 1º PA'!$A$4:$A$2635)+COUNT('Diário 2º PA'!$A$4:$A$3040)+COUNT('Diário 3º PA'!$A$4:$A$2731)+ROW()-3)</f>
        <v>7311</v>
      </c>
      <c r="B1286" s="413">
        <v>44895</v>
      </c>
      <c r="C1286" s="431">
        <v>44866</v>
      </c>
      <c r="D1286" s="419" t="s">
        <v>271</v>
      </c>
      <c r="E1286" s="419" t="s">
        <v>71</v>
      </c>
      <c r="F1286" s="422">
        <v>11</v>
      </c>
      <c r="G1286" s="419" t="s">
        <v>8709</v>
      </c>
      <c r="H1286" s="419" t="s">
        <v>310</v>
      </c>
      <c r="I1286" s="415" t="s">
        <v>881</v>
      </c>
      <c r="J1286" s="419" t="s">
        <v>882</v>
      </c>
      <c r="K1286" s="419" t="s">
        <v>883</v>
      </c>
      <c r="L1286" s="415" t="s">
        <v>798</v>
      </c>
      <c r="M1286" s="419" t="s">
        <v>310</v>
      </c>
      <c r="N1286" s="413">
        <v>44895</v>
      </c>
      <c r="O1286" s="414" t="s">
        <v>400</v>
      </c>
      <c r="P1286" s="655">
        <f t="shared" si="70"/>
        <v>11</v>
      </c>
      <c r="Q1286" s="655">
        <f t="shared" si="71"/>
        <v>11</v>
      </c>
      <c r="R1286" s="758" t="str">
        <f t="shared" si="72"/>
        <v>Gastos_Gerais</v>
      </c>
      <c r="S1286" s="697" t="s">
        <v>310</v>
      </c>
      <c r="T1286" s="697" t="s">
        <v>310</v>
      </c>
    </row>
    <row r="1287" spans="1:20" ht="24" x14ac:dyDescent="0.2">
      <c r="A1287" s="432">
        <f>IF(B1287="","",COUNT('Diário 1º PA'!$A$4:$A$2635)+COUNT('Diário 2º PA'!$A$4:$A$3040)+COUNT('Diário 3º PA'!$A$4:$A$2731)+ROW()-3)</f>
        <v>7312</v>
      </c>
      <c r="B1287" s="413">
        <v>44895</v>
      </c>
      <c r="C1287" s="431">
        <v>44866</v>
      </c>
      <c r="D1287" s="419" t="s">
        <v>271</v>
      </c>
      <c r="E1287" s="419" t="s">
        <v>71</v>
      </c>
      <c r="F1287" s="422">
        <v>11</v>
      </c>
      <c r="G1287" s="419" t="s">
        <v>8709</v>
      </c>
      <c r="H1287" s="419" t="s">
        <v>310</v>
      </c>
      <c r="I1287" s="415" t="s">
        <v>881</v>
      </c>
      <c r="J1287" s="419" t="s">
        <v>882</v>
      </c>
      <c r="K1287" s="419" t="s">
        <v>883</v>
      </c>
      <c r="L1287" s="415" t="s">
        <v>798</v>
      </c>
      <c r="M1287" s="419" t="s">
        <v>310</v>
      </c>
      <c r="N1287" s="413">
        <v>44895</v>
      </c>
      <c r="O1287" s="414" t="s">
        <v>400</v>
      </c>
      <c r="P1287" s="655">
        <f t="shared" si="70"/>
        <v>11</v>
      </c>
      <c r="Q1287" s="655">
        <f t="shared" si="71"/>
        <v>11</v>
      </c>
      <c r="R1287" s="758" t="str">
        <f t="shared" si="72"/>
        <v>Gastos_Gerais</v>
      </c>
      <c r="S1287" s="697" t="s">
        <v>310</v>
      </c>
      <c r="T1287" s="697" t="s">
        <v>310</v>
      </c>
    </row>
    <row r="1288" spans="1:20" ht="24" x14ac:dyDescent="0.2">
      <c r="A1288" s="432">
        <f>IF(B1288="","",COUNT('Diário 1º PA'!$A$4:$A$2635)+COUNT('Diário 2º PA'!$A$4:$A$3040)+COUNT('Diário 3º PA'!$A$4:$A$2731)+ROW()-3)</f>
        <v>7313</v>
      </c>
      <c r="B1288" s="413">
        <v>44895</v>
      </c>
      <c r="C1288" s="431">
        <v>44866</v>
      </c>
      <c r="D1288" s="419" t="s">
        <v>271</v>
      </c>
      <c r="E1288" s="419" t="s">
        <v>71</v>
      </c>
      <c r="F1288" s="422">
        <v>11</v>
      </c>
      <c r="G1288" s="419" t="s">
        <v>8709</v>
      </c>
      <c r="H1288" s="419" t="s">
        <v>310</v>
      </c>
      <c r="I1288" s="415" t="s">
        <v>881</v>
      </c>
      <c r="J1288" s="419" t="s">
        <v>882</v>
      </c>
      <c r="K1288" s="419" t="s">
        <v>883</v>
      </c>
      <c r="L1288" s="415" t="s">
        <v>798</v>
      </c>
      <c r="M1288" s="419" t="s">
        <v>310</v>
      </c>
      <c r="N1288" s="413">
        <v>44895</v>
      </c>
      <c r="O1288" s="414" t="s">
        <v>400</v>
      </c>
      <c r="P1288" s="655">
        <f t="shared" si="70"/>
        <v>11</v>
      </c>
      <c r="Q1288" s="655">
        <f t="shared" si="71"/>
        <v>11</v>
      </c>
      <c r="R1288" s="758" t="str">
        <f t="shared" si="72"/>
        <v>Gastos_Gerais</v>
      </c>
      <c r="S1288" s="697" t="s">
        <v>310</v>
      </c>
      <c r="T1288" s="697" t="s">
        <v>310</v>
      </c>
    </row>
    <row r="1289" spans="1:20" ht="24" x14ac:dyDescent="0.2">
      <c r="A1289" s="432">
        <f>IF(B1289="","",COUNT('Diário 1º PA'!$A$4:$A$2635)+COUNT('Diário 2º PA'!$A$4:$A$3040)+COUNT('Diário 3º PA'!$A$4:$A$2731)+ROW()-3)</f>
        <v>7314</v>
      </c>
      <c r="B1289" s="413">
        <v>44895</v>
      </c>
      <c r="C1289" s="431">
        <v>44866</v>
      </c>
      <c r="D1289" s="419" t="s">
        <v>271</v>
      </c>
      <c r="E1289" s="419" t="s">
        <v>71</v>
      </c>
      <c r="F1289" s="422">
        <v>11</v>
      </c>
      <c r="G1289" s="419" t="s">
        <v>8709</v>
      </c>
      <c r="H1289" s="419" t="s">
        <v>310</v>
      </c>
      <c r="I1289" s="415" t="s">
        <v>881</v>
      </c>
      <c r="J1289" s="419" t="s">
        <v>882</v>
      </c>
      <c r="K1289" s="419" t="s">
        <v>883</v>
      </c>
      <c r="L1289" s="415" t="s">
        <v>798</v>
      </c>
      <c r="M1289" s="419" t="s">
        <v>310</v>
      </c>
      <c r="N1289" s="413">
        <v>44895</v>
      </c>
      <c r="O1289" s="414" t="s">
        <v>400</v>
      </c>
      <c r="P1289" s="655">
        <f t="shared" si="70"/>
        <v>11</v>
      </c>
      <c r="Q1289" s="655">
        <f t="shared" si="71"/>
        <v>11</v>
      </c>
      <c r="R1289" s="758" t="str">
        <f t="shared" si="72"/>
        <v>Gastos_Gerais</v>
      </c>
      <c r="S1289" s="697" t="s">
        <v>310</v>
      </c>
      <c r="T1289" s="697" t="s">
        <v>310</v>
      </c>
    </row>
    <row r="1290" spans="1:20" ht="24" x14ac:dyDescent="0.2">
      <c r="A1290" s="432">
        <f>IF(B1290="","",COUNT('Diário 1º PA'!$A$4:$A$2635)+COUNT('Diário 2º PA'!$A$4:$A$3040)+COUNT('Diário 3º PA'!$A$4:$A$2731)+ROW()-3)</f>
        <v>7315</v>
      </c>
      <c r="B1290" s="413">
        <v>44895</v>
      </c>
      <c r="C1290" s="431">
        <v>44866</v>
      </c>
      <c r="D1290" s="419" t="s">
        <v>271</v>
      </c>
      <c r="E1290" s="419" t="s">
        <v>71</v>
      </c>
      <c r="F1290" s="422">
        <v>11</v>
      </c>
      <c r="G1290" s="419" t="s">
        <v>8709</v>
      </c>
      <c r="H1290" s="419" t="s">
        <v>310</v>
      </c>
      <c r="I1290" s="415" t="s">
        <v>881</v>
      </c>
      <c r="J1290" s="419" t="s">
        <v>882</v>
      </c>
      <c r="K1290" s="419" t="s">
        <v>883</v>
      </c>
      <c r="L1290" s="415" t="s">
        <v>798</v>
      </c>
      <c r="M1290" s="419" t="s">
        <v>310</v>
      </c>
      <c r="N1290" s="413">
        <v>44895</v>
      </c>
      <c r="O1290" s="414" t="s">
        <v>400</v>
      </c>
      <c r="P1290" s="655">
        <f t="shared" si="70"/>
        <v>11</v>
      </c>
      <c r="Q1290" s="655">
        <f t="shared" si="71"/>
        <v>11</v>
      </c>
      <c r="R1290" s="758" t="str">
        <f t="shared" si="72"/>
        <v>Gastos_Gerais</v>
      </c>
      <c r="S1290" s="697" t="s">
        <v>310</v>
      </c>
      <c r="T1290" s="697" t="s">
        <v>310</v>
      </c>
    </row>
    <row r="1291" spans="1:20" ht="24" x14ac:dyDescent="0.2">
      <c r="A1291" s="432">
        <f>IF(B1291="","",COUNT('Diário 1º PA'!$A$4:$A$2635)+COUNT('Diário 2º PA'!$A$4:$A$3040)+COUNT('Diário 3º PA'!$A$4:$A$2731)+ROW()-3)</f>
        <v>7316</v>
      </c>
      <c r="B1291" s="413">
        <v>44895</v>
      </c>
      <c r="C1291" s="431">
        <v>44866</v>
      </c>
      <c r="D1291" s="419" t="s">
        <v>271</v>
      </c>
      <c r="E1291" s="419" t="s">
        <v>71</v>
      </c>
      <c r="F1291" s="422">
        <v>11</v>
      </c>
      <c r="G1291" s="419" t="s">
        <v>8709</v>
      </c>
      <c r="H1291" s="419" t="s">
        <v>310</v>
      </c>
      <c r="I1291" s="415" t="s">
        <v>881</v>
      </c>
      <c r="J1291" s="419" t="s">
        <v>882</v>
      </c>
      <c r="K1291" s="419" t="s">
        <v>883</v>
      </c>
      <c r="L1291" s="415" t="s">
        <v>798</v>
      </c>
      <c r="M1291" s="419" t="s">
        <v>310</v>
      </c>
      <c r="N1291" s="413">
        <v>44895</v>
      </c>
      <c r="O1291" s="414" t="s">
        <v>400</v>
      </c>
      <c r="P1291" s="655">
        <f t="shared" si="70"/>
        <v>11</v>
      </c>
      <c r="Q1291" s="655">
        <f t="shared" si="71"/>
        <v>11</v>
      </c>
      <c r="R1291" s="758" t="str">
        <f t="shared" si="72"/>
        <v>Gastos_Gerais</v>
      </c>
      <c r="S1291" s="697" t="s">
        <v>310</v>
      </c>
      <c r="T1291" s="697" t="s">
        <v>310</v>
      </c>
    </row>
    <row r="1292" spans="1:20" ht="24" x14ac:dyDescent="0.2">
      <c r="A1292" s="432">
        <f>IF(B1292="","",COUNT('Diário 1º PA'!$A$4:$A$2635)+COUNT('Diário 2º PA'!$A$4:$A$3040)+COUNT('Diário 3º PA'!$A$4:$A$2731)+ROW()-3)</f>
        <v>7317</v>
      </c>
      <c r="B1292" s="413">
        <v>44895</v>
      </c>
      <c r="C1292" s="431">
        <v>44866</v>
      </c>
      <c r="D1292" s="419" t="s">
        <v>271</v>
      </c>
      <c r="E1292" s="419" t="s">
        <v>71</v>
      </c>
      <c r="F1292" s="422">
        <v>11</v>
      </c>
      <c r="G1292" s="419" t="s">
        <v>8709</v>
      </c>
      <c r="H1292" s="419" t="s">
        <v>310</v>
      </c>
      <c r="I1292" s="415" t="s">
        <v>881</v>
      </c>
      <c r="J1292" s="419" t="s">
        <v>882</v>
      </c>
      <c r="K1292" s="419" t="s">
        <v>883</v>
      </c>
      <c r="L1292" s="415" t="s">
        <v>798</v>
      </c>
      <c r="M1292" s="419" t="s">
        <v>310</v>
      </c>
      <c r="N1292" s="413">
        <v>44895</v>
      </c>
      <c r="O1292" s="414" t="s">
        <v>400</v>
      </c>
      <c r="P1292" s="655">
        <f t="shared" si="70"/>
        <v>11</v>
      </c>
      <c r="Q1292" s="655">
        <f t="shared" si="71"/>
        <v>11</v>
      </c>
      <c r="R1292" s="758" t="str">
        <f t="shared" si="72"/>
        <v>Gastos_Gerais</v>
      </c>
      <c r="S1292" s="697" t="s">
        <v>310</v>
      </c>
      <c r="T1292" s="697" t="s">
        <v>310</v>
      </c>
    </row>
    <row r="1293" spans="1:20" ht="24" x14ac:dyDescent="0.2">
      <c r="A1293" s="432">
        <f>IF(B1293="","",COUNT('Diário 1º PA'!$A$4:$A$2635)+COUNT('Diário 2º PA'!$A$4:$A$3040)+COUNT('Diário 3º PA'!$A$4:$A$2731)+ROW()-3)</f>
        <v>7318</v>
      </c>
      <c r="B1293" s="413">
        <v>44895</v>
      </c>
      <c r="C1293" s="431">
        <v>44866</v>
      </c>
      <c r="D1293" s="419" t="s">
        <v>271</v>
      </c>
      <c r="E1293" s="419" t="s">
        <v>71</v>
      </c>
      <c r="F1293" s="422">
        <v>11</v>
      </c>
      <c r="G1293" s="419" t="s">
        <v>8709</v>
      </c>
      <c r="H1293" s="419" t="s">
        <v>310</v>
      </c>
      <c r="I1293" s="415" t="s">
        <v>881</v>
      </c>
      <c r="J1293" s="419" t="s">
        <v>882</v>
      </c>
      <c r="K1293" s="419" t="s">
        <v>883</v>
      </c>
      <c r="L1293" s="415" t="s">
        <v>798</v>
      </c>
      <c r="M1293" s="419" t="s">
        <v>310</v>
      </c>
      <c r="N1293" s="413">
        <v>44895</v>
      </c>
      <c r="O1293" s="414" t="s">
        <v>400</v>
      </c>
      <c r="P1293" s="655">
        <f t="shared" si="70"/>
        <v>11</v>
      </c>
      <c r="Q1293" s="655">
        <f t="shared" si="71"/>
        <v>11</v>
      </c>
      <c r="R1293" s="758" t="str">
        <f t="shared" si="72"/>
        <v>Gastos_Gerais</v>
      </c>
      <c r="S1293" s="697" t="s">
        <v>310</v>
      </c>
      <c r="T1293" s="697" t="s">
        <v>310</v>
      </c>
    </row>
    <row r="1294" spans="1:20" ht="24" x14ac:dyDescent="0.2">
      <c r="A1294" s="432">
        <f>IF(B1294="","",COUNT('Diário 1º PA'!$A$4:$A$2635)+COUNT('Diário 2º PA'!$A$4:$A$3040)+COUNT('Diário 3º PA'!$A$4:$A$2731)+ROW()-3)</f>
        <v>7319</v>
      </c>
      <c r="B1294" s="413">
        <v>44895</v>
      </c>
      <c r="C1294" s="431">
        <v>44866</v>
      </c>
      <c r="D1294" s="419" t="s">
        <v>271</v>
      </c>
      <c r="E1294" s="419" t="s">
        <v>71</v>
      </c>
      <c r="F1294" s="422">
        <v>11</v>
      </c>
      <c r="G1294" s="419" t="s">
        <v>8709</v>
      </c>
      <c r="H1294" s="419" t="s">
        <v>310</v>
      </c>
      <c r="I1294" s="415" t="s">
        <v>881</v>
      </c>
      <c r="J1294" s="419" t="s">
        <v>882</v>
      </c>
      <c r="K1294" s="419" t="s">
        <v>883</v>
      </c>
      <c r="L1294" s="415" t="s">
        <v>798</v>
      </c>
      <c r="M1294" s="419" t="s">
        <v>310</v>
      </c>
      <c r="N1294" s="413">
        <v>44895</v>
      </c>
      <c r="O1294" s="414" t="s">
        <v>400</v>
      </c>
      <c r="P1294" s="655">
        <f t="shared" si="70"/>
        <v>11</v>
      </c>
      <c r="Q1294" s="655">
        <f t="shared" si="71"/>
        <v>11</v>
      </c>
      <c r="R1294" s="758" t="str">
        <f t="shared" si="72"/>
        <v>Gastos_Gerais</v>
      </c>
      <c r="S1294" s="697" t="s">
        <v>310</v>
      </c>
      <c r="T1294" s="697" t="s">
        <v>310</v>
      </c>
    </row>
    <row r="1295" spans="1:20" ht="24" x14ac:dyDescent="0.2">
      <c r="A1295" s="432">
        <f>IF(B1295="","",COUNT('Diário 1º PA'!$A$4:$A$2635)+COUNT('Diário 2º PA'!$A$4:$A$3040)+COUNT('Diário 3º PA'!$A$4:$A$2731)+ROW()-3)</f>
        <v>7320</v>
      </c>
      <c r="B1295" s="413">
        <v>44895</v>
      </c>
      <c r="C1295" s="431">
        <v>44866</v>
      </c>
      <c r="D1295" s="419" t="s">
        <v>271</v>
      </c>
      <c r="E1295" s="419" t="s">
        <v>71</v>
      </c>
      <c r="F1295" s="422">
        <v>11</v>
      </c>
      <c r="G1295" s="419" t="s">
        <v>8709</v>
      </c>
      <c r="H1295" s="419" t="s">
        <v>310</v>
      </c>
      <c r="I1295" s="415" t="s">
        <v>881</v>
      </c>
      <c r="J1295" s="419" t="s">
        <v>882</v>
      </c>
      <c r="K1295" s="419" t="s">
        <v>883</v>
      </c>
      <c r="L1295" s="415" t="s">
        <v>798</v>
      </c>
      <c r="M1295" s="419" t="s">
        <v>310</v>
      </c>
      <c r="N1295" s="413">
        <v>44895</v>
      </c>
      <c r="O1295" s="414" t="s">
        <v>400</v>
      </c>
      <c r="P1295" s="655">
        <f t="shared" si="70"/>
        <v>11</v>
      </c>
      <c r="Q1295" s="655">
        <f t="shared" si="71"/>
        <v>11</v>
      </c>
      <c r="R1295" s="758" t="str">
        <f t="shared" si="72"/>
        <v>Gastos_Gerais</v>
      </c>
      <c r="S1295" s="697" t="s">
        <v>310</v>
      </c>
      <c r="T1295" s="697" t="s">
        <v>310</v>
      </c>
    </row>
    <row r="1296" spans="1:20" ht="24" x14ac:dyDescent="0.2">
      <c r="A1296" s="432">
        <f>IF(B1296="","",COUNT('Diário 1º PA'!$A$4:$A$2635)+COUNT('Diário 2º PA'!$A$4:$A$3040)+COUNT('Diário 3º PA'!$A$4:$A$2731)+ROW()-3)</f>
        <v>7321</v>
      </c>
      <c r="B1296" s="413">
        <v>44895</v>
      </c>
      <c r="C1296" s="431">
        <v>44866</v>
      </c>
      <c r="D1296" s="419" t="s">
        <v>271</v>
      </c>
      <c r="E1296" s="419" t="s">
        <v>71</v>
      </c>
      <c r="F1296" s="422">
        <v>11</v>
      </c>
      <c r="G1296" s="419" t="s">
        <v>8709</v>
      </c>
      <c r="H1296" s="419" t="s">
        <v>310</v>
      </c>
      <c r="I1296" s="415" t="s">
        <v>881</v>
      </c>
      <c r="J1296" s="419" t="s">
        <v>882</v>
      </c>
      <c r="K1296" s="419" t="s">
        <v>883</v>
      </c>
      <c r="L1296" s="415" t="s">
        <v>798</v>
      </c>
      <c r="M1296" s="419" t="s">
        <v>310</v>
      </c>
      <c r="N1296" s="413">
        <v>44895</v>
      </c>
      <c r="O1296" s="414" t="s">
        <v>400</v>
      </c>
      <c r="P1296" s="655">
        <f t="shared" si="70"/>
        <v>11</v>
      </c>
      <c r="Q1296" s="655">
        <f t="shared" si="71"/>
        <v>11</v>
      </c>
      <c r="R1296" s="758" t="str">
        <f t="shared" si="72"/>
        <v>Gastos_Gerais</v>
      </c>
      <c r="S1296" s="697" t="s">
        <v>310</v>
      </c>
      <c r="T1296" s="697" t="s">
        <v>310</v>
      </c>
    </row>
    <row r="1297" spans="1:20" ht="24" x14ac:dyDescent="0.2">
      <c r="A1297" s="432">
        <f>IF(B1297="","",COUNT('Diário 1º PA'!$A$4:$A$2635)+COUNT('Diário 2º PA'!$A$4:$A$3040)+COUNT('Diário 3º PA'!$A$4:$A$2731)+ROW()-3)</f>
        <v>7322</v>
      </c>
      <c r="B1297" s="413">
        <v>44895</v>
      </c>
      <c r="C1297" s="431">
        <v>44866</v>
      </c>
      <c r="D1297" s="419" t="s">
        <v>271</v>
      </c>
      <c r="E1297" s="419" t="s">
        <v>71</v>
      </c>
      <c r="F1297" s="422">
        <v>11</v>
      </c>
      <c r="G1297" s="419" t="s">
        <v>8709</v>
      </c>
      <c r="H1297" s="419" t="s">
        <v>310</v>
      </c>
      <c r="I1297" s="415" t="s">
        <v>881</v>
      </c>
      <c r="J1297" s="419" t="s">
        <v>882</v>
      </c>
      <c r="K1297" s="419" t="s">
        <v>883</v>
      </c>
      <c r="L1297" s="415" t="s">
        <v>798</v>
      </c>
      <c r="M1297" s="419" t="s">
        <v>310</v>
      </c>
      <c r="N1297" s="413">
        <v>44895</v>
      </c>
      <c r="O1297" s="414" t="s">
        <v>400</v>
      </c>
      <c r="P1297" s="655">
        <f t="shared" si="70"/>
        <v>11</v>
      </c>
      <c r="Q1297" s="655">
        <f t="shared" si="71"/>
        <v>11</v>
      </c>
      <c r="R1297" s="758" t="str">
        <f t="shared" si="72"/>
        <v>Gastos_Gerais</v>
      </c>
      <c r="S1297" s="697" t="s">
        <v>310</v>
      </c>
      <c r="T1297" s="697" t="s">
        <v>310</v>
      </c>
    </row>
    <row r="1298" spans="1:20" ht="24" x14ac:dyDescent="0.2">
      <c r="A1298" s="432">
        <f>IF(B1298="","",COUNT('Diário 1º PA'!$A$4:$A$2635)+COUNT('Diário 2º PA'!$A$4:$A$3040)+COUNT('Diário 3º PA'!$A$4:$A$2731)+ROW()-3)</f>
        <v>7323</v>
      </c>
      <c r="B1298" s="413">
        <v>44895</v>
      </c>
      <c r="C1298" s="431">
        <v>44866</v>
      </c>
      <c r="D1298" s="419" t="s">
        <v>271</v>
      </c>
      <c r="E1298" s="419" t="s">
        <v>71</v>
      </c>
      <c r="F1298" s="422">
        <v>11</v>
      </c>
      <c r="G1298" s="419" t="s">
        <v>8709</v>
      </c>
      <c r="H1298" s="419" t="s">
        <v>310</v>
      </c>
      <c r="I1298" s="415" t="s">
        <v>881</v>
      </c>
      <c r="J1298" s="419" t="s">
        <v>882</v>
      </c>
      <c r="K1298" s="419" t="s">
        <v>883</v>
      </c>
      <c r="L1298" s="415" t="s">
        <v>798</v>
      </c>
      <c r="M1298" s="419" t="s">
        <v>310</v>
      </c>
      <c r="N1298" s="413">
        <v>44895</v>
      </c>
      <c r="O1298" s="414" t="s">
        <v>400</v>
      </c>
      <c r="P1298" s="655">
        <f t="shared" si="70"/>
        <v>11</v>
      </c>
      <c r="Q1298" s="655">
        <f t="shared" si="71"/>
        <v>11</v>
      </c>
      <c r="R1298" s="758" t="str">
        <f t="shared" si="72"/>
        <v>Gastos_Gerais</v>
      </c>
      <c r="S1298" s="697" t="s">
        <v>310</v>
      </c>
      <c r="T1298" s="697" t="s">
        <v>310</v>
      </c>
    </row>
    <row r="1299" spans="1:20" ht="24" x14ac:dyDescent="0.2">
      <c r="A1299" s="432">
        <f>IF(B1299="","",COUNT('Diário 1º PA'!$A$4:$A$2635)+COUNT('Diário 2º PA'!$A$4:$A$3040)+COUNT('Diário 3º PA'!$A$4:$A$2731)+ROW()-3)</f>
        <v>7324</v>
      </c>
      <c r="B1299" s="413">
        <v>44895</v>
      </c>
      <c r="C1299" s="431">
        <v>44866</v>
      </c>
      <c r="D1299" s="419" t="s">
        <v>271</v>
      </c>
      <c r="E1299" s="419" t="s">
        <v>71</v>
      </c>
      <c r="F1299" s="422">
        <v>11</v>
      </c>
      <c r="G1299" s="419" t="s">
        <v>8709</v>
      </c>
      <c r="H1299" s="419" t="s">
        <v>310</v>
      </c>
      <c r="I1299" s="415" t="s">
        <v>881</v>
      </c>
      <c r="J1299" s="419" t="s">
        <v>882</v>
      </c>
      <c r="K1299" s="419" t="s">
        <v>883</v>
      </c>
      <c r="L1299" s="415" t="s">
        <v>798</v>
      </c>
      <c r="M1299" s="419" t="s">
        <v>310</v>
      </c>
      <c r="N1299" s="413">
        <v>44895</v>
      </c>
      <c r="O1299" s="414" t="s">
        <v>400</v>
      </c>
      <c r="P1299" s="655">
        <f t="shared" si="70"/>
        <v>11</v>
      </c>
      <c r="Q1299" s="655">
        <f t="shared" si="71"/>
        <v>11</v>
      </c>
      <c r="R1299" s="758" t="str">
        <f t="shared" si="72"/>
        <v>Gastos_Gerais</v>
      </c>
      <c r="S1299" s="697" t="s">
        <v>310</v>
      </c>
      <c r="T1299" s="697" t="s">
        <v>310</v>
      </c>
    </row>
    <row r="1300" spans="1:20" ht="24" x14ac:dyDescent="0.2">
      <c r="A1300" s="432">
        <f>IF(B1300="","",COUNT('Diário 1º PA'!$A$4:$A$2635)+COUNT('Diário 2º PA'!$A$4:$A$3040)+COUNT('Diário 3º PA'!$A$4:$A$2731)+ROW()-3)</f>
        <v>7325</v>
      </c>
      <c r="B1300" s="413">
        <v>44895</v>
      </c>
      <c r="C1300" s="431">
        <v>44866</v>
      </c>
      <c r="D1300" s="419" t="s">
        <v>271</v>
      </c>
      <c r="E1300" s="419" t="s">
        <v>71</v>
      </c>
      <c r="F1300" s="422">
        <v>11</v>
      </c>
      <c r="G1300" s="419" t="s">
        <v>8709</v>
      </c>
      <c r="H1300" s="419" t="s">
        <v>310</v>
      </c>
      <c r="I1300" s="415" t="s">
        <v>881</v>
      </c>
      <c r="J1300" s="419" t="s">
        <v>882</v>
      </c>
      <c r="K1300" s="419" t="s">
        <v>883</v>
      </c>
      <c r="L1300" s="415" t="s">
        <v>798</v>
      </c>
      <c r="M1300" s="419" t="s">
        <v>310</v>
      </c>
      <c r="N1300" s="413">
        <v>44895</v>
      </c>
      <c r="O1300" s="414" t="s">
        <v>400</v>
      </c>
      <c r="P1300" s="655">
        <f t="shared" si="70"/>
        <v>11</v>
      </c>
      <c r="Q1300" s="655">
        <f t="shared" si="71"/>
        <v>11</v>
      </c>
      <c r="R1300" s="758" t="str">
        <f t="shared" si="72"/>
        <v>Gastos_Gerais</v>
      </c>
      <c r="S1300" s="697" t="s">
        <v>310</v>
      </c>
      <c r="T1300" s="697" t="s">
        <v>310</v>
      </c>
    </row>
    <row r="1301" spans="1:20" ht="24" x14ac:dyDescent="0.2">
      <c r="A1301" s="432">
        <f>IF(B1301="","",COUNT('Diário 1º PA'!$A$4:$A$2635)+COUNT('Diário 2º PA'!$A$4:$A$3040)+COUNT('Diário 3º PA'!$A$4:$A$2731)+ROW()-3)</f>
        <v>7326</v>
      </c>
      <c r="B1301" s="413">
        <v>44895</v>
      </c>
      <c r="C1301" s="431">
        <v>44866</v>
      </c>
      <c r="D1301" s="419" t="s">
        <v>271</v>
      </c>
      <c r="E1301" s="419" t="s">
        <v>71</v>
      </c>
      <c r="F1301" s="422">
        <v>11</v>
      </c>
      <c r="G1301" s="419" t="s">
        <v>8709</v>
      </c>
      <c r="H1301" s="419" t="s">
        <v>310</v>
      </c>
      <c r="I1301" s="415" t="s">
        <v>881</v>
      </c>
      <c r="J1301" s="419" t="s">
        <v>882</v>
      </c>
      <c r="K1301" s="419" t="s">
        <v>883</v>
      </c>
      <c r="L1301" s="415" t="s">
        <v>798</v>
      </c>
      <c r="M1301" s="419" t="s">
        <v>310</v>
      </c>
      <c r="N1301" s="413">
        <v>44895</v>
      </c>
      <c r="O1301" s="414" t="s">
        <v>400</v>
      </c>
      <c r="P1301" s="655">
        <f t="shared" si="70"/>
        <v>11</v>
      </c>
      <c r="Q1301" s="655">
        <f t="shared" si="71"/>
        <v>11</v>
      </c>
      <c r="R1301" s="758" t="str">
        <f t="shared" si="72"/>
        <v>Gastos_Gerais</v>
      </c>
      <c r="S1301" s="697" t="s">
        <v>310</v>
      </c>
      <c r="T1301" s="697" t="s">
        <v>310</v>
      </c>
    </row>
    <row r="1302" spans="1:20" ht="24" x14ac:dyDescent="0.2">
      <c r="A1302" s="432">
        <f>IF(B1302="","",COUNT('Diário 1º PA'!$A$4:$A$2635)+COUNT('Diário 2º PA'!$A$4:$A$3040)+COUNT('Diário 3º PA'!$A$4:$A$2731)+ROW()-3)</f>
        <v>7327</v>
      </c>
      <c r="B1302" s="413">
        <v>44895</v>
      </c>
      <c r="C1302" s="431">
        <v>44866</v>
      </c>
      <c r="D1302" s="419" t="s">
        <v>271</v>
      </c>
      <c r="E1302" s="419" t="s">
        <v>71</v>
      </c>
      <c r="F1302" s="422">
        <v>11</v>
      </c>
      <c r="G1302" s="419" t="s">
        <v>8709</v>
      </c>
      <c r="H1302" s="419" t="s">
        <v>310</v>
      </c>
      <c r="I1302" s="415" t="s">
        <v>881</v>
      </c>
      <c r="J1302" s="419" t="s">
        <v>882</v>
      </c>
      <c r="K1302" s="419" t="s">
        <v>883</v>
      </c>
      <c r="L1302" s="415" t="s">
        <v>798</v>
      </c>
      <c r="M1302" s="419" t="s">
        <v>310</v>
      </c>
      <c r="N1302" s="413">
        <v>44895</v>
      </c>
      <c r="O1302" s="414" t="s">
        <v>400</v>
      </c>
      <c r="P1302" s="655">
        <f t="shared" si="70"/>
        <v>11</v>
      </c>
      <c r="Q1302" s="655">
        <f t="shared" si="71"/>
        <v>11</v>
      </c>
      <c r="R1302" s="758" t="str">
        <f t="shared" si="72"/>
        <v>Gastos_Gerais</v>
      </c>
      <c r="S1302" s="697" t="s">
        <v>310</v>
      </c>
      <c r="T1302" s="697" t="s">
        <v>310</v>
      </c>
    </row>
    <row r="1303" spans="1:20" ht="24" x14ac:dyDescent="0.2">
      <c r="A1303" s="432">
        <f>IF(B1303="","",COUNT('Diário 1º PA'!$A$4:$A$2635)+COUNT('Diário 2º PA'!$A$4:$A$3040)+COUNT('Diário 3º PA'!$A$4:$A$2731)+ROW()-3)</f>
        <v>7328</v>
      </c>
      <c r="B1303" s="413">
        <v>44895</v>
      </c>
      <c r="C1303" s="431">
        <v>44866</v>
      </c>
      <c r="D1303" s="419" t="s">
        <v>271</v>
      </c>
      <c r="E1303" s="419" t="s">
        <v>71</v>
      </c>
      <c r="F1303" s="422">
        <v>11</v>
      </c>
      <c r="G1303" s="419" t="s">
        <v>8709</v>
      </c>
      <c r="H1303" s="419" t="s">
        <v>310</v>
      </c>
      <c r="I1303" s="415" t="s">
        <v>881</v>
      </c>
      <c r="J1303" s="419" t="s">
        <v>882</v>
      </c>
      <c r="K1303" s="419" t="s">
        <v>883</v>
      </c>
      <c r="L1303" s="415" t="s">
        <v>798</v>
      </c>
      <c r="M1303" s="419" t="s">
        <v>310</v>
      </c>
      <c r="N1303" s="413">
        <v>44895</v>
      </c>
      <c r="O1303" s="414" t="s">
        <v>400</v>
      </c>
      <c r="P1303" s="655">
        <f t="shared" si="70"/>
        <v>11</v>
      </c>
      <c r="Q1303" s="655">
        <f t="shared" si="71"/>
        <v>11</v>
      </c>
      <c r="R1303" s="758" t="str">
        <f t="shared" si="72"/>
        <v>Gastos_Gerais</v>
      </c>
      <c r="S1303" s="697" t="s">
        <v>310</v>
      </c>
      <c r="T1303" s="697" t="s">
        <v>310</v>
      </c>
    </row>
    <row r="1304" spans="1:20" ht="24" x14ac:dyDescent="0.2">
      <c r="A1304" s="432">
        <f>IF(B1304="","",COUNT('Diário 1º PA'!$A$4:$A$2635)+COUNT('Diário 2º PA'!$A$4:$A$3040)+COUNT('Diário 3º PA'!$A$4:$A$2731)+ROW()-3)</f>
        <v>7329</v>
      </c>
      <c r="B1304" s="413">
        <v>44895</v>
      </c>
      <c r="C1304" s="431">
        <v>44866</v>
      </c>
      <c r="D1304" s="419" t="s">
        <v>271</v>
      </c>
      <c r="E1304" s="419" t="s">
        <v>71</v>
      </c>
      <c r="F1304" s="422">
        <v>11</v>
      </c>
      <c r="G1304" s="419" t="s">
        <v>8709</v>
      </c>
      <c r="H1304" s="419" t="s">
        <v>310</v>
      </c>
      <c r="I1304" s="415" t="s">
        <v>881</v>
      </c>
      <c r="J1304" s="419" t="s">
        <v>882</v>
      </c>
      <c r="K1304" s="419" t="s">
        <v>883</v>
      </c>
      <c r="L1304" s="415" t="s">
        <v>798</v>
      </c>
      <c r="M1304" s="419" t="s">
        <v>310</v>
      </c>
      <c r="N1304" s="413">
        <v>44895</v>
      </c>
      <c r="O1304" s="414" t="s">
        <v>400</v>
      </c>
      <c r="P1304" s="655">
        <f t="shared" si="70"/>
        <v>11</v>
      </c>
      <c r="Q1304" s="655">
        <f t="shared" si="71"/>
        <v>11</v>
      </c>
      <c r="R1304" s="758" t="str">
        <f t="shared" si="72"/>
        <v>Gastos_Gerais</v>
      </c>
      <c r="S1304" s="697" t="s">
        <v>310</v>
      </c>
      <c r="T1304" s="697" t="s">
        <v>310</v>
      </c>
    </row>
    <row r="1305" spans="1:20" ht="24" x14ac:dyDescent="0.2">
      <c r="A1305" s="432">
        <f>IF(B1305="","",COUNT('Diário 1º PA'!$A$4:$A$2635)+COUNT('Diário 2º PA'!$A$4:$A$3040)+COUNT('Diário 3º PA'!$A$4:$A$2731)+ROW()-3)</f>
        <v>7330</v>
      </c>
      <c r="B1305" s="413">
        <v>44895</v>
      </c>
      <c r="C1305" s="431">
        <v>44866</v>
      </c>
      <c r="D1305" s="419" t="s">
        <v>271</v>
      </c>
      <c r="E1305" s="419" t="s">
        <v>71</v>
      </c>
      <c r="F1305" s="422">
        <v>11</v>
      </c>
      <c r="G1305" s="419" t="s">
        <v>8709</v>
      </c>
      <c r="H1305" s="419" t="s">
        <v>310</v>
      </c>
      <c r="I1305" s="415" t="s">
        <v>881</v>
      </c>
      <c r="J1305" s="419" t="s">
        <v>882</v>
      </c>
      <c r="K1305" s="419" t="s">
        <v>883</v>
      </c>
      <c r="L1305" s="415" t="s">
        <v>798</v>
      </c>
      <c r="M1305" s="419" t="s">
        <v>310</v>
      </c>
      <c r="N1305" s="413">
        <v>44895</v>
      </c>
      <c r="O1305" s="414" t="s">
        <v>400</v>
      </c>
      <c r="P1305" s="655">
        <f t="shared" si="70"/>
        <v>11</v>
      </c>
      <c r="Q1305" s="655">
        <f t="shared" si="71"/>
        <v>11</v>
      </c>
      <c r="R1305" s="758" t="str">
        <f t="shared" si="72"/>
        <v>Gastos_Gerais</v>
      </c>
      <c r="S1305" s="697" t="s">
        <v>310</v>
      </c>
      <c r="T1305" s="697" t="s">
        <v>310</v>
      </c>
    </row>
    <row r="1306" spans="1:20" ht="24" x14ac:dyDescent="0.2">
      <c r="A1306" s="432">
        <f>IF(B1306="","",COUNT('Diário 1º PA'!$A$4:$A$2635)+COUNT('Diário 2º PA'!$A$4:$A$3040)+COUNT('Diário 3º PA'!$A$4:$A$2731)+ROW()-3)</f>
        <v>7331</v>
      </c>
      <c r="B1306" s="413">
        <v>44895</v>
      </c>
      <c r="C1306" s="431">
        <v>44866</v>
      </c>
      <c r="D1306" s="419" t="s">
        <v>271</v>
      </c>
      <c r="E1306" s="419" t="s">
        <v>71</v>
      </c>
      <c r="F1306" s="422">
        <v>11</v>
      </c>
      <c r="G1306" s="419" t="s">
        <v>8709</v>
      </c>
      <c r="H1306" s="419" t="s">
        <v>310</v>
      </c>
      <c r="I1306" s="415" t="s">
        <v>881</v>
      </c>
      <c r="J1306" s="419" t="s">
        <v>882</v>
      </c>
      <c r="K1306" s="419" t="s">
        <v>883</v>
      </c>
      <c r="L1306" s="415" t="s">
        <v>798</v>
      </c>
      <c r="M1306" s="419" t="s">
        <v>310</v>
      </c>
      <c r="N1306" s="413">
        <v>44895</v>
      </c>
      <c r="O1306" s="414" t="s">
        <v>400</v>
      </c>
      <c r="P1306" s="655">
        <f t="shared" si="70"/>
        <v>11</v>
      </c>
      <c r="Q1306" s="655">
        <f t="shared" si="71"/>
        <v>11</v>
      </c>
      <c r="R1306" s="758" t="str">
        <f t="shared" si="72"/>
        <v>Gastos_Gerais</v>
      </c>
      <c r="S1306" s="697" t="s">
        <v>310</v>
      </c>
      <c r="T1306" s="697" t="s">
        <v>310</v>
      </c>
    </row>
    <row r="1307" spans="1:20" ht="24" x14ac:dyDescent="0.2">
      <c r="A1307" s="432">
        <f>IF(B1307="","",COUNT('Diário 1º PA'!$A$4:$A$2635)+COUNT('Diário 2º PA'!$A$4:$A$3040)+COUNT('Diário 3º PA'!$A$4:$A$2731)+ROW()-3)</f>
        <v>7332</v>
      </c>
      <c r="B1307" s="413">
        <v>44895</v>
      </c>
      <c r="C1307" s="431">
        <v>44866</v>
      </c>
      <c r="D1307" s="419" t="s">
        <v>271</v>
      </c>
      <c r="E1307" s="419" t="s">
        <v>71</v>
      </c>
      <c r="F1307" s="422">
        <v>11</v>
      </c>
      <c r="G1307" s="419" t="s">
        <v>8709</v>
      </c>
      <c r="H1307" s="419" t="s">
        <v>310</v>
      </c>
      <c r="I1307" s="415" t="s">
        <v>881</v>
      </c>
      <c r="J1307" s="419" t="s">
        <v>882</v>
      </c>
      <c r="K1307" s="419" t="s">
        <v>883</v>
      </c>
      <c r="L1307" s="415" t="s">
        <v>798</v>
      </c>
      <c r="M1307" s="419" t="s">
        <v>310</v>
      </c>
      <c r="N1307" s="413">
        <v>44895</v>
      </c>
      <c r="O1307" s="414" t="s">
        <v>400</v>
      </c>
      <c r="P1307" s="655">
        <f t="shared" si="70"/>
        <v>11</v>
      </c>
      <c r="Q1307" s="655">
        <f t="shared" si="71"/>
        <v>11</v>
      </c>
      <c r="R1307" s="758" t="str">
        <f t="shared" si="72"/>
        <v>Gastos_Gerais</v>
      </c>
      <c r="S1307" s="697" t="s">
        <v>310</v>
      </c>
      <c r="T1307" s="697" t="s">
        <v>310</v>
      </c>
    </row>
    <row r="1308" spans="1:20" ht="24" x14ac:dyDescent="0.2">
      <c r="A1308" s="432">
        <f>IF(B1308="","",COUNT('Diário 1º PA'!$A$4:$A$2635)+COUNT('Diário 2º PA'!$A$4:$A$3040)+COUNT('Diário 3º PA'!$A$4:$A$2731)+ROW()-3)</f>
        <v>7333</v>
      </c>
      <c r="B1308" s="413">
        <v>44895</v>
      </c>
      <c r="C1308" s="431">
        <v>44866</v>
      </c>
      <c r="D1308" s="419" t="s">
        <v>271</v>
      </c>
      <c r="E1308" s="419" t="s">
        <v>71</v>
      </c>
      <c r="F1308" s="422">
        <v>11</v>
      </c>
      <c r="G1308" s="419" t="s">
        <v>8709</v>
      </c>
      <c r="H1308" s="419" t="s">
        <v>310</v>
      </c>
      <c r="I1308" s="415" t="s">
        <v>881</v>
      </c>
      <c r="J1308" s="419" t="s">
        <v>882</v>
      </c>
      <c r="K1308" s="419" t="s">
        <v>883</v>
      </c>
      <c r="L1308" s="415" t="s">
        <v>798</v>
      </c>
      <c r="M1308" s="419" t="s">
        <v>310</v>
      </c>
      <c r="N1308" s="413">
        <v>44895</v>
      </c>
      <c r="O1308" s="414" t="s">
        <v>400</v>
      </c>
      <c r="P1308" s="655">
        <f t="shared" si="70"/>
        <v>11</v>
      </c>
      <c r="Q1308" s="655">
        <f t="shared" si="71"/>
        <v>11</v>
      </c>
      <c r="R1308" s="758" t="str">
        <f t="shared" si="72"/>
        <v>Gastos_Gerais</v>
      </c>
      <c r="S1308" s="697" t="s">
        <v>310</v>
      </c>
      <c r="T1308" s="697" t="s">
        <v>310</v>
      </c>
    </row>
    <row r="1309" spans="1:20" ht="24" x14ac:dyDescent="0.2">
      <c r="A1309" s="432">
        <f>IF(B1309="","",COUNT('Diário 1º PA'!$A$4:$A$2635)+COUNT('Diário 2º PA'!$A$4:$A$3040)+COUNT('Diário 3º PA'!$A$4:$A$2731)+ROW()-3)</f>
        <v>7334</v>
      </c>
      <c r="B1309" s="413">
        <v>44895</v>
      </c>
      <c r="C1309" s="431">
        <v>44866</v>
      </c>
      <c r="D1309" s="419" t="s">
        <v>271</v>
      </c>
      <c r="E1309" s="419" t="s">
        <v>71</v>
      </c>
      <c r="F1309" s="422">
        <v>11</v>
      </c>
      <c r="G1309" s="419" t="s">
        <v>8709</v>
      </c>
      <c r="H1309" s="419" t="s">
        <v>310</v>
      </c>
      <c r="I1309" s="415" t="s">
        <v>881</v>
      </c>
      <c r="J1309" s="419" t="s">
        <v>882</v>
      </c>
      <c r="K1309" s="419" t="s">
        <v>883</v>
      </c>
      <c r="L1309" s="415" t="s">
        <v>798</v>
      </c>
      <c r="M1309" s="419" t="s">
        <v>310</v>
      </c>
      <c r="N1309" s="413">
        <v>44895</v>
      </c>
      <c r="O1309" s="414" t="s">
        <v>400</v>
      </c>
      <c r="P1309" s="655">
        <f t="shared" si="70"/>
        <v>11</v>
      </c>
      <c r="Q1309" s="655">
        <f t="shared" si="71"/>
        <v>11</v>
      </c>
      <c r="R1309" s="758" t="str">
        <f t="shared" si="72"/>
        <v>Gastos_Gerais</v>
      </c>
      <c r="S1309" s="697" t="s">
        <v>310</v>
      </c>
      <c r="T1309" s="697" t="s">
        <v>310</v>
      </c>
    </row>
    <row r="1310" spans="1:20" ht="24" x14ac:dyDescent="0.2">
      <c r="A1310" s="432">
        <f>IF(B1310="","",COUNT('Diário 1º PA'!$A$4:$A$2635)+COUNT('Diário 2º PA'!$A$4:$A$3040)+COUNT('Diário 3º PA'!$A$4:$A$2731)+ROW()-3)</f>
        <v>7335</v>
      </c>
      <c r="B1310" s="413">
        <v>44895</v>
      </c>
      <c r="C1310" s="431">
        <v>44866</v>
      </c>
      <c r="D1310" s="419" t="s">
        <v>271</v>
      </c>
      <c r="E1310" s="419" t="s">
        <v>71</v>
      </c>
      <c r="F1310" s="422">
        <v>11</v>
      </c>
      <c r="G1310" s="419" t="s">
        <v>8709</v>
      </c>
      <c r="H1310" s="419" t="s">
        <v>310</v>
      </c>
      <c r="I1310" s="415" t="s">
        <v>881</v>
      </c>
      <c r="J1310" s="419" t="s">
        <v>882</v>
      </c>
      <c r="K1310" s="419" t="s">
        <v>883</v>
      </c>
      <c r="L1310" s="415" t="s">
        <v>798</v>
      </c>
      <c r="M1310" s="419" t="s">
        <v>310</v>
      </c>
      <c r="N1310" s="413">
        <v>44895</v>
      </c>
      <c r="O1310" s="414" t="s">
        <v>400</v>
      </c>
      <c r="P1310" s="655">
        <f t="shared" si="70"/>
        <v>11</v>
      </c>
      <c r="Q1310" s="655">
        <f t="shared" si="71"/>
        <v>11</v>
      </c>
      <c r="R1310" s="758" t="str">
        <f t="shared" si="72"/>
        <v>Gastos_Gerais</v>
      </c>
      <c r="S1310" s="697" t="s">
        <v>310</v>
      </c>
      <c r="T1310" s="697" t="s">
        <v>310</v>
      </c>
    </row>
    <row r="1311" spans="1:20" ht="24" x14ac:dyDescent="0.2">
      <c r="A1311" s="432">
        <f>IF(B1311="","",COUNT('Diário 1º PA'!$A$4:$A$2635)+COUNT('Diário 2º PA'!$A$4:$A$3040)+COUNT('Diário 3º PA'!$A$4:$A$2731)+ROW()-3)</f>
        <v>7336</v>
      </c>
      <c r="B1311" s="413">
        <v>44895</v>
      </c>
      <c r="C1311" s="431">
        <v>44866</v>
      </c>
      <c r="D1311" s="419" t="s">
        <v>271</v>
      </c>
      <c r="E1311" s="419" t="s">
        <v>71</v>
      </c>
      <c r="F1311" s="422">
        <v>11</v>
      </c>
      <c r="G1311" s="419" t="s">
        <v>8709</v>
      </c>
      <c r="H1311" s="419" t="s">
        <v>310</v>
      </c>
      <c r="I1311" s="415" t="s">
        <v>881</v>
      </c>
      <c r="J1311" s="419" t="s">
        <v>882</v>
      </c>
      <c r="K1311" s="419" t="s">
        <v>883</v>
      </c>
      <c r="L1311" s="415" t="s">
        <v>798</v>
      </c>
      <c r="M1311" s="419" t="s">
        <v>310</v>
      </c>
      <c r="N1311" s="413">
        <v>44895</v>
      </c>
      <c r="O1311" s="414" t="s">
        <v>400</v>
      </c>
      <c r="P1311" s="655">
        <f t="shared" si="70"/>
        <v>11</v>
      </c>
      <c r="Q1311" s="655">
        <f t="shared" si="71"/>
        <v>11</v>
      </c>
      <c r="R1311" s="758" t="str">
        <f t="shared" si="72"/>
        <v>Gastos_Gerais</v>
      </c>
      <c r="S1311" s="697" t="s">
        <v>310</v>
      </c>
      <c r="T1311" s="697" t="s">
        <v>310</v>
      </c>
    </row>
    <row r="1312" spans="1:20" ht="24" x14ac:dyDescent="0.2">
      <c r="A1312" s="432">
        <f>IF(B1312="","",COUNT('Diário 1º PA'!$A$4:$A$2635)+COUNT('Diário 2º PA'!$A$4:$A$3040)+COUNT('Diário 3º PA'!$A$4:$A$2731)+ROW()-3)</f>
        <v>7337</v>
      </c>
      <c r="B1312" s="413">
        <v>44895</v>
      </c>
      <c r="C1312" s="431">
        <v>44866</v>
      </c>
      <c r="D1312" s="419" t="s">
        <v>271</v>
      </c>
      <c r="E1312" s="419" t="s">
        <v>71</v>
      </c>
      <c r="F1312" s="422">
        <v>11</v>
      </c>
      <c r="G1312" s="419" t="s">
        <v>8709</v>
      </c>
      <c r="H1312" s="419" t="s">
        <v>310</v>
      </c>
      <c r="I1312" s="415" t="s">
        <v>881</v>
      </c>
      <c r="J1312" s="419" t="s">
        <v>882</v>
      </c>
      <c r="K1312" s="419" t="s">
        <v>883</v>
      </c>
      <c r="L1312" s="415" t="s">
        <v>798</v>
      </c>
      <c r="M1312" s="419" t="s">
        <v>310</v>
      </c>
      <c r="N1312" s="413">
        <v>44895</v>
      </c>
      <c r="O1312" s="414" t="s">
        <v>400</v>
      </c>
      <c r="P1312" s="655">
        <f t="shared" si="70"/>
        <v>11</v>
      </c>
      <c r="Q1312" s="655">
        <f t="shared" si="71"/>
        <v>11</v>
      </c>
      <c r="R1312" s="758" t="str">
        <f t="shared" si="72"/>
        <v>Gastos_Gerais</v>
      </c>
      <c r="S1312" s="697" t="s">
        <v>310</v>
      </c>
      <c r="T1312" s="697" t="s">
        <v>310</v>
      </c>
    </row>
    <row r="1313" spans="1:20" ht="24" x14ac:dyDescent="0.2">
      <c r="A1313" s="432">
        <f>IF(B1313="","",COUNT('Diário 1º PA'!$A$4:$A$2635)+COUNT('Diário 2º PA'!$A$4:$A$3040)+COUNT('Diário 3º PA'!$A$4:$A$2731)+ROW()-3)</f>
        <v>7338</v>
      </c>
      <c r="B1313" s="413">
        <v>44895</v>
      </c>
      <c r="C1313" s="431">
        <v>44866</v>
      </c>
      <c r="D1313" s="419" t="s">
        <v>271</v>
      </c>
      <c r="E1313" s="419" t="s">
        <v>71</v>
      </c>
      <c r="F1313" s="422">
        <v>11</v>
      </c>
      <c r="G1313" s="419" t="s">
        <v>8709</v>
      </c>
      <c r="H1313" s="419" t="s">
        <v>310</v>
      </c>
      <c r="I1313" s="415" t="s">
        <v>881</v>
      </c>
      <c r="J1313" s="419" t="s">
        <v>882</v>
      </c>
      <c r="K1313" s="419" t="s">
        <v>883</v>
      </c>
      <c r="L1313" s="415" t="s">
        <v>798</v>
      </c>
      <c r="M1313" s="419" t="s">
        <v>310</v>
      </c>
      <c r="N1313" s="413">
        <v>44895</v>
      </c>
      <c r="O1313" s="414" t="s">
        <v>400</v>
      </c>
      <c r="P1313" s="655">
        <f t="shared" si="70"/>
        <v>11</v>
      </c>
      <c r="Q1313" s="655">
        <f t="shared" si="71"/>
        <v>11</v>
      </c>
      <c r="R1313" s="758" t="str">
        <f t="shared" si="72"/>
        <v>Gastos_Gerais</v>
      </c>
      <c r="S1313" s="697" t="s">
        <v>310</v>
      </c>
      <c r="T1313" s="697" t="s">
        <v>310</v>
      </c>
    </row>
    <row r="1314" spans="1:20" ht="24" x14ac:dyDescent="0.2">
      <c r="A1314" s="432">
        <f>IF(B1314="","",COUNT('Diário 1º PA'!$A$4:$A$2635)+COUNT('Diário 2º PA'!$A$4:$A$3040)+COUNT('Diário 3º PA'!$A$4:$A$2731)+ROW()-3)</f>
        <v>7339</v>
      </c>
      <c r="B1314" s="413">
        <v>44895</v>
      </c>
      <c r="C1314" s="431">
        <v>44866</v>
      </c>
      <c r="D1314" s="419" t="s">
        <v>271</v>
      </c>
      <c r="E1314" s="419" t="s">
        <v>71</v>
      </c>
      <c r="F1314" s="422">
        <v>11</v>
      </c>
      <c r="G1314" s="419" t="s">
        <v>8709</v>
      </c>
      <c r="H1314" s="419" t="s">
        <v>310</v>
      </c>
      <c r="I1314" s="415" t="s">
        <v>881</v>
      </c>
      <c r="J1314" s="419" t="s">
        <v>882</v>
      </c>
      <c r="K1314" s="419" t="s">
        <v>883</v>
      </c>
      <c r="L1314" s="415" t="s">
        <v>798</v>
      </c>
      <c r="M1314" s="419" t="s">
        <v>310</v>
      </c>
      <c r="N1314" s="413">
        <v>44895</v>
      </c>
      <c r="O1314" s="414" t="s">
        <v>400</v>
      </c>
      <c r="P1314" s="655">
        <f t="shared" si="70"/>
        <v>11</v>
      </c>
      <c r="Q1314" s="655">
        <f t="shared" si="71"/>
        <v>11</v>
      </c>
      <c r="R1314" s="758" t="str">
        <f t="shared" si="72"/>
        <v>Gastos_Gerais</v>
      </c>
      <c r="S1314" s="697" t="s">
        <v>310</v>
      </c>
      <c r="T1314" s="697" t="s">
        <v>310</v>
      </c>
    </row>
    <row r="1315" spans="1:20" ht="24" x14ac:dyDescent="0.2">
      <c r="A1315" s="432">
        <f>IF(B1315="","",COUNT('Diário 1º PA'!$A$4:$A$2635)+COUNT('Diário 2º PA'!$A$4:$A$3040)+COUNT('Diário 3º PA'!$A$4:$A$2731)+ROW()-3)</f>
        <v>7340</v>
      </c>
      <c r="B1315" s="413">
        <v>44895</v>
      </c>
      <c r="C1315" s="431">
        <v>44866</v>
      </c>
      <c r="D1315" s="419" t="s">
        <v>271</v>
      </c>
      <c r="E1315" s="419" t="s">
        <v>71</v>
      </c>
      <c r="F1315" s="422">
        <v>11</v>
      </c>
      <c r="G1315" s="419" t="s">
        <v>8709</v>
      </c>
      <c r="H1315" s="419" t="s">
        <v>310</v>
      </c>
      <c r="I1315" s="415" t="s">
        <v>881</v>
      </c>
      <c r="J1315" s="419" t="s">
        <v>882</v>
      </c>
      <c r="K1315" s="419" t="s">
        <v>883</v>
      </c>
      <c r="L1315" s="415" t="s">
        <v>798</v>
      </c>
      <c r="M1315" s="419" t="s">
        <v>310</v>
      </c>
      <c r="N1315" s="413">
        <v>44895</v>
      </c>
      <c r="O1315" s="414" t="s">
        <v>400</v>
      </c>
      <c r="P1315" s="655">
        <f t="shared" ref="P1315:P1381" si="73">IF(B1315=0,0,IF(YEAR(B1315)=$Q$1,MONTH(B1315)-$P$1+1,(YEAR(B1315)-$Q$1)*12-$P$1+1+MONTH(B1315)))</f>
        <v>11</v>
      </c>
      <c r="Q1315" s="655">
        <f t="shared" ref="Q1315:Q1381" si="74">IF(C1315=0,0,IF(YEAR(C1315)=$Q$1,MONTH(C1315)-$P$1+1,(YEAR(C1315)-$Q$1)*12-$P$1+1+MONTH(C1315)))</f>
        <v>11</v>
      </c>
      <c r="R1315" s="758" t="str">
        <f t="shared" si="72"/>
        <v>Gastos_Gerais</v>
      </c>
      <c r="S1315" s="697" t="s">
        <v>310</v>
      </c>
      <c r="T1315" s="697" t="s">
        <v>310</v>
      </c>
    </row>
    <row r="1316" spans="1:20" ht="24" x14ac:dyDescent="0.2">
      <c r="A1316" s="432">
        <f>IF(B1316="","",COUNT('Diário 1º PA'!$A$4:$A$2635)+COUNT('Diário 2º PA'!$A$4:$A$3040)+COUNT('Diário 3º PA'!$A$4:$A$2731)+ROW()-3)</f>
        <v>7341</v>
      </c>
      <c r="B1316" s="413">
        <v>44895</v>
      </c>
      <c r="C1316" s="431">
        <v>44866</v>
      </c>
      <c r="D1316" s="419" t="s">
        <v>271</v>
      </c>
      <c r="E1316" s="419" t="s">
        <v>71</v>
      </c>
      <c r="F1316" s="422">
        <v>11</v>
      </c>
      <c r="G1316" s="419" t="s">
        <v>8709</v>
      </c>
      <c r="H1316" s="419" t="s">
        <v>310</v>
      </c>
      <c r="I1316" s="415" t="s">
        <v>881</v>
      </c>
      <c r="J1316" s="419" t="s">
        <v>882</v>
      </c>
      <c r="K1316" s="419" t="s">
        <v>883</v>
      </c>
      <c r="L1316" s="415" t="s">
        <v>798</v>
      </c>
      <c r="M1316" s="419" t="s">
        <v>310</v>
      </c>
      <c r="N1316" s="413">
        <v>44895</v>
      </c>
      <c r="O1316" s="414" t="s">
        <v>400</v>
      </c>
      <c r="P1316" s="655">
        <f t="shared" si="73"/>
        <v>11</v>
      </c>
      <c r="Q1316" s="655">
        <f t="shared" si="74"/>
        <v>11</v>
      </c>
      <c r="R1316" s="758" t="str">
        <f t="shared" si="72"/>
        <v>Gastos_Gerais</v>
      </c>
      <c r="S1316" s="697" t="s">
        <v>310</v>
      </c>
      <c r="T1316" s="697" t="s">
        <v>310</v>
      </c>
    </row>
    <row r="1317" spans="1:20" ht="48.75" customHeight="1" x14ac:dyDescent="0.2">
      <c r="A1317" s="432">
        <f>IF(B1317="","",COUNT('Diário 1º PA'!$A$4:$A$2635)+COUNT('Diário 2º PA'!$A$4:$A$3040)+COUNT('Diário 3º PA'!$A$4:$A$2731)+ROW()-3)</f>
        <v>7342</v>
      </c>
      <c r="B1317" s="413">
        <v>44895</v>
      </c>
      <c r="C1317" s="431">
        <v>44866</v>
      </c>
      <c r="D1317" s="419" t="s">
        <v>295</v>
      </c>
      <c r="E1317" s="419" t="s">
        <v>295</v>
      </c>
      <c r="F1317" s="422">
        <v>18317.54</v>
      </c>
      <c r="G1317" s="427" t="s">
        <v>8618</v>
      </c>
      <c r="H1317" s="415" t="s">
        <v>310</v>
      </c>
      <c r="I1317" s="473" t="s">
        <v>3030</v>
      </c>
      <c r="J1317" s="415" t="s">
        <v>796</v>
      </c>
      <c r="K1317" s="415" t="s">
        <v>797</v>
      </c>
      <c r="L1317" s="415" t="s">
        <v>798</v>
      </c>
      <c r="M1317" s="415" t="s">
        <v>310</v>
      </c>
      <c r="N1317" s="413">
        <v>44895</v>
      </c>
      <c r="O1317" s="414" t="s">
        <v>400</v>
      </c>
      <c r="P1317" s="655">
        <f t="shared" si="73"/>
        <v>11</v>
      </c>
      <c r="Q1317" s="655">
        <f t="shared" si="74"/>
        <v>11</v>
      </c>
      <c r="R1317" s="758" t="str">
        <f t="shared" si="72"/>
        <v>Rendimentos_de_Aplicações_Fin.</v>
      </c>
      <c r="S1317" s="697" t="s">
        <v>310</v>
      </c>
      <c r="T1317" s="697" t="s">
        <v>310</v>
      </c>
    </row>
    <row r="1318" spans="1:20" ht="38.25" customHeight="1" x14ac:dyDescent="0.2">
      <c r="A1318" s="432">
        <f>IF(B1318="","",COUNT('Diário 1º PA'!$A$4:$A$2635)+COUNT('Diário 2º PA'!$A$4:$A$3040)+COUNT('Diário 3º PA'!$A$4:$A$2731)+ROW()-3)</f>
        <v>7343</v>
      </c>
      <c r="B1318" s="413">
        <v>44895</v>
      </c>
      <c r="C1318" s="431">
        <v>44866</v>
      </c>
      <c r="D1318" s="419" t="s">
        <v>271</v>
      </c>
      <c r="E1318" s="419" t="s">
        <v>78</v>
      </c>
      <c r="F1318" s="422">
        <v>18037.740000000002</v>
      </c>
      <c r="G1318" s="427" t="s">
        <v>8619</v>
      </c>
      <c r="H1318" s="415" t="s">
        <v>310</v>
      </c>
      <c r="I1318" s="473" t="s">
        <v>1461</v>
      </c>
      <c r="J1318" s="415" t="s">
        <v>310</v>
      </c>
      <c r="K1318" s="415" t="s">
        <v>1220</v>
      </c>
      <c r="L1318" s="415" t="s">
        <v>1368</v>
      </c>
      <c r="M1318" s="415" t="s">
        <v>310</v>
      </c>
      <c r="N1318" s="413">
        <v>44895</v>
      </c>
      <c r="O1318" s="414" t="s">
        <v>400</v>
      </c>
      <c r="P1318" s="655">
        <f t="shared" si="73"/>
        <v>11</v>
      </c>
      <c r="Q1318" s="655">
        <f t="shared" si="74"/>
        <v>11</v>
      </c>
      <c r="R1318" s="758" t="str">
        <f t="shared" si="72"/>
        <v>Gastos_Gerais</v>
      </c>
      <c r="S1318" s="697" t="s">
        <v>310</v>
      </c>
      <c r="T1318" s="697" t="s">
        <v>310</v>
      </c>
    </row>
    <row r="1319" spans="1:20" ht="48" x14ac:dyDescent="0.2">
      <c r="A1319" s="432">
        <f>IF(B1319="","",COUNT('Diário 1º PA'!$A$4:$A$2635)+COUNT('Diário 2º PA'!$A$4:$A$3040)+COUNT('Diário 3º PA'!$A$4:$A$2731)+ROW()-3)</f>
        <v>7344</v>
      </c>
      <c r="B1319" s="413">
        <v>44895</v>
      </c>
      <c r="C1319" s="431">
        <v>44866</v>
      </c>
      <c r="D1319" s="419" t="s">
        <v>468</v>
      </c>
      <c r="E1319" s="419" t="s">
        <v>468</v>
      </c>
      <c r="F1319" s="422">
        <v>5000</v>
      </c>
      <c r="G1319" s="423" t="s">
        <v>4714</v>
      </c>
      <c r="H1319" s="419" t="s">
        <v>468</v>
      </c>
      <c r="I1319" s="474" t="s">
        <v>2437</v>
      </c>
      <c r="J1319" s="434" t="s">
        <v>796</v>
      </c>
      <c r="K1319" s="434" t="s">
        <v>806</v>
      </c>
      <c r="L1319" s="434" t="s">
        <v>798</v>
      </c>
      <c r="M1319" s="436" t="s">
        <v>310</v>
      </c>
      <c r="N1319" s="413">
        <v>44895</v>
      </c>
      <c r="O1319" s="414" t="s">
        <v>405</v>
      </c>
      <c r="P1319" s="655">
        <f t="shared" si="73"/>
        <v>11</v>
      </c>
      <c r="Q1319" s="655">
        <f t="shared" si="74"/>
        <v>11</v>
      </c>
      <c r="R1319" s="758" t="str">
        <f t="shared" si="72"/>
        <v>Gastos_custeados_por_captação</v>
      </c>
      <c r="S1319" s="697" t="s">
        <v>310</v>
      </c>
      <c r="T1319" s="697" t="s">
        <v>310</v>
      </c>
    </row>
    <row r="1320" spans="1:20" ht="48" x14ac:dyDescent="0.2">
      <c r="A1320" s="432">
        <f>IF(B1320="","",COUNT('Diário 1º PA'!$A$4:$A$2635)+COUNT('Diário 2º PA'!$A$4:$A$3040)+COUNT('Diário 3º PA'!$A$4:$A$2731)+ROW()-3)</f>
        <v>7345</v>
      </c>
      <c r="B1320" s="413">
        <v>44895</v>
      </c>
      <c r="C1320" s="431">
        <v>44866</v>
      </c>
      <c r="D1320" s="419" t="s">
        <v>468</v>
      </c>
      <c r="E1320" s="419" t="s">
        <v>468</v>
      </c>
      <c r="F1320" s="422">
        <v>5000</v>
      </c>
      <c r="G1320" s="744" t="s">
        <v>6961</v>
      </c>
      <c r="H1320" s="419" t="s">
        <v>468</v>
      </c>
      <c r="I1320" s="474" t="s">
        <v>2437</v>
      </c>
      <c r="J1320" s="434" t="s">
        <v>796</v>
      </c>
      <c r="K1320" s="434" t="s">
        <v>806</v>
      </c>
      <c r="L1320" s="434" t="s">
        <v>798</v>
      </c>
      <c r="M1320" s="436" t="s">
        <v>310</v>
      </c>
      <c r="N1320" s="413">
        <v>44895</v>
      </c>
      <c r="O1320" s="414" t="s">
        <v>405</v>
      </c>
      <c r="P1320" s="655">
        <f t="shared" si="73"/>
        <v>11</v>
      </c>
      <c r="Q1320" s="655">
        <f t="shared" si="74"/>
        <v>11</v>
      </c>
      <c r="R1320" s="758" t="str">
        <f t="shared" si="72"/>
        <v>Gastos_custeados_por_captação</v>
      </c>
      <c r="S1320" s="697" t="s">
        <v>310</v>
      </c>
      <c r="T1320" s="697" t="s">
        <v>310</v>
      </c>
    </row>
    <row r="1321" spans="1:20" ht="48" x14ac:dyDescent="0.2">
      <c r="A1321" s="432">
        <f>IF(B1321="","",COUNT('Diário 1º PA'!$A$4:$A$2635)+COUNT('Diário 2º PA'!$A$4:$A$3040)+COUNT('Diário 3º PA'!$A$4:$A$2731)+ROW()-3)</f>
        <v>7346</v>
      </c>
      <c r="B1321" s="413">
        <v>44895</v>
      </c>
      <c r="C1321" s="431">
        <v>44866</v>
      </c>
      <c r="D1321" s="419" t="s">
        <v>468</v>
      </c>
      <c r="E1321" s="419" t="s">
        <v>468</v>
      </c>
      <c r="F1321" s="422">
        <v>12000</v>
      </c>
      <c r="G1321" s="427" t="s">
        <v>5585</v>
      </c>
      <c r="H1321" s="419" t="s">
        <v>468</v>
      </c>
      <c r="I1321" s="437" t="s">
        <v>2437</v>
      </c>
      <c r="J1321" s="434" t="s">
        <v>796</v>
      </c>
      <c r="K1321" s="419" t="s">
        <v>806</v>
      </c>
      <c r="L1321" s="434" t="s">
        <v>798</v>
      </c>
      <c r="M1321" s="436" t="s">
        <v>310</v>
      </c>
      <c r="N1321" s="413">
        <v>44895</v>
      </c>
      <c r="O1321" s="414" t="s">
        <v>404</v>
      </c>
      <c r="P1321" s="655">
        <f t="shared" si="73"/>
        <v>11</v>
      </c>
      <c r="Q1321" s="655">
        <f t="shared" si="74"/>
        <v>11</v>
      </c>
      <c r="R1321" s="758" t="str">
        <f t="shared" si="72"/>
        <v>Gastos_custeados_por_captação</v>
      </c>
      <c r="S1321" s="697" t="s">
        <v>310</v>
      </c>
      <c r="T1321" s="697" t="s">
        <v>310</v>
      </c>
    </row>
    <row r="1322" spans="1:20" ht="48" x14ac:dyDescent="0.2">
      <c r="A1322" s="432">
        <f>IF(B1322="","",COUNT('Diário 1º PA'!$A$4:$A$2635)+COUNT('Diário 2º PA'!$A$4:$A$3040)+COUNT('Diário 3º PA'!$A$4:$A$2731)+ROW()-3)</f>
        <v>7347</v>
      </c>
      <c r="B1322" s="413">
        <v>44895</v>
      </c>
      <c r="C1322" s="424">
        <v>44866</v>
      </c>
      <c r="D1322" s="419" t="s">
        <v>468</v>
      </c>
      <c r="E1322" s="419" t="s">
        <v>468</v>
      </c>
      <c r="F1322" s="422">
        <v>8000</v>
      </c>
      <c r="G1322" s="423" t="s">
        <v>5023</v>
      </c>
      <c r="H1322" s="419" t="s">
        <v>468</v>
      </c>
      <c r="I1322" s="437" t="s">
        <v>2437</v>
      </c>
      <c r="J1322" s="434" t="s">
        <v>796</v>
      </c>
      <c r="K1322" s="419" t="s">
        <v>806</v>
      </c>
      <c r="L1322" s="434" t="s">
        <v>798</v>
      </c>
      <c r="M1322" s="436" t="s">
        <v>310</v>
      </c>
      <c r="N1322" s="413">
        <v>44895</v>
      </c>
      <c r="O1322" s="414" t="s">
        <v>404</v>
      </c>
      <c r="P1322" s="655">
        <f t="shared" si="73"/>
        <v>11</v>
      </c>
      <c r="Q1322" s="655">
        <f t="shared" si="74"/>
        <v>11</v>
      </c>
      <c r="R1322" s="758" t="str">
        <f t="shared" si="72"/>
        <v>Gastos_custeados_por_captação</v>
      </c>
      <c r="S1322" s="697" t="s">
        <v>310</v>
      </c>
      <c r="T1322" s="697" t="s">
        <v>310</v>
      </c>
    </row>
    <row r="1323" spans="1:20" ht="36" x14ac:dyDescent="0.2">
      <c r="A1323" s="432">
        <f>IF(B1323="","",COUNT('Diário 1º PA'!$A$4:$A$2635)+COUNT('Diário 2º PA'!$A$4:$A$3040)+COUNT('Diário 3º PA'!$A$4:$A$2731)+ROW()-3)</f>
        <v>7348</v>
      </c>
      <c r="B1323" s="413">
        <v>44895</v>
      </c>
      <c r="C1323" s="421">
        <v>44866</v>
      </c>
      <c r="D1323" s="419" t="s">
        <v>468</v>
      </c>
      <c r="E1323" s="419" t="s">
        <v>468</v>
      </c>
      <c r="F1323" s="422">
        <v>-5000</v>
      </c>
      <c r="G1323" s="423" t="s">
        <v>4714</v>
      </c>
      <c r="H1323" s="419" t="s">
        <v>468</v>
      </c>
      <c r="I1323" s="427" t="s">
        <v>2437</v>
      </c>
      <c r="J1323" s="415" t="s">
        <v>796</v>
      </c>
      <c r="K1323" s="415" t="s">
        <v>797</v>
      </c>
      <c r="L1323" s="415" t="s">
        <v>798</v>
      </c>
      <c r="M1323" s="415" t="s">
        <v>310</v>
      </c>
      <c r="N1323" s="413">
        <v>44895</v>
      </c>
      <c r="O1323" s="414" t="s">
        <v>408</v>
      </c>
      <c r="P1323" s="655">
        <f t="shared" si="73"/>
        <v>11</v>
      </c>
      <c r="Q1323" s="655">
        <f t="shared" si="74"/>
        <v>11</v>
      </c>
      <c r="R1323" s="758" t="str">
        <f t="shared" si="72"/>
        <v>Gastos_custeados_por_captação</v>
      </c>
      <c r="S1323" s="697" t="s">
        <v>310</v>
      </c>
      <c r="T1323" s="697" t="s">
        <v>310</v>
      </c>
    </row>
    <row r="1324" spans="1:20" ht="36" x14ac:dyDescent="0.2">
      <c r="A1324" s="432">
        <f>IF(B1324="","",COUNT('Diário 1º PA'!$A$4:$A$2635)+COUNT('Diário 2º PA'!$A$4:$A$3040)+COUNT('Diário 3º PA'!$A$4:$A$2731)+ROW()-3)</f>
        <v>7349</v>
      </c>
      <c r="B1324" s="413">
        <v>44895</v>
      </c>
      <c r="C1324" s="421">
        <v>44866</v>
      </c>
      <c r="D1324" s="419" t="s">
        <v>468</v>
      </c>
      <c r="E1324" s="419" t="s">
        <v>468</v>
      </c>
      <c r="F1324" s="422">
        <v>-5000</v>
      </c>
      <c r="G1324" s="744" t="s">
        <v>6961</v>
      </c>
      <c r="H1324" s="419" t="s">
        <v>468</v>
      </c>
      <c r="I1324" s="427" t="s">
        <v>2437</v>
      </c>
      <c r="J1324" s="415" t="s">
        <v>796</v>
      </c>
      <c r="K1324" s="415" t="s">
        <v>797</v>
      </c>
      <c r="L1324" s="415" t="s">
        <v>798</v>
      </c>
      <c r="M1324" s="415" t="s">
        <v>310</v>
      </c>
      <c r="N1324" s="413">
        <v>44895</v>
      </c>
      <c r="O1324" s="414" t="s">
        <v>408</v>
      </c>
      <c r="P1324" s="655">
        <f t="shared" si="73"/>
        <v>11</v>
      </c>
      <c r="Q1324" s="655">
        <f t="shared" si="74"/>
        <v>11</v>
      </c>
      <c r="R1324" s="758" t="str">
        <f t="shared" si="72"/>
        <v>Gastos_custeados_por_captação</v>
      </c>
      <c r="S1324" s="697" t="s">
        <v>310</v>
      </c>
      <c r="T1324" s="697" t="s">
        <v>310</v>
      </c>
    </row>
    <row r="1325" spans="1:20" ht="36" x14ac:dyDescent="0.2">
      <c r="A1325" s="432">
        <f>IF(B1325="","",COUNT('Diário 1º PA'!$A$4:$A$2635)+COUNT('Diário 2º PA'!$A$4:$A$3040)+COUNT('Diário 3º PA'!$A$4:$A$2731)+ROW()-3)</f>
        <v>7350</v>
      </c>
      <c r="B1325" s="413">
        <v>44895</v>
      </c>
      <c r="C1325" s="421">
        <v>44866</v>
      </c>
      <c r="D1325" s="419" t="s">
        <v>468</v>
      </c>
      <c r="E1325" s="419" t="s">
        <v>468</v>
      </c>
      <c r="F1325" s="422">
        <v>-12000</v>
      </c>
      <c r="G1325" s="427" t="s">
        <v>5585</v>
      </c>
      <c r="H1325" s="419" t="s">
        <v>468</v>
      </c>
      <c r="I1325" s="427" t="s">
        <v>2437</v>
      </c>
      <c r="J1325" s="415" t="s">
        <v>796</v>
      </c>
      <c r="K1325" s="415" t="s">
        <v>797</v>
      </c>
      <c r="L1325" s="415" t="s">
        <v>798</v>
      </c>
      <c r="M1325" s="415" t="s">
        <v>310</v>
      </c>
      <c r="N1325" s="413">
        <v>44895</v>
      </c>
      <c r="O1325" s="414" t="s">
        <v>408</v>
      </c>
      <c r="P1325" s="655">
        <f t="shared" si="73"/>
        <v>11</v>
      </c>
      <c r="Q1325" s="655">
        <f t="shared" si="74"/>
        <v>11</v>
      </c>
      <c r="R1325" s="758" t="str">
        <f t="shared" si="72"/>
        <v>Gastos_custeados_por_captação</v>
      </c>
      <c r="S1325" s="697" t="s">
        <v>310</v>
      </c>
      <c r="T1325" s="697" t="s">
        <v>310</v>
      </c>
    </row>
    <row r="1326" spans="1:20" ht="36" x14ac:dyDescent="0.2">
      <c r="A1326" s="432">
        <f>IF(B1326="","",COUNT('Diário 1º PA'!$A$4:$A$2635)+COUNT('Diário 2º PA'!$A$4:$A$3040)+COUNT('Diário 3º PA'!$A$4:$A$2731)+ROW()-3)</f>
        <v>7351</v>
      </c>
      <c r="B1326" s="413">
        <v>44895</v>
      </c>
      <c r="C1326" s="431">
        <v>44866</v>
      </c>
      <c r="D1326" s="419" t="s">
        <v>468</v>
      </c>
      <c r="E1326" s="419" t="s">
        <v>468</v>
      </c>
      <c r="F1326" s="422">
        <v>-8000</v>
      </c>
      <c r="G1326" s="423" t="s">
        <v>5023</v>
      </c>
      <c r="H1326" s="419" t="s">
        <v>468</v>
      </c>
      <c r="I1326" s="427" t="s">
        <v>2437</v>
      </c>
      <c r="J1326" s="415" t="s">
        <v>796</v>
      </c>
      <c r="K1326" s="415" t="s">
        <v>797</v>
      </c>
      <c r="L1326" s="415" t="s">
        <v>798</v>
      </c>
      <c r="M1326" s="415" t="s">
        <v>310</v>
      </c>
      <c r="N1326" s="413">
        <v>44895</v>
      </c>
      <c r="O1326" s="414" t="s">
        <v>408</v>
      </c>
      <c r="P1326" s="655">
        <f t="shared" si="73"/>
        <v>11</v>
      </c>
      <c r="Q1326" s="655">
        <f t="shared" si="74"/>
        <v>11</v>
      </c>
      <c r="R1326" s="758" t="str">
        <f t="shared" si="72"/>
        <v>Gastos_custeados_por_captação</v>
      </c>
      <c r="S1326" s="697" t="s">
        <v>310</v>
      </c>
      <c r="T1326" s="697" t="s">
        <v>310</v>
      </c>
    </row>
    <row r="1327" spans="1:20" ht="36" x14ac:dyDescent="0.2">
      <c r="A1327" s="432">
        <f>IF(B1327="","",COUNT('Diário 1º PA'!$A$4:$A$2635)+COUNT('Diário 2º PA'!$A$4:$A$3040)+COUNT('Diário 3º PA'!$A$4:$A$2731)+ROW()-3)</f>
        <v>7352</v>
      </c>
      <c r="B1327" s="413">
        <v>44895</v>
      </c>
      <c r="C1327" s="421">
        <v>44866</v>
      </c>
      <c r="D1327" s="419" t="s">
        <v>468</v>
      </c>
      <c r="E1327" s="419" t="s">
        <v>468</v>
      </c>
      <c r="F1327" s="422">
        <v>-6950</v>
      </c>
      <c r="G1327" s="744" t="s">
        <v>5215</v>
      </c>
      <c r="H1327" s="419" t="s">
        <v>468</v>
      </c>
      <c r="I1327" s="427" t="s">
        <v>2437</v>
      </c>
      <c r="J1327" s="415" t="s">
        <v>796</v>
      </c>
      <c r="K1327" s="415" t="s">
        <v>797</v>
      </c>
      <c r="L1327" s="415" t="s">
        <v>798</v>
      </c>
      <c r="M1327" s="415" t="s">
        <v>310</v>
      </c>
      <c r="N1327" s="413">
        <v>44895</v>
      </c>
      <c r="O1327" s="414" t="s">
        <v>408</v>
      </c>
      <c r="P1327" s="655">
        <f t="shared" si="73"/>
        <v>11</v>
      </c>
      <c r="Q1327" s="655">
        <f t="shared" si="74"/>
        <v>11</v>
      </c>
      <c r="R1327" s="758" t="str">
        <f t="shared" si="72"/>
        <v>Gastos_custeados_por_captação</v>
      </c>
      <c r="S1327" s="697" t="s">
        <v>310</v>
      </c>
      <c r="T1327" s="697" t="s">
        <v>310</v>
      </c>
    </row>
    <row r="1328" spans="1:20" ht="36" x14ac:dyDescent="0.2">
      <c r="A1328" s="432">
        <f>IF(B1328="","",COUNT('Diário 1º PA'!$A$4:$A$2635)+COUNT('Diário 2º PA'!$A$4:$A$3040)+COUNT('Diário 3º PA'!$A$4:$A$2731)+ROW()-3)</f>
        <v>7353</v>
      </c>
      <c r="B1328" s="413">
        <v>44895</v>
      </c>
      <c r="C1328" s="421">
        <v>44866</v>
      </c>
      <c r="D1328" s="419" t="s">
        <v>468</v>
      </c>
      <c r="E1328" s="419" t="s">
        <v>468</v>
      </c>
      <c r="F1328" s="422">
        <v>-5900</v>
      </c>
      <c r="G1328" s="423" t="s">
        <v>5216</v>
      </c>
      <c r="H1328" s="419" t="s">
        <v>468</v>
      </c>
      <c r="I1328" s="427" t="s">
        <v>2437</v>
      </c>
      <c r="J1328" s="415" t="s">
        <v>796</v>
      </c>
      <c r="K1328" s="415" t="s">
        <v>797</v>
      </c>
      <c r="L1328" s="415" t="s">
        <v>798</v>
      </c>
      <c r="M1328" s="415" t="s">
        <v>310</v>
      </c>
      <c r="N1328" s="413">
        <v>44895</v>
      </c>
      <c r="O1328" s="414" t="s">
        <v>408</v>
      </c>
      <c r="P1328" s="655">
        <f t="shared" si="73"/>
        <v>11</v>
      </c>
      <c r="Q1328" s="655">
        <f t="shared" si="74"/>
        <v>11</v>
      </c>
      <c r="R1328" s="758" t="str">
        <f t="shared" si="72"/>
        <v>Gastos_custeados_por_captação</v>
      </c>
      <c r="S1328" s="697" t="s">
        <v>310</v>
      </c>
      <c r="T1328" s="697" t="s">
        <v>310</v>
      </c>
    </row>
    <row r="1329" spans="1:20" ht="36" x14ac:dyDescent="0.2">
      <c r="A1329" s="432">
        <f>IF(B1329="","",COUNT('Diário 1º PA'!$A$4:$A$2635)+COUNT('Diário 2º PA'!$A$4:$A$3040)+COUNT('Diário 3º PA'!$A$4:$A$2731)+ROW()-3)</f>
        <v>7354</v>
      </c>
      <c r="B1329" s="413">
        <v>44895</v>
      </c>
      <c r="C1329" s="421">
        <v>44866</v>
      </c>
      <c r="D1329" s="419" t="s">
        <v>468</v>
      </c>
      <c r="E1329" s="419" t="s">
        <v>468</v>
      </c>
      <c r="F1329" s="422">
        <v>-5900</v>
      </c>
      <c r="G1329" s="423" t="s">
        <v>5584</v>
      </c>
      <c r="H1329" s="419" t="s">
        <v>468</v>
      </c>
      <c r="I1329" s="427" t="s">
        <v>2437</v>
      </c>
      <c r="J1329" s="415" t="s">
        <v>796</v>
      </c>
      <c r="K1329" s="415" t="s">
        <v>797</v>
      </c>
      <c r="L1329" s="415" t="s">
        <v>798</v>
      </c>
      <c r="M1329" s="415" t="s">
        <v>310</v>
      </c>
      <c r="N1329" s="413">
        <v>44895</v>
      </c>
      <c r="O1329" s="414" t="s">
        <v>408</v>
      </c>
      <c r="P1329" s="655">
        <f t="shared" si="73"/>
        <v>11</v>
      </c>
      <c r="Q1329" s="655">
        <f t="shared" si="74"/>
        <v>11</v>
      </c>
      <c r="R1329" s="758" t="str">
        <f t="shared" si="72"/>
        <v>Gastos_custeados_por_captação</v>
      </c>
      <c r="S1329" s="697" t="s">
        <v>310</v>
      </c>
      <c r="T1329" s="697" t="s">
        <v>310</v>
      </c>
    </row>
    <row r="1330" spans="1:20" ht="36" x14ac:dyDescent="0.2">
      <c r="A1330" s="432">
        <f>IF(B1330="","",COUNT('Diário 1º PA'!$A$4:$A$2635)+COUNT('Diário 2º PA'!$A$4:$A$3040)+COUNT('Diário 3º PA'!$A$4:$A$2731)+ROW()-3)</f>
        <v>7355</v>
      </c>
      <c r="B1330" s="413">
        <v>44895</v>
      </c>
      <c r="C1330" s="431">
        <v>44805</v>
      </c>
      <c r="D1330" s="419" t="s">
        <v>468</v>
      </c>
      <c r="E1330" s="419" t="s">
        <v>468</v>
      </c>
      <c r="F1330" s="422">
        <v>587.94000000000005</v>
      </c>
      <c r="G1330" s="427" t="s">
        <v>2268</v>
      </c>
      <c r="H1330" s="419" t="s">
        <v>468</v>
      </c>
      <c r="I1330" s="415" t="s">
        <v>4123</v>
      </c>
      <c r="J1330" s="415" t="s">
        <v>2269</v>
      </c>
      <c r="K1330" s="419" t="s">
        <v>830</v>
      </c>
      <c r="L1330" s="415" t="s">
        <v>32</v>
      </c>
      <c r="M1330" s="419" t="s">
        <v>4741</v>
      </c>
      <c r="N1330" s="413">
        <v>44894</v>
      </c>
      <c r="O1330" s="414" t="s">
        <v>408</v>
      </c>
      <c r="P1330" s="655">
        <f t="shared" si="73"/>
        <v>11</v>
      </c>
      <c r="Q1330" s="655">
        <f t="shared" si="74"/>
        <v>9</v>
      </c>
      <c r="R1330" s="758" t="str">
        <f t="shared" si="72"/>
        <v>Gastos_custeados_por_captação</v>
      </c>
      <c r="S1330" s="697" t="s">
        <v>1000</v>
      </c>
      <c r="T1330" s="697">
        <v>3093</v>
      </c>
    </row>
    <row r="1331" spans="1:20" ht="36" x14ac:dyDescent="0.2">
      <c r="A1331" s="432">
        <f>IF(B1331="","",COUNT('Diário 1º PA'!$A$4:$A$2635)+COUNT('Diário 2º PA'!$A$4:$A$3040)+COUNT('Diário 3º PA'!$A$4:$A$2731)+ROW()-3)</f>
        <v>7356</v>
      </c>
      <c r="B1331" s="413">
        <v>44895</v>
      </c>
      <c r="C1331" s="421">
        <v>44866</v>
      </c>
      <c r="D1331" s="419" t="s">
        <v>468</v>
      </c>
      <c r="E1331" s="419" t="s">
        <v>468</v>
      </c>
      <c r="F1331" s="422">
        <v>11</v>
      </c>
      <c r="G1331" s="427" t="s">
        <v>2469</v>
      </c>
      <c r="H1331" s="419" t="s">
        <v>468</v>
      </c>
      <c r="I1331" s="639" t="s">
        <v>881</v>
      </c>
      <c r="J1331" s="418" t="s">
        <v>882</v>
      </c>
      <c r="K1331" s="418" t="s">
        <v>883</v>
      </c>
      <c r="L1331" s="399" t="s">
        <v>798</v>
      </c>
      <c r="M1331" s="544" t="s">
        <v>310</v>
      </c>
      <c r="N1331" s="413">
        <v>44895</v>
      </c>
      <c r="O1331" s="414" t="s">
        <v>408</v>
      </c>
      <c r="P1331" s="655">
        <f t="shared" si="73"/>
        <v>11</v>
      </c>
      <c r="Q1331" s="655">
        <f t="shared" si="74"/>
        <v>11</v>
      </c>
      <c r="R1331" s="758" t="str">
        <f t="shared" ref="R1331:R1397" si="75">SUBSTITUTE(D1331," ","_")</f>
        <v>Gastos_custeados_por_captação</v>
      </c>
      <c r="S1331" s="697" t="s">
        <v>310</v>
      </c>
      <c r="T1331" s="697" t="s">
        <v>310</v>
      </c>
    </row>
    <row r="1332" spans="1:20" ht="36" x14ac:dyDescent="0.2">
      <c r="A1332" s="432">
        <f>IF(B1332="","",COUNT('Diário 1º PA'!$A$4:$A$2635)+COUNT('Diário 2º PA'!$A$4:$A$3040)+COUNT('Diário 3º PA'!$A$4:$A$2731)+ROW()-3)</f>
        <v>7357</v>
      </c>
      <c r="B1332" s="413">
        <v>44895</v>
      </c>
      <c r="C1332" s="431">
        <v>44866</v>
      </c>
      <c r="D1332" s="415" t="s">
        <v>295</v>
      </c>
      <c r="E1332" s="415" t="s">
        <v>295</v>
      </c>
      <c r="F1332" s="422">
        <v>31.99</v>
      </c>
      <c r="G1332" s="427" t="s">
        <v>8620</v>
      </c>
      <c r="H1332" s="415" t="s">
        <v>310</v>
      </c>
      <c r="I1332" s="473" t="s">
        <v>3030</v>
      </c>
      <c r="J1332" s="415" t="s">
        <v>796</v>
      </c>
      <c r="K1332" s="415" t="s">
        <v>797</v>
      </c>
      <c r="L1332" s="415" t="s">
        <v>798</v>
      </c>
      <c r="M1332" s="415" t="s">
        <v>310</v>
      </c>
      <c r="N1332" s="455">
        <v>44895</v>
      </c>
      <c r="O1332" s="414" t="s">
        <v>408</v>
      </c>
      <c r="P1332" s="655">
        <f t="shared" si="73"/>
        <v>11</v>
      </c>
      <c r="Q1332" s="655">
        <f t="shared" si="74"/>
        <v>11</v>
      </c>
      <c r="R1332" s="758" t="str">
        <f t="shared" si="75"/>
        <v>Rendimentos_de_Aplicações_Fin.</v>
      </c>
      <c r="S1332" s="697" t="s">
        <v>310</v>
      </c>
      <c r="T1332" s="697" t="s">
        <v>310</v>
      </c>
    </row>
    <row r="1333" spans="1:20" ht="36" x14ac:dyDescent="0.2">
      <c r="A1333" s="432">
        <f>IF(B1333="","",COUNT('Diário 1º PA'!$A$4:$A$2635)+COUNT('Diário 2º PA'!$A$4:$A$3040)+COUNT('Diário 3º PA'!$A$4:$A$2731)+ROW()-3)</f>
        <v>7358</v>
      </c>
      <c r="B1333" s="413">
        <v>44895</v>
      </c>
      <c r="C1333" s="431">
        <v>44866</v>
      </c>
      <c r="D1333" s="419" t="s">
        <v>468</v>
      </c>
      <c r="E1333" s="419" t="s">
        <v>468</v>
      </c>
      <c r="F1333" s="422">
        <v>6950</v>
      </c>
      <c r="G1333" s="744" t="s">
        <v>5215</v>
      </c>
      <c r="H1333" s="419" t="s">
        <v>468</v>
      </c>
      <c r="I1333" s="474" t="s">
        <v>2437</v>
      </c>
      <c r="J1333" s="434" t="s">
        <v>796</v>
      </c>
      <c r="K1333" s="434" t="s">
        <v>806</v>
      </c>
      <c r="L1333" s="434" t="s">
        <v>798</v>
      </c>
      <c r="M1333" s="436" t="s">
        <v>310</v>
      </c>
      <c r="N1333" s="413">
        <v>44895</v>
      </c>
      <c r="O1333" s="414" t="s">
        <v>3762</v>
      </c>
      <c r="P1333" s="655">
        <f t="shared" si="73"/>
        <v>11</v>
      </c>
      <c r="Q1333" s="655">
        <f t="shared" si="74"/>
        <v>11</v>
      </c>
      <c r="R1333" s="758" t="str">
        <f t="shared" si="75"/>
        <v>Gastos_custeados_por_captação</v>
      </c>
      <c r="S1333" s="697" t="s">
        <v>310</v>
      </c>
      <c r="T1333" s="697" t="s">
        <v>310</v>
      </c>
    </row>
    <row r="1334" spans="1:20" ht="36" x14ac:dyDescent="0.2">
      <c r="A1334" s="432">
        <f>IF(B1334="","",COUNT('Diário 1º PA'!$A$4:$A$2635)+COUNT('Diário 2º PA'!$A$4:$A$3040)+COUNT('Diário 3º PA'!$A$4:$A$2731)+ROW()-3)</f>
        <v>7359</v>
      </c>
      <c r="B1334" s="413">
        <v>44895</v>
      </c>
      <c r="C1334" s="421">
        <v>44866</v>
      </c>
      <c r="D1334" s="419" t="s">
        <v>468</v>
      </c>
      <c r="E1334" s="419" t="s">
        <v>468</v>
      </c>
      <c r="F1334" s="422">
        <v>5900</v>
      </c>
      <c r="G1334" s="423" t="s">
        <v>5216</v>
      </c>
      <c r="H1334" s="419" t="s">
        <v>468</v>
      </c>
      <c r="I1334" s="474" t="s">
        <v>2437</v>
      </c>
      <c r="J1334" s="434" t="s">
        <v>796</v>
      </c>
      <c r="K1334" s="434" t="s">
        <v>806</v>
      </c>
      <c r="L1334" s="434" t="s">
        <v>798</v>
      </c>
      <c r="M1334" s="436" t="s">
        <v>310</v>
      </c>
      <c r="N1334" s="413">
        <v>44895</v>
      </c>
      <c r="O1334" s="414" t="s">
        <v>3762</v>
      </c>
      <c r="P1334" s="655">
        <f t="shared" si="73"/>
        <v>11</v>
      </c>
      <c r="Q1334" s="655">
        <f t="shared" si="74"/>
        <v>11</v>
      </c>
      <c r="R1334" s="758" t="str">
        <f t="shared" si="75"/>
        <v>Gastos_custeados_por_captação</v>
      </c>
      <c r="S1334" s="697" t="s">
        <v>310</v>
      </c>
      <c r="T1334" s="697" t="s">
        <v>310</v>
      </c>
    </row>
    <row r="1335" spans="1:20" ht="36" x14ac:dyDescent="0.2">
      <c r="A1335" s="432">
        <f>IF(B1335="","",COUNT('Diário 1º PA'!$A$4:$A$2635)+COUNT('Diário 2º PA'!$A$4:$A$3040)+COUNT('Diário 3º PA'!$A$4:$A$2731)+ROW()-3)</f>
        <v>7360</v>
      </c>
      <c r="B1335" s="413">
        <v>44895</v>
      </c>
      <c r="C1335" s="421">
        <v>44866</v>
      </c>
      <c r="D1335" s="419" t="s">
        <v>468</v>
      </c>
      <c r="E1335" s="419" t="s">
        <v>468</v>
      </c>
      <c r="F1335" s="422">
        <v>5900</v>
      </c>
      <c r="G1335" s="423" t="s">
        <v>5584</v>
      </c>
      <c r="H1335" s="419" t="s">
        <v>468</v>
      </c>
      <c r="I1335" s="474" t="s">
        <v>2437</v>
      </c>
      <c r="J1335" s="434" t="s">
        <v>796</v>
      </c>
      <c r="K1335" s="434" t="s">
        <v>806</v>
      </c>
      <c r="L1335" s="434" t="s">
        <v>798</v>
      </c>
      <c r="M1335" s="436" t="s">
        <v>310</v>
      </c>
      <c r="N1335" s="413">
        <v>44895</v>
      </c>
      <c r="O1335" s="414" t="s">
        <v>3762</v>
      </c>
      <c r="P1335" s="655">
        <f t="shared" si="73"/>
        <v>11</v>
      </c>
      <c r="Q1335" s="655">
        <f t="shared" si="74"/>
        <v>11</v>
      </c>
      <c r="R1335" s="758" t="str">
        <f t="shared" si="75"/>
        <v>Gastos_custeados_por_captação</v>
      </c>
      <c r="S1335" s="697" t="s">
        <v>310</v>
      </c>
      <c r="T1335" s="697" t="s">
        <v>310</v>
      </c>
    </row>
    <row r="1336" spans="1:20" ht="48" x14ac:dyDescent="0.2">
      <c r="A1336" s="432">
        <f>IF(B1336="","",COUNT('Diário 1º PA'!$A$4:$A$2635)+COUNT('Diário 2º PA'!$A$4:$A$3040)+COUNT('Diário 3º PA'!$A$4:$A$2731)+ROW()-3)</f>
        <v>7361</v>
      </c>
      <c r="B1336" s="413">
        <v>44895</v>
      </c>
      <c r="C1336" s="421">
        <v>44866</v>
      </c>
      <c r="D1336" s="419" t="s">
        <v>468</v>
      </c>
      <c r="E1336" s="419" t="s">
        <v>468</v>
      </c>
      <c r="F1336" s="422">
        <v>130.65</v>
      </c>
      <c r="G1336" s="419" t="s">
        <v>8871</v>
      </c>
      <c r="H1336" s="419" t="s">
        <v>468</v>
      </c>
      <c r="I1336" s="415" t="s">
        <v>8872</v>
      </c>
      <c r="J1336" s="419" t="s">
        <v>8873</v>
      </c>
      <c r="K1336" s="434" t="s">
        <v>806</v>
      </c>
      <c r="L1336" s="415" t="s">
        <v>807</v>
      </c>
      <c r="M1336" s="419">
        <v>60895</v>
      </c>
      <c r="N1336" s="413">
        <v>44895</v>
      </c>
      <c r="O1336" s="414" t="s">
        <v>3762</v>
      </c>
      <c r="P1336" s="655">
        <f t="shared" si="73"/>
        <v>11</v>
      </c>
      <c r="Q1336" s="655">
        <f t="shared" si="74"/>
        <v>11</v>
      </c>
      <c r="R1336" s="758" t="str">
        <f t="shared" si="75"/>
        <v>Gastos_custeados_por_captação</v>
      </c>
      <c r="S1336" s="697" t="s">
        <v>999</v>
      </c>
      <c r="T1336" s="697">
        <v>4822</v>
      </c>
    </row>
    <row r="1337" spans="1:20" ht="36" x14ac:dyDescent="0.2">
      <c r="A1337" s="432">
        <f>IF(B1337="","",COUNT('Diário 1º PA'!$A$4:$A$2635)+COUNT('Diário 2º PA'!$A$4:$A$3040)+COUNT('Diário 3º PA'!$A$4:$A$2731)+ROW()-3)</f>
        <v>7362</v>
      </c>
      <c r="B1337" s="413">
        <v>44895</v>
      </c>
      <c r="C1337" s="431">
        <v>44866</v>
      </c>
      <c r="D1337" s="415" t="s">
        <v>295</v>
      </c>
      <c r="E1337" s="415" t="s">
        <v>295</v>
      </c>
      <c r="F1337" s="422">
        <v>1116.0899999999999</v>
      </c>
      <c r="G1337" s="427" t="s">
        <v>8621</v>
      </c>
      <c r="H1337" s="415" t="s">
        <v>310</v>
      </c>
      <c r="I1337" s="473" t="s">
        <v>2437</v>
      </c>
      <c r="J1337" s="415" t="s">
        <v>796</v>
      </c>
      <c r="K1337" s="415" t="s">
        <v>797</v>
      </c>
      <c r="L1337" s="415" t="s">
        <v>798</v>
      </c>
      <c r="M1337" s="415" t="s">
        <v>310</v>
      </c>
      <c r="N1337" s="455">
        <v>44895</v>
      </c>
      <c r="O1337" s="414" t="s">
        <v>3762</v>
      </c>
      <c r="P1337" s="655">
        <f t="shared" si="73"/>
        <v>11</v>
      </c>
      <c r="Q1337" s="655">
        <f t="shared" si="74"/>
        <v>11</v>
      </c>
      <c r="R1337" s="758" t="str">
        <f t="shared" si="75"/>
        <v>Rendimentos_de_Aplicações_Fin.</v>
      </c>
      <c r="S1337" s="697" t="s">
        <v>310</v>
      </c>
      <c r="T1337" s="697" t="s">
        <v>310</v>
      </c>
    </row>
    <row r="1338" spans="1:20" ht="72" x14ac:dyDescent="0.2">
      <c r="A1338" s="432">
        <f>IF(B1338="","",COUNT('Diário 1º PA'!$A$4:$A$2635)+COUNT('Diário 2º PA'!$A$4:$A$3040)+COUNT('Diário 3º PA'!$A$4:$A$2731)+ROW()-3)</f>
        <v>7363</v>
      </c>
      <c r="B1338" s="413">
        <v>44895</v>
      </c>
      <c r="C1338" s="421">
        <v>44866</v>
      </c>
      <c r="D1338" s="419" t="s">
        <v>468</v>
      </c>
      <c r="E1338" s="419" t="s">
        <v>468</v>
      </c>
      <c r="F1338" s="422">
        <v>137.47</v>
      </c>
      <c r="G1338" s="427" t="s">
        <v>9226</v>
      </c>
      <c r="H1338" s="419" t="s">
        <v>468</v>
      </c>
      <c r="I1338" s="473" t="s">
        <v>9227</v>
      </c>
      <c r="J1338" s="415" t="s">
        <v>9228</v>
      </c>
      <c r="K1338" s="415" t="s">
        <v>830</v>
      </c>
      <c r="L1338" s="415" t="s">
        <v>807</v>
      </c>
      <c r="M1338" s="415">
        <v>207724</v>
      </c>
      <c r="N1338" s="455">
        <v>44895</v>
      </c>
      <c r="O1338" s="414" t="s">
        <v>403</v>
      </c>
      <c r="P1338" s="655">
        <f t="shared" ref="P1338" si="76">IF(B1338=0,0,IF(YEAR(B1338)=$Q$1,MONTH(B1338)-$P$1+1,(YEAR(B1338)-$Q$1)*12-$P$1+1+MONTH(B1338)))</f>
        <v>11</v>
      </c>
      <c r="Q1338" s="655">
        <f t="shared" ref="Q1338" si="77">IF(C1338=0,0,IF(YEAR(C1338)=$Q$1,MONTH(C1338)-$P$1+1,(YEAR(C1338)-$Q$1)*12-$P$1+1+MONTH(C1338)))</f>
        <v>11</v>
      </c>
      <c r="R1338" s="758" t="str">
        <f t="shared" ref="R1338" si="78">SUBSTITUTE(D1338," ","_")</f>
        <v>Gastos_custeados_por_captação</v>
      </c>
      <c r="S1338" s="697" t="s">
        <v>310</v>
      </c>
      <c r="T1338" s="697" t="s">
        <v>310</v>
      </c>
    </row>
    <row r="1339" spans="1:20" ht="48" x14ac:dyDescent="0.2">
      <c r="A1339" s="432">
        <f>IF(B1339="","",COUNT('Diário 1º PA'!$A$4:$A$2635)+COUNT('Diário 2º PA'!$A$4:$A$3040)+COUNT('Diário 3º PA'!$A$4:$A$2731)+ROW()-3)</f>
        <v>7364</v>
      </c>
      <c r="B1339" s="413">
        <v>44896</v>
      </c>
      <c r="C1339" s="424">
        <v>44866</v>
      </c>
      <c r="D1339" s="419" t="s">
        <v>182</v>
      </c>
      <c r="E1339" s="419" t="s">
        <v>179</v>
      </c>
      <c r="F1339" s="422">
        <v>-15.12</v>
      </c>
      <c r="G1339" s="427" t="s">
        <v>8633</v>
      </c>
      <c r="H1339" s="419" t="s">
        <v>310</v>
      </c>
      <c r="I1339" s="415" t="s">
        <v>795</v>
      </c>
      <c r="J1339" s="419" t="s">
        <v>796</v>
      </c>
      <c r="K1339" s="419" t="s">
        <v>797</v>
      </c>
      <c r="L1339" s="415" t="s">
        <v>798</v>
      </c>
      <c r="M1339" s="419" t="s">
        <v>310</v>
      </c>
      <c r="N1339" s="413">
        <v>44896</v>
      </c>
      <c r="O1339" s="413" t="s">
        <v>400</v>
      </c>
      <c r="P1339" s="655">
        <f t="shared" si="73"/>
        <v>12</v>
      </c>
      <c r="Q1339" s="655">
        <f t="shared" si="74"/>
        <v>11</v>
      </c>
      <c r="R1339" s="758" t="str">
        <f t="shared" si="75"/>
        <v>Gastos_com_Pessoal</v>
      </c>
      <c r="S1339" s="697" t="s">
        <v>310</v>
      </c>
      <c r="T1339" s="697" t="s">
        <v>310</v>
      </c>
    </row>
    <row r="1340" spans="1:20" ht="48" x14ac:dyDescent="0.2">
      <c r="A1340" s="432">
        <f>IF(B1340="","",COUNT('Diário 1º PA'!$A$4:$A$2635)+COUNT('Diário 2º PA'!$A$4:$A$3040)+COUNT('Diário 3º PA'!$A$4:$A$2731)+ROW()-3)</f>
        <v>7365</v>
      </c>
      <c r="B1340" s="413">
        <v>44896</v>
      </c>
      <c r="C1340" s="424">
        <v>44866</v>
      </c>
      <c r="D1340" s="419" t="s">
        <v>182</v>
      </c>
      <c r="E1340" s="419" t="s">
        <v>179</v>
      </c>
      <c r="F1340" s="422">
        <v>-75.599999999999994</v>
      </c>
      <c r="G1340" s="427" t="s">
        <v>8634</v>
      </c>
      <c r="H1340" s="419" t="s">
        <v>310</v>
      </c>
      <c r="I1340" s="415" t="s">
        <v>795</v>
      </c>
      <c r="J1340" s="419" t="s">
        <v>796</v>
      </c>
      <c r="K1340" s="419" t="s">
        <v>797</v>
      </c>
      <c r="L1340" s="415" t="s">
        <v>798</v>
      </c>
      <c r="M1340" s="419" t="s">
        <v>310</v>
      </c>
      <c r="N1340" s="413">
        <v>44896</v>
      </c>
      <c r="O1340" s="414" t="s">
        <v>400</v>
      </c>
      <c r="P1340" s="655">
        <f t="shared" si="73"/>
        <v>12</v>
      </c>
      <c r="Q1340" s="655">
        <f t="shared" si="74"/>
        <v>11</v>
      </c>
      <c r="R1340" s="758" t="str">
        <f t="shared" si="75"/>
        <v>Gastos_com_Pessoal</v>
      </c>
      <c r="S1340" s="697" t="s">
        <v>310</v>
      </c>
      <c r="T1340" s="697" t="s">
        <v>310</v>
      </c>
    </row>
    <row r="1341" spans="1:20" ht="48" x14ac:dyDescent="0.2">
      <c r="A1341" s="432">
        <f>IF(B1341="","",COUNT('Diário 1º PA'!$A$4:$A$2635)+COUNT('Diário 2º PA'!$A$4:$A$3040)+COUNT('Diário 3º PA'!$A$4:$A$2731)+ROW()-3)</f>
        <v>7366</v>
      </c>
      <c r="B1341" s="413">
        <v>44896</v>
      </c>
      <c r="C1341" s="424">
        <v>44866</v>
      </c>
      <c r="D1341" s="419" t="s">
        <v>182</v>
      </c>
      <c r="E1341" s="419" t="s">
        <v>179</v>
      </c>
      <c r="F1341" s="422">
        <v>-30.24</v>
      </c>
      <c r="G1341" s="423" t="s">
        <v>8635</v>
      </c>
      <c r="H1341" s="419" t="s">
        <v>310</v>
      </c>
      <c r="I1341" s="415" t="s">
        <v>795</v>
      </c>
      <c r="J1341" s="419" t="s">
        <v>796</v>
      </c>
      <c r="K1341" s="419" t="s">
        <v>797</v>
      </c>
      <c r="L1341" s="415" t="s">
        <v>798</v>
      </c>
      <c r="M1341" s="419" t="s">
        <v>310</v>
      </c>
      <c r="N1341" s="413">
        <v>44896</v>
      </c>
      <c r="O1341" s="414" t="s">
        <v>400</v>
      </c>
      <c r="P1341" s="655">
        <f t="shared" si="73"/>
        <v>12</v>
      </c>
      <c r="Q1341" s="655">
        <f t="shared" si="74"/>
        <v>11</v>
      </c>
      <c r="R1341" s="758" t="str">
        <f t="shared" si="75"/>
        <v>Gastos_com_Pessoal</v>
      </c>
      <c r="S1341" s="697" t="s">
        <v>310</v>
      </c>
      <c r="T1341" s="697" t="s">
        <v>310</v>
      </c>
    </row>
    <row r="1342" spans="1:20" ht="24" x14ac:dyDescent="0.2">
      <c r="A1342" s="432">
        <f>IF(B1342="","",COUNT('Diário 1º PA'!$A$4:$A$2635)+COUNT('Diário 2º PA'!$A$4:$A$3040)+COUNT('Diário 3º PA'!$A$4:$A$2731)+ROW()-3)</f>
        <v>7367</v>
      </c>
      <c r="B1342" s="413">
        <v>44896</v>
      </c>
      <c r="C1342" s="424">
        <v>44866</v>
      </c>
      <c r="D1342" s="419" t="s">
        <v>182</v>
      </c>
      <c r="E1342" s="419" t="s">
        <v>179</v>
      </c>
      <c r="F1342" s="422">
        <v>417.53</v>
      </c>
      <c r="G1342" s="427" t="s">
        <v>8636</v>
      </c>
      <c r="H1342" s="419" t="s">
        <v>310</v>
      </c>
      <c r="I1342" s="415" t="s">
        <v>771</v>
      </c>
      <c r="J1342" s="419" t="s">
        <v>819</v>
      </c>
      <c r="K1342" s="419" t="s">
        <v>812</v>
      </c>
      <c r="L1342" s="415" t="s">
        <v>32</v>
      </c>
      <c r="M1342" s="419" t="s">
        <v>8637</v>
      </c>
      <c r="N1342" s="413">
        <v>44881</v>
      </c>
      <c r="O1342" s="414" t="s">
        <v>400</v>
      </c>
      <c r="P1342" s="655">
        <f t="shared" si="73"/>
        <v>12</v>
      </c>
      <c r="Q1342" s="655">
        <f t="shared" si="74"/>
        <v>11</v>
      </c>
      <c r="R1342" s="758" t="str">
        <f t="shared" si="75"/>
        <v>Gastos_com_Pessoal</v>
      </c>
      <c r="S1342" s="697" t="s">
        <v>1000</v>
      </c>
      <c r="T1342" s="697">
        <v>4575</v>
      </c>
    </row>
    <row r="1343" spans="1:20" ht="24" x14ac:dyDescent="0.2">
      <c r="A1343" s="432">
        <f>IF(B1343="","",COUNT('Diário 1º PA'!$A$4:$A$2635)+COUNT('Diário 2º PA'!$A$4:$A$3040)+COUNT('Diário 3º PA'!$A$4:$A$2731)+ROW()-3)</f>
        <v>7368</v>
      </c>
      <c r="B1343" s="413">
        <v>44896</v>
      </c>
      <c r="C1343" s="424">
        <v>44866</v>
      </c>
      <c r="D1343" s="415" t="s">
        <v>271</v>
      </c>
      <c r="E1343" s="415" t="s">
        <v>2</v>
      </c>
      <c r="F1343" s="425">
        <v>11503</v>
      </c>
      <c r="G1343" s="427" t="s">
        <v>8640</v>
      </c>
      <c r="H1343" s="419" t="s">
        <v>309</v>
      </c>
      <c r="I1343" s="415" t="s">
        <v>8098</v>
      </c>
      <c r="J1343" s="415" t="s">
        <v>7567</v>
      </c>
      <c r="K1343" s="419" t="s">
        <v>812</v>
      </c>
      <c r="L1343" s="415" t="s">
        <v>8119</v>
      </c>
      <c r="M1343" s="419" t="s">
        <v>8355</v>
      </c>
      <c r="N1343" s="413">
        <v>44896</v>
      </c>
      <c r="O1343" s="414" t="s">
        <v>400</v>
      </c>
      <c r="P1343" s="655">
        <f t="shared" si="73"/>
        <v>12</v>
      </c>
      <c r="Q1343" s="655">
        <f t="shared" si="74"/>
        <v>11</v>
      </c>
      <c r="R1343" s="758" t="str">
        <f t="shared" si="75"/>
        <v>Gastos_Gerais</v>
      </c>
      <c r="S1343" s="697" t="s">
        <v>1000</v>
      </c>
      <c r="T1343" s="697">
        <v>4374</v>
      </c>
    </row>
    <row r="1344" spans="1:20" ht="24" x14ac:dyDescent="0.2">
      <c r="A1344" s="432">
        <f>IF(B1344="","",COUNT('Diário 1º PA'!$A$4:$A$2635)+COUNT('Diário 2º PA'!$A$4:$A$3040)+COUNT('Diário 3º PA'!$A$4:$A$2731)+ROW()-3)</f>
        <v>7369</v>
      </c>
      <c r="B1344" s="413">
        <v>44896</v>
      </c>
      <c r="C1344" s="424">
        <v>44866</v>
      </c>
      <c r="D1344" s="419" t="s">
        <v>182</v>
      </c>
      <c r="E1344" s="419" t="s">
        <v>179</v>
      </c>
      <c r="F1344" s="422">
        <v>604.04999999999995</v>
      </c>
      <c r="G1344" s="427" t="s">
        <v>8636</v>
      </c>
      <c r="H1344" s="419" t="s">
        <v>310</v>
      </c>
      <c r="I1344" s="415" t="s">
        <v>771</v>
      </c>
      <c r="J1344" s="419" t="s">
        <v>819</v>
      </c>
      <c r="K1344" s="419" t="s">
        <v>812</v>
      </c>
      <c r="L1344" s="415" t="s">
        <v>32</v>
      </c>
      <c r="M1344" s="419" t="s">
        <v>8641</v>
      </c>
      <c r="N1344" s="413">
        <v>44881</v>
      </c>
      <c r="O1344" s="414" t="s">
        <v>400</v>
      </c>
      <c r="P1344" s="655">
        <f t="shared" si="73"/>
        <v>12</v>
      </c>
      <c r="Q1344" s="655">
        <f t="shared" si="74"/>
        <v>11</v>
      </c>
      <c r="R1344" s="758" t="str">
        <f t="shared" si="75"/>
        <v>Gastos_com_Pessoal</v>
      </c>
      <c r="S1344" s="697" t="s">
        <v>1000</v>
      </c>
      <c r="T1344" s="697">
        <v>4575</v>
      </c>
    </row>
    <row r="1345" spans="1:20" ht="48" x14ac:dyDescent="0.2">
      <c r="A1345" s="432">
        <f>IF(B1345="","",COUNT('Diário 1º PA'!$A$4:$A$2635)+COUNT('Diário 2º PA'!$A$4:$A$3040)+COUNT('Diário 3º PA'!$A$4:$A$2731)+ROW()-3)</f>
        <v>7370</v>
      </c>
      <c r="B1345" s="413">
        <v>44896</v>
      </c>
      <c r="C1345" s="431">
        <v>44743</v>
      </c>
      <c r="D1345" s="419" t="s">
        <v>468</v>
      </c>
      <c r="E1345" s="419" t="s">
        <v>468</v>
      </c>
      <c r="F1345" s="422">
        <v>420</v>
      </c>
      <c r="G1345" s="427" t="s">
        <v>5776</v>
      </c>
      <c r="H1345" s="419" t="s">
        <v>468</v>
      </c>
      <c r="I1345" s="415" t="s">
        <v>8714</v>
      </c>
      <c r="J1345" s="419" t="s">
        <v>5777</v>
      </c>
      <c r="K1345" s="419" t="s">
        <v>830</v>
      </c>
      <c r="L1345" s="415" t="s">
        <v>839</v>
      </c>
      <c r="M1345" s="419">
        <v>1919</v>
      </c>
      <c r="N1345" s="413">
        <v>44776</v>
      </c>
      <c r="O1345" s="414" t="s">
        <v>405</v>
      </c>
      <c r="P1345" s="655">
        <f t="shared" si="73"/>
        <v>12</v>
      </c>
      <c r="Q1345" s="655">
        <f t="shared" si="74"/>
        <v>7</v>
      </c>
      <c r="R1345" s="758" t="str">
        <f t="shared" si="75"/>
        <v>Gastos_custeados_por_captação</v>
      </c>
      <c r="S1345" s="697" t="s">
        <v>998</v>
      </c>
      <c r="T1345" s="699">
        <v>4037</v>
      </c>
    </row>
    <row r="1346" spans="1:20" ht="108" x14ac:dyDescent="0.2">
      <c r="A1346" s="432">
        <f>IF(B1346="","",COUNT('Diário 1º PA'!$A$4:$A$2635)+COUNT('Diário 2º PA'!$A$4:$A$3040)+COUNT('Diário 3º PA'!$A$4:$A$2731)+ROW()-3)</f>
        <v>7371</v>
      </c>
      <c r="B1346" s="413">
        <v>44896</v>
      </c>
      <c r="C1346" s="760">
        <v>44896</v>
      </c>
      <c r="D1346" s="419" t="s">
        <v>468</v>
      </c>
      <c r="E1346" s="419" t="s">
        <v>468</v>
      </c>
      <c r="F1346" s="422">
        <v>238.8</v>
      </c>
      <c r="G1346" s="757" t="s">
        <v>8647</v>
      </c>
      <c r="H1346" s="419" t="s">
        <v>468</v>
      </c>
      <c r="I1346" s="415" t="s">
        <v>8866</v>
      </c>
      <c r="J1346" s="417" t="s">
        <v>8648</v>
      </c>
      <c r="K1346" s="419" t="s">
        <v>812</v>
      </c>
      <c r="L1346" s="415" t="s">
        <v>32</v>
      </c>
      <c r="M1346" s="419">
        <v>1044634</v>
      </c>
      <c r="N1346" s="413">
        <v>44902</v>
      </c>
      <c r="O1346" s="414" t="s">
        <v>408</v>
      </c>
      <c r="P1346" s="655">
        <f t="shared" si="73"/>
        <v>12</v>
      </c>
      <c r="Q1346" s="655">
        <f t="shared" si="74"/>
        <v>12</v>
      </c>
      <c r="R1346" s="758" t="str">
        <f t="shared" si="75"/>
        <v>Gastos_custeados_por_captação</v>
      </c>
      <c r="S1346" s="697" t="s">
        <v>998</v>
      </c>
      <c r="T1346" s="697">
        <v>4843</v>
      </c>
    </row>
    <row r="1347" spans="1:20" ht="48" x14ac:dyDescent="0.2">
      <c r="A1347" s="432">
        <f>IF(B1347="","",COUNT('Diário 1º PA'!$A$4:$A$2635)+COUNT('Diário 2º PA'!$A$4:$A$3040)+COUNT('Diário 3º PA'!$A$4:$A$2731)+ROW()-3)</f>
        <v>7372</v>
      </c>
      <c r="B1347" s="413">
        <v>44896</v>
      </c>
      <c r="C1347" s="431">
        <v>44866</v>
      </c>
      <c r="D1347" s="419" t="s">
        <v>468</v>
      </c>
      <c r="E1347" s="419" t="s">
        <v>468</v>
      </c>
      <c r="F1347" s="422">
        <v>2750</v>
      </c>
      <c r="G1347" s="427" t="s">
        <v>694</v>
      </c>
      <c r="H1347" s="419" t="s">
        <v>468</v>
      </c>
      <c r="I1347" s="415" t="s">
        <v>2468</v>
      </c>
      <c r="J1347" s="415" t="s">
        <v>1127</v>
      </c>
      <c r="K1347" s="419" t="s">
        <v>830</v>
      </c>
      <c r="L1347" s="415" t="s">
        <v>32</v>
      </c>
      <c r="M1347" s="419" t="s">
        <v>1711</v>
      </c>
      <c r="N1347" s="413">
        <v>44896</v>
      </c>
      <c r="O1347" s="414" t="s">
        <v>408</v>
      </c>
      <c r="P1347" s="655">
        <f t="shared" si="73"/>
        <v>12</v>
      </c>
      <c r="Q1347" s="655">
        <f t="shared" si="74"/>
        <v>11</v>
      </c>
      <c r="R1347" s="758" t="str">
        <f t="shared" si="75"/>
        <v>Gastos_custeados_por_captação</v>
      </c>
      <c r="S1347" s="697" t="s">
        <v>1000</v>
      </c>
      <c r="T1347" s="697">
        <v>2661</v>
      </c>
    </row>
    <row r="1348" spans="1:20" ht="60" x14ac:dyDescent="0.2">
      <c r="A1348" s="432">
        <f>IF(B1348="","",COUNT('Diário 1º PA'!$A$4:$A$2635)+COUNT('Diário 2º PA'!$A$4:$A$3040)+COUNT('Diário 3º PA'!$A$4:$A$2731)+ROW()-3)</f>
        <v>7373</v>
      </c>
      <c r="B1348" s="413">
        <v>44896</v>
      </c>
      <c r="C1348" s="431">
        <v>44866</v>
      </c>
      <c r="D1348" s="419" t="s">
        <v>468</v>
      </c>
      <c r="E1348" s="419" t="s">
        <v>468</v>
      </c>
      <c r="F1348" s="422">
        <v>4400</v>
      </c>
      <c r="G1348" s="427" t="s">
        <v>701</v>
      </c>
      <c r="H1348" s="419" t="s">
        <v>468</v>
      </c>
      <c r="I1348" s="415" t="s">
        <v>2465</v>
      </c>
      <c r="J1348" s="415" t="s">
        <v>1131</v>
      </c>
      <c r="K1348" s="419" t="s">
        <v>830</v>
      </c>
      <c r="L1348" s="415" t="s">
        <v>32</v>
      </c>
      <c r="M1348" s="419" t="s">
        <v>1700</v>
      </c>
      <c r="N1348" s="413">
        <v>44896</v>
      </c>
      <c r="O1348" s="414" t="s">
        <v>408</v>
      </c>
      <c r="P1348" s="655">
        <f t="shared" si="73"/>
        <v>12</v>
      </c>
      <c r="Q1348" s="655">
        <f t="shared" si="74"/>
        <v>11</v>
      </c>
      <c r="R1348" s="758" t="str">
        <f t="shared" si="75"/>
        <v>Gastos_custeados_por_captação</v>
      </c>
      <c r="S1348" s="697" t="s">
        <v>1000</v>
      </c>
      <c r="T1348" s="697">
        <v>2641</v>
      </c>
    </row>
    <row r="1349" spans="1:20" ht="36" x14ac:dyDescent="0.2">
      <c r="A1349" s="432">
        <f>IF(B1349="","",COUNT('Diário 1º PA'!$A$4:$A$2635)+COUNT('Diário 2º PA'!$A$4:$A$3040)+COUNT('Diário 3º PA'!$A$4:$A$2731)+ROW()-3)</f>
        <v>7374</v>
      </c>
      <c r="B1349" s="413">
        <v>44896</v>
      </c>
      <c r="C1349" s="431">
        <v>44866</v>
      </c>
      <c r="D1349" s="419" t="s">
        <v>468</v>
      </c>
      <c r="E1349" s="419" t="s">
        <v>468</v>
      </c>
      <c r="F1349" s="422">
        <v>2750</v>
      </c>
      <c r="G1349" s="427" t="s">
        <v>4429</v>
      </c>
      <c r="H1349" s="419" t="s">
        <v>468</v>
      </c>
      <c r="I1349" s="415" t="s">
        <v>5610</v>
      </c>
      <c r="J1349" s="415" t="s">
        <v>2456</v>
      </c>
      <c r="K1349" s="419" t="s">
        <v>830</v>
      </c>
      <c r="L1349" s="415" t="s">
        <v>32</v>
      </c>
      <c r="M1349" s="419" t="s">
        <v>1711</v>
      </c>
      <c r="N1349" s="413">
        <v>44896</v>
      </c>
      <c r="O1349" s="414" t="s">
        <v>408</v>
      </c>
      <c r="P1349" s="655">
        <f t="shared" si="73"/>
        <v>12</v>
      </c>
      <c r="Q1349" s="655">
        <f t="shared" si="74"/>
        <v>11</v>
      </c>
      <c r="R1349" s="758" t="str">
        <f t="shared" si="75"/>
        <v>Gastos_custeados_por_captação</v>
      </c>
      <c r="S1349" s="697" t="s">
        <v>1000</v>
      </c>
      <c r="T1349" s="697">
        <v>3804</v>
      </c>
    </row>
    <row r="1350" spans="1:20" ht="36" x14ac:dyDescent="0.2">
      <c r="A1350" s="432">
        <f>IF(B1350="","",COUNT('Diário 1º PA'!$A$4:$A$2635)+COUNT('Diário 2º PA'!$A$4:$A$3040)+COUNT('Diário 3º PA'!$A$4:$A$2731)+ROW()-3)</f>
        <v>7375</v>
      </c>
      <c r="B1350" s="413">
        <v>44896</v>
      </c>
      <c r="C1350" s="431">
        <v>44866</v>
      </c>
      <c r="D1350" s="419" t="s">
        <v>468</v>
      </c>
      <c r="E1350" s="419" t="s">
        <v>468</v>
      </c>
      <c r="F1350" s="422">
        <v>618.16999999999996</v>
      </c>
      <c r="G1350" s="427" t="s">
        <v>9229</v>
      </c>
      <c r="H1350" s="419" t="s">
        <v>468</v>
      </c>
      <c r="I1350" s="415" t="s">
        <v>9230</v>
      </c>
      <c r="J1350" s="415" t="s">
        <v>4990</v>
      </c>
      <c r="K1350" s="419" t="s">
        <v>830</v>
      </c>
      <c r="L1350" s="415" t="s">
        <v>32</v>
      </c>
      <c r="M1350" s="419">
        <v>26482</v>
      </c>
      <c r="N1350" s="413">
        <v>44896</v>
      </c>
      <c r="O1350" s="414" t="s">
        <v>403</v>
      </c>
      <c r="P1350" s="655">
        <f t="shared" ref="P1350" si="79">IF(B1350=0,0,IF(YEAR(B1350)=$Q$1,MONTH(B1350)-$P$1+1,(YEAR(B1350)-$Q$1)*12-$P$1+1+MONTH(B1350)))</f>
        <v>12</v>
      </c>
      <c r="Q1350" s="655">
        <f t="shared" ref="Q1350" si="80">IF(C1350=0,0,IF(YEAR(C1350)=$Q$1,MONTH(C1350)-$P$1+1,(YEAR(C1350)-$Q$1)*12-$P$1+1+MONTH(C1350)))</f>
        <v>11</v>
      </c>
      <c r="R1350" s="758" t="str">
        <f t="shared" ref="R1350" si="81">SUBSTITUTE(D1350," ","_")</f>
        <v>Gastos_custeados_por_captação</v>
      </c>
      <c r="S1350" s="697" t="s">
        <v>999</v>
      </c>
      <c r="T1350" s="697">
        <v>4840</v>
      </c>
    </row>
    <row r="1351" spans="1:20" ht="36" x14ac:dyDescent="0.2">
      <c r="A1351" s="432">
        <f>IF(B1351="","",COUNT('Diário 1º PA'!$A$4:$A$2635)+COUNT('Diário 2º PA'!$A$4:$A$3040)+COUNT('Diário 3º PA'!$A$4:$A$2731)+ROW()-3)</f>
        <v>7376</v>
      </c>
      <c r="B1351" s="413">
        <v>44896</v>
      </c>
      <c r="C1351" s="431">
        <v>44866</v>
      </c>
      <c r="D1351" s="419" t="s">
        <v>468</v>
      </c>
      <c r="E1351" s="419" t="s">
        <v>468</v>
      </c>
      <c r="F1351" s="422">
        <v>40</v>
      </c>
      <c r="G1351" s="427" t="s">
        <v>9231</v>
      </c>
      <c r="H1351" s="419" t="s">
        <v>468</v>
      </c>
      <c r="I1351" s="415" t="s">
        <v>9223</v>
      </c>
      <c r="J1351" s="415" t="s">
        <v>9224</v>
      </c>
      <c r="K1351" s="419" t="s">
        <v>830</v>
      </c>
      <c r="L1351" s="415" t="s">
        <v>32</v>
      </c>
      <c r="M1351" s="419">
        <v>17587</v>
      </c>
      <c r="N1351" s="413">
        <v>44896</v>
      </c>
      <c r="O1351" s="414" t="s">
        <v>403</v>
      </c>
      <c r="P1351" s="655">
        <f t="shared" ref="P1351" si="82">IF(B1351=0,0,IF(YEAR(B1351)=$Q$1,MONTH(B1351)-$P$1+1,(YEAR(B1351)-$Q$1)*12-$P$1+1+MONTH(B1351)))</f>
        <v>12</v>
      </c>
      <c r="Q1351" s="655">
        <f t="shared" ref="Q1351" si="83">IF(C1351=0,0,IF(YEAR(C1351)=$Q$1,MONTH(C1351)-$P$1+1,(YEAR(C1351)-$Q$1)*12-$P$1+1+MONTH(C1351)))</f>
        <v>11</v>
      </c>
      <c r="R1351" s="758" t="str">
        <f t="shared" ref="R1351" si="84">SUBSTITUTE(D1351," ","_")</f>
        <v>Gastos_custeados_por_captação</v>
      </c>
      <c r="S1351" s="697" t="s">
        <v>999</v>
      </c>
      <c r="T1351" s="697">
        <v>4839</v>
      </c>
    </row>
    <row r="1352" spans="1:20" ht="24" x14ac:dyDescent="0.2">
      <c r="A1352" s="432">
        <f>IF(B1352="","",COUNT('Diário 1º PA'!$A$4:$A$2635)+COUNT('Diário 2º PA'!$A$4:$A$3040)+COUNT('Diário 3º PA'!$A$4:$A$2731)+ROW()-3)</f>
        <v>7377</v>
      </c>
      <c r="B1352" s="413">
        <v>44897</v>
      </c>
      <c r="C1352" s="431">
        <v>44866</v>
      </c>
      <c r="D1352" s="415" t="s">
        <v>271</v>
      </c>
      <c r="E1352" s="415" t="s">
        <v>9</v>
      </c>
      <c r="F1352" s="422">
        <v>6300.75</v>
      </c>
      <c r="G1352" s="427" t="s">
        <v>729</v>
      </c>
      <c r="H1352" s="415" t="s">
        <v>309</v>
      </c>
      <c r="I1352" s="415" t="s">
        <v>1620</v>
      </c>
      <c r="J1352" s="415" t="s">
        <v>1150</v>
      </c>
      <c r="K1352" s="419" t="s">
        <v>806</v>
      </c>
      <c r="L1352" s="415" t="s">
        <v>32</v>
      </c>
      <c r="M1352" s="419" t="s">
        <v>8656</v>
      </c>
      <c r="N1352" s="413">
        <v>44896</v>
      </c>
      <c r="O1352" s="414" t="s">
        <v>400</v>
      </c>
      <c r="P1352" s="655">
        <f t="shared" si="73"/>
        <v>12</v>
      </c>
      <c r="Q1352" s="655">
        <f t="shared" si="74"/>
        <v>11</v>
      </c>
      <c r="R1352" s="758" t="str">
        <f t="shared" si="75"/>
        <v>Gastos_Gerais</v>
      </c>
      <c r="S1352" s="697" t="s">
        <v>1000</v>
      </c>
      <c r="T1352" s="697">
        <v>2780</v>
      </c>
    </row>
    <row r="1353" spans="1:20" ht="36" x14ac:dyDescent="0.2">
      <c r="A1353" s="432">
        <f>IF(B1353="","",COUNT('Diário 1º PA'!$A$4:$A$2635)+COUNT('Diário 2º PA'!$A$4:$A$3040)+COUNT('Diário 3º PA'!$A$4:$A$2731)+ROW()-3)</f>
        <v>7378</v>
      </c>
      <c r="B1353" s="413">
        <v>44897</v>
      </c>
      <c r="C1353" s="431">
        <v>44896</v>
      </c>
      <c r="D1353" s="419" t="s">
        <v>182</v>
      </c>
      <c r="E1353" s="419" t="s">
        <v>287</v>
      </c>
      <c r="F1353" s="422">
        <v>772.65</v>
      </c>
      <c r="G1353" s="427" t="s">
        <v>8658</v>
      </c>
      <c r="H1353" s="419" t="s">
        <v>310</v>
      </c>
      <c r="I1353" s="415" t="s">
        <v>1194</v>
      </c>
      <c r="J1353" s="419" t="s">
        <v>1193</v>
      </c>
      <c r="K1353" s="419" t="s">
        <v>830</v>
      </c>
      <c r="L1353" s="434" t="s">
        <v>925</v>
      </c>
      <c r="M1353" s="419" t="s">
        <v>310</v>
      </c>
      <c r="N1353" s="413">
        <v>44897</v>
      </c>
      <c r="O1353" s="414" t="s">
        <v>400</v>
      </c>
      <c r="P1353" s="655">
        <f t="shared" si="73"/>
        <v>12</v>
      </c>
      <c r="Q1353" s="655">
        <f t="shared" si="74"/>
        <v>12</v>
      </c>
      <c r="R1353" s="758" t="str">
        <f t="shared" si="75"/>
        <v>Gastos_com_Pessoal</v>
      </c>
      <c r="S1353" s="697" t="s">
        <v>310</v>
      </c>
      <c r="T1353" s="697" t="s">
        <v>310</v>
      </c>
    </row>
    <row r="1354" spans="1:20" ht="96" x14ac:dyDescent="0.2">
      <c r="A1354" s="432">
        <f>IF(B1354="","",COUNT('Diário 1º PA'!$A$4:$A$2635)+COUNT('Diário 2º PA'!$A$4:$A$3040)+COUNT('Diário 3º PA'!$A$4:$A$2731)+ROW()-3)</f>
        <v>7379</v>
      </c>
      <c r="B1354" s="413">
        <v>44897</v>
      </c>
      <c r="C1354" s="431">
        <v>44866</v>
      </c>
      <c r="D1354" s="419" t="s">
        <v>271</v>
      </c>
      <c r="E1354" s="415" t="s">
        <v>463</v>
      </c>
      <c r="F1354" s="422">
        <v>489.95</v>
      </c>
      <c r="G1354" s="419" t="s">
        <v>8364</v>
      </c>
      <c r="H1354" s="419" t="s">
        <v>760</v>
      </c>
      <c r="I1354" s="415" t="s">
        <v>8659</v>
      </c>
      <c r="J1354" s="419" t="s">
        <v>1921</v>
      </c>
      <c r="K1354" s="419" t="s">
        <v>830</v>
      </c>
      <c r="L1354" s="415" t="s">
        <v>807</v>
      </c>
      <c r="M1354" s="419" t="s">
        <v>1793</v>
      </c>
      <c r="N1354" s="413">
        <v>44896</v>
      </c>
      <c r="O1354" s="414" t="s">
        <v>400</v>
      </c>
      <c r="P1354" s="655">
        <f t="shared" si="73"/>
        <v>12</v>
      </c>
      <c r="Q1354" s="655">
        <f t="shared" si="74"/>
        <v>11</v>
      </c>
      <c r="R1354" s="758" t="str">
        <f t="shared" si="75"/>
        <v>Gastos_Gerais</v>
      </c>
      <c r="S1354" s="697" t="s">
        <v>998</v>
      </c>
      <c r="T1354" s="697">
        <v>4774</v>
      </c>
    </row>
    <row r="1355" spans="1:20" ht="48" x14ac:dyDescent="0.2">
      <c r="A1355" s="432">
        <f>IF(B1355="","",COUNT('Diário 1º PA'!$A$4:$A$2635)+COUNT('Diário 2º PA'!$A$4:$A$3040)+COUNT('Diário 3º PA'!$A$4:$A$2731)+ROW()-3)</f>
        <v>7380</v>
      </c>
      <c r="B1355" s="413">
        <v>44897</v>
      </c>
      <c r="C1355" s="431">
        <v>44866</v>
      </c>
      <c r="D1355" s="419" t="s">
        <v>468</v>
      </c>
      <c r="E1355" s="419" t="s">
        <v>468</v>
      </c>
      <c r="F1355" s="422">
        <v>2750</v>
      </c>
      <c r="G1355" s="427" t="s">
        <v>694</v>
      </c>
      <c r="H1355" s="419" t="s">
        <v>468</v>
      </c>
      <c r="I1355" s="415" t="s">
        <v>2406</v>
      </c>
      <c r="J1355" s="415" t="s">
        <v>1148</v>
      </c>
      <c r="K1355" s="419" t="s">
        <v>830</v>
      </c>
      <c r="L1355" s="415" t="s">
        <v>32</v>
      </c>
      <c r="M1355" s="419" t="s">
        <v>5947</v>
      </c>
      <c r="N1355" s="413">
        <v>44896</v>
      </c>
      <c r="O1355" s="414" t="s">
        <v>408</v>
      </c>
      <c r="P1355" s="655">
        <f t="shared" si="73"/>
        <v>12</v>
      </c>
      <c r="Q1355" s="655">
        <f t="shared" si="74"/>
        <v>11</v>
      </c>
      <c r="R1355" s="758" t="str">
        <f t="shared" si="75"/>
        <v>Gastos_custeados_por_captação</v>
      </c>
      <c r="S1355" s="697" t="s">
        <v>1000</v>
      </c>
      <c r="T1355" s="697">
        <v>2662</v>
      </c>
    </row>
    <row r="1356" spans="1:20" ht="48" x14ac:dyDescent="0.2">
      <c r="A1356" s="432">
        <f>IF(B1356="","",COUNT('Diário 1º PA'!$A$4:$A$2635)+COUNT('Diário 2º PA'!$A$4:$A$3040)+COUNT('Diário 3º PA'!$A$4:$A$2731)+ROW()-3)</f>
        <v>7381</v>
      </c>
      <c r="B1356" s="413">
        <v>44897</v>
      </c>
      <c r="C1356" s="431">
        <v>44866</v>
      </c>
      <c r="D1356" s="419" t="s">
        <v>468</v>
      </c>
      <c r="E1356" s="419" t="s">
        <v>468</v>
      </c>
      <c r="F1356" s="422">
        <v>2750</v>
      </c>
      <c r="G1356" s="427" t="s">
        <v>5687</v>
      </c>
      <c r="H1356" s="419" t="s">
        <v>468</v>
      </c>
      <c r="I1356" s="415" t="s">
        <v>7685</v>
      </c>
      <c r="J1356" s="415" t="s">
        <v>5688</v>
      </c>
      <c r="K1356" s="419" t="s">
        <v>830</v>
      </c>
      <c r="L1356" s="415" t="s">
        <v>32</v>
      </c>
      <c r="M1356" s="419" t="s">
        <v>1700</v>
      </c>
      <c r="N1356" s="413">
        <v>44896</v>
      </c>
      <c r="O1356" s="414" t="s">
        <v>408</v>
      </c>
      <c r="P1356" s="655">
        <f t="shared" si="73"/>
        <v>12</v>
      </c>
      <c r="Q1356" s="655">
        <f t="shared" si="74"/>
        <v>11</v>
      </c>
      <c r="R1356" s="758" t="str">
        <f t="shared" si="75"/>
        <v>Gastos_custeados_por_captação</v>
      </c>
      <c r="S1356" s="697" t="s">
        <v>1000</v>
      </c>
      <c r="T1356" s="697">
        <v>4014</v>
      </c>
    </row>
    <row r="1357" spans="1:20" ht="60" x14ac:dyDescent="0.2">
      <c r="A1357" s="432">
        <f>IF(B1357="","",COUNT('Diário 1º PA'!$A$4:$A$2635)+COUNT('Diário 2º PA'!$A$4:$A$3040)+COUNT('Diário 3º PA'!$A$4:$A$2731)+ROW()-3)</f>
        <v>7382</v>
      </c>
      <c r="B1357" s="413">
        <v>44897</v>
      </c>
      <c r="C1357" s="431">
        <v>44866</v>
      </c>
      <c r="D1357" s="419" t="s">
        <v>468</v>
      </c>
      <c r="E1357" s="419" t="s">
        <v>468</v>
      </c>
      <c r="F1357" s="422">
        <v>2200</v>
      </c>
      <c r="G1357" s="427" t="s">
        <v>4477</v>
      </c>
      <c r="H1357" s="419" t="s">
        <v>468</v>
      </c>
      <c r="I1357" s="415" t="s">
        <v>6401</v>
      </c>
      <c r="J1357" s="415" t="s">
        <v>4478</v>
      </c>
      <c r="K1357" s="419" t="s">
        <v>830</v>
      </c>
      <c r="L1357" s="415" t="s">
        <v>32</v>
      </c>
      <c r="M1357" s="419" t="s">
        <v>1890</v>
      </c>
      <c r="N1357" s="413">
        <v>44896</v>
      </c>
      <c r="O1357" s="414" t="s">
        <v>408</v>
      </c>
      <c r="P1357" s="655">
        <f t="shared" si="73"/>
        <v>12</v>
      </c>
      <c r="Q1357" s="655">
        <f t="shared" si="74"/>
        <v>11</v>
      </c>
      <c r="R1357" s="758" t="str">
        <f t="shared" si="75"/>
        <v>Gastos_custeados_por_captação</v>
      </c>
      <c r="S1357" s="697" t="s">
        <v>1000</v>
      </c>
      <c r="T1357" s="697">
        <v>3829</v>
      </c>
    </row>
    <row r="1358" spans="1:20" ht="72" x14ac:dyDescent="0.2">
      <c r="A1358" s="432">
        <f>IF(B1358="","",COUNT('Diário 1º PA'!$A$4:$A$2635)+COUNT('Diário 2º PA'!$A$4:$A$3040)+COUNT('Diário 3º PA'!$A$4:$A$2731)+ROW()-3)</f>
        <v>7383</v>
      </c>
      <c r="B1358" s="413">
        <v>44900</v>
      </c>
      <c r="C1358" s="424">
        <v>44866</v>
      </c>
      <c r="D1358" s="419" t="s">
        <v>271</v>
      </c>
      <c r="E1358" s="419" t="s">
        <v>90</v>
      </c>
      <c r="F1358" s="422">
        <v>-1980.75</v>
      </c>
      <c r="G1358" s="423" t="s">
        <v>8663</v>
      </c>
      <c r="H1358" s="419" t="s">
        <v>309</v>
      </c>
      <c r="I1358" s="415" t="s">
        <v>795</v>
      </c>
      <c r="J1358" s="419" t="s">
        <v>796</v>
      </c>
      <c r="K1358" s="419" t="s">
        <v>797</v>
      </c>
      <c r="L1358" s="415" t="s">
        <v>798</v>
      </c>
      <c r="M1358" s="419" t="s">
        <v>310</v>
      </c>
      <c r="N1358" s="413">
        <v>44900</v>
      </c>
      <c r="O1358" s="414" t="s">
        <v>400</v>
      </c>
      <c r="P1358" s="655">
        <f t="shared" si="73"/>
        <v>12</v>
      </c>
      <c r="Q1358" s="655">
        <f t="shared" si="74"/>
        <v>11</v>
      </c>
      <c r="R1358" s="758" t="str">
        <f t="shared" si="75"/>
        <v>Gastos_Gerais</v>
      </c>
      <c r="S1358" s="697" t="s">
        <v>310</v>
      </c>
      <c r="T1358" s="697" t="s">
        <v>310</v>
      </c>
    </row>
    <row r="1359" spans="1:20" ht="60" x14ac:dyDescent="0.2">
      <c r="A1359" s="432">
        <f>IF(B1359="","",COUNT('Diário 1º PA'!$A$4:$A$2635)+COUNT('Diário 2º PA'!$A$4:$A$3040)+COUNT('Diário 3º PA'!$A$4:$A$2731)+ROW()-3)</f>
        <v>7384</v>
      </c>
      <c r="B1359" s="413">
        <v>44900</v>
      </c>
      <c r="C1359" s="424">
        <v>44866</v>
      </c>
      <c r="D1359" s="415" t="s">
        <v>271</v>
      </c>
      <c r="E1359" s="415" t="s">
        <v>90</v>
      </c>
      <c r="F1359" s="425">
        <v>3000</v>
      </c>
      <c r="G1359" s="427" t="s">
        <v>3964</v>
      </c>
      <c r="H1359" s="419" t="s">
        <v>750</v>
      </c>
      <c r="I1359" s="415" t="s">
        <v>6976</v>
      </c>
      <c r="J1359" s="415" t="s">
        <v>1077</v>
      </c>
      <c r="K1359" s="419" t="s">
        <v>830</v>
      </c>
      <c r="L1359" s="415" t="s">
        <v>807</v>
      </c>
      <c r="M1359" s="419">
        <v>154</v>
      </c>
      <c r="N1359" s="413">
        <v>44897</v>
      </c>
      <c r="O1359" s="414" t="s">
        <v>400</v>
      </c>
      <c r="P1359" s="655">
        <f t="shared" si="73"/>
        <v>12</v>
      </c>
      <c r="Q1359" s="655">
        <f t="shared" si="74"/>
        <v>11</v>
      </c>
      <c r="R1359" s="758" t="str">
        <f t="shared" si="75"/>
        <v>Gastos_Gerais</v>
      </c>
      <c r="S1359" s="697" t="s">
        <v>1000</v>
      </c>
      <c r="T1359" s="697">
        <v>4303</v>
      </c>
    </row>
    <row r="1360" spans="1:20" ht="60" x14ac:dyDescent="0.2">
      <c r="A1360" s="432">
        <f>IF(B1360="","",COUNT('Diário 1º PA'!$A$4:$A$2635)+COUNT('Diário 2º PA'!$A$4:$A$3040)+COUNT('Diário 3º PA'!$A$4:$A$2731)+ROW()-3)</f>
        <v>7385</v>
      </c>
      <c r="B1360" s="413">
        <v>44900</v>
      </c>
      <c r="C1360" s="431">
        <v>44866</v>
      </c>
      <c r="D1360" s="419" t="s">
        <v>271</v>
      </c>
      <c r="E1360" s="415" t="s">
        <v>456</v>
      </c>
      <c r="F1360" s="422">
        <v>979.9</v>
      </c>
      <c r="G1360" s="419" t="s">
        <v>8353</v>
      </c>
      <c r="H1360" s="419" t="s">
        <v>760</v>
      </c>
      <c r="I1360" s="415" t="s">
        <v>3975</v>
      </c>
      <c r="J1360" s="419" t="s">
        <v>1921</v>
      </c>
      <c r="K1360" s="419" t="s">
        <v>830</v>
      </c>
      <c r="L1360" s="415" t="s">
        <v>807</v>
      </c>
      <c r="M1360" s="419" t="s">
        <v>1700</v>
      </c>
      <c r="N1360" s="413">
        <v>44897</v>
      </c>
      <c r="O1360" s="414" t="s">
        <v>400</v>
      </c>
      <c r="P1360" s="655">
        <f t="shared" si="73"/>
        <v>12</v>
      </c>
      <c r="Q1360" s="655">
        <f t="shared" si="74"/>
        <v>11</v>
      </c>
      <c r="R1360" s="758" t="str">
        <f t="shared" si="75"/>
        <v>Gastos_Gerais</v>
      </c>
      <c r="S1360" s="697" t="s">
        <v>998</v>
      </c>
      <c r="T1360" s="697">
        <v>4775</v>
      </c>
    </row>
    <row r="1361" spans="1:20" ht="48" x14ac:dyDescent="0.2">
      <c r="A1361" s="432">
        <f>IF(B1361="","",COUNT('Diário 1º PA'!$A$4:$A$2635)+COUNT('Diário 2º PA'!$A$4:$A$3040)+COUNT('Diário 3º PA'!$A$4:$A$2731)+ROW()-3)</f>
        <v>7386</v>
      </c>
      <c r="B1361" s="413">
        <v>44900</v>
      </c>
      <c r="C1361" s="431">
        <v>44866</v>
      </c>
      <c r="D1361" s="415" t="s">
        <v>271</v>
      </c>
      <c r="E1361" s="415" t="s">
        <v>90</v>
      </c>
      <c r="F1361" s="425">
        <v>2000</v>
      </c>
      <c r="G1361" s="427" t="s">
        <v>6966</v>
      </c>
      <c r="H1361" s="419" t="s">
        <v>760</v>
      </c>
      <c r="I1361" s="415" t="s">
        <v>1656</v>
      </c>
      <c r="J1361" s="415" t="s">
        <v>1655</v>
      </c>
      <c r="K1361" s="419" t="s">
        <v>830</v>
      </c>
      <c r="L1361" s="415" t="s">
        <v>807</v>
      </c>
      <c r="M1361" s="419" t="s">
        <v>1793</v>
      </c>
      <c r="N1361" s="413">
        <v>44897</v>
      </c>
      <c r="O1361" s="414" t="s">
        <v>400</v>
      </c>
      <c r="P1361" s="655">
        <f t="shared" si="73"/>
        <v>12</v>
      </c>
      <c r="Q1361" s="655">
        <f t="shared" si="74"/>
        <v>11</v>
      </c>
      <c r="R1361" s="758" t="str">
        <f t="shared" si="75"/>
        <v>Gastos_Gerais</v>
      </c>
      <c r="S1361" s="697" t="s">
        <v>1000</v>
      </c>
      <c r="T1361" s="697">
        <v>4318</v>
      </c>
    </row>
    <row r="1362" spans="1:20" ht="108" x14ac:dyDescent="0.2">
      <c r="A1362" s="432">
        <f>IF(B1362="","",COUNT('Diário 1º PA'!$A$4:$A$2635)+COUNT('Diário 2º PA'!$A$4:$A$3040)+COUNT('Diário 3º PA'!$A$4:$A$2731)+ROW()-3)</f>
        <v>7387</v>
      </c>
      <c r="B1362" s="413">
        <v>44900</v>
      </c>
      <c r="C1362" s="431">
        <v>44866</v>
      </c>
      <c r="D1362" s="415" t="s">
        <v>271</v>
      </c>
      <c r="E1362" s="415" t="s">
        <v>90</v>
      </c>
      <c r="F1362" s="425">
        <v>1800</v>
      </c>
      <c r="G1362" s="427" t="s">
        <v>7384</v>
      </c>
      <c r="H1362" s="419" t="s">
        <v>760</v>
      </c>
      <c r="I1362" s="415" t="s">
        <v>7508</v>
      </c>
      <c r="J1362" s="415" t="s">
        <v>7385</v>
      </c>
      <c r="K1362" s="419" t="s">
        <v>830</v>
      </c>
      <c r="L1362" s="415" t="s">
        <v>32</v>
      </c>
      <c r="M1362" s="419">
        <v>18</v>
      </c>
      <c r="N1362" s="413">
        <v>44897</v>
      </c>
      <c r="O1362" s="414" t="s">
        <v>400</v>
      </c>
      <c r="P1362" s="655">
        <f t="shared" si="73"/>
        <v>12</v>
      </c>
      <c r="Q1362" s="655">
        <f t="shared" si="74"/>
        <v>11</v>
      </c>
      <c r="R1362" s="758" t="str">
        <f t="shared" si="75"/>
        <v>Gastos_Gerais</v>
      </c>
      <c r="S1362" s="697" t="s">
        <v>998</v>
      </c>
      <c r="T1362" s="697">
        <v>4313</v>
      </c>
    </row>
    <row r="1363" spans="1:20" ht="120" x14ac:dyDescent="0.2">
      <c r="A1363" s="432">
        <f>IF(B1363="","",COUNT('Diário 1º PA'!$A$4:$A$2635)+COUNT('Diário 2º PA'!$A$4:$A$3040)+COUNT('Diário 3º PA'!$A$4:$A$2731)+ROW()-3)</f>
        <v>7388</v>
      </c>
      <c r="B1363" s="413">
        <v>44900</v>
      </c>
      <c r="C1363" s="431">
        <v>44866</v>
      </c>
      <c r="D1363" s="419" t="s">
        <v>271</v>
      </c>
      <c r="E1363" s="419" t="s">
        <v>90</v>
      </c>
      <c r="F1363" s="422">
        <v>7270.5</v>
      </c>
      <c r="G1363" s="423" t="s">
        <v>862</v>
      </c>
      <c r="H1363" s="419" t="s">
        <v>309</v>
      </c>
      <c r="I1363" s="415" t="s">
        <v>850</v>
      </c>
      <c r="J1363" s="419" t="s">
        <v>863</v>
      </c>
      <c r="K1363" s="419" t="s">
        <v>830</v>
      </c>
      <c r="L1363" s="415" t="s">
        <v>32</v>
      </c>
      <c r="M1363" s="419" t="s">
        <v>8665</v>
      </c>
      <c r="N1363" s="413">
        <v>44897</v>
      </c>
      <c r="O1363" s="414" t="s">
        <v>400</v>
      </c>
      <c r="P1363" s="655">
        <f t="shared" si="73"/>
        <v>12</v>
      </c>
      <c r="Q1363" s="655">
        <f t="shared" si="74"/>
        <v>11</v>
      </c>
      <c r="R1363" s="758" t="str">
        <f t="shared" si="75"/>
        <v>Gastos_Gerais</v>
      </c>
      <c r="S1363" s="697" t="s">
        <v>1000</v>
      </c>
      <c r="T1363" s="697">
        <v>1134</v>
      </c>
    </row>
    <row r="1364" spans="1:20" ht="24" x14ac:dyDescent="0.2">
      <c r="A1364" s="432">
        <f>IF(B1364="","",COUNT('Diário 1º PA'!$A$4:$A$2635)+COUNT('Diário 2º PA'!$A$4:$A$3040)+COUNT('Diário 3º PA'!$A$4:$A$2731)+ROW()-3)</f>
        <v>7389</v>
      </c>
      <c r="B1364" s="413">
        <v>44900</v>
      </c>
      <c r="C1364" s="431">
        <v>44866</v>
      </c>
      <c r="D1364" s="415" t="s">
        <v>271</v>
      </c>
      <c r="E1364" s="415" t="s">
        <v>297</v>
      </c>
      <c r="F1364" s="425">
        <v>21908.73</v>
      </c>
      <c r="G1364" s="427" t="s">
        <v>7532</v>
      </c>
      <c r="H1364" s="415" t="s">
        <v>750</v>
      </c>
      <c r="I1364" s="427" t="s">
        <v>774</v>
      </c>
      <c r="J1364" s="415" t="s">
        <v>844</v>
      </c>
      <c r="K1364" s="419" t="s">
        <v>812</v>
      </c>
      <c r="L1364" s="415" t="s">
        <v>310</v>
      </c>
      <c r="M1364" s="419" t="s">
        <v>310</v>
      </c>
      <c r="N1364" s="413">
        <v>44900</v>
      </c>
      <c r="O1364" s="414" t="s">
        <v>400</v>
      </c>
      <c r="P1364" s="655">
        <f t="shared" si="73"/>
        <v>12</v>
      </c>
      <c r="Q1364" s="655">
        <f t="shared" si="74"/>
        <v>11</v>
      </c>
      <c r="R1364" s="758" t="str">
        <f t="shared" si="75"/>
        <v>Gastos_Gerais</v>
      </c>
      <c r="S1364" s="697" t="s">
        <v>310</v>
      </c>
      <c r="T1364" s="697" t="s">
        <v>310</v>
      </c>
    </row>
    <row r="1365" spans="1:20" ht="72" x14ac:dyDescent="0.2">
      <c r="A1365" s="432">
        <f>IF(B1365="","",COUNT('Diário 1º PA'!$A$4:$A$2635)+COUNT('Diário 2º PA'!$A$4:$A$3040)+COUNT('Diário 3º PA'!$A$4:$A$2731)+ROW()-3)</f>
        <v>7390</v>
      </c>
      <c r="B1365" s="413">
        <v>44900</v>
      </c>
      <c r="C1365" s="431">
        <v>44866</v>
      </c>
      <c r="D1365" s="415" t="s">
        <v>271</v>
      </c>
      <c r="E1365" s="415" t="s">
        <v>90</v>
      </c>
      <c r="F1365" s="425">
        <v>3919.6</v>
      </c>
      <c r="G1365" s="427" t="s">
        <v>699</v>
      </c>
      <c r="H1365" s="419" t="s">
        <v>758</v>
      </c>
      <c r="I1365" s="415" t="s">
        <v>865</v>
      </c>
      <c r="J1365" s="415" t="s">
        <v>866</v>
      </c>
      <c r="K1365" s="419" t="s">
        <v>830</v>
      </c>
      <c r="L1365" s="415" t="s">
        <v>807</v>
      </c>
      <c r="M1365" s="419" t="s">
        <v>8668</v>
      </c>
      <c r="N1365" s="413">
        <v>44897</v>
      </c>
      <c r="O1365" s="414" t="s">
        <v>400</v>
      </c>
      <c r="P1365" s="655">
        <f t="shared" si="73"/>
        <v>12</v>
      </c>
      <c r="Q1365" s="655">
        <f t="shared" si="74"/>
        <v>11</v>
      </c>
      <c r="R1365" s="758" t="str">
        <f t="shared" si="75"/>
        <v>Gastos_Gerais</v>
      </c>
      <c r="S1365" s="697" t="s">
        <v>1000</v>
      </c>
      <c r="T1365" s="697">
        <v>4314</v>
      </c>
    </row>
    <row r="1366" spans="1:20" ht="96" x14ac:dyDescent="0.2">
      <c r="A1366" s="432">
        <f>IF(B1366="","",COUNT('Diário 1º PA'!$A$4:$A$2635)+COUNT('Diário 2º PA'!$A$4:$A$3040)+COUNT('Diário 3º PA'!$A$4:$A$2731)+ROW()-3)</f>
        <v>7391</v>
      </c>
      <c r="B1366" s="413">
        <v>44900</v>
      </c>
      <c r="C1366" s="431">
        <v>44866</v>
      </c>
      <c r="D1366" s="419" t="s">
        <v>271</v>
      </c>
      <c r="E1366" s="415" t="s">
        <v>463</v>
      </c>
      <c r="F1366" s="422">
        <v>489.95</v>
      </c>
      <c r="G1366" s="419" t="s">
        <v>8364</v>
      </c>
      <c r="H1366" s="419" t="s">
        <v>760</v>
      </c>
      <c r="I1366" s="415" t="s">
        <v>8659</v>
      </c>
      <c r="J1366" s="419" t="s">
        <v>1921</v>
      </c>
      <c r="K1366" s="419" t="s">
        <v>830</v>
      </c>
      <c r="L1366" s="415" t="s">
        <v>807</v>
      </c>
      <c r="M1366" s="419" t="s">
        <v>1793</v>
      </c>
      <c r="N1366" s="413">
        <v>44896</v>
      </c>
      <c r="O1366" s="414" t="s">
        <v>400</v>
      </c>
      <c r="P1366" s="655">
        <f t="shared" si="73"/>
        <v>12</v>
      </c>
      <c r="Q1366" s="655">
        <f t="shared" si="74"/>
        <v>11</v>
      </c>
      <c r="R1366" s="758" t="str">
        <f t="shared" si="75"/>
        <v>Gastos_Gerais</v>
      </c>
      <c r="S1366" s="697" t="s">
        <v>1000</v>
      </c>
      <c r="T1366" s="697">
        <v>4774</v>
      </c>
    </row>
    <row r="1367" spans="1:20" ht="24" x14ac:dyDescent="0.2">
      <c r="A1367" s="432">
        <f>IF(B1367="","",COUNT('Diário 1º PA'!$A$4:$A$2635)+COUNT('Diário 2º PA'!$A$4:$A$3040)+COUNT('Diário 3º PA'!$A$4:$A$2731)+ROW()-3)</f>
        <v>7392</v>
      </c>
      <c r="B1367" s="413">
        <v>44900</v>
      </c>
      <c r="C1367" s="431">
        <v>44896</v>
      </c>
      <c r="D1367" s="419" t="s">
        <v>271</v>
      </c>
      <c r="E1367" s="419" t="s">
        <v>71</v>
      </c>
      <c r="F1367" s="422">
        <v>153</v>
      </c>
      <c r="G1367" s="423" t="s">
        <v>880</v>
      </c>
      <c r="H1367" s="419" t="s">
        <v>309</v>
      </c>
      <c r="I1367" s="415" t="s">
        <v>881</v>
      </c>
      <c r="J1367" s="419" t="s">
        <v>882</v>
      </c>
      <c r="K1367" s="419" t="s">
        <v>883</v>
      </c>
      <c r="L1367" s="415" t="s">
        <v>798</v>
      </c>
      <c r="M1367" s="419" t="s">
        <v>310</v>
      </c>
      <c r="N1367" s="413">
        <v>44900</v>
      </c>
      <c r="O1367" s="414" t="s">
        <v>400</v>
      </c>
      <c r="P1367" s="655">
        <f t="shared" si="73"/>
        <v>12</v>
      </c>
      <c r="Q1367" s="655">
        <f t="shared" si="74"/>
        <v>12</v>
      </c>
      <c r="R1367" s="758" t="str">
        <f t="shared" si="75"/>
        <v>Gastos_Gerais</v>
      </c>
      <c r="S1367" s="697" t="s">
        <v>310</v>
      </c>
      <c r="T1367" s="697" t="s">
        <v>310</v>
      </c>
    </row>
    <row r="1368" spans="1:20" ht="48" x14ac:dyDescent="0.2">
      <c r="A1368" s="432">
        <f>IF(B1368="","",COUNT('Diário 1º PA'!$A$4:$A$2635)+COUNT('Diário 2º PA'!$A$4:$A$3040)+COUNT('Diário 3º PA'!$A$4:$A$2731)+ROW()-3)</f>
        <v>7393</v>
      </c>
      <c r="B1368" s="413">
        <v>44900</v>
      </c>
      <c r="C1368" s="431">
        <v>44866</v>
      </c>
      <c r="D1368" s="419" t="s">
        <v>468</v>
      </c>
      <c r="E1368" s="419" t="s">
        <v>468</v>
      </c>
      <c r="F1368" s="422">
        <v>2500</v>
      </c>
      <c r="G1368" s="427" t="s">
        <v>1986</v>
      </c>
      <c r="H1368" s="419" t="s">
        <v>468</v>
      </c>
      <c r="I1368" s="415" t="s">
        <v>6558</v>
      </c>
      <c r="J1368" s="434" t="s">
        <v>1987</v>
      </c>
      <c r="K1368" s="419" t="s">
        <v>830</v>
      </c>
      <c r="L1368" s="415" t="s">
        <v>32</v>
      </c>
      <c r="M1368" s="419" t="s">
        <v>1795</v>
      </c>
      <c r="N1368" s="413">
        <v>44898</v>
      </c>
      <c r="O1368" s="414" t="s">
        <v>404</v>
      </c>
      <c r="P1368" s="655">
        <f t="shared" si="73"/>
        <v>12</v>
      </c>
      <c r="Q1368" s="655">
        <f t="shared" si="74"/>
        <v>11</v>
      </c>
      <c r="R1368" s="758" t="str">
        <f t="shared" si="75"/>
        <v>Gastos_custeados_por_captação</v>
      </c>
      <c r="S1368" s="697" t="s">
        <v>1000</v>
      </c>
      <c r="T1368" s="697">
        <v>3045</v>
      </c>
    </row>
    <row r="1369" spans="1:20" ht="48" x14ac:dyDescent="0.2">
      <c r="A1369" s="432">
        <f>IF(B1369="","",COUNT('Diário 1º PA'!$A$4:$A$2635)+COUNT('Diário 2º PA'!$A$4:$A$3040)+COUNT('Diário 3º PA'!$A$4:$A$2731)+ROW()-3)</f>
        <v>7394</v>
      </c>
      <c r="B1369" s="413">
        <v>44900</v>
      </c>
      <c r="C1369" s="431">
        <v>44866</v>
      </c>
      <c r="D1369" s="419" t="s">
        <v>468</v>
      </c>
      <c r="E1369" s="419" t="s">
        <v>468</v>
      </c>
      <c r="F1369" s="422">
        <v>3000</v>
      </c>
      <c r="G1369" s="427" t="s">
        <v>6836</v>
      </c>
      <c r="H1369" s="419" t="s">
        <v>468</v>
      </c>
      <c r="I1369" s="415" t="s">
        <v>2848</v>
      </c>
      <c r="J1369" s="415" t="s">
        <v>1085</v>
      </c>
      <c r="K1369" s="419" t="s">
        <v>830</v>
      </c>
      <c r="L1369" s="415" t="s">
        <v>32</v>
      </c>
      <c r="M1369" s="419" t="s">
        <v>3508</v>
      </c>
      <c r="N1369" s="413">
        <v>44898</v>
      </c>
      <c r="O1369" s="414" t="s">
        <v>404</v>
      </c>
      <c r="P1369" s="655">
        <f t="shared" si="73"/>
        <v>12</v>
      </c>
      <c r="Q1369" s="655">
        <f t="shared" si="74"/>
        <v>11</v>
      </c>
      <c r="R1369" s="758" t="str">
        <f t="shared" si="75"/>
        <v>Gastos_custeados_por_captação</v>
      </c>
      <c r="S1369" s="697" t="s">
        <v>1000</v>
      </c>
      <c r="T1369" s="697">
        <v>4294</v>
      </c>
    </row>
    <row r="1370" spans="1:20" ht="48" x14ac:dyDescent="0.2">
      <c r="A1370" s="432">
        <f>IF(B1370="","",COUNT('Diário 1º PA'!$A$4:$A$2635)+COUNT('Diário 2º PA'!$A$4:$A$3040)+COUNT('Diário 3º PA'!$A$4:$A$2731)+ROW()-3)</f>
        <v>7395</v>
      </c>
      <c r="B1370" s="413">
        <v>44900</v>
      </c>
      <c r="C1370" s="431">
        <v>44835</v>
      </c>
      <c r="D1370" s="419" t="s">
        <v>468</v>
      </c>
      <c r="E1370" s="419" t="s">
        <v>468</v>
      </c>
      <c r="F1370" s="422">
        <v>2.74</v>
      </c>
      <c r="G1370" s="419" t="s">
        <v>8716</v>
      </c>
      <c r="H1370" s="419" t="s">
        <v>468</v>
      </c>
      <c r="I1370" s="398" t="s">
        <v>881</v>
      </c>
      <c r="J1370" s="418" t="s">
        <v>882</v>
      </c>
      <c r="K1370" s="418" t="s">
        <v>883</v>
      </c>
      <c r="L1370" s="399" t="s">
        <v>798</v>
      </c>
      <c r="M1370" s="544" t="s">
        <v>310</v>
      </c>
      <c r="N1370" s="413">
        <v>44900</v>
      </c>
      <c r="O1370" s="414" t="s">
        <v>405</v>
      </c>
      <c r="P1370" s="655">
        <f t="shared" si="73"/>
        <v>12</v>
      </c>
      <c r="Q1370" s="655">
        <f t="shared" si="74"/>
        <v>10</v>
      </c>
      <c r="R1370" s="758" t="str">
        <f t="shared" si="75"/>
        <v>Gastos_custeados_por_captação</v>
      </c>
      <c r="S1370" s="697" t="s">
        <v>310</v>
      </c>
      <c r="T1370" s="697" t="s">
        <v>310</v>
      </c>
    </row>
    <row r="1371" spans="1:20" ht="120" x14ac:dyDescent="0.2">
      <c r="A1371" s="432">
        <f>IF(B1371="","",COUNT('Diário 1º PA'!$A$4:$A$2635)+COUNT('Diário 2º PA'!$A$4:$A$3040)+COUNT('Diário 3º PA'!$A$4:$A$2731)+ROW()-3)</f>
        <v>7396</v>
      </c>
      <c r="B1371" s="413">
        <v>44900</v>
      </c>
      <c r="C1371" s="431">
        <v>44835</v>
      </c>
      <c r="D1371" s="419" t="s">
        <v>468</v>
      </c>
      <c r="E1371" s="419" t="s">
        <v>468</v>
      </c>
      <c r="F1371" s="422">
        <v>721.62</v>
      </c>
      <c r="G1371" s="427" t="s">
        <v>8351</v>
      </c>
      <c r="H1371" s="419" t="s">
        <v>468</v>
      </c>
      <c r="I1371" s="415" t="s">
        <v>8717</v>
      </c>
      <c r="J1371" s="415" t="s">
        <v>8352</v>
      </c>
      <c r="K1371" s="419" t="s">
        <v>2389</v>
      </c>
      <c r="L1371" s="415" t="s">
        <v>8719</v>
      </c>
      <c r="M1371" s="413" t="s">
        <v>8718</v>
      </c>
      <c r="N1371" s="413">
        <v>44855</v>
      </c>
      <c r="O1371" s="414" t="s">
        <v>405</v>
      </c>
      <c r="P1371" s="655">
        <f t="shared" si="73"/>
        <v>12</v>
      </c>
      <c r="Q1371" s="655">
        <f t="shared" si="74"/>
        <v>10</v>
      </c>
      <c r="R1371" s="758" t="str">
        <f t="shared" si="75"/>
        <v>Gastos_custeados_por_captação</v>
      </c>
      <c r="S1371" s="697" t="s">
        <v>998</v>
      </c>
      <c r="T1371" s="697">
        <v>4598</v>
      </c>
    </row>
    <row r="1372" spans="1:20" ht="48" x14ac:dyDescent="0.2">
      <c r="A1372" s="432">
        <f>IF(B1372="","",COUNT('Diário 1º PA'!$A$4:$A$2635)+COUNT('Diário 2º PA'!$A$4:$A$3040)+COUNT('Diário 3º PA'!$A$4:$A$2731)+ROW()-3)</f>
        <v>7397</v>
      </c>
      <c r="B1372" s="413">
        <v>44900</v>
      </c>
      <c r="C1372" s="431">
        <v>44835</v>
      </c>
      <c r="D1372" s="419" t="s">
        <v>468</v>
      </c>
      <c r="E1372" s="419" t="s">
        <v>468</v>
      </c>
      <c r="F1372" s="422">
        <v>127.34</v>
      </c>
      <c r="G1372" s="419" t="s">
        <v>8720</v>
      </c>
      <c r="H1372" s="419" t="s">
        <v>468</v>
      </c>
      <c r="I1372" s="415" t="s">
        <v>1461</v>
      </c>
      <c r="J1372" s="419" t="s">
        <v>310</v>
      </c>
      <c r="K1372" s="419" t="s">
        <v>1220</v>
      </c>
      <c r="L1372" s="415" t="s">
        <v>1368</v>
      </c>
      <c r="M1372" s="419" t="s">
        <v>310</v>
      </c>
      <c r="N1372" s="413">
        <v>44900</v>
      </c>
      <c r="O1372" s="414" t="s">
        <v>405</v>
      </c>
      <c r="P1372" s="655">
        <f t="shared" si="73"/>
        <v>12</v>
      </c>
      <c r="Q1372" s="655">
        <f t="shared" si="74"/>
        <v>10</v>
      </c>
      <c r="R1372" s="758" t="str">
        <f t="shared" si="75"/>
        <v>Gastos_custeados_por_captação</v>
      </c>
      <c r="S1372" s="697" t="s">
        <v>310</v>
      </c>
      <c r="T1372" s="697" t="s">
        <v>310</v>
      </c>
    </row>
    <row r="1373" spans="1:20" ht="48" x14ac:dyDescent="0.2">
      <c r="A1373" s="432">
        <f>IF(B1373="","",COUNT('Diário 1º PA'!$A$4:$A$2635)+COUNT('Diário 2º PA'!$A$4:$A$3040)+COUNT('Diário 3º PA'!$A$4:$A$2731)+ROW()-3)</f>
        <v>7398</v>
      </c>
      <c r="B1373" s="413">
        <v>44900</v>
      </c>
      <c r="C1373" s="431">
        <v>44866</v>
      </c>
      <c r="D1373" s="419" t="s">
        <v>468</v>
      </c>
      <c r="E1373" s="419" t="s">
        <v>468</v>
      </c>
      <c r="F1373" s="422">
        <v>2939.7</v>
      </c>
      <c r="G1373" s="427" t="s">
        <v>6833</v>
      </c>
      <c r="H1373" s="419" t="s">
        <v>468</v>
      </c>
      <c r="I1373" s="415" t="s">
        <v>4414</v>
      </c>
      <c r="J1373" s="415" t="s">
        <v>1137</v>
      </c>
      <c r="K1373" s="419" t="s">
        <v>830</v>
      </c>
      <c r="L1373" s="415" t="s">
        <v>32</v>
      </c>
      <c r="M1373" s="419" t="s">
        <v>2186</v>
      </c>
      <c r="N1373" s="413">
        <v>44897</v>
      </c>
      <c r="O1373" s="414" t="s">
        <v>405</v>
      </c>
      <c r="P1373" s="655">
        <f t="shared" si="73"/>
        <v>12</v>
      </c>
      <c r="Q1373" s="655">
        <f t="shared" si="74"/>
        <v>11</v>
      </c>
      <c r="R1373" s="758" t="str">
        <f t="shared" si="75"/>
        <v>Gastos_custeados_por_captação</v>
      </c>
      <c r="S1373" s="697" t="s">
        <v>1000</v>
      </c>
      <c r="T1373" s="697">
        <v>4292</v>
      </c>
    </row>
    <row r="1374" spans="1:20" ht="36" x14ac:dyDescent="0.2">
      <c r="A1374" s="432">
        <f>IF(B1374="","",COUNT('Diário 1º PA'!$A$4:$A$2635)+COUNT('Diário 2º PA'!$A$4:$A$3040)+COUNT('Diário 3º PA'!$A$4:$A$2731)+ROW()-3)</f>
        <v>7399</v>
      </c>
      <c r="B1374" s="413">
        <v>44900</v>
      </c>
      <c r="C1374" s="421">
        <v>44896</v>
      </c>
      <c r="D1374" s="419" t="s">
        <v>468</v>
      </c>
      <c r="E1374" s="419" t="s">
        <v>468</v>
      </c>
      <c r="F1374" s="422">
        <v>153</v>
      </c>
      <c r="G1374" s="440" t="s">
        <v>880</v>
      </c>
      <c r="H1374" s="419" t="s">
        <v>468</v>
      </c>
      <c r="I1374" s="639" t="s">
        <v>881</v>
      </c>
      <c r="J1374" s="418" t="s">
        <v>882</v>
      </c>
      <c r="K1374" s="418" t="s">
        <v>883</v>
      </c>
      <c r="L1374" s="399" t="s">
        <v>798</v>
      </c>
      <c r="M1374" s="544" t="s">
        <v>310</v>
      </c>
      <c r="N1374" s="413">
        <v>44900</v>
      </c>
      <c r="O1374" s="414" t="s">
        <v>3762</v>
      </c>
      <c r="P1374" s="655">
        <f t="shared" si="73"/>
        <v>12</v>
      </c>
      <c r="Q1374" s="655">
        <f t="shared" si="74"/>
        <v>12</v>
      </c>
      <c r="R1374" s="758" t="str">
        <f t="shared" si="75"/>
        <v>Gastos_custeados_por_captação</v>
      </c>
      <c r="S1374" s="697" t="s">
        <v>310</v>
      </c>
      <c r="T1374" s="697" t="s">
        <v>310</v>
      </c>
    </row>
    <row r="1375" spans="1:20" ht="72" x14ac:dyDescent="0.2">
      <c r="A1375" s="432">
        <f>IF(B1375="","",COUNT('Diário 1º PA'!$A$4:$A$2635)+COUNT('Diário 2º PA'!$A$4:$A$3040)+COUNT('Diário 3º PA'!$A$4:$A$2731)+ROW()-3)</f>
        <v>7400</v>
      </c>
      <c r="B1375" s="413">
        <v>44901</v>
      </c>
      <c r="C1375" s="431">
        <v>44866</v>
      </c>
      <c r="D1375" s="419" t="s">
        <v>468</v>
      </c>
      <c r="E1375" s="419" t="s">
        <v>468</v>
      </c>
      <c r="F1375" s="422">
        <v>3634</v>
      </c>
      <c r="G1375" s="427" t="s">
        <v>5900</v>
      </c>
      <c r="H1375" s="419" t="s">
        <v>468</v>
      </c>
      <c r="I1375" s="415" t="s">
        <v>6468</v>
      </c>
      <c r="J1375" s="415" t="s">
        <v>5901</v>
      </c>
      <c r="K1375" s="419" t="s">
        <v>830</v>
      </c>
      <c r="L1375" s="415" t="s">
        <v>32</v>
      </c>
      <c r="M1375" s="419" t="s">
        <v>1813</v>
      </c>
      <c r="N1375" s="413">
        <v>44900</v>
      </c>
      <c r="O1375" s="414" t="s">
        <v>404</v>
      </c>
      <c r="P1375" s="655">
        <f t="shared" si="73"/>
        <v>12</v>
      </c>
      <c r="Q1375" s="655">
        <f t="shared" si="74"/>
        <v>11</v>
      </c>
      <c r="R1375" s="758" t="str">
        <f t="shared" si="75"/>
        <v>Gastos_custeados_por_captação</v>
      </c>
      <c r="S1375" s="697" t="s">
        <v>1000</v>
      </c>
      <c r="T1375" s="697">
        <v>4098</v>
      </c>
    </row>
    <row r="1376" spans="1:20" ht="48" x14ac:dyDescent="0.2">
      <c r="A1376" s="432">
        <f>IF(B1376="","",COUNT('Diário 1º PA'!$A$4:$A$2635)+COUNT('Diário 2º PA'!$A$4:$A$3040)+COUNT('Diário 3º PA'!$A$4:$A$2731)+ROW()-3)</f>
        <v>7401</v>
      </c>
      <c r="B1376" s="413">
        <v>44901</v>
      </c>
      <c r="C1376" s="433">
        <v>44866</v>
      </c>
      <c r="D1376" s="419" t="s">
        <v>34</v>
      </c>
      <c r="E1376" s="419" t="s">
        <v>167</v>
      </c>
      <c r="F1376" s="422">
        <v>500</v>
      </c>
      <c r="G1376" s="427" t="s">
        <v>8925</v>
      </c>
      <c r="H1376" s="419" t="s">
        <v>310</v>
      </c>
      <c r="I1376" s="415" t="s">
        <v>795</v>
      </c>
      <c r="J1376" s="419" t="s">
        <v>796</v>
      </c>
      <c r="K1376" s="419" t="s">
        <v>797</v>
      </c>
      <c r="L1376" s="415" t="s">
        <v>798</v>
      </c>
      <c r="M1376" s="419" t="s">
        <v>310</v>
      </c>
      <c r="N1376" s="413">
        <v>44901</v>
      </c>
      <c r="O1376" s="413" t="s">
        <v>400</v>
      </c>
      <c r="P1376" s="655">
        <f t="shared" si="73"/>
        <v>12</v>
      </c>
      <c r="Q1376" s="655">
        <f t="shared" si="74"/>
        <v>11</v>
      </c>
      <c r="R1376" s="758" t="str">
        <f t="shared" si="75"/>
        <v>Receitas</v>
      </c>
      <c r="S1376" s="697" t="s">
        <v>310</v>
      </c>
      <c r="T1376" s="699" t="s">
        <v>310</v>
      </c>
    </row>
    <row r="1377" spans="1:20" ht="60" x14ac:dyDescent="0.2">
      <c r="A1377" s="432">
        <f>IF(B1377="","",COUNT('Diário 1º PA'!$A$4:$A$2635)+COUNT('Diário 2º PA'!$A$4:$A$3040)+COUNT('Diário 3º PA'!$A$4:$A$2731)+ROW()-3)</f>
        <v>7402</v>
      </c>
      <c r="B1377" s="413">
        <v>44901</v>
      </c>
      <c r="C1377" s="421">
        <v>44866</v>
      </c>
      <c r="D1377" s="419" t="s">
        <v>271</v>
      </c>
      <c r="E1377" s="415" t="s">
        <v>463</v>
      </c>
      <c r="F1377" s="422">
        <v>-489.95</v>
      </c>
      <c r="G1377" s="419" t="s">
        <v>8672</v>
      </c>
      <c r="H1377" s="419" t="s">
        <v>760</v>
      </c>
      <c r="I1377" s="415" t="s">
        <v>795</v>
      </c>
      <c r="J1377" s="419" t="s">
        <v>796</v>
      </c>
      <c r="K1377" s="419" t="s">
        <v>797</v>
      </c>
      <c r="L1377" s="415" t="s">
        <v>798</v>
      </c>
      <c r="M1377" s="419" t="s">
        <v>310</v>
      </c>
      <c r="N1377" s="413">
        <v>44901</v>
      </c>
      <c r="O1377" s="414" t="s">
        <v>400</v>
      </c>
      <c r="P1377" s="655">
        <f t="shared" si="73"/>
        <v>12</v>
      </c>
      <c r="Q1377" s="655">
        <f t="shared" si="74"/>
        <v>11</v>
      </c>
      <c r="R1377" s="758" t="str">
        <f t="shared" si="75"/>
        <v>Gastos_Gerais</v>
      </c>
      <c r="S1377" s="697" t="s">
        <v>310</v>
      </c>
      <c r="T1377" s="697" t="s">
        <v>310</v>
      </c>
    </row>
    <row r="1378" spans="1:20" ht="36" x14ac:dyDescent="0.2">
      <c r="A1378" s="432">
        <f>IF(B1378="","",COUNT('Diário 1º PA'!$A$4:$A$2635)+COUNT('Diário 2º PA'!$A$4:$A$3040)+COUNT('Diário 3º PA'!$A$4:$A$2731)+ROW()-3)</f>
        <v>7403</v>
      </c>
      <c r="B1378" s="413">
        <v>44901</v>
      </c>
      <c r="C1378" s="424">
        <v>44866</v>
      </c>
      <c r="D1378" s="419" t="s">
        <v>182</v>
      </c>
      <c r="E1378" s="419" t="s">
        <v>1</v>
      </c>
      <c r="F1378" s="422">
        <v>4919.5600000000004</v>
      </c>
      <c r="G1378" s="427" t="s">
        <v>8673</v>
      </c>
      <c r="H1378" s="419" t="s">
        <v>310</v>
      </c>
      <c r="I1378" s="415" t="s">
        <v>907</v>
      </c>
      <c r="J1378" s="415" t="s">
        <v>908</v>
      </c>
      <c r="K1378" s="415" t="s">
        <v>806</v>
      </c>
      <c r="L1378" s="415" t="s">
        <v>909</v>
      </c>
      <c r="M1378" s="419" t="s">
        <v>310</v>
      </c>
      <c r="N1378" s="413">
        <v>44901</v>
      </c>
      <c r="O1378" s="414" t="s">
        <v>400</v>
      </c>
      <c r="P1378" s="655">
        <f t="shared" si="73"/>
        <v>12</v>
      </c>
      <c r="Q1378" s="655">
        <f t="shared" si="74"/>
        <v>11</v>
      </c>
      <c r="R1378" s="758" t="str">
        <f t="shared" si="75"/>
        <v>Gastos_com_Pessoal</v>
      </c>
      <c r="S1378" s="697" t="s">
        <v>310</v>
      </c>
      <c r="T1378" s="697" t="s">
        <v>310</v>
      </c>
    </row>
    <row r="1379" spans="1:20" ht="36" x14ac:dyDescent="0.2">
      <c r="A1379" s="432">
        <f>IF(B1379="","",COUNT('Diário 1º PA'!$A$4:$A$2635)+COUNT('Diário 2º PA'!$A$4:$A$3040)+COUNT('Diário 3º PA'!$A$4:$A$2731)+ROW()-3)</f>
        <v>7404</v>
      </c>
      <c r="B1379" s="413">
        <v>44901</v>
      </c>
      <c r="C1379" s="424">
        <v>44866</v>
      </c>
      <c r="D1379" s="419" t="s">
        <v>182</v>
      </c>
      <c r="E1379" s="419" t="s">
        <v>1</v>
      </c>
      <c r="F1379" s="422">
        <v>2465.48</v>
      </c>
      <c r="G1379" s="427" t="s">
        <v>8674</v>
      </c>
      <c r="H1379" s="419" t="s">
        <v>310</v>
      </c>
      <c r="I1379" s="415" t="s">
        <v>914</v>
      </c>
      <c r="J1379" s="415" t="s">
        <v>915</v>
      </c>
      <c r="K1379" s="415" t="s">
        <v>806</v>
      </c>
      <c r="L1379" s="415" t="s">
        <v>909</v>
      </c>
      <c r="M1379" s="419" t="s">
        <v>310</v>
      </c>
      <c r="N1379" s="413">
        <v>44901</v>
      </c>
      <c r="O1379" s="414" t="s">
        <v>400</v>
      </c>
      <c r="P1379" s="655">
        <f t="shared" si="73"/>
        <v>12</v>
      </c>
      <c r="Q1379" s="655">
        <f t="shared" si="74"/>
        <v>11</v>
      </c>
      <c r="R1379" s="758" t="str">
        <f t="shared" si="75"/>
        <v>Gastos_com_Pessoal</v>
      </c>
      <c r="S1379" s="697" t="s">
        <v>310</v>
      </c>
      <c r="T1379" s="697" t="s">
        <v>310</v>
      </c>
    </row>
    <row r="1380" spans="1:20" ht="36" x14ac:dyDescent="0.2">
      <c r="A1380" s="432">
        <f>IF(B1380="","",COUNT('Diário 1º PA'!$A$4:$A$2635)+COUNT('Diário 2º PA'!$A$4:$A$3040)+COUNT('Diário 3º PA'!$A$4:$A$2731)+ROW()-3)</f>
        <v>7405</v>
      </c>
      <c r="B1380" s="413">
        <v>44901</v>
      </c>
      <c r="C1380" s="424">
        <v>44866</v>
      </c>
      <c r="D1380" s="419" t="s">
        <v>182</v>
      </c>
      <c r="E1380" s="419" t="s">
        <v>1</v>
      </c>
      <c r="F1380" s="422">
        <v>2286.4</v>
      </c>
      <c r="G1380" s="427" t="s">
        <v>8675</v>
      </c>
      <c r="H1380" s="419" t="s">
        <v>310</v>
      </c>
      <c r="I1380" s="415" t="s">
        <v>916</v>
      </c>
      <c r="J1380" s="419" t="s">
        <v>917</v>
      </c>
      <c r="K1380" s="419" t="s">
        <v>806</v>
      </c>
      <c r="L1380" s="415" t="s">
        <v>909</v>
      </c>
      <c r="M1380" s="419" t="s">
        <v>310</v>
      </c>
      <c r="N1380" s="413">
        <v>44901</v>
      </c>
      <c r="O1380" s="414" t="s">
        <v>400</v>
      </c>
      <c r="P1380" s="655">
        <f t="shared" si="73"/>
        <v>12</v>
      </c>
      <c r="Q1380" s="655">
        <f t="shared" si="74"/>
        <v>11</v>
      </c>
      <c r="R1380" s="758" t="str">
        <f t="shared" si="75"/>
        <v>Gastos_com_Pessoal</v>
      </c>
      <c r="S1380" s="697" t="s">
        <v>310</v>
      </c>
      <c r="T1380" s="697" t="s">
        <v>310</v>
      </c>
    </row>
    <row r="1381" spans="1:20" ht="36" x14ac:dyDescent="0.2">
      <c r="A1381" s="432">
        <f>IF(B1381="","",COUNT('Diário 1º PA'!$A$4:$A$2635)+COUNT('Diário 2º PA'!$A$4:$A$3040)+COUNT('Diário 3º PA'!$A$4:$A$2731)+ROW()-3)</f>
        <v>7406</v>
      </c>
      <c r="B1381" s="413">
        <v>44901</v>
      </c>
      <c r="C1381" s="424">
        <v>44866</v>
      </c>
      <c r="D1381" s="419" t="s">
        <v>182</v>
      </c>
      <c r="E1381" s="419" t="s">
        <v>1</v>
      </c>
      <c r="F1381" s="422">
        <v>2286.4</v>
      </c>
      <c r="G1381" s="423" t="s">
        <v>8675</v>
      </c>
      <c r="H1381" s="419" t="s">
        <v>310</v>
      </c>
      <c r="I1381" s="415" t="s">
        <v>918</v>
      </c>
      <c r="J1381" s="419" t="s">
        <v>919</v>
      </c>
      <c r="K1381" s="419" t="s">
        <v>806</v>
      </c>
      <c r="L1381" s="415" t="s">
        <v>909</v>
      </c>
      <c r="M1381" s="419" t="s">
        <v>310</v>
      </c>
      <c r="N1381" s="413">
        <v>44901</v>
      </c>
      <c r="O1381" s="414" t="s">
        <v>400</v>
      </c>
      <c r="P1381" s="655">
        <f t="shared" si="73"/>
        <v>12</v>
      </c>
      <c r="Q1381" s="655">
        <f t="shared" si="74"/>
        <v>11</v>
      </c>
      <c r="R1381" s="758" t="str">
        <f t="shared" si="75"/>
        <v>Gastos_com_Pessoal</v>
      </c>
      <c r="S1381" s="697" t="s">
        <v>310</v>
      </c>
      <c r="T1381" s="697" t="s">
        <v>310</v>
      </c>
    </row>
    <row r="1382" spans="1:20" ht="36" x14ac:dyDescent="0.2">
      <c r="A1382" s="432">
        <f>IF(B1382="","",COUNT('Diário 1º PA'!$A$4:$A$2635)+COUNT('Diário 2º PA'!$A$4:$A$3040)+COUNT('Diário 3º PA'!$A$4:$A$2731)+ROW()-3)</f>
        <v>7407</v>
      </c>
      <c r="B1382" s="413">
        <v>44901</v>
      </c>
      <c r="C1382" s="424">
        <v>44866</v>
      </c>
      <c r="D1382" s="419" t="s">
        <v>182</v>
      </c>
      <c r="E1382" s="419" t="s">
        <v>1</v>
      </c>
      <c r="F1382" s="422">
        <v>2286.4</v>
      </c>
      <c r="G1382" s="423" t="s">
        <v>8675</v>
      </c>
      <c r="H1382" s="419" t="s">
        <v>310</v>
      </c>
      <c r="I1382" s="415" t="s">
        <v>920</v>
      </c>
      <c r="J1382" s="419" t="s">
        <v>921</v>
      </c>
      <c r="K1382" s="419" t="s">
        <v>806</v>
      </c>
      <c r="L1382" s="415" t="s">
        <v>909</v>
      </c>
      <c r="M1382" s="419" t="s">
        <v>310</v>
      </c>
      <c r="N1382" s="413">
        <v>44901</v>
      </c>
      <c r="O1382" s="414" t="s">
        <v>400</v>
      </c>
      <c r="P1382" s="655">
        <f t="shared" ref="P1382:P1445" si="85">IF(B1382=0,0,IF(YEAR(B1382)=$Q$1,MONTH(B1382)-$P$1+1,(YEAR(B1382)-$Q$1)*12-$P$1+1+MONTH(B1382)))</f>
        <v>12</v>
      </c>
      <c r="Q1382" s="655">
        <f t="shared" ref="Q1382:Q1445" si="86">IF(C1382=0,0,IF(YEAR(C1382)=$Q$1,MONTH(C1382)-$P$1+1,(YEAR(C1382)-$Q$1)*12-$P$1+1+MONTH(C1382)))</f>
        <v>11</v>
      </c>
      <c r="R1382" s="758" t="str">
        <f t="shared" si="75"/>
        <v>Gastos_com_Pessoal</v>
      </c>
      <c r="S1382" s="697" t="s">
        <v>310</v>
      </c>
      <c r="T1382" s="697" t="s">
        <v>310</v>
      </c>
    </row>
    <row r="1383" spans="1:20" ht="36" x14ac:dyDescent="0.2">
      <c r="A1383" s="432">
        <f>IF(B1383="","",COUNT('Diário 1º PA'!$A$4:$A$2635)+COUNT('Diário 2º PA'!$A$4:$A$3040)+COUNT('Diário 3º PA'!$A$4:$A$2731)+ROW()-3)</f>
        <v>7408</v>
      </c>
      <c r="B1383" s="413">
        <v>44901</v>
      </c>
      <c r="C1383" s="424">
        <v>44866</v>
      </c>
      <c r="D1383" s="419" t="s">
        <v>182</v>
      </c>
      <c r="E1383" s="419" t="s">
        <v>1</v>
      </c>
      <c r="F1383" s="422">
        <v>4854.96</v>
      </c>
      <c r="G1383" s="423" t="s">
        <v>8676</v>
      </c>
      <c r="H1383" s="419" t="s">
        <v>310</v>
      </c>
      <c r="I1383" s="415" t="s">
        <v>923</v>
      </c>
      <c r="J1383" s="419" t="s">
        <v>924</v>
      </c>
      <c r="K1383" s="419" t="s">
        <v>806</v>
      </c>
      <c r="L1383" s="415" t="s">
        <v>909</v>
      </c>
      <c r="M1383" s="419" t="s">
        <v>310</v>
      </c>
      <c r="N1383" s="413">
        <v>44901</v>
      </c>
      <c r="O1383" s="414" t="s">
        <v>400</v>
      </c>
      <c r="P1383" s="655">
        <f t="shared" si="85"/>
        <v>12</v>
      </c>
      <c r="Q1383" s="655">
        <f t="shared" si="86"/>
        <v>11</v>
      </c>
      <c r="R1383" s="758" t="str">
        <f t="shared" si="75"/>
        <v>Gastos_com_Pessoal</v>
      </c>
      <c r="S1383" s="697" t="s">
        <v>310</v>
      </c>
      <c r="T1383" s="697" t="s">
        <v>310</v>
      </c>
    </row>
    <row r="1384" spans="1:20" ht="36" x14ac:dyDescent="0.2">
      <c r="A1384" s="432">
        <f>IF(B1384="","",COUNT('Diário 1º PA'!$A$4:$A$2635)+COUNT('Diário 2º PA'!$A$4:$A$3040)+COUNT('Diário 3º PA'!$A$4:$A$2731)+ROW()-3)</f>
        <v>7409</v>
      </c>
      <c r="B1384" s="413">
        <v>44901</v>
      </c>
      <c r="C1384" s="424">
        <v>44866</v>
      </c>
      <c r="D1384" s="419" t="s">
        <v>182</v>
      </c>
      <c r="E1384" s="419" t="s">
        <v>1</v>
      </c>
      <c r="F1384" s="422">
        <v>2266.2800000000002</v>
      </c>
      <c r="G1384" s="423" t="s">
        <v>8675</v>
      </c>
      <c r="H1384" s="419" t="s">
        <v>310</v>
      </c>
      <c r="I1384" s="415" t="s">
        <v>926</v>
      </c>
      <c r="J1384" s="419" t="s">
        <v>927</v>
      </c>
      <c r="K1384" s="419" t="s">
        <v>806</v>
      </c>
      <c r="L1384" s="415" t="s">
        <v>909</v>
      </c>
      <c r="M1384" s="419" t="s">
        <v>310</v>
      </c>
      <c r="N1384" s="413">
        <v>44901</v>
      </c>
      <c r="O1384" s="414" t="s">
        <v>400</v>
      </c>
      <c r="P1384" s="655">
        <f t="shared" si="85"/>
        <v>12</v>
      </c>
      <c r="Q1384" s="655">
        <f t="shared" si="86"/>
        <v>11</v>
      </c>
      <c r="R1384" s="758" t="str">
        <f t="shared" si="75"/>
        <v>Gastos_com_Pessoal</v>
      </c>
      <c r="S1384" s="697" t="s">
        <v>310</v>
      </c>
      <c r="T1384" s="697" t="s">
        <v>310</v>
      </c>
    </row>
    <row r="1385" spans="1:20" ht="36" x14ac:dyDescent="0.2">
      <c r="A1385" s="432">
        <f>IF(B1385="","",COUNT('Diário 1º PA'!$A$4:$A$2635)+COUNT('Diário 2º PA'!$A$4:$A$3040)+COUNT('Diário 3º PA'!$A$4:$A$2731)+ROW()-3)</f>
        <v>7410</v>
      </c>
      <c r="B1385" s="413">
        <v>44901</v>
      </c>
      <c r="C1385" s="424">
        <v>44866</v>
      </c>
      <c r="D1385" s="419" t="s">
        <v>182</v>
      </c>
      <c r="E1385" s="419" t="s">
        <v>1</v>
      </c>
      <c r="F1385" s="422">
        <v>2134.6</v>
      </c>
      <c r="G1385" s="427" t="s">
        <v>8677</v>
      </c>
      <c r="H1385" s="419" t="s">
        <v>310</v>
      </c>
      <c r="I1385" s="415" t="s">
        <v>932</v>
      </c>
      <c r="J1385" s="419" t="s">
        <v>933</v>
      </c>
      <c r="K1385" s="419" t="s">
        <v>806</v>
      </c>
      <c r="L1385" s="415" t="s">
        <v>909</v>
      </c>
      <c r="M1385" s="419" t="s">
        <v>310</v>
      </c>
      <c r="N1385" s="413">
        <v>44901</v>
      </c>
      <c r="O1385" s="414" t="s">
        <v>400</v>
      </c>
      <c r="P1385" s="655">
        <f t="shared" si="85"/>
        <v>12</v>
      </c>
      <c r="Q1385" s="655">
        <f t="shared" si="86"/>
        <v>11</v>
      </c>
      <c r="R1385" s="758" t="str">
        <f t="shared" si="75"/>
        <v>Gastos_com_Pessoal</v>
      </c>
      <c r="S1385" s="697" t="s">
        <v>310</v>
      </c>
      <c r="T1385" s="697" t="s">
        <v>310</v>
      </c>
    </row>
    <row r="1386" spans="1:20" ht="36" x14ac:dyDescent="0.2">
      <c r="A1386" s="432">
        <f>IF(B1386="","",COUNT('Diário 1º PA'!$A$4:$A$2635)+COUNT('Diário 2º PA'!$A$4:$A$3040)+COUNT('Diário 3º PA'!$A$4:$A$2731)+ROW()-3)</f>
        <v>7411</v>
      </c>
      <c r="B1386" s="413">
        <v>44901</v>
      </c>
      <c r="C1386" s="424">
        <v>44866</v>
      </c>
      <c r="D1386" s="419" t="s">
        <v>182</v>
      </c>
      <c r="E1386" s="419" t="s">
        <v>1</v>
      </c>
      <c r="F1386" s="422">
        <v>2286.4</v>
      </c>
      <c r="G1386" s="423" t="s">
        <v>8675</v>
      </c>
      <c r="H1386" s="419" t="s">
        <v>310</v>
      </c>
      <c r="I1386" s="415" t="s">
        <v>935</v>
      </c>
      <c r="J1386" s="419" t="s">
        <v>936</v>
      </c>
      <c r="K1386" s="419" t="s">
        <v>806</v>
      </c>
      <c r="L1386" s="415" t="s">
        <v>909</v>
      </c>
      <c r="M1386" s="419" t="s">
        <v>310</v>
      </c>
      <c r="N1386" s="413">
        <v>44901</v>
      </c>
      <c r="O1386" s="414" t="s">
        <v>400</v>
      </c>
      <c r="P1386" s="655">
        <f t="shared" si="85"/>
        <v>12</v>
      </c>
      <c r="Q1386" s="655">
        <f t="shared" si="86"/>
        <v>11</v>
      </c>
      <c r="R1386" s="758" t="str">
        <f t="shared" si="75"/>
        <v>Gastos_com_Pessoal</v>
      </c>
      <c r="S1386" s="697" t="s">
        <v>310</v>
      </c>
      <c r="T1386" s="697" t="s">
        <v>310</v>
      </c>
    </row>
    <row r="1387" spans="1:20" ht="36" x14ac:dyDescent="0.2">
      <c r="A1387" s="432">
        <f>IF(B1387="","",COUNT('Diário 1º PA'!$A$4:$A$2635)+COUNT('Diário 2º PA'!$A$4:$A$3040)+COUNT('Diário 3º PA'!$A$4:$A$2731)+ROW()-3)</f>
        <v>7412</v>
      </c>
      <c r="B1387" s="413">
        <v>44901</v>
      </c>
      <c r="C1387" s="424">
        <v>44866</v>
      </c>
      <c r="D1387" s="419" t="s">
        <v>182</v>
      </c>
      <c r="E1387" s="419" t="s">
        <v>1</v>
      </c>
      <c r="F1387" s="422">
        <v>3147.4</v>
      </c>
      <c r="G1387" s="423" t="s">
        <v>8678</v>
      </c>
      <c r="H1387" s="419" t="s">
        <v>310</v>
      </c>
      <c r="I1387" s="415" t="s">
        <v>938</v>
      </c>
      <c r="J1387" s="419" t="s">
        <v>939</v>
      </c>
      <c r="K1387" s="419" t="s">
        <v>806</v>
      </c>
      <c r="L1387" s="415" t="s">
        <v>909</v>
      </c>
      <c r="M1387" s="419" t="s">
        <v>310</v>
      </c>
      <c r="N1387" s="413">
        <v>44901</v>
      </c>
      <c r="O1387" s="414" t="s">
        <v>400</v>
      </c>
      <c r="P1387" s="655">
        <f t="shared" si="85"/>
        <v>12</v>
      </c>
      <c r="Q1387" s="655">
        <f t="shared" si="86"/>
        <v>11</v>
      </c>
      <c r="R1387" s="758" t="str">
        <f t="shared" si="75"/>
        <v>Gastos_com_Pessoal</v>
      </c>
      <c r="S1387" s="697" t="s">
        <v>310</v>
      </c>
      <c r="T1387" s="697" t="s">
        <v>310</v>
      </c>
    </row>
    <row r="1388" spans="1:20" ht="36" x14ac:dyDescent="0.2">
      <c r="A1388" s="432">
        <f>IF(B1388="","",COUNT('Diário 1º PA'!$A$4:$A$2635)+COUNT('Diário 2º PA'!$A$4:$A$3040)+COUNT('Diário 3º PA'!$A$4:$A$2731)+ROW()-3)</f>
        <v>7413</v>
      </c>
      <c r="B1388" s="413">
        <v>44901</v>
      </c>
      <c r="C1388" s="424">
        <v>44866</v>
      </c>
      <c r="D1388" s="419" t="s">
        <v>182</v>
      </c>
      <c r="E1388" s="419" t="s">
        <v>1</v>
      </c>
      <c r="F1388" s="422">
        <v>13574.08</v>
      </c>
      <c r="G1388" s="423" t="s">
        <v>8679</v>
      </c>
      <c r="H1388" s="419" t="s">
        <v>310</v>
      </c>
      <c r="I1388" s="415" t="s">
        <v>941</v>
      </c>
      <c r="J1388" s="419" t="s">
        <v>942</v>
      </c>
      <c r="K1388" s="419" t="s">
        <v>806</v>
      </c>
      <c r="L1388" s="415" t="s">
        <v>909</v>
      </c>
      <c r="M1388" s="419" t="s">
        <v>310</v>
      </c>
      <c r="N1388" s="413">
        <v>44901</v>
      </c>
      <c r="O1388" s="414" t="s">
        <v>400</v>
      </c>
      <c r="P1388" s="655">
        <f t="shared" si="85"/>
        <v>12</v>
      </c>
      <c r="Q1388" s="655">
        <f t="shared" si="86"/>
        <v>11</v>
      </c>
      <c r="R1388" s="758" t="str">
        <f t="shared" si="75"/>
        <v>Gastos_com_Pessoal</v>
      </c>
      <c r="S1388" s="697" t="s">
        <v>310</v>
      </c>
      <c r="T1388" s="697" t="s">
        <v>310</v>
      </c>
    </row>
    <row r="1389" spans="1:20" ht="36" x14ac:dyDescent="0.2">
      <c r="A1389" s="432">
        <f>IF(B1389="","",COUNT('Diário 1º PA'!$A$4:$A$2635)+COUNT('Diário 2º PA'!$A$4:$A$3040)+COUNT('Diário 3º PA'!$A$4:$A$2731)+ROW()-3)</f>
        <v>7414</v>
      </c>
      <c r="B1389" s="413">
        <v>44901</v>
      </c>
      <c r="C1389" s="424">
        <v>44866</v>
      </c>
      <c r="D1389" s="419" t="s">
        <v>182</v>
      </c>
      <c r="E1389" s="419" t="s">
        <v>1</v>
      </c>
      <c r="F1389" s="422">
        <v>2286.4</v>
      </c>
      <c r="G1389" s="423" t="s">
        <v>8675</v>
      </c>
      <c r="H1389" s="419" t="s">
        <v>310</v>
      </c>
      <c r="I1389" s="415" t="s">
        <v>943</v>
      </c>
      <c r="J1389" s="419" t="s">
        <v>1553</v>
      </c>
      <c r="K1389" s="419" t="s">
        <v>806</v>
      </c>
      <c r="L1389" s="415" t="s">
        <v>909</v>
      </c>
      <c r="M1389" s="419" t="s">
        <v>310</v>
      </c>
      <c r="N1389" s="413">
        <v>44901</v>
      </c>
      <c r="O1389" s="414" t="s">
        <v>400</v>
      </c>
      <c r="P1389" s="655">
        <f t="shared" si="85"/>
        <v>12</v>
      </c>
      <c r="Q1389" s="655">
        <f t="shared" si="86"/>
        <v>11</v>
      </c>
      <c r="R1389" s="758" t="str">
        <f t="shared" si="75"/>
        <v>Gastos_com_Pessoal</v>
      </c>
      <c r="S1389" s="697" t="s">
        <v>310</v>
      </c>
      <c r="T1389" s="697" t="s">
        <v>310</v>
      </c>
    </row>
    <row r="1390" spans="1:20" ht="36" x14ac:dyDescent="0.2">
      <c r="A1390" s="432">
        <f>IF(B1390="","",COUNT('Diário 1º PA'!$A$4:$A$2635)+COUNT('Diário 2º PA'!$A$4:$A$3040)+COUNT('Diário 3º PA'!$A$4:$A$2731)+ROW()-3)</f>
        <v>7415</v>
      </c>
      <c r="B1390" s="413">
        <v>44901</v>
      </c>
      <c r="C1390" s="424">
        <v>44866</v>
      </c>
      <c r="D1390" s="419" t="s">
        <v>182</v>
      </c>
      <c r="E1390" s="419" t="s">
        <v>1</v>
      </c>
      <c r="F1390" s="422">
        <v>1968.54</v>
      </c>
      <c r="G1390" s="427" t="s">
        <v>8680</v>
      </c>
      <c r="H1390" s="419" t="s">
        <v>310</v>
      </c>
      <c r="I1390" s="415" t="s">
        <v>6317</v>
      </c>
      <c r="J1390" s="419" t="s">
        <v>6318</v>
      </c>
      <c r="K1390" s="419" t="s">
        <v>6327</v>
      </c>
      <c r="L1390" s="415" t="s">
        <v>909</v>
      </c>
      <c r="M1390" s="419" t="s">
        <v>310</v>
      </c>
      <c r="N1390" s="413">
        <v>44901</v>
      </c>
      <c r="O1390" s="414" t="s">
        <v>400</v>
      </c>
      <c r="P1390" s="655">
        <f t="shared" si="85"/>
        <v>12</v>
      </c>
      <c r="Q1390" s="655">
        <f t="shared" si="86"/>
        <v>11</v>
      </c>
      <c r="R1390" s="758" t="str">
        <f t="shared" si="75"/>
        <v>Gastos_com_Pessoal</v>
      </c>
      <c r="S1390" s="697" t="s">
        <v>310</v>
      </c>
      <c r="T1390" s="697" t="s">
        <v>310</v>
      </c>
    </row>
    <row r="1391" spans="1:20" ht="36" x14ac:dyDescent="0.2">
      <c r="A1391" s="432">
        <f>IF(B1391="","",COUNT('Diário 1º PA'!$A$4:$A$2635)+COUNT('Diário 2º PA'!$A$4:$A$3040)+COUNT('Diário 3º PA'!$A$4:$A$2731)+ROW()-3)</f>
        <v>7416</v>
      </c>
      <c r="B1391" s="413">
        <v>44901</v>
      </c>
      <c r="C1391" s="424">
        <v>44866</v>
      </c>
      <c r="D1391" s="419" t="s">
        <v>182</v>
      </c>
      <c r="E1391" s="419" t="s">
        <v>1</v>
      </c>
      <c r="F1391" s="422">
        <v>2134.6</v>
      </c>
      <c r="G1391" s="427" t="s">
        <v>8677</v>
      </c>
      <c r="H1391" s="419" t="s">
        <v>310</v>
      </c>
      <c r="I1391" s="415" t="s">
        <v>975</v>
      </c>
      <c r="J1391" s="419" t="s">
        <v>1565</v>
      </c>
      <c r="K1391" s="419" t="s">
        <v>830</v>
      </c>
      <c r="L1391" s="415" t="s">
        <v>909</v>
      </c>
      <c r="M1391" s="419" t="s">
        <v>310</v>
      </c>
      <c r="N1391" s="413">
        <v>44901</v>
      </c>
      <c r="O1391" s="414" t="s">
        <v>400</v>
      </c>
      <c r="P1391" s="655">
        <f t="shared" si="85"/>
        <v>12</v>
      </c>
      <c r="Q1391" s="655">
        <f t="shared" si="86"/>
        <v>11</v>
      </c>
      <c r="R1391" s="758" t="str">
        <f t="shared" si="75"/>
        <v>Gastos_com_Pessoal</v>
      </c>
      <c r="S1391" s="697" t="s">
        <v>310</v>
      </c>
      <c r="T1391" s="697" t="s">
        <v>310</v>
      </c>
    </row>
    <row r="1392" spans="1:20" ht="36" x14ac:dyDescent="0.2">
      <c r="A1392" s="432">
        <f>IF(B1392="","",COUNT('Diário 1º PA'!$A$4:$A$2635)+COUNT('Diário 2º PA'!$A$4:$A$3040)+COUNT('Diário 3º PA'!$A$4:$A$2731)+ROW()-3)</f>
        <v>7417</v>
      </c>
      <c r="B1392" s="413">
        <v>44901</v>
      </c>
      <c r="C1392" s="424">
        <v>44866</v>
      </c>
      <c r="D1392" s="419" t="s">
        <v>182</v>
      </c>
      <c r="E1392" s="419" t="s">
        <v>1</v>
      </c>
      <c r="F1392" s="422">
        <v>11657.2</v>
      </c>
      <c r="G1392" s="427" t="s">
        <v>8681</v>
      </c>
      <c r="H1392" s="419" t="s">
        <v>310</v>
      </c>
      <c r="I1392" s="415" t="s">
        <v>990</v>
      </c>
      <c r="J1392" s="419" t="s">
        <v>991</v>
      </c>
      <c r="K1392" s="419" t="s">
        <v>830</v>
      </c>
      <c r="L1392" s="415" t="s">
        <v>909</v>
      </c>
      <c r="M1392" s="419" t="s">
        <v>310</v>
      </c>
      <c r="N1392" s="413">
        <v>44901</v>
      </c>
      <c r="O1392" s="414" t="s">
        <v>400</v>
      </c>
      <c r="P1392" s="655">
        <f t="shared" si="85"/>
        <v>12</v>
      </c>
      <c r="Q1392" s="655">
        <f t="shared" si="86"/>
        <v>11</v>
      </c>
      <c r="R1392" s="758" t="str">
        <f t="shared" si="75"/>
        <v>Gastos_com_Pessoal</v>
      </c>
      <c r="S1392" s="697" t="s">
        <v>310</v>
      </c>
      <c r="T1392" s="697" t="s">
        <v>310</v>
      </c>
    </row>
    <row r="1393" spans="1:20" ht="36" x14ac:dyDescent="0.2">
      <c r="A1393" s="432">
        <f>IF(B1393="","",COUNT('Diário 1º PA'!$A$4:$A$2635)+COUNT('Diário 2º PA'!$A$4:$A$3040)+COUNT('Diário 3º PA'!$A$4:$A$2731)+ROW()-3)</f>
        <v>7418</v>
      </c>
      <c r="B1393" s="413">
        <v>44901</v>
      </c>
      <c r="C1393" s="424">
        <v>44866</v>
      </c>
      <c r="D1393" s="419" t="s">
        <v>182</v>
      </c>
      <c r="E1393" s="419" t="s">
        <v>1</v>
      </c>
      <c r="F1393" s="422">
        <v>2235.21</v>
      </c>
      <c r="G1393" s="427" t="s">
        <v>8680</v>
      </c>
      <c r="H1393" s="419" t="s">
        <v>310</v>
      </c>
      <c r="I1393" s="415" t="s">
        <v>6359</v>
      </c>
      <c r="J1393" s="419" t="s">
        <v>6311</v>
      </c>
      <c r="K1393" s="419" t="s">
        <v>830</v>
      </c>
      <c r="L1393" s="415" t="s">
        <v>909</v>
      </c>
      <c r="M1393" s="419" t="s">
        <v>310</v>
      </c>
      <c r="N1393" s="413">
        <v>44901</v>
      </c>
      <c r="O1393" s="414" t="s">
        <v>400</v>
      </c>
      <c r="P1393" s="655">
        <f t="shared" si="85"/>
        <v>12</v>
      </c>
      <c r="Q1393" s="655">
        <f t="shared" si="86"/>
        <v>11</v>
      </c>
      <c r="R1393" s="758" t="str">
        <f t="shared" si="75"/>
        <v>Gastos_com_Pessoal</v>
      </c>
      <c r="S1393" s="697" t="s">
        <v>310</v>
      </c>
      <c r="T1393" s="697" t="s">
        <v>310</v>
      </c>
    </row>
    <row r="1394" spans="1:20" ht="36" x14ac:dyDescent="0.2">
      <c r="A1394" s="432">
        <f>IF(B1394="","",COUNT('Diário 1º PA'!$A$4:$A$2635)+COUNT('Diário 2º PA'!$A$4:$A$3040)+COUNT('Diário 3º PA'!$A$4:$A$2731)+ROW()-3)</f>
        <v>7419</v>
      </c>
      <c r="B1394" s="413">
        <v>44901</v>
      </c>
      <c r="C1394" s="424">
        <v>44866</v>
      </c>
      <c r="D1394" s="419" t="s">
        <v>182</v>
      </c>
      <c r="E1394" s="419" t="s">
        <v>1</v>
      </c>
      <c r="F1394" s="422">
        <v>2300.62</v>
      </c>
      <c r="G1394" s="427" t="s">
        <v>8677</v>
      </c>
      <c r="H1394" s="419" t="s">
        <v>310</v>
      </c>
      <c r="I1394" s="415" t="s">
        <v>994</v>
      </c>
      <c r="J1394" s="419" t="s">
        <v>995</v>
      </c>
      <c r="K1394" s="419" t="s">
        <v>830</v>
      </c>
      <c r="L1394" s="415" t="s">
        <v>909</v>
      </c>
      <c r="M1394" s="419" t="s">
        <v>310</v>
      </c>
      <c r="N1394" s="413">
        <v>44901</v>
      </c>
      <c r="O1394" s="414" t="s">
        <v>400</v>
      </c>
      <c r="P1394" s="655">
        <f t="shared" si="85"/>
        <v>12</v>
      </c>
      <c r="Q1394" s="655">
        <f t="shared" si="86"/>
        <v>11</v>
      </c>
      <c r="R1394" s="758" t="str">
        <f t="shared" si="75"/>
        <v>Gastos_com_Pessoal</v>
      </c>
      <c r="S1394" s="697" t="s">
        <v>310</v>
      </c>
      <c r="T1394" s="697" t="s">
        <v>310</v>
      </c>
    </row>
    <row r="1395" spans="1:20" ht="36" x14ac:dyDescent="0.2">
      <c r="A1395" s="432">
        <f>IF(B1395="","",COUNT('Diário 1º PA'!$A$4:$A$2635)+COUNT('Diário 2º PA'!$A$4:$A$3040)+COUNT('Diário 3º PA'!$A$4:$A$2731)+ROW()-3)</f>
        <v>7420</v>
      </c>
      <c r="B1395" s="413">
        <v>44901</v>
      </c>
      <c r="C1395" s="424">
        <v>44866</v>
      </c>
      <c r="D1395" s="419" t="s">
        <v>182</v>
      </c>
      <c r="E1395" s="419" t="s">
        <v>1</v>
      </c>
      <c r="F1395" s="422">
        <v>1885.89</v>
      </c>
      <c r="G1395" s="427" t="s">
        <v>8682</v>
      </c>
      <c r="H1395" s="419" t="s">
        <v>310</v>
      </c>
      <c r="I1395" s="415" t="s">
        <v>969</v>
      </c>
      <c r="J1395" s="419" t="s">
        <v>970</v>
      </c>
      <c r="K1395" s="419" t="s">
        <v>830</v>
      </c>
      <c r="L1395" s="415" t="s">
        <v>909</v>
      </c>
      <c r="M1395" s="419" t="s">
        <v>310</v>
      </c>
      <c r="N1395" s="413">
        <v>44901</v>
      </c>
      <c r="O1395" s="414" t="s">
        <v>400</v>
      </c>
      <c r="P1395" s="655">
        <f t="shared" si="85"/>
        <v>12</v>
      </c>
      <c r="Q1395" s="655">
        <f t="shared" si="86"/>
        <v>11</v>
      </c>
      <c r="R1395" s="758" t="str">
        <f t="shared" si="75"/>
        <v>Gastos_com_Pessoal</v>
      </c>
      <c r="S1395" s="697" t="s">
        <v>310</v>
      </c>
      <c r="T1395" s="697" t="s">
        <v>310</v>
      </c>
    </row>
    <row r="1396" spans="1:20" ht="36" x14ac:dyDescent="0.2">
      <c r="A1396" s="432">
        <f>IF(B1396="","",COUNT('Diário 1º PA'!$A$4:$A$2635)+COUNT('Diário 2º PA'!$A$4:$A$3040)+COUNT('Diário 3º PA'!$A$4:$A$2731)+ROW()-3)</f>
        <v>7421</v>
      </c>
      <c r="B1396" s="413">
        <v>44901</v>
      </c>
      <c r="C1396" s="424">
        <v>44866</v>
      </c>
      <c r="D1396" s="419" t="s">
        <v>182</v>
      </c>
      <c r="E1396" s="419" t="s">
        <v>1</v>
      </c>
      <c r="F1396" s="422">
        <v>3134.5</v>
      </c>
      <c r="G1396" s="427" t="s">
        <v>8683</v>
      </c>
      <c r="H1396" s="419" t="s">
        <v>310</v>
      </c>
      <c r="I1396" s="415" t="s">
        <v>3665</v>
      </c>
      <c r="J1396" s="419" t="s">
        <v>3193</v>
      </c>
      <c r="K1396" s="419" t="s">
        <v>830</v>
      </c>
      <c r="L1396" s="415" t="s">
        <v>909</v>
      </c>
      <c r="M1396" s="734" t="s">
        <v>310</v>
      </c>
      <c r="N1396" s="413">
        <v>44901</v>
      </c>
      <c r="O1396" s="414" t="s">
        <v>400</v>
      </c>
      <c r="P1396" s="655">
        <f t="shared" si="85"/>
        <v>12</v>
      </c>
      <c r="Q1396" s="655">
        <f t="shared" si="86"/>
        <v>11</v>
      </c>
      <c r="R1396" s="758" t="str">
        <f t="shared" si="75"/>
        <v>Gastos_com_Pessoal</v>
      </c>
      <c r="S1396" s="697" t="s">
        <v>310</v>
      </c>
      <c r="T1396" s="697" t="s">
        <v>310</v>
      </c>
    </row>
    <row r="1397" spans="1:20" ht="36" x14ac:dyDescent="0.2">
      <c r="A1397" s="432">
        <f>IF(B1397="","",COUNT('Diário 1º PA'!$A$4:$A$2635)+COUNT('Diário 2º PA'!$A$4:$A$3040)+COUNT('Diário 3º PA'!$A$4:$A$2731)+ROW()-3)</f>
        <v>7422</v>
      </c>
      <c r="B1397" s="413">
        <v>44901</v>
      </c>
      <c r="C1397" s="424">
        <v>44866</v>
      </c>
      <c r="D1397" s="419" t="s">
        <v>182</v>
      </c>
      <c r="E1397" s="419" t="s">
        <v>1</v>
      </c>
      <c r="F1397" s="422">
        <v>3432.84</v>
      </c>
      <c r="G1397" s="427" t="s">
        <v>8684</v>
      </c>
      <c r="H1397" s="419" t="s">
        <v>310</v>
      </c>
      <c r="I1397" s="415" t="s">
        <v>963</v>
      </c>
      <c r="J1397" s="419" t="s">
        <v>964</v>
      </c>
      <c r="K1397" s="419" t="s">
        <v>830</v>
      </c>
      <c r="L1397" s="415" t="s">
        <v>909</v>
      </c>
      <c r="M1397" s="419" t="s">
        <v>310</v>
      </c>
      <c r="N1397" s="413">
        <v>44901</v>
      </c>
      <c r="O1397" s="414" t="s">
        <v>400</v>
      </c>
      <c r="P1397" s="655">
        <f t="shared" si="85"/>
        <v>12</v>
      </c>
      <c r="Q1397" s="655">
        <f t="shared" si="86"/>
        <v>11</v>
      </c>
      <c r="R1397" s="758" t="str">
        <f t="shared" si="75"/>
        <v>Gastos_com_Pessoal</v>
      </c>
      <c r="S1397" s="697" t="s">
        <v>310</v>
      </c>
      <c r="T1397" s="697" t="s">
        <v>310</v>
      </c>
    </row>
    <row r="1398" spans="1:20" ht="36" x14ac:dyDescent="0.2">
      <c r="A1398" s="432">
        <f>IF(B1398="","",COUNT('Diário 1º PA'!$A$4:$A$2635)+COUNT('Diário 2º PA'!$A$4:$A$3040)+COUNT('Diário 3º PA'!$A$4:$A$2731)+ROW()-3)</f>
        <v>7423</v>
      </c>
      <c r="B1398" s="413">
        <v>44901</v>
      </c>
      <c r="C1398" s="424">
        <v>44866</v>
      </c>
      <c r="D1398" s="419" t="s">
        <v>182</v>
      </c>
      <c r="E1398" s="419" t="s">
        <v>1</v>
      </c>
      <c r="F1398" s="422">
        <v>3148.32</v>
      </c>
      <c r="G1398" s="423" t="s">
        <v>8685</v>
      </c>
      <c r="H1398" s="419" t="s">
        <v>310</v>
      </c>
      <c r="I1398" s="415" t="s">
        <v>946</v>
      </c>
      <c r="J1398" s="419" t="s">
        <v>947</v>
      </c>
      <c r="K1398" s="419" t="s">
        <v>806</v>
      </c>
      <c r="L1398" s="415" t="s">
        <v>909</v>
      </c>
      <c r="M1398" s="419" t="s">
        <v>310</v>
      </c>
      <c r="N1398" s="413">
        <v>44901</v>
      </c>
      <c r="O1398" s="414" t="s">
        <v>400</v>
      </c>
      <c r="P1398" s="655">
        <f t="shared" si="85"/>
        <v>12</v>
      </c>
      <c r="Q1398" s="655">
        <f t="shared" si="86"/>
        <v>11</v>
      </c>
      <c r="R1398" s="758" t="str">
        <f t="shared" ref="R1398:R1461" si="87">SUBSTITUTE(D1398," ","_")</f>
        <v>Gastos_com_Pessoal</v>
      </c>
      <c r="S1398" s="697" t="s">
        <v>310</v>
      </c>
      <c r="T1398" s="697" t="s">
        <v>310</v>
      </c>
    </row>
    <row r="1399" spans="1:20" ht="36" x14ac:dyDescent="0.2">
      <c r="A1399" s="432">
        <f>IF(B1399="","",COUNT('Diário 1º PA'!$A$4:$A$2635)+COUNT('Diário 2º PA'!$A$4:$A$3040)+COUNT('Diário 3º PA'!$A$4:$A$2731)+ROW()-3)</f>
        <v>7424</v>
      </c>
      <c r="B1399" s="413">
        <v>44901</v>
      </c>
      <c r="C1399" s="424">
        <v>44866</v>
      </c>
      <c r="D1399" s="419" t="s">
        <v>182</v>
      </c>
      <c r="E1399" s="419" t="s">
        <v>1</v>
      </c>
      <c r="F1399" s="422">
        <v>2255.33</v>
      </c>
      <c r="G1399" s="437" t="s">
        <v>8675</v>
      </c>
      <c r="H1399" s="419" t="s">
        <v>310</v>
      </c>
      <c r="I1399" s="415" t="s">
        <v>992</v>
      </c>
      <c r="J1399" s="419" t="s">
        <v>993</v>
      </c>
      <c r="K1399" s="419" t="s">
        <v>830</v>
      </c>
      <c r="L1399" s="415" t="s">
        <v>909</v>
      </c>
      <c r="M1399" s="419" t="s">
        <v>310</v>
      </c>
      <c r="N1399" s="413">
        <v>44901</v>
      </c>
      <c r="O1399" s="414" t="s">
        <v>400</v>
      </c>
      <c r="P1399" s="655">
        <f t="shared" si="85"/>
        <v>12</v>
      </c>
      <c r="Q1399" s="655">
        <f t="shared" si="86"/>
        <v>11</v>
      </c>
      <c r="R1399" s="758" t="str">
        <f t="shared" si="87"/>
        <v>Gastos_com_Pessoal</v>
      </c>
      <c r="S1399" s="697" t="s">
        <v>310</v>
      </c>
      <c r="T1399" s="697" t="s">
        <v>310</v>
      </c>
    </row>
    <row r="1400" spans="1:20" ht="36" x14ac:dyDescent="0.2">
      <c r="A1400" s="432">
        <f>IF(B1400="","",COUNT('Diário 1º PA'!$A$4:$A$2635)+COUNT('Diário 2º PA'!$A$4:$A$3040)+COUNT('Diário 3º PA'!$A$4:$A$2731)+ROW()-3)</f>
        <v>7425</v>
      </c>
      <c r="B1400" s="413">
        <v>44901</v>
      </c>
      <c r="C1400" s="424">
        <v>44866</v>
      </c>
      <c r="D1400" s="419" t="s">
        <v>182</v>
      </c>
      <c r="E1400" s="419" t="s">
        <v>1</v>
      </c>
      <c r="F1400" s="422">
        <v>2971.83</v>
      </c>
      <c r="G1400" s="427" t="s">
        <v>8686</v>
      </c>
      <c r="H1400" s="419" t="s">
        <v>310</v>
      </c>
      <c r="I1400" s="415" t="s">
        <v>5864</v>
      </c>
      <c r="J1400" s="419" t="s">
        <v>5865</v>
      </c>
      <c r="K1400" s="419" t="s">
        <v>6327</v>
      </c>
      <c r="L1400" s="415" t="s">
        <v>909</v>
      </c>
      <c r="M1400" s="419" t="s">
        <v>310</v>
      </c>
      <c r="N1400" s="413">
        <v>44901</v>
      </c>
      <c r="O1400" s="414" t="s">
        <v>400</v>
      </c>
      <c r="P1400" s="655">
        <f t="shared" si="85"/>
        <v>12</v>
      </c>
      <c r="Q1400" s="655">
        <f t="shared" si="86"/>
        <v>11</v>
      </c>
      <c r="R1400" s="758" t="str">
        <f t="shared" si="87"/>
        <v>Gastos_com_Pessoal</v>
      </c>
      <c r="S1400" s="697" t="s">
        <v>310</v>
      </c>
      <c r="T1400" s="697" t="s">
        <v>310</v>
      </c>
    </row>
    <row r="1401" spans="1:20" ht="36" x14ac:dyDescent="0.2">
      <c r="A1401" s="432">
        <f>IF(B1401="","",COUNT('Diário 1º PA'!$A$4:$A$2635)+COUNT('Diário 2º PA'!$A$4:$A$3040)+COUNT('Diário 3º PA'!$A$4:$A$2731)+ROW()-3)</f>
        <v>7426</v>
      </c>
      <c r="B1401" s="413">
        <v>44901</v>
      </c>
      <c r="C1401" s="424">
        <v>44866</v>
      </c>
      <c r="D1401" s="419" t="s">
        <v>182</v>
      </c>
      <c r="E1401" s="419" t="s">
        <v>1</v>
      </c>
      <c r="F1401" s="422">
        <v>3127.28</v>
      </c>
      <c r="G1401" s="423" t="s">
        <v>8687</v>
      </c>
      <c r="H1401" s="419" t="s">
        <v>310</v>
      </c>
      <c r="I1401" s="415" t="s">
        <v>1186</v>
      </c>
      <c r="J1401" s="419" t="s">
        <v>1187</v>
      </c>
      <c r="K1401" s="419" t="s">
        <v>830</v>
      </c>
      <c r="L1401" s="415" t="s">
        <v>909</v>
      </c>
      <c r="M1401" s="419" t="s">
        <v>310</v>
      </c>
      <c r="N1401" s="413">
        <v>44901</v>
      </c>
      <c r="O1401" s="414" t="s">
        <v>400</v>
      </c>
      <c r="P1401" s="655">
        <f t="shared" si="85"/>
        <v>12</v>
      </c>
      <c r="Q1401" s="655">
        <f t="shared" si="86"/>
        <v>11</v>
      </c>
      <c r="R1401" s="758" t="str">
        <f t="shared" si="87"/>
        <v>Gastos_com_Pessoal</v>
      </c>
      <c r="S1401" s="697" t="s">
        <v>310</v>
      </c>
      <c r="T1401" s="697" t="s">
        <v>310</v>
      </c>
    </row>
    <row r="1402" spans="1:20" ht="36" x14ac:dyDescent="0.2">
      <c r="A1402" s="432">
        <f>IF(B1402="","",COUNT('Diário 1º PA'!$A$4:$A$2635)+COUNT('Diário 2º PA'!$A$4:$A$3040)+COUNT('Diário 3º PA'!$A$4:$A$2731)+ROW()-3)</f>
        <v>7427</v>
      </c>
      <c r="B1402" s="413">
        <v>44901</v>
      </c>
      <c r="C1402" s="424">
        <v>44866</v>
      </c>
      <c r="D1402" s="419" t="s">
        <v>182</v>
      </c>
      <c r="E1402" s="419" t="s">
        <v>1</v>
      </c>
      <c r="F1402" s="422">
        <v>2134.6</v>
      </c>
      <c r="G1402" s="427" t="s">
        <v>8688</v>
      </c>
      <c r="H1402" s="419" t="s">
        <v>310</v>
      </c>
      <c r="I1402" s="415" t="s">
        <v>1203</v>
      </c>
      <c r="J1402" s="419" t="s">
        <v>1201</v>
      </c>
      <c r="K1402" s="419" t="s">
        <v>6327</v>
      </c>
      <c r="L1402" s="415" t="s">
        <v>909</v>
      </c>
      <c r="M1402" s="419" t="s">
        <v>310</v>
      </c>
      <c r="N1402" s="413">
        <v>44901</v>
      </c>
      <c r="O1402" s="414" t="s">
        <v>400</v>
      </c>
      <c r="P1402" s="655">
        <f t="shared" si="85"/>
        <v>12</v>
      </c>
      <c r="Q1402" s="655">
        <f t="shared" si="86"/>
        <v>11</v>
      </c>
      <c r="R1402" s="758" t="str">
        <f t="shared" si="87"/>
        <v>Gastos_com_Pessoal</v>
      </c>
      <c r="S1402" s="697" t="s">
        <v>310</v>
      </c>
      <c r="T1402" s="697" t="s">
        <v>310</v>
      </c>
    </row>
    <row r="1403" spans="1:20" ht="36" x14ac:dyDescent="0.2">
      <c r="A1403" s="432">
        <f>IF(B1403="","",COUNT('Diário 1º PA'!$A$4:$A$2635)+COUNT('Diário 2º PA'!$A$4:$A$3040)+COUNT('Diário 3º PA'!$A$4:$A$2731)+ROW()-3)</f>
        <v>7428</v>
      </c>
      <c r="B1403" s="413">
        <v>44901</v>
      </c>
      <c r="C1403" s="424">
        <v>44866</v>
      </c>
      <c r="D1403" s="419" t="s">
        <v>182</v>
      </c>
      <c r="E1403" s="419" t="s">
        <v>1</v>
      </c>
      <c r="F1403" s="422">
        <v>2266.2800000000002</v>
      </c>
      <c r="G1403" s="423" t="s">
        <v>8675</v>
      </c>
      <c r="H1403" s="419" t="s">
        <v>310</v>
      </c>
      <c r="I1403" s="415" t="s">
        <v>1171</v>
      </c>
      <c r="J1403" s="419" t="s">
        <v>1172</v>
      </c>
      <c r="K1403" s="419" t="s">
        <v>830</v>
      </c>
      <c r="L1403" s="415" t="s">
        <v>909</v>
      </c>
      <c r="M1403" s="419" t="s">
        <v>310</v>
      </c>
      <c r="N1403" s="413">
        <v>44901</v>
      </c>
      <c r="O1403" s="414" t="s">
        <v>400</v>
      </c>
      <c r="P1403" s="655">
        <f t="shared" si="85"/>
        <v>12</v>
      </c>
      <c r="Q1403" s="655">
        <f t="shared" si="86"/>
        <v>11</v>
      </c>
      <c r="R1403" s="758" t="str">
        <f t="shared" si="87"/>
        <v>Gastos_com_Pessoal</v>
      </c>
      <c r="S1403" s="697" t="s">
        <v>310</v>
      </c>
      <c r="T1403" s="697" t="s">
        <v>310</v>
      </c>
    </row>
    <row r="1404" spans="1:20" ht="36" x14ac:dyDescent="0.2">
      <c r="A1404" s="432">
        <f>IF(B1404="","",COUNT('Diário 1º PA'!$A$4:$A$2635)+COUNT('Diário 2º PA'!$A$4:$A$3040)+COUNT('Diário 3º PA'!$A$4:$A$2731)+ROW()-3)</f>
        <v>7429</v>
      </c>
      <c r="B1404" s="413">
        <v>44901</v>
      </c>
      <c r="C1404" s="424">
        <v>44866</v>
      </c>
      <c r="D1404" s="419" t="s">
        <v>182</v>
      </c>
      <c r="E1404" s="419" t="s">
        <v>1</v>
      </c>
      <c r="F1404" s="422">
        <v>3089.66</v>
      </c>
      <c r="G1404" s="423" t="s">
        <v>8689</v>
      </c>
      <c r="H1404" s="419" t="s">
        <v>310</v>
      </c>
      <c r="I1404" s="415" t="s">
        <v>7486</v>
      </c>
      <c r="J1404" s="419" t="s">
        <v>7442</v>
      </c>
      <c r="K1404" s="419" t="s">
        <v>830</v>
      </c>
      <c r="L1404" s="415" t="s">
        <v>909</v>
      </c>
      <c r="M1404" s="419" t="s">
        <v>310</v>
      </c>
      <c r="N1404" s="413">
        <v>44901</v>
      </c>
      <c r="O1404" s="414" t="s">
        <v>400</v>
      </c>
      <c r="P1404" s="655">
        <f t="shared" si="85"/>
        <v>12</v>
      </c>
      <c r="Q1404" s="655">
        <f t="shared" si="86"/>
        <v>11</v>
      </c>
      <c r="R1404" s="758" t="str">
        <f t="shared" si="87"/>
        <v>Gastos_com_Pessoal</v>
      </c>
      <c r="S1404" s="697" t="s">
        <v>310</v>
      </c>
      <c r="T1404" s="697" t="s">
        <v>310</v>
      </c>
    </row>
    <row r="1405" spans="1:20" ht="36" x14ac:dyDescent="0.2">
      <c r="A1405" s="432">
        <f>IF(B1405="","",COUNT('Diário 1º PA'!$A$4:$A$2635)+COUNT('Diário 2º PA'!$A$4:$A$3040)+COUNT('Diário 3º PA'!$A$4:$A$2731)+ROW()-3)</f>
        <v>7430</v>
      </c>
      <c r="B1405" s="413">
        <v>44901</v>
      </c>
      <c r="C1405" s="424">
        <v>44866</v>
      </c>
      <c r="D1405" s="419" t="s">
        <v>182</v>
      </c>
      <c r="E1405" s="419" t="s">
        <v>1</v>
      </c>
      <c r="F1405" s="422">
        <v>3127.28</v>
      </c>
      <c r="G1405" s="423" t="s">
        <v>8689</v>
      </c>
      <c r="H1405" s="419" t="s">
        <v>310</v>
      </c>
      <c r="I1405" s="415" t="s">
        <v>996</v>
      </c>
      <c r="J1405" s="419" t="s">
        <v>997</v>
      </c>
      <c r="K1405" s="419" t="s">
        <v>830</v>
      </c>
      <c r="L1405" s="415" t="s">
        <v>909</v>
      </c>
      <c r="M1405" s="419" t="s">
        <v>310</v>
      </c>
      <c r="N1405" s="413">
        <v>44901</v>
      </c>
      <c r="O1405" s="414" t="s">
        <v>400</v>
      </c>
      <c r="P1405" s="655">
        <f t="shared" si="85"/>
        <v>12</v>
      </c>
      <c r="Q1405" s="655">
        <f t="shared" si="86"/>
        <v>11</v>
      </c>
      <c r="R1405" s="758" t="str">
        <f t="shared" si="87"/>
        <v>Gastos_com_Pessoal</v>
      </c>
      <c r="S1405" s="697" t="s">
        <v>310</v>
      </c>
      <c r="T1405" s="697" t="s">
        <v>310</v>
      </c>
    </row>
    <row r="1406" spans="1:20" ht="36" x14ac:dyDescent="0.2">
      <c r="A1406" s="432">
        <f>IF(B1406="","",COUNT('Diário 1º PA'!$A$4:$A$2635)+COUNT('Diário 2º PA'!$A$4:$A$3040)+COUNT('Diário 3º PA'!$A$4:$A$2731)+ROW()-3)</f>
        <v>7431</v>
      </c>
      <c r="B1406" s="413">
        <v>44901</v>
      </c>
      <c r="C1406" s="424">
        <v>44866</v>
      </c>
      <c r="D1406" s="419" t="s">
        <v>182</v>
      </c>
      <c r="E1406" s="419" t="s">
        <v>1</v>
      </c>
      <c r="F1406" s="422">
        <v>3037.21</v>
      </c>
      <c r="G1406" s="423" t="s">
        <v>8690</v>
      </c>
      <c r="H1406" s="419" t="s">
        <v>310</v>
      </c>
      <c r="I1406" s="415" t="s">
        <v>985</v>
      </c>
      <c r="J1406" s="419" t="s">
        <v>986</v>
      </c>
      <c r="K1406" s="419" t="s">
        <v>830</v>
      </c>
      <c r="L1406" s="415" t="s">
        <v>909</v>
      </c>
      <c r="M1406" s="419" t="s">
        <v>310</v>
      </c>
      <c r="N1406" s="413">
        <v>44901</v>
      </c>
      <c r="O1406" s="414" t="s">
        <v>400</v>
      </c>
      <c r="P1406" s="655">
        <f t="shared" si="85"/>
        <v>12</v>
      </c>
      <c r="Q1406" s="655">
        <f t="shared" si="86"/>
        <v>11</v>
      </c>
      <c r="R1406" s="758" t="str">
        <f t="shared" si="87"/>
        <v>Gastos_com_Pessoal</v>
      </c>
      <c r="S1406" s="697" t="s">
        <v>310</v>
      </c>
      <c r="T1406" s="697" t="s">
        <v>310</v>
      </c>
    </row>
    <row r="1407" spans="1:20" ht="36" x14ac:dyDescent="0.2">
      <c r="A1407" s="432">
        <f>IF(B1407="","",COUNT('Diário 1º PA'!$A$4:$A$2635)+COUNT('Diário 2º PA'!$A$4:$A$3040)+COUNT('Diário 3º PA'!$A$4:$A$2731)+ROW()-3)</f>
        <v>7432</v>
      </c>
      <c r="B1407" s="413">
        <v>44901</v>
      </c>
      <c r="C1407" s="424">
        <v>44866</v>
      </c>
      <c r="D1407" s="419" t="s">
        <v>182</v>
      </c>
      <c r="E1407" s="419" t="s">
        <v>1</v>
      </c>
      <c r="F1407" s="422">
        <v>2117.7800000000002</v>
      </c>
      <c r="G1407" s="423" t="s">
        <v>8691</v>
      </c>
      <c r="H1407" s="419" t="s">
        <v>310</v>
      </c>
      <c r="I1407" s="415" t="s">
        <v>982</v>
      </c>
      <c r="J1407" s="419" t="s">
        <v>983</v>
      </c>
      <c r="K1407" s="419" t="s">
        <v>830</v>
      </c>
      <c r="L1407" s="415" t="s">
        <v>909</v>
      </c>
      <c r="M1407" s="419" t="s">
        <v>310</v>
      </c>
      <c r="N1407" s="413">
        <v>44901</v>
      </c>
      <c r="O1407" s="414" t="s">
        <v>400</v>
      </c>
      <c r="P1407" s="655">
        <f t="shared" si="85"/>
        <v>12</v>
      </c>
      <c r="Q1407" s="655">
        <f t="shared" si="86"/>
        <v>11</v>
      </c>
      <c r="R1407" s="758" t="str">
        <f t="shared" si="87"/>
        <v>Gastos_com_Pessoal</v>
      </c>
      <c r="S1407" s="697" t="s">
        <v>310</v>
      </c>
      <c r="T1407" s="697" t="s">
        <v>310</v>
      </c>
    </row>
    <row r="1408" spans="1:20" ht="36" x14ac:dyDescent="0.2">
      <c r="A1408" s="432">
        <f>IF(B1408="","",COUNT('Diário 1º PA'!$A$4:$A$2635)+COUNT('Diário 2º PA'!$A$4:$A$3040)+COUNT('Diário 3º PA'!$A$4:$A$2731)+ROW()-3)</f>
        <v>7433</v>
      </c>
      <c r="B1408" s="413">
        <v>44901</v>
      </c>
      <c r="C1408" s="424">
        <v>44866</v>
      </c>
      <c r="D1408" s="419" t="s">
        <v>182</v>
      </c>
      <c r="E1408" s="419" t="s">
        <v>1</v>
      </c>
      <c r="F1408" s="422">
        <v>3530.29</v>
      </c>
      <c r="G1408" s="427" t="s">
        <v>8692</v>
      </c>
      <c r="H1408" s="419" t="s">
        <v>310</v>
      </c>
      <c r="I1408" s="415" t="s">
        <v>2061</v>
      </c>
      <c r="J1408" s="419" t="s">
        <v>2062</v>
      </c>
      <c r="K1408" s="419" t="s">
        <v>830</v>
      </c>
      <c r="L1408" s="415" t="s">
        <v>909</v>
      </c>
      <c r="M1408" s="419" t="s">
        <v>310</v>
      </c>
      <c r="N1408" s="413">
        <v>44901</v>
      </c>
      <c r="O1408" s="414" t="s">
        <v>400</v>
      </c>
      <c r="P1408" s="655">
        <f t="shared" si="85"/>
        <v>12</v>
      </c>
      <c r="Q1408" s="655">
        <f t="shared" si="86"/>
        <v>11</v>
      </c>
      <c r="R1408" s="758" t="str">
        <f t="shared" si="87"/>
        <v>Gastos_com_Pessoal</v>
      </c>
      <c r="S1408" s="697" t="s">
        <v>310</v>
      </c>
      <c r="T1408" s="697" t="s">
        <v>310</v>
      </c>
    </row>
    <row r="1409" spans="1:20" ht="36" x14ac:dyDescent="0.2">
      <c r="A1409" s="432">
        <f>IF(B1409="","",COUNT('Diário 1º PA'!$A$4:$A$2635)+COUNT('Diário 2º PA'!$A$4:$A$3040)+COUNT('Diário 3º PA'!$A$4:$A$2731)+ROW()-3)</f>
        <v>7434</v>
      </c>
      <c r="B1409" s="413">
        <v>44901</v>
      </c>
      <c r="C1409" s="424">
        <v>44866</v>
      </c>
      <c r="D1409" s="419" t="s">
        <v>182</v>
      </c>
      <c r="E1409" s="419" t="s">
        <v>1</v>
      </c>
      <c r="F1409" s="422">
        <v>2069.2800000000002</v>
      </c>
      <c r="G1409" s="423" t="s">
        <v>8675</v>
      </c>
      <c r="H1409" s="419" t="s">
        <v>310</v>
      </c>
      <c r="I1409" s="415" t="s">
        <v>1173</v>
      </c>
      <c r="J1409" s="419" t="s">
        <v>1174</v>
      </c>
      <c r="K1409" s="419" t="s">
        <v>830</v>
      </c>
      <c r="L1409" s="415" t="s">
        <v>909</v>
      </c>
      <c r="M1409" s="419" t="s">
        <v>310</v>
      </c>
      <c r="N1409" s="413">
        <v>44901</v>
      </c>
      <c r="O1409" s="414" t="s">
        <v>400</v>
      </c>
      <c r="P1409" s="655">
        <f t="shared" si="85"/>
        <v>12</v>
      </c>
      <c r="Q1409" s="655">
        <f t="shared" si="86"/>
        <v>11</v>
      </c>
      <c r="R1409" s="758" t="str">
        <f t="shared" si="87"/>
        <v>Gastos_com_Pessoal</v>
      </c>
      <c r="S1409" s="697" t="s">
        <v>310</v>
      </c>
      <c r="T1409" s="697" t="s">
        <v>310</v>
      </c>
    </row>
    <row r="1410" spans="1:20" ht="36" x14ac:dyDescent="0.2">
      <c r="A1410" s="432">
        <f>IF(B1410="","",COUNT('Diário 1º PA'!$A$4:$A$2635)+COUNT('Diário 2º PA'!$A$4:$A$3040)+COUNT('Diário 3º PA'!$A$4:$A$2731)+ROW()-3)</f>
        <v>7435</v>
      </c>
      <c r="B1410" s="413">
        <v>44901</v>
      </c>
      <c r="C1410" s="424">
        <v>44866</v>
      </c>
      <c r="D1410" s="426" t="s">
        <v>182</v>
      </c>
      <c r="E1410" s="426" t="s">
        <v>1</v>
      </c>
      <c r="F1410" s="686">
        <v>2684.97</v>
      </c>
      <c r="G1410" s="642" t="s">
        <v>8693</v>
      </c>
      <c r="H1410" s="426" t="s">
        <v>310</v>
      </c>
      <c r="I1410" s="434" t="s">
        <v>1179</v>
      </c>
      <c r="J1410" s="426" t="s">
        <v>1180</v>
      </c>
      <c r="K1410" s="426" t="s">
        <v>830</v>
      </c>
      <c r="L1410" s="434" t="s">
        <v>909</v>
      </c>
      <c r="M1410" s="426" t="s">
        <v>310</v>
      </c>
      <c r="N1410" s="413">
        <v>44901</v>
      </c>
      <c r="O1410" s="414" t="s">
        <v>400</v>
      </c>
      <c r="P1410" s="655">
        <f t="shared" si="85"/>
        <v>12</v>
      </c>
      <c r="Q1410" s="655">
        <f t="shared" si="86"/>
        <v>11</v>
      </c>
      <c r="R1410" s="758" t="str">
        <f t="shared" si="87"/>
        <v>Gastos_com_Pessoal</v>
      </c>
      <c r="S1410" s="697" t="s">
        <v>310</v>
      </c>
      <c r="T1410" s="697" t="s">
        <v>310</v>
      </c>
    </row>
    <row r="1411" spans="1:20" ht="36" x14ac:dyDescent="0.2">
      <c r="A1411" s="432">
        <f>IF(B1411="","",COUNT('Diário 1º PA'!$A$4:$A$2635)+COUNT('Diário 2º PA'!$A$4:$A$3040)+COUNT('Diário 3º PA'!$A$4:$A$2731)+ROW()-3)</f>
        <v>7436</v>
      </c>
      <c r="B1411" s="413">
        <v>44901</v>
      </c>
      <c r="C1411" s="424">
        <v>44866</v>
      </c>
      <c r="D1411" s="419" t="s">
        <v>182</v>
      </c>
      <c r="E1411" s="419" t="s">
        <v>1</v>
      </c>
      <c r="F1411" s="422">
        <v>2286.4</v>
      </c>
      <c r="G1411" s="427" t="s">
        <v>8694</v>
      </c>
      <c r="H1411" s="419" t="s">
        <v>310</v>
      </c>
      <c r="I1411" s="415" t="s">
        <v>1202</v>
      </c>
      <c r="J1411" s="419" t="s">
        <v>1201</v>
      </c>
      <c r="K1411" s="419" t="s">
        <v>6327</v>
      </c>
      <c r="L1411" s="415" t="s">
        <v>909</v>
      </c>
      <c r="M1411" s="419" t="s">
        <v>310</v>
      </c>
      <c r="N1411" s="413">
        <v>44901</v>
      </c>
      <c r="O1411" s="414" t="s">
        <v>400</v>
      </c>
      <c r="P1411" s="655">
        <f t="shared" si="85"/>
        <v>12</v>
      </c>
      <c r="Q1411" s="655">
        <f t="shared" si="86"/>
        <v>11</v>
      </c>
      <c r="R1411" s="758" t="str">
        <f t="shared" si="87"/>
        <v>Gastos_com_Pessoal</v>
      </c>
      <c r="S1411" s="697" t="s">
        <v>310</v>
      </c>
      <c r="T1411" s="697" t="s">
        <v>310</v>
      </c>
    </row>
    <row r="1412" spans="1:20" ht="36" x14ac:dyDescent="0.2">
      <c r="A1412" s="432">
        <f>IF(B1412="","",COUNT('Diário 1º PA'!$A$4:$A$2635)+COUNT('Diário 2º PA'!$A$4:$A$3040)+COUNT('Diário 3º PA'!$A$4:$A$2731)+ROW()-3)</f>
        <v>7437</v>
      </c>
      <c r="B1412" s="413">
        <v>44901</v>
      </c>
      <c r="C1412" s="424">
        <v>44866</v>
      </c>
      <c r="D1412" s="419" t="s">
        <v>182</v>
      </c>
      <c r="E1412" s="419" t="s">
        <v>1</v>
      </c>
      <c r="F1412" s="422">
        <v>1607.97</v>
      </c>
      <c r="G1412" s="427" t="s">
        <v>8695</v>
      </c>
      <c r="H1412" s="419" t="s">
        <v>310</v>
      </c>
      <c r="I1412" s="415" t="s">
        <v>1196</v>
      </c>
      <c r="J1412" s="419" t="s">
        <v>1195</v>
      </c>
      <c r="K1412" s="419" t="s">
        <v>830</v>
      </c>
      <c r="L1412" s="415" t="s">
        <v>909</v>
      </c>
      <c r="M1412" s="419" t="s">
        <v>310</v>
      </c>
      <c r="N1412" s="413">
        <v>44901</v>
      </c>
      <c r="O1412" s="414" t="s">
        <v>400</v>
      </c>
      <c r="P1412" s="655">
        <f t="shared" si="85"/>
        <v>12</v>
      </c>
      <c r="Q1412" s="655">
        <f t="shared" si="86"/>
        <v>11</v>
      </c>
      <c r="R1412" s="758" t="str">
        <f t="shared" si="87"/>
        <v>Gastos_com_Pessoal</v>
      </c>
      <c r="S1412" s="697" t="s">
        <v>310</v>
      </c>
      <c r="T1412" s="697" t="s">
        <v>310</v>
      </c>
    </row>
    <row r="1413" spans="1:20" ht="36" x14ac:dyDescent="0.2">
      <c r="A1413" s="432">
        <f>IF(B1413="","",COUNT('Diário 1º PA'!$A$4:$A$2635)+COUNT('Diário 2º PA'!$A$4:$A$3040)+COUNT('Diário 3º PA'!$A$4:$A$2731)+ROW()-3)</f>
        <v>7438</v>
      </c>
      <c r="B1413" s="413">
        <v>44901</v>
      </c>
      <c r="C1413" s="424">
        <v>44866</v>
      </c>
      <c r="D1413" s="419" t="s">
        <v>182</v>
      </c>
      <c r="E1413" s="419" t="s">
        <v>1</v>
      </c>
      <c r="F1413" s="422">
        <v>1619.7</v>
      </c>
      <c r="G1413" s="423" t="s">
        <v>8696</v>
      </c>
      <c r="H1413" s="419" t="s">
        <v>310</v>
      </c>
      <c r="I1413" s="415" t="s">
        <v>929</v>
      </c>
      <c r="J1413" s="419" t="s">
        <v>930</v>
      </c>
      <c r="K1413" s="419" t="s">
        <v>806</v>
      </c>
      <c r="L1413" s="415" t="s">
        <v>909</v>
      </c>
      <c r="M1413" s="419" t="s">
        <v>310</v>
      </c>
      <c r="N1413" s="413">
        <v>44901</v>
      </c>
      <c r="O1413" s="414" t="s">
        <v>400</v>
      </c>
      <c r="P1413" s="655">
        <f t="shared" si="85"/>
        <v>12</v>
      </c>
      <c r="Q1413" s="655">
        <f t="shared" si="86"/>
        <v>11</v>
      </c>
      <c r="R1413" s="758" t="str">
        <f t="shared" si="87"/>
        <v>Gastos_com_Pessoal</v>
      </c>
      <c r="S1413" s="697" t="s">
        <v>310</v>
      </c>
      <c r="T1413" s="697" t="s">
        <v>310</v>
      </c>
    </row>
    <row r="1414" spans="1:20" ht="36" x14ac:dyDescent="0.2">
      <c r="A1414" s="432">
        <f>IF(B1414="","",COUNT('Diário 1º PA'!$A$4:$A$2635)+COUNT('Diário 2º PA'!$A$4:$A$3040)+COUNT('Diário 3º PA'!$A$4:$A$2731)+ROW()-3)</f>
        <v>7439</v>
      </c>
      <c r="B1414" s="413">
        <v>44901</v>
      </c>
      <c r="C1414" s="424">
        <v>44866</v>
      </c>
      <c r="D1414" s="419" t="s">
        <v>182</v>
      </c>
      <c r="E1414" s="419" t="s">
        <v>1</v>
      </c>
      <c r="F1414" s="422">
        <v>2286.4</v>
      </c>
      <c r="G1414" s="423" t="s">
        <v>8675</v>
      </c>
      <c r="H1414" s="419" t="s">
        <v>310</v>
      </c>
      <c r="I1414" s="415" t="s">
        <v>6019</v>
      </c>
      <c r="J1414" s="419" t="s">
        <v>1178</v>
      </c>
      <c r="K1414" s="419" t="s">
        <v>830</v>
      </c>
      <c r="L1414" s="415" t="s">
        <v>909</v>
      </c>
      <c r="M1414" s="419" t="s">
        <v>310</v>
      </c>
      <c r="N1414" s="413">
        <v>44901</v>
      </c>
      <c r="O1414" s="414" t="s">
        <v>400</v>
      </c>
      <c r="P1414" s="655">
        <f t="shared" si="85"/>
        <v>12</v>
      </c>
      <c r="Q1414" s="655">
        <f t="shared" si="86"/>
        <v>11</v>
      </c>
      <c r="R1414" s="758" t="str">
        <f t="shared" si="87"/>
        <v>Gastos_com_Pessoal</v>
      </c>
      <c r="S1414" s="697" t="s">
        <v>310</v>
      </c>
      <c r="T1414" s="697" t="s">
        <v>310</v>
      </c>
    </row>
    <row r="1415" spans="1:20" ht="36" x14ac:dyDescent="0.2">
      <c r="A1415" s="432">
        <f>IF(B1415="","",COUNT('Diário 1º PA'!$A$4:$A$2635)+COUNT('Diário 2º PA'!$A$4:$A$3040)+COUNT('Diário 3º PA'!$A$4:$A$2731)+ROW()-3)</f>
        <v>7440</v>
      </c>
      <c r="B1415" s="413">
        <v>44901</v>
      </c>
      <c r="C1415" s="424">
        <v>44866</v>
      </c>
      <c r="D1415" s="419" t="s">
        <v>182</v>
      </c>
      <c r="E1415" s="419" t="s">
        <v>1</v>
      </c>
      <c r="F1415" s="422">
        <v>2266.2800000000002</v>
      </c>
      <c r="G1415" s="423" t="s">
        <v>8691</v>
      </c>
      <c r="H1415" s="419" t="s">
        <v>310</v>
      </c>
      <c r="I1415" s="415" t="s">
        <v>980</v>
      </c>
      <c r="J1415" s="419" t="s">
        <v>981</v>
      </c>
      <c r="K1415" s="419" t="s">
        <v>830</v>
      </c>
      <c r="L1415" s="415" t="s">
        <v>909</v>
      </c>
      <c r="M1415" s="419" t="s">
        <v>310</v>
      </c>
      <c r="N1415" s="413">
        <v>44901</v>
      </c>
      <c r="O1415" s="414" t="s">
        <v>400</v>
      </c>
      <c r="P1415" s="655">
        <f t="shared" si="85"/>
        <v>12</v>
      </c>
      <c r="Q1415" s="655">
        <f t="shared" si="86"/>
        <v>11</v>
      </c>
      <c r="R1415" s="758" t="str">
        <f t="shared" si="87"/>
        <v>Gastos_com_Pessoal</v>
      </c>
      <c r="S1415" s="697" t="s">
        <v>310</v>
      </c>
      <c r="T1415" s="697" t="s">
        <v>310</v>
      </c>
    </row>
    <row r="1416" spans="1:20" ht="36" x14ac:dyDescent="0.2">
      <c r="A1416" s="432">
        <f>IF(B1416="","",COUNT('Diário 1º PA'!$A$4:$A$2635)+COUNT('Diário 2º PA'!$A$4:$A$3040)+COUNT('Diário 3º PA'!$A$4:$A$2731)+ROW()-3)</f>
        <v>7441</v>
      </c>
      <c r="B1416" s="413">
        <v>44901</v>
      </c>
      <c r="C1416" s="424">
        <v>44866</v>
      </c>
      <c r="D1416" s="419" t="s">
        <v>182</v>
      </c>
      <c r="E1416" s="419" t="s">
        <v>1</v>
      </c>
      <c r="F1416" s="422">
        <v>11757.99</v>
      </c>
      <c r="G1416" s="423" t="s">
        <v>8697</v>
      </c>
      <c r="H1416" s="419" t="s">
        <v>310</v>
      </c>
      <c r="I1416" s="415" t="s">
        <v>952</v>
      </c>
      <c r="J1416" s="419" t="s">
        <v>953</v>
      </c>
      <c r="K1416" s="419" t="s">
        <v>830</v>
      </c>
      <c r="L1416" s="415" t="s">
        <v>909</v>
      </c>
      <c r="M1416" s="419" t="s">
        <v>310</v>
      </c>
      <c r="N1416" s="413">
        <v>44901</v>
      </c>
      <c r="O1416" s="414" t="s">
        <v>400</v>
      </c>
      <c r="P1416" s="655">
        <f t="shared" si="85"/>
        <v>12</v>
      </c>
      <c r="Q1416" s="655">
        <f t="shared" si="86"/>
        <v>11</v>
      </c>
      <c r="R1416" s="758" t="str">
        <f t="shared" si="87"/>
        <v>Gastos_com_Pessoal</v>
      </c>
      <c r="S1416" s="697" t="s">
        <v>310</v>
      </c>
      <c r="T1416" s="697" t="s">
        <v>310</v>
      </c>
    </row>
    <row r="1417" spans="1:20" ht="36" x14ac:dyDescent="0.2">
      <c r="A1417" s="432">
        <f>IF(B1417="","",COUNT('Diário 1º PA'!$A$4:$A$2635)+COUNT('Diário 2º PA'!$A$4:$A$3040)+COUNT('Diário 3º PA'!$A$4:$A$2731)+ROW()-3)</f>
        <v>7442</v>
      </c>
      <c r="B1417" s="413">
        <v>44901</v>
      </c>
      <c r="C1417" s="424">
        <v>44866</v>
      </c>
      <c r="D1417" s="419" t="s">
        <v>182</v>
      </c>
      <c r="E1417" s="419" t="s">
        <v>1</v>
      </c>
      <c r="F1417" s="422">
        <v>2266.2800000000002</v>
      </c>
      <c r="G1417" s="423" t="s">
        <v>8677</v>
      </c>
      <c r="H1417" s="419" t="s">
        <v>310</v>
      </c>
      <c r="I1417" s="415" t="s">
        <v>1167</v>
      </c>
      <c r="J1417" s="419" t="s">
        <v>1168</v>
      </c>
      <c r="K1417" s="419" t="s">
        <v>830</v>
      </c>
      <c r="L1417" s="415" t="s">
        <v>909</v>
      </c>
      <c r="M1417" s="419" t="s">
        <v>310</v>
      </c>
      <c r="N1417" s="413">
        <v>44901</v>
      </c>
      <c r="O1417" s="414" t="s">
        <v>400</v>
      </c>
      <c r="P1417" s="655">
        <f t="shared" si="85"/>
        <v>12</v>
      </c>
      <c r="Q1417" s="655">
        <f t="shared" si="86"/>
        <v>11</v>
      </c>
      <c r="R1417" s="758" t="str">
        <f t="shared" si="87"/>
        <v>Gastos_com_Pessoal</v>
      </c>
      <c r="S1417" s="697" t="s">
        <v>310</v>
      </c>
      <c r="T1417" s="697" t="s">
        <v>310</v>
      </c>
    </row>
    <row r="1418" spans="1:20" ht="36" x14ac:dyDescent="0.2">
      <c r="A1418" s="432">
        <f>IF(B1418="","",COUNT('Diário 1º PA'!$A$4:$A$2635)+COUNT('Diário 2º PA'!$A$4:$A$3040)+COUNT('Diário 3º PA'!$A$4:$A$2731)+ROW()-3)</f>
        <v>7443</v>
      </c>
      <c r="B1418" s="413">
        <v>44901</v>
      </c>
      <c r="C1418" s="424">
        <v>44866</v>
      </c>
      <c r="D1418" s="419" t="s">
        <v>182</v>
      </c>
      <c r="E1418" s="419" t="s">
        <v>1</v>
      </c>
      <c r="F1418" s="422">
        <v>2266.2800000000002</v>
      </c>
      <c r="G1418" s="427" t="s">
        <v>8688</v>
      </c>
      <c r="H1418" s="419" t="s">
        <v>310</v>
      </c>
      <c r="I1418" s="415" t="s">
        <v>6328</v>
      </c>
      <c r="J1418" s="419">
        <v>12909142655</v>
      </c>
      <c r="K1418" s="419" t="s">
        <v>830</v>
      </c>
      <c r="L1418" s="415" t="s">
        <v>909</v>
      </c>
      <c r="M1418" s="419" t="s">
        <v>310</v>
      </c>
      <c r="N1418" s="413">
        <v>44901</v>
      </c>
      <c r="O1418" s="414" t="s">
        <v>400</v>
      </c>
      <c r="P1418" s="655">
        <f t="shared" si="85"/>
        <v>12</v>
      </c>
      <c r="Q1418" s="655">
        <f t="shared" si="86"/>
        <v>11</v>
      </c>
      <c r="R1418" s="758" t="str">
        <f t="shared" si="87"/>
        <v>Gastos_com_Pessoal</v>
      </c>
      <c r="S1418" s="697" t="s">
        <v>310</v>
      </c>
      <c r="T1418" s="697" t="s">
        <v>310</v>
      </c>
    </row>
    <row r="1419" spans="1:20" ht="36" x14ac:dyDescent="0.2">
      <c r="A1419" s="432">
        <f>IF(B1419="","",COUNT('Diário 1º PA'!$A$4:$A$2635)+COUNT('Diário 2º PA'!$A$4:$A$3040)+COUNT('Diário 3º PA'!$A$4:$A$2731)+ROW()-3)</f>
        <v>7444</v>
      </c>
      <c r="B1419" s="413">
        <v>44901</v>
      </c>
      <c r="C1419" s="424">
        <v>44866</v>
      </c>
      <c r="D1419" s="419" t="s">
        <v>182</v>
      </c>
      <c r="E1419" s="419" t="s">
        <v>1</v>
      </c>
      <c r="F1419" s="422">
        <v>2064.63</v>
      </c>
      <c r="G1419" s="423" t="s">
        <v>8675</v>
      </c>
      <c r="H1419" s="419" t="s">
        <v>310</v>
      </c>
      <c r="I1419" s="415" t="s">
        <v>1175</v>
      </c>
      <c r="J1419" s="419" t="s">
        <v>1176</v>
      </c>
      <c r="K1419" s="419" t="s">
        <v>830</v>
      </c>
      <c r="L1419" s="415" t="s">
        <v>909</v>
      </c>
      <c r="M1419" s="419" t="s">
        <v>310</v>
      </c>
      <c r="N1419" s="413">
        <v>44901</v>
      </c>
      <c r="O1419" s="414" t="s">
        <v>400</v>
      </c>
      <c r="P1419" s="655">
        <f t="shared" si="85"/>
        <v>12</v>
      </c>
      <c r="Q1419" s="655">
        <f t="shared" si="86"/>
        <v>11</v>
      </c>
      <c r="R1419" s="758" t="str">
        <f t="shared" si="87"/>
        <v>Gastos_com_Pessoal</v>
      </c>
      <c r="S1419" s="697" t="s">
        <v>310</v>
      </c>
      <c r="T1419" s="697" t="s">
        <v>310</v>
      </c>
    </row>
    <row r="1420" spans="1:20" ht="36" x14ac:dyDescent="0.2">
      <c r="A1420" s="432">
        <f>IF(B1420="","",COUNT('Diário 1º PA'!$A$4:$A$2635)+COUNT('Diário 2º PA'!$A$4:$A$3040)+COUNT('Diário 3º PA'!$A$4:$A$2731)+ROW()-3)</f>
        <v>7445</v>
      </c>
      <c r="B1420" s="413">
        <v>44901</v>
      </c>
      <c r="C1420" s="424">
        <v>44866</v>
      </c>
      <c r="D1420" s="419" t="s">
        <v>182</v>
      </c>
      <c r="E1420" s="419" t="s">
        <v>1</v>
      </c>
      <c r="F1420" s="422">
        <v>3147.4</v>
      </c>
      <c r="G1420" s="423" t="s">
        <v>8687</v>
      </c>
      <c r="H1420" s="419" t="s">
        <v>310</v>
      </c>
      <c r="I1420" s="415" t="s">
        <v>1184</v>
      </c>
      <c r="J1420" s="419" t="s">
        <v>1185</v>
      </c>
      <c r="K1420" s="419" t="s">
        <v>830</v>
      </c>
      <c r="L1420" s="415" t="s">
        <v>909</v>
      </c>
      <c r="M1420" s="419" t="s">
        <v>310</v>
      </c>
      <c r="N1420" s="413">
        <v>44901</v>
      </c>
      <c r="O1420" s="414" t="s">
        <v>400</v>
      </c>
      <c r="P1420" s="655">
        <f t="shared" si="85"/>
        <v>12</v>
      </c>
      <c r="Q1420" s="655">
        <f t="shared" si="86"/>
        <v>11</v>
      </c>
      <c r="R1420" s="758" t="str">
        <f t="shared" si="87"/>
        <v>Gastos_com_Pessoal</v>
      </c>
      <c r="S1420" s="697" t="s">
        <v>310</v>
      </c>
      <c r="T1420" s="697" t="s">
        <v>310</v>
      </c>
    </row>
    <row r="1421" spans="1:20" ht="36" x14ac:dyDescent="0.2">
      <c r="A1421" s="432">
        <f>IF(B1421="","",COUNT('Diário 1º PA'!$A$4:$A$2635)+COUNT('Diário 2º PA'!$A$4:$A$3040)+COUNT('Diário 3º PA'!$A$4:$A$2731)+ROW()-3)</f>
        <v>7446</v>
      </c>
      <c r="B1421" s="413">
        <v>44901</v>
      </c>
      <c r="C1421" s="424">
        <v>44866</v>
      </c>
      <c r="D1421" s="419" t="s">
        <v>182</v>
      </c>
      <c r="E1421" s="419" t="s">
        <v>1</v>
      </c>
      <c r="F1421" s="422">
        <v>1155.03</v>
      </c>
      <c r="G1421" s="427" t="s">
        <v>8698</v>
      </c>
      <c r="H1421" s="419" t="s">
        <v>310</v>
      </c>
      <c r="I1421" s="415" t="s">
        <v>1194</v>
      </c>
      <c r="J1421" s="419" t="s">
        <v>1193</v>
      </c>
      <c r="K1421" s="419" t="s">
        <v>830</v>
      </c>
      <c r="L1421" s="415" t="s">
        <v>909</v>
      </c>
      <c r="M1421" s="419" t="s">
        <v>310</v>
      </c>
      <c r="N1421" s="413">
        <v>44901</v>
      </c>
      <c r="O1421" s="414" t="s">
        <v>400</v>
      </c>
      <c r="P1421" s="655">
        <f t="shared" si="85"/>
        <v>12</v>
      </c>
      <c r="Q1421" s="655">
        <f t="shared" si="86"/>
        <v>11</v>
      </c>
      <c r="R1421" s="758" t="str">
        <f t="shared" si="87"/>
        <v>Gastos_com_Pessoal</v>
      </c>
      <c r="S1421" s="697" t="s">
        <v>310</v>
      </c>
      <c r="T1421" s="697" t="s">
        <v>310</v>
      </c>
    </row>
    <row r="1422" spans="1:20" ht="36" x14ac:dyDescent="0.2">
      <c r="A1422" s="432">
        <f>IF(B1422="","",COUNT('Diário 1º PA'!$A$4:$A$2635)+COUNT('Diário 2º PA'!$A$4:$A$3040)+COUNT('Diário 3º PA'!$A$4:$A$2731)+ROW()-3)</f>
        <v>7447</v>
      </c>
      <c r="B1422" s="413">
        <v>44901</v>
      </c>
      <c r="C1422" s="424">
        <v>44866</v>
      </c>
      <c r="D1422" s="419" t="s">
        <v>182</v>
      </c>
      <c r="E1422" s="419" t="s">
        <v>1</v>
      </c>
      <c r="F1422" s="422">
        <v>1061.1400000000001</v>
      </c>
      <c r="G1422" s="427" t="s">
        <v>8699</v>
      </c>
      <c r="H1422" s="419" t="s">
        <v>310</v>
      </c>
      <c r="I1422" s="415" t="s">
        <v>1207</v>
      </c>
      <c r="J1422" s="419" t="s">
        <v>1206</v>
      </c>
      <c r="K1422" s="419" t="s">
        <v>830</v>
      </c>
      <c r="L1422" s="415" t="s">
        <v>909</v>
      </c>
      <c r="M1422" s="419" t="s">
        <v>310</v>
      </c>
      <c r="N1422" s="413">
        <v>44901</v>
      </c>
      <c r="O1422" s="414" t="s">
        <v>400</v>
      </c>
      <c r="P1422" s="655">
        <f t="shared" si="85"/>
        <v>12</v>
      </c>
      <c r="Q1422" s="655">
        <f t="shared" si="86"/>
        <v>11</v>
      </c>
      <c r="R1422" s="758" t="str">
        <f t="shared" si="87"/>
        <v>Gastos_com_Pessoal</v>
      </c>
      <c r="S1422" s="697" t="s">
        <v>310</v>
      </c>
      <c r="T1422" s="697" t="s">
        <v>310</v>
      </c>
    </row>
    <row r="1423" spans="1:20" ht="36" x14ac:dyDescent="0.2">
      <c r="A1423" s="432">
        <f>IF(B1423="","",COUNT('Diário 1º PA'!$A$4:$A$2635)+COUNT('Diário 2º PA'!$A$4:$A$3040)+COUNT('Diário 3º PA'!$A$4:$A$2731)+ROW()-3)</f>
        <v>7448</v>
      </c>
      <c r="B1423" s="413">
        <v>44901</v>
      </c>
      <c r="C1423" s="424">
        <v>44866</v>
      </c>
      <c r="D1423" s="419" t="s">
        <v>182</v>
      </c>
      <c r="E1423" s="419" t="s">
        <v>1</v>
      </c>
      <c r="F1423" s="422">
        <v>3147.4</v>
      </c>
      <c r="G1423" s="423" t="s">
        <v>8689</v>
      </c>
      <c r="H1423" s="419" t="s">
        <v>310</v>
      </c>
      <c r="I1423" s="415" t="s">
        <v>3195</v>
      </c>
      <c r="J1423" s="419" t="s">
        <v>3518</v>
      </c>
      <c r="K1423" s="419" t="s">
        <v>830</v>
      </c>
      <c r="L1423" s="415" t="s">
        <v>909</v>
      </c>
      <c r="M1423" s="419" t="s">
        <v>310</v>
      </c>
      <c r="N1423" s="413">
        <v>44901</v>
      </c>
      <c r="O1423" s="414" t="s">
        <v>400</v>
      </c>
      <c r="P1423" s="655">
        <f t="shared" si="85"/>
        <v>12</v>
      </c>
      <c r="Q1423" s="655">
        <f t="shared" si="86"/>
        <v>11</v>
      </c>
      <c r="R1423" s="758" t="str">
        <f t="shared" si="87"/>
        <v>Gastos_com_Pessoal</v>
      </c>
      <c r="S1423" s="697" t="s">
        <v>310</v>
      </c>
      <c r="T1423" s="697" t="s">
        <v>310</v>
      </c>
    </row>
    <row r="1424" spans="1:20" ht="36" x14ac:dyDescent="0.2">
      <c r="A1424" s="432">
        <f>IF(B1424="","",COUNT('Diário 1º PA'!$A$4:$A$2635)+COUNT('Diário 2º PA'!$A$4:$A$3040)+COUNT('Diário 3º PA'!$A$4:$A$2731)+ROW()-3)</f>
        <v>7449</v>
      </c>
      <c r="B1424" s="413">
        <v>44901</v>
      </c>
      <c r="C1424" s="424">
        <v>44866</v>
      </c>
      <c r="D1424" s="419" t="s">
        <v>182</v>
      </c>
      <c r="E1424" s="419" t="s">
        <v>1</v>
      </c>
      <c r="F1424" s="422">
        <v>2727.36</v>
      </c>
      <c r="G1424" s="423" t="s">
        <v>8687</v>
      </c>
      <c r="H1424" s="419" t="s">
        <v>310</v>
      </c>
      <c r="I1424" s="415" t="s">
        <v>1188</v>
      </c>
      <c r="J1424" s="419" t="s">
        <v>1189</v>
      </c>
      <c r="K1424" s="419" t="s">
        <v>830</v>
      </c>
      <c r="L1424" s="415" t="s">
        <v>909</v>
      </c>
      <c r="M1424" s="419" t="s">
        <v>310</v>
      </c>
      <c r="N1424" s="413">
        <v>44901</v>
      </c>
      <c r="O1424" s="414" t="s">
        <v>400</v>
      </c>
      <c r="P1424" s="655">
        <f t="shared" si="85"/>
        <v>12</v>
      </c>
      <c r="Q1424" s="655">
        <f t="shared" si="86"/>
        <v>11</v>
      </c>
      <c r="R1424" s="758" t="str">
        <f t="shared" si="87"/>
        <v>Gastos_com_Pessoal</v>
      </c>
      <c r="S1424" s="697" t="s">
        <v>310</v>
      </c>
      <c r="T1424" s="697" t="s">
        <v>310</v>
      </c>
    </row>
    <row r="1425" spans="1:20" ht="36" x14ac:dyDescent="0.2">
      <c r="A1425" s="432">
        <f>IF(B1425="","",COUNT('Diário 1º PA'!$A$4:$A$2635)+COUNT('Diário 2º PA'!$A$4:$A$3040)+COUNT('Diário 3º PA'!$A$4:$A$2731)+ROW()-3)</f>
        <v>7450</v>
      </c>
      <c r="B1425" s="413">
        <v>44901</v>
      </c>
      <c r="C1425" s="424">
        <v>44866</v>
      </c>
      <c r="D1425" s="419" t="s">
        <v>182</v>
      </c>
      <c r="E1425" s="419" t="s">
        <v>1</v>
      </c>
      <c r="F1425" s="422">
        <v>2266.2800000000002</v>
      </c>
      <c r="G1425" s="423" t="s">
        <v>8694</v>
      </c>
      <c r="H1425" s="419" t="s">
        <v>310</v>
      </c>
      <c r="I1425" s="415" t="s">
        <v>3519</v>
      </c>
      <c r="J1425" s="419" t="s">
        <v>988</v>
      </c>
      <c r="K1425" s="419" t="s">
        <v>830</v>
      </c>
      <c r="L1425" s="415" t="s">
        <v>909</v>
      </c>
      <c r="M1425" s="419" t="s">
        <v>310</v>
      </c>
      <c r="N1425" s="413">
        <v>44901</v>
      </c>
      <c r="O1425" s="414" t="s">
        <v>400</v>
      </c>
      <c r="P1425" s="655">
        <f t="shared" si="85"/>
        <v>12</v>
      </c>
      <c r="Q1425" s="655">
        <f t="shared" si="86"/>
        <v>11</v>
      </c>
      <c r="R1425" s="758" t="str">
        <f t="shared" si="87"/>
        <v>Gastos_com_Pessoal</v>
      </c>
      <c r="S1425" s="697" t="s">
        <v>310</v>
      </c>
      <c r="T1425" s="697" t="s">
        <v>310</v>
      </c>
    </row>
    <row r="1426" spans="1:20" ht="36" x14ac:dyDescent="0.2">
      <c r="A1426" s="432">
        <f>IF(B1426="","",COUNT('Diário 1º PA'!$A$4:$A$2635)+COUNT('Diário 2º PA'!$A$4:$A$3040)+COUNT('Diário 3º PA'!$A$4:$A$2731)+ROW()-3)</f>
        <v>7451</v>
      </c>
      <c r="B1426" s="413">
        <v>44901</v>
      </c>
      <c r="C1426" s="424">
        <v>44866</v>
      </c>
      <c r="D1426" s="419" t="s">
        <v>182</v>
      </c>
      <c r="E1426" s="419" t="s">
        <v>1</v>
      </c>
      <c r="F1426" s="422">
        <v>2142.7800000000002</v>
      </c>
      <c r="G1426" s="427" t="s">
        <v>8700</v>
      </c>
      <c r="H1426" s="419" t="s">
        <v>310</v>
      </c>
      <c r="I1426" s="415" t="s">
        <v>1198</v>
      </c>
      <c r="J1426" s="419" t="s">
        <v>1197</v>
      </c>
      <c r="K1426" s="419" t="s">
        <v>830</v>
      </c>
      <c r="L1426" s="415" t="s">
        <v>909</v>
      </c>
      <c r="M1426" s="419" t="s">
        <v>310</v>
      </c>
      <c r="N1426" s="413">
        <v>44901</v>
      </c>
      <c r="O1426" s="414" t="s">
        <v>400</v>
      </c>
      <c r="P1426" s="655">
        <f t="shared" si="85"/>
        <v>12</v>
      </c>
      <c r="Q1426" s="655">
        <f t="shared" si="86"/>
        <v>11</v>
      </c>
      <c r="R1426" s="758" t="str">
        <f t="shared" si="87"/>
        <v>Gastos_com_Pessoal</v>
      </c>
      <c r="S1426" s="697" t="s">
        <v>310</v>
      </c>
      <c r="T1426" s="697" t="s">
        <v>310</v>
      </c>
    </row>
    <row r="1427" spans="1:20" ht="36" x14ac:dyDescent="0.2">
      <c r="A1427" s="432">
        <f>IF(B1427="","",COUNT('Diário 1º PA'!$A$4:$A$2635)+COUNT('Diário 2º PA'!$A$4:$A$3040)+COUNT('Diário 3º PA'!$A$4:$A$2731)+ROW()-3)</f>
        <v>7452</v>
      </c>
      <c r="B1427" s="413">
        <v>44901</v>
      </c>
      <c r="C1427" s="424">
        <v>44866</v>
      </c>
      <c r="D1427" s="419" t="s">
        <v>182</v>
      </c>
      <c r="E1427" s="419" t="s">
        <v>1</v>
      </c>
      <c r="F1427" s="422">
        <v>2286.4</v>
      </c>
      <c r="G1427" s="427" t="s">
        <v>8701</v>
      </c>
      <c r="H1427" s="419" t="s">
        <v>310</v>
      </c>
      <c r="I1427" s="415" t="s">
        <v>1205</v>
      </c>
      <c r="J1427" s="419" t="s">
        <v>1204</v>
      </c>
      <c r="K1427" s="419" t="s">
        <v>6327</v>
      </c>
      <c r="L1427" s="415" t="s">
        <v>909</v>
      </c>
      <c r="M1427" s="419" t="s">
        <v>310</v>
      </c>
      <c r="N1427" s="413">
        <v>44901</v>
      </c>
      <c r="O1427" s="414" t="s">
        <v>400</v>
      </c>
      <c r="P1427" s="655">
        <f t="shared" si="85"/>
        <v>12</v>
      </c>
      <c r="Q1427" s="655">
        <f t="shared" si="86"/>
        <v>11</v>
      </c>
      <c r="R1427" s="758" t="str">
        <f t="shared" si="87"/>
        <v>Gastos_com_Pessoal</v>
      </c>
      <c r="S1427" s="697" t="s">
        <v>310</v>
      </c>
      <c r="T1427" s="697" t="s">
        <v>310</v>
      </c>
    </row>
    <row r="1428" spans="1:20" ht="36" x14ac:dyDescent="0.2">
      <c r="A1428" s="432">
        <f>IF(B1428="","",COUNT('Diário 1º PA'!$A$4:$A$2635)+COUNT('Diário 2º PA'!$A$4:$A$3040)+COUNT('Diário 3º PA'!$A$4:$A$2731)+ROW()-3)</f>
        <v>7453</v>
      </c>
      <c r="B1428" s="413">
        <v>44901</v>
      </c>
      <c r="C1428" s="424">
        <v>44866</v>
      </c>
      <c r="D1428" s="419" t="s">
        <v>182</v>
      </c>
      <c r="E1428" s="419" t="s">
        <v>1</v>
      </c>
      <c r="F1428" s="422">
        <v>484.8</v>
      </c>
      <c r="G1428" s="427" t="s">
        <v>8702</v>
      </c>
      <c r="H1428" s="419" t="s">
        <v>310</v>
      </c>
      <c r="I1428" s="415" t="s">
        <v>6297</v>
      </c>
      <c r="J1428" s="419" t="s">
        <v>6298</v>
      </c>
      <c r="K1428" s="419" t="s">
        <v>830</v>
      </c>
      <c r="L1428" s="415" t="s">
        <v>909</v>
      </c>
      <c r="M1428" s="419" t="s">
        <v>310</v>
      </c>
      <c r="N1428" s="413">
        <v>44901</v>
      </c>
      <c r="O1428" s="414" t="s">
        <v>400</v>
      </c>
      <c r="P1428" s="655">
        <f t="shared" si="85"/>
        <v>12</v>
      </c>
      <c r="Q1428" s="655">
        <f t="shared" si="86"/>
        <v>11</v>
      </c>
      <c r="R1428" s="758" t="str">
        <f t="shared" si="87"/>
        <v>Gastos_com_Pessoal</v>
      </c>
      <c r="S1428" s="697" t="s">
        <v>310</v>
      </c>
      <c r="T1428" s="697" t="s">
        <v>310</v>
      </c>
    </row>
    <row r="1429" spans="1:20" ht="36" x14ac:dyDescent="0.2">
      <c r="A1429" s="432">
        <f>IF(B1429="","",COUNT('Diário 1º PA'!$A$4:$A$2635)+COUNT('Diário 2º PA'!$A$4:$A$3040)+COUNT('Diário 3º PA'!$A$4:$A$2731)+ROW()-3)</f>
        <v>7454</v>
      </c>
      <c r="B1429" s="413">
        <v>44901</v>
      </c>
      <c r="C1429" s="424">
        <v>44866</v>
      </c>
      <c r="D1429" s="419" t="s">
        <v>182</v>
      </c>
      <c r="E1429" s="419" t="s">
        <v>1</v>
      </c>
      <c r="F1429" s="422">
        <v>2815.61</v>
      </c>
      <c r="G1429" s="427" t="s">
        <v>8687</v>
      </c>
      <c r="H1429" s="419" t="s">
        <v>310</v>
      </c>
      <c r="I1429" s="415" t="s">
        <v>1192</v>
      </c>
      <c r="J1429" s="419" t="s">
        <v>1191</v>
      </c>
      <c r="K1429" s="419" t="s">
        <v>830</v>
      </c>
      <c r="L1429" s="415" t="s">
        <v>909</v>
      </c>
      <c r="M1429" s="419" t="s">
        <v>310</v>
      </c>
      <c r="N1429" s="413">
        <v>44901</v>
      </c>
      <c r="O1429" s="414" t="s">
        <v>400</v>
      </c>
      <c r="P1429" s="655">
        <f t="shared" si="85"/>
        <v>12</v>
      </c>
      <c r="Q1429" s="655">
        <f t="shared" si="86"/>
        <v>11</v>
      </c>
      <c r="R1429" s="758" t="str">
        <f t="shared" si="87"/>
        <v>Gastos_com_Pessoal</v>
      </c>
      <c r="S1429" s="697" t="s">
        <v>310</v>
      </c>
      <c r="T1429" s="697" t="s">
        <v>310</v>
      </c>
    </row>
    <row r="1430" spans="1:20" ht="36" x14ac:dyDescent="0.2">
      <c r="A1430" s="432">
        <f>IF(B1430="","",COUNT('Diário 1º PA'!$A$4:$A$2635)+COUNT('Diário 2º PA'!$A$4:$A$3040)+COUNT('Diário 3º PA'!$A$4:$A$2731)+ROW()-3)</f>
        <v>7455</v>
      </c>
      <c r="B1430" s="413">
        <v>44901</v>
      </c>
      <c r="C1430" s="424">
        <v>44866</v>
      </c>
      <c r="D1430" s="419" t="s">
        <v>182</v>
      </c>
      <c r="E1430" s="419" t="s">
        <v>1</v>
      </c>
      <c r="F1430" s="422">
        <v>2300.62</v>
      </c>
      <c r="G1430" s="427" t="s">
        <v>8675</v>
      </c>
      <c r="H1430" s="419" t="s">
        <v>310</v>
      </c>
      <c r="I1430" s="415" t="s">
        <v>3197</v>
      </c>
      <c r="J1430" s="419" t="s">
        <v>3198</v>
      </c>
      <c r="K1430" s="419" t="s">
        <v>830</v>
      </c>
      <c r="L1430" s="415" t="s">
        <v>909</v>
      </c>
      <c r="M1430" s="419" t="s">
        <v>310</v>
      </c>
      <c r="N1430" s="413">
        <v>44901</v>
      </c>
      <c r="O1430" s="414" t="s">
        <v>400</v>
      </c>
      <c r="P1430" s="655">
        <f t="shared" si="85"/>
        <v>12</v>
      </c>
      <c r="Q1430" s="655">
        <f t="shared" si="86"/>
        <v>11</v>
      </c>
      <c r="R1430" s="758" t="str">
        <f t="shared" si="87"/>
        <v>Gastos_com_Pessoal</v>
      </c>
      <c r="S1430" s="697" t="s">
        <v>310</v>
      </c>
      <c r="T1430" s="697" t="s">
        <v>310</v>
      </c>
    </row>
    <row r="1431" spans="1:20" ht="36" x14ac:dyDescent="0.2">
      <c r="A1431" s="432">
        <f>IF(B1431="","",COUNT('Diário 1º PA'!$A$4:$A$2635)+COUNT('Diário 2º PA'!$A$4:$A$3040)+COUNT('Diário 3º PA'!$A$4:$A$2731)+ROW()-3)</f>
        <v>7456</v>
      </c>
      <c r="B1431" s="413">
        <v>44901</v>
      </c>
      <c r="C1431" s="424">
        <v>44866</v>
      </c>
      <c r="D1431" s="419" t="s">
        <v>182</v>
      </c>
      <c r="E1431" s="419" t="s">
        <v>1</v>
      </c>
      <c r="F1431" s="422">
        <v>2266.2800000000002</v>
      </c>
      <c r="G1431" s="423" t="s">
        <v>8675</v>
      </c>
      <c r="H1431" s="419" t="s">
        <v>310</v>
      </c>
      <c r="I1431" s="415" t="s">
        <v>954</v>
      </c>
      <c r="J1431" s="419" t="s">
        <v>955</v>
      </c>
      <c r="K1431" s="419" t="s">
        <v>830</v>
      </c>
      <c r="L1431" s="415" t="s">
        <v>909</v>
      </c>
      <c r="M1431" s="419" t="s">
        <v>310</v>
      </c>
      <c r="N1431" s="413">
        <v>44901</v>
      </c>
      <c r="O1431" s="414" t="s">
        <v>400</v>
      </c>
      <c r="P1431" s="655">
        <f t="shared" si="85"/>
        <v>12</v>
      </c>
      <c r="Q1431" s="655">
        <f t="shared" si="86"/>
        <v>11</v>
      </c>
      <c r="R1431" s="758" t="str">
        <f t="shared" si="87"/>
        <v>Gastos_com_Pessoal</v>
      </c>
      <c r="S1431" s="697" t="s">
        <v>310</v>
      </c>
      <c r="T1431" s="697" t="s">
        <v>310</v>
      </c>
    </row>
    <row r="1432" spans="1:20" ht="36" x14ac:dyDescent="0.2">
      <c r="A1432" s="432">
        <f>IF(B1432="","",COUNT('Diário 1º PA'!$A$4:$A$2635)+COUNT('Diário 2º PA'!$A$4:$A$3040)+COUNT('Diário 3º PA'!$A$4:$A$2731)+ROW()-3)</f>
        <v>7457</v>
      </c>
      <c r="B1432" s="413">
        <v>44901</v>
      </c>
      <c r="C1432" s="424">
        <v>44866</v>
      </c>
      <c r="D1432" s="419" t="s">
        <v>182</v>
      </c>
      <c r="E1432" s="419" t="s">
        <v>1</v>
      </c>
      <c r="F1432" s="422">
        <v>1093.48</v>
      </c>
      <c r="G1432" s="427" t="s">
        <v>8703</v>
      </c>
      <c r="H1432" s="419" t="s">
        <v>310</v>
      </c>
      <c r="I1432" s="415" t="s">
        <v>8608</v>
      </c>
      <c r="J1432" s="419" t="s">
        <v>8609</v>
      </c>
      <c r="K1432" s="419" t="s">
        <v>830</v>
      </c>
      <c r="L1432" s="415" t="s">
        <v>909</v>
      </c>
      <c r="M1432" s="419" t="s">
        <v>310</v>
      </c>
      <c r="N1432" s="413">
        <v>44901</v>
      </c>
      <c r="O1432" s="414" t="s">
        <v>400</v>
      </c>
      <c r="P1432" s="655">
        <f t="shared" si="85"/>
        <v>12</v>
      </c>
      <c r="Q1432" s="655">
        <f t="shared" si="86"/>
        <v>11</v>
      </c>
      <c r="R1432" s="758" t="str">
        <f t="shared" si="87"/>
        <v>Gastos_com_Pessoal</v>
      </c>
      <c r="S1432" s="697" t="s">
        <v>310</v>
      </c>
      <c r="T1432" s="697" t="s">
        <v>310</v>
      </c>
    </row>
    <row r="1433" spans="1:20" ht="36" x14ac:dyDescent="0.2">
      <c r="A1433" s="432">
        <f>IF(B1433="","",COUNT('Diário 1º PA'!$A$4:$A$2635)+COUNT('Diário 2º PA'!$A$4:$A$3040)+COUNT('Diário 3º PA'!$A$4:$A$2731)+ROW()-3)</f>
        <v>7458</v>
      </c>
      <c r="B1433" s="413">
        <v>44901</v>
      </c>
      <c r="C1433" s="424">
        <v>44866</v>
      </c>
      <c r="D1433" s="419" t="s">
        <v>182</v>
      </c>
      <c r="E1433" s="419" t="s">
        <v>1</v>
      </c>
      <c r="F1433" s="422">
        <v>1471.37</v>
      </c>
      <c r="G1433" s="427" t="s">
        <v>8675</v>
      </c>
      <c r="H1433" s="419" t="s">
        <v>310</v>
      </c>
      <c r="I1433" s="415" t="s">
        <v>1200</v>
      </c>
      <c r="J1433" s="419" t="s">
        <v>1201</v>
      </c>
      <c r="K1433" s="419" t="s">
        <v>830</v>
      </c>
      <c r="L1433" s="415" t="s">
        <v>909</v>
      </c>
      <c r="M1433" s="419" t="s">
        <v>310</v>
      </c>
      <c r="N1433" s="413">
        <v>44901</v>
      </c>
      <c r="O1433" s="414" t="s">
        <v>400</v>
      </c>
      <c r="P1433" s="655">
        <f t="shared" si="85"/>
        <v>12</v>
      </c>
      <c r="Q1433" s="655">
        <f t="shared" si="86"/>
        <v>11</v>
      </c>
      <c r="R1433" s="758" t="str">
        <f t="shared" si="87"/>
        <v>Gastos_com_Pessoal</v>
      </c>
      <c r="S1433" s="697" t="s">
        <v>310</v>
      </c>
      <c r="T1433" s="697" t="s">
        <v>310</v>
      </c>
    </row>
    <row r="1434" spans="1:20" ht="36" x14ac:dyDescent="0.2">
      <c r="A1434" s="432">
        <f>IF(B1434="","",COUNT('Diário 1º PA'!$A$4:$A$2635)+COUNT('Diário 2º PA'!$A$4:$A$3040)+COUNT('Diário 3º PA'!$A$4:$A$2731)+ROW()-3)</f>
        <v>7459</v>
      </c>
      <c r="B1434" s="413">
        <v>44901</v>
      </c>
      <c r="C1434" s="424">
        <v>44866</v>
      </c>
      <c r="D1434" s="419" t="s">
        <v>182</v>
      </c>
      <c r="E1434" s="419" t="s">
        <v>1</v>
      </c>
      <c r="F1434" s="422">
        <v>3127.28</v>
      </c>
      <c r="G1434" s="423" t="s">
        <v>8704</v>
      </c>
      <c r="H1434" s="419" t="s">
        <v>310</v>
      </c>
      <c r="I1434" s="415" t="s">
        <v>959</v>
      </c>
      <c r="J1434" s="419" t="s">
        <v>960</v>
      </c>
      <c r="K1434" s="419" t="s">
        <v>830</v>
      </c>
      <c r="L1434" s="415" t="s">
        <v>909</v>
      </c>
      <c r="M1434" s="419" t="s">
        <v>310</v>
      </c>
      <c r="N1434" s="413">
        <v>44901</v>
      </c>
      <c r="O1434" s="414" t="s">
        <v>400</v>
      </c>
      <c r="P1434" s="655">
        <f t="shared" si="85"/>
        <v>12</v>
      </c>
      <c r="Q1434" s="655">
        <f t="shared" si="86"/>
        <v>11</v>
      </c>
      <c r="R1434" s="758" t="str">
        <f t="shared" si="87"/>
        <v>Gastos_com_Pessoal</v>
      </c>
      <c r="S1434" s="697" t="s">
        <v>310</v>
      </c>
      <c r="T1434" s="697" t="s">
        <v>310</v>
      </c>
    </row>
    <row r="1435" spans="1:20" ht="36" x14ac:dyDescent="0.2">
      <c r="A1435" s="432">
        <f>IF(B1435="","",COUNT('Diário 1º PA'!$A$4:$A$2635)+COUNT('Diário 2º PA'!$A$4:$A$3040)+COUNT('Diário 3º PA'!$A$4:$A$2731)+ROW()-3)</f>
        <v>7460</v>
      </c>
      <c r="B1435" s="413">
        <v>44901</v>
      </c>
      <c r="C1435" s="424">
        <v>44866</v>
      </c>
      <c r="D1435" s="419" t="s">
        <v>182</v>
      </c>
      <c r="E1435" s="419" t="s">
        <v>1</v>
      </c>
      <c r="F1435" s="422">
        <v>4631.4799999999996</v>
      </c>
      <c r="G1435" s="423" t="s">
        <v>8705</v>
      </c>
      <c r="H1435" s="419" t="s">
        <v>310</v>
      </c>
      <c r="I1435" s="415" t="s">
        <v>1169</v>
      </c>
      <c r="J1435" s="419" t="s">
        <v>1170</v>
      </c>
      <c r="K1435" s="419" t="s">
        <v>830</v>
      </c>
      <c r="L1435" s="415" t="s">
        <v>909</v>
      </c>
      <c r="M1435" s="419" t="s">
        <v>310</v>
      </c>
      <c r="N1435" s="413">
        <v>44901</v>
      </c>
      <c r="O1435" s="414" t="s">
        <v>400</v>
      </c>
      <c r="P1435" s="655">
        <f t="shared" si="85"/>
        <v>12</v>
      </c>
      <c r="Q1435" s="655">
        <f t="shared" si="86"/>
        <v>11</v>
      </c>
      <c r="R1435" s="758" t="str">
        <f t="shared" si="87"/>
        <v>Gastos_com_Pessoal</v>
      </c>
      <c r="S1435" s="697" t="s">
        <v>310</v>
      </c>
      <c r="T1435" s="697" t="s">
        <v>310</v>
      </c>
    </row>
    <row r="1436" spans="1:20" ht="36" x14ac:dyDescent="0.2">
      <c r="A1436" s="432">
        <f>IF(B1436="","",COUNT('Diário 1º PA'!$A$4:$A$2635)+COUNT('Diário 2º PA'!$A$4:$A$3040)+COUNT('Diário 3º PA'!$A$4:$A$2731)+ROW()-3)</f>
        <v>7461</v>
      </c>
      <c r="B1436" s="413">
        <v>44901</v>
      </c>
      <c r="C1436" s="424">
        <v>44866</v>
      </c>
      <c r="D1436" s="419" t="s">
        <v>182</v>
      </c>
      <c r="E1436" s="419" t="s">
        <v>1</v>
      </c>
      <c r="F1436" s="422">
        <v>2286.4</v>
      </c>
      <c r="G1436" s="423" t="s">
        <v>8706</v>
      </c>
      <c r="H1436" s="419" t="s">
        <v>310</v>
      </c>
      <c r="I1436" s="415" t="s">
        <v>1182</v>
      </c>
      <c r="J1436" s="419" t="s">
        <v>1183</v>
      </c>
      <c r="K1436" s="419" t="s">
        <v>830</v>
      </c>
      <c r="L1436" s="415" t="s">
        <v>909</v>
      </c>
      <c r="M1436" s="419" t="s">
        <v>310</v>
      </c>
      <c r="N1436" s="413">
        <v>44901</v>
      </c>
      <c r="O1436" s="414" t="s">
        <v>400</v>
      </c>
      <c r="P1436" s="655">
        <f t="shared" si="85"/>
        <v>12</v>
      </c>
      <c r="Q1436" s="655">
        <f t="shared" si="86"/>
        <v>11</v>
      </c>
      <c r="R1436" s="758" t="str">
        <f t="shared" si="87"/>
        <v>Gastos_com_Pessoal</v>
      </c>
      <c r="S1436" s="697" t="s">
        <v>310</v>
      </c>
      <c r="T1436" s="697" t="s">
        <v>310</v>
      </c>
    </row>
    <row r="1437" spans="1:20" ht="36" x14ac:dyDescent="0.2">
      <c r="A1437" s="432">
        <f>IF(B1437="","",COUNT('Diário 1º PA'!$A$4:$A$2635)+COUNT('Diário 2º PA'!$A$4:$A$3040)+COUNT('Diário 3º PA'!$A$4:$A$2731)+ROW()-3)</f>
        <v>7462</v>
      </c>
      <c r="B1437" s="413">
        <v>44901</v>
      </c>
      <c r="C1437" s="424">
        <v>44866</v>
      </c>
      <c r="D1437" s="419" t="s">
        <v>182</v>
      </c>
      <c r="E1437" s="419" t="s">
        <v>1</v>
      </c>
      <c r="F1437" s="422">
        <v>2266.2800000000002</v>
      </c>
      <c r="G1437" s="423" t="s">
        <v>8707</v>
      </c>
      <c r="H1437" s="419" t="s">
        <v>310</v>
      </c>
      <c r="I1437" s="415" t="s">
        <v>961</v>
      </c>
      <c r="J1437" s="419" t="s">
        <v>962</v>
      </c>
      <c r="K1437" s="419" t="s">
        <v>830</v>
      </c>
      <c r="L1437" s="415" t="s">
        <v>909</v>
      </c>
      <c r="M1437" s="419" t="s">
        <v>310</v>
      </c>
      <c r="N1437" s="413">
        <v>44901</v>
      </c>
      <c r="O1437" s="414" t="s">
        <v>400</v>
      </c>
      <c r="P1437" s="655">
        <f t="shared" si="85"/>
        <v>12</v>
      </c>
      <c r="Q1437" s="655">
        <f t="shared" si="86"/>
        <v>11</v>
      </c>
      <c r="R1437" s="758" t="str">
        <f t="shared" si="87"/>
        <v>Gastos_com_Pessoal</v>
      </c>
      <c r="S1437" s="697" t="s">
        <v>310</v>
      </c>
      <c r="T1437" s="697" t="s">
        <v>310</v>
      </c>
    </row>
    <row r="1438" spans="1:20" ht="36" x14ac:dyDescent="0.2">
      <c r="A1438" s="432">
        <f>IF(B1438="","",COUNT('Diário 1º PA'!$A$4:$A$2635)+COUNT('Diário 2º PA'!$A$4:$A$3040)+COUNT('Diário 3º PA'!$A$4:$A$2731)+ROW()-3)</f>
        <v>7463</v>
      </c>
      <c r="B1438" s="413">
        <v>44901</v>
      </c>
      <c r="C1438" s="424">
        <v>44866</v>
      </c>
      <c r="D1438" s="419" t="s">
        <v>182</v>
      </c>
      <c r="E1438" s="419" t="s">
        <v>1</v>
      </c>
      <c r="F1438" s="422">
        <v>2221.8000000000002</v>
      </c>
      <c r="G1438" s="423" t="s">
        <v>8691</v>
      </c>
      <c r="H1438" s="419" t="s">
        <v>310</v>
      </c>
      <c r="I1438" s="415" t="s">
        <v>7040</v>
      </c>
      <c r="J1438" s="419" t="s">
        <v>6358</v>
      </c>
      <c r="K1438" s="419" t="s">
        <v>830</v>
      </c>
      <c r="L1438" s="415" t="s">
        <v>909</v>
      </c>
      <c r="M1438" s="419" t="s">
        <v>310</v>
      </c>
      <c r="N1438" s="413">
        <v>44901</v>
      </c>
      <c r="O1438" s="414" t="s">
        <v>400</v>
      </c>
      <c r="P1438" s="655">
        <f t="shared" si="85"/>
        <v>12</v>
      </c>
      <c r="Q1438" s="655">
        <f t="shared" si="86"/>
        <v>11</v>
      </c>
      <c r="R1438" s="758" t="str">
        <f t="shared" si="87"/>
        <v>Gastos_com_Pessoal</v>
      </c>
      <c r="S1438" s="697" t="s">
        <v>310</v>
      </c>
      <c r="T1438" s="697" t="s">
        <v>310</v>
      </c>
    </row>
    <row r="1439" spans="1:20" ht="36" x14ac:dyDescent="0.2">
      <c r="A1439" s="432">
        <f>IF(B1439="","",COUNT('Diário 1º PA'!$A$4:$A$2635)+COUNT('Diário 2º PA'!$A$4:$A$3040)+COUNT('Diário 3º PA'!$A$4:$A$2731)+ROW()-3)</f>
        <v>7464</v>
      </c>
      <c r="B1439" s="413">
        <v>44901</v>
      </c>
      <c r="C1439" s="424">
        <v>44866</v>
      </c>
      <c r="D1439" s="419" t="s">
        <v>182</v>
      </c>
      <c r="E1439" s="419" t="s">
        <v>1</v>
      </c>
      <c r="F1439" s="422">
        <v>1619.7</v>
      </c>
      <c r="G1439" s="427" t="s">
        <v>8696</v>
      </c>
      <c r="H1439" s="419" t="s">
        <v>310</v>
      </c>
      <c r="I1439" s="415" t="s">
        <v>828</v>
      </c>
      <c r="J1439" s="419" t="s">
        <v>829</v>
      </c>
      <c r="K1439" s="419" t="s">
        <v>830</v>
      </c>
      <c r="L1439" s="415" t="s">
        <v>909</v>
      </c>
      <c r="M1439" s="734" t="s">
        <v>310</v>
      </c>
      <c r="N1439" s="413">
        <v>44901</v>
      </c>
      <c r="O1439" s="414" t="s">
        <v>400</v>
      </c>
      <c r="P1439" s="655">
        <f t="shared" si="85"/>
        <v>12</v>
      </c>
      <c r="Q1439" s="655">
        <f t="shared" si="86"/>
        <v>11</v>
      </c>
      <c r="R1439" s="758" t="str">
        <f t="shared" si="87"/>
        <v>Gastos_com_Pessoal</v>
      </c>
      <c r="S1439" s="697" t="s">
        <v>310</v>
      </c>
      <c r="T1439" s="697" t="s">
        <v>310</v>
      </c>
    </row>
    <row r="1440" spans="1:20" ht="36" x14ac:dyDescent="0.2">
      <c r="A1440" s="432">
        <f>IF(B1440="","",COUNT('Diário 1º PA'!$A$4:$A$2635)+COUNT('Diário 2º PA'!$A$4:$A$3040)+COUNT('Diário 3º PA'!$A$4:$A$2731)+ROW()-3)</f>
        <v>7465</v>
      </c>
      <c r="B1440" s="413">
        <v>44901</v>
      </c>
      <c r="C1440" s="424">
        <v>44866</v>
      </c>
      <c r="D1440" s="419" t="s">
        <v>182</v>
      </c>
      <c r="E1440" s="419" t="s">
        <v>1</v>
      </c>
      <c r="F1440" s="422">
        <v>2465.48</v>
      </c>
      <c r="G1440" s="427" t="s">
        <v>8708</v>
      </c>
      <c r="H1440" s="419" t="s">
        <v>310</v>
      </c>
      <c r="I1440" s="415" t="s">
        <v>972</v>
      </c>
      <c r="J1440" s="419" t="s">
        <v>973</v>
      </c>
      <c r="K1440" s="419" t="s">
        <v>830</v>
      </c>
      <c r="L1440" s="415" t="s">
        <v>909</v>
      </c>
      <c r="M1440" s="419" t="s">
        <v>310</v>
      </c>
      <c r="N1440" s="413">
        <v>44901</v>
      </c>
      <c r="O1440" s="414" t="s">
        <v>400</v>
      </c>
      <c r="P1440" s="655">
        <f t="shared" si="85"/>
        <v>12</v>
      </c>
      <c r="Q1440" s="655">
        <f t="shared" si="86"/>
        <v>11</v>
      </c>
      <c r="R1440" s="758" t="str">
        <f t="shared" si="87"/>
        <v>Gastos_com_Pessoal</v>
      </c>
      <c r="S1440" s="697" t="s">
        <v>310</v>
      </c>
      <c r="T1440" s="697" t="s">
        <v>310</v>
      </c>
    </row>
    <row r="1441" spans="1:20" ht="36" x14ac:dyDescent="0.2">
      <c r="A1441" s="432">
        <f>IF(B1441="","",COUNT('Diário 1º PA'!$A$4:$A$2635)+COUNT('Diário 2º PA'!$A$4:$A$3040)+COUNT('Diário 3º PA'!$A$4:$A$2731)+ROW()-3)</f>
        <v>7466</v>
      </c>
      <c r="B1441" s="413">
        <v>44901</v>
      </c>
      <c r="C1441" s="424">
        <v>44866</v>
      </c>
      <c r="D1441" s="419" t="s">
        <v>182</v>
      </c>
      <c r="E1441" s="419" t="s">
        <v>1</v>
      </c>
      <c r="F1441" s="422">
        <v>3127.28</v>
      </c>
      <c r="G1441" s="423" t="s">
        <v>8689</v>
      </c>
      <c r="H1441" s="419" t="s">
        <v>310</v>
      </c>
      <c r="I1441" s="415" t="s">
        <v>1181</v>
      </c>
      <c r="J1441" s="419" t="s">
        <v>933</v>
      </c>
      <c r="K1441" s="419" t="s">
        <v>830</v>
      </c>
      <c r="L1441" s="415" t="s">
        <v>909</v>
      </c>
      <c r="M1441" s="419" t="s">
        <v>310</v>
      </c>
      <c r="N1441" s="413">
        <v>44901</v>
      </c>
      <c r="O1441" s="414" t="s">
        <v>400</v>
      </c>
      <c r="P1441" s="655">
        <f t="shared" si="85"/>
        <v>12</v>
      </c>
      <c r="Q1441" s="655">
        <f t="shared" si="86"/>
        <v>11</v>
      </c>
      <c r="R1441" s="758" t="str">
        <f t="shared" si="87"/>
        <v>Gastos_com_Pessoal</v>
      </c>
      <c r="S1441" s="697" t="s">
        <v>310</v>
      </c>
      <c r="T1441" s="697" t="s">
        <v>310</v>
      </c>
    </row>
    <row r="1442" spans="1:20" ht="36" x14ac:dyDescent="0.2">
      <c r="A1442" s="432">
        <f>IF(B1442="","",COUNT('Diário 1º PA'!$A$4:$A$2635)+COUNT('Diário 2º PA'!$A$4:$A$3040)+COUNT('Diário 3º PA'!$A$4:$A$2731)+ROW()-3)</f>
        <v>7467</v>
      </c>
      <c r="B1442" s="413">
        <v>44901</v>
      </c>
      <c r="C1442" s="424">
        <v>44866</v>
      </c>
      <c r="D1442" s="419" t="s">
        <v>182</v>
      </c>
      <c r="E1442" s="419" t="s">
        <v>1</v>
      </c>
      <c r="F1442" s="422">
        <v>2235.21</v>
      </c>
      <c r="G1442" s="423" t="s">
        <v>8675</v>
      </c>
      <c r="H1442" s="419" t="s">
        <v>310</v>
      </c>
      <c r="I1442" s="415" t="s">
        <v>1190</v>
      </c>
      <c r="J1442" s="419" t="s">
        <v>1191</v>
      </c>
      <c r="K1442" s="419" t="s">
        <v>830</v>
      </c>
      <c r="L1442" s="415" t="s">
        <v>909</v>
      </c>
      <c r="M1442" s="419" t="s">
        <v>310</v>
      </c>
      <c r="N1442" s="413">
        <v>44901</v>
      </c>
      <c r="O1442" s="414" t="s">
        <v>400</v>
      </c>
      <c r="P1442" s="655">
        <f t="shared" si="85"/>
        <v>12</v>
      </c>
      <c r="Q1442" s="655">
        <f t="shared" si="86"/>
        <v>11</v>
      </c>
      <c r="R1442" s="758" t="str">
        <f t="shared" si="87"/>
        <v>Gastos_com_Pessoal</v>
      </c>
      <c r="S1442" s="697" t="s">
        <v>310</v>
      </c>
      <c r="T1442" s="697" t="s">
        <v>310</v>
      </c>
    </row>
    <row r="1443" spans="1:20" ht="24" x14ac:dyDescent="0.2">
      <c r="A1443" s="432">
        <f>IF(B1443="","",COUNT('Diário 1º PA'!$A$4:$A$2635)+COUNT('Diário 2º PA'!$A$4:$A$3040)+COUNT('Diário 3º PA'!$A$4:$A$2731)+ROW()-3)</f>
        <v>7468</v>
      </c>
      <c r="B1443" s="413">
        <v>44901</v>
      </c>
      <c r="C1443" s="421">
        <v>44896</v>
      </c>
      <c r="D1443" s="419" t="s">
        <v>271</v>
      </c>
      <c r="E1443" s="419" t="s">
        <v>71</v>
      </c>
      <c r="F1443" s="422">
        <v>11</v>
      </c>
      <c r="G1443" s="419" t="s">
        <v>8709</v>
      </c>
      <c r="H1443" s="419" t="s">
        <v>310</v>
      </c>
      <c r="I1443" s="415" t="s">
        <v>881</v>
      </c>
      <c r="J1443" s="419" t="s">
        <v>882</v>
      </c>
      <c r="K1443" s="419" t="s">
        <v>883</v>
      </c>
      <c r="L1443" s="415" t="s">
        <v>798</v>
      </c>
      <c r="M1443" s="419" t="s">
        <v>310</v>
      </c>
      <c r="N1443" s="413">
        <v>44901</v>
      </c>
      <c r="O1443" s="414" t="s">
        <v>400</v>
      </c>
      <c r="P1443" s="655">
        <f t="shared" si="85"/>
        <v>12</v>
      </c>
      <c r="Q1443" s="655">
        <f t="shared" si="86"/>
        <v>12</v>
      </c>
      <c r="R1443" s="758" t="str">
        <f t="shared" si="87"/>
        <v>Gastos_Gerais</v>
      </c>
      <c r="S1443" s="697" t="s">
        <v>310</v>
      </c>
      <c r="T1443" s="697" t="s">
        <v>310</v>
      </c>
    </row>
    <row r="1444" spans="1:20" ht="24" x14ac:dyDescent="0.2">
      <c r="A1444" s="432">
        <f>IF(B1444="","",COUNT('Diário 1º PA'!$A$4:$A$2635)+COUNT('Diário 2º PA'!$A$4:$A$3040)+COUNT('Diário 3º PA'!$A$4:$A$2731)+ROW()-3)</f>
        <v>7469</v>
      </c>
      <c r="B1444" s="413">
        <v>44901</v>
      </c>
      <c r="C1444" s="421">
        <v>44896</v>
      </c>
      <c r="D1444" s="419" t="s">
        <v>271</v>
      </c>
      <c r="E1444" s="419" t="s">
        <v>71</v>
      </c>
      <c r="F1444" s="422">
        <v>11</v>
      </c>
      <c r="G1444" s="419" t="s">
        <v>8709</v>
      </c>
      <c r="H1444" s="419" t="s">
        <v>310</v>
      </c>
      <c r="I1444" s="415" t="s">
        <v>881</v>
      </c>
      <c r="J1444" s="419" t="s">
        <v>882</v>
      </c>
      <c r="K1444" s="419" t="s">
        <v>883</v>
      </c>
      <c r="L1444" s="415" t="s">
        <v>798</v>
      </c>
      <c r="M1444" s="419" t="s">
        <v>310</v>
      </c>
      <c r="N1444" s="413">
        <v>44901</v>
      </c>
      <c r="O1444" s="414" t="s">
        <v>400</v>
      </c>
      <c r="P1444" s="655">
        <f t="shared" si="85"/>
        <v>12</v>
      </c>
      <c r="Q1444" s="655">
        <f t="shared" si="86"/>
        <v>12</v>
      </c>
      <c r="R1444" s="758" t="str">
        <f t="shared" si="87"/>
        <v>Gastos_Gerais</v>
      </c>
      <c r="S1444" s="697" t="s">
        <v>310</v>
      </c>
      <c r="T1444" s="697" t="s">
        <v>310</v>
      </c>
    </row>
    <row r="1445" spans="1:20" ht="24" x14ac:dyDescent="0.2">
      <c r="A1445" s="432">
        <f>IF(B1445="","",COUNT('Diário 1º PA'!$A$4:$A$2635)+COUNT('Diário 2º PA'!$A$4:$A$3040)+COUNT('Diário 3º PA'!$A$4:$A$2731)+ROW()-3)</f>
        <v>7470</v>
      </c>
      <c r="B1445" s="413">
        <v>44901</v>
      </c>
      <c r="C1445" s="421">
        <v>44896</v>
      </c>
      <c r="D1445" s="419" t="s">
        <v>271</v>
      </c>
      <c r="E1445" s="419" t="s">
        <v>71</v>
      </c>
      <c r="F1445" s="422">
        <v>11</v>
      </c>
      <c r="G1445" s="419" t="s">
        <v>8709</v>
      </c>
      <c r="H1445" s="419" t="s">
        <v>310</v>
      </c>
      <c r="I1445" s="415" t="s">
        <v>881</v>
      </c>
      <c r="J1445" s="419" t="s">
        <v>882</v>
      </c>
      <c r="K1445" s="419" t="s">
        <v>883</v>
      </c>
      <c r="L1445" s="415" t="s">
        <v>798</v>
      </c>
      <c r="M1445" s="419" t="s">
        <v>310</v>
      </c>
      <c r="N1445" s="413">
        <v>44901</v>
      </c>
      <c r="O1445" s="414" t="s">
        <v>400</v>
      </c>
      <c r="P1445" s="655">
        <f t="shared" si="85"/>
        <v>12</v>
      </c>
      <c r="Q1445" s="655">
        <f t="shared" si="86"/>
        <v>12</v>
      </c>
      <c r="R1445" s="758" t="str">
        <f t="shared" si="87"/>
        <v>Gastos_Gerais</v>
      </c>
      <c r="S1445" s="697" t="s">
        <v>310</v>
      </c>
      <c r="T1445" s="697" t="s">
        <v>310</v>
      </c>
    </row>
    <row r="1446" spans="1:20" ht="24" x14ac:dyDescent="0.2">
      <c r="A1446" s="432">
        <f>IF(B1446="","",COUNT('Diário 1º PA'!$A$4:$A$2635)+COUNT('Diário 2º PA'!$A$4:$A$3040)+COUNT('Diário 3º PA'!$A$4:$A$2731)+ROW()-3)</f>
        <v>7471</v>
      </c>
      <c r="B1446" s="413">
        <v>44901</v>
      </c>
      <c r="C1446" s="421">
        <v>44896</v>
      </c>
      <c r="D1446" s="419" t="s">
        <v>271</v>
      </c>
      <c r="E1446" s="419" t="s">
        <v>71</v>
      </c>
      <c r="F1446" s="422">
        <v>11</v>
      </c>
      <c r="G1446" s="419" t="s">
        <v>8709</v>
      </c>
      <c r="H1446" s="419" t="s">
        <v>310</v>
      </c>
      <c r="I1446" s="415" t="s">
        <v>881</v>
      </c>
      <c r="J1446" s="419" t="s">
        <v>882</v>
      </c>
      <c r="K1446" s="419" t="s">
        <v>883</v>
      </c>
      <c r="L1446" s="415" t="s">
        <v>798</v>
      </c>
      <c r="M1446" s="419" t="s">
        <v>310</v>
      </c>
      <c r="N1446" s="413">
        <v>44901</v>
      </c>
      <c r="O1446" s="414" t="s">
        <v>400</v>
      </c>
      <c r="P1446" s="655">
        <f t="shared" ref="P1446:P1509" si="88">IF(B1446=0,0,IF(YEAR(B1446)=$Q$1,MONTH(B1446)-$P$1+1,(YEAR(B1446)-$Q$1)*12-$P$1+1+MONTH(B1446)))</f>
        <v>12</v>
      </c>
      <c r="Q1446" s="655">
        <f t="shared" ref="Q1446:Q1509" si="89">IF(C1446=0,0,IF(YEAR(C1446)=$Q$1,MONTH(C1446)-$P$1+1,(YEAR(C1446)-$Q$1)*12-$P$1+1+MONTH(C1446)))</f>
        <v>12</v>
      </c>
      <c r="R1446" s="758" t="str">
        <f t="shared" si="87"/>
        <v>Gastos_Gerais</v>
      </c>
      <c r="S1446" s="697" t="s">
        <v>310</v>
      </c>
      <c r="T1446" s="697" t="s">
        <v>310</v>
      </c>
    </row>
    <row r="1447" spans="1:20" ht="24" x14ac:dyDescent="0.2">
      <c r="A1447" s="432">
        <f>IF(B1447="","",COUNT('Diário 1º PA'!$A$4:$A$2635)+COUNT('Diário 2º PA'!$A$4:$A$3040)+COUNT('Diário 3º PA'!$A$4:$A$2731)+ROW()-3)</f>
        <v>7472</v>
      </c>
      <c r="B1447" s="413">
        <v>44901</v>
      </c>
      <c r="C1447" s="421">
        <v>44896</v>
      </c>
      <c r="D1447" s="419" t="s">
        <v>271</v>
      </c>
      <c r="E1447" s="419" t="s">
        <v>71</v>
      </c>
      <c r="F1447" s="422">
        <v>11</v>
      </c>
      <c r="G1447" s="419" t="s">
        <v>8709</v>
      </c>
      <c r="H1447" s="419" t="s">
        <v>310</v>
      </c>
      <c r="I1447" s="415" t="s">
        <v>881</v>
      </c>
      <c r="J1447" s="419" t="s">
        <v>882</v>
      </c>
      <c r="K1447" s="419" t="s">
        <v>883</v>
      </c>
      <c r="L1447" s="415" t="s">
        <v>798</v>
      </c>
      <c r="M1447" s="419" t="s">
        <v>310</v>
      </c>
      <c r="N1447" s="413">
        <v>44901</v>
      </c>
      <c r="O1447" s="414" t="s">
        <v>400</v>
      </c>
      <c r="P1447" s="655">
        <f t="shared" si="88"/>
        <v>12</v>
      </c>
      <c r="Q1447" s="655">
        <f t="shared" si="89"/>
        <v>12</v>
      </c>
      <c r="R1447" s="758" t="str">
        <f t="shared" si="87"/>
        <v>Gastos_Gerais</v>
      </c>
      <c r="S1447" s="697" t="s">
        <v>310</v>
      </c>
      <c r="T1447" s="697" t="s">
        <v>310</v>
      </c>
    </row>
    <row r="1448" spans="1:20" ht="24" x14ac:dyDescent="0.2">
      <c r="A1448" s="432">
        <f>IF(B1448="","",COUNT('Diário 1º PA'!$A$4:$A$2635)+COUNT('Diário 2º PA'!$A$4:$A$3040)+COUNT('Diário 3º PA'!$A$4:$A$2731)+ROW()-3)</f>
        <v>7473</v>
      </c>
      <c r="B1448" s="413">
        <v>44901</v>
      </c>
      <c r="C1448" s="421">
        <v>44896</v>
      </c>
      <c r="D1448" s="419" t="s">
        <v>271</v>
      </c>
      <c r="E1448" s="419" t="s">
        <v>71</v>
      </c>
      <c r="F1448" s="422">
        <v>11</v>
      </c>
      <c r="G1448" s="419" t="s">
        <v>8709</v>
      </c>
      <c r="H1448" s="419" t="s">
        <v>310</v>
      </c>
      <c r="I1448" s="415" t="s">
        <v>881</v>
      </c>
      <c r="J1448" s="419" t="s">
        <v>882</v>
      </c>
      <c r="K1448" s="419" t="s">
        <v>883</v>
      </c>
      <c r="L1448" s="415" t="s">
        <v>798</v>
      </c>
      <c r="M1448" s="419" t="s">
        <v>310</v>
      </c>
      <c r="N1448" s="413">
        <v>44901</v>
      </c>
      <c r="O1448" s="414" t="s">
        <v>400</v>
      </c>
      <c r="P1448" s="655">
        <f t="shared" si="88"/>
        <v>12</v>
      </c>
      <c r="Q1448" s="655">
        <f t="shared" si="89"/>
        <v>12</v>
      </c>
      <c r="R1448" s="758" t="str">
        <f t="shared" si="87"/>
        <v>Gastos_Gerais</v>
      </c>
      <c r="S1448" s="697" t="s">
        <v>310</v>
      </c>
      <c r="T1448" s="697" t="s">
        <v>310</v>
      </c>
    </row>
    <row r="1449" spans="1:20" ht="24" x14ac:dyDescent="0.2">
      <c r="A1449" s="432">
        <f>IF(B1449="","",COUNT('Diário 1º PA'!$A$4:$A$2635)+COUNT('Diário 2º PA'!$A$4:$A$3040)+COUNT('Diário 3º PA'!$A$4:$A$2731)+ROW()-3)</f>
        <v>7474</v>
      </c>
      <c r="B1449" s="413">
        <v>44901</v>
      </c>
      <c r="C1449" s="421">
        <v>44896</v>
      </c>
      <c r="D1449" s="419" t="s">
        <v>271</v>
      </c>
      <c r="E1449" s="419" t="s">
        <v>71</v>
      </c>
      <c r="F1449" s="422">
        <v>11</v>
      </c>
      <c r="G1449" s="419" t="s">
        <v>8709</v>
      </c>
      <c r="H1449" s="419" t="s">
        <v>310</v>
      </c>
      <c r="I1449" s="415" t="s">
        <v>881</v>
      </c>
      <c r="J1449" s="419" t="s">
        <v>882</v>
      </c>
      <c r="K1449" s="419" t="s">
        <v>883</v>
      </c>
      <c r="L1449" s="415" t="s">
        <v>798</v>
      </c>
      <c r="M1449" s="419" t="s">
        <v>310</v>
      </c>
      <c r="N1449" s="413">
        <v>44901</v>
      </c>
      <c r="O1449" s="414" t="s">
        <v>400</v>
      </c>
      <c r="P1449" s="655">
        <f t="shared" si="88"/>
        <v>12</v>
      </c>
      <c r="Q1449" s="655">
        <f t="shared" si="89"/>
        <v>12</v>
      </c>
      <c r="R1449" s="758" t="str">
        <f t="shared" si="87"/>
        <v>Gastos_Gerais</v>
      </c>
      <c r="S1449" s="697" t="s">
        <v>310</v>
      </c>
      <c r="T1449" s="697" t="s">
        <v>310</v>
      </c>
    </row>
    <row r="1450" spans="1:20" ht="24" x14ac:dyDescent="0.2">
      <c r="A1450" s="432">
        <f>IF(B1450="","",COUNT('Diário 1º PA'!$A$4:$A$2635)+COUNT('Diário 2º PA'!$A$4:$A$3040)+COUNT('Diário 3º PA'!$A$4:$A$2731)+ROW()-3)</f>
        <v>7475</v>
      </c>
      <c r="B1450" s="413">
        <v>44901</v>
      </c>
      <c r="C1450" s="421">
        <v>44896</v>
      </c>
      <c r="D1450" s="419" t="s">
        <v>271</v>
      </c>
      <c r="E1450" s="419" t="s">
        <v>71</v>
      </c>
      <c r="F1450" s="422">
        <v>11</v>
      </c>
      <c r="G1450" s="419" t="s">
        <v>8709</v>
      </c>
      <c r="H1450" s="419" t="s">
        <v>310</v>
      </c>
      <c r="I1450" s="415" t="s">
        <v>881</v>
      </c>
      <c r="J1450" s="419" t="s">
        <v>882</v>
      </c>
      <c r="K1450" s="419" t="s">
        <v>883</v>
      </c>
      <c r="L1450" s="415" t="s">
        <v>798</v>
      </c>
      <c r="M1450" s="419" t="s">
        <v>310</v>
      </c>
      <c r="N1450" s="413">
        <v>44901</v>
      </c>
      <c r="O1450" s="414" t="s">
        <v>400</v>
      </c>
      <c r="P1450" s="655">
        <f t="shared" si="88"/>
        <v>12</v>
      </c>
      <c r="Q1450" s="655">
        <f t="shared" si="89"/>
        <v>12</v>
      </c>
      <c r="R1450" s="758" t="str">
        <f t="shared" si="87"/>
        <v>Gastos_Gerais</v>
      </c>
      <c r="S1450" s="697" t="s">
        <v>310</v>
      </c>
      <c r="T1450" s="697" t="s">
        <v>310</v>
      </c>
    </row>
    <row r="1451" spans="1:20" ht="24" x14ac:dyDescent="0.2">
      <c r="A1451" s="432">
        <f>IF(B1451="","",COUNT('Diário 1º PA'!$A$4:$A$2635)+COUNT('Diário 2º PA'!$A$4:$A$3040)+COUNT('Diário 3º PA'!$A$4:$A$2731)+ROW()-3)</f>
        <v>7476</v>
      </c>
      <c r="B1451" s="413">
        <v>44901</v>
      </c>
      <c r="C1451" s="421">
        <v>44896</v>
      </c>
      <c r="D1451" s="419" t="s">
        <v>271</v>
      </c>
      <c r="E1451" s="419" t="s">
        <v>71</v>
      </c>
      <c r="F1451" s="422">
        <v>11</v>
      </c>
      <c r="G1451" s="419" t="s">
        <v>8709</v>
      </c>
      <c r="H1451" s="419" t="s">
        <v>310</v>
      </c>
      <c r="I1451" s="415" t="s">
        <v>881</v>
      </c>
      <c r="J1451" s="419" t="s">
        <v>882</v>
      </c>
      <c r="K1451" s="419" t="s">
        <v>883</v>
      </c>
      <c r="L1451" s="415" t="s">
        <v>798</v>
      </c>
      <c r="M1451" s="419" t="s">
        <v>310</v>
      </c>
      <c r="N1451" s="413">
        <v>44901</v>
      </c>
      <c r="O1451" s="414" t="s">
        <v>400</v>
      </c>
      <c r="P1451" s="655">
        <f t="shared" si="88"/>
        <v>12</v>
      </c>
      <c r="Q1451" s="655">
        <f t="shared" si="89"/>
        <v>12</v>
      </c>
      <c r="R1451" s="758" t="str">
        <f t="shared" si="87"/>
        <v>Gastos_Gerais</v>
      </c>
      <c r="S1451" s="697" t="s">
        <v>310</v>
      </c>
      <c r="T1451" s="697" t="s">
        <v>310</v>
      </c>
    </row>
    <row r="1452" spans="1:20" ht="24" x14ac:dyDescent="0.2">
      <c r="A1452" s="432">
        <f>IF(B1452="","",COUNT('Diário 1º PA'!$A$4:$A$2635)+COUNT('Diário 2º PA'!$A$4:$A$3040)+COUNT('Diário 3º PA'!$A$4:$A$2731)+ROW()-3)</f>
        <v>7477</v>
      </c>
      <c r="B1452" s="413">
        <v>44901</v>
      </c>
      <c r="C1452" s="421">
        <v>44896</v>
      </c>
      <c r="D1452" s="419" t="s">
        <v>271</v>
      </c>
      <c r="E1452" s="419" t="s">
        <v>71</v>
      </c>
      <c r="F1452" s="422">
        <v>11</v>
      </c>
      <c r="G1452" s="419" t="s">
        <v>8709</v>
      </c>
      <c r="H1452" s="419" t="s">
        <v>310</v>
      </c>
      <c r="I1452" s="415" t="s">
        <v>881</v>
      </c>
      <c r="J1452" s="419" t="s">
        <v>882</v>
      </c>
      <c r="K1452" s="419" t="s">
        <v>883</v>
      </c>
      <c r="L1452" s="415" t="s">
        <v>798</v>
      </c>
      <c r="M1452" s="419" t="s">
        <v>310</v>
      </c>
      <c r="N1452" s="413">
        <v>44901</v>
      </c>
      <c r="O1452" s="414" t="s">
        <v>400</v>
      </c>
      <c r="P1452" s="655">
        <f t="shared" si="88"/>
        <v>12</v>
      </c>
      <c r="Q1452" s="655">
        <f t="shared" si="89"/>
        <v>12</v>
      </c>
      <c r="R1452" s="758" t="str">
        <f t="shared" si="87"/>
        <v>Gastos_Gerais</v>
      </c>
      <c r="S1452" s="697" t="s">
        <v>310</v>
      </c>
      <c r="T1452" s="697" t="s">
        <v>310</v>
      </c>
    </row>
    <row r="1453" spans="1:20" ht="24" x14ac:dyDescent="0.2">
      <c r="A1453" s="432">
        <f>IF(B1453="","",COUNT('Diário 1º PA'!$A$4:$A$2635)+COUNT('Diário 2º PA'!$A$4:$A$3040)+COUNT('Diário 3º PA'!$A$4:$A$2731)+ROW()-3)</f>
        <v>7478</v>
      </c>
      <c r="B1453" s="413">
        <v>44901</v>
      </c>
      <c r="C1453" s="421">
        <v>44896</v>
      </c>
      <c r="D1453" s="419" t="s">
        <v>271</v>
      </c>
      <c r="E1453" s="419" t="s">
        <v>71</v>
      </c>
      <c r="F1453" s="422">
        <v>11</v>
      </c>
      <c r="G1453" s="419" t="s">
        <v>8709</v>
      </c>
      <c r="H1453" s="419" t="s">
        <v>310</v>
      </c>
      <c r="I1453" s="415" t="s">
        <v>881</v>
      </c>
      <c r="J1453" s="419" t="s">
        <v>882</v>
      </c>
      <c r="K1453" s="419" t="s">
        <v>883</v>
      </c>
      <c r="L1453" s="415" t="s">
        <v>798</v>
      </c>
      <c r="M1453" s="419" t="s">
        <v>310</v>
      </c>
      <c r="N1453" s="413">
        <v>44901</v>
      </c>
      <c r="O1453" s="414" t="s">
        <v>400</v>
      </c>
      <c r="P1453" s="655">
        <f t="shared" si="88"/>
        <v>12</v>
      </c>
      <c r="Q1453" s="655">
        <f t="shared" si="89"/>
        <v>12</v>
      </c>
      <c r="R1453" s="758" t="str">
        <f t="shared" si="87"/>
        <v>Gastos_Gerais</v>
      </c>
      <c r="S1453" s="697" t="s">
        <v>310</v>
      </c>
      <c r="T1453" s="697" t="s">
        <v>310</v>
      </c>
    </row>
    <row r="1454" spans="1:20" ht="24" x14ac:dyDescent="0.2">
      <c r="A1454" s="432">
        <f>IF(B1454="","",COUNT('Diário 1º PA'!$A$4:$A$2635)+COUNT('Diário 2º PA'!$A$4:$A$3040)+COUNT('Diário 3º PA'!$A$4:$A$2731)+ROW()-3)</f>
        <v>7479</v>
      </c>
      <c r="B1454" s="413">
        <v>44901</v>
      </c>
      <c r="C1454" s="421">
        <v>44896</v>
      </c>
      <c r="D1454" s="419" t="s">
        <v>271</v>
      </c>
      <c r="E1454" s="419" t="s">
        <v>71</v>
      </c>
      <c r="F1454" s="422">
        <v>11</v>
      </c>
      <c r="G1454" s="419" t="s">
        <v>8709</v>
      </c>
      <c r="H1454" s="419" t="s">
        <v>310</v>
      </c>
      <c r="I1454" s="415" t="s">
        <v>881</v>
      </c>
      <c r="J1454" s="419" t="s">
        <v>882</v>
      </c>
      <c r="K1454" s="419" t="s">
        <v>883</v>
      </c>
      <c r="L1454" s="415" t="s">
        <v>798</v>
      </c>
      <c r="M1454" s="419" t="s">
        <v>310</v>
      </c>
      <c r="N1454" s="413">
        <v>44901</v>
      </c>
      <c r="O1454" s="414" t="s">
        <v>400</v>
      </c>
      <c r="P1454" s="655">
        <f t="shared" si="88"/>
        <v>12</v>
      </c>
      <c r="Q1454" s="655">
        <f t="shared" si="89"/>
        <v>12</v>
      </c>
      <c r="R1454" s="758" t="str">
        <f t="shared" si="87"/>
        <v>Gastos_Gerais</v>
      </c>
      <c r="S1454" s="697" t="s">
        <v>310</v>
      </c>
      <c r="T1454" s="697" t="s">
        <v>310</v>
      </c>
    </row>
    <row r="1455" spans="1:20" ht="24" x14ac:dyDescent="0.2">
      <c r="A1455" s="432">
        <f>IF(B1455="","",COUNT('Diário 1º PA'!$A$4:$A$2635)+COUNT('Diário 2º PA'!$A$4:$A$3040)+COUNT('Diário 3º PA'!$A$4:$A$2731)+ROW()-3)</f>
        <v>7480</v>
      </c>
      <c r="B1455" s="413">
        <v>44901</v>
      </c>
      <c r="C1455" s="421">
        <v>44896</v>
      </c>
      <c r="D1455" s="419" t="s">
        <v>271</v>
      </c>
      <c r="E1455" s="419" t="s">
        <v>71</v>
      </c>
      <c r="F1455" s="422">
        <v>11</v>
      </c>
      <c r="G1455" s="419" t="s">
        <v>8709</v>
      </c>
      <c r="H1455" s="419" t="s">
        <v>310</v>
      </c>
      <c r="I1455" s="415" t="s">
        <v>881</v>
      </c>
      <c r="J1455" s="419" t="s">
        <v>882</v>
      </c>
      <c r="K1455" s="419" t="s">
        <v>883</v>
      </c>
      <c r="L1455" s="415" t="s">
        <v>798</v>
      </c>
      <c r="M1455" s="419" t="s">
        <v>310</v>
      </c>
      <c r="N1455" s="413">
        <v>44901</v>
      </c>
      <c r="O1455" s="414" t="s">
        <v>400</v>
      </c>
      <c r="P1455" s="655">
        <f t="shared" si="88"/>
        <v>12</v>
      </c>
      <c r="Q1455" s="655">
        <f t="shared" si="89"/>
        <v>12</v>
      </c>
      <c r="R1455" s="758" t="str">
        <f t="shared" si="87"/>
        <v>Gastos_Gerais</v>
      </c>
      <c r="S1455" s="697" t="s">
        <v>310</v>
      </c>
      <c r="T1455" s="697" t="s">
        <v>310</v>
      </c>
    </row>
    <row r="1456" spans="1:20" ht="24" x14ac:dyDescent="0.2">
      <c r="A1456" s="432">
        <f>IF(B1456="","",COUNT('Diário 1º PA'!$A$4:$A$2635)+COUNT('Diário 2º PA'!$A$4:$A$3040)+COUNT('Diário 3º PA'!$A$4:$A$2731)+ROW()-3)</f>
        <v>7481</v>
      </c>
      <c r="B1456" s="413">
        <v>44901</v>
      </c>
      <c r="C1456" s="421">
        <v>44896</v>
      </c>
      <c r="D1456" s="419" t="s">
        <v>271</v>
      </c>
      <c r="E1456" s="419" t="s">
        <v>71</v>
      </c>
      <c r="F1456" s="422">
        <v>11</v>
      </c>
      <c r="G1456" s="419" t="s">
        <v>8709</v>
      </c>
      <c r="H1456" s="419" t="s">
        <v>310</v>
      </c>
      <c r="I1456" s="415" t="s">
        <v>881</v>
      </c>
      <c r="J1456" s="419" t="s">
        <v>882</v>
      </c>
      <c r="K1456" s="419" t="s">
        <v>883</v>
      </c>
      <c r="L1456" s="415" t="s">
        <v>798</v>
      </c>
      <c r="M1456" s="419" t="s">
        <v>310</v>
      </c>
      <c r="N1456" s="413">
        <v>44901</v>
      </c>
      <c r="O1456" s="414" t="s">
        <v>400</v>
      </c>
      <c r="P1456" s="655">
        <f t="shared" si="88"/>
        <v>12</v>
      </c>
      <c r="Q1456" s="655">
        <f t="shared" si="89"/>
        <v>12</v>
      </c>
      <c r="R1456" s="758" t="str">
        <f t="shared" si="87"/>
        <v>Gastos_Gerais</v>
      </c>
      <c r="S1456" s="697" t="s">
        <v>310</v>
      </c>
      <c r="T1456" s="697" t="s">
        <v>310</v>
      </c>
    </row>
    <row r="1457" spans="1:20" ht="24" x14ac:dyDescent="0.2">
      <c r="A1457" s="432">
        <f>IF(B1457="","",COUNT('Diário 1º PA'!$A$4:$A$2635)+COUNT('Diário 2º PA'!$A$4:$A$3040)+COUNT('Diário 3º PA'!$A$4:$A$2731)+ROW()-3)</f>
        <v>7482</v>
      </c>
      <c r="B1457" s="413">
        <v>44901</v>
      </c>
      <c r="C1457" s="421">
        <v>44896</v>
      </c>
      <c r="D1457" s="419" t="s">
        <v>271</v>
      </c>
      <c r="E1457" s="419" t="s">
        <v>71</v>
      </c>
      <c r="F1457" s="422">
        <v>11</v>
      </c>
      <c r="G1457" s="419" t="s">
        <v>8709</v>
      </c>
      <c r="H1457" s="419" t="s">
        <v>310</v>
      </c>
      <c r="I1457" s="415" t="s">
        <v>881</v>
      </c>
      <c r="J1457" s="419" t="s">
        <v>882</v>
      </c>
      <c r="K1457" s="419" t="s">
        <v>883</v>
      </c>
      <c r="L1457" s="415" t="s">
        <v>798</v>
      </c>
      <c r="M1457" s="419" t="s">
        <v>310</v>
      </c>
      <c r="N1457" s="413">
        <v>44901</v>
      </c>
      <c r="O1457" s="414" t="s">
        <v>400</v>
      </c>
      <c r="P1457" s="655">
        <f t="shared" si="88"/>
        <v>12</v>
      </c>
      <c r="Q1457" s="655">
        <f t="shared" si="89"/>
        <v>12</v>
      </c>
      <c r="R1457" s="758" t="str">
        <f t="shared" si="87"/>
        <v>Gastos_Gerais</v>
      </c>
      <c r="S1457" s="697" t="s">
        <v>310</v>
      </c>
      <c r="T1457" s="697" t="s">
        <v>310</v>
      </c>
    </row>
    <row r="1458" spans="1:20" ht="24" x14ac:dyDescent="0.2">
      <c r="A1458" s="432">
        <f>IF(B1458="","",COUNT('Diário 1º PA'!$A$4:$A$2635)+COUNT('Diário 2º PA'!$A$4:$A$3040)+COUNT('Diário 3º PA'!$A$4:$A$2731)+ROW()-3)</f>
        <v>7483</v>
      </c>
      <c r="B1458" s="413">
        <v>44901</v>
      </c>
      <c r="C1458" s="421">
        <v>44896</v>
      </c>
      <c r="D1458" s="419" t="s">
        <v>271</v>
      </c>
      <c r="E1458" s="419" t="s">
        <v>71</v>
      </c>
      <c r="F1458" s="422">
        <v>11</v>
      </c>
      <c r="G1458" s="419" t="s">
        <v>8709</v>
      </c>
      <c r="H1458" s="419" t="s">
        <v>310</v>
      </c>
      <c r="I1458" s="415" t="s">
        <v>881</v>
      </c>
      <c r="J1458" s="419" t="s">
        <v>882</v>
      </c>
      <c r="K1458" s="419" t="s">
        <v>883</v>
      </c>
      <c r="L1458" s="415" t="s">
        <v>798</v>
      </c>
      <c r="M1458" s="419" t="s">
        <v>310</v>
      </c>
      <c r="N1458" s="413">
        <v>44901</v>
      </c>
      <c r="O1458" s="414" t="s">
        <v>400</v>
      </c>
      <c r="P1458" s="655">
        <f t="shared" si="88"/>
        <v>12</v>
      </c>
      <c r="Q1458" s="655">
        <f t="shared" si="89"/>
        <v>12</v>
      </c>
      <c r="R1458" s="758" t="str">
        <f t="shared" si="87"/>
        <v>Gastos_Gerais</v>
      </c>
      <c r="S1458" s="697" t="s">
        <v>310</v>
      </c>
      <c r="T1458" s="697" t="s">
        <v>310</v>
      </c>
    </row>
    <row r="1459" spans="1:20" ht="24" x14ac:dyDescent="0.2">
      <c r="A1459" s="432">
        <f>IF(B1459="","",COUNT('Diário 1º PA'!$A$4:$A$2635)+COUNT('Diário 2º PA'!$A$4:$A$3040)+COUNT('Diário 3º PA'!$A$4:$A$2731)+ROW()-3)</f>
        <v>7484</v>
      </c>
      <c r="B1459" s="413">
        <v>44901</v>
      </c>
      <c r="C1459" s="421">
        <v>44896</v>
      </c>
      <c r="D1459" s="419" t="s">
        <v>271</v>
      </c>
      <c r="E1459" s="419" t="s">
        <v>71</v>
      </c>
      <c r="F1459" s="422">
        <v>11</v>
      </c>
      <c r="G1459" s="419" t="s">
        <v>8709</v>
      </c>
      <c r="H1459" s="419" t="s">
        <v>310</v>
      </c>
      <c r="I1459" s="415" t="s">
        <v>881</v>
      </c>
      <c r="J1459" s="419" t="s">
        <v>882</v>
      </c>
      <c r="K1459" s="419" t="s">
        <v>883</v>
      </c>
      <c r="L1459" s="415" t="s">
        <v>798</v>
      </c>
      <c r="M1459" s="419" t="s">
        <v>310</v>
      </c>
      <c r="N1459" s="413">
        <v>44901</v>
      </c>
      <c r="O1459" s="414" t="s">
        <v>400</v>
      </c>
      <c r="P1459" s="655">
        <f t="shared" si="88"/>
        <v>12</v>
      </c>
      <c r="Q1459" s="655">
        <f t="shared" si="89"/>
        <v>12</v>
      </c>
      <c r="R1459" s="758" t="str">
        <f t="shared" si="87"/>
        <v>Gastos_Gerais</v>
      </c>
      <c r="S1459" s="697" t="s">
        <v>310</v>
      </c>
      <c r="T1459" s="697" t="s">
        <v>310</v>
      </c>
    </row>
    <row r="1460" spans="1:20" ht="24" x14ac:dyDescent="0.2">
      <c r="A1460" s="432">
        <f>IF(B1460="","",COUNT('Diário 1º PA'!$A$4:$A$2635)+COUNT('Diário 2º PA'!$A$4:$A$3040)+COUNT('Diário 3º PA'!$A$4:$A$2731)+ROW()-3)</f>
        <v>7485</v>
      </c>
      <c r="B1460" s="413">
        <v>44901</v>
      </c>
      <c r="C1460" s="421">
        <v>44896</v>
      </c>
      <c r="D1460" s="419" t="s">
        <v>271</v>
      </c>
      <c r="E1460" s="419" t="s">
        <v>71</v>
      </c>
      <c r="F1460" s="422">
        <v>11</v>
      </c>
      <c r="G1460" s="419" t="s">
        <v>8709</v>
      </c>
      <c r="H1460" s="419" t="s">
        <v>310</v>
      </c>
      <c r="I1460" s="415" t="s">
        <v>881</v>
      </c>
      <c r="J1460" s="419" t="s">
        <v>882</v>
      </c>
      <c r="K1460" s="419" t="s">
        <v>883</v>
      </c>
      <c r="L1460" s="415" t="s">
        <v>798</v>
      </c>
      <c r="M1460" s="419" t="s">
        <v>310</v>
      </c>
      <c r="N1460" s="413">
        <v>44901</v>
      </c>
      <c r="O1460" s="414" t="s">
        <v>400</v>
      </c>
      <c r="P1460" s="655">
        <f t="shared" si="88"/>
        <v>12</v>
      </c>
      <c r="Q1460" s="655">
        <f t="shared" si="89"/>
        <v>12</v>
      </c>
      <c r="R1460" s="758" t="str">
        <f t="shared" si="87"/>
        <v>Gastos_Gerais</v>
      </c>
      <c r="S1460" s="697" t="s">
        <v>310</v>
      </c>
      <c r="T1460" s="697" t="s">
        <v>310</v>
      </c>
    </row>
    <row r="1461" spans="1:20" ht="24" x14ac:dyDescent="0.2">
      <c r="A1461" s="432">
        <f>IF(B1461="","",COUNT('Diário 1º PA'!$A$4:$A$2635)+COUNT('Diário 2º PA'!$A$4:$A$3040)+COUNT('Diário 3º PA'!$A$4:$A$2731)+ROW()-3)</f>
        <v>7486</v>
      </c>
      <c r="B1461" s="413">
        <v>44901</v>
      </c>
      <c r="C1461" s="421">
        <v>44896</v>
      </c>
      <c r="D1461" s="419" t="s">
        <v>271</v>
      </c>
      <c r="E1461" s="419" t="s">
        <v>71</v>
      </c>
      <c r="F1461" s="422">
        <v>11</v>
      </c>
      <c r="G1461" s="419" t="s">
        <v>8709</v>
      </c>
      <c r="H1461" s="419" t="s">
        <v>310</v>
      </c>
      <c r="I1461" s="415" t="s">
        <v>881</v>
      </c>
      <c r="J1461" s="419" t="s">
        <v>882</v>
      </c>
      <c r="K1461" s="419" t="s">
        <v>883</v>
      </c>
      <c r="L1461" s="415" t="s">
        <v>798</v>
      </c>
      <c r="M1461" s="419" t="s">
        <v>310</v>
      </c>
      <c r="N1461" s="413">
        <v>44901</v>
      </c>
      <c r="O1461" s="414" t="s">
        <v>400</v>
      </c>
      <c r="P1461" s="655">
        <f t="shared" si="88"/>
        <v>12</v>
      </c>
      <c r="Q1461" s="655">
        <f t="shared" si="89"/>
        <v>12</v>
      </c>
      <c r="R1461" s="758" t="str">
        <f t="shared" si="87"/>
        <v>Gastos_Gerais</v>
      </c>
      <c r="S1461" s="697" t="s">
        <v>310</v>
      </c>
      <c r="T1461" s="697" t="s">
        <v>310</v>
      </c>
    </row>
    <row r="1462" spans="1:20" ht="24" x14ac:dyDescent="0.2">
      <c r="A1462" s="432">
        <f>IF(B1462="","",COUNT('Diário 1º PA'!$A$4:$A$2635)+COUNT('Diário 2º PA'!$A$4:$A$3040)+COUNT('Diário 3º PA'!$A$4:$A$2731)+ROW()-3)</f>
        <v>7487</v>
      </c>
      <c r="B1462" s="413">
        <v>44901</v>
      </c>
      <c r="C1462" s="421">
        <v>44896</v>
      </c>
      <c r="D1462" s="419" t="s">
        <v>271</v>
      </c>
      <c r="E1462" s="419" t="s">
        <v>71</v>
      </c>
      <c r="F1462" s="422">
        <v>11</v>
      </c>
      <c r="G1462" s="419" t="s">
        <v>8709</v>
      </c>
      <c r="H1462" s="419" t="s">
        <v>310</v>
      </c>
      <c r="I1462" s="415" t="s">
        <v>881</v>
      </c>
      <c r="J1462" s="419" t="s">
        <v>882</v>
      </c>
      <c r="K1462" s="419" t="s">
        <v>883</v>
      </c>
      <c r="L1462" s="415" t="s">
        <v>798</v>
      </c>
      <c r="M1462" s="419" t="s">
        <v>310</v>
      </c>
      <c r="N1462" s="413">
        <v>44901</v>
      </c>
      <c r="O1462" s="414" t="s">
        <v>400</v>
      </c>
      <c r="P1462" s="655">
        <f t="shared" si="88"/>
        <v>12</v>
      </c>
      <c r="Q1462" s="655">
        <f t="shared" si="89"/>
        <v>12</v>
      </c>
      <c r="R1462" s="758" t="str">
        <f t="shared" ref="R1462:R1525" si="90">SUBSTITUTE(D1462," ","_")</f>
        <v>Gastos_Gerais</v>
      </c>
      <c r="S1462" s="697" t="s">
        <v>310</v>
      </c>
      <c r="T1462" s="697" t="s">
        <v>310</v>
      </c>
    </row>
    <row r="1463" spans="1:20" ht="24" x14ac:dyDescent="0.2">
      <c r="A1463" s="432">
        <f>IF(B1463="","",COUNT('Diário 1º PA'!$A$4:$A$2635)+COUNT('Diário 2º PA'!$A$4:$A$3040)+COUNT('Diário 3º PA'!$A$4:$A$2731)+ROW()-3)</f>
        <v>7488</v>
      </c>
      <c r="B1463" s="413">
        <v>44901</v>
      </c>
      <c r="C1463" s="421">
        <v>44896</v>
      </c>
      <c r="D1463" s="419" t="s">
        <v>271</v>
      </c>
      <c r="E1463" s="419" t="s">
        <v>71</v>
      </c>
      <c r="F1463" s="422">
        <v>11</v>
      </c>
      <c r="G1463" s="419" t="s">
        <v>8709</v>
      </c>
      <c r="H1463" s="419" t="s">
        <v>310</v>
      </c>
      <c r="I1463" s="415" t="s">
        <v>881</v>
      </c>
      <c r="J1463" s="419" t="s">
        <v>882</v>
      </c>
      <c r="K1463" s="419" t="s">
        <v>883</v>
      </c>
      <c r="L1463" s="415" t="s">
        <v>798</v>
      </c>
      <c r="M1463" s="419" t="s">
        <v>310</v>
      </c>
      <c r="N1463" s="413">
        <v>44901</v>
      </c>
      <c r="O1463" s="414" t="s">
        <v>400</v>
      </c>
      <c r="P1463" s="655">
        <f t="shared" si="88"/>
        <v>12</v>
      </c>
      <c r="Q1463" s="655">
        <f t="shared" si="89"/>
        <v>12</v>
      </c>
      <c r="R1463" s="758" t="str">
        <f t="shared" si="90"/>
        <v>Gastos_Gerais</v>
      </c>
      <c r="S1463" s="697" t="s">
        <v>310</v>
      </c>
      <c r="T1463" s="697" t="s">
        <v>310</v>
      </c>
    </row>
    <row r="1464" spans="1:20" ht="24" x14ac:dyDescent="0.2">
      <c r="A1464" s="432">
        <f>IF(B1464="","",COUNT('Diário 1º PA'!$A$4:$A$2635)+COUNT('Diário 2º PA'!$A$4:$A$3040)+COUNT('Diário 3º PA'!$A$4:$A$2731)+ROW()-3)</f>
        <v>7489</v>
      </c>
      <c r="B1464" s="413">
        <v>44901</v>
      </c>
      <c r="C1464" s="421">
        <v>44896</v>
      </c>
      <c r="D1464" s="419" t="s">
        <v>271</v>
      </c>
      <c r="E1464" s="419" t="s">
        <v>71</v>
      </c>
      <c r="F1464" s="422">
        <v>11</v>
      </c>
      <c r="G1464" s="419" t="s">
        <v>8709</v>
      </c>
      <c r="H1464" s="419" t="s">
        <v>310</v>
      </c>
      <c r="I1464" s="415" t="s">
        <v>881</v>
      </c>
      <c r="J1464" s="419" t="s">
        <v>882</v>
      </c>
      <c r="K1464" s="419" t="s">
        <v>883</v>
      </c>
      <c r="L1464" s="415" t="s">
        <v>798</v>
      </c>
      <c r="M1464" s="419" t="s">
        <v>310</v>
      </c>
      <c r="N1464" s="413">
        <v>44901</v>
      </c>
      <c r="O1464" s="414" t="s">
        <v>400</v>
      </c>
      <c r="P1464" s="655">
        <f t="shared" si="88"/>
        <v>12</v>
      </c>
      <c r="Q1464" s="655">
        <f t="shared" si="89"/>
        <v>12</v>
      </c>
      <c r="R1464" s="758" t="str">
        <f t="shared" si="90"/>
        <v>Gastos_Gerais</v>
      </c>
      <c r="S1464" s="697" t="s">
        <v>310</v>
      </c>
      <c r="T1464" s="697" t="s">
        <v>310</v>
      </c>
    </row>
    <row r="1465" spans="1:20" ht="24" x14ac:dyDescent="0.2">
      <c r="A1465" s="432">
        <f>IF(B1465="","",COUNT('Diário 1º PA'!$A$4:$A$2635)+COUNT('Diário 2º PA'!$A$4:$A$3040)+COUNT('Diário 3º PA'!$A$4:$A$2731)+ROW()-3)</f>
        <v>7490</v>
      </c>
      <c r="B1465" s="413">
        <v>44901</v>
      </c>
      <c r="C1465" s="421">
        <v>44896</v>
      </c>
      <c r="D1465" s="419" t="s">
        <v>271</v>
      </c>
      <c r="E1465" s="419" t="s">
        <v>71</v>
      </c>
      <c r="F1465" s="422">
        <v>11</v>
      </c>
      <c r="G1465" s="419" t="s">
        <v>8709</v>
      </c>
      <c r="H1465" s="419" t="s">
        <v>310</v>
      </c>
      <c r="I1465" s="415" t="s">
        <v>881</v>
      </c>
      <c r="J1465" s="419" t="s">
        <v>882</v>
      </c>
      <c r="K1465" s="419" t="s">
        <v>883</v>
      </c>
      <c r="L1465" s="415" t="s">
        <v>798</v>
      </c>
      <c r="M1465" s="419" t="s">
        <v>310</v>
      </c>
      <c r="N1465" s="413">
        <v>44901</v>
      </c>
      <c r="O1465" s="414" t="s">
        <v>400</v>
      </c>
      <c r="P1465" s="655">
        <f t="shared" si="88"/>
        <v>12</v>
      </c>
      <c r="Q1465" s="655">
        <f t="shared" si="89"/>
        <v>12</v>
      </c>
      <c r="R1465" s="758" t="str">
        <f t="shared" si="90"/>
        <v>Gastos_Gerais</v>
      </c>
      <c r="S1465" s="697" t="s">
        <v>310</v>
      </c>
      <c r="T1465" s="697" t="s">
        <v>310</v>
      </c>
    </row>
    <row r="1466" spans="1:20" ht="24" x14ac:dyDescent="0.2">
      <c r="A1466" s="432">
        <f>IF(B1466="","",COUNT('Diário 1º PA'!$A$4:$A$2635)+COUNT('Diário 2º PA'!$A$4:$A$3040)+COUNT('Diário 3º PA'!$A$4:$A$2731)+ROW()-3)</f>
        <v>7491</v>
      </c>
      <c r="B1466" s="413">
        <v>44901</v>
      </c>
      <c r="C1466" s="421">
        <v>44896</v>
      </c>
      <c r="D1466" s="419" t="s">
        <v>271</v>
      </c>
      <c r="E1466" s="419" t="s">
        <v>71</v>
      </c>
      <c r="F1466" s="422">
        <v>11</v>
      </c>
      <c r="G1466" s="419" t="s">
        <v>8709</v>
      </c>
      <c r="H1466" s="419" t="s">
        <v>310</v>
      </c>
      <c r="I1466" s="415" t="s">
        <v>881</v>
      </c>
      <c r="J1466" s="419" t="s">
        <v>882</v>
      </c>
      <c r="K1466" s="419" t="s">
        <v>883</v>
      </c>
      <c r="L1466" s="415" t="s">
        <v>798</v>
      </c>
      <c r="M1466" s="419" t="s">
        <v>310</v>
      </c>
      <c r="N1466" s="413">
        <v>44901</v>
      </c>
      <c r="O1466" s="414" t="s">
        <v>400</v>
      </c>
      <c r="P1466" s="655">
        <f t="shared" si="88"/>
        <v>12</v>
      </c>
      <c r="Q1466" s="655">
        <f t="shared" si="89"/>
        <v>12</v>
      </c>
      <c r="R1466" s="758" t="str">
        <f t="shared" si="90"/>
        <v>Gastos_Gerais</v>
      </c>
      <c r="S1466" s="697" t="s">
        <v>310</v>
      </c>
      <c r="T1466" s="697" t="s">
        <v>310</v>
      </c>
    </row>
    <row r="1467" spans="1:20" ht="24" x14ac:dyDescent="0.2">
      <c r="A1467" s="432">
        <f>IF(B1467="","",COUNT('Diário 1º PA'!$A$4:$A$2635)+COUNT('Diário 2º PA'!$A$4:$A$3040)+COUNT('Diário 3º PA'!$A$4:$A$2731)+ROW()-3)</f>
        <v>7492</v>
      </c>
      <c r="B1467" s="413">
        <v>44901</v>
      </c>
      <c r="C1467" s="421">
        <v>44896</v>
      </c>
      <c r="D1467" s="419" t="s">
        <v>271</v>
      </c>
      <c r="E1467" s="419" t="s">
        <v>71</v>
      </c>
      <c r="F1467" s="422">
        <v>11</v>
      </c>
      <c r="G1467" s="419" t="s">
        <v>8709</v>
      </c>
      <c r="H1467" s="419" t="s">
        <v>310</v>
      </c>
      <c r="I1467" s="415" t="s">
        <v>881</v>
      </c>
      <c r="J1467" s="419" t="s">
        <v>882</v>
      </c>
      <c r="K1467" s="419" t="s">
        <v>883</v>
      </c>
      <c r="L1467" s="415" t="s">
        <v>798</v>
      </c>
      <c r="M1467" s="419" t="s">
        <v>310</v>
      </c>
      <c r="N1467" s="413">
        <v>44901</v>
      </c>
      <c r="O1467" s="414" t="s">
        <v>400</v>
      </c>
      <c r="P1467" s="655">
        <f t="shared" si="88"/>
        <v>12</v>
      </c>
      <c r="Q1467" s="655">
        <f t="shared" si="89"/>
        <v>12</v>
      </c>
      <c r="R1467" s="758" t="str">
        <f t="shared" si="90"/>
        <v>Gastos_Gerais</v>
      </c>
      <c r="S1467" s="697" t="s">
        <v>310</v>
      </c>
      <c r="T1467" s="697" t="s">
        <v>310</v>
      </c>
    </row>
    <row r="1468" spans="1:20" ht="24" x14ac:dyDescent="0.2">
      <c r="A1468" s="432">
        <f>IF(B1468="","",COUNT('Diário 1º PA'!$A$4:$A$2635)+COUNT('Diário 2º PA'!$A$4:$A$3040)+COUNT('Diário 3º PA'!$A$4:$A$2731)+ROW()-3)</f>
        <v>7493</v>
      </c>
      <c r="B1468" s="413">
        <v>44901</v>
      </c>
      <c r="C1468" s="421">
        <v>44896</v>
      </c>
      <c r="D1468" s="419" t="s">
        <v>271</v>
      </c>
      <c r="E1468" s="419" t="s">
        <v>71</v>
      </c>
      <c r="F1468" s="422">
        <v>11</v>
      </c>
      <c r="G1468" s="419" t="s">
        <v>8709</v>
      </c>
      <c r="H1468" s="419" t="s">
        <v>310</v>
      </c>
      <c r="I1468" s="415" t="s">
        <v>881</v>
      </c>
      <c r="J1468" s="419" t="s">
        <v>882</v>
      </c>
      <c r="K1468" s="419" t="s">
        <v>883</v>
      </c>
      <c r="L1468" s="415" t="s">
        <v>798</v>
      </c>
      <c r="M1468" s="419" t="s">
        <v>310</v>
      </c>
      <c r="N1468" s="413">
        <v>44901</v>
      </c>
      <c r="O1468" s="414" t="s">
        <v>400</v>
      </c>
      <c r="P1468" s="655">
        <f t="shared" si="88"/>
        <v>12</v>
      </c>
      <c r="Q1468" s="655">
        <f t="shared" si="89"/>
        <v>12</v>
      </c>
      <c r="R1468" s="758" t="str">
        <f t="shared" si="90"/>
        <v>Gastos_Gerais</v>
      </c>
      <c r="S1468" s="697" t="s">
        <v>310</v>
      </c>
      <c r="T1468" s="697" t="s">
        <v>310</v>
      </c>
    </row>
    <row r="1469" spans="1:20" ht="24" x14ac:dyDescent="0.2">
      <c r="A1469" s="432">
        <f>IF(B1469="","",COUNT('Diário 1º PA'!$A$4:$A$2635)+COUNT('Diário 2º PA'!$A$4:$A$3040)+COUNT('Diário 3º PA'!$A$4:$A$2731)+ROW()-3)</f>
        <v>7494</v>
      </c>
      <c r="B1469" s="413">
        <v>44901</v>
      </c>
      <c r="C1469" s="421">
        <v>44896</v>
      </c>
      <c r="D1469" s="419" t="s">
        <v>271</v>
      </c>
      <c r="E1469" s="419" t="s">
        <v>71</v>
      </c>
      <c r="F1469" s="422">
        <v>11</v>
      </c>
      <c r="G1469" s="419" t="s">
        <v>8709</v>
      </c>
      <c r="H1469" s="419" t="s">
        <v>310</v>
      </c>
      <c r="I1469" s="415" t="s">
        <v>881</v>
      </c>
      <c r="J1469" s="419" t="s">
        <v>882</v>
      </c>
      <c r="K1469" s="419" t="s">
        <v>883</v>
      </c>
      <c r="L1469" s="415" t="s">
        <v>798</v>
      </c>
      <c r="M1469" s="419" t="s">
        <v>310</v>
      </c>
      <c r="N1469" s="413">
        <v>44901</v>
      </c>
      <c r="O1469" s="414" t="s">
        <v>400</v>
      </c>
      <c r="P1469" s="655">
        <f t="shared" si="88"/>
        <v>12</v>
      </c>
      <c r="Q1469" s="655">
        <f t="shared" si="89"/>
        <v>12</v>
      </c>
      <c r="R1469" s="758" t="str">
        <f t="shared" si="90"/>
        <v>Gastos_Gerais</v>
      </c>
      <c r="S1469" s="697" t="s">
        <v>310</v>
      </c>
      <c r="T1469" s="697" t="s">
        <v>310</v>
      </c>
    </row>
    <row r="1470" spans="1:20" ht="24" x14ac:dyDescent="0.2">
      <c r="A1470" s="432">
        <f>IF(B1470="","",COUNT('Diário 1º PA'!$A$4:$A$2635)+COUNT('Diário 2º PA'!$A$4:$A$3040)+COUNT('Diário 3º PA'!$A$4:$A$2731)+ROW()-3)</f>
        <v>7495</v>
      </c>
      <c r="B1470" s="413">
        <v>44901</v>
      </c>
      <c r="C1470" s="421">
        <v>44896</v>
      </c>
      <c r="D1470" s="419" t="s">
        <v>271</v>
      </c>
      <c r="E1470" s="419" t="s">
        <v>71</v>
      </c>
      <c r="F1470" s="422">
        <v>11</v>
      </c>
      <c r="G1470" s="419" t="s">
        <v>8709</v>
      </c>
      <c r="H1470" s="419" t="s">
        <v>310</v>
      </c>
      <c r="I1470" s="415" t="s">
        <v>881</v>
      </c>
      <c r="J1470" s="419" t="s">
        <v>882</v>
      </c>
      <c r="K1470" s="419" t="s">
        <v>883</v>
      </c>
      <c r="L1470" s="415" t="s">
        <v>798</v>
      </c>
      <c r="M1470" s="419" t="s">
        <v>310</v>
      </c>
      <c r="N1470" s="413">
        <v>44901</v>
      </c>
      <c r="O1470" s="414" t="s">
        <v>400</v>
      </c>
      <c r="P1470" s="655">
        <f t="shared" si="88"/>
        <v>12</v>
      </c>
      <c r="Q1470" s="655">
        <f t="shared" si="89"/>
        <v>12</v>
      </c>
      <c r="R1470" s="758" t="str">
        <f t="shared" si="90"/>
        <v>Gastos_Gerais</v>
      </c>
      <c r="S1470" s="697" t="s">
        <v>310</v>
      </c>
      <c r="T1470" s="697" t="s">
        <v>310</v>
      </c>
    </row>
    <row r="1471" spans="1:20" ht="24" x14ac:dyDescent="0.2">
      <c r="A1471" s="432">
        <f>IF(B1471="","",COUNT('Diário 1º PA'!$A$4:$A$2635)+COUNT('Diário 2º PA'!$A$4:$A$3040)+COUNT('Diário 3º PA'!$A$4:$A$2731)+ROW()-3)</f>
        <v>7496</v>
      </c>
      <c r="B1471" s="413">
        <v>44901</v>
      </c>
      <c r="C1471" s="421">
        <v>44896</v>
      </c>
      <c r="D1471" s="419" t="s">
        <v>271</v>
      </c>
      <c r="E1471" s="419" t="s">
        <v>71</v>
      </c>
      <c r="F1471" s="422">
        <v>11</v>
      </c>
      <c r="G1471" s="419" t="s">
        <v>8709</v>
      </c>
      <c r="H1471" s="419" t="s">
        <v>310</v>
      </c>
      <c r="I1471" s="415" t="s">
        <v>881</v>
      </c>
      <c r="J1471" s="419" t="s">
        <v>882</v>
      </c>
      <c r="K1471" s="419" t="s">
        <v>883</v>
      </c>
      <c r="L1471" s="415" t="s">
        <v>798</v>
      </c>
      <c r="M1471" s="419" t="s">
        <v>310</v>
      </c>
      <c r="N1471" s="413">
        <v>44901</v>
      </c>
      <c r="O1471" s="414" t="s">
        <v>400</v>
      </c>
      <c r="P1471" s="655">
        <f t="shared" si="88"/>
        <v>12</v>
      </c>
      <c r="Q1471" s="655">
        <f t="shared" si="89"/>
        <v>12</v>
      </c>
      <c r="R1471" s="758" t="str">
        <f t="shared" si="90"/>
        <v>Gastos_Gerais</v>
      </c>
      <c r="S1471" s="697" t="s">
        <v>310</v>
      </c>
      <c r="T1471" s="697" t="s">
        <v>310</v>
      </c>
    </row>
    <row r="1472" spans="1:20" ht="24" x14ac:dyDescent="0.2">
      <c r="A1472" s="432">
        <f>IF(B1472="","",COUNT('Diário 1º PA'!$A$4:$A$2635)+COUNT('Diário 2º PA'!$A$4:$A$3040)+COUNT('Diário 3º PA'!$A$4:$A$2731)+ROW()-3)</f>
        <v>7497</v>
      </c>
      <c r="B1472" s="413">
        <v>44901</v>
      </c>
      <c r="C1472" s="421">
        <v>44896</v>
      </c>
      <c r="D1472" s="419" t="s">
        <v>271</v>
      </c>
      <c r="E1472" s="419" t="s">
        <v>71</v>
      </c>
      <c r="F1472" s="422">
        <v>11</v>
      </c>
      <c r="G1472" s="419" t="s">
        <v>8709</v>
      </c>
      <c r="H1472" s="419" t="s">
        <v>310</v>
      </c>
      <c r="I1472" s="415" t="s">
        <v>881</v>
      </c>
      <c r="J1472" s="419" t="s">
        <v>882</v>
      </c>
      <c r="K1472" s="419" t="s">
        <v>883</v>
      </c>
      <c r="L1472" s="415" t="s">
        <v>798</v>
      </c>
      <c r="M1472" s="419" t="s">
        <v>310</v>
      </c>
      <c r="N1472" s="413">
        <v>44901</v>
      </c>
      <c r="O1472" s="414" t="s">
        <v>400</v>
      </c>
      <c r="P1472" s="655">
        <f t="shared" si="88"/>
        <v>12</v>
      </c>
      <c r="Q1472" s="655">
        <f t="shared" si="89"/>
        <v>12</v>
      </c>
      <c r="R1472" s="758" t="str">
        <f t="shared" si="90"/>
        <v>Gastos_Gerais</v>
      </c>
      <c r="S1472" s="697" t="s">
        <v>310</v>
      </c>
      <c r="T1472" s="697" t="s">
        <v>310</v>
      </c>
    </row>
    <row r="1473" spans="1:20" ht="24" x14ac:dyDescent="0.2">
      <c r="A1473" s="432">
        <f>IF(B1473="","",COUNT('Diário 1º PA'!$A$4:$A$2635)+COUNT('Diário 2º PA'!$A$4:$A$3040)+COUNT('Diário 3º PA'!$A$4:$A$2731)+ROW()-3)</f>
        <v>7498</v>
      </c>
      <c r="B1473" s="413">
        <v>44901</v>
      </c>
      <c r="C1473" s="421">
        <v>44896</v>
      </c>
      <c r="D1473" s="419" t="s">
        <v>271</v>
      </c>
      <c r="E1473" s="419" t="s">
        <v>71</v>
      </c>
      <c r="F1473" s="422">
        <v>11</v>
      </c>
      <c r="G1473" s="419" t="s">
        <v>8709</v>
      </c>
      <c r="H1473" s="419" t="s">
        <v>310</v>
      </c>
      <c r="I1473" s="415" t="s">
        <v>881</v>
      </c>
      <c r="J1473" s="419" t="s">
        <v>882</v>
      </c>
      <c r="K1473" s="419" t="s">
        <v>883</v>
      </c>
      <c r="L1473" s="415" t="s">
        <v>798</v>
      </c>
      <c r="M1473" s="419" t="s">
        <v>310</v>
      </c>
      <c r="N1473" s="413">
        <v>44901</v>
      </c>
      <c r="O1473" s="414" t="s">
        <v>400</v>
      </c>
      <c r="P1473" s="655">
        <f t="shared" si="88"/>
        <v>12</v>
      </c>
      <c r="Q1473" s="655">
        <f t="shared" si="89"/>
        <v>12</v>
      </c>
      <c r="R1473" s="758" t="str">
        <f t="shared" si="90"/>
        <v>Gastos_Gerais</v>
      </c>
      <c r="S1473" s="697" t="s">
        <v>310</v>
      </c>
      <c r="T1473" s="697" t="s">
        <v>310</v>
      </c>
    </row>
    <row r="1474" spans="1:20" ht="24" x14ac:dyDescent="0.2">
      <c r="A1474" s="432">
        <f>IF(B1474="","",COUNT('Diário 1º PA'!$A$4:$A$2635)+COUNT('Diário 2º PA'!$A$4:$A$3040)+COUNT('Diário 3º PA'!$A$4:$A$2731)+ROW()-3)</f>
        <v>7499</v>
      </c>
      <c r="B1474" s="413">
        <v>44901</v>
      </c>
      <c r="C1474" s="421">
        <v>44896</v>
      </c>
      <c r="D1474" s="419" t="s">
        <v>271</v>
      </c>
      <c r="E1474" s="419" t="s">
        <v>71</v>
      </c>
      <c r="F1474" s="422">
        <v>11</v>
      </c>
      <c r="G1474" s="419" t="s">
        <v>8709</v>
      </c>
      <c r="H1474" s="419" t="s">
        <v>310</v>
      </c>
      <c r="I1474" s="415" t="s">
        <v>881</v>
      </c>
      <c r="J1474" s="419" t="s">
        <v>882</v>
      </c>
      <c r="K1474" s="419" t="s">
        <v>883</v>
      </c>
      <c r="L1474" s="415" t="s">
        <v>798</v>
      </c>
      <c r="M1474" s="419" t="s">
        <v>310</v>
      </c>
      <c r="N1474" s="413">
        <v>44901</v>
      </c>
      <c r="O1474" s="414" t="s">
        <v>400</v>
      </c>
      <c r="P1474" s="655">
        <f t="shared" si="88"/>
        <v>12</v>
      </c>
      <c r="Q1474" s="655">
        <f t="shared" si="89"/>
        <v>12</v>
      </c>
      <c r="R1474" s="758" t="str">
        <f t="shared" si="90"/>
        <v>Gastos_Gerais</v>
      </c>
      <c r="S1474" s="697" t="s">
        <v>310</v>
      </c>
      <c r="T1474" s="697" t="s">
        <v>310</v>
      </c>
    </row>
    <row r="1475" spans="1:20" ht="24" x14ac:dyDescent="0.2">
      <c r="A1475" s="432">
        <f>IF(B1475="","",COUNT('Diário 1º PA'!$A$4:$A$2635)+COUNT('Diário 2º PA'!$A$4:$A$3040)+COUNT('Diário 3º PA'!$A$4:$A$2731)+ROW()-3)</f>
        <v>7500</v>
      </c>
      <c r="B1475" s="413">
        <v>44901</v>
      </c>
      <c r="C1475" s="421">
        <v>44896</v>
      </c>
      <c r="D1475" s="419" t="s">
        <v>271</v>
      </c>
      <c r="E1475" s="419" t="s">
        <v>71</v>
      </c>
      <c r="F1475" s="422">
        <v>11</v>
      </c>
      <c r="G1475" s="419" t="s">
        <v>8709</v>
      </c>
      <c r="H1475" s="419" t="s">
        <v>310</v>
      </c>
      <c r="I1475" s="415" t="s">
        <v>881</v>
      </c>
      <c r="J1475" s="419" t="s">
        <v>882</v>
      </c>
      <c r="K1475" s="419" t="s">
        <v>883</v>
      </c>
      <c r="L1475" s="415" t="s">
        <v>798</v>
      </c>
      <c r="M1475" s="419" t="s">
        <v>310</v>
      </c>
      <c r="N1475" s="413">
        <v>44901</v>
      </c>
      <c r="O1475" s="414" t="s">
        <v>400</v>
      </c>
      <c r="P1475" s="655">
        <f t="shared" si="88"/>
        <v>12</v>
      </c>
      <c r="Q1475" s="655">
        <f t="shared" si="89"/>
        <v>12</v>
      </c>
      <c r="R1475" s="758" t="str">
        <f t="shared" si="90"/>
        <v>Gastos_Gerais</v>
      </c>
      <c r="S1475" s="697" t="s">
        <v>310</v>
      </c>
      <c r="T1475" s="697" t="s">
        <v>310</v>
      </c>
    </row>
    <row r="1476" spans="1:20" ht="24" x14ac:dyDescent="0.2">
      <c r="A1476" s="432">
        <f>IF(B1476="","",COUNT('Diário 1º PA'!$A$4:$A$2635)+COUNT('Diário 2º PA'!$A$4:$A$3040)+COUNT('Diário 3º PA'!$A$4:$A$2731)+ROW()-3)</f>
        <v>7501</v>
      </c>
      <c r="B1476" s="413">
        <v>44901</v>
      </c>
      <c r="C1476" s="421">
        <v>44896</v>
      </c>
      <c r="D1476" s="419" t="s">
        <v>271</v>
      </c>
      <c r="E1476" s="419" t="s">
        <v>71</v>
      </c>
      <c r="F1476" s="422">
        <v>11</v>
      </c>
      <c r="G1476" s="419" t="s">
        <v>8709</v>
      </c>
      <c r="H1476" s="419" t="s">
        <v>310</v>
      </c>
      <c r="I1476" s="415" t="s">
        <v>881</v>
      </c>
      <c r="J1476" s="419" t="s">
        <v>882</v>
      </c>
      <c r="K1476" s="419" t="s">
        <v>883</v>
      </c>
      <c r="L1476" s="415" t="s">
        <v>798</v>
      </c>
      <c r="M1476" s="419" t="s">
        <v>310</v>
      </c>
      <c r="N1476" s="413">
        <v>44901</v>
      </c>
      <c r="O1476" s="414" t="s">
        <v>400</v>
      </c>
      <c r="P1476" s="655">
        <f t="shared" si="88"/>
        <v>12</v>
      </c>
      <c r="Q1476" s="655">
        <f t="shared" si="89"/>
        <v>12</v>
      </c>
      <c r="R1476" s="758" t="str">
        <f t="shared" si="90"/>
        <v>Gastos_Gerais</v>
      </c>
      <c r="S1476" s="697" t="s">
        <v>310</v>
      </c>
      <c r="T1476" s="697" t="s">
        <v>310</v>
      </c>
    </row>
    <row r="1477" spans="1:20" ht="24" x14ac:dyDescent="0.2">
      <c r="A1477" s="432">
        <f>IF(B1477="","",COUNT('Diário 1º PA'!$A$4:$A$2635)+COUNT('Diário 2º PA'!$A$4:$A$3040)+COUNT('Diário 3º PA'!$A$4:$A$2731)+ROW()-3)</f>
        <v>7502</v>
      </c>
      <c r="B1477" s="413">
        <v>44901</v>
      </c>
      <c r="C1477" s="421">
        <v>44896</v>
      </c>
      <c r="D1477" s="419" t="s">
        <v>271</v>
      </c>
      <c r="E1477" s="419" t="s">
        <v>71</v>
      </c>
      <c r="F1477" s="422">
        <v>11</v>
      </c>
      <c r="G1477" s="419" t="s">
        <v>8709</v>
      </c>
      <c r="H1477" s="419" t="s">
        <v>310</v>
      </c>
      <c r="I1477" s="415" t="s">
        <v>881</v>
      </c>
      <c r="J1477" s="419" t="s">
        <v>882</v>
      </c>
      <c r="K1477" s="419" t="s">
        <v>883</v>
      </c>
      <c r="L1477" s="415" t="s">
        <v>798</v>
      </c>
      <c r="M1477" s="419" t="s">
        <v>310</v>
      </c>
      <c r="N1477" s="413">
        <v>44901</v>
      </c>
      <c r="O1477" s="414" t="s">
        <v>400</v>
      </c>
      <c r="P1477" s="655">
        <f t="shared" si="88"/>
        <v>12</v>
      </c>
      <c r="Q1477" s="655">
        <f t="shared" si="89"/>
        <v>12</v>
      </c>
      <c r="R1477" s="758" t="str">
        <f t="shared" si="90"/>
        <v>Gastos_Gerais</v>
      </c>
      <c r="S1477" s="697" t="s">
        <v>310</v>
      </c>
      <c r="T1477" s="697" t="s">
        <v>310</v>
      </c>
    </row>
    <row r="1478" spans="1:20" ht="24" x14ac:dyDescent="0.2">
      <c r="A1478" s="432">
        <f>IF(B1478="","",COUNT('Diário 1º PA'!$A$4:$A$2635)+COUNT('Diário 2º PA'!$A$4:$A$3040)+COUNT('Diário 3º PA'!$A$4:$A$2731)+ROW()-3)</f>
        <v>7503</v>
      </c>
      <c r="B1478" s="413">
        <v>44901</v>
      </c>
      <c r="C1478" s="421">
        <v>44896</v>
      </c>
      <c r="D1478" s="419" t="s">
        <v>271</v>
      </c>
      <c r="E1478" s="419" t="s">
        <v>71</v>
      </c>
      <c r="F1478" s="422">
        <v>11</v>
      </c>
      <c r="G1478" s="419" t="s">
        <v>8709</v>
      </c>
      <c r="H1478" s="419" t="s">
        <v>310</v>
      </c>
      <c r="I1478" s="415" t="s">
        <v>881</v>
      </c>
      <c r="J1478" s="419" t="s">
        <v>882</v>
      </c>
      <c r="K1478" s="419" t="s">
        <v>883</v>
      </c>
      <c r="L1478" s="415" t="s">
        <v>798</v>
      </c>
      <c r="M1478" s="419" t="s">
        <v>310</v>
      </c>
      <c r="N1478" s="413">
        <v>44901</v>
      </c>
      <c r="O1478" s="414" t="s">
        <v>400</v>
      </c>
      <c r="P1478" s="655">
        <f t="shared" si="88"/>
        <v>12</v>
      </c>
      <c r="Q1478" s="655">
        <f t="shared" si="89"/>
        <v>12</v>
      </c>
      <c r="R1478" s="758" t="str">
        <f t="shared" si="90"/>
        <v>Gastos_Gerais</v>
      </c>
      <c r="S1478" s="697" t="s">
        <v>310</v>
      </c>
      <c r="T1478" s="697" t="s">
        <v>310</v>
      </c>
    </row>
    <row r="1479" spans="1:20" ht="24" x14ac:dyDescent="0.2">
      <c r="A1479" s="432">
        <f>IF(B1479="","",COUNT('Diário 1º PA'!$A$4:$A$2635)+COUNT('Diário 2º PA'!$A$4:$A$3040)+COUNT('Diário 3º PA'!$A$4:$A$2731)+ROW()-3)</f>
        <v>7504</v>
      </c>
      <c r="B1479" s="413">
        <v>44901</v>
      </c>
      <c r="C1479" s="421">
        <v>44896</v>
      </c>
      <c r="D1479" s="419" t="s">
        <v>271</v>
      </c>
      <c r="E1479" s="419" t="s">
        <v>71</v>
      </c>
      <c r="F1479" s="422">
        <v>11</v>
      </c>
      <c r="G1479" s="419" t="s">
        <v>8709</v>
      </c>
      <c r="H1479" s="419" t="s">
        <v>310</v>
      </c>
      <c r="I1479" s="415" t="s">
        <v>881</v>
      </c>
      <c r="J1479" s="419" t="s">
        <v>882</v>
      </c>
      <c r="K1479" s="419" t="s">
        <v>883</v>
      </c>
      <c r="L1479" s="415" t="s">
        <v>798</v>
      </c>
      <c r="M1479" s="419" t="s">
        <v>310</v>
      </c>
      <c r="N1479" s="413">
        <v>44901</v>
      </c>
      <c r="O1479" s="414" t="s">
        <v>400</v>
      </c>
      <c r="P1479" s="655">
        <f t="shared" si="88"/>
        <v>12</v>
      </c>
      <c r="Q1479" s="655">
        <f t="shared" si="89"/>
        <v>12</v>
      </c>
      <c r="R1479" s="758" t="str">
        <f t="shared" si="90"/>
        <v>Gastos_Gerais</v>
      </c>
      <c r="S1479" s="697" t="s">
        <v>310</v>
      </c>
      <c r="T1479" s="697" t="s">
        <v>310</v>
      </c>
    </row>
    <row r="1480" spans="1:20" ht="24" x14ac:dyDescent="0.2">
      <c r="A1480" s="432">
        <f>IF(B1480="","",COUNT('Diário 1º PA'!$A$4:$A$2635)+COUNT('Diário 2º PA'!$A$4:$A$3040)+COUNT('Diário 3º PA'!$A$4:$A$2731)+ROW()-3)</f>
        <v>7505</v>
      </c>
      <c r="B1480" s="413">
        <v>44901</v>
      </c>
      <c r="C1480" s="421">
        <v>44896</v>
      </c>
      <c r="D1480" s="419" t="s">
        <v>271</v>
      </c>
      <c r="E1480" s="419" t="s">
        <v>71</v>
      </c>
      <c r="F1480" s="422">
        <v>11</v>
      </c>
      <c r="G1480" s="419" t="s">
        <v>8709</v>
      </c>
      <c r="H1480" s="419" t="s">
        <v>310</v>
      </c>
      <c r="I1480" s="415" t="s">
        <v>881</v>
      </c>
      <c r="J1480" s="419" t="s">
        <v>882</v>
      </c>
      <c r="K1480" s="419" t="s">
        <v>883</v>
      </c>
      <c r="L1480" s="415" t="s">
        <v>798</v>
      </c>
      <c r="M1480" s="419" t="s">
        <v>310</v>
      </c>
      <c r="N1480" s="413">
        <v>44901</v>
      </c>
      <c r="O1480" s="414" t="s">
        <v>400</v>
      </c>
      <c r="P1480" s="655">
        <f t="shared" si="88"/>
        <v>12</v>
      </c>
      <c r="Q1480" s="655">
        <f t="shared" si="89"/>
        <v>12</v>
      </c>
      <c r="R1480" s="758" t="str">
        <f t="shared" si="90"/>
        <v>Gastos_Gerais</v>
      </c>
      <c r="S1480" s="697" t="s">
        <v>310</v>
      </c>
      <c r="T1480" s="697" t="s">
        <v>310</v>
      </c>
    </row>
    <row r="1481" spans="1:20" ht="24" x14ac:dyDescent="0.2">
      <c r="A1481" s="432">
        <f>IF(B1481="","",COUNT('Diário 1º PA'!$A$4:$A$2635)+COUNT('Diário 2º PA'!$A$4:$A$3040)+COUNT('Diário 3º PA'!$A$4:$A$2731)+ROW()-3)</f>
        <v>7506</v>
      </c>
      <c r="B1481" s="413">
        <v>44901</v>
      </c>
      <c r="C1481" s="421">
        <v>44896</v>
      </c>
      <c r="D1481" s="419" t="s">
        <v>271</v>
      </c>
      <c r="E1481" s="419" t="s">
        <v>71</v>
      </c>
      <c r="F1481" s="422">
        <v>11</v>
      </c>
      <c r="G1481" s="419" t="s">
        <v>8709</v>
      </c>
      <c r="H1481" s="419" t="s">
        <v>310</v>
      </c>
      <c r="I1481" s="415" t="s">
        <v>881</v>
      </c>
      <c r="J1481" s="419" t="s">
        <v>882</v>
      </c>
      <c r="K1481" s="419" t="s">
        <v>883</v>
      </c>
      <c r="L1481" s="415" t="s">
        <v>798</v>
      </c>
      <c r="M1481" s="419" t="s">
        <v>310</v>
      </c>
      <c r="N1481" s="413">
        <v>44901</v>
      </c>
      <c r="O1481" s="414" t="s">
        <v>400</v>
      </c>
      <c r="P1481" s="655">
        <f t="shared" si="88"/>
        <v>12</v>
      </c>
      <c r="Q1481" s="655">
        <f t="shared" si="89"/>
        <v>12</v>
      </c>
      <c r="R1481" s="758" t="str">
        <f t="shared" si="90"/>
        <v>Gastos_Gerais</v>
      </c>
      <c r="S1481" s="697" t="s">
        <v>310</v>
      </c>
      <c r="T1481" s="697" t="s">
        <v>310</v>
      </c>
    </row>
    <row r="1482" spans="1:20" ht="24" x14ac:dyDescent="0.2">
      <c r="A1482" s="432">
        <f>IF(B1482="","",COUNT('Diário 1º PA'!$A$4:$A$2635)+COUNT('Diário 2º PA'!$A$4:$A$3040)+COUNT('Diário 3º PA'!$A$4:$A$2731)+ROW()-3)</f>
        <v>7507</v>
      </c>
      <c r="B1482" s="413">
        <v>44901</v>
      </c>
      <c r="C1482" s="421">
        <v>44896</v>
      </c>
      <c r="D1482" s="419" t="s">
        <v>271</v>
      </c>
      <c r="E1482" s="419" t="s">
        <v>71</v>
      </c>
      <c r="F1482" s="422">
        <v>11</v>
      </c>
      <c r="G1482" s="419" t="s">
        <v>8709</v>
      </c>
      <c r="H1482" s="419" t="s">
        <v>310</v>
      </c>
      <c r="I1482" s="415" t="s">
        <v>881</v>
      </c>
      <c r="J1482" s="419" t="s">
        <v>882</v>
      </c>
      <c r="K1482" s="419" t="s">
        <v>883</v>
      </c>
      <c r="L1482" s="415" t="s">
        <v>798</v>
      </c>
      <c r="M1482" s="419" t="s">
        <v>310</v>
      </c>
      <c r="N1482" s="413">
        <v>44901</v>
      </c>
      <c r="O1482" s="414" t="s">
        <v>400</v>
      </c>
      <c r="P1482" s="655">
        <f t="shared" si="88"/>
        <v>12</v>
      </c>
      <c r="Q1482" s="655">
        <f t="shared" si="89"/>
        <v>12</v>
      </c>
      <c r="R1482" s="758" t="str">
        <f t="shared" si="90"/>
        <v>Gastos_Gerais</v>
      </c>
      <c r="S1482" s="697" t="s">
        <v>310</v>
      </c>
      <c r="T1482" s="697" t="s">
        <v>310</v>
      </c>
    </row>
    <row r="1483" spans="1:20" ht="24" x14ac:dyDescent="0.2">
      <c r="A1483" s="432">
        <f>IF(B1483="","",COUNT('Diário 1º PA'!$A$4:$A$2635)+COUNT('Diário 2º PA'!$A$4:$A$3040)+COUNT('Diário 3º PA'!$A$4:$A$2731)+ROW()-3)</f>
        <v>7508</v>
      </c>
      <c r="B1483" s="413">
        <v>44901</v>
      </c>
      <c r="C1483" s="421">
        <v>44896</v>
      </c>
      <c r="D1483" s="419" t="s">
        <v>271</v>
      </c>
      <c r="E1483" s="419" t="s">
        <v>71</v>
      </c>
      <c r="F1483" s="422">
        <v>11</v>
      </c>
      <c r="G1483" s="419" t="s">
        <v>8709</v>
      </c>
      <c r="H1483" s="419" t="s">
        <v>310</v>
      </c>
      <c r="I1483" s="415" t="s">
        <v>881</v>
      </c>
      <c r="J1483" s="419" t="s">
        <v>882</v>
      </c>
      <c r="K1483" s="419" t="s">
        <v>883</v>
      </c>
      <c r="L1483" s="415" t="s">
        <v>798</v>
      </c>
      <c r="M1483" s="419" t="s">
        <v>310</v>
      </c>
      <c r="N1483" s="413">
        <v>44901</v>
      </c>
      <c r="O1483" s="414" t="s">
        <v>400</v>
      </c>
      <c r="P1483" s="655">
        <f t="shared" si="88"/>
        <v>12</v>
      </c>
      <c r="Q1483" s="655">
        <f t="shared" si="89"/>
        <v>12</v>
      </c>
      <c r="R1483" s="758" t="str">
        <f t="shared" si="90"/>
        <v>Gastos_Gerais</v>
      </c>
      <c r="S1483" s="697" t="s">
        <v>310</v>
      </c>
      <c r="T1483" s="697" t="s">
        <v>310</v>
      </c>
    </row>
    <row r="1484" spans="1:20" ht="24" x14ac:dyDescent="0.2">
      <c r="A1484" s="432">
        <f>IF(B1484="","",COUNT('Diário 1º PA'!$A$4:$A$2635)+COUNT('Diário 2º PA'!$A$4:$A$3040)+COUNT('Diário 3º PA'!$A$4:$A$2731)+ROW()-3)</f>
        <v>7509</v>
      </c>
      <c r="B1484" s="413">
        <v>44901</v>
      </c>
      <c r="C1484" s="421">
        <v>44896</v>
      </c>
      <c r="D1484" s="419" t="s">
        <v>271</v>
      </c>
      <c r="E1484" s="419" t="s">
        <v>71</v>
      </c>
      <c r="F1484" s="422">
        <v>11</v>
      </c>
      <c r="G1484" s="419" t="s">
        <v>8709</v>
      </c>
      <c r="H1484" s="419" t="s">
        <v>310</v>
      </c>
      <c r="I1484" s="415" t="s">
        <v>881</v>
      </c>
      <c r="J1484" s="419" t="s">
        <v>882</v>
      </c>
      <c r="K1484" s="419" t="s">
        <v>883</v>
      </c>
      <c r="L1484" s="415" t="s">
        <v>798</v>
      </c>
      <c r="M1484" s="419" t="s">
        <v>310</v>
      </c>
      <c r="N1484" s="413">
        <v>44901</v>
      </c>
      <c r="O1484" s="414" t="s">
        <v>400</v>
      </c>
      <c r="P1484" s="655">
        <f t="shared" si="88"/>
        <v>12</v>
      </c>
      <c r="Q1484" s="655">
        <f t="shared" si="89"/>
        <v>12</v>
      </c>
      <c r="R1484" s="758" t="str">
        <f t="shared" si="90"/>
        <v>Gastos_Gerais</v>
      </c>
      <c r="S1484" s="697" t="s">
        <v>310</v>
      </c>
      <c r="T1484" s="697" t="s">
        <v>310</v>
      </c>
    </row>
    <row r="1485" spans="1:20" ht="24" x14ac:dyDescent="0.2">
      <c r="A1485" s="432">
        <f>IF(B1485="","",COUNT('Diário 1º PA'!$A$4:$A$2635)+COUNT('Diário 2º PA'!$A$4:$A$3040)+COUNT('Diário 3º PA'!$A$4:$A$2731)+ROW()-3)</f>
        <v>7510</v>
      </c>
      <c r="B1485" s="413">
        <v>44901</v>
      </c>
      <c r="C1485" s="421">
        <v>44896</v>
      </c>
      <c r="D1485" s="419" t="s">
        <v>271</v>
      </c>
      <c r="E1485" s="419" t="s">
        <v>71</v>
      </c>
      <c r="F1485" s="422">
        <v>11</v>
      </c>
      <c r="G1485" s="419" t="s">
        <v>8709</v>
      </c>
      <c r="H1485" s="419" t="s">
        <v>310</v>
      </c>
      <c r="I1485" s="415" t="s">
        <v>881</v>
      </c>
      <c r="J1485" s="419" t="s">
        <v>882</v>
      </c>
      <c r="K1485" s="419" t="s">
        <v>883</v>
      </c>
      <c r="L1485" s="415" t="s">
        <v>798</v>
      </c>
      <c r="M1485" s="419" t="s">
        <v>310</v>
      </c>
      <c r="N1485" s="413">
        <v>44901</v>
      </c>
      <c r="O1485" s="414" t="s">
        <v>400</v>
      </c>
      <c r="P1485" s="655">
        <f t="shared" si="88"/>
        <v>12</v>
      </c>
      <c r="Q1485" s="655">
        <f t="shared" si="89"/>
        <v>12</v>
      </c>
      <c r="R1485" s="758" t="str">
        <f t="shared" si="90"/>
        <v>Gastos_Gerais</v>
      </c>
      <c r="S1485" s="697" t="s">
        <v>310</v>
      </c>
      <c r="T1485" s="697" t="s">
        <v>310</v>
      </c>
    </row>
    <row r="1486" spans="1:20" ht="24" x14ac:dyDescent="0.2">
      <c r="A1486" s="432">
        <f>IF(B1486="","",COUNT('Diário 1º PA'!$A$4:$A$2635)+COUNT('Diário 2º PA'!$A$4:$A$3040)+COUNT('Diário 3º PA'!$A$4:$A$2731)+ROW()-3)</f>
        <v>7511</v>
      </c>
      <c r="B1486" s="413">
        <v>44901</v>
      </c>
      <c r="C1486" s="421">
        <v>44896</v>
      </c>
      <c r="D1486" s="419" t="s">
        <v>271</v>
      </c>
      <c r="E1486" s="419" t="s">
        <v>71</v>
      </c>
      <c r="F1486" s="422">
        <v>11</v>
      </c>
      <c r="G1486" s="419" t="s">
        <v>8709</v>
      </c>
      <c r="H1486" s="419" t="s">
        <v>310</v>
      </c>
      <c r="I1486" s="415" t="s">
        <v>881</v>
      </c>
      <c r="J1486" s="419" t="s">
        <v>882</v>
      </c>
      <c r="K1486" s="419" t="s">
        <v>883</v>
      </c>
      <c r="L1486" s="415" t="s">
        <v>798</v>
      </c>
      <c r="M1486" s="419" t="s">
        <v>310</v>
      </c>
      <c r="N1486" s="413">
        <v>44901</v>
      </c>
      <c r="O1486" s="414" t="s">
        <v>400</v>
      </c>
      <c r="P1486" s="655">
        <f t="shared" si="88"/>
        <v>12</v>
      </c>
      <c r="Q1486" s="655">
        <f t="shared" si="89"/>
        <v>12</v>
      </c>
      <c r="R1486" s="758" t="str">
        <f t="shared" si="90"/>
        <v>Gastos_Gerais</v>
      </c>
      <c r="S1486" s="697" t="s">
        <v>310</v>
      </c>
      <c r="T1486" s="697" t="s">
        <v>310</v>
      </c>
    </row>
    <row r="1487" spans="1:20" ht="24" x14ac:dyDescent="0.2">
      <c r="A1487" s="432">
        <f>IF(B1487="","",COUNT('Diário 1º PA'!$A$4:$A$2635)+COUNT('Diário 2º PA'!$A$4:$A$3040)+COUNT('Diário 3º PA'!$A$4:$A$2731)+ROW()-3)</f>
        <v>7512</v>
      </c>
      <c r="B1487" s="413">
        <v>44901</v>
      </c>
      <c r="C1487" s="421">
        <v>44896</v>
      </c>
      <c r="D1487" s="419" t="s">
        <v>271</v>
      </c>
      <c r="E1487" s="419" t="s">
        <v>71</v>
      </c>
      <c r="F1487" s="422">
        <v>11</v>
      </c>
      <c r="G1487" s="419" t="s">
        <v>8709</v>
      </c>
      <c r="H1487" s="419" t="s">
        <v>310</v>
      </c>
      <c r="I1487" s="415" t="s">
        <v>881</v>
      </c>
      <c r="J1487" s="419" t="s">
        <v>882</v>
      </c>
      <c r="K1487" s="419" t="s">
        <v>883</v>
      </c>
      <c r="L1487" s="415" t="s">
        <v>798</v>
      </c>
      <c r="M1487" s="419" t="s">
        <v>310</v>
      </c>
      <c r="N1487" s="413">
        <v>44901</v>
      </c>
      <c r="O1487" s="414" t="s">
        <v>400</v>
      </c>
      <c r="P1487" s="655">
        <f t="shared" si="88"/>
        <v>12</v>
      </c>
      <c r="Q1487" s="655">
        <f t="shared" si="89"/>
        <v>12</v>
      </c>
      <c r="R1487" s="758" t="str">
        <f t="shared" si="90"/>
        <v>Gastos_Gerais</v>
      </c>
      <c r="S1487" s="697" t="s">
        <v>310</v>
      </c>
      <c r="T1487" s="697" t="s">
        <v>310</v>
      </c>
    </row>
    <row r="1488" spans="1:20" ht="24" x14ac:dyDescent="0.2">
      <c r="A1488" s="432">
        <f>IF(B1488="","",COUNT('Diário 1º PA'!$A$4:$A$2635)+COUNT('Diário 2º PA'!$A$4:$A$3040)+COUNT('Diário 3º PA'!$A$4:$A$2731)+ROW()-3)</f>
        <v>7513</v>
      </c>
      <c r="B1488" s="413">
        <v>44901</v>
      </c>
      <c r="C1488" s="421">
        <v>44896</v>
      </c>
      <c r="D1488" s="419" t="s">
        <v>271</v>
      </c>
      <c r="E1488" s="419" t="s">
        <v>71</v>
      </c>
      <c r="F1488" s="422">
        <v>11</v>
      </c>
      <c r="G1488" s="419" t="s">
        <v>8709</v>
      </c>
      <c r="H1488" s="419" t="s">
        <v>310</v>
      </c>
      <c r="I1488" s="415" t="s">
        <v>881</v>
      </c>
      <c r="J1488" s="419" t="s">
        <v>882</v>
      </c>
      <c r="K1488" s="419" t="s">
        <v>883</v>
      </c>
      <c r="L1488" s="415" t="s">
        <v>798</v>
      </c>
      <c r="M1488" s="419" t="s">
        <v>310</v>
      </c>
      <c r="N1488" s="413">
        <v>44901</v>
      </c>
      <c r="O1488" s="414" t="s">
        <v>400</v>
      </c>
      <c r="P1488" s="655">
        <f t="shared" si="88"/>
        <v>12</v>
      </c>
      <c r="Q1488" s="655">
        <f t="shared" si="89"/>
        <v>12</v>
      </c>
      <c r="R1488" s="758" t="str">
        <f t="shared" si="90"/>
        <v>Gastos_Gerais</v>
      </c>
      <c r="S1488" s="697" t="s">
        <v>310</v>
      </c>
      <c r="T1488" s="697" t="s">
        <v>310</v>
      </c>
    </row>
    <row r="1489" spans="1:20" ht="24" x14ac:dyDescent="0.2">
      <c r="A1489" s="432">
        <f>IF(B1489="","",COUNT('Diário 1º PA'!$A$4:$A$2635)+COUNT('Diário 2º PA'!$A$4:$A$3040)+COUNT('Diário 3º PA'!$A$4:$A$2731)+ROW()-3)</f>
        <v>7514</v>
      </c>
      <c r="B1489" s="413">
        <v>44901</v>
      </c>
      <c r="C1489" s="421">
        <v>44896</v>
      </c>
      <c r="D1489" s="419" t="s">
        <v>271</v>
      </c>
      <c r="E1489" s="419" t="s">
        <v>71</v>
      </c>
      <c r="F1489" s="422">
        <v>11</v>
      </c>
      <c r="G1489" s="419" t="s">
        <v>8709</v>
      </c>
      <c r="H1489" s="419" t="s">
        <v>310</v>
      </c>
      <c r="I1489" s="415" t="s">
        <v>881</v>
      </c>
      <c r="J1489" s="419" t="s">
        <v>882</v>
      </c>
      <c r="K1489" s="419" t="s">
        <v>883</v>
      </c>
      <c r="L1489" s="415" t="s">
        <v>798</v>
      </c>
      <c r="M1489" s="419" t="s">
        <v>310</v>
      </c>
      <c r="N1489" s="413">
        <v>44901</v>
      </c>
      <c r="O1489" s="414" t="s">
        <v>400</v>
      </c>
      <c r="P1489" s="655">
        <f t="shared" si="88"/>
        <v>12</v>
      </c>
      <c r="Q1489" s="655">
        <f t="shared" si="89"/>
        <v>12</v>
      </c>
      <c r="R1489" s="758" t="str">
        <f t="shared" si="90"/>
        <v>Gastos_Gerais</v>
      </c>
      <c r="S1489" s="697" t="s">
        <v>310</v>
      </c>
      <c r="T1489" s="697" t="s">
        <v>310</v>
      </c>
    </row>
    <row r="1490" spans="1:20" ht="24" x14ac:dyDescent="0.2">
      <c r="A1490" s="432">
        <f>IF(B1490="","",COUNT('Diário 1º PA'!$A$4:$A$2635)+COUNT('Diário 2º PA'!$A$4:$A$3040)+COUNT('Diário 3º PA'!$A$4:$A$2731)+ROW()-3)</f>
        <v>7515</v>
      </c>
      <c r="B1490" s="413">
        <v>44901</v>
      </c>
      <c r="C1490" s="421">
        <v>44896</v>
      </c>
      <c r="D1490" s="419" t="s">
        <v>271</v>
      </c>
      <c r="E1490" s="419" t="s">
        <v>71</v>
      </c>
      <c r="F1490" s="422">
        <v>11</v>
      </c>
      <c r="G1490" s="419" t="s">
        <v>8709</v>
      </c>
      <c r="H1490" s="419" t="s">
        <v>310</v>
      </c>
      <c r="I1490" s="415" t="s">
        <v>881</v>
      </c>
      <c r="J1490" s="419" t="s">
        <v>882</v>
      </c>
      <c r="K1490" s="419" t="s">
        <v>883</v>
      </c>
      <c r="L1490" s="415" t="s">
        <v>798</v>
      </c>
      <c r="M1490" s="419" t="s">
        <v>310</v>
      </c>
      <c r="N1490" s="413">
        <v>44901</v>
      </c>
      <c r="O1490" s="414" t="s">
        <v>400</v>
      </c>
      <c r="P1490" s="655">
        <f t="shared" si="88"/>
        <v>12</v>
      </c>
      <c r="Q1490" s="655">
        <f t="shared" si="89"/>
        <v>12</v>
      </c>
      <c r="R1490" s="758" t="str">
        <f t="shared" si="90"/>
        <v>Gastos_Gerais</v>
      </c>
      <c r="S1490" s="697" t="s">
        <v>310</v>
      </c>
      <c r="T1490" s="697" t="s">
        <v>310</v>
      </c>
    </row>
    <row r="1491" spans="1:20" ht="24" x14ac:dyDescent="0.2">
      <c r="A1491" s="432">
        <f>IF(B1491="","",COUNT('Diário 1º PA'!$A$4:$A$2635)+COUNT('Diário 2º PA'!$A$4:$A$3040)+COUNT('Diário 3º PA'!$A$4:$A$2731)+ROW()-3)</f>
        <v>7516</v>
      </c>
      <c r="B1491" s="413">
        <v>44901</v>
      </c>
      <c r="C1491" s="421">
        <v>44896</v>
      </c>
      <c r="D1491" s="419" t="s">
        <v>271</v>
      </c>
      <c r="E1491" s="419" t="s">
        <v>71</v>
      </c>
      <c r="F1491" s="422">
        <v>11</v>
      </c>
      <c r="G1491" s="419" t="s">
        <v>8709</v>
      </c>
      <c r="H1491" s="419" t="s">
        <v>310</v>
      </c>
      <c r="I1491" s="415" t="s">
        <v>881</v>
      </c>
      <c r="J1491" s="419" t="s">
        <v>882</v>
      </c>
      <c r="K1491" s="419" t="s">
        <v>883</v>
      </c>
      <c r="L1491" s="415" t="s">
        <v>798</v>
      </c>
      <c r="M1491" s="419" t="s">
        <v>310</v>
      </c>
      <c r="N1491" s="413">
        <v>44901</v>
      </c>
      <c r="O1491" s="414" t="s">
        <v>400</v>
      </c>
      <c r="P1491" s="655">
        <f t="shared" si="88"/>
        <v>12</v>
      </c>
      <c r="Q1491" s="655">
        <f t="shared" si="89"/>
        <v>12</v>
      </c>
      <c r="R1491" s="758" t="str">
        <f t="shared" si="90"/>
        <v>Gastos_Gerais</v>
      </c>
      <c r="S1491" s="697" t="s">
        <v>310</v>
      </c>
      <c r="T1491" s="697" t="s">
        <v>310</v>
      </c>
    </row>
    <row r="1492" spans="1:20" ht="24" x14ac:dyDescent="0.2">
      <c r="A1492" s="432">
        <f>IF(B1492="","",COUNT('Diário 1º PA'!$A$4:$A$2635)+COUNT('Diário 2º PA'!$A$4:$A$3040)+COUNT('Diário 3º PA'!$A$4:$A$2731)+ROW()-3)</f>
        <v>7517</v>
      </c>
      <c r="B1492" s="413">
        <v>44901</v>
      </c>
      <c r="C1492" s="421">
        <v>44896</v>
      </c>
      <c r="D1492" s="419" t="s">
        <v>271</v>
      </c>
      <c r="E1492" s="419" t="s">
        <v>71</v>
      </c>
      <c r="F1492" s="422">
        <v>11</v>
      </c>
      <c r="G1492" s="419" t="s">
        <v>8709</v>
      </c>
      <c r="H1492" s="419" t="s">
        <v>310</v>
      </c>
      <c r="I1492" s="415" t="s">
        <v>881</v>
      </c>
      <c r="J1492" s="419" t="s">
        <v>882</v>
      </c>
      <c r="K1492" s="419" t="s">
        <v>883</v>
      </c>
      <c r="L1492" s="415" t="s">
        <v>798</v>
      </c>
      <c r="M1492" s="419" t="s">
        <v>310</v>
      </c>
      <c r="N1492" s="413">
        <v>44901</v>
      </c>
      <c r="O1492" s="414" t="s">
        <v>400</v>
      </c>
      <c r="P1492" s="655">
        <f t="shared" si="88"/>
        <v>12</v>
      </c>
      <c r="Q1492" s="655">
        <f t="shared" si="89"/>
        <v>12</v>
      </c>
      <c r="R1492" s="758" t="str">
        <f t="shared" si="90"/>
        <v>Gastos_Gerais</v>
      </c>
      <c r="S1492" s="697" t="s">
        <v>310</v>
      </c>
      <c r="T1492" s="697" t="s">
        <v>310</v>
      </c>
    </row>
    <row r="1493" spans="1:20" ht="24" x14ac:dyDescent="0.2">
      <c r="A1493" s="432">
        <f>IF(B1493="","",COUNT('Diário 1º PA'!$A$4:$A$2635)+COUNT('Diário 2º PA'!$A$4:$A$3040)+COUNT('Diário 3º PA'!$A$4:$A$2731)+ROW()-3)</f>
        <v>7518</v>
      </c>
      <c r="B1493" s="413">
        <v>44901</v>
      </c>
      <c r="C1493" s="421">
        <v>44896</v>
      </c>
      <c r="D1493" s="419" t="s">
        <v>271</v>
      </c>
      <c r="E1493" s="419" t="s">
        <v>71</v>
      </c>
      <c r="F1493" s="422">
        <v>11</v>
      </c>
      <c r="G1493" s="419" t="s">
        <v>8709</v>
      </c>
      <c r="H1493" s="419" t="s">
        <v>310</v>
      </c>
      <c r="I1493" s="415" t="s">
        <v>881</v>
      </c>
      <c r="J1493" s="419" t="s">
        <v>882</v>
      </c>
      <c r="K1493" s="419" t="s">
        <v>883</v>
      </c>
      <c r="L1493" s="415" t="s">
        <v>798</v>
      </c>
      <c r="M1493" s="419" t="s">
        <v>310</v>
      </c>
      <c r="N1493" s="413">
        <v>44901</v>
      </c>
      <c r="O1493" s="414" t="s">
        <v>400</v>
      </c>
      <c r="P1493" s="655">
        <f t="shared" si="88"/>
        <v>12</v>
      </c>
      <c r="Q1493" s="655">
        <f t="shared" si="89"/>
        <v>12</v>
      </c>
      <c r="R1493" s="758" t="str">
        <f t="shared" si="90"/>
        <v>Gastos_Gerais</v>
      </c>
      <c r="S1493" s="697" t="s">
        <v>310</v>
      </c>
      <c r="T1493" s="697" t="s">
        <v>310</v>
      </c>
    </row>
    <row r="1494" spans="1:20" ht="24" x14ac:dyDescent="0.2">
      <c r="A1494" s="432">
        <f>IF(B1494="","",COUNT('Diário 1º PA'!$A$4:$A$2635)+COUNT('Diário 2º PA'!$A$4:$A$3040)+COUNT('Diário 3º PA'!$A$4:$A$2731)+ROW()-3)</f>
        <v>7519</v>
      </c>
      <c r="B1494" s="413">
        <v>44901</v>
      </c>
      <c r="C1494" s="421">
        <v>44896</v>
      </c>
      <c r="D1494" s="419" t="s">
        <v>271</v>
      </c>
      <c r="E1494" s="419" t="s">
        <v>71</v>
      </c>
      <c r="F1494" s="422">
        <v>11</v>
      </c>
      <c r="G1494" s="419" t="s">
        <v>8709</v>
      </c>
      <c r="H1494" s="419" t="s">
        <v>310</v>
      </c>
      <c r="I1494" s="415" t="s">
        <v>881</v>
      </c>
      <c r="J1494" s="419" t="s">
        <v>882</v>
      </c>
      <c r="K1494" s="419" t="s">
        <v>883</v>
      </c>
      <c r="L1494" s="415" t="s">
        <v>798</v>
      </c>
      <c r="M1494" s="419" t="s">
        <v>310</v>
      </c>
      <c r="N1494" s="413">
        <v>44901</v>
      </c>
      <c r="O1494" s="414" t="s">
        <v>400</v>
      </c>
      <c r="P1494" s="655">
        <f t="shared" si="88"/>
        <v>12</v>
      </c>
      <c r="Q1494" s="655">
        <f t="shared" si="89"/>
        <v>12</v>
      </c>
      <c r="R1494" s="758" t="str">
        <f t="shared" si="90"/>
        <v>Gastos_Gerais</v>
      </c>
      <c r="S1494" s="697" t="s">
        <v>310</v>
      </c>
      <c r="T1494" s="697" t="s">
        <v>310</v>
      </c>
    </row>
    <row r="1495" spans="1:20" ht="24" x14ac:dyDescent="0.2">
      <c r="A1495" s="432">
        <f>IF(B1495="","",COUNT('Diário 1º PA'!$A$4:$A$2635)+COUNT('Diário 2º PA'!$A$4:$A$3040)+COUNT('Diário 3º PA'!$A$4:$A$2731)+ROW()-3)</f>
        <v>7520</v>
      </c>
      <c r="B1495" s="413">
        <v>44901</v>
      </c>
      <c r="C1495" s="421">
        <v>44896</v>
      </c>
      <c r="D1495" s="419" t="s">
        <v>271</v>
      </c>
      <c r="E1495" s="419" t="s">
        <v>71</v>
      </c>
      <c r="F1495" s="422">
        <v>11</v>
      </c>
      <c r="G1495" s="419" t="s">
        <v>8709</v>
      </c>
      <c r="H1495" s="419" t="s">
        <v>310</v>
      </c>
      <c r="I1495" s="415" t="s">
        <v>881</v>
      </c>
      <c r="J1495" s="419" t="s">
        <v>882</v>
      </c>
      <c r="K1495" s="419" t="s">
        <v>883</v>
      </c>
      <c r="L1495" s="415" t="s">
        <v>798</v>
      </c>
      <c r="M1495" s="419" t="s">
        <v>310</v>
      </c>
      <c r="N1495" s="413">
        <v>44901</v>
      </c>
      <c r="O1495" s="414" t="s">
        <v>400</v>
      </c>
      <c r="P1495" s="655">
        <f t="shared" si="88"/>
        <v>12</v>
      </c>
      <c r="Q1495" s="655">
        <f t="shared" si="89"/>
        <v>12</v>
      </c>
      <c r="R1495" s="758" t="str">
        <f t="shared" si="90"/>
        <v>Gastos_Gerais</v>
      </c>
      <c r="S1495" s="697" t="s">
        <v>310</v>
      </c>
      <c r="T1495" s="697" t="s">
        <v>310</v>
      </c>
    </row>
    <row r="1496" spans="1:20" ht="48" x14ac:dyDescent="0.2">
      <c r="A1496" s="432">
        <f>IF(B1496="","",COUNT('Diário 1º PA'!$A$4:$A$2635)+COUNT('Diário 2º PA'!$A$4:$A$3040)+COUNT('Diário 3º PA'!$A$4:$A$2731)+ROW()-3)</f>
        <v>7521</v>
      </c>
      <c r="B1496" s="413">
        <v>44902</v>
      </c>
      <c r="C1496" s="431">
        <v>44866</v>
      </c>
      <c r="D1496" s="419" t="s">
        <v>271</v>
      </c>
      <c r="E1496" s="415" t="s">
        <v>180</v>
      </c>
      <c r="F1496" s="422">
        <v>-40</v>
      </c>
      <c r="G1496" s="427" t="s">
        <v>8721</v>
      </c>
      <c r="H1496" s="419" t="s">
        <v>309</v>
      </c>
      <c r="I1496" s="415" t="s">
        <v>795</v>
      </c>
      <c r="J1496" s="419" t="s">
        <v>796</v>
      </c>
      <c r="K1496" s="419" t="s">
        <v>797</v>
      </c>
      <c r="L1496" s="415" t="s">
        <v>798</v>
      </c>
      <c r="M1496" s="419" t="s">
        <v>310</v>
      </c>
      <c r="N1496" s="413">
        <v>44902</v>
      </c>
      <c r="O1496" s="413" t="s">
        <v>400</v>
      </c>
      <c r="P1496" s="655">
        <f t="shared" si="88"/>
        <v>12</v>
      </c>
      <c r="Q1496" s="655">
        <f t="shared" si="89"/>
        <v>11</v>
      </c>
      <c r="R1496" s="758" t="str">
        <f t="shared" si="90"/>
        <v>Gastos_Gerais</v>
      </c>
      <c r="S1496" s="697" t="s">
        <v>310</v>
      </c>
      <c r="T1496" s="699" t="s">
        <v>310</v>
      </c>
    </row>
    <row r="1497" spans="1:20" ht="48" x14ac:dyDescent="0.2">
      <c r="A1497" s="432">
        <f>IF(B1497="","",COUNT('Diário 1º PA'!$A$4:$A$2635)+COUNT('Diário 2º PA'!$A$4:$A$3040)+COUNT('Diário 3º PA'!$A$4:$A$2731)+ROW()-3)</f>
        <v>7522</v>
      </c>
      <c r="B1497" s="413">
        <v>44902</v>
      </c>
      <c r="C1497" s="431">
        <v>44866</v>
      </c>
      <c r="D1497" s="426" t="s">
        <v>182</v>
      </c>
      <c r="E1497" s="426" t="s">
        <v>4</v>
      </c>
      <c r="F1497" s="686">
        <v>-727.19</v>
      </c>
      <c r="G1497" s="642" t="s">
        <v>8722</v>
      </c>
      <c r="H1497" s="426" t="s">
        <v>310</v>
      </c>
      <c r="I1497" s="434" t="s">
        <v>795</v>
      </c>
      <c r="J1497" s="426" t="s">
        <v>796</v>
      </c>
      <c r="K1497" s="426" t="s">
        <v>797</v>
      </c>
      <c r="L1497" s="434" t="s">
        <v>798</v>
      </c>
      <c r="M1497" s="426" t="s">
        <v>310</v>
      </c>
      <c r="N1497" s="413">
        <v>44902</v>
      </c>
      <c r="O1497" s="414" t="s">
        <v>400</v>
      </c>
      <c r="P1497" s="655">
        <f t="shared" si="88"/>
        <v>12</v>
      </c>
      <c r="Q1497" s="655">
        <f t="shared" si="89"/>
        <v>11</v>
      </c>
      <c r="R1497" s="758" t="str">
        <f t="shared" si="90"/>
        <v>Gastos_com_Pessoal</v>
      </c>
      <c r="S1497" s="697" t="s">
        <v>310</v>
      </c>
      <c r="T1497" s="697" t="s">
        <v>310</v>
      </c>
    </row>
    <row r="1498" spans="1:20" ht="48" x14ac:dyDescent="0.2">
      <c r="A1498" s="432">
        <f>IF(B1498="","",COUNT('Diário 1º PA'!$A$4:$A$2635)+COUNT('Diário 2º PA'!$A$4:$A$3040)+COUNT('Diário 3º PA'!$A$4:$A$2731)+ROW()-3)</f>
        <v>7523</v>
      </c>
      <c r="B1498" s="413">
        <v>44902</v>
      </c>
      <c r="C1498" s="431">
        <v>44866</v>
      </c>
      <c r="D1498" s="426" t="s">
        <v>182</v>
      </c>
      <c r="E1498" s="426" t="s">
        <v>268</v>
      </c>
      <c r="F1498" s="686">
        <v>-128.07</v>
      </c>
      <c r="G1498" s="642" t="s">
        <v>8723</v>
      </c>
      <c r="H1498" s="426" t="s">
        <v>310</v>
      </c>
      <c r="I1498" s="434" t="s">
        <v>795</v>
      </c>
      <c r="J1498" s="426" t="s">
        <v>796</v>
      </c>
      <c r="K1498" s="426" t="s">
        <v>797</v>
      </c>
      <c r="L1498" s="434" t="s">
        <v>798</v>
      </c>
      <c r="M1498" s="426" t="s">
        <v>310</v>
      </c>
      <c r="N1498" s="413">
        <v>44902</v>
      </c>
      <c r="O1498" s="414" t="s">
        <v>400</v>
      </c>
      <c r="P1498" s="655">
        <f t="shared" si="88"/>
        <v>12</v>
      </c>
      <c r="Q1498" s="655">
        <f t="shared" si="89"/>
        <v>11</v>
      </c>
      <c r="R1498" s="758" t="str">
        <f t="shared" si="90"/>
        <v>Gastos_com_Pessoal</v>
      </c>
      <c r="S1498" s="697" t="s">
        <v>310</v>
      </c>
      <c r="T1498" s="697" t="s">
        <v>310</v>
      </c>
    </row>
    <row r="1499" spans="1:20" ht="48" x14ac:dyDescent="0.2">
      <c r="A1499" s="432">
        <f>IF(B1499="","",COUNT('Diário 1º PA'!$A$4:$A$2635)+COUNT('Diário 2º PA'!$A$4:$A$3040)+COUNT('Diário 3º PA'!$A$4:$A$2731)+ROW()-3)</f>
        <v>7524</v>
      </c>
      <c r="B1499" s="413">
        <v>44902</v>
      </c>
      <c r="C1499" s="431">
        <v>44866</v>
      </c>
      <c r="D1499" s="426" t="s">
        <v>182</v>
      </c>
      <c r="E1499" s="426" t="s">
        <v>4</v>
      </c>
      <c r="F1499" s="686">
        <v>-132</v>
      </c>
      <c r="G1499" s="642" t="s">
        <v>8724</v>
      </c>
      <c r="H1499" s="426" t="s">
        <v>310</v>
      </c>
      <c r="I1499" s="434" t="s">
        <v>795</v>
      </c>
      <c r="J1499" s="426" t="s">
        <v>796</v>
      </c>
      <c r="K1499" s="426" t="s">
        <v>797</v>
      </c>
      <c r="L1499" s="434" t="s">
        <v>798</v>
      </c>
      <c r="M1499" s="419" t="s">
        <v>310</v>
      </c>
      <c r="N1499" s="413">
        <v>44902</v>
      </c>
      <c r="O1499" s="414" t="s">
        <v>400</v>
      </c>
      <c r="P1499" s="655">
        <f t="shared" si="88"/>
        <v>12</v>
      </c>
      <c r="Q1499" s="655">
        <f t="shared" si="89"/>
        <v>11</v>
      </c>
      <c r="R1499" s="758" t="str">
        <f t="shared" si="90"/>
        <v>Gastos_com_Pessoal</v>
      </c>
      <c r="S1499" s="697" t="s">
        <v>310</v>
      </c>
      <c r="T1499" s="697" t="s">
        <v>310</v>
      </c>
    </row>
    <row r="1500" spans="1:20" ht="48" x14ac:dyDescent="0.2">
      <c r="A1500" s="432">
        <f>IF(B1500="","",COUNT('Diário 1º PA'!$A$4:$A$2635)+COUNT('Diário 2º PA'!$A$4:$A$3040)+COUNT('Diário 3º PA'!$A$4:$A$2731)+ROW()-3)</f>
        <v>7525</v>
      </c>
      <c r="B1500" s="413">
        <v>44902</v>
      </c>
      <c r="C1500" s="431">
        <v>44866</v>
      </c>
      <c r="D1500" s="426" t="s">
        <v>182</v>
      </c>
      <c r="E1500" s="426" t="s">
        <v>268</v>
      </c>
      <c r="F1500" s="422">
        <v>-16.5</v>
      </c>
      <c r="G1500" s="642" t="s">
        <v>8725</v>
      </c>
      <c r="H1500" s="426" t="s">
        <v>310</v>
      </c>
      <c r="I1500" s="434" t="s">
        <v>795</v>
      </c>
      <c r="J1500" s="426" t="s">
        <v>796</v>
      </c>
      <c r="K1500" s="426" t="s">
        <v>797</v>
      </c>
      <c r="L1500" s="434" t="s">
        <v>798</v>
      </c>
      <c r="M1500" s="419" t="s">
        <v>310</v>
      </c>
      <c r="N1500" s="413">
        <v>44902</v>
      </c>
      <c r="O1500" s="414" t="s">
        <v>400</v>
      </c>
      <c r="P1500" s="655">
        <f t="shared" si="88"/>
        <v>12</v>
      </c>
      <c r="Q1500" s="655">
        <f t="shared" si="89"/>
        <v>11</v>
      </c>
      <c r="R1500" s="758" t="str">
        <f t="shared" si="90"/>
        <v>Gastos_com_Pessoal</v>
      </c>
      <c r="S1500" s="697" t="s">
        <v>310</v>
      </c>
      <c r="T1500" s="697" t="s">
        <v>310</v>
      </c>
    </row>
    <row r="1501" spans="1:20" ht="60" x14ac:dyDescent="0.2">
      <c r="A1501" s="432">
        <f>IF(B1501="","",COUNT('Diário 1º PA'!$A$4:$A$2635)+COUNT('Diário 2º PA'!$A$4:$A$3040)+COUNT('Diário 3º PA'!$A$4:$A$2731)+ROW()-3)</f>
        <v>7526</v>
      </c>
      <c r="B1501" s="413">
        <v>44902</v>
      </c>
      <c r="C1501" s="424">
        <v>44866</v>
      </c>
      <c r="D1501" s="419" t="s">
        <v>271</v>
      </c>
      <c r="E1501" s="419" t="s">
        <v>90</v>
      </c>
      <c r="F1501" s="422">
        <v>3000</v>
      </c>
      <c r="G1501" s="427" t="s">
        <v>3964</v>
      </c>
      <c r="H1501" s="419" t="s">
        <v>750</v>
      </c>
      <c r="I1501" s="415" t="s">
        <v>785</v>
      </c>
      <c r="J1501" s="419" t="s">
        <v>1126</v>
      </c>
      <c r="K1501" s="419" t="s">
        <v>806</v>
      </c>
      <c r="L1501" s="415" t="s">
        <v>32</v>
      </c>
      <c r="M1501" s="419" t="s">
        <v>1700</v>
      </c>
      <c r="N1501" s="413">
        <v>44901</v>
      </c>
      <c r="O1501" s="414" t="s">
        <v>400</v>
      </c>
      <c r="P1501" s="655">
        <f t="shared" si="88"/>
        <v>12</v>
      </c>
      <c r="Q1501" s="655">
        <f t="shared" si="89"/>
        <v>11</v>
      </c>
      <c r="R1501" s="758" t="str">
        <f t="shared" si="90"/>
        <v>Gastos_Gerais</v>
      </c>
      <c r="S1501" s="697" t="s">
        <v>1000</v>
      </c>
      <c r="T1501" s="697">
        <v>4302</v>
      </c>
    </row>
    <row r="1502" spans="1:20" ht="48" x14ac:dyDescent="0.2">
      <c r="A1502" s="432">
        <f>IF(B1502="","",COUNT('Diário 1º PA'!$A$4:$A$2635)+COUNT('Diário 2º PA'!$A$4:$A$3040)+COUNT('Diário 3º PA'!$A$4:$A$2731)+ROW()-3)</f>
        <v>7527</v>
      </c>
      <c r="B1502" s="413">
        <v>44902</v>
      </c>
      <c r="C1502" s="760">
        <v>44896</v>
      </c>
      <c r="D1502" s="419" t="s">
        <v>271</v>
      </c>
      <c r="E1502" s="415" t="s">
        <v>62</v>
      </c>
      <c r="F1502" s="422">
        <v>932</v>
      </c>
      <c r="G1502" s="419" t="s">
        <v>8566</v>
      </c>
      <c r="H1502" s="419" t="s">
        <v>760</v>
      </c>
      <c r="I1502" s="415" t="s">
        <v>8726</v>
      </c>
      <c r="J1502" s="419" t="s">
        <v>1119</v>
      </c>
      <c r="K1502" s="419" t="s">
        <v>830</v>
      </c>
      <c r="L1502" s="415" t="s">
        <v>32</v>
      </c>
      <c r="M1502" s="419">
        <v>489</v>
      </c>
      <c r="N1502" s="413">
        <v>44901</v>
      </c>
      <c r="O1502" s="414" t="s">
        <v>400</v>
      </c>
      <c r="P1502" s="655">
        <f t="shared" si="88"/>
        <v>12</v>
      </c>
      <c r="Q1502" s="655">
        <f t="shared" si="89"/>
        <v>12</v>
      </c>
      <c r="R1502" s="758" t="str">
        <f t="shared" si="90"/>
        <v>Gastos_Gerais</v>
      </c>
      <c r="S1502" s="697" t="s">
        <v>999</v>
      </c>
      <c r="T1502" s="697">
        <v>4813</v>
      </c>
    </row>
    <row r="1503" spans="1:20" ht="36" x14ac:dyDescent="0.2">
      <c r="A1503" s="432">
        <f>IF(B1503="","",COUNT('Diário 1º PA'!$A$4:$A$2635)+COUNT('Diário 2º PA'!$A$4:$A$3040)+COUNT('Diário 3º PA'!$A$4:$A$2731)+ROW()-3)</f>
        <v>7528</v>
      </c>
      <c r="B1503" s="413">
        <v>44902</v>
      </c>
      <c r="C1503" s="760">
        <v>44866</v>
      </c>
      <c r="D1503" s="419" t="s">
        <v>271</v>
      </c>
      <c r="E1503" s="415" t="s">
        <v>180</v>
      </c>
      <c r="F1503" s="422">
        <v>372.09</v>
      </c>
      <c r="G1503" s="419" t="s">
        <v>8662</v>
      </c>
      <c r="H1503" s="419" t="s">
        <v>309</v>
      </c>
      <c r="I1503" s="415" t="s">
        <v>990</v>
      </c>
      <c r="J1503" s="419" t="s">
        <v>991</v>
      </c>
      <c r="K1503" s="419" t="s">
        <v>830</v>
      </c>
      <c r="L1503" s="415" t="s">
        <v>798</v>
      </c>
      <c r="M1503" s="419" t="s">
        <v>310</v>
      </c>
      <c r="N1503" s="413">
        <v>44902</v>
      </c>
      <c r="O1503" s="414" t="s">
        <v>400</v>
      </c>
      <c r="P1503" s="655">
        <f t="shared" si="88"/>
        <v>12</v>
      </c>
      <c r="Q1503" s="655">
        <f t="shared" si="89"/>
        <v>11</v>
      </c>
      <c r="R1503" s="758" t="str">
        <f t="shared" si="90"/>
        <v>Gastos_Gerais</v>
      </c>
      <c r="S1503" s="697" t="s">
        <v>998</v>
      </c>
      <c r="T1503" s="697">
        <v>4848</v>
      </c>
    </row>
    <row r="1504" spans="1:20" ht="96" x14ac:dyDescent="0.2">
      <c r="A1504" s="432">
        <f>IF(B1504="","",COUNT('Diário 1º PA'!$A$4:$A$2635)+COUNT('Diário 2º PA'!$A$4:$A$3040)+COUNT('Diário 3º PA'!$A$4:$A$2731)+ROW()-3)</f>
        <v>7529</v>
      </c>
      <c r="B1504" s="413">
        <v>44902</v>
      </c>
      <c r="C1504" s="431">
        <v>44866</v>
      </c>
      <c r="D1504" s="419" t="s">
        <v>271</v>
      </c>
      <c r="E1504" s="415" t="s">
        <v>465</v>
      </c>
      <c r="F1504" s="422">
        <v>4733.6000000000004</v>
      </c>
      <c r="G1504" s="419" t="s">
        <v>8189</v>
      </c>
      <c r="H1504" s="419" t="s">
        <v>757</v>
      </c>
      <c r="I1504" s="415" t="s">
        <v>8727</v>
      </c>
      <c r="J1504" s="419" t="s">
        <v>8190</v>
      </c>
      <c r="K1504" s="419" t="s">
        <v>812</v>
      </c>
      <c r="L1504" s="415" t="s">
        <v>807</v>
      </c>
      <c r="M1504" s="419" t="s">
        <v>8728</v>
      </c>
      <c r="N1504" s="413">
        <v>44874</v>
      </c>
      <c r="O1504" s="414" t="s">
        <v>400</v>
      </c>
      <c r="P1504" s="655">
        <f t="shared" si="88"/>
        <v>12</v>
      </c>
      <c r="Q1504" s="655">
        <f t="shared" si="89"/>
        <v>11</v>
      </c>
      <c r="R1504" s="758" t="str">
        <f t="shared" si="90"/>
        <v>Gastos_Gerais</v>
      </c>
      <c r="S1504" s="697" t="s">
        <v>998</v>
      </c>
      <c r="T1504" s="697">
        <v>4653</v>
      </c>
    </row>
    <row r="1505" spans="1:20" ht="36" x14ac:dyDescent="0.2">
      <c r="A1505" s="432">
        <f>IF(B1505="","",COUNT('Diário 1º PA'!$A$4:$A$2635)+COUNT('Diário 2º PA'!$A$4:$A$3040)+COUNT('Diário 3º PA'!$A$4:$A$2731)+ROW()-3)</f>
        <v>7530</v>
      </c>
      <c r="B1505" s="413">
        <v>44902</v>
      </c>
      <c r="C1505" s="760">
        <v>44896</v>
      </c>
      <c r="D1505" s="419" t="s">
        <v>271</v>
      </c>
      <c r="E1505" s="415" t="s">
        <v>297</v>
      </c>
      <c r="F1505" s="422">
        <v>293.02</v>
      </c>
      <c r="G1505" s="419" t="s">
        <v>8631</v>
      </c>
      <c r="H1505" s="419" t="s">
        <v>755</v>
      </c>
      <c r="I1505" s="415" t="s">
        <v>8729</v>
      </c>
      <c r="J1505" s="419" t="s">
        <v>8632</v>
      </c>
      <c r="K1505" s="419" t="s">
        <v>830</v>
      </c>
      <c r="L1505" s="415" t="s">
        <v>798</v>
      </c>
      <c r="M1505" s="419" t="s">
        <v>310</v>
      </c>
      <c r="N1505" s="413">
        <v>44902</v>
      </c>
      <c r="O1505" s="414" t="s">
        <v>400</v>
      </c>
      <c r="P1505" s="655">
        <f t="shared" si="88"/>
        <v>12</v>
      </c>
      <c r="Q1505" s="655">
        <f t="shared" si="89"/>
        <v>12</v>
      </c>
      <c r="R1505" s="758" t="str">
        <f t="shared" si="90"/>
        <v>Gastos_Gerais</v>
      </c>
      <c r="S1505" s="697" t="s">
        <v>1303</v>
      </c>
      <c r="T1505" s="697">
        <v>4836</v>
      </c>
    </row>
    <row r="1506" spans="1:20" ht="108" x14ac:dyDescent="0.2">
      <c r="A1506" s="432">
        <f>IF(B1506="","",COUNT('Diário 1º PA'!$A$4:$A$2635)+COUNT('Diário 2º PA'!$A$4:$A$3040)+COUNT('Diário 3º PA'!$A$4:$A$2731)+ROW()-3)</f>
        <v>7531</v>
      </c>
      <c r="B1506" s="413">
        <v>44902</v>
      </c>
      <c r="C1506" s="431">
        <v>44866</v>
      </c>
      <c r="D1506" s="415" t="s">
        <v>271</v>
      </c>
      <c r="E1506" s="415" t="s">
        <v>90</v>
      </c>
      <c r="F1506" s="422">
        <v>2537.5500000000002</v>
      </c>
      <c r="G1506" s="419" t="s">
        <v>4128</v>
      </c>
      <c r="H1506" s="419" t="s">
        <v>793</v>
      </c>
      <c r="I1506" s="419" t="s">
        <v>5918</v>
      </c>
      <c r="J1506" s="415" t="s">
        <v>4127</v>
      </c>
      <c r="K1506" s="419" t="s">
        <v>830</v>
      </c>
      <c r="L1506" s="415" t="s">
        <v>839</v>
      </c>
      <c r="M1506" s="419">
        <v>2141</v>
      </c>
      <c r="N1506" s="413">
        <v>44900</v>
      </c>
      <c r="O1506" s="414" t="s">
        <v>400</v>
      </c>
      <c r="P1506" s="655">
        <f t="shared" si="88"/>
        <v>12</v>
      </c>
      <c r="Q1506" s="655">
        <f t="shared" si="89"/>
        <v>11</v>
      </c>
      <c r="R1506" s="758" t="str">
        <f t="shared" si="90"/>
        <v>Gastos_Gerais</v>
      </c>
      <c r="S1506" s="697" t="s">
        <v>1000</v>
      </c>
      <c r="T1506" s="697">
        <v>4321</v>
      </c>
    </row>
    <row r="1507" spans="1:20" ht="72" x14ac:dyDescent="0.2">
      <c r="A1507" s="432">
        <f>IF(B1507="","",COUNT('Diário 1º PA'!$A$4:$A$2635)+COUNT('Diário 2º PA'!$A$4:$A$3040)+COUNT('Diário 3º PA'!$A$4:$A$2731)+ROW()-3)</f>
        <v>7532</v>
      </c>
      <c r="B1507" s="413">
        <v>44902</v>
      </c>
      <c r="C1507" s="431">
        <v>44866</v>
      </c>
      <c r="D1507" s="419" t="s">
        <v>271</v>
      </c>
      <c r="E1507" s="419" t="s">
        <v>297</v>
      </c>
      <c r="F1507" s="422">
        <v>97.2</v>
      </c>
      <c r="G1507" s="423" t="s">
        <v>5949</v>
      </c>
      <c r="H1507" s="419" t="s">
        <v>793</v>
      </c>
      <c r="I1507" s="415" t="s">
        <v>1803</v>
      </c>
      <c r="J1507" s="419" t="s">
        <v>991</v>
      </c>
      <c r="K1507" s="419" t="s">
        <v>830</v>
      </c>
      <c r="L1507" s="415" t="s">
        <v>798</v>
      </c>
      <c r="M1507" s="419" t="s">
        <v>310</v>
      </c>
      <c r="N1507" s="413">
        <v>44902</v>
      </c>
      <c r="O1507" s="414" t="s">
        <v>400</v>
      </c>
      <c r="P1507" s="655">
        <f t="shared" si="88"/>
        <v>12</v>
      </c>
      <c r="Q1507" s="655">
        <f t="shared" si="89"/>
        <v>11</v>
      </c>
      <c r="R1507" s="758" t="str">
        <f t="shared" si="90"/>
        <v>Gastos_Gerais</v>
      </c>
      <c r="S1507" s="697" t="s">
        <v>1000</v>
      </c>
      <c r="T1507" s="697">
        <v>2768</v>
      </c>
    </row>
    <row r="1508" spans="1:20" ht="24" x14ac:dyDescent="0.2">
      <c r="A1508" s="432">
        <f>IF(B1508="","",COUNT('Diário 1º PA'!$A$4:$A$2635)+COUNT('Diário 2º PA'!$A$4:$A$3040)+COUNT('Diário 3º PA'!$A$4:$A$2731)+ROW()-3)</f>
        <v>7533</v>
      </c>
      <c r="B1508" s="413">
        <v>44902</v>
      </c>
      <c r="C1508" s="431">
        <v>44866</v>
      </c>
      <c r="D1508" s="419" t="s">
        <v>271</v>
      </c>
      <c r="E1508" s="419" t="s">
        <v>85</v>
      </c>
      <c r="F1508" s="422">
        <v>169.94</v>
      </c>
      <c r="G1508" s="423" t="s">
        <v>8733</v>
      </c>
      <c r="H1508" s="419" t="s">
        <v>750</v>
      </c>
      <c r="I1508" s="415" t="s">
        <v>765</v>
      </c>
      <c r="J1508" s="419" t="s">
        <v>892</v>
      </c>
      <c r="K1508" s="419" t="s">
        <v>893</v>
      </c>
      <c r="L1508" s="415" t="s">
        <v>807</v>
      </c>
      <c r="M1508" s="419">
        <v>91386627</v>
      </c>
      <c r="N1508" s="413">
        <v>44881</v>
      </c>
      <c r="O1508" s="414" t="s">
        <v>400</v>
      </c>
      <c r="P1508" s="655">
        <f t="shared" si="88"/>
        <v>12</v>
      </c>
      <c r="Q1508" s="655">
        <f t="shared" si="89"/>
        <v>11</v>
      </c>
      <c r="R1508" s="758" t="str">
        <f t="shared" si="90"/>
        <v>Gastos_Gerais</v>
      </c>
      <c r="S1508" s="697" t="s">
        <v>310</v>
      </c>
      <c r="T1508" s="697" t="s">
        <v>310</v>
      </c>
    </row>
    <row r="1509" spans="1:20" ht="24" x14ac:dyDescent="0.2">
      <c r="A1509" s="432">
        <f>IF(B1509="","",COUNT('Diário 1º PA'!$A$4:$A$2635)+COUNT('Diário 2º PA'!$A$4:$A$3040)+COUNT('Diário 3º PA'!$A$4:$A$2731)+ROW()-3)</f>
        <v>7534</v>
      </c>
      <c r="B1509" s="413">
        <v>44902</v>
      </c>
      <c r="C1509" s="431">
        <v>44866</v>
      </c>
      <c r="D1509" s="426" t="s">
        <v>182</v>
      </c>
      <c r="E1509" s="426" t="s">
        <v>4</v>
      </c>
      <c r="F1509" s="686">
        <v>19634.59</v>
      </c>
      <c r="G1509" s="642" t="s">
        <v>8734</v>
      </c>
      <c r="H1509" s="426" t="s">
        <v>310</v>
      </c>
      <c r="I1509" s="434" t="s">
        <v>1219</v>
      </c>
      <c r="J1509" s="426" t="s">
        <v>310</v>
      </c>
      <c r="K1509" s="426" t="s">
        <v>1220</v>
      </c>
      <c r="L1509" s="434" t="s">
        <v>4</v>
      </c>
      <c r="M1509" s="426" t="s">
        <v>310</v>
      </c>
      <c r="N1509" s="413">
        <v>44902</v>
      </c>
      <c r="O1509" s="414" t="s">
        <v>400</v>
      </c>
      <c r="P1509" s="655">
        <f t="shared" si="88"/>
        <v>12</v>
      </c>
      <c r="Q1509" s="655">
        <f t="shared" si="89"/>
        <v>11</v>
      </c>
      <c r="R1509" s="758" t="str">
        <f t="shared" si="90"/>
        <v>Gastos_com_Pessoal</v>
      </c>
      <c r="S1509" s="697" t="s">
        <v>310</v>
      </c>
      <c r="T1509" s="697" t="s">
        <v>310</v>
      </c>
    </row>
    <row r="1510" spans="1:20" ht="24" x14ac:dyDescent="0.2">
      <c r="A1510" s="432">
        <f>IF(B1510="","",COUNT('Diário 1º PA'!$A$4:$A$2635)+COUNT('Diário 2º PA'!$A$4:$A$3040)+COUNT('Diário 3º PA'!$A$4:$A$2731)+ROW()-3)</f>
        <v>7535</v>
      </c>
      <c r="B1510" s="413">
        <v>44902</v>
      </c>
      <c r="C1510" s="431">
        <v>44866</v>
      </c>
      <c r="D1510" s="426" t="s">
        <v>182</v>
      </c>
      <c r="E1510" s="426" t="s">
        <v>268</v>
      </c>
      <c r="F1510" s="422">
        <v>8896.0499999999993</v>
      </c>
      <c r="G1510" s="642" t="s">
        <v>8735</v>
      </c>
      <c r="H1510" s="419" t="s">
        <v>310</v>
      </c>
      <c r="I1510" s="434" t="s">
        <v>1219</v>
      </c>
      <c r="J1510" s="426" t="s">
        <v>310</v>
      </c>
      <c r="K1510" s="426" t="s">
        <v>1220</v>
      </c>
      <c r="L1510" s="434" t="s">
        <v>4</v>
      </c>
      <c r="M1510" s="426" t="s">
        <v>310</v>
      </c>
      <c r="N1510" s="413">
        <v>44902</v>
      </c>
      <c r="O1510" s="414" t="s">
        <v>400</v>
      </c>
      <c r="P1510" s="655">
        <f t="shared" ref="P1510:P1573" si="91">IF(B1510=0,0,IF(YEAR(B1510)=$Q$1,MONTH(B1510)-$P$1+1,(YEAR(B1510)-$Q$1)*12-$P$1+1+MONTH(B1510)))</f>
        <v>12</v>
      </c>
      <c r="Q1510" s="655">
        <f t="shared" ref="Q1510:Q1573" si="92">IF(C1510=0,0,IF(YEAR(C1510)=$Q$1,MONTH(C1510)-$P$1+1,(YEAR(C1510)-$Q$1)*12-$P$1+1+MONTH(C1510)))</f>
        <v>11</v>
      </c>
      <c r="R1510" s="758" t="str">
        <f t="shared" si="90"/>
        <v>Gastos_com_Pessoal</v>
      </c>
      <c r="S1510" s="697" t="s">
        <v>310</v>
      </c>
      <c r="T1510" s="697" t="s">
        <v>310</v>
      </c>
    </row>
    <row r="1511" spans="1:20" ht="36" x14ac:dyDescent="0.2">
      <c r="A1511" s="432">
        <f>IF(B1511="","",COUNT('Diário 1º PA'!$A$4:$A$2635)+COUNT('Diário 2º PA'!$A$4:$A$3040)+COUNT('Diário 3º PA'!$A$4:$A$2731)+ROW()-3)</f>
        <v>7536</v>
      </c>
      <c r="B1511" s="413">
        <v>44902</v>
      </c>
      <c r="C1511" s="421">
        <v>44896</v>
      </c>
      <c r="D1511" s="419" t="s">
        <v>271</v>
      </c>
      <c r="E1511" s="419" t="s">
        <v>71</v>
      </c>
      <c r="F1511" s="422">
        <v>11</v>
      </c>
      <c r="G1511" s="423" t="s">
        <v>8736</v>
      </c>
      <c r="H1511" s="419" t="s">
        <v>750</v>
      </c>
      <c r="I1511" s="415" t="s">
        <v>881</v>
      </c>
      <c r="J1511" s="419" t="s">
        <v>882</v>
      </c>
      <c r="K1511" s="419" t="s">
        <v>883</v>
      </c>
      <c r="L1511" s="415" t="s">
        <v>798</v>
      </c>
      <c r="M1511" s="419" t="s">
        <v>310</v>
      </c>
      <c r="N1511" s="413">
        <v>44902</v>
      </c>
      <c r="O1511" s="414" t="s">
        <v>400</v>
      </c>
      <c r="P1511" s="655">
        <f t="shared" si="91"/>
        <v>12</v>
      </c>
      <c r="Q1511" s="655">
        <f t="shared" si="92"/>
        <v>12</v>
      </c>
      <c r="R1511" s="758" t="str">
        <f t="shared" si="90"/>
        <v>Gastos_Gerais</v>
      </c>
      <c r="S1511" s="697" t="s">
        <v>310</v>
      </c>
      <c r="T1511" s="697" t="s">
        <v>310</v>
      </c>
    </row>
    <row r="1512" spans="1:20" ht="36" x14ac:dyDescent="0.2">
      <c r="A1512" s="432">
        <f>IF(B1512="","",COUNT('Diário 1º PA'!$A$4:$A$2635)+COUNT('Diário 2º PA'!$A$4:$A$3040)+COUNT('Diário 3º PA'!$A$4:$A$2731)+ROW()-3)</f>
        <v>7537</v>
      </c>
      <c r="B1512" s="413">
        <v>44902</v>
      </c>
      <c r="C1512" s="421">
        <v>44896</v>
      </c>
      <c r="D1512" s="419" t="s">
        <v>271</v>
      </c>
      <c r="E1512" s="419" t="s">
        <v>71</v>
      </c>
      <c r="F1512" s="422">
        <v>11</v>
      </c>
      <c r="G1512" s="423" t="s">
        <v>8737</v>
      </c>
      <c r="H1512" s="419" t="s">
        <v>760</v>
      </c>
      <c r="I1512" s="415" t="s">
        <v>881</v>
      </c>
      <c r="J1512" s="419" t="s">
        <v>882</v>
      </c>
      <c r="K1512" s="419" t="s">
        <v>883</v>
      </c>
      <c r="L1512" s="415" t="s">
        <v>798</v>
      </c>
      <c r="M1512" s="419" t="s">
        <v>310</v>
      </c>
      <c r="N1512" s="413">
        <v>44902</v>
      </c>
      <c r="O1512" s="414" t="s">
        <v>400</v>
      </c>
      <c r="P1512" s="655">
        <f t="shared" si="91"/>
        <v>12</v>
      </c>
      <c r="Q1512" s="655">
        <f t="shared" si="92"/>
        <v>12</v>
      </c>
      <c r="R1512" s="758" t="str">
        <f t="shared" si="90"/>
        <v>Gastos_Gerais</v>
      </c>
      <c r="S1512" s="697" t="s">
        <v>310</v>
      </c>
      <c r="T1512" s="697" t="s">
        <v>310</v>
      </c>
    </row>
    <row r="1513" spans="1:20" ht="36" x14ac:dyDescent="0.2">
      <c r="A1513" s="432">
        <f>IF(B1513="","",COUNT('Diário 1º PA'!$A$4:$A$2635)+COUNT('Diário 2º PA'!$A$4:$A$3040)+COUNT('Diário 3º PA'!$A$4:$A$2731)+ROW()-3)</f>
        <v>7538</v>
      </c>
      <c r="B1513" s="413">
        <v>44902</v>
      </c>
      <c r="C1513" s="421">
        <v>44896</v>
      </c>
      <c r="D1513" s="419" t="s">
        <v>271</v>
      </c>
      <c r="E1513" s="419" t="s">
        <v>71</v>
      </c>
      <c r="F1513" s="422">
        <v>11</v>
      </c>
      <c r="G1513" s="423" t="s">
        <v>8738</v>
      </c>
      <c r="H1513" s="419" t="s">
        <v>309</v>
      </c>
      <c r="I1513" s="415" t="s">
        <v>881</v>
      </c>
      <c r="J1513" s="419" t="s">
        <v>882</v>
      </c>
      <c r="K1513" s="419" t="s">
        <v>883</v>
      </c>
      <c r="L1513" s="415" t="s">
        <v>798</v>
      </c>
      <c r="M1513" s="419" t="s">
        <v>310</v>
      </c>
      <c r="N1513" s="413">
        <v>44902</v>
      </c>
      <c r="O1513" s="414" t="s">
        <v>400</v>
      </c>
      <c r="P1513" s="655">
        <f t="shared" si="91"/>
        <v>12</v>
      </c>
      <c r="Q1513" s="655">
        <f t="shared" si="92"/>
        <v>12</v>
      </c>
      <c r="R1513" s="758" t="str">
        <f t="shared" si="90"/>
        <v>Gastos_Gerais</v>
      </c>
      <c r="S1513" s="697" t="s">
        <v>310</v>
      </c>
      <c r="T1513" s="697" t="s">
        <v>310</v>
      </c>
    </row>
    <row r="1514" spans="1:20" ht="36" x14ac:dyDescent="0.2">
      <c r="A1514" s="432">
        <f>IF(B1514="","",COUNT('Diário 1º PA'!$A$4:$A$2635)+COUNT('Diário 2º PA'!$A$4:$A$3040)+COUNT('Diário 3º PA'!$A$4:$A$2731)+ROW()-3)</f>
        <v>7539</v>
      </c>
      <c r="B1514" s="413">
        <v>44902</v>
      </c>
      <c r="C1514" s="421">
        <v>44896</v>
      </c>
      <c r="D1514" s="419" t="s">
        <v>271</v>
      </c>
      <c r="E1514" s="419" t="s">
        <v>71</v>
      </c>
      <c r="F1514" s="422">
        <v>11</v>
      </c>
      <c r="G1514" s="423" t="s">
        <v>8739</v>
      </c>
      <c r="H1514" s="419" t="s">
        <v>755</v>
      </c>
      <c r="I1514" s="415" t="s">
        <v>881</v>
      </c>
      <c r="J1514" s="419" t="s">
        <v>882</v>
      </c>
      <c r="K1514" s="419" t="s">
        <v>883</v>
      </c>
      <c r="L1514" s="415" t="s">
        <v>798</v>
      </c>
      <c r="M1514" s="419" t="s">
        <v>310</v>
      </c>
      <c r="N1514" s="413">
        <v>44902</v>
      </c>
      <c r="O1514" s="414" t="s">
        <v>400</v>
      </c>
      <c r="P1514" s="655">
        <f t="shared" si="91"/>
        <v>12</v>
      </c>
      <c r="Q1514" s="655">
        <f t="shared" si="92"/>
        <v>12</v>
      </c>
      <c r="R1514" s="758" t="str">
        <f t="shared" si="90"/>
        <v>Gastos_Gerais</v>
      </c>
      <c r="S1514" s="697" t="s">
        <v>310</v>
      </c>
      <c r="T1514" s="697" t="s">
        <v>310</v>
      </c>
    </row>
    <row r="1515" spans="1:20" ht="36" x14ac:dyDescent="0.2">
      <c r="A1515" s="432">
        <f>IF(B1515="","",COUNT('Diário 1º PA'!$A$4:$A$2635)+COUNT('Diário 2º PA'!$A$4:$A$3040)+COUNT('Diário 3º PA'!$A$4:$A$2731)+ROW()-3)</f>
        <v>7540</v>
      </c>
      <c r="B1515" s="413">
        <v>44902</v>
      </c>
      <c r="C1515" s="421">
        <v>44896</v>
      </c>
      <c r="D1515" s="419" t="s">
        <v>271</v>
      </c>
      <c r="E1515" s="419" t="s">
        <v>71</v>
      </c>
      <c r="F1515" s="422">
        <v>11</v>
      </c>
      <c r="G1515" s="423" t="s">
        <v>8740</v>
      </c>
      <c r="H1515" s="419" t="s">
        <v>793</v>
      </c>
      <c r="I1515" s="415" t="s">
        <v>881</v>
      </c>
      <c r="J1515" s="419" t="s">
        <v>882</v>
      </c>
      <c r="K1515" s="419" t="s">
        <v>883</v>
      </c>
      <c r="L1515" s="415" t="s">
        <v>798</v>
      </c>
      <c r="M1515" s="419" t="s">
        <v>310</v>
      </c>
      <c r="N1515" s="413">
        <v>44902</v>
      </c>
      <c r="O1515" s="414" t="s">
        <v>400</v>
      </c>
      <c r="P1515" s="655">
        <f t="shared" si="91"/>
        <v>12</v>
      </c>
      <c r="Q1515" s="655">
        <f t="shared" si="92"/>
        <v>12</v>
      </c>
      <c r="R1515" s="758" t="str">
        <f t="shared" si="90"/>
        <v>Gastos_Gerais</v>
      </c>
      <c r="S1515" s="697" t="s">
        <v>310</v>
      </c>
      <c r="T1515" s="697" t="s">
        <v>310</v>
      </c>
    </row>
    <row r="1516" spans="1:20" ht="48" x14ac:dyDescent="0.2">
      <c r="A1516" s="432">
        <f>IF(B1516="","",COUNT('Diário 1º PA'!$A$4:$A$2635)+COUNT('Diário 2º PA'!$A$4:$A$3040)+COUNT('Diário 3º PA'!$A$4:$A$2731)+ROW()-3)</f>
        <v>7541</v>
      </c>
      <c r="B1516" s="413">
        <v>44902</v>
      </c>
      <c r="C1516" s="431">
        <v>44866</v>
      </c>
      <c r="D1516" s="419" t="s">
        <v>468</v>
      </c>
      <c r="E1516" s="419" t="s">
        <v>468</v>
      </c>
      <c r="F1516" s="422">
        <v>2269.2399999999998</v>
      </c>
      <c r="G1516" s="427" t="s">
        <v>6938</v>
      </c>
      <c r="H1516" s="419" t="s">
        <v>468</v>
      </c>
      <c r="I1516" s="415" t="s">
        <v>5494</v>
      </c>
      <c r="J1516" s="415" t="s">
        <v>3899</v>
      </c>
      <c r="K1516" s="419" t="s">
        <v>830</v>
      </c>
      <c r="L1516" s="415" t="s">
        <v>839</v>
      </c>
      <c r="M1516" s="419">
        <v>2128</v>
      </c>
      <c r="N1516" s="413">
        <v>44900</v>
      </c>
      <c r="O1516" s="414" t="s">
        <v>405</v>
      </c>
      <c r="P1516" s="655">
        <f t="shared" si="91"/>
        <v>12</v>
      </c>
      <c r="Q1516" s="655">
        <f t="shared" si="92"/>
        <v>11</v>
      </c>
      <c r="R1516" s="758" t="str">
        <f t="shared" si="90"/>
        <v>Gastos_custeados_por_captação</v>
      </c>
      <c r="S1516" s="697" t="s">
        <v>1000</v>
      </c>
      <c r="T1516" s="697">
        <v>4312</v>
      </c>
    </row>
    <row r="1517" spans="1:20" ht="60" x14ac:dyDescent="0.2">
      <c r="A1517" s="432">
        <f>IF(B1517="","",COUNT('Diário 1º PA'!$A$4:$A$2635)+COUNT('Diário 2º PA'!$A$4:$A$3040)+COUNT('Diário 3º PA'!$A$4:$A$2731)+ROW()-3)</f>
        <v>7542</v>
      </c>
      <c r="B1517" s="413">
        <v>44902</v>
      </c>
      <c r="C1517" s="431">
        <v>44866</v>
      </c>
      <c r="D1517" s="419" t="s">
        <v>468</v>
      </c>
      <c r="E1517" s="419" t="s">
        <v>468</v>
      </c>
      <c r="F1517" s="422">
        <v>2230.5700000000002</v>
      </c>
      <c r="G1517" s="427" t="s">
        <v>8014</v>
      </c>
      <c r="H1517" s="419" t="s">
        <v>468</v>
      </c>
      <c r="I1517" s="415" t="s">
        <v>8795</v>
      </c>
      <c r="J1517" s="415" t="s">
        <v>8015</v>
      </c>
      <c r="K1517" s="419" t="s">
        <v>830</v>
      </c>
      <c r="L1517" s="415" t="s">
        <v>839</v>
      </c>
      <c r="M1517" s="419">
        <v>2132</v>
      </c>
      <c r="N1517" s="413">
        <v>44900</v>
      </c>
      <c r="O1517" s="414" t="s">
        <v>405</v>
      </c>
      <c r="P1517" s="655">
        <f t="shared" si="91"/>
        <v>12</v>
      </c>
      <c r="Q1517" s="655">
        <f t="shared" si="92"/>
        <v>11</v>
      </c>
      <c r="R1517" s="758" t="str">
        <f t="shared" si="90"/>
        <v>Gastos_custeados_por_captação</v>
      </c>
      <c r="S1517" s="697" t="s">
        <v>1000</v>
      </c>
      <c r="T1517" s="697">
        <v>4612</v>
      </c>
    </row>
    <row r="1518" spans="1:20" ht="48" x14ac:dyDescent="0.2">
      <c r="A1518" s="432">
        <f>IF(B1518="","",COUNT('Diário 1º PA'!$A$4:$A$2635)+COUNT('Diário 2º PA'!$A$4:$A$3040)+COUNT('Diário 3º PA'!$A$4:$A$2731)+ROW()-3)</f>
        <v>7543</v>
      </c>
      <c r="B1518" s="413">
        <v>44902</v>
      </c>
      <c r="C1518" s="431">
        <v>44866</v>
      </c>
      <c r="D1518" s="419" t="s">
        <v>468</v>
      </c>
      <c r="E1518" s="419" t="s">
        <v>468</v>
      </c>
      <c r="F1518" s="422">
        <v>1998.6</v>
      </c>
      <c r="G1518" s="427" t="s">
        <v>7592</v>
      </c>
      <c r="H1518" s="419" t="s">
        <v>468</v>
      </c>
      <c r="I1518" s="415" t="s">
        <v>6948</v>
      </c>
      <c r="J1518" s="415" t="s">
        <v>5827</v>
      </c>
      <c r="K1518" s="419" t="s">
        <v>806</v>
      </c>
      <c r="L1518" s="415" t="s">
        <v>839</v>
      </c>
      <c r="M1518" s="419">
        <v>2123</v>
      </c>
      <c r="N1518" s="413">
        <v>44900</v>
      </c>
      <c r="O1518" s="414" t="s">
        <v>404</v>
      </c>
      <c r="P1518" s="655">
        <f t="shared" si="91"/>
        <v>12</v>
      </c>
      <c r="Q1518" s="655">
        <f t="shared" si="92"/>
        <v>11</v>
      </c>
      <c r="R1518" s="758" t="str">
        <f t="shared" si="90"/>
        <v>Gastos_custeados_por_captação</v>
      </c>
      <c r="S1518" s="697" t="s">
        <v>1000</v>
      </c>
      <c r="T1518" s="697">
        <v>4455</v>
      </c>
    </row>
    <row r="1519" spans="1:20" ht="60" x14ac:dyDescent="0.2">
      <c r="A1519" s="432">
        <f>IF(B1519="","",COUNT('Diário 1º PA'!$A$4:$A$2635)+COUNT('Diário 2º PA'!$A$4:$A$3040)+COUNT('Diário 3º PA'!$A$4:$A$2731)+ROW()-3)</f>
        <v>7544</v>
      </c>
      <c r="B1519" s="413">
        <v>44902</v>
      </c>
      <c r="C1519" s="431">
        <v>44866</v>
      </c>
      <c r="D1519" s="419" t="s">
        <v>468</v>
      </c>
      <c r="E1519" s="419" t="s">
        <v>468</v>
      </c>
      <c r="F1519" s="422">
        <v>430</v>
      </c>
      <c r="G1519" s="427" t="s">
        <v>8172</v>
      </c>
      <c r="H1519" s="419" t="s">
        <v>468</v>
      </c>
      <c r="I1519" s="415" t="s">
        <v>8829</v>
      </c>
      <c r="J1519" s="415" t="s">
        <v>8173</v>
      </c>
      <c r="K1519" s="419" t="s">
        <v>806</v>
      </c>
      <c r="L1519" s="415" t="s">
        <v>839</v>
      </c>
      <c r="M1519" s="419">
        <v>2144</v>
      </c>
      <c r="N1519" s="413">
        <v>44901</v>
      </c>
      <c r="O1519" s="414" t="s">
        <v>404</v>
      </c>
      <c r="P1519" s="655">
        <f t="shared" si="91"/>
        <v>12</v>
      </c>
      <c r="Q1519" s="655">
        <f t="shared" si="92"/>
        <v>11</v>
      </c>
      <c r="R1519" s="758" t="str">
        <f t="shared" si="90"/>
        <v>Gastos_custeados_por_captação</v>
      </c>
      <c r="S1519" s="697" t="s">
        <v>998</v>
      </c>
      <c r="T1519" s="697">
        <v>4700</v>
      </c>
    </row>
    <row r="1520" spans="1:20" ht="60" x14ac:dyDescent="0.2">
      <c r="A1520" s="432">
        <f>IF(B1520="","",COUNT('Diário 1º PA'!$A$4:$A$2635)+COUNT('Diário 2º PA'!$A$4:$A$3040)+COUNT('Diário 3º PA'!$A$4:$A$2731)+ROW()-3)</f>
        <v>7545</v>
      </c>
      <c r="B1520" s="413">
        <v>44902</v>
      </c>
      <c r="C1520" s="431">
        <v>44835</v>
      </c>
      <c r="D1520" s="419" t="s">
        <v>468</v>
      </c>
      <c r="E1520" s="419" t="s">
        <v>468</v>
      </c>
      <c r="F1520" s="422">
        <v>283.8</v>
      </c>
      <c r="G1520" s="427" t="s">
        <v>7983</v>
      </c>
      <c r="H1520" s="419" t="s">
        <v>468</v>
      </c>
      <c r="I1520" s="415" t="s">
        <v>8832</v>
      </c>
      <c r="J1520" s="415" t="s">
        <v>7984</v>
      </c>
      <c r="K1520" s="419" t="s">
        <v>806</v>
      </c>
      <c r="L1520" s="415" t="s">
        <v>839</v>
      </c>
      <c r="M1520" s="419">
        <v>2146</v>
      </c>
      <c r="N1520" s="413">
        <v>44901</v>
      </c>
      <c r="O1520" s="414" t="s">
        <v>404</v>
      </c>
      <c r="P1520" s="655">
        <f t="shared" si="91"/>
        <v>12</v>
      </c>
      <c r="Q1520" s="655">
        <f t="shared" si="92"/>
        <v>10</v>
      </c>
      <c r="R1520" s="758" t="str">
        <f t="shared" si="90"/>
        <v>Gastos_custeados_por_captação</v>
      </c>
      <c r="S1520" s="697" t="s">
        <v>998</v>
      </c>
      <c r="T1520" s="697">
        <v>4620</v>
      </c>
    </row>
    <row r="1521" spans="1:20" ht="60" x14ac:dyDescent="0.2">
      <c r="A1521" s="432">
        <f>IF(B1521="","",COUNT('Diário 1º PA'!$A$4:$A$2635)+COUNT('Diário 2º PA'!$A$4:$A$3040)+COUNT('Diário 3º PA'!$A$4:$A$2731)+ROW()-3)</f>
        <v>7546</v>
      </c>
      <c r="B1521" s="413">
        <v>44902</v>
      </c>
      <c r="C1521" s="431">
        <v>44866</v>
      </c>
      <c r="D1521" s="419" t="s">
        <v>468</v>
      </c>
      <c r="E1521" s="419" t="s">
        <v>468</v>
      </c>
      <c r="F1521" s="422">
        <v>2269.2399999999998</v>
      </c>
      <c r="G1521" s="427" t="s">
        <v>7197</v>
      </c>
      <c r="H1521" s="419" t="s">
        <v>468</v>
      </c>
      <c r="I1521" s="415" t="s">
        <v>7888</v>
      </c>
      <c r="J1521" s="415" t="s">
        <v>7198</v>
      </c>
      <c r="K1521" s="419" t="s">
        <v>806</v>
      </c>
      <c r="L1521" s="415" t="s">
        <v>839</v>
      </c>
      <c r="M1521" s="419">
        <v>2133</v>
      </c>
      <c r="N1521" s="413">
        <v>44900</v>
      </c>
      <c r="O1521" s="414" t="s">
        <v>404</v>
      </c>
      <c r="P1521" s="655">
        <f t="shared" si="91"/>
        <v>12</v>
      </c>
      <c r="Q1521" s="655">
        <f t="shared" si="92"/>
        <v>11</v>
      </c>
      <c r="R1521" s="758" t="str">
        <f t="shared" si="90"/>
        <v>Gastos_custeados_por_captação</v>
      </c>
      <c r="S1521" s="697" t="s">
        <v>1000</v>
      </c>
      <c r="T1521" s="697">
        <v>4351</v>
      </c>
    </row>
    <row r="1522" spans="1:20" ht="48" x14ac:dyDescent="0.2">
      <c r="A1522" s="432">
        <f>IF(B1522="","",COUNT('Diário 1º PA'!$A$4:$A$2635)+COUNT('Diário 2º PA'!$A$4:$A$3040)+COUNT('Diário 3º PA'!$A$4:$A$2731)+ROW()-3)</f>
        <v>7547</v>
      </c>
      <c r="B1522" s="413">
        <v>44902</v>
      </c>
      <c r="C1522" s="431">
        <v>44866</v>
      </c>
      <c r="D1522" s="419" t="s">
        <v>468</v>
      </c>
      <c r="E1522" s="419" t="s">
        <v>468</v>
      </c>
      <c r="F1522" s="422">
        <v>2522.5500000000002</v>
      </c>
      <c r="G1522" s="427" t="s">
        <v>6835</v>
      </c>
      <c r="H1522" s="419" t="s">
        <v>468</v>
      </c>
      <c r="I1522" s="415" t="s">
        <v>2358</v>
      </c>
      <c r="J1522" s="415" t="s">
        <v>1132</v>
      </c>
      <c r="K1522" s="419" t="s">
        <v>830</v>
      </c>
      <c r="L1522" s="415" t="s">
        <v>839</v>
      </c>
      <c r="M1522" s="419">
        <v>2138</v>
      </c>
      <c r="N1522" s="413">
        <v>44900</v>
      </c>
      <c r="O1522" s="414" t="s">
        <v>404</v>
      </c>
      <c r="P1522" s="655">
        <f t="shared" si="91"/>
        <v>12</v>
      </c>
      <c r="Q1522" s="655">
        <f t="shared" si="92"/>
        <v>11</v>
      </c>
      <c r="R1522" s="758" t="str">
        <f t="shared" si="90"/>
        <v>Gastos_custeados_por_captação</v>
      </c>
      <c r="S1522" s="697" t="s">
        <v>1000</v>
      </c>
      <c r="T1522" s="697">
        <v>4293</v>
      </c>
    </row>
    <row r="1523" spans="1:20" ht="72" x14ac:dyDescent="0.2">
      <c r="A1523" s="432">
        <f>IF(B1523="","",COUNT('Diário 1º PA'!$A$4:$A$2635)+COUNT('Diário 2º PA'!$A$4:$A$3040)+COUNT('Diário 3º PA'!$A$4:$A$2731)+ROW()-3)</f>
        <v>7548</v>
      </c>
      <c r="B1523" s="413">
        <v>44902</v>
      </c>
      <c r="C1523" s="431">
        <v>44866</v>
      </c>
      <c r="D1523" s="419" t="s">
        <v>468</v>
      </c>
      <c r="E1523" s="419" t="s">
        <v>468</v>
      </c>
      <c r="F1523" s="422">
        <v>1680</v>
      </c>
      <c r="G1523" s="427" t="s">
        <v>6343</v>
      </c>
      <c r="H1523" s="419" t="s">
        <v>468</v>
      </c>
      <c r="I1523" s="415" t="s">
        <v>6303</v>
      </c>
      <c r="J1523" s="415" t="s">
        <v>6030</v>
      </c>
      <c r="K1523" s="419" t="s">
        <v>830</v>
      </c>
      <c r="L1523" s="415" t="s">
        <v>839</v>
      </c>
      <c r="M1523" s="419">
        <v>2140</v>
      </c>
      <c r="N1523" s="413">
        <v>44900</v>
      </c>
      <c r="O1523" s="414" t="s">
        <v>404</v>
      </c>
      <c r="P1523" s="655">
        <f t="shared" si="91"/>
        <v>12</v>
      </c>
      <c r="Q1523" s="655">
        <f t="shared" si="92"/>
        <v>11</v>
      </c>
      <c r="R1523" s="758" t="str">
        <f t="shared" si="90"/>
        <v>Gastos_custeados_por_captação</v>
      </c>
      <c r="S1523" s="697" t="s">
        <v>1000</v>
      </c>
      <c r="T1523" s="697">
        <v>4317</v>
      </c>
    </row>
    <row r="1524" spans="1:20" ht="60" x14ac:dyDescent="0.2">
      <c r="A1524" s="432">
        <f>IF(B1524="","",COUNT('Diário 1º PA'!$A$4:$A$2635)+COUNT('Diário 2º PA'!$A$4:$A$3040)+COUNT('Diário 3º PA'!$A$4:$A$2731)+ROW()-3)</f>
        <v>7549</v>
      </c>
      <c r="B1524" s="413">
        <v>44902</v>
      </c>
      <c r="C1524" s="431">
        <v>44866</v>
      </c>
      <c r="D1524" s="419" t="s">
        <v>468</v>
      </c>
      <c r="E1524" s="419" t="s">
        <v>468</v>
      </c>
      <c r="F1524" s="422">
        <v>1998.6</v>
      </c>
      <c r="G1524" s="427" t="s">
        <v>7572</v>
      </c>
      <c r="H1524" s="419" t="s">
        <v>468</v>
      </c>
      <c r="I1524" s="415" t="s">
        <v>1706</v>
      </c>
      <c r="J1524" s="415" t="s">
        <v>2171</v>
      </c>
      <c r="K1524" s="419" t="s">
        <v>830</v>
      </c>
      <c r="L1524" s="415" t="s">
        <v>839</v>
      </c>
      <c r="M1524" s="419">
        <v>2121</v>
      </c>
      <c r="N1524" s="413">
        <v>44900</v>
      </c>
      <c r="O1524" s="414" t="s">
        <v>404</v>
      </c>
      <c r="P1524" s="655">
        <f t="shared" si="91"/>
        <v>12</v>
      </c>
      <c r="Q1524" s="655">
        <f t="shared" si="92"/>
        <v>11</v>
      </c>
      <c r="R1524" s="758" t="str">
        <f t="shared" si="90"/>
        <v>Gastos_custeados_por_captação</v>
      </c>
      <c r="S1524" s="697" t="s">
        <v>1000</v>
      </c>
      <c r="T1524" s="697">
        <v>4412</v>
      </c>
    </row>
    <row r="1525" spans="1:20" ht="60" x14ac:dyDescent="0.2">
      <c r="A1525" s="432">
        <f>IF(B1525="","",COUNT('Diário 1º PA'!$A$4:$A$2635)+COUNT('Diário 2º PA'!$A$4:$A$3040)+COUNT('Diário 3º PA'!$A$4:$A$2731)+ROW()-3)</f>
        <v>7550</v>
      </c>
      <c r="B1525" s="413">
        <v>44902</v>
      </c>
      <c r="C1525" s="431">
        <v>44835</v>
      </c>
      <c r="D1525" s="419" t="s">
        <v>468</v>
      </c>
      <c r="E1525" s="419" t="s">
        <v>468</v>
      </c>
      <c r="F1525" s="422">
        <v>283.8</v>
      </c>
      <c r="G1525" s="427" t="s">
        <v>7985</v>
      </c>
      <c r="H1525" s="419" t="s">
        <v>468</v>
      </c>
      <c r="I1525" s="415" t="s">
        <v>8846</v>
      </c>
      <c r="J1525" s="415" t="s">
        <v>7986</v>
      </c>
      <c r="K1525" s="419" t="s">
        <v>830</v>
      </c>
      <c r="L1525" s="415" t="s">
        <v>839</v>
      </c>
      <c r="M1525" s="419">
        <v>2147</v>
      </c>
      <c r="N1525" s="413">
        <v>44901</v>
      </c>
      <c r="O1525" s="414" t="s">
        <v>404</v>
      </c>
      <c r="P1525" s="655">
        <f t="shared" si="91"/>
        <v>12</v>
      </c>
      <c r="Q1525" s="655">
        <f t="shared" si="92"/>
        <v>10</v>
      </c>
      <c r="R1525" s="758" t="str">
        <f t="shared" si="90"/>
        <v>Gastos_custeados_por_captação</v>
      </c>
      <c r="S1525" s="697" t="s">
        <v>998</v>
      </c>
      <c r="T1525" s="697">
        <v>4617</v>
      </c>
    </row>
    <row r="1526" spans="1:20" ht="132" x14ac:dyDescent="0.2">
      <c r="A1526" s="432">
        <f>IF(B1526="","",COUNT('Diário 1º PA'!$A$4:$A$2635)+COUNT('Diário 2º PA'!$A$4:$A$3040)+COUNT('Diário 3º PA'!$A$4:$A$2731)+ROW()-3)</f>
        <v>7551</v>
      </c>
      <c r="B1526" s="413">
        <v>44902</v>
      </c>
      <c r="C1526" s="431">
        <v>44866</v>
      </c>
      <c r="D1526" s="419" t="s">
        <v>468</v>
      </c>
      <c r="E1526" s="419" t="s">
        <v>468</v>
      </c>
      <c r="F1526" s="422">
        <v>5697.72</v>
      </c>
      <c r="G1526" s="427" t="s">
        <v>8046</v>
      </c>
      <c r="H1526" s="419" t="s">
        <v>468</v>
      </c>
      <c r="I1526" s="415" t="s">
        <v>3600</v>
      </c>
      <c r="J1526" s="415" t="s">
        <v>1293</v>
      </c>
      <c r="K1526" s="419" t="s">
        <v>830</v>
      </c>
      <c r="L1526" s="415" t="s">
        <v>32</v>
      </c>
      <c r="M1526" s="419" t="s">
        <v>8848</v>
      </c>
      <c r="N1526" s="413">
        <v>44902</v>
      </c>
      <c r="O1526" s="414" t="s">
        <v>404</v>
      </c>
      <c r="P1526" s="655">
        <f t="shared" si="91"/>
        <v>12</v>
      </c>
      <c r="Q1526" s="655">
        <f t="shared" si="92"/>
        <v>11</v>
      </c>
      <c r="R1526" s="758" t="str">
        <f t="shared" ref="R1526:R1542" si="93">SUBSTITUTE(D1526," ","_")</f>
        <v>Gastos_custeados_por_captação</v>
      </c>
      <c r="S1526" s="697" t="s">
        <v>1000</v>
      </c>
      <c r="T1526" s="697">
        <v>4667</v>
      </c>
    </row>
    <row r="1527" spans="1:20" ht="48" x14ac:dyDescent="0.2">
      <c r="A1527" s="432">
        <f>IF(B1527="","",COUNT('Diário 1º PA'!$A$4:$A$2635)+COUNT('Diário 2º PA'!$A$4:$A$3040)+COUNT('Diário 3º PA'!$A$4:$A$2731)+ROW()-3)</f>
        <v>7552</v>
      </c>
      <c r="B1527" s="413">
        <v>44902</v>
      </c>
      <c r="C1527" s="431">
        <v>44866</v>
      </c>
      <c r="D1527" s="419" t="s">
        <v>468</v>
      </c>
      <c r="E1527" s="419" t="s">
        <v>468</v>
      </c>
      <c r="F1527" s="422">
        <v>1998.6</v>
      </c>
      <c r="G1527" s="427" t="s">
        <v>7590</v>
      </c>
      <c r="H1527" s="419" t="s">
        <v>468</v>
      </c>
      <c r="I1527" s="415" t="s">
        <v>6886</v>
      </c>
      <c r="J1527" s="415" t="s">
        <v>5679</v>
      </c>
      <c r="K1527" s="419" t="s">
        <v>830</v>
      </c>
      <c r="L1527" s="415" t="s">
        <v>839</v>
      </c>
      <c r="M1527" s="419">
        <v>2124</v>
      </c>
      <c r="N1527" s="413">
        <v>44900</v>
      </c>
      <c r="O1527" s="414" t="s">
        <v>404</v>
      </c>
      <c r="P1527" s="655">
        <f t="shared" si="91"/>
        <v>12</v>
      </c>
      <c r="Q1527" s="655">
        <f t="shared" si="92"/>
        <v>11</v>
      </c>
      <c r="R1527" s="758" t="str">
        <f t="shared" si="93"/>
        <v>Gastos_custeados_por_captação</v>
      </c>
      <c r="S1527" s="697" t="s">
        <v>1000</v>
      </c>
      <c r="T1527" s="697">
        <v>4454</v>
      </c>
    </row>
    <row r="1528" spans="1:20" ht="60" x14ac:dyDescent="0.2">
      <c r="A1528" s="432">
        <f>IF(B1528="","",COUNT('Diário 1º PA'!$A$4:$A$2635)+COUNT('Diário 2º PA'!$A$4:$A$3040)+COUNT('Diário 3º PA'!$A$4:$A$2731)+ROW()-3)</f>
        <v>7553</v>
      </c>
      <c r="B1528" s="413">
        <v>44902</v>
      </c>
      <c r="C1528" s="431">
        <v>44866</v>
      </c>
      <c r="D1528" s="419" t="s">
        <v>468</v>
      </c>
      <c r="E1528" s="419" t="s">
        <v>468</v>
      </c>
      <c r="F1528" s="422">
        <v>1998.6</v>
      </c>
      <c r="G1528" s="427" t="s">
        <v>7572</v>
      </c>
      <c r="H1528" s="419" t="s">
        <v>468</v>
      </c>
      <c r="I1528" s="415" t="s">
        <v>2691</v>
      </c>
      <c r="J1528" s="415" t="s">
        <v>1163</v>
      </c>
      <c r="K1528" s="419" t="s">
        <v>830</v>
      </c>
      <c r="L1528" s="415" t="s">
        <v>839</v>
      </c>
      <c r="M1528" s="419">
        <v>2122</v>
      </c>
      <c r="N1528" s="413">
        <v>44900</v>
      </c>
      <c r="O1528" s="414" t="s">
        <v>404</v>
      </c>
      <c r="P1528" s="655">
        <f t="shared" si="91"/>
        <v>12</v>
      </c>
      <c r="Q1528" s="655">
        <f t="shared" si="92"/>
        <v>11</v>
      </c>
      <c r="R1528" s="758" t="str">
        <f t="shared" si="93"/>
        <v>Gastos_custeados_por_captação</v>
      </c>
      <c r="S1528" s="697" t="s">
        <v>1000</v>
      </c>
      <c r="T1528" s="697">
        <v>4411</v>
      </c>
    </row>
    <row r="1529" spans="1:20" ht="48" x14ac:dyDescent="0.2">
      <c r="A1529" s="432">
        <f>IF(B1529="","",COUNT('Diário 1º PA'!$A$4:$A$2635)+COUNT('Diário 2º PA'!$A$4:$A$3040)+COUNT('Diário 3º PA'!$A$4:$A$2731)+ROW()-3)</f>
        <v>7554</v>
      </c>
      <c r="B1529" s="413">
        <v>44902</v>
      </c>
      <c r="C1529" s="431">
        <v>44896</v>
      </c>
      <c r="D1529" s="419" t="s">
        <v>468</v>
      </c>
      <c r="E1529" s="419" t="s">
        <v>468</v>
      </c>
      <c r="F1529" s="422">
        <v>2650</v>
      </c>
      <c r="G1529" s="427" t="s">
        <v>697</v>
      </c>
      <c r="H1529" s="419" t="s">
        <v>468</v>
      </c>
      <c r="I1529" s="415" t="s">
        <v>2466</v>
      </c>
      <c r="J1529" s="415" t="s">
        <v>1128</v>
      </c>
      <c r="K1529" s="419" t="s">
        <v>830</v>
      </c>
      <c r="L1529" s="415" t="s">
        <v>32</v>
      </c>
      <c r="M1529" s="419" t="s">
        <v>2186</v>
      </c>
      <c r="N1529" s="413">
        <v>44896</v>
      </c>
      <c r="O1529" s="414" t="s">
        <v>408</v>
      </c>
      <c r="P1529" s="655">
        <f t="shared" si="91"/>
        <v>12</v>
      </c>
      <c r="Q1529" s="655">
        <f t="shared" si="92"/>
        <v>12</v>
      </c>
      <c r="R1529" s="758" t="str">
        <f t="shared" si="93"/>
        <v>Gastos_custeados_por_captação</v>
      </c>
      <c r="S1529" s="697" t="s">
        <v>1000</v>
      </c>
      <c r="T1529" s="697">
        <v>2687</v>
      </c>
    </row>
    <row r="1530" spans="1:20" ht="108" x14ac:dyDescent="0.2">
      <c r="A1530" s="432">
        <f>IF(B1530="","",COUNT('Diário 1º PA'!$A$4:$A$2635)+COUNT('Diário 2º PA'!$A$4:$A$3040)+COUNT('Diário 3º PA'!$A$4:$A$2731)+ROW()-3)</f>
        <v>7555</v>
      </c>
      <c r="B1530" s="413">
        <v>44902</v>
      </c>
      <c r="C1530" s="760">
        <v>44896</v>
      </c>
      <c r="D1530" s="419" t="s">
        <v>468</v>
      </c>
      <c r="E1530" s="419" t="s">
        <v>468</v>
      </c>
      <c r="F1530" s="422">
        <v>238.8</v>
      </c>
      <c r="G1530" s="423" t="s">
        <v>8867</v>
      </c>
      <c r="H1530" s="419" t="s">
        <v>468</v>
      </c>
      <c r="I1530" s="415" t="s">
        <v>8866</v>
      </c>
      <c r="J1530" s="417" t="s">
        <v>8648</v>
      </c>
      <c r="K1530" s="419" t="s">
        <v>812</v>
      </c>
      <c r="L1530" s="415" t="s">
        <v>32</v>
      </c>
      <c r="M1530" s="415" t="s">
        <v>9215</v>
      </c>
      <c r="N1530" s="414">
        <v>44903</v>
      </c>
      <c r="O1530" s="414" t="s">
        <v>408</v>
      </c>
      <c r="P1530" s="655">
        <f t="shared" si="91"/>
        <v>12</v>
      </c>
      <c r="Q1530" s="655">
        <f t="shared" si="92"/>
        <v>12</v>
      </c>
      <c r="R1530" s="758" t="str">
        <f t="shared" si="93"/>
        <v>Gastos_custeados_por_captação</v>
      </c>
      <c r="S1530" s="697" t="s">
        <v>998</v>
      </c>
      <c r="T1530" s="697">
        <v>4864</v>
      </c>
    </row>
    <row r="1531" spans="1:20" ht="48" x14ac:dyDescent="0.2">
      <c r="A1531" s="432">
        <f>IF(B1531="","",COUNT('Diário 1º PA'!$A$4:$A$2635)+COUNT('Diário 2º PA'!$A$4:$A$3040)+COUNT('Diário 3º PA'!$A$4:$A$2731)+ROW()-3)</f>
        <v>7556</v>
      </c>
      <c r="B1531" s="413">
        <v>44902</v>
      </c>
      <c r="C1531" s="431">
        <v>44866</v>
      </c>
      <c r="D1531" s="419" t="s">
        <v>468</v>
      </c>
      <c r="E1531" s="419" t="s">
        <v>468</v>
      </c>
      <c r="F1531" s="422">
        <v>2462.5500000000002</v>
      </c>
      <c r="G1531" s="427" t="s">
        <v>7110</v>
      </c>
      <c r="H1531" s="419" t="s">
        <v>468</v>
      </c>
      <c r="I1531" s="415" t="s">
        <v>8448</v>
      </c>
      <c r="J1531" s="415" t="s">
        <v>7933</v>
      </c>
      <c r="K1531" s="419" t="s">
        <v>830</v>
      </c>
      <c r="L1531" s="415" t="s">
        <v>839</v>
      </c>
      <c r="M1531" s="419">
        <v>2136</v>
      </c>
      <c r="N1531" s="413">
        <v>44900</v>
      </c>
      <c r="O1531" s="414" t="s">
        <v>3762</v>
      </c>
      <c r="P1531" s="655">
        <f t="shared" si="91"/>
        <v>12</v>
      </c>
      <c r="Q1531" s="655">
        <f t="shared" si="92"/>
        <v>11</v>
      </c>
      <c r="R1531" s="758" t="str">
        <f t="shared" si="93"/>
        <v>Gastos_custeados_por_captação</v>
      </c>
      <c r="S1531" s="697" t="s">
        <v>1000</v>
      </c>
      <c r="T1531" s="697">
        <v>4344</v>
      </c>
    </row>
    <row r="1532" spans="1:20" ht="48" x14ac:dyDescent="0.2">
      <c r="A1532" s="432">
        <f>IF(B1532="","",COUNT('Diário 1º PA'!$A$4:$A$2635)+COUNT('Diário 2º PA'!$A$4:$A$3040)+COUNT('Diário 3º PA'!$A$4:$A$2731)+ROW()-3)</f>
        <v>7557</v>
      </c>
      <c r="B1532" s="413">
        <v>44902</v>
      </c>
      <c r="C1532" s="431">
        <v>44866</v>
      </c>
      <c r="D1532" s="419" t="s">
        <v>468</v>
      </c>
      <c r="E1532" s="419" t="s">
        <v>468</v>
      </c>
      <c r="F1532" s="422">
        <v>2462.5500000000002</v>
      </c>
      <c r="G1532" s="427" t="s">
        <v>7110</v>
      </c>
      <c r="H1532" s="419" t="s">
        <v>468</v>
      </c>
      <c r="I1532" s="415" t="s">
        <v>7943</v>
      </c>
      <c r="J1532" s="415" t="s">
        <v>7123</v>
      </c>
      <c r="K1532" s="419" t="s">
        <v>830</v>
      </c>
      <c r="L1532" s="415" t="s">
        <v>839</v>
      </c>
      <c r="M1532" s="419">
        <v>2134</v>
      </c>
      <c r="N1532" s="413">
        <v>44900</v>
      </c>
      <c r="O1532" s="414" t="s">
        <v>3762</v>
      </c>
      <c r="P1532" s="655">
        <f t="shared" si="91"/>
        <v>12</v>
      </c>
      <c r="Q1532" s="655">
        <f t="shared" si="92"/>
        <v>11</v>
      </c>
      <c r="R1532" s="758" t="str">
        <f t="shared" si="93"/>
        <v>Gastos_custeados_por_captação</v>
      </c>
      <c r="S1532" s="697" t="s">
        <v>1000</v>
      </c>
      <c r="T1532" s="697">
        <v>4346</v>
      </c>
    </row>
    <row r="1533" spans="1:20" ht="36" x14ac:dyDescent="0.2">
      <c r="A1533" s="432">
        <f>IF(B1533="","",COUNT('Diário 1º PA'!$A$4:$A$2635)+COUNT('Diário 2º PA'!$A$4:$A$3040)+COUNT('Diário 3º PA'!$A$4:$A$2731)+ROW()-3)</f>
        <v>7558</v>
      </c>
      <c r="B1533" s="413">
        <v>44902</v>
      </c>
      <c r="C1533" s="431">
        <v>44866</v>
      </c>
      <c r="D1533" s="419" t="s">
        <v>468</v>
      </c>
      <c r="E1533" s="419" t="s">
        <v>468</v>
      </c>
      <c r="F1533" s="422">
        <v>1680</v>
      </c>
      <c r="G1533" s="427" t="s">
        <v>7121</v>
      </c>
      <c r="H1533" s="419" t="s">
        <v>468</v>
      </c>
      <c r="I1533" s="415" t="s">
        <v>3587</v>
      </c>
      <c r="J1533" s="415" t="s">
        <v>1991</v>
      </c>
      <c r="K1533" s="419" t="s">
        <v>830</v>
      </c>
      <c r="L1533" s="415" t="s">
        <v>839</v>
      </c>
      <c r="M1533" s="419">
        <v>2125</v>
      </c>
      <c r="N1533" s="413">
        <v>44900</v>
      </c>
      <c r="O1533" s="414" t="s">
        <v>3762</v>
      </c>
      <c r="P1533" s="655">
        <f t="shared" si="91"/>
        <v>12</v>
      </c>
      <c r="Q1533" s="655">
        <f t="shared" si="92"/>
        <v>11</v>
      </c>
      <c r="R1533" s="758" t="str">
        <f t="shared" si="93"/>
        <v>Gastos_custeados_por_captação</v>
      </c>
      <c r="S1533" s="697" t="s">
        <v>1000</v>
      </c>
      <c r="T1533" s="697">
        <v>4343</v>
      </c>
    </row>
    <row r="1534" spans="1:20" ht="36" x14ac:dyDescent="0.2">
      <c r="A1534" s="432">
        <f>IF(B1534="","",COUNT('Diário 1º PA'!$A$4:$A$2635)+COUNT('Diário 2º PA'!$A$4:$A$3040)+COUNT('Diário 3º PA'!$A$4:$A$2731)+ROW()-3)</f>
        <v>7559</v>
      </c>
      <c r="B1534" s="413">
        <v>44902</v>
      </c>
      <c r="C1534" s="431">
        <v>44866</v>
      </c>
      <c r="D1534" s="419" t="s">
        <v>468</v>
      </c>
      <c r="E1534" s="419" t="s">
        <v>468</v>
      </c>
      <c r="F1534" s="422">
        <v>1680</v>
      </c>
      <c r="G1534" s="427" t="s">
        <v>7119</v>
      </c>
      <c r="H1534" s="419" t="s">
        <v>468</v>
      </c>
      <c r="I1534" s="415" t="s">
        <v>3690</v>
      </c>
      <c r="J1534" s="415" t="s">
        <v>1989</v>
      </c>
      <c r="K1534" s="419" t="s">
        <v>830</v>
      </c>
      <c r="L1534" s="415" t="s">
        <v>839</v>
      </c>
      <c r="M1534" s="419">
        <v>2126</v>
      </c>
      <c r="N1534" s="413">
        <v>44900</v>
      </c>
      <c r="O1534" s="414" t="s">
        <v>3762</v>
      </c>
      <c r="P1534" s="655">
        <f t="shared" si="91"/>
        <v>12</v>
      </c>
      <c r="Q1534" s="655">
        <f t="shared" si="92"/>
        <v>11</v>
      </c>
      <c r="R1534" s="758" t="str">
        <f t="shared" si="93"/>
        <v>Gastos_custeados_por_captação</v>
      </c>
      <c r="S1534" s="697" t="s">
        <v>1000</v>
      </c>
      <c r="T1534" s="697">
        <v>4342</v>
      </c>
    </row>
    <row r="1535" spans="1:20" ht="36" x14ac:dyDescent="0.2">
      <c r="A1535" s="432">
        <f>IF(B1535="","",COUNT('Diário 1º PA'!$A$4:$A$2635)+COUNT('Diário 2º PA'!$A$4:$A$3040)+COUNT('Diário 3º PA'!$A$4:$A$2731)+ROW()-3)</f>
        <v>7560</v>
      </c>
      <c r="B1535" s="413">
        <v>44902</v>
      </c>
      <c r="C1535" s="431">
        <v>44866</v>
      </c>
      <c r="D1535" s="419" t="s">
        <v>468</v>
      </c>
      <c r="E1535" s="419" t="s">
        <v>468</v>
      </c>
      <c r="F1535" s="422">
        <v>2522.5500000000002</v>
      </c>
      <c r="G1535" s="427" t="s">
        <v>6835</v>
      </c>
      <c r="H1535" s="419" t="s">
        <v>468</v>
      </c>
      <c r="I1535" s="415" t="s">
        <v>8035</v>
      </c>
      <c r="J1535" s="415" t="s">
        <v>6941</v>
      </c>
      <c r="K1535" s="419" t="s">
        <v>830</v>
      </c>
      <c r="L1535" s="415" t="s">
        <v>839</v>
      </c>
      <c r="M1535" s="419">
        <v>2139</v>
      </c>
      <c r="N1535" s="413">
        <v>44900</v>
      </c>
      <c r="O1535" s="414" t="s">
        <v>3762</v>
      </c>
      <c r="P1535" s="655">
        <f t="shared" si="91"/>
        <v>12</v>
      </c>
      <c r="Q1535" s="655">
        <f t="shared" si="92"/>
        <v>11</v>
      </c>
      <c r="R1535" s="758" t="str">
        <f t="shared" si="93"/>
        <v>Gastos_custeados_por_captação</v>
      </c>
      <c r="S1535" s="697" t="s">
        <v>1000</v>
      </c>
      <c r="T1535" s="697">
        <v>4295</v>
      </c>
    </row>
    <row r="1536" spans="1:20" ht="60" x14ac:dyDescent="0.2">
      <c r="A1536" s="432">
        <f>IF(B1536="","",COUNT('Diário 1º PA'!$A$4:$A$2635)+COUNT('Diário 2º PA'!$A$4:$A$3040)+COUNT('Diário 3º PA'!$A$4:$A$2731)+ROW()-3)</f>
        <v>7561</v>
      </c>
      <c r="B1536" s="413">
        <v>44902</v>
      </c>
      <c r="C1536" s="431">
        <v>44866</v>
      </c>
      <c r="D1536" s="419" t="s">
        <v>468</v>
      </c>
      <c r="E1536" s="419" t="s">
        <v>468</v>
      </c>
      <c r="F1536" s="422">
        <v>2462.5500000000002</v>
      </c>
      <c r="G1536" s="427" t="s">
        <v>7127</v>
      </c>
      <c r="H1536" s="419" t="s">
        <v>468</v>
      </c>
      <c r="I1536" s="415" t="s">
        <v>7937</v>
      </c>
      <c r="J1536" s="415" t="s">
        <v>7128</v>
      </c>
      <c r="K1536" s="419" t="s">
        <v>830</v>
      </c>
      <c r="L1536" s="415" t="s">
        <v>839</v>
      </c>
      <c r="M1536" s="419">
        <v>2130</v>
      </c>
      <c r="N1536" s="413">
        <v>44900</v>
      </c>
      <c r="O1536" s="414" t="s">
        <v>3762</v>
      </c>
      <c r="P1536" s="655">
        <f t="shared" si="91"/>
        <v>12</v>
      </c>
      <c r="Q1536" s="655">
        <f t="shared" si="92"/>
        <v>11</v>
      </c>
      <c r="R1536" s="758" t="str">
        <f t="shared" si="93"/>
        <v>Gastos_custeados_por_captação</v>
      </c>
      <c r="S1536" s="697" t="s">
        <v>1000</v>
      </c>
      <c r="T1536" s="697">
        <v>4301</v>
      </c>
    </row>
    <row r="1537" spans="1:20" ht="36" x14ac:dyDescent="0.2">
      <c r="A1537" s="432">
        <f>IF(B1537="","",COUNT('Diário 1º PA'!$A$4:$A$2635)+COUNT('Diário 2º PA'!$A$4:$A$3040)+COUNT('Diário 3º PA'!$A$4:$A$2731)+ROW()-3)</f>
        <v>7562</v>
      </c>
      <c r="B1537" s="413">
        <v>44902</v>
      </c>
      <c r="C1537" s="431">
        <v>44866</v>
      </c>
      <c r="D1537" s="419" t="s">
        <v>468</v>
      </c>
      <c r="E1537" s="419" t="s">
        <v>468</v>
      </c>
      <c r="F1537" s="422">
        <v>1680</v>
      </c>
      <c r="G1537" s="427" t="s">
        <v>7560</v>
      </c>
      <c r="H1537" s="419" t="s">
        <v>468</v>
      </c>
      <c r="I1537" s="415" t="s">
        <v>6910</v>
      </c>
      <c r="J1537" s="415" t="s">
        <v>1990</v>
      </c>
      <c r="K1537" s="419" t="s">
        <v>830</v>
      </c>
      <c r="L1537" s="415" t="s">
        <v>839</v>
      </c>
      <c r="M1537" s="419">
        <v>2127</v>
      </c>
      <c r="N1537" s="413">
        <v>44900</v>
      </c>
      <c r="O1537" s="414" t="s">
        <v>3762</v>
      </c>
      <c r="P1537" s="655">
        <f t="shared" si="91"/>
        <v>12</v>
      </c>
      <c r="Q1537" s="655">
        <f t="shared" si="92"/>
        <v>11</v>
      </c>
      <c r="R1537" s="758" t="str">
        <f t="shared" si="93"/>
        <v>Gastos_custeados_por_captação</v>
      </c>
      <c r="S1537" s="697" t="s">
        <v>1000</v>
      </c>
      <c r="T1537" s="697">
        <v>4341</v>
      </c>
    </row>
    <row r="1538" spans="1:20" ht="48" x14ac:dyDescent="0.2">
      <c r="A1538" s="432">
        <f>IF(B1538="","",COUNT('Diário 1º PA'!$A$4:$A$2635)+COUNT('Diário 2º PA'!$A$4:$A$3040)+COUNT('Diário 3º PA'!$A$4:$A$2731)+ROW()-3)</f>
        <v>7563</v>
      </c>
      <c r="B1538" s="413">
        <v>44902</v>
      </c>
      <c r="C1538" s="431">
        <v>44866</v>
      </c>
      <c r="D1538" s="419" t="s">
        <v>468</v>
      </c>
      <c r="E1538" s="419" t="s">
        <v>468</v>
      </c>
      <c r="F1538" s="422">
        <v>2462.5500000000002</v>
      </c>
      <c r="G1538" s="427" t="s">
        <v>7110</v>
      </c>
      <c r="H1538" s="419" t="s">
        <v>468</v>
      </c>
      <c r="I1538" s="415" t="s">
        <v>7093</v>
      </c>
      <c r="J1538" s="415" t="s">
        <v>1109</v>
      </c>
      <c r="K1538" s="419" t="s">
        <v>830</v>
      </c>
      <c r="L1538" s="415" t="s">
        <v>839</v>
      </c>
      <c r="M1538" s="419">
        <v>2135</v>
      </c>
      <c r="N1538" s="413">
        <v>44900</v>
      </c>
      <c r="O1538" s="414" t="s">
        <v>3762</v>
      </c>
      <c r="P1538" s="655">
        <f t="shared" si="91"/>
        <v>12</v>
      </c>
      <c r="Q1538" s="655">
        <f t="shared" si="92"/>
        <v>11</v>
      </c>
      <c r="R1538" s="758" t="str">
        <f t="shared" si="93"/>
        <v>Gastos_custeados_por_captação</v>
      </c>
      <c r="S1538" s="697" t="s">
        <v>1000</v>
      </c>
      <c r="T1538" s="697">
        <v>4345</v>
      </c>
    </row>
    <row r="1539" spans="1:20" ht="156" x14ac:dyDescent="0.2">
      <c r="A1539" s="432">
        <f>IF(B1539="","",COUNT('Diário 1º PA'!$A$4:$A$2635)+COUNT('Diário 2º PA'!$A$4:$A$3040)+COUNT('Diário 3º PA'!$A$4:$A$2731)+ROW()-3)</f>
        <v>7564</v>
      </c>
      <c r="B1539" s="413">
        <v>44902</v>
      </c>
      <c r="C1539" s="431">
        <v>44866</v>
      </c>
      <c r="D1539" s="419" t="s">
        <v>468</v>
      </c>
      <c r="E1539" s="419" t="s">
        <v>468</v>
      </c>
      <c r="F1539" s="422">
        <v>2000</v>
      </c>
      <c r="G1539" s="427" t="s">
        <v>4470</v>
      </c>
      <c r="H1539" s="419" t="s">
        <v>468</v>
      </c>
      <c r="I1539" s="415" t="s">
        <v>8464</v>
      </c>
      <c r="J1539" s="415" t="s">
        <v>7588</v>
      </c>
      <c r="K1539" s="419" t="s">
        <v>830</v>
      </c>
      <c r="L1539" s="415" t="s">
        <v>32</v>
      </c>
      <c r="M1539" s="419" t="s">
        <v>3763</v>
      </c>
      <c r="N1539" s="413">
        <v>44900</v>
      </c>
      <c r="O1539" s="414" t="s">
        <v>3762</v>
      </c>
      <c r="P1539" s="655">
        <f t="shared" si="91"/>
        <v>12</v>
      </c>
      <c r="Q1539" s="655">
        <f t="shared" si="92"/>
        <v>11</v>
      </c>
      <c r="R1539" s="758" t="str">
        <f t="shared" si="93"/>
        <v>Gastos_custeados_por_captação</v>
      </c>
      <c r="S1539" s="697" t="s">
        <v>1000</v>
      </c>
      <c r="T1539" s="697">
        <v>4433</v>
      </c>
    </row>
    <row r="1540" spans="1:20" ht="84" x14ac:dyDescent="0.2">
      <c r="A1540" s="432">
        <f>IF(B1540="","",COUNT('Diário 1º PA'!$A$4:$A$2635)+COUNT('Diário 2º PA'!$A$4:$A$3040)+COUNT('Diário 3º PA'!$A$4:$A$2731)+ROW()-3)</f>
        <v>7565</v>
      </c>
      <c r="B1540" s="413">
        <v>44903</v>
      </c>
      <c r="C1540" s="431">
        <v>44866</v>
      </c>
      <c r="D1540" s="419" t="s">
        <v>468</v>
      </c>
      <c r="E1540" s="419" t="s">
        <v>468</v>
      </c>
      <c r="F1540" s="422">
        <v>2650.92</v>
      </c>
      <c r="G1540" s="427" t="s">
        <v>8110</v>
      </c>
      <c r="H1540" s="419" t="s">
        <v>468</v>
      </c>
      <c r="I1540" s="415" t="s">
        <v>9090</v>
      </c>
      <c r="J1540" s="415" t="s">
        <v>8111</v>
      </c>
      <c r="K1540" s="419" t="s">
        <v>806</v>
      </c>
      <c r="L1540" s="415" t="s">
        <v>839</v>
      </c>
      <c r="M1540" s="419">
        <v>2143</v>
      </c>
      <c r="N1540" s="413">
        <v>44901</v>
      </c>
      <c r="O1540" s="414" t="s">
        <v>3762</v>
      </c>
      <c r="P1540" s="655">
        <f t="shared" si="91"/>
        <v>12</v>
      </c>
      <c r="Q1540" s="655">
        <f t="shared" si="92"/>
        <v>11</v>
      </c>
      <c r="R1540" s="758" t="str">
        <f t="shared" si="93"/>
        <v>Gastos_custeados_por_captação</v>
      </c>
      <c r="S1540" s="697" t="s">
        <v>1000</v>
      </c>
      <c r="T1540" s="697">
        <v>4680</v>
      </c>
    </row>
    <row r="1541" spans="1:20" ht="48" x14ac:dyDescent="0.2">
      <c r="A1541" s="432">
        <f>IF(B1541="","",COUNT('Diário 1º PA'!$A$4:$A$2635)+COUNT('Diário 2º PA'!$A$4:$A$3040)+COUNT('Diário 3º PA'!$A$4:$A$2731)+ROW()-3)</f>
        <v>7566</v>
      </c>
      <c r="B1541" s="413">
        <v>44904</v>
      </c>
      <c r="C1541" s="466">
        <v>44866</v>
      </c>
      <c r="D1541" s="426" t="s">
        <v>271</v>
      </c>
      <c r="E1541" s="426" t="s">
        <v>297</v>
      </c>
      <c r="F1541" s="686">
        <v>-28.94</v>
      </c>
      <c r="G1541" s="642" t="s">
        <v>3907</v>
      </c>
      <c r="H1541" s="426" t="s">
        <v>309</v>
      </c>
      <c r="I1541" s="434" t="s">
        <v>795</v>
      </c>
      <c r="J1541" s="426" t="s">
        <v>796</v>
      </c>
      <c r="K1541" s="426" t="s">
        <v>797</v>
      </c>
      <c r="L1541" s="434" t="s">
        <v>798</v>
      </c>
      <c r="M1541" s="426" t="s">
        <v>310</v>
      </c>
      <c r="N1541" s="413">
        <v>44902</v>
      </c>
      <c r="O1541" s="414" t="s">
        <v>400</v>
      </c>
      <c r="P1541" s="655">
        <f t="shared" si="91"/>
        <v>12</v>
      </c>
      <c r="Q1541" s="655">
        <f t="shared" si="92"/>
        <v>11</v>
      </c>
      <c r="R1541" s="758" t="str">
        <f t="shared" si="93"/>
        <v>Gastos_Gerais</v>
      </c>
      <c r="S1541" s="697" t="s">
        <v>310</v>
      </c>
      <c r="T1541" s="697" t="s">
        <v>310</v>
      </c>
    </row>
    <row r="1542" spans="1:20" ht="48" x14ac:dyDescent="0.2">
      <c r="A1542" s="432">
        <f>IF(B1542="","",COUNT('Diário 1º PA'!$A$4:$A$2635)+COUNT('Diário 2º PA'!$A$4:$A$3040)+COUNT('Diário 3º PA'!$A$4:$A$2731)+ROW()-3)</f>
        <v>7567</v>
      </c>
      <c r="B1542" s="413">
        <v>44904</v>
      </c>
      <c r="C1542" s="466">
        <v>44866</v>
      </c>
      <c r="D1542" s="419" t="s">
        <v>271</v>
      </c>
      <c r="E1542" s="419" t="s">
        <v>297</v>
      </c>
      <c r="F1542" s="422">
        <v>-14.47</v>
      </c>
      <c r="G1542" s="423" t="s">
        <v>3909</v>
      </c>
      <c r="H1542" s="419" t="s">
        <v>309</v>
      </c>
      <c r="I1542" s="415" t="s">
        <v>795</v>
      </c>
      <c r="J1542" s="419" t="s">
        <v>796</v>
      </c>
      <c r="K1542" s="419" t="s">
        <v>797</v>
      </c>
      <c r="L1542" s="415" t="s">
        <v>798</v>
      </c>
      <c r="M1542" s="419" t="s">
        <v>310</v>
      </c>
      <c r="N1542" s="413">
        <v>44902</v>
      </c>
      <c r="O1542" s="414" t="s">
        <v>400</v>
      </c>
      <c r="P1542" s="655">
        <f t="shared" si="91"/>
        <v>12</v>
      </c>
      <c r="Q1542" s="655">
        <f t="shared" si="92"/>
        <v>11</v>
      </c>
      <c r="R1542" s="758" t="str">
        <f t="shared" si="93"/>
        <v>Gastos_Gerais</v>
      </c>
      <c r="S1542" s="697" t="s">
        <v>310</v>
      </c>
      <c r="T1542" s="697" t="s">
        <v>310</v>
      </c>
    </row>
    <row r="1543" spans="1:20" ht="48" x14ac:dyDescent="0.2">
      <c r="A1543" s="432">
        <f>IF(B1543="","",COUNT('Diário 1º PA'!$A$4:$A$2635)+COUNT('Diário 2º PA'!$A$4:$A$3040)+COUNT('Diário 3º PA'!$A$4:$A$2731)+ROW()-3)</f>
        <v>7568</v>
      </c>
      <c r="B1543" s="413">
        <v>44904</v>
      </c>
      <c r="C1543" s="466">
        <v>44866</v>
      </c>
      <c r="D1543" s="426" t="s">
        <v>271</v>
      </c>
      <c r="E1543" s="426" t="s">
        <v>297</v>
      </c>
      <c r="F1543" s="686">
        <v>-274.93</v>
      </c>
      <c r="G1543" s="642" t="s">
        <v>6345</v>
      </c>
      <c r="H1543" s="426" t="s">
        <v>309</v>
      </c>
      <c r="I1543" s="434" t="s">
        <v>795</v>
      </c>
      <c r="J1543" s="426" t="s">
        <v>796</v>
      </c>
      <c r="K1543" s="426" t="s">
        <v>797</v>
      </c>
      <c r="L1543" s="434" t="s">
        <v>798</v>
      </c>
      <c r="M1543" s="426" t="s">
        <v>310</v>
      </c>
      <c r="N1543" s="413">
        <v>44902</v>
      </c>
      <c r="O1543" s="414" t="s">
        <v>400</v>
      </c>
      <c r="P1543" s="655">
        <f t="shared" si="91"/>
        <v>12</v>
      </c>
      <c r="Q1543" s="655">
        <f t="shared" si="92"/>
        <v>11</v>
      </c>
      <c r="R1543" s="758" t="s">
        <v>1531</v>
      </c>
      <c r="S1543" s="697" t="s">
        <v>310</v>
      </c>
      <c r="T1543" s="697" t="s">
        <v>310</v>
      </c>
    </row>
    <row r="1544" spans="1:20" ht="120" x14ac:dyDescent="0.2">
      <c r="A1544" s="432">
        <f>IF(B1544="","",COUNT('Diário 1º PA'!$A$4:$A$2635)+COUNT('Diário 2º PA'!$A$4:$A$3040)+COUNT('Diário 3º PA'!$A$4:$A$2731)+ROW()-3)</f>
        <v>7569</v>
      </c>
      <c r="B1544" s="413">
        <v>44904</v>
      </c>
      <c r="C1544" s="424">
        <v>44866</v>
      </c>
      <c r="D1544" s="419" t="s">
        <v>271</v>
      </c>
      <c r="E1544" s="419" t="s">
        <v>297</v>
      </c>
      <c r="F1544" s="422">
        <v>1215.48</v>
      </c>
      <c r="G1544" s="423" t="s">
        <v>3925</v>
      </c>
      <c r="H1544" s="419" t="s">
        <v>309</v>
      </c>
      <c r="I1544" s="415" t="s">
        <v>776</v>
      </c>
      <c r="J1544" s="419" t="s">
        <v>1036</v>
      </c>
      <c r="K1544" s="419" t="s">
        <v>812</v>
      </c>
      <c r="L1544" s="415" t="s">
        <v>32</v>
      </c>
      <c r="M1544" s="419">
        <v>54552</v>
      </c>
      <c r="N1544" s="413">
        <v>44896</v>
      </c>
      <c r="O1544" s="414" t="s">
        <v>400</v>
      </c>
      <c r="P1544" s="655">
        <f t="shared" si="91"/>
        <v>12</v>
      </c>
      <c r="Q1544" s="655">
        <f t="shared" si="92"/>
        <v>11</v>
      </c>
      <c r="R1544" s="758" t="str">
        <f t="shared" ref="R1544:R1607" si="94">SUBSTITUTE(D1544," ","_")</f>
        <v>Gastos_Gerais</v>
      </c>
      <c r="S1544" s="697" t="s">
        <v>1000</v>
      </c>
      <c r="T1544" s="697">
        <v>1141</v>
      </c>
    </row>
    <row r="1545" spans="1:20" ht="36" x14ac:dyDescent="0.2">
      <c r="A1545" s="432">
        <f>IF(B1545="","",COUNT('Diário 1º PA'!$A$4:$A$2635)+COUNT('Diário 2º PA'!$A$4:$A$3040)+COUNT('Diário 3º PA'!$A$4:$A$2731)+ROW()-3)</f>
        <v>7570</v>
      </c>
      <c r="B1545" s="413">
        <v>44904</v>
      </c>
      <c r="C1545" s="431">
        <v>44835</v>
      </c>
      <c r="D1545" s="415" t="s">
        <v>271</v>
      </c>
      <c r="E1545" s="415" t="s">
        <v>456</v>
      </c>
      <c r="F1545" s="422">
        <v>100</v>
      </c>
      <c r="G1545" s="419" t="s">
        <v>8243</v>
      </c>
      <c r="H1545" s="415" t="s">
        <v>751</v>
      </c>
      <c r="I1545" s="415" t="s">
        <v>764</v>
      </c>
      <c r="J1545" s="419" t="s">
        <v>310</v>
      </c>
      <c r="K1545" s="419" t="s">
        <v>1220</v>
      </c>
      <c r="L1545" s="415" t="s">
        <v>1281</v>
      </c>
      <c r="M1545" s="597">
        <v>222282524910</v>
      </c>
      <c r="N1545" s="413">
        <v>44904</v>
      </c>
      <c r="O1545" s="414" t="s">
        <v>400</v>
      </c>
      <c r="P1545" s="655">
        <f t="shared" si="91"/>
        <v>12</v>
      </c>
      <c r="Q1545" s="655">
        <f t="shared" si="92"/>
        <v>10</v>
      </c>
      <c r="R1545" s="758" t="str">
        <f t="shared" si="94"/>
        <v>Gastos_Gerais</v>
      </c>
      <c r="S1545" s="697" t="s">
        <v>310</v>
      </c>
      <c r="T1545" s="697" t="s">
        <v>310</v>
      </c>
    </row>
    <row r="1546" spans="1:20" ht="24" x14ac:dyDescent="0.2">
      <c r="A1546" s="432">
        <f>IF(B1546="","",COUNT('Diário 1º PA'!$A$4:$A$2635)+COUNT('Diário 2º PA'!$A$4:$A$3040)+COUNT('Diário 3º PA'!$A$4:$A$2731)+ROW()-3)</f>
        <v>7571</v>
      </c>
      <c r="B1546" s="413">
        <v>44904</v>
      </c>
      <c r="C1546" s="421">
        <v>44866</v>
      </c>
      <c r="D1546" s="419" t="s">
        <v>182</v>
      </c>
      <c r="E1546" s="419" t="s">
        <v>161</v>
      </c>
      <c r="F1546" s="422">
        <v>0.94</v>
      </c>
      <c r="G1546" s="419" t="s">
        <v>8741</v>
      </c>
      <c r="H1546" s="419" t="s">
        <v>310</v>
      </c>
      <c r="I1546" s="415" t="s">
        <v>764</v>
      </c>
      <c r="J1546" s="419" t="s">
        <v>310</v>
      </c>
      <c r="K1546" s="419" t="s">
        <v>1220</v>
      </c>
      <c r="L1546" s="415" t="s">
        <v>1281</v>
      </c>
      <c r="M1546" s="597">
        <v>222282526963</v>
      </c>
      <c r="N1546" s="413">
        <v>44904</v>
      </c>
      <c r="O1546" s="414" t="s">
        <v>400</v>
      </c>
      <c r="P1546" s="655">
        <f t="shared" si="91"/>
        <v>12</v>
      </c>
      <c r="Q1546" s="655">
        <f t="shared" si="92"/>
        <v>11</v>
      </c>
      <c r="R1546" s="758" t="str">
        <f t="shared" si="94"/>
        <v>Gastos_com_Pessoal</v>
      </c>
      <c r="S1546" s="697" t="s">
        <v>310</v>
      </c>
      <c r="T1546" s="697" t="s">
        <v>310</v>
      </c>
    </row>
    <row r="1547" spans="1:20" ht="24" x14ac:dyDescent="0.2">
      <c r="A1547" s="432">
        <f>IF(B1547="","",COUNT('Diário 1º PA'!$A$4:$A$2635)+COUNT('Diário 2º PA'!$A$4:$A$3040)+COUNT('Diário 3º PA'!$A$4:$A$2731)+ROW()-3)</f>
        <v>7572</v>
      </c>
      <c r="B1547" s="413">
        <v>44904</v>
      </c>
      <c r="C1547" s="431">
        <v>44866</v>
      </c>
      <c r="D1547" s="419" t="s">
        <v>271</v>
      </c>
      <c r="E1547" s="415" t="s">
        <v>297</v>
      </c>
      <c r="F1547" s="422">
        <v>16</v>
      </c>
      <c r="G1547" s="419" t="s">
        <v>8742</v>
      </c>
      <c r="H1547" s="419" t="s">
        <v>309</v>
      </c>
      <c r="I1547" s="415" t="s">
        <v>764</v>
      </c>
      <c r="J1547" s="419" t="s">
        <v>310</v>
      </c>
      <c r="K1547" s="419" t="s">
        <v>1220</v>
      </c>
      <c r="L1547" s="415" t="s">
        <v>1281</v>
      </c>
      <c r="M1547" s="597">
        <v>222282522976</v>
      </c>
      <c r="N1547" s="413">
        <v>44904</v>
      </c>
      <c r="O1547" s="414" t="s">
        <v>400</v>
      </c>
      <c r="P1547" s="655">
        <f t="shared" si="91"/>
        <v>12</v>
      </c>
      <c r="Q1547" s="655">
        <f t="shared" si="92"/>
        <v>11</v>
      </c>
      <c r="R1547" s="758" t="str">
        <f t="shared" si="94"/>
        <v>Gastos_Gerais</v>
      </c>
      <c r="S1547" s="697" t="s">
        <v>310</v>
      </c>
      <c r="T1547" s="697" t="s">
        <v>310</v>
      </c>
    </row>
    <row r="1548" spans="1:20" ht="24" x14ac:dyDescent="0.2">
      <c r="A1548" s="432">
        <f>IF(B1548="","",COUNT('Diário 1º PA'!$A$4:$A$2635)+COUNT('Diário 2º PA'!$A$4:$A$3040)+COUNT('Diário 3º PA'!$A$4:$A$2731)+ROW()-3)</f>
        <v>7573</v>
      </c>
      <c r="B1548" s="413">
        <v>44904</v>
      </c>
      <c r="C1548" s="431">
        <v>44866</v>
      </c>
      <c r="D1548" s="419" t="s">
        <v>271</v>
      </c>
      <c r="E1548" s="415" t="s">
        <v>297</v>
      </c>
      <c r="F1548" s="422">
        <v>750</v>
      </c>
      <c r="G1548" s="419" t="s">
        <v>8247</v>
      </c>
      <c r="H1548" s="419" t="s">
        <v>8113</v>
      </c>
      <c r="I1548" s="415" t="s">
        <v>764</v>
      </c>
      <c r="J1548" s="419" t="s">
        <v>310</v>
      </c>
      <c r="K1548" s="419" t="s">
        <v>1220</v>
      </c>
      <c r="L1548" s="415" t="s">
        <v>1281</v>
      </c>
      <c r="M1548" s="597">
        <v>222282525568</v>
      </c>
      <c r="N1548" s="413">
        <v>44904</v>
      </c>
      <c r="O1548" s="414" t="s">
        <v>400</v>
      </c>
      <c r="P1548" s="655">
        <f t="shared" si="91"/>
        <v>12</v>
      </c>
      <c r="Q1548" s="655">
        <f t="shared" si="92"/>
        <v>11</v>
      </c>
      <c r="R1548" s="758" t="str">
        <f t="shared" si="94"/>
        <v>Gastos_Gerais</v>
      </c>
      <c r="S1548" s="697" t="s">
        <v>310</v>
      </c>
      <c r="T1548" s="697" t="s">
        <v>310</v>
      </c>
    </row>
    <row r="1549" spans="1:20" ht="24" x14ac:dyDescent="0.2">
      <c r="A1549" s="432">
        <f>IF(B1549="","",COUNT('Diário 1º PA'!$A$4:$A$2635)+COUNT('Diário 2º PA'!$A$4:$A$3040)+COUNT('Diário 3º PA'!$A$4:$A$2731)+ROW()-3)</f>
        <v>7574</v>
      </c>
      <c r="B1549" s="413">
        <v>44904</v>
      </c>
      <c r="C1549" s="433">
        <v>44866</v>
      </c>
      <c r="D1549" s="434" t="s">
        <v>182</v>
      </c>
      <c r="E1549" s="434" t="s">
        <v>179</v>
      </c>
      <c r="F1549" s="422">
        <v>19.62</v>
      </c>
      <c r="G1549" s="419" t="s">
        <v>8642</v>
      </c>
      <c r="H1549" s="434" t="s">
        <v>310</v>
      </c>
      <c r="I1549" s="415" t="s">
        <v>764</v>
      </c>
      <c r="J1549" s="419" t="s">
        <v>310</v>
      </c>
      <c r="K1549" s="419" t="s">
        <v>1220</v>
      </c>
      <c r="L1549" s="415" t="s">
        <v>1281</v>
      </c>
      <c r="M1549" s="597">
        <v>222282525720</v>
      </c>
      <c r="N1549" s="413">
        <v>44904</v>
      </c>
      <c r="O1549" s="414" t="s">
        <v>400</v>
      </c>
      <c r="P1549" s="655">
        <f t="shared" si="91"/>
        <v>12</v>
      </c>
      <c r="Q1549" s="655">
        <f t="shared" si="92"/>
        <v>11</v>
      </c>
      <c r="R1549" s="758" t="str">
        <f t="shared" si="94"/>
        <v>Gastos_com_Pessoal</v>
      </c>
      <c r="S1549" s="697" t="s">
        <v>310</v>
      </c>
      <c r="T1549" s="697" t="s">
        <v>310</v>
      </c>
    </row>
    <row r="1550" spans="1:20" ht="36" x14ac:dyDescent="0.2">
      <c r="A1550" s="432">
        <f>IF(B1550="","",COUNT('Diário 1º PA'!$A$4:$A$2635)+COUNT('Diário 2º PA'!$A$4:$A$3040)+COUNT('Diário 3º PA'!$A$4:$A$2731)+ROW()-3)</f>
        <v>7575</v>
      </c>
      <c r="B1550" s="413">
        <v>44904</v>
      </c>
      <c r="C1550" s="431">
        <v>44835</v>
      </c>
      <c r="D1550" s="419" t="s">
        <v>271</v>
      </c>
      <c r="E1550" s="419" t="s">
        <v>456</v>
      </c>
      <c r="F1550" s="422">
        <v>95</v>
      </c>
      <c r="G1550" s="419" t="s">
        <v>8301</v>
      </c>
      <c r="H1550" s="415" t="s">
        <v>757</v>
      </c>
      <c r="I1550" s="415" t="s">
        <v>764</v>
      </c>
      <c r="J1550" s="419" t="s">
        <v>310</v>
      </c>
      <c r="K1550" s="419" t="s">
        <v>1220</v>
      </c>
      <c r="L1550" s="415" t="s">
        <v>1281</v>
      </c>
      <c r="M1550" s="597">
        <v>222282525304</v>
      </c>
      <c r="N1550" s="413">
        <v>44904</v>
      </c>
      <c r="O1550" s="414" t="s">
        <v>400</v>
      </c>
      <c r="P1550" s="655">
        <f t="shared" si="91"/>
        <v>12</v>
      </c>
      <c r="Q1550" s="655">
        <f t="shared" si="92"/>
        <v>10</v>
      </c>
      <c r="R1550" s="758" t="str">
        <f t="shared" si="94"/>
        <v>Gastos_Gerais</v>
      </c>
      <c r="S1550" s="697" t="s">
        <v>310</v>
      </c>
      <c r="T1550" s="697" t="s">
        <v>310</v>
      </c>
    </row>
    <row r="1551" spans="1:20" ht="24" x14ac:dyDescent="0.2">
      <c r="A1551" s="432">
        <f>IF(B1551="","",COUNT('Diário 1º PA'!$A$4:$A$2635)+COUNT('Diário 2º PA'!$A$4:$A$3040)+COUNT('Diário 3º PA'!$A$4:$A$2731)+ROW()-3)</f>
        <v>7576</v>
      </c>
      <c r="B1551" s="413">
        <v>44904</v>
      </c>
      <c r="C1551" s="421">
        <v>44866</v>
      </c>
      <c r="D1551" s="434" t="s">
        <v>182</v>
      </c>
      <c r="E1551" s="419" t="s">
        <v>161</v>
      </c>
      <c r="F1551" s="422">
        <v>0.06</v>
      </c>
      <c r="G1551" s="419" t="s">
        <v>8743</v>
      </c>
      <c r="H1551" s="419" t="s">
        <v>310</v>
      </c>
      <c r="I1551" s="415" t="s">
        <v>764</v>
      </c>
      <c r="J1551" s="419" t="s">
        <v>310</v>
      </c>
      <c r="K1551" s="419" t="s">
        <v>1220</v>
      </c>
      <c r="L1551" s="415" t="s">
        <v>1281</v>
      </c>
      <c r="M1551" s="597">
        <v>222282526459</v>
      </c>
      <c r="N1551" s="413">
        <v>44904</v>
      </c>
      <c r="O1551" s="414" t="s">
        <v>400</v>
      </c>
      <c r="P1551" s="655">
        <f t="shared" si="91"/>
        <v>12</v>
      </c>
      <c r="Q1551" s="655">
        <f t="shared" si="92"/>
        <v>11</v>
      </c>
      <c r="R1551" s="758" t="str">
        <f t="shared" si="94"/>
        <v>Gastos_com_Pessoal</v>
      </c>
      <c r="S1551" s="697" t="s">
        <v>310</v>
      </c>
      <c r="T1551" s="697" t="s">
        <v>310</v>
      </c>
    </row>
    <row r="1552" spans="1:20" ht="36" x14ac:dyDescent="0.2">
      <c r="A1552" s="432">
        <f>IF(B1552="","",COUNT('Diário 1º PA'!$A$4:$A$2635)+COUNT('Diário 2º PA'!$A$4:$A$3040)+COUNT('Diário 3º PA'!$A$4:$A$2731)+ROW()-3)</f>
        <v>7577</v>
      </c>
      <c r="B1552" s="413">
        <v>44904</v>
      </c>
      <c r="C1552" s="431">
        <v>44835</v>
      </c>
      <c r="D1552" s="415" t="s">
        <v>271</v>
      </c>
      <c r="E1552" s="415" t="s">
        <v>186</v>
      </c>
      <c r="F1552" s="422">
        <v>75.7</v>
      </c>
      <c r="G1552" s="419" t="s">
        <v>8358</v>
      </c>
      <c r="H1552" s="415" t="s">
        <v>751</v>
      </c>
      <c r="I1552" s="415" t="s">
        <v>764</v>
      </c>
      <c r="J1552" s="419" t="s">
        <v>310</v>
      </c>
      <c r="K1552" s="419" t="s">
        <v>1220</v>
      </c>
      <c r="L1552" s="415" t="s">
        <v>1281</v>
      </c>
      <c r="M1552" s="597">
        <v>222282522461</v>
      </c>
      <c r="N1552" s="413">
        <v>44904</v>
      </c>
      <c r="O1552" s="414" t="s">
        <v>400</v>
      </c>
      <c r="P1552" s="655">
        <f t="shared" si="91"/>
        <v>12</v>
      </c>
      <c r="Q1552" s="655">
        <f t="shared" si="92"/>
        <v>10</v>
      </c>
      <c r="R1552" s="758" t="str">
        <f t="shared" si="94"/>
        <v>Gastos_Gerais</v>
      </c>
      <c r="S1552" s="697" t="s">
        <v>310</v>
      </c>
      <c r="T1552" s="697" t="s">
        <v>310</v>
      </c>
    </row>
    <row r="1553" spans="1:20" ht="24" x14ac:dyDescent="0.2">
      <c r="A1553" s="432">
        <f>IF(B1553="","",COUNT('Diário 1º PA'!$A$4:$A$2635)+COUNT('Diário 2º PA'!$A$4:$A$3040)+COUNT('Diário 3º PA'!$A$4:$A$2731)+ROW()-3)</f>
        <v>7578</v>
      </c>
      <c r="B1553" s="413">
        <v>44904</v>
      </c>
      <c r="C1553" s="431">
        <v>44835</v>
      </c>
      <c r="D1553" s="415" t="s">
        <v>271</v>
      </c>
      <c r="E1553" s="415" t="s">
        <v>9</v>
      </c>
      <c r="F1553" s="422">
        <v>292.81</v>
      </c>
      <c r="G1553" s="419" t="s">
        <v>8054</v>
      </c>
      <c r="H1553" s="415" t="s">
        <v>309</v>
      </c>
      <c r="I1553" s="415" t="s">
        <v>764</v>
      </c>
      <c r="J1553" s="419" t="s">
        <v>310</v>
      </c>
      <c r="K1553" s="419" t="s">
        <v>1220</v>
      </c>
      <c r="L1553" s="415" t="s">
        <v>1281</v>
      </c>
      <c r="M1553" s="597">
        <v>222282516577</v>
      </c>
      <c r="N1553" s="413">
        <v>44904</v>
      </c>
      <c r="O1553" s="414" t="s">
        <v>400</v>
      </c>
      <c r="P1553" s="655">
        <f t="shared" si="91"/>
        <v>12</v>
      </c>
      <c r="Q1553" s="655">
        <f t="shared" si="92"/>
        <v>10</v>
      </c>
      <c r="R1553" s="758" t="str">
        <f t="shared" si="94"/>
        <v>Gastos_Gerais</v>
      </c>
      <c r="S1553" s="697" t="s">
        <v>310</v>
      </c>
      <c r="T1553" s="697" t="s">
        <v>310</v>
      </c>
    </row>
    <row r="1554" spans="1:20" ht="36" x14ac:dyDescent="0.2">
      <c r="A1554" s="432">
        <f>IF(B1554="","",COUNT('Diário 1º PA'!$A$4:$A$2635)+COUNT('Diário 2º PA'!$A$4:$A$3040)+COUNT('Diário 3º PA'!$A$4:$A$2731)+ROW()-3)</f>
        <v>7579</v>
      </c>
      <c r="B1554" s="413">
        <v>44904</v>
      </c>
      <c r="C1554" s="431">
        <v>44835</v>
      </c>
      <c r="D1554" s="415" t="s">
        <v>271</v>
      </c>
      <c r="E1554" s="415" t="s">
        <v>465</v>
      </c>
      <c r="F1554" s="422">
        <v>5.8</v>
      </c>
      <c r="G1554" s="419" t="s">
        <v>8182</v>
      </c>
      <c r="H1554" s="415" t="s">
        <v>755</v>
      </c>
      <c r="I1554" s="415" t="s">
        <v>764</v>
      </c>
      <c r="J1554" s="419" t="s">
        <v>310</v>
      </c>
      <c r="K1554" s="419" t="s">
        <v>1220</v>
      </c>
      <c r="L1554" s="415" t="s">
        <v>1281</v>
      </c>
      <c r="M1554" s="597">
        <v>222282521651</v>
      </c>
      <c r="N1554" s="413">
        <v>44904</v>
      </c>
      <c r="O1554" s="414" t="s">
        <v>400</v>
      </c>
      <c r="P1554" s="655">
        <f t="shared" si="91"/>
        <v>12</v>
      </c>
      <c r="Q1554" s="655">
        <f t="shared" si="92"/>
        <v>10</v>
      </c>
      <c r="R1554" s="758" t="str">
        <f t="shared" si="94"/>
        <v>Gastos_Gerais</v>
      </c>
      <c r="S1554" s="697" t="s">
        <v>310</v>
      </c>
      <c r="T1554" s="697" t="s">
        <v>310</v>
      </c>
    </row>
    <row r="1555" spans="1:20" ht="36" x14ac:dyDescent="0.2">
      <c r="A1555" s="432">
        <f>IF(B1555="","",COUNT('Diário 1º PA'!$A$4:$A$2635)+COUNT('Diário 2º PA'!$A$4:$A$3040)+COUNT('Diário 3º PA'!$A$4:$A$2731)+ROW()-3)</f>
        <v>7580</v>
      </c>
      <c r="B1555" s="413">
        <v>44904</v>
      </c>
      <c r="C1555" s="431">
        <v>44835</v>
      </c>
      <c r="D1555" s="415" t="s">
        <v>271</v>
      </c>
      <c r="E1555" s="415" t="s">
        <v>456</v>
      </c>
      <c r="F1555" s="422">
        <v>43.88</v>
      </c>
      <c r="G1555" s="419" t="s">
        <v>8284</v>
      </c>
      <c r="H1555" s="419" t="s">
        <v>755</v>
      </c>
      <c r="I1555" s="415" t="s">
        <v>764</v>
      </c>
      <c r="J1555" s="419" t="s">
        <v>310</v>
      </c>
      <c r="K1555" s="419" t="s">
        <v>1220</v>
      </c>
      <c r="L1555" s="415" t="s">
        <v>1281</v>
      </c>
      <c r="M1555" s="597">
        <v>222282521309</v>
      </c>
      <c r="N1555" s="413">
        <v>44904</v>
      </c>
      <c r="O1555" s="414" t="s">
        <v>400</v>
      </c>
      <c r="P1555" s="655">
        <f t="shared" si="91"/>
        <v>12</v>
      </c>
      <c r="Q1555" s="655">
        <f t="shared" si="92"/>
        <v>10</v>
      </c>
      <c r="R1555" s="758" t="str">
        <f t="shared" si="94"/>
        <v>Gastos_Gerais</v>
      </c>
      <c r="S1555" s="697" t="s">
        <v>310</v>
      </c>
      <c r="T1555" s="697" t="s">
        <v>310</v>
      </c>
    </row>
    <row r="1556" spans="1:20" ht="24" x14ac:dyDescent="0.2">
      <c r="A1556" s="432">
        <f>IF(B1556="","",COUNT('Diário 1º PA'!$A$4:$A$2635)+COUNT('Diário 2º PA'!$A$4:$A$3040)+COUNT('Diário 3º PA'!$A$4:$A$2731)+ROW()-3)</f>
        <v>7581</v>
      </c>
      <c r="B1556" s="413">
        <v>44904</v>
      </c>
      <c r="C1556" s="431">
        <v>44835</v>
      </c>
      <c r="D1556" s="415" t="s">
        <v>271</v>
      </c>
      <c r="E1556" s="415" t="s">
        <v>90</v>
      </c>
      <c r="F1556" s="422">
        <v>75</v>
      </c>
      <c r="G1556" s="419" t="s">
        <v>8080</v>
      </c>
      <c r="H1556" s="419" t="s">
        <v>793</v>
      </c>
      <c r="I1556" s="415" t="s">
        <v>764</v>
      </c>
      <c r="J1556" s="419" t="s">
        <v>310</v>
      </c>
      <c r="K1556" s="419" t="s">
        <v>1220</v>
      </c>
      <c r="L1556" s="415" t="s">
        <v>1281</v>
      </c>
      <c r="M1556" s="597">
        <v>222282520841</v>
      </c>
      <c r="N1556" s="413">
        <v>44904</v>
      </c>
      <c r="O1556" s="414" t="s">
        <v>400</v>
      </c>
      <c r="P1556" s="655">
        <f t="shared" si="91"/>
        <v>12</v>
      </c>
      <c r="Q1556" s="655">
        <f t="shared" si="92"/>
        <v>10</v>
      </c>
      <c r="R1556" s="758" t="str">
        <f t="shared" si="94"/>
        <v>Gastos_Gerais</v>
      </c>
      <c r="S1556" s="697" t="s">
        <v>310</v>
      </c>
      <c r="T1556" s="697" t="s">
        <v>310</v>
      </c>
    </row>
    <row r="1557" spans="1:20" ht="36" x14ac:dyDescent="0.2">
      <c r="A1557" s="432">
        <f>IF(B1557="","",COUNT('Diário 1º PA'!$A$4:$A$2635)+COUNT('Diário 2º PA'!$A$4:$A$3040)+COUNT('Diário 3º PA'!$A$4:$A$2731)+ROW()-3)</f>
        <v>7582</v>
      </c>
      <c r="B1557" s="413">
        <v>44904</v>
      </c>
      <c r="C1557" s="431">
        <v>44835</v>
      </c>
      <c r="D1557" s="415" t="s">
        <v>271</v>
      </c>
      <c r="E1557" s="415" t="s">
        <v>456</v>
      </c>
      <c r="F1557" s="422">
        <v>100.5</v>
      </c>
      <c r="G1557" s="419" t="s">
        <v>8744</v>
      </c>
      <c r="H1557" s="415" t="s">
        <v>751</v>
      </c>
      <c r="I1557" s="415" t="s">
        <v>764</v>
      </c>
      <c r="J1557" s="419" t="s">
        <v>310</v>
      </c>
      <c r="K1557" s="419" t="s">
        <v>1220</v>
      </c>
      <c r="L1557" s="415" t="s">
        <v>1281</v>
      </c>
      <c r="M1557" s="597">
        <v>222282516143</v>
      </c>
      <c r="N1557" s="413">
        <v>44904</v>
      </c>
      <c r="O1557" s="414" t="s">
        <v>400</v>
      </c>
      <c r="P1557" s="655">
        <f t="shared" si="91"/>
        <v>12</v>
      </c>
      <c r="Q1557" s="655">
        <f t="shared" si="92"/>
        <v>10</v>
      </c>
      <c r="R1557" s="758" t="str">
        <f t="shared" si="94"/>
        <v>Gastos_Gerais</v>
      </c>
      <c r="S1557" s="697" t="s">
        <v>310</v>
      </c>
      <c r="T1557" s="697" t="s">
        <v>310</v>
      </c>
    </row>
    <row r="1558" spans="1:20" ht="36" x14ac:dyDescent="0.2">
      <c r="A1558" s="432">
        <f>IF(B1558="","",COUNT('Diário 1º PA'!$A$4:$A$2635)+COUNT('Diário 2º PA'!$A$4:$A$3040)+COUNT('Diário 3º PA'!$A$4:$A$2731)+ROW()-3)</f>
        <v>7583</v>
      </c>
      <c r="B1558" s="413">
        <v>44904</v>
      </c>
      <c r="C1558" s="431">
        <v>44866</v>
      </c>
      <c r="D1558" s="415" t="s">
        <v>271</v>
      </c>
      <c r="E1558" s="415" t="s">
        <v>456</v>
      </c>
      <c r="F1558" s="422">
        <v>15.07</v>
      </c>
      <c r="G1558" s="419" t="s">
        <v>8745</v>
      </c>
      <c r="H1558" s="415" t="s">
        <v>751</v>
      </c>
      <c r="I1558" s="415" t="s">
        <v>764</v>
      </c>
      <c r="J1558" s="419" t="s">
        <v>310</v>
      </c>
      <c r="K1558" s="419" t="s">
        <v>1220</v>
      </c>
      <c r="L1558" s="415" t="s">
        <v>1281</v>
      </c>
      <c r="M1558" s="597">
        <v>222282514604</v>
      </c>
      <c r="N1558" s="413">
        <v>44904</v>
      </c>
      <c r="O1558" s="414" t="s">
        <v>400</v>
      </c>
      <c r="P1558" s="655">
        <f t="shared" si="91"/>
        <v>12</v>
      </c>
      <c r="Q1558" s="655">
        <f t="shared" si="92"/>
        <v>11</v>
      </c>
      <c r="R1558" s="758" t="str">
        <f t="shared" si="94"/>
        <v>Gastos_Gerais</v>
      </c>
      <c r="S1558" s="697" t="s">
        <v>310</v>
      </c>
      <c r="T1558" s="697" t="s">
        <v>310</v>
      </c>
    </row>
    <row r="1559" spans="1:20" ht="36" x14ac:dyDescent="0.2">
      <c r="A1559" s="432">
        <f>IF(B1559="","",COUNT('Diário 1º PA'!$A$4:$A$2635)+COUNT('Diário 2º PA'!$A$4:$A$3040)+COUNT('Diário 3º PA'!$A$4:$A$2731)+ROW()-3)</f>
        <v>7584</v>
      </c>
      <c r="B1559" s="413">
        <v>44904</v>
      </c>
      <c r="C1559" s="431">
        <v>44835</v>
      </c>
      <c r="D1559" s="415" t="s">
        <v>271</v>
      </c>
      <c r="E1559" s="415" t="s">
        <v>442</v>
      </c>
      <c r="F1559" s="422">
        <v>60.3</v>
      </c>
      <c r="G1559" s="419" t="s">
        <v>8079</v>
      </c>
      <c r="H1559" s="415" t="s">
        <v>751</v>
      </c>
      <c r="I1559" s="415" t="s">
        <v>764</v>
      </c>
      <c r="J1559" s="419" t="s">
        <v>310</v>
      </c>
      <c r="K1559" s="419" t="s">
        <v>1220</v>
      </c>
      <c r="L1559" s="415" t="s">
        <v>1281</v>
      </c>
      <c r="M1559" s="597">
        <v>222282519401</v>
      </c>
      <c r="N1559" s="413">
        <v>44904</v>
      </c>
      <c r="O1559" s="414" t="s">
        <v>400</v>
      </c>
      <c r="P1559" s="655">
        <f t="shared" si="91"/>
        <v>12</v>
      </c>
      <c r="Q1559" s="655">
        <f t="shared" si="92"/>
        <v>10</v>
      </c>
      <c r="R1559" s="758" t="str">
        <f t="shared" si="94"/>
        <v>Gastos_Gerais</v>
      </c>
      <c r="S1559" s="697" t="s">
        <v>310</v>
      </c>
      <c r="T1559" s="697" t="s">
        <v>310</v>
      </c>
    </row>
    <row r="1560" spans="1:20" ht="24" x14ac:dyDescent="0.2">
      <c r="A1560" s="432">
        <f>IF(B1560="","",COUNT('Diário 1º PA'!$A$4:$A$2635)+COUNT('Diário 2º PA'!$A$4:$A$3040)+COUNT('Diário 3º PA'!$A$4:$A$2731)+ROW()-3)</f>
        <v>7585</v>
      </c>
      <c r="B1560" s="413">
        <v>44904</v>
      </c>
      <c r="C1560" s="431">
        <v>44835</v>
      </c>
      <c r="D1560" s="415" t="s">
        <v>271</v>
      </c>
      <c r="E1560" s="415" t="s">
        <v>92</v>
      </c>
      <c r="F1560" s="422">
        <v>50.55</v>
      </c>
      <c r="G1560" s="419" t="s">
        <v>8746</v>
      </c>
      <c r="H1560" s="419" t="s">
        <v>309</v>
      </c>
      <c r="I1560" s="415" t="s">
        <v>764</v>
      </c>
      <c r="J1560" s="419" t="s">
        <v>310</v>
      </c>
      <c r="K1560" s="419" t="s">
        <v>1220</v>
      </c>
      <c r="L1560" s="415" t="s">
        <v>1281</v>
      </c>
      <c r="M1560" s="597">
        <v>222282526106</v>
      </c>
      <c r="N1560" s="413">
        <v>44904</v>
      </c>
      <c r="O1560" s="414" t="s">
        <v>400</v>
      </c>
      <c r="P1560" s="655">
        <f t="shared" si="91"/>
        <v>12</v>
      </c>
      <c r="Q1560" s="655">
        <f t="shared" si="92"/>
        <v>10</v>
      </c>
      <c r="R1560" s="758" t="str">
        <f t="shared" si="94"/>
        <v>Gastos_Gerais</v>
      </c>
      <c r="S1560" s="697" t="s">
        <v>310</v>
      </c>
      <c r="T1560" s="697" t="s">
        <v>310</v>
      </c>
    </row>
    <row r="1561" spans="1:20" ht="24" x14ac:dyDescent="0.2">
      <c r="A1561" s="432">
        <f>IF(B1561="","",COUNT('Diário 1º PA'!$A$4:$A$2635)+COUNT('Diário 2º PA'!$A$4:$A$3040)+COUNT('Diário 3º PA'!$A$4:$A$2731)+ROW()-3)</f>
        <v>7586</v>
      </c>
      <c r="B1561" s="413">
        <v>44904</v>
      </c>
      <c r="C1561" s="431">
        <v>44835</v>
      </c>
      <c r="D1561" s="415" t="s">
        <v>271</v>
      </c>
      <c r="E1561" s="415" t="s">
        <v>456</v>
      </c>
      <c r="F1561" s="422">
        <v>62.5</v>
      </c>
      <c r="G1561" s="419" t="s">
        <v>8304</v>
      </c>
      <c r="H1561" s="419" t="s">
        <v>748</v>
      </c>
      <c r="I1561" s="415" t="s">
        <v>764</v>
      </c>
      <c r="J1561" s="419" t="s">
        <v>310</v>
      </c>
      <c r="K1561" s="419" t="s">
        <v>1220</v>
      </c>
      <c r="L1561" s="415" t="s">
        <v>1281</v>
      </c>
      <c r="M1561" s="597">
        <v>222282522895</v>
      </c>
      <c r="N1561" s="413">
        <v>44904</v>
      </c>
      <c r="O1561" s="414" t="s">
        <v>400</v>
      </c>
      <c r="P1561" s="655">
        <f t="shared" si="91"/>
        <v>12</v>
      </c>
      <c r="Q1561" s="655">
        <f t="shared" si="92"/>
        <v>10</v>
      </c>
      <c r="R1561" s="758" t="str">
        <f t="shared" si="94"/>
        <v>Gastos_Gerais</v>
      </c>
      <c r="S1561" s="697" t="s">
        <v>310</v>
      </c>
      <c r="T1561" s="697" t="s">
        <v>310</v>
      </c>
    </row>
    <row r="1562" spans="1:20" ht="24" x14ac:dyDescent="0.2">
      <c r="A1562" s="432">
        <f>IF(B1562="","",COUNT('Diário 1º PA'!$A$4:$A$2635)+COUNT('Diário 2º PA'!$A$4:$A$3040)+COUNT('Diário 3º PA'!$A$4:$A$2731)+ROW()-3)</f>
        <v>7587</v>
      </c>
      <c r="B1562" s="413">
        <v>44904</v>
      </c>
      <c r="C1562" s="433">
        <v>44866</v>
      </c>
      <c r="D1562" s="434" t="s">
        <v>182</v>
      </c>
      <c r="E1562" s="434" t="s">
        <v>179</v>
      </c>
      <c r="F1562" s="422">
        <v>11.24</v>
      </c>
      <c r="G1562" s="419" t="s">
        <v>8638</v>
      </c>
      <c r="H1562" s="434" t="s">
        <v>310</v>
      </c>
      <c r="I1562" s="415" t="s">
        <v>764</v>
      </c>
      <c r="J1562" s="419" t="s">
        <v>310</v>
      </c>
      <c r="K1562" s="419" t="s">
        <v>1220</v>
      </c>
      <c r="L1562" s="415" t="s">
        <v>1281</v>
      </c>
      <c r="M1562" s="597">
        <v>222282525649</v>
      </c>
      <c r="N1562" s="413">
        <v>44904</v>
      </c>
      <c r="O1562" s="414" t="s">
        <v>400</v>
      </c>
      <c r="P1562" s="655">
        <f t="shared" si="91"/>
        <v>12</v>
      </c>
      <c r="Q1562" s="655">
        <f t="shared" si="92"/>
        <v>11</v>
      </c>
      <c r="R1562" s="758" t="str">
        <f t="shared" si="94"/>
        <v>Gastos_com_Pessoal</v>
      </c>
      <c r="S1562" s="697" t="s">
        <v>310</v>
      </c>
      <c r="T1562" s="697" t="s">
        <v>310</v>
      </c>
    </row>
    <row r="1563" spans="1:20" ht="24" x14ac:dyDescent="0.2">
      <c r="A1563" s="432">
        <f>IF(B1563="","",COUNT('Diário 1º PA'!$A$4:$A$2635)+COUNT('Diário 2º PA'!$A$4:$A$3040)+COUNT('Diário 3º PA'!$A$4:$A$2731)+ROW()-3)</f>
        <v>7588</v>
      </c>
      <c r="B1563" s="413">
        <v>44904</v>
      </c>
      <c r="C1563" s="431">
        <v>44866</v>
      </c>
      <c r="D1563" s="419" t="s">
        <v>271</v>
      </c>
      <c r="E1563" s="415" t="s">
        <v>90</v>
      </c>
      <c r="F1563" s="422">
        <v>23.32</v>
      </c>
      <c r="G1563" s="419" t="s">
        <v>8244</v>
      </c>
      <c r="H1563" s="419" t="s">
        <v>753</v>
      </c>
      <c r="I1563" s="415" t="s">
        <v>764</v>
      </c>
      <c r="J1563" s="419" t="s">
        <v>310</v>
      </c>
      <c r="K1563" s="419" t="s">
        <v>1220</v>
      </c>
      <c r="L1563" s="415" t="s">
        <v>1281</v>
      </c>
      <c r="M1563" s="597">
        <v>222282523352</v>
      </c>
      <c r="N1563" s="413">
        <v>44904</v>
      </c>
      <c r="O1563" s="414" t="s">
        <v>400</v>
      </c>
      <c r="P1563" s="655">
        <f t="shared" si="91"/>
        <v>12</v>
      </c>
      <c r="Q1563" s="655">
        <f t="shared" si="92"/>
        <v>11</v>
      </c>
      <c r="R1563" s="758" t="str">
        <f t="shared" si="94"/>
        <v>Gastos_Gerais</v>
      </c>
      <c r="S1563" s="697" t="s">
        <v>310</v>
      </c>
      <c r="T1563" s="697" t="s">
        <v>310</v>
      </c>
    </row>
    <row r="1564" spans="1:20" ht="24" x14ac:dyDescent="0.2">
      <c r="A1564" s="432">
        <f>IF(B1564="","",COUNT('Diário 1º PA'!$A$4:$A$2635)+COUNT('Diário 2º PA'!$A$4:$A$3040)+COUNT('Diário 3º PA'!$A$4:$A$2731)+ROW()-3)</f>
        <v>7589</v>
      </c>
      <c r="B1564" s="413">
        <v>44904</v>
      </c>
      <c r="C1564" s="421">
        <v>44866</v>
      </c>
      <c r="D1564" s="434" t="s">
        <v>182</v>
      </c>
      <c r="E1564" s="419" t="s">
        <v>161</v>
      </c>
      <c r="F1564" s="422">
        <v>0.48</v>
      </c>
      <c r="G1564" s="419" t="s">
        <v>8747</v>
      </c>
      <c r="H1564" s="419" t="s">
        <v>310</v>
      </c>
      <c r="I1564" s="415" t="s">
        <v>764</v>
      </c>
      <c r="J1564" s="419" t="s">
        <v>310</v>
      </c>
      <c r="K1564" s="419" t="s">
        <v>1220</v>
      </c>
      <c r="L1564" s="415" t="s">
        <v>1281</v>
      </c>
      <c r="M1564" s="597">
        <v>222282526530</v>
      </c>
      <c r="N1564" s="413">
        <v>44904</v>
      </c>
      <c r="O1564" s="414" t="s">
        <v>400</v>
      </c>
      <c r="P1564" s="655">
        <f t="shared" si="91"/>
        <v>12</v>
      </c>
      <c r="Q1564" s="655">
        <f t="shared" si="92"/>
        <v>11</v>
      </c>
      <c r="R1564" s="758" t="str">
        <f t="shared" si="94"/>
        <v>Gastos_com_Pessoal</v>
      </c>
      <c r="S1564" s="697" t="s">
        <v>310</v>
      </c>
      <c r="T1564" s="697" t="s">
        <v>310</v>
      </c>
    </row>
    <row r="1565" spans="1:20" ht="24" x14ac:dyDescent="0.2">
      <c r="A1565" s="432">
        <f>IF(B1565="","",COUNT('Diário 1º PA'!$A$4:$A$2635)+COUNT('Diário 2º PA'!$A$4:$A$3040)+COUNT('Diário 3º PA'!$A$4:$A$2731)+ROW()-3)</f>
        <v>7590</v>
      </c>
      <c r="B1565" s="413">
        <v>44904</v>
      </c>
      <c r="C1565" s="421">
        <v>44896</v>
      </c>
      <c r="D1565" s="434" t="s">
        <v>182</v>
      </c>
      <c r="E1565" s="419" t="s">
        <v>325</v>
      </c>
      <c r="F1565" s="422">
        <v>241.77</v>
      </c>
      <c r="G1565" s="419" t="s">
        <v>8748</v>
      </c>
      <c r="H1565" s="419" t="s">
        <v>310</v>
      </c>
      <c r="I1565" s="415" t="s">
        <v>764</v>
      </c>
      <c r="J1565" s="419" t="s">
        <v>310</v>
      </c>
      <c r="K1565" s="419" t="s">
        <v>1220</v>
      </c>
      <c r="L1565" s="415" t="s">
        <v>1281</v>
      </c>
      <c r="M1565" s="597">
        <v>222282522623</v>
      </c>
      <c r="N1565" s="413">
        <v>44904</v>
      </c>
      <c r="O1565" s="414" t="s">
        <v>400</v>
      </c>
      <c r="P1565" s="655">
        <f t="shared" si="91"/>
        <v>12</v>
      </c>
      <c r="Q1565" s="655">
        <f t="shared" si="92"/>
        <v>12</v>
      </c>
      <c r="R1565" s="758" t="str">
        <f t="shared" si="94"/>
        <v>Gastos_com_Pessoal</v>
      </c>
      <c r="S1565" s="697" t="s">
        <v>310</v>
      </c>
      <c r="T1565" s="697" t="s">
        <v>310</v>
      </c>
    </row>
    <row r="1566" spans="1:20" ht="36" x14ac:dyDescent="0.2">
      <c r="A1566" s="432">
        <f>IF(B1566="","",COUNT('Diário 1º PA'!$A$4:$A$2635)+COUNT('Diário 2º PA'!$A$4:$A$3040)+COUNT('Diário 3º PA'!$A$4:$A$2731)+ROW()-3)</f>
        <v>7591</v>
      </c>
      <c r="B1566" s="413">
        <v>44904</v>
      </c>
      <c r="C1566" s="431">
        <v>44835</v>
      </c>
      <c r="D1566" s="415" t="s">
        <v>271</v>
      </c>
      <c r="E1566" s="415" t="s">
        <v>297</v>
      </c>
      <c r="F1566" s="422">
        <v>18.09</v>
      </c>
      <c r="G1566" s="419" t="s">
        <v>8221</v>
      </c>
      <c r="H1566" s="415" t="s">
        <v>760</v>
      </c>
      <c r="I1566" s="415" t="s">
        <v>764</v>
      </c>
      <c r="J1566" s="419" t="s">
        <v>310</v>
      </c>
      <c r="K1566" s="419" t="s">
        <v>1220</v>
      </c>
      <c r="L1566" s="415" t="s">
        <v>1281</v>
      </c>
      <c r="M1566" s="597">
        <v>222282522038</v>
      </c>
      <c r="N1566" s="413">
        <v>44904</v>
      </c>
      <c r="O1566" s="414" t="s">
        <v>400</v>
      </c>
      <c r="P1566" s="655">
        <f t="shared" si="91"/>
        <v>12</v>
      </c>
      <c r="Q1566" s="655">
        <f t="shared" si="92"/>
        <v>10</v>
      </c>
      <c r="R1566" s="758" t="str">
        <f t="shared" si="94"/>
        <v>Gastos_Gerais</v>
      </c>
      <c r="S1566" s="697" t="s">
        <v>310</v>
      </c>
      <c r="T1566" s="697" t="s">
        <v>310</v>
      </c>
    </row>
    <row r="1567" spans="1:20" ht="24" x14ac:dyDescent="0.2">
      <c r="A1567" s="432">
        <f>IF(B1567="","",COUNT('Diário 1º PA'!$A$4:$A$2635)+COUNT('Diário 2º PA'!$A$4:$A$3040)+COUNT('Diário 3º PA'!$A$4:$A$2731)+ROW()-3)</f>
        <v>7592</v>
      </c>
      <c r="B1567" s="413">
        <v>44904</v>
      </c>
      <c r="C1567" s="431">
        <v>44835</v>
      </c>
      <c r="D1567" s="415" t="s">
        <v>271</v>
      </c>
      <c r="E1567" s="415" t="s">
        <v>326</v>
      </c>
      <c r="F1567" s="422">
        <v>65.55</v>
      </c>
      <c r="G1567" s="419" t="s">
        <v>8356</v>
      </c>
      <c r="H1567" s="415" t="s">
        <v>309</v>
      </c>
      <c r="I1567" s="415" t="s">
        <v>764</v>
      </c>
      <c r="J1567" s="419" t="s">
        <v>310</v>
      </c>
      <c r="K1567" s="419" t="s">
        <v>1220</v>
      </c>
      <c r="L1567" s="415" t="s">
        <v>1281</v>
      </c>
      <c r="M1567" s="597">
        <v>222282521490</v>
      </c>
      <c r="N1567" s="413">
        <v>44904</v>
      </c>
      <c r="O1567" s="414" t="s">
        <v>400</v>
      </c>
      <c r="P1567" s="655">
        <f t="shared" si="91"/>
        <v>12</v>
      </c>
      <c r="Q1567" s="655">
        <f t="shared" si="92"/>
        <v>10</v>
      </c>
      <c r="R1567" s="758" t="str">
        <f t="shared" si="94"/>
        <v>Gastos_Gerais</v>
      </c>
      <c r="S1567" s="697" t="s">
        <v>310</v>
      </c>
      <c r="T1567" s="697" t="s">
        <v>310</v>
      </c>
    </row>
    <row r="1568" spans="1:20" ht="36" x14ac:dyDescent="0.2">
      <c r="A1568" s="432">
        <f>IF(B1568="","",COUNT('Diário 1º PA'!$A$4:$A$2635)+COUNT('Diário 2º PA'!$A$4:$A$3040)+COUNT('Diário 3º PA'!$A$4:$A$2731)+ROW()-3)</f>
        <v>7593</v>
      </c>
      <c r="B1568" s="413">
        <v>44904</v>
      </c>
      <c r="C1568" s="431">
        <v>44835</v>
      </c>
      <c r="D1568" s="415" t="s">
        <v>271</v>
      </c>
      <c r="E1568" s="415" t="s">
        <v>465</v>
      </c>
      <c r="F1568" s="422">
        <v>17.46</v>
      </c>
      <c r="G1568" s="419" t="s">
        <v>8192</v>
      </c>
      <c r="H1568" s="415" t="s">
        <v>751</v>
      </c>
      <c r="I1568" s="415" t="s">
        <v>764</v>
      </c>
      <c r="J1568" s="419" t="s">
        <v>310</v>
      </c>
      <c r="K1568" s="419" t="s">
        <v>1220</v>
      </c>
      <c r="L1568" s="415" t="s">
        <v>1281</v>
      </c>
      <c r="M1568" s="597">
        <v>222282521902</v>
      </c>
      <c r="N1568" s="413">
        <v>44904</v>
      </c>
      <c r="O1568" s="414" t="s">
        <v>400</v>
      </c>
      <c r="P1568" s="655">
        <f t="shared" si="91"/>
        <v>12</v>
      </c>
      <c r="Q1568" s="655">
        <f t="shared" si="92"/>
        <v>10</v>
      </c>
      <c r="R1568" s="758" t="str">
        <f t="shared" si="94"/>
        <v>Gastos_Gerais</v>
      </c>
      <c r="S1568" s="697" t="s">
        <v>310</v>
      </c>
      <c r="T1568" s="697" t="s">
        <v>310</v>
      </c>
    </row>
    <row r="1569" spans="1:20" ht="24" x14ac:dyDescent="0.2">
      <c r="A1569" s="432">
        <f>IF(B1569="","",COUNT('Diário 1º PA'!$A$4:$A$2635)+COUNT('Diário 2º PA'!$A$4:$A$3040)+COUNT('Diário 3º PA'!$A$4:$A$2731)+ROW()-3)</f>
        <v>7594</v>
      </c>
      <c r="B1569" s="413">
        <v>44904</v>
      </c>
      <c r="C1569" s="431">
        <v>44835</v>
      </c>
      <c r="D1569" s="415" t="s">
        <v>271</v>
      </c>
      <c r="E1569" s="415" t="s">
        <v>90</v>
      </c>
      <c r="F1569" s="422">
        <v>222</v>
      </c>
      <c r="G1569" s="419" t="s">
        <v>8067</v>
      </c>
      <c r="H1569" s="415" t="s">
        <v>309</v>
      </c>
      <c r="I1569" s="415" t="s">
        <v>764</v>
      </c>
      <c r="J1569" s="419" t="s">
        <v>310</v>
      </c>
      <c r="K1569" s="419" t="s">
        <v>1220</v>
      </c>
      <c r="L1569" s="415" t="s">
        <v>1281</v>
      </c>
      <c r="M1569" s="597">
        <v>222282516496</v>
      </c>
      <c r="N1569" s="413">
        <v>44904</v>
      </c>
      <c r="O1569" s="414" t="s">
        <v>400</v>
      </c>
      <c r="P1569" s="655">
        <f t="shared" si="91"/>
        <v>12</v>
      </c>
      <c r="Q1569" s="655">
        <f t="shared" si="92"/>
        <v>10</v>
      </c>
      <c r="R1569" s="758" t="str">
        <f t="shared" si="94"/>
        <v>Gastos_Gerais</v>
      </c>
      <c r="S1569" s="697" t="s">
        <v>310</v>
      </c>
      <c r="T1569" s="697" t="s">
        <v>310</v>
      </c>
    </row>
    <row r="1570" spans="1:20" ht="24" x14ac:dyDescent="0.2">
      <c r="A1570" s="432">
        <f>IF(B1570="","",COUNT('Diário 1º PA'!$A$4:$A$2635)+COUNT('Diário 2º PA'!$A$4:$A$3040)+COUNT('Diário 3º PA'!$A$4:$A$2731)+ROW()-3)</f>
        <v>7595</v>
      </c>
      <c r="B1570" s="413">
        <v>44904</v>
      </c>
      <c r="C1570" s="431">
        <v>44835</v>
      </c>
      <c r="D1570" s="415" t="s">
        <v>271</v>
      </c>
      <c r="E1570" s="415" t="s">
        <v>90</v>
      </c>
      <c r="F1570" s="422">
        <v>80.400000000000006</v>
      </c>
      <c r="G1570" s="419" t="s">
        <v>8060</v>
      </c>
      <c r="H1570" s="419" t="s">
        <v>758</v>
      </c>
      <c r="I1570" s="415" t="s">
        <v>764</v>
      </c>
      <c r="J1570" s="419" t="s">
        <v>310</v>
      </c>
      <c r="K1570" s="419" t="s">
        <v>1220</v>
      </c>
      <c r="L1570" s="415" t="s">
        <v>1281</v>
      </c>
      <c r="M1570" s="597">
        <v>222282520680</v>
      </c>
      <c r="N1570" s="413">
        <v>44904</v>
      </c>
      <c r="O1570" s="414" t="s">
        <v>400</v>
      </c>
      <c r="P1570" s="655">
        <f t="shared" si="91"/>
        <v>12</v>
      </c>
      <c r="Q1570" s="655">
        <f t="shared" si="92"/>
        <v>10</v>
      </c>
      <c r="R1570" s="758" t="str">
        <f t="shared" si="94"/>
        <v>Gastos_Gerais</v>
      </c>
      <c r="S1570" s="697" t="s">
        <v>310</v>
      </c>
      <c r="T1570" s="697" t="s">
        <v>310</v>
      </c>
    </row>
    <row r="1571" spans="1:20" ht="24" x14ac:dyDescent="0.2">
      <c r="A1571" s="432">
        <f>IF(B1571="","",COUNT('Diário 1º PA'!$A$4:$A$2635)+COUNT('Diário 2º PA'!$A$4:$A$3040)+COUNT('Diário 3º PA'!$A$4:$A$2731)+ROW()-3)</f>
        <v>7596</v>
      </c>
      <c r="B1571" s="413">
        <v>44904</v>
      </c>
      <c r="C1571" s="421">
        <v>44835</v>
      </c>
      <c r="D1571" s="419" t="s">
        <v>182</v>
      </c>
      <c r="E1571" s="419" t="s">
        <v>1</v>
      </c>
      <c r="F1571" s="422">
        <v>20.95</v>
      </c>
      <c r="G1571" s="419" t="s">
        <v>8749</v>
      </c>
      <c r="H1571" s="419" t="s">
        <v>310</v>
      </c>
      <c r="I1571" s="415" t="s">
        <v>764</v>
      </c>
      <c r="J1571" s="419" t="s">
        <v>310</v>
      </c>
      <c r="K1571" s="419" t="s">
        <v>1220</v>
      </c>
      <c r="L1571" s="415" t="s">
        <v>1281</v>
      </c>
      <c r="M1571" s="597">
        <v>222282521228</v>
      </c>
      <c r="N1571" s="413">
        <v>44904</v>
      </c>
      <c r="O1571" s="414" t="s">
        <v>400</v>
      </c>
      <c r="P1571" s="655">
        <f t="shared" si="91"/>
        <v>12</v>
      </c>
      <c r="Q1571" s="655">
        <f t="shared" si="92"/>
        <v>10</v>
      </c>
      <c r="R1571" s="758" t="str">
        <f t="shared" si="94"/>
        <v>Gastos_com_Pessoal</v>
      </c>
      <c r="S1571" s="697" t="s">
        <v>310</v>
      </c>
      <c r="T1571" s="697" t="s">
        <v>310</v>
      </c>
    </row>
    <row r="1572" spans="1:20" ht="36" x14ac:dyDescent="0.2">
      <c r="A1572" s="432">
        <f>IF(B1572="","",COUNT('Diário 1º PA'!$A$4:$A$2635)+COUNT('Diário 2º PA'!$A$4:$A$3040)+COUNT('Diário 3º PA'!$A$4:$A$2731)+ROW()-3)</f>
        <v>7597</v>
      </c>
      <c r="B1572" s="413">
        <v>44904</v>
      </c>
      <c r="C1572" s="431">
        <v>44866</v>
      </c>
      <c r="D1572" s="415" t="s">
        <v>271</v>
      </c>
      <c r="E1572" s="415" t="s">
        <v>456</v>
      </c>
      <c r="F1572" s="422">
        <v>25.12</v>
      </c>
      <c r="G1572" s="419" t="s">
        <v>8064</v>
      </c>
      <c r="H1572" s="415" t="s">
        <v>751</v>
      </c>
      <c r="I1572" s="415" t="s">
        <v>764</v>
      </c>
      <c r="J1572" s="419" t="s">
        <v>310</v>
      </c>
      <c r="K1572" s="419" t="s">
        <v>1220</v>
      </c>
      <c r="L1572" s="415" t="s">
        <v>1281</v>
      </c>
      <c r="M1572" s="597">
        <v>222282515333</v>
      </c>
      <c r="N1572" s="413">
        <v>44904</v>
      </c>
      <c r="O1572" s="414" t="s">
        <v>400</v>
      </c>
      <c r="P1572" s="655">
        <f t="shared" si="91"/>
        <v>12</v>
      </c>
      <c r="Q1572" s="655">
        <f t="shared" si="92"/>
        <v>11</v>
      </c>
      <c r="R1572" s="758" t="str">
        <f t="shared" si="94"/>
        <v>Gastos_Gerais</v>
      </c>
      <c r="S1572" s="697" t="s">
        <v>310</v>
      </c>
      <c r="T1572" s="697" t="s">
        <v>310</v>
      </c>
    </row>
    <row r="1573" spans="1:20" ht="36" x14ac:dyDescent="0.2">
      <c r="A1573" s="432">
        <f>IF(B1573="","",COUNT('Diário 1º PA'!$A$4:$A$2635)+COUNT('Diário 2º PA'!$A$4:$A$3040)+COUNT('Diário 3º PA'!$A$4:$A$2731)+ROW()-3)</f>
        <v>7598</v>
      </c>
      <c r="B1573" s="413">
        <v>44904</v>
      </c>
      <c r="C1573" s="431">
        <v>44835</v>
      </c>
      <c r="D1573" s="415" t="s">
        <v>271</v>
      </c>
      <c r="E1573" s="415" t="s">
        <v>442</v>
      </c>
      <c r="F1573" s="422">
        <v>60.3</v>
      </c>
      <c r="G1573" s="419" t="s">
        <v>8083</v>
      </c>
      <c r="H1573" s="415" t="s">
        <v>751</v>
      </c>
      <c r="I1573" s="415" t="s">
        <v>764</v>
      </c>
      <c r="J1573" s="419" t="s">
        <v>310</v>
      </c>
      <c r="K1573" s="419" t="s">
        <v>1220</v>
      </c>
      <c r="L1573" s="415" t="s">
        <v>1281</v>
      </c>
      <c r="M1573" s="597">
        <v>222282519673</v>
      </c>
      <c r="N1573" s="413">
        <v>44904</v>
      </c>
      <c r="O1573" s="414" t="s">
        <v>400</v>
      </c>
      <c r="P1573" s="655">
        <f t="shared" si="91"/>
        <v>12</v>
      </c>
      <c r="Q1573" s="655">
        <f t="shared" si="92"/>
        <v>10</v>
      </c>
      <c r="R1573" s="758" t="str">
        <f t="shared" si="94"/>
        <v>Gastos_Gerais</v>
      </c>
      <c r="S1573" s="697" t="s">
        <v>310</v>
      </c>
      <c r="T1573" s="697" t="s">
        <v>310</v>
      </c>
    </row>
    <row r="1574" spans="1:20" ht="36" x14ac:dyDescent="0.2">
      <c r="A1574" s="432">
        <f>IF(B1574="","",COUNT('Diário 1º PA'!$A$4:$A$2635)+COUNT('Diário 2º PA'!$A$4:$A$3040)+COUNT('Diário 3º PA'!$A$4:$A$2731)+ROW()-3)</f>
        <v>7599</v>
      </c>
      <c r="B1574" s="413">
        <v>44904</v>
      </c>
      <c r="C1574" s="431">
        <v>44835</v>
      </c>
      <c r="D1574" s="415" t="s">
        <v>271</v>
      </c>
      <c r="E1574" s="415" t="s">
        <v>456</v>
      </c>
      <c r="F1574" s="422">
        <v>24</v>
      </c>
      <c r="G1574" s="419" t="s">
        <v>8063</v>
      </c>
      <c r="H1574" s="415" t="s">
        <v>751</v>
      </c>
      <c r="I1574" s="415" t="s">
        <v>764</v>
      </c>
      <c r="J1574" s="419" t="s">
        <v>310</v>
      </c>
      <c r="K1574" s="419" t="s">
        <v>1220</v>
      </c>
      <c r="L1574" s="415" t="s">
        <v>1281</v>
      </c>
      <c r="M1574" s="597">
        <v>222282515090</v>
      </c>
      <c r="N1574" s="413">
        <v>44904</v>
      </c>
      <c r="O1574" s="414" t="s">
        <v>400</v>
      </c>
      <c r="P1574" s="655">
        <f t="shared" ref="P1574:P1637" si="95">IF(B1574=0,0,IF(YEAR(B1574)=$Q$1,MONTH(B1574)-$P$1+1,(YEAR(B1574)-$Q$1)*12-$P$1+1+MONTH(B1574)))</f>
        <v>12</v>
      </c>
      <c r="Q1574" s="655">
        <f t="shared" ref="Q1574:Q1637" si="96">IF(C1574=0,0,IF(YEAR(C1574)=$Q$1,MONTH(C1574)-$P$1+1,(YEAR(C1574)-$Q$1)*12-$P$1+1+MONTH(C1574)))</f>
        <v>10</v>
      </c>
      <c r="R1574" s="758" t="str">
        <f t="shared" si="94"/>
        <v>Gastos_Gerais</v>
      </c>
      <c r="S1574" s="697" t="s">
        <v>310</v>
      </c>
      <c r="T1574" s="697" t="s">
        <v>310</v>
      </c>
    </row>
    <row r="1575" spans="1:20" ht="48" x14ac:dyDescent="0.2">
      <c r="A1575" s="432">
        <f>IF(B1575="","",COUNT('Diário 1º PA'!$A$4:$A$2635)+COUNT('Diário 2º PA'!$A$4:$A$3040)+COUNT('Diário 3º PA'!$A$4:$A$2731)+ROW()-3)</f>
        <v>7600</v>
      </c>
      <c r="B1575" s="413">
        <v>44904</v>
      </c>
      <c r="C1575" s="421">
        <v>44835</v>
      </c>
      <c r="D1575" s="419" t="s">
        <v>468</v>
      </c>
      <c r="E1575" s="419" t="s">
        <v>468</v>
      </c>
      <c r="F1575" s="422">
        <v>260</v>
      </c>
      <c r="G1575" s="419" t="s">
        <v>8819</v>
      </c>
      <c r="H1575" s="415" t="s">
        <v>468</v>
      </c>
      <c r="I1575" s="415" t="s">
        <v>764</v>
      </c>
      <c r="J1575" s="426" t="s">
        <v>310</v>
      </c>
      <c r="K1575" s="415" t="s">
        <v>1220</v>
      </c>
      <c r="L1575" s="415" t="s">
        <v>3443</v>
      </c>
      <c r="M1575" s="597">
        <v>222258980641</v>
      </c>
      <c r="N1575" s="413">
        <v>44904</v>
      </c>
      <c r="O1575" s="414" t="s">
        <v>405</v>
      </c>
      <c r="P1575" s="655">
        <f t="shared" si="95"/>
        <v>12</v>
      </c>
      <c r="Q1575" s="655">
        <f t="shared" si="96"/>
        <v>10</v>
      </c>
      <c r="R1575" s="758" t="str">
        <f t="shared" si="94"/>
        <v>Gastos_custeados_por_captação</v>
      </c>
      <c r="S1575" s="697" t="s">
        <v>310</v>
      </c>
      <c r="T1575" s="697" t="s">
        <v>310</v>
      </c>
    </row>
    <row r="1576" spans="1:20" ht="48" x14ac:dyDescent="0.2">
      <c r="A1576" s="432">
        <f>IF(B1576="","",COUNT('Diário 1º PA'!$A$4:$A$2635)+COUNT('Diário 2º PA'!$A$4:$A$3040)+COUNT('Diário 3º PA'!$A$4:$A$2731)+ROW()-3)</f>
        <v>7601</v>
      </c>
      <c r="B1576" s="413">
        <v>44904</v>
      </c>
      <c r="C1576" s="431">
        <v>44835</v>
      </c>
      <c r="D1576" s="419" t="s">
        <v>468</v>
      </c>
      <c r="E1576" s="419" t="s">
        <v>468</v>
      </c>
      <c r="F1576" s="422">
        <v>60.3</v>
      </c>
      <c r="G1576" s="427" t="s">
        <v>8205</v>
      </c>
      <c r="H1576" s="415" t="s">
        <v>468</v>
      </c>
      <c r="I1576" s="415" t="s">
        <v>764</v>
      </c>
      <c r="J1576" s="426" t="s">
        <v>310</v>
      </c>
      <c r="K1576" s="415" t="s">
        <v>1220</v>
      </c>
      <c r="L1576" s="415" t="s">
        <v>3443</v>
      </c>
      <c r="M1576" s="597">
        <v>222282504560</v>
      </c>
      <c r="N1576" s="413">
        <v>44904</v>
      </c>
      <c r="O1576" s="414" t="s">
        <v>405</v>
      </c>
      <c r="P1576" s="655">
        <f t="shared" si="95"/>
        <v>12</v>
      </c>
      <c r="Q1576" s="655">
        <f t="shared" si="96"/>
        <v>10</v>
      </c>
      <c r="R1576" s="758" t="str">
        <f t="shared" si="94"/>
        <v>Gastos_custeados_por_captação</v>
      </c>
      <c r="S1576" s="697" t="s">
        <v>310</v>
      </c>
      <c r="T1576" s="697" t="s">
        <v>310</v>
      </c>
    </row>
    <row r="1577" spans="1:20" ht="48" x14ac:dyDescent="0.2">
      <c r="A1577" s="432">
        <f>IF(B1577="","",COUNT('Diário 1º PA'!$A$4:$A$2635)+COUNT('Diário 2º PA'!$A$4:$A$3040)+COUNT('Diário 3º PA'!$A$4:$A$2731)+ROW()-3)</f>
        <v>7602</v>
      </c>
      <c r="B1577" s="413">
        <v>44904</v>
      </c>
      <c r="C1577" s="431">
        <v>44835</v>
      </c>
      <c r="D1577" s="419" t="s">
        <v>468</v>
      </c>
      <c r="E1577" s="419" t="s">
        <v>468</v>
      </c>
      <c r="F1577" s="422">
        <v>67.5</v>
      </c>
      <c r="G1577" s="427" t="s">
        <v>8272</v>
      </c>
      <c r="H1577" s="415" t="s">
        <v>468</v>
      </c>
      <c r="I1577" s="415" t="s">
        <v>764</v>
      </c>
      <c r="J1577" s="426" t="s">
        <v>310</v>
      </c>
      <c r="K1577" s="415" t="s">
        <v>1220</v>
      </c>
      <c r="L1577" s="415" t="s">
        <v>3443</v>
      </c>
      <c r="M1577" s="597">
        <v>222282505702</v>
      </c>
      <c r="N1577" s="413">
        <v>44904</v>
      </c>
      <c r="O1577" s="414" t="s">
        <v>405</v>
      </c>
      <c r="P1577" s="655">
        <f t="shared" si="95"/>
        <v>12</v>
      </c>
      <c r="Q1577" s="655">
        <f t="shared" si="96"/>
        <v>10</v>
      </c>
      <c r="R1577" s="758" t="str">
        <f t="shared" si="94"/>
        <v>Gastos_custeados_por_captação</v>
      </c>
      <c r="S1577" s="697" t="s">
        <v>310</v>
      </c>
      <c r="T1577" s="697" t="s">
        <v>310</v>
      </c>
    </row>
    <row r="1578" spans="1:20" ht="48" x14ac:dyDescent="0.2">
      <c r="A1578" s="432">
        <f>IF(B1578="","",COUNT('Diário 1º PA'!$A$4:$A$2635)+COUNT('Diário 2º PA'!$A$4:$A$3040)+COUNT('Diário 3º PA'!$A$4:$A$2731)+ROW()-3)</f>
        <v>7603</v>
      </c>
      <c r="B1578" s="413">
        <v>44904</v>
      </c>
      <c r="C1578" s="431">
        <v>44835</v>
      </c>
      <c r="D1578" s="419" t="s">
        <v>468</v>
      </c>
      <c r="E1578" s="419" t="s">
        <v>468</v>
      </c>
      <c r="F1578" s="422">
        <v>309.49</v>
      </c>
      <c r="G1578" s="427" t="s">
        <v>8289</v>
      </c>
      <c r="H1578" s="415" t="s">
        <v>468</v>
      </c>
      <c r="I1578" s="415" t="s">
        <v>764</v>
      </c>
      <c r="J1578" s="426" t="s">
        <v>310</v>
      </c>
      <c r="K1578" s="415" t="s">
        <v>1220</v>
      </c>
      <c r="L1578" s="415" t="s">
        <v>3443</v>
      </c>
      <c r="M1578" s="597">
        <v>222282506261</v>
      </c>
      <c r="N1578" s="413">
        <v>44904</v>
      </c>
      <c r="O1578" s="414" t="s">
        <v>405</v>
      </c>
      <c r="P1578" s="655">
        <f t="shared" si="95"/>
        <v>12</v>
      </c>
      <c r="Q1578" s="655">
        <f t="shared" si="96"/>
        <v>10</v>
      </c>
      <c r="R1578" s="758" t="str">
        <f t="shared" si="94"/>
        <v>Gastos_custeados_por_captação</v>
      </c>
      <c r="S1578" s="697" t="s">
        <v>310</v>
      </c>
      <c r="T1578" s="697" t="s">
        <v>310</v>
      </c>
    </row>
    <row r="1579" spans="1:20" ht="48" x14ac:dyDescent="0.2">
      <c r="A1579" s="432">
        <f>IF(B1579="","",COUNT('Diário 1º PA'!$A$4:$A$2635)+COUNT('Diário 2º PA'!$A$4:$A$3040)+COUNT('Diário 3º PA'!$A$4:$A$2731)+ROW()-3)</f>
        <v>7604</v>
      </c>
      <c r="B1579" s="413">
        <v>44904</v>
      </c>
      <c r="C1579" s="431">
        <v>44835</v>
      </c>
      <c r="D1579" s="419" t="s">
        <v>468</v>
      </c>
      <c r="E1579" s="419" t="s">
        <v>468</v>
      </c>
      <c r="F1579" s="422">
        <v>66.33</v>
      </c>
      <c r="G1579" s="427" t="s">
        <v>8820</v>
      </c>
      <c r="H1579" s="415" t="s">
        <v>468</v>
      </c>
      <c r="I1579" s="415" t="s">
        <v>764</v>
      </c>
      <c r="J1579" s="426" t="s">
        <v>310</v>
      </c>
      <c r="K1579" s="415" t="s">
        <v>1220</v>
      </c>
      <c r="L1579" s="415" t="s">
        <v>3443</v>
      </c>
      <c r="M1579" s="597">
        <v>222282507667</v>
      </c>
      <c r="N1579" s="413">
        <v>44904</v>
      </c>
      <c r="O1579" s="414" t="s">
        <v>405</v>
      </c>
      <c r="P1579" s="655">
        <f t="shared" si="95"/>
        <v>12</v>
      </c>
      <c r="Q1579" s="655">
        <f t="shared" si="96"/>
        <v>10</v>
      </c>
      <c r="R1579" s="758" t="str">
        <f t="shared" si="94"/>
        <v>Gastos_custeados_por_captação</v>
      </c>
      <c r="S1579" s="697" t="s">
        <v>310</v>
      </c>
      <c r="T1579" s="697" t="s">
        <v>310</v>
      </c>
    </row>
    <row r="1580" spans="1:20" ht="48" x14ac:dyDescent="0.2">
      <c r="A1580" s="432">
        <f>IF(B1580="","",COUNT('Diário 1º PA'!$A$4:$A$2635)+COUNT('Diário 2º PA'!$A$4:$A$3040)+COUNT('Diário 3º PA'!$A$4:$A$2731)+ROW()-3)</f>
        <v>7605</v>
      </c>
      <c r="B1580" s="413">
        <v>44904</v>
      </c>
      <c r="C1580" s="431">
        <v>44835</v>
      </c>
      <c r="D1580" s="419" t="s">
        <v>468</v>
      </c>
      <c r="E1580" s="419" t="s">
        <v>468</v>
      </c>
      <c r="F1580" s="422">
        <v>60.3</v>
      </c>
      <c r="G1580" s="427" t="s">
        <v>8223</v>
      </c>
      <c r="H1580" s="415" t="s">
        <v>468</v>
      </c>
      <c r="I1580" s="415" t="s">
        <v>764</v>
      </c>
      <c r="J1580" s="426" t="s">
        <v>310</v>
      </c>
      <c r="K1580" s="415" t="s">
        <v>1220</v>
      </c>
      <c r="L1580" s="415" t="s">
        <v>3443</v>
      </c>
      <c r="M1580" s="597">
        <v>222282505028</v>
      </c>
      <c r="N1580" s="431">
        <v>44835</v>
      </c>
      <c r="O1580" s="414" t="s">
        <v>405</v>
      </c>
      <c r="P1580" s="655">
        <f t="shared" si="95"/>
        <v>12</v>
      </c>
      <c r="Q1580" s="655">
        <f t="shared" si="96"/>
        <v>10</v>
      </c>
      <c r="R1580" s="758" t="str">
        <f t="shared" si="94"/>
        <v>Gastos_custeados_por_captação</v>
      </c>
      <c r="S1580" s="697" t="s">
        <v>310</v>
      </c>
      <c r="T1580" s="697" t="s">
        <v>310</v>
      </c>
    </row>
    <row r="1581" spans="1:20" ht="48" x14ac:dyDescent="0.2">
      <c r="A1581" s="432">
        <f>IF(B1581="","",COUNT('Diário 1º PA'!$A$4:$A$2635)+COUNT('Diário 2º PA'!$A$4:$A$3040)+COUNT('Diário 3º PA'!$A$4:$A$2731)+ROW()-3)</f>
        <v>7606</v>
      </c>
      <c r="B1581" s="413">
        <v>44904</v>
      </c>
      <c r="C1581" s="431">
        <v>44835</v>
      </c>
      <c r="D1581" s="419" t="s">
        <v>468</v>
      </c>
      <c r="E1581" s="419" t="s">
        <v>468</v>
      </c>
      <c r="F1581" s="422">
        <v>130.19999999999999</v>
      </c>
      <c r="G1581" s="427" t="s">
        <v>8531</v>
      </c>
      <c r="H1581" s="415" t="s">
        <v>468</v>
      </c>
      <c r="I1581" s="415" t="s">
        <v>764</v>
      </c>
      <c r="J1581" s="426" t="s">
        <v>310</v>
      </c>
      <c r="K1581" s="415" t="s">
        <v>1220</v>
      </c>
      <c r="L1581" s="415" t="s">
        <v>3443</v>
      </c>
      <c r="M1581" s="597">
        <v>222282508205</v>
      </c>
      <c r="N1581" s="413">
        <v>44904</v>
      </c>
      <c r="O1581" s="414" t="s">
        <v>405</v>
      </c>
      <c r="P1581" s="655">
        <f t="shared" si="95"/>
        <v>12</v>
      </c>
      <c r="Q1581" s="655">
        <f t="shared" si="96"/>
        <v>10</v>
      </c>
      <c r="R1581" s="758" t="str">
        <f t="shared" si="94"/>
        <v>Gastos_custeados_por_captação</v>
      </c>
      <c r="S1581" s="697" t="s">
        <v>310</v>
      </c>
      <c r="T1581" s="697" t="s">
        <v>310</v>
      </c>
    </row>
    <row r="1582" spans="1:20" ht="48" x14ac:dyDescent="0.2">
      <c r="A1582" s="432">
        <f>IF(B1582="","",COUNT('Diário 1º PA'!$A$4:$A$2635)+COUNT('Diário 2º PA'!$A$4:$A$3040)+COUNT('Diário 3º PA'!$A$4:$A$2731)+ROW()-3)</f>
        <v>7607</v>
      </c>
      <c r="B1582" s="413">
        <v>44904</v>
      </c>
      <c r="C1582" s="431">
        <v>44805</v>
      </c>
      <c r="D1582" s="419" t="s">
        <v>468</v>
      </c>
      <c r="E1582" s="419" t="s">
        <v>468</v>
      </c>
      <c r="F1582" s="422">
        <v>60.3</v>
      </c>
      <c r="G1582" s="427" t="s">
        <v>8228</v>
      </c>
      <c r="H1582" s="415" t="s">
        <v>468</v>
      </c>
      <c r="I1582" s="415" t="s">
        <v>764</v>
      </c>
      <c r="J1582" s="426" t="s">
        <v>310</v>
      </c>
      <c r="K1582" s="415" t="s">
        <v>1220</v>
      </c>
      <c r="L1582" s="415" t="s">
        <v>3443</v>
      </c>
      <c r="M1582" s="597">
        <v>222282505109</v>
      </c>
      <c r="N1582" s="413">
        <v>44904</v>
      </c>
      <c r="O1582" s="414" t="s">
        <v>405</v>
      </c>
      <c r="P1582" s="655">
        <f t="shared" si="95"/>
        <v>12</v>
      </c>
      <c r="Q1582" s="655">
        <f t="shared" si="96"/>
        <v>9</v>
      </c>
      <c r="R1582" s="758" t="str">
        <f t="shared" si="94"/>
        <v>Gastos_custeados_por_captação</v>
      </c>
      <c r="S1582" s="697" t="s">
        <v>310</v>
      </c>
      <c r="T1582" s="697" t="s">
        <v>310</v>
      </c>
    </row>
    <row r="1583" spans="1:20" ht="48" x14ac:dyDescent="0.2">
      <c r="A1583" s="432">
        <f>IF(B1583="","",COUNT('Diário 1º PA'!$A$4:$A$2635)+COUNT('Diário 2º PA'!$A$4:$A$3040)+COUNT('Diário 3º PA'!$A$4:$A$2731)+ROW()-3)</f>
        <v>7608</v>
      </c>
      <c r="B1583" s="413">
        <v>44904</v>
      </c>
      <c r="C1583" s="431">
        <v>44835</v>
      </c>
      <c r="D1583" s="419" t="s">
        <v>468</v>
      </c>
      <c r="E1583" s="419" t="s">
        <v>468</v>
      </c>
      <c r="F1583" s="422">
        <v>62.5</v>
      </c>
      <c r="G1583" s="427" t="s">
        <v>8277</v>
      </c>
      <c r="H1583" s="415" t="s">
        <v>468</v>
      </c>
      <c r="I1583" s="415" t="s">
        <v>764</v>
      </c>
      <c r="J1583" s="426" t="s">
        <v>310</v>
      </c>
      <c r="K1583" s="415" t="s">
        <v>1220</v>
      </c>
      <c r="L1583" s="415" t="s">
        <v>3443</v>
      </c>
      <c r="M1583" s="597">
        <v>222282505613</v>
      </c>
      <c r="N1583" s="413">
        <v>44904</v>
      </c>
      <c r="O1583" s="414" t="s">
        <v>405</v>
      </c>
      <c r="P1583" s="655">
        <f t="shared" si="95"/>
        <v>12</v>
      </c>
      <c r="Q1583" s="655">
        <f t="shared" si="96"/>
        <v>10</v>
      </c>
      <c r="R1583" s="758" t="str">
        <f t="shared" si="94"/>
        <v>Gastos_custeados_por_captação</v>
      </c>
      <c r="S1583" s="697" t="s">
        <v>310</v>
      </c>
      <c r="T1583" s="697" t="s">
        <v>310</v>
      </c>
    </row>
    <row r="1584" spans="1:20" ht="48" x14ac:dyDescent="0.2">
      <c r="A1584" s="432">
        <f>IF(B1584="","",COUNT('Diário 1º PA'!$A$4:$A$2635)+COUNT('Diário 2º PA'!$A$4:$A$3040)+COUNT('Diário 3º PA'!$A$4:$A$2731)+ROW()-3)</f>
        <v>7609</v>
      </c>
      <c r="B1584" s="413">
        <v>44904</v>
      </c>
      <c r="C1584" s="431">
        <v>44835</v>
      </c>
      <c r="D1584" s="419" t="s">
        <v>468</v>
      </c>
      <c r="E1584" s="419" t="s">
        <v>468</v>
      </c>
      <c r="F1584" s="422">
        <v>27</v>
      </c>
      <c r="G1584" s="427" t="s">
        <v>8347</v>
      </c>
      <c r="H1584" s="415" t="s">
        <v>468</v>
      </c>
      <c r="I1584" s="415" t="s">
        <v>764</v>
      </c>
      <c r="J1584" s="426" t="s">
        <v>310</v>
      </c>
      <c r="K1584" s="415" t="s">
        <v>1220</v>
      </c>
      <c r="L1584" s="415" t="s">
        <v>3443</v>
      </c>
      <c r="M1584" s="597">
        <v>222282506695</v>
      </c>
      <c r="N1584" s="413">
        <v>44904</v>
      </c>
      <c r="O1584" s="414" t="s">
        <v>405</v>
      </c>
      <c r="P1584" s="655">
        <f t="shared" si="95"/>
        <v>12</v>
      </c>
      <c r="Q1584" s="655">
        <f t="shared" si="96"/>
        <v>10</v>
      </c>
      <c r="R1584" s="758" t="str">
        <f t="shared" si="94"/>
        <v>Gastos_custeados_por_captação</v>
      </c>
      <c r="S1584" s="697" t="s">
        <v>310</v>
      </c>
      <c r="T1584" s="697" t="s">
        <v>310</v>
      </c>
    </row>
    <row r="1585" spans="1:20" ht="48" x14ac:dyDescent="0.2">
      <c r="A1585" s="432">
        <f>IF(B1585="","",COUNT('Diário 1º PA'!$A$4:$A$2635)+COUNT('Diário 2º PA'!$A$4:$A$3040)+COUNT('Diário 3º PA'!$A$4:$A$2731)+ROW()-3)</f>
        <v>7610</v>
      </c>
      <c r="B1585" s="413">
        <v>44904</v>
      </c>
      <c r="C1585" s="431">
        <v>44835</v>
      </c>
      <c r="D1585" s="419" t="s">
        <v>468</v>
      </c>
      <c r="E1585" s="419" t="s">
        <v>468</v>
      </c>
      <c r="F1585" s="422">
        <v>72.36</v>
      </c>
      <c r="G1585" s="427" t="s">
        <v>8497</v>
      </c>
      <c r="H1585" s="415" t="s">
        <v>468</v>
      </c>
      <c r="I1585" s="415" t="s">
        <v>764</v>
      </c>
      <c r="J1585" s="426" t="s">
        <v>310</v>
      </c>
      <c r="K1585" s="415" t="s">
        <v>1220</v>
      </c>
      <c r="L1585" s="415" t="s">
        <v>3443</v>
      </c>
      <c r="M1585" s="597">
        <v>222282507900</v>
      </c>
      <c r="N1585" s="413">
        <v>44904</v>
      </c>
      <c r="O1585" s="414" t="s">
        <v>405</v>
      </c>
      <c r="P1585" s="655">
        <f t="shared" si="95"/>
        <v>12</v>
      </c>
      <c r="Q1585" s="655">
        <f t="shared" si="96"/>
        <v>10</v>
      </c>
      <c r="R1585" s="758" t="str">
        <f t="shared" si="94"/>
        <v>Gastos_custeados_por_captação</v>
      </c>
      <c r="S1585" s="697" t="s">
        <v>310</v>
      </c>
      <c r="T1585" s="697" t="s">
        <v>310</v>
      </c>
    </row>
    <row r="1586" spans="1:20" ht="48" x14ac:dyDescent="0.2">
      <c r="A1586" s="432">
        <f>IF(B1586="","",COUNT('Diário 1º PA'!$A$4:$A$2635)+COUNT('Diário 2º PA'!$A$4:$A$3040)+COUNT('Diário 3º PA'!$A$4:$A$2731)+ROW()-3)</f>
        <v>7611</v>
      </c>
      <c r="B1586" s="413">
        <v>44904</v>
      </c>
      <c r="C1586" s="431">
        <v>44835</v>
      </c>
      <c r="D1586" s="419" t="s">
        <v>468</v>
      </c>
      <c r="E1586" s="419" t="s">
        <v>468</v>
      </c>
      <c r="F1586" s="422">
        <v>27</v>
      </c>
      <c r="G1586" s="427" t="s">
        <v>8349</v>
      </c>
      <c r="H1586" s="415" t="s">
        <v>468</v>
      </c>
      <c r="I1586" s="415" t="s">
        <v>764</v>
      </c>
      <c r="J1586" s="426" t="s">
        <v>310</v>
      </c>
      <c r="K1586" s="415" t="s">
        <v>1220</v>
      </c>
      <c r="L1586" s="415" t="s">
        <v>3443</v>
      </c>
      <c r="M1586" s="597">
        <v>222282506938</v>
      </c>
      <c r="N1586" s="413">
        <v>44904</v>
      </c>
      <c r="O1586" s="414" t="s">
        <v>405</v>
      </c>
      <c r="P1586" s="655">
        <f t="shared" si="95"/>
        <v>12</v>
      </c>
      <c r="Q1586" s="655">
        <f t="shared" si="96"/>
        <v>10</v>
      </c>
      <c r="R1586" s="758" t="str">
        <f t="shared" si="94"/>
        <v>Gastos_custeados_por_captação</v>
      </c>
      <c r="S1586" s="697" t="s">
        <v>310</v>
      </c>
      <c r="T1586" s="697" t="s">
        <v>310</v>
      </c>
    </row>
    <row r="1587" spans="1:20" ht="48" x14ac:dyDescent="0.2">
      <c r="A1587" s="432">
        <f>IF(B1587="","",COUNT('Diário 1º PA'!$A$4:$A$2635)+COUNT('Diário 2º PA'!$A$4:$A$3040)+COUNT('Diário 3º PA'!$A$4:$A$2731)+ROW()-3)</f>
        <v>7612</v>
      </c>
      <c r="B1587" s="413">
        <v>44904</v>
      </c>
      <c r="C1587" s="431">
        <v>44835</v>
      </c>
      <c r="D1587" s="419" t="s">
        <v>468</v>
      </c>
      <c r="E1587" s="419" t="s">
        <v>468</v>
      </c>
      <c r="F1587" s="422">
        <v>137.5</v>
      </c>
      <c r="G1587" s="427" t="s">
        <v>8212</v>
      </c>
      <c r="H1587" s="415" t="s">
        <v>468</v>
      </c>
      <c r="I1587" s="415" t="s">
        <v>764</v>
      </c>
      <c r="J1587" s="426" t="s">
        <v>310</v>
      </c>
      <c r="K1587" s="415" t="s">
        <v>1220</v>
      </c>
      <c r="L1587" s="415" t="s">
        <v>3443</v>
      </c>
      <c r="M1587" s="597">
        <v>222282504994</v>
      </c>
      <c r="N1587" s="413">
        <v>44904</v>
      </c>
      <c r="O1587" s="414" t="s">
        <v>405</v>
      </c>
      <c r="P1587" s="655">
        <f t="shared" si="95"/>
        <v>12</v>
      </c>
      <c r="Q1587" s="655">
        <f t="shared" si="96"/>
        <v>10</v>
      </c>
      <c r="R1587" s="758" t="str">
        <f t="shared" si="94"/>
        <v>Gastos_custeados_por_captação</v>
      </c>
      <c r="S1587" s="697" t="s">
        <v>310</v>
      </c>
      <c r="T1587" s="697" t="s">
        <v>310</v>
      </c>
    </row>
    <row r="1588" spans="1:20" ht="48" x14ac:dyDescent="0.2">
      <c r="A1588" s="432">
        <f>IF(B1588="","",COUNT('Diário 1º PA'!$A$4:$A$2635)+COUNT('Diário 2º PA'!$A$4:$A$3040)+COUNT('Diário 3º PA'!$A$4:$A$2731)+ROW()-3)</f>
        <v>7613</v>
      </c>
      <c r="B1588" s="413">
        <v>44904</v>
      </c>
      <c r="C1588" s="431">
        <v>44835</v>
      </c>
      <c r="D1588" s="419" t="s">
        <v>468</v>
      </c>
      <c r="E1588" s="419" t="s">
        <v>468</v>
      </c>
      <c r="F1588" s="422">
        <v>27</v>
      </c>
      <c r="G1588" s="427" t="s">
        <v>8534</v>
      </c>
      <c r="H1588" s="415" t="s">
        <v>468</v>
      </c>
      <c r="I1588" s="415" t="s">
        <v>764</v>
      </c>
      <c r="J1588" s="426" t="s">
        <v>310</v>
      </c>
      <c r="K1588" s="415" t="s">
        <v>1220</v>
      </c>
      <c r="L1588" s="415" t="s">
        <v>3443</v>
      </c>
      <c r="M1588" s="597">
        <v>222282507233</v>
      </c>
      <c r="N1588" s="413">
        <v>44904</v>
      </c>
      <c r="O1588" s="414" t="s">
        <v>405</v>
      </c>
      <c r="P1588" s="655">
        <f t="shared" si="95"/>
        <v>12</v>
      </c>
      <c r="Q1588" s="655">
        <f t="shared" si="96"/>
        <v>10</v>
      </c>
      <c r="R1588" s="758" t="str">
        <f t="shared" si="94"/>
        <v>Gastos_custeados_por_captação</v>
      </c>
      <c r="S1588" s="697" t="s">
        <v>310</v>
      </c>
      <c r="T1588" s="697" t="s">
        <v>310</v>
      </c>
    </row>
    <row r="1589" spans="1:20" ht="48" x14ac:dyDescent="0.2">
      <c r="A1589" s="432">
        <f>IF(B1589="","",COUNT('Diário 1º PA'!$A$4:$A$2635)+COUNT('Diário 2º PA'!$A$4:$A$3040)+COUNT('Diário 3º PA'!$A$4:$A$2731)+ROW()-3)</f>
        <v>7614</v>
      </c>
      <c r="B1589" s="413">
        <v>44904</v>
      </c>
      <c r="C1589" s="431">
        <v>44866</v>
      </c>
      <c r="D1589" s="419" t="s">
        <v>468</v>
      </c>
      <c r="E1589" s="419" t="s">
        <v>468</v>
      </c>
      <c r="F1589" s="422">
        <v>70.349999999999994</v>
      </c>
      <c r="G1589" s="427" t="s">
        <v>8532</v>
      </c>
      <c r="H1589" s="415" t="s">
        <v>468</v>
      </c>
      <c r="I1589" s="415" t="s">
        <v>764</v>
      </c>
      <c r="J1589" s="426" t="s">
        <v>310</v>
      </c>
      <c r="K1589" s="415" t="s">
        <v>1220</v>
      </c>
      <c r="L1589" s="415" t="s">
        <v>3443</v>
      </c>
      <c r="M1589" s="597">
        <v>222282507829</v>
      </c>
      <c r="N1589" s="413">
        <v>44904</v>
      </c>
      <c r="O1589" s="414" t="s">
        <v>405</v>
      </c>
      <c r="P1589" s="655">
        <f t="shared" si="95"/>
        <v>12</v>
      </c>
      <c r="Q1589" s="655">
        <f t="shared" si="96"/>
        <v>11</v>
      </c>
      <c r="R1589" s="758" t="str">
        <f t="shared" si="94"/>
        <v>Gastos_custeados_por_captação</v>
      </c>
      <c r="S1589" s="697" t="s">
        <v>310</v>
      </c>
      <c r="T1589" s="697" t="s">
        <v>310</v>
      </c>
    </row>
    <row r="1590" spans="1:20" ht="48" x14ac:dyDescent="0.2">
      <c r="A1590" s="432">
        <f>IF(B1590="","",COUNT('Diário 1º PA'!$A$4:$A$2635)+COUNT('Diário 2º PA'!$A$4:$A$3040)+COUNT('Diário 3º PA'!$A$4:$A$2731)+ROW()-3)</f>
        <v>7615</v>
      </c>
      <c r="B1590" s="413">
        <v>44904</v>
      </c>
      <c r="C1590" s="431">
        <v>44835</v>
      </c>
      <c r="D1590" s="419" t="s">
        <v>468</v>
      </c>
      <c r="E1590" s="419" t="s">
        <v>468</v>
      </c>
      <c r="F1590" s="422">
        <v>55.27</v>
      </c>
      <c r="G1590" s="427" t="s">
        <v>8294</v>
      </c>
      <c r="H1590" s="415" t="s">
        <v>468</v>
      </c>
      <c r="I1590" s="415" t="s">
        <v>764</v>
      </c>
      <c r="J1590" s="426" t="s">
        <v>310</v>
      </c>
      <c r="K1590" s="415" t="s">
        <v>1220</v>
      </c>
      <c r="L1590" s="415" t="s">
        <v>3443</v>
      </c>
      <c r="M1590" s="597">
        <v>222282506008</v>
      </c>
      <c r="N1590" s="413">
        <v>44904</v>
      </c>
      <c r="O1590" s="414" t="s">
        <v>405</v>
      </c>
      <c r="P1590" s="655">
        <f t="shared" si="95"/>
        <v>12</v>
      </c>
      <c r="Q1590" s="655">
        <f t="shared" si="96"/>
        <v>10</v>
      </c>
      <c r="R1590" s="758" t="str">
        <f t="shared" si="94"/>
        <v>Gastos_custeados_por_captação</v>
      </c>
      <c r="S1590" s="697" t="s">
        <v>310</v>
      </c>
      <c r="T1590" s="697" t="s">
        <v>310</v>
      </c>
    </row>
    <row r="1591" spans="1:20" ht="48" x14ac:dyDescent="0.2">
      <c r="A1591" s="432">
        <f>IF(B1591="","",COUNT('Diário 1º PA'!$A$4:$A$2635)+COUNT('Diário 2º PA'!$A$4:$A$3040)+COUNT('Diário 3º PA'!$A$4:$A$2731)+ROW()-3)</f>
        <v>7616</v>
      </c>
      <c r="B1591" s="413">
        <v>44904</v>
      </c>
      <c r="C1591" s="431">
        <v>44835</v>
      </c>
      <c r="D1591" s="419" t="s">
        <v>468</v>
      </c>
      <c r="E1591" s="419" t="s">
        <v>468</v>
      </c>
      <c r="F1591" s="422">
        <v>147</v>
      </c>
      <c r="G1591" s="427" t="s">
        <v>8227</v>
      </c>
      <c r="H1591" s="415" t="s">
        <v>468</v>
      </c>
      <c r="I1591" s="415" t="s">
        <v>764</v>
      </c>
      <c r="J1591" s="426" t="s">
        <v>310</v>
      </c>
      <c r="K1591" s="415" t="s">
        <v>1220</v>
      </c>
      <c r="L1591" s="415" t="s">
        <v>3443</v>
      </c>
      <c r="M1591" s="597">
        <v>222282505451</v>
      </c>
      <c r="N1591" s="413">
        <v>44904</v>
      </c>
      <c r="O1591" s="414" t="s">
        <v>405</v>
      </c>
      <c r="P1591" s="655">
        <f t="shared" si="95"/>
        <v>12</v>
      </c>
      <c r="Q1591" s="655">
        <f t="shared" si="96"/>
        <v>10</v>
      </c>
      <c r="R1591" s="758" t="str">
        <f t="shared" si="94"/>
        <v>Gastos_custeados_por_captação</v>
      </c>
      <c r="S1591" s="697" t="s">
        <v>310</v>
      </c>
      <c r="T1591" s="697" t="s">
        <v>310</v>
      </c>
    </row>
    <row r="1592" spans="1:20" ht="48" x14ac:dyDescent="0.2">
      <c r="A1592" s="432">
        <f>IF(B1592="","",COUNT('Diário 1º PA'!$A$4:$A$2635)+COUNT('Diário 2º PA'!$A$4:$A$3040)+COUNT('Diário 3º PA'!$A$4:$A$2731)+ROW()-3)</f>
        <v>7617</v>
      </c>
      <c r="B1592" s="413">
        <v>44904</v>
      </c>
      <c r="C1592" s="431">
        <v>44835</v>
      </c>
      <c r="D1592" s="419" t="s">
        <v>468</v>
      </c>
      <c r="E1592" s="419" t="s">
        <v>468</v>
      </c>
      <c r="F1592" s="422">
        <v>27</v>
      </c>
      <c r="G1592" s="427" t="s">
        <v>8495</v>
      </c>
      <c r="H1592" s="415" t="s">
        <v>468</v>
      </c>
      <c r="I1592" s="415" t="s">
        <v>764</v>
      </c>
      <c r="J1592" s="426" t="s">
        <v>310</v>
      </c>
      <c r="K1592" s="415" t="s">
        <v>1220</v>
      </c>
      <c r="L1592" s="415" t="s">
        <v>3443</v>
      </c>
      <c r="M1592" s="597">
        <v>222282507314</v>
      </c>
      <c r="N1592" s="413">
        <v>44904</v>
      </c>
      <c r="O1592" s="414" t="s">
        <v>405</v>
      </c>
      <c r="P1592" s="655">
        <f t="shared" si="95"/>
        <v>12</v>
      </c>
      <c r="Q1592" s="655">
        <f t="shared" si="96"/>
        <v>10</v>
      </c>
      <c r="R1592" s="758" t="str">
        <f t="shared" si="94"/>
        <v>Gastos_custeados_por_captação</v>
      </c>
      <c r="S1592" s="697" t="s">
        <v>310</v>
      </c>
      <c r="T1592" s="697" t="s">
        <v>310</v>
      </c>
    </row>
    <row r="1593" spans="1:20" ht="48" x14ac:dyDescent="0.2">
      <c r="A1593" s="432">
        <f>IF(B1593="","",COUNT('Diário 1º PA'!$A$4:$A$2635)+COUNT('Diário 2º PA'!$A$4:$A$3040)+COUNT('Diário 3º PA'!$A$4:$A$2731)+ROW()-3)</f>
        <v>7618</v>
      </c>
      <c r="B1593" s="413">
        <v>44904</v>
      </c>
      <c r="C1593" s="431">
        <v>44835</v>
      </c>
      <c r="D1593" s="419" t="s">
        <v>468</v>
      </c>
      <c r="E1593" s="419" t="s">
        <v>468</v>
      </c>
      <c r="F1593" s="422">
        <v>60.3</v>
      </c>
      <c r="G1593" s="427" t="s">
        <v>8281</v>
      </c>
      <c r="H1593" s="415" t="s">
        <v>468</v>
      </c>
      <c r="I1593" s="415" t="s">
        <v>764</v>
      </c>
      <c r="J1593" s="426" t="s">
        <v>310</v>
      </c>
      <c r="K1593" s="415" t="s">
        <v>1220</v>
      </c>
      <c r="L1593" s="415" t="s">
        <v>3443</v>
      </c>
      <c r="M1593" s="597">
        <v>222282505370</v>
      </c>
      <c r="N1593" s="413">
        <v>44904</v>
      </c>
      <c r="O1593" s="414" t="s">
        <v>405</v>
      </c>
      <c r="P1593" s="655">
        <f t="shared" si="95"/>
        <v>12</v>
      </c>
      <c r="Q1593" s="655">
        <f t="shared" si="96"/>
        <v>10</v>
      </c>
      <c r="R1593" s="758" t="str">
        <f t="shared" si="94"/>
        <v>Gastos_custeados_por_captação</v>
      </c>
      <c r="S1593" s="697" t="s">
        <v>310</v>
      </c>
      <c r="T1593" s="697" t="s">
        <v>310</v>
      </c>
    </row>
    <row r="1594" spans="1:20" ht="48" x14ac:dyDescent="0.2">
      <c r="A1594" s="432">
        <f>IF(B1594="","",COUNT('Diário 1º PA'!$A$4:$A$2635)+COUNT('Diário 2º PA'!$A$4:$A$3040)+COUNT('Diário 3º PA'!$A$4:$A$2731)+ROW()-3)</f>
        <v>7619</v>
      </c>
      <c r="B1594" s="413">
        <v>44904</v>
      </c>
      <c r="C1594" s="431">
        <v>44835</v>
      </c>
      <c r="D1594" s="419" t="s">
        <v>468</v>
      </c>
      <c r="E1594" s="419" t="s">
        <v>468</v>
      </c>
      <c r="F1594" s="422">
        <v>42.71</v>
      </c>
      <c r="G1594" s="427" t="s">
        <v>8374</v>
      </c>
      <c r="H1594" s="415" t="s">
        <v>468</v>
      </c>
      <c r="I1594" s="415" t="s">
        <v>764</v>
      </c>
      <c r="J1594" s="426" t="s">
        <v>310</v>
      </c>
      <c r="K1594" s="415" t="s">
        <v>1220</v>
      </c>
      <c r="L1594" s="415" t="s">
        <v>3443</v>
      </c>
      <c r="M1594" s="597">
        <v>222282507152</v>
      </c>
      <c r="N1594" s="413">
        <v>44904</v>
      </c>
      <c r="O1594" s="414" t="s">
        <v>405</v>
      </c>
      <c r="P1594" s="655">
        <f t="shared" si="95"/>
        <v>12</v>
      </c>
      <c r="Q1594" s="655">
        <f t="shared" si="96"/>
        <v>10</v>
      </c>
      <c r="R1594" s="758" t="str">
        <f t="shared" si="94"/>
        <v>Gastos_custeados_por_captação</v>
      </c>
      <c r="S1594" s="697" t="s">
        <v>310</v>
      </c>
      <c r="T1594" s="697" t="s">
        <v>310</v>
      </c>
    </row>
    <row r="1595" spans="1:20" ht="48" x14ac:dyDescent="0.2">
      <c r="A1595" s="432">
        <f>IF(B1595="","",COUNT('Diário 1º PA'!$A$4:$A$2635)+COUNT('Diário 2º PA'!$A$4:$A$3040)+COUNT('Diário 3º PA'!$A$4:$A$2731)+ROW()-3)</f>
        <v>7620</v>
      </c>
      <c r="B1595" s="413">
        <v>44904</v>
      </c>
      <c r="C1595" s="431">
        <v>44835</v>
      </c>
      <c r="D1595" s="419" t="s">
        <v>468</v>
      </c>
      <c r="E1595" s="419" t="s">
        <v>468</v>
      </c>
      <c r="F1595" s="422">
        <v>120</v>
      </c>
      <c r="G1595" s="427" t="s">
        <v>8505</v>
      </c>
      <c r="H1595" s="415" t="s">
        <v>468</v>
      </c>
      <c r="I1595" s="415" t="s">
        <v>764</v>
      </c>
      <c r="J1595" s="419" t="s">
        <v>310</v>
      </c>
      <c r="K1595" s="419" t="s">
        <v>1220</v>
      </c>
      <c r="L1595" s="415" t="s">
        <v>3443</v>
      </c>
      <c r="M1595" s="597">
        <v>222282561360</v>
      </c>
      <c r="N1595" s="413">
        <v>44904</v>
      </c>
      <c r="O1595" s="414" t="s">
        <v>404</v>
      </c>
      <c r="P1595" s="655">
        <f t="shared" si="95"/>
        <v>12</v>
      </c>
      <c r="Q1595" s="655">
        <f t="shared" si="96"/>
        <v>10</v>
      </c>
      <c r="R1595" s="758" t="str">
        <f t="shared" si="94"/>
        <v>Gastos_custeados_por_captação</v>
      </c>
      <c r="S1595" s="697" t="s">
        <v>310</v>
      </c>
      <c r="T1595" s="697" t="s">
        <v>310</v>
      </c>
    </row>
    <row r="1596" spans="1:20" ht="48" x14ac:dyDescent="0.2">
      <c r="A1596" s="432">
        <f>IF(B1596="","",COUNT('Diário 1º PA'!$A$4:$A$2635)+COUNT('Diário 2º PA'!$A$4:$A$3040)+COUNT('Diário 3º PA'!$A$4:$A$2731)+ROW()-3)</f>
        <v>7621</v>
      </c>
      <c r="B1596" s="413">
        <v>44904</v>
      </c>
      <c r="C1596" s="431">
        <v>44835</v>
      </c>
      <c r="D1596" s="419" t="s">
        <v>468</v>
      </c>
      <c r="E1596" s="419" t="s">
        <v>468</v>
      </c>
      <c r="F1596" s="422">
        <v>120</v>
      </c>
      <c r="G1596" s="427" t="s">
        <v>8235</v>
      </c>
      <c r="H1596" s="415" t="s">
        <v>468</v>
      </c>
      <c r="I1596" s="415" t="s">
        <v>764</v>
      </c>
      <c r="J1596" s="419" t="s">
        <v>310</v>
      </c>
      <c r="K1596" s="419" t="s">
        <v>1220</v>
      </c>
      <c r="L1596" s="415" t="s">
        <v>3443</v>
      </c>
      <c r="M1596" s="597">
        <v>222282559705</v>
      </c>
      <c r="N1596" s="413">
        <v>44904</v>
      </c>
      <c r="O1596" s="414" t="s">
        <v>404</v>
      </c>
      <c r="P1596" s="655">
        <f t="shared" si="95"/>
        <v>12</v>
      </c>
      <c r="Q1596" s="655">
        <f t="shared" si="96"/>
        <v>10</v>
      </c>
      <c r="R1596" s="758" t="str">
        <f t="shared" si="94"/>
        <v>Gastos_custeados_por_captação</v>
      </c>
      <c r="S1596" s="697" t="s">
        <v>310</v>
      </c>
      <c r="T1596" s="697" t="s">
        <v>310</v>
      </c>
    </row>
    <row r="1597" spans="1:20" ht="48" x14ac:dyDescent="0.2">
      <c r="A1597" s="432">
        <f>IF(B1597="","",COUNT('Diário 1º PA'!$A$4:$A$2635)+COUNT('Diário 2º PA'!$A$4:$A$3040)+COUNT('Diário 3º PA'!$A$4:$A$2731)+ROW()-3)</f>
        <v>7622</v>
      </c>
      <c r="B1597" s="413">
        <v>44904</v>
      </c>
      <c r="C1597" s="431">
        <v>44835</v>
      </c>
      <c r="D1597" s="419" t="s">
        <v>468</v>
      </c>
      <c r="E1597" s="419" t="s">
        <v>468</v>
      </c>
      <c r="F1597" s="422">
        <v>120</v>
      </c>
      <c r="G1597" s="427" t="s">
        <v>8378</v>
      </c>
      <c r="H1597" s="415" t="s">
        <v>468</v>
      </c>
      <c r="I1597" s="415" t="s">
        <v>764</v>
      </c>
      <c r="J1597" s="419" t="s">
        <v>310</v>
      </c>
      <c r="K1597" s="419" t="s">
        <v>1220</v>
      </c>
      <c r="L1597" s="415" t="s">
        <v>3443</v>
      </c>
      <c r="M1597" s="597">
        <v>222282559896</v>
      </c>
      <c r="N1597" s="413">
        <v>44904</v>
      </c>
      <c r="O1597" s="414" t="s">
        <v>404</v>
      </c>
      <c r="P1597" s="655">
        <f t="shared" si="95"/>
        <v>12</v>
      </c>
      <c r="Q1597" s="655">
        <f t="shared" si="96"/>
        <v>10</v>
      </c>
      <c r="R1597" s="758" t="str">
        <f t="shared" si="94"/>
        <v>Gastos_custeados_por_captação</v>
      </c>
      <c r="S1597" s="697" t="s">
        <v>310</v>
      </c>
      <c r="T1597" s="697" t="s">
        <v>310</v>
      </c>
    </row>
    <row r="1598" spans="1:20" ht="48" x14ac:dyDescent="0.2">
      <c r="A1598" s="432">
        <f>IF(B1598="","",COUNT('Diário 1º PA'!$A$4:$A$2635)+COUNT('Diário 2º PA'!$A$4:$A$3040)+COUNT('Diário 3º PA'!$A$4:$A$2731)+ROW()-3)</f>
        <v>7623</v>
      </c>
      <c r="B1598" s="413">
        <v>44904</v>
      </c>
      <c r="C1598" s="431">
        <v>44866</v>
      </c>
      <c r="D1598" s="419" t="s">
        <v>468</v>
      </c>
      <c r="E1598" s="419" t="s">
        <v>468</v>
      </c>
      <c r="F1598" s="422">
        <v>9.9</v>
      </c>
      <c r="G1598" s="419" t="s">
        <v>8857</v>
      </c>
      <c r="H1598" s="415" t="s">
        <v>468</v>
      </c>
      <c r="I1598" s="415" t="s">
        <v>764</v>
      </c>
      <c r="J1598" s="419" t="s">
        <v>310</v>
      </c>
      <c r="K1598" s="419" t="s">
        <v>1220</v>
      </c>
      <c r="L1598" s="415" t="s">
        <v>3443</v>
      </c>
      <c r="M1598" s="597">
        <v>222282562099</v>
      </c>
      <c r="N1598" s="413">
        <v>44904</v>
      </c>
      <c r="O1598" s="414" t="s">
        <v>404</v>
      </c>
      <c r="P1598" s="655">
        <f t="shared" si="95"/>
        <v>12</v>
      </c>
      <c r="Q1598" s="655">
        <f t="shared" si="96"/>
        <v>11</v>
      </c>
      <c r="R1598" s="758" t="str">
        <f t="shared" si="94"/>
        <v>Gastos_custeados_por_captação</v>
      </c>
      <c r="S1598" s="697" t="s">
        <v>310</v>
      </c>
      <c r="T1598" s="697" t="s">
        <v>310</v>
      </c>
    </row>
    <row r="1599" spans="1:20" ht="48" x14ac:dyDescent="0.2">
      <c r="A1599" s="432">
        <f>IF(B1599="","",COUNT('Diário 1º PA'!$A$4:$A$2635)+COUNT('Diário 2º PA'!$A$4:$A$3040)+COUNT('Diário 3º PA'!$A$4:$A$2731)+ROW()-3)</f>
        <v>7624</v>
      </c>
      <c r="B1599" s="413">
        <v>44904</v>
      </c>
      <c r="C1599" s="431">
        <v>44835</v>
      </c>
      <c r="D1599" s="419" t="s">
        <v>468</v>
      </c>
      <c r="E1599" s="419" t="s">
        <v>468</v>
      </c>
      <c r="F1599" s="422">
        <v>137.5</v>
      </c>
      <c r="G1599" s="427" t="s">
        <v>8417</v>
      </c>
      <c r="H1599" s="415" t="s">
        <v>468</v>
      </c>
      <c r="I1599" s="415" t="s">
        <v>764</v>
      </c>
      <c r="J1599" s="419" t="s">
        <v>310</v>
      </c>
      <c r="K1599" s="419" t="s">
        <v>1220</v>
      </c>
      <c r="L1599" s="415" t="s">
        <v>3443</v>
      </c>
      <c r="M1599" s="597">
        <v>222282559977</v>
      </c>
      <c r="N1599" s="413">
        <v>44904</v>
      </c>
      <c r="O1599" s="414" t="s">
        <v>404</v>
      </c>
      <c r="P1599" s="655">
        <f t="shared" si="95"/>
        <v>12</v>
      </c>
      <c r="Q1599" s="655">
        <f t="shared" si="96"/>
        <v>10</v>
      </c>
      <c r="R1599" s="758" t="str">
        <f t="shared" si="94"/>
        <v>Gastos_custeados_por_captação</v>
      </c>
      <c r="S1599" s="697" t="s">
        <v>310</v>
      </c>
      <c r="T1599" s="697" t="s">
        <v>310</v>
      </c>
    </row>
    <row r="1600" spans="1:20" ht="48" x14ac:dyDescent="0.2">
      <c r="A1600" s="432">
        <f>IF(B1600="","",COUNT('Diário 1º PA'!$A$4:$A$2635)+COUNT('Diário 2º PA'!$A$4:$A$3040)+COUNT('Diário 3º PA'!$A$4:$A$2731)+ROW()-3)</f>
        <v>7625</v>
      </c>
      <c r="B1600" s="413">
        <v>44904</v>
      </c>
      <c r="C1600" s="431">
        <v>44866</v>
      </c>
      <c r="D1600" s="419" t="s">
        <v>468</v>
      </c>
      <c r="E1600" s="419" t="s">
        <v>468</v>
      </c>
      <c r="F1600" s="422">
        <v>9.9</v>
      </c>
      <c r="G1600" s="419" t="s">
        <v>8858</v>
      </c>
      <c r="H1600" s="415" t="s">
        <v>468</v>
      </c>
      <c r="I1600" s="415" t="s">
        <v>764</v>
      </c>
      <c r="J1600" s="419" t="s">
        <v>310</v>
      </c>
      <c r="K1600" s="419" t="s">
        <v>1220</v>
      </c>
      <c r="L1600" s="415" t="s">
        <v>3443</v>
      </c>
      <c r="M1600" s="597">
        <v>222282562170</v>
      </c>
      <c r="N1600" s="413">
        <v>44904</v>
      </c>
      <c r="O1600" s="414" t="s">
        <v>404</v>
      </c>
      <c r="P1600" s="655">
        <f t="shared" si="95"/>
        <v>12</v>
      </c>
      <c r="Q1600" s="655">
        <f t="shared" si="96"/>
        <v>11</v>
      </c>
      <c r="R1600" s="758" t="str">
        <f t="shared" si="94"/>
        <v>Gastos_custeados_por_captação</v>
      </c>
      <c r="S1600" s="697" t="s">
        <v>310</v>
      </c>
      <c r="T1600" s="697" t="s">
        <v>310</v>
      </c>
    </row>
    <row r="1601" spans="1:20" ht="48" x14ac:dyDescent="0.2">
      <c r="A1601" s="432">
        <f>IF(B1601="","",COUNT('Diário 1º PA'!$A$4:$A$2635)+COUNT('Diário 2º PA'!$A$4:$A$3040)+COUNT('Diário 3º PA'!$A$4:$A$2731)+ROW()-3)</f>
        <v>7626</v>
      </c>
      <c r="B1601" s="413">
        <v>44904</v>
      </c>
      <c r="C1601" s="431">
        <v>44835</v>
      </c>
      <c r="D1601" s="419" t="s">
        <v>468</v>
      </c>
      <c r="E1601" s="419" t="s">
        <v>468</v>
      </c>
      <c r="F1601" s="422">
        <v>120</v>
      </c>
      <c r="G1601" s="427" t="s">
        <v>8511</v>
      </c>
      <c r="H1601" s="415" t="s">
        <v>468</v>
      </c>
      <c r="I1601" s="415" t="s">
        <v>764</v>
      </c>
      <c r="J1601" s="419" t="s">
        <v>310</v>
      </c>
      <c r="K1601" s="419" t="s">
        <v>1220</v>
      </c>
      <c r="L1601" s="415" t="s">
        <v>3443</v>
      </c>
      <c r="M1601" s="597">
        <v>222282561017</v>
      </c>
      <c r="N1601" s="413">
        <v>44904</v>
      </c>
      <c r="O1601" s="414" t="s">
        <v>404</v>
      </c>
      <c r="P1601" s="655">
        <f t="shared" si="95"/>
        <v>12</v>
      </c>
      <c r="Q1601" s="655">
        <f t="shared" si="96"/>
        <v>10</v>
      </c>
      <c r="R1601" s="758" t="str">
        <f t="shared" si="94"/>
        <v>Gastos_custeados_por_captação</v>
      </c>
      <c r="S1601" s="697" t="s">
        <v>310</v>
      </c>
      <c r="T1601" s="697" t="s">
        <v>310</v>
      </c>
    </row>
    <row r="1602" spans="1:20" ht="48" x14ac:dyDescent="0.2">
      <c r="A1602" s="432">
        <f>IF(B1602="","",COUNT('Diário 1º PA'!$A$4:$A$2635)+COUNT('Diário 2º PA'!$A$4:$A$3040)+COUNT('Diário 3º PA'!$A$4:$A$2731)+ROW()-3)</f>
        <v>7627</v>
      </c>
      <c r="B1602" s="413">
        <v>44904</v>
      </c>
      <c r="C1602" s="431">
        <v>44835</v>
      </c>
      <c r="D1602" s="419" t="s">
        <v>468</v>
      </c>
      <c r="E1602" s="419" t="s">
        <v>468</v>
      </c>
      <c r="F1602" s="422">
        <v>120</v>
      </c>
      <c r="G1602" s="427" t="s">
        <v>8499</v>
      </c>
      <c r="H1602" s="415" t="s">
        <v>468</v>
      </c>
      <c r="I1602" s="415" t="s">
        <v>764</v>
      </c>
      <c r="J1602" s="419" t="s">
        <v>310</v>
      </c>
      <c r="K1602" s="419" t="s">
        <v>1220</v>
      </c>
      <c r="L1602" s="415" t="s">
        <v>3443</v>
      </c>
      <c r="M1602" s="597">
        <v>222282560630</v>
      </c>
      <c r="N1602" s="413">
        <v>44904</v>
      </c>
      <c r="O1602" s="414" t="s">
        <v>404</v>
      </c>
      <c r="P1602" s="655">
        <f t="shared" si="95"/>
        <v>12</v>
      </c>
      <c r="Q1602" s="655">
        <f t="shared" si="96"/>
        <v>10</v>
      </c>
      <c r="R1602" s="758" t="str">
        <f t="shared" si="94"/>
        <v>Gastos_custeados_por_captação</v>
      </c>
      <c r="S1602" s="697" t="s">
        <v>310</v>
      </c>
      <c r="T1602" s="697" t="s">
        <v>310</v>
      </c>
    </row>
    <row r="1603" spans="1:20" ht="48" x14ac:dyDescent="0.2">
      <c r="A1603" s="432">
        <f>IF(B1603="","",COUNT('Diário 1º PA'!$A$4:$A$2635)+COUNT('Diário 2º PA'!$A$4:$A$3040)+COUNT('Diário 3º PA'!$A$4:$A$2731)+ROW()-3)</f>
        <v>7628</v>
      </c>
      <c r="B1603" s="413">
        <v>44904</v>
      </c>
      <c r="C1603" s="431">
        <v>44835</v>
      </c>
      <c r="D1603" s="419" t="s">
        <v>468</v>
      </c>
      <c r="E1603" s="419" t="s">
        <v>468</v>
      </c>
      <c r="F1603" s="422">
        <v>120</v>
      </c>
      <c r="G1603" s="427" t="s">
        <v>8502</v>
      </c>
      <c r="H1603" s="415" t="s">
        <v>468</v>
      </c>
      <c r="I1603" s="415" t="s">
        <v>764</v>
      </c>
      <c r="J1603" s="419" t="s">
        <v>310</v>
      </c>
      <c r="K1603" s="419" t="s">
        <v>1220</v>
      </c>
      <c r="L1603" s="415" t="s">
        <v>3443</v>
      </c>
      <c r="M1603" s="597">
        <v>222282560479</v>
      </c>
      <c r="N1603" s="413">
        <v>44904</v>
      </c>
      <c r="O1603" s="414" t="s">
        <v>404</v>
      </c>
      <c r="P1603" s="655">
        <f t="shared" si="95"/>
        <v>12</v>
      </c>
      <c r="Q1603" s="655">
        <f t="shared" si="96"/>
        <v>10</v>
      </c>
      <c r="R1603" s="758" t="str">
        <f t="shared" si="94"/>
        <v>Gastos_custeados_por_captação</v>
      </c>
      <c r="S1603" s="697" t="s">
        <v>310</v>
      </c>
      <c r="T1603" s="697" t="s">
        <v>310</v>
      </c>
    </row>
    <row r="1604" spans="1:20" ht="48" x14ac:dyDescent="0.2">
      <c r="A1604" s="432">
        <f>IF(B1604="","",COUNT('Diário 1º PA'!$A$4:$A$2635)+COUNT('Diário 2º PA'!$A$4:$A$3040)+COUNT('Diário 3º PA'!$A$4:$A$2731)+ROW()-3)</f>
        <v>7629</v>
      </c>
      <c r="B1604" s="413">
        <v>44904</v>
      </c>
      <c r="C1604" s="431">
        <v>44835</v>
      </c>
      <c r="D1604" s="419" t="s">
        <v>468</v>
      </c>
      <c r="E1604" s="419" t="s">
        <v>468</v>
      </c>
      <c r="F1604" s="422">
        <v>90</v>
      </c>
      <c r="G1604" s="427" t="s">
        <v>8232</v>
      </c>
      <c r="H1604" s="415" t="s">
        <v>468</v>
      </c>
      <c r="I1604" s="415" t="s">
        <v>764</v>
      </c>
      <c r="J1604" s="419" t="s">
        <v>310</v>
      </c>
      <c r="K1604" s="419" t="s">
        <v>1220</v>
      </c>
      <c r="L1604" s="415" t="s">
        <v>3443</v>
      </c>
      <c r="M1604" s="597">
        <v>222282559039</v>
      </c>
      <c r="N1604" s="413">
        <v>44904</v>
      </c>
      <c r="O1604" s="414" t="s">
        <v>404</v>
      </c>
      <c r="P1604" s="655">
        <f t="shared" si="95"/>
        <v>12</v>
      </c>
      <c r="Q1604" s="655">
        <f t="shared" si="96"/>
        <v>10</v>
      </c>
      <c r="R1604" s="758" t="str">
        <f t="shared" si="94"/>
        <v>Gastos_custeados_por_captação</v>
      </c>
      <c r="S1604" s="697" t="s">
        <v>310</v>
      </c>
      <c r="T1604" s="697" t="s">
        <v>310</v>
      </c>
    </row>
    <row r="1605" spans="1:20" ht="48" x14ac:dyDescent="0.2">
      <c r="A1605" s="432">
        <f>IF(B1605="","",COUNT('Diário 1º PA'!$A$4:$A$2635)+COUNT('Diário 2º PA'!$A$4:$A$3040)+COUNT('Diário 3º PA'!$A$4:$A$2731)+ROW()-3)</f>
        <v>7630</v>
      </c>
      <c r="B1605" s="413">
        <v>44904</v>
      </c>
      <c r="C1605" s="431">
        <v>44835</v>
      </c>
      <c r="D1605" s="419" t="s">
        <v>468</v>
      </c>
      <c r="E1605" s="419" t="s">
        <v>468</v>
      </c>
      <c r="F1605" s="422">
        <v>100</v>
      </c>
      <c r="G1605" s="427" t="s">
        <v>8230</v>
      </c>
      <c r="H1605" s="415" t="s">
        <v>468</v>
      </c>
      <c r="I1605" s="415" t="s">
        <v>764</v>
      </c>
      <c r="J1605" s="419" t="s">
        <v>310</v>
      </c>
      <c r="K1605" s="419" t="s">
        <v>1220</v>
      </c>
      <c r="L1605" s="415" t="s">
        <v>3443</v>
      </c>
      <c r="M1605" s="597">
        <v>222282559209</v>
      </c>
      <c r="N1605" s="413">
        <v>44904</v>
      </c>
      <c r="O1605" s="414" t="s">
        <v>404</v>
      </c>
      <c r="P1605" s="655">
        <f t="shared" si="95"/>
        <v>12</v>
      </c>
      <c r="Q1605" s="655">
        <f t="shared" si="96"/>
        <v>10</v>
      </c>
      <c r="R1605" s="758" t="str">
        <f t="shared" si="94"/>
        <v>Gastos_custeados_por_captação</v>
      </c>
      <c r="S1605" s="697" t="s">
        <v>310</v>
      </c>
      <c r="T1605" s="697" t="s">
        <v>310</v>
      </c>
    </row>
    <row r="1606" spans="1:20" ht="48" x14ac:dyDescent="0.2">
      <c r="A1606" s="432">
        <f>IF(B1606="","",COUNT('Diário 1º PA'!$A$4:$A$2635)+COUNT('Diário 2º PA'!$A$4:$A$3040)+COUNT('Diário 3º PA'!$A$4:$A$2731)+ROW()-3)</f>
        <v>7631</v>
      </c>
      <c r="B1606" s="413">
        <v>44904</v>
      </c>
      <c r="C1606" s="431">
        <v>44835</v>
      </c>
      <c r="D1606" s="419" t="s">
        <v>468</v>
      </c>
      <c r="E1606" s="419" t="s">
        <v>468</v>
      </c>
      <c r="F1606" s="422">
        <v>120</v>
      </c>
      <c r="G1606" s="427" t="s">
        <v>8508</v>
      </c>
      <c r="H1606" s="415" t="s">
        <v>468</v>
      </c>
      <c r="I1606" s="415" t="s">
        <v>764</v>
      </c>
      <c r="J1606" s="419" t="s">
        <v>310</v>
      </c>
      <c r="K1606" s="419" t="s">
        <v>1220</v>
      </c>
      <c r="L1606" s="415" t="s">
        <v>3443</v>
      </c>
      <c r="M1606" s="597">
        <v>222282561521</v>
      </c>
      <c r="N1606" s="413">
        <v>44904</v>
      </c>
      <c r="O1606" s="414" t="s">
        <v>404</v>
      </c>
      <c r="P1606" s="655">
        <f t="shared" si="95"/>
        <v>12</v>
      </c>
      <c r="Q1606" s="655">
        <f t="shared" si="96"/>
        <v>10</v>
      </c>
      <c r="R1606" s="758" t="str">
        <f t="shared" si="94"/>
        <v>Gastos_custeados_por_captação</v>
      </c>
      <c r="S1606" s="697" t="s">
        <v>310</v>
      </c>
      <c r="T1606" s="697" t="s">
        <v>310</v>
      </c>
    </row>
    <row r="1607" spans="1:20" ht="48" x14ac:dyDescent="0.2">
      <c r="A1607" s="432">
        <f>IF(B1607="","",COUNT('Diário 1º PA'!$A$4:$A$2635)+COUNT('Diário 2º PA'!$A$4:$A$3040)+COUNT('Diário 3º PA'!$A$4:$A$2731)+ROW()-3)</f>
        <v>7632</v>
      </c>
      <c r="B1607" s="413">
        <v>44904</v>
      </c>
      <c r="C1607" s="431">
        <v>44835</v>
      </c>
      <c r="D1607" s="419" t="s">
        <v>468</v>
      </c>
      <c r="E1607" s="419" t="s">
        <v>468</v>
      </c>
      <c r="F1607" s="422">
        <v>154</v>
      </c>
      <c r="G1607" s="427" t="s">
        <v>8536</v>
      </c>
      <c r="H1607" s="415" t="s">
        <v>468</v>
      </c>
      <c r="I1607" s="415" t="s">
        <v>764</v>
      </c>
      <c r="J1607" s="419" t="s">
        <v>310</v>
      </c>
      <c r="K1607" s="419" t="s">
        <v>1220</v>
      </c>
      <c r="L1607" s="415" t="s">
        <v>3443</v>
      </c>
      <c r="M1607" s="597">
        <v>222282561793</v>
      </c>
      <c r="N1607" s="413">
        <v>44904</v>
      </c>
      <c r="O1607" s="414" t="s">
        <v>404</v>
      </c>
      <c r="P1607" s="655">
        <f t="shared" si="95"/>
        <v>12</v>
      </c>
      <c r="Q1607" s="655">
        <f t="shared" si="96"/>
        <v>10</v>
      </c>
      <c r="R1607" s="758" t="str">
        <f t="shared" si="94"/>
        <v>Gastos_custeados_por_captação</v>
      </c>
      <c r="S1607" s="697" t="s">
        <v>310</v>
      </c>
      <c r="T1607" s="697" t="s">
        <v>310</v>
      </c>
    </row>
    <row r="1608" spans="1:20" ht="48" x14ac:dyDescent="0.2">
      <c r="A1608" s="432">
        <f>IF(B1608="","",COUNT('Diário 1º PA'!$A$4:$A$2635)+COUNT('Diário 2º PA'!$A$4:$A$3040)+COUNT('Diário 3º PA'!$A$4:$A$2731)+ROW()-3)</f>
        <v>7633</v>
      </c>
      <c r="B1608" s="413">
        <v>44904</v>
      </c>
      <c r="C1608" s="431">
        <v>44652</v>
      </c>
      <c r="D1608" s="419" t="s">
        <v>468</v>
      </c>
      <c r="E1608" s="419" t="s">
        <v>468</v>
      </c>
      <c r="F1608" s="422">
        <v>2.7</v>
      </c>
      <c r="G1608" s="419" t="s">
        <v>8859</v>
      </c>
      <c r="H1608" s="415" t="s">
        <v>468</v>
      </c>
      <c r="I1608" s="415" t="s">
        <v>764</v>
      </c>
      <c r="J1608" s="419" t="s">
        <v>310</v>
      </c>
      <c r="K1608" s="419" t="s">
        <v>1220</v>
      </c>
      <c r="L1608" s="415" t="s">
        <v>3443</v>
      </c>
      <c r="M1608" s="597">
        <v>222282561955</v>
      </c>
      <c r="N1608" s="413">
        <v>44904</v>
      </c>
      <c r="O1608" s="414" t="s">
        <v>404</v>
      </c>
      <c r="P1608" s="655">
        <f t="shared" si="95"/>
        <v>12</v>
      </c>
      <c r="Q1608" s="655">
        <f t="shared" si="96"/>
        <v>4</v>
      </c>
      <c r="R1608" s="758" t="str">
        <f t="shared" ref="R1608:R1672" si="97">SUBSTITUTE(D1608," ","_")</f>
        <v>Gastos_custeados_por_captação</v>
      </c>
      <c r="S1608" s="697" t="s">
        <v>310</v>
      </c>
      <c r="T1608" s="697" t="s">
        <v>310</v>
      </c>
    </row>
    <row r="1609" spans="1:20" ht="36" x14ac:dyDescent="0.2">
      <c r="A1609" s="432">
        <f>IF(B1609="","",COUNT('Diário 1º PA'!$A$4:$A$2635)+COUNT('Diário 2º PA'!$A$4:$A$3040)+COUNT('Diário 3º PA'!$A$4:$A$2731)+ROW()-3)</f>
        <v>7634</v>
      </c>
      <c r="B1609" s="413">
        <v>44904</v>
      </c>
      <c r="C1609" s="431">
        <v>44835</v>
      </c>
      <c r="D1609" s="419" t="s">
        <v>468</v>
      </c>
      <c r="E1609" s="419" t="s">
        <v>468</v>
      </c>
      <c r="F1609" s="422">
        <v>114.57</v>
      </c>
      <c r="G1609" s="427" t="s">
        <v>8422</v>
      </c>
      <c r="H1609" s="415" t="s">
        <v>468</v>
      </c>
      <c r="I1609" s="415" t="s">
        <v>764</v>
      </c>
      <c r="J1609" s="426" t="s">
        <v>310</v>
      </c>
      <c r="K1609" s="415" t="s">
        <v>1220</v>
      </c>
      <c r="L1609" s="415" t="s">
        <v>3443</v>
      </c>
      <c r="M1609" s="597">
        <v>222282501200</v>
      </c>
      <c r="N1609" s="413">
        <v>44904</v>
      </c>
      <c r="O1609" s="414" t="s">
        <v>408</v>
      </c>
      <c r="P1609" s="655">
        <f t="shared" si="95"/>
        <v>12</v>
      </c>
      <c r="Q1609" s="655">
        <f t="shared" si="96"/>
        <v>10</v>
      </c>
      <c r="R1609" s="758" t="str">
        <f t="shared" si="97"/>
        <v>Gastos_custeados_por_captação</v>
      </c>
      <c r="S1609" s="697" t="s">
        <v>310</v>
      </c>
      <c r="T1609" s="697" t="s">
        <v>310</v>
      </c>
    </row>
    <row r="1610" spans="1:20" ht="36" x14ac:dyDescent="0.2">
      <c r="A1610" s="432">
        <f>IF(B1610="","",COUNT('Diário 1º PA'!$A$4:$A$2635)+COUNT('Diário 2º PA'!$A$4:$A$3040)+COUNT('Diário 3º PA'!$A$4:$A$2731)+ROW()-3)</f>
        <v>7635</v>
      </c>
      <c r="B1610" s="413">
        <v>44904</v>
      </c>
      <c r="C1610" s="431">
        <v>44835</v>
      </c>
      <c r="D1610" s="419" t="s">
        <v>468</v>
      </c>
      <c r="E1610" s="419" t="s">
        <v>468</v>
      </c>
      <c r="F1610" s="422">
        <v>114.57</v>
      </c>
      <c r="G1610" s="427" t="s">
        <v>8424</v>
      </c>
      <c r="H1610" s="415" t="s">
        <v>468</v>
      </c>
      <c r="I1610" s="415" t="s">
        <v>764</v>
      </c>
      <c r="J1610" s="426" t="s">
        <v>310</v>
      </c>
      <c r="K1610" s="415" t="s">
        <v>1220</v>
      </c>
      <c r="L1610" s="415" t="s">
        <v>3443</v>
      </c>
      <c r="M1610" s="597">
        <v>222282501383</v>
      </c>
      <c r="N1610" s="413">
        <v>44904</v>
      </c>
      <c r="O1610" s="414" t="s">
        <v>408</v>
      </c>
      <c r="P1610" s="655">
        <f t="shared" si="95"/>
        <v>12</v>
      </c>
      <c r="Q1610" s="655">
        <f t="shared" si="96"/>
        <v>10</v>
      </c>
      <c r="R1610" s="758" t="str">
        <f t="shared" si="97"/>
        <v>Gastos_custeados_por_captação</v>
      </c>
      <c r="S1610" s="697" t="s">
        <v>310</v>
      </c>
      <c r="T1610" s="697" t="s">
        <v>310</v>
      </c>
    </row>
    <row r="1611" spans="1:20" ht="36" x14ac:dyDescent="0.2">
      <c r="A1611" s="432">
        <f>IF(B1611="","",COUNT('Diário 1º PA'!$A$4:$A$2635)+COUNT('Diário 2º PA'!$A$4:$A$3040)+COUNT('Diário 3º PA'!$A$4:$A$2731)+ROW()-3)</f>
        <v>7636</v>
      </c>
      <c r="B1611" s="413">
        <v>44904</v>
      </c>
      <c r="C1611" s="431">
        <v>44805</v>
      </c>
      <c r="D1611" s="419" t="s">
        <v>468</v>
      </c>
      <c r="E1611" s="419" t="s">
        <v>468</v>
      </c>
      <c r="F1611" s="422">
        <v>12.06</v>
      </c>
      <c r="G1611" s="427" t="s">
        <v>8865</v>
      </c>
      <c r="H1611" s="415" t="s">
        <v>468</v>
      </c>
      <c r="I1611" s="415" t="s">
        <v>764</v>
      </c>
      <c r="J1611" s="426" t="s">
        <v>310</v>
      </c>
      <c r="K1611" s="415" t="s">
        <v>1220</v>
      </c>
      <c r="L1611" s="415" t="s">
        <v>3443</v>
      </c>
      <c r="M1611" s="597">
        <v>222282501545</v>
      </c>
      <c r="N1611" s="413">
        <v>44904</v>
      </c>
      <c r="O1611" s="414" t="s">
        <v>408</v>
      </c>
      <c r="P1611" s="655">
        <f t="shared" si="95"/>
        <v>12</v>
      </c>
      <c r="Q1611" s="655">
        <f t="shared" si="96"/>
        <v>9</v>
      </c>
      <c r="R1611" s="758" t="str">
        <f t="shared" si="97"/>
        <v>Gastos_custeados_por_captação</v>
      </c>
      <c r="S1611" s="697" t="s">
        <v>310</v>
      </c>
      <c r="T1611" s="697" t="s">
        <v>310</v>
      </c>
    </row>
    <row r="1612" spans="1:20" ht="36" x14ac:dyDescent="0.2">
      <c r="A1612" s="432">
        <f>IF(B1612="","",COUNT('Diário 1º PA'!$A$4:$A$2635)+COUNT('Diário 2º PA'!$A$4:$A$3040)+COUNT('Diário 3º PA'!$A$4:$A$2731)+ROW()-3)</f>
        <v>7637</v>
      </c>
      <c r="B1612" s="413">
        <v>44904</v>
      </c>
      <c r="C1612" s="431">
        <v>44835</v>
      </c>
      <c r="D1612" s="419" t="s">
        <v>468</v>
      </c>
      <c r="E1612" s="419" t="s">
        <v>468</v>
      </c>
      <c r="F1612" s="422">
        <v>180.9</v>
      </c>
      <c r="G1612" s="427" t="s">
        <v>8423</v>
      </c>
      <c r="H1612" s="415" t="s">
        <v>468</v>
      </c>
      <c r="I1612" s="415" t="s">
        <v>764</v>
      </c>
      <c r="J1612" s="426" t="s">
        <v>310</v>
      </c>
      <c r="K1612" s="415" t="s">
        <v>1220</v>
      </c>
      <c r="L1612" s="415" t="s">
        <v>3443</v>
      </c>
      <c r="M1612" s="597">
        <v>222282501464</v>
      </c>
      <c r="N1612" s="413">
        <v>44904</v>
      </c>
      <c r="O1612" s="414" t="s">
        <v>408</v>
      </c>
      <c r="P1612" s="655">
        <f t="shared" si="95"/>
        <v>12</v>
      </c>
      <c r="Q1612" s="655">
        <f t="shared" si="96"/>
        <v>10</v>
      </c>
      <c r="R1612" s="758" t="str">
        <f t="shared" si="97"/>
        <v>Gastos_custeados_por_captação</v>
      </c>
      <c r="S1612" s="697" t="s">
        <v>310</v>
      </c>
      <c r="T1612" s="697" t="s">
        <v>310</v>
      </c>
    </row>
    <row r="1613" spans="1:20" ht="36" x14ac:dyDescent="0.2">
      <c r="A1613" s="432">
        <f>IF(B1613="","",COUNT('Diário 1º PA'!$A$4:$A$2635)+COUNT('Diário 2º PA'!$A$4:$A$3040)+COUNT('Diário 3º PA'!$A$4:$A$2731)+ROW()-3)</f>
        <v>7638</v>
      </c>
      <c r="B1613" s="413">
        <v>44904</v>
      </c>
      <c r="C1613" s="431">
        <v>44835</v>
      </c>
      <c r="D1613" s="419" t="s">
        <v>468</v>
      </c>
      <c r="E1613" s="419" t="s">
        <v>468</v>
      </c>
      <c r="F1613" s="422">
        <v>180</v>
      </c>
      <c r="G1613" s="427" t="s">
        <v>8295</v>
      </c>
      <c r="H1613" s="415" t="s">
        <v>468</v>
      </c>
      <c r="I1613" s="415" t="s">
        <v>764</v>
      </c>
      <c r="J1613" s="426" t="s">
        <v>310</v>
      </c>
      <c r="K1613" s="415" t="s">
        <v>1220</v>
      </c>
      <c r="L1613" s="415" t="s">
        <v>3443</v>
      </c>
      <c r="M1613" s="597">
        <v>222282500735</v>
      </c>
      <c r="N1613" s="413">
        <v>44904</v>
      </c>
      <c r="O1613" s="414" t="s">
        <v>408</v>
      </c>
      <c r="P1613" s="655">
        <f t="shared" si="95"/>
        <v>12</v>
      </c>
      <c r="Q1613" s="655">
        <f t="shared" si="96"/>
        <v>10</v>
      </c>
      <c r="R1613" s="758" t="str">
        <f t="shared" si="97"/>
        <v>Gastos_custeados_por_captação</v>
      </c>
      <c r="S1613" s="697" t="s">
        <v>310</v>
      </c>
      <c r="T1613" s="697" t="s">
        <v>310</v>
      </c>
    </row>
    <row r="1614" spans="1:20" ht="36" x14ac:dyDescent="0.2">
      <c r="A1614" s="432">
        <f>IF(B1614="","",COUNT('Diário 1º PA'!$A$4:$A$2635)+COUNT('Diário 2º PA'!$A$4:$A$3040)+COUNT('Diário 3º PA'!$A$4:$A$2731)+ROW()-3)</f>
        <v>7639</v>
      </c>
      <c r="B1614" s="413">
        <v>44904</v>
      </c>
      <c r="C1614" s="431">
        <v>44835</v>
      </c>
      <c r="D1614" s="419" t="s">
        <v>468</v>
      </c>
      <c r="E1614" s="419" t="s">
        <v>468</v>
      </c>
      <c r="F1614" s="422">
        <v>175</v>
      </c>
      <c r="G1614" s="427" t="s">
        <v>8419</v>
      </c>
      <c r="H1614" s="415" t="s">
        <v>468</v>
      </c>
      <c r="I1614" s="415" t="s">
        <v>764</v>
      </c>
      <c r="J1614" s="426" t="s">
        <v>310</v>
      </c>
      <c r="K1614" s="415" t="s">
        <v>1220</v>
      </c>
      <c r="L1614" s="415" t="s">
        <v>3443</v>
      </c>
      <c r="M1614" s="597">
        <v>222282501030</v>
      </c>
      <c r="N1614" s="413">
        <v>44904</v>
      </c>
      <c r="O1614" s="414" t="s">
        <v>408</v>
      </c>
      <c r="P1614" s="655">
        <f t="shared" si="95"/>
        <v>12</v>
      </c>
      <c r="Q1614" s="655">
        <f t="shared" si="96"/>
        <v>10</v>
      </c>
      <c r="R1614" s="758" t="str">
        <f t="shared" si="97"/>
        <v>Gastos_custeados_por_captação</v>
      </c>
      <c r="S1614" s="697" t="s">
        <v>310</v>
      </c>
      <c r="T1614" s="697" t="s">
        <v>310</v>
      </c>
    </row>
    <row r="1615" spans="1:20" ht="36" x14ac:dyDescent="0.2">
      <c r="A1615" s="432">
        <f>IF(B1615="","",COUNT('Diário 1º PA'!$A$4:$A$2635)+COUNT('Diário 2º PA'!$A$4:$A$3040)+COUNT('Diário 3º PA'!$A$4:$A$2731)+ROW()-3)</f>
        <v>7640</v>
      </c>
      <c r="B1615" s="413">
        <v>44904</v>
      </c>
      <c r="C1615" s="431">
        <v>44835</v>
      </c>
      <c r="D1615" s="419" t="s">
        <v>468</v>
      </c>
      <c r="E1615" s="419" t="s">
        <v>468</v>
      </c>
      <c r="F1615" s="422">
        <v>88.44</v>
      </c>
      <c r="G1615" s="427" t="s">
        <v>8310</v>
      </c>
      <c r="H1615" s="415" t="s">
        <v>468</v>
      </c>
      <c r="I1615" s="415" t="s">
        <v>764</v>
      </c>
      <c r="J1615" s="426" t="s">
        <v>310</v>
      </c>
      <c r="K1615" s="415" t="s">
        <v>1220</v>
      </c>
      <c r="L1615" s="415" t="s">
        <v>3443</v>
      </c>
      <c r="M1615" s="597">
        <v>222282500301</v>
      </c>
      <c r="N1615" s="413">
        <v>44904</v>
      </c>
      <c r="O1615" s="414" t="s">
        <v>408</v>
      </c>
      <c r="P1615" s="655">
        <f t="shared" si="95"/>
        <v>12</v>
      </c>
      <c r="Q1615" s="655">
        <f t="shared" si="96"/>
        <v>10</v>
      </c>
      <c r="R1615" s="758" t="str">
        <f t="shared" si="97"/>
        <v>Gastos_custeados_por_captação</v>
      </c>
      <c r="S1615" s="697" t="s">
        <v>310</v>
      </c>
      <c r="T1615" s="697" t="s">
        <v>310</v>
      </c>
    </row>
    <row r="1616" spans="1:20" ht="36" x14ac:dyDescent="0.2">
      <c r="A1616" s="432">
        <f>IF(B1616="","",COUNT('Diário 1º PA'!$A$4:$A$2635)+COUNT('Diário 2º PA'!$A$4:$A$3040)+COUNT('Diário 3º PA'!$A$4:$A$2731)+ROW()-3)</f>
        <v>7641</v>
      </c>
      <c r="B1616" s="413">
        <v>44904</v>
      </c>
      <c r="C1616" s="431">
        <v>44835</v>
      </c>
      <c r="D1616" s="419" t="s">
        <v>468</v>
      </c>
      <c r="E1616" s="419" t="s">
        <v>468</v>
      </c>
      <c r="F1616" s="422">
        <v>150</v>
      </c>
      <c r="G1616" s="427" t="s">
        <v>8444</v>
      </c>
      <c r="H1616" s="415" t="s">
        <v>468</v>
      </c>
      <c r="I1616" s="415" t="s">
        <v>764</v>
      </c>
      <c r="J1616" s="426" t="s">
        <v>310</v>
      </c>
      <c r="K1616" s="415" t="s">
        <v>1220</v>
      </c>
      <c r="L1616" s="415" t="s">
        <v>3443</v>
      </c>
      <c r="M1616" s="597">
        <v>222282544945</v>
      </c>
      <c r="N1616" s="413">
        <v>44904</v>
      </c>
      <c r="O1616" s="414" t="s">
        <v>3762</v>
      </c>
      <c r="P1616" s="655">
        <f t="shared" si="95"/>
        <v>12</v>
      </c>
      <c r="Q1616" s="655">
        <f t="shared" si="96"/>
        <v>10</v>
      </c>
      <c r="R1616" s="758" t="str">
        <f t="shared" si="97"/>
        <v>Gastos_custeados_por_captação</v>
      </c>
      <c r="S1616" s="697" t="s">
        <v>310</v>
      </c>
      <c r="T1616" s="697" t="s">
        <v>310</v>
      </c>
    </row>
    <row r="1617" spans="1:20" ht="36" x14ac:dyDescent="0.2">
      <c r="A1617" s="432">
        <f>IF(B1617="","",COUNT('Diário 1º PA'!$A$4:$A$2635)+COUNT('Diário 2º PA'!$A$4:$A$3040)+COUNT('Diário 3º PA'!$A$4:$A$2731)+ROW()-3)</f>
        <v>7642</v>
      </c>
      <c r="B1617" s="413">
        <v>44904</v>
      </c>
      <c r="C1617" s="431">
        <v>44835</v>
      </c>
      <c r="D1617" s="419" t="s">
        <v>468</v>
      </c>
      <c r="E1617" s="419" t="s">
        <v>468</v>
      </c>
      <c r="F1617" s="422">
        <v>100</v>
      </c>
      <c r="G1617" s="427" t="s">
        <v>8452</v>
      </c>
      <c r="H1617" s="415" t="s">
        <v>468</v>
      </c>
      <c r="I1617" s="415" t="s">
        <v>764</v>
      </c>
      <c r="J1617" s="426" t="s">
        <v>310</v>
      </c>
      <c r="K1617" s="415" t="s">
        <v>1220</v>
      </c>
      <c r="L1617" s="415" t="s">
        <v>3443</v>
      </c>
      <c r="M1617" s="597">
        <v>222282545321</v>
      </c>
      <c r="N1617" s="413">
        <v>44904</v>
      </c>
      <c r="O1617" s="414" t="s">
        <v>3762</v>
      </c>
      <c r="P1617" s="655">
        <f t="shared" si="95"/>
        <v>12</v>
      </c>
      <c r="Q1617" s="655">
        <f t="shared" si="96"/>
        <v>10</v>
      </c>
      <c r="R1617" s="758" t="str">
        <f t="shared" si="97"/>
        <v>Gastos_custeados_por_captação</v>
      </c>
      <c r="S1617" s="697" t="s">
        <v>310</v>
      </c>
      <c r="T1617" s="697" t="s">
        <v>310</v>
      </c>
    </row>
    <row r="1618" spans="1:20" ht="36" x14ac:dyDescent="0.2">
      <c r="A1618" s="432">
        <f>IF(B1618="","",COUNT('Diário 1º PA'!$A$4:$A$2635)+COUNT('Diário 2º PA'!$A$4:$A$3040)+COUNT('Diário 3º PA'!$A$4:$A$2731)+ROW()-3)</f>
        <v>7643</v>
      </c>
      <c r="B1618" s="413">
        <v>44904</v>
      </c>
      <c r="C1618" s="431">
        <v>44835</v>
      </c>
      <c r="D1618" s="419" t="s">
        <v>468</v>
      </c>
      <c r="E1618" s="419" t="s">
        <v>468</v>
      </c>
      <c r="F1618" s="422">
        <v>150</v>
      </c>
      <c r="G1618" s="427" t="s">
        <v>8461</v>
      </c>
      <c r="H1618" s="415" t="s">
        <v>468</v>
      </c>
      <c r="I1618" s="415" t="s">
        <v>764</v>
      </c>
      <c r="J1618" s="426" t="s">
        <v>310</v>
      </c>
      <c r="K1618" s="415" t="s">
        <v>1220</v>
      </c>
      <c r="L1618" s="415" t="s">
        <v>3443</v>
      </c>
      <c r="M1618" s="597">
        <v>222282545836</v>
      </c>
      <c r="N1618" s="413">
        <v>44904</v>
      </c>
      <c r="O1618" s="414" t="s">
        <v>3762</v>
      </c>
      <c r="P1618" s="655">
        <f t="shared" si="95"/>
        <v>12</v>
      </c>
      <c r="Q1618" s="655">
        <f t="shared" si="96"/>
        <v>10</v>
      </c>
      <c r="R1618" s="758" t="str">
        <f t="shared" si="97"/>
        <v>Gastos_custeados_por_captação</v>
      </c>
      <c r="S1618" s="697" t="s">
        <v>310</v>
      </c>
      <c r="T1618" s="697" t="s">
        <v>310</v>
      </c>
    </row>
    <row r="1619" spans="1:20" ht="36" x14ac:dyDescent="0.2">
      <c r="A1619" s="432">
        <f>IF(B1619="","",COUNT('Diário 1º PA'!$A$4:$A$2635)+COUNT('Diário 2º PA'!$A$4:$A$3040)+COUNT('Diário 3º PA'!$A$4:$A$2731)+ROW()-3)</f>
        <v>7644</v>
      </c>
      <c r="B1619" s="413">
        <v>44904</v>
      </c>
      <c r="C1619" s="431">
        <v>44835</v>
      </c>
      <c r="D1619" s="419" t="s">
        <v>468</v>
      </c>
      <c r="E1619" s="419" t="s">
        <v>468</v>
      </c>
      <c r="F1619" s="422">
        <v>100</v>
      </c>
      <c r="G1619" s="427" t="s">
        <v>8459</v>
      </c>
      <c r="H1619" s="415" t="s">
        <v>468</v>
      </c>
      <c r="I1619" s="415" t="s">
        <v>764</v>
      </c>
      <c r="J1619" s="426" t="s">
        <v>310</v>
      </c>
      <c r="K1619" s="415" t="s">
        <v>1220</v>
      </c>
      <c r="L1619" s="415" t="s">
        <v>3443</v>
      </c>
      <c r="M1619" s="597">
        <v>222282545402</v>
      </c>
      <c r="N1619" s="413">
        <v>44904</v>
      </c>
      <c r="O1619" s="414" t="s">
        <v>3762</v>
      </c>
      <c r="P1619" s="655">
        <f t="shared" si="95"/>
        <v>12</v>
      </c>
      <c r="Q1619" s="655">
        <f t="shared" si="96"/>
        <v>10</v>
      </c>
      <c r="R1619" s="758" t="str">
        <f t="shared" si="97"/>
        <v>Gastos_custeados_por_captação</v>
      </c>
      <c r="S1619" s="697" t="s">
        <v>310</v>
      </c>
      <c r="T1619" s="697" t="s">
        <v>310</v>
      </c>
    </row>
    <row r="1620" spans="1:20" ht="36" x14ac:dyDescent="0.2">
      <c r="A1620" s="432">
        <f>IF(B1620="","",COUNT('Diário 1º PA'!$A$4:$A$2635)+COUNT('Diário 2º PA'!$A$4:$A$3040)+COUNT('Diário 3º PA'!$A$4:$A$2731)+ROW()-3)</f>
        <v>7645</v>
      </c>
      <c r="B1620" s="413">
        <v>44904</v>
      </c>
      <c r="C1620" s="431">
        <v>44835</v>
      </c>
      <c r="D1620" s="419" t="s">
        <v>468</v>
      </c>
      <c r="E1620" s="419" t="s">
        <v>468</v>
      </c>
      <c r="F1620" s="422">
        <v>150</v>
      </c>
      <c r="G1620" s="427" t="s">
        <v>8449</v>
      </c>
      <c r="H1620" s="415" t="s">
        <v>468</v>
      </c>
      <c r="I1620" s="415" t="s">
        <v>764</v>
      </c>
      <c r="J1620" s="426" t="s">
        <v>310</v>
      </c>
      <c r="K1620" s="415" t="s">
        <v>1220</v>
      </c>
      <c r="L1620" s="415" t="s">
        <v>3443</v>
      </c>
      <c r="M1620" s="597">
        <v>222282545160</v>
      </c>
      <c r="N1620" s="413">
        <v>44904</v>
      </c>
      <c r="O1620" s="414" t="s">
        <v>3762</v>
      </c>
      <c r="P1620" s="655">
        <f t="shared" si="95"/>
        <v>12</v>
      </c>
      <c r="Q1620" s="655">
        <f t="shared" si="96"/>
        <v>10</v>
      </c>
      <c r="R1620" s="758" t="str">
        <f t="shared" si="97"/>
        <v>Gastos_custeados_por_captação</v>
      </c>
      <c r="S1620" s="697" t="s">
        <v>310</v>
      </c>
      <c r="T1620" s="697" t="s">
        <v>310</v>
      </c>
    </row>
    <row r="1621" spans="1:20" ht="36" x14ac:dyDescent="0.2">
      <c r="A1621" s="432">
        <f>IF(B1621="","",COUNT('Diário 1º PA'!$A$4:$A$2635)+COUNT('Diário 2º PA'!$A$4:$A$3040)+COUNT('Diário 3º PA'!$A$4:$A$2731)+ROW()-3)</f>
        <v>7646</v>
      </c>
      <c r="B1621" s="413">
        <v>44904</v>
      </c>
      <c r="C1621" s="431">
        <v>44835</v>
      </c>
      <c r="D1621" s="419" t="s">
        <v>468</v>
      </c>
      <c r="E1621" s="419" t="s">
        <v>468</v>
      </c>
      <c r="F1621" s="422">
        <v>90</v>
      </c>
      <c r="G1621" s="427" t="s">
        <v>8432</v>
      </c>
      <c r="H1621" s="415" t="s">
        <v>468</v>
      </c>
      <c r="I1621" s="415" t="s">
        <v>764</v>
      </c>
      <c r="J1621" s="426" t="s">
        <v>310</v>
      </c>
      <c r="K1621" s="415" t="s">
        <v>1220</v>
      </c>
      <c r="L1621" s="415" t="s">
        <v>3443</v>
      </c>
      <c r="M1621" s="597">
        <v>222282542578</v>
      </c>
      <c r="N1621" s="413">
        <v>44904</v>
      </c>
      <c r="O1621" s="414" t="s">
        <v>3762</v>
      </c>
      <c r="P1621" s="655">
        <f t="shared" si="95"/>
        <v>12</v>
      </c>
      <c r="Q1621" s="655">
        <f t="shared" si="96"/>
        <v>10</v>
      </c>
      <c r="R1621" s="758" t="str">
        <f t="shared" si="97"/>
        <v>Gastos_custeados_por_captação</v>
      </c>
      <c r="S1621" s="697" t="s">
        <v>310</v>
      </c>
      <c r="T1621" s="697" t="s">
        <v>310</v>
      </c>
    </row>
    <row r="1622" spans="1:20" ht="36" x14ac:dyDescent="0.2">
      <c r="A1622" s="432">
        <f>IF(B1622="","",COUNT('Diário 1º PA'!$A$4:$A$2635)+COUNT('Diário 2º PA'!$A$4:$A$3040)+COUNT('Diário 3º PA'!$A$4:$A$2731)+ROW()-3)</f>
        <v>7647</v>
      </c>
      <c r="B1622" s="413">
        <v>44904</v>
      </c>
      <c r="C1622" s="431">
        <v>44835</v>
      </c>
      <c r="D1622" s="419" t="s">
        <v>468</v>
      </c>
      <c r="E1622" s="419" t="s">
        <v>468</v>
      </c>
      <c r="F1622" s="422">
        <v>74.33</v>
      </c>
      <c r="G1622" s="427" t="s">
        <v>8438</v>
      </c>
      <c r="H1622" s="415" t="s">
        <v>468</v>
      </c>
      <c r="I1622" s="415" t="s">
        <v>764</v>
      </c>
      <c r="J1622" s="426" t="s">
        <v>310</v>
      </c>
      <c r="K1622" s="415" t="s">
        <v>1220</v>
      </c>
      <c r="L1622" s="415" t="s">
        <v>3443</v>
      </c>
      <c r="M1622" s="597">
        <v>222282542900</v>
      </c>
      <c r="N1622" s="413">
        <v>44904</v>
      </c>
      <c r="O1622" s="414" t="s">
        <v>3762</v>
      </c>
      <c r="P1622" s="655">
        <f t="shared" si="95"/>
        <v>12</v>
      </c>
      <c r="Q1622" s="655">
        <f t="shared" si="96"/>
        <v>10</v>
      </c>
      <c r="R1622" s="758" t="str">
        <f t="shared" si="97"/>
        <v>Gastos_custeados_por_captação</v>
      </c>
      <c r="S1622" s="697" t="s">
        <v>310</v>
      </c>
      <c r="T1622" s="697" t="s">
        <v>310</v>
      </c>
    </row>
    <row r="1623" spans="1:20" ht="36" x14ac:dyDescent="0.2">
      <c r="A1623" s="432">
        <f>IF(B1623="","",COUNT('Diário 1º PA'!$A$4:$A$2635)+COUNT('Diário 2º PA'!$A$4:$A$3040)+COUNT('Diário 3º PA'!$A$4:$A$2731)+ROW()-3)</f>
        <v>7648</v>
      </c>
      <c r="B1623" s="413">
        <v>44904</v>
      </c>
      <c r="C1623" s="431">
        <v>44835</v>
      </c>
      <c r="D1623" s="419" t="s">
        <v>468</v>
      </c>
      <c r="E1623" s="419" t="s">
        <v>468</v>
      </c>
      <c r="F1623" s="422">
        <v>100</v>
      </c>
      <c r="G1623" s="427" t="s">
        <v>8454</v>
      </c>
      <c r="H1623" s="415" t="s">
        <v>468</v>
      </c>
      <c r="I1623" s="415" t="s">
        <v>764</v>
      </c>
      <c r="J1623" s="426" t="s">
        <v>310</v>
      </c>
      <c r="K1623" s="415" t="s">
        <v>1220</v>
      </c>
      <c r="L1623" s="415" t="s">
        <v>3443</v>
      </c>
      <c r="M1623" s="597">
        <v>222282545674</v>
      </c>
      <c r="N1623" s="413">
        <v>44904</v>
      </c>
      <c r="O1623" s="414" t="s">
        <v>3762</v>
      </c>
      <c r="P1623" s="655">
        <f t="shared" si="95"/>
        <v>12</v>
      </c>
      <c r="Q1623" s="655">
        <f t="shared" si="96"/>
        <v>10</v>
      </c>
      <c r="R1623" s="758" t="str">
        <f t="shared" si="97"/>
        <v>Gastos_custeados_por_captação</v>
      </c>
      <c r="S1623" s="697" t="s">
        <v>310</v>
      </c>
      <c r="T1623" s="697" t="s">
        <v>310</v>
      </c>
    </row>
    <row r="1624" spans="1:20" ht="36" x14ac:dyDescent="0.2">
      <c r="A1624" s="432">
        <f>IF(B1624="","",COUNT('Diário 1º PA'!$A$4:$A$2635)+COUNT('Diário 2º PA'!$A$4:$A$3040)+COUNT('Diário 3º PA'!$A$4:$A$2731)+ROW()-3)</f>
        <v>7649</v>
      </c>
      <c r="B1624" s="413">
        <v>44904</v>
      </c>
      <c r="C1624" s="431">
        <v>44835</v>
      </c>
      <c r="D1624" s="419" t="s">
        <v>468</v>
      </c>
      <c r="E1624" s="419" t="s">
        <v>468</v>
      </c>
      <c r="F1624" s="422">
        <v>150</v>
      </c>
      <c r="G1624" s="427" t="s">
        <v>8456</v>
      </c>
      <c r="H1624" s="415" t="s">
        <v>468</v>
      </c>
      <c r="I1624" s="415" t="s">
        <v>764</v>
      </c>
      <c r="J1624" s="426" t="s">
        <v>310</v>
      </c>
      <c r="K1624" s="415" t="s">
        <v>1220</v>
      </c>
      <c r="L1624" s="415" t="s">
        <v>3443</v>
      </c>
      <c r="M1624" s="597">
        <v>222282545917</v>
      </c>
      <c r="N1624" s="413">
        <v>44904</v>
      </c>
      <c r="O1624" s="414" t="s">
        <v>3762</v>
      </c>
      <c r="P1624" s="655">
        <f t="shared" si="95"/>
        <v>12</v>
      </c>
      <c r="Q1624" s="655">
        <f t="shared" si="96"/>
        <v>10</v>
      </c>
      <c r="R1624" s="758" t="str">
        <f t="shared" si="97"/>
        <v>Gastos_custeados_por_captação</v>
      </c>
      <c r="S1624" s="697" t="s">
        <v>310</v>
      </c>
      <c r="T1624" s="697" t="s">
        <v>310</v>
      </c>
    </row>
    <row r="1625" spans="1:20" ht="36" x14ac:dyDescent="0.2">
      <c r="A1625" s="432">
        <f>IF(B1625="","",COUNT('Diário 1º PA'!$A$4:$A$2635)+COUNT('Diário 2º PA'!$A$4:$A$3040)+COUNT('Diário 3º PA'!$A$4:$A$2731)+ROW()-3)</f>
        <v>7650</v>
      </c>
      <c r="B1625" s="413">
        <v>44904</v>
      </c>
      <c r="C1625" s="431">
        <v>44835</v>
      </c>
      <c r="D1625" s="419" t="s">
        <v>468</v>
      </c>
      <c r="E1625" s="419" t="s">
        <v>468</v>
      </c>
      <c r="F1625" s="422">
        <v>58.79</v>
      </c>
      <c r="G1625" s="427" t="s">
        <v>8440</v>
      </c>
      <c r="H1625" s="415" t="s">
        <v>468</v>
      </c>
      <c r="I1625" s="415" t="s">
        <v>764</v>
      </c>
      <c r="J1625" s="426" t="s">
        <v>310</v>
      </c>
      <c r="K1625" s="415" t="s">
        <v>1220</v>
      </c>
      <c r="L1625" s="415" t="s">
        <v>3443</v>
      </c>
      <c r="M1625" s="597">
        <v>222282543469</v>
      </c>
      <c r="N1625" s="413">
        <v>44904</v>
      </c>
      <c r="O1625" s="414" t="s">
        <v>3762</v>
      </c>
      <c r="P1625" s="655">
        <f t="shared" si="95"/>
        <v>12</v>
      </c>
      <c r="Q1625" s="655">
        <f t="shared" si="96"/>
        <v>10</v>
      </c>
      <c r="R1625" s="758" t="str">
        <f t="shared" si="97"/>
        <v>Gastos_custeados_por_captação</v>
      </c>
      <c r="S1625" s="697" t="s">
        <v>310</v>
      </c>
      <c r="T1625" s="697" t="s">
        <v>310</v>
      </c>
    </row>
    <row r="1626" spans="1:20" ht="48" x14ac:dyDescent="0.2">
      <c r="A1626" s="432">
        <f>IF(B1626="","",COUNT('Diário 1º PA'!$A$4:$A$2635)+COUNT('Diário 2º PA'!$A$4:$A$3040)+COUNT('Diário 3º PA'!$A$4:$A$2731)+ROW()-3)</f>
        <v>7651</v>
      </c>
      <c r="B1626" s="413">
        <v>44907</v>
      </c>
      <c r="C1626" s="431">
        <v>44866</v>
      </c>
      <c r="D1626" s="415" t="s">
        <v>271</v>
      </c>
      <c r="E1626" s="415" t="s">
        <v>163</v>
      </c>
      <c r="F1626" s="425">
        <v>-53.56</v>
      </c>
      <c r="G1626" s="427" t="s">
        <v>8755</v>
      </c>
      <c r="H1626" s="415" t="s">
        <v>309</v>
      </c>
      <c r="I1626" s="473" t="s">
        <v>795</v>
      </c>
      <c r="J1626" s="415" t="s">
        <v>796</v>
      </c>
      <c r="K1626" s="415" t="s">
        <v>797</v>
      </c>
      <c r="L1626" s="415" t="s">
        <v>798</v>
      </c>
      <c r="M1626" s="415" t="s">
        <v>310</v>
      </c>
      <c r="N1626" s="413">
        <v>44907</v>
      </c>
      <c r="O1626" s="414" t="s">
        <v>400</v>
      </c>
      <c r="P1626" s="655">
        <f t="shared" si="95"/>
        <v>12</v>
      </c>
      <c r="Q1626" s="655">
        <f t="shared" si="96"/>
        <v>11</v>
      </c>
      <c r="R1626" s="758" t="str">
        <f t="shared" si="97"/>
        <v>Gastos_Gerais</v>
      </c>
      <c r="S1626" s="697" t="s">
        <v>310</v>
      </c>
      <c r="T1626" s="697" t="s">
        <v>310</v>
      </c>
    </row>
    <row r="1627" spans="1:20" ht="60" x14ac:dyDescent="0.2">
      <c r="A1627" s="432">
        <f>IF(B1627="","",COUNT('Diário 1º PA'!$A$4:$A$2635)+COUNT('Diário 2º PA'!$A$4:$A$3040)+COUNT('Diário 3º PA'!$A$4:$A$2731)+ROW()-3)</f>
        <v>7652</v>
      </c>
      <c r="B1627" s="413">
        <v>44907</v>
      </c>
      <c r="C1627" s="424">
        <v>44866</v>
      </c>
      <c r="D1627" s="419" t="s">
        <v>271</v>
      </c>
      <c r="E1627" s="419" t="s">
        <v>187</v>
      </c>
      <c r="F1627" s="422">
        <v>-184.87</v>
      </c>
      <c r="G1627" s="423" t="s">
        <v>8756</v>
      </c>
      <c r="H1627" s="419" t="s">
        <v>309</v>
      </c>
      <c r="I1627" s="415" t="s">
        <v>795</v>
      </c>
      <c r="J1627" s="419" t="s">
        <v>796</v>
      </c>
      <c r="K1627" s="419" t="s">
        <v>797</v>
      </c>
      <c r="L1627" s="415" t="s">
        <v>798</v>
      </c>
      <c r="M1627" s="419" t="s">
        <v>310</v>
      </c>
      <c r="N1627" s="413">
        <v>44907</v>
      </c>
      <c r="O1627" s="414" t="s">
        <v>400</v>
      </c>
      <c r="P1627" s="655">
        <f t="shared" si="95"/>
        <v>12</v>
      </c>
      <c r="Q1627" s="655">
        <f t="shared" si="96"/>
        <v>11</v>
      </c>
      <c r="R1627" s="758" t="str">
        <f t="shared" si="97"/>
        <v>Gastos_Gerais</v>
      </c>
      <c r="S1627" s="697" t="s">
        <v>310</v>
      </c>
      <c r="T1627" s="697" t="s">
        <v>310</v>
      </c>
    </row>
    <row r="1628" spans="1:20" ht="48" x14ac:dyDescent="0.2">
      <c r="A1628" s="432">
        <f>IF(B1628="","",COUNT('Diário 1º PA'!$A$4:$A$2635)+COUNT('Diário 2º PA'!$A$4:$A$3040)+COUNT('Diário 3º PA'!$A$4:$A$2731)+ROW()-3)</f>
        <v>7653</v>
      </c>
      <c r="B1628" s="413">
        <v>44907</v>
      </c>
      <c r="C1628" s="424">
        <v>44866</v>
      </c>
      <c r="D1628" s="415" t="s">
        <v>271</v>
      </c>
      <c r="E1628" s="415" t="s">
        <v>92</v>
      </c>
      <c r="F1628" s="425">
        <v>-132.05000000000001</v>
      </c>
      <c r="G1628" s="427" t="s">
        <v>8757</v>
      </c>
      <c r="H1628" s="415" t="s">
        <v>309</v>
      </c>
      <c r="I1628" s="473" t="s">
        <v>795</v>
      </c>
      <c r="J1628" s="415" t="s">
        <v>796</v>
      </c>
      <c r="K1628" s="415" t="s">
        <v>797</v>
      </c>
      <c r="L1628" s="399" t="s">
        <v>798</v>
      </c>
      <c r="M1628" s="544" t="s">
        <v>310</v>
      </c>
      <c r="N1628" s="413">
        <v>44907</v>
      </c>
      <c r="O1628" s="414" t="s">
        <v>400</v>
      </c>
      <c r="P1628" s="655">
        <f t="shared" si="95"/>
        <v>12</v>
      </c>
      <c r="Q1628" s="655">
        <f t="shared" si="96"/>
        <v>11</v>
      </c>
      <c r="R1628" s="758" t="str">
        <f t="shared" si="97"/>
        <v>Gastos_Gerais</v>
      </c>
      <c r="S1628" s="697" t="s">
        <v>310</v>
      </c>
      <c r="T1628" s="697" t="s">
        <v>310</v>
      </c>
    </row>
    <row r="1629" spans="1:20" ht="36" x14ac:dyDescent="0.2">
      <c r="A1629" s="432">
        <f>IF(B1629="","",COUNT('Diário 1º PA'!$A$4:$A$2635)+COUNT('Diário 2º PA'!$A$4:$A$3040)+COUNT('Diário 3º PA'!$A$4:$A$2731)+ROW()-3)</f>
        <v>7654</v>
      </c>
      <c r="B1629" s="413">
        <v>44907</v>
      </c>
      <c r="C1629" s="431">
        <v>44866</v>
      </c>
      <c r="D1629" s="419" t="s">
        <v>271</v>
      </c>
      <c r="E1629" s="415" t="s">
        <v>465</v>
      </c>
      <c r="F1629" s="422">
        <v>146.4</v>
      </c>
      <c r="G1629" s="427" t="s">
        <v>8758</v>
      </c>
      <c r="H1629" s="419" t="s">
        <v>757</v>
      </c>
      <c r="I1629" s="473" t="s">
        <v>3030</v>
      </c>
      <c r="J1629" s="415" t="s">
        <v>796</v>
      </c>
      <c r="K1629" s="415" t="s">
        <v>797</v>
      </c>
      <c r="L1629" s="415" t="s">
        <v>798</v>
      </c>
      <c r="M1629" s="415" t="s">
        <v>310</v>
      </c>
      <c r="N1629" s="413">
        <v>44907</v>
      </c>
      <c r="O1629" s="414" t="s">
        <v>400</v>
      </c>
      <c r="P1629" s="655">
        <f t="shared" si="95"/>
        <v>12</v>
      </c>
      <c r="Q1629" s="655">
        <f t="shared" si="96"/>
        <v>11</v>
      </c>
      <c r="R1629" s="758" t="str">
        <f t="shared" si="97"/>
        <v>Gastos_Gerais</v>
      </c>
      <c r="S1629" s="697" t="s">
        <v>310</v>
      </c>
      <c r="T1629" s="697" t="s">
        <v>310</v>
      </c>
    </row>
    <row r="1630" spans="1:20" ht="60" x14ac:dyDescent="0.2">
      <c r="A1630" s="432">
        <f>IF(B1630="","",COUNT('Diário 1º PA'!$A$4:$A$2635)+COUNT('Diário 2º PA'!$A$4:$A$3040)+COUNT('Diário 3º PA'!$A$4:$A$2731)+ROW()-3)</f>
        <v>7655</v>
      </c>
      <c r="B1630" s="413">
        <v>44907</v>
      </c>
      <c r="C1630" s="431">
        <v>44866</v>
      </c>
      <c r="D1630" s="419" t="s">
        <v>271</v>
      </c>
      <c r="E1630" s="415" t="s">
        <v>205</v>
      </c>
      <c r="F1630" s="425">
        <v>360</v>
      </c>
      <c r="G1630" s="427" t="s">
        <v>8215</v>
      </c>
      <c r="H1630" s="419" t="s">
        <v>755</v>
      </c>
      <c r="I1630" s="415" t="s">
        <v>2803</v>
      </c>
      <c r="J1630" s="415" t="s">
        <v>2426</v>
      </c>
      <c r="K1630" s="419" t="s">
        <v>806</v>
      </c>
      <c r="L1630" s="415" t="s">
        <v>32</v>
      </c>
      <c r="M1630" s="597">
        <v>36319964</v>
      </c>
      <c r="N1630" s="413">
        <v>44904</v>
      </c>
      <c r="O1630" s="414" t="s">
        <v>400</v>
      </c>
      <c r="P1630" s="655">
        <f t="shared" si="95"/>
        <v>12</v>
      </c>
      <c r="Q1630" s="655">
        <f t="shared" si="96"/>
        <v>11</v>
      </c>
      <c r="R1630" s="758" t="str">
        <f t="shared" si="97"/>
        <v>Gastos_Gerais</v>
      </c>
      <c r="S1630" s="697" t="s">
        <v>998</v>
      </c>
      <c r="T1630" s="697">
        <v>4720</v>
      </c>
    </row>
    <row r="1631" spans="1:20" ht="24" x14ac:dyDescent="0.2">
      <c r="A1631" s="432">
        <f>IF(B1631="","",COUNT('Diário 1º PA'!$A$4:$A$2635)+COUNT('Diário 2º PA'!$A$4:$A$3040)+COUNT('Diário 3º PA'!$A$4:$A$2731)+ROW()-3)</f>
        <v>7656</v>
      </c>
      <c r="B1631" s="413">
        <v>44907</v>
      </c>
      <c r="C1631" s="431">
        <v>44866</v>
      </c>
      <c r="D1631" s="415" t="s">
        <v>271</v>
      </c>
      <c r="E1631" s="415" t="s">
        <v>163</v>
      </c>
      <c r="F1631" s="422">
        <v>202.8</v>
      </c>
      <c r="G1631" s="427" t="s">
        <v>7663</v>
      </c>
      <c r="H1631" s="434" t="s">
        <v>309</v>
      </c>
      <c r="I1631" s="427" t="s">
        <v>768</v>
      </c>
      <c r="J1631" s="415" t="s">
        <v>1021</v>
      </c>
      <c r="K1631" s="419" t="s">
        <v>1404</v>
      </c>
      <c r="L1631" s="415" t="s">
        <v>807</v>
      </c>
      <c r="M1631" s="597" t="s">
        <v>8759</v>
      </c>
      <c r="N1631" s="413">
        <v>44884</v>
      </c>
      <c r="O1631" s="414" t="s">
        <v>400</v>
      </c>
      <c r="P1631" s="655">
        <f t="shared" si="95"/>
        <v>12</v>
      </c>
      <c r="Q1631" s="655">
        <f t="shared" si="96"/>
        <v>11</v>
      </c>
      <c r="R1631" s="758" t="str">
        <f t="shared" si="97"/>
        <v>Gastos_Gerais</v>
      </c>
      <c r="S1631" s="697" t="s">
        <v>310</v>
      </c>
      <c r="T1631" s="697" t="s">
        <v>310</v>
      </c>
    </row>
    <row r="1632" spans="1:20" ht="24" x14ac:dyDescent="0.2">
      <c r="A1632" s="432">
        <f>IF(B1632="","",COUNT('Diário 1º PA'!$A$4:$A$2635)+COUNT('Diário 2º PA'!$A$4:$A$3040)+COUNT('Diário 3º PA'!$A$4:$A$2731)+ROW()-3)</f>
        <v>7657</v>
      </c>
      <c r="B1632" s="413">
        <v>44907</v>
      </c>
      <c r="C1632" s="431">
        <v>44866</v>
      </c>
      <c r="D1632" s="415" t="s">
        <v>271</v>
      </c>
      <c r="E1632" s="419" t="s">
        <v>0</v>
      </c>
      <c r="F1632" s="422">
        <v>418.8</v>
      </c>
      <c r="G1632" s="419" t="s">
        <v>8760</v>
      </c>
      <c r="H1632" s="419" t="s">
        <v>309</v>
      </c>
      <c r="I1632" s="419" t="s">
        <v>8761</v>
      </c>
      <c r="J1632" s="417" t="s">
        <v>1523</v>
      </c>
      <c r="K1632" s="419" t="s">
        <v>812</v>
      </c>
      <c r="L1632" s="415" t="s">
        <v>32</v>
      </c>
      <c r="M1632" s="597">
        <v>91925</v>
      </c>
      <c r="N1632" s="413">
        <v>44875</v>
      </c>
      <c r="O1632" s="414" t="s">
        <v>400</v>
      </c>
      <c r="P1632" s="655">
        <f t="shared" si="95"/>
        <v>12</v>
      </c>
      <c r="Q1632" s="655">
        <f t="shared" si="96"/>
        <v>11</v>
      </c>
      <c r="R1632" s="758" t="str">
        <f t="shared" si="97"/>
        <v>Gastos_Gerais</v>
      </c>
      <c r="S1632" s="697" t="s">
        <v>310</v>
      </c>
      <c r="T1632" s="697" t="s">
        <v>310</v>
      </c>
    </row>
    <row r="1633" spans="1:20" ht="24" x14ac:dyDescent="0.2">
      <c r="A1633" s="432">
        <f>IF(B1633="","",COUNT('Diário 1º PA'!$A$4:$A$2635)+COUNT('Diário 2º PA'!$A$4:$A$3040)+COUNT('Diário 3º PA'!$A$4:$A$2731)+ROW()-3)</f>
        <v>7658</v>
      </c>
      <c r="B1633" s="413">
        <v>44907</v>
      </c>
      <c r="C1633" s="431">
        <v>44866</v>
      </c>
      <c r="D1633" s="434" t="s">
        <v>271</v>
      </c>
      <c r="E1633" s="434" t="s">
        <v>2</v>
      </c>
      <c r="F1633" s="422">
        <v>3287.29</v>
      </c>
      <c r="G1633" s="423" t="s">
        <v>8101</v>
      </c>
      <c r="H1633" s="434" t="s">
        <v>309</v>
      </c>
      <c r="I1633" s="415" t="s">
        <v>8097</v>
      </c>
      <c r="J1633" s="415" t="s">
        <v>7567</v>
      </c>
      <c r="K1633" s="419" t="s">
        <v>812</v>
      </c>
      <c r="L1633" s="415" t="s">
        <v>8119</v>
      </c>
      <c r="M1633" s="734">
        <v>9</v>
      </c>
      <c r="N1633" s="413">
        <v>44897</v>
      </c>
      <c r="O1633" s="414" t="s">
        <v>400</v>
      </c>
      <c r="P1633" s="655">
        <f t="shared" si="95"/>
        <v>12</v>
      </c>
      <c r="Q1633" s="655">
        <f t="shared" si="96"/>
        <v>11</v>
      </c>
      <c r="R1633" s="758" t="str">
        <f t="shared" si="97"/>
        <v>Gastos_Gerais</v>
      </c>
      <c r="S1633" s="697" t="s">
        <v>1000</v>
      </c>
      <c r="T1633" s="697">
        <v>4374</v>
      </c>
    </row>
    <row r="1634" spans="1:20" ht="48" x14ac:dyDescent="0.2">
      <c r="A1634" s="432">
        <f>IF(B1634="","",COUNT('Diário 1º PA'!$A$4:$A$2635)+COUNT('Diário 2º PA'!$A$4:$A$3040)+COUNT('Diário 3º PA'!$A$4:$A$2731)+ROW()-3)</f>
        <v>7659</v>
      </c>
      <c r="B1634" s="413">
        <v>44907</v>
      </c>
      <c r="C1634" s="431">
        <v>44866</v>
      </c>
      <c r="D1634" s="415" t="s">
        <v>271</v>
      </c>
      <c r="E1634" s="415" t="s">
        <v>92</v>
      </c>
      <c r="F1634" s="422">
        <v>500</v>
      </c>
      <c r="G1634" s="427" t="s">
        <v>692</v>
      </c>
      <c r="H1634" s="415" t="s">
        <v>309</v>
      </c>
      <c r="I1634" s="415" t="s">
        <v>5969</v>
      </c>
      <c r="J1634" s="415" t="s">
        <v>1123</v>
      </c>
      <c r="K1634" s="418" t="s">
        <v>812</v>
      </c>
      <c r="L1634" s="415" t="s">
        <v>1372</v>
      </c>
      <c r="M1634" s="597" t="s">
        <v>8762</v>
      </c>
      <c r="N1634" s="413">
        <v>44897</v>
      </c>
      <c r="O1634" s="414" t="s">
        <v>400</v>
      </c>
      <c r="P1634" s="655">
        <f t="shared" si="95"/>
        <v>12</v>
      </c>
      <c r="Q1634" s="655">
        <f t="shared" si="96"/>
        <v>11</v>
      </c>
      <c r="R1634" s="758" t="str">
        <f t="shared" si="97"/>
        <v>Gastos_Gerais</v>
      </c>
      <c r="S1634" s="697" t="s">
        <v>1000</v>
      </c>
      <c r="T1634" s="697">
        <v>2665</v>
      </c>
    </row>
    <row r="1635" spans="1:20" ht="60" x14ac:dyDescent="0.2">
      <c r="A1635" s="432">
        <f>IF(B1635="","",COUNT('Diário 1º PA'!$A$4:$A$2635)+COUNT('Diário 2º PA'!$A$4:$A$3040)+COUNT('Diário 3º PA'!$A$4:$A$2731)+ROW()-3)</f>
        <v>7660</v>
      </c>
      <c r="B1635" s="413">
        <v>44907</v>
      </c>
      <c r="C1635" s="431">
        <v>44866</v>
      </c>
      <c r="D1635" s="419" t="s">
        <v>271</v>
      </c>
      <c r="E1635" s="415" t="s">
        <v>183</v>
      </c>
      <c r="F1635" s="422">
        <v>137.61000000000001</v>
      </c>
      <c r="G1635" s="757" t="s">
        <v>551</v>
      </c>
      <c r="H1635" s="419" t="s">
        <v>753</v>
      </c>
      <c r="I1635" s="415" t="s">
        <v>1705</v>
      </c>
      <c r="J1635" s="417" t="s">
        <v>1704</v>
      </c>
      <c r="K1635" s="419" t="s">
        <v>1404</v>
      </c>
      <c r="L1635" s="415" t="s">
        <v>32</v>
      </c>
      <c r="M1635" s="597">
        <v>2211953712226</v>
      </c>
      <c r="N1635" s="413">
        <v>44890</v>
      </c>
      <c r="O1635" s="414" t="s">
        <v>400</v>
      </c>
      <c r="P1635" s="655">
        <f t="shared" si="95"/>
        <v>12</v>
      </c>
      <c r="Q1635" s="655">
        <f t="shared" si="96"/>
        <v>11</v>
      </c>
      <c r="R1635" s="758" t="str">
        <f t="shared" si="97"/>
        <v>Gastos_Gerais</v>
      </c>
      <c r="S1635" s="697" t="s">
        <v>1000</v>
      </c>
      <c r="T1635" s="697">
        <v>1997</v>
      </c>
    </row>
    <row r="1636" spans="1:20" ht="36" x14ac:dyDescent="0.2">
      <c r="A1636" s="432">
        <f>IF(B1636="","",COUNT('Diário 1º PA'!$A$4:$A$2635)+COUNT('Diário 2º PA'!$A$4:$A$3040)+COUNT('Diário 3º PA'!$A$4:$A$2731)+ROW()-3)</f>
        <v>7661</v>
      </c>
      <c r="B1636" s="413">
        <v>44907</v>
      </c>
      <c r="C1636" s="431">
        <v>44866</v>
      </c>
      <c r="D1636" s="419" t="s">
        <v>271</v>
      </c>
      <c r="E1636" s="415" t="s">
        <v>64</v>
      </c>
      <c r="F1636" s="425">
        <v>811.47</v>
      </c>
      <c r="G1636" s="757" t="s">
        <v>8763</v>
      </c>
      <c r="H1636" s="419" t="s">
        <v>309</v>
      </c>
      <c r="I1636" s="757" t="s">
        <v>6337</v>
      </c>
      <c r="J1636" s="417" t="s">
        <v>1330</v>
      </c>
      <c r="K1636" s="419" t="s">
        <v>6338</v>
      </c>
      <c r="L1636" s="415" t="s">
        <v>32</v>
      </c>
      <c r="M1636" s="419" t="s">
        <v>8764</v>
      </c>
      <c r="N1636" s="413">
        <v>44902</v>
      </c>
      <c r="O1636" s="414" t="s">
        <v>400</v>
      </c>
      <c r="P1636" s="655">
        <f t="shared" si="95"/>
        <v>12</v>
      </c>
      <c r="Q1636" s="655">
        <f t="shared" si="96"/>
        <v>11</v>
      </c>
      <c r="R1636" s="758" t="str">
        <f t="shared" si="97"/>
        <v>Gastos_Gerais</v>
      </c>
      <c r="S1636" s="697" t="s">
        <v>310</v>
      </c>
      <c r="T1636" s="697" t="s">
        <v>310</v>
      </c>
    </row>
    <row r="1637" spans="1:20" ht="96" x14ac:dyDescent="0.2">
      <c r="A1637" s="432">
        <f>IF(B1637="","",COUNT('Diário 1º PA'!$A$4:$A$2635)+COUNT('Diário 2º PA'!$A$4:$A$3040)+COUNT('Diário 3º PA'!$A$4:$A$2731)+ROW()-3)</f>
        <v>7662</v>
      </c>
      <c r="B1637" s="413">
        <v>44907</v>
      </c>
      <c r="C1637" s="431">
        <v>44866</v>
      </c>
      <c r="D1637" s="415" t="s">
        <v>271</v>
      </c>
      <c r="E1637" s="415" t="s">
        <v>187</v>
      </c>
      <c r="F1637" s="422">
        <v>700</v>
      </c>
      <c r="G1637" s="427" t="s">
        <v>7535</v>
      </c>
      <c r="H1637" s="415" t="s">
        <v>309</v>
      </c>
      <c r="I1637" s="415" t="s">
        <v>1701</v>
      </c>
      <c r="J1637" s="419" t="s">
        <v>1071</v>
      </c>
      <c r="K1637" s="419" t="s">
        <v>812</v>
      </c>
      <c r="L1637" s="415" t="s">
        <v>32</v>
      </c>
      <c r="M1637" s="419" t="s">
        <v>6747</v>
      </c>
      <c r="N1637" s="413">
        <v>44897</v>
      </c>
      <c r="O1637" s="414" t="s">
        <v>400</v>
      </c>
      <c r="P1637" s="655">
        <f t="shared" si="95"/>
        <v>12</v>
      </c>
      <c r="Q1637" s="655">
        <f t="shared" si="96"/>
        <v>11</v>
      </c>
      <c r="R1637" s="758" t="str">
        <f t="shared" si="97"/>
        <v>Gastos_Gerais</v>
      </c>
      <c r="S1637" s="697" t="s">
        <v>1000</v>
      </c>
      <c r="T1637" s="697">
        <v>2666</v>
      </c>
    </row>
    <row r="1638" spans="1:20" ht="60" x14ac:dyDescent="0.2">
      <c r="A1638" s="432">
        <f>IF(B1638="","",COUNT('Diário 1º PA'!$A$4:$A$2635)+COUNT('Diário 2º PA'!$A$4:$A$3040)+COUNT('Diário 3º PA'!$A$4:$A$2731)+ROW()-3)</f>
        <v>7663</v>
      </c>
      <c r="B1638" s="413">
        <v>44907</v>
      </c>
      <c r="C1638" s="431">
        <v>44896</v>
      </c>
      <c r="D1638" s="419" t="s">
        <v>271</v>
      </c>
      <c r="E1638" s="415" t="s">
        <v>465</v>
      </c>
      <c r="F1638" s="422">
        <v>298</v>
      </c>
      <c r="G1638" s="757" t="s">
        <v>8670</v>
      </c>
      <c r="H1638" s="419" t="s">
        <v>755</v>
      </c>
      <c r="I1638" s="415" t="s">
        <v>1464</v>
      </c>
      <c r="J1638" s="417" t="s">
        <v>1010</v>
      </c>
      <c r="K1638" s="419" t="s">
        <v>830</v>
      </c>
      <c r="L1638" s="415" t="s">
        <v>32</v>
      </c>
      <c r="M1638" s="419" t="s">
        <v>8765</v>
      </c>
      <c r="N1638" s="413">
        <v>44902</v>
      </c>
      <c r="O1638" s="414" t="s">
        <v>400</v>
      </c>
      <c r="P1638" s="655">
        <f t="shared" ref="P1638:P1702" si="98">IF(B1638=0,0,IF(YEAR(B1638)=$Q$1,MONTH(B1638)-$P$1+1,(YEAR(B1638)-$Q$1)*12-$P$1+1+MONTH(B1638)))</f>
        <v>12</v>
      </c>
      <c r="Q1638" s="655">
        <f t="shared" ref="Q1638:Q1702" si="99">IF(C1638=0,0,IF(YEAR(C1638)=$Q$1,MONTH(C1638)-$P$1+1,(YEAR(C1638)-$Q$1)*12-$P$1+1+MONTH(C1638)))</f>
        <v>12</v>
      </c>
      <c r="R1638" s="758" t="str">
        <f t="shared" si="97"/>
        <v>Gastos_Gerais</v>
      </c>
      <c r="S1638" s="697" t="s">
        <v>998</v>
      </c>
      <c r="T1638" s="697">
        <v>4855</v>
      </c>
    </row>
    <row r="1639" spans="1:20" ht="36" x14ac:dyDescent="0.2">
      <c r="A1639" s="432">
        <f>IF(B1639="","",COUNT('Diário 1º PA'!$A$4:$A$2635)+COUNT('Diário 2º PA'!$A$4:$A$3040)+COUNT('Diário 3º PA'!$A$4:$A$2731)+ROW()-3)</f>
        <v>7664</v>
      </c>
      <c r="B1639" s="413">
        <v>44907</v>
      </c>
      <c r="C1639" s="421">
        <v>44896</v>
      </c>
      <c r="D1639" s="419" t="s">
        <v>271</v>
      </c>
      <c r="E1639" s="419" t="s">
        <v>71</v>
      </c>
      <c r="F1639" s="422">
        <v>11</v>
      </c>
      <c r="G1639" s="423" t="s">
        <v>8767</v>
      </c>
      <c r="H1639" s="419" t="s">
        <v>755</v>
      </c>
      <c r="I1639" s="415" t="s">
        <v>881</v>
      </c>
      <c r="J1639" s="419" t="s">
        <v>882</v>
      </c>
      <c r="K1639" s="419" t="s">
        <v>883</v>
      </c>
      <c r="L1639" s="415" t="s">
        <v>798</v>
      </c>
      <c r="M1639" s="419" t="s">
        <v>310</v>
      </c>
      <c r="N1639" s="413">
        <v>44907</v>
      </c>
      <c r="O1639" s="414" t="s">
        <v>400</v>
      </c>
      <c r="P1639" s="655">
        <f t="shared" si="98"/>
        <v>12</v>
      </c>
      <c r="Q1639" s="655">
        <f t="shared" si="99"/>
        <v>12</v>
      </c>
      <c r="R1639" s="758" t="str">
        <f t="shared" si="97"/>
        <v>Gastos_Gerais</v>
      </c>
      <c r="S1639" s="697" t="s">
        <v>310</v>
      </c>
      <c r="T1639" s="697" t="s">
        <v>310</v>
      </c>
    </row>
    <row r="1640" spans="1:20" ht="48" x14ac:dyDescent="0.2">
      <c r="A1640" s="432">
        <f>IF(B1640="","",COUNT('Diário 1º PA'!$A$4:$A$2635)+COUNT('Diário 2º PA'!$A$4:$A$3040)+COUNT('Diário 3º PA'!$A$4:$A$2731)+ROW()-3)</f>
        <v>7665</v>
      </c>
      <c r="B1640" s="413">
        <v>44907</v>
      </c>
      <c r="C1640" s="431">
        <v>44866</v>
      </c>
      <c r="D1640" s="419" t="s">
        <v>468</v>
      </c>
      <c r="E1640" s="419" t="s">
        <v>468</v>
      </c>
      <c r="F1640" s="422">
        <v>2694.72</v>
      </c>
      <c r="G1640" s="427" t="s">
        <v>7125</v>
      </c>
      <c r="H1640" s="419" t="s">
        <v>468</v>
      </c>
      <c r="I1640" s="415" t="s">
        <v>1811</v>
      </c>
      <c r="J1640" s="415" t="s">
        <v>1023</v>
      </c>
      <c r="K1640" s="419" t="s">
        <v>830</v>
      </c>
      <c r="L1640" s="415" t="s">
        <v>32</v>
      </c>
      <c r="M1640" s="419" t="s">
        <v>6983</v>
      </c>
      <c r="N1640" s="413">
        <v>44900</v>
      </c>
      <c r="O1640" s="414" t="s">
        <v>405</v>
      </c>
      <c r="P1640" s="655">
        <f t="shared" si="98"/>
        <v>12</v>
      </c>
      <c r="Q1640" s="655">
        <f t="shared" si="99"/>
        <v>11</v>
      </c>
      <c r="R1640" s="758" t="str">
        <f t="shared" si="97"/>
        <v>Gastos_custeados_por_captação</v>
      </c>
      <c r="S1640" s="697" t="s">
        <v>1000</v>
      </c>
      <c r="T1640" s="697">
        <v>4310</v>
      </c>
    </row>
    <row r="1641" spans="1:20" ht="84" x14ac:dyDescent="0.2">
      <c r="A1641" s="432">
        <f>IF(B1641="","",COUNT('Diário 1º PA'!$A$4:$A$2635)+COUNT('Diário 2º PA'!$A$4:$A$3040)+COUNT('Diário 3º PA'!$A$4:$A$2731)+ROW()-3)</f>
        <v>7666</v>
      </c>
      <c r="B1641" s="413">
        <v>44907</v>
      </c>
      <c r="C1641" s="431">
        <v>44866</v>
      </c>
      <c r="D1641" s="419" t="s">
        <v>468</v>
      </c>
      <c r="E1641" s="419" t="s">
        <v>468</v>
      </c>
      <c r="F1641" s="422">
        <v>2000</v>
      </c>
      <c r="G1641" s="427" t="s">
        <v>7555</v>
      </c>
      <c r="H1641" s="419" t="s">
        <v>468</v>
      </c>
      <c r="I1641" s="415" t="s">
        <v>8234</v>
      </c>
      <c r="J1641" s="415" t="s">
        <v>7556</v>
      </c>
      <c r="K1641" s="419" t="s">
        <v>830</v>
      </c>
      <c r="L1641" s="415" t="s">
        <v>32</v>
      </c>
      <c r="M1641" s="597">
        <v>224.66666666666666</v>
      </c>
      <c r="N1641" s="413">
        <v>44902</v>
      </c>
      <c r="O1641" s="414" t="s">
        <v>404</v>
      </c>
      <c r="P1641" s="655">
        <f t="shared" si="98"/>
        <v>12</v>
      </c>
      <c r="Q1641" s="655">
        <f t="shared" si="99"/>
        <v>11</v>
      </c>
      <c r="R1641" s="758" t="str">
        <f t="shared" si="97"/>
        <v>Gastos_custeados_por_captação</v>
      </c>
      <c r="S1641" s="697" t="s">
        <v>1000</v>
      </c>
      <c r="T1641" s="697">
        <v>4320</v>
      </c>
    </row>
    <row r="1642" spans="1:20" ht="48" x14ac:dyDescent="0.2">
      <c r="A1642" s="432">
        <f>IF(B1642="","",COUNT('Diário 1º PA'!$A$4:$A$2635)+COUNT('Diário 2º PA'!$A$4:$A$3040)+COUNT('Diário 3º PA'!$A$4:$A$2731)+ROW()-3)</f>
        <v>7667</v>
      </c>
      <c r="B1642" s="413">
        <v>44908</v>
      </c>
      <c r="C1642" s="431">
        <v>44866</v>
      </c>
      <c r="D1642" s="415" t="s">
        <v>271</v>
      </c>
      <c r="E1642" s="419" t="s">
        <v>0</v>
      </c>
      <c r="F1642" s="422">
        <v>-418.8</v>
      </c>
      <c r="G1642" s="419" t="s">
        <v>8774</v>
      </c>
      <c r="H1642" s="419" t="s">
        <v>309</v>
      </c>
      <c r="I1642" s="473" t="s">
        <v>795</v>
      </c>
      <c r="J1642" s="415" t="s">
        <v>796</v>
      </c>
      <c r="K1642" s="415" t="s">
        <v>797</v>
      </c>
      <c r="L1642" s="399" t="s">
        <v>798</v>
      </c>
      <c r="M1642" s="544" t="s">
        <v>310</v>
      </c>
      <c r="N1642" s="413">
        <v>44908</v>
      </c>
      <c r="O1642" s="414" t="s">
        <v>400</v>
      </c>
      <c r="P1642" s="655">
        <f t="shared" si="98"/>
        <v>12</v>
      </c>
      <c r="Q1642" s="655">
        <f t="shared" si="99"/>
        <v>11</v>
      </c>
      <c r="R1642" s="758" t="str">
        <f t="shared" si="97"/>
        <v>Gastos_Gerais</v>
      </c>
      <c r="S1642" s="697" t="s">
        <v>310</v>
      </c>
      <c r="T1642" s="697" t="s">
        <v>310</v>
      </c>
    </row>
    <row r="1643" spans="1:20" ht="72" x14ac:dyDescent="0.2">
      <c r="A1643" s="432">
        <f>IF(B1643="","",COUNT('Diário 1º PA'!$A$4:$A$2635)+COUNT('Diário 2º PA'!$A$4:$A$3040)+COUNT('Diário 3º PA'!$A$4:$A$2731)+ROW()-3)</f>
        <v>7668</v>
      </c>
      <c r="B1643" s="413">
        <v>44908</v>
      </c>
      <c r="C1643" s="431">
        <v>44866</v>
      </c>
      <c r="D1643" s="419" t="s">
        <v>271</v>
      </c>
      <c r="E1643" s="415" t="s">
        <v>453</v>
      </c>
      <c r="F1643" s="422">
        <v>420</v>
      </c>
      <c r="G1643" s="419" t="s">
        <v>8513</v>
      </c>
      <c r="H1643" s="419" t="s">
        <v>761</v>
      </c>
      <c r="I1643" s="415" t="s">
        <v>8775</v>
      </c>
      <c r="J1643" s="419" t="s">
        <v>8514</v>
      </c>
      <c r="K1643" s="419" t="s">
        <v>806</v>
      </c>
      <c r="L1643" s="415" t="s">
        <v>839</v>
      </c>
      <c r="M1643" s="597">
        <v>2142</v>
      </c>
      <c r="N1643" s="413">
        <v>44900</v>
      </c>
      <c r="O1643" s="414" t="s">
        <v>400</v>
      </c>
      <c r="P1643" s="655">
        <f t="shared" si="98"/>
        <v>12</v>
      </c>
      <c r="Q1643" s="655">
        <f t="shared" si="99"/>
        <v>11</v>
      </c>
      <c r="R1643" s="758" t="str">
        <f t="shared" si="97"/>
        <v>Gastos_Gerais</v>
      </c>
      <c r="S1643" s="697" t="s">
        <v>998</v>
      </c>
      <c r="T1643" s="697">
        <v>4738</v>
      </c>
    </row>
    <row r="1644" spans="1:20" ht="48" x14ac:dyDescent="0.2">
      <c r="A1644" s="432">
        <f>IF(B1644="","",COUNT('Diário 1º PA'!$A$4:$A$2635)+COUNT('Diário 2º PA'!$A$4:$A$3040)+COUNT('Diário 3º PA'!$A$4:$A$2731)+ROW()-3)</f>
        <v>7669</v>
      </c>
      <c r="B1644" s="413">
        <v>44908</v>
      </c>
      <c r="C1644" s="431">
        <v>44896</v>
      </c>
      <c r="D1644" s="419" t="s">
        <v>271</v>
      </c>
      <c r="E1644" s="415" t="s">
        <v>442</v>
      </c>
      <c r="F1644" s="422">
        <v>301</v>
      </c>
      <c r="G1644" s="419" t="s">
        <v>8624</v>
      </c>
      <c r="H1644" s="419" t="s">
        <v>790</v>
      </c>
      <c r="I1644" s="415" t="s">
        <v>8778</v>
      </c>
      <c r="J1644" s="419" t="s">
        <v>8625</v>
      </c>
      <c r="K1644" s="419" t="s">
        <v>830</v>
      </c>
      <c r="L1644" s="415" t="s">
        <v>839</v>
      </c>
      <c r="M1644" s="597">
        <v>2149</v>
      </c>
      <c r="N1644" s="413">
        <v>44902</v>
      </c>
      <c r="O1644" s="414" t="s">
        <v>400</v>
      </c>
      <c r="P1644" s="655">
        <f t="shared" si="98"/>
        <v>12</v>
      </c>
      <c r="Q1644" s="655">
        <f t="shared" si="99"/>
        <v>12</v>
      </c>
      <c r="R1644" s="758" t="str">
        <f t="shared" si="97"/>
        <v>Gastos_Gerais</v>
      </c>
      <c r="S1644" s="697" t="s">
        <v>998</v>
      </c>
      <c r="T1644" s="697">
        <v>4844</v>
      </c>
    </row>
    <row r="1645" spans="1:20" ht="48" x14ac:dyDescent="0.2">
      <c r="A1645" s="432">
        <f>IF(B1645="","",COUNT('Diário 1º PA'!$A$4:$A$2635)+COUNT('Diário 2º PA'!$A$4:$A$3040)+COUNT('Diário 3º PA'!$A$4:$A$2731)+ROW()-3)</f>
        <v>7670</v>
      </c>
      <c r="B1645" s="413">
        <v>44908</v>
      </c>
      <c r="C1645" s="431">
        <v>44866</v>
      </c>
      <c r="D1645" s="419" t="s">
        <v>271</v>
      </c>
      <c r="E1645" s="415" t="s">
        <v>90</v>
      </c>
      <c r="F1645" s="422">
        <v>134.4</v>
      </c>
      <c r="G1645" s="419" t="s">
        <v>8781</v>
      </c>
      <c r="H1645" s="419" t="s">
        <v>753</v>
      </c>
      <c r="I1645" s="415" t="s">
        <v>8782</v>
      </c>
      <c r="J1645" s="419" t="s">
        <v>8567</v>
      </c>
      <c r="K1645" s="419" t="s">
        <v>830</v>
      </c>
      <c r="L1645" s="415" t="s">
        <v>839</v>
      </c>
      <c r="M1645" s="419">
        <v>2148</v>
      </c>
      <c r="N1645" s="413">
        <v>44902</v>
      </c>
      <c r="O1645" s="414" t="s">
        <v>400</v>
      </c>
      <c r="P1645" s="655">
        <f t="shared" si="98"/>
        <v>12</v>
      </c>
      <c r="Q1645" s="655">
        <f t="shared" si="99"/>
        <v>11</v>
      </c>
      <c r="R1645" s="758" t="str">
        <f t="shared" si="97"/>
        <v>Gastos_Gerais</v>
      </c>
      <c r="S1645" s="697" t="s">
        <v>998</v>
      </c>
      <c r="T1645" s="697">
        <v>4802</v>
      </c>
    </row>
    <row r="1646" spans="1:20" ht="60" x14ac:dyDescent="0.2">
      <c r="A1646" s="432">
        <f>IF(B1646="","",COUNT('Diário 1º PA'!$A$4:$A$2635)+COUNT('Diário 2º PA'!$A$4:$A$3040)+COUNT('Diário 3º PA'!$A$4:$A$2731)+ROW()-3)</f>
        <v>7671</v>
      </c>
      <c r="B1646" s="413">
        <v>44908</v>
      </c>
      <c r="C1646" s="431">
        <v>44896</v>
      </c>
      <c r="D1646" s="419" t="s">
        <v>271</v>
      </c>
      <c r="E1646" s="415" t="s">
        <v>451</v>
      </c>
      <c r="F1646" s="422">
        <v>3000</v>
      </c>
      <c r="G1646" s="419" t="s">
        <v>8710</v>
      </c>
      <c r="H1646" s="419" t="s">
        <v>748</v>
      </c>
      <c r="I1646" s="415" t="s">
        <v>8785</v>
      </c>
      <c r="J1646" s="419" t="s">
        <v>8629</v>
      </c>
      <c r="K1646" s="419" t="s">
        <v>830</v>
      </c>
      <c r="L1646" s="415" t="s">
        <v>807</v>
      </c>
      <c r="M1646" s="419" t="s">
        <v>1465</v>
      </c>
      <c r="N1646" s="413">
        <v>44900</v>
      </c>
      <c r="O1646" s="414" t="s">
        <v>400</v>
      </c>
      <c r="P1646" s="655">
        <f t="shared" si="98"/>
        <v>12</v>
      </c>
      <c r="Q1646" s="655">
        <f t="shared" si="99"/>
        <v>12</v>
      </c>
      <c r="R1646" s="758" t="str">
        <f t="shared" si="97"/>
        <v>Gastos_Gerais</v>
      </c>
      <c r="S1646" s="697" t="s">
        <v>1000</v>
      </c>
      <c r="T1646" s="697">
        <v>4679</v>
      </c>
    </row>
    <row r="1647" spans="1:20" ht="36" x14ac:dyDescent="0.2">
      <c r="A1647" s="432">
        <f>IF(B1647="","",COUNT('Diário 1º PA'!$A$4:$A$2635)+COUNT('Diário 2º PA'!$A$4:$A$3040)+COUNT('Diário 3º PA'!$A$4:$A$2731)+ROW()-3)</f>
        <v>7672</v>
      </c>
      <c r="B1647" s="413">
        <v>44908</v>
      </c>
      <c r="C1647" s="431">
        <v>44896</v>
      </c>
      <c r="D1647" s="419" t="s">
        <v>271</v>
      </c>
      <c r="E1647" s="419" t="s">
        <v>71</v>
      </c>
      <c r="F1647" s="422">
        <v>11</v>
      </c>
      <c r="G1647" s="423" t="s">
        <v>8786</v>
      </c>
      <c r="H1647" s="419" t="s">
        <v>790</v>
      </c>
      <c r="I1647" s="415" t="s">
        <v>881</v>
      </c>
      <c r="J1647" s="419" t="s">
        <v>882</v>
      </c>
      <c r="K1647" s="419" t="s">
        <v>883</v>
      </c>
      <c r="L1647" s="415" t="s">
        <v>798</v>
      </c>
      <c r="M1647" s="419" t="s">
        <v>310</v>
      </c>
      <c r="N1647" s="413">
        <v>44908</v>
      </c>
      <c r="O1647" s="414" t="s">
        <v>400</v>
      </c>
      <c r="P1647" s="655">
        <f t="shared" si="98"/>
        <v>12</v>
      </c>
      <c r="Q1647" s="655">
        <f t="shared" si="99"/>
        <v>12</v>
      </c>
      <c r="R1647" s="758" t="str">
        <f t="shared" si="97"/>
        <v>Gastos_Gerais</v>
      </c>
      <c r="S1647" s="697" t="s">
        <v>310</v>
      </c>
      <c r="T1647" s="697" t="s">
        <v>310</v>
      </c>
    </row>
    <row r="1648" spans="1:20" ht="36" x14ac:dyDescent="0.2">
      <c r="A1648" s="432">
        <f>IF(B1648="","",COUNT('Diário 1º PA'!$A$4:$A$2635)+COUNT('Diário 2º PA'!$A$4:$A$3040)+COUNT('Diário 3º PA'!$A$4:$A$2731)+ROW()-3)</f>
        <v>7673</v>
      </c>
      <c r="B1648" s="413">
        <v>44908</v>
      </c>
      <c r="C1648" s="431">
        <v>44896</v>
      </c>
      <c r="D1648" s="419" t="s">
        <v>271</v>
      </c>
      <c r="E1648" s="419" t="s">
        <v>71</v>
      </c>
      <c r="F1648" s="422">
        <v>11</v>
      </c>
      <c r="G1648" s="423" t="s">
        <v>8787</v>
      </c>
      <c r="H1648" s="419" t="s">
        <v>753</v>
      </c>
      <c r="I1648" s="415" t="s">
        <v>881</v>
      </c>
      <c r="J1648" s="419" t="s">
        <v>882</v>
      </c>
      <c r="K1648" s="419" t="s">
        <v>883</v>
      </c>
      <c r="L1648" s="415" t="s">
        <v>798</v>
      </c>
      <c r="M1648" s="419" t="s">
        <v>310</v>
      </c>
      <c r="N1648" s="413">
        <v>44908</v>
      </c>
      <c r="O1648" s="414" t="s">
        <v>400</v>
      </c>
      <c r="P1648" s="655">
        <f t="shared" si="98"/>
        <v>12</v>
      </c>
      <c r="Q1648" s="655">
        <f t="shared" si="99"/>
        <v>12</v>
      </c>
      <c r="R1648" s="758" t="str">
        <f t="shared" si="97"/>
        <v>Gastos_Gerais</v>
      </c>
      <c r="S1648" s="697" t="s">
        <v>310</v>
      </c>
      <c r="T1648" s="697" t="s">
        <v>310</v>
      </c>
    </row>
    <row r="1649" spans="1:20" ht="36" x14ac:dyDescent="0.2">
      <c r="A1649" s="432">
        <f>IF(B1649="","",COUNT('Diário 1º PA'!$A$4:$A$2635)+COUNT('Diário 2º PA'!$A$4:$A$3040)+COUNT('Diário 3º PA'!$A$4:$A$2731)+ROW()-3)</f>
        <v>7674</v>
      </c>
      <c r="B1649" s="413">
        <v>44908</v>
      </c>
      <c r="C1649" s="431">
        <v>44896</v>
      </c>
      <c r="D1649" s="419" t="s">
        <v>271</v>
      </c>
      <c r="E1649" s="419" t="s">
        <v>71</v>
      </c>
      <c r="F1649" s="422">
        <v>11</v>
      </c>
      <c r="G1649" s="423" t="s">
        <v>8788</v>
      </c>
      <c r="H1649" s="419" t="s">
        <v>748</v>
      </c>
      <c r="I1649" s="415" t="s">
        <v>881</v>
      </c>
      <c r="J1649" s="419" t="s">
        <v>882</v>
      </c>
      <c r="K1649" s="419" t="s">
        <v>883</v>
      </c>
      <c r="L1649" s="415" t="s">
        <v>798</v>
      </c>
      <c r="M1649" s="419" t="s">
        <v>310</v>
      </c>
      <c r="N1649" s="413">
        <v>44908</v>
      </c>
      <c r="O1649" s="414" t="s">
        <v>400</v>
      </c>
      <c r="P1649" s="655">
        <f t="shared" si="98"/>
        <v>12</v>
      </c>
      <c r="Q1649" s="655">
        <f t="shared" si="99"/>
        <v>12</v>
      </c>
      <c r="R1649" s="758" t="str">
        <f t="shared" si="97"/>
        <v>Gastos_Gerais</v>
      </c>
      <c r="S1649" s="697" t="s">
        <v>310</v>
      </c>
      <c r="T1649" s="697" t="s">
        <v>310</v>
      </c>
    </row>
    <row r="1650" spans="1:20" ht="72" x14ac:dyDescent="0.2">
      <c r="A1650" s="432">
        <f>IF(B1650="","",COUNT('Diário 1º PA'!$A$4:$A$2635)+COUNT('Diário 2º PA'!$A$4:$A$3040)+COUNT('Diário 3º PA'!$A$4:$A$2731)+ROW()-3)</f>
        <v>7675</v>
      </c>
      <c r="B1650" s="413">
        <v>44908</v>
      </c>
      <c r="C1650" s="431">
        <v>44835</v>
      </c>
      <c r="D1650" s="419" t="s">
        <v>468</v>
      </c>
      <c r="E1650" s="419" t="s">
        <v>468</v>
      </c>
      <c r="F1650" s="422">
        <v>283.8</v>
      </c>
      <c r="G1650" s="419" t="s">
        <v>8860</v>
      </c>
      <c r="H1650" s="419" t="s">
        <v>468</v>
      </c>
      <c r="I1650" s="415" t="s">
        <v>8861</v>
      </c>
      <c r="J1650" s="419" t="s">
        <v>8862</v>
      </c>
      <c r="K1650" s="419" t="s">
        <v>6327</v>
      </c>
      <c r="L1650" s="415" t="s">
        <v>839</v>
      </c>
      <c r="M1650" s="419">
        <v>2145</v>
      </c>
      <c r="N1650" s="413">
        <v>44901</v>
      </c>
      <c r="O1650" s="414" t="s">
        <v>404</v>
      </c>
      <c r="P1650" s="655">
        <f t="shared" si="98"/>
        <v>12</v>
      </c>
      <c r="Q1650" s="655">
        <f t="shared" si="99"/>
        <v>10</v>
      </c>
      <c r="R1650" s="758" t="str">
        <f t="shared" si="97"/>
        <v>Gastos_custeados_por_captação</v>
      </c>
      <c r="S1650" s="697" t="s">
        <v>998</v>
      </c>
      <c r="T1650" s="697">
        <v>4616</v>
      </c>
    </row>
    <row r="1651" spans="1:20" ht="36" x14ac:dyDescent="0.2">
      <c r="A1651" s="432">
        <f>IF(B1651="","",COUNT('Diário 1º PA'!$A$4:$A$2635)+COUNT('Diário 2º PA'!$A$4:$A$3040)+COUNT('Diário 3º PA'!$A$4:$A$2731)+ROW()-3)</f>
        <v>7676</v>
      </c>
      <c r="B1651" s="413">
        <v>44908</v>
      </c>
      <c r="C1651" s="431">
        <v>44896</v>
      </c>
      <c r="D1651" s="419" t="s">
        <v>468</v>
      </c>
      <c r="E1651" s="419" t="s">
        <v>468</v>
      </c>
      <c r="F1651" s="422">
        <v>153</v>
      </c>
      <c r="G1651" s="440" t="s">
        <v>880</v>
      </c>
      <c r="H1651" s="419" t="s">
        <v>468</v>
      </c>
      <c r="I1651" s="639" t="s">
        <v>881</v>
      </c>
      <c r="J1651" s="418" t="s">
        <v>882</v>
      </c>
      <c r="K1651" s="418" t="s">
        <v>883</v>
      </c>
      <c r="L1651" s="399" t="s">
        <v>798</v>
      </c>
      <c r="M1651" s="544" t="s">
        <v>310</v>
      </c>
      <c r="N1651" s="413">
        <v>44908</v>
      </c>
      <c r="O1651" s="414" t="s">
        <v>408</v>
      </c>
      <c r="P1651" s="655">
        <f t="shared" si="98"/>
        <v>12</v>
      </c>
      <c r="Q1651" s="655">
        <f t="shared" si="99"/>
        <v>12</v>
      </c>
      <c r="R1651" s="758" t="str">
        <f t="shared" si="97"/>
        <v>Gastos_custeados_por_captação</v>
      </c>
      <c r="S1651" s="697" t="s">
        <v>310</v>
      </c>
      <c r="T1651" s="697" t="s">
        <v>310</v>
      </c>
    </row>
    <row r="1652" spans="1:20" ht="48" x14ac:dyDescent="0.2">
      <c r="A1652" s="432">
        <f>IF(B1652="","",COUNT('Diário 1º PA'!$A$4:$A$2635)+COUNT('Diário 2º PA'!$A$4:$A$3040)+COUNT('Diário 3º PA'!$A$4:$A$2731)+ROW()-3)</f>
        <v>7677</v>
      </c>
      <c r="B1652" s="413">
        <v>44909</v>
      </c>
      <c r="C1652" s="431">
        <v>44896</v>
      </c>
      <c r="D1652" s="419" t="s">
        <v>34</v>
      </c>
      <c r="E1652" s="419" t="s">
        <v>167</v>
      </c>
      <c r="F1652" s="422">
        <v>785</v>
      </c>
      <c r="G1652" s="427" t="s">
        <v>9009</v>
      </c>
      <c r="H1652" s="419" t="s">
        <v>310</v>
      </c>
      <c r="I1652" s="415" t="s">
        <v>795</v>
      </c>
      <c r="J1652" s="419" t="s">
        <v>796</v>
      </c>
      <c r="K1652" s="419" t="s">
        <v>797</v>
      </c>
      <c r="L1652" s="415" t="s">
        <v>798</v>
      </c>
      <c r="M1652" s="419" t="s">
        <v>310</v>
      </c>
      <c r="N1652" s="413">
        <v>44909</v>
      </c>
      <c r="O1652" s="413" t="s">
        <v>400</v>
      </c>
      <c r="P1652" s="655">
        <f t="shared" si="98"/>
        <v>12</v>
      </c>
      <c r="Q1652" s="655">
        <f t="shared" si="99"/>
        <v>12</v>
      </c>
      <c r="R1652" s="758" t="str">
        <f t="shared" si="97"/>
        <v>Receitas</v>
      </c>
      <c r="S1652" s="697" t="s">
        <v>310</v>
      </c>
      <c r="T1652" s="699" t="s">
        <v>310</v>
      </c>
    </row>
    <row r="1653" spans="1:20" ht="84" x14ac:dyDescent="0.2">
      <c r="A1653" s="432">
        <f>IF(B1653="","",COUNT('Diário 1º PA'!$A$4:$A$2635)+COUNT('Diário 2º PA'!$A$4:$A$3040)+COUNT('Diário 3º PA'!$A$4:$A$2731)+ROW()-3)</f>
        <v>7678</v>
      </c>
      <c r="B1653" s="413">
        <v>44909</v>
      </c>
      <c r="C1653" s="431">
        <v>44896</v>
      </c>
      <c r="D1653" s="419" t="s">
        <v>271</v>
      </c>
      <c r="E1653" s="415" t="s">
        <v>451</v>
      </c>
      <c r="F1653" s="422">
        <v>190.8</v>
      </c>
      <c r="G1653" s="419" t="s">
        <v>8803</v>
      </c>
      <c r="H1653" s="419" t="s">
        <v>754</v>
      </c>
      <c r="I1653" s="415" t="s">
        <v>8809</v>
      </c>
      <c r="J1653" s="419" t="s">
        <v>8527</v>
      </c>
      <c r="K1653" s="419" t="s">
        <v>806</v>
      </c>
      <c r="L1653" s="415" t="s">
        <v>807</v>
      </c>
      <c r="M1653" s="419">
        <v>24000</v>
      </c>
      <c r="N1653" s="413">
        <v>44909</v>
      </c>
      <c r="O1653" s="414" t="s">
        <v>400</v>
      </c>
      <c r="P1653" s="655">
        <f t="shared" si="98"/>
        <v>12</v>
      </c>
      <c r="Q1653" s="655">
        <f t="shared" si="99"/>
        <v>12</v>
      </c>
      <c r="R1653" s="758" t="str">
        <f t="shared" si="97"/>
        <v>Gastos_Gerais</v>
      </c>
      <c r="S1653" s="697" t="s">
        <v>999</v>
      </c>
      <c r="T1653" s="697">
        <v>4889</v>
      </c>
    </row>
    <row r="1654" spans="1:20" ht="60" x14ac:dyDescent="0.2">
      <c r="A1654" s="432">
        <f>IF(B1654="","",COUNT('Diário 1º PA'!$A$4:$A$2635)+COUNT('Diário 2º PA'!$A$4:$A$3040)+COUNT('Diário 3º PA'!$A$4:$A$2731)+ROW()-3)</f>
        <v>7679</v>
      </c>
      <c r="B1654" s="413">
        <v>44909</v>
      </c>
      <c r="C1654" s="431">
        <v>44896</v>
      </c>
      <c r="D1654" s="419" t="s">
        <v>271</v>
      </c>
      <c r="E1654" s="415" t="s">
        <v>451</v>
      </c>
      <c r="F1654" s="422">
        <v>140</v>
      </c>
      <c r="G1654" s="419" t="s">
        <v>8789</v>
      </c>
      <c r="H1654" s="419" t="s">
        <v>754</v>
      </c>
      <c r="I1654" s="415" t="s">
        <v>3770</v>
      </c>
      <c r="J1654" s="419" t="s">
        <v>3771</v>
      </c>
      <c r="K1654" s="419" t="s">
        <v>830</v>
      </c>
      <c r="L1654" s="415" t="s">
        <v>807</v>
      </c>
      <c r="M1654" s="419" t="s">
        <v>8810</v>
      </c>
      <c r="N1654" s="413">
        <v>44909</v>
      </c>
      <c r="O1654" s="414" t="s">
        <v>400</v>
      </c>
      <c r="P1654" s="655">
        <f t="shared" si="98"/>
        <v>12</v>
      </c>
      <c r="Q1654" s="655">
        <f t="shared" si="99"/>
        <v>12</v>
      </c>
      <c r="R1654" s="758" t="str">
        <f t="shared" si="97"/>
        <v>Gastos_Gerais</v>
      </c>
      <c r="S1654" s="697" t="s">
        <v>999</v>
      </c>
      <c r="T1654" s="697">
        <v>4880</v>
      </c>
    </row>
    <row r="1655" spans="1:20" ht="36" x14ac:dyDescent="0.2">
      <c r="A1655" s="432">
        <f>IF(B1655="","",COUNT('Diário 1º PA'!$A$4:$A$2635)+COUNT('Diário 2º PA'!$A$4:$A$3040)+COUNT('Diário 3º PA'!$A$4:$A$2731)+ROW()-3)</f>
        <v>7680</v>
      </c>
      <c r="B1655" s="413">
        <v>44909</v>
      </c>
      <c r="C1655" s="431">
        <v>44896</v>
      </c>
      <c r="D1655" s="419" t="s">
        <v>271</v>
      </c>
      <c r="E1655" s="415" t="s">
        <v>464</v>
      </c>
      <c r="F1655" s="422">
        <v>455.1</v>
      </c>
      <c r="G1655" s="419" t="s">
        <v>8790</v>
      </c>
      <c r="H1655" s="419" t="s">
        <v>754</v>
      </c>
      <c r="I1655" s="415" t="s">
        <v>7387</v>
      </c>
      <c r="J1655" s="419" t="s">
        <v>3875</v>
      </c>
      <c r="K1655" s="419" t="s">
        <v>830</v>
      </c>
      <c r="L1655" s="415" t="s">
        <v>807</v>
      </c>
      <c r="M1655" s="419">
        <v>67</v>
      </c>
      <c r="N1655" s="413">
        <v>44909</v>
      </c>
      <c r="O1655" s="414" t="s">
        <v>400</v>
      </c>
      <c r="P1655" s="655">
        <f t="shared" si="98"/>
        <v>12</v>
      </c>
      <c r="Q1655" s="655">
        <f t="shared" si="99"/>
        <v>12</v>
      </c>
      <c r="R1655" s="758" t="str">
        <f t="shared" si="97"/>
        <v>Gastos_Gerais</v>
      </c>
      <c r="S1655" s="697" t="s">
        <v>999</v>
      </c>
      <c r="T1655" s="697">
        <v>4895</v>
      </c>
    </row>
    <row r="1656" spans="1:20" ht="84" x14ac:dyDescent="0.2">
      <c r="A1656" s="432">
        <f>IF(B1656="","",COUNT('Diário 1º PA'!$A$4:$A$2635)+COUNT('Diário 2º PA'!$A$4:$A$3040)+COUNT('Diário 3º PA'!$A$4:$A$2731)+ROW()-3)</f>
        <v>7681</v>
      </c>
      <c r="B1656" s="413">
        <v>44909</v>
      </c>
      <c r="C1656" s="431">
        <v>44896</v>
      </c>
      <c r="D1656" s="419" t="s">
        <v>271</v>
      </c>
      <c r="E1656" s="415" t="s">
        <v>451</v>
      </c>
      <c r="F1656" s="422">
        <v>92.6</v>
      </c>
      <c r="G1656" s="419" t="s">
        <v>8803</v>
      </c>
      <c r="H1656" s="419" t="s">
        <v>754</v>
      </c>
      <c r="I1656" s="415" t="s">
        <v>8811</v>
      </c>
      <c r="J1656" s="419" t="s">
        <v>8804</v>
      </c>
      <c r="K1656" s="419" t="s">
        <v>830</v>
      </c>
      <c r="L1656" s="415" t="s">
        <v>807</v>
      </c>
      <c r="M1656" s="419">
        <v>1829</v>
      </c>
      <c r="N1656" s="413">
        <v>44909</v>
      </c>
      <c r="O1656" s="414" t="s">
        <v>400</v>
      </c>
      <c r="P1656" s="655">
        <f t="shared" si="98"/>
        <v>12</v>
      </c>
      <c r="Q1656" s="655">
        <f t="shared" si="99"/>
        <v>12</v>
      </c>
      <c r="R1656" s="758" t="str">
        <f t="shared" si="97"/>
        <v>Gastos_Gerais</v>
      </c>
      <c r="S1656" s="697" t="s">
        <v>999</v>
      </c>
      <c r="T1656" s="697">
        <v>4894</v>
      </c>
    </row>
    <row r="1657" spans="1:20" ht="36" x14ac:dyDescent="0.2">
      <c r="A1657" s="432">
        <f>IF(B1657="","",COUNT('Diário 1º PA'!$A$4:$A$2635)+COUNT('Diário 2º PA'!$A$4:$A$3040)+COUNT('Diário 3º PA'!$A$4:$A$2731)+ROW()-3)</f>
        <v>7682</v>
      </c>
      <c r="B1657" s="413">
        <v>44909</v>
      </c>
      <c r="C1657" s="431">
        <v>44896</v>
      </c>
      <c r="D1657" s="419" t="s">
        <v>271</v>
      </c>
      <c r="E1657" s="419" t="s">
        <v>71</v>
      </c>
      <c r="F1657" s="422">
        <v>11</v>
      </c>
      <c r="G1657" s="423" t="s">
        <v>8813</v>
      </c>
      <c r="H1657" s="419" t="s">
        <v>754</v>
      </c>
      <c r="I1657" s="415" t="s">
        <v>881</v>
      </c>
      <c r="J1657" s="419" t="s">
        <v>882</v>
      </c>
      <c r="K1657" s="419" t="s">
        <v>883</v>
      </c>
      <c r="L1657" s="415" t="s">
        <v>798</v>
      </c>
      <c r="M1657" s="419" t="s">
        <v>310</v>
      </c>
      <c r="N1657" s="413">
        <v>44909</v>
      </c>
      <c r="O1657" s="414" t="s">
        <v>400</v>
      </c>
      <c r="P1657" s="655">
        <f t="shared" si="98"/>
        <v>12</v>
      </c>
      <c r="Q1657" s="655">
        <f t="shared" si="99"/>
        <v>12</v>
      </c>
      <c r="R1657" s="758" t="str">
        <f t="shared" si="97"/>
        <v>Gastos_Gerais</v>
      </c>
      <c r="S1657" s="697" t="s">
        <v>310</v>
      </c>
      <c r="T1657" s="697" t="s">
        <v>310</v>
      </c>
    </row>
    <row r="1658" spans="1:20" ht="48" x14ac:dyDescent="0.2">
      <c r="A1658" s="432">
        <f>IF(B1658="","",COUNT('Diário 1º PA'!$A$4:$A$2635)+COUNT('Diário 2º PA'!$A$4:$A$3040)+COUNT('Diário 3º PA'!$A$4:$A$2731)+ROW()-3)</f>
        <v>7683</v>
      </c>
      <c r="B1658" s="413">
        <v>44909</v>
      </c>
      <c r="C1658" s="431">
        <v>44896</v>
      </c>
      <c r="D1658" s="419" t="s">
        <v>271</v>
      </c>
      <c r="E1658" s="419" t="s">
        <v>71</v>
      </c>
      <c r="F1658" s="422">
        <v>11</v>
      </c>
      <c r="G1658" s="423" t="s">
        <v>8814</v>
      </c>
      <c r="H1658" s="419" t="s">
        <v>754</v>
      </c>
      <c r="I1658" s="415" t="s">
        <v>881</v>
      </c>
      <c r="J1658" s="419" t="s">
        <v>882</v>
      </c>
      <c r="K1658" s="419" t="s">
        <v>883</v>
      </c>
      <c r="L1658" s="415" t="s">
        <v>798</v>
      </c>
      <c r="M1658" s="419" t="s">
        <v>310</v>
      </c>
      <c r="N1658" s="413">
        <v>44909</v>
      </c>
      <c r="O1658" s="414" t="s">
        <v>400</v>
      </c>
      <c r="P1658" s="655">
        <f t="shared" si="98"/>
        <v>12</v>
      </c>
      <c r="Q1658" s="655">
        <f t="shared" si="99"/>
        <v>12</v>
      </c>
      <c r="R1658" s="758" t="str">
        <f t="shared" si="97"/>
        <v>Gastos_Gerais</v>
      </c>
      <c r="S1658" s="697" t="s">
        <v>310</v>
      </c>
      <c r="T1658" s="697" t="s">
        <v>310</v>
      </c>
    </row>
    <row r="1659" spans="1:20" ht="36" x14ac:dyDescent="0.2">
      <c r="A1659" s="432">
        <f>IF(B1659="","",COUNT('Diário 1º PA'!$A$4:$A$2635)+COUNT('Diário 2º PA'!$A$4:$A$3040)+COUNT('Diário 3º PA'!$A$4:$A$2731)+ROW()-3)</f>
        <v>7684</v>
      </c>
      <c r="B1659" s="413">
        <v>44909</v>
      </c>
      <c r="C1659" s="431">
        <v>44896</v>
      </c>
      <c r="D1659" s="419" t="s">
        <v>271</v>
      </c>
      <c r="E1659" s="419" t="s">
        <v>71</v>
      </c>
      <c r="F1659" s="422">
        <v>11</v>
      </c>
      <c r="G1659" s="423" t="s">
        <v>8812</v>
      </c>
      <c r="H1659" s="419" t="s">
        <v>754</v>
      </c>
      <c r="I1659" s="415" t="s">
        <v>881</v>
      </c>
      <c r="J1659" s="419" t="s">
        <v>882</v>
      </c>
      <c r="K1659" s="419" t="s">
        <v>883</v>
      </c>
      <c r="L1659" s="415" t="s">
        <v>798</v>
      </c>
      <c r="M1659" s="419" t="s">
        <v>310</v>
      </c>
      <c r="N1659" s="413">
        <v>44909</v>
      </c>
      <c r="O1659" s="414" t="s">
        <v>400</v>
      </c>
      <c r="P1659" s="655">
        <f t="shared" si="98"/>
        <v>12</v>
      </c>
      <c r="Q1659" s="655">
        <f t="shared" si="99"/>
        <v>12</v>
      </c>
      <c r="R1659" s="758" t="str">
        <f t="shared" si="97"/>
        <v>Gastos_Gerais</v>
      </c>
      <c r="S1659" s="697" t="s">
        <v>310</v>
      </c>
      <c r="T1659" s="697" t="s">
        <v>310</v>
      </c>
    </row>
    <row r="1660" spans="1:20" ht="72" x14ac:dyDescent="0.2">
      <c r="A1660" s="432">
        <f>IF(B1660="","",COUNT('Diário 1º PA'!$A$4:$A$2635)+COUNT('Diário 2º PA'!$A$4:$A$3040)+COUNT('Diário 3º PA'!$A$4:$A$2731)+ROW()-3)</f>
        <v>7685</v>
      </c>
      <c r="B1660" s="413">
        <v>44909</v>
      </c>
      <c r="C1660" s="431">
        <v>44652</v>
      </c>
      <c r="D1660" s="419" t="s">
        <v>468</v>
      </c>
      <c r="E1660" s="419" t="s">
        <v>468</v>
      </c>
      <c r="F1660" s="422">
        <v>87.3</v>
      </c>
      <c r="G1660" s="423" t="s">
        <v>9035</v>
      </c>
      <c r="H1660" s="419" t="s">
        <v>468</v>
      </c>
      <c r="I1660" s="415" t="s">
        <v>4829</v>
      </c>
      <c r="J1660" s="419" t="s">
        <v>3497</v>
      </c>
      <c r="K1660" s="419" t="s">
        <v>830</v>
      </c>
      <c r="L1660" s="415" t="s">
        <v>32</v>
      </c>
      <c r="M1660" s="419" t="s">
        <v>9036</v>
      </c>
      <c r="N1660" s="413">
        <v>44888</v>
      </c>
      <c r="O1660" s="414" t="s">
        <v>404</v>
      </c>
      <c r="P1660" s="655">
        <f t="shared" si="98"/>
        <v>12</v>
      </c>
      <c r="Q1660" s="655">
        <f t="shared" si="99"/>
        <v>4</v>
      </c>
      <c r="R1660" s="758" t="str">
        <f t="shared" si="97"/>
        <v>Gastos_custeados_por_captação</v>
      </c>
      <c r="S1660" s="697" t="s">
        <v>6005</v>
      </c>
      <c r="T1660" s="697" t="s">
        <v>310</v>
      </c>
    </row>
    <row r="1661" spans="1:20" ht="36" x14ac:dyDescent="0.2">
      <c r="A1661" s="432">
        <f>IF(B1661="","",COUNT('Diário 1º PA'!$A$4:$A$2635)+COUNT('Diário 2º PA'!$A$4:$A$3040)+COUNT('Diário 3º PA'!$A$4:$A$2731)+ROW()-3)</f>
        <v>7686</v>
      </c>
      <c r="B1661" s="413">
        <v>44909</v>
      </c>
      <c r="C1661" s="431">
        <v>44866</v>
      </c>
      <c r="D1661" s="419" t="s">
        <v>468</v>
      </c>
      <c r="E1661" s="419" t="s">
        <v>468</v>
      </c>
      <c r="F1661" s="422">
        <v>5585.43</v>
      </c>
      <c r="G1661" s="427" t="s">
        <v>4099</v>
      </c>
      <c r="H1661" s="419" t="s">
        <v>468</v>
      </c>
      <c r="I1661" s="415" t="s">
        <v>5611</v>
      </c>
      <c r="J1661" s="415" t="s">
        <v>4100</v>
      </c>
      <c r="K1661" s="419" t="s">
        <v>830</v>
      </c>
      <c r="L1661" s="415" t="s">
        <v>32</v>
      </c>
      <c r="M1661" s="419" t="s">
        <v>1793</v>
      </c>
      <c r="N1661" s="413">
        <v>44908</v>
      </c>
      <c r="O1661" s="414" t="s">
        <v>408</v>
      </c>
      <c r="P1661" s="655">
        <f t="shared" si="98"/>
        <v>12</v>
      </c>
      <c r="Q1661" s="655">
        <f t="shared" si="99"/>
        <v>11</v>
      </c>
      <c r="R1661" s="758" t="str">
        <f t="shared" si="97"/>
        <v>Gastos_custeados_por_captação</v>
      </c>
      <c r="S1661" s="697" t="s">
        <v>1000</v>
      </c>
      <c r="T1661" s="697">
        <v>3699</v>
      </c>
    </row>
    <row r="1662" spans="1:20" ht="36" x14ac:dyDescent="0.2">
      <c r="A1662" s="432">
        <f>IF(B1662="","",COUNT('Diário 1º PA'!$A$4:$A$2635)+COUNT('Diário 2º PA'!$A$4:$A$3040)+COUNT('Diário 3º PA'!$A$4:$A$2731)+ROW()-3)</f>
        <v>7687</v>
      </c>
      <c r="B1662" s="413">
        <v>44909</v>
      </c>
      <c r="C1662" s="431">
        <v>44866</v>
      </c>
      <c r="D1662" s="419" t="s">
        <v>468</v>
      </c>
      <c r="E1662" s="419" t="s">
        <v>468</v>
      </c>
      <c r="F1662" s="422">
        <v>1200</v>
      </c>
      <c r="G1662" s="427" t="s">
        <v>9232</v>
      </c>
      <c r="H1662" s="419" t="s">
        <v>468</v>
      </c>
      <c r="I1662" s="415" t="s">
        <v>1939</v>
      </c>
      <c r="J1662" s="415" t="s">
        <v>1081</v>
      </c>
      <c r="K1662" s="419" t="s">
        <v>830</v>
      </c>
      <c r="L1662" s="415" t="s">
        <v>32</v>
      </c>
      <c r="M1662" s="419" t="s">
        <v>3487</v>
      </c>
      <c r="N1662" s="413">
        <v>44907</v>
      </c>
      <c r="O1662" s="414" t="s">
        <v>403</v>
      </c>
      <c r="P1662" s="655">
        <f t="shared" ref="P1662" si="100">IF(B1662=0,0,IF(YEAR(B1662)=$Q$1,MONTH(B1662)-$P$1+1,(YEAR(B1662)-$Q$1)*12-$P$1+1+MONTH(B1662)))</f>
        <v>12</v>
      </c>
      <c r="Q1662" s="655">
        <f t="shared" ref="Q1662" si="101">IF(C1662=0,0,IF(YEAR(C1662)=$Q$1,MONTH(C1662)-$P$1+1,(YEAR(C1662)-$Q$1)*12-$P$1+1+MONTH(C1662)))</f>
        <v>11</v>
      </c>
      <c r="R1662" s="758" t="str">
        <f t="shared" ref="R1662" si="102">SUBSTITUTE(D1662," ","_")</f>
        <v>Gastos_custeados_por_captação</v>
      </c>
      <c r="S1662" s="697" t="s">
        <v>998</v>
      </c>
      <c r="T1662" s="697">
        <v>4773</v>
      </c>
    </row>
    <row r="1663" spans="1:20" ht="48" x14ac:dyDescent="0.2">
      <c r="A1663" s="432">
        <f>IF(B1663="","",COUNT('Diário 1º PA'!$A$4:$A$2635)+COUNT('Diário 2º PA'!$A$4:$A$3040)+COUNT('Diário 3º PA'!$A$4:$A$2731)+ROW()-3)</f>
        <v>7688</v>
      </c>
      <c r="B1663" s="413">
        <v>44910</v>
      </c>
      <c r="C1663" s="431">
        <v>44866</v>
      </c>
      <c r="D1663" s="426" t="s">
        <v>182</v>
      </c>
      <c r="E1663" s="426" t="s">
        <v>8</v>
      </c>
      <c r="F1663" s="686">
        <v>-25.92</v>
      </c>
      <c r="G1663" s="427" t="s">
        <v>8877</v>
      </c>
      <c r="H1663" s="426" t="s">
        <v>310</v>
      </c>
      <c r="I1663" s="434" t="s">
        <v>795</v>
      </c>
      <c r="J1663" s="426" t="s">
        <v>796</v>
      </c>
      <c r="K1663" s="419" t="s">
        <v>797</v>
      </c>
      <c r="L1663" s="415" t="s">
        <v>798</v>
      </c>
      <c r="M1663" s="419" t="s">
        <v>310</v>
      </c>
      <c r="N1663" s="413">
        <v>44910</v>
      </c>
      <c r="O1663" s="414" t="s">
        <v>400</v>
      </c>
      <c r="P1663" s="655">
        <f t="shared" si="98"/>
        <v>12</v>
      </c>
      <c r="Q1663" s="655">
        <f t="shared" si="99"/>
        <v>11</v>
      </c>
      <c r="R1663" s="758" t="str">
        <f t="shared" si="97"/>
        <v>Gastos_com_Pessoal</v>
      </c>
      <c r="S1663" s="697" t="s">
        <v>310</v>
      </c>
      <c r="T1663" s="697" t="s">
        <v>310</v>
      </c>
    </row>
    <row r="1664" spans="1:20" ht="48.75" customHeight="1" x14ac:dyDescent="0.2">
      <c r="A1664" s="432">
        <f>IF(B1664="","",COUNT('Diário 1º PA'!$A$4:$A$2635)+COUNT('Diário 2º PA'!$A$4:$A$3040)+COUNT('Diário 3º PA'!$A$4:$A$2731)+ROW()-3)</f>
        <v>7689</v>
      </c>
      <c r="B1664" s="413">
        <v>44910</v>
      </c>
      <c r="C1664" s="466">
        <v>44866</v>
      </c>
      <c r="D1664" s="415" t="s">
        <v>182</v>
      </c>
      <c r="E1664" s="415" t="s">
        <v>325</v>
      </c>
      <c r="F1664" s="425">
        <v>-684.04</v>
      </c>
      <c r="G1664" s="427" t="s">
        <v>8875</v>
      </c>
      <c r="H1664" s="415" t="s">
        <v>310</v>
      </c>
      <c r="I1664" s="473" t="s">
        <v>795</v>
      </c>
      <c r="J1664" s="415" t="s">
        <v>796</v>
      </c>
      <c r="K1664" s="415" t="s">
        <v>797</v>
      </c>
      <c r="L1664" s="415" t="s">
        <v>798</v>
      </c>
      <c r="M1664" s="415" t="s">
        <v>310</v>
      </c>
      <c r="N1664" s="414">
        <v>44910</v>
      </c>
      <c r="O1664" s="414" t="s">
        <v>400</v>
      </c>
      <c r="P1664" s="655">
        <f t="shared" si="98"/>
        <v>12</v>
      </c>
      <c r="Q1664" s="655">
        <f t="shared" si="99"/>
        <v>11</v>
      </c>
      <c r="R1664" s="758" t="str">
        <f t="shared" si="97"/>
        <v>Gastos_com_Pessoal</v>
      </c>
      <c r="S1664" s="697" t="s">
        <v>310</v>
      </c>
      <c r="T1664" s="697" t="s">
        <v>310</v>
      </c>
    </row>
    <row r="1665" spans="1:20" ht="48" x14ac:dyDescent="0.2">
      <c r="A1665" s="432">
        <f>IF(B1665="","",COUNT('Diário 1º PA'!$A$4:$A$2635)+COUNT('Diário 2º PA'!$A$4:$A$3040)+COUNT('Diário 3º PA'!$A$4:$A$2731)+ROW()-3)</f>
        <v>7690</v>
      </c>
      <c r="B1665" s="413">
        <v>44910</v>
      </c>
      <c r="C1665" s="431">
        <v>44866</v>
      </c>
      <c r="D1665" s="426" t="s">
        <v>182</v>
      </c>
      <c r="E1665" s="426" t="s">
        <v>8</v>
      </c>
      <c r="F1665" s="686">
        <v>-77.77</v>
      </c>
      <c r="G1665" s="415" t="s">
        <v>8876</v>
      </c>
      <c r="H1665" s="426" t="s">
        <v>310</v>
      </c>
      <c r="I1665" s="434" t="s">
        <v>795</v>
      </c>
      <c r="J1665" s="426" t="s">
        <v>796</v>
      </c>
      <c r="K1665" s="419" t="s">
        <v>797</v>
      </c>
      <c r="L1665" s="415" t="s">
        <v>798</v>
      </c>
      <c r="M1665" s="419" t="s">
        <v>310</v>
      </c>
      <c r="N1665" s="413">
        <v>44910</v>
      </c>
      <c r="O1665" s="414" t="s">
        <v>400</v>
      </c>
      <c r="P1665" s="655">
        <f t="shared" si="98"/>
        <v>12</v>
      </c>
      <c r="Q1665" s="655">
        <f t="shared" si="99"/>
        <v>11</v>
      </c>
      <c r="R1665" s="758" t="str">
        <f t="shared" si="97"/>
        <v>Gastos_com_Pessoal</v>
      </c>
      <c r="S1665" s="697" t="s">
        <v>310</v>
      </c>
      <c r="T1665" s="697" t="s">
        <v>310</v>
      </c>
    </row>
    <row r="1666" spans="1:20" ht="48" x14ac:dyDescent="0.2">
      <c r="A1666" s="432">
        <f>IF(B1666="","",COUNT('Diário 1º PA'!$A$4:$A$2635)+COUNT('Diário 2º PA'!$A$4:$A$3040)+COUNT('Diário 3º PA'!$A$4:$A$2731)+ROW()-3)</f>
        <v>7691</v>
      </c>
      <c r="B1666" s="413">
        <v>44910</v>
      </c>
      <c r="C1666" s="431">
        <v>44866</v>
      </c>
      <c r="D1666" s="426" t="s">
        <v>182</v>
      </c>
      <c r="E1666" s="426" t="s">
        <v>8</v>
      </c>
      <c r="F1666" s="686">
        <v>-45.34</v>
      </c>
      <c r="G1666" s="419" t="s">
        <v>8878</v>
      </c>
      <c r="H1666" s="426" t="s">
        <v>310</v>
      </c>
      <c r="I1666" s="434" t="s">
        <v>795</v>
      </c>
      <c r="J1666" s="426" t="s">
        <v>796</v>
      </c>
      <c r="K1666" s="419" t="s">
        <v>797</v>
      </c>
      <c r="L1666" s="415" t="s">
        <v>798</v>
      </c>
      <c r="M1666" s="419" t="s">
        <v>310</v>
      </c>
      <c r="N1666" s="413">
        <v>44910</v>
      </c>
      <c r="O1666" s="414" t="s">
        <v>400</v>
      </c>
      <c r="P1666" s="655">
        <f t="shared" si="98"/>
        <v>12</v>
      </c>
      <c r="Q1666" s="655">
        <f t="shared" si="99"/>
        <v>11</v>
      </c>
      <c r="R1666" s="758" t="str">
        <f t="shared" si="97"/>
        <v>Gastos_com_Pessoal</v>
      </c>
      <c r="S1666" s="697" t="s">
        <v>310</v>
      </c>
      <c r="T1666" s="697" t="s">
        <v>310</v>
      </c>
    </row>
    <row r="1667" spans="1:20" ht="48" x14ac:dyDescent="0.2">
      <c r="A1667" s="432">
        <f>IF(B1667="","",COUNT('Diário 1º PA'!$A$4:$A$2635)+COUNT('Diário 2º PA'!$A$4:$A$3040)+COUNT('Diário 3º PA'!$A$4:$A$2731)+ROW()-3)</f>
        <v>7692</v>
      </c>
      <c r="B1667" s="413">
        <v>44910</v>
      </c>
      <c r="C1667" s="431">
        <v>44835</v>
      </c>
      <c r="D1667" s="415" t="s">
        <v>182</v>
      </c>
      <c r="E1667" s="415" t="s">
        <v>1</v>
      </c>
      <c r="F1667" s="425">
        <v>-293.7</v>
      </c>
      <c r="G1667" s="427" t="s">
        <v>1384</v>
      </c>
      <c r="H1667" s="415" t="s">
        <v>310</v>
      </c>
      <c r="I1667" s="473" t="s">
        <v>795</v>
      </c>
      <c r="J1667" s="415" t="s">
        <v>796</v>
      </c>
      <c r="K1667" s="415" t="s">
        <v>797</v>
      </c>
      <c r="L1667" s="415" t="s">
        <v>798</v>
      </c>
      <c r="M1667" s="415" t="s">
        <v>310</v>
      </c>
      <c r="N1667" s="413">
        <v>44910</v>
      </c>
      <c r="O1667" s="414" t="s">
        <v>400</v>
      </c>
      <c r="P1667" s="655">
        <f t="shared" si="98"/>
        <v>12</v>
      </c>
      <c r="Q1667" s="655">
        <f t="shared" si="99"/>
        <v>10</v>
      </c>
      <c r="R1667" s="758" t="str">
        <f t="shared" si="97"/>
        <v>Gastos_com_Pessoal</v>
      </c>
      <c r="S1667" s="697" t="s">
        <v>310</v>
      </c>
      <c r="T1667" s="697" t="s">
        <v>310</v>
      </c>
    </row>
    <row r="1668" spans="1:20" ht="48" x14ac:dyDescent="0.2">
      <c r="A1668" s="432">
        <f>IF(B1668="","",COUNT('Diário 1º PA'!$A$4:$A$2635)+COUNT('Diário 2º PA'!$A$4:$A$3040)+COUNT('Diário 3º PA'!$A$4:$A$2731)+ROW()-3)</f>
        <v>7693</v>
      </c>
      <c r="B1668" s="413">
        <v>44910</v>
      </c>
      <c r="C1668" s="431">
        <v>44866</v>
      </c>
      <c r="D1668" s="426" t="s">
        <v>182</v>
      </c>
      <c r="E1668" s="426" t="s">
        <v>8</v>
      </c>
      <c r="F1668" s="686">
        <v>-25.92</v>
      </c>
      <c r="G1668" s="642" t="s">
        <v>8874</v>
      </c>
      <c r="H1668" s="426" t="s">
        <v>310</v>
      </c>
      <c r="I1668" s="434" t="s">
        <v>795</v>
      </c>
      <c r="J1668" s="426" t="s">
        <v>796</v>
      </c>
      <c r="K1668" s="419" t="s">
        <v>797</v>
      </c>
      <c r="L1668" s="415" t="s">
        <v>798</v>
      </c>
      <c r="M1668" s="419" t="s">
        <v>310</v>
      </c>
      <c r="N1668" s="413">
        <v>44910</v>
      </c>
      <c r="O1668" s="414" t="s">
        <v>400</v>
      </c>
      <c r="P1668" s="655">
        <f t="shared" si="98"/>
        <v>12</v>
      </c>
      <c r="Q1668" s="655">
        <f t="shared" si="99"/>
        <v>11</v>
      </c>
      <c r="R1668" s="758" t="str">
        <f t="shared" si="97"/>
        <v>Gastos_com_Pessoal</v>
      </c>
      <c r="S1668" s="697" t="s">
        <v>310</v>
      </c>
      <c r="T1668" s="697" t="s">
        <v>310</v>
      </c>
    </row>
    <row r="1669" spans="1:20" ht="48.75" customHeight="1" x14ac:dyDescent="0.2">
      <c r="A1669" s="432">
        <f>IF(B1669="","",COUNT('Diário 1º PA'!$A$4:$A$2635)+COUNT('Diário 2º PA'!$A$4:$A$3040)+COUNT('Diário 3º PA'!$A$4:$A$2731)+ROW()-3)</f>
        <v>7694</v>
      </c>
      <c r="B1669" s="413">
        <v>44910</v>
      </c>
      <c r="C1669" s="466">
        <v>44866</v>
      </c>
      <c r="D1669" s="415" t="s">
        <v>182</v>
      </c>
      <c r="E1669" s="415" t="s">
        <v>325</v>
      </c>
      <c r="F1669" s="425">
        <v>-1049.98</v>
      </c>
      <c r="G1669" s="427" t="s">
        <v>8296</v>
      </c>
      <c r="H1669" s="415" t="s">
        <v>310</v>
      </c>
      <c r="I1669" s="473" t="s">
        <v>795</v>
      </c>
      <c r="J1669" s="415" t="s">
        <v>796</v>
      </c>
      <c r="K1669" s="415" t="s">
        <v>797</v>
      </c>
      <c r="L1669" s="415" t="s">
        <v>798</v>
      </c>
      <c r="M1669" s="415" t="s">
        <v>310</v>
      </c>
      <c r="N1669" s="414">
        <v>44910</v>
      </c>
      <c r="O1669" s="414" t="s">
        <v>400</v>
      </c>
      <c r="P1669" s="655">
        <f t="shared" si="98"/>
        <v>12</v>
      </c>
      <c r="Q1669" s="655">
        <f t="shared" si="99"/>
        <v>11</v>
      </c>
      <c r="R1669" s="758" t="str">
        <f t="shared" si="97"/>
        <v>Gastos_com_Pessoal</v>
      </c>
      <c r="S1669" s="697" t="s">
        <v>310</v>
      </c>
      <c r="T1669" s="697" t="s">
        <v>310</v>
      </c>
    </row>
    <row r="1670" spans="1:20" ht="48" x14ac:dyDescent="0.2">
      <c r="A1670" s="432">
        <f>IF(B1670="","",COUNT('Diário 1º PA'!$A$4:$A$2635)+COUNT('Diário 2º PA'!$A$4:$A$3040)+COUNT('Diário 3º PA'!$A$4:$A$2731)+ROW()-3)</f>
        <v>7695</v>
      </c>
      <c r="B1670" s="413">
        <v>44910</v>
      </c>
      <c r="C1670" s="466">
        <v>44866</v>
      </c>
      <c r="D1670" s="426" t="s">
        <v>182</v>
      </c>
      <c r="E1670" s="426" t="s">
        <v>8</v>
      </c>
      <c r="F1670" s="686">
        <v>-77.760000000000005</v>
      </c>
      <c r="G1670" s="642" t="s">
        <v>8879</v>
      </c>
      <c r="H1670" s="426" t="s">
        <v>310</v>
      </c>
      <c r="I1670" s="434" t="s">
        <v>795</v>
      </c>
      <c r="J1670" s="426" t="s">
        <v>796</v>
      </c>
      <c r="K1670" s="419" t="s">
        <v>797</v>
      </c>
      <c r="L1670" s="415" t="s">
        <v>798</v>
      </c>
      <c r="M1670" s="419" t="s">
        <v>310</v>
      </c>
      <c r="N1670" s="413">
        <v>44910</v>
      </c>
      <c r="O1670" s="414" t="s">
        <v>400</v>
      </c>
      <c r="P1670" s="655">
        <f t="shared" si="98"/>
        <v>12</v>
      </c>
      <c r="Q1670" s="655">
        <f t="shared" si="99"/>
        <v>11</v>
      </c>
      <c r="R1670" s="758" t="str">
        <f t="shared" si="97"/>
        <v>Gastos_com_Pessoal</v>
      </c>
      <c r="S1670" s="697" t="s">
        <v>310</v>
      </c>
      <c r="T1670" s="697" t="s">
        <v>310</v>
      </c>
    </row>
    <row r="1671" spans="1:20" ht="48" x14ac:dyDescent="0.2">
      <c r="A1671" s="432">
        <f>IF(B1671="","",COUNT('Diário 1º PA'!$A$4:$A$2635)+COUNT('Diário 2º PA'!$A$4:$A$3040)+COUNT('Diário 3º PA'!$A$4:$A$2731)+ROW()-3)</f>
        <v>7696</v>
      </c>
      <c r="B1671" s="413">
        <v>44910</v>
      </c>
      <c r="C1671" s="431">
        <v>44835</v>
      </c>
      <c r="D1671" s="415" t="s">
        <v>271</v>
      </c>
      <c r="E1671" s="415" t="s">
        <v>92</v>
      </c>
      <c r="F1671" s="422">
        <v>-267.01</v>
      </c>
      <c r="G1671" s="427" t="s">
        <v>8880</v>
      </c>
      <c r="H1671" s="419" t="s">
        <v>309</v>
      </c>
      <c r="I1671" s="434" t="s">
        <v>795</v>
      </c>
      <c r="J1671" s="426" t="s">
        <v>796</v>
      </c>
      <c r="K1671" s="419" t="s">
        <v>797</v>
      </c>
      <c r="L1671" s="415" t="s">
        <v>798</v>
      </c>
      <c r="M1671" s="419" t="s">
        <v>310</v>
      </c>
      <c r="N1671" s="413">
        <v>44910</v>
      </c>
      <c r="O1671" s="414" t="s">
        <v>400</v>
      </c>
      <c r="P1671" s="655">
        <f t="shared" si="98"/>
        <v>12</v>
      </c>
      <c r="Q1671" s="655">
        <f t="shared" si="99"/>
        <v>10</v>
      </c>
      <c r="R1671" s="758" t="str">
        <f t="shared" si="97"/>
        <v>Gastos_Gerais</v>
      </c>
      <c r="S1671" s="697" t="s">
        <v>310</v>
      </c>
      <c r="T1671" s="697" t="s">
        <v>310</v>
      </c>
    </row>
    <row r="1672" spans="1:20" ht="48" x14ac:dyDescent="0.2">
      <c r="A1672" s="432">
        <f>IF(B1672="","",COUNT('Diário 1º PA'!$A$4:$A$2635)+COUNT('Diário 2º PA'!$A$4:$A$3040)+COUNT('Diário 3º PA'!$A$4:$A$2731)+ROW()-3)</f>
        <v>7697</v>
      </c>
      <c r="B1672" s="413">
        <v>44910</v>
      </c>
      <c r="C1672" s="433">
        <v>44835</v>
      </c>
      <c r="D1672" s="415" t="s">
        <v>271</v>
      </c>
      <c r="E1672" s="415" t="s">
        <v>183</v>
      </c>
      <c r="F1672" s="425">
        <v>-56.49</v>
      </c>
      <c r="G1672" s="440" t="s">
        <v>8881</v>
      </c>
      <c r="H1672" s="415" t="s">
        <v>309</v>
      </c>
      <c r="I1672" s="473" t="s">
        <v>795</v>
      </c>
      <c r="J1672" s="415" t="s">
        <v>796</v>
      </c>
      <c r="K1672" s="415" t="s">
        <v>797</v>
      </c>
      <c r="L1672" s="415" t="s">
        <v>798</v>
      </c>
      <c r="M1672" s="415" t="s">
        <v>310</v>
      </c>
      <c r="N1672" s="413">
        <v>44910</v>
      </c>
      <c r="O1672" s="414" t="s">
        <v>400</v>
      </c>
      <c r="P1672" s="655">
        <f t="shared" si="98"/>
        <v>12</v>
      </c>
      <c r="Q1672" s="655">
        <f t="shared" si="99"/>
        <v>10</v>
      </c>
      <c r="R1672" s="758" t="str">
        <f t="shared" si="97"/>
        <v>Gastos_Gerais</v>
      </c>
      <c r="S1672" s="697" t="s">
        <v>310</v>
      </c>
      <c r="T1672" s="697" t="s">
        <v>310</v>
      </c>
    </row>
    <row r="1673" spans="1:20" ht="48" x14ac:dyDescent="0.2">
      <c r="A1673" s="432">
        <f>IF(B1673="","",COUNT('Diário 1º PA'!$A$4:$A$2635)+COUNT('Diário 2º PA'!$A$4:$A$3040)+COUNT('Diário 3º PA'!$A$4:$A$2731)+ROW()-3)</f>
        <v>7698</v>
      </c>
      <c r="B1673" s="413">
        <v>44910</v>
      </c>
      <c r="C1673" s="431">
        <v>44805</v>
      </c>
      <c r="D1673" s="415" t="s">
        <v>271</v>
      </c>
      <c r="E1673" s="415" t="s">
        <v>92</v>
      </c>
      <c r="F1673" s="422">
        <v>-114.88</v>
      </c>
      <c r="G1673" s="427" t="s">
        <v>8882</v>
      </c>
      <c r="H1673" s="415" t="s">
        <v>309</v>
      </c>
      <c r="I1673" s="473" t="s">
        <v>795</v>
      </c>
      <c r="J1673" s="415" t="s">
        <v>796</v>
      </c>
      <c r="K1673" s="415" t="s">
        <v>797</v>
      </c>
      <c r="L1673" s="415" t="s">
        <v>798</v>
      </c>
      <c r="M1673" s="415" t="s">
        <v>310</v>
      </c>
      <c r="N1673" s="413">
        <v>44910</v>
      </c>
      <c r="O1673" s="414" t="s">
        <v>400</v>
      </c>
      <c r="P1673" s="655">
        <f t="shared" si="98"/>
        <v>12</v>
      </c>
      <c r="Q1673" s="655">
        <f t="shared" si="99"/>
        <v>9</v>
      </c>
      <c r="R1673" s="758" t="str">
        <f t="shared" ref="R1673:R1744" si="103">SUBSTITUTE(D1673," ","_")</f>
        <v>Gastos_Gerais</v>
      </c>
      <c r="S1673" s="697" t="s">
        <v>310</v>
      </c>
      <c r="T1673" s="697" t="s">
        <v>310</v>
      </c>
    </row>
    <row r="1674" spans="1:20" ht="48" x14ac:dyDescent="0.2">
      <c r="A1674" s="432">
        <f>IF(B1674="","",COUNT('Diário 1º PA'!$A$4:$A$2635)+COUNT('Diário 2º PA'!$A$4:$A$3040)+COUNT('Diário 3º PA'!$A$4:$A$2731)+ROW()-3)</f>
        <v>7699</v>
      </c>
      <c r="B1674" s="413">
        <v>44910</v>
      </c>
      <c r="C1674" s="466">
        <v>44866</v>
      </c>
      <c r="D1674" s="415" t="s">
        <v>182</v>
      </c>
      <c r="E1674" s="415" t="s">
        <v>325</v>
      </c>
      <c r="F1674" s="422">
        <v>1194.3399999999999</v>
      </c>
      <c r="G1674" s="427" t="s">
        <v>8897</v>
      </c>
      <c r="H1674" s="415" t="s">
        <v>310</v>
      </c>
      <c r="I1674" s="473" t="s">
        <v>795</v>
      </c>
      <c r="J1674" s="415" t="s">
        <v>796</v>
      </c>
      <c r="K1674" s="415" t="s">
        <v>797</v>
      </c>
      <c r="L1674" s="415" t="s">
        <v>798</v>
      </c>
      <c r="M1674" s="415" t="s">
        <v>310</v>
      </c>
      <c r="N1674" s="413">
        <v>44910</v>
      </c>
      <c r="O1674" s="414" t="s">
        <v>400</v>
      </c>
      <c r="P1674" s="655">
        <f t="shared" si="98"/>
        <v>12</v>
      </c>
      <c r="Q1674" s="655">
        <f t="shared" si="99"/>
        <v>11</v>
      </c>
      <c r="R1674" s="758" t="str">
        <f t="shared" si="103"/>
        <v>Gastos_com_Pessoal</v>
      </c>
      <c r="S1674" s="697" t="s">
        <v>310</v>
      </c>
      <c r="T1674" s="697" t="s">
        <v>310</v>
      </c>
    </row>
    <row r="1675" spans="1:20" ht="24" x14ac:dyDescent="0.2">
      <c r="A1675" s="432">
        <f>IF(B1675="","",COUNT('Diário 1º PA'!$A$4:$A$2635)+COUNT('Diário 2º PA'!$A$4:$A$3040)+COUNT('Diário 3º PA'!$A$4:$A$2731)+ROW()-3)</f>
        <v>7700</v>
      </c>
      <c r="B1675" s="413">
        <v>44910</v>
      </c>
      <c r="C1675" s="466">
        <v>44835</v>
      </c>
      <c r="D1675" s="415" t="s">
        <v>271</v>
      </c>
      <c r="E1675" s="415" t="s">
        <v>183</v>
      </c>
      <c r="F1675" s="422">
        <v>213.89</v>
      </c>
      <c r="G1675" s="419" t="s">
        <v>7664</v>
      </c>
      <c r="H1675" s="419" t="s">
        <v>309</v>
      </c>
      <c r="I1675" s="437" t="s">
        <v>768</v>
      </c>
      <c r="J1675" s="434" t="s">
        <v>1021</v>
      </c>
      <c r="K1675" s="419" t="s">
        <v>1404</v>
      </c>
      <c r="L1675" s="415" t="s">
        <v>807</v>
      </c>
      <c r="M1675" s="419" t="s">
        <v>8883</v>
      </c>
      <c r="N1675" s="413">
        <v>44866</v>
      </c>
      <c r="O1675" s="414" t="s">
        <v>400</v>
      </c>
      <c r="P1675" s="655">
        <f t="shared" si="98"/>
        <v>12</v>
      </c>
      <c r="Q1675" s="655">
        <f t="shared" si="99"/>
        <v>10</v>
      </c>
      <c r="R1675" s="758" t="str">
        <f t="shared" si="103"/>
        <v>Gastos_Gerais</v>
      </c>
      <c r="S1675" s="697" t="s">
        <v>310</v>
      </c>
      <c r="T1675" s="697" t="s">
        <v>310</v>
      </c>
    </row>
    <row r="1676" spans="1:20" ht="36" x14ac:dyDescent="0.2">
      <c r="A1676" s="432">
        <f>IF(B1676="","",COUNT('Diário 1º PA'!$A$4:$A$2635)+COUNT('Diário 2º PA'!$A$4:$A$3040)+COUNT('Diário 3º PA'!$A$4:$A$2731)+ROW()-3)</f>
        <v>7701</v>
      </c>
      <c r="B1676" s="413">
        <v>44910</v>
      </c>
      <c r="C1676" s="466">
        <v>44835</v>
      </c>
      <c r="D1676" s="434" t="s">
        <v>182</v>
      </c>
      <c r="E1676" s="434" t="s">
        <v>1</v>
      </c>
      <c r="F1676" s="422">
        <v>2242.17</v>
      </c>
      <c r="G1676" s="427" t="s">
        <v>4117</v>
      </c>
      <c r="H1676" s="415" t="s">
        <v>310</v>
      </c>
      <c r="I1676" s="437" t="s">
        <v>773</v>
      </c>
      <c r="J1676" s="434" t="s">
        <v>1397</v>
      </c>
      <c r="K1676" s="419" t="s">
        <v>812</v>
      </c>
      <c r="L1676" s="415" t="s">
        <v>32</v>
      </c>
      <c r="M1676" s="725" t="s">
        <v>8884</v>
      </c>
      <c r="N1676" s="414">
        <v>44869</v>
      </c>
      <c r="O1676" s="414" t="s">
        <v>400</v>
      </c>
      <c r="P1676" s="655">
        <f t="shared" si="98"/>
        <v>12</v>
      </c>
      <c r="Q1676" s="655">
        <f t="shared" si="99"/>
        <v>10</v>
      </c>
      <c r="R1676" s="758" t="str">
        <f t="shared" si="103"/>
        <v>Gastos_com_Pessoal</v>
      </c>
      <c r="S1676" s="697" t="s">
        <v>310</v>
      </c>
      <c r="T1676" s="697" t="s">
        <v>310</v>
      </c>
    </row>
    <row r="1677" spans="1:20" ht="108" x14ac:dyDescent="0.2">
      <c r="A1677" s="432">
        <f>IF(B1677="","",COUNT('Diário 1º PA'!$A$4:$A$2635)+COUNT('Diário 2º PA'!$A$4:$A$3040)+COUNT('Diário 3º PA'!$A$4:$A$2731)+ROW()-3)</f>
        <v>7702</v>
      </c>
      <c r="B1677" s="413">
        <v>44910</v>
      </c>
      <c r="C1677" s="433">
        <v>44896</v>
      </c>
      <c r="D1677" s="415" t="s">
        <v>182</v>
      </c>
      <c r="E1677" s="415" t="s">
        <v>325</v>
      </c>
      <c r="F1677" s="422">
        <v>26621.26</v>
      </c>
      <c r="G1677" s="427" t="s">
        <v>1399</v>
      </c>
      <c r="H1677" s="415" t="s">
        <v>310</v>
      </c>
      <c r="I1677" s="437" t="s">
        <v>773</v>
      </c>
      <c r="J1677" s="434" t="s">
        <v>1397</v>
      </c>
      <c r="K1677" s="419" t="s">
        <v>812</v>
      </c>
      <c r="L1677" s="415" t="s">
        <v>32</v>
      </c>
      <c r="M1677" s="725" t="s">
        <v>8885</v>
      </c>
      <c r="N1677" s="414">
        <v>44873</v>
      </c>
      <c r="O1677" s="414" t="s">
        <v>400</v>
      </c>
      <c r="P1677" s="655">
        <f t="shared" si="98"/>
        <v>12</v>
      </c>
      <c r="Q1677" s="655">
        <f t="shared" si="99"/>
        <v>12</v>
      </c>
      <c r="R1677" s="758" t="str">
        <f t="shared" si="103"/>
        <v>Gastos_com_Pessoal</v>
      </c>
      <c r="S1677" s="697" t="s">
        <v>310</v>
      </c>
      <c r="T1677" s="697" t="s">
        <v>310</v>
      </c>
    </row>
    <row r="1678" spans="1:20" ht="48" x14ac:dyDescent="0.2">
      <c r="A1678" s="432">
        <f>IF(B1678="","",COUNT('Diário 1º PA'!$A$4:$A$2635)+COUNT('Diário 2º PA'!$A$4:$A$3040)+COUNT('Diário 3º PA'!$A$4:$A$2731)+ROW()-3)</f>
        <v>7703</v>
      </c>
      <c r="B1678" s="413">
        <v>44910</v>
      </c>
      <c r="C1678" s="431">
        <v>44805</v>
      </c>
      <c r="D1678" s="415" t="s">
        <v>271</v>
      </c>
      <c r="E1678" s="415" t="s">
        <v>92</v>
      </c>
      <c r="F1678" s="422">
        <v>435</v>
      </c>
      <c r="G1678" s="427" t="s">
        <v>655</v>
      </c>
      <c r="H1678" s="415" t="s">
        <v>309</v>
      </c>
      <c r="I1678" s="415" t="s">
        <v>1488</v>
      </c>
      <c r="J1678" s="415" t="s">
        <v>1078</v>
      </c>
      <c r="K1678" s="419" t="s">
        <v>812</v>
      </c>
      <c r="L1678" s="415" t="s">
        <v>1372</v>
      </c>
      <c r="M1678" s="419">
        <v>742343583</v>
      </c>
      <c r="N1678" s="413">
        <v>44883</v>
      </c>
      <c r="O1678" s="414" t="s">
        <v>400</v>
      </c>
      <c r="P1678" s="655">
        <f t="shared" si="98"/>
        <v>12</v>
      </c>
      <c r="Q1678" s="655">
        <f t="shared" si="99"/>
        <v>9</v>
      </c>
      <c r="R1678" s="758" t="str">
        <f t="shared" si="103"/>
        <v>Gastos_Gerais</v>
      </c>
      <c r="S1678" s="697" t="s">
        <v>998</v>
      </c>
      <c r="T1678" s="697">
        <v>2667</v>
      </c>
    </row>
    <row r="1679" spans="1:20" ht="72" x14ac:dyDescent="0.2">
      <c r="A1679" s="432">
        <f>IF(B1679="","",COUNT('Diário 1º PA'!$A$4:$A$2635)+COUNT('Diário 2º PA'!$A$4:$A$3040)+COUNT('Diário 3º PA'!$A$4:$A$2731)+ROW()-3)</f>
        <v>7704</v>
      </c>
      <c r="B1679" s="413">
        <v>44910</v>
      </c>
      <c r="C1679" s="431">
        <v>44866</v>
      </c>
      <c r="D1679" s="415" t="s">
        <v>271</v>
      </c>
      <c r="E1679" s="415" t="s">
        <v>456</v>
      </c>
      <c r="F1679" s="422">
        <v>1711.12</v>
      </c>
      <c r="G1679" s="427" t="s">
        <v>552</v>
      </c>
      <c r="H1679" s="419" t="s">
        <v>755</v>
      </c>
      <c r="I1679" s="415" t="s">
        <v>1785</v>
      </c>
      <c r="J1679" s="415" t="s">
        <v>1044</v>
      </c>
      <c r="K1679" s="419" t="s">
        <v>812</v>
      </c>
      <c r="L1679" s="415" t="s">
        <v>32</v>
      </c>
      <c r="M1679" s="419" t="s">
        <v>8886</v>
      </c>
      <c r="N1679" s="413">
        <v>44902</v>
      </c>
      <c r="O1679" s="414" t="s">
        <v>400</v>
      </c>
      <c r="P1679" s="655">
        <f t="shared" si="98"/>
        <v>12</v>
      </c>
      <c r="Q1679" s="655">
        <f t="shared" si="99"/>
        <v>11</v>
      </c>
      <c r="R1679" s="758" t="str">
        <f t="shared" si="103"/>
        <v>Gastos_Gerais</v>
      </c>
      <c r="S1679" s="697" t="s">
        <v>1000</v>
      </c>
      <c r="T1679" s="697">
        <v>1371</v>
      </c>
    </row>
    <row r="1680" spans="1:20" ht="48" x14ac:dyDescent="0.2">
      <c r="A1680" s="432">
        <f>IF(B1680="","",COUNT('Diário 1º PA'!$A$4:$A$2635)+COUNT('Diário 2º PA'!$A$4:$A$3040)+COUNT('Diário 3º PA'!$A$4:$A$2731)+ROW()-3)</f>
        <v>7705</v>
      </c>
      <c r="B1680" s="413">
        <v>44910</v>
      </c>
      <c r="C1680" s="431">
        <v>44835</v>
      </c>
      <c r="D1680" s="415" t="s">
        <v>271</v>
      </c>
      <c r="E1680" s="415" t="s">
        <v>92</v>
      </c>
      <c r="F1680" s="422">
        <v>960.45</v>
      </c>
      <c r="G1680" s="427" t="s">
        <v>7569</v>
      </c>
      <c r="H1680" s="419" t="s">
        <v>309</v>
      </c>
      <c r="I1680" s="415" t="s">
        <v>8888</v>
      </c>
      <c r="J1680" s="415" t="s">
        <v>1078</v>
      </c>
      <c r="K1680" s="419" t="s">
        <v>812</v>
      </c>
      <c r="L1680" s="415" t="s">
        <v>32</v>
      </c>
      <c r="M1680" s="419" t="s">
        <v>8889</v>
      </c>
      <c r="N1680" s="413">
        <v>44883</v>
      </c>
      <c r="O1680" s="414" t="s">
        <v>400</v>
      </c>
      <c r="P1680" s="655">
        <f t="shared" si="98"/>
        <v>12</v>
      </c>
      <c r="Q1680" s="655">
        <f t="shared" si="99"/>
        <v>10</v>
      </c>
      <c r="R1680" s="758" t="str">
        <f t="shared" si="103"/>
        <v>Gastos_Gerais</v>
      </c>
      <c r="S1680" s="697" t="s">
        <v>1000</v>
      </c>
      <c r="T1680" s="697">
        <v>4364</v>
      </c>
    </row>
    <row r="1681" spans="1:20" ht="60" x14ac:dyDescent="0.2">
      <c r="A1681" s="432">
        <f>IF(B1681="","",COUNT('Diário 1º PA'!$A$4:$A$2635)+COUNT('Diário 2º PA'!$A$4:$A$3040)+COUNT('Diário 3º PA'!$A$4:$A$2731)+ROW()-3)</f>
        <v>7706</v>
      </c>
      <c r="B1681" s="413">
        <v>44910</v>
      </c>
      <c r="C1681" s="431">
        <v>44866</v>
      </c>
      <c r="D1681" s="434" t="s">
        <v>271</v>
      </c>
      <c r="E1681" s="434" t="s">
        <v>91</v>
      </c>
      <c r="F1681" s="422">
        <v>61.5</v>
      </c>
      <c r="G1681" s="437" t="s">
        <v>471</v>
      </c>
      <c r="H1681" s="434" t="s">
        <v>309</v>
      </c>
      <c r="I1681" s="415" t="s">
        <v>6484</v>
      </c>
      <c r="J1681" s="434" t="s">
        <v>1009</v>
      </c>
      <c r="K1681" s="419" t="s">
        <v>812</v>
      </c>
      <c r="L1681" s="415" t="s">
        <v>32</v>
      </c>
      <c r="M1681" s="419">
        <v>4561725</v>
      </c>
      <c r="N1681" s="413">
        <v>44896</v>
      </c>
      <c r="O1681" s="414" t="s">
        <v>400</v>
      </c>
      <c r="P1681" s="655">
        <f t="shared" si="98"/>
        <v>12</v>
      </c>
      <c r="Q1681" s="655">
        <f t="shared" si="99"/>
        <v>11</v>
      </c>
      <c r="R1681" s="758" t="str">
        <f t="shared" si="103"/>
        <v>Gastos_Gerais</v>
      </c>
      <c r="S1681" s="697" t="s">
        <v>1000</v>
      </c>
      <c r="T1681" s="697">
        <v>1142</v>
      </c>
    </row>
    <row r="1682" spans="1:20" ht="24" x14ac:dyDescent="0.2">
      <c r="A1682" s="432">
        <f>IF(B1682="","",COUNT('Diário 1º PA'!$A$4:$A$2635)+COUNT('Diário 2º PA'!$A$4:$A$3040)+COUNT('Diário 3º PA'!$A$4:$A$2731)+ROW()-3)</f>
        <v>7707</v>
      </c>
      <c r="B1682" s="413">
        <v>44910</v>
      </c>
      <c r="C1682" s="431">
        <v>44866</v>
      </c>
      <c r="D1682" s="419" t="s">
        <v>182</v>
      </c>
      <c r="E1682" s="419" t="s">
        <v>8</v>
      </c>
      <c r="F1682" s="422">
        <v>1885.74</v>
      </c>
      <c r="G1682" s="423" t="s">
        <v>506</v>
      </c>
      <c r="H1682" s="419" t="s">
        <v>310</v>
      </c>
      <c r="I1682" s="415" t="s">
        <v>770</v>
      </c>
      <c r="J1682" s="419" t="s">
        <v>825</v>
      </c>
      <c r="K1682" s="419" t="s">
        <v>812</v>
      </c>
      <c r="L1682" s="415" t="s">
        <v>826</v>
      </c>
      <c r="M1682" s="419">
        <v>8134322</v>
      </c>
      <c r="N1682" s="413">
        <v>44860</v>
      </c>
      <c r="O1682" s="414" t="s">
        <v>400</v>
      </c>
      <c r="P1682" s="655">
        <f t="shared" si="98"/>
        <v>12</v>
      </c>
      <c r="Q1682" s="655">
        <f t="shared" si="99"/>
        <v>11</v>
      </c>
      <c r="R1682" s="758" t="str">
        <f t="shared" si="103"/>
        <v>Gastos_com_Pessoal</v>
      </c>
      <c r="S1682" s="697" t="s">
        <v>310</v>
      </c>
      <c r="T1682" s="697" t="s">
        <v>310</v>
      </c>
    </row>
    <row r="1683" spans="1:20" ht="36" x14ac:dyDescent="0.2">
      <c r="A1683" s="432">
        <f>IF(B1683="","",COUNT('Diário 1º PA'!$A$4:$A$2635)+COUNT('Diário 2º PA'!$A$4:$A$3040)+COUNT('Diário 3º PA'!$A$4:$A$2731)+ROW()-3)</f>
        <v>7708</v>
      </c>
      <c r="B1683" s="413">
        <v>44910</v>
      </c>
      <c r="C1683" s="431">
        <v>44835</v>
      </c>
      <c r="D1683" s="419" t="s">
        <v>271</v>
      </c>
      <c r="E1683" s="419" t="s">
        <v>465</v>
      </c>
      <c r="F1683" s="422">
        <v>211.49</v>
      </c>
      <c r="G1683" s="427" t="s">
        <v>7982</v>
      </c>
      <c r="H1683" s="415" t="s">
        <v>751</v>
      </c>
      <c r="I1683" s="415" t="s">
        <v>1464</v>
      </c>
      <c r="J1683" s="415" t="s">
        <v>1010</v>
      </c>
      <c r="K1683" s="419" t="s">
        <v>830</v>
      </c>
      <c r="L1683" s="415" t="s">
        <v>32</v>
      </c>
      <c r="M1683" s="419" t="s">
        <v>8890</v>
      </c>
      <c r="N1683" s="413">
        <v>44909</v>
      </c>
      <c r="O1683" s="414" t="s">
        <v>400</v>
      </c>
      <c r="P1683" s="655">
        <f t="shared" si="98"/>
        <v>12</v>
      </c>
      <c r="Q1683" s="655">
        <f t="shared" si="99"/>
        <v>10</v>
      </c>
      <c r="R1683" s="758" t="str">
        <f t="shared" si="103"/>
        <v>Gastos_Gerais</v>
      </c>
      <c r="S1683" s="697" t="s">
        <v>998</v>
      </c>
      <c r="T1683" s="697">
        <v>4635</v>
      </c>
    </row>
    <row r="1684" spans="1:20" ht="96" x14ac:dyDescent="0.2">
      <c r="A1684" s="432">
        <f>IF(B1684="","",COUNT('Diário 1º PA'!$A$4:$A$2635)+COUNT('Diário 2º PA'!$A$4:$A$3040)+COUNT('Diário 3º PA'!$A$4:$A$2731)+ROW()-3)</f>
        <v>7709</v>
      </c>
      <c r="B1684" s="413">
        <v>44910</v>
      </c>
      <c r="C1684" s="431">
        <v>44835</v>
      </c>
      <c r="D1684" s="415" t="s">
        <v>271</v>
      </c>
      <c r="E1684" s="415" t="s">
        <v>465</v>
      </c>
      <c r="F1684" s="422">
        <v>961.3</v>
      </c>
      <c r="G1684" s="427" t="s">
        <v>7633</v>
      </c>
      <c r="H1684" s="415" t="s">
        <v>752</v>
      </c>
      <c r="I1684" s="415" t="s">
        <v>1464</v>
      </c>
      <c r="J1684" s="415" t="s">
        <v>1010</v>
      </c>
      <c r="K1684" s="419" t="s">
        <v>830</v>
      </c>
      <c r="L1684" s="415" t="s">
        <v>32</v>
      </c>
      <c r="M1684" s="419" t="s">
        <v>8892</v>
      </c>
      <c r="N1684" s="413">
        <v>44909</v>
      </c>
      <c r="O1684" s="414" t="s">
        <v>400</v>
      </c>
      <c r="P1684" s="655">
        <f t="shared" si="98"/>
        <v>12</v>
      </c>
      <c r="Q1684" s="655">
        <f t="shared" si="99"/>
        <v>10</v>
      </c>
      <c r="R1684" s="758" t="str">
        <f t="shared" si="103"/>
        <v>Gastos_Gerais</v>
      </c>
      <c r="S1684" s="697" t="s">
        <v>998</v>
      </c>
      <c r="T1684" s="697">
        <v>4498</v>
      </c>
    </row>
    <row r="1685" spans="1:20" ht="60" x14ac:dyDescent="0.2">
      <c r="A1685" s="432">
        <f>IF(B1685="","",COUNT('Diário 1º PA'!$A$4:$A$2635)+COUNT('Diário 2º PA'!$A$4:$A$3040)+COUNT('Diário 3º PA'!$A$4:$A$2731)+ROW()-3)</f>
        <v>7710</v>
      </c>
      <c r="B1685" s="413">
        <v>44910</v>
      </c>
      <c r="C1685" s="431">
        <v>44866</v>
      </c>
      <c r="D1685" s="419" t="s">
        <v>271</v>
      </c>
      <c r="E1685" s="415" t="s">
        <v>456</v>
      </c>
      <c r="F1685" s="425">
        <v>2500</v>
      </c>
      <c r="G1685" s="427" t="s">
        <v>8039</v>
      </c>
      <c r="H1685" s="419" t="s">
        <v>749</v>
      </c>
      <c r="I1685" s="415" t="s">
        <v>1230</v>
      </c>
      <c r="J1685" s="415" t="s">
        <v>1039</v>
      </c>
      <c r="K1685" s="419" t="s">
        <v>830</v>
      </c>
      <c r="L1685" s="415" t="s">
        <v>32</v>
      </c>
      <c r="M1685" s="419" t="s">
        <v>2252</v>
      </c>
      <c r="N1685" s="413">
        <v>44909</v>
      </c>
      <c r="O1685" s="414" t="s">
        <v>400</v>
      </c>
      <c r="P1685" s="655">
        <f t="shared" si="98"/>
        <v>12</v>
      </c>
      <c r="Q1685" s="655">
        <f t="shared" si="99"/>
        <v>11</v>
      </c>
      <c r="R1685" s="758" t="str">
        <f t="shared" si="103"/>
        <v>Gastos_Gerais</v>
      </c>
      <c r="S1685" s="697" t="s">
        <v>998</v>
      </c>
      <c r="T1685" s="697">
        <v>4497</v>
      </c>
    </row>
    <row r="1686" spans="1:20" ht="36" x14ac:dyDescent="0.2">
      <c r="A1686" s="432">
        <f>IF(B1686="","",COUNT('Diário 1º PA'!$A$4:$A$2635)+COUNT('Diário 2º PA'!$A$4:$A$3040)+COUNT('Diário 3º PA'!$A$4:$A$2731)+ROW()-3)</f>
        <v>7711</v>
      </c>
      <c r="B1686" s="413">
        <v>44910</v>
      </c>
      <c r="C1686" s="431">
        <v>44896</v>
      </c>
      <c r="D1686" s="419" t="s">
        <v>271</v>
      </c>
      <c r="E1686" s="419" t="s">
        <v>71</v>
      </c>
      <c r="F1686" s="422">
        <v>11</v>
      </c>
      <c r="G1686" s="423" t="s">
        <v>8894</v>
      </c>
      <c r="H1686" s="415" t="s">
        <v>751</v>
      </c>
      <c r="I1686" s="415" t="s">
        <v>881</v>
      </c>
      <c r="J1686" s="419" t="s">
        <v>882</v>
      </c>
      <c r="K1686" s="419" t="s">
        <v>883</v>
      </c>
      <c r="L1686" s="415" t="s">
        <v>798</v>
      </c>
      <c r="M1686" s="419" t="s">
        <v>310</v>
      </c>
      <c r="N1686" s="413">
        <v>44910</v>
      </c>
      <c r="O1686" s="414" t="s">
        <v>400</v>
      </c>
      <c r="P1686" s="655">
        <f t="shared" si="98"/>
        <v>12</v>
      </c>
      <c r="Q1686" s="655">
        <f t="shared" si="99"/>
        <v>12</v>
      </c>
      <c r="R1686" s="758" t="str">
        <f t="shared" si="103"/>
        <v>Gastos_Gerais</v>
      </c>
      <c r="S1686" s="697" t="s">
        <v>310</v>
      </c>
      <c r="T1686" s="697" t="s">
        <v>310</v>
      </c>
    </row>
    <row r="1687" spans="1:20" ht="36" x14ac:dyDescent="0.2">
      <c r="A1687" s="432">
        <f>IF(B1687="","",COUNT('Diário 1º PA'!$A$4:$A$2635)+COUNT('Diário 2º PA'!$A$4:$A$3040)+COUNT('Diário 3º PA'!$A$4:$A$2731)+ROW()-3)</f>
        <v>7712</v>
      </c>
      <c r="B1687" s="413">
        <v>44910</v>
      </c>
      <c r="C1687" s="431">
        <v>44896</v>
      </c>
      <c r="D1687" s="419" t="s">
        <v>271</v>
      </c>
      <c r="E1687" s="419" t="s">
        <v>71</v>
      </c>
      <c r="F1687" s="422">
        <v>11</v>
      </c>
      <c r="G1687" s="423" t="s">
        <v>8895</v>
      </c>
      <c r="H1687" s="415" t="s">
        <v>752</v>
      </c>
      <c r="I1687" s="415" t="s">
        <v>881</v>
      </c>
      <c r="J1687" s="419" t="s">
        <v>882</v>
      </c>
      <c r="K1687" s="419" t="s">
        <v>883</v>
      </c>
      <c r="L1687" s="415" t="s">
        <v>798</v>
      </c>
      <c r="M1687" s="419" t="s">
        <v>310</v>
      </c>
      <c r="N1687" s="413">
        <v>44910</v>
      </c>
      <c r="O1687" s="414" t="s">
        <v>400</v>
      </c>
      <c r="P1687" s="655">
        <f t="shared" si="98"/>
        <v>12</v>
      </c>
      <c r="Q1687" s="655">
        <f t="shared" si="99"/>
        <v>12</v>
      </c>
      <c r="R1687" s="758" t="str">
        <f t="shared" si="103"/>
        <v>Gastos_Gerais</v>
      </c>
      <c r="S1687" s="697" t="s">
        <v>310</v>
      </c>
      <c r="T1687" s="697" t="s">
        <v>310</v>
      </c>
    </row>
    <row r="1688" spans="1:20" ht="36" x14ac:dyDescent="0.2">
      <c r="A1688" s="432">
        <f>IF(B1688="","",COUNT('Diário 1º PA'!$A$4:$A$2635)+COUNT('Diário 2º PA'!$A$4:$A$3040)+COUNT('Diário 3º PA'!$A$4:$A$2731)+ROW()-3)</f>
        <v>7713</v>
      </c>
      <c r="B1688" s="413">
        <v>44910</v>
      </c>
      <c r="C1688" s="431">
        <v>44896</v>
      </c>
      <c r="D1688" s="419" t="s">
        <v>271</v>
      </c>
      <c r="E1688" s="419" t="s">
        <v>71</v>
      </c>
      <c r="F1688" s="422">
        <v>11</v>
      </c>
      <c r="G1688" s="423" t="s">
        <v>8896</v>
      </c>
      <c r="H1688" s="419" t="s">
        <v>749</v>
      </c>
      <c r="I1688" s="415" t="s">
        <v>881</v>
      </c>
      <c r="J1688" s="419" t="s">
        <v>882</v>
      </c>
      <c r="K1688" s="419" t="s">
        <v>883</v>
      </c>
      <c r="L1688" s="415" t="s">
        <v>798</v>
      </c>
      <c r="M1688" s="419" t="s">
        <v>310</v>
      </c>
      <c r="N1688" s="413">
        <v>44910</v>
      </c>
      <c r="O1688" s="414" t="s">
        <v>400</v>
      </c>
      <c r="P1688" s="655">
        <f t="shared" si="98"/>
        <v>12</v>
      </c>
      <c r="Q1688" s="655">
        <f t="shared" si="99"/>
        <v>12</v>
      </c>
      <c r="R1688" s="758" t="str">
        <f t="shared" si="103"/>
        <v>Gastos_Gerais</v>
      </c>
      <c r="S1688" s="697" t="s">
        <v>310</v>
      </c>
      <c r="T1688" s="697" t="s">
        <v>310</v>
      </c>
    </row>
    <row r="1689" spans="1:20" ht="48" x14ac:dyDescent="0.2">
      <c r="A1689" s="432">
        <f>IF(B1689="","",COUNT('Diário 1º PA'!$A$4:$A$2635)+COUNT('Diário 2º PA'!$A$4:$A$3040)+COUNT('Diário 3º PA'!$A$4:$A$2731)+ROW()-3)</f>
        <v>7714</v>
      </c>
      <c r="B1689" s="413">
        <v>44910</v>
      </c>
      <c r="C1689" s="421">
        <v>44835</v>
      </c>
      <c r="D1689" s="419" t="s">
        <v>468</v>
      </c>
      <c r="E1689" s="419" t="s">
        <v>468</v>
      </c>
      <c r="F1689" s="422">
        <v>520</v>
      </c>
      <c r="G1689" s="423" t="s">
        <v>9018</v>
      </c>
      <c r="H1689" s="419" t="s">
        <v>468</v>
      </c>
      <c r="I1689" s="427" t="s">
        <v>1461</v>
      </c>
      <c r="J1689" s="418" t="s">
        <v>310</v>
      </c>
      <c r="K1689" s="418" t="s">
        <v>1220</v>
      </c>
      <c r="L1689" s="399" t="s">
        <v>1368</v>
      </c>
      <c r="M1689" s="544" t="s">
        <v>310</v>
      </c>
      <c r="N1689" s="413">
        <v>44910</v>
      </c>
      <c r="O1689" s="414" t="s">
        <v>405</v>
      </c>
      <c r="P1689" s="655">
        <f t="shared" si="98"/>
        <v>12</v>
      </c>
      <c r="Q1689" s="655">
        <f t="shared" si="99"/>
        <v>10</v>
      </c>
      <c r="R1689" s="758" t="str">
        <f t="shared" si="103"/>
        <v>Gastos_custeados_por_captação</v>
      </c>
      <c r="S1689" s="697" t="s">
        <v>310</v>
      </c>
      <c r="T1689" s="697" t="s">
        <v>310</v>
      </c>
    </row>
    <row r="1690" spans="1:20" ht="60" x14ac:dyDescent="0.2">
      <c r="A1690" s="432">
        <f>IF(B1690="","",COUNT('Diário 1º PA'!$A$4:$A$2635)+COUNT('Diário 2º PA'!$A$4:$A$3040)+COUNT('Diário 3º PA'!$A$4:$A$2731)+ROW()-3)</f>
        <v>7715</v>
      </c>
      <c r="B1690" s="413">
        <v>44910</v>
      </c>
      <c r="C1690" s="431">
        <v>44866</v>
      </c>
      <c r="D1690" s="419" t="s">
        <v>468</v>
      </c>
      <c r="E1690" s="419" t="s">
        <v>468</v>
      </c>
      <c r="F1690" s="422">
        <v>924</v>
      </c>
      <c r="G1690" s="427" t="s">
        <v>8263</v>
      </c>
      <c r="H1690" s="419" t="s">
        <v>468</v>
      </c>
      <c r="I1690" s="415" t="s">
        <v>9094</v>
      </c>
      <c r="J1690" s="415" t="s">
        <v>8264</v>
      </c>
      <c r="K1690" s="419" t="s">
        <v>830</v>
      </c>
      <c r="L1690" s="415" t="s">
        <v>839</v>
      </c>
      <c r="M1690" s="419">
        <v>2153</v>
      </c>
      <c r="N1690" s="413">
        <v>44909</v>
      </c>
      <c r="O1690" s="414" t="s">
        <v>3762</v>
      </c>
      <c r="P1690" s="655">
        <f t="shared" si="98"/>
        <v>12</v>
      </c>
      <c r="Q1690" s="655">
        <f t="shared" si="99"/>
        <v>11</v>
      </c>
      <c r="R1690" s="758" t="str">
        <f t="shared" si="103"/>
        <v>Gastos_custeados_por_captação</v>
      </c>
      <c r="S1690" s="697" t="s">
        <v>998</v>
      </c>
      <c r="T1690" s="697">
        <v>4644</v>
      </c>
    </row>
    <row r="1691" spans="1:20" ht="84" x14ac:dyDescent="0.2">
      <c r="A1691" s="432">
        <f>IF(B1691="","",COUNT('Diário 1º PA'!$A$4:$A$2635)+COUNT('Diário 2º PA'!$A$4:$A$3040)+COUNT('Diário 3º PA'!$A$4:$A$2731)+ROW()-3)</f>
        <v>7716</v>
      </c>
      <c r="B1691" s="413">
        <v>44910</v>
      </c>
      <c r="C1691" s="431">
        <v>44866</v>
      </c>
      <c r="D1691" s="419" t="s">
        <v>468</v>
      </c>
      <c r="E1691" s="419" t="s">
        <v>468</v>
      </c>
      <c r="F1691" s="422">
        <v>7600</v>
      </c>
      <c r="G1691" s="427" t="s">
        <v>8170</v>
      </c>
      <c r="H1691" s="419" t="s">
        <v>468</v>
      </c>
      <c r="I1691" s="415" t="s">
        <v>9097</v>
      </c>
      <c r="J1691" s="415" t="s">
        <v>8171</v>
      </c>
      <c r="K1691" s="419" t="s">
        <v>830</v>
      </c>
      <c r="L1691" s="415" t="s">
        <v>32</v>
      </c>
      <c r="M1691" s="419" t="s">
        <v>1793</v>
      </c>
      <c r="N1691" s="413">
        <v>44909</v>
      </c>
      <c r="O1691" s="414" t="s">
        <v>3762</v>
      </c>
      <c r="P1691" s="655">
        <f t="shared" si="98"/>
        <v>12</v>
      </c>
      <c r="Q1691" s="655">
        <f t="shared" si="99"/>
        <v>11</v>
      </c>
      <c r="R1691" s="758" t="str">
        <f t="shared" si="103"/>
        <v>Gastos_custeados_por_captação</v>
      </c>
      <c r="S1691" s="697" t="s">
        <v>998</v>
      </c>
      <c r="T1691" s="697">
        <v>4693</v>
      </c>
    </row>
    <row r="1692" spans="1:20" ht="48" x14ac:dyDescent="0.2">
      <c r="A1692" s="432">
        <f>IF(B1692="","",COUNT('Diário 1º PA'!$A$4:$A$2635)+COUNT('Diário 2º PA'!$A$4:$A$3040)+COUNT('Diário 3º PA'!$A$4:$A$2731)+ROW()-3)</f>
        <v>7717</v>
      </c>
      <c r="B1692" s="413">
        <v>44910</v>
      </c>
      <c r="C1692" s="431">
        <v>44896</v>
      </c>
      <c r="D1692" s="419" t="s">
        <v>468</v>
      </c>
      <c r="E1692" s="419" t="s">
        <v>468</v>
      </c>
      <c r="F1692" s="422">
        <v>5256.35</v>
      </c>
      <c r="G1692" s="757" t="s">
        <v>8654</v>
      </c>
      <c r="H1692" s="419" t="s">
        <v>468</v>
      </c>
      <c r="I1692" s="415" t="s">
        <v>5119</v>
      </c>
      <c r="J1692" s="417" t="s">
        <v>1102</v>
      </c>
      <c r="K1692" s="419" t="s">
        <v>830</v>
      </c>
      <c r="L1692" s="415" t="s">
        <v>32</v>
      </c>
      <c r="M1692" s="419" t="s">
        <v>5094</v>
      </c>
      <c r="N1692" s="413">
        <v>44909</v>
      </c>
      <c r="O1692" s="414" t="s">
        <v>3762</v>
      </c>
      <c r="P1692" s="655">
        <f t="shared" si="98"/>
        <v>12</v>
      </c>
      <c r="Q1692" s="655">
        <f t="shared" si="99"/>
        <v>12</v>
      </c>
      <c r="R1692" s="758" t="str">
        <f t="shared" si="103"/>
        <v>Gastos_custeados_por_captação</v>
      </c>
      <c r="S1692" s="697" t="s">
        <v>998</v>
      </c>
      <c r="T1692" s="697">
        <v>4829</v>
      </c>
    </row>
    <row r="1693" spans="1:20" ht="60" x14ac:dyDescent="0.2">
      <c r="A1693" s="432">
        <f>IF(B1693="","",COUNT('Diário 1º PA'!$A$4:$A$2635)+COUNT('Diário 2º PA'!$A$4:$A$3040)+COUNT('Diário 3º PA'!$A$4:$A$2731)+ROW()-3)</f>
        <v>7718</v>
      </c>
      <c r="B1693" s="413">
        <v>44910</v>
      </c>
      <c r="C1693" s="431">
        <v>44896</v>
      </c>
      <c r="D1693" s="419" t="s">
        <v>468</v>
      </c>
      <c r="E1693" s="419" t="s">
        <v>468</v>
      </c>
      <c r="F1693" s="422">
        <v>3000</v>
      </c>
      <c r="G1693" s="757" t="s">
        <v>8655</v>
      </c>
      <c r="H1693" s="419" t="s">
        <v>468</v>
      </c>
      <c r="I1693" s="415" t="s">
        <v>9100</v>
      </c>
      <c r="J1693" s="417" t="s">
        <v>8550</v>
      </c>
      <c r="K1693" s="419" t="s">
        <v>830</v>
      </c>
      <c r="L1693" s="415" t="s">
        <v>32</v>
      </c>
      <c r="M1693" s="419" t="s">
        <v>2681</v>
      </c>
      <c r="N1693" s="413">
        <v>44909</v>
      </c>
      <c r="O1693" s="414" t="s">
        <v>3762</v>
      </c>
      <c r="P1693" s="655">
        <f t="shared" si="98"/>
        <v>12</v>
      </c>
      <c r="Q1693" s="655">
        <f t="shared" si="99"/>
        <v>12</v>
      </c>
      <c r="R1693" s="758" t="str">
        <f t="shared" si="103"/>
        <v>Gastos_custeados_por_captação</v>
      </c>
      <c r="S1693" s="697" t="s">
        <v>998</v>
      </c>
      <c r="T1693" s="697">
        <v>4827</v>
      </c>
    </row>
    <row r="1694" spans="1:20" ht="36" x14ac:dyDescent="0.2">
      <c r="A1694" s="432">
        <f>IF(B1694="","",COUNT('Diário 1º PA'!$A$4:$A$2635)+COUNT('Diário 2º PA'!$A$4:$A$3040)+COUNT('Diário 3º PA'!$A$4:$A$2731)+ROW()-3)</f>
        <v>7719</v>
      </c>
      <c r="B1694" s="413">
        <v>44910</v>
      </c>
      <c r="C1694" s="431">
        <v>44896</v>
      </c>
      <c r="D1694" s="419" t="s">
        <v>468</v>
      </c>
      <c r="E1694" s="419" t="s">
        <v>468</v>
      </c>
      <c r="F1694" s="422">
        <v>11</v>
      </c>
      <c r="G1694" s="427" t="s">
        <v>2469</v>
      </c>
      <c r="H1694" s="419" t="s">
        <v>468</v>
      </c>
      <c r="I1694" s="639" t="s">
        <v>881</v>
      </c>
      <c r="J1694" s="418" t="s">
        <v>882</v>
      </c>
      <c r="K1694" s="418" t="s">
        <v>883</v>
      </c>
      <c r="L1694" s="399" t="s">
        <v>798</v>
      </c>
      <c r="M1694" s="544" t="s">
        <v>310</v>
      </c>
      <c r="N1694" s="413">
        <v>44910</v>
      </c>
      <c r="O1694" s="414" t="s">
        <v>3762</v>
      </c>
      <c r="P1694" s="655">
        <f t="shared" si="98"/>
        <v>12</v>
      </c>
      <c r="Q1694" s="655">
        <f t="shared" si="99"/>
        <v>12</v>
      </c>
      <c r="R1694" s="758" t="str">
        <f t="shared" si="103"/>
        <v>Gastos_custeados_por_captação</v>
      </c>
      <c r="S1694" s="697" t="s">
        <v>310</v>
      </c>
      <c r="T1694" s="697" t="s">
        <v>310</v>
      </c>
    </row>
    <row r="1695" spans="1:20" ht="36" x14ac:dyDescent="0.2">
      <c r="A1695" s="432">
        <f>IF(B1695="","",COUNT('Diário 1º PA'!$A$4:$A$2635)+COUNT('Diário 2º PA'!$A$4:$A$3040)+COUNT('Diário 3º PA'!$A$4:$A$2731)+ROW()-3)</f>
        <v>7720</v>
      </c>
      <c r="B1695" s="413">
        <v>44910</v>
      </c>
      <c r="C1695" s="431">
        <v>44896</v>
      </c>
      <c r="D1695" s="419" t="s">
        <v>468</v>
      </c>
      <c r="E1695" s="419" t="s">
        <v>468</v>
      </c>
      <c r="F1695" s="422">
        <v>11</v>
      </c>
      <c r="G1695" s="427" t="s">
        <v>2469</v>
      </c>
      <c r="H1695" s="419" t="s">
        <v>468</v>
      </c>
      <c r="I1695" s="639" t="s">
        <v>881</v>
      </c>
      <c r="J1695" s="418" t="s">
        <v>882</v>
      </c>
      <c r="K1695" s="418" t="s">
        <v>883</v>
      </c>
      <c r="L1695" s="399" t="s">
        <v>798</v>
      </c>
      <c r="M1695" s="544" t="s">
        <v>310</v>
      </c>
      <c r="N1695" s="413">
        <v>44910</v>
      </c>
      <c r="O1695" s="414" t="s">
        <v>3762</v>
      </c>
      <c r="P1695" s="655">
        <f t="shared" si="98"/>
        <v>12</v>
      </c>
      <c r="Q1695" s="655">
        <f t="shared" si="99"/>
        <v>12</v>
      </c>
      <c r="R1695" s="758" t="str">
        <f t="shared" si="103"/>
        <v>Gastos_custeados_por_captação</v>
      </c>
      <c r="S1695" s="697" t="s">
        <v>310</v>
      </c>
      <c r="T1695" s="697" t="s">
        <v>310</v>
      </c>
    </row>
    <row r="1696" spans="1:20" ht="36" x14ac:dyDescent="0.2">
      <c r="A1696" s="432">
        <f>IF(B1696="","",COUNT('Diário 1º PA'!$A$4:$A$2635)+COUNT('Diário 2º PA'!$A$4:$A$3040)+COUNT('Diário 3º PA'!$A$4:$A$2731)+ROW()-3)</f>
        <v>7721</v>
      </c>
      <c r="B1696" s="413">
        <v>44910</v>
      </c>
      <c r="C1696" s="431">
        <v>44896</v>
      </c>
      <c r="D1696" s="419" t="s">
        <v>468</v>
      </c>
      <c r="E1696" s="419" t="s">
        <v>468</v>
      </c>
      <c r="F1696" s="422">
        <v>11</v>
      </c>
      <c r="G1696" s="427" t="s">
        <v>2469</v>
      </c>
      <c r="H1696" s="419" t="s">
        <v>468</v>
      </c>
      <c r="I1696" s="639" t="s">
        <v>881</v>
      </c>
      <c r="J1696" s="418" t="s">
        <v>882</v>
      </c>
      <c r="K1696" s="418" t="s">
        <v>883</v>
      </c>
      <c r="L1696" s="399" t="s">
        <v>798</v>
      </c>
      <c r="M1696" s="544" t="s">
        <v>310</v>
      </c>
      <c r="N1696" s="413">
        <v>44910</v>
      </c>
      <c r="O1696" s="414" t="s">
        <v>3762</v>
      </c>
      <c r="P1696" s="655">
        <f t="shared" si="98"/>
        <v>12</v>
      </c>
      <c r="Q1696" s="655">
        <f t="shared" si="99"/>
        <v>12</v>
      </c>
      <c r="R1696" s="758" t="str">
        <f t="shared" si="103"/>
        <v>Gastos_custeados_por_captação</v>
      </c>
      <c r="S1696" s="697" t="s">
        <v>310</v>
      </c>
      <c r="T1696" s="697" t="s">
        <v>310</v>
      </c>
    </row>
    <row r="1697" spans="1:20" ht="84" x14ac:dyDescent="0.2">
      <c r="A1697" s="432">
        <f>IF(B1697="","",COUNT('Diário 1º PA'!$A$4:$A$2635)+COUNT('Diário 2º PA'!$A$4:$A$3040)+COUNT('Diário 3º PA'!$A$4:$A$2731)+ROW()-3)</f>
        <v>7722</v>
      </c>
      <c r="B1697" s="413">
        <v>44911</v>
      </c>
      <c r="C1697" s="431">
        <v>44835</v>
      </c>
      <c r="D1697" s="419" t="s">
        <v>468</v>
      </c>
      <c r="E1697" s="419" t="s">
        <v>468</v>
      </c>
      <c r="F1697" s="422">
        <v>1661.48</v>
      </c>
      <c r="G1697" s="427" t="s">
        <v>8103</v>
      </c>
      <c r="H1697" s="419" t="s">
        <v>468</v>
      </c>
      <c r="I1697" s="415" t="s">
        <v>9019</v>
      </c>
      <c r="J1697" s="415" t="s">
        <v>8104</v>
      </c>
      <c r="K1697" s="419" t="s">
        <v>812</v>
      </c>
      <c r="L1697" s="415" t="s">
        <v>1273</v>
      </c>
      <c r="M1697" s="419" t="s">
        <v>9020</v>
      </c>
      <c r="N1697" s="413">
        <v>44881</v>
      </c>
      <c r="O1697" s="414" t="s">
        <v>405</v>
      </c>
      <c r="P1697" s="655">
        <f t="shared" si="98"/>
        <v>12</v>
      </c>
      <c r="Q1697" s="655">
        <f t="shared" si="99"/>
        <v>10</v>
      </c>
      <c r="R1697" s="758" t="str">
        <f t="shared" si="103"/>
        <v>Gastos_custeados_por_captação</v>
      </c>
      <c r="S1697" s="697" t="s">
        <v>998</v>
      </c>
      <c r="T1697" s="697">
        <v>4664</v>
      </c>
    </row>
    <row r="1698" spans="1:20" ht="60" x14ac:dyDescent="0.2">
      <c r="A1698" s="432">
        <f>IF(B1698="","",COUNT('Diário 1º PA'!$A$4:$A$2635)+COUNT('Diário 2º PA'!$A$4:$A$3040)+COUNT('Diário 3º PA'!$A$4:$A$2731)+ROW()-3)</f>
        <v>7723</v>
      </c>
      <c r="B1698" s="413">
        <v>44911</v>
      </c>
      <c r="C1698" s="760">
        <v>44896</v>
      </c>
      <c r="D1698" s="419" t="s">
        <v>468</v>
      </c>
      <c r="E1698" s="419" t="s">
        <v>468</v>
      </c>
      <c r="F1698" s="422">
        <v>360</v>
      </c>
      <c r="G1698" s="757" t="s">
        <v>7718</v>
      </c>
      <c r="H1698" s="419" t="s">
        <v>468</v>
      </c>
      <c r="I1698" s="415" t="s">
        <v>8034</v>
      </c>
      <c r="J1698" s="417" t="s">
        <v>7719</v>
      </c>
      <c r="K1698" s="419" t="s">
        <v>830</v>
      </c>
      <c r="L1698" s="415" t="s">
        <v>32</v>
      </c>
      <c r="M1698" s="419">
        <v>143</v>
      </c>
      <c r="N1698" s="413">
        <v>44853</v>
      </c>
      <c r="O1698" s="414" t="s">
        <v>404</v>
      </c>
      <c r="P1698" s="655">
        <f t="shared" si="98"/>
        <v>12</v>
      </c>
      <c r="Q1698" s="655">
        <f t="shared" si="99"/>
        <v>12</v>
      </c>
      <c r="R1698" s="758" t="str">
        <f t="shared" si="103"/>
        <v>Gastos_custeados_por_captação</v>
      </c>
      <c r="S1698" s="697" t="s">
        <v>999</v>
      </c>
      <c r="T1698" s="697">
        <v>4886</v>
      </c>
    </row>
    <row r="1699" spans="1:20" ht="36" x14ac:dyDescent="0.2">
      <c r="A1699" s="432">
        <f>IF(B1699="","",COUNT('Diário 1º PA'!$A$4:$A$2635)+COUNT('Diário 2º PA'!$A$4:$A$3040)+COUNT('Diário 3º PA'!$A$4:$A$2731)+ROW()-3)</f>
        <v>7724</v>
      </c>
      <c r="B1699" s="413">
        <v>44911</v>
      </c>
      <c r="C1699" s="431">
        <v>44866</v>
      </c>
      <c r="D1699" s="419" t="s">
        <v>468</v>
      </c>
      <c r="E1699" s="419" t="s">
        <v>468</v>
      </c>
      <c r="F1699" s="422">
        <v>2827.55</v>
      </c>
      <c r="G1699" s="427" t="s">
        <v>4106</v>
      </c>
      <c r="H1699" s="419" t="s">
        <v>468</v>
      </c>
      <c r="I1699" s="415" t="s">
        <v>6424</v>
      </c>
      <c r="J1699" s="415" t="s">
        <v>4107</v>
      </c>
      <c r="K1699" s="419" t="s">
        <v>806</v>
      </c>
      <c r="L1699" s="415" t="s">
        <v>839</v>
      </c>
      <c r="M1699" s="419">
        <v>2151</v>
      </c>
      <c r="N1699" s="413">
        <v>44908</v>
      </c>
      <c r="O1699" s="414" t="s">
        <v>408</v>
      </c>
      <c r="P1699" s="655">
        <f t="shared" si="98"/>
        <v>12</v>
      </c>
      <c r="Q1699" s="655">
        <f t="shared" si="99"/>
        <v>11</v>
      </c>
      <c r="R1699" s="758" t="str">
        <f t="shared" si="103"/>
        <v>Gastos_custeados_por_captação</v>
      </c>
      <c r="S1699" s="697" t="s">
        <v>1000</v>
      </c>
      <c r="T1699" s="697">
        <v>3700</v>
      </c>
    </row>
    <row r="1700" spans="1:20" ht="36" x14ac:dyDescent="0.2">
      <c r="A1700" s="432">
        <f>IF(B1700="","",COUNT('Diário 1º PA'!$A$4:$A$2635)+COUNT('Diário 2º PA'!$A$4:$A$3040)+COUNT('Diário 3º PA'!$A$4:$A$2731)+ROW()-3)</f>
        <v>7725</v>
      </c>
      <c r="B1700" s="413">
        <v>44911</v>
      </c>
      <c r="C1700" s="431">
        <v>44866</v>
      </c>
      <c r="D1700" s="419" t="s">
        <v>468</v>
      </c>
      <c r="E1700" s="419" t="s">
        <v>468</v>
      </c>
      <c r="F1700" s="422">
        <v>8819.1</v>
      </c>
      <c r="G1700" s="427" t="s">
        <v>4102</v>
      </c>
      <c r="H1700" s="419" t="s">
        <v>468</v>
      </c>
      <c r="I1700" s="473" t="s">
        <v>5619</v>
      </c>
      <c r="J1700" s="415" t="s">
        <v>4103</v>
      </c>
      <c r="K1700" s="419" t="s">
        <v>830</v>
      </c>
      <c r="L1700" s="415" t="s">
        <v>807</v>
      </c>
      <c r="M1700" s="419" t="s">
        <v>1724</v>
      </c>
      <c r="N1700" s="413">
        <v>44908</v>
      </c>
      <c r="O1700" s="414" t="s">
        <v>408</v>
      </c>
      <c r="P1700" s="655">
        <f t="shared" si="98"/>
        <v>12</v>
      </c>
      <c r="Q1700" s="655">
        <f t="shared" si="99"/>
        <v>11</v>
      </c>
      <c r="R1700" s="758" t="str">
        <f t="shared" si="103"/>
        <v>Gastos_custeados_por_captação</v>
      </c>
      <c r="S1700" s="697" t="s">
        <v>1000</v>
      </c>
      <c r="T1700" s="697">
        <v>3697</v>
      </c>
    </row>
    <row r="1701" spans="1:20" ht="48" x14ac:dyDescent="0.2">
      <c r="A1701" s="432">
        <f>IF(B1701="","",COUNT('Diário 1º PA'!$A$4:$A$2635)+COUNT('Diário 2º PA'!$A$4:$A$3040)+COUNT('Diário 3º PA'!$A$4:$A$2731)+ROW()-3)</f>
        <v>7726</v>
      </c>
      <c r="B1701" s="413">
        <v>44911</v>
      </c>
      <c r="C1701" s="431">
        <v>44866</v>
      </c>
      <c r="D1701" s="419" t="s">
        <v>468</v>
      </c>
      <c r="E1701" s="419" t="s">
        <v>468</v>
      </c>
      <c r="F1701" s="422">
        <v>4400</v>
      </c>
      <c r="G1701" s="427" t="s">
        <v>8107</v>
      </c>
      <c r="H1701" s="419" t="s">
        <v>468</v>
      </c>
      <c r="I1701" s="415" t="s">
        <v>9014</v>
      </c>
      <c r="J1701" s="415" t="s">
        <v>1599</v>
      </c>
      <c r="K1701" s="419" t="s">
        <v>830</v>
      </c>
      <c r="L1701" s="415" t="s">
        <v>32</v>
      </c>
      <c r="M1701" s="419" t="s">
        <v>1813</v>
      </c>
      <c r="N1701" s="413">
        <v>44908</v>
      </c>
      <c r="O1701" s="414" t="s">
        <v>3762</v>
      </c>
      <c r="P1701" s="655">
        <f t="shared" si="98"/>
        <v>12</v>
      </c>
      <c r="Q1701" s="655">
        <f t="shared" si="99"/>
        <v>11</v>
      </c>
      <c r="R1701" s="758" t="str">
        <f t="shared" si="103"/>
        <v>Gastos_custeados_por_captação</v>
      </c>
      <c r="S1701" s="697" t="s">
        <v>998</v>
      </c>
      <c r="T1701" s="697">
        <v>4695</v>
      </c>
    </row>
    <row r="1702" spans="1:20" ht="48" x14ac:dyDescent="0.2">
      <c r="A1702" s="432">
        <f>IF(B1702="","",COUNT('Diário 1º PA'!$A$4:$A$2635)+COUNT('Diário 2º PA'!$A$4:$A$3040)+COUNT('Diário 3º PA'!$A$4:$A$2731)+ROW()-3)</f>
        <v>7727</v>
      </c>
      <c r="B1702" s="413">
        <v>44911</v>
      </c>
      <c r="C1702" s="431">
        <v>44866</v>
      </c>
      <c r="D1702" s="419" t="s">
        <v>468</v>
      </c>
      <c r="E1702" s="419" t="s">
        <v>468</v>
      </c>
      <c r="F1702" s="422">
        <v>4083.71</v>
      </c>
      <c r="G1702" s="427" t="s">
        <v>8174</v>
      </c>
      <c r="H1702" s="419" t="s">
        <v>468</v>
      </c>
      <c r="I1702" s="415" t="s">
        <v>9101</v>
      </c>
      <c r="J1702" s="415" t="s">
        <v>8175</v>
      </c>
      <c r="K1702" s="419" t="s">
        <v>830</v>
      </c>
      <c r="L1702" s="415" t="s">
        <v>839</v>
      </c>
      <c r="M1702" s="419">
        <v>2154</v>
      </c>
      <c r="N1702" s="413">
        <v>44909</v>
      </c>
      <c r="O1702" s="414" t="s">
        <v>3762</v>
      </c>
      <c r="P1702" s="655">
        <f t="shared" si="98"/>
        <v>12</v>
      </c>
      <c r="Q1702" s="655">
        <f t="shared" si="99"/>
        <v>11</v>
      </c>
      <c r="R1702" s="758" t="str">
        <f t="shared" si="103"/>
        <v>Gastos_custeados_por_captação</v>
      </c>
      <c r="S1702" s="697" t="s">
        <v>998</v>
      </c>
      <c r="T1702" s="697">
        <v>4634</v>
      </c>
    </row>
    <row r="1703" spans="1:20" ht="36" x14ac:dyDescent="0.2">
      <c r="A1703" s="432">
        <f>IF(B1703="","",COUNT('Diário 1º PA'!$A$4:$A$2635)+COUNT('Diário 2º PA'!$A$4:$A$3040)+COUNT('Diário 3º PA'!$A$4:$A$2731)+ROW()-3)</f>
        <v>7728</v>
      </c>
      <c r="B1703" s="413">
        <v>44911</v>
      </c>
      <c r="C1703" s="431">
        <v>44896</v>
      </c>
      <c r="D1703" s="419" t="s">
        <v>468</v>
      </c>
      <c r="E1703" s="419" t="s">
        <v>468</v>
      </c>
      <c r="F1703" s="422">
        <v>11</v>
      </c>
      <c r="G1703" s="427" t="s">
        <v>2469</v>
      </c>
      <c r="H1703" s="419" t="s">
        <v>468</v>
      </c>
      <c r="I1703" s="639" t="s">
        <v>881</v>
      </c>
      <c r="J1703" s="418" t="s">
        <v>882</v>
      </c>
      <c r="K1703" s="418" t="s">
        <v>883</v>
      </c>
      <c r="L1703" s="399" t="s">
        <v>798</v>
      </c>
      <c r="M1703" s="544" t="s">
        <v>310</v>
      </c>
      <c r="N1703" s="413">
        <v>44911</v>
      </c>
      <c r="O1703" s="414" t="s">
        <v>3762</v>
      </c>
      <c r="P1703" s="655">
        <f t="shared" ref="P1703:P1774" si="104">IF(B1703=0,0,IF(YEAR(B1703)=$Q$1,MONTH(B1703)-$P$1+1,(YEAR(B1703)-$Q$1)*12-$P$1+1+MONTH(B1703)))</f>
        <v>12</v>
      </c>
      <c r="Q1703" s="655">
        <f t="shared" ref="Q1703:Q1774" si="105">IF(C1703=0,0,IF(YEAR(C1703)=$Q$1,MONTH(C1703)-$P$1+1,(YEAR(C1703)-$Q$1)*12-$P$1+1+MONTH(C1703)))</f>
        <v>12</v>
      </c>
      <c r="R1703" s="758" t="str">
        <f t="shared" si="103"/>
        <v>Gastos_custeados_por_captação</v>
      </c>
      <c r="S1703" s="697" t="s">
        <v>310</v>
      </c>
      <c r="T1703" s="697" t="s">
        <v>310</v>
      </c>
    </row>
    <row r="1704" spans="1:20" ht="36" x14ac:dyDescent="0.2">
      <c r="A1704" s="432">
        <f>IF(B1704="","",COUNT('Diário 1º PA'!$A$4:$A$2635)+COUNT('Diário 2º PA'!$A$4:$A$3040)+COUNT('Diário 3º PA'!$A$4:$A$2731)+ROW()-3)</f>
        <v>7729</v>
      </c>
      <c r="B1704" s="413">
        <v>44911</v>
      </c>
      <c r="C1704" s="431">
        <v>44896</v>
      </c>
      <c r="D1704" s="419" t="s">
        <v>468</v>
      </c>
      <c r="E1704" s="419" t="s">
        <v>468</v>
      </c>
      <c r="F1704" s="422">
        <v>11</v>
      </c>
      <c r="G1704" s="427" t="s">
        <v>2469</v>
      </c>
      <c r="H1704" s="419" t="s">
        <v>468</v>
      </c>
      <c r="I1704" s="639" t="s">
        <v>881</v>
      </c>
      <c r="J1704" s="418" t="s">
        <v>882</v>
      </c>
      <c r="K1704" s="418" t="s">
        <v>883</v>
      </c>
      <c r="L1704" s="399" t="s">
        <v>798</v>
      </c>
      <c r="M1704" s="544" t="s">
        <v>310</v>
      </c>
      <c r="N1704" s="413">
        <v>44911</v>
      </c>
      <c r="O1704" s="414" t="s">
        <v>3762</v>
      </c>
      <c r="P1704" s="655">
        <f t="shared" si="104"/>
        <v>12</v>
      </c>
      <c r="Q1704" s="655">
        <f t="shared" si="105"/>
        <v>12</v>
      </c>
      <c r="R1704" s="758" t="str">
        <f t="shared" si="103"/>
        <v>Gastos_custeados_por_captação</v>
      </c>
      <c r="S1704" s="697" t="s">
        <v>310</v>
      </c>
      <c r="T1704" s="697" t="s">
        <v>310</v>
      </c>
    </row>
    <row r="1705" spans="1:20" ht="36" x14ac:dyDescent="0.2">
      <c r="A1705" s="432">
        <f>IF(B1705="","",COUNT('Diário 1º PA'!$A$4:$A$2635)+COUNT('Diário 2º PA'!$A$4:$A$3040)+COUNT('Diário 3º PA'!$A$4:$A$2731)+ROW()-3)</f>
        <v>7730</v>
      </c>
      <c r="B1705" s="413">
        <v>44911</v>
      </c>
      <c r="C1705" s="431">
        <v>44896</v>
      </c>
      <c r="D1705" s="419" t="s">
        <v>468</v>
      </c>
      <c r="E1705" s="419" t="s">
        <v>468</v>
      </c>
      <c r="F1705" s="422">
        <v>11</v>
      </c>
      <c r="G1705" s="427" t="s">
        <v>2469</v>
      </c>
      <c r="H1705" s="419" t="s">
        <v>468</v>
      </c>
      <c r="I1705" s="639" t="s">
        <v>881</v>
      </c>
      <c r="J1705" s="418" t="s">
        <v>882</v>
      </c>
      <c r="K1705" s="418" t="s">
        <v>883</v>
      </c>
      <c r="L1705" s="399" t="s">
        <v>798</v>
      </c>
      <c r="M1705" s="544" t="s">
        <v>310</v>
      </c>
      <c r="N1705" s="413">
        <v>44911</v>
      </c>
      <c r="O1705" s="414" t="s">
        <v>3762</v>
      </c>
      <c r="P1705" s="655">
        <f t="shared" si="104"/>
        <v>12</v>
      </c>
      <c r="Q1705" s="655">
        <f t="shared" si="105"/>
        <v>12</v>
      </c>
      <c r="R1705" s="758" t="str">
        <f t="shared" si="103"/>
        <v>Gastos_custeados_por_captação</v>
      </c>
      <c r="S1705" s="697" t="s">
        <v>310</v>
      </c>
      <c r="T1705" s="697" t="s">
        <v>310</v>
      </c>
    </row>
    <row r="1706" spans="1:20" ht="48" x14ac:dyDescent="0.2">
      <c r="A1706" s="432">
        <f>IF(B1706="","",COUNT('Diário 1º PA'!$A$4:$A$2635)+COUNT('Diário 2º PA'!$A$4:$A$3040)+COUNT('Diário 3º PA'!$A$4:$A$2731)+ROW()-3)</f>
        <v>7731</v>
      </c>
      <c r="B1706" s="413">
        <v>44914</v>
      </c>
      <c r="C1706" s="433">
        <v>44835</v>
      </c>
      <c r="D1706" s="415" t="s">
        <v>271</v>
      </c>
      <c r="E1706" s="415" t="s">
        <v>183</v>
      </c>
      <c r="F1706" s="425">
        <v>-54.07</v>
      </c>
      <c r="G1706" s="440" t="s">
        <v>8881</v>
      </c>
      <c r="H1706" s="415" t="s">
        <v>309</v>
      </c>
      <c r="I1706" s="473" t="s">
        <v>795</v>
      </c>
      <c r="J1706" s="415" t="s">
        <v>796</v>
      </c>
      <c r="K1706" s="415" t="s">
        <v>797</v>
      </c>
      <c r="L1706" s="415" t="s">
        <v>798</v>
      </c>
      <c r="M1706" s="415" t="s">
        <v>310</v>
      </c>
      <c r="N1706" s="413">
        <v>44914</v>
      </c>
      <c r="O1706" s="414" t="s">
        <v>400</v>
      </c>
      <c r="P1706" s="655">
        <f t="shared" si="104"/>
        <v>12</v>
      </c>
      <c r="Q1706" s="655">
        <f t="shared" si="105"/>
        <v>10</v>
      </c>
      <c r="R1706" s="758" t="str">
        <f t="shared" si="103"/>
        <v>Gastos_Gerais</v>
      </c>
      <c r="S1706" s="697" t="s">
        <v>310</v>
      </c>
      <c r="T1706" s="697" t="s">
        <v>310</v>
      </c>
    </row>
    <row r="1707" spans="1:20" ht="48" x14ac:dyDescent="0.2">
      <c r="A1707" s="432">
        <f>IF(B1707="","",COUNT('Diário 1º PA'!$A$4:$A$2635)+COUNT('Diário 2º PA'!$A$4:$A$3040)+COUNT('Diário 3º PA'!$A$4:$A$2731)+ROW()-3)</f>
        <v>7732</v>
      </c>
      <c r="B1707" s="413">
        <v>44914</v>
      </c>
      <c r="C1707" s="433">
        <v>44866</v>
      </c>
      <c r="D1707" s="415" t="s">
        <v>271</v>
      </c>
      <c r="E1707" s="415" t="s">
        <v>164</v>
      </c>
      <c r="F1707" s="435">
        <v>-134.9</v>
      </c>
      <c r="G1707" s="427" t="s">
        <v>8927</v>
      </c>
      <c r="H1707" s="415" t="s">
        <v>309</v>
      </c>
      <c r="I1707" s="473" t="s">
        <v>795</v>
      </c>
      <c r="J1707" s="415" t="s">
        <v>796</v>
      </c>
      <c r="K1707" s="415" t="s">
        <v>797</v>
      </c>
      <c r="L1707" s="415" t="s">
        <v>798</v>
      </c>
      <c r="M1707" s="415" t="s">
        <v>310</v>
      </c>
      <c r="N1707" s="414">
        <v>44914</v>
      </c>
      <c r="O1707" s="414" t="s">
        <v>400</v>
      </c>
      <c r="P1707" s="655">
        <f t="shared" si="104"/>
        <v>12</v>
      </c>
      <c r="Q1707" s="655">
        <f t="shared" si="105"/>
        <v>11</v>
      </c>
      <c r="R1707" s="758" t="str">
        <f t="shared" si="103"/>
        <v>Gastos_Gerais</v>
      </c>
      <c r="S1707" s="697" t="s">
        <v>310</v>
      </c>
      <c r="T1707" s="697" t="s">
        <v>310</v>
      </c>
    </row>
    <row r="1708" spans="1:20" ht="36" x14ac:dyDescent="0.2">
      <c r="A1708" s="432">
        <f>IF(B1708="","",COUNT('Diário 1º PA'!$A$4:$A$2635)+COUNT('Diário 2º PA'!$A$4:$A$3040)+COUNT('Diário 3º PA'!$A$4:$A$2731)+ROW()-3)</f>
        <v>7733</v>
      </c>
      <c r="B1708" s="413">
        <v>44914</v>
      </c>
      <c r="C1708" s="433">
        <v>44866</v>
      </c>
      <c r="D1708" s="419" t="s">
        <v>182</v>
      </c>
      <c r="E1708" s="419" t="s">
        <v>268</v>
      </c>
      <c r="F1708" s="422">
        <v>0.54</v>
      </c>
      <c r="G1708" s="423" t="s">
        <v>8932</v>
      </c>
      <c r="H1708" s="419" t="s">
        <v>310</v>
      </c>
      <c r="I1708" s="415" t="s">
        <v>923</v>
      </c>
      <c r="J1708" s="419" t="s">
        <v>924</v>
      </c>
      <c r="K1708" s="419" t="s">
        <v>806</v>
      </c>
      <c r="L1708" s="415" t="s">
        <v>909</v>
      </c>
      <c r="M1708" s="419" t="s">
        <v>310</v>
      </c>
      <c r="N1708" s="413">
        <v>44914</v>
      </c>
      <c r="O1708" s="414" t="s">
        <v>400</v>
      </c>
      <c r="P1708" s="655">
        <f t="shared" si="104"/>
        <v>12</v>
      </c>
      <c r="Q1708" s="655">
        <f t="shared" si="105"/>
        <v>11</v>
      </c>
      <c r="R1708" s="758" t="str">
        <f t="shared" si="103"/>
        <v>Gastos_com_Pessoal</v>
      </c>
      <c r="S1708" s="697" t="s">
        <v>310</v>
      </c>
      <c r="T1708" s="697" t="s">
        <v>310</v>
      </c>
    </row>
    <row r="1709" spans="1:20" ht="36" x14ac:dyDescent="0.2">
      <c r="A1709" s="432">
        <f>IF(B1709="","",COUNT('Diário 1º PA'!$A$4:$A$2635)+COUNT('Diário 2º PA'!$A$4:$A$3040)+COUNT('Diário 3º PA'!$A$4:$A$2731)+ROW()-3)</f>
        <v>7734</v>
      </c>
      <c r="B1709" s="413">
        <v>44914</v>
      </c>
      <c r="C1709" s="424">
        <v>44835</v>
      </c>
      <c r="D1709" s="415" t="s">
        <v>271</v>
      </c>
      <c r="E1709" s="415" t="s">
        <v>90</v>
      </c>
      <c r="F1709" s="422">
        <v>4180</v>
      </c>
      <c r="G1709" s="427" t="s">
        <v>5779</v>
      </c>
      <c r="H1709" s="419" t="s">
        <v>753</v>
      </c>
      <c r="I1709" s="415" t="s">
        <v>6831</v>
      </c>
      <c r="J1709" s="419" t="s">
        <v>5781</v>
      </c>
      <c r="K1709" s="419" t="s">
        <v>806</v>
      </c>
      <c r="L1709" s="415" t="s">
        <v>32</v>
      </c>
      <c r="M1709" s="419" t="s">
        <v>1428</v>
      </c>
      <c r="N1709" s="413">
        <v>44911</v>
      </c>
      <c r="O1709" s="414" t="s">
        <v>400</v>
      </c>
      <c r="P1709" s="655">
        <f t="shared" si="104"/>
        <v>12</v>
      </c>
      <c r="Q1709" s="655">
        <f t="shared" si="105"/>
        <v>10</v>
      </c>
      <c r="R1709" s="758" t="str">
        <f t="shared" si="103"/>
        <v>Gastos_Gerais</v>
      </c>
      <c r="S1709" s="697" t="s">
        <v>1000</v>
      </c>
      <c r="T1709" s="697">
        <v>4045</v>
      </c>
    </row>
    <row r="1710" spans="1:20" ht="24" x14ac:dyDescent="0.2">
      <c r="A1710" s="432">
        <f>IF(B1710="","",COUNT('Diário 1º PA'!$A$4:$A$2635)+COUNT('Diário 2º PA'!$A$4:$A$3040)+COUNT('Diário 3º PA'!$A$4:$A$2731)+ROW()-3)</f>
        <v>7735</v>
      </c>
      <c r="B1710" s="413">
        <v>44914</v>
      </c>
      <c r="C1710" s="433">
        <v>44866</v>
      </c>
      <c r="D1710" s="434" t="s">
        <v>271</v>
      </c>
      <c r="E1710" s="434" t="s">
        <v>164</v>
      </c>
      <c r="F1710" s="422">
        <v>510.78</v>
      </c>
      <c r="G1710" s="437" t="s">
        <v>502</v>
      </c>
      <c r="H1710" s="434" t="s">
        <v>309</v>
      </c>
      <c r="I1710" s="415" t="s">
        <v>768</v>
      </c>
      <c r="J1710" s="419" t="s">
        <v>1021</v>
      </c>
      <c r="K1710" s="419" t="s">
        <v>1404</v>
      </c>
      <c r="L1710" s="415" t="s">
        <v>1273</v>
      </c>
      <c r="M1710" s="419" t="s">
        <v>310</v>
      </c>
      <c r="N1710" s="413">
        <v>44896</v>
      </c>
      <c r="O1710" s="414" t="s">
        <v>400</v>
      </c>
      <c r="P1710" s="655">
        <f t="shared" si="104"/>
        <v>12</v>
      </c>
      <c r="Q1710" s="655">
        <f t="shared" si="105"/>
        <v>11</v>
      </c>
      <c r="R1710" s="758" t="str">
        <f t="shared" si="103"/>
        <v>Gastos_Gerais</v>
      </c>
      <c r="S1710" s="697" t="s">
        <v>310</v>
      </c>
      <c r="T1710" s="697" t="s">
        <v>310</v>
      </c>
    </row>
    <row r="1711" spans="1:20" ht="36" x14ac:dyDescent="0.2">
      <c r="A1711" s="432">
        <f>IF(B1711="","",COUNT('Diário 1º PA'!$A$4:$A$2635)+COUNT('Diário 2º PA'!$A$4:$A$3040)+COUNT('Diário 3º PA'!$A$4:$A$2731)+ROW()-3)</f>
        <v>7736</v>
      </c>
      <c r="B1711" s="413">
        <v>44914</v>
      </c>
      <c r="C1711" s="421">
        <v>44896</v>
      </c>
      <c r="D1711" s="419" t="s">
        <v>182</v>
      </c>
      <c r="E1711" s="419" t="s">
        <v>268</v>
      </c>
      <c r="F1711" s="422">
        <v>1021.4</v>
      </c>
      <c r="G1711" s="423" t="s">
        <v>8931</v>
      </c>
      <c r="H1711" s="419" t="s">
        <v>310</v>
      </c>
      <c r="I1711" s="415" t="s">
        <v>980</v>
      </c>
      <c r="J1711" s="419" t="s">
        <v>981</v>
      </c>
      <c r="K1711" s="419" t="s">
        <v>830</v>
      </c>
      <c r="L1711" s="415" t="s">
        <v>909</v>
      </c>
      <c r="M1711" s="419" t="s">
        <v>310</v>
      </c>
      <c r="N1711" s="413">
        <v>44914</v>
      </c>
      <c r="O1711" s="414" t="s">
        <v>400</v>
      </c>
      <c r="P1711" s="655">
        <f t="shared" si="104"/>
        <v>12</v>
      </c>
      <c r="Q1711" s="655">
        <f t="shared" si="105"/>
        <v>12</v>
      </c>
      <c r="R1711" s="758" t="str">
        <f t="shared" si="103"/>
        <v>Gastos_com_Pessoal</v>
      </c>
      <c r="S1711" s="697" t="s">
        <v>310</v>
      </c>
      <c r="T1711" s="697" t="s">
        <v>310</v>
      </c>
    </row>
    <row r="1712" spans="1:20" ht="36" x14ac:dyDescent="0.2">
      <c r="A1712" s="432">
        <f>IF(B1712="","",COUNT('Diário 1º PA'!$A$4:$A$2635)+COUNT('Diário 2º PA'!$A$4:$A$3040)+COUNT('Diário 3º PA'!$A$4:$A$2731)+ROW()-3)</f>
        <v>7737</v>
      </c>
      <c r="B1712" s="413">
        <v>44914</v>
      </c>
      <c r="C1712" s="421">
        <v>44896</v>
      </c>
      <c r="D1712" s="419" t="s">
        <v>271</v>
      </c>
      <c r="E1712" s="415" t="s">
        <v>184</v>
      </c>
      <c r="F1712" s="425">
        <v>600</v>
      </c>
      <c r="G1712" s="757" t="s">
        <v>7363</v>
      </c>
      <c r="H1712" s="419" t="s">
        <v>755</v>
      </c>
      <c r="I1712" s="415" t="s">
        <v>8929</v>
      </c>
      <c r="J1712" s="417" t="s">
        <v>3322</v>
      </c>
      <c r="K1712" s="419" t="s">
        <v>812</v>
      </c>
      <c r="L1712" s="415" t="s">
        <v>1273</v>
      </c>
      <c r="M1712" s="419">
        <v>3236867368</v>
      </c>
      <c r="N1712" s="413">
        <v>44914</v>
      </c>
      <c r="O1712" s="414" t="s">
        <v>400</v>
      </c>
      <c r="P1712" s="655">
        <f t="shared" si="104"/>
        <v>12</v>
      </c>
      <c r="Q1712" s="655">
        <f t="shared" si="105"/>
        <v>12</v>
      </c>
      <c r="R1712" s="758" t="str">
        <f t="shared" si="103"/>
        <v>Gastos_Gerais</v>
      </c>
      <c r="S1712" s="697" t="s">
        <v>998</v>
      </c>
      <c r="T1712" s="697">
        <v>4918</v>
      </c>
    </row>
    <row r="1713" spans="1:20" ht="24" x14ac:dyDescent="0.2">
      <c r="A1713" s="432">
        <f>IF(B1713="","",COUNT('Diário 1º PA'!$A$4:$A$2635)+COUNT('Diário 2º PA'!$A$4:$A$3040)+COUNT('Diário 3º PA'!$A$4:$A$2731)+ROW()-3)</f>
        <v>7738</v>
      </c>
      <c r="B1713" s="413">
        <v>44914</v>
      </c>
      <c r="C1713" s="431">
        <v>44896</v>
      </c>
      <c r="D1713" s="419" t="s">
        <v>271</v>
      </c>
      <c r="E1713" s="419" t="s">
        <v>71</v>
      </c>
      <c r="F1713" s="422">
        <v>11</v>
      </c>
      <c r="G1713" s="423" t="s">
        <v>8930</v>
      </c>
      <c r="H1713" s="419" t="s">
        <v>310</v>
      </c>
      <c r="I1713" s="415" t="s">
        <v>881</v>
      </c>
      <c r="J1713" s="419" t="s">
        <v>882</v>
      </c>
      <c r="K1713" s="419" t="s">
        <v>883</v>
      </c>
      <c r="L1713" s="415" t="s">
        <v>798</v>
      </c>
      <c r="M1713" s="419" t="s">
        <v>310</v>
      </c>
      <c r="N1713" s="413">
        <v>44914</v>
      </c>
      <c r="O1713" s="414" t="s">
        <v>400</v>
      </c>
      <c r="P1713" s="655">
        <f t="shared" si="104"/>
        <v>12</v>
      </c>
      <c r="Q1713" s="655">
        <f t="shared" si="105"/>
        <v>12</v>
      </c>
      <c r="R1713" s="758" t="str">
        <f t="shared" si="103"/>
        <v>Gastos_Gerais</v>
      </c>
      <c r="S1713" s="697" t="s">
        <v>310</v>
      </c>
      <c r="T1713" s="697" t="s">
        <v>310</v>
      </c>
    </row>
    <row r="1714" spans="1:20" ht="60" x14ac:dyDescent="0.2">
      <c r="A1714" s="432">
        <f>IF(B1714="","",COUNT('Diário 1º PA'!$A$4:$A$2635)+COUNT('Diário 2º PA'!$A$4:$A$3040)+COUNT('Diário 3º PA'!$A$4:$A$2731)+ROW()-3)</f>
        <v>7739</v>
      </c>
      <c r="B1714" s="413">
        <v>44914</v>
      </c>
      <c r="C1714" s="431">
        <v>44896</v>
      </c>
      <c r="D1714" s="419" t="s">
        <v>468</v>
      </c>
      <c r="E1714" s="415" t="s">
        <v>468</v>
      </c>
      <c r="F1714" s="422">
        <v>2000</v>
      </c>
      <c r="G1714" s="423" t="s">
        <v>8644</v>
      </c>
      <c r="H1714" s="419" t="s">
        <v>468</v>
      </c>
      <c r="I1714" s="415" t="s">
        <v>9209</v>
      </c>
      <c r="J1714" s="419" t="s">
        <v>8645</v>
      </c>
      <c r="K1714" s="419" t="s">
        <v>830</v>
      </c>
      <c r="L1714" s="415" t="s">
        <v>807</v>
      </c>
      <c r="M1714" s="419" t="s">
        <v>1795</v>
      </c>
      <c r="N1714" s="413">
        <v>44911</v>
      </c>
      <c r="O1714" s="414" t="s">
        <v>3762</v>
      </c>
      <c r="P1714" s="655">
        <f t="shared" ref="P1714:P1718" si="106">IF(B1714=0,0,IF(YEAR(B1714)=$Q$1,MONTH(B1714)-$P$1+1,(YEAR(B1714)-$Q$1)*12-$P$1+1+MONTH(B1714)))</f>
        <v>12</v>
      </c>
      <c r="Q1714" s="655">
        <f t="shared" ref="Q1714:Q1718" si="107">IF(C1714=0,0,IF(YEAR(C1714)=$Q$1,MONTH(C1714)-$P$1+1,(YEAR(C1714)-$Q$1)*12-$P$1+1+MONTH(C1714)))</f>
        <v>12</v>
      </c>
      <c r="R1714" s="758" t="str">
        <f t="shared" ref="R1714:R1718" si="108">SUBSTITUTE(D1714," ","_")</f>
        <v>Gastos_custeados_por_captação</v>
      </c>
      <c r="S1714" s="697" t="s">
        <v>998</v>
      </c>
      <c r="T1714" s="697">
        <v>4832</v>
      </c>
    </row>
    <row r="1715" spans="1:20" ht="48" x14ac:dyDescent="0.2">
      <c r="A1715" s="432">
        <f>IF(B1715="","",COUNT('Diário 1º PA'!$A$4:$A$2635)+COUNT('Diário 2º PA'!$A$4:$A$3040)+COUNT('Diário 3º PA'!$A$4:$A$2731)+ROW()-3)</f>
        <v>7740</v>
      </c>
      <c r="B1715" s="413">
        <v>44914</v>
      </c>
      <c r="C1715" s="431">
        <v>44866</v>
      </c>
      <c r="D1715" s="419" t="s">
        <v>468</v>
      </c>
      <c r="E1715" s="415" t="s">
        <v>468</v>
      </c>
      <c r="F1715" s="422">
        <v>3100</v>
      </c>
      <c r="G1715" s="423" t="s">
        <v>8549</v>
      </c>
      <c r="H1715" s="419" t="s">
        <v>468</v>
      </c>
      <c r="I1715" s="415" t="s">
        <v>9100</v>
      </c>
      <c r="J1715" s="419" t="s">
        <v>8550</v>
      </c>
      <c r="K1715" s="419" t="s">
        <v>830</v>
      </c>
      <c r="L1715" s="415" t="s">
        <v>807</v>
      </c>
      <c r="M1715" s="419" t="s">
        <v>1703</v>
      </c>
      <c r="N1715" s="413">
        <v>44911</v>
      </c>
      <c r="O1715" s="414" t="s">
        <v>3762</v>
      </c>
      <c r="P1715" s="655">
        <f t="shared" si="106"/>
        <v>12</v>
      </c>
      <c r="Q1715" s="655">
        <f t="shared" si="107"/>
        <v>11</v>
      </c>
      <c r="R1715" s="758" t="str">
        <f t="shared" si="108"/>
        <v>Gastos_custeados_por_captação</v>
      </c>
      <c r="S1715" s="697" t="s">
        <v>998</v>
      </c>
      <c r="T1715" s="697">
        <v>4696</v>
      </c>
    </row>
    <row r="1716" spans="1:20" ht="36" x14ac:dyDescent="0.2">
      <c r="A1716" s="432">
        <f>IF(B1716="","",COUNT('Diário 1º PA'!$A$4:$A$2635)+COUNT('Diário 2º PA'!$A$4:$A$3040)+COUNT('Diário 3º PA'!$A$4:$A$2731)+ROW()-3)</f>
        <v>7741</v>
      </c>
      <c r="B1716" s="413">
        <v>44914</v>
      </c>
      <c r="C1716" s="431">
        <v>44896</v>
      </c>
      <c r="D1716" s="419" t="s">
        <v>468</v>
      </c>
      <c r="E1716" s="419" t="s">
        <v>468</v>
      </c>
      <c r="F1716" s="422">
        <v>11</v>
      </c>
      <c r="G1716" s="427" t="s">
        <v>2469</v>
      </c>
      <c r="H1716" s="419" t="s">
        <v>468</v>
      </c>
      <c r="I1716" s="639" t="s">
        <v>881</v>
      </c>
      <c r="J1716" s="418" t="s">
        <v>882</v>
      </c>
      <c r="K1716" s="418" t="s">
        <v>883</v>
      </c>
      <c r="L1716" s="399" t="s">
        <v>798</v>
      </c>
      <c r="M1716" s="544" t="s">
        <v>310</v>
      </c>
      <c r="N1716" s="413">
        <v>44914</v>
      </c>
      <c r="O1716" s="414" t="s">
        <v>3762</v>
      </c>
      <c r="P1716" s="655">
        <f t="shared" si="106"/>
        <v>12</v>
      </c>
      <c r="Q1716" s="655">
        <f t="shared" si="107"/>
        <v>12</v>
      </c>
      <c r="R1716" s="758" t="str">
        <f t="shared" si="108"/>
        <v>Gastos_custeados_por_captação</v>
      </c>
      <c r="S1716" s="697" t="s">
        <v>310</v>
      </c>
      <c r="T1716" s="697" t="s">
        <v>310</v>
      </c>
    </row>
    <row r="1717" spans="1:20" ht="36" x14ac:dyDescent="0.2">
      <c r="A1717" s="432">
        <f>IF(B1717="","",COUNT('Diário 1º PA'!$A$4:$A$2635)+COUNT('Diário 2º PA'!$A$4:$A$3040)+COUNT('Diário 3º PA'!$A$4:$A$2731)+ROW()-3)</f>
        <v>7742</v>
      </c>
      <c r="B1717" s="413">
        <v>44914</v>
      </c>
      <c r="C1717" s="431">
        <v>44896</v>
      </c>
      <c r="D1717" s="419" t="s">
        <v>468</v>
      </c>
      <c r="E1717" s="419" t="s">
        <v>468</v>
      </c>
      <c r="F1717" s="422">
        <v>11</v>
      </c>
      <c r="G1717" s="427" t="s">
        <v>2469</v>
      </c>
      <c r="H1717" s="419" t="s">
        <v>468</v>
      </c>
      <c r="I1717" s="639" t="s">
        <v>881</v>
      </c>
      <c r="J1717" s="418" t="s">
        <v>882</v>
      </c>
      <c r="K1717" s="418" t="s">
        <v>883</v>
      </c>
      <c r="L1717" s="399" t="s">
        <v>798</v>
      </c>
      <c r="M1717" s="544" t="s">
        <v>310</v>
      </c>
      <c r="N1717" s="413">
        <v>44914</v>
      </c>
      <c r="O1717" s="414" t="s">
        <v>3762</v>
      </c>
      <c r="P1717" s="655">
        <f t="shared" si="106"/>
        <v>12</v>
      </c>
      <c r="Q1717" s="655">
        <f t="shared" si="107"/>
        <v>12</v>
      </c>
      <c r="R1717" s="758" t="str">
        <f t="shared" si="108"/>
        <v>Gastos_custeados_por_captação</v>
      </c>
      <c r="S1717" s="697" t="s">
        <v>310</v>
      </c>
      <c r="T1717" s="697" t="s">
        <v>310</v>
      </c>
    </row>
    <row r="1718" spans="1:20" ht="36" x14ac:dyDescent="0.2">
      <c r="A1718" s="432">
        <f>IF(B1718="","",COUNT('Diário 1º PA'!$A$4:$A$2635)+COUNT('Diário 2º PA'!$A$4:$A$3040)+COUNT('Diário 3º PA'!$A$4:$A$2731)+ROW()-3)</f>
        <v>7743</v>
      </c>
      <c r="B1718" s="413">
        <v>44914</v>
      </c>
      <c r="C1718" s="431">
        <v>44896</v>
      </c>
      <c r="D1718" s="419" t="s">
        <v>468</v>
      </c>
      <c r="E1718" s="419" t="s">
        <v>468</v>
      </c>
      <c r="F1718" s="422">
        <v>11</v>
      </c>
      <c r="G1718" s="427" t="s">
        <v>2469</v>
      </c>
      <c r="H1718" s="419" t="s">
        <v>468</v>
      </c>
      <c r="I1718" s="639" t="s">
        <v>881</v>
      </c>
      <c r="J1718" s="418" t="s">
        <v>882</v>
      </c>
      <c r="K1718" s="418" t="s">
        <v>883</v>
      </c>
      <c r="L1718" s="399" t="s">
        <v>798</v>
      </c>
      <c r="M1718" s="544" t="s">
        <v>310</v>
      </c>
      <c r="N1718" s="413">
        <v>44914</v>
      </c>
      <c r="O1718" s="414" t="s">
        <v>3762</v>
      </c>
      <c r="P1718" s="655">
        <f t="shared" si="106"/>
        <v>12</v>
      </c>
      <c r="Q1718" s="655">
        <f t="shared" si="107"/>
        <v>12</v>
      </c>
      <c r="R1718" s="758" t="str">
        <f t="shared" si="108"/>
        <v>Gastos_custeados_por_captação</v>
      </c>
      <c r="S1718" s="697" t="s">
        <v>310</v>
      </c>
      <c r="T1718" s="697" t="s">
        <v>310</v>
      </c>
    </row>
    <row r="1719" spans="1:20" ht="36" x14ac:dyDescent="0.2">
      <c r="A1719" s="432">
        <f>IF(B1719="","",COUNT('Diário 1º PA'!$A$4:$A$2635)+COUNT('Diário 2º PA'!$A$4:$A$3040)+COUNT('Diário 3º PA'!$A$4:$A$2731)+ROW()-3)</f>
        <v>7744</v>
      </c>
      <c r="B1719" s="413">
        <v>44914</v>
      </c>
      <c r="C1719" s="431">
        <v>44866</v>
      </c>
      <c r="D1719" s="419" t="s">
        <v>468</v>
      </c>
      <c r="E1719" s="419" t="s">
        <v>468</v>
      </c>
      <c r="F1719" s="422">
        <v>587.94000000000005</v>
      </c>
      <c r="G1719" s="427" t="s">
        <v>2268</v>
      </c>
      <c r="H1719" s="419" t="s">
        <v>468</v>
      </c>
      <c r="I1719" s="639" t="s">
        <v>4123</v>
      </c>
      <c r="J1719" s="418" t="s">
        <v>2269</v>
      </c>
      <c r="K1719" s="418" t="s">
        <v>830</v>
      </c>
      <c r="L1719" s="399" t="s">
        <v>807</v>
      </c>
      <c r="M1719" s="419" t="s">
        <v>9211</v>
      </c>
      <c r="N1719" s="413">
        <v>44914</v>
      </c>
      <c r="O1719" s="414" t="s">
        <v>408</v>
      </c>
      <c r="P1719" s="655">
        <f t="shared" ref="P1719:P1721" si="109">IF(B1719=0,0,IF(YEAR(B1719)=$Q$1,MONTH(B1719)-$P$1+1,(YEAR(B1719)-$Q$1)*12-$P$1+1+MONTH(B1719)))</f>
        <v>12</v>
      </c>
      <c r="Q1719" s="655">
        <f t="shared" ref="Q1719:Q1721" si="110">IF(C1719=0,0,IF(YEAR(C1719)=$Q$1,MONTH(C1719)-$P$1+1,(YEAR(C1719)-$Q$1)*12-$P$1+1+MONTH(C1719)))</f>
        <v>11</v>
      </c>
      <c r="R1719" s="758" t="str">
        <f t="shared" ref="R1719:R1721" si="111">SUBSTITUTE(D1719," ","_")</f>
        <v>Gastos_custeados_por_captação</v>
      </c>
      <c r="S1719" s="697" t="s">
        <v>1000</v>
      </c>
      <c r="T1719" s="697">
        <v>3093</v>
      </c>
    </row>
    <row r="1720" spans="1:20" ht="48" x14ac:dyDescent="0.2">
      <c r="A1720" s="432">
        <f>IF(B1720="","",COUNT('Diário 1º PA'!$A$4:$A$2635)+COUNT('Diário 2º PA'!$A$4:$A$3040)+COUNT('Diário 3º PA'!$A$4:$A$2731)+ROW()-3)</f>
        <v>7745</v>
      </c>
      <c r="B1720" s="413">
        <v>44914</v>
      </c>
      <c r="C1720" s="431">
        <v>44866</v>
      </c>
      <c r="D1720" s="419" t="s">
        <v>468</v>
      </c>
      <c r="E1720" s="419" t="s">
        <v>468</v>
      </c>
      <c r="F1720" s="422">
        <v>6336.85</v>
      </c>
      <c r="G1720" s="427" t="s">
        <v>2330</v>
      </c>
      <c r="H1720" s="419" t="s">
        <v>468</v>
      </c>
      <c r="I1720" s="639" t="s">
        <v>6422</v>
      </c>
      <c r="J1720" s="418" t="s">
        <v>2329</v>
      </c>
      <c r="K1720" s="418" t="s">
        <v>830</v>
      </c>
      <c r="L1720" s="399" t="s">
        <v>807</v>
      </c>
      <c r="M1720" s="419" t="s">
        <v>2168</v>
      </c>
      <c r="N1720" s="413">
        <v>44914</v>
      </c>
      <c r="O1720" s="414" t="s">
        <v>408</v>
      </c>
      <c r="P1720" s="655">
        <f t="shared" si="109"/>
        <v>12</v>
      </c>
      <c r="Q1720" s="655">
        <f t="shared" si="110"/>
        <v>11</v>
      </c>
      <c r="R1720" s="758" t="str">
        <f t="shared" si="111"/>
        <v>Gastos_custeados_por_captação</v>
      </c>
      <c r="S1720" s="697" t="s">
        <v>1000</v>
      </c>
      <c r="T1720" s="697">
        <v>3094</v>
      </c>
    </row>
    <row r="1721" spans="1:20" ht="36" x14ac:dyDescent="0.2">
      <c r="A1721" s="432">
        <f>IF(B1721="","",COUNT('Diário 1º PA'!$A$4:$A$2635)+COUNT('Diário 2º PA'!$A$4:$A$3040)+COUNT('Diário 3º PA'!$A$4:$A$2731)+ROW()-3)</f>
        <v>7746</v>
      </c>
      <c r="B1721" s="413">
        <v>44914</v>
      </c>
      <c r="C1721" s="431">
        <v>44896</v>
      </c>
      <c r="D1721" s="419" t="s">
        <v>468</v>
      </c>
      <c r="E1721" s="419" t="s">
        <v>468</v>
      </c>
      <c r="F1721" s="422">
        <v>11</v>
      </c>
      <c r="G1721" s="427" t="s">
        <v>2469</v>
      </c>
      <c r="H1721" s="419" t="s">
        <v>468</v>
      </c>
      <c r="I1721" s="639" t="s">
        <v>881</v>
      </c>
      <c r="J1721" s="418" t="s">
        <v>882</v>
      </c>
      <c r="K1721" s="418" t="s">
        <v>883</v>
      </c>
      <c r="L1721" s="399" t="s">
        <v>798</v>
      </c>
      <c r="M1721" s="544" t="s">
        <v>310</v>
      </c>
      <c r="N1721" s="413">
        <v>44914</v>
      </c>
      <c r="O1721" s="414" t="s">
        <v>408</v>
      </c>
      <c r="P1721" s="655">
        <f t="shared" si="109"/>
        <v>12</v>
      </c>
      <c r="Q1721" s="655">
        <f t="shared" si="110"/>
        <v>12</v>
      </c>
      <c r="R1721" s="758" t="str">
        <f t="shared" si="111"/>
        <v>Gastos_custeados_por_captação</v>
      </c>
      <c r="S1721" s="697" t="s">
        <v>310</v>
      </c>
      <c r="T1721" s="697" t="s">
        <v>310</v>
      </c>
    </row>
    <row r="1722" spans="1:20" ht="48" x14ac:dyDescent="0.2">
      <c r="A1722" s="432">
        <f>IF(B1722="","",COUNT('Diário 1º PA'!$A$4:$A$2635)+COUNT('Diário 2º PA'!$A$4:$A$3040)+COUNT('Diário 3º PA'!$A$4:$A$2731)+ROW()-3)</f>
        <v>7747</v>
      </c>
      <c r="B1722" s="413">
        <v>44915</v>
      </c>
      <c r="C1722" s="431">
        <v>44896</v>
      </c>
      <c r="D1722" s="419" t="s">
        <v>34</v>
      </c>
      <c r="E1722" s="419" t="s">
        <v>167</v>
      </c>
      <c r="F1722" s="422">
        <v>10</v>
      </c>
      <c r="G1722" s="427" t="s">
        <v>9010</v>
      </c>
      <c r="H1722" s="419" t="s">
        <v>310</v>
      </c>
      <c r="I1722" s="415" t="s">
        <v>795</v>
      </c>
      <c r="J1722" s="419" t="s">
        <v>796</v>
      </c>
      <c r="K1722" s="419" t="s">
        <v>797</v>
      </c>
      <c r="L1722" s="415" t="s">
        <v>798</v>
      </c>
      <c r="M1722" s="419" t="s">
        <v>310</v>
      </c>
      <c r="N1722" s="413">
        <v>44915</v>
      </c>
      <c r="O1722" s="413" t="s">
        <v>400</v>
      </c>
      <c r="P1722" s="655">
        <f t="shared" si="104"/>
        <v>12</v>
      </c>
      <c r="Q1722" s="655">
        <f t="shared" si="105"/>
        <v>12</v>
      </c>
      <c r="R1722" s="758" t="str">
        <f t="shared" si="103"/>
        <v>Receitas</v>
      </c>
      <c r="S1722" s="697" t="s">
        <v>310</v>
      </c>
      <c r="T1722" s="699" t="s">
        <v>310</v>
      </c>
    </row>
    <row r="1723" spans="1:20" ht="48" x14ac:dyDescent="0.2">
      <c r="A1723" s="432">
        <f>IF(B1723="","",COUNT('Diário 1º PA'!$A$4:$A$2635)+COUNT('Diário 2º PA'!$A$4:$A$3040)+COUNT('Diário 3º PA'!$A$4:$A$2731)+ROW()-3)</f>
        <v>7748</v>
      </c>
      <c r="B1723" s="413">
        <v>44915</v>
      </c>
      <c r="C1723" s="431">
        <v>44896</v>
      </c>
      <c r="D1723" s="419" t="s">
        <v>34</v>
      </c>
      <c r="E1723" s="419" t="s">
        <v>167</v>
      </c>
      <c r="F1723" s="422">
        <v>10</v>
      </c>
      <c r="G1723" s="427" t="s">
        <v>9011</v>
      </c>
      <c r="H1723" s="419" t="s">
        <v>310</v>
      </c>
      <c r="I1723" s="415" t="s">
        <v>795</v>
      </c>
      <c r="J1723" s="419" t="s">
        <v>796</v>
      </c>
      <c r="K1723" s="419" t="s">
        <v>797</v>
      </c>
      <c r="L1723" s="415" t="s">
        <v>798</v>
      </c>
      <c r="M1723" s="419" t="s">
        <v>310</v>
      </c>
      <c r="N1723" s="413">
        <v>44915</v>
      </c>
      <c r="O1723" s="413" t="s">
        <v>400</v>
      </c>
      <c r="P1723" s="655">
        <f t="shared" si="104"/>
        <v>12</v>
      </c>
      <c r="Q1723" s="655">
        <f t="shared" si="105"/>
        <v>12</v>
      </c>
      <c r="R1723" s="758" t="str">
        <f t="shared" si="103"/>
        <v>Receitas</v>
      </c>
      <c r="S1723" s="697" t="s">
        <v>310</v>
      </c>
      <c r="T1723" s="699" t="s">
        <v>310</v>
      </c>
    </row>
    <row r="1724" spans="1:20" ht="48" x14ac:dyDescent="0.2">
      <c r="A1724" s="432">
        <f>IF(B1724="","",COUNT('Diário 1º PA'!$A$4:$A$2635)+COUNT('Diário 2º PA'!$A$4:$A$3040)+COUNT('Diário 3º PA'!$A$4:$A$2731)+ROW()-3)</f>
        <v>7749</v>
      </c>
      <c r="B1724" s="413">
        <v>44915</v>
      </c>
      <c r="C1724" s="431">
        <v>44866</v>
      </c>
      <c r="D1724" s="415" t="s">
        <v>468</v>
      </c>
      <c r="E1724" s="415" t="s">
        <v>468</v>
      </c>
      <c r="F1724" s="425">
        <v>-1147</v>
      </c>
      <c r="G1724" s="427" t="s">
        <v>8989</v>
      </c>
      <c r="H1724" s="415" t="s">
        <v>468</v>
      </c>
      <c r="I1724" s="473" t="s">
        <v>795</v>
      </c>
      <c r="J1724" s="415" t="s">
        <v>796</v>
      </c>
      <c r="K1724" s="415" t="s">
        <v>797</v>
      </c>
      <c r="L1724" s="415" t="s">
        <v>798</v>
      </c>
      <c r="M1724" s="415" t="s">
        <v>310</v>
      </c>
      <c r="N1724" s="413">
        <v>44915</v>
      </c>
      <c r="O1724" s="414" t="s">
        <v>400</v>
      </c>
      <c r="P1724" s="655">
        <f t="shared" si="104"/>
        <v>12</v>
      </c>
      <c r="Q1724" s="655">
        <f t="shared" si="105"/>
        <v>11</v>
      </c>
      <c r="R1724" s="758" t="str">
        <f t="shared" si="103"/>
        <v>Gastos_custeados_por_captação</v>
      </c>
      <c r="S1724" s="697" t="s">
        <v>310</v>
      </c>
      <c r="T1724" s="697" t="s">
        <v>310</v>
      </c>
    </row>
    <row r="1725" spans="1:20" ht="48" x14ac:dyDescent="0.2">
      <c r="A1725" s="432">
        <f>IF(B1725="","",COUNT('Diário 1º PA'!$A$4:$A$2635)+COUNT('Diário 2º PA'!$A$4:$A$3040)+COUNT('Diário 3º PA'!$A$4:$A$2731)+ROW()-3)</f>
        <v>7750</v>
      </c>
      <c r="B1725" s="413">
        <v>44915</v>
      </c>
      <c r="C1725" s="433">
        <v>44866</v>
      </c>
      <c r="D1725" s="434" t="s">
        <v>182</v>
      </c>
      <c r="E1725" s="434" t="s">
        <v>1</v>
      </c>
      <c r="F1725" s="422">
        <v>-935.82</v>
      </c>
      <c r="G1725" s="419" t="s">
        <v>8982</v>
      </c>
      <c r="H1725" s="419" t="s">
        <v>310</v>
      </c>
      <c r="I1725" s="473" t="s">
        <v>795</v>
      </c>
      <c r="J1725" s="415" t="s">
        <v>796</v>
      </c>
      <c r="K1725" s="415" t="s">
        <v>797</v>
      </c>
      <c r="L1725" s="415" t="s">
        <v>798</v>
      </c>
      <c r="M1725" s="415" t="s">
        <v>310</v>
      </c>
      <c r="N1725" s="413">
        <v>44915</v>
      </c>
      <c r="O1725" s="414" t="s">
        <v>400</v>
      </c>
      <c r="P1725" s="655">
        <f t="shared" si="104"/>
        <v>12</v>
      </c>
      <c r="Q1725" s="655">
        <f t="shared" si="105"/>
        <v>11</v>
      </c>
      <c r="R1725" s="758" t="str">
        <f t="shared" si="103"/>
        <v>Gastos_com_Pessoal</v>
      </c>
      <c r="S1725" s="697" t="s">
        <v>310</v>
      </c>
      <c r="T1725" s="697" t="s">
        <v>310</v>
      </c>
    </row>
    <row r="1726" spans="1:20" ht="48" x14ac:dyDescent="0.2">
      <c r="A1726" s="432">
        <f>IF(B1726="","",COUNT('Diário 1º PA'!$A$4:$A$2635)+COUNT('Diário 2º PA'!$A$4:$A$3040)+COUNT('Diário 3º PA'!$A$4:$A$2731)+ROW()-3)</f>
        <v>7751</v>
      </c>
      <c r="B1726" s="413">
        <v>44915</v>
      </c>
      <c r="C1726" s="433">
        <v>44866</v>
      </c>
      <c r="D1726" s="415" t="s">
        <v>182</v>
      </c>
      <c r="E1726" s="415" t="s">
        <v>252</v>
      </c>
      <c r="F1726" s="422">
        <v>-2830.69</v>
      </c>
      <c r="G1726" s="419" t="s">
        <v>8983</v>
      </c>
      <c r="H1726" s="419" t="s">
        <v>310</v>
      </c>
      <c r="I1726" s="473" t="s">
        <v>795</v>
      </c>
      <c r="J1726" s="415" t="s">
        <v>796</v>
      </c>
      <c r="K1726" s="415" t="s">
        <v>797</v>
      </c>
      <c r="L1726" s="415" t="s">
        <v>798</v>
      </c>
      <c r="M1726" s="415" t="s">
        <v>310</v>
      </c>
      <c r="N1726" s="413">
        <v>44915</v>
      </c>
      <c r="O1726" s="414" t="s">
        <v>400</v>
      </c>
      <c r="P1726" s="655">
        <f t="shared" si="104"/>
        <v>12</v>
      </c>
      <c r="Q1726" s="655">
        <f t="shared" si="105"/>
        <v>11</v>
      </c>
      <c r="R1726" s="758" t="str">
        <f t="shared" si="103"/>
        <v>Gastos_com_Pessoal</v>
      </c>
      <c r="S1726" s="697" t="s">
        <v>310</v>
      </c>
      <c r="T1726" s="697" t="s">
        <v>310</v>
      </c>
    </row>
    <row r="1727" spans="1:20" ht="48" x14ac:dyDescent="0.2">
      <c r="A1727" s="432">
        <f>IF(B1727="","",COUNT('Diário 1º PA'!$A$4:$A$2635)+COUNT('Diário 2º PA'!$A$4:$A$3040)+COUNT('Diário 3º PA'!$A$4:$A$2731)+ROW()-3)</f>
        <v>7752</v>
      </c>
      <c r="B1727" s="413">
        <v>44915</v>
      </c>
      <c r="C1727" s="431">
        <v>44866</v>
      </c>
      <c r="D1727" s="415" t="s">
        <v>182</v>
      </c>
      <c r="E1727" s="415" t="s">
        <v>268</v>
      </c>
      <c r="F1727" s="422">
        <v>-710.02</v>
      </c>
      <c r="G1727" s="427" t="s">
        <v>8990</v>
      </c>
      <c r="H1727" s="419" t="s">
        <v>310</v>
      </c>
      <c r="I1727" s="473" t="s">
        <v>795</v>
      </c>
      <c r="J1727" s="415" t="s">
        <v>796</v>
      </c>
      <c r="K1727" s="415" t="s">
        <v>797</v>
      </c>
      <c r="L1727" s="415" t="s">
        <v>798</v>
      </c>
      <c r="M1727" s="415" t="s">
        <v>310</v>
      </c>
      <c r="N1727" s="413">
        <v>44915</v>
      </c>
      <c r="O1727" s="414" t="s">
        <v>400</v>
      </c>
      <c r="P1727" s="655">
        <f t="shared" si="104"/>
        <v>12</v>
      </c>
      <c r="Q1727" s="655">
        <f t="shared" si="105"/>
        <v>11</v>
      </c>
      <c r="R1727" s="758" t="str">
        <f t="shared" si="103"/>
        <v>Gastos_com_Pessoal</v>
      </c>
      <c r="S1727" s="697" t="s">
        <v>310</v>
      </c>
      <c r="T1727" s="697" t="s">
        <v>310</v>
      </c>
    </row>
    <row r="1728" spans="1:20" ht="48" x14ac:dyDescent="0.2">
      <c r="A1728" s="432">
        <f>IF(B1728="","",COUNT('Diário 1º PA'!$A$4:$A$2635)+COUNT('Diário 2º PA'!$A$4:$A$3040)+COUNT('Diário 3º PA'!$A$4:$A$2731)+ROW()-3)</f>
        <v>7753</v>
      </c>
      <c r="B1728" s="413">
        <v>44915</v>
      </c>
      <c r="C1728" s="431">
        <v>44866</v>
      </c>
      <c r="D1728" s="415" t="s">
        <v>468</v>
      </c>
      <c r="E1728" s="415" t="s">
        <v>468</v>
      </c>
      <c r="F1728" s="422">
        <v>-930</v>
      </c>
      <c r="G1728" s="427" t="s">
        <v>9008</v>
      </c>
      <c r="H1728" s="415" t="s">
        <v>468</v>
      </c>
      <c r="I1728" s="473" t="s">
        <v>795</v>
      </c>
      <c r="J1728" s="415" t="s">
        <v>796</v>
      </c>
      <c r="K1728" s="415" t="s">
        <v>797</v>
      </c>
      <c r="L1728" s="415" t="s">
        <v>798</v>
      </c>
      <c r="M1728" s="415" t="s">
        <v>310</v>
      </c>
      <c r="N1728" s="413">
        <v>44915</v>
      </c>
      <c r="O1728" s="414" t="s">
        <v>400</v>
      </c>
      <c r="P1728" s="655">
        <f t="shared" si="104"/>
        <v>12</v>
      </c>
      <c r="Q1728" s="655">
        <f t="shared" si="105"/>
        <v>11</v>
      </c>
      <c r="R1728" s="758" t="str">
        <f t="shared" si="103"/>
        <v>Gastos_custeados_por_captação</v>
      </c>
      <c r="S1728" s="697" t="s">
        <v>310</v>
      </c>
      <c r="T1728" s="697" t="s">
        <v>310</v>
      </c>
    </row>
    <row r="1729" spans="1:20" ht="48" x14ac:dyDescent="0.2">
      <c r="A1729" s="432">
        <f>IF(B1729="","",COUNT('Diário 1º PA'!$A$4:$A$2635)+COUNT('Diário 2º PA'!$A$4:$A$3040)+COUNT('Diário 3º PA'!$A$4:$A$2731)+ROW()-3)</f>
        <v>7754</v>
      </c>
      <c r="B1729" s="413">
        <v>44915</v>
      </c>
      <c r="C1729" s="431">
        <v>44866</v>
      </c>
      <c r="D1729" s="415" t="s">
        <v>468</v>
      </c>
      <c r="E1729" s="415" t="s">
        <v>468</v>
      </c>
      <c r="F1729" s="422">
        <v>-2328.1</v>
      </c>
      <c r="G1729" s="427" t="s">
        <v>9032</v>
      </c>
      <c r="H1729" s="415" t="s">
        <v>468</v>
      </c>
      <c r="I1729" s="473" t="s">
        <v>795</v>
      </c>
      <c r="J1729" s="415" t="s">
        <v>796</v>
      </c>
      <c r="K1729" s="415" t="s">
        <v>797</v>
      </c>
      <c r="L1729" s="415" t="s">
        <v>798</v>
      </c>
      <c r="M1729" s="415" t="s">
        <v>310</v>
      </c>
      <c r="N1729" s="413">
        <v>44915</v>
      </c>
      <c r="O1729" s="414" t="s">
        <v>400</v>
      </c>
      <c r="P1729" s="655">
        <f t="shared" si="104"/>
        <v>12</v>
      </c>
      <c r="Q1729" s="655">
        <f t="shared" si="105"/>
        <v>11</v>
      </c>
      <c r="R1729" s="758" t="str">
        <f t="shared" si="103"/>
        <v>Gastos_custeados_por_captação</v>
      </c>
      <c r="S1729" s="697" t="s">
        <v>310</v>
      </c>
      <c r="T1729" s="697" t="s">
        <v>310</v>
      </c>
    </row>
    <row r="1730" spans="1:20" ht="48" x14ac:dyDescent="0.2">
      <c r="A1730" s="432">
        <f>IF(B1730="","",COUNT('Diário 1º PA'!$A$4:$A$2635)+COUNT('Diário 2º PA'!$A$4:$A$3040)+COUNT('Diário 3º PA'!$A$4:$A$2731)+ROW()-3)</f>
        <v>7755</v>
      </c>
      <c r="B1730" s="413">
        <v>44915</v>
      </c>
      <c r="C1730" s="431">
        <v>44866</v>
      </c>
      <c r="D1730" s="415" t="s">
        <v>468</v>
      </c>
      <c r="E1730" s="415" t="s">
        <v>468</v>
      </c>
      <c r="F1730" s="422">
        <v>-514.6</v>
      </c>
      <c r="G1730" s="427" t="s">
        <v>8991</v>
      </c>
      <c r="H1730" s="415" t="s">
        <v>468</v>
      </c>
      <c r="I1730" s="473" t="s">
        <v>795</v>
      </c>
      <c r="J1730" s="415" t="s">
        <v>796</v>
      </c>
      <c r="K1730" s="415" t="s">
        <v>797</v>
      </c>
      <c r="L1730" s="415" t="s">
        <v>798</v>
      </c>
      <c r="M1730" s="415" t="s">
        <v>310</v>
      </c>
      <c r="N1730" s="413">
        <v>44915</v>
      </c>
      <c r="O1730" s="414" t="s">
        <v>400</v>
      </c>
      <c r="P1730" s="655">
        <f t="shared" si="104"/>
        <v>12</v>
      </c>
      <c r="Q1730" s="655">
        <f t="shared" si="105"/>
        <v>11</v>
      </c>
      <c r="R1730" s="758" t="str">
        <f t="shared" si="103"/>
        <v>Gastos_custeados_por_captação</v>
      </c>
      <c r="S1730" s="697" t="s">
        <v>310</v>
      </c>
      <c r="T1730" s="697" t="s">
        <v>310</v>
      </c>
    </row>
    <row r="1731" spans="1:20" ht="48" x14ac:dyDescent="0.2">
      <c r="A1731" s="432">
        <f>IF(B1731="","",COUNT('Diário 1º PA'!$A$4:$A$2635)+COUNT('Diário 2º PA'!$A$4:$A$3040)+COUNT('Diário 3º PA'!$A$4:$A$2731)+ROW()-3)</f>
        <v>7756</v>
      </c>
      <c r="B1731" s="413">
        <v>44915</v>
      </c>
      <c r="C1731" s="433">
        <v>44866</v>
      </c>
      <c r="D1731" s="434" t="s">
        <v>182</v>
      </c>
      <c r="E1731" s="434" t="s">
        <v>1</v>
      </c>
      <c r="F1731" s="422">
        <v>-1189.81</v>
      </c>
      <c r="G1731" s="427" t="s">
        <v>8991</v>
      </c>
      <c r="H1731" s="419" t="s">
        <v>310</v>
      </c>
      <c r="I1731" s="473" t="s">
        <v>795</v>
      </c>
      <c r="J1731" s="415" t="s">
        <v>796</v>
      </c>
      <c r="K1731" s="415" t="s">
        <v>797</v>
      </c>
      <c r="L1731" s="415" t="s">
        <v>798</v>
      </c>
      <c r="M1731" s="415" t="s">
        <v>310</v>
      </c>
      <c r="N1731" s="413">
        <v>44915</v>
      </c>
      <c r="O1731" s="414" t="s">
        <v>400</v>
      </c>
      <c r="P1731" s="655">
        <f t="shared" si="104"/>
        <v>12</v>
      </c>
      <c r="Q1731" s="655">
        <f t="shared" si="105"/>
        <v>11</v>
      </c>
      <c r="R1731" s="758" t="str">
        <f t="shared" si="103"/>
        <v>Gastos_com_Pessoal</v>
      </c>
      <c r="S1731" s="697" t="s">
        <v>310</v>
      </c>
      <c r="T1731" s="697" t="s">
        <v>310</v>
      </c>
    </row>
    <row r="1732" spans="1:20" ht="48" x14ac:dyDescent="0.2">
      <c r="A1732" s="432">
        <f>IF(B1732="","",COUNT('Diário 1º PA'!$A$4:$A$2635)+COUNT('Diário 2º PA'!$A$4:$A$3040)+COUNT('Diário 3º PA'!$A$4:$A$2731)+ROW()-3)</f>
        <v>7757</v>
      </c>
      <c r="B1732" s="413">
        <v>44915</v>
      </c>
      <c r="C1732" s="433">
        <v>44866</v>
      </c>
      <c r="D1732" s="415" t="s">
        <v>182</v>
      </c>
      <c r="E1732" s="415" t="s">
        <v>252</v>
      </c>
      <c r="F1732" s="422">
        <v>-2914.25</v>
      </c>
      <c r="G1732" s="427" t="s">
        <v>8991</v>
      </c>
      <c r="H1732" s="419" t="s">
        <v>310</v>
      </c>
      <c r="I1732" s="473" t="s">
        <v>795</v>
      </c>
      <c r="J1732" s="415" t="s">
        <v>796</v>
      </c>
      <c r="K1732" s="415" t="s">
        <v>797</v>
      </c>
      <c r="L1732" s="415" t="s">
        <v>798</v>
      </c>
      <c r="M1732" s="415" t="s">
        <v>310</v>
      </c>
      <c r="N1732" s="413">
        <v>44915</v>
      </c>
      <c r="O1732" s="414" t="s">
        <v>400</v>
      </c>
      <c r="P1732" s="655">
        <f t="shared" si="104"/>
        <v>12</v>
      </c>
      <c r="Q1732" s="655">
        <f t="shared" si="105"/>
        <v>11</v>
      </c>
      <c r="R1732" s="758" t="str">
        <f t="shared" si="103"/>
        <v>Gastos_com_Pessoal</v>
      </c>
      <c r="S1732" s="697" t="s">
        <v>310</v>
      </c>
      <c r="T1732" s="697" t="s">
        <v>310</v>
      </c>
    </row>
    <row r="1733" spans="1:20" ht="48" x14ac:dyDescent="0.2">
      <c r="A1733" s="432">
        <f>IF(B1733="","",COUNT('Diário 1º PA'!$A$4:$A$2635)+COUNT('Diário 2º PA'!$A$4:$A$3040)+COUNT('Diário 3º PA'!$A$4:$A$2731)+ROW()-3)</f>
        <v>7758</v>
      </c>
      <c r="B1733" s="413">
        <v>44915</v>
      </c>
      <c r="C1733" s="431">
        <v>44866</v>
      </c>
      <c r="D1733" s="415" t="s">
        <v>468</v>
      </c>
      <c r="E1733" s="415" t="s">
        <v>468</v>
      </c>
      <c r="F1733" s="422">
        <v>-7071.1</v>
      </c>
      <c r="G1733" s="427" t="s">
        <v>8992</v>
      </c>
      <c r="H1733" s="419" t="s">
        <v>310</v>
      </c>
      <c r="I1733" s="473" t="s">
        <v>795</v>
      </c>
      <c r="J1733" s="415" t="s">
        <v>796</v>
      </c>
      <c r="K1733" s="415" t="s">
        <v>797</v>
      </c>
      <c r="L1733" s="415" t="s">
        <v>798</v>
      </c>
      <c r="M1733" s="415" t="s">
        <v>310</v>
      </c>
      <c r="N1733" s="413">
        <v>44915</v>
      </c>
      <c r="O1733" s="414" t="s">
        <v>400</v>
      </c>
      <c r="P1733" s="655">
        <f t="shared" si="104"/>
        <v>12</v>
      </c>
      <c r="Q1733" s="655">
        <f t="shared" si="105"/>
        <v>11</v>
      </c>
      <c r="R1733" s="758" t="str">
        <f t="shared" si="103"/>
        <v>Gastos_custeados_por_captação</v>
      </c>
      <c r="S1733" s="697" t="s">
        <v>310</v>
      </c>
      <c r="T1733" s="697" t="s">
        <v>310</v>
      </c>
    </row>
    <row r="1734" spans="1:20" ht="48" x14ac:dyDescent="0.2">
      <c r="A1734" s="432">
        <f>IF(B1734="","",COUNT('Diário 1º PA'!$A$4:$A$2635)+COUNT('Diário 2º PA'!$A$4:$A$3040)+COUNT('Diário 3º PA'!$A$4:$A$2731)+ROW()-3)</f>
        <v>7759</v>
      </c>
      <c r="B1734" s="413">
        <v>44915</v>
      </c>
      <c r="C1734" s="433">
        <v>44866</v>
      </c>
      <c r="D1734" s="434" t="s">
        <v>182</v>
      </c>
      <c r="E1734" s="434" t="s">
        <v>1</v>
      </c>
      <c r="F1734" s="422">
        <v>-130.32</v>
      </c>
      <c r="G1734" s="427" t="s">
        <v>8993</v>
      </c>
      <c r="H1734" s="419" t="s">
        <v>310</v>
      </c>
      <c r="I1734" s="473" t="s">
        <v>795</v>
      </c>
      <c r="J1734" s="415" t="s">
        <v>796</v>
      </c>
      <c r="K1734" s="415" t="s">
        <v>797</v>
      </c>
      <c r="L1734" s="415" t="s">
        <v>798</v>
      </c>
      <c r="M1734" s="415" t="s">
        <v>310</v>
      </c>
      <c r="N1734" s="413">
        <v>44915</v>
      </c>
      <c r="O1734" s="414" t="s">
        <v>400</v>
      </c>
      <c r="P1734" s="655">
        <f t="shared" si="104"/>
        <v>12</v>
      </c>
      <c r="Q1734" s="655">
        <f t="shared" si="105"/>
        <v>11</v>
      </c>
      <c r="R1734" s="758" t="str">
        <f t="shared" si="103"/>
        <v>Gastos_com_Pessoal</v>
      </c>
      <c r="S1734" s="697" t="s">
        <v>310</v>
      </c>
      <c r="T1734" s="697" t="s">
        <v>310</v>
      </c>
    </row>
    <row r="1735" spans="1:20" ht="48" x14ac:dyDescent="0.2">
      <c r="A1735" s="432">
        <f>IF(B1735="","",COUNT('Diário 1º PA'!$A$4:$A$2635)+COUNT('Diário 2º PA'!$A$4:$A$3040)+COUNT('Diário 3º PA'!$A$4:$A$2731)+ROW()-3)</f>
        <v>7760</v>
      </c>
      <c r="B1735" s="413">
        <v>44915</v>
      </c>
      <c r="C1735" s="433">
        <v>44866</v>
      </c>
      <c r="D1735" s="415" t="s">
        <v>182</v>
      </c>
      <c r="E1735" s="415" t="s">
        <v>252</v>
      </c>
      <c r="F1735" s="422">
        <v>-420.75</v>
      </c>
      <c r="G1735" s="427" t="s">
        <v>8993</v>
      </c>
      <c r="H1735" s="419" t="s">
        <v>310</v>
      </c>
      <c r="I1735" s="473" t="s">
        <v>795</v>
      </c>
      <c r="J1735" s="415" t="s">
        <v>796</v>
      </c>
      <c r="K1735" s="415" t="s">
        <v>797</v>
      </c>
      <c r="L1735" s="415" t="s">
        <v>798</v>
      </c>
      <c r="M1735" s="415" t="s">
        <v>310</v>
      </c>
      <c r="N1735" s="413">
        <v>44915</v>
      </c>
      <c r="O1735" s="414" t="s">
        <v>400</v>
      </c>
      <c r="P1735" s="655">
        <f t="shared" si="104"/>
        <v>12</v>
      </c>
      <c r="Q1735" s="655">
        <f t="shared" si="105"/>
        <v>11</v>
      </c>
      <c r="R1735" s="758" t="str">
        <f t="shared" si="103"/>
        <v>Gastos_com_Pessoal</v>
      </c>
      <c r="S1735" s="697" t="s">
        <v>310</v>
      </c>
      <c r="T1735" s="697" t="s">
        <v>310</v>
      </c>
    </row>
    <row r="1736" spans="1:20" ht="48" x14ac:dyDescent="0.2">
      <c r="A1736" s="432">
        <f>IF(B1736="","",COUNT('Diário 1º PA'!$A$4:$A$2635)+COUNT('Diário 2º PA'!$A$4:$A$3040)+COUNT('Diário 3º PA'!$A$4:$A$2731)+ROW()-3)</f>
        <v>7761</v>
      </c>
      <c r="B1736" s="413">
        <v>44915</v>
      </c>
      <c r="C1736" s="431">
        <v>44866</v>
      </c>
      <c r="D1736" s="415" t="s">
        <v>182</v>
      </c>
      <c r="E1736" s="415" t="s">
        <v>268</v>
      </c>
      <c r="F1736" s="422">
        <v>-136.1</v>
      </c>
      <c r="G1736" s="427" t="s">
        <v>8994</v>
      </c>
      <c r="H1736" s="419" t="s">
        <v>310</v>
      </c>
      <c r="I1736" s="473" t="s">
        <v>795</v>
      </c>
      <c r="J1736" s="415" t="s">
        <v>796</v>
      </c>
      <c r="K1736" s="415" t="s">
        <v>797</v>
      </c>
      <c r="L1736" s="415" t="s">
        <v>798</v>
      </c>
      <c r="M1736" s="415" t="s">
        <v>310</v>
      </c>
      <c r="N1736" s="413">
        <v>44915</v>
      </c>
      <c r="O1736" s="414" t="s">
        <v>400</v>
      </c>
      <c r="P1736" s="655">
        <f t="shared" si="104"/>
        <v>12</v>
      </c>
      <c r="Q1736" s="655">
        <f t="shared" si="105"/>
        <v>11</v>
      </c>
      <c r="R1736" s="758" t="str">
        <f t="shared" si="103"/>
        <v>Gastos_com_Pessoal</v>
      </c>
      <c r="S1736" s="697" t="s">
        <v>310</v>
      </c>
      <c r="T1736" s="697" t="s">
        <v>310</v>
      </c>
    </row>
    <row r="1737" spans="1:20" ht="48" x14ac:dyDescent="0.2">
      <c r="A1737" s="432">
        <f>IF(B1737="","",COUNT('Diário 1º PA'!$A$4:$A$2635)+COUNT('Diário 2º PA'!$A$4:$A$3040)+COUNT('Diário 3º PA'!$A$4:$A$2731)+ROW()-3)</f>
        <v>7762</v>
      </c>
      <c r="B1737" s="413">
        <v>44915</v>
      </c>
      <c r="C1737" s="431">
        <v>44866</v>
      </c>
      <c r="D1737" s="415" t="s">
        <v>468</v>
      </c>
      <c r="E1737" s="415" t="s">
        <v>468</v>
      </c>
      <c r="F1737" s="422">
        <v>-3100</v>
      </c>
      <c r="G1737" s="427" t="s">
        <v>8996</v>
      </c>
      <c r="H1737" s="415" t="s">
        <v>468</v>
      </c>
      <c r="I1737" s="473" t="s">
        <v>795</v>
      </c>
      <c r="J1737" s="415" t="s">
        <v>796</v>
      </c>
      <c r="K1737" s="415" t="s">
        <v>797</v>
      </c>
      <c r="L1737" s="415" t="s">
        <v>798</v>
      </c>
      <c r="M1737" s="415" t="s">
        <v>310</v>
      </c>
      <c r="N1737" s="413">
        <v>44915</v>
      </c>
      <c r="O1737" s="414" t="s">
        <v>400</v>
      </c>
      <c r="P1737" s="655">
        <f t="shared" si="104"/>
        <v>12</v>
      </c>
      <c r="Q1737" s="655">
        <f t="shared" si="105"/>
        <v>11</v>
      </c>
      <c r="R1737" s="758" t="str">
        <f t="shared" si="103"/>
        <v>Gastos_custeados_por_captação</v>
      </c>
      <c r="S1737" s="697" t="s">
        <v>310</v>
      </c>
      <c r="T1737" s="697" t="s">
        <v>310</v>
      </c>
    </row>
    <row r="1738" spans="1:20" ht="48" x14ac:dyDescent="0.2">
      <c r="A1738" s="432">
        <f>IF(B1738="","",COUNT('Diário 1º PA'!$A$4:$A$2635)+COUNT('Diário 2º PA'!$A$4:$A$3040)+COUNT('Diário 3º PA'!$A$4:$A$2731)+ROW()-3)</f>
        <v>7763</v>
      </c>
      <c r="B1738" s="413">
        <v>44915</v>
      </c>
      <c r="C1738" s="431">
        <v>44866</v>
      </c>
      <c r="D1738" s="415" t="s">
        <v>468</v>
      </c>
      <c r="E1738" s="415" t="s">
        <v>468</v>
      </c>
      <c r="F1738" s="422">
        <v>-1085</v>
      </c>
      <c r="G1738" s="427" t="s">
        <v>8995</v>
      </c>
      <c r="H1738" s="415" t="s">
        <v>468</v>
      </c>
      <c r="I1738" s="473" t="s">
        <v>795</v>
      </c>
      <c r="J1738" s="415" t="s">
        <v>796</v>
      </c>
      <c r="K1738" s="415" t="s">
        <v>797</v>
      </c>
      <c r="L1738" s="415" t="s">
        <v>798</v>
      </c>
      <c r="M1738" s="415" t="s">
        <v>310</v>
      </c>
      <c r="N1738" s="413">
        <v>44915</v>
      </c>
      <c r="O1738" s="414" t="s">
        <v>400</v>
      </c>
      <c r="P1738" s="655">
        <f t="shared" si="104"/>
        <v>12</v>
      </c>
      <c r="Q1738" s="655">
        <f t="shared" si="105"/>
        <v>11</v>
      </c>
      <c r="R1738" s="758" t="str">
        <f t="shared" si="103"/>
        <v>Gastos_custeados_por_captação</v>
      </c>
      <c r="S1738" s="697" t="s">
        <v>310</v>
      </c>
      <c r="T1738" s="697" t="s">
        <v>310</v>
      </c>
    </row>
    <row r="1739" spans="1:20" ht="48" x14ac:dyDescent="0.2">
      <c r="A1739" s="432">
        <f>IF(B1739="","",COUNT('Diário 1º PA'!$A$4:$A$2635)+COUNT('Diário 2º PA'!$A$4:$A$3040)+COUNT('Diário 3º PA'!$A$4:$A$2731)+ROW()-3)</f>
        <v>7764</v>
      </c>
      <c r="B1739" s="413">
        <v>44915</v>
      </c>
      <c r="C1739" s="431">
        <v>44866</v>
      </c>
      <c r="D1739" s="415" t="s">
        <v>468</v>
      </c>
      <c r="E1739" s="415" t="s">
        <v>468</v>
      </c>
      <c r="F1739" s="422">
        <v>-7888.49</v>
      </c>
      <c r="G1739" s="427" t="s">
        <v>8997</v>
      </c>
      <c r="H1739" s="415" t="s">
        <v>468</v>
      </c>
      <c r="I1739" s="473" t="s">
        <v>795</v>
      </c>
      <c r="J1739" s="415" t="s">
        <v>796</v>
      </c>
      <c r="K1739" s="415" t="s">
        <v>797</v>
      </c>
      <c r="L1739" s="415" t="s">
        <v>798</v>
      </c>
      <c r="M1739" s="415" t="s">
        <v>310</v>
      </c>
      <c r="N1739" s="413">
        <v>44915</v>
      </c>
      <c r="O1739" s="414" t="s">
        <v>400</v>
      </c>
      <c r="P1739" s="655">
        <f t="shared" si="104"/>
        <v>12</v>
      </c>
      <c r="Q1739" s="655">
        <f t="shared" si="105"/>
        <v>11</v>
      </c>
      <c r="R1739" s="758" t="str">
        <f t="shared" si="103"/>
        <v>Gastos_custeados_por_captação</v>
      </c>
      <c r="S1739" s="697" t="s">
        <v>310</v>
      </c>
      <c r="T1739" s="697" t="s">
        <v>310</v>
      </c>
    </row>
    <row r="1740" spans="1:20" ht="48" x14ac:dyDescent="0.2">
      <c r="A1740" s="432">
        <f>IF(B1740="","",COUNT('Diário 1º PA'!$A$4:$A$2635)+COUNT('Diário 2º PA'!$A$4:$A$3040)+COUNT('Diário 3º PA'!$A$4:$A$2731)+ROW()-3)</f>
        <v>7765</v>
      </c>
      <c r="B1740" s="413">
        <v>44915</v>
      </c>
      <c r="C1740" s="431">
        <v>44866</v>
      </c>
      <c r="D1740" s="415" t="s">
        <v>468</v>
      </c>
      <c r="E1740" s="415" t="s">
        <v>468</v>
      </c>
      <c r="F1740" s="422">
        <v>-6510</v>
      </c>
      <c r="G1740" s="427" t="s">
        <v>8998</v>
      </c>
      <c r="H1740" s="415" t="s">
        <v>468</v>
      </c>
      <c r="I1740" s="473" t="s">
        <v>795</v>
      </c>
      <c r="J1740" s="415" t="s">
        <v>796</v>
      </c>
      <c r="K1740" s="415" t="s">
        <v>797</v>
      </c>
      <c r="L1740" s="415" t="s">
        <v>798</v>
      </c>
      <c r="M1740" s="415" t="s">
        <v>310</v>
      </c>
      <c r="N1740" s="413">
        <v>44915</v>
      </c>
      <c r="O1740" s="414" t="s">
        <v>400</v>
      </c>
      <c r="P1740" s="655">
        <f t="shared" si="104"/>
        <v>12</v>
      </c>
      <c r="Q1740" s="655">
        <f t="shared" si="105"/>
        <v>11</v>
      </c>
      <c r="R1740" s="758" t="str">
        <f t="shared" si="103"/>
        <v>Gastos_custeados_por_captação</v>
      </c>
      <c r="S1740" s="697" t="s">
        <v>310</v>
      </c>
      <c r="T1740" s="697" t="s">
        <v>310</v>
      </c>
    </row>
    <row r="1741" spans="1:20" ht="36" x14ac:dyDescent="0.2">
      <c r="A1741" s="432">
        <f>IF(B1741="","",COUNT('Diário 1º PA'!$A$4:$A$2635)+COUNT('Diário 2º PA'!$A$4:$A$3040)+COUNT('Diário 3º PA'!$A$4:$A$2731)+ROW()-3)</f>
        <v>7766</v>
      </c>
      <c r="B1741" s="413">
        <v>44915</v>
      </c>
      <c r="C1741" s="421">
        <v>44896</v>
      </c>
      <c r="D1741" s="419" t="s">
        <v>182</v>
      </c>
      <c r="E1741" s="419" t="s">
        <v>268</v>
      </c>
      <c r="F1741" s="422">
        <v>1035.6199999999999</v>
      </c>
      <c r="G1741" s="427" t="s">
        <v>8933</v>
      </c>
      <c r="H1741" s="419" t="s">
        <v>310</v>
      </c>
      <c r="I1741" s="415" t="s">
        <v>994</v>
      </c>
      <c r="J1741" s="419" t="s">
        <v>995</v>
      </c>
      <c r="K1741" s="419" t="s">
        <v>830</v>
      </c>
      <c r="L1741" s="415" t="s">
        <v>909</v>
      </c>
      <c r="M1741" s="419" t="s">
        <v>310</v>
      </c>
      <c r="N1741" s="413">
        <v>44915</v>
      </c>
      <c r="O1741" s="414" t="s">
        <v>400</v>
      </c>
      <c r="P1741" s="655">
        <f t="shared" si="104"/>
        <v>12</v>
      </c>
      <c r="Q1741" s="655">
        <f t="shared" si="105"/>
        <v>12</v>
      </c>
      <c r="R1741" s="758" t="str">
        <f t="shared" si="103"/>
        <v>Gastos_com_Pessoal</v>
      </c>
      <c r="S1741" s="697" t="s">
        <v>310</v>
      </c>
      <c r="T1741" s="697" t="s">
        <v>310</v>
      </c>
    </row>
    <row r="1742" spans="1:20" ht="36" x14ac:dyDescent="0.2">
      <c r="A1742" s="432">
        <f>IF(B1742="","",COUNT('Diário 1º PA'!$A$4:$A$2635)+COUNT('Diário 2º PA'!$A$4:$A$3040)+COUNT('Diário 3º PA'!$A$4:$A$2731)+ROW()-3)</f>
        <v>7767</v>
      </c>
      <c r="B1742" s="413">
        <v>44915</v>
      </c>
      <c r="C1742" s="421">
        <v>44896</v>
      </c>
      <c r="D1742" s="419" t="s">
        <v>182</v>
      </c>
      <c r="E1742" s="419" t="s">
        <v>268</v>
      </c>
      <c r="F1742" s="422">
        <v>1332.4</v>
      </c>
      <c r="G1742" s="427" t="s">
        <v>8934</v>
      </c>
      <c r="H1742" s="419" t="s">
        <v>310</v>
      </c>
      <c r="I1742" s="415" t="s">
        <v>1192</v>
      </c>
      <c r="J1742" s="419" t="s">
        <v>1191</v>
      </c>
      <c r="K1742" s="419" t="s">
        <v>830</v>
      </c>
      <c r="L1742" s="415" t="s">
        <v>909</v>
      </c>
      <c r="M1742" s="419" t="s">
        <v>310</v>
      </c>
      <c r="N1742" s="413">
        <v>44915</v>
      </c>
      <c r="O1742" s="414" t="s">
        <v>400</v>
      </c>
      <c r="P1742" s="655">
        <f t="shared" si="104"/>
        <v>12</v>
      </c>
      <c r="Q1742" s="655">
        <f t="shared" si="105"/>
        <v>12</v>
      </c>
      <c r="R1742" s="758" t="str">
        <f t="shared" si="103"/>
        <v>Gastos_com_Pessoal</v>
      </c>
      <c r="S1742" s="697" t="s">
        <v>310</v>
      </c>
      <c r="T1742" s="697" t="s">
        <v>310</v>
      </c>
    </row>
    <row r="1743" spans="1:20" ht="36" x14ac:dyDescent="0.2">
      <c r="A1743" s="432">
        <f>IF(B1743="","",COUNT('Diário 1º PA'!$A$4:$A$2635)+COUNT('Diário 2º PA'!$A$4:$A$3040)+COUNT('Diário 3º PA'!$A$4:$A$2731)+ROW()-3)</f>
        <v>7768</v>
      </c>
      <c r="B1743" s="413">
        <v>44915</v>
      </c>
      <c r="C1743" s="421">
        <v>44896</v>
      </c>
      <c r="D1743" s="419" t="s">
        <v>182</v>
      </c>
      <c r="E1743" s="419" t="s">
        <v>268</v>
      </c>
      <c r="F1743" s="422">
        <v>1021.4</v>
      </c>
      <c r="G1743" s="423" t="s">
        <v>8935</v>
      </c>
      <c r="H1743" s="419" t="s">
        <v>310</v>
      </c>
      <c r="I1743" s="415" t="s">
        <v>954</v>
      </c>
      <c r="J1743" s="419" t="s">
        <v>955</v>
      </c>
      <c r="K1743" s="419" t="s">
        <v>830</v>
      </c>
      <c r="L1743" s="415" t="s">
        <v>909</v>
      </c>
      <c r="M1743" s="419" t="s">
        <v>310</v>
      </c>
      <c r="N1743" s="413">
        <v>44915</v>
      </c>
      <c r="O1743" s="414" t="s">
        <v>400</v>
      </c>
      <c r="P1743" s="655">
        <f t="shared" si="104"/>
        <v>12</v>
      </c>
      <c r="Q1743" s="655">
        <f t="shared" si="105"/>
        <v>12</v>
      </c>
      <c r="R1743" s="758" t="str">
        <f t="shared" si="103"/>
        <v>Gastos_com_Pessoal</v>
      </c>
      <c r="S1743" s="697" t="s">
        <v>310</v>
      </c>
      <c r="T1743" s="697" t="s">
        <v>310</v>
      </c>
    </row>
    <row r="1744" spans="1:20" ht="36" x14ac:dyDescent="0.2">
      <c r="A1744" s="432">
        <f>IF(B1744="","",COUNT('Diário 1º PA'!$A$4:$A$2635)+COUNT('Diário 2º PA'!$A$4:$A$3040)+COUNT('Diário 3º PA'!$A$4:$A$2731)+ROW()-3)</f>
        <v>7769</v>
      </c>
      <c r="B1744" s="413">
        <v>44915</v>
      </c>
      <c r="C1744" s="421">
        <v>44896</v>
      </c>
      <c r="D1744" s="419" t="s">
        <v>182</v>
      </c>
      <c r="E1744" s="419" t="s">
        <v>268</v>
      </c>
      <c r="F1744" s="422">
        <v>1021.4</v>
      </c>
      <c r="G1744" s="427" t="s">
        <v>8937</v>
      </c>
      <c r="H1744" s="419" t="s">
        <v>310</v>
      </c>
      <c r="I1744" s="415" t="s">
        <v>1205</v>
      </c>
      <c r="J1744" s="419" t="s">
        <v>1204</v>
      </c>
      <c r="K1744" s="419" t="s">
        <v>830</v>
      </c>
      <c r="L1744" s="415" t="s">
        <v>909</v>
      </c>
      <c r="M1744" s="419" t="s">
        <v>310</v>
      </c>
      <c r="N1744" s="413">
        <v>44915</v>
      </c>
      <c r="O1744" s="414" t="s">
        <v>400</v>
      </c>
      <c r="P1744" s="655">
        <f t="shared" si="104"/>
        <v>12</v>
      </c>
      <c r="Q1744" s="655">
        <f t="shared" si="105"/>
        <v>12</v>
      </c>
      <c r="R1744" s="758" t="str">
        <f t="shared" si="103"/>
        <v>Gastos_com_Pessoal</v>
      </c>
      <c r="S1744" s="697" t="s">
        <v>310</v>
      </c>
      <c r="T1744" s="697" t="s">
        <v>310</v>
      </c>
    </row>
    <row r="1745" spans="1:20" ht="36" x14ac:dyDescent="0.2">
      <c r="A1745" s="432">
        <f>IF(B1745="","",COUNT('Diário 1º PA'!$A$4:$A$2635)+COUNT('Diário 2º PA'!$A$4:$A$3040)+COUNT('Diário 3º PA'!$A$4:$A$2731)+ROW()-3)</f>
        <v>7770</v>
      </c>
      <c r="B1745" s="413">
        <v>44915</v>
      </c>
      <c r="C1745" s="421">
        <v>44896</v>
      </c>
      <c r="D1745" s="419" t="s">
        <v>182</v>
      </c>
      <c r="E1745" s="419" t="s">
        <v>268</v>
      </c>
      <c r="F1745" s="422">
        <v>790.68</v>
      </c>
      <c r="G1745" s="427" t="s">
        <v>8936</v>
      </c>
      <c r="H1745" s="419" t="s">
        <v>310</v>
      </c>
      <c r="I1745" s="415" t="s">
        <v>828</v>
      </c>
      <c r="J1745" s="419" t="s">
        <v>829</v>
      </c>
      <c r="K1745" s="419" t="s">
        <v>830</v>
      </c>
      <c r="L1745" s="415" t="s">
        <v>909</v>
      </c>
      <c r="M1745" s="734" t="s">
        <v>310</v>
      </c>
      <c r="N1745" s="413">
        <v>44915</v>
      </c>
      <c r="O1745" s="414" t="s">
        <v>400</v>
      </c>
      <c r="P1745" s="655">
        <f t="shared" si="104"/>
        <v>12</v>
      </c>
      <c r="Q1745" s="655">
        <f t="shared" si="105"/>
        <v>12</v>
      </c>
      <c r="R1745" s="758" t="str">
        <f t="shared" ref="R1745:R1808" si="112">SUBSTITUTE(D1745," ","_")</f>
        <v>Gastos_com_Pessoal</v>
      </c>
      <c r="S1745" s="697" t="s">
        <v>310</v>
      </c>
      <c r="T1745" s="697" t="s">
        <v>310</v>
      </c>
    </row>
    <row r="1746" spans="1:20" ht="36" x14ac:dyDescent="0.2">
      <c r="A1746" s="432">
        <f>IF(B1746="","",COUNT('Diário 1º PA'!$A$4:$A$2635)+COUNT('Diário 2º PA'!$A$4:$A$3040)+COUNT('Diário 3º PA'!$A$4:$A$2731)+ROW()-3)</f>
        <v>7771</v>
      </c>
      <c r="B1746" s="413">
        <v>44915</v>
      </c>
      <c r="C1746" s="421">
        <v>44896</v>
      </c>
      <c r="D1746" s="419" t="s">
        <v>182</v>
      </c>
      <c r="E1746" s="419" t="s">
        <v>268</v>
      </c>
      <c r="F1746" s="422">
        <v>715.18</v>
      </c>
      <c r="G1746" s="427" t="s">
        <v>8938</v>
      </c>
      <c r="H1746" s="419" t="s">
        <v>310</v>
      </c>
      <c r="I1746" s="415" t="s">
        <v>5864</v>
      </c>
      <c r="J1746" s="419" t="s">
        <v>5865</v>
      </c>
      <c r="K1746" s="419" t="s">
        <v>830</v>
      </c>
      <c r="L1746" s="415" t="s">
        <v>909</v>
      </c>
      <c r="M1746" s="419" t="s">
        <v>310</v>
      </c>
      <c r="N1746" s="413">
        <v>44915</v>
      </c>
      <c r="O1746" s="414" t="s">
        <v>400</v>
      </c>
      <c r="P1746" s="655">
        <f t="shared" si="104"/>
        <v>12</v>
      </c>
      <c r="Q1746" s="655">
        <f t="shared" si="105"/>
        <v>12</v>
      </c>
      <c r="R1746" s="758" t="str">
        <f t="shared" si="112"/>
        <v>Gastos_com_Pessoal</v>
      </c>
      <c r="S1746" s="697" t="s">
        <v>310</v>
      </c>
      <c r="T1746" s="697" t="s">
        <v>310</v>
      </c>
    </row>
    <row r="1747" spans="1:20" ht="36" x14ac:dyDescent="0.2">
      <c r="A1747" s="432">
        <f>IF(B1747="","",COUNT('Diário 1º PA'!$A$4:$A$2635)+COUNT('Diário 2º PA'!$A$4:$A$3040)+COUNT('Diário 3º PA'!$A$4:$A$2731)+ROW()-3)</f>
        <v>7772</v>
      </c>
      <c r="B1747" s="413">
        <v>44915</v>
      </c>
      <c r="C1747" s="421">
        <v>44896</v>
      </c>
      <c r="D1747" s="419" t="s">
        <v>182</v>
      </c>
      <c r="E1747" s="419" t="s">
        <v>268</v>
      </c>
      <c r="F1747" s="422">
        <v>1021.4</v>
      </c>
      <c r="G1747" s="427" t="s">
        <v>8939</v>
      </c>
      <c r="H1747" s="419" t="s">
        <v>310</v>
      </c>
      <c r="I1747" s="415" t="s">
        <v>1203</v>
      </c>
      <c r="J1747" s="419" t="s">
        <v>1201</v>
      </c>
      <c r="K1747" s="419" t="s">
        <v>830</v>
      </c>
      <c r="L1747" s="415" t="s">
        <v>909</v>
      </c>
      <c r="M1747" s="419" t="s">
        <v>310</v>
      </c>
      <c r="N1747" s="413">
        <v>44915</v>
      </c>
      <c r="O1747" s="414" t="s">
        <v>400</v>
      </c>
      <c r="P1747" s="655">
        <f t="shared" si="104"/>
        <v>12</v>
      </c>
      <c r="Q1747" s="655">
        <f t="shared" si="105"/>
        <v>12</v>
      </c>
      <c r="R1747" s="758" t="str">
        <f t="shared" si="112"/>
        <v>Gastos_com_Pessoal</v>
      </c>
      <c r="S1747" s="697" t="s">
        <v>310</v>
      </c>
      <c r="T1747" s="697" t="s">
        <v>310</v>
      </c>
    </row>
    <row r="1748" spans="1:20" ht="24" x14ac:dyDescent="0.2">
      <c r="A1748" s="432">
        <f>IF(B1748="","",COUNT('Diário 1º PA'!$A$4:$A$2635)+COUNT('Diário 2º PA'!$A$4:$A$3040)+COUNT('Diário 3º PA'!$A$4:$A$2731)+ROW()-3)</f>
        <v>7773</v>
      </c>
      <c r="B1748" s="413">
        <v>44915</v>
      </c>
      <c r="C1748" s="431">
        <v>44866</v>
      </c>
      <c r="D1748" s="419" t="s">
        <v>271</v>
      </c>
      <c r="E1748" s="415" t="s">
        <v>90</v>
      </c>
      <c r="F1748" s="422">
        <v>74.8</v>
      </c>
      <c r="G1748" s="419" t="s">
        <v>8245</v>
      </c>
      <c r="H1748" s="419" t="s">
        <v>753</v>
      </c>
      <c r="I1748" s="415" t="s">
        <v>1461</v>
      </c>
      <c r="J1748" s="419" t="s">
        <v>310</v>
      </c>
      <c r="K1748" s="419" t="s">
        <v>1220</v>
      </c>
      <c r="L1748" s="415" t="s">
        <v>1368</v>
      </c>
      <c r="M1748" s="419" t="s">
        <v>310</v>
      </c>
      <c r="N1748" s="413">
        <v>44915</v>
      </c>
      <c r="O1748" s="414" t="s">
        <v>400</v>
      </c>
      <c r="P1748" s="655">
        <f t="shared" si="104"/>
        <v>12</v>
      </c>
      <c r="Q1748" s="655">
        <f t="shared" si="105"/>
        <v>11</v>
      </c>
      <c r="R1748" s="758" t="str">
        <f t="shared" si="112"/>
        <v>Gastos_Gerais</v>
      </c>
      <c r="S1748" s="697" t="s">
        <v>310</v>
      </c>
      <c r="T1748" s="697" t="s">
        <v>310</v>
      </c>
    </row>
    <row r="1749" spans="1:20" ht="36" x14ac:dyDescent="0.2">
      <c r="A1749" s="432">
        <f>IF(B1749="","",COUNT('Diário 1º PA'!$A$4:$A$2635)+COUNT('Diário 2º PA'!$A$4:$A$3040)+COUNT('Diário 3º PA'!$A$4:$A$2731)+ROW()-3)</f>
        <v>7774</v>
      </c>
      <c r="B1749" s="413">
        <v>44915</v>
      </c>
      <c r="C1749" s="421">
        <v>44896</v>
      </c>
      <c r="D1749" s="419" t="s">
        <v>182</v>
      </c>
      <c r="E1749" s="419" t="s">
        <v>268</v>
      </c>
      <c r="F1749" s="422">
        <v>1332.4</v>
      </c>
      <c r="G1749" s="423" t="s">
        <v>8940</v>
      </c>
      <c r="H1749" s="419" t="s">
        <v>310</v>
      </c>
      <c r="I1749" s="415" t="s">
        <v>1186</v>
      </c>
      <c r="J1749" s="419" t="s">
        <v>1187</v>
      </c>
      <c r="K1749" s="419" t="s">
        <v>830</v>
      </c>
      <c r="L1749" s="415" t="s">
        <v>909</v>
      </c>
      <c r="M1749" s="419" t="s">
        <v>310</v>
      </c>
      <c r="N1749" s="413">
        <v>44915</v>
      </c>
      <c r="O1749" s="414" t="s">
        <v>400</v>
      </c>
      <c r="P1749" s="655">
        <f t="shared" si="104"/>
        <v>12</v>
      </c>
      <c r="Q1749" s="655">
        <f t="shared" si="105"/>
        <v>12</v>
      </c>
      <c r="R1749" s="758" t="str">
        <f t="shared" si="112"/>
        <v>Gastos_com_Pessoal</v>
      </c>
      <c r="S1749" s="697" t="s">
        <v>310</v>
      </c>
      <c r="T1749" s="697" t="s">
        <v>310</v>
      </c>
    </row>
    <row r="1750" spans="1:20" ht="36" x14ac:dyDescent="0.2">
      <c r="A1750" s="432">
        <f>IF(B1750="","",COUNT('Diário 1º PA'!$A$4:$A$2635)+COUNT('Diário 2º PA'!$A$4:$A$3040)+COUNT('Diário 3º PA'!$A$4:$A$2731)+ROW()-3)</f>
        <v>7775</v>
      </c>
      <c r="B1750" s="413">
        <v>44915</v>
      </c>
      <c r="C1750" s="421">
        <v>44896</v>
      </c>
      <c r="D1750" s="419" t="s">
        <v>182</v>
      </c>
      <c r="E1750" s="419" t="s">
        <v>268</v>
      </c>
      <c r="F1750" s="422">
        <v>1021.4</v>
      </c>
      <c r="G1750" s="423" t="s">
        <v>8941</v>
      </c>
      <c r="H1750" s="419" t="s">
        <v>310</v>
      </c>
      <c r="I1750" s="415" t="s">
        <v>1190</v>
      </c>
      <c r="J1750" s="419" t="s">
        <v>1191</v>
      </c>
      <c r="K1750" s="419" t="s">
        <v>830</v>
      </c>
      <c r="L1750" s="415" t="s">
        <v>909</v>
      </c>
      <c r="M1750" s="419" t="s">
        <v>310</v>
      </c>
      <c r="N1750" s="413">
        <v>44915</v>
      </c>
      <c r="O1750" s="414" t="s">
        <v>400</v>
      </c>
      <c r="P1750" s="655">
        <f t="shared" si="104"/>
        <v>12</v>
      </c>
      <c r="Q1750" s="655">
        <f t="shared" si="105"/>
        <v>12</v>
      </c>
      <c r="R1750" s="758" t="str">
        <f t="shared" si="112"/>
        <v>Gastos_com_Pessoal</v>
      </c>
      <c r="S1750" s="697" t="s">
        <v>310</v>
      </c>
      <c r="T1750" s="697" t="s">
        <v>310</v>
      </c>
    </row>
    <row r="1751" spans="1:20" ht="36" x14ac:dyDescent="0.2">
      <c r="A1751" s="432">
        <f>IF(B1751="","",COUNT('Diário 1º PA'!$A$4:$A$2635)+COUNT('Diário 2º PA'!$A$4:$A$3040)+COUNT('Diário 3º PA'!$A$4:$A$2731)+ROW()-3)</f>
        <v>7776</v>
      </c>
      <c r="B1751" s="413">
        <v>44915</v>
      </c>
      <c r="C1751" s="421">
        <v>44896</v>
      </c>
      <c r="D1751" s="419" t="s">
        <v>182</v>
      </c>
      <c r="E1751" s="419" t="s">
        <v>268</v>
      </c>
      <c r="F1751" s="422">
        <v>1021.4</v>
      </c>
      <c r="G1751" s="427" t="s">
        <v>8941</v>
      </c>
      <c r="H1751" s="419" t="s">
        <v>310</v>
      </c>
      <c r="I1751" s="415" t="s">
        <v>1200</v>
      </c>
      <c r="J1751" s="419" t="s">
        <v>1201</v>
      </c>
      <c r="K1751" s="419" t="s">
        <v>830</v>
      </c>
      <c r="L1751" s="415" t="s">
        <v>909</v>
      </c>
      <c r="M1751" s="419" t="s">
        <v>310</v>
      </c>
      <c r="N1751" s="413">
        <v>44915</v>
      </c>
      <c r="O1751" s="414" t="s">
        <v>400</v>
      </c>
      <c r="P1751" s="655">
        <f t="shared" si="104"/>
        <v>12</v>
      </c>
      <c r="Q1751" s="655">
        <f t="shared" si="105"/>
        <v>12</v>
      </c>
      <c r="R1751" s="758" t="str">
        <f t="shared" si="112"/>
        <v>Gastos_com_Pessoal</v>
      </c>
      <c r="S1751" s="697" t="s">
        <v>310</v>
      </c>
      <c r="T1751" s="697" t="s">
        <v>310</v>
      </c>
    </row>
    <row r="1752" spans="1:20" ht="36" x14ac:dyDescent="0.2">
      <c r="A1752" s="432">
        <f>IF(B1752="","",COUNT('Diário 1º PA'!$A$4:$A$2635)+COUNT('Diário 2º PA'!$A$4:$A$3040)+COUNT('Diário 3º PA'!$A$4:$A$2731)+ROW()-3)</f>
        <v>7777</v>
      </c>
      <c r="B1752" s="413">
        <v>44915</v>
      </c>
      <c r="C1752" s="421">
        <v>44896</v>
      </c>
      <c r="D1752" s="419" t="s">
        <v>182</v>
      </c>
      <c r="E1752" s="419" t="s">
        <v>268</v>
      </c>
      <c r="F1752" s="422">
        <v>1021.4</v>
      </c>
      <c r="G1752" s="427" t="s">
        <v>8942</v>
      </c>
      <c r="H1752" s="419" t="s">
        <v>310</v>
      </c>
      <c r="I1752" s="415" t="s">
        <v>1202</v>
      </c>
      <c r="J1752" s="419" t="s">
        <v>1201</v>
      </c>
      <c r="K1752" s="419" t="s">
        <v>830</v>
      </c>
      <c r="L1752" s="415" t="s">
        <v>909</v>
      </c>
      <c r="M1752" s="419" t="s">
        <v>310</v>
      </c>
      <c r="N1752" s="413">
        <v>44915</v>
      </c>
      <c r="O1752" s="414" t="s">
        <v>400</v>
      </c>
      <c r="P1752" s="655">
        <f t="shared" si="104"/>
        <v>12</v>
      </c>
      <c r="Q1752" s="655">
        <f t="shared" si="105"/>
        <v>12</v>
      </c>
      <c r="R1752" s="758" t="str">
        <f t="shared" si="112"/>
        <v>Gastos_com_Pessoal</v>
      </c>
      <c r="S1752" s="697" t="s">
        <v>310</v>
      </c>
      <c r="T1752" s="697" t="s">
        <v>310</v>
      </c>
    </row>
    <row r="1753" spans="1:20" ht="36" x14ac:dyDescent="0.2">
      <c r="A1753" s="432">
        <f>IF(B1753="","",COUNT('Diário 1º PA'!$A$4:$A$2635)+COUNT('Diário 2º PA'!$A$4:$A$3040)+COUNT('Diário 3º PA'!$A$4:$A$2731)+ROW()-3)</f>
        <v>7778</v>
      </c>
      <c r="B1753" s="413">
        <v>44915</v>
      </c>
      <c r="C1753" s="421">
        <v>44896</v>
      </c>
      <c r="D1753" s="419" t="s">
        <v>182</v>
      </c>
      <c r="E1753" s="419" t="s">
        <v>268</v>
      </c>
      <c r="F1753" s="422">
        <v>536.83000000000004</v>
      </c>
      <c r="G1753" s="427" t="s">
        <v>8943</v>
      </c>
      <c r="H1753" s="419" t="s">
        <v>310</v>
      </c>
      <c r="I1753" s="415" t="s">
        <v>6317</v>
      </c>
      <c r="J1753" s="419" t="s">
        <v>6318</v>
      </c>
      <c r="K1753" s="419" t="s">
        <v>830</v>
      </c>
      <c r="L1753" s="415" t="s">
        <v>909</v>
      </c>
      <c r="M1753" s="419" t="s">
        <v>310</v>
      </c>
      <c r="N1753" s="413">
        <v>44915</v>
      </c>
      <c r="O1753" s="414" t="s">
        <v>400</v>
      </c>
      <c r="P1753" s="655">
        <f t="shared" si="104"/>
        <v>12</v>
      </c>
      <c r="Q1753" s="655">
        <f t="shared" si="105"/>
        <v>12</v>
      </c>
      <c r="R1753" s="758" t="str">
        <f t="shared" si="112"/>
        <v>Gastos_com_Pessoal</v>
      </c>
      <c r="S1753" s="697" t="s">
        <v>310</v>
      </c>
      <c r="T1753" s="697" t="s">
        <v>310</v>
      </c>
    </row>
    <row r="1754" spans="1:20" ht="36" x14ac:dyDescent="0.2">
      <c r="A1754" s="432">
        <f>IF(B1754="","",COUNT('Diário 1º PA'!$A$4:$A$2635)+COUNT('Diário 2º PA'!$A$4:$A$3040)+COUNT('Diário 3º PA'!$A$4:$A$2731)+ROW()-3)</f>
        <v>7779</v>
      </c>
      <c r="B1754" s="413">
        <v>44915</v>
      </c>
      <c r="C1754" s="421">
        <v>44896</v>
      </c>
      <c r="D1754" s="419" t="s">
        <v>182</v>
      </c>
      <c r="E1754" s="419" t="s">
        <v>268</v>
      </c>
      <c r="F1754" s="422">
        <v>1766.85</v>
      </c>
      <c r="G1754" s="423" t="s">
        <v>8944</v>
      </c>
      <c r="H1754" s="419" t="s">
        <v>310</v>
      </c>
      <c r="I1754" s="415" t="s">
        <v>1169</v>
      </c>
      <c r="J1754" s="419" t="s">
        <v>1170</v>
      </c>
      <c r="K1754" s="419" t="s">
        <v>830</v>
      </c>
      <c r="L1754" s="415" t="s">
        <v>909</v>
      </c>
      <c r="M1754" s="419" t="s">
        <v>310</v>
      </c>
      <c r="N1754" s="413">
        <v>44915</v>
      </c>
      <c r="O1754" s="414" t="s">
        <v>400</v>
      </c>
      <c r="P1754" s="655">
        <f t="shared" si="104"/>
        <v>12</v>
      </c>
      <c r="Q1754" s="655">
        <f t="shared" si="105"/>
        <v>12</v>
      </c>
      <c r="R1754" s="758" t="str">
        <f t="shared" si="112"/>
        <v>Gastos_com_Pessoal</v>
      </c>
      <c r="S1754" s="697" t="s">
        <v>310</v>
      </c>
      <c r="T1754" s="697" t="s">
        <v>310</v>
      </c>
    </row>
    <row r="1755" spans="1:20" ht="36" x14ac:dyDescent="0.2">
      <c r="A1755" s="432">
        <f>IF(B1755="","",COUNT('Diário 1º PA'!$A$4:$A$2635)+COUNT('Diário 2º PA'!$A$4:$A$3040)+COUNT('Diário 3º PA'!$A$4:$A$2731)+ROW()-3)</f>
        <v>7780</v>
      </c>
      <c r="B1755" s="413">
        <v>44915</v>
      </c>
      <c r="C1755" s="421">
        <v>44896</v>
      </c>
      <c r="D1755" s="419" t="s">
        <v>182</v>
      </c>
      <c r="E1755" s="419" t="s">
        <v>268</v>
      </c>
      <c r="F1755" s="422">
        <v>1311.6</v>
      </c>
      <c r="G1755" s="642" t="s">
        <v>8945</v>
      </c>
      <c r="H1755" s="419" t="s">
        <v>310</v>
      </c>
      <c r="I1755" s="434" t="s">
        <v>1179</v>
      </c>
      <c r="J1755" s="426" t="s">
        <v>1180</v>
      </c>
      <c r="K1755" s="426" t="s">
        <v>830</v>
      </c>
      <c r="L1755" s="434" t="s">
        <v>909</v>
      </c>
      <c r="M1755" s="426" t="s">
        <v>310</v>
      </c>
      <c r="N1755" s="413">
        <v>44915</v>
      </c>
      <c r="O1755" s="414" t="s">
        <v>400</v>
      </c>
      <c r="P1755" s="655">
        <f t="shared" si="104"/>
        <v>12</v>
      </c>
      <c r="Q1755" s="655">
        <f t="shared" si="105"/>
        <v>12</v>
      </c>
      <c r="R1755" s="758" t="str">
        <f t="shared" si="112"/>
        <v>Gastos_com_Pessoal</v>
      </c>
      <c r="S1755" s="697" t="s">
        <v>310</v>
      </c>
      <c r="T1755" s="697" t="s">
        <v>310</v>
      </c>
    </row>
    <row r="1756" spans="1:20" ht="36" x14ac:dyDescent="0.2">
      <c r="A1756" s="432">
        <f>IF(B1756="","",COUNT('Diário 1º PA'!$A$4:$A$2635)+COUNT('Diário 2º PA'!$A$4:$A$3040)+COUNT('Diário 3º PA'!$A$4:$A$2731)+ROW()-3)</f>
        <v>7781</v>
      </c>
      <c r="B1756" s="413">
        <v>44915</v>
      </c>
      <c r="C1756" s="421">
        <v>44896</v>
      </c>
      <c r="D1756" s="419" t="s">
        <v>182</v>
      </c>
      <c r="E1756" s="419" t="s">
        <v>268</v>
      </c>
      <c r="F1756" s="422">
        <v>1332.4</v>
      </c>
      <c r="G1756" s="423" t="s">
        <v>8946</v>
      </c>
      <c r="H1756" s="419" t="s">
        <v>310</v>
      </c>
      <c r="I1756" s="415" t="s">
        <v>959</v>
      </c>
      <c r="J1756" s="419" t="s">
        <v>960</v>
      </c>
      <c r="K1756" s="419" t="s">
        <v>830</v>
      </c>
      <c r="L1756" s="415" t="s">
        <v>909</v>
      </c>
      <c r="M1756" s="419" t="s">
        <v>310</v>
      </c>
      <c r="N1756" s="413">
        <v>44915</v>
      </c>
      <c r="O1756" s="414" t="s">
        <v>400</v>
      </c>
      <c r="P1756" s="655">
        <f t="shared" si="104"/>
        <v>12</v>
      </c>
      <c r="Q1756" s="655">
        <f t="shared" si="105"/>
        <v>12</v>
      </c>
      <c r="R1756" s="758" t="str">
        <f t="shared" si="112"/>
        <v>Gastos_com_Pessoal</v>
      </c>
      <c r="S1756" s="697" t="s">
        <v>310</v>
      </c>
      <c r="T1756" s="697" t="s">
        <v>310</v>
      </c>
    </row>
    <row r="1757" spans="1:20" ht="36" x14ac:dyDescent="0.2">
      <c r="A1757" s="432">
        <f>IF(B1757="","",COUNT('Diário 1º PA'!$A$4:$A$2635)+COUNT('Diário 2º PA'!$A$4:$A$3040)+COUNT('Diário 3º PA'!$A$4:$A$2731)+ROW()-3)</f>
        <v>7782</v>
      </c>
      <c r="B1757" s="413">
        <v>44915</v>
      </c>
      <c r="C1757" s="421">
        <v>44896</v>
      </c>
      <c r="D1757" s="419" t="s">
        <v>182</v>
      </c>
      <c r="E1757" s="419" t="s">
        <v>268</v>
      </c>
      <c r="F1757" s="422">
        <v>484.8</v>
      </c>
      <c r="G1757" s="427" t="s">
        <v>8947</v>
      </c>
      <c r="H1757" s="419" t="s">
        <v>310</v>
      </c>
      <c r="I1757" s="415" t="s">
        <v>6297</v>
      </c>
      <c r="J1757" s="419" t="s">
        <v>6298</v>
      </c>
      <c r="K1757" s="419" t="s">
        <v>830</v>
      </c>
      <c r="L1757" s="415" t="s">
        <v>909</v>
      </c>
      <c r="M1757" s="419" t="s">
        <v>310</v>
      </c>
      <c r="N1757" s="413">
        <v>44915</v>
      </c>
      <c r="O1757" s="414" t="s">
        <v>400</v>
      </c>
      <c r="P1757" s="655">
        <f t="shared" si="104"/>
        <v>12</v>
      </c>
      <c r="Q1757" s="655">
        <f t="shared" si="105"/>
        <v>12</v>
      </c>
      <c r="R1757" s="758" t="str">
        <f t="shared" si="112"/>
        <v>Gastos_com_Pessoal</v>
      </c>
      <c r="S1757" s="697" t="s">
        <v>310</v>
      </c>
      <c r="T1757" s="697" t="s">
        <v>310</v>
      </c>
    </row>
    <row r="1758" spans="1:20" ht="72" x14ac:dyDescent="0.2">
      <c r="A1758" s="432">
        <f>IF(B1758="","",COUNT('Diário 1º PA'!$A$4:$A$2635)+COUNT('Diário 2º PA'!$A$4:$A$3040)+COUNT('Diário 3º PA'!$A$4:$A$2731)+ROW()-3)</f>
        <v>7783</v>
      </c>
      <c r="B1758" s="413">
        <v>44915</v>
      </c>
      <c r="C1758" s="421">
        <v>44866</v>
      </c>
      <c r="D1758" s="415" t="s">
        <v>271</v>
      </c>
      <c r="E1758" s="415" t="s">
        <v>186</v>
      </c>
      <c r="F1758" s="425">
        <v>2952.47</v>
      </c>
      <c r="G1758" s="427" t="s">
        <v>3151</v>
      </c>
      <c r="H1758" s="415" t="s">
        <v>751</v>
      </c>
      <c r="I1758" s="415" t="s">
        <v>3740</v>
      </c>
      <c r="J1758" s="415" t="s">
        <v>1029</v>
      </c>
      <c r="K1758" s="419" t="s">
        <v>812</v>
      </c>
      <c r="L1758" s="415" t="s">
        <v>32</v>
      </c>
      <c r="M1758" s="419" t="s">
        <v>8948</v>
      </c>
      <c r="N1758" s="413">
        <v>44900</v>
      </c>
      <c r="O1758" s="414" t="s">
        <v>400</v>
      </c>
      <c r="P1758" s="655">
        <f t="shared" si="104"/>
        <v>12</v>
      </c>
      <c r="Q1758" s="655">
        <f t="shared" si="105"/>
        <v>11</v>
      </c>
      <c r="R1758" s="758" t="str">
        <f t="shared" si="112"/>
        <v>Gastos_Gerais</v>
      </c>
      <c r="S1758" s="697" t="s">
        <v>1000</v>
      </c>
      <c r="T1758" s="697">
        <v>1501</v>
      </c>
    </row>
    <row r="1759" spans="1:20" ht="24" x14ac:dyDescent="0.2">
      <c r="A1759" s="432">
        <f>IF(B1759="","",COUNT('Diário 1º PA'!$A$4:$A$2635)+COUNT('Diário 2º PA'!$A$4:$A$3040)+COUNT('Diário 3º PA'!$A$4:$A$2731)+ROW()-3)</f>
        <v>7784</v>
      </c>
      <c r="B1759" s="413">
        <v>44915</v>
      </c>
      <c r="C1759" s="431">
        <v>44835</v>
      </c>
      <c r="D1759" s="415" t="s">
        <v>271</v>
      </c>
      <c r="E1759" s="415" t="s">
        <v>90</v>
      </c>
      <c r="F1759" s="422">
        <v>57.45</v>
      </c>
      <c r="G1759" s="419" t="s">
        <v>8081</v>
      </c>
      <c r="H1759" s="419" t="s">
        <v>793</v>
      </c>
      <c r="I1759" s="415" t="s">
        <v>1461</v>
      </c>
      <c r="J1759" s="419" t="s">
        <v>310</v>
      </c>
      <c r="K1759" s="419" t="s">
        <v>1220</v>
      </c>
      <c r="L1759" s="415" t="s">
        <v>1368</v>
      </c>
      <c r="M1759" s="419" t="s">
        <v>310</v>
      </c>
      <c r="N1759" s="413">
        <v>44915</v>
      </c>
      <c r="O1759" s="414" t="s">
        <v>400</v>
      </c>
      <c r="P1759" s="655">
        <f t="shared" si="104"/>
        <v>12</v>
      </c>
      <c r="Q1759" s="655">
        <f t="shared" si="105"/>
        <v>10</v>
      </c>
      <c r="R1759" s="758" t="str">
        <f t="shared" si="112"/>
        <v>Gastos_Gerais</v>
      </c>
      <c r="S1759" s="697" t="s">
        <v>310</v>
      </c>
      <c r="T1759" s="697" t="s">
        <v>310</v>
      </c>
    </row>
    <row r="1760" spans="1:20" ht="36" x14ac:dyDescent="0.2">
      <c r="A1760" s="432">
        <f>IF(B1760="","",COUNT('Diário 1º PA'!$A$4:$A$2635)+COUNT('Diário 2º PA'!$A$4:$A$3040)+COUNT('Diário 3º PA'!$A$4:$A$2731)+ROW()-3)</f>
        <v>7785</v>
      </c>
      <c r="B1760" s="413">
        <v>44915</v>
      </c>
      <c r="C1760" s="421">
        <v>44896</v>
      </c>
      <c r="D1760" s="419" t="s">
        <v>182</v>
      </c>
      <c r="E1760" s="419" t="s">
        <v>268</v>
      </c>
      <c r="F1760" s="422">
        <v>1090.48</v>
      </c>
      <c r="G1760" s="427" t="s">
        <v>8950</v>
      </c>
      <c r="H1760" s="419" t="s">
        <v>310</v>
      </c>
      <c r="I1760" s="415" t="s">
        <v>972</v>
      </c>
      <c r="J1760" s="419" t="s">
        <v>973</v>
      </c>
      <c r="K1760" s="419" t="s">
        <v>830</v>
      </c>
      <c r="L1760" s="415" t="s">
        <v>909</v>
      </c>
      <c r="M1760" s="419" t="s">
        <v>310</v>
      </c>
      <c r="N1760" s="413">
        <v>44915</v>
      </c>
      <c r="O1760" s="414" t="s">
        <v>400</v>
      </c>
      <c r="P1760" s="655">
        <f t="shared" si="104"/>
        <v>12</v>
      </c>
      <c r="Q1760" s="655">
        <f t="shared" si="105"/>
        <v>12</v>
      </c>
      <c r="R1760" s="758" t="str">
        <f t="shared" si="112"/>
        <v>Gastos_com_Pessoal</v>
      </c>
      <c r="S1760" s="697" t="s">
        <v>310</v>
      </c>
      <c r="T1760" s="697" t="s">
        <v>310</v>
      </c>
    </row>
    <row r="1761" spans="1:20" ht="36" x14ac:dyDescent="0.2">
      <c r="A1761" s="432">
        <f>IF(B1761="","",COUNT('Diário 1º PA'!$A$4:$A$2635)+COUNT('Diário 2º PA'!$A$4:$A$3040)+COUNT('Diário 3º PA'!$A$4:$A$2731)+ROW()-3)</f>
        <v>7786</v>
      </c>
      <c r="B1761" s="413">
        <v>44915</v>
      </c>
      <c r="C1761" s="421">
        <v>44896</v>
      </c>
      <c r="D1761" s="419" t="s">
        <v>182</v>
      </c>
      <c r="E1761" s="419" t="s">
        <v>268</v>
      </c>
      <c r="F1761" s="422">
        <v>1420.99</v>
      </c>
      <c r="G1761" s="427" t="s">
        <v>8951</v>
      </c>
      <c r="H1761" s="419" t="s">
        <v>310</v>
      </c>
      <c r="I1761" s="415" t="s">
        <v>963</v>
      </c>
      <c r="J1761" s="419" t="s">
        <v>964</v>
      </c>
      <c r="K1761" s="419" t="s">
        <v>830</v>
      </c>
      <c r="L1761" s="415" t="s">
        <v>909</v>
      </c>
      <c r="M1761" s="419" t="s">
        <v>310</v>
      </c>
      <c r="N1761" s="413">
        <v>44915</v>
      </c>
      <c r="O1761" s="414" t="s">
        <v>400</v>
      </c>
      <c r="P1761" s="655">
        <f t="shared" si="104"/>
        <v>12</v>
      </c>
      <c r="Q1761" s="655">
        <f t="shared" si="105"/>
        <v>12</v>
      </c>
      <c r="R1761" s="758" t="str">
        <f t="shared" si="112"/>
        <v>Gastos_com_Pessoal</v>
      </c>
      <c r="S1761" s="697" t="s">
        <v>310</v>
      </c>
      <c r="T1761" s="697" t="s">
        <v>310</v>
      </c>
    </row>
    <row r="1762" spans="1:20" ht="36" x14ac:dyDescent="0.2">
      <c r="A1762" s="432">
        <f>IF(B1762="","",COUNT('Diário 1º PA'!$A$4:$A$2635)+COUNT('Diário 2º PA'!$A$4:$A$3040)+COUNT('Diário 3º PA'!$A$4:$A$2731)+ROW()-3)</f>
        <v>7787</v>
      </c>
      <c r="B1762" s="413">
        <v>44915</v>
      </c>
      <c r="C1762" s="421">
        <v>44896</v>
      </c>
      <c r="D1762" s="419" t="s">
        <v>182</v>
      </c>
      <c r="E1762" s="419" t="s">
        <v>268</v>
      </c>
      <c r="F1762" s="422">
        <v>796.16</v>
      </c>
      <c r="G1762" s="427" t="s">
        <v>8941</v>
      </c>
      <c r="H1762" s="419" t="s">
        <v>310</v>
      </c>
      <c r="I1762" s="415" t="s">
        <v>3197</v>
      </c>
      <c r="J1762" s="419" t="s">
        <v>3198</v>
      </c>
      <c r="K1762" s="419" t="s">
        <v>830</v>
      </c>
      <c r="L1762" s="415" t="s">
        <v>909</v>
      </c>
      <c r="M1762" s="419" t="s">
        <v>310</v>
      </c>
      <c r="N1762" s="413">
        <v>44915</v>
      </c>
      <c r="O1762" s="414" t="s">
        <v>400</v>
      </c>
      <c r="P1762" s="655">
        <f t="shared" si="104"/>
        <v>12</v>
      </c>
      <c r="Q1762" s="655">
        <f t="shared" si="105"/>
        <v>12</v>
      </c>
      <c r="R1762" s="758" t="str">
        <f t="shared" si="112"/>
        <v>Gastos_com_Pessoal</v>
      </c>
      <c r="S1762" s="697" t="s">
        <v>310</v>
      </c>
      <c r="T1762" s="697" t="s">
        <v>310</v>
      </c>
    </row>
    <row r="1763" spans="1:20" ht="36" x14ac:dyDescent="0.2">
      <c r="A1763" s="432">
        <f>IF(B1763="","",COUNT('Diário 1º PA'!$A$4:$A$2635)+COUNT('Diário 2º PA'!$A$4:$A$3040)+COUNT('Diário 3º PA'!$A$4:$A$2731)+ROW()-3)</f>
        <v>7788</v>
      </c>
      <c r="B1763" s="413">
        <v>44915</v>
      </c>
      <c r="C1763" s="421">
        <v>44896</v>
      </c>
      <c r="D1763" s="419" t="s">
        <v>182</v>
      </c>
      <c r="E1763" s="419" t="s">
        <v>268</v>
      </c>
      <c r="F1763" s="422">
        <v>549.01</v>
      </c>
      <c r="G1763" s="427" t="s">
        <v>8952</v>
      </c>
      <c r="H1763" s="419" t="s">
        <v>310</v>
      </c>
      <c r="I1763" s="415" t="s">
        <v>1194</v>
      </c>
      <c r="J1763" s="419" t="s">
        <v>1193</v>
      </c>
      <c r="K1763" s="419" t="s">
        <v>830</v>
      </c>
      <c r="L1763" s="415" t="s">
        <v>909</v>
      </c>
      <c r="M1763" s="419" t="s">
        <v>310</v>
      </c>
      <c r="N1763" s="413">
        <v>44915</v>
      </c>
      <c r="O1763" s="414" t="s">
        <v>400</v>
      </c>
      <c r="P1763" s="655">
        <f t="shared" si="104"/>
        <v>12</v>
      </c>
      <c r="Q1763" s="655">
        <f t="shared" si="105"/>
        <v>12</v>
      </c>
      <c r="R1763" s="758" t="str">
        <f t="shared" si="112"/>
        <v>Gastos_com_Pessoal</v>
      </c>
      <c r="S1763" s="697" t="s">
        <v>310</v>
      </c>
      <c r="T1763" s="697" t="s">
        <v>310</v>
      </c>
    </row>
    <row r="1764" spans="1:20" ht="24" x14ac:dyDescent="0.2">
      <c r="A1764" s="432">
        <f>IF(B1764="","",COUNT('Diário 1º PA'!$A$4:$A$2635)+COUNT('Diário 2º PA'!$A$4:$A$3040)+COUNT('Diário 3º PA'!$A$4:$A$2731)+ROW()-3)</f>
        <v>7789</v>
      </c>
      <c r="B1764" s="413">
        <v>44915</v>
      </c>
      <c r="C1764" s="421">
        <v>44835</v>
      </c>
      <c r="D1764" s="419" t="s">
        <v>182</v>
      </c>
      <c r="E1764" s="434" t="s">
        <v>1</v>
      </c>
      <c r="F1764" s="422">
        <v>15.88</v>
      </c>
      <c r="G1764" s="419" t="s">
        <v>8953</v>
      </c>
      <c r="H1764" s="419" t="s">
        <v>310</v>
      </c>
      <c r="I1764" s="415" t="s">
        <v>1461</v>
      </c>
      <c r="J1764" s="419" t="s">
        <v>310</v>
      </c>
      <c r="K1764" s="419" t="s">
        <v>1220</v>
      </c>
      <c r="L1764" s="415" t="s">
        <v>1368</v>
      </c>
      <c r="M1764" s="419" t="s">
        <v>310</v>
      </c>
      <c r="N1764" s="413">
        <v>44915</v>
      </c>
      <c r="O1764" s="414" t="s">
        <v>400</v>
      </c>
      <c r="P1764" s="655">
        <f t="shared" si="104"/>
        <v>12</v>
      </c>
      <c r="Q1764" s="655">
        <f t="shared" si="105"/>
        <v>10</v>
      </c>
      <c r="R1764" s="758" t="str">
        <f t="shared" si="112"/>
        <v>Gastos_com_Pessoal</v>
      </c>
      <c r="S1764" s="697" t="s">
        <v>310</v>
      </c>
      <c r="T1764" s="697" t="s">
        <v>310</v>
      </c>
    </row>
    <row r="1765" spans="1:20" ht="24" x14ac:dyDescent="0.2">
      <c r="A1765" s="432">
        <f>IF(B1765="","",COUNT('Diário 1º PA'!$A$4:$A$2635)+COUNT('Diário 2º PA'!$A$4:$A$3040)+COUNT('Diário 3º PA'!$A$4:$A$2731)+ROW()-3)</f>
        <v>7790</v>
      </c>
      <c r="B1765" s="413">
        <v>44915</v>
      </c>
      <c r="C1765" s="433">
        <v>44835</v>
      </c>
      <c r="D1765" s="434" t="s">
        <v>182</v>
      </c>
      <c r="E1765" s="434" t="s">
        <v>1</v>
      </c>
      <c r="F1765" s="422">
        <v>14626.2</v>
      </c>
      <c r="G1765" s="419" t="s">
        <v>8120</v>
      </c>
      <c r="H1765" s="419" t="s">
        <v>310</v>
      </c>
      <c r="I1765" s="415" t="s">
        <v>1461</v>
      </c>
      <c r="J1765" s="419" t="s">
        <v>310</v>
      </c>
      <c r="K1765" s="419" t="s">
        <v>1220</v>
      </c>
      <c r="L1765" s="415" t="s">
        <v>1368</v>
      </c>
      <c r="M1765" s="419" t="s">
        <v>310</v>
      </c>
      <c r="N1765" s="413">
        <v>44915</v>
      </c>
      <c r="O1765" s="414" t="s">
        <v>400</v>
      </c>
      <c r="P1765" s="655">
        <f t="shared" si="104"/>
        <v>12</v>
      </c>
      <c r="Q1765" s="655">
        <f t="shared" si="105"/>
        <v>10</v>
      </c>
      <c r="R1765" s="758" t="str">
        <f t="shared" si="112"/>
        <v>Gastos_com_Pessoal</v>
      </c>
      <c r="S1765" s="697" t="s">
        <v>310</v>
      </c>
      <c r="T1765" s="697" t="s">
        <v>310</v>
      </c>
    </row>
    <row r="1766" spans="1:20" ht="24" x14ac:dyDescent="0.2">
      <c r="A1766" s="432">
        <f>IF(B1766="","",COUNT('Diário 1º PA'!$A$4:$A$2635)+COUNT('Diário 2º PA'!$A$4:$A$3040)+COUNT('Diário 3º PA'!$A$4:$A$2731)+ROW()-3)</f>
        <v>7791</v>
      </c>
      <c r="B1766" s="413">
        <v>44915</v>
      </c>
      <c r="C1766" s="433">
        <v>44866</v>
      </c>
      <c r="D1766" s="419" t="s">
        <v>182</v>
      </c>
      <c r="E1766" s="415" t="s">
        <v>287</v>
      </c>
      <c r="F1766" s="422">
        <v>56.31</v>
      </c>
      <c r="G1766" s="419" t="s">
        <v>8543</v>
      </c>
      <c r="H1766" s="419" t="s">
        <v>310</v>
      </c>
      <c r="I1766" s="415" t="s">
        <v>1461</v>
      </c>
      <c r="J1766" s="419" t="s">
        <v>310</v>
      </c>
      <c r="K1766" s="419" t="s">
        <v>1220</v>
      </c>
      <c r="L1766" s="415" t="s">
        <v>1368</v>
      </c>
      <c r="M1766" s="419" t="s">
        <v>310</v>
      </c>
      <c r="N1766" s="413">
        <v>44915</v>
      </c>
      <c r="O1766" s="414" t="s">
        <v>400</v>
      </c>
      <c r="P1766" s="655">
        <f t="shared" si="104"/>
        <v>12</v>
      </c>
      <c r="Q1766" s="655">
        <f t="shared" si="105"/>
        <v>11</v>
      </c>
      <c r="R1766" s="758" t="str">
        <f t="shared" si="112"/>
        <v>Gastos_com_Pessoal</v>
      </c>
      <c r="S1766" s="697" t="s">
        <v>310</v>
      </c>
      <c r="T1766" s="697" t="s">
        <v>310</v>
      </c>
    </row>
    <row r="1767" spans="1:20" ht="36" x14ac:dyDescent="0.2">
      <c r="A1767" s="432">
        <f>IF(B1767="","",COUNT('Diário 1º PA'!$A$4:$A$2635)+COUNT('Diário 2º PA'!$A$4:$A$3040)+COUNT('Diário 3º PA'!$A$4:$A$2731)+ROW()-3)</f>
        <v>7792</v>
      </c>
      <c r="B1767" s="413">
        <v>44915</v>
      </c>
      <c r="C1767" s="433">
        <v>44866</v>
      </c>
      <c r="D1767" s="434" t="s">
        <v>182</v>
      </c>
      <c r="E1767" s="419" t="s">
        <v>175</v>
      </c>
      <c r="F1767" s="422">
        <v>525.32000000000005</v>
      </c>
      <c r="G1767" s="419" t="s">
        <v>8712</v>
      </c>
      <c r="H1767" s="419" t="s">
        <v>310</v>
      </c>
      <c r="I1767" s="415" t="s">
        <v>1461</v>
      </c>
      <c r="J1767" s="419" t="s">
        <v>310</v>
      </c>
      <c r="K1767" s="419" t="s">
        <v>1220</v>
      </c>
      <c r="L1767" s="415" t="s">
        <v>1368</v>
      </c>
      <c r="M1767" s="419" t="s">
        <v>310</v>
      </c>
      <c r="N1767" s="413">
        <v>44915</v>
      </c>
      <c r="O1767" s="414" t="s">
        <v>400</v>
      </c>
      <c r="P1767" s="655">
        <f t="shared" si="104"/>
        <v>12</v>
      </c>
      <c r="Q1767" s="655">
        <f t="shared" si="105"/>
        <v>11</v>
      </c>
      <c r="R1767" s="758" t="str">
        <f t="shared" si="112"/>
        <v>Gastos_com_Pessoal</v>
      </c>
      <c r="S1767" s="697" t="s">
        <v>310</v>
      </c>
      <c r="T1767" s="697" t="s">
        <v>310</v>
      </c>
    </row>
    <row r="1768" spans="1:20" ht="36" x14ac:dyDescent="0.2">
      <c r="A1768" s="432">
        <f>IF(B1768="","",COUNT('Diário 1º PA'!$A$4:$A$2635)+COUNT('Diário 2º PA'!$A$4:$A$3040)+COUNT('Diário 3º PA'!$A$4:$A$2731)+ROW()-3)</f>
        <v>7793</v>
      </c>
      <c r="B1768" s="413">
        <v>44915</v>
      </c>
      <c r="C1768" s="433">
        <v>44866</v>
      </c>
      <c r="D1768" s="419" t="s">
        <v>182</v>
      </c>
      <c r="E1768" s="419" t="s">
        <v>268</v>
      </c>
      <c r="F1768" s="422">
        <v>3834.39</v>
      </c>
      <c r="G1768" s="423" t="s">
        <v>8954</v>
      </c>
      <c r="H1768" s="419" t="s">
        <v>310</v>
      </c>
      <c r="I1768" s="415" t="s">
        <v>952</v>
      </c>
      <c r="J1768" s="419" t="s">
        <v>953</v>
      </c>
      <c r="K1768" s="419" t="s">
        <v>830</v>
      </c>
      <c r="L1768" s="415" t="s">
        <v>909</v>
      </c>
      <c r="M1768" s="419" t="s">
        <v>310</v>
      </c>
      <c r="N1768" s="413">
        <v>44915</v>
      </c>
      <c r="O1768" s="414" t="s">
        <v>400</v>
      </c>
      <c r="P1768" s="655">
        <f t="shared" si="104"/>
        <v>12</v>
      </c>
      <c r="Q1768" s="655">
        <f t="shared" si="105"/>
        <v>11</v>
      </c>
      <c r="R1768" s="758" t="str">
        <f t="shared" si="112"/>
        <v>Gastos_com_Pessoal</v>
      </c>
      <c r="S1768" s="697" t="s">
        <v>310</v>
      </c>
      <c r="T1768" s="697" t="s">
        <v>310</v>
      </c>
    </row>
    <row r="1769" spans="1:20" ht="24" x14ac:dyDescent="0.2">
      <c r="A1769" s="432">
        <f>IF(B1769="","",COUNT('Diário 1º PA'!$A$4:$A$2635)+COUNT('Diário 2º PA'!$A$4:$A$3040)+COUNT('Diário 3º PA'!$A$4:$A$2731)+ROW()-3)</f>
        <v>7794</v>
      </c>
      <c r="B1769" s="413">
        <v>44915</v>
      </c>
      <c r="C1769" s="433">
        <v>44896</v>
      </c>
      <c r="D1769" s="434" t="s">
        <v>182</v>
      </c>
      <c r="E1769" s="434" t="s">
        <v>325</v>
      </c>
      <c r="F1769" s="422">
        <v>36.26</v>
      </c>
      <c r="G1769" s="419" t="s">
        <v>8955</v>
      </c>
      <c r="H1769" s="419" t="s">
        <v>310</v>
      </c>
      <c r="I1769" s="415" t="s">
        <v>1461</v>
      </c>
      <c r="J1769" s="419" t="s">
        <v>310</v>
      </c>
      <c r="K1769" s="419" t="s">
        <v>1220</v>
      </c>
      <c r="L1769" s="415" t="s">
        <v>1368</v>
      </c>
      <c r="M1769" s="419" t="s">
        <v>310</v>
      </c>
      <c r="N1769" s="413">
        <v>44915</v>
      </c>
      <c r="O1769" s="414" t="s">
        <v>400</v>
      </c>
      <c r="P1769" s="655">
        <f t="shared" si="104"/>
        <v>12</v>
      </c>
      <c r="Q1769" s="655">
        <f t="shared" si="105"/>
        <v>12</v>
      </c>
      <c r="R1769" s="758" t="str">
        <f t="shared" si="112"/>
        <v>Gastos_com_Pessoal</v>
      </c>
      <c r="S1769" s="697" t="s">
        <v>310</v>
      </c>
      <c r="T1769" s="697" t="s">
        <v>310</v>
      </c>
    </row>
    <row r="1770" spans="1:20" ht="36" x14ac:dyDescent="0.2">
      <c r="A1770" s="432">
        <f>IF(B1770="","",COUNT('Diário 1º PA'!$A$4:$A$2635)+COUNT('Diário 2º PA'!$A$4:$A$3040)+COUNT('Diário 3º PA'!$A$4:$A$2731)+ROW()-3)</f>
        <v>7795</v>
      </c>
      <c r="B1770" s="413">
        <v>44915</v>
      </c>
      <c r="C1770" s="433">
        <v>44896</v>
      </c>
      <c r="D1770" s="419" t="s">
        <v>182</v>
      </c>
      <c r="E1770" s="419" t="s">
        <v>268</v>
      </c>
      <c r="F1770" s="422">
        <v>1021.4</v>
      </c>
      <c r="G1770" s="423" t="s">
        <v>8956</v>
      </c>
      <c r="H1770" s="419" t="s">
        <v>310</v>
      </c>
      <c r="I1770" s="415" t="s">
        <v>1175</v>
      </c>
      <c r="J1770" s="419" t="s">
        <v>1176</v>
      </c>
      <c r="K1770" s="419" t="s">
        <v>830</v>
      </c>
      <c r="L1770" s="415" t="s">
        <v>909</v>
      </c>
      <c r="M1770" s="419" t="s">
        <v>310</v>
      </c>
      <c r="N1770" s="413">
        <v>44915</v>
      </c>
      <c r="O1770" s="414" t="s">
        <v>400</v>
      </c>
      <c r="P1770" s="655">
        <f t="shared" si="104"/>
        <v>12</v>
      </c>
      <c r="Q1770" s="655">
        <f t="shared" si="105"/>
        <v>12</v>
      </c>
      <c r="R1770" s="758" t="str">
        <f t="shared" si="112"/>
        <v>Gastos_com_Pessoal</v>
      </c>
      <c r="S1770" s="697" t="s">
        <v>310</v>
      </c>
      <c r="T1770" s="697" t="s">
        <v>310</v>
      </c>
    </row>
    <row r="1771" spans="1:20" ht="36" x14ac:dyDescent="0.2">
      <c r="A1771" s="432">
        <f>IF(B1771="","",COUNT('Diário 1º PA'!$A$4:$A$2635)+COUNT('Diário 2º PA'!$A$4:$A$3040)+COUNT('Diário 3º PA'!$A$4:$A$2731)+ROW()-3)</f>
        <v>7796</v>
      </c>
      <c r="B1771" s="413">
        <v>44915</v>
      </c>
      <c r="C1771" s="433">
        <v>44896</v>
      </c>
      <c r="D1771" s="419" t="s">
        <v>182</v>
      </c>
      <c r="E1771" s="419" t="s">
        <v>268</v>
      </c>
      <c r="F1771" s="422">
        <v>536.83000000000004</v>
      </c>
      <c r="G1771" s="423" t="s">
        <v>8957</v>
      </c>
      <c r="H1771" s="419" t="s">
        <v>310</v>
      </c>
      <c r="I1771" s="415" t="s">
        <v>7040</v>
      </c>
      <c r="J1771" s="419" t="s">
        <v>6358</v>
      </c>
      <c r="K1771" s="419" t="s">
        <v>830</v>
      </c>
      <c r="L1771" s="415" t="s">
        <v>909</v>
      </c>
      <c r="M1771" s="419" t="s">
        <v>310</v>
      </c>
      <c r="N1771" s="413">
        <v>44915</v>
      </c>
      <c r="O1771" s="414" t="s">
        <v>400</v>
      </c>
      <c r="P1771" s="655">
        <f t="shared" si="104"/>
        <v>12</v>
      </c>
      <c r="Q1771" s="655">
        <f t="shared" si="105"/>
        <v>12</v>
      </c>
      <c r="R1771" s="758" t="str">
        <f t="shared" si="112"/>
        <v>Gastos_com_Pessoal</v>
      </c>
      <c r="S1771" s="697" t="s">
        <v>310</v>
      </c>
      <c r="T1771" s="697" t="s">
        <v>310</v>
      </c>
    </row>
    <row r="1772" spans="1:20" ht="36" x14ac:dyDescent="0.2">
      <c r="A1772" s="432">
        <f>IF(B1772="","",COUNT('Diário 1º PA'!$A$4:$A$2635)+COUNT('Diário 2º PA'!$A$4:$A$3040)+COUNT('Diário 3º PA'!$A$4:$A$2731)+ROW()-3)</f>
        <v>7797</v>
      </c>
      <c r="B1772" s="413">
        <v>44915</v>
      </c>
      <c r="C1772" s="433">
        <v>44896</v>
      </c>
      <c r="D1772" s="419" t="s">
        <v>182</v>
      </c>
      <c r="E1772" s="419" t="s">
        <v>268</v>
      </c>
      <c r="F1772" s="422">
        <v>1332.4</v>
      </c>
      <c r="G1772" s="423" t="s">
        <v>8940</v>
      </c>
      <c r="H1772" s="419" t="s">
        <v>310</v>
      </c>
      <c r="I1772" s="415" t="s">
        <v>1184</v>
      </c>
      <c r="J1772" s="419" t="s">
        <v>1185</v>
      </c>
      <c r="K1772" s="419" t="s">
        <v>830</v>
      </c>
      <c r="L1772" s="415" t="s">
        <v>909</v>
      </c>
      <c r="M1772" s="419" t="s">
        <v>310</v>
      </c>
      <c r="N1772" s="413">
        <v>44915</v>
      </c>
      <c r="O1772" s="414" t="s">
        <v>400</v>
      </c>
      <c r="P1772" s="655">
        <f t="shared" si="104"/>
        <v>12</v>
      </c>
      <c r="Q1772" s="655">
        <f t="shared" si="105"/>
        <v>12</v>
      </c>
      <c r="R1772" s="758" t="str">
        <f t="shared" si="112"/>
        <v>Gastos_com_Pessoal</v>
      </c>
      <c r="S1772" s="697" t="s">
        <v>310</v>
      </c>
      <c r="T1772" s="697" t="s">
        <v>310</v>
      </c>
    </row>
    <row r="1773" spans="1:20" ht="36" x14ac:dyDescent="0.2">
      <c r="A1773" s="432">
        <f>IF(B1773="","",COUNT('Diário 1º PA'!$A$4:$A$2635)+COUNT('Diário 2º PA'!$A$4:$A$3040)+COUNT('Diário 3º PA'!$A$4:$A$2731)+ROW()-3)</f>
        <v>7798</v>
      </c>
      <c r="B1773" s="413">
        <v>44915</v>
      </c>
      <c r="C1773" s="433">
        <v>44896</v>
      </c>
      <c r="D1773" s="419" t="s">
        <v>182</v>
      </c>
      <c r="E1773" s="419" t="s">
        <v>268</v>
      </c>
      <c r="F1773" s="422">
        <v>3905.8</v>
      </c>
      <c r="G1773" s="427" t="s">
        <v>8958</v>
      </c>
      <c r="H1773" s="419" t="s">
        <v>310</v>
      </c>
      <c r="I1773" s="415" t="s">
        <v>990</v>
      </c>
      <c r="J1773" s="419" t="s">
        <v>991</v>
      </c>
      <c r="K1773" s="419" t="s">
        <v>830</v>
      </c>
      <c r="L1773" s="415" t="s">
        <v>909</v>
      </c>
      <c r="M1773" s="419" t="s">
        <v>310</v>
      </c>
      <c r="N1773" s="413">
        <v>44915</v>
      </c>
      <c r="O1773" s="414" t="s">
        <v>400</v>
      </c>
      <c r="P1773" s="655">
        <f t="shared" si="104"/>
        <v>12</v>
      </c>
      <c r="Q1773" s="655">
        <f t="shared" si="105"/>
        <v>12</v>
      </c>
      <c r="R1773" s="758" t="str">
        <f t="shared" si="112"/>
        <v>Gastos_com_Pessoal</v>
      </c>
      <c r="S1773" s="697" t="s">
        <v>310</v>
      </c>
      <c r="T1773" s="697" t="s">
        <v>310</v>
      </c>
    </row>
    <row r="1774" spans="1:20" ht="24" x14ac:dyDescent="0.2">
      <c r="A1774" s="432">
        <f>IF(B1774="","",COUNT('Diário 1º PA'!$A$4:$A$2635)+COUNT('Diário 2º PA'!$A$4:$A$3040)+COUNT('Diário 3º PA'!$A$4:$A$2731)+ROW()-3)</f>
        <v>7799</v>
      </c>
      <c r="B1774" s="413">
        <v>44915</v>
      </c>
      <c r="C1774" s="433">
        <v>44835</v>
      </c>
      <c r="D1774" s="434" t="s">
        <v>182</v>
      </c>
      <c r="E1774" s="434" t="s">
        <v>179</v>
      </c>
      <c r="F1774" s="422">
        <v>21.48</v>
      </c>
      <c r="G1774" s="419" t="s">
        <v>8056</v>
      </c>
      <c r="H1774" s="419" t="s">
        <v>310</v>
      </c>
      <c r="I1774" s="415" t="s">
        <v>1461</v>
      </c>
      <c r="J1774" s="419" t="s">
        <v>310</v>
      </c>
      <c r="K1774" s="419" t="s">
        <v>1220</v>
      </c>
      <c r="L1774" s="415" t="s">
        <v>1368</v>
      </c>
      <c r="M1774" s="419" t="s">
        <v>310</v>
      </c>
      <c r="N1774" s="413">
        <v>44915</v>
      </c>
      <c r="O1774" s="414" t="s">
        <v>400</v>
      </c>
      <c r="P1774" s="655">
        <f t="shared" si="104"/>
        <v>12</v>
      </c>
      <c r="Q1774" s="655">
        <f t="shared" si="105"/>
        <v>10</v>
      </c>
      <c r="R1774" s="758" t="str">
        <f t="shared" si="112"/>
        <v>Gastos_com_Pessoal</v>
      </c>
      <c r="S1774" s="697" t="s">
        <v>310</v>
      </c>
      <c r="T1774" s="697" t="s">
        <v>310</v>
      </c>
    </row>
    <row r="1775" spans="1:20" ht="36" x14ac:dyDescent="0.2">
      <c r="A1775" s="432">
        <f>IF(B1775="","",COUNT('Diário 1º PA'!$A$4:$A$2635)+COUNT('Diário 2º PA'!$A$4:$A$3040)+COUNT('Diário 3º PA'!$A$4:$A$2731)+ROW()-3)</f>
        <v>7800</v>
      </c>
      <c r="B1775" s="413">
        <v>44915</v>
      </c>
      <c r="C1775" s="433">
        <v>44896</v>
      </c>
      <c r="D1775" s="419" t="s">
        <v>182</v>
      </c>
      <c r="E1775" s="419" t="s">
        <v>268</v>
      </c>
      <c r="F1775" s="422">
        <v>1332.4</v>
      </c>
      <c r="G1775" s="423" t="s">
        <v>8959</v>
      </c>
      <c r="H1775" s="419" t="s">
        <v>310</v>
      </c>
      <c r="I1775" s="415" t="s">
        <v>1181</v>
      </c>
      <c r="J1775" s="419" t="s">
        <v>933</v>
      </c>
      <c r="K1775" s="419" t="s">
        <v>830</v>
      </c>
      <c r="L1775" s="415" t="s">
        <v>909</v>
      </c>
      <c r="M1775" s="419" t="s">
        <v>310</v>
      </c>
      <c r="N1775" s="413">
        <v>44915</v>
      </c>
      <c r="O1775" s="414" t="s">
        <v>400</v>
      </c>
      <c r="P1775" s="655">
        <f t="shared" ref="P1775:P1838" si="113">IF(B1775=0,0,IF(YEAR(B1775)=$Q$1,MONTH(B1775)-$P$1+1,(YEAR(B1775)-$Q$1)*12-$P$1+1+MONTH(B1775)))</f>
        <v>12</v>
      </c>
      <c r="Q1775" s="655">
        <f t="shared" ref="Q1775:Q1838" si="114">IF(C1775=0,0,IF(YEAR(C1775)=$Q$1,MONTH(C1775)-$P$1+1,(YEAR(C1775)-$Q$1)*12-$P$1+1+MONTH(C1775)))</f>
        <v>12</v>
      </c>
      <c r="R1775" s="758" t="str">
        <f t="shared" si="112"/>
        <v>Gastos_com_Pessoal</v>
      </c>
      <c r="S1775" s="697" t="s">
        <v>310</v>
      </c>
      <c r="T1775" s="697" t="s">
        <v>310</v>
      </c>
    </row>
    <row r="1776" spans="1:20" ht="36" x14ac:dyDescent="0.2">
      <c r="A1776" s="432">
        <f>IF(B1776="","",COUNT('Diário 1º PA'!$A$4:$A$2635)+COUNT('Diário 2º PA'!$A$4:$A$3040)+COUNT('Diário 3º PA'!$A$4:$A$2731)+ROW()-3)</f>
        <v>7801</v>
      </c>
      <c r="B1776" s="413">
        <v>44915</v>
      </c>
      <c r="C1776" s="433">
        <v>44896</v>
      </c>
      <c r="D1776" s="419" t="s">
        <v>182</v>
      </c>
      <c r="E1776" s="419" t="s">
        <v>268</v>
      </c>
      <c r="F1776" s="422">
        <v>829.98</v>
      </c>
      <c r="G1776" s="427" t="s">
        <v>8960</v>
      </c>
      <c r="H1776" s="419" t="s">
        <v>310</v>
      </c>
      <c r="I1776" s="415" t="s">
        <v>1196</v>
      </c>
      <c r="J1776" s="419" t="s">
        <v>1195</v>
      </c>
      <c r="K1776" s="419" t="s">
        <v>830</v>
      </c>
      <c r="L1776" s="415" t="s">
        <v>909</v>
      </c>
      <c r="M1776" s="419" t="s">
        <v>310</v>
      </c>
      <c r="N1776" s="413">
        <v>44915</v>
      </c>
      <c r="O1776" s="414" t="s">
        <v>400</v>
      </c>
      <c r="P1776" s="655">
        <f t="shared" si="113"/>
        <v>12</v>
      </c>
      <c r="Q1776" s="655">
        <f t="shared" si="114"/>
        <v>12</v>
      </c>
      <c r="R1776" s="758" t="str">
        <f t="shared" si="112"/>
        <v>Gastos_com_Pessoal</v>
      </c>
      <c r="S1776" s="697" t="s">
        <v>310</v>
      </c>
      <c r="T1776" s="697" t="s">
        <v>310</v>
      </c>
    </row>
    <row r="1777" spans="1:20" ht="36" x14ac:dyDescent="0.2">
      <c r="A1777" s="432">
        <f>IF(B1777="","",COUNT('Diário 1º PA'!$A$4:$A$2635)+COUNT('Diário 2º PA'!$A$4:$A$3040)+COUNT('Diário 3º PA'!$A$4:$A$2731)+ROW()-3)</f>
        <v>7802</v>
      </c>
      <c r="B1777" s="413">
        <v>44915</v>
      </c>
      <c r="C1777" s="433">
        <v>44896</v>
      </c>
      <c r="D1777" s="419" t="s">
        <v>182</v>
      </c>
      <c r="E1777" s="419" t="s">
        <v>268</v>
      </c>
      <c r="F1777" s="422">
        <v>305.88</v>
      </c>
      <c r="G1777" s="427" t="s">
        <v>8961</v>
      </c>
      <c r="H1777" s="419" t="s">
        <v>310</v>
      </c>
      <c r="I1777" s="415" t="s">
        <v>1207</v>
      </c>
      <c r="J1777" s="419" t="s">
        <v>1206</v>
      </c>
      <c r="K1777" s="419" t="s">
        <v>830</v>
      </c>
      <c r="L1777" s="415" t="s">
        <v>909</v>
      </c>
      <c r="M1777" s="419" t="s">
        <v>310</v>
      </c>
      <c r="N1777" s="413">
        <v>44915</v>
      </c>
      <c r="O1777" s="414" t="s">
        <v>400</v>
      </c>
      <c r="P1777" s="655">
        <f t="shared" si="113"/>
        <v>12</v>
      </c>
      <c r="Q1777" s="655">
        <f t="shared" si="114"/>
        <v>12</v>
      </c>
      <c r="R1777" s="758" t="str">
        <f t="shared" si="112"/>
        <v>Gastos_com_Pessoal</v>
      </c>
      <c r="S1777" s="697" t="s">
        <v>310</v>
      </c>
      <c r="T1777" s="697" t="s">
        <v>310</v>
      </c>
    </row>
    <row r="1778" spans="1:20" ht="36" x14ac:dyDescent="0.2">
      <c r="A1778" s="432">
        <f>IF(B1778="","",COUNT('Diário 1º PA'!$A$4:$A$2635)+COUNT('Diário 2º PA'!$A$4:$A$3040)+COUNT('Diário 3º PA'!$A$4:$A$2731)+ROW()-3)</f>
        <v>7803</v>
      </c>
      <c r="B1778" s="413">
        <v>44915</v>
      </c>
      <c r="C1778" s="433">
        <v>44896</v>
      </c>
      <c r="D1778" s="419" t="s">
        <v>182</v>
      </c>
      <c r="E1778" s="419" t="s">
        <v>268</v>
      </c>
      <c r="F1778" s="422">
        <v>1081.8499999999999</v>
      </c>
      <c r="G1778" s="427" t="s">
        <v>8959</v>
      </c>
      <c r="H1778" s="419" t="s">
        <v>310</v>
      </c>
      <c r="I1778" s="415" t="s">
        <v>3665</v>
      </c>
      <c r="J1778" s="419" t="s">
        <v>3193</v>
      </c>
      <c r="K1778" s="419" t="s">
        <v>830</v>
      </c>
      <c r="L1778" s="415" t="s">
        <v>909</v>
      </c>
      <c r="M1778" s="734" t="s">
        <v>310</v>
      </c>
      <c r="N1778" s="413">
        <v>44915</v>
      </c>
      <c r="O1778" s="414" t="s">
        <v>400</v>
      </c>
      <c r="P1778" s="655">
        <f t="shared" si="113"/>
        <v>12</v>
      </c>
      <c r="Q1778" s="655">
        <f t="shared" si="114"/>
        <v>12</v>
      </c>
      <c r="R1778" s="758" t="str">
        <f t="shared" si="112"/>
        <v>Gastos_com_Pessoal</v>
      </c>
      <c r="S1778" s="697" t="s">
        <v>310</v>
      </c>
      <c r="T1778" s="697" t="s">
        <v>310</v>
      </c>
    </row>
    <row r="1779" spans="1:20" ht="36" x14ac:dyDescent="0.2">
      <c r="A1779" s="432">
        <f>IF(B1779="","",COUNT('Diário 1º PA'!$A$4:$A$2635)+COUNT('Diário 2º PA'!$A$4:$A$3040)+COUNT('Diário 3º PA'!$A$4:$A$2731)+ROW()-3)</f>
        <v>7804</v>
      </c>
      <c r="B1779" s="413">
        <v>44915</v>
      </c>
      <c r="C1779" s="433">
        <v>44896</v>
      </c>
      <c r="D1779" s="419" t="s">
        <v>182</v>
      </c>
      <c r="E1779" s="419" t="s">
        <v>268</v>
      </c>
      <c r="F1779" s="422">
        <v>1339.18</v>
      </c>
      <c r="G1779" s="423" t="s">
        <v>8962</v>
      </c>
      <c r="H1779" s="419" t="s">
        <v>310</v>
      </c>
      <c r="I1779" s="415" t="s">
        <v>946</v>
      </c>
      <c r="J1779" s="419" t="s">
        <v>947</v>
      </c>
      <c r="K1779" s="419" t="s">
        <v>806</v>
      </c>
      <c r="L1779" s="415" t="s">
        <v>909</v>
      </c>
      <c r="M1779" s="419"/>
      <c r="N1779" s="413">
        <v>44915</v>
      </c>
      <c r="O1779" s="414" t="s">
        <v>400</v>
      </c>
      <c r="P1779" s="655">
        <f t="shared" si="113"/>
        <v>12</v>
      </c>
      <c r="Q1779" s="655">
        <f t="shared" si="114"/>
        <v>12</v>
      </c>
      <c r="R1779" s="758" t="str">
        <f t="shared" si="112"/>
        <v>Gastos_com_Pessoal</v>
      </c>
      <c r="S1779" s="697" t="s">
        <v>310</v>
      </c>
      <c r="T1779" s="697" t="s">
        <v>310</v>
      </c>
    </row>
    <row r="1780" spans="1:20" ht="24" x14ac:dyDescent="0.2">
      <c r="A1780" s="432">
        <f>IF(B1780="","",COUNT('Diário 1º PA'!$A$4:$A$2635)+COUNT('Diário 2º PA'!$A$4:$A$3040)+COUNT('Diário 3º PA'!$A$4:$A$2731)+ROW()-3)</f>
        <v>7805</v>
      </c>
      <c r="B1780" s="413">
        <v>44915</v>
      </c>
      <c r="C1780" s="421">
        <v>44896</v>
      </c>
      <c r="D1780" s="419" t="s">
        <v>182</v>
      </c>
      <c r="E1780" s="419" t="s">
        <v>268</v>
      </c>
      <c r="F1780" s="422">
        <v>74287.850000000006</v>
      </c>
      <c r="G1780" s="419" t="s">
        <v>8963</v>
      </c>
      <c r="H1780" s="419" t="s">
        <v>310</v>
      </c>
      <c r="I1780" s="415" t="s">
        <v>1461</v>
      </c>
      <c r="J1780" s="419" t="s">
        <v>310</v>
      </c>
      <c r="K1780" s="419" t="s">
        <v>1220</v>
      </c>
      <c r="L1780" s="415" t="s">
        <v>1368</v>
      </c>
      <c r="M1780" s="419" t="s">
        <v>310</v>
      </c>
      <c r="N1780" s="413">
        <v>44915</v>
      </c>
      <c r="O1780" s="414" t="s">
        <v>400</v>
      </c>
      <c r="P1780" s="655">
        <f t="shared" si="113"/>
        <v>12</v>
      </c>
      <c r="Q1780" s="655">
        <f t="shared" si="114"/>
        <v>12</v>
      </c>
      <c r="R1780" s="758" t="str">
        <f t="shared" si="112"/>
        <v>Gastos_com_Pessoal</v>
      </c>
      <c r="S1780" s="697" t="s">
        <v>310</v>
      </c>
      <c r="T1780" s="697" t="s">
        <v>310</v>
      </c>
    </row>
    <row r="1781" spans="1:20" ht="24" x14ac:dyDescent="0.2">
      <c r="A1781" s="432">
        <f>IF(B1781="","",COUNT('Diário 1º PA'!$A$4:$A$2635)+COUNT('Diário 2º PA'!$A$4:$A$3040)+COUNT('Diário 3º PA'!$A$4:$A$2731)+ROW()-3)</f>
        <v>7806</v>
      </c>
      <c r="B1781" s="413">
        <v>44915</v>
      </c>
      <c r="C1781" s="421">
        <v>44866</v>
      </c>
      <c r="D1781" s="415" t="s">
        <v>271</v>
      </c>
      <c r="E1781" s="415" t="s">
        <v>326</v>
      </c>
      <c r="F1781" s="422">
        <v>1434.45</v>
      </c>
      <c r="G1781" s="427" t="s">
        <v>4068</v>
      </c>
      <c r="H1781" s="415" t="s">
        <v>309</v>
      </c>
      <c r="I1781" s="415" t="s">
        <v>4856</v>
      </c>
      <c r="J1781" s="415" t="s">
        <v>3604</v>
      </c>
      <c r="K1781" s="419" t="s">
        <v>812</v>
      </c>
      <c r="L1781" s="415" t="s">
        <v>32</v>
      </c>
      <c r="M1781" s="419" t="s">
        <v>2229</v>
      </c>
      <c r="N1781" s="413">
        <v>44911</v>
      </c>
      <c r="O1781" s="414" t="s">
        <v>400</v>
      </c>
      <c r="P1781" s="655">
        <f t="shared" si="113"/>
        <v>12</v>
      </c>
      <c r="Q1781" s="655">
        <f t="shared" si="114"/>
        <v>11</v>
      </c>
      <c r="R1781" s="758" t="str">
        <f t="shared" si="112"/>
        <v>Gastos_Gerais</v>
      </c>
      <c r="S1781" s="697" t="s">
        <v>1000</v>
      </c>
      <c r="T1781" s="697">
        <v>3559</v>
      </c>
    </row>
    <row r="1782" spans="1:20" ht="36" x14ac:dyDescent="0.2">
      <c r="A1782" s="432">
        <f>IF(B1782="","",COUNT('Diário 1º PA'!$A$4:$A$2635)+COUNT('Diário 2º PA'!$A$4:$A$3040)+COUNT('Diário 3º PA'!$A$4:$A$2731)+ROW()-3)</f>
        <v>7807</v>
      </c>
      <c r="B1782" s="413">
        <v>44915</v>
      </c>
      <c r="C1782" s="433">
        <v>44896</v>
      </c>
      <c r="D1782" s="419" t="s">
        <v>182</v>
      </c>
      <c r="E1782" s="419" t="s">
        <v>268</v>
      </c>
      <c r="F1782" s="422">
        <v>1021.4</v>
      </c>
      <c r="G1782" s="423" t="s">
        <v>8965</v>
      </c>
      <c r="H1782" s="419" t="s">
        <v>310</v>
      </c>
      <c r="I1782" s="415" t="s">
        <v>1182</v>
      </c>
      <c r="J1782" s="419" t="s">
        <v>1183</v>
      </c>
      <c r="K1782" s="419" t="s">
        <v>830</v>
      </c>
      <c r="L1782" s="415" t="s">
        <v>909</v>
      </c>
      <c r="M1782" s="419" t="s">
        <v>310</v>
      </c>
      <c r="N1782" s="413">
        <v>44915</v>
      </c>
      <c r="O1782" s="414" t="s">
        <v>400</v>
      </c>
      <c r="P1782" s="655">
        <f t="shared" si="113"/>
        <v>12</v>
      </c>
      <c r="Q1782" s="655">
        <f t="shared" si="114"/>
        <v>12</v>
      </c>
      <c r="R1782" s="758" t="str">
        <f t="shared" si="112"/>
        <v>Gastos_com_Pessoal</v>
      </c>
      <c r="S1782" s="697" t="s">
        <v>310</v>
      </c>
      <c r="T1782" s="697" t="s">
        <v>310</v>
      </c>
    </row>
    <row r="1783" spans="1:20" ht="24" x14ac:dyDescent="0.2">
      <c r="A1783" s="432">
        <f>IF(B1783="","",COUNT('Diário 1º PA'!$A$4:$A$2635)+COUNT('Diário 2º PA'!$A$4:$A$3040)+COUNT('Diário 3º PA'!$A$4:$A$2731)+ROW()-3)</f>
        <v>7808</v>
      </c>
      <c r="B1783" s="413">
        <v>44915</v>
      </c>
      <c r="C1783" s="431">
        <v>44866</v>
      </c>
      <c r="D1783" s="419" t="s">
        <v>271</v>
      </c>
      <c r="E1783" s="415" t="s">
        <v>297</v>
      </c>
      <c r="F1783" s="422">
        <v>225</v>
      </c>
      <c r="G1783" s="419" t="s">
        <v>8249</v>
      </c>
      <c r="H1783" s="419" t="s">
        <v>8113</v>
      </c>
      <c r="I1783" s="415" t="s">
        <v>1461</v>
      </c>
      <c r="J1783" s="419" t="s">
        <v>310</v>
      </c>
      <c r="K1783" s="419" t="s">
        <v>1220</v>
      </c>
      <c r="L1783" s="415" t="s">
        <v>1368</v>
      </c>
      <c r="M1783" s="419" t="s">
        <v>310</v>
      </c>
      <c r="N1783" s="413">
        <v>44915</v>
      </c>
      <c r="O1783" s="414" t="s">
        <v>400</v>
      </c>
      <c r="P1783" s="655">
        <f t="shared" si="113"/>
        <v>12</v>
      </c>
      <c r="Q1783" s="655">
        <f t="shared" si="114"/>
        <v>11</v>
      </c>
      <c r="R1783" s="758" t="str">
        <f t="shared" si="112"/>
        <v>Gastos_Gerais</v>
      </c>
      <c r="S1783" s="697" t="s">
        <v>310</v>
      </c>
      <c r="T1783" s="697" t="s">
        <v>310</v>
      </c>
    </row>
    <row r="1784" spans="1:20" ht="36" x14ac:dyDescent="0.2">
      <c r="A1784" s="432">
        <f>IF(B1784="","",COUNT('Diário 1º PA'!$A$4:$A$2635)+COUNT('Diário 2º PA'!$A$4:$A$3040)+COUNT('Diário 3º PA'!$A$4:$A$2731)+ROW()-3)</f>
        <v>7809</v>
      </c>
      <c r="B1784" s="413">
        <v>44915</v>
      </c>
      <c r="C1784" s="433">
        <v>44896</v>
      </c>
      <c r="D1784" s="419" t="s">
        <v>182</v>
      </c>
      <c r="E1784" s="419" t="s">
        <v>268</v>
      </c>
      <c r="F1784" s="422">
        <v>1021.4</v>
      </c>
      <c r="G1784" s="423" t="s">
        <v>8956</v>
      </c>
      <c r="H1784" s="419" t="s">
        <v>310</v>
      </c>
      <c r="I1784" s="415" t="s">
        <v>1171</v>
      </c>
      <c r="J1784" s="419" t="s">
        <v>1172</v>
      </c>
      <c r="K1784" s="419" t="s">
        <v>830</v>
      </c>
      <c r="L1784" s="415" t="s">
        <v>909</v>
      </c>
      <c r="M1784" s="419" t="s">
        <v>310</v>
      </c>
      <c r="N1784" s="413">
        <v>44915</v>
      </c>
      <c r="O1784" s="414" t="s">
        <v>400</v>
      </c>
      <c r="P1784" s="655">
        <f t="shared" si="113"/>
        <v>12</v>
      </c>
      <c r="Q1784" s="655">
        <f t="shared" si="114"/>
        <v>12</v>
      </c>
      <c r="R1784" s="758" t="str">
        <f t="shared" si="112"/>
        <v>Gastos_com_Pessoal</v>
      </c>
      <c r="S1784" s="697" t="s">
        <v>310</v>
      </c>
      <c r="T1784" s="697" t="s">
        <v>310</v>
      </c>
    </row>
    <row r="1785" spans="1:20" ht="36" x14ac:dyDescent="0.2">
      <c r="A1785" s="432">
        <f>IF(B1785="","",COUNT('Diário 1º PA'!$A$4:$A$2635)+COUNT('Diário 2º PA'!$A$4:$A$3040)+COUNT('Diário 3º PA'!$A$4:$A$2731)+ROW()-3)</f>
        <v>7810</v>
      </c>
      <c r="B1785" s="413">
        <v>44915</v>
      </c>
      <c r="C1785" s="433">
        <v>44896</v>
      </c>
      <c r="D1785" s="419" t="s">
        <v>182</v>
      </c>
      <c r="E1785" s="419" t="s">
        <v>268</v>
      </c>
      <c r="F1785" s="422">
        <v>385.69</v>
      </c>
      <c r="G1785" s="423" t="s">
        <v>8959</v>
      </c>
      <c r="H1785" s="419" t="s">
        <v>310</v>
      </c>
      <c r="I1785" s="415" t="s">
        <v>7486</v>
      </c>
      <c r="J1785" s="419" t="s">
        <v>7442</v>
      </c>
      <c r="K1785" s="419" t="s">
        <v>830</v>
      </c>
      <c r="L1785" s="415" t="s">
        <v>909</v>
      </c>
      <c r="M1785" s="419"/>
      <c r="N1785" s="413">
        <v>44915</v>
      </c>
      <c r="O1785" s="414" t="s">
        <v>400</v>
      </c>
      <c r="P1785" s="655">
        <f t="shared" si="113"/>
        <v>12</v>
      </c>
      <c r="Q1785" s="655">
        <f t="shared" si="114"/>
        <v>12</v>
      </c>
      <c r="R1785" s="758" t="str">
        <f t="shared" si="112"/>
        <v>Gastos_com_Pessoal</v>
      </c>
      <c r="S1785" s="697" t="s">
        <v>310</v>
      </c>
      <c r="T1785" s="697" t="s">
        <v>310</v>
      </c>
    </row>
    <row r="1786" spans="1:20" ht="36" x14ac:dyDescent="0.2">
      <c r="A1786" s="432">
        <f>IF(B1786="","",COUNT('Diário 1º PA'!$A$4:$A$2635)+COUNT('Diário 2º PA'!$A$4:$A$3040)+COUNT('Diário 3º PA'!$A$4:$A$2731)+ROW()-3)</f>
        <v>7811</v>
      </c>
      <c r="B1786" s="413">
        <v>44915</v>
      </c>
      <c r="C1786" s="433">
        <v>44896</v>
      </c>
      <c r="D1786" s="419" t="s">
        <v>182</v>
      </c>
      <c r="E1786" s="419" t="s">
        <v>268</v>
      </c>
      <c r="F1786" s="422">
        <v>1081.8499999999999</v>
      </c>
      <c r="G1786" s="423" t="s">
        <v>8959</v>
      </c>
      <c r="H1786" s="419" t="s">
        <v>310</v>
      </c>
      <c r="I1786" s="415" t="s">
        <v>3195</v>
      </c>
      <c r="J1786" s="419" t="s">
        <v>3518</v>
      </c>
      <c r="K1786" s="419" t="s">
        <v>830</v>
      </c>
      <c r="L1786" s="415" t="s">
        <v>909</v>
      </c>
      <c r="M1786" s="419" t="s">
        <v>310</v>
      </c>
      <c r="N1786" s="413">
        <v>44915</v>
      </c>
      <c r="O1786" s="414" t="s">
        <v>400</v>
      </c>
      <c r="P1786" s="655">
        <f t="shared" si="113"/>
        <v>12</v>
      </c>
      <c r="Q1786" s="655">
        <f t="shared" si="114"/>
        <v>12</v>
      </c>
      <c r="R1786" s="758" t="str">
        <f t="shared" si="112"/>
        <v>Gastos_com_Pessoal</v>
      </c>
      <c r="S1786" s="697" t="s">
        <v>310</v>
      </c>
      <c r="T1786" s="697" t="s">
        <v>310</v>
      </c>
    </row>
    <row r="1787" spans="1:20" ht="36" x14ac:dyDescent="0.2">
      <c r="A1787" s="432">
        <f>IF(B1787="","",COUNT('Diário 1º PA'!$A$4:$A$2635)+COUNT('Diário 2º PA'!$A$4:$A$3040)+COUNT('Diário 3º PA'!$A$4:$A$2731)+ROW()-3)</f>
        <v>7812</v>
      </c>
      <c r="B1787" s="413">
        <v>44915</v>
      </c>
      <c r="C1787" s="433">
        <v>44896</v>
      </c>
      <c r="D1787" s="419" t="s">
        <v>182</v>
      </c>
      <c r="E1787" s="419" t="s">
        <v>268</v>
      </c>
      <c r="F1787" s="422">
        <v>1021.4</v>
      </c>
      <c r="G1787" s="437" t="s">
        <v>8966</v>
      </c>
      <c r="H1787" s="419" t="s">
        <v>310</v>
      </c>
      <c r="I1787" s="415" t="s">
        <v>992</v>
      </c>
      <c r="J1787" s="419" t="s">
        <v>993</v>
      </c>
      <c r="K1787" s="419" t="s">
        <v>830</v>
      </c>
      <c r="L1787" s="415" t="s">
        <v>909</v>
      </c>
      <c r="M1787" s="419" t="s">
        <v>310</v>
      </c>
      <c r="N1787" s="413">
        <v>44915</v>
      </c>
      <c r="O1787" s="414" t="s">
        <v>400</v>
      </c>
      <c r="P1787" s="655">
        <f t="shared" si="113"/>
        <v>12</v>
      </c>
      <c r="Q1787" s="655">
        <f t="shared" si="114"/>
        <v>12</v>
      </c>
      <c r="R1787" s="758" t="str">
        <f t="shared" si="112"/>
        <v>Gastos_com_Pessoal</v>
      </c>
      <c r="S1787" s="697" t="s">
        <v>310</v>
      </c>
      <c r="T1787" s="697" t="s">
        <v>310</v>
      </c>
    </row>
    <row r="1788" spans="1:20" ht="36" x14ac:dyDescent="0.2">
      <c r="A1788" s="432">
        <f>IF(B1788="","",COUNT('Diário 1º PA'!$A$4:$A$2635)+COUNT('Diário 2º PA'!$A$4:$A$3040)+COUNT('Diário 3º PA'!$A$4:$A$2731)+ROW()-3)</f>
        <v>7813</v>
      </c>
      <c r="B1788" s="413">
        <v>44915</v>
      </c>
      <c r="C1788" s="433">
        <v>44896</v>
      </c>
      <c r="D1788" s="419" t="s">
        <v>182</v>
      </c>
      <c r="E1788" s="419" t="s">
        <v>268</v>
      </c>
      <c r="F1788" s="422">
        <v>1021.4</v>
      </c>
      <c r="G1788" s="427" t="s">
        <v>8967</v>
      </c>
      <c r="H1788" s="419" t="s">
        <v>310</v>
      </c>
      <c r="I1788" s="415" t="s">
        <v>969</v>
      </c>
      <c r="J1788" s="419" t="s">
        <v>970</v>
      </c>
      <c r="K1788" s="419" t="s">
        <v>830</v>
      </c>
      <c r="L1788" s="415" t="s">
        <v>909</v>
      </c>
      <c r="M1788" s="419" t="s">
        <v>310</v>
      </c>
      <c r="N1788" s="413">
        <v>44915</v>
      </c>
      <c r="O1788" s="414" t="s">
        <v>400</v>
      </c>
      <c r="P1788" s="655">
        <f t="shared" si="113"/>
        <v>12</v>
      </c>
      <c r="Q1788" s="655">
        <f t="shared" si="114"/>
        <v>12</v>
      </c>
      <c r="R1788" s="758" t="str">
        <f t="shared" si="112"/>
        <v>Gastos_com_Pessoal</v>
      </c>
      <c r="S1788" s="697" t="s">
        <v>310</v>
      </c>
      <c r="T1788" s="697" t="s">
        <v>310</v>
      </c>
    </row>
    <row r="1789" spans="1:20" ht="36" x14ac:dyDescent="0.2">
      <c r="A1789" s="432">
        <f>IF(B1789="","",COUNT('Diário 1º PA'!$A$4:$A$2635)+COUNT('Diário 2º PA'!$A$4:$A$3040)+COUNT('Diário 3º PA'!$A$4:$A$2731)+ROW()-3)</f>
        <v>7814</v>
      </c>
      <c r="B1789" s="413">
        <v>44915</v>
      </c>
      <c r="C1789" s="433">
        <v>44896</v>
      </c>
      <c r="D1789" s="419" t="s">
        <v>182</v>
      </c>
      <c r="E1789" s="419" t="s">
        <v>268</v>
      </c>
      <c r="F1789" s="422">
        <v>1021.4</v>
      </c>
      <c r="G1789" s="423" t="s">
        <v>8956</v>
      </c>
      <c r="H1789" s="419" t="s">
        <v>310</v>
      </c>
      <c r="I1789" s="415" t="s">
        <v>6019</v>
      </c>
      <c r="J1789" s="419" t="s">
        <v>1178</v>
      </c>
      <c r="K1789" s="419" t="s">
        <v>830</v>
      </c>
      <c r="L1789" s="415" t="s">
        <v>909</v>
      </c>
      <c r="M1789" s="419" t="s">
        <v>310</v>
      </c>
      <c r="N1789" s="413">
        <v>44915</v>
      </c>
      <c r="O1789" s="414" t="s">
        <v>400</v>
      </c>
      <c r="P1789" s="655">
        <f t="shared" si="113"/>
        <v>12</v>
      </c>
      <c r="Q1789" s="655">
        <f t="shared" si="114"/>
        <v>12</v>
      </c>
      <c r="R1789" s="758" t="str">
        <f t="shared" si="112"/>
        <v>Gastos_com_Pessoal</v>
      </c>
      <c r="S1789" s="697" t="s">
        <v>310</v>
      </c>
      <c r="T1789" s="697" t="s">
        <v>310</v>
      </c>
    </row>
    <row r="1790" spans="1:20" ht="36" x14ac:dyDescent="0.2">
      <c r="A1790" s="432">
        <f>IF(B1790="","",COUNT('Diário 1º PA'!$A$4:$A$2635)+COUNT('Diário 2º PA'!$A$4:$A$3040)+COUNT('Diário 3º PA'!$A$4:$A$2731)+ROW()-3)</f>
        <v>7815</v>
      </c>
      <c r="B1790" s="413">
        <v>44915</v>
      </c>
      <c r="C1790" s="433">
        <v>44896</v>
      </c>
      <c r="D1790" s="419" t="s">
        <v>182</v>
      </c>
      <c r="E1790" s="419" t="s">
        <v>268</v>
      </c>
      <c r="F1790" s="422">
        <v>1021.4</v>
      </c>
      <c r="G1790" s="427" t="s">
        <v>8933</v>
      </c>
      <c r="H1790" s="419" t="s">
        <v>310</v>
      </c>
      <c r="I1790" s="415" t="s">
        <v>975</v>
      </c>
      <c r="J1790" s="419" t="s">
        <v>1565</v>
      </c>
      <c r="K1790" s="419" t="s">
        <v>830</v>
      </c>
      <c r="L1790" s="415" t="s">
        <v>909</v>
      </c>
      <c r="M1790" s="419" t="s">
        <v>310</v>
      </c>
      <c r="N1790" s="413">
        <v>44915</v>
      </c>
      <c r="O1790" s="414" t="s">
        <v>400</v>
      </c>
      <c r="P1790" s="655">
        <f t="shared" si="113"/>
        <v>12</v>
      </c>
      <c r="Q1790" s="655">
        <f t="shared" si="114"/>
        <v>12</v>
      </c>
      <c r="R1790" s="758" t="str">
        <f t="shared" si="112"/>
        <v>Gastos_com_Pessoal</v>
      </c>
      <c r="S1790" s="697" t="s">
        <v>310</v>
      </c>
      <c r="T1790" s="697" t="s">
        <v>310</v>
      </c>
    </row>
    <row r="1791" spans="1:20" ht="36" x14ac:dyDescent="0.2">
      <c r="A1791" s="432">
        <f>IF(B1791="","",COUNT('Diário 1º PA'!$A$4:$A$2635)+COUNT('Diário 2º PA'!$A$4:$A$3040)+COUNT('Diário 3º PA'!$A$4:$A$2731)+ROW()-3)</f>
        <v>7816</v>
      </c>
      <c r="B1791" s="413">
        <v>44915</v>
      </c>
      <c r="C1791" s="433">
        <v>44896</v>
      </c>
      <c r="D1791" s="419" t="s">
        <v>182</v>
      </c>
      <c r="E1791" s="419" t="s">
        <v>268</v>
      </c>
      <c r="F1791" s="422">
        <v>1332.4</v>
      </c>
      <c r="G1791" s="423" t="s">
        <v>8959</v>
      </c>
      <c r="H1791" s="419" t="s">
        <v>310</v>
      </c>
      <c r="I1791" s="415" t="s">
        <v>996</v>
      </c>
      <c r="J1791" s="419" t="s">
        <v>997</v>
      </c>
      <c r="K1791" s="419" t="s">
        <v>830</v>
      </c>
      <c r="L1791" s="415" t="s">
        <v>909</v>
      </c>
      <c r="M1791" s="419" t="s">
        <v>310</v>
      </c>
      <c r="N1791" s="413">
        <v>44915</v>
      </c>
      <c r="O1791" s="414" t="s">
        <v>400</v>
      </c>
      <c r="P1791" s="655">
        <f t="shared" si="113"/>
        <v>12</v>
      </c>
      <c r="Q1791" s="655">
        <f t="shared" si="114"/>
        <v>12</v>
      </c>
      <c r="R1791" s="758" t="str">
        <f t="shared" si="112"/>
        <v>Gastos_com_Pessoal</v>
      </c>
      <c r="S1791" s="697" t="s">
        <v>310</v>
      </c>
      <c r="T1791" s="697" t="s">
        <v>310</v>
      </c>
    </row>
    <row r="1792" spans="1:20" ht="36" x14ac:dyDescent="0.2">
      <c r="A1792" s="432">
        <f>IF(B1792="","",COUNT('Diário 1º PA'!$A$4:$A$2635)+COUNT('Diário 2º PA'!$A$4:$A$3040)+COUNT('Diário 3º PA'!$A$4:$A$2731)+ROW()-3)</f>
        <v>7817</v>
      </c>
      <c r="B1792" s="413">
        <v>44915</v>
      </c>
      <c r="C1792" s="433">
        <v>44896</v>
      </c>
      <c r="D1792" s="419" t="s">
        <v>182</v>
      </c>
      <c r="E1792" s="419" t="s">
        <v>268</v>
      </c>
      <c r="F1792" s="422">
        <v>1021.4</v>
      </c>
      <c r="G1792" s="423" t="s">
        <v>8968</v>
      </c>
      <c r="H1792" s="419" t="s">
        <v>310</v>
      </c>
      <c r="I1792" s="415" t="s">
        <v>3519</v>
      </c>
      <c r="J1792" s="419" t="s">
        <v>988</v>
      </c>
      <c r="K1792" s="419" t="s">
        <v>830</v>
      </c>
      <c r="L1792" s="415" t="s">
        <v>909</v>
      </c>
      <c r="M1792" s="419" t="s">
        <v>310</v>
      </c>
      <c r="N1792" s="413">
        <v>44915</v>
      </c>
      <c r="O1792" s="414" t="s">
        <v>400</v>
      </c>
      <c r="P1792" s="655">
        <f t="shared" si="113"/>
        <v>12</v>
      </c>
      <c r="Q1792" s="655">
        <f t="shared" si="114"/>
        <v>12</v>
      </c>
      <c r="R1792" s="758" t="str">
        <f t="shared" si="112"/>
        <v>Gastos_com_Pessoal</v>
      </c>
      <c r="S1792" s="697" t="s">
        <v>310</v>
      </c>
      <c r="T1792" s="697" t="s">
        <v>310</v>
      </c>
    </row>
    <row r="1793" spans="1:20" ht="36" x14ac:dyDescent="0.2">
      <c r="A1793" s="432">
        <f>IF(B1793="","",COUNT('Diário 1º PA'!$A$4:$A$2635)+COUNT('Diário 2º PA'!$A$4:$A$3040)+COUNT('Diário 3º PA'!$A$4:$A$2731)+ROW()-3)</f>
        <v>7818</v>
      </c>
      <c r="B1793" s="413">
        <v>44915</v>
      </c>
      <c r="C1793" s="433">
        <v>44896</v>
      </c>
      <c r="D1793" s="419" t="s">
        <v>182</v>
      </c>
      <c r="E1793" s="419" t="s">
        <v>268</v>
      </c>
      <c r="F1793" s="422">
        <v>1277.8399999999999</v>
      </c>
      <c r="G1793" s="423" t="s">
        <v>8969</v>
      </c>
      <c r="H1793" s="419" t="s">
        <v>310</v>
      </c>
      <c r="I1793" s="415" t="s">
        <v>985</v>
      </c>
      <c r="J1793" s="419" t="s">
        <v>986</v>
      </c>
      <c r="K1793" s="419" t="s">
        <v>830</v>
      </c>
      <c r="L1793" s="415" t="s">
        <v>909</v>
      </c>
      <c r="M1793" s="419" t="s">
        <v>310</v>
      </c>
      <c r="N1793" s="413">
        <v>44915</v>
      </c>
      <c r="O1793" s="414" t="s">
        <v>400</v>
      </c>
      <c r="P1793" s="655">
        <f t="shared" si="113"/>
        <v>12</v>
      </c>
      <c r="Q1793" s="655">
        <f t="shared" si="114"/>
        <v>12</v>
      </c>
      <c r="R1793" s="758" t="str">
        <f t="shared" si="112"/>
        <v>Gastos_com_Pessoal</v>
      </c>
      <c r="S1793" s="697" t="s">
        <v>310</v>
      </c>
      <c r="T1793" s="697" t="s">
        <v>310</v>
      </c>
    </row>
    <row r="1794" spans="1:20" ht="36" x14ac:dyDescent="0.2">
      <c r="A1794" s="432">
        <f>IF(B1794="","",COUNT('Diário 1º PA'!$A$4:$A$2635)+COUNT('Diário 2º PA'!$A$4:$A$3040)+COUNT('Diário 3º PA'!$A$4:$A$2731)+ROW()-3)</f>
        <v>7819</v>
      </c>
      <c r="B1794" s="413">
        <v>44915</v>
      </c>
      <c r="C1794" s="433">
        <v>44896</v>
      </c>
      <c r="D1794" s="419" t="s">
        <v>182</v>
      </c>
      <c r="E1794" s="419" t="s">
        <v>268</v>
      </c>
      <c r="F1794" s="422">
        <v>1021.4</v>
      </c>
      <c r="G1794" s="423" t="s">
        <v>8970</v>
      </c>
      <c r="H1794" s="419" t="s">
        <v>310</v>
      </c>
      <c r="I1794" s="415" t="s">
        <v>961</v>
      </c>
      <c r="J1794" s="419" t="s">
        <v>962</v>
      </c>
      <c r="K1794" s="419" t="s">
        <v>830</v>
      </c>
      <c r="L1794" s="415" t="s">
        <v>909</v>
      </c>
      <c r="M1794" s="419" t="s">
        <v>310</v>
      </c>
      <c r="N1794" s="413">
        <v>44915</v>
      </c>
      <c r="O1794" s="414" t="s">
        <v>400</v>
      </c>
      <c r="P1794" s="655">
        <f t="shared" si="113"/>
        <v>12</v>
      </c>
      <c r="Q1794" s="655">
        <f t="shared" si="114"/>
        <v>12</v>
      </c>
      <c r="R1794" s="758" t="str">
        <f t="shared" si="112"/>
        <v>Gastos_com_Pessoal</v>
      </c>
      <c r="S1794" s="697" t="s">
        <v>310</v>
      </c>
      <c r="T1794" s="697" t="s">
        <v>310</v>
      </c>
    </row>
    <row r="1795" spans="1:20" ht="36" x14ac:dyDescent="0.2">
      <c r="A1795" s="432">
        <f>IF(B1795="","",COUNT('Diário 1º PA'!$A$4:$A$2635)+COUNT('Diário 2º PA'!$A$4:$A$3040)+COUNT('Diário 3º PA'!$A$4:$A$2731)+ROW()-3)</f>
        <v>7820</v>
      </c>
      <c r="B1795" s="413">
        <v>44915</v>
      </c>
      <c r="C1795" s="433">
        <v>44896</v>
      </c>
      <c r="D1795" s="419" t="s">
        <v>182</v>
      </c>
      <c r="E1795" s="419" t="s">
        <v>268</v>
      </c>
      <c r="F1795" s="422">
        <v>986.65</v>
      </c>
      <c r="G1795" s="427" t="s">
        <v>8940</v>
      </c>
      <c r="H1795" s="419" t="s">
        <v>310</v>
      </c>
      <c r="I1795" s="415" t="s">
        <v>977</v>
      </c>
      <c r="J1795" s="419" t="s">
        <v>978</v>
      </c>
      <c r="K1795" s="419" t="s">
        <v>830</v>
      </c>
      <c r="L1795" s="415" t="s">
        <v>909</v>
      </c>
      <c r="M1795" s="419" t="s">
        <v>310</v>
      </c>
      <c r="N1795" s="413">
        <v>44915</v>
      </c>
      <c r="O1795" s="414" t="s">
        <v>400</v>
      </c>
      <c r="P1795" s="655">
        <f t="shared" si="113"/>
        <v>12</v>
      </c>
      <c r="Q1795" s="655">
        <f t="shared" si="114"/>
        <v>12</v>
      </c>
      <c r="R1795" s="758" t="str">
        <f t="shared" si="112"/>
        <v>Gastos_com_Pessoal</v>
      </c>
      <c r="S1795" s="697" t="s">
        <v>310</v>
      </c>
      <c r="T1795" s="697" t="s">
        <v>310</v>
      </c>
    </row>
    <row r="1796" spans="1:20" ht="36" x14ac:dyDescent="0.2">
      <c r="A1796" s="432">
        <f>IF(B1796="","",COUNT('Diário 1º PA'!$A$4:$A$2635)+COUNT('Diário 2º PA'!$A$4:$A$3040)+COUNT('Diário 3º PA'!$A$4:$A$2731)+ROW()-3)</f>
        <v>7821</v>
      </c>
      <c r="B1796" s="413">
        <v>44915</v>
      </c>
      <c r="C1796" s="433">
        <v>44896</v>
      </c>
      <c r="D1796" s="419" t="s">
        <v>182</v>
      </c>
      <c r="E1796" s="419" t="s">
        <v>268</v>
      </c>
      <c r="F1796" s="422">
        <v>1021.4</v>
      </c>
      <c r="G1796" s="423" t="s">
        <v>8931</v>
      </c>
      <c r="H1796" s="419" t="s">
        <v>310</v>
      </c>
      <c r="I1796" s="415" t="s">
        <v>982</v>
      </c>
      <c r="J1796" s="419" t="s">
        <v>983</v>
      </c>
      <c r="K1796" s="419" t="s">
        <v>830</v>
      </c>
      <c r="L1796" s="415" t="s">
        <v>909</v>
      </c>
      <c r="M1796" s="419" t="s">
        <v>310</v>
      </c>
      <c r="N1796" s="413">
        <v>44915</v>
      </c>
      <c r="O1796" s="414" t="s">
        <v>400</v>
      </c>
      <c r="P1796" s="655">
        <f t="shared" si="113"/>
        <v>12</v>
      </c>
      <c r="Q1796" s="655">
        <f t="shared" si="114"/>
        <v>12</v>
      </c>
      <c r="R1796" s="758" t="str">
        <f t="shared" si="112"/>
        <v>Gastos_com_Pessoal</v>
      </c>
      <c r="S1796" s="697" t="s">
        <v>310</v>
      </c>
      <c r="T1796" s="697" t="s">
        <v>310</v>
      </c>
    </row>
    <row r="1797" spans="1:20" ht="36" x14ac:dyDescent="0.2">
      <c r="A1797" s="432">
        <f>IF(B1797="","",COUNT('Diário 1º PA'!$A$4:$A$2635)+COUNT('Diário 2º PA'!$A$4:$A$3040)+COUNT('Diário 3º PA'!$A$4:$A$2731)+ROW()-3)</f>
        <v>7822</v>
      </c>
      <c r="B1797" s="413">
        <v>44915</v>
      </c>
      <c r="C1797" s="433">
        <v>44896</v>
      </c>
      <c r="D1797" s="419" t="s">
        <v>182</v>
      </c>
      <c r="E1797" s="419" t="s">
        <v>268</v>
      </c>
      <c r="F1797" s="422">
        <v>536.83000000000004</v>
      </c>
      <c r="G1797" s="427" t="s">
        <v>8939</v>
      </c>
      <c r="H1797" s="419" t="s">
        <v>310</v>
      </c>
      <c r="I1797" s="415" t="s">
        <v>6328</v>
      </c>
      <c r="J1797" s="419">
        <v>12909142655</v>
      </c>
      <c r="K1797" s="419" t="s">
        <v>830</v>
      </c>
      <c r="L1797" s="415" t="s">
        <v>909</v>
      </c>
      <c r="M1797" s="419" t="s">
        <v>310</v>
      </c>
      <c r="N1797" s="413">
        <v>44915</v>
      </c>
      <c r="O1797" s="414" t="s">
        <v>400</v>
      </c>
      <c r="P1797" s="655">
        <f t="shared" si="113"/>
        <v>12</v>
      </c>
      <c r="Q1797" s="655">
        <f t="shared" si="114"/>
        <v>12</v>
      </c>
      <c r="R1797" s="758" t="str">
        <f t="shared" si="112"/>
        <v>Gastos_com_Pessoal</v>
      </c>
      <c r="S1797" s="697" t="s">
        <v>310</v>
      </c>
      <c r="T1797" s="697" t="s">
        <v>310</v>
      </c>
    </row>
    <row r="1798" spans="1:20" ht="36" x14ac:dyDescent="0.2">
      <c r="A1798" s="432">
        <f>IF(B1798="","",COUNT('Diário 1º PA'!$A$4:$A$2635)+COUNT('Diário 2º PA'!$A$4:$A$3040)+COUNT('Diário 3º PA'!$A$4:$A$2731)+ROW()-3)</f>
        <v>7823</v>
      </c>
      <c r="B1798" s="413">
        <v>44915</v>
      </c>
      <c r="C1798" s="433">
        <v>44896</v>
      </c>
      <c r="D1798" s="419" t="s">
        <v>182</v>
      </c>
      <c r="E1798" s="419" t="s">
        <v>268</v>
      </c>
      <c r="F1798" s="422">
        <v>536.83000000000004</v>
      </c>
      <c r="G1798" s="427" t="s">
        <v>8971</v>
      </c>
      <c r="H1798" s="419" t="s">
        <v>310</v>
      </c>
      <c r="I1798" s="415" t="s">
        <v>6359</v>
      </c>
      <c r="J1798" s="419" t="s">
        <v>6311</v>
      </c>
      <c r="K1798" s="419" t="s">
        <v>830</v>
      </c>
      <c r="L1798" s="415" t="s">
        <v>909</v>
      </c>
      <c r="M1798" s="419" t="s">
        <v>310</v>
      </c>
      <c r="N1798" s="413">
        <v>44915</v>
      </c>
      <c r="O1798" s="414" t="s">
        <v>400</v>
      </c>
      <c r="P1798" s="655">
        <f t="shared" si="113"/>
        <v>12</v>
      </c>
      <c r="Q1798" s="655">
        <f t="shared" si="114"/>
        <v>12</v>
      </c>
      <c r="R1798" s="758" t="str">
        <f t="shared" si="112"/>
        <v>Gastos_com_Pessoal</v>
      </c>
      <c r="S1798" s="697" t="s">
        <v>310</v>
      </c>
      <c r="T1798" s="697" t="s">
        <v>310</v>
      </c>
    </row>
    <row r="1799" spans="1:20" ht="24" x14ac:dyDescent="0.2">
      <c r="A1799" s="432">
        <f>IF(B1799="","",COUNT('Diário 1º PA'!$A$4:$A$2635)+COUNT('Diário 2º PA'!$A$4:$A$3040)+COUNT('Diário 3º PA'!$A$4:$A$2731)+ROW()-3)</f>
        <v>7824</v>
      </c>
      <c r="B1799" s="413">
        <v>44915</v>
      </c>
      <c r="C1799" s="466">
        <v>44866</v>
      </c>
      <c r="D1799" s="415" t="s">
        <v>271</v>
      </c>
      <c r="E1799" s="415" t="s">
        <v>183</v>
      </c>
      <c r="F1799" s="422">
        <v>204.75</v>
      </c>
      <c r="G1799" s="419" t="s">
        <v>7665</v>
      </c>
      <c r="H1799" s="419" t="s">
        <v>309</v>
      </c>
      <c r="I1799" s="437" t="s">
        <v>768</v>
      </c>
      <c r="J1799" s="434" t="s">
        <v>1021</v>
      </c>
      <c r="K1799" s="419" t="s">
        <v>1404</v>
      </c>
      <c r="L1799" s="415" t="s">
        <v>807</v>
      </c>
      <c r="M1799" s="419" t="s">
        <v>8972</v>
      </c>
      <c r="N1799" s="413">
        <v>44896</v>
      </c>
      <c r="O1799" s="414" t="s">
        <v>400</v>
      </c>
      <c r="P1799" s="655">
        <f t="shared" si="113"/>
        <v>12</v>
      </c>
      <c r="Q1799" s="655">
        <f t="shared" si="114"/>
        <v>11</v>
      </c>
      <c r="R1799" s="758" t="str">
        <f t="shared" si="112"/>
        <v>Gastos_Gerais</v>
      </c>
      <c r="S1799" s="697" t="s">
        <v>310</v>
      </c>
      <c r="T1799" s="697" t="s">
        <v>310</v>
      </c>
    </row>
    <row r="1800" spans="1:20" ht="36" x14ac:dyDescent="0.2">
      <c r="A1800" s="432">
        <f>IF(B1800="","",COUNT('Diário 1º PA'!$A$4:$A$2635)+COUNT('Diário 2º PA'!$A$4:$A$3040)+COUNT('Diário 3º PA'!$A$4:$A$2731)+ROW()-3)</f>
        <v>7825</v>
      </c>
      <c r="B1800" s="413">
        <v>44915</v>
      </c>
      <c r="C1800" s="433">
        <v>44896</v>
      </c>
      <c r="D1800" s="419" t="s">
        <v>182</v>
      </c>
      <c r="E1800" s="419" t="s">
        <v>268</v>
      </c>
      <c r="F1800" s="422">
        <v>1382.98</v>
      </c>
      <c r="G1800" s="427" t="s">
        <v>8973</v>
      </c>
      <c r="H1800" s="419" t="s">
        <v>310</v>
      </c>
      <c r="I1800" s="415" t="s">
        <v>2061</v>
      </c>
      <c r="J1800" s="419" t="s">
        <v>2062</v>
      </c>
      <c r="K1800" s="419" t="s">
        <v>830</v>
      </c>
      <c r="L1800" s="415" t="s">
        <v>909</v>
      </c>
      <c r="M1800" s="419" t="s">
        <v>310</v>
      </c>
      <c r="N1800" s="413">
        <v>44915</v>
      </c>
      <c r="O1800" s="414" t="s">
        <v>400</v>
      </c>
      <c r="P1800" s="655">
        <f t="shared" si="113"/>
        <v>12</v>
      </c>
      <c r="Q1800" s="655">
        <f t="shared" si="114"/>
        <v>12</v>
      </c>
      <c r="R1800" s="758" t="str">
        <f t="shared" si="112"/>
        <v>Gastos_com_Pessoal</v>
      </c>
      <c r="S1800" s="697" t="s">
        <v>310</v>
      </c>
      <c r="T1800" s="697" t="s">
        <v>310</v>
      </c>
    </row>
    <row r="1801" spans="1:20" ht="36" x14ac:dyDescent="0.2">
      <c r="A1801" s="432">
        <f>IF(B1801="","",COUNT('Diário 1º PA'!$A$4:$A$2635)+COUNT('Diário 2º PA'!$A$4:$A$3040)+COUNT('Diário 3º PA'!$A$4:$A$2731)+ROW()-3)</f>
        <v>7826</v>
      </c>
      <c r="B1801" s="413">
        <v>44915</v>
      </c>
      <c r="C1801" s="433">
        <v>44896</v>
      </c>
      <c r="D1801" s="419" t="s">
        <v>182</v>
      </c>
      <c r="E1801" s="419" t="s">
        <v>268</v>
      </c>
      <c r="F1801" s="422">
        <v>1035.6199999999999</v>
      </c>
      <c r="G1801" s="423" t="s">
        <v>8956</v>
      </c>
      <c r="H1801" s="419" t="s">
        <v>310</v>
      </c>
      <c r="I1801" s="415" t="s">
        <v>1173</v>
      </c>
      <c r="J1801" s="419" t="s">
        <v>1174</v>
      </c>
      <c r="K1801" s="419" t="s">
        <v>830</v>
      </c>
      <c r="L1801" s="415" t="s">
        <v>909</v>
      </c>
      <c r="M1801" s="419" t="s">
        <v>310</v>
      </c>
      <c r="N1801" s="413">
        <v>44915</v>
      </c>
      <c r="O1801" s="414" t="s">
        <v>400</v>
      </c>
      <c r="P1801" s="655">
        <f t="shared" si="113"/>
        <v>12</v>
      </c>
      <c r="Q1801" s="655">
        <f t="shared" si="114"/>
        <v>12</v>
      </c>
      <c r="R1801" s="758" t="str">
        <f t="shared" si="112"/>
        <v>Gastos_com_Pessoal</v>
      </c>
      <c r="S1801" s="697" t="s">
        <v>310</v>
      </c>
      <c r="T1801" s="697" t="s">
        <v>310</v>
      </c>
    </row>
    <row r="1802" spans="1:20" ht="36" x14ac:dyDescent="0.2">
      <c r="A1802" s="432">
        <f>IF(B1802="","",COUNT('Diário 1º PA'!$A$4:$A$2635)+COUNT('Diário 2º PA'!$A$4:$A$3040)+COUNT('Diário 3º PA'!$A$4:$A$2731)+ROW()-3)</f>
        <v>7827</v>
      </c>
      <c r="B1802" s="413">
        <v>44915</v>
      </c>
      <c r="C1802" s="433">
        <v>44896</v>
      </c>
      <c r="D1802" s="419" t="s">
        <v>182</v>
      </c>
      <c r="E1802" s="419" t="s">
        <v>268</v>
      </c>
      <c r="F1802" s="422">
        <v>1332.4</v>
      </c>
      <c r="G1802" s="423" t="s">
        <v>8940</v>
      </c>
      <c r="H1802" s="419" t="s">
        <v>310</v>
      </c>
      <c r="I1802" s="415" t="s">
        <v>1188</v>
      </c>
      <c r="J1802" s="419" t="s">
        <v>1189</v>
      </c>
      <c r="K1802" s="419" t="s">
        <v>830</v>
      </c>
      <c r="L1802" s="415" t="s">
        <v>909</v>
      </c>
      <c r="M1802" s="419" t="s">
        <v>310</v>
      </c>
      <c r="N1802" s="749">
        <v>44915</v>
      </c>
      <c r="O1802" s="414" t="s">
        <v>400</v>
      </c>
      <c r="P1802" s="655">
        <f t="shared" si="113"/>
        <v>12</v>
      </c>
      <c r="Q1802" s="655">
        <f t="shared" si="114"/>
        <v>12</v>
      </c>
      <c r="R1802" s="758" t="str">
        <f t="shared" si="112"/>
        <v>Gastos_com_Pessoal</v>
      </c>
      <c r="S1802" s="697" t="s">
        <v>310</v>
      </c>
      <c r="T1802" s="697" t="s">
        <v>310</v>
      </c>
    </row>
    <row r="1803" spans="1:20" ht="36" x14ac:dyDescent="0.2">
      <c r="A1803" s="432">
        <f>IF(B1803="","",COUNT('Diário 1º PA'!$A$4:$A$2635)+COUNT('Diário 2º PA'!$A$4:$A$3040)+COUNT('Diário 3º PA'!$A$4:$A$2731)+ROW()-3)</f>
        <v>7828</v>
      </c>
      <c r="B1803" s="413">
        <v>44915</v>
      </c>
      <c r="C1803" s="433">
        <v>44896</v>
      </c>
      <c r="D1803" s="419" t="s">
        <v>182</v>
      </c>
      <c r="E1803" s="419" t="s">
        <v>268</v>
      </c>
      <c r="F1803" s="422">
        <v>1021.4</v>
      </c>
      <c r="G1803" s="427" t="s">
        <v>8974</v>
      </c>
      <c r="H1803" s="419" t="s">
        <v>310</v>
      </c>
      <c r="I1803" s="415" t="s">
        <v>1198</v>
      </c>
      <c r="J1803" s="419" t="s">
        <v>1197</v>
      </c>
      <c r="K1803" s="419" t="s">
        <v>830</v>
      </c>
      <c r="L1803" s="415" t="s">
        <v>909</v>
      </c>
      <c r="M1803" s="419" t="s">
        <v>310</v>
      </c>
      <c r="N1803" s="413">
        <v>44915</v>
      </c>
      <c r="O1803" s="414" t="s">
        <v>400</v>
      </c>
      <c r="P1803" s="655">
        <f t="shared" si="113"/>
        <v>12</v>
      </c>
      <c r="Q1803" s="655">
        <f t="shared" si="114"/>
        <v>12</v>
      </c>
      <c r="R1803" s="758" t="str">
        <f t="shared" si="112"/>
        <v>Gastos_com_Pessoal</v>
      </c>
      <c r="S1803" s="697" t="s">
        <v>310</v>
      </c>
      <c r="T1803" s="697" t="s">
        <v>310</v>
      </c>
    </row>
    <row r="1804" spans="1:20" ht="24" x14ac:dyDescent="0.2">
      <c r="A1804" s="432">
        <f>IF(B1804="","",COUNT('Diário 1º PA'!$A$4:$A$2635)+COUNT('Diário 2º PA'!$A$4:$A$3040)+COUNT('Diário 3º PA'!$A$4:$A$2731)+ROW()-3)</f>
        <v>7829</v>
      </c>
      <c r="B1804" s="413">
        <v>44915</v>
      </c>
      <c r="C1804" s="433">
        <v>44835</v>
      </c>
      <c r="D1804" s="434" t="s">
        <v>182</v>
      </c>
      <c r="E1804" s="434" t="s">
        <v>179</v>
      </c>
      <c r="F1804" s="422">
        <v>31.25</v>
      </c>
      <c r="G1804" s="419" t="s">
        <v>8058</v>
      </c>
      <c r="H1804" s="419" t="s">
        <v>310</v>
      </c>
      <c r="I1804" s="415" t="s">
        <v>1461</v>
      </c>
      <c r="J1804" s="419" t="s">
        <v>310</v>
      </c>
      <c r="K1804" s="419" t="s">
        <v>1220</v>
      </c>
      <c r="L1804" s="415" t="s">
        <v>1368</v>
      </c>
      <c r="M1804" s="419" t="s">
        <v>310</v>
      </c>
      <c r="N1804" s="413">
        <v>44915</v>
      </c>
      <c r="O1804" s="414" t="s">
        <v>400</v>
      </c>
      <c r="P1804" s="655">
        <f t="shared" si="113"/>
        <v>12</v>
      </c>
      <c r="Q1804" s="655">
        <f t="shared" si="114"/>
        <v>10</v>
      </c>
      <c r="R1804" s="758" t="str">
        <f t="shared" si="112"/>
        <v>Gastos_com_Pessoal</v>
      </c>
      <c r="S1804" s="697" t="s">
        <v>310</v>
      </c>
      <c r="T1804" s="697" t="s">
        <v>310</v>
      </c>
    </row>
    <row r="1805" spans="1:20" ht="36" x14ac:dyDescent="0.2">
      <c r="A1805" s="432">
        <f>IF(B1805="","",COUNT('Diário 1º PA'!$A$4:$A$2635)+COUNT('Diário 2º PA'!$A$4:$A$3040)+COUNT('Diário 3º PA'!$A$4:$A$2731)+ROW()-3)</f>
        <v>7830</v>
      </c>
      <c r="B1805" s="413">
        <v>44915</v>
      </c>
      <c r="C1805" s="433">
        <v>44896</v>
      </c>
      <c r="D1805" s="419" t="s">
        <v>182</v>
      </c>
      <c r="E1805" s="419" t="s">
        <v>268</v>
      </c>
      <c r="F1805" s="422">
        <v>125.6</v>
      </c>
      <c r="G1805" s="427" t="s">
        <v>8975</v>
      </c>
      <c r="H1805" s="419" t="s">
        <v>310</v>
      </c>
      <c r="I1805" s="415" t="s">
        <v>8608</v>
      </c>
      <c r="J1805" s="419" t="s">
        <v>8609</v>
      </c>
      <c r="K1805" s="419" t="s">
        <v>830</v>
      </c>
      <c r="L1805" s="415" t="s">
        <v>909</v>
      </c>
      <c r="M1805" s="419" t="s">
        <v>310</v>
      </c>
      <c r="N1805" s="413">
        <v>44915</v>
      </c>
      <c r="O1805" s="414" t="s">
        <v>400</v>
      </c>
      <c r="P1805" s="655">
        <f t="shared" si="113"/>
        <v>12</v>
      </c>
      <c r="Q1805" s="655">
        <f t="shared" si="114"/>
        <v>12</v>
      </c>
      <c r="R1805" s="758" t="str">
        <f t="shared" si="112"/>
        <v>Gastos_com_Pessoal</v>
      </c>
      <c r="S1805" s="697" t="s">
        <v>310</v>
      </c>
      <c r="T1805" s="697" t="s">
        <v>310</v>
      </c>
    </row>
    <row r="1806" spans="1:20" ht="36" x14ac:dyDescent="0.2">
      <c r="A1806" s="432">
        <f>IF(B1806="","",COUNT('Diário 1º PA'!$A$4:$A$2635)+COUNT('Diário 2º PA'!$A$4:$A$3040)+COUNT('Diário 3º PA'!$A$4:$A$2731)+ROW()-3)</f>
        <v>7831</v>
      </c>
      <c r="B1806" s="413">
        <v>44915</v>
      </c>
      <c r="C1806" s="433">
        <v>44896</v>
      </c>
      <c r="D1806" s="419" t="s">
        <v>182</v>
      </c>
      <c r="E1806" s="419" t="s">
        <v>268</v>
      </c>
      <c r="F1806" s="422">
        <v>1021.4</v>
      </c>
      <c r="G1806" s="423" t="s">
        <v>8933</v>
      </c>
      <c r="H1806" s="419" t="s">
        <v>310</v>
      </c>
      <c r="I1806" s="415" t="s">
        <v>1167</v>
      </c>
      <c r="J1806" s="419" t="s">
        <v>1168</v>
      </c>
      <c r="K1806" s="419" t="s">
        <v>830</v>
      </c>
      <c r="L1806" s="415" t="s">
        <v>909</v>
      </c>
      <c r="M1806" s="419" t="s">
        <v>310</v>
      </c>
      <c r="N1806" s="413">
        <v>44915</v>
      </c>
      <c r="O1806" s="414" t="s">
        <v>400</v>
      </c>
      <c r="P1806" s="655">
        <f t="shared" si="113"/>
        <v>12</v>
      </c>
      <c r="Q1806" s="655">
        <f t="shared" si="114"/>
        <v>12</v>
      </c>
      <c r="R1806" s="758" t="str">
        <f t="shared" si="112"/>
        <v>Gastos_com_Pessoal</v>
      </c>
      <c r="S1806" s="697" t="s">
        <v>310</v>
      </c>
      <c r="T1806" s="697" t="s">
        <v>310</v>
      </c>
    </row>
    <row r="1807" spans="1:20" ht="24" x14ac:dyDescent="0.2">
      <c r="A1807" s="432">
        <f>IF(B1807="","",COUNT('Diário 1º PA'!$A$4:$A$2635)+COUNT('Diário 2º PA'!$A$4:$A$3040)+COUNT('Diário 3º PA'!$A$4:$A$2731)+ROW()-3)</f>
        <v>7832</v>
      </c>
      <c r="B1807" s="413">
        <v>44915</v>
      </c>
      <c r="C1807" s="431">
        <v>44866</v>
      </c>
      <c r="D1807" s="419" t="s">
        <v>271</v>
      </c>
      <c r="E1807" s="415" t="s">
        <v>297</v>
      </c>
      <c r="F1807" s="422">
        <v>697.5</v>
      </c>
      <c r="G1807" s="419" t="s">
        <v>8248</v>
      </c>
      <c r="H1807" s="419" t="s">
        <v>310</v>
      </c>
      <c r="I1807" s="415" t="s">
        <v>1461</v>
      </c>
      <c r="J1807" s="419" t="s">
        <v>310</v>
      </c>
      <c r="K1807" s="419" t="s">
        <v>1220</v>
      </c>
      <c r="L1807" s="415" t="s">
        <v>1368</v>
      </c>
      <c r="M1807" s="419" t="s">
        <v>310</v>
      </c>
      <c r="N1807" s="413">
        <v>44915</v>
      </c>
      <c r="O1807" s="414" t="s">
        <v>400</v>
      </c>
      <c r="P1807" s="655">
        <f t="shared" si="113"/>
        <v>12</v>
      </c>
      <c r="Q1807" s="655">
        <f t="shared" si="114"/>
        <v>11</v>
      </c>
      <c r="R1807" s="758" t="str">
        <f t="shared" si="112"/>
        <v>Gastos_Gerais</v>
      </c>
      <c r="S1807" s="697" t="s">
        <v>310</v>
      </c>
      <c r="T1807" s="697" t="s">
        <v>310</v>
      </c>
    </row>
    <row r="1808" spans="1:20" ht="48" x14ac:dyDescent="0.2">
      <c r="A1808" s="432">
        <f>IF(B1808="","",COUNT('Diário 1º PA'!$A$4:$A$2635)+COUNT('Diário 2º PA'!$A$4:$A$3040)+COUNT('Diário 3º PA'!$A$4:$A$2731)+ROW()-3)</f>
        <v>7833</v>
      </c>
      <c r="B1808" s="413">
        <v>44915</v>
      </c>
      <c r="C1808" s="431">
        <v>44866</v>
      </c>
      <c r="D1808" s="415" t="s">
        <v>271</v>
      </c>
      <c r="E1808" s="415" t="s">
        <v>62</v>
      </c>
      <c r="F1808" s="425">
        <v>262.89999999999998</v>
      </c>
      <c r="G1808" s="427" t="s">
        <v>7574</v>
      </c>
      <c r="H1808" s="419" t="s">
        <v>310</v>
      </c>
      <c r="I1808" s="415" t="s">
        <v>8219</v>
      </c>
      <c r="J1808" s="415" t="s">
        <v>7575</v>
      </c>
      <c r="K1808" s="419" t="s">
        <v>812</v>
      </c>
      <c r="L1808" s="415" t="s">
        <v>32</v>
      </c>
      <c r="M1808" s="419">
        <v>6502</v>
      </c>
      <c r="N1808" s="413">
        <v>44907</v>
      </c>
      <c r="O1808" s="415" t="s">
        <v>400</v>
      </c>
      <c r="P1808" s="655">
        <f t="shared" si="113"/>
        <v>12</v>
      </c>
      <c r="Q1808" s="655">
        <f t="shared" si="114"/>
        <v>11</v>
      </c>
      <c r="R1808" s="758" t="str">
        <f t="shared" si="112"/>
        <v>Gastos_Gerais</v>
      </c>
      <c r="S1808" s="697" t="s">
        <v>1000</v>
      </c>
      <c r="T1808" s="697">
        <v>4417</v>
      </c>
    </row>
    <row r="1809" spans="1:20" ht="36" x14ac:dyDescent="0.2">
      <c r="A1809" s="432">
        <f>IF(B1809="","",COUNT('Diário 1º PA'!$A$4:$A$2635)+COUNT('Diário 2º PA'!$A$4:$A$3040)+COUNT('Diário 3º PA'!$A$4:$A$2731)+ROW()-3)</f>
        <v>7834</v>
      </c>
      <c r="B1809" s="413">
        <v>44915</v>
      </c>
      <c r="C1809" s="433">
        <v>44896</v>
      </c>
      <c r="D1809" s="419" t="s">
        <v>182</v>
      </c>
      <c r="E1809" s="419" t="s">
        <v>268</v>
      </c>
      <c r="F1809" s="422">
        <v>790.68</v>
      </c>
      <c r="G1809" s="423" t="s">
        <v>8976</v>
      </c>
      <c r="H1809" s="419" t="s">
        <v>310</v>
      </c>
      <c r="I1809" s="415" t="s">
        <v>929</v>
      </c>
      <c r="J1809" s="419" t="s">
        <v>930</v>
      </c>
      <c r="K1809" s="419" t="s">
        <v>806</v>
      </c>
      <c r="L1809" s="415" t="s">
        <v>909</v>
      </c>
      <c r="M1809" s="419" t="s">
        <v>310</v>
      </c>
      <c r="N1809" s="413">
        <v>44915</v>
      </c>
      <c r="O1809" s="414" t="s">
        <v>400</v>
      </c>
      <c r="P1809" s="655">
        <f t="shared" si="113"/>
        <v>12</v>
      </c>
      <c r="Q1809" s="655">
        <f t="shared" si="114"/>
        <v>12</v>
      </c>
      <c r="R1809" s="758" t="str">
        <f t="shared" ref="R1809:R1872" si="115">SUBSTITUTE(D1809," ","_")</f>
        <v>Gastos_com_Pessoal</v>
      </c>
      <c r="S1809" s="697" t="s">
        <v>310</v>
      </c>
      <c r="T1809" s="697" t="s">
        <v>310</v>
      </c>
    </row>
    <row r="1810" spans="1:20" ht="24" x14ac:dyDescent="0.2">
      <c r="A1810" s="432">
        <f>IF(B1810="","",COUNT('Diário 1º PA'!$A$4:$A$2635)+COUNT('Diário 2º PA'!$A$4:$A$3040)+COUNT('Diário 3º PA'!$A$4:$A$2731)+ROW()-3)</f>
        <v>7835</v>
      </c>
      <c r="B1810" s="413">
        <v>44915</v>
      </c>
      <c r="C1810" s="433">
        <v>44866</v>
      </c>
      <c r="D1810" s="434" t="s">
        <v>182</v>
      </c>
      <c r="E1810" s="434" t="s">
        <v>1</v>
      </c>
      <c r="F1810" s="422">
        <v>19500.75</v>
      </c>
      <c r="G1810" s="419" t="s">
        <v>8713</v>
      </c>
      <c r="H1810" s="419" t="s">
        <v>310</v>
      </c>
      <c r="I1810" s="415" t="s">
        <v>1461</v>
      </c>
      <c r="J1810" s="419" t="s">
        <v>310</v>
      </c>
      <c r="K1810" s="419" t="s">
        <v>1220</v>
      </c>
      <c r="L1810" s="415" t="s">
        <v>1368</v>
      </c>
      <c r="M1810" s="419" t="s">
        <v>310</v>
      </c>
      <c r="N1810" s="413">
        <v>44915</v>
      </c>
      <c r="O1810" s="414" t="s">
        <v>400</v>
      </c>
      <c r="P1810" s="655">
        <f t="shared" si="113"/>
        <v>12</v>
      </c>
      <c r="Q1810" s="655">
        <f t="shared" si="114"/>
        <v>11</v>
      </c>
      <c r="R1810" s="758" t="str">
        <f t="shared" si="115"/>
        <v>Gastos_com_Pessoal</v>
      </c>
      <c r="S1810" s="697" t="s">
        <v>310</v>
      </c>
      <c r="T1810" s="697" t="s">
        <v>310</v>
      </c>
    </row>
    <row r="1811" spans="1:20" ht="24" x14ac:dyDescent="0.2">
      <c r="A1811" s="432">
        <f>IF(B1811="","",COUNT('Diário 1º PA'!$A$4:$A$2635)+COUNT('Diário 2º PA'!$A$4:$A$3040)+COUNT('Diário 3º PA'!$A$4:$A$2731)+ROW()-3)</f>
        <v>7836</v>
      </c>
      <c r="B1811" s="413">
        <v>44915</v>
      </c>
      <c r="C1811" s="433">
        <v>44866</v>
      </c>
      <c r="D1811" s="415" t="s">
        <v>182</v>
      </c>
      <c r="E1811" s="415" t="s">
        <v>252</v>
      </c>
      <c r="F1811" s="422">
        <v>60227.29</v>
      </c>
      <c r="G1811" s="419" t="s">
        <v>8977</v>
      </c>
      <c r="H1811" s="419" t="s">
        <v>310</v>
      </c>
      <c r="I1811" s="415" t="s">
        <v>1461</v>
      </c>
      <c r="J1811" s="419" t="s">
        <v>310</v>
      </c>
      <c r="K1811" s="419" t="s">
        <v>1220</v>
      </c>
      <c r="L1811" s="415" t="s">
        <v>1368</v>
      </c>
      <c r="M1811" s="419" t="s">
        <v>310</v>
      </c>
      <c r="N1811" s="413">
        <v>44915</v>
      </c>
      <c r="O1811" s="414" t="s">
        <v>400</v>
      </c>
      <c r="P1811" s="655">
        <f t="shared" si="113"/>
        <v>12</v>
      </c>
      <c r="Q1811" s="655">
        <f t="shared" si="114"/>
        <v>11</v>
      </c>
      <c r="R1811" s="758" t="str">
        <f t="shared" si="115"/>
        <v>Gastos_com_Pessoal</v>
      </c>
      <c r="S1811" s="697" t="s">
        <v>310</v>
      </c>
      <c r="T1811" s="697" t="s">
        <v>310</v>
      </c>
    </row>
    <row r="1812" spans="1:20" ht="24" x14ac:dyDescent="0.2">
      <c r="A1812" s="432">
        <f>IF(B1812="","",COUNT('Diário 1º PA'!$A$4:$A$2635)+COUNT('Diário 2º PA'!$A$4:$A$3040)+COUNT('Diário 3º PA'!$A$4:$A$2731)+ROW()-3)</f>
        <v>7837</v>
      </c>
      <c r="B1812" s="413">
        <v>44915</v>
      </c>
      <c r="C1812" s="433">
        <v>44866</v>
      </c>
      <c r="D1812" s="434" t="s">
        <v>182</v>
      </c>
      <c r="E1812" s="434" t="s">
        <v>1</v>
      </c>
      <c r="F1812" s="422">
        <v>1189.81</v>
      </c>
      <c r="G1812" s="419" t="s">
        <v>8978</v>
      </c>
      <c r="H1812" s="419" t="s">
        <v>310</v>
      </c>
      <c r="I1812" s="415" t="s">
        <v>1461</v>
      </c>
      <c r="J1812" s="419" t="s">
        <v>310</v>
      </c>
      <c r="K1812" s="419" t="s">
        <v>1220</v>
      </c>
      <c r="L1812" s="415" t="s">
        <v>1368</v>
      </c>
      <c r="M1812" s="419" t="s">
        <v>310</v>
      </c>
      <c r="N1812" s="413">
        <v>44915</v>
      </c>
      <c r="O1812" s="414" t="s">
        <v>400</v>
      </c>
      <c r="P1812" s="655">
        <f t="shared" si="113"/>
        <v>12</v>
      </c>
      <c r="Q1812" s="655">
        <f t="shared" si="114"/>
        <v>11</v>
      </c>
      <c r="R1812" s="758" t="str">
        <f t="shared" si="115"/>
        <v>Gastos_com_Pessoal</v>
      </c>
      <c r="S1812" s="697" t="s">
        <v>310</v>
      </c>
      <c r="T1812" s="697" t="s">
        <v>310</v>
      </c>
    </row>
    <row r="1813" spans="1:20" ht="24" x14ac:dyDescent="0.2">
      <c r="A1813" s="432">
        <f>IF(B1813="","",COUNT('Diário 1º PA'!$A$4:$A$2635)+COUNT('Diário 2º PA'!$A$4:$A$3040)+COUNT('Diário 3º PA'!$A$4:$A$2731)+ROW()-3)</f>
        <v>7838</v>
      </c>
      <c r="B1813" s="413">
        <v>44915</v>
      </c>
      <c r="C1813" s="433">
        <v>44866</v>
      </c>
      <c r="D1813" s="415" t="s">
        <v>182</v>
      </c>
      <c r="E1813" s="415" t="s">
        <v>252</v>
      </c>
      <c r="F1813" s="422">
        <v>2914.25</v>
      </c>
      <c r="G1813" s="419" t="s">
        <v>8979</v>
      </c>
      <c r="H1813" s="419" t="s">
        <v>310</v>
      </c>
      <c r="I1813" s="415" t="s">
        <v>1461</v>
      </c>
      <c r="J1813" s="419" t="s">
        <v>310</v>
      </c>
      <c r="K1813" s="419" t="s">
        <v>1220</v>
      </c>
      <c r="L1813" s="415" t="s">
        <v>1368</v>
      </c>
      <c r="M1813" s="419" t="s">
        <v>310</v>
      </c>
      <c r="N1813" s="413">
        <v>44915</v>
      </c>
      <c r="O1813" s="414" t="s">
        <v>400</v>
      </c>
      <c r="P1813" s="655">
        <f t="shared" si="113"/>
        <v>12</v>
      </c>
      <c r="Q1813" s="655">
        <f t="shared" si="114"/>
        <v>11</v>
      </c>
      <c r="R1813" s="758" t="str">
        <f t="shared" si="115"/>
        <v>Gastos_com_Pessoal</v>
      </c>
      <c r="S1813" s="697" t="s">
        <v>310</v>
      </c>
      <c r="T1813" s="697" t="s">
        <v>310</v>
      </c>
    </row>
    <row r="1814" spans="1:20" ht="24" x14ac:dyDescent="0.2">
      <c r="A1814" s="432">
        <f>IF(B1814="","",COUNT('Diário 1º PA'!$A$4:$A$2635)+COUNT('Diário 2º PA'!$A$4:$A$3040)+COUNT('Diário 3º PA'!$A$4:$A$2731)+ROW()-3)</f>
        <v>7839</v>
      </c>
      <c r="B1814" s="413">
        <v>44915</v>
      </c>
      <c r="C1814" s="433">
        <v>44866</v>
      </c>
      <c r="D1814" s="434" t="s">
        <v>182</v>
      </c>
      <c r="E1814" s="434" t="s">
        <v>1</v>
      </c>
      <c r="F1814" s="422">
        <v>130.32</v>
      </c>
      <c r="G1814" s="419" t="s">
        <v>8980</v>
      </c>
      <c r="H1814" s="419" t="s">
        <v>310</v>
      </c>
      <c r="I1814" s="415" t="s">
        <v>1461</v>
      </c>
      <c r="J1814" s="419" t="s">
        <v>310</v>
      </c>
      <c r="K1814" s="419" t="s">
        <v>1220</v>
      </c>
      <c r="L1814" s="415" t="s">
        <v>1368</v>
      </c>
      <c r="M1814" s="419" t="s">
        <v>310</v>
      </c>
      <c r="N1814" s="413">
        <v>44915</v>
      </c>
      <c r="O1814" s="414" t="s">
        <v>400</v>
      </c>
      <c r="P1814" s="655">
        <f t="shared" si="113"/>
        <v>12</v>
      </c>
      <c r="Q1814" s="655">
        <f t="shared" si="114"/>
        <v>11</v>
      </c>
      <c r="R1814" s="758" t="str">
        <f t="shared" si="115"/>
        <v>Gastos_com_Pessoal</v>
      </c>
      <c r="S1814" s="697" t="s">
        <v>310</v>
      </c>
      <c r="T1814" s="697" t="s">
        <v>310</v>
      </c>
    </row>
    <row r="1815" spans="1:20" ht="24" x14ac:dyDescent="0.2">
      <c r="A1815" s="432">
        <f>IF(B1815="","",COUNT('Diário 1º PA'!$A$4:$A$2635)+COUNT('Diário 2º PA'!$A$4:$A$3040)+COUNT('Diário 3º PA'!$A$4:$A$2731)+ROW()-3)</f>
        <v>7840</v>
      </c>
      <c r="B1815" s="413">
        <v>44915</v>
      </c>
      <c r="C1815" s="433">
        <v>44866</v>
      </c>
      <c r="D1815" s="415" t="s">
        <v>182</v>
      </c>
      <c r="E1815" s="415" t="s">
        <v>252</v>
      </c>
      <c r="F1815" s="422">
        <v>420.75</v>
      </c>
      <c r="G1815" s="419" t="s">
        <v>8981</v>
      </c>
      <c r="H1815" s="419" t="s">
        <v>310</v>
      </c>
      <c r="I1815" s="415" t="s">
        <v>1461</v>
      </c>
      <c r="J1815" s="419" t="s">
        <v>310</v>
      </c>
      <c r="K1815" s="419" t="s">
        <v>1220</v>
      </c>
      <c r="L1815" s="415" t="s">
        <v>1368</v>
      </c>
      <c r="M1815" s="419" t="s">
        <v>310</v>
      </c>
      <c r="N1815" s="413">
        <v>44915</v>
      </c>
      <c r="O1815" s="414" t="s">
        <v>400</v>
      </c>
      <c r="P1815" s="655">
        <f t="shared" si="113"/>
        <v>12</v>
      </c>
      <c r="Q1815" s="655">
        <f t="shared" si="114"/>
        <v>11</v>
      </c>
      <c r="R1815" s="758" t="str">
        <f t="shared" si="115"/>
        <v>Gastos_com_Pessoal</v>
      </c>
      <c r="S1815" s="697" t="s">
        <v>310</v>
      </c>
      <c r="T1815" s="697" t="s">
        <v>310</v>
      </c>
    </row>
    <row r="1816" spans="1:20" ht="24" x14ac:dyDescent="0.2">
      <c r="A1816" s="432">
        <f>IF(B1816="","",COUNT('Diário 1º PA'!$A$4:$A$2635)+COUNT('Diário 2º PA'!$A$4:$A$3040)+COUNT('Diário 3º PA'!$A$4:$A$2731)+ROW()-3)</f>
        <v>7841</v>
      </c>
      <c r="B1816" s="413">
        <v>44915</v>
      </c>
      <c r="C1816" s="433">
        <v>44866</v>
      </c>
      <c r="D1816" s="434" t="s">
        <v>182</v>
      </c>
      <c r="E1816" s="434" t="s">
        <v>1</v>
      </c>
      <c r="F1816" s="422">
        <v>935.82</v>
      </c>
      <c r="G1816" s="419" t="s">
        <v>8982</v>
      </c>
      <c r="H1816" s="419" t="s">
        <v>310</v>
      </c>
      <c r="I1816" s="415" t="s">
        <v>1461</v>
      </c>
      <c r="J1816" s="419" t="s">
        <v>310</v>
      </c>
      <c r="K1816" s="419" t="s">
        <v>1220</v>
      </c>
      <c r="L1816" s="415" t="s">
        <v>1368</v>
      </c>
      <c r="M1816" s="419" t="s">
        <v>310</v>
      </c>
      <c r="N1816" s="413">
        <v>44915</v>
      </c>
      <c r="O1816" s="414" t="s">
        <v>400</v>
      </c>
      <c r="P1816" s="655">
        <f t="shared" si="113"/>
        <v>12</v>
      </c>
      <c r="Q1816" s="655">
        <f t="shared" si="114"/>
        <v>11</v>
      </c>
      <c r="R1816" s="758" t="str">
        <f t="shared" si="115"/>
        <v>Gastos_com_Pessoal</v>
      </c>
      <c r="S1816" s="697" t="s">
        <v>310</v>
      </c>
      <c r="T1816" s="697" t="s">
        <v>310</v>
      </c>
    </row>
    <row r="1817" spans="1:20" ht="24" x14ac:dyDescent="0.2">
      <c r="A1817" s="432">
        <f>IF(B1817="","",COUNT('Diário 1º PA'!$A$4:$A$2635)+COUNT('Diário 2º PA'!$A$4:$A$3040)+COUNT('Diário 3º PA'!$A$4:$A$2731)+ROW()-3)</f>
        <v>7842</v>
      </c>
      <c r="B1817" s="413">
        <v>44915</v>
      </c>
      <c r="C1817" s="433">
        <v>44866</v>
      </c>
      <c r="D1817" s="415" t="s">
        <v>182</v>
      </c>
      <c r="E1817" s="415" t="s">
        <v>252</v>
      </c>
      <c r="F1817" s="422">
        <v>2830.69</v>
      </c>
      <c r="G1817" s="419" t="s">
        <v>8983</v>
      </c>
      <c r="H1817" s="419" t="s">
        <v>310</v>
      </c>
      <c r="I1817" s="415" t="s">
        <v>1461</v>
      </c>
      <c r="J1817" s="419" t="s">
        <v>310</v>
      </c>
      <c r="K1817" s="419" t="s">
        <v>1220</v>
      </c>
      <c r="L1817" s="415" t="s">
        <v>1368</v>
      </c>
      <c r="M1817" s="419" t="s">
        <v>310</v>
      </c>
      <c r="N1817" s="413">
        <v>44915</v>
      </c>
      <c r="O1817" s="414" t="s">
        <v>400</v>
      </c>
      <c r="P1817" s="655">
        <f t="shared" si="113"/>
        <v>12</v>
      </c>
      <c r="Q1817" s="655">
        <f t="shared" si="114"/>
        <v>11</v>
      </c>
      <c r="R1817" s="758" t="str">
        <f t="shared" si="115"/>
        <v>Gastos_com_Pessoal</v>
      </c>
      <c r="S1817" s="697" t="s">
        <v>310</v>
      </c>
      <c r="T1817" s="697" t="s">
        <v>310</v>
      </c>
    </row>
    <row r="1818" spans="1:20" ht="36" x14ac:dyDescent="0.2">
      <c r="A1818" s="432">
        <f>IF(B1818="","",COUNT('Diário 1º PA'!$A$4:$A$2635)+COUNT('Diário 2º PA'!$A$4:$A$3040)+COUNT('Diário 3º PA'!$A$4:$A$2731)+ROW()-3)</f>
        <v>7843</v>
      </c>
      <c r="B1818" s="413">
        <v>44915</v>
      </c>
      <c r="C1818" s="431">
        <v>44866</v>
      </c>
      <c r="D1818" s="415" t="s">
        <v>468</v>
      </c>
      <c r="E1818" s="415" t="s">
        <v>468</v>
      </c>
      <c r="F1818" s="425">
        <v>1147</v>
      </c>
      <c r="G1818" s="427" t="s">
        <v>8999</v>
      </c>
      <c r="H1818" s="415" t="s">
        <v>468</v>
      </c>
      <c r="I1818" s="415" t="s">
        <v>1461</v>
      </c>
      <c r="J1818" s="419" t="s">
        <v>310</v>
      </c>
      <c r="K1818" s="419" t="s">
        <v>1220</v>
      </c>
      <c r="L1818" s="415" t="s">
        <v>1368</v>
      </c>
      <c r="M1818" s="419" t="s">
        <v>310</v>
      </c>
      <c r="N1818" s="413">
        <v>44915</v>
      </c>
      <c r="O1818" s="414" t="s">
        <v>400</v>
      </c>
      <c r="P1818" s="655">
        <f t="shared" si="113"/>
        <v>12</v>
      </c>
      <c r="Q1818" s="655">
        <f t="shared" si="114"/>
        <v>11</v>
      </c>
      <c r="R1818" s="758" t="str">
        <f t="shared" si="115"/>
        <v>Gastos_custeados_por_captação</v>
      </c>
      <c r="S1818" s="697" t="s">
        <v>310</v>
      </c>
      <c r="T1818" s="697" t="s">
        <v>310</v>
      </c>
    </row>
    <row r="1819" spans="1:20" ht="36" x14ac:dyDescent="0.2">
      <c r="A1819" s="432">
        <f>IF(B1819="","",COUNT('Diário 1º PA'!$A$4:$A$2635)+COUNT('Diário 2º PA'!$A$4:$A$3040)+COUNT('Diário 3º PA'!$A$4:$A$2731)+ROW()-3)</f>
        <v>7844</v>
      </c>
      <c r="B1819" s="413">
        <v>44915</v>
      </c>
      <c r="C1819" s="431">
        <v>44866</v>
      </c>
      <c r="D1819" s="415" t="s">
        <v>468</v>
      </c>
      <c r="E1819" s="415" t="s">
        <v>468</v>
      </c>
      <c r="F1819" s="422">
        <v>1085</v>
      </c>
      <c r="G1819" s="427" t="s">
        <v>9000</v>
      </c>
      <c r="H1819" s="415" t="s">
        <v>468</v>
      </c>
      <c r="I1819" s="415" t="s">
        <v>1461</v>
      </c>
      <c r="J1819" s="419" t="s">
        <v>310</v>
      </c>
      <c r="K1819" s="419" t="s">
        <v>1220</v>
      </c>
      <c r="L1819" s="415" t="s">
        <v>1368</v>
      </c>
      <c r="M1819" s="419" t="s">
        <v>310</v>
      </c>
      <c r="N1819" s="413">
        <v>44915</v>
      </c>
      <c r="O1819" s="414" t="s">
        <v>400</v>
      </c>
      <c r="P1819" s="655">
        <f t="shared" si="113"/>
        <v>12</v>
      </c>
      <c r="Q1819" s="655">
        <f t="shared" si="114"/>
        <v>11</v>
      </c>
      <c r="R1819" s="758" t="str">
        <f t="shared" si="115"/>
        <v>Gastos_custeados_por_captação</v>
      </c>
      <c r="S1819" s="697" t="s">
        <v>310</v>
      </c>
      <c r="T1819" s="697" t="s">
        <v>310</v>
      </c>
    </row>
    <row r="1820" spans="1:20" ht="36" x14ac:dyDescent="0.2">
      <c r="A1820" s="432">
        <f>IF(B1820="","",COUNT('Diário 1º PA'!$A$4:$A$2635)+COUNT('Diário 2º PA'!$A$4:$A$3040)+COUNT('Diário 3º PA'!$A$4:$A$2731)+ROW()-3)</f>
        <v>7845</v>
      </c>
      <c r="B1820" s="413">
        <v>44915</v>
      </c>
      <c r="C1820" s="431">
        <v>44866</v>
      </c>
      <c r="D1820" s="415" t="s">
        <v>468</v>
      </c>
      <c r="E1820" s="415" t="s">
        <v>468</v>
      </c>
      <c r="F1820" s="422">
        <v>3100</v>
      </c>
      <c r="G1820" s="427" t="s">
        <v>9002</v>
      </c>
      <c r="H1820" s="415" t="s">
        <v>468</v>
      </c>
      <c r="I1820" s="415" t="s">
        <v>1461</v>
      </c>
      <c r="J1820" s="419" t="s">
        <v>310</v>
      </c>
      <c r="K1820" s="419" t="s">
        <v>1220</v>
      </c>
      <c r="L1820" s="415" t="s">
        <v>1368</v>
      </c>
      <c r="M1820" s="419" t="s">
        <v>310</v>
      </c>
      <c r="N1820" s="413">
        <v>44915</v>
      </c>
      <c r="O1820" s="414" t="s">
        <v>400</v>
      </c>
      <c r="P1820" s="655">
        <f t="shared" si="113"/>
        <v>12</v>
      </c>
      <c r="Q1820" s="655">
        <f t="shared" si="114"/>
        <v>11</v>
      </c>
      <c r="R1820" s="758" t="str">
        <f t="shared" si="115"/>
        <v>Gastos_custeados_por_captação</v>
      </c>
      <c r="S1820" s="697" t="s">
        <v>310</v>
      </c>
      <c r="T1820" s="697" t="s">
        <v>310</v>
      </c>
    </row>
    <row r="1821" spans="1:20" ht="36" x14ac:dyDescent="0.2">
      <c r="A1821" s="432">
        <f>IF(B1821="","",COUNT('Diário 1º PA'!$A$4:$A$2635)+COUNT('Diário 2º PA'!$A$4:$A$3040)+COUNT('Diário 3º PA'!$A$4:$A$2731)+ROW()-3)</f>
        <v>7846</v>
      </c>
      <c r="B1821" s="413">
        <v>44915</v>
      </c>
      <c r="C1821" s="431">
        <v>44866</v>
      </c>
      <c r="D1821" s="415" t="s">
        <v>468</v>
      </c>
      <c r="E1821" s="415" t="s">
        <v>468</v>
      </c>
      <c r="F1821" s="422">
        <v>2328.1</v>
      </c>
      <c r="G1821" s="427" t="s">
        <v>9001</v>
      </c>
      <c r="H1821" s="415" t="s">
        <v>468</v>
      </c>
      <c r="I1821" s="415" t="s">
        <v>1461</v>
      </c>
      <c r="J1821" s="419" t="s">
        <v>310</v>
      </c>
      <c r="K1821" s="419" t="s">
        <v>1220</v>
      </c>
      <c r="L1821" s="415" t="s">
        <v>1368</v>
      </c>
      <c r="M1821" s="419" t="s">
        <v>310</v>
      </c>
      <c r="N1821" s="413">
        <v>44915</v>
      </c>
      <c r="O1821" s="414" t="s">
        <v>400</v>
      </c>
      <c r="P1821" s="655">
        <f t="shared" si="113"/>
        <v>12</v>
      </c>
      <c r="Q1821" s="655">
        <f t="shared" si="114"/>
        <v>11</v>
      </c>
      <c r="R1821" s="758" t="str">
        <f t="shared" si="115"/>
        <v>Gastos_custeados_por_captação</v>
      </c>
      <c r="S1821" s="697" t="s">
        <v>310</v>
      </c>
      <c r="T1821" s="697" t="s">
        <v>310</v>
      </c>
    </row>
    <row r="1822" spans="1:20" ht="36" x14ac:dyDescent="0.2">
      <c r="A1822" s="432">
        <f>IF(B1822="","",COUNT('Diário 1º PA'!$A$4:$A$2635)+COUNT('Diário 2º PA'!$A$4:$A$3040)+COUNT('Diário 3º PA'!$A$4:$A$2731)+ROW()-3)</f>
        <v>7847</v>
      </c>
      <c r="B1822" s="413">
        <v>44915</v>
      </c>
      <c r="C1822" s="431">
        <v>44866</v>
      </c>
      <c r="D1822" s="415" t="s">
        <v>468</v>
      </c>
      <c r="E1822" s="415" t="s">
        <v>468</v>
      </c>
      <c r="F1822" s="422">
        <v>930</v>
      </c>
      <c r="G1822" s="427" t="s">
        <v>9003</v>
      </c>
      <c r="H1822" s="415" t="s">
        <v>468</v>
      </c>
      <c r="I1822" s="415" t="s">
        <v>1461</v>
      </c>
      <c r="J1822" s="419" t="s">
        <v>310</v>
      </c>
      <c r="K1822" s="419" t="s">
        <v>1220</v>
      </c>
      <c r="L1822" s="415" t="s">
        <v>1368</v>
      </c>
      <c r="M1822" s="419" t="s">
        <v>310</v>
      </c>
      <c r="N1822" s="413">
        <v>44915</v>
      </c>
      <c r="O1822" s="414" t="s">
        <v>400</v>
      </c>
      <c r="P1822" s="655">
        <f t="shared" si="113"/>
        <v>12</v>
      </c>
      <c r="Q1822" s="655">
        <f t="shared" si="114"/>
        <v>11</v>
      </c>
      <c r="R1822" s="758" t="str">
        <f t="shared" si="115"/>
        <v>Gastos_custeados_por_captação</v>
      </c>
      <c r="S1822" s="697" t="s">
        <v>310</v>
      </c>
      <c r="T1822" s="697" t="s">
        <v>310</v>
      </c>
    </row>
    <row r="1823" spans="1:20" ht="36" x14ac:dyDescent="0.2">
      <c r="A1823" s="432">
        <f>IF(B1823="","",COUNT('Diário 1º PA'!$A$4:$A$2635)+COUNT('Diário 2º PA'!$A$4:$A$3040)+COUNT('Diário 3º PA'!$A$4:$A$2731)+ROW()-3)</f>
        <v>7848</v>
      </c>
      <c r="B1823" s="413">
        <v>44915</v>
      </c>
      <c r="C1823" s="431">
        <v>44866</v>
      </c>
      <c r="D1823" s="415" t="s">
        <v>468</v>
      </c>
      <c r="E1823" s="415" t="s">
        <v>468</v>
      </c>
      <c r="F1823" s="422">
        <v>514.6</v>
      </c>
      <c r="G1823" s="427" t="s">
        <v>9004</v>
      </c>
      <c r="H1823" s="415" t="s">
        <v>468</v>
      </c>
      <c r="I1823" s="415" t="s">
        <v>1461</v>
      </c>
      <c r="J1823" s="419" t="s">
        <v>310</v>
      </c>
      <c r="K1823" s="419" t="s">
        <v>1220</v>
      </c>
      <c r="L1823" s="415" t="s">
        <v>1368</v>
      </c>
      <c r="M1823" s="419" t="s">
        <v>310</v>
      </c>
      <c r="N1823" s="413">
        <v>44915</v>
      </c>
      <c r="O1823" s="414" t="s">
        <v>400</v>
      </c>
      <c r="P1823" s="655">
        <f t="shared" si="113"/>
        <v>12</v>
      </c>
      <c r="Q1823" s="655">
        <f t="shared" si="114"/>
        <v>11</v>
      </c>
      <c r="R1823" s="758" t="str">
        <f t="shared" si="115"/>
        <v>Gastos_custeados_por_captação</v>
      </c>
      <c r="S1823" s="697" t="s">
        <v>310</v>
      </c>
      <c r="T1823" s="697" t="s">
        <v>310</v>
      </c>
    </row>
    <row r="1824" spans="1:20" ht="36" x14ac:dyDescent="0.2">
      <c r="A1824" s="432">
        <f>IF(B1824="","",COUNT('Diário 1º PA'!$A$4:$A$2635)+COUNT('Diário 2º PA'!$A$4:$A$3040)+COUNT('Diário 3º PA'!$A$4:$A$2731)+ROW()-3)</f>
        <v>7849</v>
      </c>
      <c r="B1824" s="413">
        <v>44915</v>
      </c>
      <c r="C1824" s="431">
        <v>44866</v>
      </c>
      <c r="D1824" s="415" t="s">
        <v>468</v>
      </c>
      <c r="E1824" s="415" t="s">
        <v>468</v>
      </c>
      <c r="F1824" s="422">
        <v>7888.49</v>
      </c>
      <c r="G1824" s="427" t="s">
        <v>9005</v>
      </c>
      <c r="H1824" s="415" t="s">
        <v>468</v>
      </c>
      <c r="I1824" s="415" t="s">
        <v>1461</v>
      </c>
      <c r="J1824" s="419" t="s">
        <v>310</v>
      </c>
      <c r="K1824" s="419" t="s">
        <v>1220</v>
      </c>
      <c r="L1824" s="415" t="s">
        <v>1368</v>
      </c>
      <c r="M1824" s="419" t="s">
        <v>310</v>
      </c>
      <c r="N1824" s="413">
        <v>44915</v>
      </c>
      <c r="O1824" s="414" t="s">
        <v>400</v>
      </c>
      <c r="P1824" s="655">
        <f t="shared" si="113"/>
        <v>12</v>
      </c>
      <c r="Q1824" s="655">
        <f t="shared" si="114"/>
        <v>11</v>
      </c>
      <c r="R1824" s="758" t="str">
        <f t="shared" si="115"/>
        <v>Gastos_custeados_por_captação</v>
      </c>
      <c r="S1824" s="697" t="s">
        <v>310</v>
      </c>
      <c r="T1824" s="697" t="s">
        <v>310</v>
      </c>
    </row>
    <row r="1825" spans="1:20" ht="36" x14ac:dyDescent="0.2">
      <c r="A1825" s="432">
        <f>IF(B1825="","",COUNT('Diário 1º PA'!$A$4:$A$2635)+COUNT('Diário 2º PA'!$A$4:$A$3040)+COUNT('Diário 3º PA'!$A$4:$A$2731)+ROW()-3)</f>
        <v>7850</v>
      </c>
      <c r="B1825" s="413">
        <v>44915</v>
      </c>
      <c r="C1825" s="431">
        <v>44866</v>
      </c>
      <c r="D1825" s="415" t="s">
        <v>468</v>
      </c>
      <c r="E1825" s="415" t="s">
        <v>468</v>
      </c>
      <c r="F1825" s="422">
        <v>6510</v>
      </c>
      <c r="G1825" s="427" t="s">
        <v>9006</v>
      </c>
      <c r="H1825" s="415" t="s">
        <v>468</v>
      </c>
      <c r="I1825" s="415" t="s">
        <v>1461</v>
      </c>
      <c r="J1825" s="419" t="s">
        <v>310</v>
      </c>
      <c r="K1825" s="419" t="s">
        <v>1220</v>
      </c>
      <c r="L1825" s="415" t="s">
        <v>1368</v>
      </c>
      <c r="M1825" s="419" t="s">
        <v>310</v>
      </c>
      <c r="N1825" s="413">
        <v>44915</v>
      </c>
      <c r="O1825" s="414" t="s">
        <v>400</v>
      </c>
      <c r="P1825" s="655">
        <f t="shared" si="113"/>
        <v>12</v>
      </c>
      <c r="Q1825" s="655">
        <f t="shared" si="114"/>
        <v>11</v>
      </c>
      <c r="R1825" s="758" t="str">
        <f t="shared" si="115"/>
        <v>Gastos_custeados_por_captação</v>
      </c>
      <c r="S1825" s="697" t="s">
        <v>310</v>
      </c>
      <c r="T1825" s="697" t="s">
        <v>310</v>
      </c>
    </row>
    <row r="1826" spans="1:20" ht="36" x14ac:dyDescent="0.2">
      <c r="A1826" s="432">
        <f>IF(B1826="","",COUNT('Diário 1º PA'!$A$4:$A$2635)+COUNT('Diário 2º PA'!$A$4:$A$3040)+COUNT('Diário 3º PA'!$A$4:$A$2731)+ROW()-3)</f>
        <v>7851</v>
      </c>
      <c r="B1826" s="413">
        <v>44915</v>
      </c>
      <c r="C1826" s="431">
        <v>44866</v>
      </c>
      <c r="D1826" s="415" t="s">
        <v>468</v>
      </c>
      <c r="E1826" s="415" t="s">
        <v>468</v>
      </c>
      <c r="F1826" s="422">
        <v>7071.1</v>
      </c>
      <c r="G1826" s="427" t="s">
        <v>9007</v>
      </c>
      <c r="H1826" s="415" t="s">
        <v>468</v>
      </c>
      <c r="I1826" s="415" t="s">
        <v>1461</v>
      </c>
      <c r="J1826" s="419" t="s">
        <v>310</v>
      </c>
      <c r="K1826" s="419" t="s">
        <v>1220</v>
      </c>
      <c r="L1826" s="415" t="s">
        <v>1368</v>
      </c>
      <c r="M1826" s="419" t="s">
        <v>310</v>
      </c>
      <c r="N1826" s="413">
        <v>44915</v>
      </c>
      <c r="O1826" s="414" t="s">
        <v>400</v>
      </c>
      <c r="P1826" s="655">
        <f t="shared" si="113"/>
        <v>12</v>
      </c>
      <c r="Q1826" s="655">
        <f t="shared" si="114"/>
        <v>11</v>
      </c>
      <c r="R1826" s="758" t="str">
        <f t="shared" si="115"/>
        <v>Gastos_custeados_por_captação</v>
      </c>
      <c r="S1826" s="697" t="s">
        <v>310</v>
      </c>
      <c r="T1826" s="697" t="s">
        <v>310</v>
      </c>
    </row>
    <row r="1827" spans="1:20" ht="24" x14ac:dyDescent="0.2">
      <c r="A1827" s="432">
        <f>IF(B1827="","",COUNT('Diário 1º PA'!$A$4:$A$2635)+COUNT('Diário 2º PA'!$A$4:$A$3040)+COUNT('Diário 3º PA'!$A$4:$A$2731)+ROW()-3)</f>
        <v>7852</v>
      </c>
      <c r="B1827" s="413">
        <v>44915</v>
      </c>
      <c r="C1827" s="431">
        <v>44835</v>
      </c>
      <c r="D1827" s="415" t="s">
        <v>271</v>
      </c>
      <c r="E1827" s="415" t="s">
        <v>90</v>
      </c>
      <c r="F1827" s="422">
        <v>930</v>
      </c>
      <c r="G1827" s="419" t="s">
        <v>8082</v>
      </c>
      <c r="H1827" s="419" t="s">
        <v>793</v>
      </c>
      <c r="I1827" s="415" t="s">
        <v>1461</v>
      </c>
      <c r="J1827" s="419" t="s">
        <v>310</v>
      </c>
      <c r="K1827" s="419" t="s">
        <v>1220</v>
      </c>
      <c r="L1827" s="415" t="s">
        <v>1368</v>
      </c>
      <c r="M1827" s="419" t="s">
        <v>310</v>
      </c>
      <c r="N1827" s="413">
        <v>44915</v>
      </c>
      <c r="O1827" s="414" t="s">
        <v>400</v>
      </c>
      <c r="P1827" s="655">
        <f t="shared" si="113"/>
        <v>12</v>
      </c>
      <c r="Q1827" s="655">
        <f t="shared" si="114"/>
        <v>10</v>
      </c>
      <c r="R1827" s="758" t="str">
        <f t="shared" si="115"/>
        <v>Gastos_Gerais</v>
      </c>
      <c r="S1827" s="697" t="s">
        <v>310</v>
      </c>
      <c r="T1827" s="697" t="s">
        <v>310</v>
      </c>
    </row>
    <row r="1828" spans="1:20" ht="24" x14ac:dyDescent="0.2">
      <c r="A1828" s="432">
        <f>IF(B1828="","",COUNT('Diário 1º PA'!$A$4:$A$2635)+COUNT('Diário 2º PA'!$A$4:$A$3040)+COUNT('Diário 3º PA'!$A$4:$A$2731)+ROW()-3)</f>
        <v>7853</v>
      </c>
      <c r="B1828" s="413">
        <v>44915</v>
      </c>
      <c r="C1828" s="431">
        <v>44774</v>
      </c>
      <c r="D1828" s="415" t="s">
        <v>271</v>
      </c>
      <c r="E1828" s="415" t="s">
        <v>456</v>
      </c>
      <c r="F1828" s="422">
        <v>387.5</v>
      </c>
      <c r="G1828" s="419" t="s">
        <v>8305</v>
      </c>
      <c r="H1828" s="419" t="s">
        <v>748</v>
      </c>
      <c r="I1828" s="415" t="s">
        <v>1461</v>
      </c>
      <c r="J1828" s="419" t="s">
        <v>310</v>
      </c>
      <c r="K1828" s="419" t="s">
        <v>1220</v>
      </c>
      <c r="L1828" s="415" t="s">
        <v>1368</v>
      </c>
      <c r="M1828" s="419" t="s">
        <v>310</v>
      </c>
      <c r="N1828" s="413">
        <v>44915</v>
      </c>
      <c r="O1828" s="414" t="s">
        <v>400</v>
      </c>
      <c r="P1828" s="655">
        <f t="shared" si="113"/>
        <v>12</v>
      </c>
      <c r="Q1828" s="655">
        <f t="shared" si="114"/>
        <v>8</v>
      </c>
      <c r="R1828" s="758" t="str">
        <f t="shared" si="115"/>
        <v>Gastos_Gerais</v>
      </c>
      <c r="S1828" s="697" t="s">
        <v>310</v>
      </c>
      <c r="T1828" s="697" t="s">
        <v>310</v>
      </c>
    </row>
    <row r="1829" spans="1:20" ht="36" x14ac:dyDescent="0.2">
      <c r="A1829" s="432">
        <f>IF(B1829="","",COUNT('Diário 1º PA'!$A$4:$A$2635)+COUNT('Diário 2º PA'!$A$4:$A$3040)+COUNT('Diário 3º PA'!$A$4:$A$2731)+ROW()-3)</f>
        <v>7854</v>
      </c>
      <c r="B1829" s="413">
        <v>44915</v>
      </c>
      <c r="C1829" s="431">
        <v>44835</v>
      </c>
      <c r="D1829" s="419" t="s">
        <v>271</v>
      </c>
      <c r="E1829" s="419" t="s">
        <v>456</v>
      </c>
      <c r="F1829" s="422">
        <v>589</v>
      </c>
      <c r="G1829" s="419" t="s">
        <v>8302</v>
      </c>
      <c r="H1829" s="415" t="s">
        <v>757</v>
      </c>
      <c r="I1829" s="415" t="s">
        <v>1461</v>
      </c>
      <c r="J1829" s="419" t="s">
        <v>310</v>
      </c>
      <c r="K1829" s="419" t="s">
        <v>1220</v>
      </c>
      <c r="L1829" s="415" t="s">
        <v>1368</v>
      </c>
      <c r="M1829" s="419" t="s">
        <v>310</v>
      </c>
      <c r="N1829" s="413">
        <v>44915</v>
      </c>
      <c r="O1829" s="414" t="s">
        <v>400</v>
      </c>
      <c r="P1829" s="655">
        <f t="shared" si="113"/>
        <v>12</v>
      </c>
      <c r="Q1829" s="655">
        <f t="shared" si="114"/>
        <v>10</v>
      </c>
      <c r="R1829" s="758" t="str">
        <f t="shared" si="115"/>
        <v>Gastos_Gerais</v>
      </c>
      <c r="S1829" s="697" t="s">
        <v>310</v>
      </c>
      <c r="T1829" s="697" t="s">
        <v>310</v>
      </c>
    </row>
    <row r="1830" spans="1:20" ht="36" x14ac:dyDescent="0.2">
      <c r="A1830" s="432">
        <f>IF(B1830="","",COUNT('Diário 1º PA'!$A$4:$A$2635)+COUNT('Diário 2º PA'!$A$4:$A$3040)+COUNT('Diário 3º PA'!$A$4:$A$2731)+ROW()-3)</f>
        <v>7855</v>
      </c>
      <c r="B1830" s="413">
        <v>44915</v>
      </c>
      <c r="C1830" s="421">
        <v>44896</v>
      </c>
      <c r="D1830" s="419" t="s">
        <v>182</v>
      </c>
      <c r="E1830" s="419" t="s">
        <v>268</v>
      </c>
      <c r="F1830" s="422">
        <v>1766.85</v>
      </c>
      <c r="G1830" s="427" t="s">
        <v>8984</v>
      </c>
      <c r="H1830" s="419" t="s">
        <v>310</v>
      </c>
      <c r="I1830" s="415" t="s">
        <v>907</v>
      </c>
      <c r="J1830" s="415" t="s">
        <v>908</v>
      </c>
      <c r="K1830" s="415" t="s">
        <v>806</v>
      </c>
      <c r="L1830" s="415" t="s">
        <v>909</v>
      </c>
      <c r="M1830" s="419" t="s">
        <v>310</v>
      </c>
      <c r="N1830" s="413">
        <v>44915</v>
      </c>
      <c r="O1830" s="414" t="s">
        <v>400</v>
      </c>
      <c r="P1830" s="655">
        <f t="shared" si="113"/>
        <v>12</v>
      </c>
      <c r="Q1830" s="655">
        <f t="shared" si="114"/>
        <v>12</v>
      </c>
      <c r="R1830" s="758" t="str">
        <f t="shared" si="115"/>
        <v>Gastos_com_Pessoal</v>
      </c>
      <c r="S1830" s="697" t="s">
        <v>310</v>
      </c>
      <c r="T1830" s="697" t="s">
        <v>310</v>
      </c>
    </row>
    <row r="1831" spans="1:20" ht="36" x14ac:dyDescent="0.2">
      <c r="A1831" s="432">
        <f>IF(B1831="","",COUNT('Diário 1º PA'!$A$4:$A$2635)+COUNT('Diário 2º PA'!$A$4:$A$3040)+COUNT('Diário 3º PA'!$A$4:$A$2731)+ROW()-3)</f>
        <v>7856</v>
      </c>
      <c r="B1831" s="413">
        <v>44915</v>
      </c>
      <c r="C1831" s="421">
        <v>44896</v>
      </c>
      <c r="D1831" s="419" t="s">
        <v>182</v>
      </c>
      <c r="E1831" s="419" t="s">
        <v>268</v>
      </c>
      <c r="F1831" s="422">
        <v>1090.48</v>
      </c>
      <c r="G1831" s="427" t="s">
        <v>8985</v>
      </c>
      <c r="H1831" s="419" t="s">
        <v>310</v>
      </c>
      <c r="I1831" s="415" t="s">
        <v>914</v>
      </c>
      <c r="J1831" s="415" t="s">
        <v>915</v>
      </c>
      <c r="K1831" s="415" t="s">
        <v>806</v>
      </c>
      <c r="L1831" s="415" t="s">
        <v>909</v>
      </c>
      <c r="M1831" s="419" t="s">
        <v>310</v>
      </c>
      <c r="N1831" s="413">
        <v>44915</v>
      </c>
      <c r="O1831" s="414" t="s">
        <v>400</v>
      </c>
      <c r="P1831" s="655">
        <f t="shared" si="113"/>
        <v>12</v>
      </c>
      <c r="Q1831" s="655">
        <f t="shared" si="114"/>
        <v>12</v>
      </c>
      <c r="R1831" s="758" t="str">
        <f t="shared" si="115"/>
        <v>Gastos_com_Pessoal</v>
      </c>
      <c r="S1831" s="697" t="s">
        <v>310</v>
      </c>
      <c r="T1831" s="697" t="s">
        <v>310</v>
      </c>
    </row>
    <row r="1832" spans="1:20" ht="36" x14ac:dyDescent="0.2">
      <c r="A1832" s="432">
        <f>IF(B1832="","",COUNT('Diário 1º PA'!$A$4:$A$2635)+COUNT('Diário 2º PA'!$A$4:$A$3040)+COUNT('Diário 3º PA'!$A$4:$A$2731)+ROW()-3)</f>
        <v>7857</v>
      </c>
      <c r="B1832" s="413">
        <v>44915</v>
      </c>
      <c r="C1832" s="421">
        <v>44896</v>
      </c>
      <c r="D1832" s="419" t="s">
        <v>182</v>
      </c>
      <c r="E1832" s="419" t="s">
        <v>268</v>
      </c>
      <c r="F1832" s="422">
        <v>1021.4</v>
      </c>
      <c r="G1832" s="427" t="s">
        <v>8956</v>
      </c>
      <c r="H1832" s="419" t="s">
        <v>310</v>
      </c>
      <c r="I1832" s="415" t="s">
        <v>916</v>
      </c>
      <c r="J1832" s="419" t="s">
        <v>917</v>
      </c>
      <c r="K1832" s="419" t="s">
        <v>806</v>
      </c>
      <c r="L1832" s="415" t="s">
        <v>909</v>
      </c>
      <c r="M1832" s="419" t="s">
        <v>310</v>
      </c>
      <c r="N1832" s="413">
        <v>44915</v>
      </c>
      <c r="O1832" s="414" t="s">
        <v>400</v>
      </c>
      <c r="P1832" s="655">
        <f t="shared" si="113"/>
        <v>12</v>
      </c>
      <c r="Q1832" s="655">
        <f t="shared" si="114"/>
        <v>12</v>
      </c>
      <c r="R1832" s="758" t="str">
        <f t="shared" si="115"/>
        <v>Gastos_com_Pessoal</v>
      </c>
      <c r="S1832" s="697" t="s">
        <v>310</v>
      </c>
      <c r="T1832" s="697" t="s">
        <v>310</v>
      </c>
    </row>
    <row r="1833" spans="1:20" ht="36" x14ac:dyDescent="0.2">
      <c r="A1833" s="432">
        <f>IF(B1833="","",COUNT('Diário 1º PA'!$A$4:$A$2635)+COUNT('Diário 2º PA'!$A$4:$A$3040)+COUNT('Diário 3º PA'!$A$4:$A$2731)+ROW()-3)</f>
        <v>7858</v>
      </c>
      <c r="B1833" s="413">
        <v>44915</v>
      </c>
      <c r="C1833" s="421">
        <v>44896</v>
      </c>
      <c r="D1833" s="419" t="s">
        <v>182</v>
      </c>
      <c r="E1833" s="419" t="s">
        <v>268</v>
      </c>
      <c r="F1833" s="422">
        <v>709.71</v>
      </c>
      <c r="G1833" s="423" t="s">
        <v>8956</v>
      </c>
      <c r="H1833" s="419" t="s">
        <v>310</v>
      </c>
      <c r="I1833" s="415" t="s">
        <v>918</v>
      </c>
      <c r="J1833" s="419" t="s">
        <v>919</v>
      </c>
      <c r="K1833" s="419" t="s">
        <v>806</v>
      </c>
      <c r="L1833" s="415" t="s">
        <v>909</v>
      </c>
      <c r="M1833" s="419" t="s">
        <v>310</v>
      </c>
      <c r="N1833" s="413">
        <v>44915</v>
      </c>
      <c r="O1833" s="414" t="s">
        <v>400</v>
      </c>
      <c r="P1833" s="655">
        <f t="shared" si="113"/>
        <v>12</v>
      </c>
      <c r="Q1833" s="655">
        <f t="shared" si="114"/>
        <v>12</v>
      </c>
      <c r="R1833" s="758" t="str">
        <f t="shared" si="115"/>
        <v>Gastos_com_Pessoal</v>
      </c>
      <c r="S1833" s="697" t="s">
        <v>310</v>
      </c>
      <c r="T1833" s="697" t="s">
        <v>310</v>
      </c>
    </row>
    <row r="1834" spans="1:20" ht="36" x14ac:dyDescent="0.2">
      <c r="A1834" s="432">
        <f>IF(B1834="","",COUNT('Diário 1º PA'!$A$4:$A$2635)+COUNT('Diário 2º PA'!$A$4:$A$3040)+COUNT('Diário 3º PA'!$A$4:$A$2731)+ROW()-3)</f>
        <v>7859</v>
      </c>
      <c r="B1834" s="413">
        <v>44915</v>
      </c>
      <c r="C1834" s="421">
        <v>44896</v>
      </c>
      <c r="D1834" s="419" t="s">
        <v>182</v>
      </c>
      <c r="E1834" s="419" t="s">
        <v>268</v>
      </c>
      <c r="F1834" s="422">
        <v>1021.4</v>
      </c>
      <c r="G1834" s="423" t="s">
        <v>8956</v>
      </c>
      <c r="H1834" s="419" t="s">
        <v>310</v>
      </c>
      <c r="I1834" s="415" t="s">
        <v>920</v>
      </c>
      <c r="J1834" s="419" t="s">
        <v>921</v>
      </c>
      <c r="K1834" s="419" t="s">
        <v>806</v>
      </c>
      <c r="L1834" s="415" t="s">
        <v>909</v>
      </c>
      <c r="M1834" s="419" t="s">
        <v>310</v>
      </c>
      <c r="N1834" s="413">
        <v>44915</v>
      </c>
      <c r="O1834" s="414" t="s">
        <v>400</v>
      </c>
      <c r="P1834" s="655">
        <f t="shared" si="113"/>
        <v>12</v>
      </c>
      <c r="Q1834" s="655">
        <f t="shared" si="114"/>
        <v>12</v>
      </c>
      <c r="R1834" s="758" t="str">
        <f t="shared" si="115"/>
        <v>Gastos_com_Pessoal</v>
      </c>
      <c r="S1834" s="697" t="s">
        <v>310</v>
      </c>
      <c r="T1834" s="697" t="s">
        <v>310</v>
      </c>
    </row>
    <row r="1835" spans="1:20" ht="36" x14ac:dyDescent="0.2">
      <c r="A1835" s="432">
        <f>IF(B1835="","",COUNT('Diário 1º PA'!$A$4:$A$2635)+COUNT('Diário 2º PA'!$A$4:$A$3040)+COUNT('Diário 3º PA'!$A$4:$A$2731)+ROW()-3)</f>
        <v>7860</v>
      </c>
      <c r="B1835" s="414">
        <v>44915</v>
      </c>
      <c r="C1835" s="421">
        <v>44896</v>
      </c>
      <c r="D1835" s="419" t="s">
        <v>182</v>
      </c>
      <c r="E1835" s="419" t="s">
        <v>268</v>
      </c>
      <c r="F1835" s="422">
        <v>1766.85</v>
      </c>
      <c r="G1835" s="423" t="s">
        <v>8986</v>
      </c>
      <c r="H1835" s="419" t="s">
        <v>310</v>
      </c>
      <c r="I1835" s="415" t="s">
        <v>923</v>
      </c>
      <c r="J1835" s="419" t="s">
        <v>924</v>
      </c>
      <c r="K1835" s="419" t="s">
        <v>806</v>
      </c>
      <c r="L1835" s="415" t="s">
        <v>909</v>
      </c>
      <c r="M1835" s="419" t="s">
        <v>310</v>
      </c>
      <c r="N1835" s="413">
        <v>44915</v>
      </c>
      <c r="O1835" s="414" t="s">
        <v>400</v>
      </c>
      <c r="P1835" s="655">
        <f t="shared" si="113"/>
        <v>12</v>
      </c>
      <c r="Q1835" s="655">
        <f t="shared" si="114"/>
        <v>12</v>
      </c>
      <c r="R1835" s="758" t="str">
        <f t="shared" si="115"/>
        <v>Gastos_com_Pessoal</v>
      </c>
      <c r="S1835" s="697" t="s">
        <v>310</v>
      </c>
      <c r="T1835" s="697" t="s">
        <v>310</v>
      </c>
    </row>
    <row r="1836" spans="1:20" ht="36" x14ac:dyDescent="0.2">
      <c r="A1836" s="432">
        <f>IF(B1836="","",COUNT('Diário 1º PA'!$A$4:$A$2635)+COUNT('Diário 2º PA'!$A$4:$A$3040)+COUNT('Diário 3º PA'!$A$4:$A$2731)+ROW()-3)</f>
        <v>7861</v>
      </c>
      <c r="B1836" s="414">
        <v>44915</v>
      </c>
      <c r="C1836" s="421">
        <v>44896</v>
      </c>
      <c r="D1836" s="419" t="s">
        <v>182</v>
      </c>
      <c r="E1836" s="419" t="s">
        <v>268</v>
      </c>
      <c r="F1836" s="422">
        <v>1021.4</v>
      </c>
      <c r="G1836" s="423" t="s">
        <v>8956</v>
      </c>
      <c r="H1836" s="419" t="s">
        <v>310</v>
      </c>
      <c r="I1836" s="415" t="s">
        <v>926</v>
      </c>
      <c r="J1836" s="419" t="s">
        <v>927</v>
      </c>
      <c r="K1836" s="419" t="s">
        <v>806</v>
      </c>
      <c r="L1836" s="415" t="s">
        <v>909</v>
      </c>
      <c r="M1836" s="419" t="s">
        <v>310</v>
      </c>
      <c r="N1836" s="413">
        <v>44915</v>
      </c>
      <c r="O1836" s="414" t="s">
        <v>400</v>
      </c>
      <c r="P1836" s="655">
        <f t="shared" si="113"/>
        <v>12</v>
      </c>
      <c r="Q1836" s="655">
        <f t="shared" si="114"/>
        <v>12</v>
      </c>
      <c r="R1836" s="758" t="str">
        <f t="shared" si="115"/>
        <v>Gastos_com_Pessoal</v>
      </c>
      <c r="S1836" s="697" t="s">
        <v>310</v>
      </c>
      <c r="T1836" s="697" t="s">
        <v>310</v>
      </c>
    </row>
    <row r="1837" spans="1:20" ht="36" x14ac:dyDescent="0.2">
      <c r="A1837" s="432">
        <f>IF(B1837="","",COUNT('Diário 1º PA'!$A$4:$A$2635)+COUNT('Diário 2º PA'!$A$4:$A$3040)+COUNT('Diário 3º PA'!$A$4:$A$2731)+ROW()-3)</f>
        <v>7862</v>
      </c>
      <c r="B1837" s="414">
        <v>44915</v>
      </c>
      <c r="C1837" s="421">
        <v>44896</v>
      </c>
      <c r="D1837" s="419" t="s">
        <v>182</v>
      </c>
      <c r="E1837" s="419" t="s">
        <v>268</v>
      </c>
      <c r="F1837" s="422">
        <v>1021.4</v>
      </c>
      <c r="G1837" s="427" t="s">
        <v>8933</v>
      </c>
      <c r="H1837" s="419" t="s">
        <v>310</v>
      </c>
      <c r="I1837" s="415" t="s">
        <v>932</v>
      </c>
      <c r="J1837" s="419" t="s">
        <v>933</v>
      </c>
      <c r="K1837" s="419" t="s">
        <v>806</v>
      </c>
      <c r="L1837" s="415" t="s">
        <v>909</v>
      </c>
      <c r="M1837" s="419" t="s">
        <v>310</v>
      </c>
      <c r="N1837" s="413">
        <v>44915</v>
      </c>
      <c r="O1837" s="414" t="s">
        <v>400</v>
      </c>
      <c r="P1837" s="655">
        <f t="shared" si="113"/>
        <v>12</v>
      </c>
      <c r="Q1837" s="655">
        <f t="shared" si="114"/>
        <v>12</v>
      </c>
      <c r="R1837" s="758" t="str">
        <f t="shared" si="115"/>
        <v>Gastos_com_Pessoal</v>
      </c>
      <c r="S1837" s="697" t="s">
        <v>310</v>
      </c>
      <c r="T1837" s="697" t="s">
        <v>310</v>
      </c>
    </row>
    <row r="1838" spans="1:20" ht="36" x14ac:dyDescent="0.2">
      <c r="A1838" s="432">
        <f>IF(B1838="","",COUNT('Diário 1º PA'!$A$4:$A$2635)+COUNT('Diário 2º PA'!$A$4:$A$3040)+COUNT('Diário 3º PA'!$A$4:$A$2731)+ROW()-3)</f>
        <v>7863</v>
      </c>
      <c r="B1838" s="413">
        <v>44915</v>
      </c>
      <c r="C1838" s="421">
        <v>44896</v>
      </c>
      <c r="D1838" s="419" t="s">
        <v>182</v>
      </c>
      <c r="E1838" s="419" t="s">
        <v>268</v>
      </c>
      <c r="F1838" s="422">
        <v>1021.4</v>
      </c>
      <c r="G1838" s="423" t="s">
        <v>8941</v>
      </c>
      <c r="H1838" s="419" t="s">
        <v>310</v>
      </c>
      <c r="I1838" s="415" t="s">
        <v>935</v>
      </c>
      <c r="J1838" s="419" t="s">
        <v>936</v>
      </c>
      <c r="K1838" s="419" t="s">
        <v>806</v>
      </c>
      <c r="L1838" s="415" t="s">
        <v>909</v>
      </c>
      <c r="M1838" s="419" t="s">
        <v>310</v>
      </c>
      <c r="N1838" s="413">
        <v>44915</v>
      </c>
      <c r="O1838" s="414" t="s">
        <v>400</v>
      </c>
      <c r="P1838" s="655">
        <f t="shared" si="113"/>
        <v>12</v>
      </c>
      <c r="Q1838" s="655">
        <f t="shared" si="114"/>
        <v>12</v>
      </c>
      <c r="R1838" s="758" t="str">
        <f t="shared" si="115"/>
        <v>Gastos_com_Pessoal</v>
      </c>
      <c r="S1838" s="697" t="s">
        <v>310</v>
      </c>
      <c r="T1838" s="697" t="s">
        <v>310</v>
      </c>
    </row>
    <row r="1839" spans="1:20" ht="36" x14ac:dyDescent="0.2">
      <c r="A1839" s="432">
        <f>IF(B1839="","",COUNT('Diário 1º PA'!$A$4:$A$2635)+COUNT('Diário 2º PA'!$A$4:$A$3040)+COUNT('Diário 3º PA'!$A$4:$A$2731)+ROW()-3)</f>
        <v>7864</v>
      </c>
      <c r="B1839" s="413">
        <v>44915</v>
      </c>
      <c r="C1839" s="421">
        <v>44896</v>
      </c>
      <c r="D1839" s="419" t="s">
        <v>182</v>
      </c>
      <c r="E1839" s="419" t="s">
        <v>268</v>
      </c>
      <c r="F1839" s="422">
        <v>1332.4</v>
      </c>
      <c r="G1839" s="423" t="s">
        <v>8987</v>
      </c>
      <c r="H1839" s="419" t="s">
        <v>310</v>
      </c>
      <c r="I1839" s="415" t="s">
        <v>938</v>
      </c>
      <c r="J1839" s="419" t="s">
        <v>939</v>
      </c>
      <c r="K1839" s="419" t="s">
        <v>806</v>
      </c>
      <c r="L1839" s="415" t="s">
        <v>909</v>
      </c>
      <c r="M1839" s="419" t="s">
        <v>310</v>
      </c>
      <c r="N1839" s="413">
        <v>44915</v>
      </c>
      <c r="O1839" s="414" t="s">
        <v>400</v>
      </c>
      <c r="P1839" s="655">
        <f t="shared" ref="P1839:P1902" si="116">IF(B1839=0,0,IF(YEAR(B1839)=$Q$1,MONTH(B1839)-$P$1+1,(YEAR(B1839)-$Q$1)*12-$P$1+1+MONTH(B1839)))</f>
        <v>12</v>
      </c>
      <c r="Q1839" s="655">
        <f t="shared" ref="Q1839:Q1902" si="117">IF(C1839=0,0,IF(YEAR(C1839)=$Q$1,MONTH(C1839)-$P$1+1,(YEAR(C1839)-$Q$1)*12-$P$1+1+MONTH(C1839)))</f>
        <v>12</v>
      </c>
      <c r="R1839" s="758" t="str">
        <f t="shared" si="115"/>
        <v>Gastos_com_Pessoal</v>
      </c>
      <c r="S1839" s="697" t="s">
        <v>310</v>
      </c>
      <c r="T1839" s="697" t="s">
        <v>310</v>
      </c>
    </row>
    <row r="1840" spans="1:20" ht="36" x14ac:dyDescent="0.2">
      <c r="A1840" s="432">
        <f>IF(B1840="","",COUNT('Diário 1º PA'!$A$4:$A$2635)+COUNT('Diário 2º PA'!$A$4:$A$3040)+COUNT('Diário 3º PA'!$A$4:$A$2731)+ROW()-3)</f>
        <v>7865</v>
      </c>
      <c r="B1840" s="413">
        <v>44915</v>
      </c>
      <c r="C1840" s="421">
        <v>44896</v>
      </c>
      <c r="D1840" s="419" t="s">
        <v>182</v>
      </c>
      <c r="E1840" s="419" t="s">
        <v>268</v>
      </c>
      <c r="F1840" s="422">
        <v>4546.7700000000004</v>
      </c>
      <c r="G1840" s="423" t="s">
        <v>8988</v>
      </c>
      <c r="H1840" s="419" t="s">
        <v>310</v>
      </c>
      <c r="I1840" s="415" t="s">
        <v>941</v>
      </c>
      <c r="J1840" s="419" t="s">
        <v>942</v>
      </c>
      <c r="K1840" s="419" t="s">
        <v>806</v>
      </c>
      <c r="L1840" s="415" t="s">
        <v>909</v>
      </c>
      <c r="M1840" s="419" t="s">
        <v>310</v>
      </c>
      <c r="N1840" s="413">
        <v>44915</v>
      </c>
      <c r="O1840" s="414" t="s">
        <v>400</v>
      </c>
      <c r="P1840" s="655">
        <f t="shared" si="116"/>
        <v>12</v>
      </c>
      <c r="Q1840" s="655">
        <f t="shared" si="117"/>
        <v>12</v>
      </c>
      <c r="R1840" s="758" t="str">
        <f t="shared" si="115"/>
        <v>Gastos_com_Pessoal</v>
      </c>
      <c r="S1840" s="697" t="s">
        <v>310</v>
      </c>
      <c r="T1840" s="697" t="s">
        <v>310</v>
      </c>
    </row>
    <row r="1841" spans="1:20" ht="36" x14ac:dyDescent="0.2">
      <c r="A1841" s="432">
        <f>IF(B1841="","",COUNT('Diário 1º PA'!$A$4:$A$2635)+COUNT('Diário 2º PA'!$A$4:$A$3040)+COUNT('Diário 3º PA'!$A$4:$A$2731)+ROW()-3)</f>
        <v>7866</v>
      </c>
      <c r="B1841" s="413">
        <v>44915</v>
      </c>
      <c r="C1841" s="421">
        <v>44896</v>
      </c>
      <c r="D1841" s="419" t="s">
        <v>182</v>
      </c>
      <c r="E1841" s="419" t="s">
        <v>268</v>
      </c>
      <c r="F1841" s="422">
        <v>1021.4</v>
      </c>
      <c r="G1841" s="423" t="s">
        <v>8956</v>
      </c>
      <c r="H1841" s="419" t="s">
        <v>310</v>
      </c>
      <c r="I1841" s="415" t="s">
        <v>943</v>
      </c>
      <c r="J1841" s="419" t="s">
        <v>1553</v>
      </c>
      <c r="K1841" s="419" t="s">
        <v>806</v>
      </c>
      <c r="L1841" s="415" t="s">
        <v>909</v>
      </c>
      <c r="M1841" s="419" t="s">
        <v>310</v>
      </c>
      <c r="N1841" s="413">
        <v>44915</v>
      </c>
      <c r="O1841" s="414" t="s">
        <v>400</v>
      </c>
      <c r="P1841" s="655">
        <f t="shared" si="116"/>
        <v>12</v>
      </c>
      <c r="Q1841" s="655">
        <f t="shared" si="117"/>
        <v>12</v>
      </c>
      <c r="R1841" s="758" t="str">
        <f t="shared" si="115"/>
        <v>Gastos_com_Pessoal</v>
      </c>
      <c r="S1841" s="697" t="s">
        <v>310</v>
      </c>
      <c r="T1841" s="697" t="s">
        <v>310</v>
      </c>
    </row>
    <row r="1842" spans="1:20" ht="24" x14ac:dyDescent="0.2">
      <c r="A1842" s="432">
        <f>IF(B1842="","",COUNT('Diário 1º PA'!$A$4:$A$2635)+COUNT('Diário 2º PA'!$A$4:$A$3040)+COUNT('Diário 3º PA'!$A$4:$A$2731)+ROW()-3)</f>
        <v>7867</v>
      </c>
      <c r="B1842" s="413">
        <v>44915</v>
      </c>
      <c r="C1842" s="421">
        <v>44896</v>
      </c>
      <c r="D1842" s="419" t="s">
        <v>271</v>
      </c>
      <c r="E1842" s="419" t="s">
        <v>71</v>
      </c>
      <c r="F1842" s="422">
        <v>11</v>
      </c>
      <c r="G1842" s="419" t="s">
        <v>8709</v>
      </c>
      <c r="H1842" s="419" t="s">
        <v>310</v>
      </c>
      <c r="I1842" s="415" t="s">
        <v>881</v>
      </c>
      <c r="J1842" s="419" t="s">
        <v>882</v>
      </c>
      <c r="K1842" s="419" t="s">
        <v>883</v>
      </c>
      <c r="L1842" s="415" t="s">
        <v>798</v>
      </c>
      <c r="M1842" s="419" t="s">
        <v>310</v>
      </c>
      <c r="N1842" s="413">
        <v>44915</v>
      </c>
      <c r="O1842" s="414" t="s">
        <v>400</v>
      </c>
      <c r="P1842" s="655">
        <f t="shared" si="116"/>
        <v>12</v>
      </c>
      <c r="Q1842" s="655">
        <f t="shared" si="117"/>
        <v>12</v>
      </c>
      <c r="R1842" s="758" t="str">
        <f t="shared" si="115"/>
        <v>Gastos_Gerais</v>
      </c>
      <c r="S1842" s="697" t="s">
        <v>310</v>
      </c>
      <c r="T1842" s="697" t="s">
        <v>310</v>
      </c>
    </row>
    <row r="1843" spans="1:20" ht="24" x14ac:dyDescent="0.2">
      <c r="A1843" s="432">
        <f>IF(B1843="","",COUNT('Diário 1º PA'!$A$4:$A$2635)+COUNT('Diário 2º PA'!$A$4:$A$3040)+COUNT('Diário 3º PA'!$A$4:$A$2731)+ROW()-3)</f>
        <v>7868</v>
      </c>
      <c r="B1843" s="413">
        <v>44915</v>
      </c>
      <c r="C1843" s="421">
        <v>44896</v>
      </c>
      <c r="D1843" s="419" t="s">
        <v>271</v>
      </c>
      <c r="E1843" s="419" t="s">
        <v>71</v>
      </c>
      <c r="F1843" s="422">
        <v>11</v>
      </c>
      <c r="G1843" s="419" t="s">
        <v>8709</v>
      </c>
      <c r="H1843" s="419" t="s">
        <v>310</v>
      </c>
      <c r="I1843" s="415" t="s">
        <v>881</v>
      </c>
      <c r="J1843" s="419" t="s">
        <v>882</v>
      </c>
      <c r="K1843" s="419" t="s">
        <v>883</v>
      </c>
      <c r="L1843" s="415" t="s">
        <v>798</v>
      </c>
      <c r="M1843" s="419" t="s">
        <v>310</v>
      </c>
      <c r="N1843" s="413">
        <v>44915</v>
      </c>
      <c r="O1843" s="414" t="s">
        <v>400</v>
      </c>
      <c r="P1843" s="655">
        <f t="shared" si="116"/>
        <v>12</v>
      </c>
      <c r="Q1843" s="655">
        <f t="shared" si="117"/>
        <v>12</v>
      </c>
      <c r="R1843" s="758" t="str">
        <f t="shared" si="115"/>
        <v>Gastos_Gerais</v>
      </c>
      <c r="S1843" s="697" t="s">
        <v>310</v>
      </c>
      <c r="T1843" s="697" t="s">
        <v>310</v>
      </c>
    </row>
    <row r="1844" spans="1:20" ht="24" x14ac:dyDescent="0.2">
      <c r="A1844" s="432">
        <f>IF(B1844="","",COUNT('Diário 1º PA'!$A$4:$A$2635)+COUNT('Diário 2º PA'!$A$4:$A$3040)+COUNT('Diário 3º PA'!$A$4:$A$2731)+ROW()-3)</f>
        <v>7869</v>
      </c>
      <c r="B1844" s="413">
        <v>44915</v>
      </c>
      <c r="C1844" s="421">
        <v>44896</v>
      </c>
      <c r="D1844" s="419" t="s">
        <v>271</v>
      </c>
      <c r="E1844" s="419" t="s">
        <v>71</v>
      </c>
      <c r="F1844" s="422">
        <v>11</v>
      </c>
      <c r="G1844" s="419" t="s">
        <v>8709</v>
      </c>
      <c r="H1844" s="419" t="s">
        <v>310</v>
      </c>
      <c r="I1844" s="415" t="s">
        <v>881</v>
      </c>
      <c r="J1844" s="419" t="s">
        <v>882</v>
      </c>
      <c r="K1844" s="419" t="s">
        <v>883</v>
      </c>
      <c r="L1844" s="415" t="s">
        <v>798</v>
      </c>
      <c r="M1844" s="419" t="s">
        <v>310</v>
      </c>
      <c r="N1844" s="413">
        <v>44915</v>
      </c>
      <c r="O1844" s="414" t="s">
        <v>400</v>
      </c>
      <c r="P1844" s="655">
        <f t="shared" si="116"/>
        <v>12</v>
      </c>
      <c r="Q1844" s="655">
        <f t="shared" si="117"/>
        <v>12</v>
      </c>
      <c r="R1844" s="758" t="str">
        <f t="shared" si="115"/>
        <v>Gastos_Gerais</v>
      </c>
      <c r="S1844" s="697" t="s">
        <v>310</v>
      </c>
      <c r="T1844" s="697" t="s">
        <v>310</v>
      </c>
    </row>
    <row r="1845" spans="1:20" ht="24" x14ac:dyDescent="0.2">
      <c r="A1845" s="432">
        <f>IF(B1845="","",COUNT('Diário 1º PA'!$A$4:$A$2635)+COUNT('Diário 2º PA'!$A$4:$A$3040)+COUNT('Diário 3º PA'!$A$4:$A$2731)+ROW()-3)</f>
        <v>7870</v>
      </c>
      <c r="B1845" s="413">
        <v>44915</v>
      </c>
      <c r="C1845" s="421">
        <v>44896</v>
      </c>
      <c r="D1845" s="419" t="s">
        <v>271</v>
      </c>
      <c r="E1845" s="419" t="s">
        <v>71</v>
      </c>
      <c r="F1845" s="422">
        <v>11</v>
      </c>
      <c r="G1845" s="419" t="s">
        <v>8709</v>
      </c>
      <c r="H1845" s="419" t="s">
        <v>310</v>
      </c>
      <c r="I1845" s="415" t="s">
        <v>881</v>
      </c>
      <c r="J1845" s="419" t="s">
        <v>882</v>
      </c>
      <c r="K1845" s="419" t="s">
        <v>883</v>
      </c>
      <c r="L1845" s="415" t="s">
        <v>798</v>
      </c>
      <c r="M1845" s="419" t="s">
        <v>310</v>
      </c>
      <c r="N1845" s="413">
        <v>44915</v>
      </c>
      <c r="O1845" s="414" t="s">
        <v>400</v>
      </c>
      <c r="P1845" s="655">
        <f t="shared" si="116"/>
        <v>12</v>
      </c>
      <c r="Q1845" s="655">
        <f t="shared" si="117"/>
        <v>12</v>
      </c>
      <c r="R1845" s="758" t="str">
        <f t="shared" si="115"/>
        <v>Gastos_Gerais</v>
      </c>
      <c r="S1845" s="697" t="s">
        <v>310</v>
      </c>
      <c r="T1845" s="697" t="s">
        <v>310</v>
      </c>
    </row>
    <row r="1846" spans="1:20" ht="24" x14ac:dyDescent="0.2">
      <c r="A1846" s="432">
        <f>IF(B1846="","",COUNT('Diário 1º PA'!$A$4:$A$2635)+COUNT('Diário 2º PA'!$A$4:$A$3040)+COUNT('Diário 3º PA'!$A$4:$A$2731)+ROW()-3)</f>
        <v>7871</v>
      </c>
      <c r="B1846" s="413">
        <v>44915</v>
      </c>
      <c r="C1846" s="421">
        <v>44896</v>
      </c>
      <c r="D1846" s="419" t="s">
        <v>271</v>
      </c>
      <c r="E1846" s="419" t="s">
        <v>71</v>
      </c>
      <c r="F1846" s="422">
        <v>11</v>
      </c>
      <c r="G1846" s="419" t="s">
        <v>8709</v>
      </c>
      <c r="H1846" s="419" t="s">
        <v>310</v>
      </c>
      <c r="I1846" s="415" t="s">
        <v>881</v>
      </c>
      <c r="J1846" s="419" t="s">
        <v>882</v>
      </c>
      <c r="K1846" s="419" t="s">
        <v>883</v>
      </c>
      <c r="L1846" s="415" t="s">
        <v>798</v>
      </c>
      <c r="M1846" s="419" t="s">
        <v>310</v>
      </c>
      <c r="N1846" s="413">
        <v>44915</v>
      </c>
      <c r="O1846" s="414" t="s">
        <v>400</v>
      </c>
      <c r="P1846" s="655">
        <f t="shared" si="116"/>
        <v>12</v>
      </c>
      <c r="Q1846" s="655">
        <f t="shared" si="117"/>
        <v>12</v>
      </c>
      <c r="R1846" s="758" t="str">
        <f t="shared" si="115"/>
        <v>Gastos_Gerais</v>
      </c>
      <c r="S1846" s="697" t="s">
        <v>310</v>
      </c>
      <c r="T1846" s="697" t="s">
        <v>310</v>
      </c>
    </row>
    <row r="1847" spans="1:20" ht="24" x14ac:dyDescent="0.2">
      <c r="A1847" s="432">
        <f>IF(B1847="","",COUNT('Diário 1º PA'!$A$4:$A$2635)+COUNT('Diário 2º PA'!$A$4:$A$3040)+COUNT('Diário 3º PA'!$A$4:$A$2731)+ROW()-3)</f>
        <v>7872</v>
      </c>
      <c r="B1847" s="413">
        <v>44915</v>
      </c>
      <c r="C1847" s="421">
        <v>44896</v>
      </c>
      <c r="D1847" s="419" t="s">
        <v>271</v>
      </c>
      <c r="E1847" s="419" t="s">
        <v>71</v>
      </c>
      <c r="F1847" s="422">
        <v>11</v>
      </c>
      <c r="G1847" s="419" t="s">
        <v>8709</v>
      </c>
      <c r="H1847" s="419" t="s">
        <v>310</v>
      </c>
      <c r="I1847" s="415" t="s">
        <v>881</v>
      </c>
      <c r="J1847" s="419" t="s">
        <v>882</v>
      </c>
      <c r="K1847" s="419" t="s">
        <v>883</v>
      </c>
      <c r="L1847" s="415" t="s">
        <v>798</v>
      </c>
      <c r="M1847" s="419" t="s">
        <v>310</v>
      </c>
      <c r="N1847" s="413">
        <v>44915</v>
      </c>
      <c r="O1847" s="414" t="s">
        <v>400</v>
      </c>
      <c r="P1847" s="655">
        <f t="shared" si="116"/>
        <v>12</v>
      </c>
      <c r="Q1847" s="655">
        <f t="shared" si="117"/>
        <v>12</v>
      </c>
      <c r="R1847" s="758" t="str">
        <f t="shared" si="115"/>
        <v>Gastos_Gerais</v>
      </c>
      <c r="S1847" s="697" t="s">
        <v>310</v>
      </c>
      <c r="T1847" s="697" t="s">
        <v>310</v>
      </c>
    </row>
    <row r="1848" spans="1:20" ht="24" x14ac:dyDescent="0.2">
      <c r="A1848" s="432">
        <f>IF(B1848="","",COUNT('Diário 1º PA'!$A$4:$A$2635)+COUNT('Diário 2º PA'!$A$4:$A$3040)+COUNT('Diário 3º PA'!$A$4:$A$2731)+ROW()-3)</f>
        <v>7873</v>
      </c>
      <c r="B1848" s="413">
        <v>44915</v>
      </c>
      <c r="C1848" s="421">
        <v>44896</v>
      </c>
      <c r="D1848" s="419" t="s">
        <v>271</v>
      </c>
      <c r="E1848" s="419" t="s">
        <v>71</v>
      </c>
      <c r="F1848" s="422">
        <v>11</v>
      </c>
      <c r="G1848" s="419" t="s">
        <v>8709</v>
      </c>
      <c r="H1848" s="419" t="s">
        <v>310</v>
      </c>
      <c r="I1848" s="415" t="s">
        <v>881</v>
      </c>
      <c r="J1848" s="419" t="s">
        <v>882</v>
      </c>
      <c r="K1848" s="419" t="s">
        <v>883</v>
      </c>
      <c r="L1848" s="415" t="s">
        <v>798</v>
      </c>
      <c r="M1848" s="419" t="s">
        <v>310</v>
      </c>
      <c r="N1848" s="413">
        <v>44915</v>
      </c>
      <c r="O1848" s="414" t="s">
        <v>400</v>
      </c>
      <c r="P1848" s="655">
        <f t="shared" si="116"/>
        <v>12</v>
      </c>
      <c r="Q1848" s="655">
        <f t="shared" si="117"/>
        <v>12</v>
      </c>
      <c r="R1848" s="758" t="str">
        <f t="shared" si="115"/>
        <v>Gastos_Gerais</v>
      </c>
      <c r="S1848" s="697" t="s">
        <v>310</v>
      </c>
      <c r="T1848" s="697" t="s">
        <v>310</v>
      </c>
    </row>
    <row r="1849" spans="1:20" ht="24" x14ac:dyDescent="0.2">
      <c r="A1849" s="432">
        <f>IF(B1849="","",COUNT('Diário 1º PA'!$A$4:$A$2635)+COUNT('Diário 2º PA'!$A$4:$A$3040)+COUNT('Diário 3º PA'!$A$4:$A$2731)+ROW()-3)</f>
        <v>7874</v>
      </c>
      <c r="B1849" s="413">
        <v>44915</v>
      </c>
      <c r="C1849" s="421">
        <v>44896</v>
      </c>
      <c r="D1849" s="419" t="s">
        <v>271</v>
      </c>
      <c r="E1849" s="419" t="s">
        <v>71</v>
      </c>
      <c r="F1849" s="422">
        <v>11</v>
      </c>
      <c r="G1849" s="419" t="s">
        <v>8709</v>
      </c>
      <c r="H1849" s="419" t="s">
        <v>310</v>
      </c>
      <c r="I1849" s="415" t="s">
        <v>881</v>
      </c>
      <c r="J1849" s="419" t="s">
        <v>882</v>
      </c>
      <c r="K1849" s="419" t="s">
        <v>883</v>
      </c>
      <c r="L1849" s="415" t="s">
        <v>798</v>
      </c>
      <c r="M1849" s="419" t="s">
        <v>310</v>
      </c>
      <c r="N1849" s="413">
        <v>44915</v>
      </c>
      <c r="O1849" s="414" t="s">
        <v>400</v>
      </c>
      <c r="P1849" s="655">
        <f t="shared" si="116"/>
        <v>12</v>
      </c>
      <c r="Q1849" s="655">
        <f t="shared" si="117"/>
        <v>12</v>
      </c>
      <c r="R1849" s="758" t="str">
        <f t="shared" si="115"/>
        <v>Gastos_Gerais</v>
      </c>
      <c r="S1849" s="697" t="s">
        <v>310</v>
      </c>
      <c r="T1849" s="697" t="s">
        <v>310</v>
      </c>
    </row>
    <row r="1850" spans="1:20" ht="24" x14ac:dyDescent="0.2">
      <c r="A1850" s="432">
        <f>IF(B1850="","",COUNT('Diário 1º PA'!$A$4:$A$2635)+COUNT('Diário 2º PA'!$A$4:$A$3040)+COUNT('Diário 3º PA'!$A$4:$A$2731)+ROW()-3)</f>
        <v>7875</v>
      </c>
      <c r="B1850" s="413">
        <v>44915</v>
      </c>
      <c r="C1850" s="421">
        <v>44896</v>
      </c>
      <c r="D1850" s="419" t="s">
        <v>271</v>
      </c>
      <c r="E1850" s="419" t="s">
        <v>71</v>
      </c>
      <c r="F1850" s="422">
        <v>11</v>
      </c>
      <c r="G1850" s="419" t="s">
        <v>8709</v>
      </c>
      <c r="H1850" s="419" t="s">
        <v>310</v>
      </c>
      <c r="I1850" s="415" t="s">
        <v>881</v>
      </c>
      <c r="J1850" s="419" t="s">
        <v>882</v>
      </c>
      <c r="K1850" s="419" t="s">
        <v>883</v>
      </c>
      <c r="L1850" s="415" t="s">
        <v>798</v>
      </c>
      <c r="M1850" s="419" t="s">
        <v>310</v>
      </c>
      <c r="N1850" s="413">
        <v>44915</v>
      </c>
      <c r="O1850" s="414" t="s">
        <v>400</v>
      </c>
      <c r="P1850" s="655">
        <f t="shared" si="116"/>
        <v>12</v>
      </c>
      <c r="Q1850" s="655">
        <f t="shared" si="117"/>
        <v>12</v>
      </c>
      <c r="R1850" s="758" t="str">
        <f t="shared" si="115"/>
        <v>Gastos_Gerais</v>
      </c>
      <c r="S1850" s="697" t="s">
        <v>310</v>
      </c>
      <c r="T1850" s="697" t="s">
        <v>310</v>
      </c>
    </row>
    <row r="1851" spans="1:20" ht="24" x14ac:dyDescent="0.2">
      <c r="A1851" s="432">
        <f>IF(B1851="","",COUNT('Diário 1º PA'!$A$4:$A$2635)+COUNT('Diário 2º PA'!$A$4:$A$3040)+COUNT('Diário 3º PA'!$A$4:$A$2731)+ROW()-3)</f>
        <v>7876</v>
      </c>
      <c r="B1851" s="413">
        <v>44915</v>
      </c>
      <c r="C1851" s="421">
        <v>44896</v>
      </c>
      <c r="D1851" s="419" t="s">
        <v>271</v>
      </c>
      <c r="E1851" s="419" t="s">
        <v>71</v>
      </c>
      <c r="F1851" s="422">
        <v>11</v>
      </c>
      <c r="G1851" s="419" t="s">
        <v>8709</v>
      </c>
      <c r="H1851" s="419" t="s">
        <v>310</v>
      </c>
      <c r="I1851" s="415" t="s">
        <v>881</v>
      </c>
      <c r="J1851" s="419" t="s">
        <v>882</v>
      </c>
      <c r="K1851" s="419" t="s">
        <v>883</v>
      </c>
      <c r="L1851" s="415" t="s">
        <v>798</v>
      </c>
      <c r="M1851" s="419" t="s">
        <v>310</v>
      </c>
      <c r="N1851" s="413">
        <v>44915</v>
      </c>
      <c r="O1851" s="414" t="s">
        <v>400</v>
      </c>
      <c r="P1851" s="655">
        <f t="shared" si="116"/>
        <v>12</v>
      </c>
      <c r="Q1851" s="655">
        <f t="shared" si="117"/>
        <v>12</v>
      </c>
      <c r="R1851" s="758" t="str">
        <f t="shared" si="115"/>
        <v>Gastos_Gerais</v>
      </c>
      <c r="S1851" s="697" t="s">
        <v>310</v>
      </c>
      <c r="T1851" s="697" t="s">
        <v>310</v>
      </c>
    </row>
    <row r="1852" spans="1:20" ht="24" x14ac:dyDescent="0.2">
      <c r="A1852" s="432">
        <f>IF(B1852="","",COUNT('Diário 1º PA'!$A$4:$A$2635)+COUNT('Diário 2º PA'!$A$4:$A$3040)+COUNT('Diário 3º PA'!$A$4:$A$2731)+ROW()-3)</f>
        <v>7877</v>
      </c>
      <c r="B1852" s="413">
        <v>44915</v>
      </c>
      <c r="C1852" s="421">
        <v>44896</v>
      </c>
      <c r="D1852" s="419" t="s">
        <v>271</v>
      </c>
      <c r="E1852" s="419" t="s">
        <v>71</v>
      </c>
      <c r="F1852" s="422">
        <v>11</v>
      </c>
      <c r="G1852" s="419" t="s">
        <v>8709</v>
      </c>
      <c r="H1852" s="419" t="s">
        <v>310</v>
      </c>
      <c r="I1852" s="415" t="s">
        <v>881</v>
      </c>
      <c r="J1852" s="419" t="s">
        <v>882</v>
      </c>
      <c r="K1852" s="419" t="s">
        <v>883</v>
      </c>
      <c r="L1852" s="415" t="s">
        <v>798</v>
      </c>
      <c r="M1852" s="419" t="s">
        <v>310</v>
      </c>
      <c r="N1852" s="413">
        <v>44915</v>
      </c>
      <c r="O1852" s="414" t="s">
        <v>400</v>
      </c>
      <c r="P1852" s="655">
        <f t="shared" si="116"/>
        <v>12</v>
      </c>
      <c r="Q1852" s="655">
        <f t="shared" si="117"/>
        <v>12</v>
      </c>
      <c r="R1852" s="758" t="str">
        <f t="shared" si="115"/>
        <v>Gastos_Gerais</v>
      </c>
      <c r="S1852" s="697" t="s">
        <v>310</v>
      </c>
      <c r="T1852" s="697" t="s">
        <v>310</v>
      </c>
    </row>
    <row r="1853" spans="1:20" ht="24" x14ac:dyDescent="0.2">
      <c r="A1853" s="432">
        <f>IF(B1853="","",COUNT('Diário 1º PA'!$A$4:$A$2635)+COUNT('Diário 2º PA'!$A$4:$A$3040)+COUNT('Diário 3º PA'!$A$4:$A$2731)+ROW()-3)</f>
        <v>7878</v>
      </c>
      <c r="B1853" s="413">
        <v>44915</v>
      </c>
      <c r="C1853" s="421">
        <v>44896</v>
      </c>
      <c r="D1853" s="419" t="s">
        <v>271</v>
      </c>
      <c r="E1853" s="419" t="s">
        <v>71</v>
      </c>
      <c r="F1853" s="422">
        <v>11</v>
      </c>
      <c r="G1853" s="419" t="s">
        <v>8709</v>
      </c>
      <c r="H1853" s="419" t="s">
        <v>310</v>
      </c>
      <c r="I1853" s="415" t="s">
        <v>881</v>
      </c>
      <c r="J1853" s="419" t="s">
        <v>882</v>
      </c>
      <c r="K1853" s="419" t="s">
        <v>883</v>
      </c>
      <c r="L1853" s="415" t="s">
        <v>798</v>
      </c>
      <c r="M1853" s="419" t="s">
        <v>310</v>
      </c>
      <c r="N1853" s="413">
        <v>44915</v>
      </c>
      <c r="O1853" s="414" t="s">
        <v>400</v>
      </c>
      <c r="P1853" s="655">
        <f t="shared" si="116"/>
        <v>12</v>
      </c>
      <c r="Q1853" s="655">
        <f t="shared" si="117"/>
        <v>12</v>
      </c>
      <c r="R1853" s="758" t="str">
        <f t="shared" si="115"/>
        <v>Gastos_Gerais</v>
      </c>
      <c r="S1853" s="697" t="s">
        <v>310</v>
      </c>
      <c r="T1853" s="697" t="s">
        <v>310</v>
      </c>
    </row>
    <row r="1854" spans="1:20" ht="24" x14ac:dyDescent="0.2">
      <c r="A1854" s="432">
        <f>IF(B1854="","",COUNT('Diário 1º PA'!$A$4:$A$2635)+COUNT('Diário 2º PA'!$A$4:$A$3040)+COUNT('Diário 3º PA'!$A$4:$A$2731)+ROW()-3)</f>
        <v>7879</v>
      </c>
      <c r="B1854" s="413">
        <v>44915</v>
      </c>
      <c r="C1854" s="421">
        <v>44896</v>
      </c>
      <c r="D1854" s="419" t="s">
        <v>271</v>
      </c>
      <c r="E1854" s="419" t="s">
        <v>71</v>
      </c>
      <c r="F1854" s="422">
        <v>11</v>
      </c>
      <c r="G1854" s="419" t="s">
        <v>8709</v>
      </c>
      <c r="H1854" s="419" t="s">
        <v>310</v>
      </c>
      <c r="I1854" s="415" t="s">
        <v>881</v>
      </c>
      <c r="J1854" s="419" t="s">
        <v>882</v>
      </c>
      <c r="K1854" s="419" t="s">
        <v>883</v>
      </c>
      <c r="L1854" s="415" t="s">
        <v>798</v>
      </c>
      <c r="M1854" s="419" t="s">
        <v>310</v>
      </c>
      <c r="N1854" s="413">
        <v>44915</v>
      </c>
      <c r="O1854" s="414" t="s">
        <v>400</v>
      </c>
      <c r="P1854" s="655">
        <f t="shared" si="116"/>
        <v>12</v>
      </c>
      <c r="Q1854" s="655">
        <f t="shared" si="117"/>
        <v>12</v>
      </c>
      <c r="R1854" s="758" t="str">
        <f t="shared" si="115"/>
        <v>Gastos_Gerais</v>
      </c>
      <c r="S1854" s="697" t="s">
        <v>310</v>
      </c>
      <c r="T1854" s="697" t="s">
        <v>310</v>
      </c>
    </row>
    <row r="1855" spans="1:20" ht="24" x14ac:dyDescent="0.2">
      <c r="A1855" s="432">
        <f>IF(B1855="","",COUNT('Diário 1º PA'!$A$4:$A$2635)+COUNT('Diário 2º PA'!$A$4:$A$3040)+COUNT('Diário 3º PA'!$A$4:$A$2731)+ROW()-3)</f>
        <v>7880</v>
      </c>
      <c r="B1855" s="413">
        <v>44915</v>
      </c>
      <c r="C1855" s="421">
        <v>44896</v>
      </c>
      <c r="D1855" s="419" t="s">
        <v>271</v>
      </c>
      <c r="E1855" s="419" t="s">
        <v>71</v>
      </c>
      <c r="F1855" s="422">
        <v>11</v>
      </c>
      <c r="G1855" s="419" t="s">
        <v>8709</v>
      </c>
      <c r="H1855" s="419" t="s">
        <v>310</v>
      </c>
      <c r="I1855" s="415" t="s">
        <v>881</v>
      </c>
      <c r="J1855" s="419" t="s">
        <v>882</v>
      </c>
      <c r="K1855" s="419" t="s">
        <v>883</v>
      </c>
      <c r="L1855" s="415" t="s">
        <v>798</v>
      </c>
      <c r="M1855" s="419" t="s">
        <v>310</v>
      </c>
      <c r="N1855" s="413">
        <v>44915</v>
      </c>
      <c r="O1855" s="414" t="s">
        <v>400</v>
      </c>
      <c r="P1855" s="655">
        <f t="shared" si="116"/>
        <v>12</v>
      </c>
      <c r="Q1855" s="655">
        <f t="shared" si="117"/>
        <v>12</v>
      </c>
      <c r="R1855" s="758" t="str">
        <f t="shared" si="115"/>
        <v>Gastos_Gerais</v>
      </c>
      <c r="S1855" s="697" t="s">
        <v>310</v>
      </c>
      <c r="T1855" s="697" t="s">
        <v>310</v>
      </c>
    </row>
    <row r="1856" spans="1:20" ht="24" x14ac:dyDescent="0.2">
      <c r="A1856" s="432">
        <f>IF(B1856="","",COUNT('Diário 1º PA'!$A$4:$A$2635)+COUNT('Diário 2º PA'!$A$4:$A$3040)+COUNT('Diário 3º PA'!$A$4:$A$2731)+ROW()-3)</f>
        <v>7881</v>
      </c>
      <c r="B1856" s="413">
        <v>44915</v>
      </c>
      <c r="C1856" s="421">
        <v>44896</v>
      </c>
      <c r="D1856" s="419" t="s">
        <v>271</v>
      </c>
      <c r="E1856" s="419" t="s">
        <v>71</v>
      </c>
      <c r="F1856" s="422">
        <v>11</v>
      </c>
      <c r="G1856" s="419" t="s">
        <v>8709</v>
      </c>
      <c r="H1856" s="419" t="s">
        <v>310</v>
      </c>
      <c r="I1856" s="415" t="s">
        <v>881</v>
      </c>
      <c r="J1856" s="419" t="s">
        <v>882</v>
      </c>
      <c r="K1856" s="419" t="s">
        <v>883</v>
      </c>
      <c r="L1856" s="415" t="s">
        <v>798</v>
      </c>
      <c r="M1856" s="419" t="s">
        <v>310</v>
      </c>
      <c r="N1856" s="413">
        <v>44915</v>
      </c>
      <c r="O1856" s="414" t="s">
        <v>400</v>
      </c>
      <c r="P1856" s="655">
        <f t="shared" si="116"/>
        <v>12</v>
      </c>
      <c r="Q1856" s="655">
        <f t="shared" si="117"/>
        <v>12</v>
      </c>
      <c r="R1856" s="758" t="str">
        <f t="shared" si="115"/>
        <v>Gastos_Gerais</v>
      </c>
      <c r="S1856" s="697" t="s">
        <v>310</v>
      </c>
      <c r="T1856" s="697" t="s">
        <v>310</v>
      </c>
    </row>
    <row r="1857" spans="1:20" ht="24" x14ac:dyDescent="0.2">
      <c r="A1857" s="432">
        <f>IF(B1857="","",COUNT('Diário 1º PA'!$A$4:$A$2635)+COUNT('Diário 2º PA'!$A$4:$A$3040)+COUNT('Diário 3º PA'!$A$4:$A$2731)+ROW()-3)</f>
        <v>7882</v>
      </c>
      <c r="B1857" s="413">
        <v>44915</v>
      </c>
      <c r="C1857" s="421">
        <v>44896</v>
      </c>
      <c r="D1857" s="419" t="s">
        <v>271</v>
      </c>
      <c r="E1857" s="419" t="s">
        <v>71</v>
      </c>
      <c r="F1857" s="422">
        <v>11</v>
      </c>
      <c r="G1857" s="419" t="s">
        <v>8709</v>
      </c>
      <c r="H1857" s="419" t="s">
        <v>310</v>
      </c>
      <c r="I1857" s="415" t="s">
        <v>881</v>
      </c>
      <c r="J1857" s="419" t="s">
        <v>882</v>
      </c>
      <c r="K1857" s="419" t="s">
        <v>883</v>
      </c>
      <c r="L1857" s="415" t="s">
        <v>798</v>
      </c>
      <c r="M1857" s="419" t="s">
        <v>310</v>
      </c>
      <c r="N1857" s="413">
        <v>44915</v>
      </c>
      <c r="O1857" s="414" t="s">
        <v>400</v>
      </c>
      <c r="P1857" s="655">
        <f t="shared" si="116"/>
        <v>12</v>
      </c>
      <c r="Q1857" s="655">
        <f t="shared" si="117"/>
        <v>12</v>
      </c>
      <c r="R1857" s="758" t="str">
        <f t="shared" si="115"/>
        <v>Gastos_Gerais</v>
      </c>
      <c r="S1857" s="697" t="s">
        <v>310</v>
      </c>
      <c r="T1857" s="697" t="s">
        <v>310</v>
      </c>
    </row>
    <row r="1858" spans="1:20" ht="24" x14ac:dyDescent="0.2">
      <c r="A1858" s="432">
        <f>IF(B1858="","",COUNT('Diário 1º PA'!$A$4:$A$2635)+COUNT('Diário 2º PA'!$A$4:$A$3040)+COUNT('Diário 3º PA'!$A$4:$A$2731)+ROW()-3)</f>
        <v>7883</v>
      </c>
      <c r="B1858" s="413">
        <v>44915</v>
      </c>
      <c r="C1858" s="421">
        <v>44896</v>
      </c>
      <c r="D1858" s="419" t="s">
        <v>271</v>
      </c>
      <c r="E1858" s="419" t="s">
        <v>71</v>
      </c>
      <c r="F1858" s="422">
        <v>11</v>
      </c>
      <c r="G1858" s="419" t="s">
        <v>8709</v>
      </c>
      <c r="H1858" s="419" t="s">
        <v>310</v>
      </c>
      <c r="I1858" s="415" t="s">
        <v>881</v>
      </c>
      <c r="J1858" s="419" t="s">
        <v>882</v>
      </c>
      <c r="K1858" s="419" t="s">
        <v>883</v>
      </c>
      <c r="L1858" s="415" t="s">
        <v>798</v>
      </c>
      <c r="M1858" s="419" t="s">
        <v>310</v>
      </c>
      <c r="N1858" s="413">
        <v>44915</v>
      </c>
      <c r="O1858" s="414" t="s">
        <v>400</v>
      </c>
      <c r="P1858" s="655">
        <f t="shared" si="116"/>
        <v>12</v>
      </c>
      <c r="Q1858" s="655">
        <f t="shared" si="117"/>
        <v>12</v>
      </c>
      <c r="R1858" s="758" t="str">
        <f t="shared" si="115"/>
        <v>Gastos_Gerais</v>
      </c>
      <c r="S1858" s="697" t="s">
        <v>310</v>
      </c>
      <c r="T1858" s="697" t="s">
        <v>310</v>
      </c>
    </row>
    <row r="1859" spans="1:20" ht="24" x14ac:dyDescent="0.2">
      <c r="A1859" s="432">
        <f>IF(B1859="","",COUNT('Diário 1º PA'!$A$4:$A$2635)+COUNT('Diário 2º PA'!$A$4:$A$3040)+COUNT('Diário 3º PA'!$A$4:$A$2731)+ROW()-3)</f>
        <v>7884</v>
      </c>
      <c r="B1859" s="413">
        <v>44915</v>
      </c>
      <c r="C1859" s="421">
        <v>44896</v>
      </c>
      <c r="D1859" s="419" t="s">
        <v>271</v>
      </c>
      <c r="E1859" s="419" t="s">
        <v>71</v>
      </c>
      <c r="F1859" s="422">
        <v>11</v>
      </c>
      <c r="G1859" s="419" t="s">
        <v>8709</v>
      </c>
      <c r="H1859" s="419" t="s">
        <v>310</v>
      </c>
      <c r="I1859" s="415" t="s">
        <v>881</v>
      </c>
      <c r="J1859" s="419" t="s">
        <v>882</v>
      </c>
      <c r="K1859" s="419" t="s">
        <v>883</v>
      </c>
      <c r="L1859" s="415" t="s">
        <v>798</v>
      </c>
      <c r="M1859" s="419" t="s">
        <v>310</v>
      </c>
      <c r="N1859" s="413">
        <v>44915</v>
      </c>
      <c r="O1859" s="414" t="s">
        <v>400</v>
      </c>
      <c r="P1859" s="655">
        <f t="shared" si="116"/>
        <v>12</v>
      </c>
      <c r="Q1859" s="655">
        <f t="shared" si="117"/>
        <v>12</v>
      </c>
      <c r="R1859" s="758" t="str">
        <f t="shared" si="115"/>
        <v>Gastos_Gerais</v>
      </c>
      <c r="S1859" s="697" t="s">
        <v>310</v>
      </c>
      <c r="T1859" s="697" t="s">
        <v>310</v>
      </c>
    </row>
    <row r="1860" spans="1:20" ht="24" x14ac:dyDescent="0.2">
      <c r="A1860" s="432">
        <f>IF(B1860="","",COUNT('Diário 1º PA'!$A$4:$A$2635)+COUNT('Diário 2º PA'!$A$4:$A$3040)+COUNT('Diário 3º PA'!$A$4:$A$2731)+ROW()-3)</f>
        <v>7885</v>
      </c>
      <c r="B1860" s="413">
        <v>44915</v>
      </c>
      <c r="C1860" s="421">
        <v>44896</v>
      </c>
      <c r="D1860" s="419" t="s">
        <v>271</v>
      </c>
      <c r="E1860" s="419" t="s">
        <v>71</v>
      </c>
      <c r="F1860" s="422">
        <v>11</v>
      </c>
      <c r="G1860" s="419" t="s">
        <v>8709</v>
      </c>
      <c r="H1860" s="419" t="s">
        <v>310</v>
      </c>
      <c r="I1860" s="415" t="s">
        <v>881</v>
      </c>
      <c r="J1860" s="419" t="s">
        <v>882</v>
      </c>
      <c r="K1860" s="419" t="s">
        <v>883</v>
      </c>
      <c r="L1860" s="415" t="s">
        <v>798</v>
      </c>
      <c r="M1860" s="419" t="s">
        <v>310</v>
      </c>
      <c r="N1860" s="413">
        <v>44915</v>
      </c>
      <c r="O1860" s="414" t="s">
        <v>400</v>
      </c>
      <c r="P1860" s="655">
        <f t="shared" si="116"/>
        <v>12</v>
      </c>
      <c r="Q1860" s="655">
        <f t="shared" si="117"/>
        <v>12</v>
      </c>
      <c r="R1860" s="758" t="str">
        <f t="shared" si="115"/>
        <v>Gastos_Gerais</v>
      </c>
      <c r="S1860" s="697" t="s">
        <v>310</v>
      </c>
      <c r="T1860" s="697" t="s">
        <v>310</v>
      </c>
    </row>
    <row r="1861" spans="1:20" ht="24" x14ac:dyDescent="0.2">
      <c r="A1861" s="432">
        <f>IF(B1861="","",COUNT('Diário 1º PA'!$A$4:$A$2635)+COUNT('Diário 2º PA'!$A$4:$A$3040)+COUNT('Diário 3º PA'!$A$4:$A$2731)+ROW()-3)</f>
        <v>7886</v>
      </c>
      <c r="B1861" s="413">
        <v>44915</v>
      </c>
      <c r="C1861" s="421">
        <v>44896</v>
      </c>
      <c r="D1861" s="419" t="s">
        <v>271</v>
      </c>
      <c r="E1861" s="419" t="s">
        <v>71</v>
      </c>
      <c r="F1861" s="422">
        <v>11</v>
      </c>
      <c r="G1861" s="419" t="s">
        <v>8709</v>
      </c>
      <c r="H1861" s="419" t="s">
        <v>310</v>
      </c>
      <c r="I1861" s="415" t="s">
        <v>881</v>
      </c>
      <c r="J1861" s="419" t="s">
        <v>882</v>
      </c>
      <c r="K1861" s="419" t="s">
        <v>883</v>
      </c>
      <c r="L1861" s="415" t="s">
        <v>798</v>
      </c>
      <c r="M1861" s="419" t="s">
        <v>310</v>
      </c>
      <c r="N1861" s="413">
        <v>44915</v>
      </c>
      <c r="O1861" s="414" t="s">
        <v>400</v>
      </c>
      <c r="P1861" s="655">
        <f t="shared" si="116"/>
        <v>12</v>
      </c>
      <c r="Q1861" s="655">
        <f t="shared" si="117"/>
        <v>12</v>
      </c>
      <c r="R1861" s="758" t="str">
        <f t="shared" si="115"/>
        <v>Gastos_Gerais</v>
      </c>
      <c r="S1861" s="697" t="s">
        <v>310</v>
      </c>
      <c r="T1861" s="697" t="s">
        <v>310</v>
      </c>
    </row>
    <row r="1862" spans="1:20" ht="24" x14ac:dyDescent="0.2">
      <c r="A1862" s="432">
        <f>IF(B1862="","",COUNT('Diário 1º PA'!$A$4:$A$2635)+COUNT('Diário 2º PA'!$A$4:$A$3040)+COUNT('Diário 3º PA'!$A$4:$A$2731)+ROW()-3)</f>
        <v>7887</v>
      </c>
      <c r="B1862" s="413">
        <v>44915</v>
      </c>
      <c r="C1862" s="421">
        <v>44896</v>
      </c>
      <c r="D1862" s="419" t="s">
        <v>271</v>
      </c>
      <c r="E1862" s="419" t="s">
        <v>71</v>
      </c>
      <c r="F1862" s="422">
        <v>11</v>
      </c>
      <c r="G1862" s="419" t="s">
        <v>8709</v>
      </c>
      <c r="H1862" s="419" t="s">
        <v>310</v>
      </c>
      <c r="I1862" s="415" t="s">
        <v>881</v>
      </c>
      <c r="J1862" s="419" t="s">
        <v>882</v>
      </c>
      <c r="K1862" s="419" t="s">
        <v>883</v>
      </c>
      <c r="L1862" s="415" t="s">
        <v>798</v>
      </c>
      <c r="M1862" s="419" t="s">
        <v>310</v>
      </c>
      <c r="N1862" s="413">
        <v>44915</v>
      </c>
      <c r="O1862" s="414" t="s">
        <v>400</v>
      </c>
      <c r="P1862" s="655">
        <f t="shared" si="116"/>
        <v>12</v>
      </c>
      <c r="Q1862" s="655">
        <f t="shared" si="117"/>
        <v>12</v>
      </c>
      <c r="R1862" s="758" t="str">
        <f t="shared" si="115"/>
        <v>Gastos_Gerais</v>
      </c>
      <c r="S1862" s="697" t="s">
        <v>310</v>
      </c>
      <c r="T1862" s="697" t="s">
        <v>310</v>
      </c>
    </row>
    <row r="1863" spans="1:20" ht="24" x14ac:dyDescent="0.2">
      <c r="A1863" s="432">
        <f>IF(B1863="","",COUNT('Diário 1º PA'!$A$4:$A$2635)+COUNT('Diário 2º PA'!$A$4:$A$3040)+COUNT('Diário 3º PA'!$A$4:$A$2731)+ROW()-3)</f>
        <v>7888</v>
      </c>
      <c r="B1863" s="413">
        <v>44915</v>
      </c>
      <c r="C1863" s="421">
        <v>44896</v>
      </c>
      <c r="D1863" s="419" t="s">
        <v>271</v>
      </c>
      <c r="E1863" s="419" t="s">
        <v>71</v>
      </c>
      <c r="F1863" s="422">
        <v>11</v>
      </c>
      <c r="G1863" s="419" t="s">
        <v>8709</v>
      </c>
      <c r="H1863" s="419" t="s">
        <v>310</v>
      </c>
      <c r="I1863" s="415" t="s">
        <v>881</v>
      </c>
      <c r="J1863" s="419" t="s">
        <v>882</v>
      </c>
      <c r="K1863" s="419" t="s">
        <v>883</v>
      </c>
      <c r="L1863" s="415" t="s">
        <v>798</v>
      </c>
      <c r="M1863" s="419" t="s">
        <v>310</v>
      </c>
      <c r="N1863" s="413">
        <v>44915</v>
      </c>
      <c r="O1863" s="414" t="s">
        <v>400</v>
      </c>
      <c r="P1863" s="655">
        <f t="shared" si="116"/>
        <v>12</v>
      </c>
      <c r="Q1863" s="655">
        <f t="shared" si="117"/>
        <v>12</v>
      </c>
      <c r="R1863" s="758" t="str">
        <f t="shared" si="115"/>
        <v>Gastos_Gerais</v>
      </c>
      <c r="S1863" s="697" t="s">
        <v>310</v>
      </c>
      <c r="T1863" s="697" t="s">
        <v>310</v>
      </c>
    </row>
    <row r="1864" spans="1:20" ht="24" x14ac:dyDescent="0.2">
      <c r="A1864" s="432">
        <f>IF(B1864="","",COUNT('Diário 1º PA'!$A$4:$A$2635)+COUNT('Diário 2º PA'!$A$4:$A$3040)+COUNT('Diário 3º PA'!$A$4:$A$2731)+ROW()-3)</f>
        <v>7889</v>
      </c>
      <c r="B1864" s="413">
        <v>44915</v>
      </c>
      <c r="C1864" s="421">
        <v>44896</v>
      </c>
      <c r="D1864" s="419" t="s">
        <v>271</v>
      </c>
      <c r="E1864" s="419" t="s">
        <v>71</v>
      </c>
      <c r="F1864" s="422">
        <v>11</v>
      </c>
      <c r="G1864" s="419" t="s">
        <v>8709</v>
      </c>
      <c r="H1864" s="419" t="s">
        <v>310</v>
      </c>
      <c r="I1864" s="415" t="s">
        <v>881</v>
      </c>
      <c r="J1864" s="419" t="s">
        <v>882</v>
      </c>
      <c r="K1864" s="419" t="s">
        <v>883</v>
      </c>
      <c r="L1864" s="415" t="s">
        <v>798</v>
      </c>
      <c r="M1864" s="419" t="s">
        <v>310</v>
      </c>
      <c r="N1864" s="413">
        <v>44915</v>
      </c>
      <c r="O1864" s="414" t="s">
        <v>400</v>
      </c>
      <c r="P1864" s="655">
        <f t="shared" si="116"/>
        <v>12</v>
      </c>
      <c r="Q1864" s="655">
        <f t="shared" si="117"/>
        <v>12</v>
      </c>
      <c r="R1864" s="758" t="str">
        <f t="shared" si="115"/>
        <v>Gastos_Gerais</v>
      </c>
      <c r="S1864" s="697" t="s">
        <v>310</v>
      </c>
      <c r="T1864" s="697" t="s">
        <v>310</v>
      </c>
    </row>
    <row r="1865" spans="1:20" ht="24" x14ac:dyDescent="0.2">
      <c r="A1865" s="432">
        <f>IF(B1865="","",COUNT('Diário 1º PA'!$A$4:$A$2635)+COUNT('Diário 2º PA'!$A$4:$A$3040)+COUNT('Diário 3º PA'!$A$4:$A$2731)+ROW()-3)</f>
        <v>7890</v>
      </c>
      <c r="B1865" s="413">
        <v>44915</v>
      </c>
      <c r="C1865" s="421">
        <v>44896</v>
      </c>
      <c r="D1865" s="419" t="s">
        <v>271</v>
      </c>
      <c r="E1865" s="419" t="s">
        <v>71</v>
      </c>
      <c r="F1865" s="422">
        <v>11</v>
      </c>
      <c r="G1865" s="419" t="s">
        <v>8709</v>
      </c>
      <c r="H1865" s="419" t="s">
        <v>310</v>
      </c>
      <c r="I1865" s="415" t="s">
        <v>881</v>
      </c>
      <c r="J1865" s="419" t="s">
        <v>882</v>
      </c>
      <c r="K1865" s="419" t="s">
        <v>883</v>
      </c>
      <c r="L1865" s="415" t="s">
        <v>798</v>
      </c>
      <c r="M1865" s="419" t="s">
        <v>310</v>
      </c>
      <c r="N1865" s="413">
        <v>44915</v>
      </c>
      <c r="O1865" s="414" t="s">
        <v>400</v>
      </c>
      <c r="P1865" s="655">
        <f t="shared" si="116"/>
        <v>12</v>
      </c>
      <c r="Q1865" s="655">
        <f t="shared" si="117"/>
        <v>12</v>
      </c>
      <c r="R1865" s="758" t="str">
        <f t="shared" si="115"/>
        <v>Gastos_Gerais</v>
      </c>
      <c r="S1865" s="697" t="s">
        <v>310</v>
      </c>
      <c r="T1865" s="697" t="s">
        <v>310</v>
      </c>
    </row>
    <row r="1866" spans="1:20" ht="24" x14ac:dyDescent="0.2">
      <c r="A1866" s="432">
        <f>IF(B1866="","",COUNT('Diário 1º PA'!$A$4:$A$2635)+COUNT('Diário 2º PA'!$A$4:$A$3040)+COUNT('Diário 3º PA'!$A$4:$A$2731)+ROW()-3)</f>
        <v>7891</v>
      </c>
      <c r="B1866" s="413">
        <v>44915</v>
      </c>
      <c r="C1866" s="421">
        <v>44896</v>
      </c>
      <c r="D1866" s="419" t="s">
        <v>271</v>
      </c>
      <c r="E1866" s="419" t="s">
        <v>71</v>
      </c>
      <c r="F1866" s="422">
        <v>11</v>
      </c>
      <c r="G1866" s="419" t="s">
        <v>8709</v>
      </c>
      <c r="H1866" s="419" t="s">
        <v>310</v>
      </c>
      <c r="I1866" s="415" t="s">
        <v>881</v>
      </c>
      <c r="J1866" s="419" t="s">
        <v>882</v>
      </c>
      <c r="K1866" s="419" t="s">
        <v>883</v>
      </c>
      <c r="L1866" s="415" t="s">
        <v>798</v>
      </c>
      <c r="M1866" s="419" t="s">
        <v>310</v>
      </c>
      <c r="N1866" s="413">
        <v>44915</v>
      </c>
      <c r="O1866" s="414" t="s">
        <v>400</v>
      </c>
      <c r="P1866" s="655">
        <f t="shared" si="116"/>
        <v>12</v>
      </c>
      <c r="Q1866" s="655">
        <f t="shared" si="117"/>
        <v>12</v>
      </c>
      <c r="R1866" s="758" t="str">
        <f t="shared" si="115"/>
        <v>Gastos_Gerais</v>
      </c>
      <c r="S1866" s="697" t="s">
        <v>310</v>
      </c>
      <c r="T1866" s="697" t="s">
        <v>310</v>
      </c>
    </row>
    <row r="1867" spans="1:20" ht="24" x14ac:dyDescent="0.2">
      <c r="A1867" s="432">
        <f>IF(B1867="","",COUNT('Diário 1º PA'!$A$4:$A$2635)+COUNT('Diário 2º PA'!$A$4:$A$3040)+COUNT('Diário 3º PA'!$A$4:$A$2731)+ROW()-3)</f>
        <v>7892</v>
      </c>
      <c r="B1867" s="413">
        <v>44915</v>
      </c>
      <c r="C1867" s="421">
        <v>44896</v>
      </c>
      <c r="D1867" s="419" t="s">
        <v>271</v>
      </c>
      <c r="E1867" s="419" t="s">
        <v>71</v>
      </c>
      <c r="F1867" s="422">
        <v>11</v>
      </c>
      <c r="G1867" s="419" t="s">
        <v>8709</v>
      </c>
      <c r="H1867" s="419" t="s">
        <v>310</v>
      </c>
      <c r="I1867" s="415" t="s">
        <v>881</v>
      </c>
      <c r="J1867" s="419" t="s">
        <v>882</v>
      </c>
      <c r="K1867" s="419" t="s">
        <v>883</v>
      </c>
      <c r="L1867" s="415" t="s">
        <v>798</v>
      </c>
      <c r="M1867" s="419" t="s">
        <v>310</v>
      </c>
      <c r="N1867" s="413">
        <v>44915</v>
      </c>
      <c r="O1867" s="414" t="s">
        <v>400</v>
      </c>
      <c r="P1867" s="655">
        <f t="shared" si="116"/>
        <v>12</v>
      </c>
      <c r="Q1867" s="655">
        <f t="shared" si="117"/>
        <v>12</v>
      </c>
      <c r="R1867" s="758" t="str">
        <f t="shared" si="115"/>
        <v>Gastos_Gerais</v>
      </c>
      <c r="S1867" s="697" t="s">
        <v>310</v>
      </c>
      <c r="T1867" s="697" t="s">
        <v>310</v>
      </c>
    </row>
    <row r="1868" spans="1:20" ht="24" x14ac:dyDescent="0.2">
      <c r="A1868" s="432">
        <f>IF(B1868="","",COUNT('Diário 1º PA'!$A$4:$A$2635)+COUNT('Diário 2º PA'!$A$4:$A$3040)+COUNT('Diário 3º PA'!$A$4:$A$2731)+ROW()-3)</f>
        <v>7893</v>
      </c>
      <c r="B1868" s="413">
        <v>44915</v>
      </c>
      <c r="C1868" s="421">
        <v>44896</v>
      </c>
      <c r="D1868" s="419" t="s">
        <v>271</v>
      </c>
      <c r="E1868" s="419" t="s">
        <v>71</v>
      </c>
      <c r="F1868" s="422">
        <v>11</v>
      </c>
      <c r="G1868" s="419" t="s">
        <v>8709</v>
      </c>
      <c r="H1868" s="419" t="s">
        <v>310</v>
      </c>
      <c r="I1868" s="415" t="s">
        <v>881</v>
      </c>
      <c r="J1868" s="419" t="s">
        <v>882</v>
      </c>
      <c r="K1868" s="419" t="s">
        <v>883</v>
      </c>
      <c r="L1868" s="415" t="s">
        <v>798</v>
      </c>
      <c r="M1868" s="419" t="s">
        <v>310</v>
      </c>
      <c r="N1868" s="413">
        <v>44915</v>
      </c>
      <c r="O1868" s="414" t="s">
        <v>400</v>
      </c>
      <c r="P1868" s="655">
        <f t="shared" si="116"/>
        <v>12</v>
      </c>
      <c r="Q1868" s="655">
        <f t="shared" si="117"/>
        <v>12</v>
      </c>
      <c r="R1868" s="758" t="str">
        <f t="shared" si="115"/>
        <v>Gastos_Gerais</v>
      </c>
      <c r="S1868" s="697" t="s">
        <v>310</v>
      </c>
      <c r="T1868" s="697" t="s">
        <v>310</v>
      </c>
    </row>
    <row r="1869" spans="1:20" ht="24" x14ac:dyDescent="0.2">
      <c r="A1869" s="432">
        <f>IF(B1869="","",COUNT('Diário 1º PA'!$A$4:$A$2635)+COUNT('Diário 2º PA'!$A$4:$A$3040)+COUNT('Diário 3º PA'!$A$4:$A$2731)+ROW()-3)</f>
        <v>7894</v>
      </c>
      <c r="B1869" s="413">
        <v>44915</v>
      </c>
      <c r="C1869" s="421">
        <v>44896</v>
      </c>
      <c r="D1869" s="419" t="s">
        <v>271</v>
      </c>
      <c r="E1869" s="419" t="s">
        <v>71</v>
      </c>
      <c r="F1869" s="422">
        <v>11</v>
      </c>
      <c r="G1869" s="419" t="s">
        <v>8709</v>
      </c>
      <c r="H1869" s="419" t="s">
        <v>310</v>
      </c>
      <c r="I1869" s="415" t="s">
        <v>881</v>
      </c>
      <c r="J1869" s="419" t="s">
        <v>882</v>
      </c>
      <c r="K1869" s="419" t="s">
        <v>883</v>
      </c>
      <c r="L1869" s="415" t="s">
        <v>798</v>
      </c>
      <c r="M1869" s="419" t="s">
        <v>310</v>
      </c>
      <c r="N1869" s="413">
        <v>44915</v>
      </c>
      <c r="O1869" s="414" t="s">
        <v>400</v>
      </c>
      <c r="P1869" s="655">
        <f t="shared" si="116"/>
        <v>12</v>
      </c>
      <c r="Q1869" s="655">
        <f t="shared" si="117"/>
        <v>12</v>
      </c>
      <c r="R1869" s="758" t="str">
        <f t="shared" si="115"/>
        <v>Gastos_Gerais</v>
      </c>
      <c r="S1869" s="697" t="s">
        <v>310</v>
      </c>
      <c r="T1869" s="697" t="s">
        <v>310</v>
      </c>
    </row>
    <row r="1870" spans="1:20" ht="24" x14ac:dyDescent="0.2">
      <c r="A1870" s="432">
        <f>IF(B1870="","",COUNT('Diário 1º PA'!$A$4:$A$2635)+COUNT('Diário 2º PA'!$A$4:$A$3040)+COUNT('Diário 3º PA'!$A$4:$A$2731)+ROW()-3)</f>
        <v>7895</v>
      </c>
      <c r="B1870" s="413">
        <v>44915</v>
      </c>
      <c r="C1870" s="421">
        <v>44896</v>
      </c>
      <c r="D1870" s="419" t="s">
        <v>271</v>
      </c>
      <c r="E1870" s="419" t="s">
        <v>71</v>
      </c>
      <c r="F1870" s="422">
        <v>11</v>
      </c>
      <c r="G1870" s="419" t="s">
        <v>8709</v>
      </c>
      <c r="H1870" s="419" t="s">
        <v>310</v>
      </c>
      <c r="I1870" s="415" t="s">
        <v>881</v>
      </c>
      <c r="J1870" s="419" t="s">
        <v>882</v>
      </c>
      <c r="K1870" s="419" t="s">
        <v>883</v>
      </c>
      <c r="L1870" s="415" t="s">
        <v>798</v>
      </c>
      <c r="M1870" s="419" t="s">
        <v>310</v>
      </c>
      <c r="N1870" s="413">
        <v>44915</v>
      </c>
      <c r="O1870" s="414" t="s">
        <v>400</v>
      </c>
      <c r="P1870" s="655">
        <f t="shared" si="116"/>
        <v>12</v>
      </c>
      <c r="Q1870" s="655">
        <f t="shared" si="117"/>
        <v>12</v>
      </c>
      <c r="R1870" s="758" t="str">
        <f t="shared" si="115"/>
        <v>Gastos_Gerais</v>
      </c>
      <c r="S1870" s="697" t="s">
        <v>310</v>
      </c>
      <c r="T1870" s="697" t="s">
        <v>310</v>
      </c>
    </row>
    <row r="1871" spans="1:20" ht="24" x14ac:dyDescent="0.2">
      <c r="A1871" s="432">
        <f>IF(B1871="","",COUNT('Diário 1º PA'!$A$4:$A$2635)+COUNT('Diário 2º PA'!$A$4:$A$3040)+COUNT('Diário 3º PA'!$A$4:$A$2731)+ROW()-3)</f>
        <v>7896</v>
      </c>
      <c r="B1871" s="413">
        <v>44915</v>
      </c>
      <c r="C1871" s="421">
        <v>44896</v>
      </c>
      <c r="D1871" s="419" t="s">
        <v>271</v>
      </c>
      <c r="E1871" s="419" t="s">
        <v>71</v>
      </c>
      <c r="F1871" s="422">
        <v>11</v>
      </c>
      <c r="G1871" s="419" t="s">
        <v>8709</v>
      </c>
      <c r="H1871" s="419" t="s">
        <v>310</v>
      </c>
      <c r="I1871" s="415" t="s">
        <v>881</v>
      </c>
      <c r="J1871" s="419" t="s">
        <v>882</v>
      </c>
      <c r="K1871" s="419" t="s">
        <v>883</v>
      </c>
      <c r="L1871" s="415" t="s">
        <v>798</v>
      </c>
      <c r="M1871" s="419" t="s">
        <v>310</v>
      </c>
      <c r="N1871" s="413">
        <v>44915</v>
      </c>
      <c r="O1871" s="414" t="s">
        <v>400</v>
      </c>
      <c r="P1871" s="655">
        <f t="shared" si="116"/>
        <v>12</v>
      </c>
      <c r="Q1871" s="655">
        <f t="shared" si="117"/>
        <v>12</v>
      </c>
      <c r="R1871" s="758" t="str">
        <f t="shared" si="115"/>
        <v>Gastos_Gerais</v>
      </c>
      <c r="S1871" s="697" t="s">
        <v>310</v>
      </c>
      <c r="T1871" s="697" t="s">
        <v>310</v>
      </c>
    </row>
    <row r="1872" spans="1:20" ht="24" x14ac:dyDescent="0.2">
      <c r="A1872" s="432">
        <f>IF(B1872="","",COUNT('Diário 1º PA'!$A$4:$A$2635)+COUNT('Diário 2º PA'!$A$4:$A$3040)+COUNT('Diário 3º PA'!$A$4:$A$2731)+ROW()-3)</f>
        <v>7897</v>
      </c>
      <c r="B1872" s="413">
        <v>44915</v>
      </c>
      <c r="C1872" s="421">
        <v>44896</v>
      </c>
      <c r="D1872" s="419" t="s">
        <v>271</v>
      </c>
      <c r="E1872" s="419" t="s">
        <v>71</v>
      </c>
      <c r="F1872" s="422">
        <v>11</v>
      </c>
      <c r="G1872" s="419" t="s">
        <v>8709</v>
      </c>
      <c r="H1872" s="419" t="s">
        <v>310</v>
      </c>
      <c r="I1872" s="415" t="s">
        <v>881</v>
      </c>
      <c r="J1872" s="419" t="s">
        <v>882</v>
      </c>
      <c r="K1872" s="419" t="s">
        <v>883</v>
      </c>
      <c r="L1872" s="415" t="s">
        <v>798</v>
      </c>
      <c r="M1872" s="419" t="s">
        <v>310</v>
      </c>
      <c r="N1872" s="413">
        <v>44915</v>
      </c>
      <c r="O1872" s="414" t="s">
        <v>400</v>
      </c>
      <c r="P1872" s="655">
        <f t="shared" si="116"/>
        <v>12</v>
      </c>
      <c r="Q1872" s="655">
        <f t="shared" si="117"/>
        <v>12</v>
      </c>
      <c r="R1872" s="758" t="str">
        <f t="shared" si="115"/>
        <v>Gastos_Gerais</v>
      </c>
      <c r="S1872" s="697" t="s">
        <v>310</v>
      </c>
      <c r="T1872" s="697" t="s">
        <v>310</v>
      </c>
    </row>
    <row r="1873" spans="1:20" ht="24" x14ac:dyDescent="0.2">
      <c r="A1873" s="432">
        <f>IF(B1873="","",COUNT('Diário 1º PA'!$A$4:$A$2635)+COUNT('Diário 2º PA'!$A$4:$A$3040)+COUNT('Diário 3º PA'!$A$4:$A$2731)+ROW()-3)</f>
        <v>7898</v>
      </c>
      <c r="B1873" s="413">
        <v>44915</v>
      </c>
      <c r="C1873" s="421">
        <v>44896</v>
      </c>
      <c r="D1873" s="419" t="s">
        <v>271</v>
      </c>
      <c r="E1873" s="419" t="s">
        <v>71</v>
      </c>
      <c r="F1873" s="422">
        <v>11</v>
      </c>
      <c r="G1873" s="419" t="s">
        <v>8709</v>
      </c>
      <c r="H1873" s="419" t="s">
        <v>310</v>
      </c>
      <c r="I1873" s="415" t="s">
        <v>881</v>
      </c>
      <c r="J1873" s="419" t="s">
        <v>882</v>
      </c>
      <c r="K1873" s="419" t="s">
        <v>883</v>
      </c>
      <c r="L1873" s="415" t="s">
        <v>798</v>
      </c>
      <c r="M1873" s="419" t="s">
        <v>310</v>
      </c>
      <c r="N1873" s="413">
        <v>44915</v>
      </c>
      <c r="O1873" s="414" t="s">
        <v>400</v>
      </c>
      <c r="P1873" s="655">
        <f t="shared" si="116"/>
        <v>12</v>
      </c>
      <c r="Q1873" s="655">
        <f t="shared" si="117"/>
        <v>12</v>
      </c>
      <c r="R1873" s="758" t="str">
        <f t="shared" ref="R1873:R1923" si="118">SUBSTITUTE(D1873," ","_")</f>
        <v>Gastos_Gerais</v>
      </c>
      <c r="S1873" s="697" t="s">
        <v>310</v>
      </c>
      <c r="T1873" s="697" t="s">
        <v>310</v>
      </c>
    </row>
    <row r="1874" spans="1:20" ht="24" x14ac:dyDescent="0.2">
      <c r="A1874" s="432">
        <f>IF(B1874="","",COUNT('Diário 1º PA'!$A$4:$A$2635)+COUNT('Diário 2º PA'!$A$4:$A$3040)+COUNT('Diário 3º PA'!$A$4:$A$2731)+ROW()-3)</f>
        <v>7899</v>
      </c>
      <c r="B1874" s="413">
        <v>44915</v>
      </c>
      <c r="C1874" s="421">
        <v>44896</v>
      </c>
      <c r="D1874" s="419" t="s">
        <v>271</v>
      </c>
      <c r="E1874" s="419" t="s">
        <v>71</v>
      </c>
      <c r="F1874" s="422">
        <v>11</v>
      </c>
      <c r="G1874" s="419" t="s">
        <v>8709</v>
      </c>
      <c r="H1874" s="419" t="s">
        <v>310</v>
      </c>
      <c r="I1874" s="415" t="s">
        <v>881</v>
      </c>
      <c r="J1874" s="419" t="s">
        <v>882</v>
      </c>
      <c r="K1874" s="419" t="s">
        <v>883</v>
      </c>
      <c r="L1874" s="415" t="s">
        <v>798</v>
      </c>
      <c r="M1874" s="419" t="s">
        <v>310</v>
      </c>
      <c r="N1874" s="413">
        <v>44915</v>
      </c>
      <c r="O1874" s="414" t="s">
        <v>400</v>
      </c>
      <c r="P1874" s="655">
        <f t="shared" si="116"/>
        <v>12</v>
      </c>
      <c r="Q1874" s="655">
        <f t="shared" si="117"/>
        <v>12</v>
      </c>
      <c r="R1874" s="758" t="str">
        <f t="shared" si="118"/>
        <v>Gastos_Gerais</v>
      </c>
      <c r="S1874" s="697" t="s">
        <v>310</v>
      </c>
      <c r="T1874" s="697" t="s">
        <v>310</v>
      </c>
    </row>
    <row r="1875" spans="1:20" ht="24" x14ac:dyDescent="0.2">
      <c r="A1875" s="432">
        <f>IF(B1875="","",COUNT('Diário 1º PA'!$A$4:$A$2635)+COUNT('Diário 2º PA'!$A$4:$A$3040)+COUNT('Diário 3º PA'!$A$4:$A$2731)+ROW()-3)</f>
        <v>7900</v>
      </c>
      <c r="B1875" s="413">
        <v>44915</v>
      </c>
      <c r="C1875" s="421">
        <v>44896</v>
      </c>
      <c r="D1875" s="419" t="s">
        <v>271</v>
      </c>
      <c r="E1875" s="419" t="s">
        <v>71</v>
      </c>
      <c r="F1875" s="422">
        <v>11</v>
      </c>
      <c r="G1875" s="419" t="s">
        <v>8709</v>
      </c>
      <c r="H1875" s="419" t="s">
        <v>310</v>
      </c>
      <c r="I1875" s="415" t="s">
        <v>881</v>
      </c>
      <c r="J1875" s="419" t="s">
        <v>882</v>
      </c>
      <c r="K1875" s="419" t="s">
        <v>883</v>
      </c>
      <c r="L1875" s="415" t="s">
        <v>798</v>
      </c>
      <c r="M1875" s="419" t="s">
        <v>310</v>
      </c>
      <c r="N1875" s="413">
        <v>44915</v>
      </c>
      <c r="O1875" s="414" t="s">
        <v>400</v>
      </c>
      <c r="P1875" s="655">
        <f t="shared" si="116"/>
        <v>12</v>
      </c>
      <c r="Q1875" s="655">
        <f t="shared" si="117"/>
        <v>12</v>
      </c>
      <c r="R1875" s="758" t="str">
        <f t="shared" si="118"/>
        <v>Gastos_Gerais</v>
      </c>
      <c r="S1875" s="697" t="s">
        <v>310</v>
      </c>
      <c r="T1875" s="697" t="s">
        <v>310</v>
      </c>
    </row>
    <row r="1876" spans="1:20" ht="24" x14ac:dyDescent="0.2">
      <c r="A1876" s="432">
        <f>IF(B1876="","",COUNT('Diário 1º PA'!$A$4:$A$2635)+COUNT('Diário 2º PA'!$A$4:$A$3040)+COUNT('Diário 3º PA'!$A$4:$A$2731)+ROW()-3)</f>
        <v>7901</v>
      </c>
      <c r="B1876" s="413">
        <v>44915</v>
      </c>
      <c r="C1876" s="421">
        <v>44896</v>
      </c>
      <c r="D1876" s="419" t="s">
        <v>271</v>
      </c>
      <c r="E1876" s="419" t="s">
        <v>71</v>
      </c>
      <c r="F1876" s="422">
        <v>11</v>
      </c>
      <c r="G1876" s="419" t="s">
        <v>8709</v>
      </c>
      <c r="H1876" s="419" t="s">
        <v>310</v>
      </c>
      <c r="I1876" s="415" t="s">
        <v>881</v>
      </c>
      <c r="J1876" s="419" t="s">
        <v>882</v>
      </c>
      <c r="K1876" s="419" t="s">
        <v>883</v>
      </c>
      <c r="L1876" s="415" t="s">
        <v>798</v>
      </c>
      <c r="M1876" s="419" t="s">
        <v>310</v>
      </c>
      <c r="N1876" s="413">
        <v>44915</v>
      </c>
      <c r="O1876" s="414" t="s">
        <v>400</v>
      </c>
      <c r="P1876" s="655">
        <f t="shared" si="116"/>
        <v>12</v>
      </c>
      <c r="Q1876" s="655">
        <f t="shared" si="117"/>
        <v>12</v>
      </c>
      <c r="R1876" s="758" t="str">
        <f t="shared" si="118"/>
        <v>Gastos_Gerais</v>
      </c>
      <c r="S1876" s="697" t="s">
        <v>310</v>
      </c>
      <c r="T1876" s="697" t="s">
        <v>310</v>
      </c>
    </row>
    <row r="1877" spans="1:20" ht="24" x14ac:dyDescent="0.2">
      <c r="A1877" s="432">
        <f>IF(B1877="","",COUNT('Diário 1º PA'!$A$4:$A$2635)+COUNT('Diário 2º PA'!$A$4:$A$3040)+COUNT('Diário 3º PA'!$A$4:$A$2731)+ROW()-3)</f>
        <v>7902</v>
      </c>
      <c r="B1877" s="413">
        <v>44915</v>
      </c>
      <c r="C1877" s="421">
        <v>44896</v>
      </c>
      <c r="D1877" s="419" t="s">
        <v>271</v>
      </c>
      <c r="E1877" s="419" t="s">
        <v>71</v>
      </c>
      <c r="F1877" s="422">
        <v>11</v>
      </c>
      <c r="G1877" s="419" t="s">
        <v>8709</v>
      </c>
      <c r="H1877" s="419" t="s">
        <v>310</v>
      </c>
      <c r="I1877" s="415" t="s">
        <v>881</v>
      </c>
      <c r="J1877" s="419" t="s">
        <v>882</v>
      </c>
      <c r="K1877" s="419" t="s">
        <v>883</v>
      </c>
      <c r="L1877" s="415" t="s">
        <v>798</v>
      </c>
      <c r="M1877" s="419" t="s">
        <v>310</v>
      </c>
      <c r="N1877" s="413">
        <v>44915</v>
      </c>
      <c r="O1877" s="414" t="s">
        <v>400</v>
      </c>
      <c r="P1877" s="655">
        <f t="shared" si="116"/>
        <v>12</v>
      </c>
      <c r="Q1877" s="655">
        <f t="shared" si="117"/>
        <v>12</v>
      </c>
      <c r="R1877" s="758" t="str">
        <f t="shared" si="118"/>
        <v>Gastos_Gerais</v>
      </c>
      <c r="S1877" s="697" t="s">
        <v>310</v>
      </c>
      <c r="T1877" s="697" t="s">
        <v>310</v>
      </c>
    </row>
    <row r="1878" spans="1:20" ht="24" x14ac:dyDescent="0.2">
      <c r="A1878" s="432">
        <f>IF(B1878="","",COUNT('Diário 1º PA'!$A$4:$A$2635)+COUNT('Diário 2º PA'!$A$4:$A$3040)+COUNT('Diário 3º PA'!$A$4:$A$2731)+ROW()-3)</f>
        <v>7903</v>
      </c>
      <c r="B1878" s="413">
        <v>44915</v>
      </c>
      <c r="C1878" s="421">
        <v>44896</v>
      </c>
      <c r="D1878" s="419" t="s">
        <v>271</v>
      </c>
      <c r="E1878" s="419" t="s">
        <v>71</v>
      </c>
      <c r="F1878" s="422">
        <v>11</v>
      </c>
      <c r="G1878" s="419" t="s">
        <v>8709</v>
      </c>
      <c r="H1878" s="419" t="s">
        <v>310</v>
      </c>
      <c r="I1878" s="415" t="s">
        <v>881</v>
      </c>
      <c r="J1878" s="419" t="s">
        <v>882</v>
      </c>
      <c r="K1878" s="419" t="s">
        <v>883</v>
      </c>
      <c r="L1878" s="415" t="s">
        <v>798</v>
      </c>
      <c r="M1878" s="419" t="s">
        <v>310</v>
      </c>
      <c r="N1878" s="413">
        <v>44915</v>
      </c>
      <c r="O1878" s="414" t="s">
        <v>400</v>
      </c>
      <c r="P1878" s="655">
        <f t="shared" si="116"/>
        <v>12</v>
      </c>
      <c r="Q1878" s="655">
        <f t="shared" si="117"/>
        <v>12</v>
      </c>
      <c r="R1878" s="758" t="str">
        <f t="shared" si="118"/>
        <v>Gastos_Gerais</v>
      </c>
      <c r="S1878" s="697" t="s">
        <v>310</v>
      </c>
      <c r="T1878" s="697" t="s">
        <v>310</v>
      </c>
    </row>
    <row r="1879" spans="1:20" ht="24" x14ac:dyDescent="0.2">
      <c r="A1879" s="432">
        <f>IF(B1879="","",COUNT('Diário 1º PA'!$A$4:$A$2635)+COUNT('Diário 2º PA'!$A$4:$A$3040)+COUNT('Diário 3º PA'!$A$4:$A$2731)+ROW()-3)</f>
        <v>7904</v>
      </c>
      <c r="B1879" s="413">
        <v>44915</v>
      </c>
      <c r="C1879" s="421">
        <v>44896</v>
      </c>
      <c r="D1879" s="419" t="s">
        <v>271</v>
      </c>
      <c r="E1879" s="419" t="s">
        <v>71</v>
      </c>
      <c r="F1879" s="422">
        <v>11</v>
      </c>
      <c r="G1879" s="419" t="s">
        <v>8709</v>
      </c>
      <c r="H1879" s="419" t="s">
        <v>310</v>
      </c>
      <c r="I1879" s="415" t="s">
        <v>881</v>
      </c>
      <c r="J1879" s="419" t="s">
        <v>882</v>
      </c>
      <c r="K1879" s="419" t="s">
        <v>883</v>
      </c>
      <c r="L1879" s="415" t="s">
        <v>798</v>
      </c>
      <c r="M1879" s="419" t="s">
        <v>310</v>
      </c>
      <c r="N1879" s="413">
        <v>44915</v>
      </c>
      <c r="O1879" s="414" t="s">
        <v>400</v>
      </c>
      <c r="P1879" s="655">
        <f t="shared" si="116"/>
        <v>12</v>
      </c>
      <c r="Q1879" s="655">
        <f t="shared" si="117"/>
        <v>12</v>
      </c>
      <c r="R1879" s="758" t="str">
        <f t="shared" si="118"/>
        <v>Gastos_Gerais</v>
      </c>
      <c r="S1879" s="697" t="s">
        <v>310</v>
      </c>
      <c r="T1879" s="697" t="s">
        <v>310</v>
      </c>
    </row>
    <row r="1880" spans="1:20" ht="24" x14ac:dyDescent="0.2">
      <c r="A1880" s="432">
        <f>IF(B1880="","",COUNT('Diário 1º PA'!$A$4:$A$2635)+COUNT('Diário 2º PA'!$A$4:$A$3040)+COUNT('Diário 3º PA'!$A$4:$A$2731)+ROW()-3)</f>
        <v>7905</v>
      </c>
      <c r="B1880" s="413">
        <v>44915</v>
      </c>
      <c r="C1880" s="421">
        <v>44896</v>
      </c>
      <c r="D1880" s="419" t="s">
        <v>271</v>
      </c>
      <c r="E1880" s="419" t="s">
        <v>71</v>
      </c>
      <c r="F1880" s="422">
        <v>11</v>
      </c>
      <c r="G1880" s="419" t="s">
        <v>8709</v>
      </c>
      <c r="H1880" s="419" t="s">
        <v>310</v>
      </c>
      <c r="I1880" s="415" t="s">
        <v>881</v>
      </c>
      <c r="J1880" s="419" t="s">
        <v>882</v>
      </c>
      <c r="K1880" s="419" t="s">
        <v>883</v>
      </c>
      <c r="L1880" s="415" t="s">
        <v>798</v>
      </c>
      <c r="M1880" s="419" t="s">
        <v>310</v>
      </c>
      <c r="N1880" s="413">
        <v>44915</v>
      </c>
      <c r="O1880" s="414" t="s">
        <v>400</v>
      </c>
      <c r="P1880" s="655">
        <f t="shared" si="116"/>
        <v>12</v>
      </c>
      <c r="Q1880" s="655">
        <f t="shared" si="117"/>
        <v>12</v>
      </c>
      <c r="R1880" s="758" t="str">
        <f t="shared" si="118"/>
        <v>Gastos_Gerais</v>
      </c>
      <c r="S1880" s="697" t="s">
        <v>310</v>
      </c>
      <c r="T1880" s="697" t="s">
        <v>310</v>
      </c>
    </row>
    <row r="1881" spans="1:20" ht="24" x14ac:dyDescent="0.2">
      <c r="A1881" s="432">
        <f>IF(B1881="","",COUNT('Diário 1º PA'!$A$4:$A$2635)+COUNT('Diário 2º PA'!$A$4:$A$3040)+COUNT('Diário 3º PA'!$A$4:$A$2731)+ROW()-3)</f>
        <v>7906</v>
      </c>
      <c r="B1881" s="413">
        <v>44915</v>
      </c>
      <c r="C1881" s="421">
        <v>44896</v>
      </c>
      <c r="D1881" s="419" t="s">
        <v>271</v>
      </c>
      <c r="E1881" s="419" t="s">
        <v>71</v>
      </c>
      <c r="F1881" s="422">
        <v>11</v>
      </c>
      <c r="G1881" s="419" t="s">
        <v>8709</v>
      </c>
      <c r="H1881" s="419" t="s">
        <v>310</v>
      </c>
      <c r="I1881" s="415" t="s">
        <v>881</v>
      </c>
      <c r="J1881" s="419" t="s">
        <v>882</v>
      </c>
      <c r="K1881" s="419" t="s">
        <v>883</v>
      </c>
      <c r="L1881" s="415" t="s">
        <v>798</v>
      </c>
      <c r="M1881" s="419" t="s">
        <v>310</v>
      </c>
      <c r="N1881" s="413">
        <v>44915</v>
      </c>
      <c r="O1881" s="414" t="s">
        <v>400</v>
      </c>
      <c r="P1881" s="655">
        <f t="shared" si="116"/>
        <v>12</v>
      </c>
      <c r="Q1881" s="655">
        <f t="shared" si="117"/>
        <v>12</v>
      </c>
      <c r="R1881" s="758" t="str">
        <f t="shared" si="118"/>
        <v>Gastos_Gerais</v>
      </c>
      <c r="S1881" s="697" t="s">
        <v>310</v>
      </c>
      <c r="T1881" s="697" t="s">
        <v>310</v>
      </c>
    </row>
    <row r="1882" spans="1:20" ht="24" x14ac:dyDescent="0.2">
      <c r="A1882" s="432">
        <f>IF(B1882="","",COUNT('Diário 1º PA'!$A$4:$A$2635)+COUNT('Diário 2º PA'!$A$4:$A$3040)+COUNT('Diário 3º PA'!$A$4:$A$2731)+ROW()-3)</f>
        <v>7907</v>
      </c>
      <c r="B1882" s="413">
        <v>44915</v>
      </c>
      <c r="C1882" s="421">
        <v>44896</v>
      </c>
      <c r="D1882" s="419" t="s">
        <v>271</v>
      </c>
      <c r="E1882" s="419" t="s">
        <v>71</v>
      </c>
      <c r="F1882" s="422">
        <v>11</v>
      </c>
      <c r="G1882" s="419" t="s">
        <v>8709</v>
      </c>
      <c r="H1882" s="419" t="s">
        <v>310</v>
      </c>
      <c r="I1882" s="415" t="s">
        <v>881</v>
      </c>
      <c r="J1882" s="419" t="s">
        <v>882</v>
      </c>
      <c r="K1882" s="419" t="s">
        <v>883</v>
      </c>
      <c r="L1882" s="415" t="s">
        <v>798</v>
      </c>
      <c r="M1882" s="419" t="s">
        <v>310</v>
      </c>
      <c r="N1882" s="413">
        <v>44915</v>
      </c>
      <c r="O1882" s="414" t="s">
        <v>400</v>
      </c>
      <c r="P1882" s="655">
        <f t="shared" si="116"/>
        <v>12</v>
      </c>
      <c r="Q1882" s="655">
        <f t="shared" si="117"/>
        <v>12</v>
      </c>
      <c r="R1882" s="758" t="str">
        <f t="shared" si="118"/>
        <v>Gastos_Gerais</v>
      </c>
      <c r="S1882" s="697" t="s">
        <v>310</v>
      </c>
      <c r="T1882" s="697" t="s">
        <v>310</v>
      </c>
    </row>
    <row r="1883" spans="1:20" ht="24" x14ac:dyDescent="0.2">
      <c r="A1883" s="432">
        <f>IF(B1883="","",COUNT('Diário 1º PA'!$A$4:$A$2635)+COUNT('Diário 2º PA'!$A$4:$A$3040)+COUNT('Diário 3º PA'!$A$4:$A$2731)+ROW()-3)</f>
        <v>7908</v>
      </c>
      <c r="B1883" s="413">
        <v>44915</v>
      </c>
      <c r="C1883" s="421">
        <v>44896</v>
      </c>
      <c r="D1883" s="419" t="s">
        <v>271</v>
      </c>
      <c r="E1883" s="419" t="s">
        <v>71</v>
      </c>
      <c r="F1883" s="422">
        <v>11</v>
      </c>
      <c r="G1883" s="419" t="s">
        <v>8709</v>
      </c>
      <c r="H1883" s="419" t="s">
        <v>310</v>
      </c>
      <c r="I1883" s="415" t="s">
        <v>881</v>
      </c>
      <c r="J1883" s="419" t="s">
        <v>882</v>
      </c>
      <c r="K1883" s="419" t="s">
        <v>883</v>
      </c>
      <c r="L1883" s="415" t="s">
        <v>798</v>
      </c>
      <c r="M1883" s="419" t="s">
        <v>310</v>
      </c>
      <c r="N1883" s="413">
        <v>44915</v>
      </c>
      <c r="O1883" s="414" t="s">
        <v>400</v>
      </c>
      <c r="P1883" s="655">
        <f t="shared" si="116"/>
        <v>12</v>
      </c>
      <c r="Q1883" s="655">
        <f t="shared" si="117"/>
        <v>12</v>
      </c>
      <c r="R1883" s="758" t="str">
        <f t="shared" si="118"/>
        <v>Gastos_Gerais</v>
      </c>
      <c r="S1883" s="697" t="s">
        <v>310</v>
      </c>
      <c r="T1883" s="697" t="s">
        <v>310</v>
      </c>
    </row>
    <row r="1884" spans="1:20" ht="24" x14ac:dyDescent="0.2">
      <c r="A1884" s="432">
        <f>IF(B1884="","",COUNT('Diário 1º PA'!$A$4:$A$2635)+COUNT('Diário 2º PA'!$A$4:$A$3040)+COUNT('Diário 3º PA'!$A$4:$A$2731)+ROW()-3)</f>
        <v>7909</v>
      </c>
      <c r="B1884" s="413">
        <v>44915</v>
      </c>
      <c r="C1884" s="421">
        <v>44896</v>
      </c>
      <c r="D1884" s="419" t="s">
        <v>271</v>
      </c>
      <c r="E1884" s="419" t="s">
        <v>71</v>
      </c>
      <c r="F1884" s="422">
        <v>11</v>
      </c>
      <c r="G1884" s="419" t="s">
        <v>8709</v>
      </c>
      <c r="H1884" s="419" t="s">
        <v>310</v>
      </c>
      <c r="I1884" s="415" t="s">
        <v>881</v>
      </c>
      <c r="J1884" s="419" t="s">
        <v>882</v>
      </c>
      <c r="K1884" s="419" t="s">
        <v>883</v>
      </c>
      <c r="L1884" s="415" t="s">
        <v>798</v>
      </c>
      <c r="M1884" s="419" t="s">
        <v>310</v>
      </c>
      <c r="N1884" s="413">
        <v>44915</v>
      </c>
      <c r="O1884" s="414" t="s">
        <v>400</v>
      </c>
      <c r="P1884" s="655">
        <f t="shared" si="116"/>
        <v>12</v>
      </c>
      <c r="Q1884" s="655">
        <f t="shared" si="117"/>
        <v>12</v>
      </c>
      <c r="R1884" s="758" t="str">
        <f t="shared" si="118"/>
        <v>Gastos_Gerais</v>
      </c>
      <c r="S1884" s="697" t="s">
        <v>310</v>
      </c>
      <c r="T1884" s="697" t="s">
        <v>310</v>
      </c>
    </row>
    <row r="1885" spans="1:20" ht="24" x14ac:dyDescent="0.2">
      <c r="A1885" s="432">
        <f>IF(B1885="","",COUNT('Diário 1º PA'!$A$4:$A$2635)+COUNT('Diário 2º PA'!$A$4:$A$3040)+COUNT('Diário 3º PA'!$A$4:$A$2731)+ROW()-3)</f>
        <v>7910</v>
      </c>
      <c r="B1885" s="413">
        <v>44915</v>
      </c>
      <c r="C1885" s="421">
        <v>44896</v>
      </c>
      <c r="D1885" s="419" t="s">
        <v>271</v>
      </c>
      <c r="E1885" s="419" t="s">
        <v>71</v>
      </c>
      <c r="F1885" s="422">
        <v>11</v>
      </c>
      <c r="G1885" s="419" t="s">
        <v>8709</v>
      </c>
      <c r="H1885" s="419" t="s">
        <v>310</v>
      </c>
      <c r="I1885" s="415" t="s">
        <v>881</v>
      </c>
      <c r="J1885" s="419" t="s">
        <v>882</v>
      </c>
      <c r="K1885" s="419" t="s">
        <v>883</v>
      </c>
      <c r="L1885" s="415" t="s">
        <v>798</v>
      </c>
      <c r="M1885" s="419" t="s">
        <v>310</v>
      </c>
      <c r="N1885" s="413">
        <v>44915</v>
      </c>
      <c r="O1885" s="414" t="s">
        <v>400</v>
      </c>
      <c r="P1885" s="655">
        <f t="shared" si="116"/>
        <v>12</v>
      </c>
      <c r="Q1885" s="655">
        <f t="shared" si="117"/>
        <v>12</v>
      </c>
      <c r="R1885" s="758" t="str">
        <f t="shared" si="118"/>
        <v>Gastos_Gerais</v>
      </c>
      <c r="S1885" s="697" t="s">
        <v>310</v>
      </c>
      <c r="T1885" s="697" t="s">
        <v>310</v>
      </c>
    </row>
    <row r="1886" spans="1:20" ht="24" x14ac:dyDescent="0.2">
      <c r="A1886" s="432">
        <f>IF(B1886="","",COUNT('Diário 1º PA'!$A$4:$A$2635)+COUNT('Diário 2º PA'!$A$4:$A$3040)+COUNT('Diário 3º PA'!$A$4:$A$2731)+ROW()-3)</f>
        <v>7911</v>
      </c>
      <c r="B1886" s="413">
        <v>44915</v>
      </c>
      <c r="C1886" s="421">
        <v>44896</v>
      </c>
      <c r="D1886" s="419" t="s">
        <v>271</v>
      </c>
      <c r="E1886" s="419" t="s">
        <v>71</v>
      </c>
      <c r="F1886" s="422">
        <v>11</v>
      </c>
      <c r="G1886" s="419" t="s">
        <v>8709</v>
      </c>
      <c r="H1886" s="419" t="s">
        <v>310</v>
      </c>
      <c r="I1886" s="415" t="s">
        <v>881</v>
      </c>
      <c r="J1886" s="419" t="s">
        <v>882</v>
      </c>
      <c r="K1886" s="419" t="s">
        <v>883</v>
      </c>
      <c r="L1886" s="415" t="s">
        <v>798</v>
      </c>
      <c r="M1886" s="419" t="s">
        <v>310</v>
      </c>
      <c r="N1886" s="413">
        <v>44915</v>
      </c>
      <c r="O1886" s="414" t="s">
        <v>400</v>
      </c>
      <c r="P1886" s="655">
        <f t="shared" si="116"/>
        <v>12</v>
      </c>
      <c r="Q1886" s="655">
        <f t="shared" si="117"/>
        <v>12</v>
      </c>
      <c r="R1886" s="758" t="str">
        <f t="shared" si="118"/>
        <v>Gastos_Gerais</v>
      </c>
      <c r="S1886" s="697" t="s">
        <v>310</v>
      </c>
      <c r="T1886" s="697" t="s">
        <v>310</v>
      </c>
    </row>
    <row r="1887" spans="1:20" ht="24" x14ac:dyDescent="0.2">
      <c r="A1887" s="432">
        <f>IF(B1887="","",COUNT('Diário 1º PA'!$A$4:$A$2635)+COUNT('Diário 2º PA'!$A$4:$A$3040)+COUNT('Diário 3º PA'!$A$4:$A$2731)+ROW()-3)</f>
        <v>7912</v>
      </c>
      <c r="B1887" s="413">
        <v>44915</v>
      </c>
      <c r="C1887" s="421">
        <v>44896</v>
      </c>
      <c r="D1887" s="419" t="s">
        <v>271</v>
      </c>
      <c r="E1887" s="419" t="s">
        <v>71</v>
      </c>
      <c r="F1887" s="422">
        <v>11</v>
      </c>
      <c r="G1887" s="419" t="s">
        <v>8709</v>
      </c>
      <c r="H1887" s="419" t="s">
        <v>310</v>
      </c>
      <c r="I1887" s="415" t="s">
        <v>881</v>
      </c>
      <c r="J1887" s="419" t="s">
        <v>882</v>
      </c>
      <c r="K1887" s="419" t="s">
        <v>883</v>
      </c>
      <c r="L1887" s="415" t="s">
        <v>798</v>
      </c>
      <c r="M1887" s="419" t="s">
        <v>310</v>
      </c>
      <c r="N1887" s="413">
        <v>44915</v>
      </c>
      <c r="O1887" s="414" t="s">
        <v>400</v>
      </c>
      <c r="P1887" s="655">
        <f t="shared" si="116"/>
        <v>12</v>
      </c>
      <c r="Q1887" s="655">
        <f t="shared" si="117"/>
        <v>12</v>
      </c>
      <c r="R1887" s="758" t="str">
        <f t="shared" si="118"/>
        <v>Gastos_Gerais</v>
      </c>
      <c r="S1887" s="697" t="s">
        <v>310</v>
      </c>
      <c r="T1887" s="697" t="s">
        <v>310</v>
      </c>
    </row>
    <row r="1888" spans="1:20" ht="24" x14ac:dyDescent="0.2">
      <c r="A1888" s="432">
        <f>IF(B1888="","",COUNT('Diário 1º PA'!$A$4:$A$2635)+COUNT('Diário 2º PA'!$A$4:$A$3040)+COUNT('Diário 3º PA'!$A$4:$A$2731)+ROW()-3)</f>
        <v>7913</v>
      </c>
      <c r="B1888" s="413">
        <v>44915</v>
      </c>
      <c r="C1888" s="421">
        <v>44896</v>
      </c>
      <c r="D1888" s="419" t="s">
        <v>271</v>
      </c>
      <c r="E1888" s="419" t="s">
        <v>71</v>
      </c>
      <c r="F1888" s="422">
        <v>11</v>
      </c>
      <c r="G1888" s="419" t="s">
        <v>8709</v>
      </c>
      <c r="H1888" s="419" t="s">
        <v>310</v>
      </c>
      <c r="I1888" s="415" t="s">
        <v>881</v>
      </c>
      <c r="J1888" s="419" t="s">
        <v>882</v>
      </c>
      <c r="K1888" s="419" t="s">
        <v>883</v>
      </c>
      <c r="L1888" s="415" t="s">
        <v>798</v>
      </c>
      <c r="M1888" s="419" t="s">
        <v>310</v>
      </c>
      <c r="N1888" s="413">
        <v>44915</v>
      </c>
      <c r="O1888" s="414" t="s">
        <v>400</v>
      </c>
      <c r="P1888" s="655">
        <f t="shared" si="116"/>
        <v>12</v>
      </c>
      <c r="Q1888" s="655">
        <f t="shared" si="117"/>
        <v>12</v>
      </c>
      <c r="R1888" s="758" t="str">
        <f t="shared" si="118"/>
        <v>Gastos_Gerais</v>
      </c>
      <c r="S1888" s="697" t="s">
        <v>310</v>
      </c>
      <c r="T1888" s="697" t="s">
        <v>310</v>
      </c>
    </row>
    <row r="1889" spans="1:20" ht="24" x14ac:dyDescent="0.2">
      <c r="A1889" s="432">
        <f>IF(B1889="","",COUNT('Diário 1º PA'!$A$4:$A$2635)+COUNT('Diário 2º PA'!$A$4:$A$3040)+COUNT('Diário 3º PA'!$A$4:$A$2731)+ROW()-3)</f>
        <v>7914</v>
      </c>
      <c r="B1889" s="413">
        <v>44915</v>
      </c>
      <c r="C1889" s="421">
        <v>44896</v>
      </c>
      <c r="D1889" s="419" t="s">
        <v>271</v>
      </c>
      <c r="E1889" s="419" t="s">
        <v>71</v>
      </c>
      <c r="F1889" s="422">
        <v>11</v>
      </c>
      <c r="G1889" s="419" t="s">
        <v>8709</v>
      </c>
      <c r="H1889" s="419" t="s">
        <v>310</v>
      </c>
      <c r="I1889" s="415" t="s">
        <v>881</v>
      </c>
      <c r="J1889" s="419" t="s">
        <v>882</v>
      </c>
      <c r="K1889" s="419" t="s">
        <v>883</v>
      </c>
      <c r="L1889" s="415" t="s">
        <v>798</v>
      </c>
      <c r="M1889" s="419" t="s">
        <v>310</v>
      </c>
      <c r="N1889" s="413">
        <v>44915</v>
      </c>
      <c r="O1889" s="414" t="s">
        <v>400</v>
      </c>
      <c r="P1889" s="655">
        <f t="shared" si="116"/>
        <v>12</v>
      </c>
      <c r="Q1889" s="655">
        <f t="shared" si="117"/>
        <v>12</v>
      </c>
      <c r="R1889" s="758" t="str">
        <f t="shared" si="118"/>
        <v>Gastos_Gerais</v>
      </c>
      <c r="S1889" s="697" t="s">
        <v>310</v>
      </c>
      <c r="T1889" s="697" t="s">
        <v>310</v>
      </c>
    </row>
    <row r="1890" spans="1:20" ht="24" x14ac:dyDescent="0.2">
      <c r="A1890" s="432">
        <f>IF(B1890="","",COUNT('Diário 1º PA'!$A$4:$A$2635)+COUNT('Diário 2º PA'!$A$4:$A$3040)+COUNT('Diário 3º PA'!$A$4:$A$2731)+ROW()-3)</f>
        <v>7915</v>
      </c>
      <c r="B1890" s="413">
        <v>44915</v>
      </c>
      <c r="C1890" s="421">
        <v>44896</v>
      </c>
      <c r="D1890" s="419" t="s">
        <v>271</v>
      </c>
      <c r="E1890" s="419" t="s">
        <v>71</v>
      </c>
      <c r="F1890" s="422">
        <v>11</v>
      </c>
      <c r="G1890" s="419" t="s">
        <v>8709</v>
      </c>
      <c r="H1890" s="419" t="s">
        <v>310</v>
      </c>
      <c r="I1890" s="415" t="s">
        <v>881</v>
      </c>
      <c r="J1890" s="419" t="s">
        <v>882</v>
      </c>
      <c r="K1890" s="419" t="s">
        <v>883</v>
      </c>
      <c r="L1890" s="415" t="s">
        <v>798</v>
      </c>
      <c r="M1890" s="419" t="s">
        <v>310</v>
      </c>
      <c r="N1890" s="413">
        <v>44915</v>
      </c>
      <c r="O1890" s="414" t="s">
        <v>400</v>
      </c>
      <c r="P1890" s="655">
        <f t="shared" si="116"/>
        <v>12</v>
      </c>
      <c r="Q1890" s="655">
        <f t="shared" si="117"/>
        <v>12</v>
      </c>
      <c r="R1890" s="758" t="str">
        <f t="shared" si="118"/>
        <v>Gastos_Gerais</v>
      </c>
      <c r="S1890" s="697" t="s">
        <v>310</v>
      </c>
      <c r="T1890" s="697" t="s">
        <v>310</v>
      </c>
    </row>
    <row r="1891" spans="1:20" ht="24" x14ac:dyDescent="0.2">
      <c r="A1891" s="432">
        <f>IF(B1891="","",COUNT('Diário 1º PA'!$A$4:$A$2635)+COUNT('Diário 2º PA'!$A$4:$A$3040)+COUNT('Diário 3º PA'!$A$4:$A$2731)+ROW()-3)</f>
        <v>7916</v>
      </c>
      <c r="B1891" s="413">
        <v>44915</v>
      </c>
      <c r="C1891" s="421">
        <v>44896</v>
      </c>
      <c r="D1891" s="419" t="s">
        <v>271</v>
      </c>
      <c r="E1891" s="419" t="s">
        <v>71</v>
      </c>
      <c r="F1891" s="422">
        <v>11</v>
      </c>
      <c r="G1891" s="419" t="s">
        <v>8709</v>
      </c>
      <c r="H1891" s="419" t="s">
        <v>310</v>
      </c>
      <c r="I1891" s="415" t="s">
        <v>881</v>
      </c>
      <c r="J1891" s="419" t="s">
        <v>882</v>
      </c>
      <c r="K1891" s="419" t="s">
        <v>883</v>
      </c>
      <c r="L1891" s="415" t="s">
        <v>798</v>
      </c>
      <c r="M1891" s="419" t="s">
        <v>310</v>
      </c>
      <c r="N1891" s="413">
        <v>44915</v>
      </c>
      <c r="O1891" s="414" t="s">
        <v>400</v>
      </c>
      <c r="P1891" s="655">
        <f t="shared" si="116"/>
        <v>12</v>
      </c>
      <c r="Q1891" s="655">
        <f t="shared" si="117"/>
        <v>12</v>
      </c>
      <c r="R1891" s="758" t="str">
        <f t="shared" si="118"/>
        <v>Gastos_Gerais</v>
      </c>
      <c r="S1891" s="697" t="s">
        <v>310</v>
      </c>
      <c r="T1891" s="697" t="s">
        <v>310</v>
      </c>
    </row>
    <row r="1892" spans="1:20" ht="24" x14ac:dyDescent="0.2">
      <c r="A1892" s="432">
        <f>IF(B1892="","",COUNT('Diário 1º PA'!$A$4:$A$2635)+COUNT('Diário 2º PA'!$A$4:$A$3040)+COUNT('Diário 3º PA'!$A$4:$A$2731)+ROW()-3)</f>
        <v>7917</v>
      </c>
      <c r="B1892" s="413">
        <v>44915</v>
      </c>
      <c r="C1892" s="421">
        <v>44896</v>
      </c>
      <c r="D1892" s="419" t="s">
        <v>271</v>
      </c>
      <c r="E1892" s="419" t="s">
        <v>71</v>
      </c>
      <c r="F1892" s="422">
        <v>11</v>
      </c>
      <c r="G1892" s="419" t="s">
        <v>8709</v>
      </c>
      <c r="H1892" s="419" t="s">
        <v>310</v>
      </c>
      <c r="I1892" s="415" t="s">
        <v>881</v>
      </c>
      <c r="J1892" s="419" t="s">
        <v>882</v>
      </c>
      <c r="K1892" s="419" t="s">
        <v>883</v>
      </c>
      <c r="L1892" s="415" t="s">
        <v>798</v>
      </c>
      <c r="M1892" s="419" t="s">
        <v>310</v>
      </c>
      <c r="N1892" s="413">
        <v>44915</v>
      </c>
      <c r="O1892" s="414" t="s">
        <v>400</v>
      </c>
      <c r="P1892" s="655">
        <f t="shared" si="116"/>
        <v>12</v>
      </c>
      <c r="Q1892" s="655">
        <f t="shared" si="117"/>
        <v>12</v>
      </c>
      <c r="R1892" s="758" t="str">
        <f t="shared" si="118"/>
        <v>Gastos_Gerais</v>
      </c>
      <c r="S1892" s="697" t="s">
        <v>310</v>
      </c>
      <c r="T1892" s="697" t="s">
        <v>310</v>
      </c>
    </row>
    <row r="1893" spans="1:20" ht="24" x14ac:dyDescent="0.2">
      <c r="A1893" s="432">
        <f>IF(B1893="","",COUNT('Diário 1º PA'!$A$4:$A$2635)+COUNT('Diário 2º PA'!$A$4:$A$3040)+COUNT('Diário 3º PA'!$A$4:$A$2731)+ROW()-3)</f>
        <v>7918</v>
      </c>
      <c r="B1893" s="413">
        <v>44915</v>
      </c>
      <c r="C1893" s="421">
        <v>44896</v>
      </c>
      <c r="D1893" s="419" t="s">
        <v>271</v>
      </c>
      <c r="E1893" s="419" t="s">
        <v>71</v>
      </c>
      <c r="F1893" s="422">
        <v>11</v>
      </c>
      <c r="G1893" s="419" t="s">
        <v>8709</v>
      </c>
      <c r="H1893" s="419" t="s">
        <v>310</v>
      </c>
      <c r="I1893" s="415" t="s">
        <v>881</v>
      </c>
      <c r="J1893" s="419" t="s">
        <v>882</v>
      </c>
      <c r="K1893" s="419" t="s">
        <v>883</v>
      </c>
      <c r="L1893" s="415" t="s">
        <v>798</v>
      </c>
      <c r="M1893" s="419" t="s">
        <v>310</v>
      </c>
      <c r="N1893" s="413">
        <v>44915</v>
      </c>
      <c r="O1893" s="414" t="s">
        <v>400</v>
      </c>
      <c r="P1893" s="655">
        <f t="shared" si="116"/>
        <v>12</v>
      </c>
      <c r="Q1893" s="655">
        <f t="shared" si="117"/>
        <v>12</v>
      </c>
      <c r="R1893" s="758" t="str">
        <f t="shared" si="118"/>
        <v>Gastos_Gerais</v>
      </c>
      <c r="S1893" s="697" t="s">
        <v>310</v>
      </c>
      <c r="T1893" s="697" t="s">
        <v>310</v>
      </c>
    </row>
    <row r="1894" spans="1:20" ht="24" x14ac:dyDescent="0.2">
      <c r="A1894" s="432">
        <f>IF(B1894="","",COUNT('Diário 1º PA'!$A$4:$A$2635)+COUNT('Diário 2º PA'!$A$4:$A$3040)+COUNT('Diário 3º PA'!$A$4:$A$2731)+ROW()-3)</f>
        <v>7919</v>
      </c>
      <c r="B1894" s="413">
        <v>44915</v>
      </c>
      <c r="C1894" s="421">
        <v>44896</v>
      </c>
      <c r="D1894" s="419" t="s">
        <v>271</v>
      </c>
      <c r="E1894" s="419" t="s">
        <v>71</v>
      </c>
      <c r="F1894" s="422">
        <v>11</v>
      </c>
      <c r="G1894" s="419" t="s">
        <v>8709</v>
      </c>
      <c r="H1894" s="419" t="s">
        <v>310</v>
      </c>
      <c r="I1894" s="415" t="s">
        <v>881</v>
      </c>
      <c r="J1894" s="419" t="s">
        <v>882</v>
      </c>
      <c r="K1894" s="419" t="s">
        <v>883</v>
      </c>
      <c r="L1894" s="415" t="s">
        <v>798</v>
      </c>
      <c r="M1894" s="419" t="s">
        <v>310</v>
      </c>
      <c r="N1894" s="413">
        <v>44915</v>
      </c>
      <c r="O1894" s="414" t="s">
        <v>400</v>
      </c>
      <c r="P1894" s="655">
        <f t="shared" si="116"/>
        <v>12</v>
      </c>
      <c r="Q1894" s="655">
        <f t="shared" si="117"/>
        <v>12</v>
      </c>
      <c r="R1894" s="758" t="str">
        <f t="shared" si="118"/>
        <v>Gastos_Gerais</v>
      </c>
      <c r="S1894" s="697" t="s">
        <v>310</v>
      </c>
      <c r="T1894" s="697" t="s">
        <v>310</v>
      </c>
    </row>
    <row r="1895" spans="1:20" ht="48" x14ac:dyDescent="0.2">
      <c r="A1895" s="432">
        <f>IF(B1895="","",COUNT('Diário 1º PA'!$A$4:$A$2635)+COUNT('Diário 2º PA'!$A$4:$A$3040)+COUNT('Diário 3º PA'!$A$4:$A$2731)+ROW()-3)</f>
        <v>7920</v>
      </c>
      <c r="B1895" s="413">
        <v>44915</v>
      </c>
      <c r="C1895" s="431">
        <v>44835</v>
      </c>
      <c r="D1895" s="419" t="s">
        <v>468</v>
      </c>
      <c r="E1895" s="419" t="s">
        <v>468</v>
      </c>
      <c r="F1895" s="425">
        <v>40.770000000000003</v>
      </c>
      <c r="G1895" s="427" t="s">
        <v>8213</v>
      </c>
      <c r="H1895" s="419" t="s">
        <v>468</v>
      </c>
      <c r="I1895" s="427" t="s">
        <v>1461</v>
      </c>
      <c r="J1895" s="418" t="s">
        <v>310</v>
      </c>
      <c r="K1895" s="418" t="s">
        <v>1220</v>
      </c>
      <c r="L1895" s="399" t="s">
        <v>1368</v>
      </c>
      <c r="M1895" s="544" t="s">
        <v>310</v>
      </c>
      <c r="N1895" s="413">
        <v>44915</v>
      </c>
      <c r="O1895" s="414" t="s">
        <v>405</v>
      </c>
      <c r="P1895" s="655">
        <f t="shared" si="116"/>
        <v>12</v>
      </c>
      <c r="Q1895" s="655">
        <f t="shared" si="117"/>
        <v>10</v>
      </c>
      <c r="R1895" s="758" t="str">
        <f t="shared" si="118"/>
        <v>Gastos_custeados_por_captação</v>
      </c>
      <c r="S1895" s="697" t="s">
        <v>310</v>
      </c>
      <c r="T1895" s="697" t="s">
        <v>310</v>
      </c>
    </row>
    <row r="1896" spans="1:20" ht="48" x14ac:dyDescent="0.2">
      <c r="A1896" s="432">
        <f>IF(B1896="","",COUNT('Diário 1º PA'!$A$4:$A$2635)+COUNT('Diário 2º PA'!$A$4:$A$3040)+COUNT('Diário 3º PA'!$A$4:$A$2731)+ROW()-3)</f>
        <v>7921</v>
      </c>
      <c r="B1896" s="413">
        <v>44915</v>
      </c>
      <c r="C1896" s="431">
        <v>44835</v>
      </c>
      <c r="D1896" s="419" t="s">
        <v>468</v>
      </c>
      <c r="E1896" s="419" t="s">
        <v>468</v>
      </c>
      <c r="F1896" s="422">
        <v>204.26</v>
      </c>
      <c r="G1896" s="427" t="s">
        <v>9021</v>
      </c>
      <c r="H1896" s="419" t="s">
        <v>468</v>
      </c>
      <c r="I1896" s="427" t="s">
        <v>1461</v>
      </c>
      <c r="J1896" s="418" t="s">
        <v>310</v>
      </c>
      <c r="K1896" s="418" t="s">
        <v>1220</v>
      </c>
      <c r="L1896" s="399" t="s">
        <v>1368</v>
      </c>
      <c r="M1896" s="544" t="s">
        <v>310</v>
      </c>
      <c r="N1896" s="413">
        <v>44915</v>
      </c>
      <c r="O1896" s="414" t="s">
        <v>405</v>
      </c>
      <c r="P1896" s="655">
        <f t="shared" si="116"/>
        <v>12</v>
      </c>
      <c r="Q1896" s="655">
        <f t="shared" si="117"/>
        <v>10</v>
      </c>
      <c r="R1896" s="758" t="str">
        <f t="shared" si="118"/>
        <v>Gastos_custeados_por_captação</v>
      </c>
      <c r="S1896" s="697" t="s">
        <v>310</v>
      </c>
      <c r="T1896" s="697" t="s">
        <v>310</v>
      </c>
    </row>
    <row r="1897" spans="1:20" ht="48" x14ac:dyDescent="0.2">
      <c r="A1897" s="432">
        <f>IF(B1897="","",COUNT('Diário 1º PA'!$A$4:$A$2635)+COUNT('Diário 2º PA'!$A$4:$A$3040)+COUNT('Diário 3º PA'!$A$4:$A$2731)+ROW()-3)</f>
        <v>7922</v>
      </c>
      <c r="B1897" s="413">
        <v>44915</v>
      </c>
      <c r="C1897" s="431">
        <v>44835</v>
      </c>
      <c r="D1897" s="419" t="s">
        <v>468</v>
      </c>
      <c r="E1897" s="419" t="s">
        <v>468</v>
      </c>
      <c r="F1897" s="422">
        <v>61.9</v>
      </c>
      <c r="G1897" s="427" t="s">
        <v>9022</v>
      </c>
      <c r="H1897" s="419" t="s">
        <v>468</v>
      </c>
      <c r="I1897" s="427" t="s">
        <v>1461</v>
      </c>
      <c r="J1897" s="418" t="s">
        <v>310</v>
      </c>
      <c r="K1897" s="418" t="s">
        <v>1220</v>
      </c>
      <c r="L1897" s="399" t="s">
        <v>1368</v>
      </c>
      <c r="M1897" s="544" t="s">
        <v>310</v>
      </c>
      <c r="N1897" s="413">
        <v>44915</v>
      </c>
      <c r="O1897" s="414" t="s">
        <v>405</v>
      </c>
      <c r="P1897" s="655">
        <f t="shared" si="116"/>
        <v>12</v>
      </c>
      <c r="Q1897" s="655">
        <f t="shared" si="117"/>
        <v>10</v>
      </c>
      <c r="R1897" s="758" t="str">
        <f t="shared" si="118"/>
        <v>Gastos_custeados_por_captação</v>
      </c>
      <c r="S1897" s="697" t="s">
        <v>310</v>
      </c>
      <c r="T1897" s="697" t="s">
        <v>310</v>
      </c>
    </row>
    <row r="1898" spans="1:20" ht="48" x14ac:dyDescent="0.2">
      <c r="A1898" s="432">
        <f>IF(B1898="","",COUNT('Diário 1º PA'!$A$4:$A$2635)+COUNT('Diário 2º PA'!$A$4:$A$3040)+COUNT('Diário 3º PA'!$A$4:$A$2731)+ROW()-3)</f>
        <v>7923</v>
      </c>
      <c r="B1898" s="413">
        <v>44915</v>
      </c>
      <c r="C1898" s="431">
        <v>44835</v>
      </c>
      <c r="D1898" s="419" t="s">
        <v>468</v>
      </c>
      <c r="E1898" s="419" t="s">
        <v>468</v>
      </c>
      <c r="F1898" s="422">
        <v>287.83</v>
      </c>
      <c r="G1898" s="427" t="s">
        <v>9023</v>
      </c>
      <c r="H1898" s="419" t="s">
        <v>468</v>
      </c>
      <c r="I1898" s="427" t="s">
        <v>1461</v>
      </c>
      <c r="J1898" s="418" t="s">
        <v>310</v>
      </c>
      <c r="K1898" s="418" t="s">
        <v>1220</v>
      </c>
      <c r="L1898" s="399" t="s">
        <v>1368</v>
      </c>
      <c r="M1898" s="544" t="s">
        <v>310</v>
      </c>
      <c r="N1898" s="413">
        <v>44915</v>
      </c>
      <c r="O1898" s="414" t="s">
        <v>405</v>
      </c>
      <c r="P1898" s="655">
        <f t="shared" si="116"/>
        <v>12</v>
      </c>
      <c r="Q1898" s="655">
        <f t="shared" si="117"/>
        <v>10</v>
      </c>
      <c r="R1898" s="758" t="str">
        <f t="shared" si="118"/>
        <v>Gastos_custeados_por_captação</v>
      </c>
      <c r="S1898" s="697" t="s">
        <v>310</v>
      </c>
      <c r="T1898" s="697" t="s">
        <v>310</v>
      </c>
    </row>
    <row r="1899" spans="1:20" ht="48" x14ac:dyDescent="0.2">
      <c r="A1899" s="432">
        <f>IF(B1899="","",COUNT('Diário 1º PA'!$A$4:$A$2635)+COUNT('Diário 2º PA'!$A$4:$A$3040)+COUNT('Diário 3º PA'!$A$4:$A$2731)+ROW()-3)</f>
        <v>7924</v>
      </c>
      <c r="B1899" s="413">
        <v>44915</v>
      </c>
      <c r="C1899" s="431">
        <v>44866</v>
      </c>
      <c r="D1899" s="419" t="s">
        <v>468</v>
      </c>
      <c r="E1899" s="419" t="s">
        <v>468</v>
      </c>
      <c r="F1899" s="422">
        <v>2328.1</v>
      </c>
      <c r="G1899" s="419" t="s">
        <v>9033</v>
      </c>
      <c r="H1899" s="419" t="s">
        <v>468</v>
      </c>
      <c r="I1899" s="427" t="s">
        <v>1461</v>
      </c>
      <c r="J1899" s="418" t="s">
        <v>310</v>
      </c>
      <c r="K1899" s="418" t="s">
        <v>1220</v>
      </c>
      <c r="L1899" s="399" t="s">
        <v>1368</v>
      </c>
      <c r="M1899" s="544" t="s">
        <v>310</v>
      </c>
      <c r="N1899" s="413">
        <v>44915</v>
      </c>
      <c r="O1899" s="414" t="s">
        <v>405</v>
      </c>
      <c r="P1899" s="655">
        <f t="shared" si="116"/>
        <v>12</v>
      </c>
      <c r="Q1899" s="655">
        <f t="shared" si="117"/>
        <v>11</v>
      </c>
      <c r="R1899" s="758" t="str">
        <f t="shared" si="118"/>
        <v>Gastos_custeados_por_captação</v>
      </c>
      <c r="S1899" s="697" t="s">
        <v>310</v>
      </c>
      <c r="T1899" s="697" t="s">
        <v>310</v>
      </c>
    </row>
    <row r="1900" spans="1:20" ht="48" x14ac:dyDescent="0.2">
      <c r="A1900" s="432">
        <f>IF(B1900="","",COUNT('Diário 1º PA'!$A$4:$A$2635)+COUNT('Diário 2º PA'!$A$4:$A$3040)+COUNT('Diário 3º PA'!$A$4:$A$2731)+ROW()-3)</f>
        <v>7925</v>
      </c>
      <c r="B1900" s="413">
        <v>44915</v>
      </c>
      <c r="C1900" s="431">
        <v>44835</v>
      </c>
      <c r="D1900" s="419" t="s">
        <v>468</v>
      </c>
      <c r="E1900" s="419" t="s">
        <v>468</v>
      </c>
      <c r="F1900" s="422">
        <v>186</v>
      </c>
      <c r="G1900" s="427" t="s">
        <v>8237</v>
      </c>
      <c r="H1900" s="419" t="s">
        <v>468</v>
      </c>
      <c r="I1900" s="434" t="s">
        <v>1461</v>
      </c>
      <c r="J1900" s="415" t="s">
        <v>310</v>
      </c>
      <c r="K1900" s="415" t="s">
        <v>1220</v>
      </c>
      <c r="L1900" s="415" t="s">
        <v>1368</v>
      </c>
      <c r="M1900" s="415" t="s">
        <v>310</v>
      </c>
      <c r="N1900" s="413">
        <v>44915</v>
      </c>
      <c r="O1900" s="414" t="s">
        <v>404</v>
      </c>
      <c r="P1900" s="655">
        <f t="shared" si="116"/>
        <v>12</v>
      </c>
      <c r="Q1900" s="655">
        <f t="shared" si="117"/>
        <v>10</v>
      </c>
      <c r="R1900" s="758" t="str">
        <f t="shared" si="118"/>
        <v>Gastos_custeados_por_captação</v>
      </c>
      <c r="S1900" s="697" t="s">
        <v>310</v>
      </c>
      <c r="T1900" s="697" t="s">
        <v>310</v>
      </c>
    </row>
    <row r="1901" spans="1:20" ht="48" x14ac:dyDescent="0.2">
      <c r="A1901" s="432">
        <f>IF(B1901="","",COUNT('Diário 1º PA'!$A$4:$A$2635)+COUNT('Diário 2º PA'!$A$4:$A$3040)+COUNT('Diário 3º PA'!$A$4:$A$2731)+ROW()-3)</f>
        <v>7926</v>
      </c>
      <c r="B1901" s="413">
        <v>44915</v>
      </c>
      <c r="C1901" s="431">
        <v>44835</v>
      </c>
      <c r="D1901" s="419" t="s">
        <v>468</v>
      </c>
      <c r="E1901" s="419" t="s">
        <v>468</v>
      </c>
      <c r="F1901" s="425">
        <v>17.399999999999999</v>
      </c>
      <c r="G1901" s="427" t="s">
        <v>8506</v>
      </c>
      <c r="H1901" s="419" t="s">
        <v>468</v>
      </c>
      <c r="I1901" s="434" t="s">
        <v>1461</v>
      </c>
      <c r="J1901" s="415" t="s">
        <v>310</v>
      </c>
      <c r="K1901" s="415" t="s">
        <v>1220</v>
      </c>
      <c r="L1901" s="415" t="s">
        <v>1368</v>
      </c>
      <c r="M1901" s="415" t="s">
        <v>310</v>
      </c>
      <c r="N1901" s="413">
        <v>44915</v>
      </c>
      <c r="O1901" s="414" t="s">
        <v>404</v>
      </c>
      <c r="P1901" s="655">
        <f t="shared" si="116"/>
        <v>12</v>
      </c>
      <c r="Q1901" s="655">
        <f t="shared" si="117"/>
        <v>10</v>
      </c>
      <c r="R1901" s="758" t="str">
        <f t="shared" si="118"/>
        <v>Gastos_custeados_por_captação</v>
      </c>
      <c r="S1901" s="697" t="s">
        <v>310</v>
      </c>
      <c r="T1901" s="697" t="s">
        <v>310</v>
      </c>
    </row>
    <row r="1902" spans="1:20" ht="48" x14ac:dyDescent="0.2">
      <c r="A1902" s="432">
        <f>IF(B1902="","",COUNT('Diário 1º PA'!$A$4:$A$2635)+COUNT('Diário 2º PA'!$A$4:$A$3040)+COUNT('Diário 3º PA'!$A$4:$A$2731)+ROW()-3)</f>
        <v>7927</v>
      </c>
      <c r="B1902" s="413">
        <v>44915</v>
      </c>
      <c r="C1902" s="431">
        <v>44835</v>
      </c>
      <c r="D1902" s="419" t="s">
        <v>468</v>
      </c>
      <c r="E1902" s="419" t="s">
        <v>468</v>
      </c>
      <c r="F1902" s="425">
        <v>17.399999999999999</v>
      </c>
      <c r="G1902" s="427" t="s">
        <v>8509</v>
      </c>
      <c r="H1902" s="419" t="s">
        <v>468</v>
      </c>
      <c r="I1902" s="434" t="s">
        <v>1461</v>
      </c>
      <c r="J1902" s="415" t="s">
        <v>310</v>
      </c>
      <c r="K1902" s="415" t="s">
        <v>1220</v>
      </c>
      <c r="L1902" s="415" t="s">
        <v>1368</v>
      </c>
      <c r="M1902" s="415" t="s">
        <v>310</v>
      </c>
      <c r="N1902" s="413">
        <v>44915</v>
      </c>
      <c r="O1902" s="414" t="s">
        <v>404</v>
      </c>
      <c r="P1902" s="655">
        <f t="shared" si="116"/>
        <v>12</v>
      </c>
      <c r="Q1902" s="655">
        <f t="shared" si="117"/>
        <v>10</v>
      </c>
      <c r="R1902" s="758" t="str">
        <f t="shared" si="118"/>
        <v>Gastos_custeados_por_captação</v>
      </c>
      <c r="S1902" s="697" t="s">
        <v>310</v>
      </c>
      <c r="T1902" s="697" t="s">
        <v>310</v>
      </c>
    </row>
    <row r="1903" spans="1:20" ht="48" x14ac:dyDescent="0.2">
      <c r="A1903" s="432">
        <f>IF(B1903="","",COUNT('Diário 1º PA'!$A$4:$A$2635)+COUNT('Diário 2º PA'!$A$4:$A$3040)+COUNT('Diário 3º PA'!$A$4:$A$2731)+ROW()-3)</f>
        <v>7928</v>
      </c>
      <c r="B1903" s="413">
        <v>44915</v>
      </c>
      <c r="C1903" s="431">
        <v>44835</v>
      </c>
      <c r="D1903" s="419" t="s">
        <v>468</v>
      </c>
      <c r="E1903" s="419" t="s">
        <v>468</v>
      </c>
      <c r="F1903" s="425">
        <v>17.399999999999999</v>
      </c>
      <c r="G1903" s="427" t="s">
        <v>8503</v>
      </c>
      <c r="H1903" s="419" t="s">
        <v>468</v>
      </c>
      <c r="I1903" s="434" t="s">
        <v>1461</v>
      </c>
      <c r="J1903" s="415" t="s">
        <v>310</v>
      </c>
      <c r="K1903" s="415" t="s">
        <v>1220</v>
      </c>
      <c r="L1903" s="415" t="s">
        <v>1368</v>
      </c>
      <c r="M1903" s="415" t="s">
        <v>310</v>
      </c>
      <c r="N1903" s="413">
        <v>44915</v>
      </c>
      <c r="O1903" s="414" t="s">
        <v>404</v>
      </c>
      <c r="P1903" s="655">
        <f t="shared" ref="P1903:P1923" si="119">IF(B1903=0,0,IF(YEAR(B1903)=$Q$1,MONTH(B1903)-$P$1+1,(YEAR(B1903)-$Q$1)*12-$P$1+1+MONTH(B1903)))</f>
        <v>12</v>
      </c>
      <c r="Q1903" s="655">
        <f t="shared" ref="Q1903:Q1923" si="120">IF(C1903=0,0,IF(YEAR(C1903)=$Q$1,MONTH(C1903)-$P$1+1,(YEAR(C1903)-$Q$1)*12-$P$1+1+MONTH(C1903)))</f>
        <v>10</v>
      </c>
      <c r="R1903" s="758" t="str">
        <f t="shared" si="118"/>
        <v>Gastos_custeados_por_captação</v>
      </c>
      <c r="S1903" s="697" t="s">
        <v>310</v>
      </c>
      <c r="T1903" s="697" t="s">
        <v>310</v>
      </c>
    </row>
    <row r="1904" spans="1:20" ht="48" x14ac:dyDescent="0.2">
      <c r="A1904" s="432">
        <f>IF(B1904="","",COUNT('Diário 1º PA'!$A$4:$A$2635)+COUNT('Diário 2º PA'!$A$4:$A$3040)+COUNT('Diário 3º PA'!$A$4:$A$2731)+ROW()-3)</f>
        <v>7929</v>
      </c>
      <c r="B1904" s="413">
        <v>44915</v>
      </c>
      <c r="C1904" s="431">
        <v>44835</v>
      </c>
      <c r="D1904" s="419" t="s">
        <v>468</v>
      </c>
      <c r="E1904" s="419" t="s">
        <v>468</v>
      </c>
      <c r="F1904" s="425">
        <v>17.399999999999999</v>
      </c>
      <c r="G1904" s="427" t="s">
        <v>8512</v>
      </c>
      <c r="H1904" s="419" t="s">
        <v>468</v>
      </c>
      <c r="I1904" s="434" t="s">
        <v>1461</v>
      </c>
      <c r="J1904" s="415" t="s">
        <v>310</v>
      </c>
      <c r="K1904" s="415" t="s">
        <v>1220</v>
      </c>
      <c r="L1904" s="415" t="s">
        <v>1368</v>
      </c>
      <c r="M1904" s="415" t="s">
        <v>310</v>
      </c>
      <c r="N1904" s="413">
        <v>44915</v>
      </c>
      <c r="O1904" s="414" t="s">
        <v>404</v>
      </c>
      <c r="P1904" s="655">
        <f t="shared" si="119"/>
        <v>12</v>
      </c>
      <c r="Q1904" s="655">
        <f t="shared" si="120"/>
        <v>10</v>
      </c>
      <c r="R1904" s="758" t="str">
        <f t="shared" si="118"/>
        <v>Gastos_custeados_por_captação</v>
      </c>
      <c r="S1904" s="697" t="s">
        <v>310</v>
      </c>
      <c r="T1904" s="697" t="s">
        <v>310</v>
      </c>
    </row>
    <row r="1905" spans="1:20" ht="48" x14ac:dyDescent="0.2">
      <c r="A1905" s="432">
        <f>IF(B1905="","",COUNT('Diário 1º PA'!$A$4:$A$2635)+COUNT('Diário 2º PA'!$A$4:$A$3040)+COUNT('Diário 3º PA'!$A$4:$A$2731)+ROW()-3)</f>
        <v>7930</v>
      </c>
      <c r="B1905" s="413">
        <v>44915</v>
      </c>
      <c r="C1905" s="431">
        <v>44835</v>
      </c>
      <c r="D1905" s="419" t="s">
        <v>468</v>
      </c>
      <c r="E1905" s="419" t="s">
        <v>468</v>
      </c>
      <c r="F1905" s="425">
        <v>17.399999999999999</v>
      </c>
      <c r="G1905" s="427" t="s">
        <v>8500</v>
      </c>
      <c r="H1905" s="419" t="s">
        <v>468</v>
      </c>
      <c r="I1905" s="434" t="s">
        <v>1461</v>
      </c>
      <c r="J1905" s="415" t="s">
        <v>310</v>
      </c>
      <c r="K1905" s="415" t="s">
        <v>1220</v>
      </c>
      <c r="L1905" s="415" t="s">
        <v>1368</v>
      </c>
      <c r="M1905" s="415" t="s">
        <v>310</v>
      </c>
      <c r="N1905" s="413">
        <v>44915</v>
      </c>
      <c r="O1905" s="414" t="s">
        <v>404</v>
      </c>
      <c r="P1905" s="655">
        <f t="shared" si="119"/>
        <v>12</v>
      </c>
      <c r="Q1905" s="655">
        <f t="shared" si="120"/>
        <v>10</v>
      </c>
      <c r="R1905" s="758" t="str">
        <f t="shared" si="118"/>
        <v>Gastos_custeados_por_captação</v>
      </c>
      <c r="S1905" s="697" t="s">
        <v>310</v>
      </c>
      <c r="T1905" s="697" t="s">
        <v>310</v>
      </c>
    </row>
    <row r="1906" spans="1:20" ht="48" x14ac:dyDescent="0.2">
      <c r="A1906" s="432">
        <f>IF(B1906="","",COUNT('Diário 1º PA'!$A$4:$A$2635)+COUNT('Diário 2º PA'!$A$4:$A$3040)+COUNT('Diário 3º PA'!$A$4:$A$2731)+ROW()-3)</f>
        <v>7931</v>
      </c>
      <c r="B1906" s="413">
        <v>44915</v>
      </c>
      <c r="C1906" s="431">
        <v>44835</v>
      </c>
      <c r="D1906" s="419" t="s">
        <v>468</v>
      </c>
      <c r="E1906" s="419" t="s">
        <v>468</v>
      </c>
      <c r="F1906" s="425">
        <v>17.399999999999999</v>
      </c>
      <c r="G1906" s="427" t="s">
        <v>8379</v>
      </c>
      <c r="H1906" s="419" t="s">
        <v>468</v>
      </c>
      <c r="I1906" s="434" t="s">
        <v>1461</v>
      </c>
      <c r="J1906" s="415" t="s">
        <v>310</v>
      </c>
      <c r="K1906" s="415" t="s">
        <v>1220</v>
      </c>
      <c r="L1906" s="415" t="s">
        <v>1368</v>
      </c>
      <c r="M1906" s="415" t="s">
        <v>310</v>
      </c>
      <c r="N1906" s="413">
        <v>44915</v>
      </c>
      <c r="O1906" s="414" t="s">
        <v>404</v>
      </c>
      <c r="P1906" s="655">
        <f t="shared" si="119"/>
        <v>12</v>
      </c>
      <c r="Q1906" s="655">
        <f t="shared" si="120"/>
        <v>10</v>
      </c>
      <c r="R1906" s="758" t="str">
        <f t="shared" si="118"/>
        <v>Gastos_custeados_por_captação</v>
      </c>
      <c r="S1906" s="697" t="s">
        <v>310</v>
      </c>
      <c r="T1906" s="697" t="s">
        <v>310</v>
      </c>
    </row>
    <row r="1907" spans="1:20" ht="48" x14ac:dyDescent="0.2">
      <c r="A1907" s="432">
        <f>IF(B1907="","",COUNT('Diário 1º PA'!$A$4:$A$2635)+COUNT('Diário 2º PA'!$A$4:$A$3040)+COUNT('Diário 3º PA'!$A$4:$A$2731)+ROW()-3)</f>
        <v>7932</v>
      </c>
      <c r="B1907" s="413">
        <v>44915</v>
      </c>
      <c r="C1907" s="431">
        <v>44835</v>
      </c>
      <c r="D1907" s="419" t="s">
        <v>468</v>
      </c>
      <c r="E1907" s="419" t="s">
        <v>468</v>
      </c>
      <c r="F1907" s="425">
        <v>40.76</v>
      </c>
      <c r="G1907" s="427" t="s">
        <v>8418</v>
      </c>
      <c r="H1907" s="419" t="s">
        <v>468</v>
      </c>
      <c r="I1907" s="434" t="s">
        <v>1461</v>
      </c>
      <c r="J1907" s="415" t="s">
        <v>310</v>
      </c>
      <c r="K1907" s="415" t="s">
        <v>1220</v>
      </c>
      <c r="L1907" s="415" t="s">
        <v>1368</v>
      </c>
      <c r="M1907" s="415" t="s">
        <v>310</v>
      </c>
      <c r="N1907" s="413">
        <v>44915</v>
      </c>
      <c r="O1907" s="414" t="s">
        <v>404</v>
      </c>
      <c r="P1907" s="655">
        <f t="shared" si="119"/>
        <v>12</v>
      </c>
      <c r="Q1907" s="655">
        <f t="shared" si="120"/>
        <v>10</v>
      </c>
      <c r="R1907" s="758" t="str">
        <f t="shared" si="118"/>
        <v>Gastos_custeados_por_captação</v>
      </c>
      <c r="S1907" s="697" t="s">
        <v>310</v>
      </c>
      <c r="T1907" s="697" t="s">
        <v>310</v>
      </c>
    </row>
    <row r="1908" spans="1:20" ht="48" x14ac:dyDescent="0.2">
      <c r="A1908" s="432">
        <f>IF(B1908="","",COUNT('Diário 1º PA'!$A$4:$A$2635)+COUNT('Diário 2º PA'!$A$4:$A$3040)+COUNT('Diário 3º PA'!$A$4:$A$2731)+ROW()-3)</f>
        <v>7933</v>
      </c>
      <c r="B1908" s="413">
        <v>44915</v>
      </c>
      <c r="C1908" s="431">
        <v>44835</v>
      </c>
      <c r="D1908" s="419" t="s">
        <v>468</v>
      </c>
      <c r="E1908" s="419" t="s">
        <v>468</v>
      </c>
      <c r="F1908" s="425">
        <v>57.45</v>
      </c>
      <c r="G1908" s="427" t="s">
        <v>8233</v>
      </c>
      <c r="H1908" s="419" t="s">
        <v>468</v>
      </c>
      <c r="I1908" s="434" t="s">
        <v>1461</v>
      </c>
      <c r="J1908" s="415" t="s">
        <v>310</v>
      </c>
      <c r="K1908" s="415" t="s">
        <v>1220</v>
      </c>
      <c r="L1908" s="415" t="s">
        <v>1368</v>
      </c>
      <c r="M1908" s="415" t="s">
        <v>310</v>
      </c>
      <c r="N1908" s="413">
        <v>44915</v>
      </c>
      <c r="O1908" s="414" t="s">
        <v>404</v>
      </c>
      <c r="P1908" s="655">
        <f t="shared" si="119"/>
        <v>12</v>
      </c>
      <c r="Q1908" s="655">
        <f t="shared" si="120"/>
        <v>10</v>
      </c>
      <c r="R1908" s="758" t="str">
        <f t="shared" si="118"/>
        <v>Gastos_custeados_por_captação</v>
      </c>
      <c r="S1908" s="697" t="s">
        <v>310</v>
      </c>
      <c r="T1908" s="697" t="s">
        <v>310</v>
      </c>
    </row>
    <row r="1909" spans="1:20" ht="48" x14ac:dyDescent="0.2">
      <c r="A1909" s="432">
        <f>IF(B1909="","",COUNT('Diário 1º PA'!$A$4:$A$2635)+COUNT('Diário 2º PA'!$A$4:$A$3040)+COUNT('Diário 3º PA'!$A$4:$A$2731)+ROW()-3)</f>
        <v>7934</v>
      </c>
      <c r="B1909" s="413">
        <v>44915</v>
      </c>
      <c r="C1909" s="431">
        <v>44835</v>
      </c>
      <c r="D1909" s="419" t="s">
        <v>468</v>
      </c>
      <c r="E1909" s="419" t="s">
        <v>468</v>
      </c>
      <c r="F1909" s="422">
        <v>60</v>
      </c>
      <c r="G1909" s="427" t="s">
        <v>8236</v>
      </c>
      <c r="H1909" s="419" t="s">
        <v>468</v>
      </c>
      <c r="I1909" s="434" t="s">
        <v>1461</v>
      </c>
      <c r="J1909" s="415" t="s">
        <v>310</v>
      </c>
      <c r="K1909" s="415" t="s">
        <v>1220</v>
      </c>
      <c r="L1909" s="415" t="s">
        <v>1368</v>
      </c>
      <c r="M1909" s="415" t="s">
        <v>310</v>
      </c>
      <c r="N1909" s="413">
        <v>44915</v>
      </c>
      <c r="O1909" s="414" t="s">
        <v>404</v>
      </c>
      <c r="P1909" s="655">
        <f t="shared" si="119"/>
        <v>12</v>
      </c>
      <c r="Q1909" s="655">
        <f t="shared" si="120"/>
        <v>10</v>
      </c>
      <c r="R1909" s="758" t="str">
        <f t="shared" si="118"/>
        <v>Gastos_custeados_por_captação</v>
      </c>
      <c r="S1909" s="697" t="s">
        <v>310</v>
      </c>
      <c r="T1909" s="697" t="s">
        <v>310</v>
      </c>
    </row>
    <row r="1910" spans="1:20" ht="48" x14ac:dyDescent="0.2">
      <c r="A1910" s="432">
        <f>IF(B1910="","",COUNT('Diário 1º PA'!$A$4:$A$2635)+COUNT('Diário 2º PA'!$A$4:$A$3040)+COUNT('Diário 3º PA'!$A$4:$A$2731)+ROW()-3)</f>
        <v>7935</v>
      </c>
      <c r="B1910" s="413">
        <v>44915</v>
      </c>
      <c r="C1910" s="431">
        <v>44835</v>
      </c>
      <c r="D1910" s="419" t="s">
        <v>468</v>
      </c>
      <c r="E1910" s="419" t="s">
        <v>468</v>
      </c>
      <c r="F1910" s="425">
        <v>744</v>
      </c>
      <c r="G1910" s="427" t="s">
        <v>9038</v>
      </c>
      <c r="H1910" s="419" t="s">
        <v>468</v>
      </c>
      <c r="I1910" s="434" t="s">
        <v>1461</v>
      </c>
      <c r="J1910" s="415" t="s">
        <v>310</v>
      </c>
      <c r="K1910" s="415" t="s">
        <v>1220</v>
      </c>
      <c r="L1910" s="415" t="s">
        <v>1368</v>
      </c>
      <c r="M1910" s="415" t="s">
        <v>310</v>
      </c>
      <c r="N1910" s="413">
        <v>44915</v>
      </c>
      <c r="O1910" s="414" t="s">
        <v>404</v>
      </c>
      <c r="P1910" s="655">
        <f t="shared" si="119"/>
        <v>12</v>
      </c>
      <c r="Q1910" s="655">
        <f t="shared" si="120"/>
        <v>10</v>
      </c>
      <c r="R1910" s="758" t="str">
        <f t="shared" si="118"/>
        <v>Gastos_custeados_por_captação</v>
      </c>
      <c r="S1910" s="697" t="s">
        <v>310</v>
      </c>
      <c r="T1910" s="697" t="s">
        <v>310</v>
      </c>
    </row>
    <row r="1911" spans="1:20" ht="48" x14ac:dyDescent="0.2">
      <c r="A1911" s="432">
        <f>IF(B1911="","",COUNT('Diário 1º PA'!$A$4:$A$2635)+COUNT('Diário 2º PA'!$A$4:$A$3040)+COUNT('Diário 3º PA'!$A$4:$A$2731)+ROW()-3)</f>
        <v>7936</v>
      </c>
      <c r="B1911" s="413">
        <v>44915</v>
      </c>
      <c r="C1911" s="431">
        <v>44835</v>
      </c>
      <c r="D1911" s="419" t="s">
        <v>468</v>
      </c>
      <c r="E1911" s="419" t="s">
        <v>468</v>
      </c>
      <c r="F1911" s="425">
        <v>852.5</v>
      </c>
      <c r="G1911" s="419" t="s">
        <v>9039</v>
      </c>
      <c r="H1911" s="419" t="s">
        <v>468</v>
      </c>
      <c r="I1911" s="434" t="s">
        <v>1461</v>
      </c>
      <c r="J1911" s="415" t="s">
        <v>310</v>
      </c>
      <c r="K1911" s="415" t="s">
        <v>1220</v>
      </c>
      <c r="L1911" s="415" t="s">
        <v>1368</v>
      </c>
      <c r="M1911" s="415" t="s">
        <v>310</v>
      </c>
      <c r="N1911" s="413">
        <v>44915</v>
      </c>
      <c r="O1911" s="414" t="s">
        <v>404</v>
      </c>
      <c r="P1911" s="655">
        <f t="shared" si="119"/>
        <v>12</v>
      </c>
      <c r="Q1911" s="655">
        <f t="shared" si="120"/>
        <v>10</v>
      </c>
      <c r="R1911" s="758" t="str">
        <f t="shared" si="118"/>
        <v>Gastos_custeados_por_captação</v>
      </c>
      <c r="S1911" s="697" t="s">
        <v>310</v>
      </c>
      <c r="T1911" s="697" t="s">
        <v>310</v>
      </c>
    </row>
    <row r="1912" spans="1:20" ht="48" x14ac:dyDescent="0.2">
      <c r="A1912" s="432">
        <f>IF(B1912="","",COUNT('Diário 1º PA'!$A$4:$A$2635)+COUNT('Diário 2º PA'!$A$4:$A$3040)+COUNT('Diário 3º PA'!$A$4:$A$2731)+ROW()-3)</f>
        <v>7937</v>
      </c>
      <c r="B1912" s="413">
        <v>44915</v>
      </c>
      <c r="C1912" s="431">
        <v>44835</v>
      </c>
      <c r="D1912" s="419" t="s">
        <v>468</v>
      </c>
      <c r="E1912" s="419" t="s">
        <v>468</v>
      </c>
      <c r="F1912" s="425">
        <v>744</v>
      </c>
      <c r="G1912" s="419" t="s">
        <v>9040</v>
      </c>
      <c r="H1912" s="419" t="s">
        <v>468</v>
      </c>
      <c r="I1912" s="434" t="s">
        <v>1461</v>
      </c>
      <c r="J1912" s="415" t="s">
        <v>310</v>
      </c>
      <c r="K1912" s="415" t="s">
        <v>1220</v>
      </c>
      <c r="L1912" s="415" t="s">
        <v>1368</v>
      </c>
      <c r="M1912" s="415" t="s">
        <v>310</v>
      </c>
      <c r="N1912" s="413">
        <v>44915</v>
      </c>
      <c r="O1912" s="414" t="s">
        <v>404</v>
      </c>
      <c r="P1912" s="655">
        <f t="shared" si="119"/>
        <v>12</v>
      </c>
      <c r="Q1912" s="655">
        <f t="shared" si="120"/>
        <v>10</v>
      </c>
      <c r="R1912" s="758" t="str">
        <f t="shared" si="118"/>
        <v>Gastos_custeados_por_captação</v>
      </c>
      <c r="S1912" s="697" t="s">
        <v>310</v>
      </c>
      <c r="T1912" s="697" t="s">
        <v>310</v>
      </c>
    </row>
    <row r="1913" spans="1:20" ht="48" x14ac:dyDescent="0.2">
      <c r="A1913" s="432">
        <f>IF(B1913="","",COUNT('Diário 1º PA'!$A$4:$A$2635)+COUNT('Diário 2º PA'!$A$4:$A$3040)+COUNT('Diário 3º PA'!$A$4:$A$2731)+ROW()-3)</f>
        <v>7938</v>
      </c>
      <c r="B1913" s="413">
        <v>44915</v>
      </c>
      <c r="C1913" s="431">
        <v>44835</v>
      </c>
      <c r="D1913" s="419" t="s">
        <v>468</v>
      </c>
      <c r="E1913" s="419" t="s">
        <v>468</v>
      </c>
      <c r="F1913" s="425">
        <v>744</v>
      </c>
      <c r="G1913" s="419" t="s">
        <v>9041</v>
      </c>
      <c r="H1913" s="419" t="s">
        <v>468</v>
      </c>
      <c r="I1913" s="434" t="s">
        <v>1461</v>
      </c>
      <c r="J1913" s="415" t="s">
        <v>310</v>
      </c>
      <c r="K1913" s="415" t="s">
        <v>1220</v>
      </c>
      <c r="L1913" s="415" t="s">
        <v>1368</v>
      </c>
      <c r="M1913" s="415" t="s">
        <v>310</v>
      </c>
      <c r="N1913" s="413">
        <v>44915</v>
      </c>
      <c r="O1913" s="414" t="s">
        <v>404</v>
      </c>
      <c r="P1913" s="655">
        <f t="shared" si="119"/>
        <v>12</v>
      </c>
      <c r="Q1913" s="655">
        <f t="shared" si="120"/>
        <v>10</v>
      </c>
      <c r="R1913" s="758" t="str">
        <f t="shared" si="118"/>
        <v>Gastos_custeados_por_captação</v>
      </c>
      <c r="S1913" s="697" t="s">
        <v>310</v>
      </c>
      <c r="T1913" s="697" t="s">
        <v>310</v>
      </c>
    </row>
    <row r="1914" spans="1:20" ht="48" x14ac:dyDescent="0.2">
      <c r="A1914" s="432">
        <f>IF(B1914="","",COUNT('Diário 1º PA'!$A$4:$A$2635)+COUNT('Diário 2º PA'!$A$4:$A$3040)+COUNT('Diário 3º PA'!$A$4:$A$2731)+ROW()-3)</f>
        <v>7939</v>
      </c>
      <c r="B1914" s="413">
        <v>44915</v>
      </c>
      <c r="C1914" s="431">
        <v>44835</v>
      </c>
      <c r="D1914" s="419" t="s">
        <v>468</v>
      </c>
      <c r="E1914" s="419" t="s">
        <v>468</v>
      </c>
      <c r="F1914" s="425">
        <v>744</v>
      </c>
      <c r="G1914" s="419" t="s">
        <v>9042</v>
      </c>
      <c r="H1914" s="419" t="s">
        <v>468</v>
      </c>
      <c r="I1914" s="434" t="s">
        <v>1461</v>
      </c>
      <c r="J1914" s="415" t="s">
        <v>310</v>
      </c>
      <c r="K1914" s="415" t="s">
        <v>1220</v>
      </c>
      <c r="L1914" s="415" t="s">
        <v>1368</v>
      </c>
      <c r="M1914" s="415" t="s">
        <v>310</v>
      </c>
      <c r="N1914" s="413">
        <v>44915</v>
      </c>
      <c r="O1914" s="414" t="s">
        <v>404</v>
      </c>
      <c r="P1914" s="655">
        <f t="shared" si="119"/>
        <v>12</v>
      </c>
      <c r="Q1914" s="655">
        <f t="shared" si="120"/>
        <v>10</v>
      </c>
      <c r="R1914" s="758" t="str">
        <f t="shared" si="118"/>
        <v>Gastos_custeados_por_captação</v>
      </c>
      <c r="S1914" s="697" t="s">
        <v>310</v>
      </c>
      <c r="T1914" s="697" t="s">
        <v>310</v>
      </c>
    </row>
    <row r="1915" spans="1:20" ht="48" x14ac:dyDescent="0.2">
      <c r="A1915" s="432">
        <f>IF(B1915="","",COUNT('Diário 1º PA'!$A$4:$A$2635)+COUNT('Diário 2º PA'!$A$4:$A$3040)+COUNT('Diário 3º PA'!$A$4:$A$2731)+ROW()-3)</f>
        <v>7940</v>
      </c>
      <c r="B1915" s="413">
        <v>44915</v>
      </c>
      <c r="C1915" s="431">
        <v>44835</v>
      </c>
      <c r="D1915" s="419" t="s">
        <v>468</v>
      </c>
      <c r="E1915" s="419" t="s">
        <v>468</v>
      </c>
      <c r="F1915" s="425">
        <v>744</v>
      </c>
      <c r="G1915" s="419" t="s">
        <v>9043</v>
      </c>
      <c r="H1915" s="419" t="s">
        <v>468</v>
      </c>
      <c r="I1915" s="434" t="s">
        <v>1461</v>
      </c>
      <c r="J1915" s="415" t="s">
        <v>310</v>
      </c>
      <c r="K1915" s="415" t="s">
        <v>1220</v>
      </c>
      <c r="L1915" s="415" t="s">
        <v>1368</v>
      </c>
      <c r="M1915" s="415" t="s">
        <v>310</v>
      </c>
      <c r="N1915" s="413">
        <v>44915</v>
      </c>
      <c r="O1915" s="414" t="s">
        <v>404</v>
      </c>
      <c r="P1915" s="655">
        <f t="shared" si="119"/>
        <v>12</v>
      </c>
      <c r="Q1915" s="655">
        <f t="shared" si="120"/>
        <v>10</v>
      </c>
      <c r="R1915" s="758" t="str">
        <f t="shared" si="118"/>
        <v>Gastos_custeados_por_captação</v>
      </c>
      <c r="S1915" s="697" t="s">
        <v>310</v>
      </c>
      <c r="T1915" s="697" t="s">
        <v>310</v>
      </c>
    </row>
    <row r="1916" spans="1:20" ht="48" x14ac:dyDescent="0.2">
      <c r="A1916" s="432">
        <f>IF(B1916="","",COUNT('Diário 1º PA'!$A$4:$A$2635)+COUNT('Diário 2º PA'!$A$4:$A$3040)+COUNT('Diário 3º PA'!$A$4:$A$2731)+ROW()-3)</f>
        <v>7941</v>
      </c>
      <c r="B1916" s="413">
        <v>44915</v>
      </c>
      <c r="C1916" s="431">
        <v>44835</v>
      </c>
      <c r="D1916" s="419" t="s">
        <v>468</v>
      </c>
      <c r="E1916" s="419" t="s">
        <v>468</v>
      </c>
      <c r="F1916" s="425">
        <v>744</v>
      </c>
      <c r="G1916" s="419" t="s">
        <v>9044</v>
      </c>
      <c r="H1916" s="419" t="s">
        <v>468</v>
      </c>
      <c r="I1916" s="434" t="s">
        <v>1461</v>
      </c>
      <c r="J1916" s="415" t="s">
        <v>310</v>
      </c>
      <c r="K1916" s="415" t="s">
        <v>1220</v>
      </c>
      <c r="L1916" s="415" t="s">
        <v>1368</v>
      </c>
      <c r="M1916" s="415" t="s">
        <v>310</v>
      </c>
      <c r="N1916" s="413">
        <v>44915</v>
      </c>
      <c r="O1916" s="414" t="s">
        <v>404</v>
      </c>
      <c r="P1916" s="655">
        <f t="shared" si="119"/>
        <v>12</v>
      </c>
      <c r="Q1916" s="655">
        <f t="shared" si="120"/>
        <v>10</v>
      </c>
      <c r="R1916" s="758" t="str">
        <f t="shared" si="118"/>
        <v>Gastos_custeados_por_captação</v>
      </c>
      <c r="S1916" s="697" t="s">
        <v>310</v>
      </c>
      <c r="T1916" s="697" t="s">
        <v>310</v>
      </c>
    </row>
    <row r="1917" spans="1:20" ht="48" x14ac:dyDescent="0.2">
      <c r="A1917" s="432">
        <f>IF(B1917="","",COUNT('Diário 1º PA'!$A$4:$A$2635)+COUNT('Diário 2º PA'!$A$4:$A$3040)+COUNT('Diário 3º PA'!$A$4:$A$2731)+ROW()-3)</f>
        <v>7942</v>
      </c>
      <c r="B1917" s="413">
        <v>44915</v>
      </c>
      <c r="C1917" s="421">
        <v>44866</v>
      </c>
      <c r="D1917" s="419" t="s">
        <v>468</v>
      </c>
      <c r="E1917" s="419" t="s">
        <v>468</v>
      </c>
      <c r="F1917" s="422">
        <v>102.3</v>
      </c>
      <c r="G1917" s="419" t="s">
        <v>9046</v>
      </c>
      <c r="H1917" s="419" t="s">
        <v>468</v>
      </c>
      <c r="I1917" s="434" t="s">
        <v>1461</v>
      </c>
      <c r="J1917" s="415" t="s">
        <v>310</v>
      </c>
      <c r="K1917" s="415" t="s">
        <v>1220</v>
      </c>
      <c r="L1917" s="415" t="s">
        <v>1368</v>
      </c>
      <c r="M1917" s="415" t="s">
        <v>310</v>
      </c>
      <c r="N1917" s="413">
        <v>44915</v>
      </c>
      <c r="O1917" s="414" t="s">
        <v>404</v>
      </c>
      <c r="P1917" s="655">
        <f t="shared" si="119"/>
        <v>12</v>
      </c>
      <c r="Q1917" s="655">
        <f t="shared" si="120"/>
        <v>11</v>
      </c>
      <c r="R1917" s="758" t="str">
        <f t="shared" si="118"/>
        <v>Gastos_custeados_por_captação</v>
      </c>
      <c r="S1917" s="697" t="s">
        <v>310</v>
      </c>
      <c r="T1917" s="697" t="s">
        <v>310</v>
      </c>
    </row>
    <row r="1918" spans="1:20" ht="48" x14ac:dyDescent="0.2">
      <c r="A1918" s="432">
        <f>IF(B1918="","",COUNT('Diário 1º PA'!$A$4:$A$2635)+COUNT('Diário 2º PA'!$A$4:$A$3040)+COUNT('Diário 3º PA'!$A$4:$A$2731)+ROW()-3)</f>
        <v>7943</v>
      </c>
      <c r="B1918" s="413">
        <v>44915</v>
      </c>
      <c r="C1918" s="760">
        <v>44866</v>
      </c>
      <c r="D1918" s="419" t="s">
        <v>468</v>
      </c>
      <c r="E1918" s="419" t="s">
        <v>468</v>
      </c>
      <c r="F1918" s="422">
        <v>102.3</v>
      </c>
      <c r="G1918" s="419" t="s">
        <v>9047</v>
      </c>
      <c r="H1918" s="419" t="s">
        <v>468</v>
      </c>
      <c r="I1918" s="434" t="s">
        <v>1461</v>
      </c>
      <c r="J1918" s="415" t="s">
        <v>310</v>
      </c>
      <c r="K1918" s="415" t="s">
        <v>1220</v>
      </c>
      <c r="L1918" s="415" t="s">
        <v>1368</v>
      </c>
      <c r="M1918" s="415" t="s">
        <v>310</v>
      </c>
      <c r="N1918" s="413">
        <v>44915</v>
      </c>
      <c r="O1918" s="414" t="s">
        <v>404</v>
      </c>
      <c r="P1918" s="655">
        <f t="shared" si="119"/>
        <v>12</v>
      </c>
      <c r="Q1918" s="655">
        <f t="shared" si="120"/>
        <v>11</v>
      </c>
      <c r="R1918" s="758" t="str">
        <f t="shared" si="118"/>
        <v>Gastos_custeados_por_captação</v>
      </c>
      <c r="S1918" s="697" t="s">
        <v>310</v>
      </c>
      <c r="T1918" s="697" t="s">
        <v>310</v>
      </c>
    </row>
    <row r="1919" spans="1:20" ht="48" x14ac:dyDescent="0.2">
      <c r="A1919" s="432">
        <f>IF(B1919="","",COUNT('Diário 1º PA'!$A$4:$A$2635)+COUNT('Diário 2º PA'!$A$4:$A$3040)+COUNT('Diário 3º PA'!$A$4:$A$2731)+ROW()-3)</f>
        <v>7944</v>
      </c>
      <c r="B1919" s="413">
        <v>44915</v>
      </c>
      <c r="C1919" s="431">
        <v>44835</v>
      </c>
      <c r="D1919" s="419" t="s">
        <v>468</v>
      </c>
      <c r="E1919" s="419" t="s">
        <v>468</v>
      </c>
      <c r="F1919" s="425">
        <v>930</v>
      </c>
      <c r="G1919" s="419" t="s">
        <v>9048</v>
      </c>
      <c r="H1919" s="419" t="s">
        <v>468</v>
      </c>
      <c r="I1919" s="434" t="s">
        <v>1461</v>
      </c>
      <c r="J1919" s="415" t="s">
        <v>310</v>
      </c>
      <c r="K1919" s="415" t="s">
        <v>1220</v>
      </c>
      <c r="L1919" s="415" t="s">
        <v>1368</v>
      </c>
      <c r="M1919" s="415" t="s">
        <v>310</v>
      </c>
      <c r="N1919" s="413">
        <v>44915</v>
      </c>
      <c r="O1919" s="414" t="s">
        <v>404</v>
      </c>
      <c r="P1919" s="655">
        <f t="shared" si="119"/>
        <v>12</v>
      </c>
      <c r="Q1919" s="655">
        <f t="shared" si="120"/>
        <v>10</v>
      </c>
      <c r="R1919" s="758" t="str">
        <f t="shared" si="118"/>
        <v>Gastos_custeados_por_captação</v>
      </c>
      <c r="S1919" s="697" t="s">
        <v>310</v>
      </c>
      <c r="T1919" s="697" t="s">
        <v>310</v>
      </c>
    </row>
    <row r="1920" spans="1:20" ht="48" x14ac:dyDescent="0.2">
      <c r="A1920" s="432">
        <f>IF(B1920="","",COUNT('Diário 1º PA'!$A$4:$A$2635)+COUNT('Diário 2º PA'!$A$4:$A$3040)+COUNT('Diário 3º PA'!$A$4:$A$2731)+ROW()-3)</f>
        <v>7945</v>
      </c>
      <c r="B1920" s="413">
        <v>44915</v>
      </c>
      <c r="C1920" s="431">
        <v>44835</v>
      </c>
      <c r="D1920" s="419" t="s">
        <v>468</v>
      </c>
      <c r="E1920" s="419" t="s">
        <v>468</v>
      </c>
      <c r="F1920" s="425">
        <v>620</v>
      </c>
      <c r="G1920" s="419" t="s">
        <v>9049</v>
      </c>
      <c r="H1920" s="419" t="s">
        <v>468</v>
      </c>
      <c r="I1920" s="434" t="s">
        <v>1461</v>
      </c>
      <c r="J1920" s="415" t="s">
        <v>310</v>
      </c>
      <c r="K1920" s="415" t="s">
        <v>1220</v>
      </c>
      <c r="L1920" s="415" t="s">
        <v>1368</v>
      </c>
      <c r="M1920" s="415" t="s">
        <v>310</v>
      </c>
      <c r="N1920" s="413">
        <v>44915</v>
      </c>
      <c r="O1920" s="414" t="s">
        <v>404</v>
      </c>
      <c r="P1920" s="655">
        <f t="shared" si="119"/>
        <v>12</v>
      </c>
      <c r="Q1920" s="655">
        <f t="shared" si="120"/>
        <v>10</v>
      </c>
      <c r="R1920" s="758" t="str">
        <f t="shared" si="118"/>
        <v>Gastos_custeados_por_captação</v>
      </c>
      <c r="S1920" s="697" t="s">
        <v>310</v>
      </c>
      <c r="T1920" s="697" t="s">
        <v>310</v>
      </c>
    </row>
    <row r="1921" spans="1:20" ht="36" x14ac:dyDescent="0.2">
      <c r="A1921" s="432">
        <f>IF(B1921="","",COUNT('Diário 1º PA'!$A$4:$A$2635)+COUNT('Diário 2º PA'!$A$4:$A$3040)+COUNT('Diário 3º PA'!$A$4:$A$2731)+ROW()-3)</f>
        <v>7946</v>
      </c>
      <c r="B1921" s="413">
        <v>44915</v>
      </c>
      <c r="C1921" s="431">
        <v>44835</v>
      </c>
      <c r="D1921" s="419" t="s">
        <v>468</v>
      </c>
      <c r="E1921" s="419" t="s">
        <v>468</v>
      </c>
      <c r="F1921" s="422">
        <v>112.45</v>
      </c>
      <c r="G1921" s="427" t="s">
        <v>8420</v>
      </c>
      <c r="H1921" s="419" t="s">
        <v>468</v>
      </c>
      <c r="I1921" s="434" t="s">
        <v>1461</v>
      </c>
      <c r="J1921" s="415" t="s">
        <v>310</v>
      </c>
      <c r="K1921" s="415" t="s">
        <v>1220</v>
      </c>
      <c r="L1921" s="415" t="s">
        <v>1368</v>
      </c>
      <c r="M1921" s="415" t="s">
        <v>310</v>
      </c>
      <c r="N1921" s="413">
        <v>44915</v>
      </c>
      <c r="O1921" s="414" t="s">
        <v>408</v>
      </c>
      <c r="P1921" s="655">
        <f t="shared" si="119"/>
        <v>12</v>
      </c>
      <c r="Q1921" s="655">
        <f t="shared" si="120"/>
        <v>10</v>
      </c>
      <c r="R1921" s="758" t="str">
        <f t="shared" si="118"/>
        <v>Gastos_custeados_por_captação</v>
      </c>
      <c r="S1921" s="697" t="s">
        <v>310</v>
      </c>
      <c r="T1921" s="697" t="s">
        <v>310</v>
      </c>
    </row>
    <row r="1922" spans="1:20" ht="36" x14ac:dyDescent="0.2">
      <c r="A1922" s="432">
        <f>IF(B1922="","",COUNT('Diário 1º PA'!$A$4:$A$2635)+COUNT('Diário 2º PA'!$A$4:$A$3040)+COUNT('Diário 3º PA'!$A$4:$A$2731)+ROW()-3)</f>
        <v>7947</v>
      </c>
      <c r="B1922" s="413">
        <v>44915</v>
      </c>
      <c r="C1922" s="421">
        <v>44866</v>
      </c>
      <c r="D1922" s="419" t="s">
        <v>468</v>
      </c>
      <c r="E1922" s="419" t="s">
        <v>468</v>
      </c>
      <c r="F1922" s="422">
        <v>1000</v>
      </c>
      <c r="G1922" s="427" t="s">
        <v>4124</v>
      </c>
      <c r="H1922" s="419" t="s">
        <v>468</v>
      </c>
      <c r="I1922" s="398" t="s">
        <v>6421</v>
      </c>
      <c r="J1922" s="415" t="s">
        <v>2994</v>
      </c>
      <c r="K1922" s="418" t="s">
        <v>812</v>
      </c>
      <c r="L1922" s="399" t="s">
        <v>32</v>
      </c>
      <c r="M1922" s="419">
        <v>5781</v>
      </c>
      <c r="N1922" s="413">
        <v>44901</v>
      </c>
      <c r="O1922" s="414" t="s">
        <v>408</v>
      </c>
      <c r="P1922" s="655">
        <f t="shared" si="119"/>
        <v>12</v>
      </c>
      <c r="Q1922" s="655">
        <f t="shared" si="120"/>
        <v>11</v>
      </c>
      <c r="R1922" s="758" t="str">
        <f t="shared" si="118"/>
        <v>Gastos_custeados_por_captação</v>
      </c>
      <c r="S1922" s="697" t="s">
        <v>1000</v>
      </c>
      <c r="T1922" s="697">
        <v>2783</v>
      </c>
    </row>
    <row r="1923" spans="1:20" ht="36" x14ac:dyDescent="0.2">
      <c r="A1923" s="432">
        <f>IF(B1923="","",COUNT('Diário 1º PA'!$A$4:$A$2635)+COUNT('Diário 2º PA'!$A$4:$A$3040)+COUNT('Diário 3º PA'!$A$4:$A$2731)+ROW()-3)</f>
        <v>7948</v>
      </c>
      <c r="B1923" s="413">
        <v>44915</v>
      </c>
      <c r="C1923" s="431">
        <v>44835</v>
      </c>
      <c r="D1923" s="419" t="s">
        <v>468</v>
      </c>
      <c r="E1923" s="419" t="s">
        <v>468</v>
      </c>
      <c r="F1923" s="422">
        <v>1085</v>
      </c>
      <c r="G1923" s="427" t="s">
        <v>8421</v>
      </c>
      <c r="H1923" s="419" t="s">
        <v>468</v>
      </c>
      <c r="I1923" s="427" t="s">
        <v>1461</v>
      </c>
      <c r="J1923" s="415" t="s">
        <v>310</v>
      </c>
      <c r="K1923" s="415" t="s">
        <v>1220</v>
      </c>
      <c r="L1923" s="415" t="s">
        <v>1368</v>
      </c>
      <c r="M1923" s="415" t="s">
        <v>310</v>
      </c>
      <c r="N1923" s="413">
        <v>44915</v>
      </c>
      <c r="O1923" s="414" t="s">
        <v>408</v>
      </c>
      <c r="P1923" s="655">
        <f t="shared" si="119"/>
        <v>12</v>
      </c>
      <c r="Q1923" s="655">
        <f t="shared" si="120"/>
        <v>10</v>
      </c>
      <c r="R1923" s="758" t="str">
        <f t="shared" si="118"/>
        <v>Gastos_custeados_por_captação</v>
      </c>
      <c r="S1923" s="697" t="s">
        <v>310</v>
      </c>
      <c r="T1923" s="697" t="s">
        <v>310</v>
      </c>
    </row>
    <row r="1924" spans="1:20" ht="36" x14ac:dyDescent="0.2">
      <c r="A1924" s="432">
        <f>IF(B1924="","",COUNT('Diário 1º PA'!$A$4:$A$2635)+COUNT('Diário 2º PA'!$A$4:$A$3040)+COUNT('Diário 3º PA'!$A$4:$A$2731)+ROW()-3)</f>
        <v>7949</v>
      </c>
      <c r="B1924" s="413">
        <v>44915</v>
      </c>
      <c r="C1924" s="431">
        <v>44835</v>
      </c>
      <c r="D1924" s="419" t="s">
        <v>468</v>
      </c>
      <c r="E1924" s="419" t="s">
        <v>468</v>
      </c>
      <c r="F1924" s="425">
        <v>57.45</v>
      </c>
      <c r="G1924" s="427" t="s">
        <v>8445</v>
      </c>
      <c r="H1924" s="419" t="s">
        <v>468</v>
      </c>
      <c r="I1924" s="427" t="s">
        <v>1461</v>
      </c>
      <c r="J1924" s="415" t="s">
        <v>310</v>
      </c>
      <c r="K1924" s="415" t="s">
        <v>1220</v>
      </c>
      <c r="L1924" s="415" t="s">
        <v>1368</v>
      </c>
      <c r="M1924" s="415" t="s">
        <v>310</v>
      </c>
      <c r="N1924" s="413">
        <v>44915</v>
      </c>
      <c r="O1924" s="414" t="s">
        <v>3762</v>
      </c>
      <c r="P1924" s="655">
        <f t="shared" ref="P1924:P1927" si="121">IF(B1924=0,0,IF(YEAR(B1924)=$Q$1,MONTH(B1924)-$P$1+1,(YEAR(B1924)-$Q$1)*12-$P$1+1+MONTH(B1924)))</f>
        <v>12</v>
      </c>
      <c r="Q1924" s="655">
        <f t="shared" ref="Q1924:Q1927" si="122">IF(C1924=0,0,IF(YEAR(C1924)=$Q$1,MONTH(C1924)-$P$1+1,(YEAR(C1924)-$Q$1)*12-$P$1+1+MONTH(C1924)))</f>
        <v>10</v>
      </c>
      <c r="R1924" s="758" t="str">
        <f t="shared" ref="R1924:R1927" si="123">SUBSTITUTE(D1924," ","_")</f>
        <v>Gastos_custeados_por_captação</v>
      </c>
      <c r="S1924" s="697" t="s">
        <v>310</v>
      </c>
      <c r="T1924" s="697" t="s">
        <v>310</v>
      </c>
    </row>
    <row r="1925" spans="1:20" ht="36" x14ac:dyDescent="0.2">
      <c r="A1925" s="432">
        <f>IF(B1925="","",COUNT('Diário 1º PA'!$A$4:$A$2635)+COUNT('Diário 2º PA'!$A$4:$A$3040)+COUNT('Diário 3º PA'!$A$4:$A$2731)+ROW()-3)</f>
        <v>7950</v>
      </c>
      <c r="B1925" s="413">
        <v>44915</v>
      </c>
      <c r="C1925" s="431">
        <v>44835</v>
      </c>
      <c r="D1925" s="419" t="s">
        <v>468</v>
      </c>
      <c r="E1925" s="419" t="s">
        <v>468</v>
      </c>
      <c r="F1925" s="425">
        <v>57.45</v>
      </c>
      <c r="G1925" s="427" t="s">
        <v>8450</v>
      </c>
      <c r="H1925" s="419" t="s">
        <v>468</v>
      </c>
      <c r="I1925" s="427" t="s">
        <v>1461</v>
      </c>
      <c r="J1925" s="415" t="s">
        <v>310</v>
      </c>
      <c r="K1925" s="415" t="s">
        <v>1220</v>
      </c>
      <c r="L1925" s="415" t="s">
        <v>1368</v>
      </c>
      <c r="M1925" s="415" t="s">
        <v>310</v>
      </c>
      <c r="N1925" s="413">
        <v>44915</v>
      </c>
      <c r="O1925" s="414" t="s">
        <v>3762</v>
      </c>
      <c r="P1925" s="655">
        <f t="shared" si="121"/>
        <v>12</v>
      </c>
      <c r="Q1925" s="655">
        <f t="shared" si="122"/>
        <v>10</v>
      </c>
      <c r="R1925" s="758" t="str">
        <f t="shared" si="123"/>
        <v>Gastos_custeados_por_captação</v>
      </c>
      <c r="S1925" s="697" t="s">
        <v>310</v>
      </c>
      <c r="T1925" s="697" t="s">
        <v>310</v>
      </c>
    </row>
    <row r="1926" spans="1:20" ht="36" x14ac:dyDescent="0.2">
      <c r="A1926" s="432">
        <f>IF(B1926="","",COUNT('Diário 1º PA'!$A$4:$A$2635)+COUNT('Diário 2º PA'!$A$4:$A$3040)+COUNT('Diário 3º PA'!$A$4:$A$2731)+ROW()-3)</f>
        <v>7951</v>
      </c>
      <c r="B1926" s="413">
        <v>44915</v>
      </c>
      <c r="C1926" s="431">
        <v>44835</v>
      </c>
      <c r="D1926" s="419" t="s">
        <v>468</v>
      </c>
      <c r="E1926" s="419" t="s">
        <v>468</v>
      </c>
      <c r="F1926" s="425">
        <v>57.45</v>
      </c>
      <c r="G1926" s="427" t="s">
        <v>8462</v>
      </c>
      <c r="H1926" s="419" t="s">
        <v>468</v>
      </c>
      <c r="I1926" s="427" t="s">
        <v>1461</v>
      </c>
      <c r="J1926" s="415" t="s">
        <v>310</v>
      </c>
      <c r="K1926" s="415" t="s">
        <v>1220</v>
      </c>
      <c r="L1926" s="415" t="s">
        <v>1368</v>
      </c>
      <c r="M1926" s="415" t="s">
        <v>310</v>
      </c>
      <c r="N1926" s="413">
        <v>44915</v>
      </c>
      <c r="O1926" s="414" t="s">
        <v>3762</v>
      </c>
      <c r="P1926" s="655">
        <f t="shared" si="121"/>
        <v>12</v>
      </c>
      <c r="Q1926" s="655">
        <f t="shared" si="122"/>
        <v>10</v>
      </c>
      <c r="R1926" s="758" t="str">
        <f t="shared" si="123"/>
        <v>Gastos_custeados_por_captação</v>
      </c>
      <c r="S1926" s="697" t="s">
        <v>310</v>
      </c>
      <c r="T1926" s="697" t="s">
        <v>310</v>
      </c>
    </row>
    <row r="1927" spans="1:20" ht="36" x14ac:dyDescent="0.2">
      <c r="A1927" s="432">
        <f>IF(B1927="","",COUNT('Diário 1º PA'!$A$4:$A$2635)+COUNT('Diário 2º PA'!$A$4:$A$3040)+COUNT('Diário 3º PA'!$A$4:$A$2731)+ROW()-3)</f>
        <v>7952</v>
      </c>
      <c r="B1927" s="413">
        <v>44915</v>
      </c>
      <c r="C1927" s="431">
        <v>44835</v>
      </c>
      <c r="D1927" s="419" t="s">
        <v>468</v>
      </c>
      <c r="E1927" s="419" t="s">
        <v>468</v>
      </c>
      <c r="F1927" s="425">
        <v>57.45</v>
      </c>
      <c r="G1927" s="427" t="s">
        <v>8457</v>
      </c>
      <c r="H1927" s="419" t="s">
        <v>468</v>
      </c>
      <c r="I1927" s="427" t="s">
        <v>1461</v>
      </c>
      <c r="J1927" s="415" t="s">
        <v>310</v>
      </c>
      <c r="K1927" s="415" t="s">
        <v>1220</v>
      </c>
      <c r="L1927" s="415" t="s">
        <v>1368</v>
      </c>
      <c r="M1927" s="415" t="s">
        <v>310</v>
      </c>
      <c r="N1927" s="413">
        <v>44915</v>
      </c>
      <c r="O1927" s="414" t="s">
        <v>3762</v>
      </c>
      <c r="P1927" s="655">
        <f t="shared" si="121"/>
        <v>12</v>
      </c>
      <c r="Q1927" s="655">
        <f t="shared" si="122"/>
        <v>10</v>
      </c>
      <c r="R1927" s="758" t="str">
        <f t="shared" si="123"/>
        <v>Gastos_custeados_por_captação</v>
      </c>
      <c r="S1927" s="697" t="s">
        <v>310</v>
      </c>
      <c r="T1927" s="697" t="s">
        <v>310</v>
      </c>
    </row>
    <row r="1928" spans="1:20" ht="36" x14ac:dyDescent="0.2">
      <c r="A1928" s="432">
        <f>IF(B1928="","",COUNT('Diário 1º PA'!$A$4:$A$2635)+COUNT('Diário 2º PA'!$A$4:$A$3040)+COUNT('Diário 3º PA'!$A$4:$A$2731)+ROW()-3)</f>
        <v>7953</v>
      </c>
      <c r="B1928" s="413">
        <v>44915</v>
      </c>
      <c r="C1928" s="431">
        <v>44835</v>
      </c>
      <c r="D1928" s="419" t="s">
        <v>468</v>
      </c>
      <c r="E1928" s="419" t="s">
        <v>468</v>
      </c>
      <c r="F1928" s="425">
        <v>57.45</v>
      </c>
      <c r="G1928" s="427" t="s">
        <v>8433</v>
      </c>
      <c r="H1928" s="419" t="s">
        <v>468</v>
      </c>
      <c r="I1928" s="427" t="s">
        <v>1461</v>
      </c>
      <c r="J1928" s="415" t="s">
        <v>310</v>
      </c>
      <c r="K1928" s="415" t="s">
        <v>1220</v>
      </c>
      <c r="L1928" s="415" t="s">
        <v>1368</v>
      </c>
      <c r="M1928" s="415" t="s">
        <v>310</v>
      </c>
      <c r="N1928" s="413">
        <v>44915</v>
      </c>
      <c r="O1928" s="414" t="s">
        <v>3762</v>
      </c>
      <c r="P1928" s="655">
        <f>IF(B1928=0,0,IF(YEAR(B1928)=$Q$1,MONTH(B1928)-$P$1+1,(YEAR(B1928)-$Q$1)*12-$P$1+1+MONTH(B1928)))</f>
        <v>12</v>
      </c>
      <c r="Q1928" s="655">
        <f>IF(C1928=0,0,IF(YEAR(C1928)=$Q$1,MONTH(C1928)-$P$1+1,(YEAR(C1928)-$Q$1)*12-$P$1+1+MONTH(C1928)))</f>
        <v>10</v>
      </c>
      <c r="R1928" s="758" t="str">
        <f>SUBSTITUTE(D1928," ","_")</f>
        <v>Gastos_custeados_por_captação</v>
      </c>
      <c r="S1928" s="697" t="s">
        <v>310</v>
      </c>
      <c r="T1928" s="697" t="s">
        <v>310</v>
      </c>
    </row>
    <row r="1929" spans="1:20" ht="36" x14ac:dyDescent="0.2">
      <c r="A1929" s="432">
        <f>IF(B1929="","",COUNT('Diário 1º PA'!$A$4:$A$2635)+COUNT('Diário 2º PA'!$A$4:$A$3040)+COUNT('Diário 3º PA'!$A$4:$A$2731)+ROW()-3)</f>
        <v>7954</v>
      </c>
      <c r="B1929" s="413">
        <v>44915</v>
      </c>
      <c r="C1929" s="431">
        <v>44835</v>
      </c>
      <c r="D1929" s="419" t="s">
        <v>468</v>
      </c>
      <c r="E1929" s="419" t="s">
        <v>468</v>
      </c>
      <c r="F1929" s="425">
        <v>930</v>
      </c>
      <c r="G1929" s="427" t="s">
        <v>8434</v>
      </c>
      <c r="H1929" s="419" t="s">
        <v>468</v>
      </c>
      <c r="I1929" s="427" t="s">
        <v>1461</v>
      </c>
      <c r="J1929" s="415" t="s">
        <v>310</v>
      </c>
      <c r="K1929" s="415" t="s">
        <v>1220</v>
      </c>
      <c r="L1929" s="415" t="s">
        <v>1368</v>
      </c>
      <c r="M1929" s="415" t="s">
        <v>310</v>
      </c>
      <c r="N1929" s="413">
        <v>44915</v>
      </c>
      <c r="O1929" s="414" t="s">
        <v>3762</v>
      </c>
      <c r="P1929" s="655">
        <f t="shared" ref="P1929:P1936" si="124">IF(B1929=0,0,IF(YEAR(B1929)=$Q$1,MONTH(B1929)-$P$1+1,(YEAR(B1929)-$Q$1)*12-$P$1+1+MONTH(B1929)))</f>
        <v>12</v>
      </c>
      <c r="Q1929" s="655">
        <f t="shared" ref="Q1929:Q1936" si="125">IF(C1929=0,0,IF(YEAR(C1929)=$Q$1,MONTH(C1929)-$P$1+1,(YEAR(C1929)-$Q$1)*12-$P$1+1+MONTH(C1929)))</f>
        <v>10</v>
      </c>
      <c r="R1929" s="758" t="str">
        <f t="shared" ref="R1929:R1936" si="126">SUBSTITUTE(D1929," ","_")</f>
        <v>Gastos_custeados_por_captação</v>
      </c>
      <c r="S1929" s="697" t="s">
        <v>310</v>
      </c>
      <c r="T1929" s="697" t="s">
        <v>310</v>
      </c>
    </row>
    <row r="1930" spans="1:20" ht="36" x14ac:dyDescent="0.2">
      <c r="A1930" s="432">
        <f>IF(B1930="","",COUNT('Diário 1º PA'!$A$4:$A$2635)+COUNT('Diário 2º PA'!$A$4:$A$3040)+COUNT('Diário 3º PA'!$A$4:$A$2731)+ROW()-3)</f>
        <v>7955</v>
      </c>
      <c r="B1930" s="413">
        <v>44915</v>
      </c>
      <c r="C1930" s="431">
        <v>44835</v>
      </c>
      <c r="D1930" s="419" t="s">
        <v>468</v>
      </c>
      <c r="E1930" s="419" t="s">
        <v>468</v>
      </c>
      <c r="F1930" s="425">
        <v>930</v>
      </c>
      <c r="G1930" s="427" t="s">
        <v>8446</v>
      </c>
      <c r="H1930" s="419" t="s">
        <v>468</v>
      </c>
      <c r="I1930" s="427" t="s">
        <v>1461</v>
      </c>
      <c r="J1930" s="415" t="s">
        <v>310</v>
      </c>
      <c r="K1930" s="415" t="s">
        <v>1220</v>
      </c>
      <c r="L1930" s="415" t="s">
        <v>1368</v>
      </c>
      <c r="M1930" s="415" t="s">
        <v>310</v>
      </c>
      <c r="N1930" s="413">
        <v>44915</v>
      </c>
      <c r="O1930" s="414" t="s">
        <v>3762</v>
      </c>
      <c r="P1930" s="655">
        <f t="shared" si="124"/>
        <v>12</v>
      </c>
      <c r="Q1930" s="655">
        <f t="shared" si="125"/>
        <v>10</v>
      </c>
      <c r="R1930" s="758" t="str">
        <f t="shared" si="126"/>
        <v>Gastos_custeados_por_captação</v>
      </c>
      <c r="S1930" s="697" t="s">
        <v>310</v>
      </c>
      <c r="T1930" s="697" t="s">
        <v>310</v>
      </c>
    </row>
    <row r="1931" spans="1:20" ht="36" x14ac:dyDescent="0.2">
      <c r="A1931" s="432">
        <f>IF(B1931="","",COUNT('Diário 1º PA'!$A$4:$A$2635)+COUNT('Diário 2º PA'!$A$4:$A$3040)+COUNT('Diário 3º PA'!$A$4:$A$2731)+ROW()-3)</f>
        <v>7956</v>
      </c>
      <c r="B1931" s="413">
        <v>44915</v>
      </c>
      <c r="C1931" s="431">
        <v>44835</v>
      </c>
      <c r="D1931" s="419" t="s">
        <v>468</v>
      </c>
      <c r="E1931" s="419" t="s">
        <v>468</v>
      </c>
      <c r="F1931" s="425">
        <v>930</v>
      </c>
      <c r="G1931" s="427" t="s">
        <v>8451</v>
      </c>
      <c r="H1931" s="419" t="s">
        <v>468</v>
      </c>
      <c r="I1931" s="427" t="s">
        <v>1461</v>
      </c>
      <c r="J1931" s="415" t="s">
        <v>310</v>
      </c>
      <c r="K1931" s="415" t="s">
        <v>1220</v>
      </c>
      <c r="L1931" s="415" t="s">
        <v>1368</v>
      </c>
      <c r="M1931" s="415" t="s">
        <v>310</v>
      </c>
      <c r="N1931" s="413">
        <v>44915</v>
      </c>
      <c r="O1931" s="414" t="s">
        <v>3762</v>
      </c>
      <c r="P1931" s="655">
        <f t="shared" si="124"/>
        <v>12</v>
      </c>
      <c r="Q1931" s="655">
        <f t="shared" si="125"/>
        <v>10</v>
      </c>
      <c r="R1931" s="758" t="str">
        <f t="shared" si="126"/>
        <v>Gastos_custeados_por_captação</v>
      </c>
      <c r="S1931" s="697" t="s">
        <v>310</v>
      </c>
      <c r="T1931" s="697" t="s">
        <v>310</v>
      </c>
    </row>
    <row r="1932" spans="1:20" ht="36" x14ac:dyDescent="0.2">
      <c r="A1932" s="432">
        <f>IF(B1932="","",COUNT('Diário 1º PA'!$A$4:$A$2635)+COUNT('Diário 2º PA'!$A$4:$A$3040)+COUNT('Diário 3º PA'!$A$4:$A$2731)+ROW()-3)</f>
        <v>7957</v>
      </c>
      <c r="B1932" s="413">
        <v>44915</v>
      </c>
      <c r="C1932" s="431">
        <v>44835</v>
      </c>
      <c r="D1932" s="419" t="s">
        <v>468</v>
      </c>
      <c r="E1932" s="419" t="s">
        <v>468</v>
      </c>
      <c r="F1932" s="425">
        <v>620</v>
      </c>
      <c r="G1932" s="427" t="s">
        <v>8453</v>
      </c>
      <c r="H1932" s="419" t="s">
        <v>468</v>
      </c>
      <c r="I1932" s="427" t="s">
        <v>1461</v>
      </c>
      <c r="J1932" s="415" t="s">
        <v>310</v>
      </c>
      <c r="K1932" s="415" t="s">
        <v>1220</v>
      </c>
      <c r="L1932" s="415" t="s">
        <v>1368</v>
      </c>
      <c r="M1932" s="415" t="s">
        <v>310</v>
      </c>
      <c r="N1932" s="413">
        <v>44915</v>
      </c>
      <c r="O1932" s="414" t="s">
        <v>3762</v>
      </c>
      <c r="P1932" s="655">
        <f t="shared" si="124"/>
        <v>12</v>
      </c>
      <c r="Q1932" s="655">
        <f t="shared" si="125"/>
        <v>10</v>
      </c>
      <c r="R1932" s="758" t="str">
        <f t="shared" si="126"/>
        <v>Gastos_custeados_por_captação</v>
      </c>
      <c r="S1932" s="697" t="s">
        <v>310</v>
      </c>
      <c r="T1932" s="697" t="s">
        <v>310</v>
      </c>
    </row>
    <row r="1933" spans="1:20" ht="36" x14ac:dyDescent="0.2">
      <c r="A1933" s="432">
        <f>IF(B1933="","",COUNT('Diário 1º PA'!$A$4:$A$2635)+COUNT('Diário 2º PA'!$A$4:$A$3040)+COUNT('Diário 3º PA'!$A$4:$A$2731)+ROW()-3)</f>
        <v>7958</v>
      </c>
      <c r="B1933" s="413">
        <v>44915</v>
      </c>
      <c r="C1933" s="431">
        <v>44835</v>
      </c>
      <c r="D1933" s="419" t="s">
        <v>468</v>
      </c>
      <c r="E1933" s="419" t="s">
        <v>468</v>
      </c>
      <c r="F1933" s="425">
        <v>620</v>
      </c>
      <c r="G1933" s="427" t="s">
        <v>8460</v>
      </c>
      <c r="H1933" s="419" t="s">
        <v>468</v>
      </c>
      <c r="I1933" s="427" t="s">
        <v>1461</v>
      </c>
      <c r="J1933" s="415" t="s">
        <v>310</v>
      </c>
      <c r="K1933" s="415" t="s">
        <v>1220</v>
      </c>
      <c r="L1933" s="415" t="s">
        <v>1368</v>
      </c>
      <c r="M1933" s="415" t="s">
        <v>310</v>
      </c>
      <c r="N1933" s="413">
        <v>44915</v>
      </c>
      <c r="O1933" s="414" t="s">
        <v>3762</v>
      </c>
      <c r="P1933" s="655">
        <f t="shared" si="124"/>
        <v>12</v>
      </c>
      <c r="Q1933" s="655">
        <f t="shared" si="125"/>
        <v>10</v>
      </c>
      <c r="R1933" s="758" t="str">
        <f t="shared" si="126"/>
        <v>Gastos_custeados_por_captação</v>
      </c>
      <c r="S1933" s="697" t="s">
        <v>310</v>
      </c>
      <c r="T1933" s="697" t="s">
        <v>310</v>
      </c>
    </row>
    <row r="1934" spans="1:20" ht="36" x14ac:dyDescent="0.2">
      <c r="A1934" s="432">
        <f>IF(B1934="","",COUNT('Diário 1º PA'!$A$4:$A$2635)+COUNT('Diário 2º PA'!$A$4:$A$3040)+COUNT('Diário 3º PA'!$A$4:$A$2731)+ROW()-3)</f>
        <v>7959</v>
      </c>
      <c r="B1934" s="413">
        <v>44915</v>
      </c>
      <c r="C1934" s="431">
        <v>44835</v>
      </c>
      <c r="D1934" s="419" t="s">
        <v>468</v>
      </c>
      <c r="E1934" s="419" t="s">
        <v>468</v>
      </c>
      <c r="F1934" s="425">
        <v>620</v>
      </c>
      <c r="G1934" s="427" t="s">
        <v>8455</v>
      </c>
      <c r="H1934" s="419" t="s">
        <v>468</v>
      </c>
      <c r="I1934" s="427" t="s">
        <v>1461</v>
      </c>
      <c r="J1934" s="415" t="s">
        <v>310</v>
      </c>
      <c r="K1934" s="415" t="s">
        <v>1220</v>
      </c>
      <c r="L1934" s="415" t="s">
        <v>1368</v>
      </c>
      <c r="M1934" s="415" t="s">
        <v>310</v>
      </c>
      <c r="N1934" s="413">
        <v>44915</v>
      </c>
      <c r="O1934" s="414" t="s">
        <v>3762</v>
      </c>
      <c r="P1934" s="655">
        <f t="shared" si="124"/>
        <v>12</v>
      </c>
      <c r="Q1934" s="655">
        <f t="shared" si="125"/>
        <v>10</v>
      </c>
      <c r="R1934" s="758" t="str">
        <f t="shared" si="126"/>
        <v>Gastos_custeados_por_captação</v>
      </c>
      <c r="S1934" s="697" t="s">
        <v>310</v>
      </c>
      <c r="T1934" s="697" t="s">
        <v>310</v>
      </c>
    </row>
    <row r="1935" spans="1:20" ht="36" x14ac:dyDescent="0.2">
      <c r="A1935" s="432">
        <f>IF(B1935="","",COUNT('Diário 1º PA'!$A$4:$A$2635)+COUNT('Diário 2º PA'!$A$4:$A$3040)+COUNT('Diário 3º PA'!$A$4:$A$2731)+ROW()-3)</f>
        <v>7960</v>
      </c>
      <c r="B1935" s="413">
        <v>44915</v>
      </c>
      <c r="C1935" s="431">
        <v>44835</v>
      </c>
      <c r="D1935" s="419" t="s">
        <v>468</v>
      </c>
      <c r="E1935" s="419" t="s">
        <v>468</v>
      </c>
      <c r="F1935" s="425">
        <v>930</v>
      </c>
      <c r="G1935" s="427" t="s">
        <v>8463</v>
      </c>
      <c r="H1935" s="419" t="s">
        <v>468</v>
      </c>
      <c r="I1935" s="427" t="s">
        <v>1461</v>
      </c>
      <c r="J1935" s="415" t="s">
        <v>310</v>
      </c>
      <c r="K1935" s="415" t="s">
        <v>1220</v>
      </c>
      <c r="L1935" s="415" t="s">
        <v>1368</v>
      </c>
      <c r="M1935" s="415" t="s">
        <v>310</v>
      </c>
      <c r="N1935" s="413">
        <v>44915</v>
      </c>
      <c r="O1935" s="414" t="s">
        <v>3762</v>
      </c>
      <c r="P1935" s="655">
        <f t="shared" si="124"/>
        <v>12</v>
      </c>
      <c r="Q1935" s="655">
        <f t="shared" si="125"/>
        <v>10</v>
      </c>
      <c r="R1935" s="758" t="str">
        <f t="shared" si="126"/>
        <v>Gastos_custeados_por_captação</v>
      </c>
      <c r="S1935" s="697" t="s">
        <v>310</v>
      </c>
      <c r="T1935" s="697" t="s">
        <v>310</v>
      </c>
    </row>
    <row r="1936" spans="1:20" ht="36" x14ac:dyDescent="0.2">
      <c r="A1936" s="432">
        <f>IF(B1936="","",COUNT('Diário 1º PA'!$A$4:$A$2635)+COUNT('Diário 2º PA'!$A$4:$A$3040)+COUNT('Diário 3º PA'!$A$4:$A$2731)+ROW()-3)</f>
        <v>7961</v>
      </c>
      <c r="B1936" s="413">
        <v>44915</v>
      </c>
      <c r="C1936" s="431">
        <v>44835</v>
      </c>
      <c r="D1936" s="419" t="s">
        <v>468</v>
      </c>
      <c r="E1936" s="419" t="s">
        <v>468</v>
      </c>
      <c r="F1936" s="425">
        <v>930</v>
      </c>
      <c r="G1936" s="427" t="s">
        <v>8458</v>
      </c>
      <c r="H1936" s="419" t="s">
        <v>468</v>
      </c>
      <c r="I1936" s="427" t="s">
        <v>1461</v>
      </c>
      <c r="J1936" s="415" t="s">
        <v>310</v>
      </c>
      <c r="K1936" s="415" t="s">
        <v>1220</v>
      </c>
      <c r="L1936" s="415" t="s">
        <v>1368</v>
      </c>
      <c r="M1936" s="415" t="s">
        <v>310</v>
      </c>
      <c r="N1936" s="413">
        <v>44915</v>
      </c>
      <c r="O1936" s="414" t="s">
        <v>3762</v>
      </c>
      <c r="P1936" s="655">
        <f t="shared" si="124"/>
        <v>12</v>
      </c>
      <c r="Q1936" s="655">
        <f t="shared" si="125"/>
        <v>10</v>
      </c>
      <c r="R1936" s="758" t="str">
        <f t="shared" si="126"/>
        <v>Gastos_custeados_por_captação</v>
      </c>
      <c r="S1936" s="697" t="s">
        <v>310</v>
      </c>
      <c r="T1936" s="697" t="s">
        <v>310</v>
      </c>
    </row>
    <row r="1937" spans="1:20" ht="60" x14ac:dyDescent="0.2">
      <c r="A1937" s="432">
        <f>IF(B1937="","",COUNT('Diário 1º PA'!$A$4:$A$2635)+COUNT('Diário 2º PA'!$A$4:$A$3040)+COUNT('Diário 3º PA'!$A$4:$A$2731)+ROW()-3)</f>
        <v>7962</v>
      </c>
      <c r="B1937" s="413">
        <v>44916</v>
      </c>
      <c r="C1937" s="431">
        <v>44866</v>
      </c>
      <c r="D1937" s="419" t="s">
        <v>271</v>
      </c>
      <c r="E1937" s="415" t="s">
        <v>453</v>
      </c>
      <c r="F1937" s="422">
        <v>850</v>
      </c>
      <c r="G1937" s="419" t="s">
        <v>8269</v>
      </c>
      <c r="H1937" s="419" t="s">
        <v>760</v>
      </c>
      <c r="I1937" s="415" t="s">
        <v>9012</v>
      </c>
      <c r="J1937" s="419" t="s">
        <v>8270</v>
      </c>
      <c r="K1937" s="419" t="s">
        <v>806</v>
      </c>
      <c r="L1937" s="415" t="s">
        <v>807</v>
      </c>
      <c r="M1937" s="419">
        <v>8</v>
      </c>
      <c r="N1937" s="413">
        <v>44911</v>
      </c>
      <c r="O1937" s="414" t="s">
        <v>400</v>
      </c>
      <c r="P1937" s="655">
        <f t="shared" ref="P1937:P1970" si="127">IF(B1937=0,0,IF(YEAR(B1937)=$Q$1,MONTH(B1937)-$P$1+1,(YEAR(B1937)-$Q$1)*12-$P$1+1+MONTH(B1937)))</f>
        <v>12</v>
      </c>
      <c r="Q1937" s="655">
        <f t="shared" ref="Q1937:Q1970" si="128">IF(C1937=0,0,IF(YEAR(C1937)=$Q$1,MONTH(C1937)-$P$1+1,(YEAR(C1937)-$Q$1)*12-$P$1+1+MONTH(C1937)))</f>
        <v>11</v>
      </c>
      <c r="R1937" s="758" t="str">
        <f t="shared" ref="R1937:R1970" si="129">SUBSTITUTE(D1937," ","_")</f>
        <v>Gastos_Gerais</v>
      </c>
      <c r="S1937" s="697" t="s">
        <v>998</v>
      </c>
      <c r="T1937" s="697">
        <v>4699</v>
      </c>
    </row>
    <row r="1938" spans="1:20" ht="48" x14ac:dyDescent="0.2">
      <c r="A1938" s="432">
        <f>IF(B1938="","",COUNT('Diário 1º PA'!$A$4:$A$2635)+COUNT('Diário 2º PA'!$A$4:$A$3040)+COUNT('Diário 3º PA'!$A$4:$A$2731)+ROW()-3)</f>
        <v>7963</v>
      </c>
      <c r="B1938" s="413">
        <v>44916</v>
      </c>
      <c r="C1938" s="760">
        <v>44896</v>
      </c>
      <c r="D1938" s="419" t="s">
        <v>271</v>
      </c>
      <c r="E1938" s="415" t="s">
        <v>180</v>
      </c>
      <c r="F1938" s="422">
        <v>42.9</v>
      </c>
      <c r="G1938" s="419" t="s">
        <v>8805</v>
      </c>
      <c r="H1938" s="419" t="s">
        <v>309</v>
      </c>
      <c r="I1938" s="415" t="s">
        <v>9013</v>
      </c>
      <c r="J1938" s="419" t="s">
        <v>1483</v>
      </c>
      <c r="K1938" s="419" t="s">
        <v>812</v>
      </c>
      <c r="L1938" s="415" t="s">
        <v>32</v>
      </c>
      <c r="M1938" s="415">
        <v>7462362</v>
      </c>
      <c r="N1938" s="414">
        <v>44918</v>
      </c>
      <c r="O1938" s="414" t="s">
        <v>400</v>
      </c>
      <c r="P1938" s="655">
        <f t="shared" si="127"/>
        <v>12</v>
      </c>
      <c r="Q1938" s="655">
        <f t="shared" si="128"/>
        <v>12</v>
      </c>
      <c r="R1938" s="758" t="str">
        <f t="shared" si="129"/>
        <v>Gastos_Gerais</v>
      </c>
      <c r="S1938" s="697" t="s">
        <v>998</v>
      </c>
      <c r="T1938" s="697">
        <v>4906</v>
      </c>
    </row>
    <row r="1939" spans="1:20" ht="48" x14ac:dyDescent="0.2">
      <c r="A1939" s="432">
        <f>IF(B1939="","",COUNT('Diário 1º PA'!$A$4:$A$2635)+COUNT('Diário 2º PA'!$A$4:$A$3040)+COUNT('Diário 3º PA'!$A$4:$A$2731)+ROW()-3)</f>
        <v>7964</v>
      </c>
      <c r="B1939" s="413">
        <v>44916</v>
      </c>
      <c r="C1939" s="431">
        <v>44866</v>
      </c>
      <c r="D1939" s="419" t="s">
        <v>271</v>
      </c>
      <c r="E1939" s="415" t="s">
        <v>453</v>
      </c>
      <c r="F1939" s="422">
        <v>850</v>
      </c>
      <c r="G1939" s="419" t="s">
        <v>8282</v>
      </c>
      <c r="H1939" s="419" t="s">
        <v>754</v>
      </c>
      <c r="I1939" s="415" t="s">
        <v>9014</v>
      </c>
      <c r="J1939" s="419" t="s">
        <v>1599</v>
      </c>
      <c r="K1939" s="419" t="s">
        <v>830</v>
      </c>
      <c r="L1939" s="415" t="s">
        <v>807</v>
      </c>
      <c r="M1939" s="419" t="s">
        <v>2619</v>
      </c>
      <c r="N1939" s="413">
        <v>44915</v>
      </c>
      <c r="O1939" s="414" t="s">
        <v>400</v>
      </c>
      <c r="P1939" s="655">
        <f t="shared" si="127"/>
        <v>12</v>
      </c>
      <c r="Q1939" s="655">
        <f t="shared" si="128"/>
        <v>11</v>
      </c>
      <c r="R1939" s="758" t="str">
        <f t="shared" si="129"/>
        <v>Gastos_Gerais</v>
      </c>
      <c r="S1939" s="697" t="s">
        <v>998</v>
      </c>
      <c r="T1939" s="697">
        <v>4678</v>
      </c>
    </row>
    <row r="1940" spans="1:20" ht="48" x14ac:dyDescent="0.2">
      <c r="A1940" s="432">
        <f>IF(B1940="","",COUNT('Diário 1º PA'!$A$4:$A$2635)+COUNT('Diário 2º PA'!$A$4:$A$3040)+COUNT('Diário 3º PA'!$A$4:$A$2731)+ROW()-3)</f>
        <v>7965</v>
      </c>
      <c r="B1940" s="413">
        <v>44916</v>
      </c>
      <c r="C1940" s="760">
        <v>44896</v>
      </c>
      <c r="D1940" s="419" t="s">
        <v>271</v>
      </c>
      <c r="E1940" s="415" t="s">
        <v>463</v>
      </c>
      <c r="F1940" s="422">
        <v>148</v>
      </c>
      <c r="G1940" s="419" t="s">
        <v>8626</v>
      </c>
      <c r="H1940" s="419" t="s">
        <v>760</v>
      </c>
      <c r="I1940" s="415" t="s">
        <v>8544</v>
      </c>
      <c r="J1940" s="419" t="s">
        <v>8268</v>
      </c>
      <c r="K1940" s="419" t="s">
        <v>830</v>
      </c>
      <c r="L1940" s="415" t="s">
        <v>807</v>
      </c>
      <c r="M1940" s="419">
        <v>46</v>
      </c>
      <c r="N1940" s="413">
        <v>44914</v>
      </c>
      <c r="O1940" s="414" t="s">
        <v>400</v>
      </c>
      <c r="P1940" s="655">
        <f t="shared" si="127"/>
        <v>12</v>
      </c>
      <c r="Q1940" s="655">
        <f t="shared" si="128"/>
        <v>12</v>
      </c>
      <c r="R1940" s="758" t="str">
        <f t="shared" si="129"/>
        <v>Gastos_Gerais</v>
      </c>
      <c r="S1940" s="697" t="s">
        <v>998</v>
      </c>
      <c r="T1940" s="697">
        <v>4828</v>
      </c>
    </row>
    <row r="1941" spans="1:20" ht="84" x14ac:dyDescent="0.2">
      <c r="A1941" s="432">
        <f>IF(B1941="","",COUNT('Diário 1º PA'!$A$4:$A$2635)+COUNT('Diário 2º PA'!$A$4:$A$3040)+COUNT('Diário 3º PA'!$A$4:$A$2731)+ROW()-3)</f>
        <v>7966</v>
      </c>
      <c r="B1941" s="413">
        <v>44916</v>
      </c>
      <c r="C1941" s="421">
        <v>44835</v>
      </c>
      <c r="D1941" s="415" t="s">
        <v>271</v>
      </c>
      <c r="E1941" s="415" t="s">
        <v>186</v>
      </c>
      <c r="F1941" s="422">
        <v>7200</v>
      </c>
      <c r="G1941" s="419" t="s">
        <v>2347</v>
      </c>
      <c r="H1941" s="415" t="s">
        <v>309</v>
      </c>
      <c r="I1941" s="415" t="s">
        <v>3366</v>
      </c>
      <c r="J1941" s="419" t="s">
        <v>2348</v>
      </c>
      <c r="K1941" s="419" t="s">
        <v>830</v>
      </c>
      <c r="L1941" s="415" t="s">
        <v>807</v>
      </c>
      <c r="M1941" s="419">
        <v>259</v>
      </c>
      <c r="N1941" s="413">
        <v>44914</v>
      </c>
      <c r="O1941" s="414" t="s">
        <v>400</v>
      </c>
      <c r="P1941" s="655">
        <f t="shared" si="127"/>
        <v>12</v>
      </c>
      <c r="Q1941" s="655">
        <f t="shared" si="128"/>
        <v>10</v>
      </c>
      <c r="R1941" s="758" t="str">
        <f t="shared" si="129"/>
        <v>Gastos_Gerais</v>
      </c>
      <c r="S1941" s="697" t="s">
        <v>1000</v>
      </c>
      <c r="T1941" s="697">
        <v>3106</v>
      </c>
    </row>
    <row r="1942" spans="1:20" ht="36" x14ac:dyDescent="0.2">
      <c r="A1942" s="432">
        <f>IF(B1942="","",COUNT('Diário 1º PA'!$A$4:$A$2635)+COUNT('Diário 2º PA'!$A$4:$A$3040)+COUNT('Diário 3º PA'!$A$4:$A$2731)+ROW()-3)</f>
        <v>7967</v>
      </c>
      <c r="B1942" s="413">
        <v>44916</v>
      </c>
      <c r="C1942" s="421">
        <v>44896</v>
      </c>
      <c r="D1942" s="419" t="s">
        <v>271</v>
      </c>
      <c r="E1942" s="419" t="s">
        <v>71</v>
      </c>
      <c r="F1942" s="422">
        <v>11</v>
      </c>
      <c r="G1942" s="423" t="s">
        <v>9015</v>
      </c>
      <c r="H1942" s="419" t="s">
        <v>754</v>
      </c>
      <c r="I1942" s="415" t="s">
        <v>881</v>
      </c>
      <c r="J1942" s="419" t="s">
        <v>882</v>
      </c>
      <c r="K1942" s="419" t="s">
        <v>883</v>
      </c>
      <c r="L1942" s="415" t="s">
        <v>798</v>
      </c>
      <c r="M1942" s="419" t="s">
        <v>310</v>
      </c>
      <c r="N1942" s="413">
        <v>44916</v>
      </c>
      <c r="O1942" s="414" t="s">
        <v>400</v>
      </c>
      <c r="P1942" s="655">
        <f t="shared" si="127"/>
        <v>12</v>
      </c>
      <c r="Q1942" s="655">
        <f t="shared" si="128"/>
        <v>12</v>
      </c>
      <c r="R1942" s="758" t="str">
        <f t="shared" si="129"/>
        <v>Gastos_Gerais</v>
      </c>
      <c r="S1942" s="697" t="s">
        <v>310</v>
      </c>
      <c r="T1942" s="697" t="s">
        <v>310</v>
      </c>
    </row>
    <row r="1943" spans="1:20" ht="36" x14ac:dyDescent="0.2">
      <c r="A1943" s="432">
        <f>IF(B1943="","",COUNT('Diário 1º PA'!$A$4:$A$2635)+COUNT('Diário 2º PA'!$A$4:$A$3040)+COUNT('Diário 3º PA'!$A$4:$A$2731)+ROW()-3)</f>
        <v>7968</v>
      </c>
      <c r="B1943" s="413">
        <v>44916</v>
      </c>
      <c r="C1943" s="421">
        <v>44896</v>
      </c>
      <c r="D1943" s="419" t="s">
        <v>271</v>
      </c>
      <c r="E1943" s="419" t="s">
        <v>71</v>
      </c>
      <c r="F1943" s="422">
        <v>11</v>
      </c>
      <c r="G1943" s="423" t="s">
        <v>9016</v>
      </c>
      <c r="H1943" s="419" t="s">
        <v>760</v>
      </c>
      <c r="I1943" s="415" t="s">
        <v>881</v>
      </c>
      <c r="J1943" s="419" t="s">
        <v>882</v>
      </c>
      <c r="K1943" s="419" t="s">
        <v>883</v>
      </c>
      <c r="L1943" s="415" t="s">
        <v>798</v>
      </c>
      <c r="M1943" s="419" t="s">
        <v>310</v>
      </c>
      <c r="N1943" s="413">
        <v>44916</v>
      </c>
      <c r="O1943" s="414" t="s">
        <v>400</v>
      </c>
      <c r="P1943" s="655">
        <f t="shared" si="127"/>
        <v>12</v>
      </c>
      <c r="Q1943" s="655">
        <f t="shared" si="128"/>
        <v>12</v>
      </c>
      <c r="R1943" s="758" t="str">
        <f t="shared" si="129"/>
        <v>Gastos_Gerais</v>
      </c>
      <c r="S1943" s="697" t="s">
        <v>310</v>
      </c>
      <c r="T1943" s="697" t="s">
        <v>310</v>
      </c>
    </row>
    <row r="1944" spans="1:20" ht="36" x14ac:dyDescent="0.2">
      <c r="A1944" s="432">
        <f>IF(B1944="","",COUNT('Diário 1º PA'!$A$4:$A$2635)+COUNT('Diário 2º PA'!$A$4:$A$3040)+COUNT('Diário 3º PA'!$A$4:$A$2731)+ROW()-3)</f>
        <v>7969</v>
      </c>
      <c r="B1944" s="413">
        <v>44916</v>
      </c>
      <c r="C1944" s="421">
        <v>44896</v>
      </c>
      <c r="D1944" s="419" t="s">
        <v>271</v>
      </c>
      <c r="E1944" s="419" t="s">
        <v>71</v>
      </c>
      <c r="F1944" s="422">
        <v>11</v>
      </c>
      <c r="G1944" s="423" t="s">
        <v>9017</v>
      </c>
      <c r="H1944" s="415" t="s">
        <v>309</v>
      </c>
      <c r="I1944" s="415" t="s">
        <v>881</v>
      </c>
      <c r="J1944" s="419" t="s">
        <v>882</v>
      </c>
      <c r="K1944" s="419" t="s">
        <v>883</v>
      </c>
      <c r="L1944" s="415" t="s">
        <v>798</v>
      </c>
      <c r="M1944" s="419" t="s">
        <v>310</v>
      </c>
      <c r="N1944" s="413">
        <v>44916</v>
      </c>
      <c r="O1944" s="414" t="s">
        <v>400</v>
      </c>
      <c r="P1944" s="655">
        <f t="shared" si="127"/>
        <v>12</v>
      </c>
      <c r="Q1944" s="655">
        <f t="shared" si="128"/>
        <v>12</v>
      </c>
      <c r="R1944" s="758" t="str">
        <f t="shared" si="129"/>
        <v>Gastos_Gerais</v>
      </c>
      <c r="S1944" s="697" t="s">
        <v>310</v>
      </c>
      <c r="T1944" s="697" t="s">
        <v>310</v>
      </c>
    </row>
    <row r="1945" spans="1:20" ht="96" x14ac:dyDescent="0.2">
      <c r="A1945" s="432">
        <f>IF(B1945="","",COUNT('Diário 1º PA'!$A$4:$A$2635)+COUNT('Diário 2º PA'!$A$4:$A$3040)+COUNT('Diário 3º PA'!$A$4:$A$2731)+ROW()-3)</f>
        <v>7970</v>
      </c>
      <c r="B1945" s="413">
        <v>44916</v>
      </c>
      <c r="C1945" s="431">
        <v>44835</v>
      </c>
      <c r="D1945" s="419" t="s">
        <v>468</v>
      </c>
      <c r="E1945" s="419" t="s">
        <v>468</v>
      </c>
      <c r="F1945" s="422">
        <v>600</v>
      </c>
      <c r="G1945" s="427" t="s">
        <v>8261</v>
      </c>
      <c r="H1945" s="419" t="s">
        <v>468</v>
      </c>
      <c r="I1945" s="415" t="s">
        <v>9034</v>
      </c>
      <c r="J1945" s="415" t="s">
        <v>8262</v>
      </c>
      <c r="K1945" s="419" t="s">
        <v>830</v>
      </c>
      <c r="L1945" s="415" t="s">
        <v>1412</v>
      </c>
      <c r="M1945" s="419" t="s">
        <v>310</v>
      </c>
      <c r="N1945" s="413">
        <v>44915</v>
      </c>
      <c r="O1945" s="414" t="s">
        <v>405</v>
      </c>
      <c r="P1945" s="655">
        <f t="shared" si="127"/>
        <v>12</v>
      </c>
      <c r="Q1945" s="655">
        <f t="shared" si="128"/>
        <v>10</v>
      </c>
      <c r="R1945" s="758" t="str">
        <f t="shared" si="129"/>
        <v>Gastos_custeados_por_captação</v>
      </c>
      <c r="S1945" s="697" t="s">
        <v>998</v>
      </c>
      <c r="T1945" s="697">
        <v>4592</v>
      </c>
    </row>
    <row r="1946" spans="1:20" ht="48" x14ac:dyDescent="0.2">
      <c r="A1946" s="432">
        <f>IF(B1946="","",COUNT('Diário 1º PA'!$A$4:$A$2635)+COUNT('Diário 2º PA'!$A$4:$A$3040)+COUNT('Diário 3º PA'!$A$4:$A$2731)+ROW()-3)</f>
        <v>7971</v>
      </c>
      <c r="B1946" s="413">
        <v>44916</v>
      </c>
      <c r="C1946" s="760">
        <v>44896</v>
      </c>
      <c r="D1946" s="419" t="s">
        <v>468</v>
      </c>
      <c r="E1946" s="419" t="s">
        <v>468</v>
      </c>
      <c r="F1946" s="422">
        <v>310</v>
      </c>
      <c r="G1946" s="757" t="s">
        <v>8791</v>
      </c>
      <c r="H1946" s="419" t="s">
        <v>468</v>
      </c>
      <c r="I1946" s="415" t="s">
        <v>6623</v>
      </c>
      <c r="J1946" s="417" t="s">
        <v>5809</v>
      </c>
      <c r="K1946" s="419" t="s">
        <v>830</v>
      </c>
      <c r="L1946" s="415" t="s">
        <v>1305</v>
      </c>
      <c r="M1946" s="419">
        <v>2</v>
      </c>
      <c r="N1946" s="413">
        <v>44915</v>
      </c>
      <c r="O1946" s="414" t="s">
        <v>405</v>
      </c>
      <c r="P1946" s="655">
        <f t="shared" si="127"/>
        <v>12</v>
      </c>
      <c r="Q1946" s="655">
        <f t="shared" si="128"/>
        <v>12</v>
      </c>
      <c r="R1946" s="758" t="str">
        <f t="shared" si="129"/>
        <v>Gastos_custeados_por_captação</v>
      </c>
      <c r="S1946" s="697" t="s">
        <v>998</v>
      </c>
      <c r="T1946" s="697">
        <v>4890</v>
      </c>
    </row>
    <row r="1947" spans="1:20" ht="60" x14ac:dyDescent="0.2">
      <c r="A1947" s="432">
        <f>IF(B1947="","",COUNT('Diário 1º PA'!$A$4:$A$2635)+COUNT('Diário 2º PA'!$A$4:$A$3040)+COUNT('Diário 3º PA'!$A$4:$A$2731)+ROW()-3)</f>
        <v>7972</v>
      </c>
      <c r="B1947" s="413">
        <v>44916</v>
      </c>
      <c r="C1947" s="431">
        <v>44896</v>
      </c>
      <c r="D1947" s="419" t="s">
        <v>468</v>
      </c>
      <c r="E1947" s="419" t="s">
        <v>468</v>
      </c>
      <c r="F1947" s="422">
        <v>4363.2</v>
      </c>
      <c r="G1947" s="757" t="s">
        <v>8768</v>
      </c>
      <c r="H1947" s="419" t="s">
        <v>468</v>
      </c>
      <c r="I1947" s="415" t="s">
        <v>4709</v>
      </c>
      <c r="J1947" s="417" t="s">
        <v>1161</v>
      </c>
      <c r="K1947" s="419" t="s">
        <v>830</v>
      </c>
      <c r="L1947" s="415" t="s">
        <v>32</v>
      </c>
      <c r="M1947" s="419" t="s">
        <v>7409</v>
      </c>
      <c r="N1947" s="413">
        <v>44914</v>
      </c>
      <c r="O1947" s="414" t="s">
        <v>3762</v>
      </c>
      <c r="P1947" s="655">
        <f t="shared" si="127"/>
        <v>12</v>
      </c>
      <c r="Q1947" s="655">
        <f t="shared" si="128"/>
        <v>12</v>
      </c>
      <c r="R1947" s="758" t="str">
        <f t="shared" si="129"/>
        <v>Gastos_custeados_por_captação</v>
      </c>
      <c r="S1947" s="697" t="s">
        <v>998</v>
      </c>
      <c r="T1947" s="697">
        <v>4849</v>
      </c>
    </row>
    <row r="1948" spans="1:20" ht="36" x14ac:dyDescent="0.2">
      <c r="A1948" s="432">
        <f>IF(B1948="","",COUNT('Diário 1º PA'!$A$4:$A$2635)+COUNT('Diário 2º PA'!$A$4:$A$3040)+COUNT('Diário 3º PA'!$A$4:$A$2731)+ROW()-3)</f>
        <v>7973</v>
      </c>
      <c r="B1948" s="413">
        <v>44916</v>
      </c>
      <c r="C1948" s="431">
        <v>44896</v>
      </c>
      <c r="D1948" s="419" t="s">
        <v>468</v>
      </c>
      <c r="E1948" s="419" t="s">
        <v>468</v>
      </c>
      <c r="F1948" s="422">
        <v>11</v>
      </c>
      <c r="G1948" s="427" t="s">
        <v>2469</v>
      </c>
      <c r="H1948" s="419" t="s">
        <v>468</v>
      </c>
      <c r="I1948" s="639" t="s">
        <v>881</v>
      </c>
      <c r="J1948" s="418" t="s">
        <v>882</v>
      </c>
      <c r="K1948" s="418" t="s">
        <v>883</v>
      </c>
      <c r="L1948" s="399" t="s">
        <v>798</v>
      </c>
      <c r="M1948" s="544" t="s">
        <v>310</v>
      </c>
      <c r="N1948" s="413">
        <v>44916</v>
      </c>
      <c r="O1948" s="414" t="s">
        <v>3762</v>
      </c>
      <c r="P1948" s="655">
        <f t="shared" si="127"/>
        <v>12</v>
      </c>
      <c r="Q1948" s="655">
        <f t="shared" si="128"/>
        <v>12</v>
      </c>
      <c r="R1948" s="758" t="str">
        <f t="shared" si="129"/>
        <v>Gastos_custeados_por_captação</v>
      </c>
      <c r="S1948" s="697" t="s">
        <v>310</v>
      </c>
      <c r="T1948" s="697" t="s">
        <v>310</v>
      </c>
    </row>
    <row r="1949" spans="1:20" ht="36" x14ac:dyDescent="0.2">
      <c r="A1949" s="432">
        <f>IF(B1949="","",COUNT('Diário 1º PA'!$A$4:$A$2635)+COUNT('Diário 2º PA'!$A$4:$A$3040)+COUNT('Diário 3º PA'!$A$4:$A$2731)+ROW()-3)</f>
        <v>7974</v>
      </c>
      <c r="B1949" s="413">
        <v>44916</v>
      </c>
      <c r="C1949" s="431">
        <v>44896</v>
      </c>
      <c r="D1949" s="419" t="s">
        <v>468</v>
      </c>
      <c r="E1949" s="419" t="s">
        <v>468</v>
      </c>
      <c r="F1949" s="422">
        <v>300</v>
      </c>
      <c r="G1949" s="427" t="s">
        <v>9233</v>
      </c>
      <c r="H1949" s="419" t="s">
        <v>468</v>
      </c>
      <c r="I1949" s="639" t="s">
        <v>1939</v>
      </c>
      <c r="J1949" s="418" t="s">
        <v>1081</v>
      </c>
      <c r="K1949" s="418" t="s">
        <v>830</v>
      </c>
      <c r="L1949" s="399" t="s">
        <v>32</v>
      </c>
      <c r="M1949" s="419" t="s">
        <v>2085</v>
      </c>
      <c r="N1949" s="413">
        <v>44915</v>
      </c>
      <c r="O1949" s="414" t="s">
        <v>403</v>
      </c>
      <c r="P1949" s="655">
        <f t="shared" ref="P1949" si="130">IF(B1949=0,0,IF(YEAR(B1949)=$Q$1,MONTH(B1949)-$P$1+1,(YEAR(B1949)-$Q$1)*12-$P$1+1+MONTH(B1949)))</f>
        <v>12</v>
      </c>
      <c r="Q1949" s="655">
        <f t="shared" ref="Q1949" si="131">IF(C1949=0,0,IF(YEAR(C1949)=$Q$1,MONTH(C1949)-$P$1+1,(YEAR(C1949)-$Q$1)*12-$P$1+1+MONTH(C1949)))</f>
        <v>12</v>
      </c>
      <c r="R1949" s="758" t="str">
        <f t="shared" ref="R1949" si="132">SUBSTITUTE(D1949," ","_")</f>
        <v>Gastos_custeados_por_captação</v>
      </c>
      <c r="S1949" s="697" t="s">
        <v>998</v>
      </c>
      <c r="T1949" s="697">
        <v>4845</v>
      </c>
    </row>
    <row r="1950" spans="1:20" ht="48" x14ac:dyDescent="0.2">
      <c r="A1950" s="432">
        <f>IF(B1950="","",COUNT('Diário 1º PA'!$A$4:$A$2635)+COUNT('Diário 2º PA'!$A$4:$A$3040)+COUNT('Diário 3º PA'!$A$4:$A$2731)+ROW()-3)</f>
        <v>7975</v>
      </c>
      <c r="B1950" s="413">
        <v>44918</v>
      </c>
      <c r="C1950" s="431">
        <v>44866</v>
      </c>
      <c r="D1950" s="415" t="s">
        <v>271</v>
      </c>
      <c r="E1950" s="415" t="s">
        <v>326</v>
      </c>
      <c r="F1950" s="425">
        <v>-396.15</v>
      </c>
      <c r="G1950" s="427" t="s">
        <v>4849</v>
      </c>
      <c r="H1950" s="415" t="s">
        <v>309</v>
      </c>
      <c r="I1950" s="473" t="s">
        <v>795</v>
      </c>
      <c r="J1950" s="415" t="s">
        <v>796</v>
      </c>
      <c r="K1950" s="415" t="s">
        <v>797</v>
      </c>
      <c r="L1950" s="415" t="s">
        <v>798</v>
      </c>
      <c r="M1950" s="415" t="s">
        <v>310</v>
      </c>
      <c r="N1950" s="414">
        <v>44918</v>
      </c>
      <c r="O1950" s="414" t="s">
        <v>400</v>
      </c>
      <c r="P1950" s="655">
        <f t="shared" si="127"/>
        <v>12</v>
      </c>
      <c r="Q1950" s="655">
        <f t="shared" si="128"/>
        <v>11</v>
      </c>
      <c r="R1950" s="758" t="str">
        <f t="shared" si="129"/>
        <v>Gastos_Gerais</v>
      </c>
      <c r="S1950" s="697" t="s">
        <v>310</v>
      </c>
      <c r="T1950" s="697" t="s">
        <v>310</v>
      </c>
    </row>
    <row r="1951" spans="1:20" ht="36" x14ac:dyDescent="0.2">
      <c r="A1951" s="432">
        <f>IF(B1951="","",COUNT('Diário 1º PA'!$A$4:$A$2635)+COUNT('Diário 2º PA'!$A$4:$A$3040)+COUNT('Diário 3º PA'!$A$4:$A$2731)+ROW()-3)</f>
        <v>7976</v>
      </c>
      <c r="B1951" s="413">
        <v>44918</v>
      </c>
      <c r="C1951" s="431">
        <v>44866</v>
      </c>
      <c r="D1951" s="415" t="s">
        <v>315</v>
      </c>
      <c r="E1951" s="415" t="s">
        <v>315</v>
      </c>
      <c r="F1951" s="425">
        <v>758.08</v>
      </c>
      <c r="G1951" s="427" t="s">
        <v>8618</v>
      </c>
      <c r="H1951" s="415" t="s">
        <v>310</v>
      </c>
      <c r="I1951" s="427" t="s">
        <v>7429</v>
      </c>
      <c r="J1951" s="415" t="s">
        <v>796</v>
      </c>
      <c r="K1951" s="415" t="s">
        <v>806</v>
      </c>
      <c r="L1951" s="415" t="s">
        <v>798</v>
      </c>
      <c r="M1951" s="415" t="s">
        <v>310</v>
      </c>
      <c r="N1951" s="414">
        <v>44918</v>
      </c>
      <c r="O1951" s="414" t="s">
        <v>400</v>
      </c>
      <c r="P1951" s="655">
        <f t="shared" si="127"/>
        <v>12</v>
      </c>
      <c r="Q1951" s="655">
        <f t="shared" si="128"/>
        <v>11</v>
      </c>
      <c r="R1951" s="758" t="str">
        <f t="shared" si="129"/>
        <v>Transferência_para_Reserva_de_Recursos</v>
      </c>
      <c r="S1951" s="697" t="s">
        <v>310</v>
      </c>
      <c r="T1951" s="697" t="s">
        <v>310</v>
      </c>
    </row>
    <row r="1952" spans="1:20" ht="24" x14ac:dyDescent="0.2">
      <c r="A1952" s="432">
        <f>IF(B1952="","",COUNT('Diário 1º PA'!$A$4:$A$2635)+COUNT('Diário 2º PA'!$A$4:$A$3040)+COUNT('Diário 3º PA'!$A$4:$A$2731)+ROW()-3)</f>
        <v>7977</v>
      </c>
      <c r="B1952" s="413">
        <v>44918</v>
      </c>
      <c r="C1952" s="431">
        <v>44866</v>
      </c>
      <c r="D1952" s="415" t="s">
        <v>182</v>
      </c>
      <c r="E1952" s="415" t="s">
        <v>267</v>
      </c>
      <c r="F1952" s="435">
        <v>2364.0700000000002</v>
      </c>
      <c r="G1952" s="437" t="s">
        <v>9054</v>
      </c>
      <c r="H1952" s="434" t="s">
        <v>310</v>
      </c>
      <c r="I1952" s="398" t="s">
        <v>1461</v>
      </c>
      <c r="J1952" s="434" t="s">
        <v>310</v>
      </c>
      <c r="K1952" s="434" t="s">
        <v>1220</v>
      </c>
      <c r="L1952" s="434" t="s">
        <v>1368</v>
      </c>
      <c r="M1952" s="415" t="s">
        <v>310</v>
      </c>
      <c r="N1952" s="413">
        <v>44918</v>
      </c>
      <c r="O1952" s="414" t="s">
        <v>400</v>
      </c>
      <c r="P1952" s="655">
        <f t="shared" si="127"/>
        <v>12</v>
      </c>
      <c r="Q1952" s="655">
        <f t="shared" si="128"/>
        <v>11</v>
      </c>
      <c r="R1952" s="758" t="str">
        <f t="shared" si="129"/>
        <v>Gastos_com_Pessoal</v>
      </c>
      <c r="S1952" s="697" t="s">
        <v>310</v>
      </c>
      <c r="T1952" s="697" t="s">
        <v>310</v>
      </c>
    </row>
    <row r="1953" spans="1:20" ht="24" x14ac:dyDescent="0.2">
      <c r="A1953" s="432">
        <f>IF(B1953="","",COUNT('Diário 1º PA'!$A$4:$A$2635)+COUNT('Diário 2º PA'!$A$4:$A$3040)+COUNT('Diário 3º PA'!$A$4:$A$2731)+ROW()-3)</f>
        <v>7978</v>
      </c>
      <c r="B1953" s="413">
        <v>44918</v>
      </c>
      <c r="C1953" s="431">
        <v>44866</v>
      </c>
      <c r="D1953" s="415" t="s">
        <v>271</v>
      </c>
      <c r="E1953" s="415" t="s">
        <v>67</v>
      </c>
      <c r="F1953" s="425">
        <v>818.06</v>
      </c>
      <c r="G1953" s="427" t="s">
        <v>8623</v>
      </c>
      <c r="H1953" s="419" t="s">
        <v>310</v>
      </c>
      <c r="I1953" s="427" t="s">
        <v>1461</v>
      </c>
      <c r="J1953" s="418" t="s">
        <v>310</v>
      </c>
      <c r="K1953" s="418" t="s">
        <v>1220</v>
      </c>
      <c r="L1953" s="399" t="s">
        <v>1368</v>
      </c>
      <c r="M1953" s="544" t="s">
        <v>310</v>
      </c>
      <c r="N1953" s="413">
        <v>44918</v>
      </c>
      <c r="O1953" s="414" t="s">
        <v>400</v>
      </c>
      <c r="P1953" s="655">
        <f t="shared" si="127"/>
        <v>12</v>
      </c>
      <c r="Q1953" s="655">
        <f t="shared" si="128"/>
        <v>11</v>
      </c>
      <c r="R1953" s="758" t="str">
        <f t="shared" si="129"/>
        <v>Gastos_Gerais</v>
      </c>
      <c r="S1953" s="697" t="s">
        <v>310</v>
      </c>
      <c r="T1953" s="697" t="s">
        <v>310</v>
      </c>
    </row>
    <row r="1954" spans="1:20" ht="120" x14ac:dyDescent="0.2">
      <c r="A1954" s="432">
        <f>IF(B1954="","",COUNT('Diário 1º PA'!$A$4:$A$2635)+COUNT('Diário 2º PA'!$A$4:$A$3040)+COUNT('Diário 3º PA'!$A$4:$A$2731)+ROW()-3)</f>
        <v>7979</v>
      </c>
      <c r="B1954" s="413">
        <v>44918</v>
      </c>
      <c r="C1954" s="431">
        <v>44896</v>
      </c>
      <c r="D1954" s="419" t="s">
        <v>271</v>
      </c>
      <c r="E1954" s="415" t="s">
        <v>90</v>
      </c>
      <c r="F1954" s="435">
        <v>543.9</v>
      </c>
      <c r="G1954" s="437" t="s">
        <v>8671</v>
      </c>
      <c r="H1954" s="434" t="s">
        <v>309</v>
      </c>
      <c r="I1954" s="398" t="s">
        <v>9055</v>
      </c>
      <c r="J1954" s="434" t="s">
        <v>9056</v>
      </c>
      <c r="K1954" s="434" t="s">
        <v>830</v>
      </c>
      <c r="L1954" s="434" t="s">
        <v>807</v>
      </c>
      <c r="M1954" s="415" t="s">
        <v>7954</v>
      </c>
      <c r="N1954" s="413">
        <v>44914</v>
      </c>
      <c r="O1954" s="414" t="s">
        <v>400</v>
      </c>
      <c r="P1954" s="655">
        <f t="shared" si="127"/>
        <v>12</v>
      </c>
      <c r="Q1954" s="655">
        <f t="shared" si="128"/>
        <v>12</v>
      </c>
      <c r="R1954" s="758" t="str">
        <f t="shared" si="129"/>
        <v>Gastos_Gerais</v>
      </c>
      <c r="S1954" s="697" t="s">
        <v>998</v>
      </c>
      <c r="T1954" s="697">
        <v>4854</v>
      </c>
    </row>
    <row r="1955" spans="1:20" ht="36" x14ac:dyDescent="0.2">
      <c r="A1955" s="432">
        <f>IF(B1955="","",COUNT('Diário 1º PA'!$A$4:$A$2635)+COUNT('Diário 2º PA'!$A$4:$A$3040)+COUNT('Diário 3º PA'!$A$4:$A$2731)+ROW()-3)</f>
        <v>7980</v>
      </c>
      <c r="B1955" s="413">
        <v>44918</v>
      </c>
      <c r="C1955" s="431">
        <v>44896</v>
      </c>
      <c r="D1955" s="419" t="s">
        <v>271</v>
      </c>
      <c r="E1955" s="419" t="s">
        <v>71</v>
      </c>
      <c r="F1955" s="422">
        <v>11</v>
      </c>
      <c r="G1955" s="423" t="s">
        <v>9057</v>
      </c>
      <c r="H1955" s="415" t="s">
        <v>309</v>
      </c>
      <c r="I1955" s="415" t="s">
        <v>881</v>
      </c>
      <c r="J1955" s="419" t="s">
        <v>882</v>
      </c>
      <c r="K1955" s="419" t="s">
        <v>883</v>
      </c>
      <c r="L1955" s="415" t="s">
        <v>798</v>
      </c>
      <c r="M1955" s="419" t="s">
        <v>310</v>
      </c>
      <c r="N1955" s="413">
        <v>44918</v>
      </c>
      <c r="O1955" s="414" t="s">
        <v>400</v>
      </c>
      <c r="P1955" s="655">
        <f t="shared" si="127"/>
        <v>12</v>
      </c>
      <c r="Q1955" s="655">
        <f t="shared" si="128"/>
        <v>12</v>
      </c>
      <c r="R1955" s="758" t="str">
        <f t="shared" si="129"/>
        <v>Gastos_Gerais</v>
      </c>
      <c r="S1955" s="697" t="s">
        <v>310</v>
      </c>
      <c r="T1955" s="697" t="s">
        <v>310</v>
      </c>
    </row>
    <row r="1956" spans="1:20" ht="48" x14ac:dyDescent="0.2">
      <c r="A1956" s="432">
        <f>IF(B1956="","",COUNT('Diário 1º PA'!$A$4:$A$2635)+COUNT('Diário 2º PA'!$A$4:$A$3040)+COUNT('Diário 3º PA'!$A$4:$A$2731)+ROW()-3)</f>
        <v>7981</v>
      </c>
      <c r="B1956" s="413">
        <v>44918</v>
      </c>
      <c r="C1956" s="431">
        <v>44866</v>
      </c>
      <c r="D1956" s="419" t="s">
        <v>468</v>
      </c>
      <c r="E1956" s="419" t="s">
        <v>468</v>
      </c>
      <c r="F1956" s="422">
        <v>209.19</v>
      </c>
      <c r="G1956" s="419" t="s">
        <v>9059</v>
      </c>
      <c r="H1956" s="419" t="s">
        <v>468</v>
      </c>
      <c r="I1956" s="427" t="s">
        <v>1461</v>
      </c>
      <c r="J1956" s="418" t="s">
        <v>310</v>
      </c>
      <c r="K1956" s="418" t="s">
        <v>1220</v>
      </c>
      <c r="L1956" s="399" t="s">
        <v>1368</v>
      </c>
      <c r="M1956" s="544" t="s">
        <v>310</v>
      </c>
      <c r="N1956" s="413">
        <v>44918</v>
      </c>
      <c r="O1956" s="414" t="s">
        <v>405</v>
      </c>
      <c r="P1956" s="655">
        <f t="shared" si="127"/>
        <v>12</v>
      </c>
      <c r="Q1956" s="655">
        <f t="shared" si="128"/>
        <v>11</v>
      </c>
      <c r="R1956" s="758" t="str">
        <f t="shared" si="129"/>
        <v>Gastos_custeados_por_captação</v>
      </c>
      <c r="S1956" s="697" t="s">
        <v>310</v>
      </c>
      <c r="T1956" s="697" t="s">
        <v>310</v>
      </c>
    </row>
    <row r="1957" spans="1:20" ht="36" x14ac:dyDescent="0.2">
      <c r="A1957" s="432">
        <f>IF(B1957="","",COUNT('Diário 1º PA'!$A$4:$A$2635)+COUNT('Diário 2º PA'!$A$4:$A$3040)+COUNT('Diário 3º PA'!$A$4:$A$2731)+ROW()-3)</f>
        <v>7982</v>
      </c>
      <c r="B1957" s="413">
        <v>44918</v>
      </c>
      <c r="C1957" s="431">
        <v>44866</v>
      </c>
      <c r="D1957" s="419" t="s">
        <v>468</v>
      </c>
      <c r="E1957" s="419" t="s">
        <v>468</v>
      </c>
      <c r="F1957" s="422">
        <v>220.35</v>
      </c>
      <c r="G1957" s="419" t="s">
        <v>9059</v>
      </c>
      <c r="H1957" s="419" t="s">
        <v>468</v>
      </c>
      <c r="I1957" s="427" t="s">
        <v>1461</v>
      </c>
      <c r="J1957" s="418" t="s">
        <v>310</v>
      </c>
      <c r="K1957" s="418" t="s">
        <v>1220</v>
      </c>
      <c r="L1957" s="399" t="s">
        <v>1368</v>
      </c>
      <c r="M1957" s="544" t="s">
        <v>310</v>
      </c>
      <c r="N1957" s="413">
        <v>44918</v>
      </c>
      <c r="O1957" s="414" t="s">
        <v>403</v>
      </c>
      <c r="P1957" s="655">
        <f t="shared" ref="P1957" si="133">IF(B1957=0,0,IF(YEAR(B1957)=$Q$1,MONTH(B1957)-$P$1+1,(YEAR(B1957)-$Q$1)*12-$P$1+1+MONTH(B1957)))</f>
        <v>12</v>
      </c>
      <c r="Q1957" s="655">
        <f t="shared" ref="Q1957" si="134">IF(C1957=0,0,IF(YEAR(C1957)=$Q$1,MONTH(C1957)-$P$1+1,(YEAR(C1957)-$Q$1)*12-$P$1+1+MONTH(C1957)))</f>
        <v>11</v>
      </c>
      <c r="R1957" s="758" t="str">
        <f t="shared" ref="R1957" si="135">SUBSTITUTE(D1957," ","_")</f>
        <v>Gastos_custeados_por_captação</v>
      </c>
      <c r="S1957" s="697" t="s">
        <v>310</v>
      </c>
      <c r="T1957" s="697" t="s">
        <v>310</v>
      </c>
    </row>
    <row r="1958" spans="1:20" ht="108" x14ac:dyDescent="0.2">
      <c r="A1958" s="432">
        <f>IF(B1958="","",COUNT('Diário 1º PA'!$A$4:$A$2635)+COUNT('Diário 2º PA'!$A$4:$A$3040)+COUNT('Diário 3º PA'!$A$4:$A$2731)+ROW()-3)</f>
        <v>7983</v>
      </c>
      <c r="B1958" s="413">
        <v>44918</v>
      </c>
      <c r="C1958" s="431">
        <v>44866</v>
      </c>
      <c r="D1958" s="419" t="s">
        <v>468</v>
      </c>
      <c r="E1958" s="419" t="s">
        <v>468</v>
      </c>
      <c r="F1958" s="422">
        <v>2082.29</v>
      </c>
      <c r="G1958" s="427" t="s">
        <v>6186</v>
      </c>
      <c r="H1958" s="419" t="s">
        <v>468</v>
      </c>
      <c r="I1958" s="415" t="s">
        <v>7194</v>
      </c>
      <c r="J1958" s="415" t="s">
        <v>6187</v>
      </c>
      <c r="K1958" s="419" t="s">
        <v>830</v>
      </c>
      <c r="L1958" s="415" t="s">
        <v>807</v>
      </c>
      <c r="M1958" s="419" t="s">
        <v>3487</v>
      </c>
      <c r="N1958" s="413">
        <v>44916</v>
      </c>
      <c r="O1958" s="414" t="s">
        <v>405</v>
      </c>
      <c r="P1958" s="655">
        <f t="shared" si="127"/>
        <v>12</v>
      </c>
      <c r="Q1958" s="655">
        <f t="shared" si="128"/>
        <v>11</v>
      </c>
      <c r="R1958" s="758" t="str">
        <f t="shared" si="129"/>
        <v>Gastos_custeados_por_captação</v>
      </c>
      <c r="S1958" s="697" t="s">
        <v>998</v>
      </c>
      <c r="T1958" s="697">
        <v>4184</v>
      </c>
    </row>
    <row r="1959" spans="1:20" ht="168" x14ac:dyDescent="0.2">
      <c r="A1959" s="432">
        <f>IF(B1959="","",COUNT('Diário 1º PA'!$A$4:$A$2635)+COUNT('Diário 2º PA'!$A$4:$A$3040)+COUNT('Diário 3º PA'!$A$4:$A$2731)+ROW()-3)</f>
        <v>7984</v>
      </c>
      <c r="B1959" s="413">
        <v>44918</v>
      </c>
      <c r="C1959" s="431">
        <v>44866</v>
      </c>
      <c r="D1959" s="419" t="s">
        <v>468</v>
      </c>
      <c r="E1959" s="419" t="s">
        <v>468</v>
      </c>
      <c r="F1959" s="422">
        <v>3527.64</v>
      </c>
      <c r="G1959" s="427" t="s">
        <v>6159</v>
      </c>
      <c r="H1959" s="419" t="s">
        <v>468</v>
      </c>
      <c r="I1959" s="415" t="s">
        <v>2557</v>
      </c>
      <c r="J1959" s="415" t="s">
        <v>2342</v>
      </c>
      <c r="K1959" s="419" t="s">
        <v>830</v>
      </c>
      <c r="L1959" s="415" t="s">
        <v>807</v>
      </c>
      <c r="M1959" s="419" t="s">
        <v>1621</v>
      </c>
      <c r="N1959" s="413">
        <v>44917</v>
      </c>
      <c r="O1959" s="414" t="s">
        <v>405</v>
      </c>
      <c r="P1959" s="655">
        <f t="shared" si="127"/>
        <v>12</v>
      </c>
      <c r="Q1959" s="655">
        <f t="shared" si="128"/>
        <v>11</v>
      </c>
      <c r="R1959" s="758" t="str">
        <f t="shared" si="129"/>
        <v>Gastos_custeados_por_captação</v>
      </c>
      <c r="S1959" s="697" t="s">
        <v>1000</v>
      </c>
      <c r="T1959" s="697">
        <v>4185</v>
      </c>
    </row>
    <row r="1960" spans="1:20" ht="48" x14ac:dyDescent="0.2">
      <c r="A1960" s="432">
        <f>IF(B1960="","",COUNT('Diário 1º PA'!$A$4:$A$2635)+COUNT('Diário 2º PA'!$A$4:$A$3040)+COUNT('Diário 3º PA'!$A$4:$A$2731)+ROW()-3)</f>
        <v>7985</v>
      </c>
      <c r="B1960" s="413">
        <v>44918</v>
      </c>
      <c r="C1960" s="431">
        <v>44866</v>
      </c>
      <c r="D1960" s="419" t="s">
        <v>468</v>
      </c>
      <c r="E1960" s="419" t="s">
        <v>468</v>
      </c>
      <c r="F1960" s="422">
        <v>3233.67</v>
      </c>
      <c r="G1960" s="427" t="s">
        <v>2341</v>
      </c>
      <c r="H1960" s="419" t="s">
        <v>468</v>
      </c>
      <c r="I1960" s="415" t="s">
        <v>2557</v>
      </c>
      <c r="J1960" s="415" t="s">
        <v>2342</v>
      </c>
      <c r="K1960" s="419" t="s">
        <v>830</v>
      </c>
      <c r="L1960" s="415" t="s">
        <v>807</v>
      </c>
      <c r="M1960" s="419" t="s">
        <v>6716</v>
      </c>
      <c r="N1960" s="413">
        <v>44916</v>
      </c>
      <c r="O1960" s="414" t="s">
        <v>405</v>
      </c>
      <c r="P1960" s="655">
        <f t="shared" si="127"/>
        <v>12</v>
      </c>
      <c r="Q1960" s="655">
        <f t="shared" si="128"/>
        <v>11</v>
      </c>
      <c r="R1960" s="758" t="str">
        <f t="shared" si="129"/>
        <v>Gastos_custeados_por_captação</v>
      </c>
      <c r="S1960" s="697" t="s">
        <v>1000</v>
      </c>
      <c r="T1960" s="697">
        <v>3187</v>
      </c>
    </row>
    <row r="1961" spans="1:20" ht="96" x14ac:dyDescent="0.2">
      <c r="A1961" s="432">
        <f>IF(B1961="","",COUNT('Diário 1º PA'!$A$4:$A$2635)+COUNT('Diário 2º PA'!$A$4:$A$3040)+COUNT('Diário 3º PA'!$A$4:$A$2731)+ROW()-3)</f>
        <v>7986</v>
      </c>
      <c r="B1961" s="413">
        <v>44918</v>
      </c>
      <c r="C1961" s="431">
        <v>44866</v>
      </c>
      <c r="D1961" s="419" t="s">
        <v>468</v>
      </c>
      <c r="E1961" s="419" t="s">
        <v>468</v>
      </c>
      <c r="F1961" s="422">
        <v>2939.7</v>
      </c>
      <c r="G1961" s="427" t="s">
        <v>2344</v>
      </c>
      <c r="H1961" s="419" t="s">
        <v>468</v>
      </c>
      <c r="I1961" s="415" t="s">
        <v>5470</v>
      </c>
      <c r="J1961" s="415" t="s">
        <v>2345</v>
      </c>
      <c r="K1961" s="419" t="s">
        <v>830</v>
      </c>
      <c r="L1961" s="415" t="s">
        <v>807</v>
      </c>
      <c r="M1961" s="419" t="s">
        <v>5916</v>
      </c>
      <c r="N1961" s="413">
        <v>44916</v>
      </c>
      <c r="O1961" s="414" t="s">
        <v>405</v>
      </c>
      <c r="P1961" s="655">
        <f t="shared" si="127"/>
        <v>12</v>
      </c>
      <c r="Q1961" s="655">
        <f t="shared" si="128"/>
        <v>11</v>
      </c>
      <c r="R1961" s="758" t="str">
        <f t="shared" si="129"/>
        <v>Gastos_custeados_por_captação</v>
      </c>
      <c r="S1961" s="697" t="s">
        <v>1000</v>
      </c>
      <c r="T1961" s="697">
        <v>3185</v>
      </c>
    </row>
    <row r="1962" spans="1:20" ht="132" x14ac:dyDescent="0.2">
      <c r="A1962" s="432">
        <f>IF(B1962="","",COUNT('Diário 1º PA'!$A$4:$A$2635)+COUNT('Diário 2º PA'!$A$4:$A$3040)+COUNT('Diário 3º PA'!$A$4:$A$2731)+ROW()-3)</f>
        <v>7987</v>
      </c>
      <c r="B1962" s="413">
        <v>44918</v>
      </c>
      <c r="C1962" s="431">
        <v>44866</v>
      </c>
      <c r="D1962" s="419" t="s">
        <v>468</v>
      </c>
      <c r="E1962" s="419" t="s">
        <v>468</v>
      </c>
      <c r="F1962" s="425">
        <v>5869.8</v>
      </c>
      <c r="G1962" s="427" t="s">
        <v>4474</v>
      </c>
      <c r="H1962" s="419" t="s">
        <v>468</v>
      </c>
      <c r="I1962" s="415" t="s">
        <v>2381</v>
      </c>
      <c r="J1962" s="415" t="s">
        <v>2382</v>
      </c>
      <c r="K1962" s="419" t="s">
        <v>830</v>
      </c>
      <c r="L1962" s="415" t="s">
        <v>807</v>
      </c>
      <c r="M1962" s="419" t="s">
        <v>1465</v>
      </c>
      <c r="N1962" s="413">
        <v>44916</v>
      </c>
      <c r="O1962" s="414" t="s">
        <v>405</v>
      </c>
      <c r="P1962" s="655">
        <f t="shared" si="127"/>
        <v>12</v>
      </c>
      <c r="Q1962" s="655">
        <f t="shared" si="128"/>
        <v>11</v>
      </c>
      <c r="R1962" s="758" t="str">
        <f t="shared" si="129"/>
        <v>Gastos_custeados_por_captação</v>
      </c>
      <c r="S1962" s="697" t="s">
        <v>1000</v>
      </c>
      <c r="T1962" s="697">
        <v>3779</v>
      </c>
    </row>
    <row r="1963" spans="1:20" ht="132" x14ac:dyDescent="0.2">
      <c r="A1963" s="432">
        <f>IF(B1963="","",COUNT('Diário 1º PA'!$A$4:$A$2635)+COUNT('Diário 2º PA'!$A$4:$A$3040)+COUNT('Diário 3º PA'!$A$4:$A$2731)+ROW()-3)</f>
        <v>7988</v>
      </c>
      <c r="B1963" s="413">
        <v>44918</v>
      </c>
      <c r="C1963" s="431">
        <v>44896</v>
      </c>
      <c r="D1963" s="419" t="s">
        <v>468</v>
      </c>
      <c r="E1963" s="419" t="s">
        <v>468</v>
      </c>
      <c r="F1963" s="425">
        <v>5869.8</v>
      </c>
      <c r="G1963" s="427" t="s">
        <v>4474</v>
      </c>
      <c r="H1963" s="419" t="s">
        <v>468</v>
      </c>
      <c r="I1963" s="415" t="s">
        <v>2381</v>
      </c>
      <c r="J1963" s="415" t="s">
        <v>2382</v>
      </c>
      <c r="K1963" s="419" t="s">
        <v>830</v>
      </c>
      <c r="L1963" s="415" t="s">
        <v>807</v>
      </c>
      <c r="M1963" s="419" t="s">
        <v>1465</v>
      </c>
      <c r="N1963" s="413">
        <v>44916</v>
      </c>
      <c r="O1963" s="414" t="s">
        <v>405</v>
      </c>
      <c r="P1963" s="655">
        <f t="shared" si="127"/>
        <v>12</v>
      </c>
      <c r="Q1963" s="655">
        <f t="shared" si="128"/>
        <v>12</v>
      </c>
      <c r="R1963" s="758" t="str">
        <f t="shared" si="129"/>
        <v>Gastos_custeados_por_captação</v>
      </c>
      <c r="S1963" s="697" t="s">
        <v>1000</v>
      </c>
      <c r="T1963" s="697">
        <v>3779</v>
      </c>
    </row>
    <row r="1964" spans="1:20" ht="84" x14ac:dyDescent="0.2">
      <c r="A1964" s="432">
        <f>IF(B1964="","",COUNT('Diário 1º PA'!$A$4:$A$2635)+COUNT('Diário 2º PA'!$A$4:$A$3040)+COUNT('Diário 3º PA'!$A$4:$A$2731)+ROW()-3)</f>
        <v>7989</v>
      </c>
      <c r="B1964" s="413">
        <v>44918</v>
      </c>
      <c r="C1964" s="431">
        <v>44866</v>
      </c>
      <c r="D1964" s="419" t="s">
        <v>468</v>
      </c>
      <c r="E1964" s="419" t="s">
        <v>468</v>
      </c>
      <c r="F1964" s="422">
        <v>1998.6</v>
      </c>
      <c r="G1964" s="427" t="s">
        <v>7698</v>
      </c>
      <c r="H1964" s="419" t="s">
        <v>468</v>
      </c>
      <c r="I1964" s="415" t="s">
        <v>8377</v>
      </c>
      <c r="J1964" s="415" t="s">
        <v>7699</v>
      </c>
      <c r="K1964" s="419" t="s">
        <v>806</v>
      </c>
      <c r="L1964" s="415" t="s">
        <v>839</v>
      </c>
      <c r="M1964" s="419">
        <v>2162</v>
      </c>
      <c r="N1964" s="413">
        <v>44916</v>
      </c>
      <c r="O1964" s="414" t="s">
        <v>404</v>
      </c>
      <c r="P1964" s="655">
        <f t="shared" si="127"/>
        <v>12</v>
      </c>
      <c r="Q1964" s="655">
        <f t="shared" si="128"/>
        <v>11</v>
      </c>
      <c r="R1964" s="758" t="str">
        <f t="shared" si="129"/>
        <v>Gastos_custeados_por_captação</v>
      </c>
      <c r="S1964" s="697" t="s">
        <v>1000</v>
      </c>
      <c r="T1964" s="697">
        <v>4513</v>
      </c>
    </row>
    <row r="1965" spans="1:20" ht="84" x14ac:dyDescent="0.2">
      <c r="A1965" s="432">
        <f>IF(B1965="","",COUNT('Diário 1º PA'!$A$4:$A$2635)+COUNT('Diário 2º PA'!$A$4:$A$3040)+COUNT('Diário 3º PA'!$A$4:$A$2731)+ROW()-3)</f>
        <v>7990</v>
      </c>
      <c r="B1965" s="413">
        <v>44918</v>
      </c>
      <c r="C1965" s="431">
        <v>44866</v>
      </c>
      <c r="D1965" s="419" t="s">
        <v>468</v>
      </c>
      <c r="E1965" s="419" t="s">
        <v>468</v>
      </c>
      <c r="F1965" s="422">
        <v>1998.6</v>
      </c>
      <c r="G1965" s="427" t="s">
        <v>7698</v>
      </c>
      <c r="H1965" s="419" t="s">
        <v>468</v>
      </c>
      <c r="I1965" s="415" t="s">
        <v>8498</v>
      </c>
      <c r="J1965" s="415" t="s">
        <v>7706</v>
      </c>
      <c r="K1965" s="419" t="s">
        <v>806</v>
      </c>
      <c r="L1965" s="415" t="s">
        <v>839</v>
      </c>
      <c r="M1965" s="419">
        <v>2159</v>
      </c>
      <c r="N1965" s="413">
        <v>44916</v>
      </c>
      <c r="O1965" s="414" t="s">
        <v>404</v>
      </c>
      <c r="P1965" s="655">
        <f t="shared" si="127"/>
        <v>12</v>
      </c>
      <c r="Q1965" s="655">
        <f t="shared" si="128"/>
        <v>11</v>
      </c>
      <c r="R1965" s="758" t="str">
        <f t="shared" si="129"/>
        <v>Gastos_custeados_por_captação</v>
      </c>
      <c r="S1965" s="697" t="s">
        <v>1000</v>
      </c>
      <c r="T1965" s="697">
        <v>4494</v>
      </c>
    </row>
    <row r="1966" spans="1:20" ht="48" x14ac:dyDescent="0.2">
      <c r="A1966" s="432">
        <f>IF(B1966="","",COUNT('Diário 1º PA'!$A$4:$A$2635)+COUNT('Diário 2º PA'!$A$4:$A$3040)+COUNT('Diário 3º PA'!$A$4:$A$2731)+ROW()-3)</f>
        <v>7991</v>
      </c>
      <c r="B1966" s="413">
        <v>44918</v>
      </c>
      <c r="C1966" s="431">
        <v>44866</v>
      </c>
      <c r="D1966" s="419" t="s">
        <v>468</v>
      </c>
      <c r="E1966" s="419" t="s">
        <v>468</v>
      </c>
      <c r="F1966" s="422">
        <v>290.26</v>
      </c>
      <c r="G1966" s="427" t="s">
        <v>9071</v>
      </c>
      <c r="H1966" s="419" t="s">
        <v>468</v>
      </c>
      <c r="I1966" s="415" t="s">
        <v>1461</v>
      </c>
      <c r="J1966" s="419" t="s">
        <v>310</v>
      </c>
      <c r="K1966" s="419" t="s">
        <v>1220</v>
      </c>
      <c r="L1966" s="415" t="s">
        <v>1368</v>
      </c>
      <c r="M1966" s="419" t="s">
        <v>310</v>
      </c>
      <c r="N1966" s="413">
        <v>44918</v>
      </c>
      <c r="O1966" s="414" t="s">
        <v>404</v>
      </c>
      <c r="P1966" s="655">
        <f t="shared" si="127"/>
        <v>12</v>
      </c>
      <c r="Q1966" s="655">
        <f t="shared" si="128"/>
        <v>11</v>
      </c>
      <c r="R1966" s="758" t="str">
        <f t="shared" si="129"/>
        <v>Gastos_custeados_por_captação</v>
      </c>
      <c r="S1966" s="697" t="s">
        <v>310</v>
      </c>
      <c r="T1966" s="697" t="s">
        <v>310</v>
      </c>
    </row>
    <row r="1967" spans="1:20" ht="84" x14ac:dyDescent="0.2">
      <c r="A1967" s="432">
        <f>IF(B1967="","",COUNT('Diário 1º PA'!$A$4:$A$2635)+COUNT('Diário 2º PA'!$A$4:$A$3040)+COUNT('Diário 3º PA'!$A$4:$A$2731)+ROW()-3)</f>
        <v>7992</v>
      </c>
      <c r="B1967" s="413">
        <v>44918</v>
      </c>
      <c r="C1967" s="431">
        <v>44866</v>
      </c>
      <c r="D1967" s="419" t="s">
        <v>468</v>
      </c>
      <c r="E1967" s="419" t="s">
        <v>468</v>
      </c>
      <c r="F1967" s="422">
        <v>1998.6</v>
      </c>
      <c r="G1967" s="427" t="s">
        <v>7698</v>
      </c>
      <c r="H1967" s="419" t="s">
        <v>468</v>
      </c>
      <c r="I1967" s="415" t="s">
        <v>8504</v>
      </c>
      <c r="J1967" s="415" t="s">
        <v>7694</v>
      </c>
      <c r="K1967" s="419" t="s">
        <v>830</v>
      </c>
      <c r="L1967" s="415" t="s">
        <v>839</v>
      </c>
      <c r="M1967" s="419">
        <v>2164</v>
      </c>
      <c r="N1967" s="413">
        <v>44916</v>
      </c>
      <c r="O1967" s="414" t="s">
        <v>404</v>
      </c>
      <c r="P1967" s="655">
        <f t="shared" si="127"/>
        <v>12</v>
      </c>
      <c r="Q1967" s="655">
        <f t="shared" si="128"/>
        <v>11</v>
      </c>
      <c r="R1967" s="758" t="str">
        <f t="shared" si="129"/>
        <v>Gastos_custeados_por_captação</v>
      </c>
      <c r="S1967" s="697" t="s">
        <v>1000</v>
      </c>
      <c r="T1967" s="697">
        <v>4496</v>
      </c>
    </row>
    <row r="1968" spans="1:20" ht="84" x14ac:dyDescent="0.2">
      <c r="A1968" s="432">
        <f>IF(B1968="","",COUNT('Diário 1º PA'!$A$4:$A$2635)+COUNT('Diário 2º PA'!$A$4:$A$3040)+COUNT('Diário 3º PA'!$A$4:$A$2731)+ROW()-3)</f>
        <v>7993</v>
      </c>
      <c r="B1968" s="413">
        <v>44918</v>
      </c>
      <c r="C1968" s="431">
        <v>44866</v>
      </c>
      <c r="D1968" s="419" t="s">
        <v>468</v>
      </c>
      <c r="E1968" s="419" t="s">
        <v>468</v>
      </c>
      <c r="F1968" s="422">
        <v>1998.6</v>
      </c>
      <c r="G1968" s="427" t="s">
        <v>7698</v>
      </c>
      <c r="H1968" s="419" t="s">
        <v>468</v>
      </c>
      <c r="I1968" s="415" t="s">
        <v>9075</v>
      </c>
      <c r="J1968" s="415" t="s">
        <v>7704</v>
      </c>
      <c r="K1968" s="419" t="s">
        <v>830</v>
      </c>
      <c r="L1968" s="415" t="s">
        <v>839</v>
      </c>
      <c r="M1968" s="419">
        <v>2163</v>
      </c>
      <c r="N1968" s="413">
        <v>44916</v>
      </c>
      <c r="O1968" s="414" t="s">
        <v>404</v>
      </c>
      <c r="P1968" s="655">
        <f t="shared" si="127"/>
        <v>12</v>
      </c>
      <c r="Q1968" s="655">
        <f t="shared" si="128"/>
        <v>11</v>
      </c>
      <c r="R1968" s="758" t="str">
        <f t="shared" si="129"/>
        <v>Gastos_custeados_por_captação</v>
      </c>
      <c r="S1968" s="697" t="s">
        <v>1000</v>
      </c>
      <c r="T1968" s="697">
        <v>4514</v>
      </c>
    </row>
    <row r="1969" spans="1:20" ht="84" x14ac:dyDescent="0.2">
      <c r="A1969" s="432">
        <f>IF(B1969="","",COUNT('Diário 1º PA'!$A$4:$A$2635)+COUNT('Diário 2º PA'!$A$4:$A$3040)+COUNT('Diário 3º PA'!$A$4:$A$2731)+ROW()-3)</f>
        <v>7994</v>
      </c>
      <c r="B1969" s="413">
        <v>44918</v>
      </c>
      <c r="C1969" s="431">
        <v>44866</v>
      </c>
      <c r="D1969" s="419" t="s">
        <v>468</v>
      </c>
      <c r="E1969" s="419" t="s">
        <v>468</v>
      </c>
      <c r="F1969" s="422">
        <v>1998.6</v>
      </c>
      <c r="G1969" s="427" t="s">
        <v>7698</v>
      </c>
      <c r="H1969" s="419" t="s">
        <v>468</v>
      </c>
      <c r="I1969" s="415" t="s">
        <v>8507</v>
      </c>
      <c r="J1969" s="415" t="s">
        <v>7701</v>
      </c>
      <c r="K1969" s="419" t="s">
        <v>830</v>
      </c>
      <c r="L1969" s="415" t="s">
        <v>839</v>
      </c>
      <c r="M1969" s="419">
        <v>2161</v>
      </c>
      <c r="N1969" s="413">
        <v>44916</v>
      </c>
      <c r="O1969" s="414" t="s">
        <v>404</v>
      </c>
      <c r="P1969" s="655">
        <f t="shared" si="127"/>
        <v>12</v>
      </c>
      <c r="Q1969" s="655">
        <f t="shared" si="128"/>
        <v>11</v>
      </c>
      <c r="R1969" s="758" t="str">
        <f t="shared" si="129"/>
        <v>Gastos_custeados_por_captação</v>
      </c>
      <c r="S1969" s="697" t="s">
        <v>1000</v>
      </c>
      <c r="T1969" s="697">
        <v>4515</v>
      </c>
    </row>
    <row r="1970" spans="1:20" ht="84" x14ac:dyDescent="0.2">
      <c r="A1970" s="432">
        <f>IF(B1970="","",COUNT('Diário 1º PA'!$A$4:$A$2635)+COUNT('Diário 2º PA'!$A$4:$A$3040)+COUNT('Diário 3º PA'!$A$4:$A$2731)+ROW()-3)</f>
        <v>7995</v>
      </c>
      <c r="B1970" s="413">
        <v>44918</v>
      </c>
      <c r="C1970" s="431">
        <v>44866</v>
      </c>
      <c r="D1970" s="419" t="s">
        <v>468</v>
      </c>
      <c r="E1970" s="419" t="s">
        <v>468</v>
      </c>
      <c r="F1970" s="422">
        <v>1998.6</v>
      </c>
      <c r="G1970" s="427" t="s">
        <v>7693</v>
      </c>
      <c r="H1970" s="419" t="s">
        <v>468</v>
      </c>
      <c r="I1970" s="415" t="s">
        <v>8501</v>
      </c>
      <c r="J1970" s="415" t="s">
        <v>7694</v>
      </c>
      <c r="K1970" s="419" t="s">
        <v>830</v>
      </c>
      <c r="L1970" s="415" t="s">
        <v>839</v>
      </c>
      <c r="M1970" s="419">
        <v>2160</v>
      </c>
      <c r="N1970" s="413">
        <v>44916</v>
      </c>
      <c r="O1970" s="414" t="s">
        <v>404</v>
      </c>
      <c r="P1970" s="655">
        <f t="shared" si="127"/>
        <v>12</v>
      </c>
      <c r="Q1970" s="655">
        <f t="shared" si="128"/>
        <v>11</v>
      </c>
      <c r="R1970" s="758" t="str">
        <f t="shared" si="129"/>
        <v>Gastos_custeados_por_captação</v>
      </c>
      <c r="S1970" s="697" t="s">
        <v>1000</v>
      </c>
      <c r="T1970" s="697">
        <v>4495</v>
      </c>
    </row>
    <row r="1971" spans="1:20" ht="48" x14ac:dyDescent="0.2">
      <c r="A1971" s="432">
        <f>IF(B1971="","",COUNT('Diário 1º PA'!$A$4:$A$2635)+COUNT('Diário 2º PA'!$A$4:$A$3040)+COUNT('Diário 3º PA'!$A$4:$A$2731)+ROW()-3)</f>
        <v>7996</v>
      </c>
      <c r="B1971" s="413">
        <v>44918</v>
      </c>
      <c r="C1971" s="431"/>
      <c r="D1971" s="419" t="s">
        <v>468</v>
      </c>
      <c r="E1971" s="419" t="s">
        <v>468</v>
      </c>
      <c r="F1971" s="422">
        <v>900</v>
      </c>
      <c r="G1971" s="427" t="s">
        <v>8362</v>
      </c>
      <c r="H1971" s="419" t="s">
        <v>468</v>
      </c>
      <c r="I1971" s="415" t="s">
        <v>9106</v>
      </c>
      <c r="J1971" s="415" t="s">
        <v>8363</v>
      </c>
      <c r="K1971" s="419" t="s">
        <v>6327</v>
      </c>
      <c r="L1971" s="415" t="s">
        <v>32</v>
      </c>
      <c r="M1971" s="419" t="s">
        <v>848</v>
      </c>
      <c r="N1971" s="413">
        <v>44909</v>
      </c>
      <c r="O1971" s="414" t="s">
        <v>3762</v>
      </c>
      <c r="P1971" s="655">
        <f t="shared" ref="P1971:P2030" si="136">IF(B1971=0,0,IF(YEAR(B1971)=$Q$1,MONTH(B1971)-$P$1+1,(YEAR(B1971)-$Q$1)*12-$P$1+1+MONTH(B1971)))</f>
        <v>12</v>
      </c>
      <c r="Q1971" s="655">
        <f t="shared" ref="Q1971:Q2030" si="137">IF(C1971=0,0,IF(YEAR(C1971)=$Q$1,MONTH(C1971)-$P$1+1,(YEAR(C1971)-$Q$1)*12-$P$1+1+MONTH(C1971)))</f>
        <v>0</v>
      </c>
      <c r="R1971" s="758" t="str">
        <f t="shared" ref="R1971:R2030" si="138">SUBSTITUTE(D1971," ","_")</f>
        <v>Gastos_custeados_por_captação</v>
      </c>
      <c r="S1971" s="697" t="s">
        <v>998</v>
      </c>
      <c r="T1971" s="697">
        <v>4645</v>
      </c>
    </row>
    <row r="1972" spans="1:20" ht="36" x14ac:dyDescent="0.2">
      <c r="A1972" s="432">
        <f>IF(B1972="","",COUNT('Diário 1º PA'!$A$4:$A$2635)+COUNT('Diário 2º PA'!$A$4:$A$3040)+COUNT('Diário 3º PA'!$A$4:$A$2731)+ROW()-3)</f>
        <v>7997</v>
      </c>
      <c r="B1972" s="413">
        <v>44918</v>
      </c>
      <c r="C1972" s="421">
        <v>44866</v>
      </c>
      <c r="D1972" s="419" t="s">
        <v>468</v>
      </c>
      <c r="E1972" s="419" t="s">
        <v>468</v>
      </c>
      <c r="F1972" s="422">
        <v>335.34</v>
      </c>
      <c r="G1972" s="427" t="s">
        <v>9107</v>
      </c>
      <c r="H1972" s="419" t="s">
        <v>468</v>
      </c>
      <c r="I1972" s="427" t="s">
        <v>1461</v>
      </c>
      <c r="J1972" s="415" t="s">
        <v>310</v>
      </c>
      <c r="K1972" s="415" t="s">
        <v>1220</v>
      </c>
      <c r="L1972" s="415" t="s">
        <v>1368</v>
      </c>
      <c r="M1972" s="415" t="s">
        <v>310</v>
      </c>
      <c r="N1972" s="413">
        <v>44918</v>
      </c>
      <c r="O1972" s="414" t="s">
        <v>3762</v>
      </c>
      <c r="P1972" s="655">
        <f t="shared" si="136"/>
        <v>12</v>
      </c>
      <c r="Q1972" s="655">
        <f t="shared" si="137"/>
        <v>11</v>
      </c>
      <c r="R1972" s="758" t="str">
        <f t="shared" si="138"/>
        <v>Gastos_custeados_por_captação</v>
      </c>
      <c r="S1972" s="697" t="s">
        <v>310</v>
      </c>
      <c r="T1972" s="697" t="s">
        <v>310</v>
      </c>
    </row>
    <row r="1973" spans="1:20" ht="108" x14ac:dyDescent="0.2">
      <c r="A1973" s="432">
        <f>IF(B1973="","",COUNT('Diário 1º PA'!$A$4:$A$2635)+COUNT('Diário 2º PA'!$A$4:$A$3040)+COUNT('Diário 3º PA'!$A$4:$A$2731)+ROW()-3)</f>
        <v>7998</v>
      </c>
      <c r="B1973" s="413">
        <v>44918</v>
      </c>
      <c r="C1973" s="431">
        <v>44866</v>
      </c>
      <c r="D1973" s="419" t="s">
        <v>468</v>
      </c>
      <c r="E1973" s="419" t="s">
        <v>468</v>
      </c>
      <c r="F1973" s="422">
        <v>3623.67</v>
      </c>
      <c r="G1973" s="427" t="s">
        <v>6265</v>
      </c>
      <c r="H1973" s="419" t="s">
        <v>468</v>
      </c>
      <c r="I1973" s="415" t="s">
        <v>7952</v>
      </c>
      <c r="J1973" s="415" t="s">
        <v>2345</v>
      </c>
      <c r="K1973" s="419" t="s">
        <v>830</v>
      </c>
      <c r="L1973" s="415" t="s">
        <v>32</v>
      </c>
      <c r="M1973" s="419" t="s">
        <v>1333</v>
      </c>
      <c r="N1973" s="413">
        <v>44916</v>
      </c>
      <c r="O1973" s="414" t="s">
        <v>3762</v>
      </c>
      <c r="P1973" s="655">
        <f t="shared" si="136"/>
        <v>12</v>
      </c>
      <c r="Q1973" s="655">
        <f t="shared" si="137"/>
        <v>11</v>
      </c>
      <c r="R1973" s="758" t="str">
        <f t="shared" si="138"/>
        <v>Gastos_custeados_por_captação</v>
      </c>
      <c r="S1973" s="697" t="s">
        <v>1000</v>
      </c>
      <c r="T1973" s="697">
        <v>4210</v>
      </c>
    </row>
    <row r="1974" spans="1:20" ht="120" x14ac:dyDescent="0.2">
      <c r="A1974" s="432">
        <f>IF(B1974="","",COUNT('Diário 1º PA'!$A$4:$A$2635)+COUNT('Diário 2º PA'!$A$4:$A$3040)+COUNT('Diário 3º PA'!$A$4:$A$2731)+ROW()-3)</f>
        <v>7999</v>
      </c>
      <c r="B1974" s="413">
        <v>44918</v>
      </c>
      <c r="C1974" s="431">
        <v>44866</v>
      </c>
      <c r="D1974" s="419" t="s">
        <v>468</v>
      </c>
      <c r="E1974" s="419" t="s">
        <v>468</v>
      </c>
      <c r="F1974" s="422">
        <v>1700</v>
      </c>
      <c r="G1974" s="427" t="s">
        <v>6923</v>
      </c>
      <c r="H1974" s="419" t="s">
        <v>468</v>
      </c>
      <c r="I1974" s="415" t="s">
        <v>7354</v>
      </c>
      <c r="J1974" s="415" t="s">
        <v>6924</v>
      </c>
      <c r="K1974" s="419" t="s">
        <v>830</v>
      </c>
      <c r="L1974" s="415" t="s">
        <v>32</v>
      </c>
      <c r="M1974" s="419" t="s">
        <v>1786</v>
      </c>
      <c r="N1974" s="413">
        <v>44916</v>
      </c>
      <c r="O1974" s="414" t="s">
        <v>3762</v>
      </c>
      <c r="P1974" s="655">
        <f t="shared" si="136"/>
        <v>12</v>
      </c>
      <c r="Q1974" s="655">
        <f t="shared" si="137"/>
        <v>11</v>
      </c>
      <c r="R1974" s="758" t="str">
        <f t="shared" si="138"/>
        <v>Gastos_custeados_por_captação</v>
      </c>
      <c r="S1974" s="697" t="s">
        <v>1000</v>
      </c>
      <c r="T1974" s="697">
        <v>4211</v>
      </c>
    </row>
    <row r="1975" spans="1:20" ht="36" x14ac:dyDescent="0.2">
      <c r="A1975" s="432">
        <f>IF(B1975="","",COUNT('Diário 1º PA'!$A$4:$A$2635)+COUNT('Diário 2º PA'!$A$4:$A$3040)+COUNT('Diário 3º PA'!$A$4:$A$2731)+ROW()-3)</f>
        <v>8000</v>
      </c>
      <c r="B1975" s="413">
        <v>44918</v>
      </c>
      <c r="C1975" s="421">
        <v>44896</v>
      </c>
      <c r="D1975" s="419" t="s">
        <v>468</v>
      </c>
      <c r="E1975" s="419" t="s">
        <v>468</v>
      </c>
      <c r="F1975" s="422">
        <v>11</v>
      </c>
      <c r="G1975" s="427" t="s">
        <v>2469</v>
      </c>
      <c r="H1975" s="419" t="s">
        <v>468</v>
      </c>
      <c r="I1975" s="639" t="s">
        <v>881</v>
      </c>
      <c r="J1975" s="418" t="s">
        <v>882</v>
      </c>
      <c r="K1975" s="418" t="s">
        <v>883</v>
      </c>
      <c r="L1975" s="399" t="s">
        <v>798</v>
      </c>
      <c r="M1975" s="544" t="s">
        <v>310</v>
      </c>
      <c r="N1975" s="413">
        <v>44918</v>
      </c>
      <c r="O1975" s="414" t="s">
        <v>3762</v>
      </c>
      <c r="P1975" s="655">
        <f t="shared" si="136"/>
        <v>12</v>
      </c>
      <c r="Q1975" s="655">
        <f t="shared" si="137"/>
        <v>12</v>
      </c>
      <c r="R1975" s="758" t="str">
        <f t="shared" si="138"/>
        <v>Gastos_custeados_por_captação</v>
      </c>
      <c r="S1975" s="697" t="s">
        <v>310</v>
      </c>
      <c r="T1975" s="697" t="s">
        <v>310</v>
      </c>
    </row>
    <row r="1976" spans="1:20" ht="36" x14ac:dyDescent="0.2">
      <c r="A1976" s="432">
        <f>IF(B1976="","",COUNT('Diário 1º PA'!$A$4:$A$2635)+COUNT('Diário 2º PA'!$A$4:$A$3040)+COUNT('Diário 3º PA'!$A$4:$A$2731)+ROW()-3)</f>
        <v>8001</v>
      </c>
      <c r="B1976" s="413">
        <v>44918</v>
      </c>
      <c r="C1976" s="421">
        <v>44896</v>
      </c>
      <c r="D1976" s="419" t="s">
        <v>468</v>
      </c>
      <c r="E1976" s="419" t="s">
        <v>468</v>
      </c>
      <c r="F1976" s="422">
        <v>11</v>
      </c>
      <c r="G1976" s="427" t="s">
        <v>2469</v>
      </c>
      <c r="H1976" s="419" t="s">
        <v>468</v>
      </c>
      <c r="I1976" s="639" t="s">
        <v>881</v>
      </c>
      <c r="J1976" s="418" t="s">
        <v>882</v>
      </c>
      <c r="K1976" s="418" t="s">
        <v>883</v>
      </c>
      <c r="L1976" s="399" t="s">
        <v>798</v>
      </c>
      <c r="M1976" s="544" t="s">
        <v>310</v>
      </c>
      <c r="N1976" s="413">
        <v>44918</v>
      </c>
      <c r="O1976" s="414" t="s">
        <v>3762</v>
      </c>
      <c r="P1976" s="655">
        <f t="shared" si="136"/>
        <v>12</v>
      </c>
      <c r="Q1976" s="655">
        <f t="shared" si="137"/>
        <v>12</v>
      </c>
      <c r="R1976" s="758" t="str">
        <f t="shared" si="138"/>
        <v>Gastos_custeados_por_captação</v>
      </c>
      <c r="S1976" s="697" t="s">
        <v>310</v>
      </c>
      <c r="T1976" s="697" t="s">
        <v>310</v>
      </c>
    </row>
    <row r="1977" spans="1:20" ht="36" x14ac:dyDescent="0.2">
      <c r="A1977" s="432">
        <f>IF(B1977="","",COUNT('Diário 1º PA'!$A$4:$A$2635)+COUNT('Diário 2º PA'!$A$4:$A$3040)+COUNT('Diário 3º PA'!$A$4:$A$2731)+ROW()-3)</f>
        <v>8002</v>
      </c>
      <c r="B1977" s="413">
        <v>44918</v>
      </c>
      <c r="C1977" s="421">
        <v>44896</v>
      </c>
      <c r="D1977" s="419" t="s">
        <v>468</v>
      </c>
      <c r="E1977" s="419" t="s">
        <v>468</v>
      </c>
      <c r="F1977" s="422">
        <v>8.91</v>
      </c>
      <c r="G1977" s="427" t="s">
        <v>9109</v>
      </c>
      <c r="H1977" s="419" t="s">
        <v>468</v>
      </c>
      <c r="I1977" s="639" t="s">
        <v>881</v>
      </c>
      <c r="J1977" s="418" t="s">
        <v>882</v>
      </c>
      <c r="K1977" s="418" t="s">
        <v>883</v>
      </c>
      <c r="L1977" s="399" t="s">
        <v>798</v>
      </c>
      <c r="M1977" s="544" t="s">
        <v>310</v>
      </c>
      <c r="N1977" s="413">
        <v>44918</v>
      </c>
      <c r="O1977" s="414" t="s">
        <v>3762</v>
      </c>
      <c r="P1977" s="655">
        <f t="shared" si="136"/>
        <v>12</v>
      </c>
      <c r="Q1977" s="655">
        <f t="shared" si="137"/>
        <v>12</v>
      </c>
      <c r="R1977" s="758" t="str">
        <f t="shared" si="138"/>
        <v>Gastos_custeados_por_captação</v>
      </c>
      <c r="S1977" s="697" t="s">
        <v>310</v>
      </c>
      <c r="T1977" s="697" t="s">
        <v>310</v>
      </c>
    </row>
    <row r="1978" spans="1:20" ht="36" x14ac:dyDescent="0.2">
      <c r="A1978" s="432">
        <f>IF(B1978="","",COUNT('Diário 1º PA'!$A$4:$A$2635)+COUNT('Diário 2º PA'!$A$4:$A$3040)+COUNT('Diário 3º PA'!$A$4:$A$2731)+ROW()-3)</f>
        <v>8003</v>
      </c>
      <c r="B1978" s="413">
        <v>44921</v>
      </c>
      <c r="C1978" s="421">
        <v>44896</v>
      </c>
      <c r="D1978" s="415" t="s">
        <v>182</v>
      </c>
      <c r="E1978" s="415" t="s">
        <v>287</v>
      </c>
      <c r="F1978" s="425">
        <v>3909.43</v>
      </c>
      <c r="G1978" s="427" t="s">
        <v>9110</v>
      </c>
      <c r="H1978" s="415" t="s">
        <v>310</v>
      </c>
      <c r="I1978" s="415" t="s">
        <v>946</v>
      </c>
      <c r="J1978" s="419" t="s">
        <v>947</v>
      </c>
      <c r="K1978" s="419" t="s">
        <v>830</v>
      </c>
      <c r="L1978" s="434" t="s">
        <v>925</v>
      </c>
      <c r="M1978" s="419" t="s">
        <v>310</v>
      </c>
      <c r="N1978" s="413">
        <v>44921</v>
      </c>
      <c r="O1978" s="414" t="s">
        <v>400</v>
      </c>
      <c r="P1978" s="655">
        <f t="shared" si="136"/>
        <v>12</v>
      </c>
      <c r="Q1978" s="655">
        <f t="shared" si="137"/>
        <v>12</v>
      </c>
      <c r="R1978" s="758" t="str">
        <f t="shared" si="138"/>
        <v>Gastos_com_Pessoal</v>
      </c>
      <c r="S1978" s="697" t="s">
        <v>310</v>
      </c>
      <c r="T1978" s="697" t="s">
        <v>310</v>
      </c>
    </row>
    <row r="1979" spans="1:20" ht="24" x14ac:dyDescent="0.2">
      <c r="A1979" s="432">
        <f>IF(B1979="","",COUNT('Diário 1º PA'!$A$4:$A$2635)+COUNT('Diário 2º PA'!$A$4:$A$3040)+COUNT('Diário 3º PA'!$A$4:$A$2731)+ROW()-3)</f>
        <v>8004</v>
      </c>
      <c r="B1979" s="413">
        <v>44921</v>
      </c>
      <c r="C1979" s="433">
        <v>44866</v>
      </c>
      <c r="D1979" s="434" t="s">
        <v>271</v>
      </c>
      <c r="E1979" s="434" t="s">
        <v>164</v>
      </c>
      <c r="F1979" s="422">
        <v>776.47</v>
      </c>
      <c r="G1979" s="437" t="s">
        <v>502</v>
      </c>
      <c r="H1979" s="434" t="s">
        <v>309</v>
      </c>
      <c r="I1979" s="437" t="s">
        <v>769</v>
      </c>
      <c r="J1979" s="434" t="s">
        <v>1478</v>
      </c>
      <c r="K1979" s="434" t="s">
        <v>1404</v>
      </c>
      <c r="L1979" s="434" t="s">
        <v>1372</v>
      </c>
      <c r="M1979" s="419">
        <v>4852093314</v>
      </c>
      <c r="N1979" s="413">
        <v>44902</v>
      </c>
      <c r="O1979" s="414" t="s">
        <v>400</v>
      </c>
      <c r="P1979" s="655">
        <f t="shared" si="136"/>
        <v>12</v>
      </c>
      <c r="Q1979" s="655">
        <f t="shared" si="137"/>
        <v>11</v>
      </c>
      <c r="R1979" s="758" t="str">
        <f t="shared" si="138"/>
        <v>Gastos_Gerais</v>
      </c>
      <c r="S1979" s="697" t="s">
        <v>310</v>
      </c>
      <c r="T1979" s="697" t="s">
        <v>310</v>
      </c>
    </row>
    <row r="1980" spans="1:20" ht="24" x14ac:dyDescent="0.2">
      <c r="A1980" s="432">
        <f>IF(B1980="","",COUNT('Diário 1º PA'!$A$4:$A$2635)+COUNT('Diário 2º PA'!$A$4:$A$3040)+COUNT('Diário 3º PA'!$A$4:$A$2731)+ROW()-3)</f>
        <v>8005</v>
      </c>
      <c r="B1980" s="413">
        <v>44921</v>
      </c>
      <c r="C1980" s="431">
        <v>44866</v>
      </c>
      <c r="D1980" s="415" t="s">
        <v>271</v>
      </c>
      <c r="E1980" s="415" t="s">
        <v>297</v>
      </c>
      <c r="F1980" s="422">
        <v>600</v>
      </c>
      <c r="G1980" s="427" t="s">
        <v>5681</v>
      </c>
      <c r="H1980" s="415" t="s">
        <v>309</v>
      </c>
      <c r="I1980" s="415" t="s">
        <v>9013</v>
      </c>
      <c r="J1980" s="419" t="s">
        <v>1483</v>
      </c>
      <c r="K1980" s="419" t="s">
        <v>812</v>
      </c>
      <c r="L1980" s="415" t="s">
        <v>32</v>
      </c>
      <c r="M1980" s="415" t="s">
        <v>8355</v>
      </c>
      <c r="N1980" s="415" t="s">
        <v>8355</v>
      </c>
      <c r="O1980" s="414" t="s">
        <v>400</v>
      </c>
      <c r="P1980" s="655">
        <f t="shared" si="136"/>
        <v>12</v>
      </c>
      <c r="Q1980" s="655">
        <f t="shared" si="137"/>
        <v>11</v>
      </c>
      <c r="R1980" s="758" t="str">
        <f t="shared" si="138"/>
        <v>Gastos_Gerais</v>
      </c>
      <c r="S1980" s="697" t="s">
        <v>1000</v>
      </c>
      <c r="T1980" s="697">
        <v>3953</v>
      </c>
    </row>
    <row r="1981" spans="1:20" ht="72" x14ac:dyDescent="0.2">
      <c r="A1981" s="432">
        <f>IF(B1981="","",COUNT('Diário 1º PA'!$A$4:$A$2635)+COUNT('Diário 2º PA'!$A$4:$A$3040)+COUNT('Diário 3º PA'!$A$4:$A$2731)+ROW()-3)</f>
        <v>8006</v>
      </c>
      <c r="B1981" s="413">
        <v>44921</v>
      </c>
      <c r="C1981" s="431">
        <v>44896</v>
      </c>
      <c r="D1981" s="419" t="s">
        <v>271</v>
      </c>
      <c r="E1981" s="415" t="s">
        <v>452</v>
      </c>
      <c r="F1981" s="425">
        <v>10700</v>
      </c>
      <c r="G1981" s="757" t="s">
        <v>8921</v>
      </c>
      <c r="H1981" s="419" t="s">
        <v>754</v>
      </c>
      <c r="I1981" s="415" t="s">
        <v>8464</v>
      </c>
      <c r="J1981" s="417" t="s">
        <v>7588</v>
      </c>
      <c r="K1981" s="419" t="s">
        <v>6327</v>
      </c>
      <c r="L1981" s="415" t="s">
        <v>32</v>
      </c>
      <c r="M1981" s="419" t="s">
        <v>5115</v>
      </c>
      <c r="N1981" s="413">
        <v>44914</v>
      </c>
      <c r="O1981" s="414" t="s">
        <v>400</v>
      </c>
      <c r="P1981" s="655">
        <f t="shared" si="136"/>
        <v>12</v>
      </c>
      <c r="Q1981" s="655">
        <f t="shared" si="137"/>
        <v>12</v>
      </c>
      <c r="R1981" s="758" t="str">
        <f t="shared" si="138"/>
        <v>Gastos_Gerais</v>
      </c>
      <c r="S1981" s="697" t="s">
        <v>998</v>
      </c>
      <c r="T1981" s="697">
        <v>4878</v>
      </c>
    </row>
    <row r="1982" spans="1:20" ht="36" x14ac:dyDescent="0.2">
      <c r="A1982" s="432">
        <f>IF(B1982="","",COUNT('Diário 1º PA'!$A$4:$A$2635)+COUNT('Diário 2º PA'!$A$4:$A$3040)+COUNT('Diário 3º PA'!$A$4:$A$2731)+ROW()-3)</f>
        <v>8007</v>
      </c>
      <c r="B1982" s="413">
        <v>44921</v>
      </c>
      <c r="C1982" s="421">
        <v>44896</v>
      </c>
      <c r="D1982" s="415" t="s">
        <v>182</v>
      </c>
      <c r="E1982" s="415" t="s">
        <v>287</v>
      </c>
      <c r="F1982" s="422">
        <v>3467.76</v>
      </c>
      <c r="G1982" s="419" t="s">
        <v>9111</v>
      </c>
      <c r="H1982" s="419" t="s">
        <v>310</v>
      </c>
      <c r="I1982" s="415" t="s">
        <v>923</v>
      </c>
      <c r="J1982" s="419" t="s">
        <v>924</v>
      </c>
      <c r="K1982" s="419" t="s">
        <v>9112</v>
      </c>
      <c r="L1982" s="434" t="s">
        <v>925</v>
      </c>
      <c r="M1982" s="419" t="s">
        <v>310</v>
      </c>
      <c r="N1982" s="413">
        <v>44921</v>
      </c>
      <c r="O1982" s="414" t="s">
        <v>400</v>
      </c>
      <c r="P1982" s="655">
        <f t="shared" si="136"/>
        <v>12</v>
      </c>
      <c r="Q1982" s="655">
        <f t="shared" si="137"/>
        <v>12</v>
      </c>
      <c r="R1982" s="758" t="str">
        <f t="shared" si="138"/>
        <v>Gastos_com_Pessoal</v>
      </c>
      <c r="S1982" s="697" t="s">
        <v>310</v>
      </c>
      <c r="T1982" s="697" t="s">
        <v>310</v>
      </c>
    </row>
    <row r="1983" spans="1:20" ht="36" x14ac:dyDescent="0.2">
      <c r="A1983" s="432">
        <f>IF(B1983="","",COUNT('Diário 1º PA'!$A$4:$A$2635)+COUNT('Diário 2º PA'!$A$4:$A$3040)+COUNT('Diário 3º PA'!$A$4:$A$2731)+ROW()-3)</f>
        <v>8008</v>
      </c>
      <c r="B1983" s="413">
        <v>44921</v>
      </c>
      <c r="C1983" s="431">
        <v>44896</v>
      </c>
      <c r="D1983" s="419" t="s">
        <v>271</v>
      </c>
      <c r="E1983" s="419" t="s">
        <v>71</v>
      </c>
      <c r="F1983" s="422">
        <v>10</v>
      </c>
      <c r="G1983" s="423" t="s">
        <v>9114</v>
      </c>
      <c r="H1983" s="419" t="s">
        <v>754</v>
      </c>
      <c r="I1983" s="415" t="s">
        <v>881</v>
      </c>
      <c r="J1983" s="419" t="s">
        <v>882</v>
      </c>
      <c r="K1983" s="419" t="s">
        <v>883</v>
      </c>
      <c r="L1983" s="415" t="s">
        <v>798</v>
      </c>
      <c r="M1983" s="419" t="s">
        <v>310</v>
      </c>
      <c r="N1983" s="413">
        <v>44921</v>
      </c>
      <c r="O1983" s="414" t="s">
        <v>400</v>
      </c>
      <c r="P1983" s="655">
        <f t="shared" ref="P1983" si="139">IF(B1983=0,0,IF(YEAR(B1983)=$Q$1,MONTH(B1983)-$P$1+1,(YEAR(B1983)-$Q$1)*12-$P$1+1+MONTH(B1983)))</f>
        <v>12</v>
      </c>
      <c r="Q1983" s="655">
        <f t="shared" ref="Q1983" si="140">IF(C1983=0,0,IF(YEAR(C1983)=$Q$1,MONTH(C1983)-$P$1+1,(YEAR(C1983)-$Q$1)*12-$P$1+1+MONTH(C1983)))</f>
        <v>12</v>
      </c>
      <c r="R1983" s="758" t="str">
        <f t="shared" ref="R1983" si="141">SUBSTITUTE(D1983," ","_")</f>
        <v>Gastos_Gerais</v>
      </c>
      <c r="S1983" s="697" t="s">
        <v>310</v>
      </c>
      <c r="T1983" s="697" t="s">
        <v>310</v>
      </c>
    </row>
    <row r="1984" spans="1:20" ht="36" x14ac:dyDescent="0.2">
      <c r="A1984" s="432">
        <f>IF(B1984="","",COUNT('Diário 1º PA'!$A$4:$A$2635)+COUNT('Diário 2º PA'!$A$4:$A$3040)+COUNT('Diário 3º PA'!$A$4:$A$2731)+ROW()-3)</f>
        <v>8009</v>
      </c>
      <c r="B1984" s="413">
        <v>44921</v>
      </c>
      <c r="C1984" s="431">
        <v>44896</v>
      </c>
      <c r="D1984" s="419" t="s">
        <v>271</v>
      </c>
      <c r="E1984" s="419" t="s">
        <v>71</v>
      </c>
      <c r="F1984" s="422">
        <v>11</v>
      </c>
      <c r="G1984" s="423" t="s">
        <v>9113</v>
      </c>
      <c r="H1984" s="419" t="s">
        <v>310</v>
      </c>
      <c r="I1984" s="415" t="s">
        <v>881</v>
      </c>
      <c r="J1984" s="419" t="s">
        <v>882</v>
      </c>
      <c r="K1984" s="419" t="s">
        <v>883</v>
      </c>
      <c r="L1984" s="415" t="s">
        <v>798</v>
      </c>
      <c r="M1984" s="419" t="s">
        <v>310</v>
      </c>
      <c r="N1984" s="413">
        <v>44921</v>
      </c>
      <c r="O1984" s="414" t="s">
        <v>400</v>
      </c>
      <c r="P1984" s="655">
        <f t="shared" si="136"/>
        <v>12</v>
      </c>
      <c r="Q1984" s="655">
        <f t="shared" si="137"/>
        <v>12</v>
      </c>
      <c r="R1984" s="758" t="str">
        <f t="shared" si="138"/>
        <v>Gastos_Gerais</v>
      </c>
      <c r="S1984" s="697" t="s">
        <v>310</v>
      </c>
      <c r="T1984" s="697" t="s">
        <v>310</v>
      </c>
    </row>
    <row r="1985" spans="1:20" ht="36" x14ac:dyDescent="0.2">
      <c r="A1985" s="432">
        <f>IF(B1985="","",COUNT('Diário 1º PA'!$A$4:$A$2635)+COUNT('Diário 2º PA'!$A$4:$A$3040)+COUNT('Diário 3º PA'!$A$4:$A$2731)+ROW()-3)</f>
        <v>8010</v>
      </c>
      <c r="B1985" s="413">
        <v>44921</v>
      </c>
      <c r="C1985" s="431">
        <v>44896</v>
      </c>
      <c r="D1985" s="419" t="s">
        <v>34</v>
      </c>
      <c r="E1985" s="419" t="s">
        <v>167</v>
      </c>
      <c r="F1985" s="422">
        <v>212500</v>
      </c>
      <c r="G1985" s="423" t="s">
        <v>9126</v>
      </c>
      <c r="H1985" s="419" t="s">
        <v>310</v>
      </c>
      <c r="I1985" s="427" t="s">
        <v>2437</v>
      </c>
      <c r="J1985" s="415" t="s">
        <v>796</v>
      </c>
      <c r="K1985" s="415" t="s">
        <v>797</v>
      </c>
      <c r="L1985" s="415" t="s">
        <v>798</v>
      </c>
      <c r="M1985" s="415" t="s">
        <v>310</v>
      </c>
      <c r="N1985" s="414">
        <v>44921</v>
      </c>
      <c r="O1985" s="414" t="s">
        <v>9125</v>
      </c>
      <c r="P1985" s="655">
        <f t="shared" ref="P1985:P1988" si="142">IF(B1985=0,0,IF(YEAR(B1985)=$Q$1,MONTH(B1985)-$P$1+1,(YEAR(B1985)-$Q$1)*12-$P$1+1+MONTH(B1985)))</f>
        <v>12</v>
      </c>
      <c r="Q1985" s="655">
        <f t="shared" ref="Q1985:Q1988" si="143">IF(C1985=0,0,IF(YEAR(C1985)=$Q$1,MONTH(C1985)-$P$1+1,(YEAR(C1985)-$Q$1)*12-$P$1+1+MONTH(C1985)))</f>
        <v>12</v>
      </c>
      <c r="R1985" s="758" t="str">
        <f t="shared" ref="R1985:R1988" si="144">SUBSTITUTE(D1985," ","_")</f>
        <v>Receitas</v>
      </c>
      <c r="S1985" s="697" t="s">
        <v>310</v>
      </c>
      <c r="T1985" s="697" t="s">
        <v>310</v>
      </c>
    </row>
    <row r="1986" spans="1:20" ht="36" x14ac:dyDescent="0.2">
      <c r="A1986" s="432">
        <f>IF(B1986="","",COUNT('Diário 1º PA'!$A$4:$A$2635)+COUNT('Diário 2º PA'!$A$4:$A$3040)+COUNT('Diário 3º PA'!$A$4:$A$2731)+ROW()-3)</f>
        <v>8011</v>
      </c>
      <c r="B1986" s="413">
        <v>44921</v>
      </c>
      <c r="C1986" s="431">
        <v>44896</v>
      </c>
      <c r="D1986" s="419" t="s">
        <v>34</v>
      </c>
      <c r="E1986" s="419" t="s">
        <v>167</v>
      </c>
      <c r="F1986" s="422">
        <v>37500</v>
      </c>
      <c r="G1986" s="423" t="s">
        <v>9126</v>
      </c>
      <c r="H1986" s="419" t="s">
        <v>310</v>
      </c>
      <c r="I1986" s="427" t="s">
        <v>2437</v>
      </c>
      <c r="J1986" s="415" t="s">
        <v>796</v>
      </c>
      <c r="K1986" s="415" t="s">
        <v>797</v>
      </c>
      <c r="L1986" s="415" t="s">
        <v>798</v>
      </c>
      <c r="M1986" s="415" t="s">
        <v>310</v>
      </c>
      <c r="N1986" s="414">
        <v>44921</v>
      </c>
      <c r="O1986" s="414" t="s">
        <v>9125</v>
      </c>
      <c r="P1986" s="655">
        <f t="shared" ref="P1986:P1987" si="145">IF(B1986=0,0,IF(YEAR(B1986)=$Q$1,MONTH(B1986)-$P$1+1,(YEAR(B1986)-$Q$1)*12-$P$1+1+MONTH(B1986)))</f>
        <v>12</v>
      </c>
      <c r="Q1986" s="655">
        <f t="shared" ref="Q1986:Q1987" si="146">IF(C1986=0,0,IF(YEAR(C1986)=$Q$1,MONTH(C1986)-$P$1+1,(YEAR(C1986)-$Q$1)*12-$P$1+1+MONTH(C1986)))</f>
        <v>12</v>
      </c>
      <c r="R1986" s="758" t="str">
        <f t="shared" ref="R1986:R1987" si="147">SUBSTITUTE(D1986," ","_")</f>
        <v>Receitas</v>
      </c>
      <c r="S1986" s="697" t="s">
        <v>310</v>
      </c>
      <c r="T1986" s="697" t="s">
        <v>310</v>
      </c>
    </row>
    <row r="1987" spans="1:20" ht="36" x14ac:dyDescent="0.2">
      <c r="A1987" s="432">
        <f>IF(B1987="","",COUNT('Diário 1º PA'!$A$4:$A$2635)+COUNT('Diário 2º PA'!$A$4:$A$3040)+COUNT('Diário 3º PA'!$A$4:$A$2731)+ROW()-3)</f>
        <v>8012</v>
      </c>
      <c r="B1987" s="413">
        <v>44921</v>
      </c>
      <c r="C1987" s="431">
        <v>44896</v>
      </c>
      <c r="D1987" s="419" t="s">
        <v>34</v>
      </c>
      <c r="E1987" s="419" t="s">
        <v>167</v>
      </c>
      <c r="F1987" s="422">
        <v>493000</v>
      </c>
      <c r="G1987" s="423" t="s">
        <v>5658</v>
      </c>
      <c r="H1987" s="419" t="s">
        <v>310</v>
      </c>
      <c r="I1987" s="427" t="s">
        <v>2437</v>
      </c>
      <c r="J1987" s="415" t="s">
        <v>796</v>
      </c>
      <c r="K1987" s="415" t="s">
        <v>797</v>
      </c>
      <c r="L1987" s="415" t="s">
        <v>798</v>
      </c>
      <c r="M1987" s="415" t="s">
        <v>310</v>
      </c>
      <c r="N1987" s="414">
        <v>44921</v>
      </c>
      <c r="O1987" s="414" t="s">
        <v>9125</v>
      </c>
      <c r="P1987" s="655">
        <f t="shared" si="145"/>
        <v>12</v>
      </c>
      <c r="Q1987" s="655">
        <f t="shared" si="146"/>
        <v>12</v>
      </c>
      <c r="R1987" s="758" t="str">
        <f t="shared" si="147"/>
        <v>Receitas</v>
      </c>
      <c r="S1987" s="697" t="s">
        <v>310</v>
      </c>
      <c r="T1987" s="697" t="s">
        <v>310</v>
      </c>
    </row>
    <row r="1988" spans="1:20" ht="36" x14ac:dyDescent="0.2">
      <c r="A1988" s="432">
        <f>IF(B1988="","",COUNT('Diário 1º PA'!$A$4:$A$2635)+COUNT('Diário 2º PA'!$A$4:$A$3040)+COUNT('Diário 3º PA'!$A$4:$A$2731)+ROW()-3)</f>
        <v>8013</v>
      </c>
      <c r="B1988" s="413">
        <v>44921</v>
      </c>
      <c r="C1988" s="431">
        <v>44896</v>
      </c>
      <c r="D1988" s="419" t="s">
        <v>34</v>
      </c>
      <c r="E1988" s="419" t="s">
        <v>167</v>
      </c>
      <c r="F1988" s="422">
        <v>87000</v>
      </c>
      <c r="G1988" s="423" t="s">
        <v>5658</v>
      </c>
      <c r="H1988" s="419" t="s">
        <v>310</v>
      </c>
      <c r="I1988" s="427" t="s">
        <v>2437</v>
      </c>
      <c r="J1988" s="415" t="s">
        <v>796</v>
      </c>
      <c r="K1988" s="415" t="s">
        <v>797</v>
      </c>
      <c r="L1988" s="415" t="s">
        <v>798</v>
      </c>
      <c r="M1988" s="415" t="s">
        <v>310</v>
      </c>
      <c r="N1988" s="414">
        <v>44921</v>
      </c>
      <c r="O1988" s="414" t="s">
        <v>9125</v>
      </c>
      <c r="P1988" s="655">
        <f t="shared" si="142"/>
        <v>12</v>
      </c>
      <c r="Q1988" s="655">
        <f t="shared" si="143"/>
        <v>12</v>
      </c>
      <c r="R1988" s="758" t="str">
        <f t="shared" si="144"/>
        <v>Receitas</v>
      </c>
      <c r="S1988" s="697" t="s">
        <v>310</v>
      </c>
      <c r="T1988" s="697" t="s">
        <v>310</v>
      </c>
    </row>
    <row r="1989" spans="1:20" ht="72" x14ac:dyDescent="0.2">
      <c r="A1989" s="432">
        <f>IF(B1989="","",COUNT('Diário 1º PA'!$A$4:$A$2635)+COUNT('Diário 2º PA'!$A$4:$A$3040)+COUNT('Diário 3º PA'!$A$4:$A$2731)+ROW()-3)</f>
        <v>8014</v>
      </c>
      <c r="B1989" s="413">
        <v>44922</v>
      </c>
      <c r="C1989" s="431">
        <v>44896</v>
      </c>
      <c r="D1989" s="419" t="s">
        <v>271</v>
      </c>
      <c r="E1989" s="415" t="s">
        <v>456</v>
      </c>
      <c r="F1989" s="425">
        <v>460</v>
      </c>
      <c r="G1989" s="757" t="s">
        <v>9120</v>
      </c>
      <c r="H1989" s="419" t="s">
        <v>754</v>
      </c>
      <c r="I1989" s="415" t="s">
        <v>4878</v>
      </c>
      <c r="J1989" s="417" t="s">
        <v>4879</v>
      </c>
      <c r="K1989" s="419" t="s">
        <v>806</v>
      </c>
      <c r="L1989" s="415" t="s">
        <v>9123</v>
      </c>
      <c r="M1989" s="415">
        <v>12053</v>
      </c>
      <c r="N1989" s="414">
        <v>44923</v>
      </c>
      <c r="O1989" s="414" t="s">
        <v>400</v>
      </c>
      <c r="P1989" s="655">
        <f t="shared" ref="P1989:P1991" si="148">IF(B1989=0,0,IF(YEAR(B1989)=$Q$1,MONTH(B1989)-$P$1+1,(YEAR(B1989)-$Q$1)*12-$P$1+1+MONTH(B1989)))</f>
        <v>12</v>
      </c>
      <c r="Q1989" s="655">
        <f t="shared" ref="Q1989:Q1991" si="149">IF(C1989=0,0,IF(YEAR(C1989)=$Q$1,MONTH(C1989)-$P$1+1,(YEAR(C1989)-$Q$1)*12-$P$1+1+MONTH(C1989)))</f>
        <v>12</v>
      </c>
      <c r="R1989" s="758" t="str">
        <f t="shared" ref="R1989:R1991" si="150">SUBSTITUTE(D1989," ","_")</f>
        <v>Gastos_Gerais</v>
      </c>
      <c r="S1989" s="697" t="s">
        <v>999</v>
      </c>
      <c r="T1989" s="697">
        <v>4947</v>
      </c>
    </row>
    <row r="1990" spans="1:20" ht="36" x14ac:dyDescent="0.2">
      <c r="A1990" s="432">
        <f>IF(B1990="","",COUNT('Diário 1º PA'!$A$4:$A$2635)+COUNT('Diário 2º PA'!$A$4:$A$3040)+COUNT('Diário 3º PA'!$A$4:$A$2731)+ROW()-3)</f>
        <v>8015</v>
      </c>
      <c r="B1990" s="413">
        <v>44922</v>
      </c>
      <c r="C1990" s="431">
        <v>44896</v>
      </c>
      <c r="D1990" s="419" t="s">
        <v>271</v>
      </c>
      <c r="E1990" s="415" t="s">
        <v>139</v>
      </c>
      <c r="F1990" s="422">
        <v>118.13</v>
      </c>
      <c r="G1990" s="757" t="s">
        <v>8919</v>
      </c>
      <c r="H1990" s="419" t="s">
        <v>309</v>
      </c>
      <c r="I1990" s="415" t="s">
        <v>9124</v>
      </c>
      <c r="J1990" s="417" t="s">
        <v>8918</v>
      </c>
      <c r="K1990" s="419" t="s">
        <v>812</v>
      </c>
      <c r="L1990" s="415" t="s">
        <v>32</v>
      </c>
      <c r="M1990" s="419">
        <v>43306</v>
      </c>
      <c r="N1990" s="413">
        <v>44911</v>
      </c>
      <c r="O1990" s="414" t="s">
        <v>400</v>
      </c>
      <c r="P1990" s="655">
        <f t="shared" si="148"/>
        <v>12</v>
      </c>
      <c r="Q1990" s="655">
        <f t="shared" si="149"/>
        <v>12</v>
      </c>
      <c r="R1990" s="758" t="str">
        <f t="shared" si="150"/>
        <v>Gastos_Gerais</v>
      </c>
      <c r="S1990" s="697" t="s">
        <v>999</v>
      </c>
      <c r="T1990" s="697">
        <v>4916</v>
      </c>
    </row>
    <row r="1991" spans="1:20" ht="36" x14ac:dyDescent="0.2">
      <c r="A1991" s="432">
        <f>IF(B1991="","",COUNT('Diário 1º PA'!$A$4:$A$2635)+COUNT('Diário 2º PA'!$A$4:$A$3040)+COUNT('Diário 3º PA'!$A$4:$A$2731)+ROW()-3)</f>
        <v>8016</v>
      </c>
      <c r="B1991" s="413">
        <v>44922</v>
      </c>
      <c r="C1991" s="431">
        <v>44896</v>
      </c>
      <c r="D1991" s="419" t="s">
        <v>34</v>
      </c>
      <c r="E1991" s="419" t="s">
        <v>167</v>
      </c>
      <c r="F1991" s="422">
        <v>2737439.65</v>
      </c>
      <c r="G1991" s="423" t="s">
        <v>9127</v>
      </c>
      <c r="H1991" s="419" t="s">
        <v>310</v>
      </c>
      <c r="I1991" s="427" t="s">
        <v>2437</v>
      </c>
      <c r="J1991" s="415" t="s">
        <v>796</v>
      </c>
      <c r="K1991" s="415" t="s">
        <v>797</v>
      </c>
      <c r="L1991" s="415" t="s">
        <v>798</v>
      </c>
      <c r="M1991" s="415" t="s">
        <v>310</v>
      </c>
      <c r="N1991" s="414">
        <v>44922</v>
      </c>
      <c r="O1991" s="414" t="s">
        <v>9125</v>
      </c>
      <c r="P1991" s="655">
        <f t="shared" si="148"/>
        <v>12</v>
      </c>
      <c r="Q1991" s="655">
        <f t="shared" si="149"/>
        <v>12</v>
      </c>
      <c r="R1991" s="758" t="str">
        <f t="shared" si="150"/>
        <v>Receitas</v>
      </c>
      <c r="S1991" s="697" t="s">
        <v>310</v>
      </c>
      <c r="T1991" s="697" t="s">
        <v>310</v>
      </c>
    </row>
    <row r="1992" spans="1:20" ht="36" x14ac:dyDescent="0.2">
      <c r="A1992" s="432">
        <f>IF(B1992="","",COUNT('Diário 1º PA'!$A$4:$A$2635)+COUNT('Diário 2º PA'!$A$4:$A$3040)+COUNT('Diário 3º PA'!$A$4:$A$2731)+ROW()-3)</f>
        <v>8017</v>
      </c>
      <c r="B1992" s="413">
        <v>44922</v>
      </c>
      <c r="C1992" s="431">
        <v>44896</v>
      </c>
      <c r="D1992" s="419" t="s">
        <v>34</v>
      </c>
      <c r="E1992" s="419" t="s">
        <v>167</v>
      </c>
      <c r="F1992" s="422">
        <v>483077.59</v>
      </c>
      <c r="G1992" s="423" t="s">
        <v>9127</v>
      </c>
      <c r="H1992" s="419" t="s">
        <v>310</v>
      </c>
      <c r="I1992" s="427" t="s">
        <v>2437</v>
      </c>
      <c r="J1992" s="415" t="s">
        <v>796</v>
      </c>
      <c r="K1992" s="415" t="s">
        <v>797</v>
      </c>
      <c r="L1992" s="415" t="s">
        <v>798</v>
      </c>
      <c r="M1992" s="415" t="s">
        <v>310</v>
      </c>
      <c r="N1992" s="414">
        <v>44922</v>
      </c>
      <c r="O1992" s="414" t="s">
        <v>9125</v>
      </c>
      <c r="P1992" s="655">
        <f t="shared" ref="P1992" si="151">IF(B1992=0,0,IF(YEAR(B1992)=$Q$1,MONTH(B1992)-$P$1+1,(YEAR(B1992)-$Q$1)*12-$P$1+1+MONTH(B1992)))</f>
        <v>12</v>
      </c>
      <c r="Q1992" s="655">
        <f t="shared" ref="Q1992" si="152">IF(C1992=0,0,IF(YEAR(C1992)=$Q$1,MONTH(C1992)-$P$1+1,(YEAR(C1992)-$Q$1)*12-$P$1+1+MONTH(C1992)))</f>
        <v>12</v>
      </c>
      <c r="R1992" s="758" t="str">
        <f t="shared" ref="R1992" si="153">SUBSTITUTE(D1992," ","_")</f>
        <v>Receitas</v>
      </c>
      <c r="S1992" s="697" t="s">
        <v>310</v>
      </c>
      <c r="T1992" s="697" t="s">
        <v>310</v>
      </c>
    </row>
    <row r="1993" spans="1:20" ht="48" x14ac:dyDescent="0.2">
      <c r="A1993" s="432">
        <f>IF(B1993="","",COUNT('Diário 1º PA'!$A$4:$A$2635)+COUNT('Diário 2º PA'!$A$4:$A$3040)+COUNT('Diário 3º PA'!$A$4:$A$2731)+ROW()-3)</f>
        <v>8018</v>
      </c>
      <c r="B1993" s="413">
        <v>44923</v>
      </c>
      <c r="C1993" s="421">
        <v>44896</v>
      </c>
      <c r="D1993" s="419" t="s">
        <v>468</v>
      </c>
      <c r="E1993" s="419" t="s">
        <v>468</v>
      </c>
      <c r="F1993" s="422">
        <v>10000</v>
      </c>
      <c r="G1993" s="419" t="s">
        <v>4713</v>
      </c>
      <c r="H1993" s="419" t="s">
        <v>468</v>
      </c>
      <c r="I1993" s="474" t="s">
        <v>2437</v>
      </c>
      <c r="J1993" s="434" t="s">
        <v>796</v>
      </c>
      <c r="K1993" s="434" t="s">
        <v>806</v>
      </c>
      <c r="L1993" s="434" t="s">
        <v>798</v>
      </c>
      <c r="M1993" s="436" t="s">
        <v>310</v>
      </c>
      <c r="N1993" s="413">
        <v>44923</v>
      </c>
      <c r="O1993" s="414" t="s">
        <v>405</v>
      </c>
      <c r="P1993" s="655">
        <f t="shared" si="136"/>
        <v>12</v>
      </c>
      <c r="Q1993" s="655">
        <f t="shared" si="137"/>
        <v>12</v>
      </c>
      <c r="R1993" s="758" t="str">
        <f t="shared" si="138"/>
        <v>Gastos_custeados_por_captação</v>
      </c>
      <c r="S1993" s="697" t="s">
        <v>310</v>
      </c>
      <c r="T1993" s="697" t="s">
        <v>310</v>
      </c>
    </row>
    <row r="1994" spans="1:20" ht="48" x14ac:dyDescent="0.2">
      <c r="A1994" s="432">
        <f>IF(B1994="","",COUNT('Diário 1º PA'!$A$4:$A$2635)+COUNT('Diário 2º PA'!$A$4:$A$3040)+COUNT('Diário 3º PA'!$A$4:$A$2731)+ROW()-3)</f>
        <v>8019</v>
      </c>
      <c r="B1994" s="413">
        <v>44923</v>
      </c>
      <c r="C1994" s="421">
        <v>44896</v>
      </c>
      <c r="D1994" s="419" t="s">
        <v>468</v>
      </c>
      <c r="E1994" s="419" t="s">
        <v>468</v>
      </c>
      <c r="F1994" s="422">
        <v>5000</v>
      </c>
      <c r="G1994" s="423" t="s">
        <v>4714</v>
      </c>
      <c r="H1994" s="419" t="s">
        <v>468</v>
      </c>
      <c r="I1994" s="474" t="s">
        <v>2437</v>
      </c>
      <c r="J1994" s="434" t="s">
        <v>796</v>
      </c>
      <c r="K1994" s="434" t="s">
        <v>806</v>
      </c>
      <c r="L1994" s="434" t="s">
        <v>798</v>
      </c>
      <c r="M1994" s="436" t="s">
        <v>310</v>
      </c>
      <c r="N1994" s="413">
        <v>44923</v>
      </c>
      <c r="O1994" s="414" t="s">
        <v>405</v>
      </c>
      <c r="P1994" s="655">
        <f t="shared" si="136"/>
        <v>12</v>
      </c>
      <c r="Q1994" s="655">
        <f t="shared" si="137"/>
        <v>12</v>
      </c>
      <c r="R1994" s="758" t="str">
        <f t="shared" si="138"/>
        <v>Gastos_custeados_por_captação</v>
      </c>
      <c r="S1994" s="697" t="s">
        <v>310</v>
      </c>
      <c r="T1994" s="697" t="s">
        <v>310</v>
      </c>
    </row>
    <row r="1995" spans="1:20" ht="48" x14ac:dyDescent="0.2">
      <c r="A1995" s="432">
        <f>IF(B1995="","",COUNT('Diário 1º PA'!$A$4:$A$2635)+COUNT('Diário 2º PA'!$A$4:$A$3040)+COUNT('Diário 3º PA'!$A$4:$A$2731)+ROW()-3)</f>
        <v>8020</v>
      </c>
      <c r="B1995" s="413">
        <v>44923</v>
      </c>
      <c r="C1995" s="421">
        <v>44896</v>
      </c>
      <c r="D1995" s="419" t="s">
        <v>468</v>
      </c>
      <c r="E1995" s="419" t="s">
        <v>468</v>
      </c>
      <c r="F1995" s="422">
        <v>5000</v>
      </c>
      <c r="G1995" s="744" t="s">
        <v>6961</v>
      </c>
      <c r="H1995" s="419" t="s">
        <v>468</v>
      </c>
      <c r="I1995" s="474" t="s">
        <v>2437</v>
      </c>
      <c r="J1995" s="434" t="s">
        <v>796</v>
      </c>
      <c r="K1995" s="434" t="s">
        <v>806</v>
      </c>
      <c r="L1995" s="434" t="s">
        <v>798</v>
      </c>
      <c r="M1995" s="436" t="s">
        <v>310</v>
      </c>
      <c r="N1995" s="413">
        <v>44923</v>
      </c>
      <c r="O1995" s="414" t="s">
        <v>405</v>
      </c>
      <c r="P1995" s="655">
        <f t="shared" si="136"/>
        <v>12</v>
      </c>
      <c r="Q1995" s="655">
        <f t="shared" si="137"/>
        <v>12</v>
      </c>
      <c r="R1995" s="758" t="str">
        <f t="shared" si="138"/>
        <v>Gastos_custeados_por_captação</v>
      </c>
      <c r="S1995" s="697" t="s">
        <v>310</v>
      </c>
      <c r="T1995" s="697" t="s">
        <v>310</v>
      </c>
    </row>
    <row r="1996" spans="1:20" ht="48" x14ac:dyDescent="0.2">
      <c r="A1996" s="432">
        <f>IF(B1996="","",COUNT('Diário 1º PA'!$A$4:$A$2635)+COUNT('Diário 2º PA'!$A$4:$A$3040)+COUNT('Diário 3º PA'!$A$4:$A$2731)+ROW()-3)</f>
        <v>8021</v>
      </c>
      <c r="B1996" s="413">
        <v>44923</v>
      </c>
      <c r="C1996" s="421">
        <v>44896</v>
      </c>
      <c r="D1996" s="419" t="s">
        <v>468</v>
      </c>
      <c r="E1996" s="419" t="s">
        <v>468</v>
      </c>
      <c r="F1996" s="422">
        <v>8000</v>
      </c>
      <c r="G1996" s="423" t="s">
        <v>5023</v>
      </c>
      <c r="H1996" s="419" t="s">
        <v>468</v>
      </c>
      <c r="I1996" s="437" t="s">
        <v>2437</v>
      </c>
      <c r="J1996" s="434" t="s">
        <v>796</v>
      </c>
      <c r="K1996" s="419" t="s">
        <v>806</v>
      </c>
      <c r="L1996" s="434" t="s">
        <v>798</v>
      </c>
      <c r="M1996" s="436" t="s">
        <v>310</v>
      </c>
      <c r="N1996" s="413">
        <v>44923</v>
      </c>
      <c r="O1996" s="414" t="s">
        <v>404</v>
      </c>
      <c r="P1996" s="655">
        <f t="shared" si="136"/>
        <v>12</v>
      </c>
      <c r="Q1996" s="655">
        <f t="shared" si="137"/>
        <v>12</v>
      </c>
      <c r="R1996" s="758" t="str">
        <f t="shared" si="138"/>
        <v>Gastos_custeados_por_captação</v>
      </c>
      <c r="S1996" s="697" t="s">
        <v>310</v>
      </c>
      <c r="T1996" s="697" t="s">
        <v>310</v>
      </c>
    </row>
    <row r="1997" spans="1:20" ht="48" x14ac:dyDescent="0.2">
      <c r="A1997" s="432">
        <f>IF(B1997="","",COUNT('Diário 1º PA'!$A$4:$A$2635)+COUNT('Diário 2º PA'!$A$4:$A$3040)+COUNT('Diário 3º PA'!$A$4:$A$2731)+ROW()-3)</f>
        <v>8022</v>
      </c>
      <c r="B1997" s="413">
        <v>44923</v>
      </c>
      <c r="C1997" s="431">
        <v>44896</v>
      </c>
      <c r="D1997" s="419" t="s">
        <v>468</v>
      </c>
      <c r="E1997" s="419" t="s">
        <v>468</v>
      </c>
      <c r="F1997" s="422">
        <v>12000</v>
      </c>
      <c r="G1997" s="427" t="s">
        <v>5585</v>
      </c>
      <c r="H1997" s="419" t="s">
        <v>468</v>
      </c>
      <c r="I1997" s="437" t="s">
        <v>2437</v>
      </c>
      <c r="J1997" s="434" t="s">
        <v>796</v>
      </c>
      <c r="K1997" s="419" t="s">
        <v>806</v>
      </c>
      <c r="L1997" s="434" t="s">
        <v>798</v>
      </c>
      <c r="M1997" s="436" t="s">
        <v>310</v>
      </c>
      <c r="N1997" s="413">
        <v>44923</v>
      </c>
      <c r="O1997" s="414" t="s">
        <v>404</v>
      </c>
      <c r="P1997" s="655">
        <f t="shared" si="136"/>
        <v>12</v>
      </c>
      <c r="Q1997" s="655">
        <f t="shared" si="137"/>
        <v>12</v>
      </c>
      <c r="R1997" s="758" t="str">
        <f t="shared" si="138"/>
        <v>Gastos_custeados_por_captação</v>
      </c>
      <c r="S1997" s="697" t="s">
        <v>310</v>
      </c>
      <c r="T1997" s="697" t="s">
        <v>310</v>
      </c>
    </row>
    <row r="1998" spans="1:20" ht="36" x14ac:dyDescent="0.2">
      <c r="A1998" s="432">
        <f>IF(B1998="","",COUNT('Diário 1º PA'!$A$4:$A$2635)+COUNT('Diário 2º PA'!$A$4:$A$3040)+COUNT('Diário 3º PA'!$A$4:$A$2731)+ROW()-3)</f>
        <v>8023</v>
      </c>
      <c r="B1998" s="413">
        <v>44923</v>
      </c>
      <c r="C1998" s="431">
        <v>44896</v>
      </c>
      <c r="D1998" s="419" t="s">
        <v>468</v>
      </c>
      <c r="E1998" s="419" t="s">
        <v>468</v>
      </c>
      <c r="F1998" s="422">
        <v>-10000</v>
      </c>
      <c r="G1998" s="423" t="s">
        <v>5023</v>
      </c>
      <c r="H1998" s="419" t="s">
        <v>468</v>
      </c>
      <c r="I1998" s="427" t="s">
        <v>2437</v>
      </c>
      <c r="J1998" s="415" t="s">
        <v>796</v>
      </c>
      <c r="K1998" s="415" t="s">
        <v>797</v>
      </c>
      <c r="L1998" s="415" t="s">
        <v>798</v>
      </c>
      <c r="M1998" s="415" t="s">
        <v>310</v>
      </c>
      <c r="N1998" s="413">
        <v>44923</v>
      </c>
      <c r="O1998" s="414" t="s">
        <v>408</v>
      </c>
      <c r="P1998" s="655">
        <f t="shared" si="136"/>
        <v>12</v>
      </c>
      <c r="Q1998" s="655">
        <f t="shared" si="137"/>
        <v>12</v>
      </c>
      <c r="R1998" s="758" t="str">
        <f t="shared" si="138"/>
        <v>Gastos_custeados_por_captação</v>
      </c>
      <c r="S1998" s="697" t="s">
        <v>310</v>
      </c>
      <c r="T1998" s="697" t="s">
        <v>310</v>
      </c>
    </row>
    <row r="1999" spans="1:20" ht="36" x14ac:dyDescent="0.2">
      <c r="A1999" s="432">
        <f>IF(B1999="","",COUNT('Diário 1º PA'!$A$4:$A$2635)+COUNT('Diário 2º PA'!$A$4:$A$3040)+COUNT('Diário 3º PA'!$A$4:$A$2731)+ROW()-3)</f>
        <v>8024</v>
      </c>
      <c r="B1999" s="413">
        <v>44923</v>
      </c>
      <c r="C1999" s="421">
        <v>44896</v>
      </c>
      <c r="D1999" s="419" t="s">
        <v>468</v>
      </c>
      <c r="E1999" s="419" t="s">
        <v>468</v>
      </c>
      <c r="F1999" s="422">
        <v>-5000</v>
      </c>
      <c r="G1999" s="423" t="s">
        <v>4714</v>
      </c>
      <c r="H1999" s="419" t="s">
        <v>468</v>
      </c>
      <c r="I1999" s="427" t="s">
        <v>2437</v>
      </c>
      <c r="J1999" s="415" t="s">
        <v>796</v>
      </c>
      <c r="K1999" s="415" t="s">
        <v>797</v>
      </c>
      <c r="L1999" s="415" t="s">
        <v>798</v>
      </c>
      <c r="M1999" s="415" t="s">
        <v>310</v>
      </c>
      <c r="N1999" s="413">
        <v>44923</v>
      </c>
      <c r="O1999" s="414" t="s">
        <v>408</v>
      </c>
      <c r="P1999" s="655">
        <f t="shared" si="136"/>
        <v>12</v>
      </c>
      <c r="Q1999" s="655">
        <f t="shared" si="137"/>
        <v>12</v>
      </c>
      <c r="R1999" s="758" t="str">
        <f t="shared" si="138"/>
        <v>Gastos_custeados_por_captação</v>
      </c>
      <c r="S1999" s="697" t="s">
        <v>310</v>
      </c>
      <c r="T1999" s="697" t="s">
        <v>310</v>
      </c>
    </row>
    <row r="2000" spans="1:20" ht="36" x14ac:dyDescent="0.2">
      <c r="A2000" s="432">
        <f>IF(B2000="","",COUNT('Diário 1º PA'!$A$4:$A$2635)+COUNT('Diário 2º PA'!$A$4:$A$3040)+COUNT('Diário 3º PA'!$A$4:$A$2731)+ROW()-3)</f>
        <v>8025</v>
      </c>
      <c r="B2000" s="413">
        <v>44923</v>
      </c>
      <c r="C2000" s="421">
        <v>44896</v>
      </c>
      <c r="D2000" s="419" t="s">
        <v>468</v>
      </c>
      <c r="E2000" s="419" t="s">
        <v>468</v>
      </c>
      <c r="F2000" s="422">
        <v>-5000</v>
      </c>
      <c r="G2000" s="744" t="s">
        <v>6961</v>
      </c>
      <c r="H2000" s="419" t="s">
        <v>468</v>
      </c>
      <c r="I2000" s="427" t="s">
        <v>2437</v>
      </c>
      <c r="J2000" s="415" t="s">
        <v>796</v>
      </c>
      <c r="K2000" s="415" t="s">
        <v>797</v>
      </c>
      <c r="L2000" s="415" t="s">
        <v>798</v>
      </c>
      <c r="M2000" s="415" t="s">
        <v>310</v>
      </c>
      <c r="N2000" s="413">
        <v>44923</v>
      </c>
      <c r="O2000" s="414" t="s">
        <v>408</v>
      </c>
      <c r="P2000" s="655">
        <f t="shared" si="136"/>
        <v>12</v>
      </c>
      <c r="Q2000" s="655">
        <f t="shared" si="137"/>
        <v>12</v>
      </c>
      <c r="R2000" s="758" t="str">
        <f t="shared" si="138"/>
        <v>Gastos_custeados_por_captação</v>
      </c>
      <c r="S2000" s="697" t="s">
        <v>310</v>
      </c>
      <c r="T2000" s="697" t="s">
        <v>310</v>
      </c>
    </row>
    <row r="2001" spans="1:20" ht="36" x14ac:dyDescent="0.2">
      <c r="A2001" s="432">
        <f>IF(B2001="","",COUNT('Diário 1º PA'!$A$4:$A$2635)+COUNT('Diário 2º PA'!$A$4:$A$3040)+COUNT('Diário 3º PA'!$A$4:$A$2731)+ROW()-3)</f>
        <v>8026</v>
      </c>
      <c r="B2001" s="413">
        <v>44923</v>
      </c>
      <c r="C2001" s="421">
        <v>44896</v>
      </c>
      <c r="D2001" s="419" t="s">
        <v>468</v>
      </c>
      <c r="E2001" s="419" t="s">
        <v>468</v>
      </c>
      <c r="F2001" s="422">
        <v>-8000</v>
      </c>
      <c r="G2001" s="423" t="s">
        <v>5023</v>
      </c>
      <c r="H2001" s="419" t="s">
        <v>468</v>
      </c>
      <c r="I2001" s="427" t="s">
        <v>2437</v>
      </c>
      <c r="J2001" s="415" t="s">
        <v>796</v>
      </c>
      <c r="K2001" s="415" t="s">
        <v>797</v>
      </c>
      <c r="L2001" s="415" t="s">
        <v>798</v>
      </c>
      <c r="M2001" s="415" t="s">
        <v>310</v>
      </c>
      <c r="N2001" s="413">
        <v>44923</v>
      </c>
      <c r="O2001" s="414" t="s">
        <v>408</v>
      </c>
      <c r="P2001" s="655">
        <f t="shared" si="136"/>
        <v>12</v>
      </c>
      <c r="Q2001" s="655">
        <f t="shared" si="137"/>
        <v>12</v>
      </c>
      <c r="R2001" s="758" t="str">
        <f t="shared" si="138"/>
        <v>Gastos_custeados_por_captação</v>
      </c>
      <c r="S2001" s="697" t="s">
        <v>310</v>
      </c>
      <c r="T2001" s="697" t="s">
        <v>310</v>
      </c>
    </row>
    <row r="2002" spans="1:20" ht="36" x14ac:dyDescent="0.2">
      <c r="A2002" s="432">
        <f>IF(B2002="","",COUNT('Diário 1º PA'!$A$4:$A$2635)+COUNT('Diário 2º PA'!$A$4:$A$3040)+COUNT('Diário 3º PA'!$A$4:$A$2731)+ROW()-3)</f>
        <v>8027</v>
      </c>
      <c r="B2002" s="413">
        <v>44923</v>
      </c>
      <c r="C2002" s="421">
        <v>44896</v>
      </c>
      <c r="D2002" s="419" t="s">
        <v>468</v>
      </c>
      <c r="E2002" s="419" t="s">
        <v>468</v>
      </c>
      <c r="F2002" s="422">
        <v>-12000</v>
      </c>
      <c r="G2002" s="423" t="s">
        <v>4714</v>
      </c>
      <c r="H2002" s="419" t="s">
        <v>468</v>
      </c>
      <c r="I2002" s="427" t="s">
        <v>2437</v>
      </c>
      <c r="J2002" s="415" t="s">
        <v>796</v>
      </c>
      <c r="K2002" s="415" t="s">
        <v>797</v>
      </c>
      <c r="L2002" s="415" t="s">
        <v>798</v>
      </c>
      <c r="M2002" s="415" t="s">
        <v>310</v>
      </c>
      <c r="N2002" s="413">
        <v>44923</v>
      </c>
      <c r="O2002" s="414" t="s">
        <v>408</v>
      </c>
      <c r="P2002" s="655">
        <f t="shared" si="136"/>
        <v>12</v>
      </c>
      <c r="Q2002" s="655">
        <f t="shared" si="137"/>
        <v>12</v>
      </c>
      <c r="R2002" s="758" t="str">
        <f t="shared" si="138"/>
        <v>Gastos_custeados_por_captação</v>
      </c>
      <c r="S2002" s="697" t="s">
        <v>310</v>
      </c>
      <c r="T2002" s="697" t="s">
        <v>310</v>
      </c>
    </row>
    <row r="2003" spans="1:20" ht="36" x14ac:dyDescent="0.2">
      <c r="A2003" s="432">
        <f>IF(B2003="","",COUNT('Diário 1º PA'!$A$4:$A$2635)+COUNT('Diário 2º PA'!$A$4:$A$3040)+COUNT('Diário 3º PA'!$A$4:$A$2731)+ROW()-3)</f>
        <v>8028</v>
      </c>
      <c r="B2003" s="413">
        <v>44923</v>
      </c>
      <c r="C2003" s="431">
        <v>44896</v>
      </c>
      <c r="D2003" s="419" t="s">
        <v>468</v>
      </c>
      <c r="E2003" s="419" t="s">
        <v>468</v>
      </c>
      <c r="F2003" s="422">
        <v>-6950</v>
      </c>
      <c r="G2003" s="419" t="s">
        <v>6959</v>
      </c>
      <c r="H2003" s="419" t="s">
        <v>468</v>
      </c>
      <c r="I2003" s="427" t="s">
        <v>2437</v>
      </c>
      <c r="J2003" s="415" t="s">
        <v>796</v>
      </c>
      <c r="K2003" s="415" t="s">
        <v>797</v>
      </c>
      <c r="L2003" s="415" t="s">
        <v>798</v>
      </c>
      <c r="M2003" s="415" t="s">
        <v>310</v>
      </c>
      <c r="N2003" s="413">
        <v>44923</v>
      </c>
      <c r="O2003" s="414" t="s">
        <v>408</v>
      </c>
      <c r="P2003" s="655">
        <f t="shared" si="136"/>
        <v>12</v>
      </c>
      <c r="Q2003" s="655">
        <f t="shared" si="137"/>
        <v>12</v>
      </c>
      <c r="R2003" s="758" t="str">
        <f t="shared" si="138"/>
        <v>Gastos_custeados_por_captação</v>
      </c>
      <c r="S2003" s="697" t="s">
        <v>310</v>
      </c>
      <c r="T2003" s="697" t="s">
        <v>310</v>
      </c>
    </row>
    <row r="2004" spans="1:20" ht="36" x14ac:dyDescent="0.2">
      <c r="A2004" s="432">
        <f>IF(B2004="","",COUNT('Diário 1º PA'!$A$4:$A$2635)+COUNT('Diário 2º PA'!$A$4:$A$3040)+COUNT('Diário 3º PA'!$A$4:$A$2731)+ROW()-3)</f>
        <v>8029</v>
      </c>
      <c r="B2004" s="413">
        <v>44923</v>
      </c>
      <c r="C2004" s="421">
        <v>44896</v>
      </c>
      <c r="D2004" s="419" t="s">
        <v>468</v>
      </c>
      <c r="E2004" s="419" t="s">
        <v>468</v>
      </c>
      <c r="F2004" s="422">
        <v>-5900</v>
      </c>
      <c r="G2004" s="423" t="s">
        <v>5216</v>
      </c>
      <c r="H2004" s="419" t="s">
        <v>468</v>
      </c>
      <c r="I2004" s="427" t="s">
        <v>2437</v>
      </c>
      <c r="J2004" s="415" t="s">
        <v>796</v>
      </c>
      <c r="K2004" s="415" t="s">
        <v>797</v>
      </c>
      <c r="L2004" s="415" t="s">
        <v>798</v>
      </c>
      <c r="M2004" s="415" t="s">
        <v>310</v>
      </c>
      <c r="N2004" s="413">
        <v>44923</v>
      </c>
      <c r="O2004" s="414" t="s">
        <v>408</v>
      </c>
      <c r="P2004" s="655">
        <f t="shared" si="136"/>
        <v>12</v>
      </c>
      <c r="Q2004" s="655">
        <f t="shared" si="137"/>
        <v>12</v>
      </c>
      <c r="R2004" s="758" t="str">
        <f t="shared" si="138"/>
        <v>Gastos_custeados_por_captação</v>
      </c>
      <c r="S2004" s="697" t="s">
        <v>310</v>
      </c>
      <c r="T2004" s="697" t="s">
        <v>310</v>
      </c>
    </row>
    <row r="2005" spans="1:20" ht="36" x14ac:dyDescent="0.2">
      <c r="A2005" s="432">
        <f>IF(B2005="","",COUNT('Diário 1º PA'!$A$4:$A$2635)+COUNT('Diário 2º PA'!$A$4:$A$3040)+COUNT('Diário 3º PA'!$A$4:$A$2731)+ROW()-3)</f>
        <v>8030</v>
      </c>
      <c r="B2005" s="413">
        <v>44923</v>
      </c>
      <c r="C2005" s="421">
        <v>44896</v>
      </c>
      <c r="D2005" s="419" t="s">
        <v>468</v>
      </c>
      <c r="E2005" s="419" t="s">
        <v>468</v>
      </c>
      <c r="F2005" s="422">
        <v>-5900</v>
      </c>
      <c r="G2005" s="423" t="s">
        <v>5584</v>
      </c>
      <c r="H2005" s="419" t="s">
        <v>468</v>
      </c>
      <c r="I2005" s="427" t="s">
        <v>2437</v>
      </c>
      <c r="J2005" s="415" t="s">
        <v>796</v>
      </c>
      <c r="K2005" s="415" t="s">
        <v>797</v>
      </c>
      <c r="L2005" s="415" t="s">
        <v>798</v>
      </c>
      <c r="M2005" s="415" t="s">
        <v>310</v>
      </c>
      <c r="N2005" s="413">
        <v>44923</v>
      </c>
      <c r="O2005" s="414" t="s">
        <v>408</v>
      </c>
      <c r="P2005" s="655">
        <f t="shared" si="136"/>
        <v>12</v>
      </c>
      <c r="Q2005" s="655">
        <f t="shared" si="137"/>
        <v>12</v>
      </c>
      <c r="R2005" s="758" t="str">
        <f t="shared" si="138"/>
        <v>Gastos_custeados_por_captação</v>
      </c>
      <c r="S2005" s="697" t="s">
        <v>310</v>
      </c>
      <c r="T2005" s="697" t="s">
        <v>310</v>
      </c>
    </row>
    <row r="2006" spans="1:20" ht="36" x14ac:dyDescent="0.2">
      <c r="A2006" s="432">
        <f>IF(B2006="","",COUNT('Diário 1º PA'!$A$4:$A$2635)+COUNT('Diário 2º PA'!$A$4:$A$3040)+COUNT('Diário 3º PA'!$A$4:$A$2731)+ROW()-3)</f>
        <v>8031</v>
      </c>
      <c r="B2006" s="413">
        <v>44923</v>
      </c>
      <c r="C2006" s="431">
        <v>44896</v>
      </c>
      <c r="D2006" s="419" t="s">
        <v>468</v>
      </c>
      <c r="E2006" s="419" t="s">
        <v>468</v>
      </c>
      <c r="F2006" s="422">
        <v>6950</v>
      </c>
      <c r="G2006" s="419" t="s">
        <v>5215</v>
      </c>
      <c r="H2006" s="419" t="s">
        <v>468</v>
      </c>
      <c r="I2006" s="474" t="s">
        <v>2437</v>
      </c>
      <c r="J2006" s="434" t="s">
        <v>796</v>
      </c>
      <c r="K2006" s="434" t="s">
        <v>806</v>
      </c>
      <c r="L2006" s="434" t="s">
        <v>798</v>
      </c>
      <c r="M2006" s="436" t="s">
        <v>310</v>
      </c>
      <c r="N2006" s="413">
        <v>44923</v>
      </c>
      <c r="O2006" s="414" t="s">
        <v>3762</v>
      </c>
      <c r="P2006" s="655">
        <f t="shared" si="136"/>
        <v>12</v>
      </c>
      <c r="Q2006" s="655">
        <f t="shared" si="137"/>
        <v>12</v>
      </c>
      <c r="R2006" s="758" t="str">
        <f t="shared" si="138"/>
        <v>Gastos_custeados_por_captação</v>
      </c>
      <c r="S2006" s="697" t="s">
        <v>310</v>
      </c>
      <c r="T2006" s="697" t="s">
        <v>310</v>
      </c>
    </row>
    <row r="2007" spans="1:20" ht="36" x14ac:dyDescent="0.2">
      <c r="A2007" s="432">
        <f>IF(B2007="","",COUNT('Diário 1º PA'!$A$4:$A$2635)+COUNT('Diário 2º PA'!$A$4:$A$3040)+COUNT('Diário 3º PA'!$A$4:$A$2731)+ROW()-3)</f>
        <v>8032</v>
      </c>
      <c r="B2007" s="413">
        <v>44923</v>
      </c>
      <c r="C2007" s="421">
        <v>44896</v>
      </c>
      <c r="D2007" s="419" t="s">
        <v>468</v>
      </c>
      <c r="E2007" s="419" t="s">
        <v>468</v>
      </c>
      <c r="F2007" s="422">
        <v>5900</v>
      </c>
      <c r="G2007" s="423" t="s">
        <v>5216</v>
      </c>
      <c r="H2007" s="419" t="s">
        <v>468</v>
      </c>
      <c r="I2007" s="474" t="s">
        <v>2437</v>
      </c>
      <c r="J2007" s="434" t="s">
        <v>796</v>
      </c>
      <c r="K2007" s="434" t="s">
        <v>806</v>
      </c>
      <c r="L2007" s="434" t="s">
        <v>798</v>
      </c>
      <c r="M2007" s="436" t="s">
        <v>310</v>
      </c>
      <c r="N2007" s="413">
        <v>44923</v>
      </c>
      <c r="O2007" s="414" t="s">
        <v>3762</v>
      </c>
      <c r="P2007" s="655">
        <f t="shared" si="136"/>
        <v>12</v>
      </c>
      <c r="Q2007" s="655">
        <f t="shared" si="137"/>
        <v>12</v>
      </c>
      <c r="R2007" s="758" t="str">
        <f t="shared" si="138"/>
        <v>Gastos_custeados_por_captação</v>
      </c>
      <c r="S2007" s="697" t="s">
        <v>310</v>
      </c>
      <c r="T2007" s="697" t="s">
        <v>310</v>
      </c>
    </row>
    <row r="2008" spans="1:20" ht="36" x14ac:dyDescent="0.2">
      <c r="A2008" s="432">
        <f>IF(B2008="","",COUNT('Diário 1º PA'!$A$4:$A$2635)+COUNT('Diário 2º PA'!$A$4:$A$3040)+COUNT('Diário 3º PA'!$A$4:$A$2731)+ROW()-3)</f>
        <v>8033</v>
      </c>
      <c r="B2008" s="413">
        <v>44923</v>
      </c>
      <c r="C2008" s="421">
        <v>44896</v>
      </c>
      <c r="D2008" s="419" t="s">
        <v>468</v>
      </c>
      <c r="E2008" s="419" t="s">
        <v>468</v>
      </c>
      <c r="F2008" s="422">
        <v>5900</v>
      </c>
      <c r="G2008" s="423" t="s">
        <v>5584</v>
      </c>
      <c r="H2008" s="419" t="s">
        <v>468</v>
      </c>
      <c r="I2008" s="474" t="s">
        <v>2437</v>
      </c>
      <c r="J2008" s="434" t="s">
        <v>796</v>
      </c>
      <c r="K2008" s="434" t="s">
        <v>806</v>
      </c>
      <c r="L2008" s="434" t="s">
        <v>798</v>
      </c>
      <c r="M2008" s="436" t="s">
        <v>310</v>
      </c>
      <c r="N2008" s="413">
        <v>44923</v>
      </c>
      <c r="O2008" s="414" t="s">
        <v>3762</v>
      </c>
      <c r="P2008" s="655">
        <f t="shared" si="136"/>
        <v>12</v>
      </c>
      <c r="Q2008" s="655">
        <f t="shared" si="137"/>
        <v>12</v>
      </c>
      <c r="R2008" s="758" t="str">
        <f t="shared" si="138"/>
        <v>Gastos_custeados_por_captação</v>
      </c>
      <c r="S2008" s="697" t="s">
        <v>310</v>
      </c>
      <c r="T2008" s="697" t="s">
        <v>310</v>
      </c>
    </row>
    <row r="2009" spans="1:20" ht="48" x14ac:dyDescent="0.2">
      <c r="A2009" s="432">
        <f>IF(B2009="","",COUNT('Diário 1º PA'!$A$4:$A$2635)+COUNT('Diário 2º PA'!$A$4:$A$3040)+COUNT('Diário 3º PA'!$A$4:$A$2731)+ROW()-3)</f>
        <v>8034</v>
      </c>
      <c r="B2009" s="413">
        <v>44923</v>
      </c>
      <c r="C2009" s="421">
        <v>44896</v>
      </c>
      <c r="D2009" s="419" t="s">
        <v>468</v>
      </c>
      <c r="E2009" s="419" t="s">
        <v>468</v>
      </c>
      <c r="F2009" s="422">
        <v>2449.75</v>
      </c>
      <c r="G2009" s="757" t="s">
        <v>8772</v>
      </c>
      <c r="H2009" s="419" t="s">
        <v>468</v>
      </c>
      <c r="I2009" s="415" t="s">
        <v>9153</v>
      </c>
      <c r="J2009" s="417" t="s">
        <v>8773</v>
      </c>
      <c r="K2009" s="419" t="s">
        <v>830</v>
      </c>
      <c r="L2009" s="415" t="s">
        <v>32</v>
      </c>
      <c r="M2009" s="419" t="s">
        <v>3075</v>
      </c>
      <c r="N2009" s="413">
        <v>44918</v>
      </c>
      <c r="O2009" s="414" t="s">
        <v>3762</v>
      </c>
      <c r="P2009" s="655">
        <f t="shared" si="136"/>
        <v>12</v>
      </c>
      <c r="Q2009" s="655">
        <f t="shared" si="137"/>
        <v>12</v>
      </c>
      <c r="R2009" s="758" t="str">
        <f t="shared" si="138"/>
        <v>Gastos_custeados_por_captação</v>
      </c>
      <c r="S2009" s="697" t="s">
        <v>998</v>
      </c>
      <c r="T2009" s="697">
        <v>4830</v>
      </c>
    </row>
    <row r="2010" spans="1:20" ht="96" x14ac:dyDescent="0.2">
      <c r="A2010" s="432">
        <f>IF(B2010="","",COUNT('Diário 1º PA'!$A$4:$A$2635)+COUNT('Diário 2º PA'!$A$4:$A$3040)+COUNT('Diário 3º PA'!$A$4:$A$2731)+ROW()-3)</f>
        <v>8035</v>
      </c>
      <c r="B2010" s="413">
        <v>44923</v>
      </c>
      <c r="C2010" s="421">
        <v>44866</v>
      </c>
      <c r="D2010" s="419" t="s">
        <v>468</v>
      </c>
      <c r="E2010" s="419" t="s">
        <v>468</v>
      </c>
      <c r="F2010" s="422">
        <v>4000</v>
      </c>
      <c r="G2010" s="427" t="s">
        <v>8265</v>
      </c>
      <c r="H2010" s="419" t="s">
        <v>468</v>
      </c>
      <c r="I2010" s="415" t="s">
        <v>8570</v>
      </c>
      <c r="J2010" s="415" t="s">
        <v>8266</v>
      </c>
      <c r="K2010" s="419" t="s">
        <v>830</v>
      </c>
      <c r="L2010" s="415" t="s">
        <v>32</v>
      </c>
      <c r="M2010" s="419">
        <v>115</v>
      </c>
      <c r="N2010" s="413">
        <v>44918</v>
      </c>
      <c r="O2010" s="414" t="s">
        <v>3762</v>
      </c>
      <c r="P2010" s="655">
        <f t="shared" si="136"/>
        <v>12</v>
      </c>
      <c r="Q2010" s="655">
        <f t="shared" si="137"/>
        <v>11</v>
      </c>
      <c r="R2010" s="758" t="str">
        <f t="shared" si="138"/>
        <v>Gastos_custeados_por_captação</v>
      </c>
      <c r="S2010" s="697" t="s">
        <v>998</v>
      </c>
      <c r="T2010" s="697">
        <v>4684</v>
      </c>
    </row>
    <row r="2011" spans="1:20" ht="36" x14ac:dyDescent="0.2">
      <c r="A2011" s="432">
        <f>IF(B2011="","",COUNT('Diário 1º PA'!$A$4:$A$2635)+COUNT('Diário 2º PA'!$A$4:$A$3040)+COUNT('Diário 3º PA'!$A$4:$A$2731)+ROW()-3)</f>
        <v>8036</v>
      </c>
      <c r="B2011" s="413">
        <v>44923</v>
      </c>
      <c r="C2011" s="421">
        <v>44896</v>
      </c>
      <c r="D2011" s="419" t="s">
        <v>468</v>
      </c>
      <c r="E2011" s="419" t="s">
        <v>468</v>
      </c>
      <c r="F2011" s="422">
        <v>11</v>
      </c>
      <c r="G2011" s="427" t="s">
        <v>2469</v>
      </c>
      <c r="H2011" s="419" t="s">
        <v>468</v>
      </c>
      <c r="I2011" s="639" t="s">
        <v>881</v>
      </c>
      <c r="J2011" s="418" t="s">
        <v>882</v>
      </c>
      <c r="K2011" s="418" t="s">
        <v>883</v>
      </c>
      <c r="L2011" s="399" t="s">
        <v>798</v>
      </c>
      <c r="M2011" s="544" t="s">
        <v>310</v>
      </c>
      <c r="N2011" s="413">
        <v>44923</v>
      </c>
      <c r="O2011" s="414" t="s">
        <v>3762</v>
      </c>
      <c r="P2011" s="655">
        <f t="shared" si="136"/>
        <v>12</v>
      </c>
      <c r="Q2011" s="655">
        <f t="shared" si="137"/>
        <v>12</v>
      </c>
      <c r="R2011" s="758" t="str">
        <f t="shared" si="138"/>
        <v>Gastos_custeados_por_captação</v>
      </c>
      <c r="S2011" s="697" t="s">
        <v>310</v>
      </c>
      <c r="T2011" s="697" t="s">
        <v>310</v>
      </c>
    </row>
    <row r="2012" spans="1:20" ht="36" x14ac:dyDescent="0.2">
      <c r="A2012" s="432">
        <f>IF(B2012="","",COUNT('Diário 1º PA'!$A$4:$A$2635)+COUNT('Diário 2º PA'!$A$4:$A$3040)+COUNT('Diário 3º PA'!$A$4:$A$2731)+ROW()-3)</f>
        <v>8037</v>
      </c>
      <c r="B2012" s="413">
        <v>44923</v>
      </c>
      <c r="C2012" s="421">
        <v>44896</v>
      </c>
      <c r="D2012" s="419" t="s">
        <v>468</v>
      </c>
      <c r="E2012" s="419" t="s">
        <v>468</v>
      </c>
      <c r="F2012" s="422">
        <v>11</v>
      </c>
      <c r="G2012" s="427" t="s">
        <v>2469</v>
      </c>
      <c r="H2012" s="419" t="s">
        <v>468</v>
      </c>
      <c r="I2012" s="639" t="s">
        <v>881</v>
      </c>
      <c r="J2012" s="418" t="s">
        <v>882</v>
      </c>
      <c r="K2012" s="418" t="s">
        <v>883</v>
      </c>
      <c r="L2012" s="399" t="s">
        <v>798</v>
      </c>
      <c r="M2012" s="544" t="s">
        <v>310</v>
      </c>
      <c r="N2012" s="413">
        <v>44923</v>
      </c>
      <c r="O2012" s="414" t="s">
        <v>3762</v>
      </c>
      <c r="P2012" s="655">
        <f t="shared" si="136"/>
        <v>12</v>
      </c>
      <c r="Q2012" s="655">
        <f t="shared" si="137"/>
        <v>12</v>
      </c>
      <c r="R2012" s="758" t="str">
        <f t="shared" si="138"/>
        <v>Gastos_custeados_por_captação</v>
      </c>
      <c r="S2012" s="697" t="s">
        <v>310</v>
      </c>
      <c r="T2012" s="697" t="s">
        <v>310</v>
      </c>
    </row>
    <row r="2013" spans="1:20" ht="36" x14ac:dyDescent="0.2">
      <c r="A2013" s="432">
        <f>IF(B2013="","",COUNT('Diário 1º PA'!$A$4:$A$2635)+COUNT('Diário 2º PA'!$A$4:$A$3040)+COUNT('Diário 3º PA'!$A$4:$A$2731)+ROW()-3)</f>
        <v>8038</v>
      </c>
      <c r="B2013" s="413">
        <v>44923</v>
      </c>
      <c r="C2013" s="421">
        <v>44896</v>
      </c>
      <c r="D2013" s="419" t="s">
        <v>468</v>
      </c>
      <c r="E2013" s="419" t="s">
        <v>468</v>
      </c>
      <c r="F2013" s="422">
        <v>11</v>
      </c>
      <c r="G2013" s="427" t="s">
        <v>2469</v>
      </c>
      <c r="H2013" s="419" t="s">
        <v>468</v>
      </c>
      <c r="I2013" s="639" t="s">
        <v>881</v>
      </c>
      <c r="J2013" s="418" t="s">
        <v>882</v>
      </c>
      <c r="K2013" s="418" t="s">
        <v>883</v>
      </c>
      <c r="L2013" s="399" t="s">
        <v>798</v>
      </c>
      <c r="M2013" s="544" t="s">
        <v>310</v>
      </c>
      <c r="N2013" s="413">
        <v>44923</v>
      </c>
      <c r="O2013" s="414" t="s">
        <v>3762</v>
      </c>
      <c r="P2013" s="655">
        <f t="shared" si="136"/>
        <v>12</v>
      </c>
      <c r="Q2013" s="655">
        <f t="shared" si="137"/>
        <v>12</v>
      </c>
      <c r="R2013" s="758" t="str">
        <f t="shared" si="138"/>
        <v>Gastos_custeados_por_captação</v>
      </c>
      <c r="S2013" s="697" t="s">
        <v>310</v>
      </c>
      <c r="T2013" s="697" t="s">
        <v>310</v>
      </c>
    </row>
    <row r="2014" spans="1:20" ht="48" x14ac:dyDescent="0.2">
      <c r="A2014" s="432">
        <f>IF(B2014="","",COUNT('Diário 1º PA'!$A$4:$A$2635)+COUNT('Diário 2º PA'!$A$4:$A$3040)+COUNT('Diário 3º PA'!$A$4:$A$2731)+ROW()-3)</f>
        <v>8039</v>
      </c>
      <c r="B2014" s="413">
        <v>44923</v>
      </c>
      <c r="C2014" s="466">
        <v>44896</v>
      </c>
      <c r="D2014" s="415" t="s">
        <v>182</v>
      </c>
      <c r="E2014" s="415" t="s">
        <v>325</v>
      </c>
      <c r="F2014" s="425">
        <v>-304.48</v>
      </c>
      <c r="G2014" s="427" t="s">
        <v>8875</v>
      </c>
      <c r="H2014" s="415" t="s">
        <v>310</v>
      </c>
      <c r="I2014" s="473" t="s">
        <v>795</v>
      </c>
      <c r="J2014" s="415" t="s">
        <v>796</v>
      </c>
      <c r="K2014" s="415" t="s">
        <v>797</v>
      </c>
      <c r="L2014" s="415" t="s">
        <v>798</v>
      </c>
      <c r="M2014" s="415" t="s">
        <v>310</v>
      </c>
      <c r="N2014" s="414">
        <v>44923</v>
      </c>
      <c r="O2014" s="414" t="s">
        <v>400</v>
      </c>
      <c r="P2014" s="655">
        <f t="shared" si="136"/>
        <v>12</v>
      </c>
      <c r="Q2014" s="655">
        <f t="shared" si="137"/>
        <v>12</v>
      </c>
      <c r="R2014" s="758" t="str">
        <f t="shared" si="138"/>
        <v>Gastos_com_Pessoal</v>
      </c>
      <c r="S2014" s="697" t="s">
        <v>310</v>
      </c>
      <c r="T2014" s="697" t="s">
        <v>310</v>
      </c>
    </row>
    <row r="2015" spans="1:20" ht="48" x14ac:dyDescent="0.2">
      <c r="A2015" s="432">
        <f>IF(B2015="","",COUNT('Diário 1º PA'!$A$4:$A$2635)+COUNT('Diário 2º PA'!$A$4:$A$3040)+COUNT('Diário 3º PA'!$A$4:$A$2731)+ROW()-3)</f>
        <v>8040</v>
      </c>
      <c r="B2015" s="413">
        <v>44923</v>
      </c>
      <c r="C2015" s="433">
        <v>44835</v>
      </c>
      <c r="D2015" s="415" t="s">
        <v>182</v>
      </c>
      <c r="E2015" s="415" t="s">
        <v>1</v>
      </c>
      <c r="F2015" s="425">
        <v>-13.41</v>
      </c>
      <c r="G2015" s="427" t="s">
        <v>8297</v>
      </c>
      <c r="H2015" s="415" t="s">
        <v>310</v>
      </c>
      <c r="I2015" s="473" t="s">
        <v>795</v>
      </c>
      <c r="J2015" s="415" t="s">
        <v>796</v>
      </c>
      <c r="K2015" s="415" t="s">
        <v>797</v>
      </c>
      <c r="L2015" s="415" t="s">
        <v>798</v>
      </c>
      <c r="M2015" s="415" t="s">
        <v>310</v>
      </c>
      <c r="N2015" s="414">
        <v>44923</v>
      </c>
      <c r="O2015" s="414" t="s">
        <v>400</v>
      </c>
      <c r="P2015" s="655">
        <f t="shared" si="136"/>
        <v>12</v>
      </c>
      <c r="Q2015" s="655">
        <f t="shared" si="137"/>
        <v>10</v>
      </c>
      <c r="R2015" s="758" t="str">
        <f t="shared" si="138"/>
        <v>Gastos_com_Pessoal</v>
      </c>
      <c r="S2015" s="697" t="s">
        <v>310</v>
      </c>
      <c r="T2015" s="697" t="s">
        <v>310</v>
      </c>
    </row>
    <row r="2016" spans="1:20" ht="48" x14ac:dyDescent="0.2">
      <c r="A2016" s="432">
        <f>IF(B2016="","",COUNT('Diário 1º PA'!$A$4:$A$2635)+COUNT('Diário 2º PA'!$A$4:$A$3040)+COUNT('Diário 3º PA'!$A$4:$A$2731)+ROW()-3)</f>
        <v>8041</v>
      </c>
      <c r="B2016" s="413">
        <v>44923</v>
      </c>
      <c r="C2016" s="433">
        <v>44835</v>
      </c>
      <c r="D2016" s="415" t="s">
        <v>182</v>
      </c>
      <c r="E2016" s="415" t="s">
        <v>1</v>
      </c>
      <c r="F2016" s="425">
        <v>-65.89</v>
      </c>
      <c r="G2016" s="427" t="s">
        <v>1384</v>
      </c>
      <c r="H2016" s="415" t="s">
        <v>310</v>
      </c>
      <c r="I2016" s="473" t="s">
        <v>795</v>
      </c>
      <c r="J2016" s="415" t="s">
        <v>796</v>
      </c>
      <c r="K2016" s="415" t="s">
        <v>797</v>
      </c>
      <c r="L2016" s="415" t="s">
        <v>798</v>
      </c>
      <c r="M2016" s="415" t="s">
        <v>310</v>
      </c>
      <c r="N2016" s="414">
        <v>44923</v>
      </c>
      <c r="O2016" s="414" t="s">
        <v>400</v>
      </c>
      <c r="P2016" s="655">
        <f t="shared" si="136"/>
        <v>12</v>
      </c>
      <c r="Q2016" s="655">
        <f t="shared" si="137"/>
        <v>10</v>
      </c>
      <c r="R2016" s="758" t="str">
        <f t="shared" si="138"/>
        <v>Gastos_com_Pessoal</v>
      </c>
      <c r="S2016" s="697" t="s">
        <v>310</v>
      </c>
      <c r="T2016" s="697" t="s">
        <v>310</v>
      </c>
    </row>
    <row r="2017" spans="1:20" ht="48" x14ac:dyDescent="0.2">
      <c r="A2017" s="432">
        <f>IF(B2017="","",COUNT('Diário 1º PA'!$A$4:$A$2635)+COUNT('Diário 2º PA'!$A$4:$A$3040)+COUNT('Diário 3º PA'!$A$4:$A$2731)+ROW()-3)</f>
        <v>8042</v>
      </c>
      <c r="B2017" s="413">
        <v>44923</v>
      </c>
      <c r="C2017" s="466">
        <v>44896</v>
      </c>
      <c r="D2017" s="415" t="s">
        <v>182</v>
      </c>
      <c r="E2017" s="415" t="s">
        <v>325</v>
      </c>
      <c r="F2017" s="422">
        <v>441.02</v>
      </c>
      <c r="G2017" s="427" t="s">
        <v>9146</v>
      </c>
      <c r="H2017" s="415" t="s">
        <v>310</v>
      </c>
      <c r="I2017" s="473" t="s">
        <v>795</v>
      </c>
      <c r="J2017" s="415" t="s">
        <v>796</v>
      </c>
      <c r="K2017" s="415" t="s">
        <v>797</v>
      </c>
      <c r="L2017" s="415" t="s">
        <v>798</v>
      </c>
      <c r="M2017" s="415" t="s">
        <v>310</v>
      </c>
      <c r="N2017" s="414">
        <v>44923</v>
      </c>
      <c r="O2017" s="414" t="s">
        <v>400</v>
      </c>
      <c r="P2017" s="655">
        <f t="shared" si="136"/>
        <v>12</v>
      </c>
      <c r="Q2017" s="655">
        <f t="shared" si="137"/>
        <v>12</v>
      </c>
      <c r="R2017" s="758" t="str">
        <f t="shared" si="138"/>
        <v>Gastos_com_Pessoal</v>
      </c>
      <c r="S2017" s="697" t="s">
        <v>310</v>
      </c>
      <c r="T2017" s="697" t="s">
        <v>310</v>
      </c>
    </row>
    <row r="2018" spans="1:20" ht="48" x14ac:dyDescent="0.2">
      <c r="A2018" s="432">
        <f>IF(B2018="","",COUNT('Diário 1º PA'!$A$4:$A$2635)+COUNT('Diário 2º PA'!$A$4:$A$3040)+COUNT('Diário 3º PA'!$A$4:$A$2731)+ROW()-3)</f>
        <v>8043</v>
      </c>
      <c r="B2018" s="413">
        <v>44923</v>
      </c>
      <c r="C2018" s="466">
        <v>44896</v>
      </c>
      <c r="D2018" s="415" t="s">
        <v>182</v>
      </c>
      <c r="E2018" s="415" t="s">
        <v>325</v>
      </c>
      <c r="F2018" s="422">
        <v>1682.37</v>
      </c>
      <c r="G2018" s="427" t="s">
        <v>8897</v>
      </c>
      <c r="H2018" s="415" t="s">
        <v>310</v>
      </c>
      <c r="I2018" s="473" t="s">
        <v>795</v>
      </c>
      <c r="J2018" s="415" t="s">
        <v>796</v>
      </c>
      <c r="K2018" s="415" t="s">
        <v>797</v>
      </c>
      <c r="L2018" s="415" t="s">
        <v>798</v>
      </c>
      <c r="M2018" s="415" t="s">
        <v>310</v>
      </c>
      <c r="N2018" s="414">
        <v>44923</v>
      </c>
      <c r="O2018" s="414" t="s">
        <v>400</v>
      </c>
      <c r="P2018" s="655">
        <f t="shared" si="136"/>
        <v>12</v>
      </c>
      <c r="Q2018" s="655">
        <f t="shared" si="137"/>
        <v>12</v>
      </c>
      <c r="R2018" s="758" t="str">
        <f t="shared" si="138"/>
        <v>Gastos_com_Pessoal</v>
      </c>
      <c r="S2018" s="697" t="s">
        <v>310</v>
      </c>
      <c r="T2018" s="697" t="s">
        <v>310</v>
      </c>
    </row>
    <row r="2019" spans="1:20" ht="36" x14ac:dyDescent="0.2">
      <c r="A2019" s="432">
        <f>IF(B2019="","",COUNT('Diário 1º PA'!$A$4:$A$2635)+COUNT('Diário 2º PA'!$A$4:$A$3040)+COUNT('Diário 3º PA'!$A$4:$A$2731)+ROW()-3)</f>
        <v>8044</v>
      </c>
      <c r="B2019" s="413">
        <v>44923</v>
      </c>
      <c r="C2019" s="433">
        <v>44896</v>
      </c>
      <c r="D2019" s="419" t="s">
        <v>271</v>
      </c>
      <c r="E2019" s="415" t="s">
        <v>456</v>
      </c>
      <c r="F2019" s="422">
        <v>504</v>
      </c>
      <c r="G2019" s="757" t="s">
        <v>9027</v>
      </c>
      <c r="H2019" s="419" t="s">
        <v>755</v>
      </c>
      <c r="I2019" s="415" t="s">
        <v>9128</v>
      </c>
      <c r="J2019" s="417" t="s">
        <v>9028</v>
      </c>
      <c r="K2019" s="419" t="s">
        <v>830</v>
      </c>
      <c r="L2019" s="415" t="s">
        <v>839</v>
      </c>
      <c r="M2019" s="419">
        <v>2175</v>
      </c>
      <c r="N2019" s="413">
        <v>44921</v>
      </c>
      <c r="O2019" s="414" t="s">
        <v>400</v>
      </c>
      <c r="P2019" s="655">
        <f t="shared" si="136"/>
        <v>12</v>
      </c>
      <c r="Q2019" s="655">
        <f t="shared" si="137"/>
        <v>12</v>
      </c>
      <c r="R2019" s="758" t="str">
        <f t="shared" si="138"/>
        <v>Gastos_Gerais</v>
      </c>
      <c r="S2019" s="697" t="s">
        <v>998</v>
      </c>
      <c r="T2019" s="697">
        <v>4924</v>
      </c>
    </row>
    <row r="2020" spans="1:20" ht="60" x14ac:dyDescent="0.2">
      <c r="A2020" s="432">
        <f>IF(B2020="","",COUNT('Diário 1º PA'!$A$4:$A$2635)+COUNT('Diário 2º PA'!$A$4:$A$3040)+COUNT('Diário 3º PA'!$A$4:$A$2731)+ROW()-3)</f>
        <v>8045</v>
      </c>
      <c r="B2020" s="413">
        <v>44923</v>
      </c>
      <c r="C2020" s="433">
        <v>44896</v>
      </c>
      <c r="D2020" s="419" t="s">
        <v>271</v>
      </c>
      <c r="E2020" s="415" t="s">
        <v>456</v>
      </c>
      <c r="F2020" s="422">
        <v>420</v>
      </c>
      <c r="G2020" s="757" t="s">
        <v>8769</v>
      </c>
      <c r="H2020" s="419" t="s">
        <v>761</v>
      </c>
      <c r="I2020" s="415" t="s">
        <v>9131</v>
      </c>
      <c r="J2020" s="417" t="s">
        <v>8770</v>
      </c>
      <c r="K2020" s="419" t="s">
        <v>830</v>
      </c>
      <c r="L2020" s="415" t="s">
        <v>839</v>
      </c>
      <c r="M2020" s="419">
        <v>2176</v>
      </c>
      <c r="N2020" s="413">
        <v>44921</v>
      </c>
      <c r="O2020" s="414" t="s">
        <v>400</v>
      </c>
      <c r="P2020" s="655">
        <f t="shared" si="136"/>
        <v>12</v>
      </c>
      <c r="Q2020" s="655">
        <f t="shared" si="137"/>
        <v>12</v>
      </c>
      <c r="R2020" s="758" t="str">
        <f t="shared" si="138"/>
        <v>Gastos_Gerais</v>
      </c>
      <c r="S2020" s="697" t="s">
        <v>998</v>
      </c>
      <c r="T2020" s="697">
        <v>4884</v>
      </c>
    </row>
    <row r="2021" spans="1:20" ht="24" x14ac:dyDescent="0.2">
      <c r="A2021" s="432">
        <f>IF(B2021="","",COUNT('Diário 1º PA'!$A$4:$A$2635)+COUNT('Diário 2º PA'!$A$4:$A$3040)+COUNT('Diário 3º PA'!$A$4:$A$2731)+ROW()-3)</f>
        <v>8046</v>
      </c>
      <c r="B2021" s="413">
        <v>44923</v>
      </c>
      <c r="C2021" s="433">
        <v>44896</v>
      </c>
      <c r="D2021" s="434" t="s">
        <v>182</v>
      </c>
      <c r="E2021" s="434" t="s">
        <v>6</v>
      </c>
      <c r="F2021" s="422">
        <v>3086.36</v>
      </c>
      <c r="G2021" s="437" t="s">
        <v>6102</v>
      </c>
      <c r="H2021" s="434" t="s">
        <v>310</v>
      </c>
      <c r="I2021" s="474" t="s">
        <v>1486</v>
      </c>
      <c r="J2021" s="418" t="s">
        <v>1487</v>
      </c>
      <c r="K2021" s="419" t="s">
        <v>812</v>
      </c>
      <c r="L2021" s="415" t="s">
        <v>32</v>
      </c>
      <c r="M2021" s="415">
        <v>319484</v>
      </c>
      <c r="N2021" s="414">
        <v>44928</v>
      </c>
      <c r="O2021" s="414" t="s">
        <v>400</v>
      </c>
      <c r="P2021" s="655">
        <f>IF(B2021=0,0,IF(YEAR(B2021)=$Q$1,MONTH(B2021)-$P$1+1,(YEAR(B2021)-$Q$1)*12-$P$1+1+MONTH(B2021)))</f>
        <v>12</v>
      </c>
      <c r="Q2021" s="655">
        <f>IF(C2021=0,0,IF(YEAR(C2021)=$Q$1,MONTH(C2021)-$P$1+1,(YEAR(C2021)-$Q$1)*12-$P$1+1+MONTH(C2021)))</f>
        <v>12</v>
      </c>
      <c r="R2021" s="758" t="str">
        <f>SUBSTITUTE(D2021," ","_")</f>
        <v>Gastos_com_Pessoal</v>
      </c>
      <c r="S2021" s="697" t="s">
        <v>310</v>
      </c>
      <c r="T2021" s="697" t="s">
        <v>310</v>
      </c>
    </row>
    <row r="2022" spans="1:20" ht="24" x14ac:dyDescent="0.2">
      <c r="A2022" s="432">
        <f>IF(B2022="","",COUNT('Diário 1º PA'!$A$4:$A$2635)+COUNT('Diário 2º PA'!$A$4:$A$3040)+COUNT('Diário 3º PA'!$A$4:$A$2731)+ROW()-3)</f>
        <v>8047</v>
      </c>
      <c r="B2022" s="413">
        <v>44923</v>
      </c>
      <c r="C2022" s="431">
        <v>44896</v>
      </c>
      <c r="D2022" s="415" t="s">
        <v>182</v>
      </c>
      <c r="E2022" s="415" t="s">
        <v>6</v>
      </c>
      <c r="F2022" s="425">
        <v>2677.47</v>
      </c>
      <c r="G2022" s="427" t="s">
        <v>7530</v>
      </c>
      <c r="H2022" s="415" t="s">
        <v>310</v>
      </c>
      <c r="I2022" s="474" t="s">
        <v>1486</v>
      </c>
      <c r="J2022" s="418" t="s">
        <v>1487</v>
      </c>
      <c r="K2022" s="419" t="s">
        <v>812</v>
      </c>
      <c r="L2022" s="415" t="s">
        <v>32</v>
      </c>
      <c r="M2022" s="415">
        <v>315620</v>
      </c>
      <c r="N2022" s="414">
        <v>44928</v>
      </c>
      <c r="O2022" s="414" t="s">
        <v>400</v>
      </c>
      <c r="P2022" s="655">
        <f>IF(B2022=0,0,IF(YEAR(B2022)=$Q$1,MONTH(B2022)-$P$1+1,(YEAR(B2022)-$Q$1)*12-$P$1+1+MONTH(B2022)))</f>
        <v>12</v>
      </c>
      <c r="Q2022" s="655">
        <f>IF(C2022=0,0,IF(YEAR(C2022)=$Q$1,MONTH(C2022)-$P$1+1,(YEAR(C2022)-$Q$1)*12-$P$1+1+MONTH(C2022)))</f>
        <v>12</v>
      </c>
      <c r="R2022" s="758" t="str">
        <f>SUBSTITUTE(D2022," ","_")</f>
        <v>Gastos_com_Pessoal</v>
      </c>
      <c r="S2022" s="697" t="s">
        <v>310</v>
      </c>
      <c r="T2022" s="697" t="s">
        <v>310</v>
      </c>
    </row>
    <row r="2023" spans="1:20" ht="36" x14ac:dyDescent="0.2">
      <c r="A2023" s="432">
        <f>IF(B2023="","",COUNT('Diário 1º PA'!$A$4:$A$2635)+COUNT('Diário 2º PA'!$A$4:$A$3040)+COUNT('Diário 3º PA'!$A$4:$A$2731)+ROW()-3)</f>
        <v>8048</v>
      </c>
      <c r="B2023" s="413">
        <v>44923</v>
      </c>
      <c r="C2023" s="431">
        <v>44896</v>
      </c>
      <c r="D2023" s="419" t="s">
        <v>271</v>
      </c>
      <c r="E2023" s="415" t="s">
        <v>0</v>
      </c>
      <c r="F2023" s="425">
        <v>50</v>
      </c>
      <c r="G2023" s="757" t="s">
        <v>9052</v>
      </c>
      <c r="H2023" s="419" t="s">
        <v>309</v>
      </c>
      <c r="I2023" s="415" t="s">
        <v>9134</v>
      </c>
      <c r="J2023" s="417" t="s">
        <v>9053</v>
      </c>
      <c r="K2023" s="419" t="s">
        <v>830</v>
      </c>
      <c r="L2023" s="415" t="s">
        <v>32</v>
      </c>
      <c r="M2023" s="419">
        <v>14413</v>
      </c>
      <c r="N2023" s="413">
        <v>44921</v>
      </c>
      <c r="O2023" s="414" t="s">
        <v>400</v>
      </c>
      <c r="P2023" s="655">
        <f t="shared" si="136"/>
        <v>12</v>
      </c>
      <c r="Q2023" s="655">
        <f t="shared" si="137"/>
        <v>12</v>
      </c>
      <c r="R2023" s="758" t="str">
        <f t="shared" si="138"/>
        <v>Gastos_Gerais</v>
      </c>
      <c r="S2023" s="697" t="s">
        <v>999</v>
      </c>
      <c r="T2023" s="697">
        <v>4938</v>
      </c>
    </row>
    <row r="2024" spans="1:20" ht="36" x14ac:dyDescent="0.2">
      <c r="A2024" s="432">
        <f>IF(B2024="","",COUNT('Diário 1º PA'!$A$4:$A$2635)+COUNT('Diário 2º PA'!$A$4:$A$3040)+COUNT('Diário 3º PA'!$A$4:$A$2731)+ROW()-3)</f>
        <v>8049</v>
      </c>
      <c r="B2024" s="413">
        <v>44923</v>
      </c>
      <c r="C2024" s="431">
        <v>44896</v>
      </c>
      <c r="D2024" s="419" t="s">
        <v>271</v>
      </c>
      <c r="E2024" s="415" t="s">
        <v>297</v>
      </c>
      <c r="F2024" s="425">
        <v>140.19999999999999</v>
      </c>
      <c r="G2024" s="757" t="s">
        <v>9135</v>
      </c>
      <c r="H2024" s="419" t="s">
        <v>755</v>
      </c>
      <c r="I2024" s="415" t="s">
        <v>1169</v>
      </c>
      <c r="J2024" s="419" t="s">
        <v>1170</v>
      </c>
      <c r="K2024" s="419" t="s">
        <v>830</v>
      </c>
      <c r="L2024" s="415" t="s">
        <v>798</v>
      </c>
      <c r="M2024" s="419" t="s">
        <v>310</v>
      </c>
      <c r="N2024" s="413">
        <v>44923</v>
      </c>
      <c r="O2024" s="414" t="s">
        <v>400</v>
      </c>
      <c r="P2024" s="655">
        <f t="shared" si="136"/>
        <v>12</v>
      </c>
      <c r="Q2024" s="655">
        <f t="shared" si="137"/>
        <v>12</v>
      </c>
      <c r="R2024" s="758" t="str">
        <f t="shared" si="138"/>
        <v>Gastos_Gerais</v>
      </c>
      <c r="S2024" s="697" t="s">
        <v>999</v>
      </c>
      <c r="T2024" s="697">
        <v>4930</v>
      </c>
    </row>
    <row r="2025" spans="1:20" ht="48" x14ac:dyDescent="0.2">
      <c r="A2025" s="432">
        <f>IF(B2025="","",COUNT('Diário 1º PA'!$A$4:$A$2635)+COUNT('Diário 2º PA'!$A$4:$A$3040)+COUNT('Diário 3º PA'!$A$4:$A$2731)+ROW()-3)</f>
        <v>8050</v>
      </c>
      <c r="B2025" s="413">
        <v>44923</v>
      </c>
      <c r="C2025" s="431">
        <v>44866</v>
      </c>
      <c r="D2025" s="434" t="s">
        <v>271</v>
      </c>
      <c r="E2025" s="434" t="s">
        <v>92</v>
      </c>
      <c r="F2025" s="425">
        <v>500</v>
      </c>
      <c r="G2025" s="427" t="s">
        <v>1590</v>
      </c>
      <c r="H2025" s="434" t="s">
        <v>309</v>
      </c>
      <c r="I2025" s="415" t="s">
        <v>6039</v>
      </c>
      <c r="J2025" s="415" t="s">
        <v>1033</v>
      </c>
      <c r="K2025" s="419" t="s">
        <v>830</v>
      </c>
      <c r="L2025" s="415" t="s">
        <v>1305</v>
      </c>
      <c r="M2025" s="419" t="s">
        <v>310</v>
      </c>
      <c r="N2025" s="413">
        <v>44896</v>
      </c>
      <c r="O2025" s="414" t="s">
        <v>400</v>
      </c>
      <c r="P2025" s="655">
        <f t="shared" si="136"/>
        <v>12</v>
      </c>
      <c r="Q2025" s="655">
        <f t="shared" si="137"/>
        <v>11</v>
      </c>
      <c r="R2025" s="758" t="str">
        <f t="shared" si="138"/>
        <v>Gastos_Gerais</v>
      </c>
      <c r="S2025" s="697" t="s">
        <v>1000</v>
      </c>
      <c r="T2025" s="697">
        <v>2842</v>
      </c>
    </row>
    <row r="2026" spans="1:20" ht="36" x14ac:dyDescent="0.2">
      <c r="A2026" s="432">
        <f>IF(B2026="","",COUNT('Diário 1º PA'!$A$4:$A$2635)+COUNT('Diário 2º PA'!$A$4:$A$3040)+COUNT('Diário 3º PA'!$A$4:$A$2731)+ROW()-3)</f>
        <v>8051</v>
      </c>
      <c r="B2026" s="413">
        <v>44923</v>
      </c>
      <c r="C2026" s="431">
        <v>44866</v>
      </c>
      <c r="D2026" s="434" t="s">
        <v>182</v>
      </c>
      <c r="E2026" s="434" t="s">
        <v>1</v>
      </c>
      <c r="F2026" s="422">
        <v>1974.35</v>
      </c>
      <c r="G2026" s="427" t="s">
        <v>4117</v>
      </c>
      <c r="H2026" s="415" t="s">
        <v>310</v>
      </c>
      <c r="I2026" s="437" t="s">
        <v>773</v>
      </c>
      <c r="J2026" s="434" t="s">
        <v>1397</v>
      </c>
      <c r="K2026" s="419" t="s">
        <v>812</v>
      </c>
      <c r="L2026" s="415" t="s">
        <v>32</v>
      </c>
      <c r="M2026" s="725" t="s">
        <v>9136</v>
      </c>
      <c r="N2026" s="414">
        <v>44900</v>
      </c>
      <c r="O2026" s="414" t="s">
        <v>400</v>
      </c>
      <c r="P2026" s="747">
        <f t="shared" si="136"/>
        <v>12</v>
      </c>
      <c r="Q2026" s="748">
        <f t="shared" si="137"/>
        <v>11</v>
      </c>
      <c r="R2026" s="761" t="str">
        <f t="shared" si="138"/>
        <v>Gastos_com_Pessoal</v>
      </c>
      <c r="S2026" s="697" t="s">
        <v>310</v>
      </c>
      <c r="T2026" s="697" t="s">
        <v>310</v>
      </c>
    </row>
    <row r="2027" spans="1:20" ht="36" x14ac:dyDescent="0.2">
      <c r="A2027" s="432">
        <f>IF(B2027="","",COUNT('Diário 1º PA'!$A$4:$A$2635)+COUNT('Diário 2º PA'!$A$4:$A$3040)+COUNT('Diário 3º PA'!$A$4:$A$2731)+ROW()-3)</f>
        <v>8052</v>
      </c>
      <c r="B2027" s="413">
        <v>44923</v>
      </c>
      <c r="C2027" s="431">
        <v>44896</v>
      </c>
      <c r="D2027" s="419" t="s">
        <v>271</v>
      </c>
      <c r="E2027" s="415" t="s">
        <v>456</v>
      </c>
      <c r="F2027" s="425">
        <v>327.8</v>
      </c>
      <c r="G2027" s="757" t="s">
        <v>9119</v>
      </c>
      <c r="H2027" s="419" t="s">
        <v>754</v>
      </c>
      <c r="I2027" s="437" t="s">
        <v>9137</v>
      </c>
      <c r="J2027" s="417" t="s">
        <v>2102</v>
      </c>
      <c r="K2027" s="419" t="s">
        <v>830</v>
      </c>
      <c r="L2027" s="415" t="s">
        <v>32</v>
      </c>
      <c r="M2027" s="725" t="s">
        <v>9216</v>
      </c>
      <c r="N2027" s="414">
        <v>44923</v>
      </c>
      <c r="O2027" s="414" t="s">
        <v>400</v>
      </c>
      <c r="P2027" s="747">
        <f t="shared" ref="P2027" si="154">IF(B2027=0,0,IF(YEAR(B2027)=$Q$1,MONTH(B2027)-$P$1+1,(YEAR(B2027)-$Q$1)*12-$P$1+1+MONTH(B2027)))</f>
        <v>12</v>
      </c>
      <c r="Q2027" s="748">
        <f t="shared" ref="Q2027" si="155">IF(C2027=0,0,IF(YEAR(C2027)=$Q$1,MONTH(C2027)-$P$1+1,(YEAR(C2027)-$Q$1)*12-$P$1+1+MONTH(C2027)))</f>
        <v>12</v>
      </c>
      <c r="R2027" s="761" t="str">
        <f t="shared" ref="R2027" si="156">SUBSTITUTE(D2027," ","_")</f>
        <v>Gastos_Gerais</v>
      </c>
      <c r="S2027" s="697" t="s">
        <v>999</v>
      </c>
      <c r="T2027" s="697">
        <v>4946</v>
      </c>
    </row>
    <row r="2028" spans="1:20" ht="108" x14ac:dyDescent="0.2">
      <c r="A2028" s="432">
        <f>IF(B2028="","",COUNT('Diário 1º PA'!$A$4:$A$2635)+COUNT('Diário 2º PA'!$A$4:$A$3040)+COUNT('Diário 3º PA'!$A$4:$A$2731)+ROW()-3)</f>
        <v>8053</v>
      </c>
      <c r="B2028" s="413">
        <v>44923</v>
      </c>
      <c r="C2028" s="431">
        <v>44927</v>
      </c>
      <c r="D2028" s="415" t="s">
        <v>182</v>
      </c>
      <c r="E2028" s="415" t="s">
        <v>325</v>
      </c>
      <c r="F2028" s="422">
        <v>23325.31</v>
      </c>
      <c r="G2028" s="427" t="s">
        <v>1399</v>
      </c>
      <c r="H2028" s="415" t="s">
        <v>310</v>
      </c>
      <c r="I2028" s="437" t="s">
        <v>773</v>
      </c>
      <c r="J2028" s="434" t="s">
        <v>1397</v>
      </c>
      <c r="K2028" s="419" t="s">
        <v>812</v>
      </c>
      <c r="L2028" s="415" t="s">
        <v>32</v>
      </c>
      <c r="M2028" s="415" t="s">
        <v>9138</v>
      </c>
      <c r="N2028" s="414">
        <v>44902</v>
      </c>
      <c r="O2028" s="414" t="s">
        <v>400</v>
      </c>
      <c r="P2028" s="747">
        <f t="shared" si="136"/>
        <v>12</v>
      </c>
      <c r="Q2028" s="748">
        <f t="shared" si="137"/>
        <v>13</v>
      </c>
      <c r="R2028" s="758" t="str">
        <f t="shared" si="138"/>
        <v>Gastos_com_Pessoal</v>
      </c>
      <c r="S2028" s="697" t="s">
        <v>310</v>
      </c>
      <c r="T2028" s="697" t="s">
        <v>310</v>
      </c>
    </row>
    <row r="2029" spans="1:20" ht="24" x14ac:dyDescent="0.2">
      <c r="A2029" s="432">
        <f>IF(B2029="","",COUNT('Diário 1º PA'!$A$4:$A$2635)+COUNT('Diário 2º PA'!$A$4:$A$3040)+COUNT('Diário 3º PA'!$A$4:$A$2731)+ROW()-3)</f>
        <v>8054</v>
      </c>
      <c r="B2029" s="413">
        <v>44923</v>
      </c>
      <c r="C2029" s="431">
        <v>44896</v>
      </c>
      <c r="D2029" s="434" t="s">
        <v>182</v>
      </c>
      <c r="E2029" s="434" t="s">
        <v>6</v>
      </c>
      <c r="F2029" s="422">
        <v>6142.5</v>
      </c>
      <c r="G2029" s="437" t="s">
        <v>6101</v>
      </c>
      <c r="H2029" s="434" t="s">
        <v>310</v>
      </c>
      <c r="I2029" s="474" t="s">
        <v>1486</v>
      </c>
      <c r="J2029" s="418" t="s">
        <v>1487</v>
      </c>
      <c r="K2029" s="419" t="s">
        <v>812</v>
      </c>
      <c r="L2029" s="415" t="s">
        <v>32</v>
      </c>
      <c r="M2029" s="415">
        <v>314555</v>
      </c>
      <c r="N2029" s="414">
        <v>44928</v>
      </c>
      <c r="O2029" s="414" t="s">
        <v>400</v>
      </c>
      <c r="P2029" s="655">
        <f>IF(B2029=0,0,IF(YEAR(B2029)=$Q$1,MONTH(B2029)-$P$1+1,(YEAR(B2029)-$Q$1)*12-$P$1+1+MONTH(B2029)))</f>
        <v>12</v>
      </c>
      <c r="Q2029" s="655">
        <f>IF(C2029=0,0,IF(YEAR(C2029)=$Q$1,MONTH(C2029)-$P$1+1,(YEAR(C2029)-$Q$1)*12-$P$1+1+MONTH(C2029)))</f>
        <v>12</v>
      </c>
      <c r="R2029" s="758" t="str">
        <f>SUBSTITUTE(D2029," ","_")</f>
        <v>Gastos_com_Pessoal</v>
      </c>
      <c r="S2029" s="697" t="s">
        <v>310</v>
      </c>
      <c r="T2029" s="697" t="s">
        <v>310</v>
      </c>
    </row>
    <row r="2030" spans="1:20" ht="36" x14ac:dyDescent="0.2">
      <c r="A2030" s="432">
        <f>IF(B2030="","",COUNT('Diário 1º PA'!$A$4:$A$2635)+COUNT('Diário 2º PA'!$A$4:$A$3040)+COUNT('Diário 3º PA'!$A$4:$A$2731)+ROW()-3)</f>
        <v>8055</v>
      </c>
      <c r="B2030" s="413">
        <v>44923</v>
      </c>
      <c r="C2030" s="421">
        <v>44896</v>
      </c>
      <c r="D2030" s="419" t="s">
        <v>271</v>
      </c>
      <c r="E2030" s="419" t="s">
        <v>71</v>
      </c>
      <c r="F2030" s="422">
        <v>11</v>
      </c>
      <c r="G2030" s="423" t="s">
        <v>9140</v>
      </c>
      <c r="H2030" s="419" t="s">
        <v>755</v>
      </c>
      <c r="I2030" s="415" t="s">
        <v>881</v>
      </c>
      <c r="J2030" s="419" t="s">
        <v>882</v>
      </c>
      <c r="K2030" s="419" t="s">
        <v>883</v>
      </c>
      <c r="L2030" s="415" t="s">
        <v>798</v>
      </c>
      <c r="M2030" s="419" t="s">
        <v>310</v>
      </c>
      <c r="N2030" s="413">
        <v>44923</v>
      </c>
      <c r="O2030" s="414" t="s">
        <v>400</v>
      </c>
      <c r="P2030" s="747">
        <f t="shared" si="136"/>
        <v>12</v>
      </c>
      <c r="Q2030" s="748">
        <f t="shared" si="137"/>
        <v>12</v>
      </c>
      <c r="R2030" s="758" t="str">
        <f t="shared" si="138"/>
        <v>Gastos_Gerais</v>
      </c>
      <c r="S2030" s="697" t="s">
        <v>310</v>
      </c>
      <c r="T2030" s="697" t="s">
        <v>310</v>
      </c>
    </row>
    <row r="2031" spans="1:20" ht="36" x14ac:dyDescent="0.2">
      <c r="A2031" s="432">
        <f>IF(B2031="","",COUNT('Diário 1º PA'!$A$4:$A$2635)+COUNT('Diário 2º PA'!$A$4:$A$3040)+COUNT('Diário 3º PA'!$A$4:$A$2731)+ROW()-3)</f>
        <v>8056</v>
      </c>
      <c r="B2031" s="413">
        <v>44923</v>
      </c>
      <c r="C2031" s="421">
        <v>44896</v>
      </c>
      <c r="D2031" s="419" t="s">
        <v>271</v>
      </c>
      <c r="E2031" s="419" t="s">
        <v>71</v>
      </c>
      <c r="F2031" s="422">
        <v>11</v>
      </c>
      <c r="G2031" s="423" t="s">
        <v>9141</v>
      </c>
      <c r="H2031" s="419" t="s">
        <v>761</v>
      </c>
      <c r="I2031" s="415" t="s">
        <v>881</v>
      </c>
      <c r="J2031" s="419" t="s">
        <v>882</v>
      </c>
      <c r="K2031" s="419" t="s">
        <v>883</v>
      </c>
      <c r="L2031" s="415" t="s">
        <v>798</v>
      </c>
      <c r="M2031" s="419" t="s">
        <v>310</v>
      </c>
      <c r="N2031" s="413">
        <v>44923</v>
      </c>
      <c r="O2031" s="414" t="s">
        <v>400</v>
      </c>
      <c r="P2031" s="747">
        <f t="shared" ref="P2031:P2036" si="157">IF(B2031=0,0,IF(YEAR(B2031)=$Q$1,MONTH(B2031)-$P$1+1,(YEAR(B2031)-$Q$1)*12-$P$1+1+MONTH(B2031)))</f>
        <v>12</v>
      </c>
      <c r="Q2031" s="748">
        <f t="shared" ref="Q2031:Q2036" si="158">IF(C2031=0,0,IF(YEAR(C2031)=$Q$1,MONTH(C2031)-$P$1+1,(YEAR(C2031)-$Q$1)*12-$P$1+1+MONTH(C2031)))</f>
        <v>12</v>
      </c>
      <c r="R2031" s="758" t="str">
        <f t="shared" ref="R2031:R2036" si="159">SUBSTITUTE(D2031," ","_")</f>
        <v>Gastos_Gerais</v>
      </c>
      <c r="S2031" s="697" t="s">
        <v>310</v>
      </c>
      <c r="T2031" s="697" t="s">
        <v>310</v>
      </c>
    </row>
    <row r="2032" spans="1:20" ht="36" x14ac:dyDescent="0.2">
      <c r="A2032" s="432">
        <f>IF(B2032="","",COUNT('Diário 1º PA'!$A$4:$A$2635)+COUNT('Diário 2º PA'!$A$4:$A$3040)+COUNT('Diário 3º PA'!$A$4:$A$2731)+ROW()-3)</f>
        <v>8057</v>
      </c>
      <c r="B2032" s="413">
        <v>44923</v>
      </c>
      <c r="C2032" s="421">
        <v>44896</v>
      </c>
      <c r="D2032" s="419" t="s">
        <v>271</v>
      </c>
      <c r="E2032" s="419" t="s">
        <v>71</v>
      </c>
      <c r="F2032" s="422">
        <v>11</v>
      </c>
      <c r="G2032" s="423" t="s">
        <v>9142</v>
      </c>
      <c r="H2032" s="419" t="s">
        <v>309</v>
      </c>
      <c r="I2032" s="415" t="s">
        <v>881</v>
      </c>
      <c r="J2032" s="419" t="s">
        <v>882</v>
      </c>
      <c r="K2032" s="419" t="s">
        <v>883</v>
      </c>
      <c r="L2032" s="415" t="s">
        <v>798</v>
      </c>
      <c r="M2032" s="419" t="s">
        <v>310</v>
      </c>
      <c r="N2032" s="413">
        <v>44923</v>
      </c>
      <c r="O2032" s="414" t="s">
        <v>400</v>
      </c>
      <c r="P2032" s="747">
        <f t="shared" si="157"/>
        <v>12</v>
      </c>
      <c r="Q2032" s="748">
        <f t="shared" si="158"/>
        <v>12</v>
      </c>
      <c r="R2032" s="758" t="str">
        <f t="shared" si="159"/>
        <v>Gastos_Gerais</v>
      </c>
      <c r="S2032" s="697" t="s">
        <v>310</v>
      </c>
      <c r="T2032" s="697" t="s">
        <v>310</v>
      </c>
    </row>
    <row r="2033" spans="1:20" ht="36" x14ac:dyDescent="0.2">
      <c r="A2033" s="432">
        <f>IF(B2033="","",COUNT('Diário 1º PA'!$A$4:$A$2635)+COUNT('Diário 2º PA'!$A$4:$A$3040)+COUNT('Diário 3º PA'!$A$4:$A$2731)+ROW()-3)</f>
        <v>8058</v>
      </c>
      <c r="B2033" s="413">
        <v>44923</v>
      </c>
      <c r="C2033" s="421">
        <v>44896</v>
      </c>
      <c r="D2033" s="419" t="s">
        <v>271</v>
      </c>
      <c r="E2033" s="419" t="s">
        <v>71</v>
      </c>
      <c r="F2033" s="422">
        <v>11</v>
      </c>
      <c r="G2033" s="423" t="s">
        <v>9143</v>
      </c>
      <c r="H2033" s="419" t="s">
        <v>755</v>
      </c>
      <c r="I2033" s="415" t="s">
        <v>881</v>
      </c>
      <c r="J2033" s="419" t="s">
        <v>882</v>
      </c>
      <c r="K2033" s="419" t="s">
        <v>883</v>
      </c>
      <c r="L2033" s="415" t="s">
        <v>798</v>
      </c>
      <c r="M2033" s="419" t="s">
        <v>310</v>
      </c>
      <c r="N2033" s="413">
        <v>44923</v>
      </c>
      <c r="O2033" s="414" t="s">
        <v>400</v>
      </c>
      <c r="P2033" s="747">
        <f t="shared" si="157"/>
        <v>12</v>
      </c>
      <c r="Q2033" s="748">
        <f t="shared" si="158"/>
        <v>12</v>
      </c>
      <c r="R2033" s="758" t="str">
        <f t="shared" si="159"/>
        <v>Gastos_Gerais</v>
      </c>
      <c r="S2033" s="697" t="s">
        <v>310</v>
      </c>
      <c r="T2033" s="697" t="s">
        <v>310</v>
      </c>
    </row>
    <row r="2034" spans="1:20" ht="36" x14ac:dyDescent="0.2">
      <c r="A2034" s="432">
        <f>IF(B2034="","",COUNT('Diário 1º PA'!$A$4:$A$2635)+COUNT('Diário 2º PA'!$A$4:$A$3040)+COUNT('Diário 3º PA'!$A$4:$A$2731)+ROW()-3)</f>
        <v>8059</v>
      </c>
      <c r="B2034" s="413">
        <v>44923</v>
      </c>
      <c r="C2034" s="421">
        <v>44896</v>
      </c>
      <c r="D2034" s="419" t="s">
        <v>271</v>
      </c>
      <c r="E2034" s="419" t="s">
        <v>71</v>
      </c>
      <c r="F2034" s="422">
        <v>11</v>
      </c>
      <c r="G2034" s="423" t="s">
        <v>9144</v>
      </c>
      <c r="H2034" s="434" t="s">
        <v>309</v>
      </c>
      <c r="I2034" s="415" t="s">
        <v>881</v>
      </c>
      <c r="J2034" s="419" t="s">
        <v>882</v>
      </c>
      <c r="K2034" s="419" t="s">
        <v>883</v>
      </c>
      <c r="L2034" s="415" t="s">
        <v>798</v>
      </c>
      <c r="M2034" s="419" t="s">
        <v>310</v>
      </c>
      <c r="N2034" s="413">
        <v>44923</v>
      </c>
      <c r="O2034" s="414" t="s">
        <v>400</v>
      </c>
      <c r="P2034" s="747">
        <f t="shared" si="157"/>
        <v>12</v>
      </c>
      <c r="Q2034" s="748">
        <f t="shared" si="158"/>
        <v>12</v>
      </c>
      <c r="R2034" s="758" t="str">
        <f t="shared" si="159"/>
        <v>Gastos_Gerais</v>
      </c>
      <c r="S2034" s="697" t="s">
        <v>310</v>
      </c>
      <c r="T2034" s="697" t="s">
        <v>310</v>
      </c>
    </row>
    <row r="2035" spans="1:20" ht="36" x14ac:dyDescent="0.2">
      <c r="A2035" s="432">
        <f>IF(B2035="","",COUNT('Diário 1º PA'!$A$4:$A$2635)+COUNT('Diário 2º PA'!$A$4:$A$3040)+COUNT('Diário 3º PA'!$A$4:$A$2731)+ROW()-3)</f>
        <v>8060</v>
      </c>
      <c r="B2035" s="413">
        <v>44923</v>
      </c>
      <c r="C2035" s="421">
        <v>44896</v>
      </c>
      <c r="D2035" s="419" t="s">
        <v>271</v>
      </c>
      <c r="E2035" s="419" t="s">
        <v>71</v>
      </c>
      <c r="F2035" s="422">
        <v>11</v>
      </c>
      <c r="G2035" s="423" t="s">
        <v>9145</v>
      </c>
      <c r="H2035" s="419" t="s">
        <v>754</v>
      </c>
      <c r="I2035" s="415" t="s">
        <v>881</v>
      </c>
      <c r="J2035" s="419" t="s">
        <v>882</v>
      </c>
      <c r="K2035" s="419" t="s">
        <v>883</v>
      </c>
      <c r="L2035" s="415" t="s">
        <v>798</v>
      </c>
      <c r="M2035" s="419" t="s">
        <v>310</v>
      </c>
      <c r="N2035" s="413">
        <v>44923</v>
      </c>
      <c r="O2035" s="414" t="s">
        <v>400</v>
      </c>
      <c r="P2035" s="747">
        <f t="shared" si="157"/>
        <v>12</v>
      </c>
      <c r="Q2035" s="748">
        <f t="shared" si="158"/>
        <v>12</v>
      </c>
      <c r="R2035" s="758" t="str">
        <f t="shared" si="159"/>
        <v>Gastos_Gerais</v>
      </c>
      <c r="S2035" s="697" t="s">
        <v>310</v>
      </c>
      <c r="T2035" s="697" t="s">
        <v>310</v>
      </c>
    </row>
    <row r="2036" spans="1:20" ht="36" x14ac:dyDescent="0.2">
      <c r="A2036" s="432">
        <f>IF(B2036="","",COUNT('Diário 1º PA'!$A$4:$A$2635)+COUNT('Diário 2º PA'!$A$4:$A$3040)+COUNT('Diário 3º PA'!$A$4:$A$2731)+ROW()-3)</f>
        <v>8061</v>
      </c>
      <c r="B2036" s="413">
        <v>44923</v>
      </c>
      <c r="C2036" s="421">
        <v>44896</v>
      </c>
      <c r="D2036" s="419" t="s">
        <v>271</v>
      </c>
      <c r="E2036" s="419" t="s">
        <v>71</v>
      </c>
      <c r="F2036" s="422">
        <v>11</v>
      </c>
      <c r="G2036" s="423" t="s">
        <v>9139</v>
      </c>
      <c r="H2036" s="419" t="s">
        <v>754</v>
      </c>
      <c r="I2036" s="415" t="s">
        <v>881</v>
      </c>
      <c r="J2036" s="419" t="s">
        <v>882</v>
      </c>
      <c r="K2036" s="419" t="s">
        <v>883</v>
      </c>
      <c r="L2036" s="415" t="s">
        <v>798</v>
      </c>
      <c r="M2036" s="419" t="s">
        <v>310</v>
      </c>
      <c r="N2036" s="413">
        <v>44923</v>
      </c>
      <c r="O2036" s="414" t="s">
        <v>400</v>
      </c>
      <c r="P2036" s="747">
        <f t="shared" si="157"/>
        <v>12</v>
      </c>
      <c r="Q2036" s="748">
        <f t="shared" si="158"/>
        <v>12</v>
      </c>
      <c r="R2036" s="758" t="str">
        <f t="shared" si="159"/>
        <v>Gastos_Gerais</v>
      </c>
      <c r="S2036" s="697" t="s">
        <v>310</v>
      </c>
      <c r="T2036" s="697" t="s">
        <v>310</v>
      </c>
    </row>
    <row r="2037" spans="1:20" ht="24" x14ac:dyDescent="0.2">
      <c r="A2037" s="432">
        <f>IF(B2037="","",COUNT('Diário 1º PA'!$A$4:$A$2635)+COUNT('Diário 2º PA'!$A$4:$A$3040)+COUNT('Diário 3º PA'!$A$4:$A$2731)+ROW()-3)</f>
        <v>8062</v>
      </c>
      <c r="B2037" s="600">
        <v>44924</v>
      </c>
      <c r="C2037" s="431">
        <v>44866</v>
      </c>
      <c r="D2037" s="419" t="s">
        <v>271</v>
      </c>
      <c r="E2037" s="415" t="s">
        <v>297</v>
      </c>
      <c r="F2037" s="425">
        <v>784</v>
      </c>
      <c r="G2037" s="427" t="s">
        <v>8094</v>
      </c>
      <c r="H2037" s="419" t="s">
        <v>309</v>
      </c>
      <c r="I2037" s="415" t="s">
        <v>9151</v>
      </c>
      <c r="J2037" s="415" t="s">
        <v>8095</v>
      </c>
      <c r="K2037" s="343" t="s">
        <v>830</v>
      </c>
      <c r="L2037" s="345" t="s">
        <v>32</v>
      </c>
      <c r="M2037" s="343" t="s">
        <v>5108</v>
      </c>
      <c r="N2037" s="756">
        <v>44875</v>
      </c>
      <c r="O2037" s="414" t="s">
        <v>400</v>
      </c>
      <c r="P2037" s="747">
        <f t="shared" ref="P2037:P2094" si="160">IF(B2037=0,0,IF(YEAR(B2037)=$Q$1,MONTH(B2037)-$P$1+1,(YEAR(B2037)-$Q$1)*12-$P$1+1+MONTH(B2037)))</f>
        <v>12</v>
      </c>
      <c r="Q2037" s="748">
        <f t="shared" ref="Q2037:Q2094" si="161">IF(C2037=0,0,IF(YEAR(C2037)=$Q$1,MONTH(C2037)-$P$1+1,(YEAR(C2037)-$Q$1)*12-$P$1+1+MONTH(C2037)))</f>
        <v>11</v>
      </c>
      <c r="R2037" s="758" t="str">
        <f t="shared" ref="R2037:R2094" si="162">SUBSTITUTE(D2037," ","_")</f>
        <v>Gastos_Gerais</v>
      </c>
      <c r="S2037" s="697" t="s">
        <v>998</v>
      </c>
      <c r="T2037" s="697">
        <v>4666</v>
      </c>
    </row>
    <row r="2038" spans="1:20" ht="36" x14ac:dyDescent="0.2">
      <c r="A2038" s="432">
        <f>IF(B2038="","",COUNT('Diário 1º PA'!$A$4:$A$2635)+COUNT('Diário 2º PA'!$A$4:$A$3040)+COUNT('Diário 3º PA'!$A$4:$A$2731)+ROW()-3)</f>
        <v>8063</v>
      </c>
      <c r="B2038" s="600">
        <v>44924</v>
      </c>
      <c r="C2038" s="421">
        <v>44896</v>
      </c>
      <c r="D2038" s="419" t="s">
        <v>271</v>
      </c>
      <c r="E2038" s="419" t="s">
        <v>71</v>
      </c>
      <c r="F2038" s="422">
        <v>11</v>
      </c>
      <c r="G2038" s="423" t="s">
        <v>9152</v>
      </c>
      <c r="H2038" s="419" t="s">
        <v>309</v>
      </c>
      <c r="I2038" s="415" t="s">
        <v>881</v>
      </c>
      <c r="J2038" s="419" t="s">
        <v>882</v>
      </c>
      <c r="K2038" s="419" t="s">
        <v>883</v>
      </c>
      <c r="L2038" s="415" t="s">
        <v>798</v>
      </c>
      <c r="M2038" s="419" t="s">
        <v>310</v>
      </c>
      <c r="N2038" s="413">
        <v>44924</v>
      </c>
      <c r="O2038" s="414" t="s">
        <v>400</v>
      </c>
      <c r="P2038" s="747">
        <f t="shared" si="160"/>
        <v>12</v>
      </c>
      <c r="Q2038" s="748">
        <f t="shared" si="161"/>
        <v>12</v>
      </c>
      <c r="R2038" s="758" t="str">
        <f t="shared" si="162"/>
        <v>Gastos_Gerais</v>
      </c>
      <c r="S2038" s="697" t="s">
        <v>310</v>
      </c>
      <c r="T2038" s="697" t="s">
        <v>310</v>
      </c>
    </row>
    <row r="2039" spans="1:20" ht="36" x14ac:dyDescent="0.2">
      <c r="A2039" s="432">
        <f>IF(B2039="","",COUNT('Diário 1º PA'!$A$4:$A$2635)+COUNT('Diário 2º PA'!$A$4:$A$3040)+COUNT('Diário 3º PA'!$A$4:$A$2731)+ROW()-3)</f>
        <v>8064</v>
      </c>
      <c r="B2039" s="600">
        <v>44924</v>
      </c>
      <c r="C2039" s="421">
        <v>44896</v>
      </c>
      <c r="D2039" s="419" t="s">
        <v>271</v>
      </c>
      <c r="E2039" s="419" t="s">
        <v>71</v>
      </c>
      <c r="F2039" s="422">
        <v>11</v>
      </c>
      <c r="G2039" s="423" t="s">
        <v>9139</v>
      </c>
      <c r="H2039" s="419" t="s">
        <v>754</v>
      </c>
      <c r="I2039" s="415" t="s">
        <v>881</v>
      </c>
      <c r="J2039" s="419" t="s">
        <v>882</v>
      </c>
      <c r="K2039" s="419" t="s">
        <v>883</v>
      </c>
      <c r="L2039" s="415" t="s">
        <v>798</v>
      </c>
      <c r="M2039" s="419" t="s">
        <v>310</v>
      </c>
      <c r="N2039" s="413">
        <v>44924</v>
      </c>
      <c r="O2039" s="414" t="s">
        <v>400</v>
      </c>
      <c r="P2039" s="747">
        <f t="shared" ref="P2039:P2044" si="163">IF(B2039=0,0,IF(YEAR(B2039)=$Q$1,MONTH(B2039)-$P$1+1,(YEAR(B2039)-$Q$1)*12-$P$1+1+MONTH(B2039)))</f>
        <v>12</v>
      </c>
      <c r="Q2039" s="748">
        <f t="shared" ref="Q2039:Q2044" si="164">IF(C2039=0,0,IF(YEAR(C2039)=$Q$1,MONTH(C2039)-$P$1+1,(YEAR(C2039)-$Q$1)*12-$P$1+1+MONTH(C2039)))</f>
        <v>12</v>
      </c>
      <c r="R2039" s="758" t="str">
        <f t="shared" ref="R2039:R2044" si="165">SUBSTITUTE(D2039," ","_")</f>
        <v>Gastos_Gerais</v>
      </c>
      <c r="S2039" s="697" t="s">
        <v>310</v>
      </c>
      <c r="T2039" s="697" t="s">
        <v>310</v>
      </c>
    </row>
    <row r="2040" spans="1:20" ht="36" x14ac:dyDescent="0.2">
      <c r="A2040" s="432">
        <f>IF(B2040="","",COUNT('Diário 1º PA'!$A$4:$A$2635)+COUNT('Diário 2º PA'!$A$4:$A$3040)+COUNT('Diário 3º PA'!$A$4:$A$2731)+ROW()-3)</f>
        <v>8065</v>
      </c>
      <c r="B2040" s="600">
        <v>44924</v>
      </c>
      <c r="C2040" s="431">
        <v>44896</v>
      </c>
      <c r="D2040" s="419" t="s">
        <v>34</v>
      </c>
      <c r="E2040" s="419" t="s">
        <v>167</v>
      </c>
      <c r="F2040" s="422">
        <v>913937.53</v>
      </c>
      <c r="G2040" s="423" t="s">
        <v>9217</v>
      </c>
      <c r="H2040" s="419" t="s">
        <v>310</v>
      </c>
      <c r="I2040" s="427" t="s">
        <v>2437</v>
      </c>
      <c r="J2040" s="415" t="s">
        <v>796</v>
      </c>
      <c r="K2040" s="415" t="s">
        <v>797</v>
      </c>
      <c r="L2040" s="415" t="s">
        <v>798</v>
      </c>
      <c r="M2040" s="415" t="s">
        <v>310</v>
      </c>
      <c r="N2040" s="600">
        <v>44924</v>
      </c>
      <c r="O2040" s="414" t="s">
        <v>9125</v>
      </c>
      <c r="P2040" s="655">
        <f t="shared" si="163"/>
        <v>12</v>
      </c>
      <c r="Q2040" s="655">
        <f t="shared" si="164"/>
        <v>12</v>
      </c>
      <c r="R2040" s="758" t="str">
        <f t="shared" si="165"/>
        <v>Receitas</v>
      </c>
      <c r="S2040" s="697" t="s">
        <v>310</v>
      </c>
      <c r="T2040" s="697" t="s">
        <v>310</v>
      </c>
    </row>
    <row r="2041" spans="1:20" ht="36" x14ac:dyDescent="0.2">
      <c r="A2041" s="432">
        <f>IF(B2041="","",COUNT('Diário 1º PA'!$A$4:$A$2635)+COUNT('Diário 2º PA'!$A$4:$A$3040)+COUNT('Diário 3º PA'!$A$4:$A$2731)+ROW()-3)</f>
        <v>8066</v>
      </c>
      <c r="B2041" s="600">
        <v>44924</v>
      </c>
      <c r="C2041" s="431">
        <v>44896</v>
      </c>
      <c r="D2041" s="419" t="s">
        <v>34</v>
      </c>
      <c r="E2041" s="419" t="s">
        <v>167</v>
      </c>
      <c r="F2041" s="422">
        <v>161283.09</v>
      </c>
      <c r="G2041" s="423" t="s">
        <v>9217</v>
      </c>
      <c r="H2041" s="419" t="s">
        <v>310</v>
      </c>
      <c r="I2041" s="427" t="s">
        <v>2437</v>
      </c>
      <c r="J2041" s="415" t="s">
        <v>796</v>
      </c>
      <c r="K2041" s="415" t="s">
        <v>797</v>
      </c>
      <c r="L2041" s="415" t="s">
        <v>798</v>
      </c>
      <c r="M2041" s="415" t="s">
        <v>310</v>
      </c>
      <c r="N2041" s="600">
        <v>44924</v>
      </c>
      <c r="O2041" s="414" t="s">
        <v>9125</v>
      </c>
      <c r="P2041" s="655">
        <f t="shared" ref="P2041" si="166">IF(B2041=0,0,IF(YEAR(B2041)=$Q$1,MONTH(B2041)-$P$1+1,(YEAR(B2041)-$Q$1)*12-$P$1+1+MONTH(B2041)))</f>
        <v>12</v>
      </c>
      <c r="Q2041" s="655">
        <f t="shared" ref="Q2041" si="167">IF(C2041=0,0,IF(YEAR(C2041)=$Q$1,MONTH(C2041)-$P$1+1,(YEAR(C2041)-$Q$1)*12-$P$1+1+MONTH(C2041)))</f>
        <v>12</v>
      </c>
      <c r="R2041" s="758" t="str">
        <f t="shared" ref="R2041" si="168">SUBSTITUTE(D2041," ","_")</f>
        <v>Receitas</v>
      </c>
      <c r="S2041" s="697" t="s">
        <v>310</v>
      </c>
      <c r="T2041" s="697" t="s">
        <v>310</v>
      </c>
    </row>
    <row r="2042" spans="1:20" ht="36" x14ac:dyDescent="0.2">
      <c r="A2042" s="432">
        <f>IF(B2042="","",COUNT('Diário 1º PA'!$A$4:$A$2635)+COUNT('Diário 2º PA'!$A$4:$A$3040)+COUNT('Diário 3º PA'!$A$4:$A$2731)+ROW()-3)</f>
        <v>8067</v>
      </c>
      <c r="B2042" s="600">
        <v>44924</v>
      </c>
      <c r="C2042" s="431">
        <v>44896</v>
      </c>
      <c r="D2042" s="419" t="s">
        <v>34</v>
      </c>
      <c r="E2042" s="419" t="s">
        <v>167</v>
      </c>
      <c r="F2042" s="422">
        <v>63750</v>
      </c>
      <c r="G2042" s="423" t="s">
        <v>9218</v>
      </c>
      <c r="H2042" s="419" t="s">
        <v>310</v>
      </c>
      <c r="I2042" s="427" t="s">
        <v>2437</v>
      </c>
      <c r="J2042" s="415" t="s">
        <v>796</v>
      </c>
      <c r="K2042" s="415" t="s">
        <v>797</v>
      </c>
      <c r="L2042" s="415" t="s">
        <v>798</v>
      </c>
      <c r="M2042" s="415" t="s">
        <v>310</v>
      </c>
      <c r="N2042" s="600">
        <v>44924</v>
      </c>
      <c r="O2042" s="414" t="s">
        <v>9125</v>
      </c>
      <c r="P2042" s="655">
        <f t="shared" si="163"/>
        <v>12</v>
      </c>
      <c r="Q2042" s="655">
        <f t="shared" si="164"/>
        <v>12</v>
      </c>
      <c r="R2042" s="758" t="str">
        <f t="shared" si="165"/>
        <v>Receitas</v>
      </c>
      <c r="S2042" s="697" t="s">
        <v>310</v>
      </c>
      <c r="T2042" s="697" t="s">
        <v>310</v>
      </c>
    </row>
    <row r="2043" spans="1:20" ht="36" x14ac:dyDescent="0.2">
      <c r="A2043" s="432">
        <f>IF(B2043="","",COUNT('Diário 1º PA'!$A$4:$A$2635)+COUNT('Diário 2º PA'!$A$4:$A$3040)+COUNT('Diário 3º PA'!$A$4:$A$2731)+ROW()-3)</f>
        <v>8068</v>
      </c>
      <c r="B2043" s="600">
        <v>44924</v>
      </c>
      <c r="C2043" s="431">
        <v>44896</v>
      </c>
      <c r="D2043" s="419" t="s">
        <v>34</v>
      </c>
      <c r="E2043" s="419" t="s">
        <v>167</v>
      </c>
      <c r="F2043" s="422">
        <v>11250</v>
      </c>
      <c r="G2043" s="423" t="s">
        <v>9218</v>
      </c>
      <c r="H2043" s="419" t="s">
        <v>310</v>
      </c>
      <c r="I2043" s="427" t="s">
        <v>2437</v>
      </c>
      <c r="J2043" s="415" t="s">
        <v>796</v>
      </c>
      <c r="K2043" s="415" t="s">
        <v>797</v>
      </c>
      <c r="L2043" s="415" t="s">
        <v>798</v>
      </c>
      <c r="M2043" s="415" t="s">
        <v>310</v>
      </c>
      <c r="N2043" s="600">
        <v>44924</v>
      </c>
      <c r="O2043" s="414" t="s">
        <v>9125</v>
      </c>
      <c r="P2043" s="655">
        <f t="shared" ref="P2043" si="169">IF(B2043=0,0,IF(YEAR(B2043)=$Q$1,MONTH(B2043)-$P$1+1,(YEAR(B2043)-$Q$1)*12-$P$1+1+MONTH(B2043)))</f>
        <v>12</v>
      </c>
      <c r="Q2043" s="655">
        <f t="shared" ref="Q2043" si="170">IF(C2043=0,0,IF(YEAR(C2043)=$Q$1,MONTH(C2043)-$P$1+1,(YEAR(C2043)-$Q$1)*12-$P$1+1+MONTH(C2043)))</f>
        <v>12</v>
      </c>
      <c r="R2043" s="758" t="str">
        <f t="shared" ref="R2043" si="171">SUBSTITUTE(D2043," ","_")</f>
        <v>Receitas</v>
      </c>
      <c r="S2043" s="697" t="s">
        <v>310</v>
      </c>
      <c r="T2043" s="697" t="s">
        <v>310</v>
      </c>
    </row>
    <row r="2044" spans="1:20" ht="36" x14ac:dyDescent="0.2">
      <c r="A2044" s="432">
        <f>IF(B2044="","",COUNT('Diário 1º PA'!$A$4:$A$2635)+COUNT('Diário 2º PA'!$A$4:$A$3040)+COUNT('Diário 3º PA'!$A$4:$A$2731)+ROW()-3)</f>
        <v>8069</v>
      </c>
      <c r="B2044" s="600">
        <v>44924</v>
      </c>
      <c r="C2044" s="431">
        <v>44896</v>
      </c>
      <c r="D2044" s="419" t="s">
        <v>34</v>
      </c>
      <c r="E2044" s="419" t="s">
        <v>167</v>
      </c>
      <c r="F2044" s="422">
        <v>425000</v>
      </c>
      <c r="G2044" s="423" t="s">
        <v>9219</v>
      </c>
      <c r="H2044" s="419" t="s">
        <v>310</v>
      </c>
      <c r="I2044" s="427" t="s">
        <v>2437</v>
      </c>
      <c r="J2044" s="415" t="s">
        <v>796</v>
      </c>
      <c r="K2044" s="415" t="s">
        <v>797</v>
      </c>
      <c r="L2044" s="415" t="s">
        <v>798</v>
      </c>
      <c r="M2044" s="415" t="s">
        <v>310</v>
      </c>
      <c r="N2044" s="600">
        <v>44924</v>
      </c>
      <c r="O2044" s="414" t="s">
        <v>9125</v>
      </c>
      <c r="P2044" s="655">
        <f t="shared" si="163"/>
        <v>12</v>
      </c>
      <c r="Q2044" s="655">
        <f t="shared" si="164"/>
        <v>12</v>
      </c>
      <c r="R2044" s="758" t="str">
        <f t="shared" si="165"/>
        <v>Receitas</v>
      </c>
      <c r="S2044" s="697" t="s">
        <v>310</v>
      </c>
      <c r="T2044" s="697" t="s">
        <v>310</v>
      </c>
    </row>
    <row r="2045" spans="1:20" ht="36" x14ac:dyDescent="0.2">
      <c r="A2045" s="432">
        <f>IF(B2045="","",COUNT('Diário 1º PA'!$A$4:$A$2635)+COUNT('Diário 2º PA'!$A$4:$A$3040)+COUNT('Diário 3º PA'!$A$4:$A$2731)+ROW()-3)</f>
        <v>8070</v>
      </c>
      <c r="B2045" s="600">
        <v>44924</v>
      </c>
      <c r="C2045" s="431">
        <v>44896</v>
      </c>
      <c r="D2045" s="419" t="s">
        <v>34</v>
      </c>
      <c r="E2045" s="419" t="s">
        <v>167</v>
      </c>
      <c r="F2045" s="422">
        <v>75000</v>
      </c>
      <c r="G2045" s="423" t="s">
        <v>9219</v>
      </c>
      <c r="H2045" s="419" t="s">
        <v>310</v>
      </c>
      <c r="I2045" s="427" t="s">
        <v>2437</v>
      </c>
      <c r="J2045" s="415" t="s">
        <v>796</v>
      </c>
      <c r="K2045" s="415" t="s">
        <v>797</v>
      </c>
      <c r="L2045" s="415" t="s">
        <v>798</v>
      </c>
      <c r="M2045" s="415" t="s">
        <v>310</v>
      </c>
      <c r="N2045" s="600">
        <v>44924</v>
      </c>
      <c r="O2045" s="414" t="s">
        <v>9125</v>
      </c>
      <c r="P2045" s="655">
        <f t="shared" ref="P2045:P2046" si="172">IF(B2045=0,0,IF(YEAR(B2045)=$Q$1,MONTH(B2045)-$P$1+1,(YEAR(B2045)-$Q$1)*12-$P$1+1+MONTH(B2045)))</f>
        <v>12</v>
      </c>
      <c r="Q2045" s="655">
        <f t="shared" ref="Q2045:Q2046" si="173">IF(C2045=0,0,IF(YEAR(C2045)=$Q$1,MONTH(C2045)-$P$1+1,(YEAR(C2045)-$Q$1)*12-$P$1+1+MONTH(C2045)))</f>
        <v>12</v>
      </c>
      <c r="R2045" s="758" t="str">
        <f t="shared" ref="R2045:R2046" si="174">SUBSTITUTE(D2045," ","_")</f>
        <v>Receitas</v>
      </c>
      <c r="S2045" s="697" t="s">
        <v>310</v>
      </c>
      <c r="T2045" s="697" t="s">
        <v>310</v>
      </c>
    </row>
    <row r="2046" spans="1:20" ht="36" x14ac:dyDescent="0.2">
      <c r="A2046" s="432">
        <f>IF(B2046="","",COUNT('Diário 1º PA'!$A$4:$A$2635)+COUNT('Diário 2º PA'!$A$4:$A$3040)+COUNT('Diário 3º PA'!$A$4:$A$2731)+ROW()-3)</f>
        <v>8071</v>
      </c>
      <c r="B2046" s="600">
        <v>44924</v>
      </c>
      <c r="C2046" s="431">
        <v>44896</v>
      </c>
      <c r="D2046" s="419" t="s">
        <v>34</v>
      </c>
      <c r="E2046" s="419" t="s">
        <v>167</v>
      </c>
      <c r="F2046" s="422">
        <v>510000</v>
      </c>
      <c r="G2046" s="423" t="s">
        <v>9220</v>
      </c>
      <c r="H2046" s="419" t="s">
        <v>310</v>
      </c>
      <c r="I2046" s="427" t="s">
        <v>2437</v>
      </c>
      <c r="J2046" s="415" t="s">
        <v>796</v>
      </c>
      <c r="K2046" s="415" t="s">
        <v>797</v>
      </c>
      <c r="L2046" s="415" t="s">
        <v>798</v>
      </c>
      <c r="M2046" s="415" t="s">
        <v>310</v>
      </c>
      <c r="N2046" s="600">
        <v>44924</v>
      </c>
      <c r="O2046" s="414" t="s">
        <v>9125</v>
      </c>
      <c r="P2046" s="655">
        <f t="shared" si="172"/>
        <v>12</v>
      </c>
      <c r="Q2046" s="655">
        <f t="shared" si="173"/>
        <v>12</v>
      </c>
      <c r="R2046" s="758" t="str">
        <f t="shared" si="174"/>
        <v>Receitas</v>
      </c>
      <c r="S2046" s="697" t="s">
        <v>310</v>
      </c>
      <c r="T2046" s="697" t="s">
        <v>310</v>
      </c>
    </row>
    <row r="2047" spans="1:20" ht="36" x14ac:dyDescent="0.2">
      <c r="A2047" s="432">
        <f>IF(B2047="","",COUNT('Diário 1º PA'!$A$4:$A$2635)+COUNT('Diário 2º PA'!$A$4:$A$3040)+COUNT('Diário 3º PA'!$A$4:$A$2731)+ROW()-3)</f>
        <v>8072</v>
      </c>
      <c r="B2047" s="600">
        <v>44924</v>
      </c>
      <c r="C2047" s="431">
        <v>44896</v>
      </c>
      <c r="D2047" s="419" t="s">
        <v>34</v>
      </c>
      <c r="E2047" s="419" t="s">
        <v>167</v>
      </c>
      <c r="F2047" s="422">
        <v>90000</v>
      </c>
      <c r="G2047" s="423" t="s">
        <v>9220</v>
      </c>
      <c r="H2047" s="419" t="s">
        <v>310</v>
      </c>
      <c r="I2047" s="427" t="s">
        <v>2437</v>
      </c>
      <c r="J2047" s="415" t="s">
        <v>796</v>
      </c>
      <c r="K2047" s="415" t="s">
        <v>797</v>
      </c>
      <c r="L2047" s="415" t="s">
        <v>798</v>
      </c>
      <c r="M2047" s="415" t="s">
        <v>310</v>
      </c>
      <c r="N2047" s="600">
        <v>44924</v>
      </c>
      <c r="O2047" s="414" t="s">
        <v>9125</v>
      </c>
      <c r="P2047" s="655">
        <f t="shared" ref="P2047" si="175">IF(B2047=0,0,IF(YEAR(B2047)=$Q$1,MONTH(B2047)-$P$1+1,(YEAR(B2047)-$Q$1)*12-$P$1+1+MONTH(B2047)))</f>
        <v>12</v>
      </c>
      <c r="Q2047" s="655">
        <f t="shared" ref="Q2047" si="176">IF(C2047=0,0,IF(YEAR(C2047)=$Q$1,MONTH(C2047)-$P$1+1,(YEAR(C2047)-$Q$1)*12-$P$1+1+MONTH(C2047)))</f>
        <v>12</v>
      </c>
      <c r="R2047" s="758" t="str">
        <f t="shared" ref="R2047" si="177">SUBSTITUTE(D2047," ","_")</f>
        <v>Receitas</v>
      </c>
      <c r="S2047" s="697" t="s">
        <v>310</v>
      </c>
      <c r="T2047" s="697" t="s">
        <v>310</v>
      </c>
    </row>
    <row r="2048" spans="1:20" ht="132" x14ac:dyDescent="0.2">
      <c r="A2048" s="432">
        <f>IF(B2048="","",COUNT('Diário 1º PA'!$A$4:$A$2635)+COUNT('Diário 2º PA'!$A$4:$A$3040)+COUNT('Diário 3º PA'!$A$4:$A$2731)+ROW()-3)</f>
        <v>8073</v>
      </c>
      <c r="B2048" s="600">
        <v>44924</v>
      </c>
      <c r="C2048" s="759">
        <v>44896</v>
      </c>
      <c r="D2048" s="343" t="s">
        <v>468</v>
      </c>
      <c r="E2048" s="343" t="s">
        <v>468</v>
      </c>
      <c r="F2048" s="344">
        <v>1133.1500000000001</v>
      </c>
      <c r="G2048" s="757" t="s">
        <v>8630</v>
      </c>
      <c r="H2048" s="343" t="s">
        <v>468</v>
      </c>
      <c r="I2048" s="345" t="s">
        <v>6066</v>
      </c>
      <c r="J2048" s="417" t="s">
        <v>4898</v>
      </c>
      <c r="K2048" s="343" t="s">
        <v>812</v>
      </c>
      <c r="L2048" s="345" t="s">
        <v>807</v>
      </c>
      <c r="M2048" s="343">
        <v>104139</v>
      </c>
      <c r="N2048" s="756">
        <v>44896</v>
      </c>
      <c r="O2048" s="585" t="s">
        <v>3762</v>
      </c>
      <c r="P2048" s="747">
        <f t="shared" si="160"/>
        <v>12</v>
      </c>
      <c r="Q2048" s="748">
        <f t="shared" si="161"/>
        <v>12</v>
      </c>
      <c r="R2048" s="758" t="str">
        <f t="shared" si="162"/>
        <v>Gastos_custeados_por_captação</v>
      </c>
      <c r="S2048" s="697" t="s">
        <v>999</v>
      </c>
      <c r="T2048" s="697">
        <v>4821</v>
      </c>
    </row>
    <row r="2049" spans="1:20" ht="72" x14ac:dyDescent="0.2">
      <c r="A2049" s="432">
        <f>IF(B2049="","",COUNT('Diário 1º PA'!$A$4:$A$2635)+COUNT('Diário 2º PA'!$A$4:$A$3040)+COUNT('Diário 3º PA'!$A$4:$A$2731)+ROW()-3)</f>
        <v>8074</v>
      </c>
      <c r="B2049" s="600">
        <v>44924</v>
      </c>
      <c r="C2049" s="759">
        <v>44896</v>
      </c>
      <c r="D2049" s="343" t="s">
        <v>468</v>
      </c>
      <c r="E2049" s="343" t="s">
        <v>468</v>
      </c>
      <c r="F2049" s="344">
        <v>2500</v>
      </c>
      <c r="G2049" s="757" t="s">
        <v>8646</v>
      </c>
      <c r="H2049" s="343" t="s">
        <v>468</v>
      </c>
      <c r="I2049" s="345" t="s">
        <v>1230</v>
      </c>
      <c r="J2049" s="417" t="s">
        <v>1039</v>
      </c>
      <c r="K2049" s="343" t="s">
        <v>830</v>
      </c>
      <c r="L2049" s="345" t="s">
        <v>32</v>
      </c>
      <c r="M2049" s="343" t="s">
        <v>1935</v>
      </c>
      <c r="N2049" s="756">
        <v>44918</v>
      </c>
      <c r="O2049" s="585" t="s">
        <v>3762</v>
      </c>
      <c r="P2049" s="747">
        <f t="shared" si="160"/>
        <v>12</v>
      </c>
      <c r="Q2049" s="748">
        <f t="shared" si="161"/>
        <v>12</v>
      </c>
      <c r="R2049" s="758" t="str">
        <f t="shared" si="162"/>
        <v>Gastos_custeados_por_captação</v>
      </c>
      <c r="S2049" s="697" t="s">
        <v>998</v>
      </c>
      <c r="T2049" s="697">
        <v>4817</v>
      </c>
    </row>
    <row r="2050" spans="1:20" ht="36" x14ac:dyDescent="0.2">
      <c r="A2050" s="432">
        <f>IF(B2050="","",COUNT('Diário 1º PA'!$A$4:$A$2635)+COUNT('Diário 2º PA'!$A$4:$A$3040)+COUNT('Diário 3º PA'!$A$4:$A$2731)+ROW()-3)</f>
        <v>8075</v>
      </c>
      <c r="B2050" s="600">
        <v>44924</v>
      </c>
      <c r="C2050" s="421">
        <v>44896</v>
      </c>
      <c r="D2050" s="343" t="s">
        <v>468</v>
      </c>
      <c r="E2050" s="343" t="s">
        <v>468</v>
      </c>
      <c r="F2050" s="344">
        <v>11</v>
      </c>
      <c r="G2050" s="427" t="s">
        <v>2469</v>
      </c>
      <c r="H2050" s="343" t="s">
        <v>468</v>
      </c>
      <c r="I2050" s="639" t="s">
        <v>881</v>
      </c>
      <c r="J2050" s="418" t="s">
        <v>882</v>
      </c>
      <c r="K2050" s="418" t="s">
        <v>883</v>
      </c>
      <c r="L2050" s="399" t="s">
        <v>798</v>
      </c>
      <c r="M2050" s="544" t="s">
        <v>310</v>
      </c>
      <c r="N2050" s="756">
        <v>44924</v>
      </c>
      <c r="O2050" s="585" t="s">
        <v>3762</v>
      </c>
      <c r="P2050" s="747">
        <f t="shared" si="160"/>
        <v>12</v>
      </c>
      <c r="Q2050" s="748">
        <f t="shared" si="161"/>
        <v>12</v>
      </c>
      <c r="R2050" s="758" t="str">
        <f t="shared" si="162"/>
        <v>Gastos_custeados_por_captação</v>
      </c>
      <c r="S2050" s="697" t="s">
        <v>310</v>
      </c>
      <c r="T2050" s="697" t="s">
        <v>310</v>
      </c>
    </row>
    <row r="2051" spans="1:20" ht="36" x14ac:dyDescent="0.2">
      <c r="A2051" s="432">
        <f>IF(B2051="","",COUNT('Diário 1º PA'!$A$4:$A$2635)+COUNT('Diário 2º PA'!$A$4:$A$3040)+COUNT('Diário 3º PA'!$A$4:$A$2731)+ROW()-3)</f>
        <v>8076</v>
      </c>
      <c r="B2051" s="413">
        <v>44925</v>
      </c>
      <c r="C2051" s="424">
        <v>44896</v>
      </c>
      <c r="D2051" s="419" t="s">
        <v>182</v>
      </c>
      <c r="E2051" s="419" t="s">
        <v>287</v>
      </c>
      <c r="F2051" s="422">
        <v>2655.3</v>
      </c>
      <c r="G2051" s="423" t="s">
        <v>9162</v>
      </c>
      <c r="H2051" s="419" t="s">
        <v>310</v>
      </c>
      <c r="I2051" s="415" t="s">
        <v>1169</v>
      </c>
      <c r="J2051" s="419" t="s">
        <v>1170</v>
      </c>
      <c r="K2051" s="419" t="s">
        <v>830</v>
      </c>
      <c r="L2051" s="415" t="s">
        <v>925</v>
      </c>
      <c r="M2051" s="419" t="s">
        <v>310</v>
      </c>
      <c r="N2051" s="413">
        <v>44925</v>
      </c>
      <c r="O2051" s="414" t="s">
        <v>400</v>
      </c>
      <c r="P2051" s="655">
        <f t="shared" si="160"/>
        <v>12</v>
      </c>
      <c r="Q2051" s="655">
        <f t="shared" si="161"/>
        <v>12</v>
      </c>
      <c r="R2051" s="758" t="str">
        <f t="shared" si="162"/>
        <v>Gastos_com_Pessoal</v>
      </c>
      <c r="S2051" s="697" t="s">
        <v>310</v>
      </c>
      <c r="T2051" s="697" t="s">
        <v>310</v>
      </c>
    </row>
    <row r="2052" spans="1:20" ht="36" x14ac:dyDescent="0.2">
      <c r="A2052" s="432">
        <f>IF(B2052="","",COUNT('Diário 1º PA'!$A$4:$A$2635)+COUNT('Diário 2º PA'!$A$4:$A$3040)+COUNT('Diário 3º PA'!$A$4:$A$2731)+ROW()-3)</f>
        <v>8077</v>
      </c>
      <c r="B2052" s="413">
        <v>44925</v>
      </c>
      <c r="C2052" s="424">
        <v>44896</v>
      </c>
      <c r="D2052" s="419" t="s">
        <v>182</v>
      </c>
      <c r="E2052" s="419" t="s">
        <v>287</v>
      </c>
      <c r="F2052" s="422">
        <v>3884.9</v>
      </c>
      <c r="G2052" s="423" t="s">
        <v>9164</v>
      </c>
      <c r="H2052" s="419" t="s">
        <v>310</v>
      </c>
      <c r="I2052" s="415" t="s">
        <v>1186</v>
      </c>
      <c r="J2052" s="419" t="s">
        <v>1187</v>
      </c>
      <c r="K2052" s="419" t="s">
        <v>830</v>
      </c>
      <c r="L2052" s="415" t="s">
        <v>925</v>
      </c>
      <c r="M2052" s="419" t="s">
        <v>310</v>
      </c>
      <c r="N2052" s="413">
        <v>44925</v>
      </c>
      <c r="O2052" s="414" t="s">
        <v>400</v>
      </c>
      <c r="P2052" s="655">
        <f t="shared" si="160"/>
        <v>12</v>
      </c>
      <c r="Q2052" s="655">
        <f t="shared" si="161"/>
        <v>12</v>
      </c>
      <c r="R2052" s="758" t="str">
        <f t="shared" si="162"/>
        <v>Gastos_com_Pessoal</v>
      </c>
      <c r="S2052" s="697" t="s">
        <v>310</v>
      </c>
      <c r="T2052" s="697" t="s">
        <v>310</v>
      </c>
    </row>
    <row r="2053" spans="1:20" ht="36" x14ac:dyDescent="0.2">
      <c r="A2053" s="432">
        <f>IF(B2053="","",COUNT('Diário 1º PA'!$A$4:$A$2635)+COUNT('Diário 2º PA'!$A$4:$A$3040)+COUNT('Diário 3º PA'!$A$4:$A$2731)+ROW()-3)</f>
        <v>8078</v>
      </c>
      <c r="B2053" s="413">
        <v>44925</v>
      </c>
      <c r="C2053" s="424">
        <v>44896</v>
      </c>
      <c r="D2053" s="419" t="s">
        <v>182</v>
      </c>
      <c r="E2053" s="419" t="s">
        <v>287</v>
      </c>
      <c r="F2053" s="422">
        <v>2874.01</v>
      </c>
      <c r="G2053" s="423" t="s">
        <v>9166</v>
      </c>
      <c r="H2053" s="419" t="s">
        <v>310</v>
      </c>
      <c r="I2053" s="415" t="s">
        <v>961</v>
      </c>
      <c r="J2053" s="419" t="s">
        <v>962</v>
      </c>
      <c r="K2053" s="419" t="s">
        <v>830</v>
      </c>
      <c r="L2053" s="415" t="s">
        <v>925</v>
      </c>
      <c r="M2053" s="419" t="s">
        <v>310</v>
      </c>
      <c r="N2053" s="413">
        <v>44925</v>
      </c>
      <c r="O2053" s="414" t="s">
        <v>400</v>
      </c>
      <c r="P2053" s="655">
        <f t="shared" si="160"/>
        <v>12</v>
      </c>
      <c r="Q2053" s="655">
        <f t="shared" si="161"/>
        <v>12</v>
      </c>
      <c r="R2053" s="758" t="str">
        <f t="shared" si="162"/>
        <v>Gastos_com_Pessoal</v>
      </c>
      <c r="S2053" s="697" t="s">
        <v>310</v>
      </c>
      <c r="T2053" s="697" t="s">
        <v>310</v>
      </c>
    </row>
    <row r="2054" spans="1:20" ht="36" x14ac:dyDescent="0.2">
      <c r="A2054" s="432">
        <f>IF(B2054="","",COUNT('Diário 1º PA'!$A$4:$A$2635)+COUNT('Diário 2º PA'!$A$4:$A$3040)+COUNT('Diário 3º PA'!$A$4:$A$2731)+ROW()-3)</f>
        <v>8079</v>
      </c>
      <c r="B2054" s="413">
        <v>44925</v>
      </c>
      <c r="C2054" s="424">
        <v>44896</v>
      </c>
      <c r="D2054" s="419" t="s">
        <v>182</v>
      </c>
      <c r="E2054" s="419" t="s">
        <v>287</v>
      </c>
      <c r="F2054" s="422">
        <v>2874.01</v>
      </c>
      <c r="G2054" s="427" t="s">
        <v>9168</v>
      </c>
      <c r="H2054" s="419" t="s">
        <v>310</v>
      </c>
      <c r="I2054" s="415" t="s">
        <v>1200</v>
      </c>
      <c r="J2054" s="419" t="s">
        <v>1201</v>
      </c>
      <c r="K2054" s="419" t="s">
        <v>830</v>
      </c>
      <c r="L2054" s="415" t="s">
        <v>925</v>
      </c>
      <c r="M2054" s="419" t="s">
        <v>310</v>
      </c>
      <c r="N2054" s="413">
        <v>44925</v>
      </c>
      <c r="O2054" s="414" t="s">
        <v>400</v>
      </c>
      <c r="P2054" s="655">
        <f t="shared" si="160"/>
        <v>12</v>
      </c>
      <c r="Q2054" s="655">
        <f t="shared" si="161"/>
        <v>12</v>
      </c>
      <c r="R2054" s="758" t="str">
        <f t="shared" si="162"/>
        <v>Gastos_com_Pessoal</v>
      </c>
      <c r="S2054" s="697" t="s">
        <v>310</v>
      </c>
      <c r="T2054" s="697" t="s">
        <v>310</v>
      </c>
    </row>
    <row r="2055" spans="1:20" ht="36" x14ac:dyDescent="0.2">
      <c r="A2055" s="432">
        <f>IF(B2055="","",COUNT('Diário 1º PA'!$A$4:$A$2635)+COUNT('Diário 2º PA'!$A$4:$A$3040)+COUNT('Diário 3º PA'!$A$4:$A$2731)+ROW()-3)</f>
        <v>8080</v>
      </c>
      <c r="B2055" s="413">
        <v>44925</v>
      </c>
      <c r="C2055" s="424">
        <v>44896</v>
      </c>
      <c r="D2055" s="419" t="s">
        <v>182</v>
      </c>
      <c r="E2055" s="419" t="s">
        <v>287</v>
      </c>
      <c r="F2055" s="422">
        <v>2874.01</v>
      </c>
      <c r="G2055" s="427" t="s">
        <v>9169</v>
      </c>
      <c r="H2055" s="419" t="s">
        <v>310</v>
      </c>
      <c r="I2055" s="415" t="s">
        <v>969</v>
      </c>
      <c r="J2055" s="419" t="s">
        <v>970</v>
      </c>
      <c r="K2055" s="419" t="s">
        <v>830</v>
      </c>
      <c r="L2055" s="415" t="s">
        <v>925</v>
      </c>
      <c r="M2055" s="419" t="s">
        <v>310</v>
      </c>
      <c r="N2055" s="413">
        <v>44925</v>
      </c>
      <c r="O2055" s="414" t="s">
        <v>400</v>
      </c>
      <c r="P2055" s="655">
        <f t="shared" si="160"/>
        <v>12</v>
      </c>
      <c r="Q2055" s="655">
        <f t="shared" si="161"/>
        <v>12</v>
      </c>
      <c r="R2055" s="758" t="str">
        <f t="shared" si="162"/>
        <v>Gastos_com_Pessoal</v>
      </c>
      <c r="S2055" s="697" t="s">
        <v>310</v>
      </c>
      <c r="T2055" s="697" t="s">
        <v>310</v>
      </c>
    </row>
    <row r="2056" spans="1:20" ht="36" x14ac:dyDescent="0.2">
      <c r="A2056" s="432">
        <f>IF(B2056="","",COUNT('Diário 1º PA'!$A$4:$A$2635)+COUNT('Diário 2º PA'!$A$4:$A$3040)+COUNT('Diário 3º PA'!$A$4:$A$2731)+ROW()-3)</f>
        <v>8081</v>
      </c>
      <c r="B2056" s="413">
        <v>44925</v>
      </c>
      <c r="C2056" s="424">
        <v>44896</v>
      </c>
      <c r="D2056" s="419" t="s">
        <v>182</v>
      </c>
      <c r="E2056" s="419" t="s">
        <v>287</v>
      </c>
      <c r="F2056" s="422">
        <v>2874.01</v>
      </c>
      <c r="G2056" s="427" t="s">
        <v>9171</v>
      </c>
      <c r="H2056" s="419" t="s">
        <v>310</v>
      </c>
      <c r="I2056" s="415" t="s">
        <v>1198</v>
      </c>
      <c r="J2056" s="419" t="s">
        <v>1197</v>
      </c>
      <c r="K2056" s="419" t="s">
        <v>830</v>
      </c>
      <c r="L2056" s="415" t="s">
        <v>925</v>
      </c>
      <c r="M2056" s="419" t="s">
        <v>310</v>
      </c>
      <c r="N2056" s="413">
        <v>44925</v>
      </c>
      <c r="O2056" s="414" t="s">
        <v>400</v>
      </c>
      <c r="P2056" s="655">
        <f t="shared" si="160"/>
        <v>12</v>
      </c>
      <c r="Q2056" s="655">
        <f t="shared" si="161"/>
        <v>12</v>
      </c>
      <c r="R2056" s="758" t="str">
        <f t="shared" si="162"/>
        <v>Gastos_com_Pessoal</v>
      </c>
      <c r="S2056" s="697" t="s">
        <v>310</v>
      </c>
      <c r="T2056" s="697" t="s">
        <v>310</v>
      </c>
    </row>
    <row r="2057" spans="1:20" ht="36" x14ac:dyDescent="0.2">
      <c r="A2057" s="432">
        <f>IF(B2057="","",COUNT('Diário 1º PA'!$A$4:$A$2635)+COUNT('Diário 2º PA'!$A$4:$A$3040)+COUNT('Diário 3º PA'!$A$4:$A$2731)+ROW()-3)</f>
        <v>8082</v>
      </c>
      <c r="B2057" s="413">
        <v>44925</v>
      </c>
      <c r="C2057" s="424">
        <v>44896</v>
      </c>
      <c r="D2057" s="419" t="s">
        <v>182</v>
      </c>
      <c r="E2057" s="419" t="s">
        <v>287</v>
      </c>
      <c r="F2057" s="422">
        <v>2874.01</v>
      </c>
      <c r="G2057" s="427" t="s">
        <v>9173</v>
      </c>
      <c r="H2057" s="419" t="s">
        <v>310</v>
      </c>
      <c r="I2057" s="415" t="s">
        <v>1203</v>
      </c>
      <c r="J2057" s="419" t="s">
        <v>1201</v>
      </c>
      <c r="K2057" s="419" t="s">
        <v>6327</v>
      </c>
      <c r="L2057" s="415" t="s">
        <v>925</v>
      </c>
      <c r="M2057" s="419" t="s">
        <v>310</v>
      </c>
      <c r="N2057" s="413">
        <v>44925</v>
      </c>
      <c r="O2057" s="414" t="s">
        <v>400</v>
      </c>
      <c r="P2057" s="655">
        <f t="shared" si="160"/>
        <v>12</v>
      </c>
      <c r="Q2057" s="655">
        <f t="shared" si="161"/>
        <v>12</v>
      </c>
      <c r="R2057" s="758" t="str">
        <f t="shared" si="162"/>
        <v>Gastos_com_Pessoal</v>
      </c>
      <c r="S2057" s="697" t="s">
        <v>310</v>
      </c>
      <c r="T2057" s="697" t="s">
        <v>310</v>
      </c>
    </row>
    <row r="2058" spans="1:20" ht="36" x14ac:dyDescent="0.2">
      <c r="A2058" s="432">
        <f>IF(B2058="","",COUNT('Diário 1º PA'!$A$4:$A$2635)+COUNT('Diário 2º PA'!$A$4:$A$3040)+COUNT('Diário 3º PA'!$A$4:$A$2731)+ROW()-3)</f>
        <v>8083</v>
      </c>
      <c r="B2058" s="413">
        <v>44925</v>
      </c>
      <c r="C2058" s="424">
        <v>44896</v>
      </c>
      <c r="D2058" s="419" t="s">
        <v>182</v>
      </c>
      <c r="E2058" s="419" t="s">
        <v>287</v>
      </c>
      <c r="F2058" s="422">
        <v>2220.16</v>
      </c>
      <c r="G2058" s="423" t="s">
        <v>9175</v>
      </c>
      <c r="H2058" s="419" t="s">
        <v>310</v>
      </c>
      <c r="I2058" s="415" t="s">
        <v>929</v>
      </c>
      <c r="J2058" s="419" t="s">
        <v>930</v>
      </c>
      <c r="K2058" s="419" t="s">
        <v>806</v>
      </c>
      <c r="L2058" s="415" t="s">
        <v>925</v>
      </c>
      <c r="M2058" s="419" t="s">
        <v>310</v>
      </c>
      <c r="N2058" s="413">
        <v>44925</v>
      </c>
      <c r="O2058" s="414" t="s">
        <v>400</v>
      </c>
      <c r="P2058" s="655">
        <f t="shared" si="160"/>
        <v>12</v>
      </c>
      <c r="Q2058" s="655">
        <f t="shared" si="161"/>
        <v>12</v>
      </c>
      <c r="R2058" s="758" t="str">
        <f t="shared" si="162"/>
        <v>Gastos_com_Pessoal</v>
      </c>
      <c r="S2058" s="697" t="s">
        <v>310</v>
      </c>
      <c r="T2058" s="697" t="s">
        <v>310</v>
      </c>
    </row>
    <row r="2059" spans="1:20" ht="36" x14ac:dyDescent="0.2">
      <c r="A2059" s="432">
        <f>IF(B2059="","",COUNT('Diário 1º PA'!$A$4:$A$2635)+COUNT('Diário 2º PA'!$A$4:$A$3040)+COUNT('Diário 3º PA'!$A$4:$A$2731)+ROW()-3)</f>
        <v>8084</v>
      </c>
      <c r="B2059" s="413">
        <v>44925</v>
      </c>
      <c r="C2059" s="424">
        <v>44896</v>
      </c>
      <c r="D2059" s="419" t="s">
        <v>182</v>
      </c>
      <c r="E2059" s="419" t="s">
        <v>287</v>
      </c>
      <c r="F2059" s="422">
        <v>2874.01</v>
      </c>
      <c r="G2059" s="423" t="s">
        <v>9177</v>
      </c>
      <c r="H2059" s="419" t="s">
        <v>310</v>
      </c>
      <c r="I2059" s="415" t="s">
        <v>1167</v>
      </c>
      <c r="J2059" s="419" t="s">
        <v>1168</v>
      </c>
      <c r="K2059" s="419" t="s">
        <v>830</v>
      </c>
      <c r="L2059" s="415" t="s">
        <v>925</v>
      </c>
      <c r="M2059" s="419" t="s">
        <v>310</v>
      </c>
      <c r="N2059" s="413">
        <v>44925</v>
      </c>
      <c r="O2059" s="414" t="s">
        <v>400</v>
      </c>
      <c r="P2059" s="655">
        <f t="shared" si="160"/>
        <v>12</v>
      </c>
      <c r="Q2059" s="655">
        <f t="shared" si="161"/>
        <v>12</v>
      </c>
      <c r="R2059" s="758" t="str">
        <f t="shared" si="162"/>
        <v>Gastos_com_Pessoal</v>
      </c>
      <c r="S2059" s="697" t="s">
        <v>310</v>
      </c>
      <c r="T2059" s="697" t="s">
        <v>310</v>
      </c>
    </row>
    <row r="2060" spans="1:20" ht="36" x14ac:dyDescent="0.2">
      <c r="A2060" s="432">
        <f>IF(B2060="","",COUNT('Diário 1º PA'!$A$4:$A$2635)+COUNT('Diário 2º PA'!$A$4:$A$3040)+COUNT('Diário 3º PA'!$A$4:$A$2731)+ROW()-3)</f>
        <v>8085</v>
      </c>
      <c r="B2060" s="413">
        <v>44925</v>
      </c>
      <c r="C2060" s="424">
        <v>44896</v>
      </c>
      <c r="D2060" s="419" t="s">
        <v>182</v>
      </c>
      <c r="E2060" s="419" t="s">
        <v>287</v>
      </c>
      <c r="F2060" s="422">
        <v>2306.62</v>
      </c>
      <c r="G2060" s="427" t="s">
        <v>9178</v>
      </c>
      <c r="H2060" s="419" t="s">
        <v>310</v>
      </c>
      <c r="I2060" s="415" t="s">
        <v>1196</v>
      </c>
      <c r="J2060" s="419" t="s">
        <v>1195</v>
      </c>
      <c r="K2060" s="419" t="s">
        <v>830</v>
      </c>
      <c r="L2060" s="415" t="s">
        <v>925</v>
      </c>
      <c r="M2060" s="419" t="s">
        <v>310</v>
      </c>
      <c r="N2060" s="413">
        <v>44925</v>
      </c>
      <c r="O2060" s="414" t="s">
        <v>400</v>
      </c>
      <c r="P2060" s="655">
        <f t="shared" si="160"/>
        <v>12</v>
      </c>
      <c r="Q2060" s="655">
        <f t="shared" si="161"/>
        <v>12</v>
      </c>
      <c r="R2060" s="758" t="str">
        <f t="shared" si="162"/>
        <v>Gastos_com_Pessoal</v>
      </c>
      <c r="S2060" s="697" t="s">
        <v>310</v>
      </c>
      <c r="T2060" s="697" t="s">
        <v>310</v>
      </c>
    </row>
    <row r="2061" spans="1:20" ht="36" x14ac:dyDescent="0.2">
      <c r="A2061" s="432">
        <f>IF(B2061="","",COUNT('Diário 1º PA'!$A$4:$A$2635)+COUNT('Diário 2º PA'!$A$4:$A$3040)+COUNT('Diário 3º PA'!$A$4:$A$2731)+ROW()-3)</f>
        <v>8086</v>
      </c>
      <c r="B2061" s="413">
        <v>44925</v>
      </c>
      <c r="C2061" s="424">
        <v>44896</v>
      </c>
      <c r="D2061" s="419" t="s">
        <v>182</v>
      </c>
      <c r="E2061" s="419" t="s">
        <v>287</v>
      </c>
      <c r="F2061" s="422">
        <v>10151.959999999999</v>
      </c>
      <c r="G2061" s="423" t="s">
        <v>4836</v>
      </c>
      <c r="H2061" s="419" t="s">
        <v>310</v>
      </c>
      <c r="I2061" s="415" t="s">
        <v>952</v>
      </c>
      <c r="J2061" s="419" t="s">
        <v>953</v>
      </c>
      <c r="K2061" s="419" t="s">
        <v>830</v>
      </c>
      <c r="L2061" s="415" t="s">
        <v>925</v>
      </c>
      <c r="M2061" s="419" t="s">
        <v>310</v>
      </c>
      <c r="N2061" s="413">
        <v>44925</v>
      </c>
      <c r="O2061" s="414" t="s">
        <v>400</v>
      </c>
      <c r="P2061" s="655">
        <f t="shared" si="160"/>
        <v>12</v>
      </c>
      <c r="Q2061" s="655">
        <f t="shared" si="161"/>
        <v>12</v>
      </c>
      <c r="R2061" s="758" t="str">
        <f t="shared" si="162"/>
        <v>Gastos_com_Pessoal</v>
      </c>
      <c r="S2061" s="697" t="s">
        <v>310</v>
      </c>
      <c r="T2061" s="697" t="s">
        <v>310</v>
      </c>
    </row>
    <row r="2062" spans="1:20" ht="36" x14ac:dyDescent="0.2">
      <c r="A2062" s="432">
        <f>IF(B2062="","",COUNT('Diário 1º PA'!$A$4:$A$2635)+COUNT('Diário 2º PA'!$A$4:$A$3040)+COUNT('Diário 3º PA'!$A$4:$A$2731)+ROW()-3)</f>
        <v>8087</v>
      </c>
      <c r="B2062" s="413">
        <v>44925</v>
      </c>
      <c r="C2062" s="424">
        <v>44896</v>
      </c>
      <c r="D2062" s="419" t="s">
        <v>182</v>
      </c>
      <c r="E2062" s="419" t="s">
        <v>287</v>
      </c>
      <c r="F2062" s="422">
        <v>2874.01</v>
      </c>
      <c r="G2062" s="427" t="s">
        <v>9168</v>
      </c>
      <c r="H2062" s="419" t="s">
        <v>310</v>
      </c>
      <c r="I2062" s="415" t="s">
        <v>1202</v>
      </c>
      <c r="J2062" s="419" t="s">
        <v>1201</v>
      </c>
      <c r="K2062" s="419" t="s">
        <v>6327</v>
      </c>
      <c r="L2062" s="415" t="s">
        <v>925</v>
      </c>
      <c r="M2062" s="419" t="s">
        <v>310</v>
      </c>
      <c r="N2062" s="413">
        <v>44925</v>
      </c>
      <c r="O2062" s="414" t="s">
        <v>400</v>
      </c>
      <c r="P2062" s="655">
        <f t="shared" si="160"/>
        <v>12</v>
      </c>
      <c r="Q2062" s="655">
        <f t="shared" si="161"/>
        <v>12</v>
      </c>
      <c r="R2062" s="758" t="str">
        <f t="shared" si="162"/>
        <v>Gastos_com_Pessoal</v>
      </c>
      <c r="S2062" s="697" t="s">
        <v>310</v>
      </c>
      <c r="T2062" s="697" t="s">
        <v>310</v>
      </c>
    </row>
    <row r="2063" spans="1:20" ht="36" x14ac:dyDescent="0.2">
      <c r="A2063" s="432">
        <f>IF(B2063="","",COUNT('Diário 1º PA'!$A$4:$A$2635)+COUNT('Diário 2º PA'!$A$4:$A$3040)+COUNT('Diário 3º PA'!$A$4:$A$2731)+ROW()-3)</f>
        <v>8088</v>
      </c>
      <c r="B2063" s="413">
        <v>44925</v>
      </c>
      <c r="C2063" s="424">
        <v>44896</v>
      </c>
      <c r="D2063" s="419" t="s">
        <v>182</v>
      </c>
      <c r="E2063" s="419" t="s">
        <v>287</v>
      </c>
      <c r="F2063" s="422">
        <v>3884.9</v>
      </c>
      <c r="G2063" s="423" t="s">
        <v>9181</v>
      </c>
      <c r="H2063" s="419" t="s">
        <v>310</v>
      </c>
      <c r="I2063" s="415" t="s">
        <v>1188</v>
      </c>
      <c r="J2063" s="419" t="s">
        <v>1189</v>
      </c>
      <c r="K2063" s="419" t="s">
        <v>830</v>
      </c>
      <c r="L2063" s="415" t="s">
        <v>925</v>
      </c>
      <c r="M2063" s="419" t="s">
        <v>310</v>
      </c>
      <c r="N2063" s="413">
        <v>44925</v>
      </c>
      <c r="O2063" s="414" t="s">
        <v>400</v>
      </c>
      <c r="P2063" s="655">
        <f t="shared" si="160"/>
        <v>12</v>
      </c>
      <c r="Q2063" s="655">
        <f t="shared" si="161"/>
        <v>12</v>
      </c>
      <c r="R2063" s="758" t="str">
        <f t="shared" si="162"/>
        <v>Gastos_com_Pessoal</v>
      </c>
      <c r="S2063" s="697" t="s">
        <v>310</v>
      </c>
      <c r="T2063" s="697" t="s">
        <v>310</v>
      </c>
    </row>
    <row r="2064" spans="1:20" ht="36" x14ac:dyDescent="0.2">
      <c r="A2064" s="432">
        <f>IF(B2064="","",COUNT('Diário 1º PA'!$A$4:$A$2635)+COUNT('Diário 2º PA'!$A$4:$A$3040)+COUNT('Diário 3º PA'!$A$4:$A$2731)+ROW()-3)</f>
        <v>8089</v>
      </c>
      <c r="B2064" s="413">
        <v>44925</v>
      </c>
      <c r="C2064" s="424">
        <v>44896</v>
      </c>
      <c r="D2064" s="419" t="s">
        <v>182</v>
      </c>
      <c r="E2064" s="419" t="s">
        <v>287</v>
      </c>
      <c r="F2064" s="422">
        <v>3884.9</v>
      </c>
      <c r="G2064" s="423" t="s">
        <v>9182</v>
      </c>
      <c r="H2064" s="419" t="s">
        <v>310</v>
      </c>
      <c r="I2064" s="415" t="s">
        <v>959</v>
      </c>
      <c r="J2064" s="419" t="s">
        <v>960</v>
      </c>
      <c r="K2064" s="419" t="s">
        <v>830</v>
      </c>
      <c r="L2064" s="415" t="s">
        <v>925</v>
      </c>
      <c r="M2064" s="419" t="s">
        <v>310</v>
      </c>
      <c r="N2064" s="413">
        <v>44925</v>
      </c>
      <c r="O2064" s="414" t="s">
        <v>400</v>
      </c>
      <c r="P2064" s="655">
        <f t="shared" si="160"/>
        <v>12</v>
      </c>
      <c r="Q2064" s="655">
        <f t="shared" si="161"/>
        <v>12</v>
      </c>
      <c r="R2064" s="758" t="str">
        <f t="shared" si="162"/>
        <v>Gastos_com_Pessoal</v>
      </c>
      <c r="S2064" s="697" t="s">
        <v>310</v>
      </c>
      <c r="T2064" s="697" t="s">
        <v>310</v>
      </c>
    </row>
    <row r="2065" spans="1:20" ht="36" x14ac:dyDescent="0.2">
      <c r="A2065" s="432">
        <f>IF(B2065="","",COUNT('Diário 1º PA'!$A$4:$A$2635)+COUNT('Diário 2º PA'!$A$4:$A$3040)+COUNT('Diário 3º PA'!$A$4:$A$2731)+ROW()-3)</f>
        <v>8090</v>
      </c>
      <c r="B2065" s="413">
        <v>44925</v>
      </c>
      <c r="C2065" s="424">
        <v>44896</v>
      </c>
      <c r="D2065" s="419" t="s">
        <v>182</v>
      </c>
      <c r="E2065" s="419" t="s">
        <v>287</v>
      </c>
      <c r="F2065" s="422">
        <v>2220.16</v>
      </c>
      <c r="G2065" s="427" t="s">
        <v>9175</v>
      </c>
      <c r="H2065" s="419" t="s">
        <v>310</v>
      </c>
      <c r="I2065" s="415" t="s">
        <v>828</v>
      </c>
      <c r="J2065" s="419" t="s">
        <v>829</v>
      </c>
      <c r="K2065" s="419" t="s">
        <v>830</v>
      </c>
      <c r="L2065" s="415" t="s">
        <v>925</v>
      </c>
      <c r="M2065" s="734" t="s">
        <v>310</v>
      </c>
      <c r="N2065" s="413">
        <v>44925</v>
      </c>
      <c r="O2065" s="414" t="s">
        <v>400</v>
      </c>
      <c r="P2065" s="655">
        <f t="shared" si="160"/>
        <v>12</v>
      </c>
      <c r="Q2065" s="655">
        <f t="shared" si="161"/>
        <v>12</v>
      </c>
      <c r="R2065" s="758" t="str">
        <f t="shared" si="162"/>
        <v>Gastos_com_Pessoal</v>
      </c>
      <c r="S2065" s="697" t="s">
        <v>310</v>
      </c>
      <c r="T2065" s="697" t="s">
        <v>310</v>
      </c>
    </row>
    <row r="2066" spans="1:20" ht="36" x14ac:dyDescent="0.2">
      <c r="A2066" s="432">
        <f>IF(B2066="","",COUNT('Diário 1º PA'!$A$4:$A$2635)+COUNT('Diário 2º PA'!$A$4:$A$3040)+COUNT('Diário 3º PA'!$A$4:$A$2731)+ROW()-3)</f>
        <v>8091</v>
      </c>
      <c r="B2066" s="413">
        <v>44925</v>
      </c>
      <c r="C2066" s="424">
        <v>44896</v>
      </c>
      <c r="D2066" s="419" t="s">
        <v>182</v>
      </c>
      <c r="E2066" s="419" t="s">
        <v>287</v>
      </c>
      <c r="F2066" s="422">
        <v>2874.01</v>
      </c>
      <c r="G2066" s="423" t="s">
        <v>9168</v>
      </c>
      <c r="H2066" s="419" t="s">
        <v>310</v>
      </c>
      <c r="I2066" s="415" t="s">
        <v>3519</v>
      </c>
      <c r="J2066" s="419" t="s">
        <v>988</v>
      </c>
      <c r="K2066" s="419" t="s">
        <v>830</v>
      </c>
      <c r="L2066" s="415" t="s">
        <v>925</v>
      </c>
      <c r="M2066" s="419" t="s">
        <v>310</v>
      </c>
      <c r="N2066" s="413">
        <v>44925</v>
      </c>
      <c r="O2066" s="414" t="s">
        <v>400</v>
      </c>
      <c r="P2066" s="655">
        <f t="shared" si="160"/>
        <v>12</v>
      </c>
      <c r="Q2066" s="655">
        <f t="shared" si="161"/>
        <v>12</v>
      </c>
      <c r="R2066" s="758" t="str">
        <f t="shared" si="162"/>
        <v>Gastos_com_Pessoal</v>
      </c>
      <c r="S2066" s="697" t="s">
        <v>310</v>
      </c>
      <c r="T2066" s="697" t="s">
        <v>310</v>
      </c>
    </row>
    <row r="2067" spans="1:20" ht="36" x14ac:dyDescent="0.2">
      <c r="A2067" s="432">
        <f>IF(B2067="","",COUNT('Diário 1º PA'!$A$4:$A$2635)+COUNT('Diário 2º PA'!$A$4:$A$3040)+COUNT('Diário 3º PA'!$A$4:$A$2731)+ROW()-3)</f>
        <v>8092</v>
      </c>
      <c r="B2067" s="413">
        <v>44925</v>
      </c>
      <c r="C2067" s="424">
        <v>44896</v>
      </c>
      <c r="D2067" s="419" t="s">
        <v>182</v>
      </c>
      <c r="E2067" s="419" t="s">
        <v>287</v>
      </c>
      <c r="F2067" s="422">
        <v>2614.71</v>
      </c>
      <c r="G2067" s="423" t="s">
        <v>9184</v>
      </c>
      <c r="H2067" s="419" t="s">
        <v>310</v>
      </c>
      <c r="I2067" s="415" t="s">
        <v>985</v>
      </c>
      <c r="J2067" s="419" t="s">
        <v>986</v>
      </c>
      <c r="K2067" s="419" t="s">
        <v>830</v>
      </c>
      <c r="L2067" s="415" t="s">
        <v>925</v>
      </c>
      <c r="M2067" s="419" t="s">
        <v>310</v>
      </c>
      <c r="N2067" s="413">
        <v>44925</v>
      </c>
      <c r="O2067" s="414" t="s">
        <v>400</v>
      </c>
      <c r="P2067" s="655">
        <f t="shared" si="160"/>
        <v>12</v>
      </c>
      <c r="Q2067" s="655">
        <f t="shared" si="161"/>
        <v>12</v>
      </c>
      <c r="R2067" s="758" t="str">
        <f t="shared" si="162"/>
        <v>Gastos_com_Pessoal</v>
      </c>
      <c r="S2067" s="697" t="s">
        <v>310</v>
      </c>
      <c r="T2067" s="697" t="s">
        <v>310</v>
      </c>
    </row>
    <row r="2068" spans="1:20" ht="36" x14ac:dyDescent="0.2">
      <c r="A2068" s="432">
        <f>IF(B2068="","",COUNT('Diário 1º PA'!$A$4:$A$2635)+COUNT('Diário 2º PA'!$A$4:$A$3040)+COUNT('Diário 3º PA'!$A$4:$A$2731)+ROW()-3)</f>
        <v>8093</v>
      </c>
      <c r="B2068" s="413">
        <v>44925</v>
      </c>
      <c r="C2068" s="424">
        <v>44896</v>
      </c>
      <c r="D2068" s="419" t="s">
        <v>182</v>
      </c>
      <c r="E2068" s="419" t="s">
        <v>287</v>
      </c>
      <c r="F2068" s="422">
        <v>2874.01</v>
      </c>
      <c r="G2068" s="427" t="s">
        <v>9171</v>
      </c>
      <c r="H2068" s="419" t="s">
        <v>310</v>
      </c>
      <c r="I2068" s="415" t="s">
        <v>1205</v>
      </c>
      <c r="J2068" s="419" t="s">
        <v>1204</v>
      </c>
      <c r="K2068" s="419" t="s">
        <v>6327</v>
      </c>
      <c r="L2068" s="415" t="s">
        <v>925</v>
      </c>
      <c r="M2068" s="419" t="s">
        <v>310</v>
      </c>
      <c r="N2068" s="413">
        <v>44925</v>
      </c>
      <c r="O2068" s="414" t="s">
        <v>400</v>
      </c>
      <c r="P2068" s="655">
        <f t="shared" si="160"/>
        <v>12</v>
      </c>
      <c r="Q2068" s="655">
        <f t="shared" si="161"/>
        <v>12</v>
      </c>
      <c r="R2068" s="758" t="str">
        <f t="shared" si="162"/>
        <v>Gastos_com_Pessoal</v>
      </c>
      <c r="S2068" s="697" t="s">
        <v>310</v>
      </c>
      <c r="T2068" s="697" t="s">
        <v>310</v>
      </c>
    </row>
    <row r="2069" spans="1:20" ht="36" x14ac:dyDescent="0.2">
      <c r="A2069" s="432">
        <f>IF(B2069="","",COUNT('Diário 1º PA'!$A$4:$A$2635)+COUNT('Diário 2º PA'!$A$4:$A$3040)+COUNT('Diário 3º PA'!$A$4:$A$2731)+ROW()-3)</f>
        <v>8094</v>
      </c>
      <c r="B2069" s="413">
        <v>44925</v>
      </c>
      <c r="C2069" s="424">
        <v>44896</v>
      </c>
      <c r="D2069" s="419" t="s">
        <v>182</v>
      </c>
      <c r="E2069" s="419" t="s">
        <v>287</v>
      </c>
      <c r="F2069" s="422">
        <v>3884.9</v>
      </c>
      <c r="G2069" s="423" t="s">
        <v>9182</v>
      </c>
      <c r="H2069" s="419" t="s">
        <v>310</v>
      </c>
      <c r="I2069" s="415" t="s">
        <v>996</v>
      </c>
      <c r="J2069" s="419" t="s">
        <v>997</v>
      </c>
      <c r="K2069" s="419" t="s">
        <v>830</v>
      </c>
      <c r="L2069" s="415" t="s">
        <v>925</v>
      </c>
      <c r="M2069" s="419" t="s">
        <v>310</v>
      </c>
      <c r="N2069" s="413">
        <v>44925</v>
      </c>
      <c r="O2069" s="414" t="s">
        <v>400</v>
      </c>
      <c r="P2069" s="655">
        <f t="shared" si="160"/>
        <v>12</v>
      </c>
      <c r="Q2069" s="655">
        <f t="shared" si="161"/>
        <v>12</v>
      </c>
      <c r="R2069" s="758" t="str">
        <f t="shared" si="162"/>
        <v>Gastos_com_Pessoal</v>
      </c>
      <c r="S2069" s="697" t="s">
        <v>310</v>
      </c>
      <c r="T2069" s="697" t="s">
        <v>310</v>
      </c>
    </row>
    <row r="2070" spans="1:20" ht="36" x14ac:dyDescent="0.2">
      <c r="A2070" s="352">
        <f>IF(B2070="","",COUNT('Diário 1º PA'!$A$4:$A$2635)+COUNT('Diário 2º PA'!$A$4:$A$3040)+COUNT('Diário 3º PA'!$A$4:$A$2731)+ROW()-3)</f>
        <v>8095</v>
      </c>
      <c r="B2070" s="413">
        <v>44925</v>
      </c>
      <c r="C2070" s="424">
        <v>44896</v>
      </c>
      <c r="D2070" s="419" t="s">
        <v>182</v>
      </c>
      <c r="E2070" s="419" t="s">
        <v>287</v>
      </c>
      <c r="F2070" s="422">
        <v>2874.01</v>
      </c>
      <c r="G2070" s="423" t="s">
        <v>9169</v>
      </c>
      <c r="H2070" s="419" t="s">
        <v>310</v>
      </c>
      <c r="I2070" s="415" t="s">
        <v>1182</v>
      </c>
      <c r="J2070" s="419" t="s">
        <v>1183</v>
      </c>
      <c r="K2070" s="419" t="s">
        <v>830</v>
      </c>
      <c r="L2070" s="415" t="s">
        <v>925</v>
      </c>
      <c r="M2070" s="419" t="s">
        <v>310</v>
      </c>
      <c r="N2070" s="413">
        <v>44925</v>
      </c>
      <c r="O2070" s="414" t="s">
        <v>400</v>
      </c>
      <c r="P2070" s="655">
        <f t="shared" si="160"/>
        <v>12</v>
      </c>
      <c r="Q2070" s="655">
        <f t="shared" si="161"/>
        <v>12</v>
      </c>
      <c r="R2070" s="758" t="str">
        <f t="shared" si="162"/>
        <v>Gastos_com_Pessoal</v>
      </c>
      <c r="S2070" s="697" t="s">
        <v>310</v>
      </c>
      <c r="T2070" s="697" t="s">
        <v>310</v>
      </c>
    </row>
    <row r="2071" spans="1:20" ht="36" x14ac:dyDescent="0.2">
      <c r="A2071" s="352">
        <f>IF(B2071="","",COUNT('Diário 1º PA'!$A$4:$A$2635)+COUNT('Diário 2º PA'!$A$4:$A$3040)+COUNT('Diário 3º PA'!$A$4:$A$2731)+ROW()-3)</f>
        <v>8096</v>
      </c>
      <c r="B2071" s="413">
        <v>44925</v>
      </c>
      <c r="C2071" s="424">
        <v>44896</v>
      </c>
      <c r="D2071" s="419" t="s">
        <v>182</v>
      </c>
      <c r="E2071" s="419" t="s">
        <v>287</v>
      </c>
      <c r="F2071" s="422">
        <v>484.8</v>
      </c>
      <c r="G2071" s="427" t="s">
        <v>9187</v>
      </c>
      <c r="H2071" s="419" t="s">
        <v>310</v>
      </c>
      <c r="I2071" s="415" t="s">
        <v>6297</v>
      </c>
      <c r="J2071" s="419" t="s">
        <v>6298</v>
      </c>
      <c r="K2071" s="419" t="s">
        <v>830</v>
      </c>
      <c r="L2071" s="415" t="s">
        <v>925</v>
      </c>
      <c r="M2071" s="419" t="s">
        <v>310</v>
      </c>
      <c r="N2071" s="413">
        <v>44925</v>
      </c>
      <c r="O2071" s="414" t="s">
        <v>400</v>
      </c>
      <c r="P2071" s="655">
        <f t="shared" si="160"/>
        <v>12</v>
      </c>
      <c r="Q2071" s="655">
        <f t="shared" si="161"/>
        <v>12</v>
      </c>
      <c r="R2071" s="758" t="str">
        <f t="shared" si="162"/>
        <v>Gastos_com_Pessoal</v>
      </c>
      <c r="S2071" s="697" t="s">
        <v>310</v>
      </c>
      <c r="T2071" s="697" t="s">
        <v>310</v>
      </c>
    </row>
    <row r="2072" spans="1:20" ht="36" x14ac:dyDescent="0.2">
      <c r="A2072" s="352">
        <f>IF(B2072="","",COUNT('Diário 1º PA'!$A$4:$A$2635)+COUNT('Diário 2º PA'!$A$4:$A$3040)+COUNT('Diário 3º PA'!$A$4:$A$2731)+ROW()-3)</f>
        <v>8097</v>
      </c>
      <c r="B2072" s="413">
        <v>44925</v>
      </c>
      <c r="C2072" s="424">
        <v>44896</v>
      </c>
      <c r="D2072" s="419" t="s">
        <v>182</v>
      </c>
      <c r="E2072" s="419" t="s">
        <v>287</v>
      </c>
      <c r="F2072" s="422">
        <v>3884.9</v>
      </c>
      <c r="G2072" s="427" t="s">
        <v>9181</v>
      </c>
      <c r="H2072" s="419" t="s">
        <v>310</v>
      </c>
      <c r="I2072" s="415" t="s">
        <v>977</v>
      </c>
      <c r="J2072" s="419" t="s">
        <v>978</v>
      </c>
      <c r="K2072" s="419" t="s">
        <v>830</v>
      </c>
      <c r="L2072" s="415" t="s">
        <v>925</v>
      </c>
      <c r="M2072" s="419" t="s">
        <v>310</v>
      </c>
      <c r="N2072" s="413">
        <v>44925</v>
      </c>
      <c r="O2072" s="414" t="s">
        <v>400</v>
      </c>
      <c r="P2072" s="655">
        <f t="shared" si="160"/>
        <v>12</v>
      </c>
      <c r="Q2072" s="655">
        <f t="shared" si="161"/>
        <v>12</v>
      </c>
      <c r="R2072" s="758" t="str">
        <f t="shared" si="162"/>
        <v>Gastos_com_Pessoal</v>
      </c>
      <c r="S2072" s="697" t="s">
        <v>310</v>
      </c>
      <c r="T2072" s="697" t="s">
        <v>310</v>
      </c>
    </row>
    <row r="2073" spans="1:20" ht="36" x14ac:dyDescent="0.2">
      <c r="A2073" s="352">
        <f>IF(B2073="","",COUNT('Diário 1º PA'!$A$4:$A$2635)+COUNT('Diário 2º PA'!$A$4:$A$3040)+COUNT('Diário 3º PA'!$A$4:$A$2731)+ROW()-3)</f>
        <v>8098</v>
      </c>
      <c r="B2073" s="413">
        <v>44925</v>
      </c>
      <c r="C2073" s="424">
        <v>44896</v>
      </c>
      <c r="D2073" s="419" t="s">
        <v>182</v>
      </c>
      <c r="E2073" s="419" t="s">
        <v>287</v>
      </c>
      <c r="F2073" s="422">
        <v>2874.01</v>
      </c>
      <c r="G2073" s="423" t="s">
        <v>9168</v>
      </c>
      <c r="H2073" s="419" t="s">
        <v>310</v>
      </c>
      <c r="I2073" s="415" t="s">
        <v>1190</v>
      </c>
      <c r="J2073" s="419" t="s">
        <v>1191</v>
      </c>
      <c r="K2073" s="419" t="s">
        <v>830</v>
      </c>
      <c r="L2073" s="415" t="s">
        <v>925</v>
      </c>
      <c r="M2073" s="419" t="s">
        <v>310</v>
      </c>
      <c r="N2073" s="413">
        <v>44925</v>
      </c>
      <c r="O2073" s="414" t="s">
        <v>400</v>
      </c>
      <c r="P2073" s="655">
        <f t="shared" si="160"/>
        <v>12</v>
      </c>
      <c r="Q2073" s="655">
        <f t="shared" si="161"/>
        <v>12</v>
      </c>
      <c r="R2073" s="758" t="str">
        <f t="shared" si="162"/>
        <v>Gastos_com_Pessoal</v>
      </c>
      <c r="S2073" s="697" t="s">
        <v>310</v>
      </c>
      <c r="T2073" s="697" t="s">
        <v>310</v>
      </c>
    </row>
    <row r="2074" spans="1:20" ht="36" x14ac:dyDescent="0.2">
      <c r="A2074" s="352">
        <f>IF(B2074="","",COUNT('Diário 1º PA'!$A$4:$A$2635)+COUNT('Diário 2º PA'!$A$4:$A$3040)+COUNT('Diário 3º PA'!$A$4:$A$2731)+ROW()-3)</f>
        <v>8099</v>
      </c>
      <c r="B2074" s="413">
        <v>44925</v>
      </c>
      <c r="C2074" s="424">
        <v>44896</v>
      </c>
      <c r="D2074" s="419" t="s">
        <v>182</v>
      </c>
      <c r="E2074" s="419" t="s">
        <v>287</v>
      </c>
      <c r="F2074" s="422">
        <v>3884.9</v>
      </c>
      <c r="G2074" s="427" t="s">
        <v>9189</v>
      </c>
      <c r="H2074" s="419" t="s">
        <v>310</v>
      </c>
      <c r="I2074" s="415" t="s">
        <v>1192</v>
      </c>
      <c r="J2074" s="419" t="s">
        <v>1191</v>
      </c>
      <c r="K2074" s="419" t="s">
        <v>830</v>
      </c>
      <c r="L2074" s="415" t="s">
        <v>925</v>
      </c>
      <c r="M2074" s="419" t="s">
        <v>310</v>
      </c>
      <c r="N2074" s="413">
        <v>44925</v>
      </c>
      <c r="O2074" s="414" t="s">
        <v>400</v>
      </c>
      <c r="P2074" s="655">
        <f t="shared" si="160"/>
        <v>12</v>
      </c>
      <c r="Q2074" s="655">
        <f t="shared" si="161"/>
        <v>12</v>
      </c>
      <c r="R2074" s="758" t="str">
        <f t="shared" si="162"/>
        <v>Gastos_com_Pessoal</v>
      </c>
      <c r="S2074" s="697" t="s">
        <v>310</v>
      </c>
      <c r="T2074" s="697" t="s">
        <v>310</v>
      </c>
    </row>
    <row r="2075" spans="1:20" ht="36" x14ac:dyDescent="0.2">
      <c r="A2075" s="352">
        <f>IF(B2075="","",COUNT('Diário 1º PA'!$A$4:$A$2635)+COUNT('Diário 2º PA'!$A$4:$A$3040)+COUNT('Diário 3º PA'!$A$4:$A$2731)+ROW()-3)</f>
        <v>8100</v>
      </c>
      <c r="B2075" s="413">
        <v>44925</v>
      </c>
      <c r="C2075" s="424">
        <v>44896</v>
      </c>
      <c r="D2075" s="419" t="s">
        <v>182</v>
      </c>
      <c r="E2075" s="419" t="s">
        <v>287</v>
      </c>
      <c r="F2075" s="422">
        <v>2874.01</v>
      </c>
      <c r="G2075" s="437" t="s">
        <v>9168</v>
      </c>
      <c r="H2075" s="419" t="s">
        <v>310</v>
      </c>
      <c r="I2075" s="415" t="s">
        <v>992</v>
      </c>
      <c r="J2075" s="419" t="s">
        <v>993</v>
      </c>
      <c r="K2075" s="419" t="s">
        <v>830</v>
      </c>
      <c r="L2075" s="415" t="s">
        <v>925</v>
      </c>
      <c r="M2075" s="419" t="s">
        <v>310</v>
      </c>
      <c r="N2075" s="413">
        <v>44925</v>
      </c>
      <c r="O2075" s="414" t="s">
        <v>400</v>
      </c>
      <c r="P2075" s="655">
        <f t="shared" si="160"/>
        <v>12</v>
      </c>
      <c r="Q2075" s="655">
        <f t="shared" si="161"/>
        <v>12</v>
      </c>
      <c r="R2075" s="758" t="str">
        <f t="shared" si="162"/>
        <v>Gastos_com_Pessoal</v>
      </c>
      <c r="S2075" s="697" t="s">
        <v>310</v>
      </c>
      <c r="T2075" s="697" t="s">
        <v>310</v>
      </c>
    </row>
    <row r="2076" spans="1:20" ht="36" x14ac:dyDescent="0.2">
      <c r="A2076" s="352">
        <f>IF(B2076="","",COUNT('Diário 1º PA'!$A$4:$A$2635)+COUNT('Diário 2º PA'!$A$4:$A$3040)+COUNT('Diário 3º PA'!$A$4:$A$2731)+ROW()-3)</f>
        <v>8101</v>
      </c>
      <c r="B2076" s="413">
        <v>44925</v>
      </c>
      <c r="C2076" s="424">
        <v>44896</v>
      </c>
      <c r="D2076" s="419" t="s">
        <v>182</v>
      </c>
      <c r="E2076" s="419" t="s">
        <v>287</v>
      </c>
      <c r="F2076" s="422">
        <v>2898.52</v>
      </c>
      <c r="G2076" s="423" t="s">
        <v>9168</v>
      </c>
      <c r="H2076" s="419" t="s">
        <v>310</v>
      </c>
      <c r="I2076" s="415" t="s">
        <v>1173</v>
      </c>
      <c r="J2076" s="419" t="s">
        <v>1174</v>
      </c>
      <c r="K2076" s="419" t="s">
        <v>830</v>
      </c>
      <c r="L2076" s="415" t="s">
        <v>925</v>
      </c>
      <c r="M2076" s="419" t="s">
        <v>310</v>
      </c>
      <c r="N2076" s="413">
        <v>44925</v>
      </c>
      <c r="O2076" s="414" t="s">
        <v>400</v>
      </c>
      <c r="P2076" s="655">
        <f t="shared" si="160"/>
        <v>12</v>
      </c>
      <c r="Q2076" s="655">
        <f t="shared" si="161"/>
        <v>12</v>
      </c>
      <c r="R2076" s="758" t="str">
        <f t="shared" si="162"/>
        <v>Gastos_com_Pessoal</v>
      </c>
      <c r="S2076" s="697" t="s">
        <v>310</v>
      </c>
      <c r="T2076" s="697" t="s">
        <v>310</v>
      </c>
    </row>
    <row r="2077" spans="1:20" ht="36" x14ac:dyDescent="0.2">
      <c r="A2077" s="352">
        <f>IF(B2077="","",COUNT('Diário 1º PA'!$A$4:$A$2635)+COUNT('Diário 2º PA'!$A$4:$A$3040)+COUNT('Diário 3º PA'!$A$4:$A$2731)+ROW()-3)</f>
        <v>8102</v>
      </c>
      <c r="B2077" s="413">
        <v>44925</v>
      </c>
      <c r="C2077" s="424">
        <v>44896</v>
      </c>
      <c r="D2077" s="419" t="s">
        <v>182</v>
      </c>
      <c r="E2077" s="419" t="s">
        <v>287</v>
      </c>
      <c r="F2077" s="422">
        <v>2874.01</v>
      </c>
      <c r="G2077" s="423" t="s">
        <v>9190</v>
      </c>
      <c r="H2077" s="419" t="s">
        <v>310</v>
      </c>
      <c r="I2077" s="415" t="s">
        <v>982</v>
      </c>
      <c r="J2077" s="419" t="s">
        <v>983</v>
      </c>
      <c r="K2077" s="419" t="s">
        <v>830</v>
      </c>
      <c r="L2077" s="415" t="s">
        <v>925</v>
      </c>
      <c r="M2077" s="419" t="s">
        <v>310</v>
      </c>
      <c r="N2077" s="413">
        <v>44925</v>
      </c>
      <c r="O2077" s="414" t="s">
        <v>400</v>
      </c>
      <c r="P2077" s="655">
        <f t="shared" si="160"/>
        <v>12</v>
      </c>
      <c r="Q2077" s="655">
        <f t="shared" si="161"/>
        <v>12</v>
      </c>
      <c r="R2077" s="758" t="str">
        <f t="shared" si="162"/>
        <v>Gastos_com_Pessoal</v>
      </c>
      <c r="S2077" s="697" t="s">
        <v>310</v>
      </c>
      <c r="T2077" s="697" t="s">
        <v>310</v>
      </c>
    </row>
    <row r="2078" spans="1:20" ht="36" x14ac:dyDescent="0.2">
      <c r="A2078" s="352">
        <f>IF(B2078="","",COUNT('Diário 1º PA'!$A$4:$A$2635)+COUNT('Diário 2º PA'!$A$4:$A$3040)+COUNT('Diário 3º PA'!$A$4:$A$2731)+ROW()-3)</f>
        <v>8103</v>
      </c>
      <c r="B2078" s="413">
        <v>44925</v>
      </c>
      <c r="C2078" s="424">
        <v>44896</v>
      </c>
      <c r="D2078" s="419" t="s">
        <v>182</v>
      </c>
      <c r="E2078" s="419" t="s">
        <v>287</v>
      </c>
      <c r="F2078" s="422">
        <v>2874.01</v>
      </c>
      <c r="G2078" s="427" t="s">
        <v>9177</v>
      </c>
      <c r="H2078" s="419" t="s">
        <v>310</v>
      </c>
      <c r="I2078" s="415" t="s">
        <v>975</v>
      </c>
      <c r="J2078" s="419" t="s">
        <v>1565</v>
      </c>
      <c r="K2078" s="419" t="s">
        <v>830</v>
      </c>
      <c r="L2078" s="415" t="s">
        <v>925</v>
      </c>
      <c r="M2078" s="419" t="s">
        <v>310</v>
      </c>
      <c r="N2078" s="413">
        <v>44925</v>
      </c>
      <c r="O2078" s="414" t="s">
        <v>400</v>
      </c>
      <c r="P2078" s="655">
        <f t="shared" si="160"/>
        <v>12</v>
      </c>
      <c r="Q2078" s="655">
        <f t="shared" si="161"/>
        <v>12</v>
      </c>
      <c r="R2078" s="758" t="str">
        <f t="shared" si="162"/>
        <v>Gastos_com_Pessoal</v>
      </c>
      <c r="S2078" s="697" t="s">
        <v>310</v>
      </c>
      <c r="T2078" s="697" t="s">
        <v>310</v>
      </c>
    </row>
    <row r="2079" spans="1:20" ht="36" x14ac:dyDescent="0.2">
      <c r="A2079" s="352">
        <f>IF(B2079="","",COUNT('Diário 1º PA'!$A$4:$A$2635)+COUNT('Diário 2º PA'!$A$4:$A$3040)+COUNT('Diário 3º PA'!$A$4:$A$2731)+ROW()-3)</f>
        <v>8104</v>
      </c>
      <c r="B2079" s="413">
        <v>44925</v>
      </c>
      <c r="C2079" s="424">
        <v>44896</v>
      </c>
      <c r="D2079" s="419" t="s">
        <v>182</v>
      </c>
      <c r="E2079" s="419" t="s">
        <v>287</v>
      </c>
      <c r="F2079" s="422">
        <v>2874.01</v>
      </c>
      <c r="G2079" s="423" t="s">
        <v>9168</v>
      </c>
      <c r="H2079" s="419" t="s">
        <v>310</v>
      </c>
      <c r="I2079" s="415" t="s">
        <v>1175</v>
      </c>
      <c r="J2079" s="419" t="s">
        <v>1176</v>
      </c>
      <c r="K2079" s="419" t="s">
        <v>830</v>
      </c>
      <c r="L2079" s="415" t="s">
        <v>925</v>
      </c>
      <c r="M2079" s="419" t="s">
        <v>310</v>
      </c>
      <c r="N2079" s="413">
        <v>44925</v>
      </c>
      <c r="O2079" s="414" t="s">
        <v>400</v>
      </c>
      <c r="P2079" s="655">
        <f t="shared" si="160"/>
        <v>12</v>
      </c>
      <c r="Q2079" s="655">
        <f t="shared" si="161"/>
        <v>12</v>
      </c>
      <c r="R2079" s="758" t="str">
        <f t="shared" si="162"/>
        <v>Gastos_com_Pessoal</v>
      </c>
      <c r="S2079" s="697" t="s">
        <v>310</v>
      </c>
      <c r="T2079" s="697" t="s">
        <v>310</v>
      </c>
    </row>
    <row r="2080" spans="1:20" ht="36" x14ac:dyDescent="0.2">
      <c r="A2080" s="352">
        <f>IF(B2080="","",COUNT('Diário 1º PA'!$A$4:$A$2635)+COUNT('Diário 2º PA'!$A$4:$A$3040)+COUNT('Diário 3º PA'!$A$4:$A$2731)+ROW()-3)</f>
        <v>8105</v>
      </c>
      <c r="B2080" s="413">
        <v>44925</v>
      </c>
      <c r="C2080" s="424">
        <v>44896</v>
      </c>
      <c r="D2080" s="419" t="s">
        <v>182</v>
      </c>
      <c r="E2080" s="419" t="s">
        <v>287</v>
      </c>
      <c r="F2080" s="422">
        <v>2874.01</v>
      </c>
      <c r="G2080" s="423" t="s">
        <v>9168</v>
      </c>
      <c r="H2080" s="419" t="s">
        <v>310</v>
      </c>
      <c r="I2080" s="415" t="s">
        <v>1171</v>
      </c>
      <c r="J2080" s="419" t="s">
        <v>1172</v>
      </c>
      <c r="K2080" s="419" t="s">
        <v>830</v>
      </c>
      <c r="L2080" s="415" t="s">
        <v>925</v>
      </c>
      <c r="M2080" s="419" t="s">
        <v>310</v>
      </c>
      <c r="N2080" s="413">
        <v>44925</v>
      </c>
      <c r="O2080" s="414" t="s">
        <v>400</v>
      </c>
      <c r="P2080" s="655">
        <f t="shared" si="160"/>
        <v>12</v>
      </c>
      <c r="Q2080" s="655">
        <f t="shared" si="161"/>
        <v>12</v>
      </c>
      <c r="R2080" s="758" t="str">
        <f t="shared" si="162"/>
        <v>Gastos_com_Pessoal</v>
      </c>
      <c r="S2080" s="697" t="s">
        <v>310</v>
      </c>
      <c r="T2080" s="697" t="s">
        <v>310</v>
      </c>
    </row>
    <row r="2081" spans="1:20" ht="36" x14ac:dyDescent="0.2">
      <c r="A2081" s="352">
        <f>IF(B2081="","",COUNT('Diário 1º PA'!$A$4:$A$2635)+COUNT('Diário 2º PA'!$A$4:$A$3040)+COUNT('Diário 3º PA'!$A$4:$A$2731)+ROW()-3)</f>
        <v>8106</v>
      </c>
      <c r="B2081" s="413">
        <v>44925</v>
      </c>
      <c r="C2081" s="424">
        <v>44896</v>
      </c>
      <c r="D2081" s="419" t="s">
        <v>182</v>
      </c>
      <c r="E2081" s="419" t="s">
        <v>287</v>
      </c>
      <c r="F2081" s="422">
        <v>3884.9</v>
      </c>
      <c r="G2081" s="423" t="s">
        <v>9189</v>
      </c>
      <c r="H2081" s="419" t="s">
        <v>310</v>
      </c>
      <c r="I2081" s="415" t="s">
        <v>1184</v>
      </c>
      <c r="J2081" s="419" t="s">
        <v>1185</v>
      </c>
      <c r="K2081" s="419" t="s">
        <v>830</v>
      </c>
      <c r="L2081" s="415" t="s">
        <v>925</v>
      </c>
      <c r="M2081" s="419" t="s">
        <v>310</v>
      </c>
      <c r="N2081" s="413">
        <v>44925</v>
      </c>
      <c r="O2081" s="414" t="s">
        <v>400</v>
      </c>
      <c r="P2081" s="655">
        <f t="shared" si="160"/>
        <v>12</v>
      </c>
      <c r="Q2081" s="655">
        <f t="shared" si="161"/>
        <v>12</v>
      </c>
      <c r="R2081" s="758" t="str">
        <f t="shared" si="162"/>
        <v>Gastos_com_Pessoal</v>
      </c>
      <c r="S2081" s="697" t="s">
        <v>310</v>
      </c>
      <c r="T2081" s="697" t="s">
        <v>310</v>
      </c>
    </row>
    <row r="2082" spans="1:20" ht="36" x14ac:dyDescent="0.2">
      <c r="A2082" s="352">
        <f>IF(B2082="","",COUNT('Diário 1º PA'!$A$4:$A$2635)+COUNT('Diário 2º PA'!$A$4:$A$3040)+COUNT('Diário 3º PA'!$A$4:$A$2731)+ROW()-3)</f>
        <v>8107</v>
      </c>
      <c r="B2082" s="413">
        <v>44925</v>
      </c>
      <c r="C2082" s="424">
        <v>44896</v>
      </c>
      <c r="D2082" s="419" t="s">
        <v>182</v>
      </c>
      <c r="E2082" s="419" t="s">
        <v>287</v>
      </c>
      <c r="F2082" s="422">
        <v>3884.9</v>
      </c>
      <c r="G2082" s="423" t="s">
        <v>9182</v>
      </c>
      <c r="H2082" s="419" t="s">
        <v>310</v>
      </c>
      <c r="I2082" s="415" t="s">
        <v>1181</v>
      </c>
      <c r="J2082" s="419" t="s">
        <v>933</v>
      </c>
      <c r="K2082" s="419" t="s">
        <v>830</v>
      </c>
      <c r="L2082" s="415" t="s">
        <v>925</v>
      </c>
      <c r="M2082" s="419" t="s">
        <v>310</v>
      </c>
      <c r="N2082" s="413">
        <v>44925</v>
      </c>
      <c r="O2082" s="414" t="s">
        <v>400</v>
      </c>
      <c r="P2082" s="655">
        <f t="shared" si="160"/>
        <v>12</v>
      </c>
      <c r="Q2082" s="655">
        <f t="shared" si="161"/>
        <v>12</v>
      </c>
      <c r="R2082" s="758" t="str">
        <f t="shared" si="162"/>
        <v>Gastos_com_Pessoal</v>
      </c>
      <c r="S2082" s="697" t="s">
        <v>310</v>
      </c>
      <c r="T2082" s="697" t="s">
        <v>310</v>
      </c>
    </row>
    <row r="2083" spans="1:20" ht="36" x14ac:dyDescent="0.2">
      <c r="A2083" s="352">
        <f>IF(B2083="","",COUNT('Diário 1º PA'!$A$4:$A$2635)+COUNT('Diário 2º PA'!$A$4:$A$3040)+COUNT('Diário 3º PA'!$A$4:$A$2731)+ROW()-3)</f>
        <v>8108</v>
      </c>
      <c r="B2083" s="413">
        <v>44925</v>
      </c>
      <c r="C2083" s="424">
        <v>44896</v>
      </c>
      <c r="D2083" s="419" t="s">
        <v>182</v>
      </c>
      <c r="E2083" s="419" t="s">
        <v>287</v>
      </c>
      <c r="F2083" s="422">
        <v>3086.35</v>
      </c>
      <c r="G2083" s="427" t="s">
        <v>9194</v>
      </c>
      <c r="H2083" s="419" t="s">
        <v>310</v>
      </c>
      <c r="I2083" s="415" t="s">
        <v>972</v>
      </c>
      <c r="J2083" s="419" t="s">
        <v>973</v>
      </c>
      <c r="K2083" s="419" t="s">
        <v>830</v>
      </c>
      <c r="L2083" s="415" t="s">
        <v>925</v>
      </c>
      <c r="M2083" s="419" t="s">
        <v>310</v>
      </c>
      <c r="N2083" s="413">
        <v>44925</v>
      </c>
      <c r="O2083" s="414" t="s">
        <v>400</v>
      </c>
      <c r="P2083" s="655">
        <f t="shared" si="160"/>
        <v>12</v>
      </c>
      <c r="Q2083" s="655">
        <f t="shared" si="161"/>
        <v>12</v>
      </c>
      <c r="R2083" s="758" t="str">
        <f t="shared" si="162"/>
        <v>Gastos_com_Pessoal</v>
      </c>
      <c r="S2083" s="697" t="s">
        <v>310</v>
      </c>
      <c r="T2083" s="697" t="s">
        <v>310</v>
      </c>
    </row>
    <row r="2084" spans="1:20" ht="36" x14ac:dyDescent="0.2">
      <c r="A2084" s="352">
        <f>IF(B2084="","",COUNT('Diário 1º PA'!$A$4:$A$2635)+COUNT('Diário 2º PA'!$A$4:$A$3040)+COUNT('Diário 3º PA'!$A$4:$A$2731)+ROW()-3)</f>
        <v>8109</v>
      </c>
      <c r="B2084" s="413">
        <v>44925</v>
      </c>
      <c r="C2084" s="424">
        <v>44896</v>
      </c>
      <c r="D2084" s="419" t="s">
        <v>182</v>
      </c>
      <c r="E2084" s="419" t="s">
        <v>287</v>
      </c>
      <c r="F2084" s="422">
        <v>1745.62</v>
      </c>
      <c r="G2084" s="427" t="s">
        <v>9196</v>
      </c>
      <c r="H2084" s="419" t="s">
        <v>310</v>
      </c>
      <c r="I2084" s="415" t="s">
        <v>1207</v>
      </c>
      <c r="J2084" s="419" t="s">
        <v>1206</v>
      </c>
      <c r="K2084" s="419" t="s">
        <v>830</v>
      </c>
      <c r="L2084" s="415" t="s">
        <v>925</v>
      </c>
      <c r="M2084" s="419" t="s">
        <v>310</v>
      </c>
      <c r="N2084" s="413">
        <v>44925</v>
      </c>
      <c r="O2084" s="414" t="s">
        <v>400</v>
      </c>
      <c r="P2084" s="655">
        <f t="shared" si="160"/>
        <v>12</v>
      </c>
      <c r="Q2084" s="655">
        <f t="shared" si="161"/>
        <v>12</v>
      </c>
      <c r="R2084" s="758" t="str">
        <f t="shared" si="162"/>
        <v>Gastos_com_Pessoal</v>
      </c>
      <c r="S2084" s="697" t="s">
        <v>310</v>
      </c>
      <c r="T2084" s="697" t="s">
        <v>310</v>
      </c>
    </row>
    <row r="2085" spans="1:20" ht="36" x14ac:dyDescent="0.2">
      <c r="A2085" s="352">
        <f>IF(B2085="","",COUNT('Diário 1º PA'!$A$4:$A$2635)+COUNT('Diário 2º PA'!$A$4:$A$3040)+COUNT('Diário 3º PA'!$A$4:$A$2731)+ROW()-3)</f>
        <v>8110</v>
      </c>
      <c r="B2085" s="413">
        <v>44925</v>
      </c>
      <c r="C2085" s="424">
        <v>44896</v>
      </c>
      <c r="D2085" s="419" t="s">
        <v>182</v>
      </c>
      <c r="E2085" s="419" t="s">
        <v>287</v>
      </c>
      <c r="F2085" s="422">
        <v>2874.01</v>
      </c>
      <c r="G2085" s="423" t="s">
        <v>9168</v>
      </c>
      <c r="H2085" s="419" t="s">
        <v>310</v>
      </c>
      <c r="I2085" s="415" t="s">
        <v>6019</v>
      </c>
      <c r="J2085" s="419" t="s">
        <v>1178</v>
      </c>
      <c r="K2085" s="419" t="s">
        <v>830</v>
      </c>
      <c r="L2085" s="415" t="s">
        <v>925</v>
      </c>
      <c r="M2085" s="419" t="s">
        <v>310</v>
      </c>
      <c r="N2085" s="413">
        <v>44925</v>
      </c>
      <c r="O2085" s="414" t="s">
        <v>400</v>
      </c>
      <c r="P2085" s="655">
        <f t="shared" si="160"/>
        <v>12</v>
      </c>
      <c r="Q2085" s="655">
        <f t="shared" si="161"/>
        <v>12</v>
      </c>
      <c r="R2085" s="758" t="str">
        <f t="shared" si="162"/>
        <v>Gastos_com_Pessoal</v>
      </c>
      <c r="S2085" s="697" t="s">
        <v>310</v>
      </c>
      <c r="T2085" s="697" t="s">
        <v>310</v>
      </c>
    </row>
    <row r="2086" spans="1:20" ht="36" x14ac:dyDescent="0.2">
      <c r="A2086" s="352">
        <f>IF(B2086="","",COUNT('Diário 1º PA'!$A$4:$A$2635)+COUNT('Diário 2º PA'!$A$4:$A$3040)+COUNT('Diário 3º PA'!$A$4:$A$2731)+ROW()-3)</f>
        <v>8111</v>
      </c>
      <c r="B2086" s="413">
        <v>44925</v>
      </c>
      <c r="C2086" s="424">
        <v>44896</v>
      </c>
      <c r="D2086" s="419" t="s">
        <v>182</v>
      </c>
      <c r="E2086" s="419" t="s">
        <v>287</v>
      </c>
      <c r="F2086" s="422">
        <v>2874.01</v>
      </c>
      <c r="G2086" s="423" t="s">
        <v>9168</v>
      </c>
      <c r="H2086" s="419" t="s">
        <v>310</v>
      </c>
      <c r="I2086" s="415" t="s">
        <v>954</v>
      </c>
      <c r="J2086" s="419" t="s">
        <v>955</v>
      </c>
      <c r="K2086" s="419" t="s">
        <v>830</v>
      </c>
      <c r="L2086" s="415" t="s">
        <v>925</v>
      </c>
      <c r="M2086" s="419" t="s">
        <v>310</v>
      </c>
      <c r="N2086" s="413">
        <v>44925</v>
      </c>
      <c r="O2086" s="414" t="s">
        <v>400</v>
      </c>
      <c r="P2086" s="655">
        <f t="shared" si="160"/>
        <v>12</v>
      </c>
      <c r="Q2086" s="655">
        <f t="shared" si="161"/>
        <v>12</v>
      </c>
      <c r="R2086" s="758" t="str">
        <f t="shared" si="162"/>
        <v>Gastos_com_Pessoal</v>
      </c>
      <c r="S2086" s="697" t="s">
        <v>310</v>
      </c>
      <c r="T2086" s="697" t="s">
        <v>310</v>
      </c>
    </row>
    <row r="2087" spans="1:20" ht="36" x14ac:dyDescent="0.2">
      <c r="A2087" s="352">
        <f>IF(B2087="","",COUNT('Diário 1º PA'!$A$4:$A$2635)+COUNT('Diário 2º PA'!$A$4:$A$3040)+COUNT('Diário 3º PA'!$A$4:$A$2731)+ROW()-3)</f>
        <v>8112</v>
      </c>
      <c r="B2087" s="413">
        <v>44925</v>
      </c>
      <c r="C2087" s="424">
        <v>44896</v>
      </c>
      <c r="D2087" s="419" t="s">
        <v>182</v>
      </c>
      <c r="E2087" s="419" t="s">
        <v>287</v>
      </c>
      <c r="F2087" s="422">
        <v>2874.01</v>
      </c>
      <c r="G2087" s="423" t="s">
        <v>9190</v>
      </c>
      <c r="H2087" s="419" t="s">
        <v>310</v>
      </c>
      <c r="I2087" s="415" t="s">
        <v>980</v>
      </c>
      <c r="J2087" s="419" t="s">
        <v>981</v>
      </c>
      <c r="K2087" s="419" t="s">
        <v>830</v>
      </c>
      <c r="L2087" s="415" t="s">
        <v>925</v>
      </c>
      <c r="M2087" s="419" t="s">
        <v>310</v>
      </c>
      <c r="N2087" s="413">
        <v>44925</v>
      </c>
      <c r="O2087" s="414" t="s">
        <v>400</v>
      </c>
      <c r="P2087" s="655">
        <f t="shared" si="160"/>
        <v>12</v>
      </c>
      <c r="Q2087" s="655">
        <f t="shared" si="161"/>
        <v>12</v>
      </c>
      <c r="R2087" s="758" t="str">
        <f t="shared" si="162"/>
        <v>Gastos_com_Pessoal</v>
      </c>
      <c r="S2087" s="697" t="s">
        <v>310</v>
      </c>
      <c r="T2087" s="697" t="s">
        <v>310</v>
      </c>
    </row>
    <row r="2088" spans="1:20" ht="36" x14ac:dyDescent="0.2">
      <c r="A2088" s="352">
        <f>IF(B2088="","",COUNT('Diário 1º PA'!$A$4:$A$2635)+COUNT('Diário 2º PA'!$A$4:$A$3040)+COUNT('Diário 3º PA'!$A$4:$A$2731)+ROW()-3)</f>
        <v>8113</v>
      </c>
      <c r="B2088" s="413">
        <v>44925</v>
      </c>
      <c r="C2088" s="424">
        <v>44896</v>
      </c>
      <c r="D2088" s="419" t="s">
        <v>182</v>
      </c>
      <c r="E2088" s="419" t="s">
        <v>287</v>
      </c>
      <c r="F2088" s="422">
        <v>3085.59</v>
      </c>
      <c r="G2088" s="427" t="s">
        <v>9177</v>
      </c>
      <c r="H2088" s="419" t="s">
        <v>310</v>
      </c>
      <c r="I2088" s="415" t="s">
        <v>994</v>
      </c>
      <c r="J2088" s="419" t="s">
        <v>995</v>
      </c>
      <c r="K2088" s="419" t="s">
        <v>830</v>
      </c>
      <c r="L2088" s="415" t="s">
        <v>925</v>
      </c>
      <c r="M2088" s="419" t="s">
        <v>310</v>
      </c>
      <c r="N2088" s="413">
        <v>44925</v>
      </c>
      <c r="O2088" s="414" t="s">
        <v>400</v>
      </c>
      <c r="P2088" s="655">
        <f t="shared" si="160"/>
        <v>12</v>
      </c>
      <c r="Q2088" s="655">
        <f t="shared" si="161"/>
        <v>12</v>
      </c>
      <c r="R2088" s="758" t="str">
        <f t="shared" si="162"/>
        <v>Gastos_com_Pessoal</v>
      </c>
      <c r="S2088" s="697" t="s">
        <v>310</v>
      </c>
      <c r="T2088" s="697" t="s">
        <v>310</v>
      </c>
    </row>
    <row r="2089" spans="1:20" ht="36" x14ac:dyDescent="0.2">
      <c r="A2089" s="352">
        <f>IF(B2089="","",COUNT('Diário 1º PA'!$A$4:$A$2635)+COUNT('Diário 2º PA'!$A$4:$A$3040)+COUNT('Diário 3º PA'!$A$4:$A$2731)+ROW()-3)</f>
        <v>8114</v>
      </c>
      <c r="B2089" s="413">
        <v>44925</v>
      </c>
      <c r="C2089" s="424">
        <v>44896</v>
      </c>
      <c r="D2089" s="419" t="s">
        <v>182</v>
      </c>
      <c r="E2089" s="419" t="s">
        <v>287</v>
      </c>
      <c r="F2089" s="422">
        <v>3086.35</v>
      </c>
      <c r="G2089" s="427" t="s">
        <v>9197</v>
      </c>
      <c r="H2089" s="419" t="s">
        <v>310</v>
      </c>
      <c r="I2089" s="415" t="s">
        <v>914</v>
      </c>
      <c r="J2089" s="415" t="s">
        <v>915</v>
      </c>
      <c r="K2089" s="415" t="s">
        <v>806</v>
      </c>
      <c r="L2089" s="415" t="s">
        <v>925</v>
      </c>
      <c r="M2089" s="419" t="s">
        <v>310</v>
      </c>
      <c r="N2089" s="413">
        <v>44925</v>
      </c>
      <c r="O2089" s="414" t="s">
        <v>400</v>
      </c>
      <c r="P2089" s="655">
        <f t="shared" si="160"/>
        <v>12</v>
      </c>
      <c r="Q2089" s="655">
        <f t="shared" si="161"/>
        <v>12</v>
      </c>
      <c r="R2089" s="758" t="str">
        <f t="shared" si="162"/>
        <v>Gastos_com_Pessoal</v>
      </c>
      <c r="S2089" s="697" t="s">
        <v>310</v>
      </c>
      <c r="T2089" s="697" t="s">
        <v>310</v>
      </c>
    </row>
    <row r="2090" spans="1:20" ht="36" x14ac:dyDescent="0.2">
      <c r="A2090" s="352">
        <f>IF(B2090="","",COUNT('Diário 1º PA'!$A$4:$A$2635)+COUNT('Diário 2º PA'!$A$4:$A$3040)+COUNT('Diário 3º PA'!$A$4:$A$2731)+ROW()-3)</f>
        <v>8115</v>
      </c>
      <c r="B2090" s="413">
        <v>44925</v>
      </c>
      <c r="C2090" s="424">
        <v>44896</v>
      </c>
      <c r="D2090" s="419" t="s">
        <v>182</v>
      </c>
      <c r="E2090" s="419" t="s">
        <v>287</v>
      </c>
      <c r="F2090" s="422">
        <v>2874.01</v>
      </c>
      <c r="G2090" s="427" t="s">
        <v>9168</v>
      </c>
      <c r="H2090" s="419" t="s">
        <v>310</v>
      </c>
      <c r="I2090" s="415" t="s">
        <v>916</v>
      </c>
      <c r="J2090" s="419" t="s">
        <v>917</v>
      </c>
      <c r="K2090" s="419" t="s">
        <v>806</v>
      </c>
      <c r="L2090" s="415" t="s">
        <v>925</v>
      </c>
      <c r="M2090" s="419" t="s">
        <v>310</v>
      </c>
      <c r="N2090" s="413">
        <v>44925</v>
      </c>
      <c r="O2090" s="414" t="s">
        <v>400</v>
      </c>
      <c r="P2090" s="655">
        <f t="shared" si="160"/>
        <v>12</v>
      </c>
      <c r="Q2090" s="655">
        <f t="shared" si="161"/>
        <v>12</v>
      </c>
      <c r="R2090" s="758" t="str">
        <f t="shared" si="162"/>
        <v>Gastos_com_Pessoal</v>
      </c>
      <c r="S2090" s="697" t="s">
        <v>310</v>
      </c>
      <c r="T2090" s="697" t="s">
        <v>310</v>
      </c>
    </row>
    <row r="2091" spans="1:20" ht="36" x14ac:dyDescent="0.2">
      <c r="A2091" s="352">
        <f>IF(B2091="","",COUNT('Diário 1º PA'!$A$4:$A$2635)+COUNT('Diário 2º PA'!$A$4:$A$3040)+COUNT('Diário 3º PA'!$A$4:$A$2731)+ROW()-3)</f>
        <v>8116</v>
      </c>
      <c r="B2091" s="413">
        <v>44925</v>
      </c>
      <c r="C2091" s="424">
        <v>44896</v>
      </c>
      <c r="D2091" s="419" t="s">
        <v>182</v>
      </c>
      <c r="E2091" s="419" t="s">
        <v>287</v>
      </c>
      <c r="F2091" s="422">
        <v>2874.01</v>
      </c>
      <c r="G2091" s="423" t="s">
        <v>9168</v>
      </c>
      <c r="H2091" s="419" t="s">
        <v>310</v>
      </c>
      <c r="I2091" s="415" t="s">
        <v>918</v>
      </c>
      <c r="J2091" s="419" t="s">
        <v>919</v>
      </c>
      <c r="K2091" s="419" t="s">
        <v>806</v>
      </c>
      <c r="L2091" s="415" t="s">
        <v>925</v>
      </c>
      <c r="M2091" s="419" t="s">
        <v>310</v>
      </c>
      <c r="N2091" s="413">
        <v>44925</v>
      </c>
      <c r="O2091" s="414" t="s">
        <v>400</v>
      </c>
      <c r="P2091" s="655">
        <f t="shared" si="160"/>
        <v>12</v>
      </c>
      <c r="Q2091" s="655">
        <f t="shared" si="161"/>
        <v>12</v>
      </c>
      <c r="R2091" s="758" t="str">
        <f t="shared" si="162"/>
        <v>Gastos_com_Pessoal</v>
      </c>
      <c r="S2091" s="697" t="s">
        <v>310</v>
      </c>
      <c r="T2091" s="697" t="s">
        <v>310</v>
      </c>
    </row>
    <row r="2092" spans="1:20" ht="36" x14ac:dyDescent="0.2">
      <c r="A2092" s="352">
        <f>IF(B2092="","",COUNT('Diário 1º PA'!$A$4:$A$2635)+COUNT('Diário 2º PA'!$A$4:$A$3040)+COUNT('Diário 3º PA'!$A$4:$A$2731)+ROW()-3)</f>
        <v>8117</v>
      </c>
      <c r="B2092" s="413">
        <v>44925</v>
      </c>
      <c r="C2092" s="424">
        <v>44896</v>
      </c>
      <c r="D2092" s="419" t="s">
        <v>182</v>
      </c>
      <c r="E2092" s="419" t="s">
        <v>287</v>
      </c>
      <c r="F2092" s="422">
        <v>2874.01</v>
      </c>
      <c r="G2092" s="423" t="s">
        <v>9168</v>
      </c>
      <c r="H2092" s="419" t="s">
        <v>310</v>
      </c>
      <c r="I2092" s="415" t="s">
        <v>920</v>
      </c>
      <c r="J2092" s="419" t="s">
        <v>921</v>
      </c>
      <c r="K2092" s="419" t="s">
        <v>806</v>
      </c>
      <c r="L2092" s="415" t="s">
        <v>925</v>
      </c>
      <c r="M2092" s="419" t="s">
        <v>310</v>
      </c>
      <c r="N2092" s="413">
        <v>44925</v>
      </c>
      <c r="O2092" s="414" t="s">
        <v>400</v>
      </c>
      <c r="P2092" s="655">
        <f t="shared" si="160"/>
        <v>12</v>
      </c>
      <c r="Q2092" s="655">
        <f t="shared" si="161"/>
        <v>12</v>
      </c>
      <c r="R2092" s="758" t="str">
        <f t="shared" si="162"/>
        <v>Gastos_com_Pessoal</v>
      </c>
      <c r="S2092" s="697" t="s">
        <v>310</v>
      </c>
      <c r="T2092" s="697" t="s">
        <v>310</v>
      </c>
    </row>
    <row r="2093" spans="1:20" ht="36" x14ac:dyDescent="0.2">
      <c r="A2093" s="352">
        <f>IF(B2093="","",COUNT('Diário 1º PA'!$A$4:$A$2635)+COUNT('Diário 2º PA'!$A$4:$A$3040)+COUNT('Diário 3º PA'!$A$4:$A$2731)+ROW()-3)</f>
        <v>8118</v>
      </c>
      <c r="B2093" s="413">
        <v>44925</v>
      </c>
      <c r="C2093" s="424">
        <v>44896</v>
      </c>
      <c r="D2093" s="419" t="s">
        <v>182</v>
      </c>
      <c r="E2093" s="419" t="s">
        <v>287</v>
      </c>
      <c r="F2093" s="422">
        <v>2874.01</v>
      </c>
      <c r="G2093" s="423" t="s">
        <v>9168</v>
      </c>
      <c r="H2093" s="419" t="s">
        <v>310</v>
      </c>
      <c r="I2093" s="415" t="s">
        <v>926</v>
      </c>
      <c r="J2093" s="419" t="s">
        <v>927</v>
      </c>
      <c r="K2093" s="419" t="s">
        <v>806</v>
      </c>
      <c r="L2093" s="415" t="s">
        <v>925</v>
      </c>
      <c r="M2093" s="419" t="s">
        <v>310</v>
      </c>
      <c r="N2093" s="413">
        <v>44925</v>
      </c>
      <c r="O2093" s="414" t="s">
        <v>400</v>
      </c>
      <c r="P2093" s="655">
        <f t="shared" si="160"/>
        <v>12</v>
      </c>
      <c r="Q2093" s="655">
        <f t="shared" si="161"/>
        <v>12</v>
      </c>
      <c r="R2093" s="758" t="str">
        <f t="shared" si="162"/>
        <v>Gastos_com_Pessoal</v>
      </c>
      <c r="S2093" s="697" t="s">
        <v>310</v>
      </c>
      <c r="T2093" s="697" t="s">
        <v>310</v>
      </c>
    </row>
    <row r="2094" spans="1:20" ht="36" x14ac:dyDescent="0.2">
      <c r="A2094" s="352">
        <f>IF(B2094="","",COUNT('Diário 1º PA'!$A$4:$A$2635)+COUNT('Diário 2º PA'!$A$4:$A$3040)+COUNT('Diário 3º PA'!$A$4:$A$2731)+ROW()-3)</f>
        <v>8119</v>
      </c>
      <c r="B2094" s="413">
        <v>44925</v>
      </c>
      <c r="C2094" s="424">
        <v>44896</v>
      </c>
      <c r="D2094" s="419" t="s">
        <v>182</v>
      </c>
      <c r="E2094" s="419" t="s">
        <v>287</v>
      </c>
      <c r="F2094" s="422">
        <v>2874.01</v>
      </c>
      <c r="G2094" s="427" t="s">
        <v>9177</v>
      </c>
      <c r="H2094" s="419" t="s">
        <v>310</v>
      </c>
      <c r="I2094" s="415" t="s">
        <v>932</v>
      </c>
      <c r="J2094" s="419" t="s">
        <v>933</v>
      </c>
      <c r="K2094" s="419" t="s">
        <v>806</v>
      </c>
      <c r="L2094" s="415" t="s">
        <v>925</v>
      </c>
      <c r="M2094" s="419" t="s">
        <v>310</v>
      </c>
      <c r="N2094" s="413">
        <v>44925</v>
      </c>
      <c r="O2094" s="414" t="s">
        <v>400</v>
      </c>
      <c r="P2094" s="655">
        <f t="shared" si="160"/>
        <v>12</v>
      </c>
      <c r="Q2094" s="655">
        <f t="shared" si="161"/>
        <v>12</v>
      </c>
      <c r="R2094" s="758" t="str">
        <f t="shared" si="162"/>
        <v>Gastos_com_Pessoal</v>
      </c>
      <c r="S2094" s="697" t="s">
        <v>310</v>
      </c>
      <c r="T2094" s="697" t="s">
        <v>310</v>
      </c>
    </row>
    <row r="2095" spans="1:20" ht="36" x14ac:dyDescent="0.2">
      <c r="A2095" s="352">
        <f>IF(B2095="","",COUNT('Diário 1º PA'!$A$4:$A$2635)+COUNT('Diário 2º PA'!$A$4:$A$3040)+COUNT('Diário 3º PA'!$A$4:$A$2731)+ROW()-3)</f>
        <v>8120</v>
      </c>
      <c r="B2095" s="413">
        <v>44925</v>
      </c>
      <c r="C2095" s="424">
        <v>44896</v>
      </c>
      <c r="D2095" s="419" t="s">
        <v>182</v>
      </c>
      <c r="E2095" s="419" t="s">
        <v>287</v>
      </c>
      <c r="F2095" s="422">
        <v>2874.01</v>
      </c>
      <c r="G2095" s="423" t="s">
        <v>9168</v>
      </c>
      <c r="H2095" s="419" t="s">
        <v>310</v>
      </c>
      <c r="I2095" s="415" t="s">
        <v>935</v>
      </c>
      <c r="J2095" s="419" t="s">
        <v>936</v>
      </c>
      <c r="K2095" s="419" t="s">
        <v>806</v>
      </c>
      <c r="L2095" s="415" t="s">
        <v>925</v>
      </c>
      <c r="M2095" s="419" t="s">
        <v>310</v>
      </c>
      <c r="N2095" s="413">
        <v>44925</v>
      </c>
      <c r="O2095" s="414" t="s">
        <v>400</v>
      </c>
      <c r="P2095" s="655">
        <f>IF(B2095=0,0,IF(YEAR(B2095)=$Q$1,MONTH(B2095)-$P$1+1,(YEAR(B2095)-$Q$1)*12-$P$1+1+MONTH(B2095)))</f>
        <v>12</v>
      </c>
      <c r="Q2095" s="655">
        <f>IF(C2095=0,0,IF(YEAR(C2095)=$Q$1,MONTH(C2095)-$P$1+1,(YEAR(C2095)-$Q$1)*12-$P$1+1+MONTH(C2095)))</f>
        <v>12</v>
      </c>
      <c r="R2095" s="758" t="str">
        <f>SUBSTITUTE(D2095," ","_")</f>
        <v>Gastos_com_Pessoal</v>
      </c>
      <c r="S2095" s="697" t="s">
        <v>310</v>
      </c>
      <c r="T2095" s="697" t="s">
        <v>310</v>
      </c>
    </row>
    <row r="2096" spans="1:20" ht="36" x14ac:dyDescent="0.2">
      <c r="A2096" s="352">
        <f>IF(B2096="","",COUNT('Diário 1º PA'!$A$4:$A$2635)+COUNT('Diário 2º PA'!$A$4:$A$3040)+COUNT('Diário 3º PA'!$A$4:$A$2731)+ROW()-3)</f>
        <v>8121</v>
      </c>
      <c r="B2096" s="413">
        <v>44925</v>
      </c>
      <c r="C2096" s="424">
        <v>44896</v>
      </c>
      <c r="D2096" s="419" t="s">
        <v>182</v>
      </c>
      <c r="E2096" s="419" t="s">
        <v>287</v>
      </c>
      <c r="F2096" s="422">
        <v>3884.9</v>
      </c>
      <c r="G2096" s="423" t="s">
        <v>9182</v>
      </c>
      <c r="H2096" s="419" t="s">
        <v>310</v>
      </c>
      <c r="I2096" s="415" t="s">
        <v>938</v>
      </c>
      <c r="J2096" s="419" t="s">
        <v>939</v>
      </c>
      <c r="K2096" s="419" t="s">
        <v>806</v>
      </c>
      <c r="L2096" s="415" t="s">
        <v>925</v>
      </c>
      <c r="M2096" s="419" t="s">
        <v>310</v>
      </c>
      <c r="N2096" s="413">
        <v>44925</v>
      </c>
      <c r="O2096" s="414" t="s">
        <v>400</v>
      </c>
      <c r="P2096" s="655">
        <f>IF(B2096=0,0,IF(YEAR(B2096)=$Q$1,MONTH(B2096)-$P$1+1,(YEAR(B2096)-$Q$1)*12-$P$1+1+MONTH(B2096)))</f>
        <v>12</v>
      </c>
      <c r="Q2096" s="655">
        <f>IF(C2096=0,0,IF(YEAR(C2096)=$Q$1,MONTH(C2096)-$P$1+1,(YEAR(C2096)-$Q$1)*12-$P$1+1+MONTH(C2096)))</f>
        <v>12</v>
      </c>
      <c r="R2096" s="758" t="str">
        <f>SUBSTITUTE(D2096," ","_")</f>
        <v>Gastos_com_Pessoal</v>
      </c>
      <c r="S2096" s="697" t="s">
        <v>310</v>
      </c>
      <c r="T2096" s="697" t="s">
        <v>310</v>
      </c>
    </row>
    <row r="2097" spans="1:20" ht="36" x14ac:dyDescent="0.2">
      <c r="A2097" s="352">
        <f>IF(B2097="","",COUNT('Diário 1º PA'!$A$4:$A$2635)+COUNT('Diário 2º PA'!$A$4:$A$3040)+COUNT('Diário 3º PA'!$A$4:$A$2731)+ROW()-3)</f>
        <v>8122</v>
      </c>
      <c r="B2097" s="413">
        <v>44925</v>
      </c>
      <c r="C2097" s="424">
        <v>44896</v>
      </c>
      <c r="D2097" s="419" t="s">
        <v>182</v>
      </c>
      <c r="E2097" s="419" t="s">
        <v>287</v>
      </c>
      <c r="F2097" s="422">
        <v>2874.01</v>
      </c>
      <c r="G2097" s="423" t="s">
        <v>9168</v>
      </c>
      <c r="H2097" s="419" t="s">
        <v>310</v>
      </c>
      <c r="I2097" s="415" t="s">
        <v>943</v>
      </c>
      <c r="J2097" s="419" t="s">
        <v>1553</v>
      </c>
      <c r="K2097" s="419" t="s">
        <v>806</v>
      </c>
      <c r="L2097" s="415" t="s">
        <v>925</v>
      </c>
      <c r="M2097" s="419" t="s">
        <v>310</v>
      </c>
      <c r="N2097" s="413">
        <v>44925</v>
      </c>
      <c r="O2097" s="414" t="s">
        <v>400</v>
      </c>
      <c r="P2097" s="655">
        <f t="shared" ref="P2097:P2098" si="178">IF(B2097=0,0,IF(YEAR(B2097)=$Q$1,MONTH(B2097)-$P$1+1,(YEAR(B2097)-$Q$1)*12-$P$1+1+MONTH(B2097)))</f>
        <v>12</v>
      </c>
      <c r="Q2097" s="655">
        <f t="shared" ref="Q2097:Q2098" si="179">IF(C2097=0,0,IF(YEAR(C2097)=$Q$1,MONTH(C2097)-$P$1+1,(YEAR(C2097)-$Q$1)*12-$P$1+1+MONTH(C2097)))</f>
        <v>12</v>
      </c>
      <c r="R2097" s="758" t="str">
        <f t="shared" ref="R2097:R2098" si="180">SUBSTITUTE(D2097," ","_")</f>
        <v>Gastos_com_Pessoal</v>
      </c>
      <c r="S2097" s="697" t="s">
        <v>310</v>
      </c>
      <c r="T2097" s="697" t="s">
        <v>310</v>
      </c>
    </row>
    <row r="2098" spans="1:20" ht="24" x14ac:dyDescent="0.2">
      <c r="A2098" s="352">
        <f>IF(B2098="","",COUNT('Diário 1º PA'!$A$4:$A$2635)+COUNT('Diário 2º PA'!$A$4:$A$3040)+COUNT('Diário 3º PA'!$A$4:$A$2731)+ROW()-3)</f>
        <v>8123</v>
      </c>
      <c r="B2098" s="413">
        <v>44925</v>
      </c>
      <c r="C2098" s="421">
        <v>44896</v>
      </c>
      <c r="D2098" s="419" t="s">
        <v>271</v>
      </c>
      <c r="E2098" s="419" t="s">
        <v>71</v>
      </c>
      <c r="F2098" s="422">
        <v>11</v>
      </c>
      <c r="G2098" s="419" t="s">
        <v>9199</v>
      </c>
      <c r="H2098" s="419" t="s">
        <v>310</v>
      </c>
      <c r="I2098" s="415" t="s">
        <v>881</v>
      </c>
      <c r="J2098" s="419" t="s">
        <v>882</v>
      </c>
      <c r="K2098" s="419" t="s">
        <v>883</v>
      </c>
      <c r="L2098" s="415" t="s">
        <v>798</v>
      </c>
      <c r="M2098" s="419" t="s">
        <v>310</v>
      </c>
      <c r="N2098" s="413">
        <v>44925</v>
      </c>
      <c r="O2098" s="414" t="s">
        <v>400</v>
      </c>
      <c r="P2098" s="655">
        <f t="shared" si="178"/>
        <v>12</v>
      </c>
      <c r="Q2098" s="655">
        <f t="shared" si="179"/>
        <v>12</v>
      </c>
      <c r="R2098" s="758" t="str">
        <f t="shared" si="180"/>
        <v>Gastos_Gerais</v>
      </c>
      <c r="S2098" s="697" t="s">
        <v>310</v>
      </c>
      <c r="T2098" s="697" t="s">
        <v>310</v>
      </c>
    </row>
    <row r="2099" spans="1:20" ht="24" x14ac:dyDescent="0.2">
      <c r="A2099" s="352">
        <f>IF(B2099="","",COUNT('Diário 1º PA'!$A$4:$A$2635)+COUNT('Diário 2º PA'!$A$4:$A$3040)+COUNT('Diário 3º PA'!$A$4:$A$2731)+ROW()-3)</f>
        <v>8124</v>
      </c>
      <c r="B2099" s="413">
        <v>44925</v>
      </c>
      <c r="C2099" s="421">
        <v>44896</v>
      </c>
      <c r="D2099" s="419" t="s">
        <v>271</v>
      </c>
      <c r="E2099" s="419" t="s">
        <v>71</v>
      </c>
      <c r="F2099" s="422">
        <v>11</v>
      </c>
      <c r="G2099" s="419" t="s">
        <v>9199</v>
      </c>
      <c r="H2099" s="419" t="s">
        <v>310</v>
      </c>
      <c r="I2099" s="415" t="s">
        <v>881</v>
      </c>
      <c r="J2099" s="419" t="s">
        <v>882</v>
      </c>
      <c r="K2099" s="419" t="s">
        <v>883</v>
      </c>
      <c r="L2099" s="415" t="s">
        <v>798</v>
      </c>
      <c r="M2099" s="419" t="s">
        <v>310</v>
      </c>
      <c r="N2099" s="413">
        <v>44925</v>
      </c>
      <c r="O2099" s="414" t="s">
        <v>400</v>
      </c>
      <c r="P2099" s="655">
        <f t="shared" ref="P2099:P2118" si="181">IF(B2099=0,0,IF(YEAR(B2099)=$Q$1,MONTH(B2099)-$P$1+1,(YEAR(B2099)-$Q$1)*12-$P$1+1+MONTH(B2099)))</f>
        <v>12</v>
      </c>
      <c r="Q2099" s="655">
        <f t="shared" ref="Q2099:Q2118" si="182">IF(C2099=0,0,IF(YEAR(C2099)=$Q$1,MONTH(C2099)-$P$1+1,(YEAR(C2099)-$Q$1)*12-$P$1+1+MONTH(C2099)))</f>
        <v>12</v>
      </c>
      <c r="R2099" s="758" t="str">
        <f t="shared" ref="R2099:R2118" si="183">SUBSTITUTE(D2099," ","_")</f>
        <v>Gastos_Gerais</v>
      </c>
      <c r="S2099" s="697" t="s">
        <v>310</v>
      </c>
      <c r="T2099" s="697" t="s">
        <v>310</v>
      </c>
    </row>
    <row r="2100" spans="1:20" ht="24" x14ac:dyDescent="0.2">
      <c r="A2100" s="352">
        <f>IF(B2100="","",COUNT('Diário 1º PA'!$A$4:$A$2635)+COUNT('Diário 2º PA'!$A$4:$A$3040)+COUNT('Diário 3º PA'!$A$4:$A$2731)+ROW()-3)</f>
        <v>8125</v>
      </c>
      <c r="B2100" s="413">
        <v>44925</v>
      </c>
      <c r="C2100" s="421">
        <v>44896</v>
      </c>
      <c r="D2100" s="419" t="s">
        <v>271</v>
      </c>
      <c r="E2100" s="419" t="s">
        <v>71</v>
      </c>
      <c r="F2100" s="422">
        <v>11</v>
      </c>
      <c r="G2100" s="419" t="s">
        <v>9199</v>
      </c>
      <c r="H2100" s="419" t="s">
        <v>310</v>
      </c>
      <c r="I2100" s="415" t="s">
        <v>881</v>
      </c>
      <c r="J2100" s="419" t="s">
        <v>882</v>
      </c>
      <c r="K2100" s="419" t="s">
        <v>883</v>
      </c>
      <c r="L2100" s="415" t="s">
        <v>798</v>
      </c>
      <c r="M2100" s="419" t="s">
        <v>310</v>
      </c>
      <c r="N2100" s="413">
        <v>44925</v>
      </c>
      <c r="O2100" s="414" t="s">
        <v>400</v>
      </c>
      <c r="P2100" s="655">
        <f t="shared" si="181"/>
        <v>12</v>
      </c>
      <c r="Q2100" s="655">
        <f t="shared" si="182"/>
        <v>12</v>
      </c>
      <c r="R2100" s="758" t="str">
        <f t="shared" si="183"/>
        <v>Gastos_Gerais</v>
      </c>
      <c r="S2100" s="697" t="s">
        <v>310</v>
      </c>
      <c r="T2100" s="697" t="s">
        <v>310</v>
      </c>
    </row>
    <row r="2101" spans="1:20" ht="24" x14ac:dyDescent="0.2">
      <c r="A2101" s="352">
        <f>IF(B2101="","",COUNT('Diário 1º PA'!$A$4:$A$2635)+COUNT('Diário 2º PA'!$A$4:$A$3040)+COUNT('Diário 3º PA'!$A$4:$A$2731)+ROW()-3)</f>
        <v>8126</v>
      </c>
      <c r="B2101" s="413">
        <v>44925</v>
      </c>
      <c r="C2101" s="421">
        <v>44896</v>
      </c>
      <c r="D2101" s="419" t="s">
        <v>271</v>
      </c>
      <c r="E2101" s="419" t="s">
        <v>71</v>
      </c>
      <c r="F2101" s="422">
        <v>11</v>
      </c>
      <c r="G2101" s="419" t="s">
        <v>9199</v>
      </c>
      <c r="H2101" s="419" t="s">
        <v>310</v>
      </c>
      <c r="I2101" s="415" t="s">
        <v>881</v>
      </c>
      <c r="J2101" s="419" t="s">
        <v>882</v>
      </c>
      <c r="K2101" s="419" t="s">
        <v>883</v>
      </c>
      <c r="L2101" s="415" t="s">
        <v>798</v>
      </c>
      <c r="M2101" s="419" t="s">
        <v>310</v>
      </c>
      <c r="N2101" s="413">
        <v>44925</v>
      </c>
      <c r="O2101" s="414" t="s">
        <v>400</v>
      </c>
      <c r="P2101" s="655">
        <f t="shared" si="181"/>
        <v>12</v>
      </c>
      <c r="Q2101" s="655">
        <f t="shared" si="182"/>
        <v>12</v>
      </c>
      <c r="R2101" s="758" t="str">
        <f t="shared" si="183"/>
        <v>Gastos_Gerais</v>
      </c>
      <c r="S2101" s="697" t="s">
        <v>310</v>
      </c>
      <c r="T2101" s="697" t="s">
        <v>310</v>
      </c>
    </row>
    <row r="2102" spans="1:20" ht="24" x14ac:dyDescent="0.2">
      <c r="A2102" s="352">
        <f>IF(B2102="","",COUNT('Diário 1º PA'!$A$4:$A$2635)+COUNT('Diário 2º PA'!$A$4:$A$3040)+COUNT('Diário 3º PA'!$A$4:$A$2731)+ROW()-3)</f>
        <v>8127</v>
      </c>
      <c r="B2102" s="413">
        <v>44925</v>
      </c>
      <c r="C2102" s="421">
        <v>44896</v>
      </c>
      <c r="D2102" s="419" t="s">
        <v>271</v>
      </c>
      <c r="E2102" s="419" t="s">
        <v>71</v>
      </c>
      <c r="F2102" s="422">
        <v>11</v>
      </c>
      <c r="G2102" s="419" t="s">
        <v>9199</v>
      </c>
      <c r="H2102" s="419" t="s">
        <v>310</v>
      </c>
      <c r="I2102" s="415" t="s">
        <v>881</v>
      </c>
      <c r="J2102" s="419" t="s">
        <v>882</v>
      </c>
      <c r="K2102" s="419" t="s">
        <v>883</v>
      </c>
      <c r="L2102" s="415" t="s">
        <v>798</v>
      </c>
      <c r="M2102" s="419" t="s">
        <v>310</v>
      </c>
      <c r="N2102" s="413">
        <v>44925</v>
      </c>
      <c r="O2102" s="414" t="s">
        <v>400</v>
      </c>
      <c r="P2102" s="655">
        <f t="shared" si="181"/>
        <v>12</v>
      </c>
      <c r="Q2102" s="655">
        <f t="shared" si="182"/>
        <v>12</v>
      </c>
      <c r="R2102" s="758" t="str">
        <f t="shared" si="183"/>
        <v>Gastos_Gerais</v>
      </c>
      <c r="S2102" s="697" t="s">
        <v>310</v>
      </c>
      <c r="T2102" s="697" t="s">
        <v>310</v>
      </c>
    </row>
    <row r="2103" spans="1:20" ht="24" x14ac:dyDescent="0.2">
      <c r="A2103" s="352">
        <f>IF(B2103="","",COUNT('Diário 1º PA'!$A$4:$A$2635)+COUNT('Diário 2º PA'!$A$4:$A$3040)+COUNT('Diário 3º PA'!$A$4:$A$2731)+ROW()-3)</f>
        <v>8128</v>
      </c>
      <c r="B2103" s="413">
        <v>44925</v>
      </c>
      <c r="C2103" s="421">
        <v>44896</v>
      </c>
      <c r="D2103" s="419" t="s">
        <v>271</v>
      </c>
      <c r="E2103" s="419" t="s">
        <v>71</v>
      </c>
      <c r="F2103" s="422">
        <v>11</v>
      </c>
      <c r="G2103" s="419" t="s">
        <v>9199</v>
      </c>
      <c r="H2103" s="419" t="s">
        <v>310</v>
      </c>
      <c r="I2103" s="415" t="s">
        <v>881</v>
      </c>
      <c r="J2103" s="419" t="s">
        <v>882</v>
      </c>
      <c r="K2103" s="419" t="s">
        <v>883</v>
      </c>
      <c r="L2103" s="415" t="s">
        <v>798</v>
      </c>
      <c r="M2103" s="419" t="s">
        <v>310</v>
      </c>
      <c r="N2103" s="413">
        <v>44925</v>
      </c>
      <c r="O2103" s="414" t="s">
        <v>400</v>
      </c>
      <c r="P2103" s="655">
        <f t="shared" si="181"/>
        <v>12</v>
      </c>
      <c r="Q2103" s="655">
        <f t="shared" si="182"/>
        <v>12</v>
      </c>
      <c r="R2103" s="758" t="str">
        <f t="shared" si="183"/>
        <v>Gastos_Gerais</v>
      </c>
      <c r="S2103" s="697" t="s">
        <v>310</v>
      </c>
      <c r="T2103" s="697" t="s">
        <v>310</v>
      </c>
    </row>
    <row r="2104" spans="1:20" ht="24" x14ac:dyDescent="0.2">
      <c r="A2104" s="352">
        <f>IF(B2104="","",COUNT('Diário 1º PA'!$A$4:$A$2635)+COUNT('Diário 2º PA'!$A$4:$A$3040)+COUNT('Diário 3º PA'!$A$4:$A$2731)+ROW()-3)</f>
        <v>8129</v>
      </c>
      <c r="B2104" s="413">
        <v>44925</v>
      </c>
      <c r="C2104" s="421">
        <v>44896</v>
      </c>
      <c r="D2104" s="419" t="s">
        <v>271</v>
      </c>
      <c r="E2104" s="419" t="s">
        <v>71</v>
      </c>
      <c r="F2104" s="422">
        <v>11</v>
      </c>
      <c r="G2104" s="419" t="s">
        <v>9199</v>
      </c>
      <c r="H2104" s="419" t="s">
        <v>310</v>
      </c>
      <c r="I2104" s="415" t="s">
        <v>881</v>
      </c>
      <c r="J2104" s="419" t="s">
        <v>882</v>
      </c>
      <c r="K2104" s="419" t="s">
        <v>883</v>
      </c>
      <c r="L2104" s="415" t="s">
        <v>798</v>
      </c>
      <c r="M2104" s="419" t="s">
        <v>310</v>
      </c>
      <c r="N2104" s="413">
        <v>44925</v>
      </c>
      <c r="O2104" s="414" t="s">
        <v>400</v>
      </c>
      <c r="P2104" s="655">
        <f t="shared" si="181"/>
        <v>12</v>
      </c>
      <c r="Q2104" s="655">
        <f t="shared" si="182"/>
        <v>12</v>
      </c>
      <c r="R2104" s="758" t="str">
        <f t="shared" si="183"/>
        <v>Gastos_Gerais</v>
      </c>
      <c r="S2104" s="697" t="s">
        <v>310</v>
      </c>
      <c r="T2104" s="697" t="s">
        <v>310</v>
      </c>
    </row>
    <row r="2105" spans="1:20" ht="24" x14ac:dyDescent="0.2">
      <c r="A2105" s="352">
        <f>IF(B2105="","",COUNT('Diário 1º PA'!$A$4:$A$2635)+COUNT('Diário 2º PA'!$A$4:$A$3040)+COUNT('Diário 3º PA'!$A$4:$A$2731)+ROW()-3)</f>
        <v>8130</v>
      </c>
      <c r="B2105" s="413">
        <v>44925</v>
      </c>
      <c r="C2105" s="421">
        <v>44896</v>
      </c>
      <c r="D2105" s="419" t="s">
        <v>271</v>
      </c>
      <c r="E2105" s="419" t="s">
        <v>71</v>
      </c>
      <c r="F2105" s="422">
        <v>11</v>
      </c>
      <c r="G2105" s="419" t="s">
        <v>9199</v>
      </c>
      <c r="H2105" s="419" t="s">
        <v>310</v>
      </c>
      <c r="I2105" s="415" t="s">
        <v>881</v>
      </c>
      <c r="J2105" s="419" t="s">
        <v>882</v>
      </c>
      <c r="K2105" s="419" t="s">
        <v>883</v>
      </c>
      <c r="L2105" s="415" t="s">
        <v>798</v>
      </c>
      <c r="M2105" s="419" t="s">
        <v>310</v>
      </c>
      <c r="N2105" s="413">
        <v>44925</v>
      </c>
      <c r="O2105" s="414" t="s">
        <v>400</v>
      </c>
      <c r="P2105" s="655">
        <f t="shared" si="181"/>
        <v>12</v>
      </c>
      <c r="Q2105" s="655">
        <f t="shared" si="182"/>
        <v>12</v>
      </c>
      <c r="R2105" s="758" t="str">
        <f t="shared" si="183"/>
        <v>Gastos_Gerais</v>
      </c>
      <c r="S2105" s="697" t="s">
        <v>310</v>
      </c>
      <c r="T2105" s="697" t="s">
        <v>310</v>
      </c>
    </row>
    <row r="2106" spans="1:20" ht="24" x14ac:dyDescent="0.2">
      <c r="A2106" s="352">
        <f>IF(B2106="","",COUNT('Diário 1º PA'!$A$4:$A$2635)+COUNT('Diário 2º PA'!$A$4:$A$3040)+COUNT('Diário 3º PA'!$A$4:$A$2731)+ROW()-3)</f>
        <v>8131</v>
      </c>
      <c r="B2106" s="413">
        <v>44925</v>
      </c>
      <c r="C2106" s="421">
        <v>44896</v>
      </c>
      <c r="D2106" s="419" t="s">
        <v>271</v>
      </c>
      <c r="E2106" s="419" t="s">
        <v>71</v>
      </c>
      <c r="F2106" s="422">
        <v>11</v>
      </c>
      <c r="G2106" s="419" t="s">
        <v>9199</v>
      </c>
      <c r="H2106" s="419" t="s">
        <v>310</v>
      </c>
      <c r="I2106" s="415" t="s">
        <v>881</v>
      </c>
      <c r="J2106" s="419" t="s">
        <v>882</v>
      </c>
      <c r="K2106" s="419" t="s">
        <v>883</v>
      </c>
      <c r="L2106" s="415" t="s">
        <v>798</v>
      </c>
      <c r="M2106" s="419" t="s">
        <v>310</v>
      </c>
      <c r="N2106" s="413">
        <v>44925</v>
      </c>
      <c r="O2106" s="414" t="s">
        <v>400</v>
      </c>
      <c r="P2106" s="655">
        <f t="shared" si="181"/>
        <v>12</v>
      </c>
      <c r="Q2106" s="655">
        <f t="shared" si="182"/>
        <v>12</v>
      </c>
      <c r="R2106" s="758" t="str">
        <f t="shared" si="183"/>
        <v>Gastos_Gerais</v>
      </c>
      <c r="S2106" s="697" t="s">
        <v>310</v>
      </c>
      <c r="T2106" s="697" t="s">
        <v>310</v>
      </c>
    </row>
    <row r="2107" spans="1:20" ht="24" x14ac:dyDescent="0.2">
      <c r="A2107" s="352">
        <f>IF(B2107="","",COUNT('Diário 1º PA'!$A$4:$A$2635)+COUNT('Diário 2º PA'!$A$4:$A$3040)+COUNT('Diário 3º PA'!$A$4:$A$2731)+ROW()-3)</f>
        <v>8132</v>
      </c>
      <c r="B2107" s="413">
        <v>44925</v>
      </c>
      <c r="C2107" s="421">
        <v>44896</v>
      </c>
      <c r="D2107" s="419" t="s">
        <v>271</v>
      </c>
      <c r="E2107" s="419" t="s">
        <v>71</v>
      </c>
      <c r="F2107" s="422">
        <v>11</v>
      </c>
      <c r="G2107" s="419" t="s">
        <v>9199</v>
      </c>
      <c r="H2107" s="419" t="s">
        <v>310</v>
      </c>
      <c r="I2107" s="415" t="s">
        <v>881</v>
      </c>
      <c r="J2107" s="419" t="s">
        <v>882</v>
      </c>
      <c r="K2107" s="419" t="s">
        <v>883</v>
      </c>
      <c r="L2107" s="415" t="s">
        <v>798</v>
      </c>
      <c r="M2107" s="419" t="s">
        <v>310</v>
      </c>
      <c r="N2107" s="413">
        <v>44925</v>
      </c>
      <c r="O2107" s="414" t="s">
        <v>400</v>
      </c>
      <c r="P2107" s="655">
        <f t="shared" si="181"/>
        <v>12</v>
      </c>
      <c r="Q2107" s="655">
        <f t="shared" si="182"/>
        <v>12</v>
      </c>
      <c r="R2107" s="758" t="str">
        <f t="shared" si="183"/>
        <v>Gastos_Gerais</v>
      </c>
      <c r="S2107" s="697" t="s">
        <v>310</v>
      </c>
      <c r="T2107" s="697" t="s">
        <v>310</v>
      </c>
    </row>
    <row r="2108" spans="1:20" ht="24" x14ac:dyDescent="0.2">
      <c r="A2108" s="352">
        <f>IF(B2108="","",COUNT('Diário 1º PA'!$A$4:$A$2635)+COUNT('Diário 2º PA'!$A$4:$A$3040)+COUNT('Diário 3º PA'!$A$4:$A$2731)+ROW()-3)</f>
        <v>8133</v>
      </c>
      <c r="B2108" s="413">
        <v>44925</v>
      </c>
      <c r="C2108" s="421">
        <v>44896</v>
      </c>
      <c r="D2108" s="419" t="s">
        <v>271</v>
      </c>
      <c r="E2108" s="419" t="s">
        <v>71</v>
      </c>
      <c r="F2108" s="422">
        <v>11</v>
      </c>
      <c r="G2108" s="419" t="s">
        <v>9199</v>
      </c>
      <c r="H2108" s="419" t="s">
        <v>310</v>
      </c>
      <c r="I2108" s="415" t="s">
        <v>881</v>
      </c>
      <c r="J2108" s="419" t="s">
        <v>882</v>
      </c>
      <c r="K2108" s="419" t="s">
        <v>883</v>
      </c>
      <c r="L2108" s="415" t="s">
        <v>798</v>
      </c>
      <c r="M2108" s="419" t="s">
        <v>310</v>
      </c>
      <c r="N2108" s="413">
        <v>44925</v>
      </c>
      <c r="O2108" s="414" t="s">
        <v>400</v>
      </c>
      <c r="P2108" s="655">
        <f t="shared" si="181"/>
        <v>12</v>
      </c>
      <c r="Q2108" s="655">
        <f t="shared" si="182"/>
        <v>12</v>
      </c>
      <c r="R2108" s="758" t="str">
        <f t="shared" si="183"/>
        <v>Gastos_Gerais</v>
      </c>
      <c r="S2108" s="697" t="s">
        <v>310</v>
      </c>
      <c r="T2108" s="697" t="s">
        <v>310</v>
      </c>
    </row>
    <row r="2109" spans="1:20" ht="24" x14ac:dyDescent="0.2">
      <c r="A2109" s="352">
        <f>IF(B2109="","",COUNT('Diário 1º PA'!$A$4:$A$2635)+COUNT('Diário 2º PA'!$A$4:$A$3040)+COUNT('Diário 3º PA'!$A$4:$A$2731)+ROW()-3)</f>
        <v>8134</v>
      </c>
      <c r="B2109" s="413">
        <v>44925</v>
      </c>
      <c r="C2109" s="421">
        <v>44896</v>
      </c>
      <c r="D2109" s="419" t="s">
        <v>271</v>
      </c>
      <c r="E2109" s="419" t="s">
        <v>71</v>
      </c>
      <c r="F2109" s="422">
        <v>11</v>
      </c>
      <c r="G2109" s="419" t="s">
        <v>9199</v>
      </c>
      <c r="H2109" s="419" t="s">
        <v>310</v>
      </c>
      <c r="I2109" s="415" t="s">
        <v>881</v>
      </c>
      <c r="J2109" s="419" t="s">
        <v>882</v>
      </c>
      <c r="K2109" s="419" t="s">
        <v>883</v>
      </c>
      <c r="L2109" s="415" t="s">
        <v>798</v>
      </c>
      <c r="M2109" s="419" t="s">
        <v>310</v>
      </c>
      <c r="N2109" s="413">
        <v>44925</v>
      </c>
      <c r="O2109" s="414" t="s">
        <v>400</v>
      </c>
      <c r="P2109" s="655">
        <f t="shared" si="181"/>
        <v>12</v>
      </c>
      <c r="Q2109" s="655">
        <f t="shared" si="182"/>
        <v>12</v>
      </c>
      <c r="R2109" s="758" t="str">
        <f t="shared" si="183"/>
        <v>Gastos_Gerais</v>
      </c>
      <c r="S2109" s="697" t="s">
        <v>310</v>
      </c>
      <c r="T2109" s="697" t="s">
        <v>310</v>
      </c>
    </row>
    <row r="2110" spans="1:20" ht="24" x14ac:dyDescent="0.2">
      <c r="A2110" s="352">
        <f>IF(B2110="","",COUNT('Diário 1º PA'!$A$4:$A$2635)+COUNT('Diário 2º PA'!$A$4:$A$3040)+COUNT('Diário 3º PA'!$A$4:$A$2731)+ROW()-3)</f>
        <v>8135</v>
      </c>
      <c r="B2110" s="413">
        <v>44925</v>
      </c>
      <c r="C2110" s="421">
        <v>44896</v>
      </c>
      <c r="D2110" s="419" t="s">
        <v>271</v>
      </c>
      <c r="E2110" s="419" t="s">
        <v>71</v>
      </c>
      <c r="F2110" s="422">
        <v>11</v>
      </c>
      <c r="G2110" s="419" t="s">
        <v>9199</v>
      </c>
      <c r="H2110" s="419" t="s">
        <v>310</v>
      </c>
      <c r="I2110" s="415" t="s">
        <v>881</v>
      </c>
      <c r="J2110" s="419" t="s">
        <v>882</v>
      </c>
      <c r="K2110" s="419" t="s">
        <v>883</v>
      </c>
      <c r="L2110" s="415" t="s">
        <v>798</v>
      </c>
      <c r="M2110" s="419" t="s">
        <v>310</v>
      </c>
      <c r="N2110" s="413">
        <v>44925</v>
      </c>
      <c r="O2110" s="414" t="s">
        <v>400</v>
      </c>
      <c r="P2110" s="655">
        <f t="shared" si="181"/>
        <v>12</v>
      </c>
      <c r="Q2110" s="655">
        <f t="shared" si="182"/>
        <v>12</v>
      </c>
      <c r="R2110" s="758" t="str">
        <f t="shared" si="183"/>
        <v>Gastos_Gerais</v>
      </c>
      <c r="S2110" s="697" t="s">
        <v>310</v>
      </c>
      <c r="T2110" s="697" t="s">
        <v>310</v>
      </c>
    </row>
    <row r="2111" spans="1:20" ht="24" x14ac:dyDescent="0.2">
      <c r="A2111" s="352">
        <f>IF(B2111="","",COUNT('Diário 1º PA'!$A$4:$A$2635)+COUNT('Diário 2º PA'!$A$4:$A$3040)+COUNT('Diário 3º PA'!$A$4:$A$2731)+ROW()-3)</f>
        <v>8136</v>
      </c>
      <c r="B2111" s="413">
        <v>44925</v>
      </c>
      <c r="C2111" s="421">
        <v>44896</v>
      </c>
      <c r="D2111" s="419" t="s">
        <v>271</v>
      </c>
      <c r="E2111" s="419" t="s">
        <v>71</v>
      </c>
      <c r="F2111" s="422">
        <v>11</v>
      </c>
      <c r="G2111" s="419" t="s">
        <v>9199</v>
      </c>
      <c r="H2111" s="419" t="s">
        <v>310</v>
      </c>
      <c r="I2111" s="415" t="s">
        <v>881</v>
      </c>
      <c r="J2111" s="419" t="s">
        <v>882</v>
      </c>
      <c r="K2111" s="419" t="s">
        <v>883</v>
      </c>
      <c r="L2111" s="415" t="s">
        <v>798</v>
      </c>
      <c r="M2111" s="419" t="s">
        <v>310</v>
      </c>
      <c r="N2111" s="413">
        <v>44925</v>
      </c>
      <c r="O2111" s="414" t="s">
        <v>400</v>
      </c>
      <c r="P2111" s="655">
        <f t="shared" si="181"/>
        <v>12</v>
      </c>
      <c r="Q2111" s="655">
        <f t="shared" si="182"/>
        <v>12</v>
      </c>
      <c r="R2111" s="758" t="str">
        <f t="shared" si="183"/>
        <v>Gastos_Gerais</v>
      </c>
      <c r="S2111" s="697" t="s">
        <v>310</v>
      </c>
      <c r="T2111" s="697" t="s">
        <v>310</v>
      </c>
    </row>
    <row r="2112" spans="1:20" ht="24" x14ac:dyDescent="0.2">
      <c r="A2112" s="352">
        <f>IF(B2112="","",COUNT('Diário 1º PA'!$A$4:$A$2635)+COUNT('Diário 2º PA'!$A$4:$A$3040)+COUNT('Diário 3º PA'!$A$4:$A$2731)+ROW()-3)</f>
        <v>8137</v>
      </c>
      <c r="B2112" s="413">
        <v>44925</v>
      </c>
      <c r="C2112" s="421">
        <v>44896</v>
      </c>
      <c r="D2112" s="419" t="s">
        <v>271</v>
      </c>
      <c r="E2112" s="419" t="s">
        <v>71</v>
      </c>
      <c r="F2112" s="422">
        <v>11</v>
      </c>
      <c r="G2112" s="419" t="s">
        <v>9199</v>
      </c>
      <c r="H2112" s="419" t="s">
        <v>310</v>
      </c>
      <c r="I2112" s="415" t="s">
        <v>881</v>
      </c>
      <c r="J2112" s="419" t="s">
        <v>882</v>
      </c>
      <c r="K2112" s="419" t="s">
        <v>883</v>
      </c>
      <c r="L2112" s="415" t="s">
        <v>798</v>
      </c>
      <c r="M2112" s="419" t="s">
        <v>310</v>
      </c>
      <c r="N2112" s="413">
        <v>44925</v>
      </c>
      <c r="O2112" s="414" t="s">
        <v>400</v>
      </c>
      <c r="P2112" s="655">
        <f t="shared" si="181"/>
        <v>12</v>
      </c>
      <c r="Q2112" s="655">
        <f t="shared" si="182"/>
        <v>12</v>
      </c>
      <c r="R2112" s="758" t="str">
        <f t="shared" si="183"/>
        <v>Gastos_Gerais</v>
      </c>
      <c r="S2112" s="697" t="s">
        <v>310</v>
      </c>
      <c r="T2112" s="697" t="s">
        <v>310</v>
      </c>
    </row>
    <row r="2113" spans="1:20" ht="24" x14ac:dyDescent="0.2">
      <c r="A2113" s="352">
        <f>IF(B2113="","",COUNT('Diário 1º PA'!$A$4:$A$2635)+COUNT('Diário 2º PA'!$A$4:$A$3040)+COUNT('Diário 3º PA'!$A$4:$A$2731)+ROW()-3)</f>
        <v>8138</v>
      </c>
      <c r="B2113" s="413">
        <v>44925</v>
      </c>
      <c r="C2113" s="421">
        <v>44896</v>
      </c>
      <c r="D2113" s="419" t="s">
        <v>271</v>
      </c>
      <c r="E2113" s="419" t="s">
        <v>71</v>
      </c>
      <c r="F2113" s="422">
        <v>11</v>
      </c>
      <c r="G2113" s="419" t="s">
        <v>9199</v>
      </c>
      <c r="H2113" s="419" t="s">
        <v>310</v>
      </c>
      <c r="I2113" s="415" t="s">
        <v>881</v>
      </c>
      <c r="J2113" s="419" t="s">
        <v>882</v>
      </c>
      <c r="K2113" s="419" t="s">
        <v>883</v>
      </c>
      <c r="L2113" s="415" t="s">
        <v>798</v>
      </c>
      <c r="M2113" s="419" t="s">
        <v>310</v>
      </c>
      <c r="N2113" s="413">
        <v>44925</v>
      </c>
      <c r="O2113" s="414" t="s">
        <v>400</v>
      </c>
      <c r="P2113" s="655">
        <f t="shared" si="181"/>
        <v>12</v>
      </c>
      <c r="Q2113" s="655">
        <f t="shared" si="182"/>
        <v>12</v>
      </c>
      <c r="R2113" s="758" t="str">
        <f t="shared" si="183"/>
        <v>Gastos_Gerais</v>
      </c>
      <c r="S2113" s="697" t="s">
        <v>310</v>
      </c>
      <c r="T2113" s="697" t="s">
        <v>310</v>
      </c>
    </row>
    <row r="2114" spans="1:20" ht="24" x14ac:dyDescent="0.2">
      <c r="A2114" s="352">
        <f>IF(B2114="","",COUNT('Diário 1º PA'!$A$4:$A$2635)+COUNT('Diário 2º PA'!$A$4:$A$3040)+COUNT('Diário 3º PA'!$A$4:$A$2731)+ROW()-3)</f>
        <v>8139</v>
      </c>
      <c r="B2114" s="413">
        <v>44925</v>
      </c>
      <c r="C2114" s="421">
        <v>44896</v>
      </c>
      <c r="D2114" s="419" t="s">
        <v>271</v>
      </c>
      <c r="E2114" s="419" t="s">
        <v>71</v>
      </c>
      <c r="F2114" s="422">
        <v>11</v>
      </c>
      <c r="G2114" s="419" t="s">
        <v>9199</v>
      </c>
      <c r="H2114" s="419" t="s">
        <v>310</v>
      </c>
      <c r="I2114" s="415" t="s">
        <v>881</v>
      </c>
      <c r="J2114" s="419" t="s">
        <v>882</v>
      </c>
      <c r="K2114" s="419" t="s">
        <v>883</v>
      </c>
      <c r="L2114" s="415" t="s">
        <v>798</v>
      </c>
      <c r="M2114" s="419" t="s">
        <v>310</v>
      </c>
      <c r="N2114" s="413">
        <v>44925</v>
      </c>
      <c r="O2114" s="414" t="s">
        <v>400</v>
      </c>
      <c r="P2114" s="655">
        <f t="shared" si="181"/>
        <v>12</v>
      </c>
      <c r="Q2114" s="655">
        <f t="shared" si="182"/>
        <v>12</v>
      </c>
      <c r="R2114" s="758" t="str">
        <f t="shared" si="183"/>
        <v>Gastos_Gerais</v>
      </c>
      <c r="S2114" s="697" t="s">
        <v>310</v>
      </c>
      <c r="T2114" s="697" t="s">
        <v>310</v>
      </c>
    </row>
    <row r="2115" spans="1:20" ht="24" x14ac:dyDescent="0.2">
      <c r="A2115" s="352">
        <f>IF(B2115="","",COUNT('Diário 1º PA'!$A$4:$A$2635)+COUNT('Diário 2º PA'!$A$4:$A$3040)+COUNT('Diário 3º PA'!$A$4:$A$2731)+ROW()-3)</f>
        <v>8140</v>
      </c>
      <c r="B2115" s="413">
        <v>44925</v>
      </c>
      <c r="C2115" s="421">
        <v>44896</v>
      </c>
      <c r="D2115" s="419" t="s">
        <v>271</v>
      </c>
      <c r="E2115" s="419" t="s">
        <v>71</v>
      </c>
      <c r="F2115" s="422">
        <v>11</v>
      </c>
      <c r="G2115" s="419" t="s">
        <v>9199</v>
      </c>
      <c r="H2115" s="419" t="s">
        <v>310</v>
      </c>
      <c r="I2115" s="415" t="s">
        <v>881</v>
      </c>
      <c r="J2115" s="419" t="s">
        <v>882</v>
      </c>
      <c r="K2115" s="419" t="s">
        <v>883</v>
      </c>
      <c r="L2115" s="415" t="s">
        <v>798</v>
      </c>
      <c r="M2115" s="419" t="s">
        <v>310</v>
      </c>
      <c r="N2115" s="413">
        <v>44925</v>
      </c>
      <c r="O2115" s="414" t="s">
        <v>400</v>
      </c>
      <c r="P2115" s="655">
        <f t="shared" si="181"/>
        <v>12</v>
      </c>
      <c r="Q2115" s="655">
        <f t="shared" si="182"/>
        <v>12</v>
      </c>
      <c r="R2115" s="758" t="str">
        <f t="shared" si="183"/>
        <v>Gastos_Gerais</v>
      </c>
      <c r="S2115" s="697" t="s">
        <v>310</v>
      </c>
      <c r="T2115" s="697" t="s">
        <v>310</v>
      </c>
    </row>
    <row r="2116" spans="1:20" ht="24" x14ac:dyDescent="0.2">
      <c r="A2116" s="352">
        <f>IF(B2116="","",COUNT('Diário 1º PA'!$A$4:$A$2635)+COUNT('Diário 2º PA'!$A$4:$A$3040)+COUNT('Diário 3º PA'!$A$4:$A$2731)+ROW()-3)</f>
        <v>8141</v>
      </c>
      <c r="B2116" s="413">
        <v>44925</v>
      </c>
      <c r="C2116" s="421">
        <v>44896</v>
      </c>
      <c r="D2116" s="419" t="s">
        <v>271</v>
      </c>
      <c r="E2116" s="419" t="s">
        <v>71</v>
      </c>
      <c r="F2116" s="422">
        <v>11</v>
      </c>
      <c r="G2116" s="419" t="s">
        <v>9199</v>
      </c>
      <c r="H2116" s="419" t="s">
        <v>310</v>
      </c>
      <c r="I2116" s="415" t="s">
        <v>881</v>
      </c>
      <c r="J2116" s="419" t="s">
        <v>882</v>
      </c>
      <c r="K2116" s="419" t="s">
        <v>883</v>
      </c>
      <c r="L2116" s="415" t="s">
        <v>798</v>
      </c>
      <c r="M2116" s="419" t="s">
        <v>310</v>
      </c>
      <c r="N2116" s="413">
        <v>44925</v>
      </c>
      <c r="O2116" s="414" t="s">
        <v>400</v>
      </c>
      <c r="P2116" s="655">
        <f t="shared" si="181"/>
        <v>12</v>
      </c>
      <c r="Q2116" s="655">
        <f t="shared" si="182"/>
        <v>12</v>
      </c>
      <c r="R2116" s="758" t="str">
        <f t="shared" si="183"/>
        <v>Gastos_Gerais</v>
      </c>
      <c r="S2116" s="697" t="s">
        <v>310</v>
      </c>
      <c r="T2116" s="697" t="s">
        <v>310</v>
      </c>
    </row>
    <row r="2117" spans="1:20" ht="24" x14ac:dyDescent="0.2">
      <c r="A2117" s="352">
        <f>IF(B2117="","",COUNT('Diário 1º PA'!$A$4:$A$2635)+COUNT('Diário 2º PA'!$A$4:$A$3040)+COUNT('Diário 3º PA'!$A$4:$A$2731)+ROW()-3)</f>
        <v>8142</v>
      </c>
      <c r="B2117" s="413">
        <v>44925</v>
      </c>
      <c r="C2117" s="421">
        <v>44896</v>
      </c>
      <c r="D2117" s="419" t="s">
        <v>271</v>
      </c>
      <c r="E2117" s="419" t="s">
        <v>71</v>
      </c>
      <c r="F2117" s="422">
        <v>11</v>
      </c>
      <c r="G2117" s="419" t="s">
        <v>9199</v>
      </c>
      <c r="H2117" s="419" t="s">
        <v>310</v>
      </c>
      <c r="I2117" s="415" t="s">
        <v>881</v>
      </c>
      <c r="J2117" s="419" t="s">
        <v>882</v>
      </c>
      <c r="K2117" s="419" t="s">
        <v>883</v>
      </c>
      <c r="L2117" s="415" t="s">
        <v>798</v>
      </c>
      <c r="M2117" s="419" t="s">
        <v>310</v>
      </c>
      <c r="N2117" s="413">
        <v>44925</v>
      </c>
      <c r="O2117" s="414" t="s">
        <v>400</v>
      </c>
      <c r="P2117" s="655">
        <f t="shared" si="181"/>
        <v>12</v>
      </c>
      <c r="Q2117" s="655">
        <f t="shared" si="182"/>
        <v>12</v>
      </c>
      <c r="R2117" s="758" t="str">
        <f t="shared" si="183"/>
        <v>Gastos_Gerais</v>
      </c>
      <c r="S2117" s="697" t="s">
        <v>310</v>
      </c>
      <c r="T2117" s="697" t="s">
        <v>310</v>
      </c>
    </row>
    <row r="2118" spans="1:20" ht="24" x14ac:dyDescent="0.2">
      <c r="A2118" s="352">
        <f>IF(B2118="","",COUNT('Diário 1º PA'!$A$4:$A$2635)+COUNT('Diário 2º PA'!$A$4:$A$3040)+COUNT('Diário 3º PA'!$A$4:$A$2731)+ROW()-3)</f>
        <v>8143</v>
      </c>
      <c r="B2118" s="413">
        <v>44925</v>
      </c>
      <c r="C2118" s="421">
        <v>44896</v>
      </c>
      <c r="D2118" s="419" t="s">
        <v>271</v>
      </c>
      <c r="E2118" s="419" t="s">
        <v>71</v>
      </c>
      <c r="F2118" s="422">
        <v>11</v>
      </c>
      <c r="G2118" s="419" t="s">
        <v>9199</v>
      </c>
      <c r="H2118" s="419" t="s">
        <v>310</v>
      </c>
      <c r="I2118" s="415" t="s">
        <v>881</v>
      </c>
      <c r="J2118" s="419" t="s">
        <v>882</v>
      </c>
      <c r="K2118" s="419" t="s">
        <v>883</v>
      </c>
      <c r="L2118" s="415" t="s">
        <v>798</v>
      </c>
      <c r="M2118" s="419" t="s">
        <v>310</v>
      </c>
      <c r="N2118" s="413">
        <v>44925</v>
      </c>
      <c r="O2118" s="414" t="s">
        <v>400</v>
      </c>
      <c r="P2118" s="655">
        <f t="shared" si="181"/>
        <v>12</v>
      </c>
      <c r="Q2118" s="655">
        <f t="shared" si="182"/>
        <v>12</v>
      </c>
      <c r="R2118" s="758" t="str">
        <f t="shared" si="183"/>
        <v>Gastos_Gerais</v>
      </c>
      <c r="S2118" s="697" t="s">
        <v>310</v>
      </c>
      <c r="T2118" s="697" t="s">
        <v>310</v>
      </c>
    </row>
    <row r="2119" spans="1:20" ht="24" x14ac:dyDescent="0.2">
      <c r="A2119" s="352">
        <f>IF(B2119="","",COUNT('Diário 1º PA'!$A$4:$A$2635)+COUNT('Diário 2º PA'!$A$4:$A$3040)+COUNT('Diário 3º PA'!$A$4:$A$2731)+ROW()-3)</f>
        <v>8144</v>
      </c>
      <c r="B2119" s="413">
        <v>44925</v>
      </c>
      <c r="C2119" s="421">
        <v>44896</v>
      </c>
      <c r="D2119" s="419" t="s">
        <v>271</v>
      </c>
      <c r="E2119" s="419" t="s">
        <v>71</v>
      </c>
      <c r="F2119" s="422">
        <v>11</v>
      </c>
      <c r="G2119" s="419" t="s">
        <v>9199</v>
      </c>
      <c r="H2119" s="419" t="s">
        <v>310</v>
      </c>
      <c r="I2119" s="415" t="s">
        <v>881</v>
      </c>
      <c r="J2119" s="419" t="s">
        <v>882</v>
      </c>
      <c r="K2119" s="419" t="s">
        <v>883</v>
      </c>
      <c r="L2119" s="415" t="s">
        <v>798</v>
      </c>
      <c r="M2119" s="419" t="s">
        <v>310</v>
      </c>
      <c r="N2119" s="413">
        <v>44925</v>
      </c>
      <c r="O2119" s="414" t="s">
        <v>400</v>
      </c>
      <c r="P2119" s="655">
        <f t="shared" ref="P2119:P2126" si="184">IF(B2119=0,0,IF(YEAR(B2119)=$Q$1,MONTH(B2119)-$P$1+1,(YEAR(B2119)-$Q$1)*12-$P$1+1+MONTH(B2119)))</f>
        <v>12</v>
      </c>
      <c r="Q2119" s="655">
        <f t="shared" ref="Q2119:Q2126" si="185">IF(C2119=0,0,IF(YEAR(C2119)=$Q$1,MONTH(C2119)-$P$1+1,(YEAR(C2119)-$Q$1)*12-$P$1+1+MONTH(C2119)))</f>
        <v>12</v>
      </c>
      <c r="R2119" s="758" t="str">
        <f t="shared" ref="R2119:R2126" si="186">SUBSTITUTE(D2119," ","_")</f>
        <v>Gastos_Gerais</v>
      </c>
      <c r="S2119" s="697" t="s">
        <v>310</v>
      </c>
      <c r="T2119" s="697" t="s">
        <v>310</v>
      </c>
    </row>
    <row r="2120" spans="1:20" ht="24" x14ac:dyDescent="0.2">
      <c r="A2120" s="352">
        <f>IF(B2120="","",COUNT('Diário 1º PA'!$A$4:$A$2635)+COUNT('Diário 2º PA'!$A$4:$A$3040)+COUNT('Diário 3º PA'!$A$4:$A$2731)+ROW()-3)</f>
        <v>8145</v>
      </c>
      <c r="B2120" s="413">
        <v>44925</v>
      </c>
      <c r="C2120" s="421">
        <v>44896</v>
      </c>
      <c r="D2120" s="419" t="s">
        <v>271</v>
      </c>
      <c r="E2120" s="419" t="s">
        <v>71</v>
      </c>
      <c r="F2120" s="422">
        <v>11</v>
      </c>
      <c r="G2120" s="419" t="s">
        <v>9199</v>
      </c>
      <c r="H2120" s="419" t="s">
        <v>310</v>
      </c>
      <c r="I2120" s="415" t="s">
        <v>881</v>
      </c>
      <c r="J2120" s="419" t="s">
        <v>882</v>
      </c>
      <c r="K2120" s="419" t="s">
        <v>883</v>
      </c>
      <c r="L2120" s="415" t="s">
        <v>798</v>
      </c>
      <c r="M2120" s="419" t="s">
        <v>310</v>
      </c>
      <c r="N2120" s="413">
        <v>44925</v>
      </c>
      <c r="O2120" s="414" t="s">
        <v>400</v>
      </c>
      <c r="P2120" s="655">
        <f t="shared" si="184"/>
        <v>12</v>
      </c>
      <c r="Q2120" s="655">
        <f t="shared" si="185"/>
        <v>12</v>
      </c>
      <c r="R2120" s="758" t="str">
        <f t="shared" si="186"/>
        <v>Gastos_Gerais</v>
      </c>
      <c r="S2120" s="697" t="s">
        <v>310</v>
      </c>
      <c r="T2120" s="697" t="s">
        <v>310</v>
      </c>
    </row>
    <row r="2121" spans="1:20" ht="24" x14ac:dyDescent="0.2">
      <c r="A2121" s="352">
        <f>IF(B2121="","",COUNT('Diário 1º PA'!$A$4:$A$2635)+COUNT('Diário 2º PA'!$A$4:$A$3040)+COUNT('Diário 3º PA'!$A$4:$A$2731)+ROW()-3)</f>
        <v>8146</v>
      </c>
      <c r="B2121" s="413">
        <v>44925</v>
      </c>
      <c r="C2121" s="421">
        <v>44896</v>
      </c>
      <c r="D2121" s="419" t="s">
        <v>271</v>
      </c>
      <c r="E2121" s="419" t="s">
        <v>71</v>
      </c>
      <c r="F2121" s="422">
        <v>11</v>
      </c>
      <c r="G2121" s="419" t="s">
        <v>9199</v>
      </c>
      <c r="H2121" s="419" t="s">
        <v>310</v>
      </c>
      <c r="I2121" s="415" t="s">
        <v>881</v>
      </c>
      <c r="J2121" s="419" t="s">
        <v>882</v>
      </c>
      <c r="K2121" s="419" t="s">
        <v>883</v>
      </c>
      <c r="L2121" s="415" t="s">
        <v>798</v>
      </c>
      <c r="M2121" s="419" t="s">
        <v>310</v>
      </c>
      <c r="N2121" s="413">
        <v>44925</v>
      </c>
      <c r="O2121" s="414" t="s">
        <v>400</v>
      </c>
      <c r="P2121" s="655">
        <f t="shared" si="184"/>
        <v>12</v>
      </c>
      <c r="Q2121" s="655">
        <f t="shared" si="185"/>
        <v>12</v>
      </c>
      <c r="R2121" s="758" t="str">
        <f t="shared" si="186"/>
        <v>Gastos_Gerais</v>
      </c>
      <c r="S2121" s="697" t="s">
        <v>310</v>
      </c>
      <c r="T2121" s="697" t="s">
        <v>310</v>
      </c>
    </row>
    <row r="2122" spans="1:20" ht="24" x14ac:dyDescent="0.2">
      <c r="A2122" s="352">
        <f>IF(B2122="","",COUNT('Diário 1º PA'!$A$4:$A$2635)+COUNT('Diário 2º PA'!$A$4:$A$3040)+COUNT('Diário 3º PA'!$A$4:$A$2731)+ROW()-3)</f>
        <v>8147</v>
      </c>
      <c r="B2122" s="413">
        <v>44925</v>
      </c>
      <c r="C2122" s="421">
        <v>44896</v>
      </c>
      <c r="D2122" s="419" t="s">
        <v>271</v>
      </c>
      <c r="E2122" s="419" t="s">
        <v>71</v>
      </c>
      <c r="F2122" s="422">
        <v>11</v>
      </c>
      <c r="G2122" s="419" t="s">
        <v>9199</v>
      </c>
      <c r="H2122" s="419" t="s">
        <v>310</v>
      </c>
      <c r="I2122" s="415" t="s">
        <v>881</v>
      </c>
      <c r="J2122" s="419" t="s">
        <v>882</v>
      </c>
      <c r="K2122" s="419" t="s">
        <v>883</v>
      </c>
      <c r="L2122" s="415" t="s">
        <v>798</v>
      </c>
      <c r="M2122" s="419" t="s">
        <v>310</v>
      </c>
      <c r="N2122" s="413">
        <v>44925</v>
      </c>
      <c r="O2122" s="414" t="s">
        <v>400</v>
      </c>
      <c r="P2122" s="655">
        <f t="shared" si="184"/>
        <v>12</v>
      </c>
      <c r="Q2122" s="655">
        <f t="shared" si="185"/>
        <v>12</v>
      </c>
      <c r="R2122" s="758" t="str">
        <f t="shared" si="186"/>
        <v>Gastos_Gerais</v>
      </c>
      <c r="S2122" s="697" t="s">
        <v>310</v>
      </c>
      <c r="T2122" s="697" t="s">
        <v>310</v>
      </c>
    </row>
    <row r="2123" spans="1:20" ht="24" x14ac:dyDescent="0.2">
      <c r="A2123" s="352">
        <f>IF(B2123="","",COUNT('Diário 1º PA'!$A$4:$A$2635)+COUNT('Diário 2º PA'!$A$4:$A$3040)+COUNT('Diário 3º PA'!$A$4:$A$2731)+ROW()-3)</f>
        <v>8148</v>
      </c>
      <c r="B2123" s="413">
        <v>44925</v>
      </c>
      <c r="C2123" s="421">
        <v>44896</v>
      </c>
      <c r="D2123" s="419" t="s">
        <v>271</v>
      </c>
      <c r="E2123" s="419" t="s">
        <v>71</v>
      </c>
      <c r="F2123" s="422">
        <v>11</v>
      </c>
      <c r="G2123" s="419" t="s">
        <v>9199</v>
      </c>
      <c r="H2123" s="419" t="s">
        <v>310</v>
      </c>
      <c r="I2123" s="415" t="s">
        <v>881</v>
      </c>
      <c r="J2123" s="419" t="s">
        <v>882</v>
      </c>
      <c r="K2123" s="419" t="s">
        <v>883</v>
      </c>
      <c r="L2123" s="415" t="s">
        <v>798</v>
      </c>
      <c r="M2123" s="419" t="s">
        <v>310</v>
      </c>
      <c r="N2123" s="413">
        <v>44925</v>
      </c>
      <c r="O2123" s="414" t="s">
        <v>400</v>
      </c>
      <c r="P2123" s="655">
        <f t="shared" si="184"/>
        <v>12</v>
      </c>
      <c r="Q2123" s="655">
        <f t="shared" si="185"/>
        <v>12</v>
      </c>
      <c r="R2123" s="758" t="str">
        <f t="shared" si="186"/>
        <v>Gastos_Gerais</v>
      </c>
      <c r="S2123" s="697" t="s">
        <v>310</v>
      </c>
      <c r="T2123" s="697" t="s">
        <v>310</v>
      </c>
    </row>
    <row r="2124" spans="1:20" ht="24" x14ac:dyDescent="0.2">
      <c r="A2124" s="352">
        <f>IF(B2124="","",COUNT('Diário 1º PA'!$A$4:$A$2635)+COUNT('Diário 2º PA'!$A$4:$A$3040)+COUNT('Diário 3º PA'!$A$4:$A$2731)+ROW()-3)</f>
        <v>8149</v>
      </c>
      <c r="B2124" s="413">
        <v>44925</v>
      </c>
      <c r="C2124" s="421">
        <v>44896</v>
      </c>
      <c r="D2124" s="419" t="s">
        <v>271</v>
      </c>
      <c r="E2124" s="419" t="s">
        <v>71</v>
      </c>
      <c r="F2124" s="422">
        <v>11</v>
      </c>
      <c r="G2124" s="419" t="s">
        <v>9199</v>
      </c>
      <c r="H2124" s="419" t="s">
        <v>310</v>
      </c>
      <c r="I2124" s="415" t="s">
        <v>881</v>
      </c>
      <c r="J2124" s="419" t="s">
        <v>882</v>
      </c>
      <c r="K2124" s="419" t="s">
        <v>883</v>
      </c>
      <c r="L2124" s="415" t="s">
        <v>798</v>
      </c>
      <c r="M2124" s="419" t="s">
        <v>310</v>
      </c>
      <c r="N2124" s="413">
        <v>44925</v>
      </c>
      <c r="O2124" s="414" t="s">
        <v>400</v>
      </c>
      <c r="P2124" s="655">
        <f t="shared" si="184"/>
        <v>12</v>
      </c>
      <c r="Q2124" s="655">
        <f t="shared" si="185"/>
        <v>12</v>
      </c>
      <c r="R2124" s="758" t="str">
        <f t="shared" si="186"/>
        <v>Gastos_Gerais</v>
      </c>
      <c r="S2124" s="697" t="s">
        <v>310</v>
      </c>
      <c r="T2124" s="697" t="s">
        <v>310</v>
      </c>
    </row>
    <row r="2125" spans="1:20" ht="24" x14ac:dyDescent="0.2">
      <c r="A2125" s="352">
        <f>IF(B2125="","",COUNT('Diário 1º PA'!$A$4:$A$2635)+COUNT('Diário 2º PA'!$A$4:$A$3040)+COUNT('Diário 3º PA'!$A$4:$A$2731)+ROW()-3)</f>
        <v>8150</v>
      </c>
      <c r="B2125" s="413">
        <v>44925</v>
      </c>
      <c r="C2125" s="421">
        <v>44896</v>
      </c>
      <c r="D2125" s="419" t="s">
        <v>271</v>
      </c>
      <c r="E2125" s="419" t="s">
        <v>71</v>
      </c>
      <c r="F2125" s="422">
        <v>11</v>
      </c>
      <c r="G2125" s="419" t="s">
        <v>9199</v>
      </c>
      <c r="H2125" s="419" t="s">
        <v>310</v>
      </c>
      <c r="I2125" s="415" t="s">
        <v>881</v>
      </c>
      <c r="J2125" s="419" t="s">
        <v>882</v>
      </c>
      <c r="K2125" s="419" t="s">
        <v>883</v>
      </c>
      <c r="L2125" s="415" t="s">
        <v>798</v>
      </c>
      <c r="M2125" s="419" t="s">
        <v>310</v>
      </c>
      <c r="N2125" s="413">
        <v>44925</v>
      </c>
      <c r="O2125" s="414" t="s">
        <v>400</v>
      </c>
      <c r="P2125" s="655">
        <f t="shared" si="184"/>
        <v>12</v>
      </c>
      <c r="Q2125" s="655">
        <f t="shared" si="185"/>
        <v>12</v>
      </c>
      <c r="R2125" s="758" t="str">
        <f t="shared" si="186"/>
        <v>Gastos_Gerais</v>
      </c>
      <c r="S2125" s="697" t="s">
        <v>310</v>
      </c>
      <c r="T2125" s="697" t="s">
        <v>310</v>
      </c>
    </row>
    <row r="2126" spans="1:20" ht="24" x14ac:dyDescent="0.2">
      <c r="A2126" s="352">
        <f>IF(B2126="","",COUNT('Diário 1º PA'!$A$4:$A$2635)+COUNT('Diário 2º PA'!$A$4:$A$3040)+COUNT('Diário 3º PA'!$A$4:$A$2731)+ROW()-3)</f>
        <v>8151</v>
      </c>
      <c r="B2126" s="413">
        <v>44925</v>
      </c>
      <c r="C2126" s="421">
        <v>44896</v>
      </c>
      <c r="D2126" s="419" t="s">
        <v>271</v>
      </c>
      <c r="E2126" s="419" t="s">
        <v>71</v>
      </c>
      <c r="F2126" s="422">
        <v>11</v>
      </c>
      <c r="G2126" s="419" t="s">
        <v>9199</v>
      </c>
      <c r="H2126" s="419" t="s">
        <v>310</v>
      </c>
      <c r="I2126" s="415" t="s">
        <v>881</v>
      </c>
      <c r="J2126" s="419" t="s">
        <v>882</v>
      </c>
      <c r="K2126" s="419" t="s">
        <v>883</v>
      </c>
      <c r="L2126" s="415" t="s">
        <v>798</v>
      </c>
      <c r="M2126" s="419" t="s">
        <v>310</v>
      </c>
      <c r="N2126" s="413">
        <v>44925</v>
      </c>
      <c r="O2126" s="414" t="s">
        <v>400</v>
      </c>
      <c r="P2126" s="655">
        <f t="shared" si="184"/>
        <v>12</v>
      </c>
      <c r="Q2126" s="655">
        <f t="shared" si="185"/>
        <v>12</v>
      </c>
      <c r="R2126" s="758" t="str">
        <f t="shared" si="186"/>
        <v>Gastos_Gerais</v>
      </c>
      <c r="S2126" s="697" t="s">
        <v>310</v>
      </c>
      <c r="T2126" s="697" t="s">
        <v>310</v>
      </c>
    </row>
    <row r="2127" spans="1:20" ht="24" x14ac:dyDescent="0.2">
      <c r="A2127" s="352">
        <f>IF(B2127="","",COUNT('Diário 1º PA'!$A$4:$A$2635)+COUNT('Diário 2º PA'!$A$4:$A$3040)+COUNT('Diário 3º PA'!$A$4:$A$2731)+ROW()-3)</f>
        <v>8152</v>
      </c>
      <c r="B2127" s="413">
        <v>44925</v>
      </c>
      <c r="C2127" s="421">
        <v>44896</v>
      </c>
      <c r="D2127" s="419" t="s">
        <v>271</v>
      </c>
      <c r="E2127" s="419" t="s">
        <v>71</v>
      </c>
      <c r="F2127" s="422">
        <v>11</v>
      </c>
      <c r="G2127" s="419" t="s">
        <v>9199</v>
      </c>
      <c r="H2127" s="419" t="s">
        <v>310</v>
      </c>
      <c r="I2127" s="415" t="s">
        <v>881</v>
      </c>
      <c r="J2127" s="419" t="s">
        <v>882</v>
      </c>
      <c r="K2127" s="419" t="s">
        <v>883</v>
      </c>
      <c r="L2127" s="415" t="s">
        <v>798</v>
      </c>
      <c r="M2127" s="419" t="s">
        <v>310</v>
      </c>
      <c r="N2127" s="413">
        <v>44925</v>
      </c>
      <c r="O2127" s="414" t="s">
        <v>400</v>
      </c>
      <c r="P2127" s="655">
        <f t="shared" ref="P2127:P2137" si="187">IF(B2127=0,0,IF(YEAR(B2127)=$Q$1,MONTH(B2127)-$P$1+1,(YEAR(B2127)-$Q$1)*12-$P$1+1+MONTH(B2127)))</f>
        <v>12</v>
      </c>
      <c r="Q2127" s="655">
        <f t="shared" ref="Q2127:Q2137" si="188">IF(C2127=0,0,IF(YEAR(C2127)=$Q$1,MONTH(C2127)-$P$1+1,(YEAR(C2127)-$Q$1)*12-$P$1+1+MONTH(C2127)))</f>
        <v>12</v>
      </c>
      <c r="R2127" s="758" t="str">
        <f t="shared" ref="R2127:R2137" si="189">SUBSTITUTE(D2127," ","_")</f>
        <v>Gastos_Gerais</v>
      </c>
      <c r="S2127" s="697" t="s">
        <v>310</v>
      </c>
      <c r="T2127" s="697" t="s">
        <v>310</v>
      </c>
    </row>
    <row r="2128" spans="1:20" ht="24" x14ac:dyDescent="0.2">
      <c r="A2128" s="352">
        <f>IF(B2128="","",COUNT('Diário 1º PA'!$A$4:$A$2635)+COUNT('Diário 2º PA'!$A$4:$A$3040)+COUNT('Diário 3º PA'!$A$4:$A$2731)+ROW()-3)</f>
        <v>8153</v>
      </c>
      <c r="B2128" s="413">
        <v>44925</v>
      </c>
      <c r="C2128" s="421">
        <v>44896</v>
      </c>
      <c r="D2128" s="419" t="s">
        <v>271</v>
      </c>
      <c r="E2128" s="419" t="s">
        <v>71</v>
      </c>
      <c r="F2128" s="422">
        <v>11</v>
      </c>
      <c r="G2128" s="419" t="s">
        <v>9199</v>
      </c>
      <c r="H2128" s="419" t="s">
        <v>310</v>
      </c>
      <c r="I2128" s="415" t="s">
        <v>881</v>
      </c>
      <c r="J2128" s="419" t="s">
        <v>882</v>
      </c>
      <c r="K2128" s="419" t="s">
        <v>883</v>
      </c>
      <c r="L2128" s="415" t="s">
        <v>798</v>
      </c>
      <c r="M2128" s="419" t="s">
        <v>310</v>
      </c>
      <c r="N2128" s="413">
        <v>44925</v>
      </c>
      <c r="O2128" s="414" t="s">
        <v>400</v>
      </c>
      <c r="P2128" s="655">
        <f t="shared" si="187"/>
        <v>12</v>
      </c>
      <c r="Q2128" s="655">
        <f t="shared" si="188"/>
        <v>12</v>
      </c>
      <c r="R2128" s="758" t="str">
        <f t="shared" si="189"/>
        <v>Gastos_Gerais</v>
      </c>
      <c r="S2128" s="697" t="s">
        <v>310</v>
      </c>
      <c r="T2128" s="697" t="s">
        <v>310</v>
      </c>
    </row>
    <row r="2129" spans="1:20" ht="24" x14ac:dyDescent="0.2">
      <c r="A2129" s="352">
        <f>IF(B2129="","",COUNT('Diário 1º PA'!$A$4:$A$2635)+COUNT('Diário 2º PA'!$A$4:$A$3040)+COUNT('Diário 3º PA'!$A$4:$A$2731)+ROW()-3)</f>
        <v>8154</v>
      </c>
      <c r="B2129" s="413">
        <v>44925</v>
      </c>
      <c r="C2129" s="421">
        <v>44896</v>
      </c>
      <c r="D2129" s="419" t="s">
        <v>271</v>
      </c>
      <c r="E2129" s="419" t="s">
        <v>71</v>
      </c>
      <c r="F2129" s="422">
        <v>11</v>
      </c>
      <c r="G2129" s="419" t="s">
        <v>9199</v>
      </c>
      <c r="H2129" s="419" t="s">
        <v>310</v>
      </c>
      <c r="I2129" s="415" t="s">
        <v>881</v>
      </c>
      <c r="J2129" s="419" t="s">
        <v>882</v>
      </c>
      <c r="K2129" s="419" t="s">
        <v>883</v>
      </c>
      <c r="L2129" s="415" t="s">
        <v>798</v>
      </c>
      <c r="M2129" s="419" t="s">
        <v>310</v>
      </c>
      <c r="N2129" s="413">
        <v>44925</v>
      </c>
      <c r="O2129" s="414" t="s">
        <v>400</v>
      </c>
      <c r="P2129" s="655">
        <f t="shared" si="187"/>
        <v>12</v>
      </c>
      <c r="Q2129" s="655">
        <f t="shared" si="188"/>
        <v>12</v>
      </c>
      <c r="R2129" s="758" t="str">
        <f t="shared" si="189"/>
        <v>Gastos_Gerais</v>
      </c>
      <c r="S2129" s="697" t="s">
        <v>310</v>
      </c>
      <c r="T2129" s="697" t="s">
        <v>310</v>
      </c>
    </row>
    <row r="2130" spans="1:20" ht="24" x14ac:dyDescent="0.2">
      <c r="A2130" s="352">
        <f>IF(B2130="","",COUNT('Diário 1º PA'!$A$4:$A$2635)+COUNT('Diário 2º PA'!$A$4:$A$3040)+COUNT('Diário 3º PA'!$A$4:$A$2731)+ROW()-3)</f>
        <v>8155</v>
      </c>
      <c r="B2130" s="413">
        <v>44925</v>
      </c>
      <c r="C2130" s="421">
        <v>44896</v>
      </c>
      <c r="D2130" s="419" t="s">
        <v>271</v>
      </c>
      <c r="E2130" s="419" t="s">
        <v>71</v>
      </c>
      <c r="F2130" s="422">
        <v>11</v>
      </c>
      <c r="G2130" s="419" t="s">
        <v>9199</v>
      </c>
      <c r="H2130" s="419" t="s">
        <v>310</v>
      </c>
      <c r="I2130" s="415" t="s">
        <v>881</v>
      </c>
      <c r="J2130" s="419" t="s">
        <v>882</v>
      </c>
      <c r="K2130" s="419" t="s">
        <v>883</v>
      </c>
      <c r="L2130" s="415" t="s">
        <v>798</v>
      </c>
      <c r="M2130" s="419" t="s">
        <v>310</v>
      </c>
      <c r="N2130" s="413">
        <v>44925</v>
      </c>
      <c r="O2130" s="414" t="s">
        <v>400</v>
      </c>
      <c r="P2130" s="655">
        <f t="shared" si="187"/>
        <v>12</v>
      </c>
      <c r="Q2130" s="655">
        <f t="shared" si="188"/>
        <v>12</v>
      </c>
      <c r="R2130" s="758" t="str">
        <f t="shared" si="189"/>
        <v>Gastos_Gerais</v>
      </c>
      <c r="S2130" s="697" t="s">
        <v>310</v>
      </c>
      <c r="T2130" s="697" t="s">
        <v>310</v>
      </c>
    </row>
    <row r="2131" spans="1:20" ht="24" x14ac:dyDescent="0.2">
      <c r="A2131" s="352">
        <f>IF(B2131="","",COUNT('Diário 1º PA'!$A$4:$A$2635)+COUNT('Diário 2º PA'!$A$4:$A$3040)+COUNT('Diário 3º PA'!$A$4:$A$2731)+ROW()-3)</f>
        <v>8156</v>
      </c>
      <c r="B2131" s="413">
        <v>44925</v>
      </c>
      <c r="C2131" s="421">
        <v>44896</v>
      </c>
      <c r="D2131" s="419" t="s">
        <v>271</v>
      </c>
      <c r="E2131" s="419" t="s">
        <v>71</v>
      </c>
      <c r="F2131" s="422">
        <v>11</v>
      </c>
      <c r="G2131" s="419" t="s">
        <v>9199</v>
      </c>
      <c r="H2131" s="419" t="s">
        <v>310</v>
      </c>
      <c r="I2131" s="415" t="s">
        <v>881</v>
      </c>
      <c r="J2131" s="419" t="s">
        <v>882</v>
      </c>
      <c r="K2131" s="419" t="s">
        <v>883</v>
      </c>
      <c r="L2131" s="415" t="s">
        <v>798</v>
      </c>
      <c r="M2131" s="419" t="s">
        <v>310</v>
      </c>
      <c r="N2131" s="413">
        <v>44925</v>
      </c>
      <c r="O2131" s="414" t="s">
        <v>400</v>
      </c>
      <c r="P2131" s="655">
        <f t="shared" si="187"/>
        <v>12</v>
      </c>
      <c r="Q2131" s="655">
        <f t="shared" si="188"/>
        <v>12</v>
      </c>
      <c r="R2131" s="758" t="str">
        <f t="shared" si="189"/>
        <v>Gastos_Gerais</v>
      </c>
      <c r="S2131" s="697" t="s">
        <v>310</v>
      </c>
      <c r="T2131" s="697" t="s">
        <v>310</v>
      </c>
    </row>
    <row r="2132" spans="1:20" ht="24" x14ac:dyDescent="0.2">
      <c r="A2132" s="352">
        <f>IF(B2132="","",COUNT('Diário 1º PA'!$A$4:$A$2635)+COUNT('Diário 2º PA'!$A$4:$A$3040)+COUNT('Diário 3º PA'!$A$4:$A$2731)+ROW()-3)</f>
        <v>8157</v>
      </c>
      <c r="B2132" s="413">
        <v>44925</v>
      </c>
      <c r="C2132" s="421">
        <v>44896</v>
      </c>
      <c r="D2132" s="419" t="s">
        <v>271</v>
      </c>
      <c r="E2132" s="419" t="s">
        <v>71</v>
      </c>
      <c r="F2132" s="422">
        <v>11</v>
      </c>
      <c r="G2132" s="419" t="s">
        <v>9199</v>
      </c>
      <c r="H2132" s="419" t="s">
        <v>310</v>
      </c>
      <c r="I2132" s="415" t="s">
        <v>881</v>
      </c>
      <c r="J2132" s="419" t="s">
        <v>882</v>
      </c>
      <c r="K2132" s="419" t="s">
        <v>883</v>
      </c>
      <c r="L2132" s="415" t="s">
        <v>798</v>
      </c>
      <c r="M2132" s="419" t="s">
        <v>310</v>
      </c>
      <c r="N2132" s="413">
        <v>44925</v>
      </c>
      <c r="O2132" s="414" t="s">
        <v>400</v>
      </c>
      <c r="P2132" s="655">
        <f t="shared" si="187"/>
        <v>12</v>
      </c>
      <c r="Q2132" s="655">
        <f t="shared" si="188"/>
        <v>12</v>
      </c>
      <c r="R2132" s="758" t="str">
        <f t="shared" si="189"/>
        <v>Gastos_Gerais</v>
      </c>
      <c r="S2132" s="697" t="s">
        <v>310</v>
      </c>
      <c r="T2132" s="697" t="s">
        <v>310</v>
      </c>
    </row>
    <row r="2133" spans="1:20" ht="24" x14ac:dyDescent="0.2">
      <c r="A2133" s="352">
        <f>IF(B2133="","",COUNT('Diário 1º PA'!$A$4:$A$2635)+COUNT('Diário 2º PA'!$A$4:$A$3040)+COUNT('Diário 3º PA'!$A$4:$A$2731)+ROW()-3)</f>
        <v>8158</v>
      </c>
      <c r="B2133" s="413">
        <v>44925</v>
      </c>
      <c r="C2133" s="421">
        <v>44896</v>
      </c>
      <c r="D2133" s="419" t="s">
        <v>271</v>
      </c>
      <c r="E2133" s="419" t="s">
        <v>71</v>
      </c>
      <c r="F2133" s="422">
        <v>11</v>
      </c>
      <c r="G2133" s="419" t="s">
        <v>9199</v>
      </c>
      <c r="H2133" s="419" t="s">
        <v>310</v>
      </c>
      <c r="I2133" s="415" t="s">
        <v>881</v>
      </c>
      <c r="J2133" s="419" t="s">
        <v>882</v>
      </c>
      <c r="K2133" s="419" t="s">
        <v>883</v>
      </c>
      <c r="L2133" s="415" t="s">
        <v>798</v>
      </c>
      <c r="M2133" s="419" t="s">
        <v>310</v>
      </c>
      <c r="N2133" s="413">
        <v>44925</v>
      </c>
      <c r="O2133" s="414" t="s">
        <v>400</v>
      </c>
      <c r="P2133" s="655">
        <f t="shared" si="187"/>
        <v>12</v>
      </c>
      <c r="Q2133" s="655">
        <f t="shared" si="188"/>
        <v>12</v>
      </c>
      <c r="R2133" s="758" t="str">
        <f t="shared" si="189"/>
        <v>Gastos_Gerais</v>
      </c>
      <c r="S2133" s="697" t="s">
        <v>310</v>
      </c>
      <c r="T2133" s="697" t="s">
        <v>310</v>
      </c>
    </row>
    <row r="2134" spans="1:20" ht="24" x14ac:dyDescent="0.2">
      <c r="A2134" s="352">
        <f>IF(B2134="","",COUNT('Diário 1º PA'!$A$4:$A$2635)+COUNT('Diário 2º PA'!$A$4:$A$3040)+COUNT('Diário 3º PA'!$A$4:$A$2731)+ROW()-3)</f>
        <v>8159</v>
      </c>
      <c r="B2134" s="413">
        <v>44925</v>
      </c>
      <c r="C2134" s="421">
        <v>44896</v>
      </c>
      <c r="D2134" s="419" t="s">
        <v>271</v>
      </c>
      <c r="E2134" s="419" t="s">
        <v>71</v>
      </c>
      <c r="F2134" s="422">
        <v>11</v>
      </c>
      <c r="G2134" s="419" t="s">
        <v>9199</v>
      </c>
      <c r="H2134" s="419" t="s">
        <v>310</v>
      </c>
      <c r="I2134" s="415" t="s">
        <v>881</v>
      </c>
      <c r="J2134" s="419" t="s">
        <v>882</v>
      </c>
      <c r="K2134" s="419" t="s">
        <v>883</v>
      </c>
      <c r="L2134" s="415" t="s">
        <v>798</v>
      </c>
      <c r="M2134" s="419" t="s">
        <v>310</v>
      </c>
      <c r="N2134" s="413">
        <v>44925</v>
      </c>
      <c r="O2134" s="414" t="s">
        <v>400</v>
      </c>
      <c r="P2134" s="655">
        <f t="shared" si="187"/>
        <v>12</v>
      </c>
      <c r="Q2134" s="655">
        <f t="shared" si="188"/>
        <v>12</v>
      </c>
      <c r="R2134" s="758" t="str">
        <f t="shared" si="189"/>
        <v>Gastos_Gerais</v>
      </c>
      <c r="S2134" s="697" t="s">
        <v>310</v>
      </c>
      <c r="T2134" s="697" t="s">
        <v>310</v>
      </c>
    </row>
    <row r="2135" spans="1:20" ht="24" x14ac:dyDescent="0.2">
      <c r="A2135" s="352">
        <f>IF(B2135="","",COUNT('Diário 1º PA'!$A$4:$A$2635)+COUNT('Diário 2º PA'!$A$4:$A$3040)+COUNT('Diário 3º PA'!$A$4:$A$2731)+ROW()-3)</f>
        <v>8160</v>
      </c>
      <c r="B2135" s="413">
        <v>44925</v>
      </c>
      <c r="C2135" s="421">
        <v>44896</v>
      </c>
      <c r="D2135" s="419" t="s">
        <v>271</v>
      </c>
      <c r="E2135" s="419" t="s">
        <v>71</v>
      </c>
      <c r="F2135" s="422">
        <v>11</v>
      </c>
      <c r="G2135" s="419" t="s">
        <v>9199</v>
      </c>
      <c r="H2135" s="419" t="s">
        <v>310</v>
      </c>
      <c r="I2135" s="415" t="s">
        <v>881</v>
      </c>
      <c r="J2135" s="419" t="s">
        <v>882</v>
      </c>
      <c r="K2135" s="419" t="s">
        <v>883</v>
      </c>
      <c r="L2135" s="415" t="s">
        <v>798</v>
      </c>
      <c r="M2135" s="419" t="s">
        <v>310</v>
      </c>
      <c r="N2135" s="413">
        <v>44925</v>
      </c>
      <c r="O2135" s="414" t="s">
        <v>400</v>
      </c>
      <c r="P2135" s="655">
        <f t="shared" si="187"/>
        <v>12</v>
      </c>
      <c r="Q2135" s="655">
        <f t="shared" si="188"/>
        <v>12</v>
      </c>
      <c r="R2135" s="758" t="str">
        <f t="shared" si="189"/>
        <v>Gastos_Gerais</v>
      </c>
      <c r="S2135" s="697" t="s">
        <v>310</v>
      </c>
      <c r="T2135" s="697" t="s">
        <v>310</v>
      </c>
    </row>
    <row r="2136" spans="1:20" ht="24" x14ac:dyDescent="0.2">
      <c r="A2136" s="352">
        <f>IF(B2136="","",COUNT('Diário 1º PA'!$A$4:$A$2635)+COUNT('Diário 2º PA'!$A$4:$A$3040)+COUNT('Diário 3º PA'!$A$4:$A$2731)+ROW()-3)</f>
        <v>8161</v>
      </c>
      <c r="B2136" s="413">
        <v>44925</v>
      </c>
      <c r="C2136" s="421">
        <v>44896</v>
      </c>
      <c r="D2136" s="419" t="s">
        <v>295</v>
      </c>
      <c r="E2136" s="419" t="s">
        <v>295</v>
      </c>
      <c r="F2136" s="422">
        <v>17931.740000000002</v>
      </c>
      <c r="G2136" s="427" t="s">
        <v>9204</v>
      </c>
      <c r="H2136" s="415" t="s">
        <v>310</v>
      </c>
      <c r="I2136" s="473" t="s">
        <v>3030</v>
      </c>
      <c r="J2136" s="415" t="s">
        <v>796</v>
      </c>
      <c r="K2136" s="415" t="s">
        <v>797</v>
      </c>
      <c r="L2136" s="415" t="s">
        <v>798</v>
      </c>
      <c r="M2136" s="415" t="s">
        <v>310</v>
      </c>
      <c r="N2136" s="413">
        <v>44925</v>
      </c>
      <c r="O2136" s="414" t="s">
        <v>400</v>
      </c>
      <c r="P2136" s="655">
        <f t="shared" si="187"/>
        <v>12</v>
      </c>
      <c r="Q2136" s="655">
        <f t="shared" si="188"/>
        <v>12</v>
      </c>
      <c r="R2136" s="758" t="str">
        <f t="shared" si="189"/>
        <v>Rendimentos_de_Aplicações_Fin.</v>
      </c>
      <c r="S2136" s="697" t="s">
        <v>310</v>
      </c>
      <c r="T2136" s="697" t="s">
        <v>310</v>
      </c>
    </row>
    <row r="2137" spans="1:20" ht="24" x14ac:dyDescent="0.2">
      <c r="A2137" s="352">
        <f>IF(B2137="","",COUNT('Diário 1º PA'!$A$4:$A$2635)+COUNT('Diário 2º PA'!$A$4:$A$3040)+COUNT('Diário 3º PA'!$A$4:$A$2731)+ROW()-3)</f>
        <v>8162</v>
      </c>
      <c r="B2137" s="413">
        <v>44925</v>
      </c>
      <c r="C2137" s="421">
        <v>44896</v>
      </c>
      <c r="D2137" s="419" t="s">
        <v>271</v>
      </c>
      <c r="E2137" s="419" t="s">
        <v>78</v>
      </c>
      <c r="F2137" s="422">
        <v>1502.19</v>
      </c>
      <c r="G2137" s="427" t="s">
        <v>9205</v>
      </c>
      <c r="H2137" s="415" t="s">
        <v>310</v>
      </c>
      <c r="I2137" s="473" t="s">
        <v>1461</v>
      </c>
      <c r="J2137" s="415" t="s">
        <v>310</v>
      </c>
      <c r="K2137" s="415" t="s">
        <v>1220</v>
      </c>
      <c r="L2137" s="415" t="s">
        <v>1368</v>
      </c>
      <c r="M2137" s="415" t="s">
        <v>310</v>
      </c>
      <c r="N2137" s="413">
        <v>44925</v>
      </c>
      <c r="O2137" s="414" t="s">
        <v>400</v>
      </c>
      <c r="P2137" s="655">
        <f t="shared" si="187"/>
        <v>12</v>
      </c>
      <c r="Q2137" s="655">
        <f t="shared" si="188"/>
        <v>12</v>
      </c>
      <c r="R2137" s="758" t="str">
        <f t="shared" si="189"/>
        <v>Gastos_Gerais</v>
      </c>
      <c r="S2137" s="697" t="s">
        <v>310</v>
      </c>
      <c r="T2137" s="697" t="s">
        <v>310</v>
      </c>
    </row>
    <row r="2138" spans="1:20" ht="24" x14ac:dyDescent="0.2">
      <c r="A2138" s="352">
        <f>IF(B2138="","",COUNT('Diário 1º PA'!$A$4:$A$2635)+COUNT('Diário 2º PA'!$A$4:$A$3040)+COUNT('Diário 3º PA'!$A$4:$A$2731)+ROW()-3)</f>
        <v>8163</v>
      </c>
      <c r="B2138" s="413">
        <v>44925</v>
      </c>
      <c r="C2138" s="421">
        <v>44896</v>
      </c>
      <c r="D2138" s="419" t="s">
        <v>271</v>
      </c>
      <c r="E2138" s="419" t="s">
        <v>68</v>
      </c>
      <c r="F2138" s="422">
        <v>200.26</v>
      </c>
      <c r="G2138" s="427" t="s">
        <v>9205</v>
      </c>
      <c r="H2138" s="415" t="s">
        <v>310</v>
      </c>
      <c r="I2138" s="473" t="s">
        <v>1461</v>
      </c>
      <c r="J2138" s="415" t="s">
        <v>310</v>
      </c>
      <c r="K2138" s="415" t="s">
        <v>1220</v>
      </c>
      <c r="L2138" s="415" t="s">
        <v>1368</v>
      </c>
      <c r="M2138" s="415" t="s">
        <v>310</v>
      </c>
      <c r="N2138" s="413">
        <v>44925</v>
      </c>
      <c r="O2138" s="414" t="s">
        <v>400</v>
      </c>
      <c r="P2138" s="655">
        <f t="shared" ref="P2138:P2140" si="190">IF(B2138=0,0,IF(YEAR(B2138)=$Q$1,MONTH(B2138)-$P$1+1,(YEAR(B2138)-$Q$1)*12-$P$1+1+MONTH(B2138)))</f>
        <v>12</v>
      </c>
      <c r="Q2138" s="655">
        <f t="shared" ref="Q2138:Q2140" si="191">IF(C2138=0,0,IF(YEAR(C2138)=$Q$1,MONTH(C2138)-$P$1+1,(YEAR(C2138)-$Q$1)*12-$P$1+1+MONTH(C2138)))</f>
        <v>12</v>
      </c>
      <c r="R2138" s="758" t="str">
        <f t="shared" ref="R2138:R2140" si="192">SUBSTITUTE(D2138," ","_")</f>
        <v>Gastos_Gerais</v>
      </c>
      <c r="S2138" s="697" t="s">
        <v>310</v>
      </c>
      <c r="T2138" s="697" t="s">
        <v>310</v>
      </c>
    </row>
    <row r="2139" spans="1:20" ht="36" x14ac:dyDescent="0.2">
      <c r="A2139" s="352">
        <f>IF(B2139="","",COUNT('Diário 1º PA'!$A$4:$A$2635)+COUNT('Diário 2º PA'!$A$4:$A$3040)+COUNT('Diário 3º PA'!$A$4:$A$2731)+ROW()-3)</f>
        <v>8164</v>
      </c>
      <c r="B2139" s="413">
        <v>44925</v>
      </c>
      <c r="C2139" s="421">
        <v>44896</v>
      </c>
      <c r="D2139" s="415" t="s">
        <v>295</v>
      </c>
      <c r="E2139" s="415" t="s">
        <v>295</v>
      </c>
      <c r="F2139" s="422">
        <v>90.42</v>
      </c>
      <c r="G2139" s="427" t="s">
        <v>8040</v>
      </c>
      <c r="H2139" s="415" t="s">
        <v>310</v>
      </c>
      <c r="I2139" s="473" t="s">
        <v>3030</v>
      </c>
      <c r="J2139" s="415" t="s">
        <v>796</v>
      </c>
      <c r="K2139" s="415" t="s">
        <v>797</v>
      </c>
      <c r="L2139" s="415" t="s">
        <v>798</v>
      </c>
      <c r="M2139" s="415" t="s">
        <v>310</v>
      </c>
      <c r="N2139" s="413">
        <v>44925</v>
      </c>
      <c r="O2139" s="414" t="s">
        <v>408</v>
      </c>
      <c r="P2139" s="655">
        <f t="shared" si="190"/>
        <v>12</v>
      </c>
      <c r="Q2139" s="655">
        <f t="shared" si="191"/>
        <v>12</v>
      </c>
      <c r="R2139" s="758" t="str">
        <f t="shared" si="192"/>
        <v>Rendimentos_de_Aplicações_Fin.</v>
      </c>
      <c r="S2139" s="697" t="s">
        <v>310</v>
      </c>
      <c r="T2139" s="697" t="s">
        <v>310</v>
      </c>
    </row>
    <row r="2140" spans="1:20" ht="36" x14ac:dyDescent="0.2">
      <c r="A2140" s="352">
        <f>IF(B2140="","",COUNT('Diário 1º PA'!$A$4:$A$2635)+COUNT('Diário 2º PA'!$A$4:$A$3040)+COUNT('Diário 3º PA'!$A$4:$A$2731)+ROW()-3)</f>
        <v>8165</v>
      </c>
      <c r="B2140" s="413">
        <v>44925</v>
      </c>
      <c r="C2140" s="421">
        <v>44896</v>
      </c>
      <c r="D2140" s="415" t="s">
        <v>295</v>
      </c>
      <c r="E2140" s="415" t="s">
        <v>295</v>
      </c>
      <c r="F2140" s="422">
        <v>8313.73</v>
      </c>
      <c r="G2140" s="427" t="s">
        <v>9210</v>
      </c>
      <c r="H2140" s="415" t="s">
        <v>310</v>
      </c>
      <c r="I2140" s="473" t="s">
        <v>2437</v>
      </c>
      <c r="J2140" s="415" t="s">
        <v>796</v>
      </c>
      <c r="K2140" s="415" t="s">
        <v>797</v>
      </c>
      <c r="L2140" s="415" t="s">
        <v>798</v>
      </c>
      <c r="M2140" s="415" t="s">
        <v>310</v>
      </c>
      <c r="N2140" s="413">
        <v>44925</v>
      </c>
      <c r="O2140" s="414" t="s">
        <v>3762</v>
      </c>
      <c r="P2140" s="655">
        <f t="shared" si="190"/>
        <v>12</v>
      </c>
      <c r="Q2140" s="655">
        <f t="shared" si="191"/>
        <v>12</v>
      </c>
      <c r="R2140" s="758" t="str">
        <f t="shared" si="192"/>
        <v>Rendimentos_de_Aplicações_Fin.</v>
      </c>
      <c r="S2140" s="697" t="s">
        <v>310</v>
      </c>
      <c r="T2140" s="697" t="s">
        <v>310</v>
      </c>
    </row>
    <row r="2141" spans="1:20" x14ac:dyDescent="0.2">
      <c r="A2141" s="352" t="str">
        <f>IF(B2141="","",COUNT('Diário 1º PA'!$A$4:$A$2635)+COUNT('Diário 2º PA'!$A$4:$A$3040)+COUNT('Diário 3º PA'!$A$4:$A$2731)+ROW()-3)</f>
        <v/>
      </c>
      <c r="B2141" s="600"/>
      <c r="C2141" s="354"/>
      <c r="D2141" s="343"/>
      <c r="E2141" s="343"/>
      <c r="F2141" s="344"/>
      <c r="G2141" s="343"/>
      <c r="H2141" s="343"/>
      <c r="I2141" s="345"/>
      <c r="J2141" s="343"/>
      <c r="K2141" s="343"/>
      <c r="L2141" s="345"/>
      <c r="M2141" s="343"/>
      <c r="N2141" s="598"/>
      <c r="O2141" s="585"/>
      <c r="P2141" s="747">
        <f t="shared" ref="P2141:P2169" si="193">IF(B2141=0,0,IF(YEAR(B2141)=$Q$1,MONTH(B2141)-$P$1+1,(YEAR(B2141)-$Q$1)*12-$P$1+1+MONTH(B2141)))</f>
        <v>0</v>
      </c>
      <c r="Q2141" s="748">
        <f t="shared" ref="Q2141:Q2169" si="194">IF(C2141=0,0,IF(YEAR(C2141)=$Q$1,MONTH(C2141)-$P$1+1,(YEAR(C2141)-$Q$1)*12-$P$1+1+MONTH(C2141)))</f>
        <v>0</v>
      </c>
      <c r="R2141" s="758" t="str">
        <f t="shared" ref="R2141:R2169" si="195">SUBSTITUTE(D2141," ","_")</f>
        <v/>
      </c>
      <c r="S2141" s="762"/>
      <c r="T2141" s="762"/>
    </row>
    <row r="2142" spans="1:20" x14ac:dyDescent="0.2">
      <c r="A2142" s="352" t="str">
        <f>IF(B2142="","",COUNT('Diário 1º PA'!$A$4:$A$2635)+COUNT('Diário 2º PA'!$A$4:$A$3040)+COUNT('Diário 3º PA'!$A$4:$A$2731)+ROW()-3)</f>
        <v/>
      </c>
      <c r="B2142" s="600"/>
      <c r="C2142" s="354"/>
      <c r="D2142" s="343"/>
      <c r="E2142" s="343"/>
      <c r="F2142" s="344"/>
      <c r="G2142" s="343"/>
      <c r="H2142" s="343"/>
      <c r="I2142" s="345"/>
      <c r="J2142" s="343"/>
      <c r="K2142" s="343"/>
      <c r="L2142" s="345"/>
      <c r="M2142" s="343"/>
      <c r="N2142" s="598"/>
      <c r="O2142" s="585"/>
      <c r="P2142" s="747">
        <f t="shared" si="193"/>
        <v>0</v>
      </c>
      <c r="Q2142" s="748">
        <f t="shared" si="194"/>
        <v>0</v>
      </c>
      <c r="R2142" s="758" t="str">
        <f t="shared" si="195"/>
        <v/>
      </c>
      <c r="S2142" s="762"/>
      <c r="T2142" s="762"/>
    </row>
    <row r="2143" spans="1:20" x14ac:dyDescent="0.2">
      <c r="A2143" s="352" t="str">
        <f>IF(B2143="","",COUNT('Diário 1º PA'!$A$4:$A$2635)+COUNT('Diário 2º PA'!$A$4:$A$3040)+COUNT('Diário 3º PA'!$A$4:$A$2731)+ROW()-3)</f>
        <v/>
      </c>
      <c r="B2143" s="600"/>
      <c r="C2143" s="354"/>
      <c r="D2143" s="343"/>
      <c r="E2143" s="343"/>
      <c r="F2143" s="344"/>
      <c r="G2143" s="343"/>
      <c r="H2143" s="343"/>
      <c r="I2143" s="345"/>
      <c r="J2143" s="343"/>
      <c r="K2143" s="343"/>
      <c r="L2143" s="345"/>
      <c r="M2143" s="343"/>
      <c r="N2143" s="598"/>
      <c r="O2143" s="585"/>
      <c r="P2143" s="747">
        <f t="shared" si="193"/>
        <v>0</v>
      </c>
      <c r="Q2143" s="748">
        <f t="shared" si="194"/>
        <v>0</v>
      </c>
      <c r="R2143" s="758" t="str">
        <f t="shared" si="195"/>
        <v/>
      </c>
      <c r="S2143" s="762"/>
      <c r="T2143" s="762"/>
    </row>
    <row r="2144" spans="1:20" x14ac:dyDescent="0.2">
      <c r="A2144" s="352" t="str">
        <f>IF(B2144="","",COUNT('Diário 1º PA'!$A$4:$A$2635)+COUNT('Diário 2º PA'!$A$4:$A$3040)+COUNT('Diário 3º PA'!$A$4:$A$2731)+ROW()-3)</f>
        <v/>
      </c>
      <c r="B2144" s="600"/>
      <c r="C2144" s="354"/>
      <c r="D2144" s="343"/>
      <c r="E2144" s="343"/>
      <c r="F2144" s="344"/>
      <c r="G2144" s="343"/>
      <c r="H2144" s="343"/>
      <c r="I2144" s="345"/>
      <c r="J2144" s="343"/>
      <c r="K2144" s="343"/>
      <c r="L2144" s="345"/>
      <c r="M2144" s="343"/>
      <c r="N2144" s="598"/>
      <c r="O2144" s="585"/>
      <c r="P2144" s="747">
        <f t="shared" si="193"/>
        <v>0</v>
      </c>
      <c r="Q2144" s="748">
        <f t="shared" si="194"/>
        <v>0</v>
      </c>
      <c r="R2144" s="758" t="str">
        <f t="shared" si="195"/>
        <v/>
      </c>
      <c r="S2144" s="762"/>
      <c r="T2144" s="762"/>
    </row>
    <row r="2145" spans="1:20" x14ac:dyDescent="0.2">
      <c r="A2145" s="352" t="str">
        <f>IF(B2145="","",COUNT('Diário 1º PA'!$A$4:$A$2635)+COUNT('Diário 2º PA'!$A$4:$A$3040)+COUNT('Diário 3º PA'!$A$4:$A$2731)+ROW()-3)</f>
        <v/>
      </c>
      <c r="B2145" s="600"/>
      <c r="C2145" s="354"/>
      <c r="D2145" s="343"/>
      <c r="E2145" s="343"/>
      <c r="F2145" s="344"/>
      <c r="G2145" s="343"/>
      <c r="H2145" s="343"/>
      <c r="I2145" s="345"/>
      <c r="J2145" s="343"/>
      <c r="K2145" s="343"/>
      <c r="L2145" s="345"/>
      <c r="M2145" s="343"/>
      <c r="N2145" s="598"/>
      <c r="O2145" s="585"/>
      <c r="P2145" s="747">
        <f t="shared" si="193"/>
        <v>0</v>
      </c>
      <c r="Q2145" s="748">
        <f t="shared" si="194"/>
        <v>0</v>
      </c>
      <c r="R2145" s="758" t="str">
        <f t="shared" si="195"/>
        <v/>
      </c>
      <c r="S2145" s="762"/>
      <c r="T2145" s="762"/>
    </row>
    <row r="2146" spans="1:20" x14ac:dyDescent="0.2">
      <c r="A2146" s="352" t="str">
        <f>IF(B2146="","",COUNT('Diário 1º PA'!$A$4:$A$2635)+COUNT('Diário 2º PA'!$A$4:$A$3040)+COUNT('Diário 3º PA'!$A$4:$A$2731)+ROW()-3)</f>
        <v/>
      </c>
      <c r="B2146" s="600"/>
      <c r="C2146" s="354"/>
      <c r="D2146" s="343"/>
      <c r="E2146" s="343"/>
      <c r="F2146" s="344"/>
      <c r="G2146" s="343"/>
      <c r="H2146" s="343"/>
      <c r="I2146" s="345"/>
      <c r="J2146" s="343"/>
      <c r="K2146" s="343"/>
      <c r="L2146" s="345"/>
      <c r="M2146" s="343"/>
      <c r="N2146" s="598"/>
      <c r="O2146" s="585"/>
      <c r="P2146" s="747">
        <f t="shared" si="193"/>
        <v>0</v>
      </c>
      <c r="Q2146" s="748">
        <f t="shared" si="194"/>
        <v>0</v>
      </c>
      <c r="R2146" s="758" t="str">
        <f t="shared" si="195"/>
        <v/>
      </c>
      <c r="S2146" s="762"/>
      <c r="T2146" s="762"/>
    </row>
    <row r="2147" spans="1:20" x14ac:dyDescent="0.2">
      <c r="A2147" s="352" t="str">
        <f>IF(B2147="","",COUNT('Diário 1º PA'!$A$4:$A$2635)+COUNT('Diário 2º PA'!$A$4:$A$3040)+COUNT('Diário 3º PA'!$A$4:$A$2731)+ROW()-3)</f>
        <v/>
      </c>
      <c r="B2147" s="600"/>
      <c r="C2147" s="354"/>
      <c r="D2147" s="343"/>
      <c r="E2147" s="343"/>
      <c r="F2147" s="344"/>
      <c r="G2147" s="343"/>
      <c r="H2147" s="343"/>
      <c r="I2147" s="345"/>
      <c r="J2147" s="343"/>
      <c r="K2147" s="343"/>
      <c r="L2147" s="345"/>
      <c r="M2147" s="343"/>
      <c r="N2147" s="598"/>
      <c r="O2147" s="585"/>
      <c r="P2147" s="747">
        <f t="shared" si="193"/>
        <v>0</v>
      </c>
      <c r="Q2147" s="748">
        <f t="shared" si="194"/>
        <v>0</v>
      </c>
      <c r="R2147" s="758" t="str">
        <f t="shared" si="195"/>
        <v/>
      </c>
      <c r="S2147" s="762"/>
      <c r="T2147" s="762"/>
    </row>
    <row r="2148" spans="1:20" x14ac:dyDescent="0.2">
      <c r="A2148" s="352" t="str">
        <f>IF(B2148="","",COUNT('Diário 1º PA'!$A$4:$A$2635)+COUNT('Diário 2º PA'!$A$4:$A$3040)+COUNT('Diário 3º PA'!$A$4:$A$2731)+ROW()-3)</f>
        <v/>
      </c>
      <c r="B2148" s="600"/>
      <c r="C2148" s="354"/>
      <c r="D2148" s="343"/>
      <c r="E2148" s="343"/>
      <c r="F2148" s="344"/>
      <c r="G2148" s="343"/>
      <c r="H2148" s="343"/>
      <c r="I2148" s="345"/>
      <c r="J2148" s="343"/>
      <c r="K2148" s="343"/>
      <c r="L2148" s="345"/>
      <c r="M2148" s="343"/>
      <c r="N2148" s="598"/>
      <c r="O2148" s="585"/>
      <c r="P2148" s="747">
        <f t="shared" si="193"/>
        <v>0</v>
      </c>
      <c r="Q2148" s="748">
        <f t="shared" si="194"/>
        <v>0</v>
      </c>
      <c r="R2148" s="758" t="str">
        <f t="shared" si="195"/>
        <v/>
      </c>
      <c r="S2148" s="762"/>
      <c r="T2148" s="762"/>
    </row>
    <row r="2149" spans="1:20" x14ac:dyDescent="0.2">
      <c r="A2149" s="352" t="str">
        <f>IF(B2149="","",COUNT('Diário 1º PA'!$A$4:$A$2635)+COUNT('Diário 2º PA'!$A$4:$A$3040)+COUNT('Diário 3º PA'!$A$4:$A$2731)+ROW()-3)</f>
        <v/>
      </c>
      <c r="B2149" s="600"/>
      <c r="C2149" s="354"/>
      <c r="D2149" s="343"/>
      <c r="E2149" s="343"/>
      <c r="F2149" s="344"/>
      <c r="G2149" s="343"/>
      <c r="H2149" s="343"/>
      <c r="I2149" s="345"/>
      <c r="J2149" s="343"/>
      <c r="K2149" s="343"/>
      <c r="L2149" s="345"/>
      <c r="M2149" s="343"/>
      <c r="N2149" s="598"/>
      <c r="O2149" s="585"/>
      <c r="P2149" s="747">
        <f t="shared" si="193"/>
        <v>0</v>
      </c>
      <c r="Q2149" s="748">
        <f t="shared" si="194"/>
        <v>0</v>
      </c>
      <c r="R2149" s="758" t="str">
        <f t="shared" si="195"/>
        <v/>
      </c>
      <c r="S2149" s="762"/>
      <c r="T2149" s="762"/>
    </row>
    <row r="2150" spans="1:20" x14ac:dyDescent="0.2">
      <c r="A2150" s="352" t="str">
        <f>IF(B2150="","",COUNT('Diário 1º PA'!$A$4:$A$2635)+COUNT('Diário 2º PA'!$A$4:$A$3040)+COUNT('Diário 3º PA'!$A$4:$A$2731)+ROW()-3)</f>
        <v/>
      </c>
      <c r="B2150" s="600"/>
      <c r="C2150" s="354"/>
      <c r="D2150" s="343"/>
      <c r="E2150" s="343"/>
      <c r="F2150" s="344"/>
      <c r="G2150" s="343"/>
      <c r="H2150" s="343"/>
      <c r="I2150" s="345"/>
      <c r="J2150" s="343"/>
      <c r="K2150" s="343"/>
      <c r="L2150" s="345"/>
      <c r="M2150" s="343"/>
      <c r="N2150" s="598"/>
      <c r="O2150" s="585"/>
      <c r="P2150" s="747">
        <f t="shared" si="193"/>
        <v>0</v>
      </c>
      <c r="Q2150" s="748">
        <f t="shared" si="194"/>
        <v>0</v>
      </c>
      <c r="R2150" s="758" t="str">
        <f t="shared" si="195"/>
        <v/>
      </c>
      <c r="S2150" s="762"/>
      <c r="T2150" s="762"/>
    </row>
    <row r="2151" spans="1:20" x14ac:dyDescent="0.2">
      <c r="A2151" s="352" t="str">
        <f>IF(B2151="","",COUNT('Diário 1º PA'!$A$4:$A$2635)+COUNT('Diário 2º PA'!$A$4:$A$3040)+COUNT('Diário 3º PA'!$A$4:$A$2731)+ROW()-3)</f>
        <v/>
      </c>
      <c r="B2151" s="600"/>
      <c r="C2151" s="354"/>
      <c r="D2151" s="343"/>
      <c r="E2151" s="343"/>
      <c r="F2151" s="344"/>
      <c r="G2151" s="343"/>
      <c r="H2151" s="343"/>
      <c r="I2151" s="345"/>
      <c r="J2151" s="343"/>
      <c r="K2151" s="343"/>
      <c r="L2151" s="345"/>
      <c r="M2151" s="343"/>
      <c r="N2151" s="598"/>
      <c r="O2151" s="585"/>
      <c r="P2151" s="747">
        <f t="shared" si="193"/>
        <v>0</v>
      </c>
      <c r="Q2151" s="748">
        <f t="shared" si="194"/>
        <v>0</v>
      </c>
      <c r="R2151" s="758" t="str">
        <f t="shared" si="195"/>
        <v/>
      </c>
      <c r="S2151" s="762"/>
      <c r="T2151" s="762"/>
    </row>
    <row r="2152" spans="1:20" x14ac:dyDescent="0.2">
      <c r="A2152" s="352" t="str">
        <f>IF(B2152="","",COUNT('Diário 1º PA'!$A$4:$A$2635)+COUNT('Diário 2º PA'!$A$4:$A$3040)+COUNT('Diário 3º PA'!$A$4:$A$2731)+ROW()-3)</f>
        <v/>
      </c>
      <c r="B2152" s="600"/>
      <c r="C2152" s="354"/>
      <c r="D2152" s="343"/>
      <c r="E2152" s="343"/>
      <c r="F2152" s="344"/>
      <c r="G2152" s="343"/>
      <c r="H2152" s="343"/>
      <c r="I2152" s="345"/>
      <c r="J2152" s="343"/>
      <c r="K2152" s="343"/>
      <c r="L2152" s="345"/>
      <c r="M2152" s="343"/>
      <c r="N2152" s="598"/>
      <c r="O2152" s="585"/>
      <c r="P2152" s="747">
        <f t="shared" si="193"/>
        <v>0</v>
      </c>
      <c r="Q2152" s="748">
        <f t="shared" si="194"/>
        <v>0</v>
      </c>
      <c r="R2152" s="758" t="str">
        <f t="shared" si="195"/>
        <v/>
      </c>
      <c r="S2152" s="762"/>
      <c r="T2152" s="762"/>
    </row>
    <row r="2153" spans="1:20" x14ac:dyDescent="0.2">
      <c r="A2153" s="352" t="str">
        <f>IF(B2153="","",COUNT('Diário 1º PA'!$A$4:$A$2635)+COUNT('Diário 2º PA'!$A$4:$A$3040)+COUNT('Diário 3º PA'!$A$4:$A$2731)+ROW()-3)</f>
        <v/>
      </c>
      <c r="B2153" s="600"/>
      <c r="C2153" s="354"/>
      <c r="D2153" s="343"/>
      <c r="E2153" s="343"/>
      <c r="F2153" s="344"/>
      <c r="G2153" s="343"/>
      <c r="H2153" s="343"/>
      <c r="I2153" s="345"/>
      <c r="J2153" s="343"/>
      <c r="K2153" s="343"/>
      <c r="L2153" s="345"/>
      <c r="M2153" s="343"/>
      <c r="N2153" s="598"/>
      <c r="O2153" s="585"/>
      <c r="P2153" s="747">
        <f t="shared" si="193"/>
        <v>0</v>
      </c>
      <c r="Q2153" s="748">
        <f t="shared" si="194"/>
        <v>0</v>
      </c>
      <c r="R2153" s="758" t="str">
        <f t="shared" si="195"/>
        <v/>
      </c>
      <c r="S2153" s="762"/>
      <c r="T2153" s="762"/>
    </row>
    <row r="2154" spans="1:20" x14ac:dyDescent="0.2">
      <c r="A2154" s="352" t="str">
        <f>IF(B2154="","",COUNT('Diário 1º PA'!$A$4:$A$2635)+COUNT('Diário 2º PA'!$A$4:$A$3040)+COUNT('Diário 3º PA'!$A$4:$A$2731)+ROW()-3)</f>
        <v/>
      </c>
      <c r="B2154" s="600"/>
      <c r="C2154" s="354"/>
      <c r="D2154" s="343"/>
      <c r="E2154" s="343"/>
      <c r="F2154" s="344"/>
      <c r="G2154" s="343"/>
      <c r="H2154" s="343"/>
      <c r="I2154" s="345"/>
      <c r="J2154" s="343"/>
      <c r="K2154" s="343"/>
      <c r="L2154" s="345"/>
      <c r="M2154" s="343"/>
      <c r="N2154" s="598"/>
      <c r="O2154" s="585"/>
      <c r="P2154" s="747">
        <f t="shared" si="193"/>
        <v>0</v>
      </c>
      <c r="Q2154" s="748">
        <f t="shared" si="194"/>
        <v>0</v>
      </c>
      <c r="R2154" s="758" t="str">
        <f t="shared" si="195"/>
        <v/>
      </c>
      <c r="S2154" s="762"/>
      <c r="T2154" s="762"/>
    </row>
    <row r="2155" spans="1:20" x14ac:dyDescent="0.2">
      <c r="A2155" s="352" t="str">
        <f>IF(B2155="","",COUNT('Diário 1º PA'!$A$4:$A$2635)+COUNT('Diário 2º PA'!$A$4:$A$3040)+COUNT('Diário 3º PA'!$A$4:$A$2731)+ROW()-3)</f>
        <v/>
      </c>
      <c r="B2155" s="600"/>
      <c r="C2155" s="354"/>
      <c r="D2155" s="343"/>
      <c r="E2155" s="343"/>
      <c r="F2155" s="344"/>
      <c r="G2155" s="343"/>
      <c r="H2155" s="343"/>
      <c r="I2155" s="345"/>
      <c r="J2155" s="343"/>
      <c r="K2155" s="343"/>
      <c r="L2155" s="345"/>
      <c r="M2155" s="343"/>
      <c r="N2155" s="598"/>
      <c r="O2155" s="585"/>
      <c r="P2155" s="747">
        <f t="shared" si="193"/>
        <v>0</v>
      </c>
      <c r="Q2155" s="748">
        <f t="shared" si="194"/>
        <v>0</v>
      </c>
      <c r="R2155" s="758" t="str">
        <f t="shared" si="195"/>
        <v/>
      </c>
      <c r="S2155" s="762"/>
      <c r="T2155" s="762"/>
    </row>
    <row r="2156" spans="1:20" x14ac:dyDescent="0.2">
      <c r="A2156" s="352" t="str">
        <f>IF(B2156="","",COUNT('Diário 1º PA'!$A$4:$A$2635)+COUNT('Diário 2º PA'!$A$4:$A$3040)+COUNT('Diário 3º PA'!$A$4:$A$2731)+ROW()-3)</f>
        <v/>
      </c>
      <c r="B2156" s="600"/>
      <c r="C2156" s="354"/>
      <c r="D2156" s="343"/>
      <c r="E2156" s="343"/>
      <c r="F2156" s="344"/>
      <c r="G2156" s="343"/>
      <c r="H2156" s="343"/>
      <c r="I2156" s="345"/>
      <c r="J2156" s="343"/>
      <c r="K2156" s="343"/>
      <c r="L2156" s="345"/>
      <c r="M2156" s="343"/>
      <c r="N2156" s="598"/>
      <c r="O2156" s="585"/>
      <c r="P2156" s="747">
        <f t="shared" si="193"/>
        <v>0</v>
      </c>
      <c r="Q2156" s="748">
        <f t="shared" si="194"/>
        <v>0</v>
      </c>
      <c r="R2156" s="758" t="str">
        <f t="shared" si="195"/>
        <v/>
      </c>
      <c r="S2156" s="762"/>
      <c r="T2156" s="762"/>
    </row>
    <row r="2157" spans="1:20" x14ac:dyDescent="0.2">
      <c r="A2157" s="352" t="str">
        <f>IF(B2157="","",COUNT('Diário 1º PA'!$A$4:$A$2635)+COUNT('Diário 2º PA'!$A$4:$A$3040)+COUNT('Diário 3º PA'!$A$4:$A$2731)+ROW()-3)</f>
        <v/>
      </c>
      <c r="B2157" s="600"/>
      <c r="C2157" s="354"/>
      <c r="D2157" s="343"/>
      <c r="E2157" s="343"/>
      <c r="F2157" s="344"/>
      <c r="G2157" s="343"/>
      <c r="H2157" s="343"/>
      <c r="I2157" s="345"/>
      <c r="J2157" s="343"/>
      <c r="K2157" s="343"/>
      <c r="L2157" s="345"/>
      <c r="M2157" s="343"/>
      <c r="N2157" s="598"/>
      <c r="O2157" s="585"/>
      <c r="P2157" s="747">
        <f t="shared" si="193"/>
        <v>0</v>
      </c>
      <c r="Q2157" s="748">
        <f t="shared" si="194"/>
        <v>0</v>
      </c>
      <c r="R2157" s="758" t="str">
        <f t="shared" si="195"/>
        <v/>
      </c>
      <c r="S2157" s="762"/>
      <c r="T2157" s="762"/>
    </row>
    <row r="2158" spans="1:20" x14ac:dyDescent="0.2">
      <c r="A2158" s="352" t="str">
        <f>IF(B2158="","",COUNT('Diário 1º PA'!$A$4:$A$2635)+COUNT('Diário 2º PA'!$A$4:$A$3040)+COUNT('Diário 3º PA'!$A$4:$A$2731)+ROW()-3)</f>
        <v/>
      </c>
      <c r="B2158" s="600"/>
      <c r="C2158" s="354"/>
      <c r="D2158" s="343"/>
      <c r="E2158" s="343"/>
      <c r="F2158" s="344"/>
      <c r="G2158" s="343"/>
      <c r="H2158" s="343"/>
      <c r="I2158" s="345"/>
      <c r="J2158" s="343"/>
      <c r="K2158" s="343"/>
      <c r="L2158" s="345"/>
      <c r="M2158" s="343"/>
      <c r="N2158" s="598"/>
      <c r="O2158" s="585"/>
      <c r="P2158" s="747">
        <f t="shared" si="193"/>
        <v>0</v>
      </c>
      <c r="Q2158" s="748">
        <f t="shared" si="194"/>
        <v>0</v>
      </c>
      <c r="R2158" s="758" t="str">
        <f t="shared" si="195"/>
        <v/>
      </c>
      <c r="S2158" s="762"/>
      <c r="T2158" s="762"/>
    </row>
    <row r="2159" spans="1:20" x14ac:dyDescent="0.2">
      <c r="A2159" s="352" t="str">
        <f>IF(B2159="","",COUNT('Diário 1º PA'!$A$4:$A$2635)+COUNT('Diário 2º PA'!$A$4:$A$3040)+COUNT('Diário 3º PA'!$A$4:$A$2731)+ROW()-3)</f>
        <v/>
      </c>
      <c r="B2159" s="600"/>
      <c r="C2159" s="354"/>
      <c r="D2159" s="343"/>
      <c r="E2159" s="343"/>
      <c r="F2159" s="344"/>
      <c r="G2159" s="343"/>
      <c r="H2159" s="343"/>
      <c r="I2159" s="345"/>
      <c r="J2159" s="343"/>
      <c r="K2159" s="343"/>
      <c r="L2159" s="345"/>
      <c r="M2159" s="343"/>
      <c r="N2159" s="598"/>
      <c r="O2159" s="585"/>
      <c r="P2159" s="747">
        <f t="shared" si="193"/>
        <v>0</v>
      </c>
      <c r="Q2159" s="748">
        <f t="shared" si="194"/>
        <v>0</v>
      </c>
      <c r="R2159" s="758" t="str">
        <f t="shared" si="195"/>
        <v/>
      </c>
      <c r="S2159" s="762"/>
      <c r="T2159" s="762"/>
    </row>
    <row r="2160" spans="1:20" x14ac:dyDescent="0.2">
      <c r="A2160" s="352" t="str">
        <f>IF(B2160="","",COUNT('Diário 1º PA'!$A$4:$A$2635)+COUNT('Diário 2º PA'!$A$4:$A$3040)+COUNT('Diário 3º PA'!$A$4:$A$2731)+ROW()-3)</f>
        <v/>
      </c>
      <c r="B2160" s="600"/>
      <c r="C2160" s="354"/>
      <c r="D2160" s="343"/>
      <c r="E2160" s="343"/>
      <c r="F2160" s="344"/>
      <c r="G2160" s="343"/>
      <c r="H2160" s="343"/>
      <c r="I2160" s="345"/>
      <c r="J2160" s="343"/>
      <c r="K2160" s="343"/>
      <c r="L2160" s="345"/>
      <c r="M2160" s="343"/>
      <c r="N2160" s="598"/>
      <c r="O2160" s="585"/>
      <c r="P2160" s="747">
        <f t="shared" si="193"/>
        <v>0</v>
      </c>
      <c r="Q2160" s="748">
        <f t="shared" si="194"/>
        <v>0</v>
      </c>
      <c r="R2160" s="758" t="str">
        <f t="shared" si="195"/>
        <v/>
      </c>
      <c r="S2160" s="762"/>
      <c r="T2160" s="762"/>
    </row>
    <row r="2161" spans="1:20" x14ac:dyDescent="0.2">
      <c r="A2161" s="352" t="str">
        <f>IF(B2161="","",COUNT('Diário 1º PA'!$A$4:$A$2635)+COUNT('Diário 2º PA'!$A$4:$A$3040)+COUNT('Diário 3º PA'!$A$4:$A$2731)+ROW()-3)</f>
        <v/>
      </c>
      <c r="B2161" s="600"/>
      <c r="C2161" s="354"/>
      <c r="D2161" s="343"/>
      <c r="E2161" s="343"/>
      <c r="F2161" s="344"/>
      <c r="G2161" s="343"/>
      <c r="H2161" s="343"/>
      <c r="I2161" s="345"/>
      <c r="J2161" s="343"/>
      <c r="K2161" s="343"/>
      <c r="L2161" s="345"/>
      <c r="M2161" s="343"/>
      <c r="N2161" s="598"/>
      <c r="O2161" s="585"/>
      <c r="P2161" s="747">
        <f t="shared" si="193"/>
        <v>0</v>
      </c>
      <c r="Q2161" s="748">
        <f t="shared" si="194"/>
        <v>0</v>
      </c>
      <c r="R2161" s="758" t="str">
        <f t="shared" si="195"/>
        <v/>
      </c>
      <c r="S2161" s="762"/>
      <c r="T2161" s="762"/>
    </row>
    <row r="2162" spans="1:20" x14ac:dyDescent="0.2">
      <c r="A2162" s="352" t="str">
        <f>IF(B2162="","",COUNT('Diário 1º PA'!$A$4:$A$2635)+COUNT('Diário 2º PA'!$A$4:$A$3040)+COUNT('Diário 3º PA'!$A$4:$A$2731)+ROW()-3)</f>
        <v/>
      </c>
      <c r="B2162" s="600"/>
      <c r="C2162" s="354"/>
      <c r="D2162" s="343"/>
      <c r="E2162" s="343"/>
      <c r="F2162" s="344"/>
      <c r="G2162" s="343"/>
      <c r="H2162" s="343"/>
      <c r="I2162" s="345"/>
      <c r="J2162" s="343"/>
      <c r="K2162" s="343"/>
      <c r="L2162" s="345"/>
      <c r="M2162" s="343"/>
      <c r="N2162" s="598"/>
      <c r="O2162" s="585"/>
      <c r="P2162" s="747">
        <f t="shared" si="193"/>
        <v>0</v>
      </c>
      <c r="Q2162" s="748">
        <f t="shared" si="194"/>
        <v>0</v>
      </c>
      <c r="R2162" s="758" t="str">
        <f t="shared" si="195"/>
        <v/>
      </c>
      <c r="S2162" s="762"/>
      <c r="T2162" s="762"/>
    </row>
    <row r="2163" spans="1:20" x14ac:dyDescent="0.2">
      <c r="A2163" s="352" t="str">
        <f>IF(B2163="","",COUNT('Diário 1º PA'!$A$4:$A$2635)+COUNT('Diário 2º PA'!$A$4:$A$3040)+COUNT('Diário 3º PA'!$A$4:$A$2731)+ROW()-3)</f>
        <v/>
      </c>
      <c r="B2163" s="600"/>
      <c r="C2163" s="354"/>
      <c r="D2163" s="343"/>
      <c r="E2163" s="343"/>
      <c r="F2163" s="344"/>
      <c r="G2163" s="343"/>
      <c r="H2163" s="343"/>
      <c r="I2163" s="345"/>
      <c r="J2163" s="343"/>
      <c r="K2163" s="343"/>
      <c r="L2163" s="345"/>
      <c r="M2163" s="343"/>
      <c r="N2163" s="598"/>
      <c r="O2163" s="585"/>
      <c r="P2163" s="747">
        <f t="shared" si="193"/>
        <v>0</v>
      </c>
      <c r="Q2163" s="748">
        <f t="shared" si="194"/>
        <v>0</v>
      </c>
      <c r="R2163" s="758" t="str">
        <f t="shared" si="195"/>
        <v/>
      </c>
      <c r="S2163" s="762"/>
      <c r="T2163" s="762"/>
    </row>
    <row r="2164" spans="1:20" x14ac:dyDescent="0.2">
      <c r="A2164" s="352" t="str">
        <f>IF(B2164="","",COUNT('Diário 1º PA'!$A$4:$A$2635)+COUNT('Diário 2º PA'!$A$4:$A$3040)+COUNT('Diário 3º PA'!$A$4:$A$2731)+ROW()-3)</f>
        <v/>
      </c>
      <c r="B2164" s="600"/>
      <c r="C2164" s="354"/>
      <c r="D2164" s="343"/>
      <c r="E2164" s="343"/>
      <c r="F2164" s="344"/>
      <c r="G2164" s="343"/>
      <c r="H2164" s="343"/>
      <c r="I2164" s="345"/>
      <c r="J2164" s="343"/>
      <c r="K2164" s="343"/>
      <c r="L2164" s="345"/>
      <c r="M2164" s="343"/>
      <c r="N2164" s="598"/>
      <c r="O2164" s="585"/>
      <c r="P2164" s="747">
        <f t="shared" si="193"/>
        <v>0</v>
      </c>
      <c r="Q2164" s="748">
        <f t="shared" si="194"/>
        <v>0</v>
      </c>
      <c r="R2164" s="758" t="str">
        <f t="shared" si="195"/>
        <v/>
      </c>
      <c r="S2164" s="762"/>
      <c r="T2164" s="762"/>
    </row>
    <row r="2165" spans="1:20" x14ac:dyDescent="0.2">
      <c r="A2165" s="352" t="str">
        <f>IF(B2165="","",COUNT('Diário 1º PA'!$A$4:$A$2635)+COUNT('Diário 2º PA'!$A$4:$A$3040)+COUNT('Diário 3º PA'!$A$4:$A$2731)+ROW()-3)</f>
        <v/>
      </c>
      <c r="B2165" s="600"/>
      <c r="C2165" s="354"/>
      <c r="D2165" s="343"/>
      <c r="E2165" s="343"/>
      <c r="F2165" s="344"/>
      <c r="G2165" s="343"/>
      <c r="H2165" s="343"/>
      <c r="I2165" s="345"/>
      <c r="J2165" s="343"/>
      <c r="K2165" s="343"/>
      <c r="L2165" s="345"/>
      <c r="M2165" s="343"/>
      <c r="N2165" s="598"/>
      <c r="O2165" s="585"/>
      <c r="P2165" s="747">
        <f t="shared" si="193"/>
        <v>0</v>
      </c>
      <c r="Q2165" s="748">
        <f t="shared" si="194"/>
        <v>0</v>
      </c>
      <c r="R2165" s="758" t="str">
        <f t="shared" si="195"/>
        <v/>
      </c>
      <c r="S2165" s="762"/>
      <c r="T2165" s="762"/>
    </row>
    <row r="2166" spans="1:20" x14ac:dyDescent="0.2">
      <c r="A2166" s="352" t="str">
        <f>IF(B2166="","",COUNT('Diário 1º PA'!$A$4:$A$2635)+COUNT('Diário 2º PA'!$A$4:$A$3040)+COUNT('Diário 3º PA'!$A$4:$A$2731)+ROW()-3)</f>
        <v/>
      </c>
      <c r="B2166" s="600"/>
      <c r="C2166" s="354"/>
      <c r="D2166" s="343"/>
      <c r="E2166" s="343"/>
      <c r="F2166" s="344"/>
      <c r="G2166" s="343"/>
      <c r="H2166" s="343"/>
      <c r="I2166" s="345"/>
      <c r="J2166" s="343"/>
      <c r="K2166" s="343"/>
      <c r="L2166" s="345"/>
      <c r="M2166" s="343"/>
      <c r="N2166" s="598"/>
      <c r="O2166" s="585"/>
      <c r="P2166" s="747">
        <f t="shared" si="193"/>
        <v>0</v>
      </c>
      <c r="Q2166" s="748">
        <f t="shared" si="194"/>
        <v>0</v>
      </c>
      <c r="R2166" s="758" t="str">
        <f t="shared" si="195"/>
        <v/>
      </c>
      <c r="S2166" s="762"/>
      <c r="T2166" s="762"/>
    </row>
    <row r="2167" spans="1:20" x14ac:dyDescent="0.2">
      <c r="A2167" s="352" t="str">
        <f>IF(B2167="","",COUNT('Diário 1º PA'!$A$4:$A$2635)+COUNT('Diário 2º PA'!$A$4:$A$3040)+COUNT('Diário 3º PA'!$A$4:$A$2731)+ROW()-3)</f>
        <v/>
      </c>
      <c r="B2167" s="600"/>
      <c r="C2167" s="354"/>
      <c r="D2167" s="343"/>
      <c r="E2167" s="343"/>
      <c r="F2167" s="344"/>
      <c r="G2167" s="343"/>
      <c r="H2167" s="343"/>
      <c r="I2167" s="345"/>
      <c r="J2167" s="343"/>
      <c r="K2167" s="343"/>
      <c r="L2167" s="345"/>
      <c r="M2167" s="343"/>
      <c r="N2167" s="598"/>
      <c r="O2167" s="585"/>
      <c r="P2167" s="747">
        <f t="shared" si="193"/>
        <v>0</v>
      </c>
      <c r="Q2167" s="748">
        <f t="shared" si="194"/>
        <v>0</v>
      </c>
      <c r="R2167" s="758" t="str">
        <f t="shared" si="195"/>
        <v/>
      </c>
      <c r="S2167" s="762"/>
      <c r="T2167" s="762"/>
    </row>
    <row r="2168" spans="1:20" x14ac:dyDescent="0.2">
      <c r="A2168" s="352" t="str">
        <f>IF(B2168="","",COUNT('Diário 1º PA'!$A$4:$A$2635)+COUNT('Diário 2º PA'!$A$4:$A$3040)+COUNT('Diário 3º PA'!$A$4:$A$2731)+ROW()-3)</f>
        <v/>
      </c>
      <c r="B2168" s="600"/>
      <c r="C2168" s="354"/>
      <c r="D2168" s="343"/>
      <c r="E2168" s="343"/>
      <c r="F2168" s="344"/>
      <c r="G2168" s="343"/>
      <c r="H2168" s="343"/>
      <c r="I2168" s="345"/>
      <c r="J2168" s="343"/>
      <c r="K2168" s="343"/>
      <c r="L2168" s="345"/>
      <c r="M2168" s="343"/>
      <c r="N2168" s="598"/>
      <c r="O2168" s="585"/>
      <c r="P2168" s="747">
        <f t="shared" si="193"/>
        <v>0</v>
      </c>
      <c r="Q2168" s="748">
        <f t="shared" si="194"/>
        <v>0</v>
      </c>
      <c r="R2168" s="758" t="str">
        <f t="shared" si="195"/>
        <v/>
      </c>
      <c r="S2168" s="762"/>
      <c r="T2168" s="762"/>
    </row>
    <row r="2169" spans="1:20" x14ac:dyDescent="0.2">
      <c r="A2169" s="352" t="str">
        <f>IF(B2169="","",COUNT('Diário 1º PA'!$A$4:$A$2635)+COUNT('Diário 2º PA'!$A$4:$A$3040)+COUNT('Diário 3º PA'!$A$4:$A$2731)+ROW()-3)</f>
        <v/>
      </c>
      <c r="B2169" s="600"/>
      <c r="C2169" s="354"/>
      <c r="D2169" s="343"/>
      <c r="E2169" s="343"/>
      <c r="F2169" s="344"/>
      <c r="G2169" s="343"/>
      <c r="H2169" s="343"/>
      <c r="I2169" s="345"/>
      <c r="J2169" s="343"/>
      <c r="K2169" s="343"/>
      <c r="L2169" s="345"/>
      <c r="M2169" s="343"/>
      <c r="N2169" s="598"/>
      <c r="O2169" s="585"/>
      <c r="P2169" s="747">
        <f t="shared" si="193"/>
        <v>0</v>
      </c>
      <c r="Q2169" s="748">
        <f t="shared" si="194"/>
        <v>0</v>
      </c>
      <c r="R2169" s="758" t="str">
        <f t="shared" si="195"/>
        <v/>
      </c>
      <c r="S2169" s="762"/>
      <c r="T2169" s="762"/>
    </row>
    <row r="2170" spans="1:20" x14ac:dyDescent="0.2">
      <c r="A2170" s="352" t="str">
        <f>IF(B2170="","",COUNT('Diário 1º PA'!$A$4:$A$2635)+COUNT('Diário 2º PA'!$A$4:$A$3040)+COUNT('Diário 3º PA'!$A$4:$A$2731)+ROW()-3)</f>
        <v/>
      </c>
      <c r="B2170" s="600"/>
      <c r="C2170" s="354"/>
      <c r="D2170" s="343"/>
      <c r="E2170" s="343"/>
      <c r="F2170" s="344"/>
      <c r="G2170" s="343"/>
      <c r="H2170" s="343"/>
      <c r="I2170" s="345"/>
      <c r="J2170" s="343"/>
      <c r="K2170" s="343"/>
      <c r="L2170" s="345"/>
      <c r="M2170" s="343"/>
      <c r="N2170" s="598"/>
      <c r="O2170" s="585"/>
      <c r="P2170" s="747">
        <f t="shared" ref="P2170:P2233" si="196">IF(B2170=0,0,IF(YEAR(B2170)=$Q$1,MONTH(B2170)-$P$1+1,(YEAR(B2170)-$Q$1)*12-$P$1+1+MONTH(B2170)))</f>
        <v>0</v>
      </c>
      <c r="Q2170" s="748">
        <f t="shared" ref="Q2170:Q2233" si="197">IF(C2170=0,0,IF(YEAR(C2170)=$Q$1,MONTH(C2170)-$P$1+1,(YEAR(C2170)-$Q$1)*12-$P$1+1+MONTH(C2170)))</f>
        <v>0</v>
      </c>
      <c r="R2170" s="758" t="str">
        <f t="shared" ref="R2170:R2233" si="198">SUBSTITUTE(D2170," ","_")</f>
        <v/>
      </c>
      <c r="S2170" s="762"/>
      <c r="T2170" s="762"/>
    </row>
    <row r="2171" spans="1:20" x14ac:dyDescent="0.2">
      <c r="A2171" s="352" t="str">
        <f>IF(B2171="","",COUNT('Diário 1º PA'!$A$4:$A$2635)+COUNT('Diário 2º PA'!$A$4:$A$3040)+COUNT('Diário 3º PA'!$A$4:$A$2731)+ROW()-3)</f>
        <v/>
      </c>
      <c r="B2171" s="600"/>
      <c r="C2171" s="354"/>
      <c r="D2171" s="343"/>
      <c r="E2171" s="343"/>
      <c r="F2171" s="344"/>
      <c r="G2171" s="343"/>
      <c r="H2171" s="343"/>
      <c r="I2171" s="345"/>
      <c r="J2171" s="343"/>
      <c r="K2171" s="343"/>
      <c r="L2171" s="345"/>
      <c r="M2171" s="343"/>
      <c r="N2171" s="598"/>
      <c r="O2171" s="585"/>
      <c r="P2171" s="747">
        <f t="shared" si="196"/>
        <v>0</v>
      </c>
      <c r="Q2171" s="748">
        <f t="shared" si="197"/>
        <v>0</v>
      </c>
      <c r="R2171" s="758" t="str">
        <f t="shared" si="198"/>
        <v/>
      </c>
      <c r="S2171" s="762"/>
      <c r="T2171" s="762"/>
    </row>
    <row r="2172" spans="1:20" x14ac:dyDescent="0.2">
      <c r="A2172" s="352" t="str">
        <f>IF(B2172="","",COUNT('Diário 1º PA'!$A$4:$A$2635)+COUNT('Diário 2º PA'!$A$4:$A$3040)+COUNT('Diário 3º PA'!$A$4:$A$2731)+ROW()-3)</f>
        <v/>
      </c>
      <c r="B2172" s="600"/>
      <c r="C2172" s="354"/>
      <c r="D2172" s="343"/>
      <c r="E2172" s="343"/>
      <c r="F2172" s="344"/>
      <c r="G2172" s="343"/>
      <c r="H2172" s="343"/>
      <c r="I2172" s="345"/>
      <c r="J2172" s="343"/>
      <c r="K2172" s="343"/>
      <c r="L2172" s="345"/>
      <c r="M2172" s="343"/>
      <c r="N2172" s="598"/>
      <c r="O2172" s="585"/>
      <c r="P2172" s="747">
        <f t="shared" si="196"/>
        <v>0</v>
      </c>
      <c r="Q2172" s="748">
        <f t="shared" si="197"/>
        <v>0</v>
      </c>
      <c r="R2172" s="758" t="str">
        <f t="shared" si="198"/>
        <v/>
      </c>
      <c r="S2172" s="762"/>
      <c r="T2172" s="762"/>
    </row>
    <row r="2173" spans="1:20" x14ac:dyDescent="0.2">
      <c r="A2173" s="352" t="str">
        <f>IF(B2173="","",COUNT('Diário 1º PA'!$A$4:$A$2635)+COUNT('Diário 2º PA'!$A$4:$A$3040)+COUNT('Diário 3º PA'!$A$4:$A$2731)+ROW()-3)</f>
        <v/>
      </c>
      <c r="B2173" s="600"/>
      <c r="C2173" s="354"/>
      <c r="D2173" s="343"/>
      <c r="E2173" s="343"/>
      <c r="F2173" s="344"/>
      <c r="G2173" s="343"/>
      <c r="H2173" s="343"/>
      <c r="I2173" s="345"/>
      <c r="J2173" s="343"/>
      <c r="K2173" s="343"/>
      <c r="L2173" s="345"/>
      <c r="M2173" s="343"/>
      <c r="N2173" s="598"/>
      <c r="O2173" s="585"/>
      <c r="P2173" s="747">
        <f t="shared" si="196"/>
        <v>0</v>
      </c>
      <c r="Q2173" s="748">
        <f t="shared" si="197"/>
        <v>0</v>
      </c>
      <c r="R2173" s="758" t="str">
        <f t="shared" si="198"/>
        <v/>
      </c>
      <c r="S2173" s="762"/>
      <c r="T2173" s="762"/>
    </row>
    <row r="2174" spans="1:20" x14ac:dyDescent="0.2">
      <c r="A2174" s="352" t="str">
        <f>IF(B2174="","",COUNT('Diário 1º PA'!$A$4:$A$2635)+COUNT('Diário 2º PA'!$A$4:$A$3040)+COUNT('Diário 3º PA'!$A$4:$A$2731)+ROW()-3)</f>
        <v/>
      </c>
      <c r="B2174" s="600"/>
      <c r="C2174" s="354"/>
      <c r="D2174" s="343"/>
      <c r="E2174" s="343"/>
      <c r="F2174" s="344"/>
      <c r="G2174" s="343"/>
      <c r="H2174" s="343"/>
      <c r="I2174" s="345"/>
      <c r="J2174" s="343"/>
      <c r="K2174" s="343"/>
      <c r="L2174" s="345"/>
      <c r="M2174" s="343"/>
      <c r="N2174" s="598"/>
      <c r="O2174" s="585"/>
      <c r="P2174" s="747">
        <f t="shared" si="196"/>
        <v>0</v>
      </c>
      <c r="Q2174" s="748">
        <f t="shared" si="197"/>
        <v>0</v>
      </c>
      <c r="R2174" s="758" t="str">
        <f t="shared" si="198"/>
        <v/>
      </c>
      <c r="S2174" s="762"/>
      <c r="T2174" s="762"/>
    </row>
    <row r="2175" spans="1:20" x14ac:dyDescent="0.2">
      <c r="A2175" s="352" t="str">
        <f>IF(B2175="","",COUNT('Diário 1º PA'!$A$4:$A$2635)+COUNT('Diário 2º PA'!$A$4:$A$3040)+COUNT('Diário 3º PA'!$A$4:$A$2731)+ROW()-3)</f>
        <v/>
      </c>
      <c r="B2175" s="600"/>
      <c r="C2175" s="354"/>
      <c r="D2175" s="343"/>
      <c r="E2175" s="343"/>
      <c r="F2175" s="344"/>
      <c r="G2175" s="343"/>
      <c r="H2175" s="343"/>
      <c r="I2175" s="345"/>
      <c r="J2175" s="343"/>
      <c r="K2175" s="343"/>
      <c r="L2175" s="345"/>
      <c r="M2175" s="343"/>
      <c r="N2175" s="598"/>
      <c r="O2175" s="585"/>
      <c r="P2175" s="747">
        <f t="shared" si="196"/>
        <v>0</v>
      </c>
      <c r="Q2175" s="748">
        <f t="shared" si="197"/>
        <v>0</v>
      </c>
      <c r="R2175" s="758" t="str">
        <f t="shared" si="198"/>
        <v/>
      </c>
      <c r="S2175" s="762"/>
      <c r="T2175" s="762"/>
    </row>
    <row r="2176" spans="1:20" x14ac:dyDescent="0.2">
      <c r="A2176" s="352" t="str">
        <f>IF(B2176="","",COUNT('Diário 1º PA'!$A$4:$A$2635)+COUNT('Diário 2º PA'!$A$4:$A$3040)+COUNT('Diário 3º PA'!$A$4:$A$2731)+ROW()-3)</f>
        <v/>
      </c>
      <c r="B2176" s="600"/>
      <c r="C2176" s="354"/>
      <c r="D2176" s="343"/>
      <c r="E2176" s="343"/>
      <c r="F2176" s="344"/>
      <c r="G2176" s="343"/>
      <c r="H2176" s="343"/>
      <c r="I2176" s="345"/>
      <c r="J2176" s="343"/>
      <c r="K2176" s="343"/>
      <c r="L2176" s="345"/>
      <c r="M2176" s="343"/>
      <c r="N2176" s="598"/>
      <c r="O2176" s="585"/>
      <c r="P2176" s="747">
        <f t="shared" si="196"/>
        <v>0</v>
      </c>
      <c r="Q2176" s="748">
        <f t="shared" si="197"/>
        <v>0</v>
      </c>
      <c r="R2176" s="758" t="str">
        <f t="shared" si="198"/>
        <v/>
      </c>
      <c r="S2176" s="762"/>
      <c r="T2176" s="762"/>
    </row>
    <row r="2177" spans="1:20" x14ac:dyDescent="0.2">
      <c r="A2177" s="352" t="str">
        <f>IF(B2177="","",COUNT('Diário 1º PA'!$A$4:$A$2635)+COUNT('Diário 2º PA'!$A$4:$A$3040)+COUNT('Diário 3º PA'!$A$4:$A$2731)+ROW()-3)</f>
        <v/>
      </c>
      <c r="B2177" s="600"/>
      <c r="C2177" s="354"/>
      <c r="D2177" s="343"/>
      <c r="E2177" s="343"/>
      <c r="F2177" s="344"/>
      <c r="G2177" s="343"/>
      <c r="H2177" s="343"/>
      <c r="I2177" s="345"/>
      <c r="J2177" s="343"/>
      <c r="K2177" s="343"/>
      <c r="L2177" s="345"/>
      <c r="M2177" s="343"/>
      <c r="N2177" s="598"/>
      <c r="O2177" s="585"/>
      <c r="P2177" s="747">
        <f t="shared" si="196"/>
        <v>0</v>
      </c>
      <c r="Q2177" s="748">
        <f t="shared" si="197"/>
        <v>0</v>
      </c>
      <c r="R2177" s="758" t="str">
        <f t="shared" si="198"/>
        <v/>
      </c>
      <c r="S2177" s="762"/>
      <c r="T2177" s="762"/>
    </row>
    <row r="2178" spans="1:20" x14ac:dyDescent="0.2">
      <c r="A2178" s="352" t="str">
        <f>IF(B2178="","",COUNT('Diário 1º PA'!$A$4:$A$2635)+COUNT('Diário 2º PA'!$A$4:$A$3040)+COUNT('Diário 3º PA'!$A$4:$A$2731)+ROW()-3)</f>
        <v/>
      </c>
      <c r="B2178" s="600"/>
      <c r="C2178" s="354"/>
      <c r="D2178" s="343"/>
      <c r="E2178" s="343"/>
      <c r="F2178" s="344"/>
      <c r="G2178" s="343"/>
      <c r="H2178" s="343"/>
      <c r="I2178" s="345"/>
      <c r="J2178" s="343"/>
      <c r="K2178" s="343"/>
      <c r="L2178" s="345"/>
      <c r="M2178" s="343"/>
      <c r="N2178" s="598"/>
      <c r="O2178" s="585"/>
      <c r="P2178" s="747">
        <f t="shared" si="196"/>
        <v>0</v>
      </c>
      <c r="Q2178" s="748">
        <f t="shared" si="197"/>
        <v>0</v>
      </c>
      <c r="R2178" s="758" t="str">
        <f t="shared" si="198"/>
        <v/>
      </c>
      <c r="S2178" s="762"/>
      <c r="T2178" s="762"/>
    </row>
    <row r="2179" spans="1:20" x14ac:dyDescent="0.2">
      <c r="A2179" s="352" t="str">
        <f>IF(B2179="","",COUNT('Diário 1º PA'!$A$4:$A$2635)+COUNT('Diário 2º PA'!$A$4:$A$3040)+COUNT('Diário 3º PA'!$A$4:$A$2731)+ROW()-3)</f>
        <v/>
      </c>
      <c r="B2179" s="600"/>
      <c r="C2179" s="354"/>
      <c r="D2179" s="343"/>
      <c r="E2179" s="343"/>
      <c r="F2179" s="344"/>
      <c r="G2179" s="343"/>
      <c r="H2179" s="343"/>
      <c r="I2179" s="345"/>
      <c r="J2179" s="343"/>
      <c r="K2179" s="343"/>
      <c r="L2179" s="345"/>
      <c r="M2179" s="343"/>
      <c r="N2179" s="598"/>
      <c r="O2179" s="585"/>
      <c r="P2179" s="747">
        <f t="shared" si="196"/>
        <v>0</v>
      </c>
      <c r="Q2179" s="748">
        <f t="shared" si="197"/>
        <v>0</v>
      </c>
      <c r="R2179" s="758" t="str">
        <f t="shared" si="198"/>
        <v/>
      </c>
      <c r="S2179" s="762"/>
      <c r="T2179" s="762"/>
    </row>
    <row r="2180" spans="1:20" x14ac:dyDescent="0.2">
      <c r="A2180" s="352" t="str">
        <f>IF(B2180="","",COUNT('Diário 1º PA'!$A$4:$A$2635)+COUNT('Diário 2º PA'!$A$4:$A$3040)+COUNT('Diário 3º PA'!$A$4:$A$2731)+ROW()-3)</f>
        <v/>
      </c>
      <c r="B2180" s="600"/>
      <c r="C2180" s="354"/>
      <c r="D2180" s="343"/>
      <c r="E2180" s="343"/>
      <c r="F2180" s="344"/>
      <c r="G2180" s="343"/>
      <c r="H2180" s="343"/>
      <c r="I2180" s="345"/>
      <c r="J2180" s="343"/>
      <c r="K2180" s="343"/>
      <c r="L2180" s="345"/>
      <c r="M2180" s="343"/>
      <c r="N2180" s="598"/>
      <c r="O2180" s="585"/>
      <c r="P2180" s="747">
        <f t="shared" si="196"/>
        <v>0</v>
      </c>
      <c r="Q2180" s="748">
        <f t="shared" si="197"/>
        <v>0</v>
      </c>
      <c r="R2180" s="758" t="str">
        <f t="shared" si="198"/>
        <v/>
      </c>
      <c r="S2180" s="762"/>
      <c r="T2180" s="762"/>
    </row>
    <row r="2181" spans="1:20" x14ac:dyDescent="0.2">
      <c r="A2181" s="352" t="str">
        <f>IF(B2181="","",COUNT('Diário 1º PA'!$A$4:$A$2635)+COUNT('Diário 2º PA'!$A$4:$A$3040)+COUNT('Diário 3º PA'!$A$4:$A$2731)+ROW()-3)</f>
        <v/>
      </c>
      <c r="B2181" s="600"/>
      <c r="C2181" s="354"/>
      <c r="D2181" s="343"/>
      <c r="E2181" s="343"/>
      <c r="F2181" s="344"/>
      <c r="G2181" s="343"/>
      <c r="H2181" s="343"/>
      <c r="I2181" s="345"/>
      <c r="J2181" s="343"/>
      <c r="K2181" s="343"/>
      <c r="L2181" s="345"/>
      <c r="M2181" s="343"/>
      <c r="N2181" s="598"/>
      <c r="O2181" s="585"/>
      <c r="P2181" s="747">
        <f t="shared" si="196"/>
        <v>0</v>
      </c>
      <c r="Q2181" s="748">
        <f t="shared" si="197"/>
        <v>0</v>
      </c>
      <c r="R2181" s="758" t="str">
        <f t="shared" si="198"/>
        <v/>
      </c>
      <c r="S2181" s="762"/>
      <c r="T2181" s="762"/>
    </row>
    <row r="2182" spans="1:20" x14ac:dyDescent="0.2">
      <c r="A2182" s="352" t="str">
        <f>IF(B2182="","",COUNT('Diário 1º PA'!$A$4:$A$2635)+COUNT('Diário 2º PA'!$A$4:$A$3040)+COUNT('Diário 3º PA'!$A$4:$A$2731)+ROW()-3)</f>
        <v/>
      </c>
      <c r="B2182" s="600"/>
      <c r="C2182" s="354"/>
      <c r="D2182" s="343"/>
      <c r="E2182" s="343"/>
      <c r="F2182" s="344"/>
      <c r="G2182" s="343"/>
      <c r="H2182" s="343"/>
      <c r="I2182" s="345"/>
      <c r="J2182" s="343"/>
      <c r="K2182" s="343"/>
      <c r="L2182" s="345"/>
      <c r="M2182" s="343"/>
      <c r="N2182" s="598"/>
      <c r="O2182" s="585"/>
      <c r="P2182" s="747">
        <f t="shared" si="196"/>
        <v>0</v>
      </c>
      <c r="Q2182" s="748">
        <f t="shared" si="197"/>
        <v>0</v>
      </c>
      <c r="R2182" s="758" t="str">
        <f t="shared" si="198"/>
        <v/>
      </c>
      <c r="S2182" s="762"/>
      <c r="T2182" s="762"/>
    </row>
    <row r="2183" spans="1:20" x14ac:dyDescent="0.2">
      <c r="A2183" s="352" t="str">
        <f>IF(B2183="","",COUNT('Diário 1º PA'!$A$4:$A$2635)+COUNT('Diário 2º PA'!$A$4:$A$3040)+COUNT('Diário 3º PA'!$A$4:$A$2731)+ROW()-3)</f>
        <v/>
      </c>
      <c r="B2183" s="600"/>
      <c r="C2183" s="354"/>
      <c r="D2183" s="343"/>
      <c r="E2183" s="343"/>
      <c r="F2183" s="344"/>
      <c r="G2183" s="343"/>
      <c r="H2183" s="343"/>
      <c r="I2183" s="345"/>
      <c r="J2183" s="343"/>
      <c r="K2183" s="343"/>
      <c r="L2183" s="345"/>
      <c r="M2183" s="343"/>
      <c r="N2183" s="598"/>
      <c r="O2183" s="585"/>
      <c r="P2183" s="747">
        <f t="shared" si="196"/>
        <v>0</v>
      </c>
      <c r="Q2183" s="748">
        <f t="shared" si="197"/>
        <v>0</v>
      </c>
      <c r="R2183" s="758" t="str">
        <f t="shared" si="198"/>
        <v/>
      </c>
      <c r="S2183" s="762"/>
      <c r="T2183" s="762"/>
    </row>
    <row r="2184" spans="1:20" x14ac:dyDescent="0.2">
      <c r="A2184" s="352" t="str">
        <f>IF(B2184="","",COUNT('Diário 1º PA'!$A$4:$A$2635)+COUNT('Diário 2º PA'!$A$4:$A$3040)+COUNT('Diário 3º PA'!$A$4:$A$2731)+ROW()-3)</f>
        <v/>
      </c>
      <c r="B2184" s="600"/>
      <c r="C2184" s="354"/>
      <c r="D2184" s="343"/>
      <c r="E2184" s="343"/>
      <c r="F2184" s="344"/>
      <c r="G2184" s="343"/>
      <c r="H2184" s="343"/>
      <c r="I2184" s="345"/>
      <c r="J2184" s="343"/>
      <c r="K2184" s="343"/>
      <c r="L2184" s="345"/>
      <c r="M2184" s="343"/>
      <c r="N2184" s="598"/>
      <c r="O2184" s="585"/>
      <c r="P2184" s="747">
        <f t="shared" si="196"/>
        <v>0</v>
      </c>
      <c r="Q2184" s="748">
        <f t="shared" si="197"/>
        <v>0</v>
      </c>
      <c r="R2184" s="758" t="str">
        <f t="shared" si="198"/>
        <v/>
      </c>
      <c r="S2184" s="762"/>
      <c r="T2184" s="762"/>
    </row>
    <row r="2185" spans="1:20" x14ac:dyDescent="0.2">
      <c r="A2185" s="352" t="str">
        <f>IF(B2185="","",COUNT('Diário 1º PA'!$A$4:$A$2635)+COUNT('Diário 2º PA'!$A$4:$A$3040)+COUNT('Diário 3º PA'!$A$4:$A$2731)+ROW()-3)</f>
        <v/>
      </c>
      <c r="B2185" s="600"/>
      <c r="C2185" s="354"/>
      <c r="D2185" s="343"/>
      <c r="E2185" s="343"/>
      <c r="F2185" s="344"/>
      <c r="G2185" s="343"/>
      <c r="H2185" s="343"/>
      <c r="I2185" s="345"/>
      <c r="J2185" s="343"/>
      <c r="K2185" s="343"/>
      <c r="L2185" s="345"/>
      <c r="M2185" s="343"/>
      <c r="N2185" s="598"/>
      <c r="O2185" s="585"/>
      <c r="P2185" s="747">
        <f t="shared" si="196"/>
        <v>0</v>
      </c>
      <c r="Q2185" s="748">
        <f t="shared" si="197"/>
        <v>0</v>
      </c>
      <c r="R2185" s="758" t="str">
        <f t="shared" si="198"/>
        <v/>
      </c>
      <c r="S2185" s="762"/>
      <c r="T2185" s="762"/>
    </row>
    <row r="2186" spans="1:20" x14ac:dyDescent="0.2">
      <c r="A2186" s="352" t="str">
        <f>IF(B2186="","",COUNT('Diário 1º PA'!$A$4:$A$2635)+COUNT('Diário 2º PA'!$A$4:$A$3040)+COUNT('Diário 3º PA'!$A$4:$A$2731)+ROW()-3)</f>
        <v/>
      </c>
      <c r="B2186" s="600"/>
      <c r="C2186" s="354"/>
      <c r="D2186" s="343"/>
      <c r="E2186" s="343"/>
      <c r="F2186" s="344"/>
      <c r="G2186" s="343"/>
      <c r="H2186" s="343"/>
      <c r="I2186" s="345"/>
      <c r="J2186" s="343"/>
      <c r="K2186" s="343"/>
      <c r="L2186" s="345"/>
      <c r="M2186" s="343"/>
      <c r="N2186" s="598"/>
      <c r="O2186" s="585"/>
      <c r="P2186" s="747">
        <f t="shared" si="196"/>
        <v>0</v>
      </c>
      <c r="Q2186" s="748">
        <f t="shared" si="197"/>
        <v>0</v>
      </c>
      <c r="R2186" s="758" t="str">
        <f t="shared" si="198"/>
        <v/>
      </c>
      <c r="S2186" s="762"/>
      <c r="T2186" s="762"/>
    </row>
    <row r="2187" spans="1:20" x14ac:dyDescent="0.2">
      <c r="A2187" s="352" t="str">
        <f>IF(B2187="","",COUNT('Diário 1º PA'!$A$4:$A$2635)+COUNT('Diário 2º PA'!$A$4:$A$3040)+COUNT('Diário 3º PA'!$A$4:$A$2731)+ROW()-3)</f>
        <v/>
      </c>
      <c r="B2187" s="600"/>
      <c r="C2187" s="354"/>
      <c r="D2187" s="343"/>
      <c r="E2187" s="343"/>
      <c r="F2187" s="344"/>
      <c r="G2187" s="343"/>
      <c r="H2187" s="343"/>
      <c r="I2187" s="345"/>
      <c r="J2187" s="343"/>
      <c r="K2187" s="343"/>
      <c r="L2187" s="345"/>
      <c r="M2187" s="343"/>
      <c r="N2187" s="598"/>
      <c r="O2187" s="585"/>
      <c r="P2187" s="747">
        <f t="shared" si="196"/>
        <v>0</v>
      </c>
      <c r="Q2187" s="748">
        <f t="shared" si="197"/>
        <v>0</v>
      </c>
      <c r="R2187" s="758" t="str">
        <f t="shared" si="198"/>
        <v/>
      </c>
      <c r="S2187" s="762"/>
      <c r="T2187" s="762"/>
    </row>
    <row r="2188" spans="1:20" x14ac:dyDescent="0.2">
      <c r="A2188" s="352" t="str">
        <f>IF(B2188="","",COUNT('Diário 1º PA'!$A$4:$A$2635)+COUNT('Diário 2º PA'!$A$4:$A$3040)+COUNT('Diário 3º PA'!$A$4:$A$2731)+ROW()-3)</f>
        <v/>
      </c>
      <c r="B2188" s="600"/>
      <c r="C2188" s="354"/>
      <c r="D2188" s="343"/>
      <c r="E2188" s="343"/>
      <c r="F2188" s="344"/>
      <c r="G2188" s="343"/>
      <c r="H2188" s="343"/>
      <c r="I2188" s="345"/>
      <c r="J2188" s="343"/>
      <c r="K2188" s="343"/>
      <c r="L2188" s="345"/>
      <c r="M2188" s="343"/>
      <c r="N2188" s="598"/>
      <c r="O2188" s="585"/>
      <c r="P2188" s="747">
        <f t="shared" si="196"/>
        <v>0</v>
      </c>
      <c r="Q2188" s="748">
        <f t="shared" si="197"/>
        <v>0</v>
      </c>
      <c r="R2188" s="758" t="str">
        <f t="shared" si="198"/>
        <v/>
      </c>
      <c r="S2188" s="762"/>
      <c r="T2188" s="762"/>
    </row>
    <row r="2189" spans="1:20" x14ac:dyDescent="0.2">
      <c r="A2189" s="352" t="str">
        <f>IF(B2189="","",COUNT('Diário 1º PA'!$A$4:$A$2635)+COUNT('Diário 2º PA'!$A$4:$A$3040)+COUNT('Diário 3º PA'!$A$4:$A$2731)+ROW()-3)</f>
        <v/>
      </c>
      <c r="B2189" s="600"/>
      <c r="C2189" s="354"/>
      <c r="D2189" s="343"/>
      <c r="E2189" s="343"/>
      <c r="F2189" s="344"/>
      <c r="G2189" s="343"/>
      <c r="H2189" s="343"/>
      <c r="I2189" s="345"/>
      <c r="J2189" s="343"/>
      <c r="K2189" s="343"/>
      <c r="L2189" s="345"/>
      <c r="M2189" s="343"/>
      <c r="N2189" s="598"/>
      <c r="O2189" s="585"/>
      <c r="P2189" s="747">
        <f t="shared" si="196"/>
        <v>0</v>
      </c>
      <c r="Q2189" s="748">
        <f t="shared" si="197"/>
        <v>0</v>
      </c>
      <c r="R2189" s="758" t="str">
        <f t="shared" si="198"/>
        <v/>
      </c>
      <c r="S2189" s="762"/>
      <c r="T2189" s="762"/>
    </row>
    <row r="2190" spans="1:20" x14ac:dyDescent="0.2">
      <c r="A2190" s="352" t="str">
        <f>IF(B2190="","",COUNT('Diário 1º PA'!$A$4:$A$2635)+COUNT('Diário 2º PA'!$A$4:$A$3040)+COUNT('Diário 3º PA'!$A$4:$A$2731)+ROW()-3)</f>
        <v/>
      </c>
      <c r="B2190" s="600"/>
      <c r="C2190" s="354"/>
      <c r="D2190" s="343"/>
      <c r="E2190" s="343"/>
      <c r="F2190" s="344"/>
      <c r="G2190" s="343"/>
      <c r="H2190" s="343"/>
      <c r="I2190" s="345"/>
      <c r="J2190" s="343"/>
      <c r="K2190" s="343"/>
      <c r="L2190" s="345"/>
      <c r="M2190" s="343"/>
      <c r="N2190" s="598"/>
      <c r="O2190" s="585"/>
      <c r="P2190" s="747">
        <f t="shared" si="196"/>
        <v>0</v>
      </c>
      <c r="Q2190" s="748">
        <f t="shared" si="197"/>
        <v>0</v>
      </c>
      <c r="R2190" s="758" t="str">
        <f t="shared" si="198"/>
        <v/>
      </c>
      <c r="S2190" s="762"/>
      <c r="T2190" s="762"/>
    </row>
    <row r="2191" spans="1:20" x14ac:dyDescent="0.2">
      <c r="A2191" s="352" t="str">
        <f>IF(B2191="","",COUNT('Diário 1º PA'!$A$4:$A$2635)+COUNT('Diário 2º PA'!$A$4:$A$3040)+COUNT('Diário 3º PA'!$A$4:$A$2731)+ROW()-3)</f>
        <v/>
      </c>
      <c r="B2191" s="600"/>
      <c r="C2191" s="354"/>
      <c r="D2191" s="343"/>
      <c r="E2191" s="343"/>
      <c r="F2191" s="344"/>
      <c r="G2191" s="343"/>
      <c r="H2191" s="343"/>
      <c r="I2191" s="345"/>
      <c r="J2191" s="343"/>
      <c r="K2191" s="343"/>
      <c r="L2191" s="345"/>
      <c r="M2191" s="343"/>
      <c r="N2191" s="598"/>
      <c r="O2191" s="585"/>
      <c r="P2191" s="747">
        <f t="shared" si="196"/>
        <v>0</v>
      </c>
      <c r="Q2191" s="748">
        <f t="shared" si="197"/>
        <v>0</v>
      </c>
      <c r="R2191" s="758" t="str">
        <f t="shared" si="198"/>
        <v/>
      </c>
      <c r="S2191" s="762"/>
      <c r="T2191" s="762"/>
    </row>
    <row r="2192" spans="1:20" x14ac:dyDescent="0.2">
      <c r="A2192" s="352" t="str">
        <f>IF(B2192="","",COUNT('Diário 1º PA'!$A$4:$A$2635)+COUNT('Diário 2º PA'!$A$4:$A$3040)+COUNT('Diário 3º PA'!$A$4:$A$2731)+ROW()-3)</f>
        <v/>
      </c>
      <c r="B2192" s="600"/>
      <c r="C2192" s="354"/>
      <c r="D2192" s="343"/>
      <c r="E2192" s="343"/>
      <c r="F2192" s="344"/>
      <c r="G2192" s="343"/>
      <c r="H2192" s="343"/>
      <c r="I2192" s="345"/>
      <c r="J2192" s="343"/>
      <c r="K2192" s="343"/>
      <c r="L2192" s="345"/>
      <c r="M2192" s="343"/>
      <c r="N2192" s="598"/>
      <c r="O2192" s="585"/>
      <c r="P2192" s="747">
        <f t="shared" si="196"/>
        <v>0</v>
      </c>
      <c r="Q2192" s="748">
        <f t="shared" si="197"/>
        <v>0</v>
      </c>
      <c r="R2192" s="758" t="str">
        <f t="shared" si="198"/>
        <v/>
      </c>
      <c r="S2192" s="762"/>
      <c r="T2192" s="762"/>
    </row>
    <row r="2193" spans="1:20" x14ac:dyDescent="0.2">
      <c r="A2193" s="352" t="str">
        <f>IF(B2193="","",COUNT('Diário 1º PA'!$A$4:$A$2635)+COUNT('Diário 2º PA'!$A$4:$A$3040)+COUNT('Diário 3º PA'!$A$4:$A$2731)+ROW()-3)</f>
        <v/>
      </c>
      <c r="B2193" s="600"/>
      <c r="C2193" s="354"/>
      <c r="D2193" s="343"/>
      <c r="E2193" s="343"/>
      <c r="F2193" s="344"/>
      <c r="G2193" s="343"/>
      <c r="H2193" s="343"/>
      <c r="I2193" s="345"/>
      <c r="J2193" s="343"/>
      <c r="K2193" s="343"/>
      <c r="L2193" s="345"/>
      <c r="M2193" s="343"/>
      <c r="N2193" s="598"/>
      <c r="O2193" s="585"/>
      <c r="P2193" s="747">
        <f t="shared" si="196"/>
        <v>0</v>
      </c>
      <c r="Q2193" s="748">
        <f t="shared" si="197"/>
        <v>0</v>
      </c>
      <c r="R2193" s="758" t="str">
        <f t="shared" si="198"/>
        <v/>
      </c>
      <c r="S2193" s="762"/>
      <c r="T2193" s="762"/>
    </row>
    <row r="2194" spans="1:20" x14ac:dyDescent="0.2">
      <c r="A2194" s="352" t="str">
        <f>IF(B2194="","",COUNT('Diário 1º PA'!$A$4:$A$2635)+COUNT('Diário 2º PA'!$A$4:$A$3040)+COUNT('Diário 3º PA'!$A$4:$A$2731)+ROW()-3)</f>
        <v/>
      </c>
      <c r="B2194" s="600"/>
      <c r="C2194" s="354"/>
      <c r="D2194" s="343"/>
      <c r="E2194" s="343"/>
      <c r="F2194" s="344"/>
      <c r="G2194" s="343"/>
      <c r="H2194" s="343"/>
      <c r="I2194" s="345"/>
      <c r="J2194" s="343"/>
      <c r="K2194" s="343"/>
      <c r="L2194" s="345"/>
      <c r="M2194" s="343"/>
      <c r="N2194" s="598"/>
      <c r="O2194" s="585"/>
      <c r="P2194" s="747">
        <f t="shared" si="196"/>
        <v>0</v>
      </c>
      <c r="Q2194" s="748">
        <f t="shared" si="197"/>
        <v>0</v>
      </c>
      <c r="R2194" s="758" t="str">
        <f t="shared" si="198"/>
        <v/>
      </c>
      <c r="S2194" s="762"/>
      <c r="T2194" s="762"/>
    </row>
    <row r="2195" spans="1:20" x14ac:dyDescent="0.2">
      <c r="A2195" s="352" t="str">
        <f>IF(B2195="","",COUNT('Diário 1º PA'!$A$4:$A$2635)+COUNT('Diário 2º PA'!$A$4:$A$3040)+COUNT('Diário 3º PA'!$A$4:$A$2731)+ROW()-3)</f>
        <v/>
      </c>
      <c r="B2195" s="600"/>
      <c r="C2195" s="354"/>
      <c r="D2195" s="343"/>
      <c r="E2195" s="343"/>
      <c r="F2195" s="344"/>
      <c r="G2195" s="343"/>
      <c r="H2195" s="343"/>
      <c r="I2195" s="345"/>
      <c r="J2195" s="343"/>
      <c r="K2195" s="343"/>
      <c r="L2195" s="345"/>
      <c r="M2195" s="343"/>
      <c r="N2195" s="598"/>
      <c r="O2195" s="585"/>
      <c r="P2195" s="747">
        <f t="shared" si="196"/>
        <v>0</v>
      </c>
      <c r="Q2195" s="748">
        <f t="shared" si="197"/>
        <v>0</v>
      </c>
      <c r="R2195" s="758" t="str">
        <f t="shared" si="198"/>
        <v/>
      </c>
      <c r="S2195" s="762"/>
      <c r="T2195" s="762"/>
    </row>
    <row r="2196" spans="1:20" x14ac:dyDescent="0.2">
      <c r="A2196" s="352" t="str">
        <f>IF(B2196="","",COUNT('Diário 1º PA'!$A$4:$A$2635)+COUNT('Diário 2º PA'!$A$4:$A$3040)+COUNT('Diário 3º PA'!$A$4:$A$2731)+ROW()-3)</f>
        <v/>
      </c>
      <c r="B2196" s="600"/>
      <c r="C2196" s="354"/>
      <c r="D2196" s="343"/>
      <c r="E2196" s="343"/>
      <c r="F2196" s="344"/>
      <c r="G2196" s="343"/>
      <c r="H2196" s="343"/>
      <c r="I2196" s="345"/>
      <c r="J2196" s="343"/>
      <c r="K2196" s="343"/>
      <c r="L2196" s="345"/>
      <c r="M2196" s="343"/>
      <c r="N2196" s="598"/>
      <c r="O2196" s="585"/>
      <c r="P2196" s="747">
        <f t="shared" si="196"/>
        <v>0</v>
      </c>
      <c r="Q2196" s="748">
        <f t="shared" si="197"/>
        <v>0</v>
      </c>
      <c r="R2196" s="758" t="str">
        <f t="shared" si="198"/>
        <v/>
      </c>
      <c r="S2196" s="762"/>
      <c r="T2196" s="762"/>
    </row>
    <row r="2197" spans="1:20" x14ac:dyDescent="0.2">
      <c r="A2197" s="352" t="str">
        <f>IF(B2197="","",COUNT('Diário 1º PA'!$A$4:$A$2635)+COUNT('Diário 2º PA'!$A$4:$A$3040)+COUNT('Diário 3º PA'!$A$4:$A$2731)+ROW()-3)</f>
        <v/>
      </c>
      <c r="B2197" s="600"/>
      <c r="C2197" s="354"/>
      <c r="D2197" s="343"/>
      <c r="E2197" s="343"/>
      <c r="F2197" s="344"/>
      <c r="G2197" s="343"/>
      <c r="H2197" s="343"/>
      <c r="I2197" s="345"/>
      <c r="J2197" s="343"/>
      <c r="K2197" s="343"/>
      <c r="L2197" s="345"/>
      <c r="M2197" s="343"/>
      <c r="N2197" s="598"/>
      <c r="O2197" s="585"/>
      <c r="P2197" s="747">
        <f t="shared" si="196"/>
        <v>0</v>
      </c>
      <c r="Q2197" s="748">
        <f t="shared" si="197"/>
        <v>0</v>
      </c>
      <c r="R2197" s="758" t="str">
        <f t="shared" si="198"/>
        <v/>
      </c>
      <c r="S2197" s="762"/>
      <c r="T2197" s="762"/>
    </row>
    <row r="2198" spans="1:20" x14ac:dyDescent="0.2">
      <c r="A2198" s="352" t="str">
        <f>IF(B2198="","",COUNT('Diário 1º PA'!$A$4:$A$2635)+COUNT('Diário 2º PA'!$A$4:$A$3040)+COUNT('Diário 3º PA'!$A$4:$A$2731)+ROW()-3)</f>
        <v/>
      </c>
      <c r="B2198" s="600"/>
      <c r="C2198" s="354"/>
      <c r="D2198" s="343"/>
      <c r="E2198" s="343"/>
      <c r="F2198" s="344"/>
      <c r="G2198" s="343"/>
      <c r="H2198" s="343"/>
      <c r="I2198" s="345"/>
      <c r="J2198" s="343"/>
      <c r="K2198" s="343"/>
      <c r="L2198" s="345"/>
      <c r="M2198" s="343"/>
      <c r="N2198" s="598"/>
      <c r="O2198" s="585"/>
      <c r="P2198" s="747">
        <f t="shared" si="196"/>
        <v>0</v>
      </c>
      <c r="Q2198" s="748">
        <f t="shared" si="197"/>
        <v>0</v>
      </c>
      <c r="R2198" s="758" t="str">
        <f t="shared" si="198"/>
        <v/>
      </c>
      <c r="S2198" s="762"/>
      <c r="T2198" s="762"/>
    </row>
    <row r="2199" spans="1:20" x14ac:dyDescent="0.2">
      <c r="A2199" s="352" t="str">
        <f>IF(B2199="","",COUNT('Diário 1º PA'!$A$4:$A$2635)+COUNT('Diário 2º PA'!$A$4:$A$3040)+COUNT('Diário 3º PA'!$A$4:$A$2731)+ROW()-3)</f>
        <v/>
      </c>
      <c r="B2199" s="600"/>
      <c r="C2199" s="354"/>
      <c r="D2199" s="343"/>
      <c r="E2199" s="343"/>
      <c r="F2199" s="344"/>
      <c r="G2199" s="343"/>
      <c r="H2199" s="343"/>
      <c r="I2199" s="345"/>
      <c r="J2199" s="343"/>
      <c r="K2199" s="343"/>
      <c r="L2199" s="345"/>
      <c r="M2199" s="343"/>
      <c r="N2199" s="598"/>
      <c r="O2199" s="585"/>
      <c r="P2199" s="747">
        <f t="shared" si="196"/>
        <v>0</v>
      </c>
      <c r="Q2199" s="748">
        <f t="shared" si="197"/>
        <v>0</v>
      </c>
      <c r="R2199" s="758" t="str">
        <f t="shared" si="198"/>
        <v/>
      </c>
      <c r="S2199" s="762"/>
      <c r="T2199" s="762"/>
    </row>
    <row r="2200" spans="1:20" x14ac:dyDescent="0.2">
      <c r="A2200" s="352" t="str">
        <f>IF(B2200="","",COUNT('Diário 1º PA'!$A$4:$A$2635)+COUNT('Diário 2º PA'!$A$4:$A$3040)+COUNT('Diário 3º PA'!$A$4:$A$2731)+ROW()-3)</f>
        <v/>
      </c>
      <c r="B2200" s="600"/>
      <c r="C2200" s="354"/>
      <c r="D2200" s="343"/>
      <c r="E2200" s="343"/>
      <c r="F2200" s="344"/>
      <c r="G2200" s="343"/>
      <c r="H2200" s="343"/>
      <c r="I2200" s="345"/>
      <c r="J2200" s="343"/>
      <c r="K2200" s="343"/>
      <c r="L2200" s="345"/>
      <c r="M2200" s="343"/>
      <c r="N2200" s="598"/>
      <c r="O2200" s="585"/>
      <c r="P2200" s="747">
        <f t="shared" si="196"/>
        <v>0</v>
      </c>
      <c r="Q2200" s="748">
        <f t="shared" si="197"/>
        <v>0</v>
      </c>
      <c r="R2200" s="758" t="str">
        <f t="shared" si="198"/>
        <v/>
      </c>
      <c r="S2200" s="762"/>
      <c r="T2200" s="762"/>
    </row>
    <row r="2201" spans="1:20" x14ac:dyDescent="0.2">
      <c r="A2201" s="352" t="str">
        <f>IF(B2201="","",COUNT('Diário 1º PA'!$A$4:$A$2635)+COUNT('Diário 2º PA'!$A$4:$A$3040)+COUNT('Diário 3º PA'!$A$4:$A$2731)+ROW()-3)</f>
        <v/>
      </c>
      <c r="B2201" s="600"/>
      <c r="C2201" s="354"/>
      <c r="D2201" s="343"/>
      <c r="E2201" s="343"/>
      <c r="F2201" s="344"/>
      <c r="G2201" s="343"/>
      <c r="H2201" s="343"/>
      <c r="I2201" s="345"/>
      <c r="J2201" s="343"/>
      <c r="K2201" s="343"/>
      <c r="L2201" s="345"/>
      <c r="M2201" s="343"/>
      <c r="N2201" s="598"/>
      <c r="O2201" s="585"/>
      <c r="P2201" s="747">
        <f t="shared" si="196"/>
        <v>0</v>
      </c>
      <c r="Q2201" s="748">
        <f t="shared" si="197"/>
        <v>0</v>
      </c>
      <c r="R2201" s="758" t="str">
        <f t="shared" si="198"/>
        <v/>
      </c>
      <c r="S2201" s="762"/>
      <c r="T2201" s="762"/>
    </row>
    <row r="2202" spans="1:20" x14ac:dyDescent="0.2">
      <c r="A2202" s="352" t="str">
        <f>IF(B2202="","",COUNT('Diário 1º PA'!$A$4:$A$2635)+COUNT('Diário 2º PA'!$A$4:$A$3040)+COUNT('Diário 3º PA'!$A$4:$A$2731)+ROW()-3)</f>
        <v/>
      </c>
      <c r="B2202" s="600"/>
      <c r="C2202" s="354"/>
      <c r="D2202" s="343"/>
      <c r="E2202" s="343"/>
      <c r="F2202" s="344"/>
      <c r="G2202" s="343"/>
      <c r="H2202" s="343"/>
      <c r="I2202" s="345"/>
      <c r="J2202" s="343"/>
      <c r="K2202" s="343"/>
      <c r="L2202" s="345"/>
      <c r="M2202" s="343"/>
      <c r="N2202" s="598"/>
      <c r="O2202" s="585"/>
      <c r="P2202" s="747">
        <f t="shared" si="196"/>
        <v>0</v>
      </c>
      <c r="Q2202" s="748">
        <f t="shared" si="197"/>
        <v>0</v>
      </c>
      <c r="R2202" s="758" t="str">
        <f t="shared" si="198"/>
        <v/>
      </c>
      <c r="S2202" s="762"/>
      <c r="T2202" s="762"/>
    </row>
    <row r="2203" spans="1:20" x14ac:dyDescent="0.2">
      <c r="A2203" s="352" t="str">
        <f>IF(B2203="","",COUNT('Diário 1º PA'!$A$4:$A$2635)+COUNT('Diário 2º PA'!$A$4:$A$3040)+COUNT('Diário 3º PA'!$A$4:$A$2731)+ROW()-3)</f>
        <v/>
      </c>
      <c r="B2203" s="600"/>
      <c r="C2203" s="354"/>
      <c r="D2203" s="343"/>
      <c r="E2203" s="343"/>
      <c r="F2203" s="344"/>
      <c r="G2203" s="343"/>
      <c r="H2203" s="343"/>
      <c r="I2203" s="345"/>
      <c r="J2203" s="343"/>
      <c r="K2203" s="343"/>
      <c r="L2203" s="345"/>
      <c r="M2203" s="343"/>
      <c r="N2203" s="598"/>
      <c r="O2203" s="585"/>
      <c r="P2203" s="747">
        <f t="shared" si="196"/>
        <v>0</v>
      </c>
      <c r="Q2203" s="748">
        <f t="shared" si="197"/>
        <v>0</v>
      </c>
      <c r="R2203" s="758" t="str">
        <f t="shared" si="198"/>
        <v/>
      </c>
      <c r="S2203" s="762"/>
      <c r="T2203" s="762"/>
    </row>
    <row r="2204" spans="1:20" x14ac:dyDescent="0.2">
      <c r="A2204" s="352" t="str">
        <f>IF(B2204="","",COUNT('Diário 1º PA'!$A$4:$A$2635)+COUNT('Diário 2º PA'!$A$4:$A$3040)+COUNT('Diário 3º PA'!$A$4:$A$2731)+ROW()-3)</f>
        <v/>
      </c>
      <c r="B2204" s="600"/>
      <c r="C2204" s="354"/>
      <c r="D2204" s="343"/>
      <c r="E2204" s="343"/>
      <c r="F2204" s="344"/>
      <c r="G2204" s="343"/>
      <c r="H2204" s="343"/>
      <c r="I2204" s="345"/>
      <c r="J2204" s="343"/>
      <c r="K2204" s="343"/>
      <c r="L2204" s="345"/>
      <c r="M2204" s="343"/>
      <c r="N2204" s="598"/>
      <c r="O2204" s="585"/>
      <c r="P2204" s="747">
        <f t="shared" si="196"/>
        <v>0</v>
      </c>
      <c r="Q2204" s="748">
        <f t="shared" si="197"/>
        <v>0</v>
      </c>
      <c r="R2204" s="758" t="str">
        <f t="shared" si="198"/>
        <v/>
      </c>
      <c r="S2204" s="762"/>
      <c r="T2204" s="762"/>
    </row>
    <row r="2205" spans="1:20" x14ac:dyDescent="0.2">
      <c r="A2205" s="352" t="str">
        <f>IF(B2205="","",COUNT('Diário 1º PA'!$A$4:$A$2635)+COUNT('Diário 2º PA'!$A$4:$A$3040)+COUNT('Diário 3º PA'!$A$4:$A$2731)+ROW()-3)</f>
        <v/>
      </c>
      <c r="B2205" s="600"/>
      <c r="C2205" s="354"/>
      <c r="D2205" s="343"/>
      <c r="E2205" s="343"/>
      <c r="F2205" s="344"/>
      <c r="G2205" s="343"/>
      <c r="H2205" s="343"/>
      <c r="I2205" s="345"/>
      <c r="J2205" s="343"/>
      <c r="K2205" s="343"/>
      <c r="L2205" s="345"/>
      <c r="M2205" s="343"/>
      <c r="N2205" s="598"/>
      <c r="O2205" s="585"/>
      <c r="P2205" s="747">
        <f t="shared" si="196"/>
        <v>0</v>
      </c>
      <c r="Q2205" s="748">
        <f t="shared" si="197"/>
        <v>0</v>
      </c>
      <c r="R2205" s="758" t="str">
        <f t="shared" si="198"/>
        <v/>
      </c>
      <c r="S2205" s="762"/>
      <c r="T2205" s="762"/>
    </row>
    <row r="2206" spans="1:20" x14ac:dyDescent="0.2">
      <c r="A2206" s="352" t="str">
        <f>IF(B2206="","",COUNT('Diário 1º PA'!$A$4:$A$2635)+COUNT('Diário 2º PA'!$A$4:$A$3040)+COUNT('Diário 3º PA'!$A$4:$A$2731)+ROW()-3)</f>
        <v/>
      </c>
      <c r="B2206" s="600"/>
      <c r="C2206" s="354"/>
      <c r="D2206" s="343"/>
      <c r="E2206" s="343"/>
      <c r="F2206" s="344"/>
      <c r="G2206" s="343"/>
      <c r="H2206" s="343"/>
      <c r="I2206" s="345"/>
      <c r="J2206" s="343"/>
      <c r="K2206" s="343"/>
      <c r="L2206" s="345"/>
      <c r="M2206" s="343"/>
      <c r="N2206" s="598"/>
      <c r="O2206" s="585"/>
      <c r="P2206" s="747">
        <f t="shared" si="196"/>
        <v>0</v>
      </c>
      <c r="Q2206" s="748">
        <f t="shared" si="197"/>
        <v>0</v>
      </c>
      <c r="R2206" s="758" t="str">
        <f t="shared" si="198"/>
        <v/>
      </c>
      <c r="S2206" s="762"/>
      <c r="T2206" s="762"/>
    </row>
    <row r="2207" spans="1:20" x14ac:dyDescent="0.2">
      <c r="A2207" s="352" t="str">
        <f>IF(B2207="","",COUNT('Diário 1º PA'!$A$4:$A$2635)+COUNT('Diário 2º PA'!$A$4:$A$3040)+COUNT('Diário 3º PA'!$A$4:$A$2731)+ROW()-3)</f>
        <v/>
      </c>
      <c r="B2207" s="600"/>
      <c r="C2207" s="354"/>
      <c r="D2207" s="343"/>
      <c r="E2207" s="343"/>
      <c r="F2207" s="344"/>
      <c r="G2207" s="343"/>
      <c r="H2207" s="343"/>
      <c r="I2207" s="345"/>
      <c r="J2207" s="343"/>
      <c r="K2207" s="343"/>
      <c r="L2207" s="345"/>
      <c r="M2207" s="343"/>
      <c r="N2207" s="598"/>
      <c r="O2207" s="585"/>
      <c r="P2207" s="747">
        <f t="shared" si="196"/>
        <v>0</v>
      </c>
      <c r="Q2207" s="748">
        <f t="shared" si="197"/>
        <v>0</v>
      </c>
      <c r="R2207" s="758" t="str">
        <f t="shared" si="198"/>
        <v/>
      </c>
      <c r="S2207" s="762"/>
      <c r="T2207" s="762"/>
    </row>
    <row r="2208" spans="1:20" x14ac:dyDescent="0.2">
      <c r="A2208" s="352" t="str">
        <f>IF(B2208="","",COUNT('Diário 1º PA'!$A$4:$A$2635)+COUNT('Diário 2º PA'!$A$4:$A$3040)+COUNT('Diário 3º PA'!$A$4:$A$2731)+ROW()-3)</f>
        <v/>
      </c>
      <c r="B2208" s="600"/>
      <c r="C2208" s="354"/>
      <c r="D2208" s="343"/>
      <c r="E2208" s="343"/>
      <c r="F2208" s="344"/>
      <c r="G2208" s="343"/>
      <c r="H2208" s="343"/>
      <c r="I2208" s="345"/>
      <c r="J2208" s="343"/>
      <c r="K2208" s="343"/>
      <c r="L2208" s="345"/>
      <c r="M2208" s="343"/>
      <c r="N2208" s="598"/>
      <c r="O2208" s="585"/>
      <c r="P2208" s="747">
        <f t="shared" si="196"/>
        <v>0</v>
      </c>
      <c r="Q2208" s="748">
        <f t="shared" si="197"/>
        <v>0</v>
      </c>
      <c r="R2208" s="758" t="str">
        <f t="shared" si="198"/>
        <v/>
      </c>
      <c r="S2208" s="762"/>
      <c r="T2208" s="762"/>
    </row>
    <row r="2209" spans="1:20" x14ac:dyDescent="0.2">
      <c r="A2209" s="352" t="str">
        <f>IF(B2209="","",COUNT('Diário 1º PA'!$A$4:$A$2635)+COUNT('Diário 2º PA'!$A$4:$A$3040)+COUNT('Diário 3º PA'!$A$4:$A$2731)+ROW()-3)</f>
        <v/>
      </c>
      <c r="B2209" s="600"/>
      <c r="C2209" s="354"/>
      <c r="D2209" s="343"/>
      <c r="E2209" s="343"/>
      <c r="F2209" s="344"/>
      <c r="G2209" s="343"/>
      <c r="H2209" s="343"/>
      <c r="I2209" s="345"/>
      <c r="J2209" s="343"/>
      <c r="K2209" s="343"/>
      <c r="L2209" s="345"/>
      <c r="M2209" s="343"/>
      <c r="N2209" s="598"/>
      <c r="O2209" s="585"/>
      <c r="P2209" s="747">
        <f t="shared" si="196"/>
        <v>0</v>
      </c>
      <c r="Q2209" s="748">
        <f t="shared" si="197"/>
        <v>0</v>
      </c>
      <c r="R2209" s="758" t="str">
        <f t="shared" si="198"/>
        <v/>
      </c>
      <c r="S2209" s="762"/>
      <c r="T2209" s="762"/>
    </row>
    <row r="2210" spans="1:20" x14ac:dyDescent="0.2">
      <c r="A2210" s="352" t="str">
        <f>IF(B2210="","",COUNT('Diário 1º PA'!$A$4:$A$2635)+COUNT('Diário 2º PA'!$A$4:$A$3040)+COUNT('Diário 3º PA'!$A$4:$A$2731)+ROW()-3)</f>
        <v/>
      </c>
      <c r="B2210" s="600"/>
      <c r="C2210" s="354"/>
      <c r="D2210" s="343"/>
      <c r="E2210" s="343"/>
      <c r="F2210" s="344"/>
      <c r="G2210" s="343"/>
      <c r="H2210" s="343"/>
      <c r="I2210" s="345"/>
      <c r="J2210" s="343"/>
      <c r="K2210" s="343"/>
      <c r="L2210" s="345"/>
      <c r="M2210" s="343"/>
      <c r="N2210" s="598"/>
      <c r="O2210" s="585"/>
      <c r="P2210" s="747">
        <f t="shared" si="196"/>
        <v>0</v>
      </c>
      <c r="Q2210" s="748">
        <f t="shared" si="197"/>
        <v>0</v>
      </c>
      <c r="R2210" s="758" t="str">
        <f t="shared" si="198"/>
        <v/>
      </c>
      <c r="S2210" s="762"/>
      <c r="T2210" s="762"/>
    </row>
    <row r="2211" spans="1:20" x14ac:dyDescent="0.2">
      <c r="A2211" s="352" t="str">
        <f>IF(B2211="","",COUNT('Diário 1º PA'!$A$4:$A$2635)+COUNT('Diário 2º PA'!$A$4:$A$3040)+COUNT('Diário 3º PA'!$A$4:$A$2731)+ROW()-3)</f>
        <v/>
      </c>
      <c r="B2211" s="600"/>
      <c r="C2211" s="354"/>
      <c r="D2211" s="343"/>
      <c r="E2211" s="343"/>
      <c r="F2211" s="344"/>
      <c r="G2211" s="343"/>
      <c r="H2211" s="343"/>
      <c r="I2211" s="345"/>
      <c r="J2211" s="343"/>
      <c r="K2211" s="343"/>
      <c r="L2211" s="345"/>
      <c r="M2211" s="343"/>
      <c r="N2211" s="598"/>
      <c r="O2211" s="585"/>
      <c r="P2211" s="747">
        <f t="shared" si="196"/>
        <v>0</v>
      </c>
      <c r="Q2211" s="748">
        <f t="shared" si="197"/>
        <v>0</v>
      </c>
      <c r="R2211" s="758" t="str">
        <f t="shared" si="198"/>
        <v/>
      </c>
      <c r="S2211" s="762"/>
      <c r="T2211" s="762"/>
    </row>
    <row r="2212" spans="1:20" x14ac:dyDescent="0.2">
      <c r="A2212" s="352" t="str">
        <f>IF(B2212="","",COUNT('Diário 1º PA'!$A$4:$A$2635)+COUNT('Diário 2º PA'!$A$4:$A$3040)+COUNT('Diário 3º PA'!$A$4:$A$2731)+ROW()-3)</f>
        <v/>
      </c>
      <c r="B2212" s="600"/>
      <c r="C2212" s="354"/>
      <c r="D2212" s="343"/>
      <c r="E2212" s="343"/>
      <c r="F2212" s="344"/>
      <c r="G2212" s="343"/>
      <c r="H2212" s="343"/>
      <c r="I2212" s="345"/>
      <c r="J2212" s="343"/>
      <c r="K2212" s="343"/>
      <c r="L2212" s="345"/>
      <c r="M2212" s="343"/>
      <c r="N2212" s="598"/>
      <c r="O2212" s="585"/>
      <c r="P2212" s="747">
        <f t="shared" si="196"/>
        <v>0</v>
      </c>
      <c r="Q2212" s="748">
        <f t="shared" si="197"/>
        <v>0</v>
      </c>
      <c r="R2212" s="758" t="str">
        <f t="shared" si="198"/>
        <v/>
      </c>
      <c r="S2212" s="762"/>
      <c r="T2212" s="762"/>
    </row>
    <row r="2213" spans="1:20" x14ac:dyDescent="0.2">
      <c r="A2213" s="352" t="str">
        <f>IF(B2213="","",COUNT('Diário 1º PA'!$A$4:$A$2635)+COUNT('Diário 2º PA'!$A$4:$A$3040)+COUNT('Diário 3º PA'!$A$4:$A$2731)+ROW()-3)</f>
        <v/>
      </c>
      <c r="B2213" s="600"/>
      <c r="C2213" s="354"/>
      <c r="D2213" s="343"/>
      <c r="E2213" s="343"/>
      <c r="F2213" s="344"/>
      <c r="G2213" s="343"/>
      <c r="H2213" s="343"/>
      <c r="I2213" s="345"/>
      <c r="J2213" s="343"/>
      <c r="K2213" s="343"/>
      <c r="L2213" s="345"/>
      <c r="M2213" s="343"/>
      <c r="N2213" s="598"/>
      <c r="O2213" s="585"/>
      <c r="P2213" s="747">
        <f t="shared" si="196"/>
        <v>0</v>
      </c>
      <c r="Q2213" s="748">
        <f t="shared" si="197"/>
        <v>0</v>
      </c>
      <c r="R2213" s="758" t="str">
        <f t="shared" si="198"/>
        <v/>
      </c>
      <c r="S2213" s="762"/>
      <c r="T2213" s="762"/>
    </row>
    <row r="2214" spans="1:20" x14ac:dyDescent="0.2">
      <c r="A2214" s="352" t="str">
        <f>IF(B2214="","",COUNT('Diário 1º PA'!$A$4:$A$2635)+COUNT('Diário 2º PA'!$A$4:$A$3040)+COUNT('Diário 3º PA'!$A$4:$A$2731)+ROW()-3)</f>
        <v/>
      </c>
      <c r="B2214" s="600"/>
      <c r="C2214" s="354"/>
      <c r="D2214" s="343"/>
      <c r="E2214" s="343"/>
      <c r="F2214" s="344"/>
      <c r="G2214" s="343"/>
      <c r="H2214" s="343"/>
      <c r="I2214" s="345"/>
      <c r="J2214" s="343"/>
      <c r="K2214" s="343"/>
      <c r="L2214" s="345"/>
      <c r="M2214" s="343"/>
      <c r="N2214" s="598"/>
      <c r="O2214" s="585"/>
      <c r="P2214" s="747">
        <f t="shared" si="196"/>
        <v>0</v>
      </c>
      <c r="Q2214" s="748">
        <f t="shared" si="197"/>
        <v>0</v>
      </c>
      <c r="R2214" s="758" t="str">
        <f t="shared" si="198"/>
        <v/>
      </c>
      <c r="S2214" s="762"/>
      <c r="T2214" s="762"/>
    </row>
    <row r="2215" spans="1:20" x14ac:dyDescent="0.2">
      <c r="A2215" s="352" t="str">
        <f>IF(B2215="","",COUNT('Diário 1º PA'!$A$4:$A$2635)+COUNT('Diário 2º PA'!$A$4:$A$3040)+COUNT('Diário 3º PA'!$A$4:$A$2731)+ROW()-3)</f>
        <v/>
      </c>
      <c r="B2215" s="600"/>
      <c r="C2215" s="354"/>
      <c r="D2215" s="343"/>
      <c r="E2215" s="343"/>
      <c r="F2215" s="344"/>
      <c r="G2215" s="343"/>
      <c r="H2215" s="343"/>
      <c r="I2215" s="345"/>
      <c r="J2215" s="343"/>
      <c r="K2215" s="343"/>
      <c r="L2215" s="345"/>
      <c r="M2215" s="343"/>
      <c r="N2215" s="598"/>
      <c r="O2215" s="585"/>
      <c r="P2215" s="747">
        <f t="shared" si="196"/>
        <v>0</v>
      </c>
      <c r="Q2215" s="748">
        <f t="shared" si="197"/>
        <v>0</v>
      </c>
      <c r="R2215" s="758" t="str">
        <f t="shared" si="198"/>
        <v/>
      </c>
      <c r="S2215" s="762"/>
      <c r="T2215" s="762"/>
    </row>
    <row r="2216" spans="1:20" x14ac:dyDescent="0.2">
      <c r="A2216" s="352" t="str">
        <f>IF(B2216="","",COUNT('Diário 1º PA'!$A$4:$A$2635)+COUNT('Diário 2º PA'!$A$4:$A$3040)+COUNT('Diário 3º PA'!$A$4:$A$2731)+ROW()-3)</f>
        <v/>
      </c>
      <c r="B2216" s="600"/>
      <c r="C2216" s="354"/>
      <c r="D2216" s="343"/>
      <c r="E2216" s="343"/>
      <c r="F2216" s="344"/>
      <c r="G2216" s="343"/>
      <c r="H2216" s="343"/>
      <c r="I2216" s="345"/>
      <c r="J2216" s="343"/>
      <c r="K2216" s="343"/>
      <c r="L2216" s="345"/>
      <c r="M2216" s="343"/>
      <c r="N2216" s="598"/>
      <c r="O2216" s="585"/>
      <c r="P2216" s="747">
        <f t="shared" si="196"/>
        <v>0</v>
      </c>
      <c r="Q2216" s="748">
        <f t="shared" si="197"/>
        <v>0</v>
      </c>
      <c r="R2216" s="758" t="str">
        <f t="shared" si="198"/>
        <v/>
      </c>
      <c r="S2216" s="762"/>
      <c r="T2216" s="762"/>
    </row>
    <row r="2217" spans="1:20" x14ac:dyDescent="0.2">
      <c r="A2217" s="352" t="str">
        <f>IF(B2217="","",COUNT('Diário 1º PA'!$A$4:$A$2635)+COUNT('Diário 2º PA'!$A$4:$A$3040)+COUNT('Diário 3º PA'!$A$4:$A$2731)+ROW()-3)</f>
        <v/>
      </c>
      <c r="B2217" s="600"/>
      <c r="C2217" s="354"/>
      <c r="D2217" s="343"/>
      <c r="E2217" s="343"/>
      <c r="F2217" s="344"/>
      <c r="G2217" s="343"/>
      <c r="H2217" s="343"/>
      <c r="I2217" s="345"/>
      <c r="J2217" s="343"/>
      <c r="K2217" s="343"/>
      <c r="L2217" s="345"/>
      <c r="M2217" s="343"/>
      <c r="N2217" s="598"/>
      <c r="O2217" s="585"/>
      <c r="P2217" s="747">
        <f t="shared" si="196"/>
        <v>0</v>
      </c>
      <c r="Q2217" s="748">
        <f t="shared" si="197"/>
        <v>0</v>
      </c>
      <c r="R2217" s="758" t="str">
        <f t="shared" si="198"/>
        <v/>
      </c>
      <c r="S2217" s="762"/>
      <c r="T2217" s="762"/>
    </row>
    <row r="2218" spans="1:20" x14ac:dyDescent="0.2">
      <c r="A2218" s="352" t="str">
        <f>IF(B2218="","",COUNT('Diário 1º PA'!$A$4:$A$2635)+COUNT('Diário 2º PA'!$A$4:$A$3040)+COUNT('Diário 3º PA'!$A$4:$A$2731)+ROW()-3)</f>
        <v/>
      </c>
      <c r="B2218" s="600"/>
      <c r="C2218" s="354"/>
      <c r="D2218" s="343"/>
      <c r="E2218" s="343"/>
      <c r="F2218" s="344"/>
      <c r="G2218" s="343"/>
      <c r="H2218" s="343"/>
      <c r="I2218" s="345"/>
      <c r="J2218" s="343"/>
      <c r="K2218" s="343"/>
      <c r="L2218" s="345"/>
      <c r="M2218" s="343"/>
      <c r="N2218" s="598"/>
      <c r="O2218" s="585"/>
      <c r="P2218" s="747">
        <f t="shared" si="196"/>
        <v>0</v>
      </c>
      <c r="Q2218" s="748">
        <f t="shared" si="197"/>
        <v>0</v>
      </c>
      <c r="R2218" s="758" t="str">
        <f t="shared" si="198"/>
        <v/>
      </c>
      <c r="S2218" s="762"/>
      <c r="T2218" s="762"/>
    </row>
    <row r="2219" spans="1:20" x14ac:dyDescent="0.2">
      <c r="A2219" s="352" t="str">
        <f>IF(B2219="","",COUNT('Diário 1º PA'!$A$4:$A$2635)+COUNT('Diário 2º PA'!$A$4:$A$3040)+COUNT('Diário 3º PA'!$A$4:$A$2731)+ROW()-3)</f>
        <v/>
      </c>
      <c r="B2219" s="600"/>
      <c r="C2219" s="354"/>
      <c r="D2219" s="343"/>
      <c r="E2219" s="343"/>
      <c r="F2219" s="344"/>
      <c r="G2219" s="343"/>
      <c r="H2219" s="343"/>
      <c r="I2219" s="345"/>
      <c r="J2219" s="343"/>
      <c r="K2219" s="343"/>
      <c r="L2219" s="345"/>
      <c r="M2219" s="343"/>
      <c r="N2219" s="598"/>
      <c r="O2219" s="585"/>
      <c r="P2219" s="747">
        <f t="shared" si="196"/>
        <v>0</v>
      </c>
      <c r="Q2219" s="748">
        <f t="shared" si="197"/>
        <v>0</v>
      </c>
      <c r="R2219" s="758" t="str">
        <f t="shared" si="198"/>
        <v/>
      </c>
      <c r="S2219" s="762"/>
      <c r="T2219" s="762"/>
    </row>
    <row r="2220" spans="1:20" x14ac:dyDescent="0.2">
      <c r="A2220" s="352" t="str">
        <f>IF(B2220="","",COUNT('Diário 1º PA'!$A$4:$A$2635)+COUNT('Diário 2º PA'!$A$4:$A$3040)+COUNT('Diário 3º PA'!$A$4:$A$2731)+ROW()-3)</f>
        <v/>
      </c>
      <c r="B2220" s="600"/>
      <c r="C2220" s="354"/>
      <c r="D2220" s="343"/>
      <c r="E2220" s="343"/>
      <c r="F2220" s="344"/>
      <c r="G2220" s="343"/>
      <c r="H2220" s="343"/>
      <c r="I2220" s="345"/>
      <c r="J2220" s="343"/>
      <c r="K2220" s="343"/>
      <c r="L2220" s="345"/>
      <c r="M2220" s="343"/>
      <c r="N2220" s="598"/>
      <c r="O2220" s="585"/>
      <c r="P2220" s="747">
        <f t="shared" si="196"/>
        <v>0</v>
      </c>
      <c r="Q2220" s="748">
        <f t="shared" si="197"/>
        <v>0</v>
      </c>
      <c r="R2220" s="758" t="str">
        <f t="shared" si="198"/>
        <v/>
      </c>
      <c r="S2220" s="762"/>
      <c r="T2220" s="762"/>
    </row>
    <row r="2221" spans="1:20" x14ac:dyDescent="0.2">
      <c r="A2221" s="352" t="str">
        <f>IF(B2221="","",COUNT('Diário 1º PA'!$A$4:$A$2635)+COUNT('Diário 2º PA'!$A$4:$A$3040)+COUNT('Diário 3º PA'!$A$4:$A$2731)+ROW()-3)</f>
        <v/>
      </c>
      <c r="B2221" s="600"/>
      <c r="C2221" s="354"/>
      <c r="D2221" s="343"/>
      <c r="E2221" s="343"/>
      <c r="F2221" s="344"/>
      <c r="G2221" s="343"/>
      <c r="H2221" s="343"/>
      <c r="I2221" s="345"/>
      <c r="J2221" s="343"/>
      <c r="K2221" s="343"/>
      <c r="L2221" s="345"/>
      <c r="M2221" s="343"/>
      <c r="N2221" s="598"/>
      <c r="O2221" s="585"/>
      <c r="P2221" s="747">
        <f t="shared" si="196"/>
        <v>0</v>
      </c>
      <c r="Q2221" s="748">
        <f t="shared" si="197"/>
        <v>0</v>
      </c>
      <c r="R2221" s="758" t="str">
        <f t="shared" si="198"/>
        <v/>
      </c>
      <c r="S2221" s="762"/>
      <c r="T2221" s="762"/>
    </row>
    <row r="2222" spans="1:20" x14ac:dyDescent="0.2">
      <c r="A2222" s="352" t="str">
        <f>IF(B2222="","",COUNT('Diário 1º PA'!$A$4:$A$2635)+COUNT('Diário 2º PA'!$A$4:$A$3040)+COUNT('Diário 3º PA'!$A$4:$A$2731)+ROW()-3)</f>
        <v/>
      </c>
      <c r="B2222" s="600"/>
      <c r="C2222" s="354"/>
      <c r="D2222" s="343"/>
      <c r="E2222" s="343"/>
      <c r="F2222" s="344"/>
      <c r="G2222" s="343"/>
      <c r="H2222" s="343"/>
      <c r="I2222" s="345"/>
      <c r="J2222" s="343"/>
      <c r="K2222" s="343"/>
      <c r="L2222" s="345"/>
      <c r="M2222" s="343"/>
      <c r="N2222" s="598"/>
      <c r="O2222" s="585"/>
      <c r="P2222" s="747">
        <f t="shared" si="196"/>
        <v>0</v>
      </c>
      <c r="Q2222" s="748">
        <f t="shared" si="197"/>
        <v>0</v>
      </c>
      <c r="R2222" s="758" t="str">
        <f t="shared" si="198"/>
        <v/>
      </c>
      <c r="S2222" s="762"/>
      <c r="T2222" s="762"/>
    </row>
    <row r="2223" spans="1:20" x14ac:dyDescent="0.2">
      <c r="A2223" s="352" t="str">
        <f>IF(B2223="","",COUNT('Diário 1º PA'!$A$4:$A$2635)+COUNT('Diário 2º PA'!$A$4:$A$3040)+COUNT('Diário 3º PA'!$A$4:$A$2731)+ROW()-3)</f>
        <v/>
      </c>
      <c r="B2223" s="600"/>
      <c r="C2223" s="354"/>
      <c r="D2223" s="343"/>
      <c r="E2223" s="343"/>
      <c r="F2223" s="344"/>
      <c r="G2223" s="343"/>
      <c r="H2223" s="343"/>
      <c r="I2223" s="345"/>
      <c r="J2223" s="343"/>
      <c r="K2223" s="343"/>
      <c r="L2223" s="345"/>
      <c r="M2223" s="343"/>
      <c r="N2223" s="598"/>
      <c r="O2223" s="585"/>
      <c r="P2223" s="747">
        <f t="shared" si="196"/>
        <v>0</v>
      </c>
      <c r="Q2223" s="748">
        <f t="shared" si="197"/>
        <v>0</v>
      </c>
      <c r="R2223" s="758" t="str">
        <f t="shared" si="198"/>
        <v/>
      </c>
      <c r="S2223" s="762"/>
      <c r="T2223" s="762"/>
    </row>
    <row r="2224" spans="1:20" x14ac:dyDescent="0.2">
      <c r="A2224" s="352" t="str">
        <f>IF(B2224="","",COUNT('Diário 1º PA'!$A$4:$A$2635)+COUNT('Diário 2º PA'!$A$4:$A$3040)+COUNT('Diário 3º PA'!$A$4:$A$2731)+ROW()-3)</f>
        <v/>
      </c>
      <c r="B2224" s="600"/>
      <c r="C2224" s="354"/>
      <c r="D2224" s="343"/>
      <c r="E2224" s="343"/>
      <c r="F2224" s="344"/>
      <c r="G2224" s="343"/>
      <c r="H2224" s="343"/>
      <c r="I2224" s="345"/>
      <c r="J2224" s="343"/>
      <c r="K2224" s="343"/>
      <c r="L2224" s="345"/>
      <c r="M2224" s="343"/>
      <c r="N2224" s="598"/>
      <c r="O2224" s="585"/>
      <c r="P2224" s="747">
        <f t="shared" si="196"/>
        <v>0</v>
      </c>
      <c r="Q2224" s="748">
        <f t="shared" si="197"/>
        <v>0</v>
      </c>
      <c r="R2224" s="758" t="str">
        <f t="shared" si="198"/>
        <v/>
      </c>
      <c r="S2224" s="762"/>
      <c r="T2224" s="762"/>
    </row>
    <row r="2225" spans="1:20" x14ac:dyDescent="0.2">
      <c r="A2225" s="352" t="str">
        <f>IF(B2225="","",COUNT('Diário 1º PA'!$A$4:$A$2635)+COUNT('Diário 2º PA'!$A$4:$A$3040)+COUNT('Diário 3º PA'!$A$4:$A$2731)+ROW()-3)</f>
        <v/>
      </c>
      <c r="B2225" s="600"/>
      <c r="C2225" s="354"/>
      <c r="D2225" s="343"/>
      <c r="E2225" s="343"/>
      <c r="F2225" s="344"/>
      <c r="G2225" s="343"/>
      <c r="H2225" s="343"/>
      <c r="I2225" s="345"/>
      <c r="J2225" s="343"/>
      <c r="K2225" s="343"/>
      <c r="L2225" s="345"/>
      <c r="M2225" s="343"/>
      <c r="N2225" s="598"/>
      <c r="O2225" s="585"/>
      <c r="P2225" s="747">
        <f t="shared" si="196"/>
        <v>0</v>
      </c>
      <c r="Q2225" s="748">
        <f t="shared" si="197"/>
        <v>0</v>
      </c>
      <c r="R2225" s="758" t="str">
        <f t="shared" si="198"/>
        <v/>
      </c>
      <c r="S2225" s="762"/>
      <c r="T2225" s="762"/>
    </row>
    <row r="2226" spans="1:20" x14ac:dyDescent="0.2">
      <c r="A2226" s="352" t="str">
        <f>IF(B2226="","",COUNT('Diário 1º PA'!$A$4:$A$2635)+COUNT('Diário 2º PA'!$A$4:$A$3040)+COUNT('Diário 3º PA'!$A$4:$A$2731)+ROW()-3)</f>
        <v/>
      </c>
      <c r="B2226" s="600"/>
      <c r="C2226" s="354"/>
      <c r="D2226" s="343"/>
      <c r="E2226" s="343"/>
      <c r="F2226" s="344"/>
      <c r="G2226" s="343"/>
      <c r="H2226" s="343"/>
      <c r="I2226" s="345"/>
      <c r="J2226" s="343"/>
      <c r="K2226" s="343"/>
      <c r="L2226" s="345"/>
      <c r="M2226" s="343"/>
      <c r="N2226" s="598"/>
      <c r="O2226" s="585"/>
      <c r="P2226" s="747">
        <f t="shared" si="196"/>
        <v>0</v>
      </c>
      <c r="Q2226" s="748">
        <f t="shared" si="197"/>
        <v>0</v>
      </c>
      <c r="R2226" s="758" t="str">
        <f t="shared" si="198"/>
        <v/>
      </c>
      <c r="S2226" s="762"/>
      <c r="T2226" s="762"/>
    </row>
    <row r="2227" spans="1:20" x14ac:dyDescent="0.2">
      <c r="A2227" s="352" t="str">
        <f>IF(B2227="","",COUNT('Diário 1º PA'!$A$4:$A$2635)+COUNT('Diário 2º PA'!$A$4:$A$3040)+COUNT('Diário 3º PA'!$A$4:$A$2731)+ROW()-3)</f>
        <v/>
      </c>
      <c r="B2227" s="600"/>
      <c r="C2227" s="354"/>
      <c r="D2227" s="343"/>
      <c r="E2227" s="343"/>
      <c r="F2227" s="344"/>
      <c r="G2227" s="343"/>
      <c r="H2227" s="343"/>
      <c r="I2227" s="345"/>
      <c r="J2227" s="343"/>
      <c r="K2227" s="343"/>
      <c r="L2227" s="345"/>
      <c r="M2227" s="343"/>
      <c r="N2227" s="598"/>
      <c r="O2227" s="585"/>
      <c r="P2227" s="747">
        <f t="shared" si="196"/>
        <v>0</v>
      </c>
      <c r="Q2227" s="748">
        <f t="shared" si="197"/>
        <v>0</v>
      </c>
      <c r="R2227" s="758" t="str">
        <f t="shared" si="198"/>
        <v/>
      </c>
      <c r="S2227" s="762"/>
      <c r="T2227" s="762"/>
    </row>
    <row r="2228" spans="1:20" x14ac:dyDescent="0.2">
      <c r="A2228" s="352" t="str">
        <f>IF(B2228="","",COUNT('Diário 1º PA'!$A$4:$A$2635)+COUNT('Diário 2º PA'!$A$4:$A$3040)+COUNT('Diário 3º PA'!$A$4:$A$2731)+ROW()-3)</f>
        <v/>
      </c>
      <c r="B2228" s="600"/>
      <c r="C2228" s="354"/>
      <c r="D2228" s="343"/>
      <c r="E2228" s="343"/>
      <c r="F2228" s="344"/>
      <c r="G2228" s="343"/>
      <c r="H2228" s="343"/>
      <c r="I2228" s="345"/>
      <c r="J2228" s="343"/>
      <c r="K2228" s="343"/>
      <c r="L2228" s="345"/>
      <c r="M2228" s="343"/>
      <c r="N2228" s="598"/>
      <c r="O2228" s="585"/>
      <c r="P2228" s="747">
        <f t="shared" si="196"/>
        <v>0</v>
      </c>
      <c r="Q2228" s="748">
        <f t="shared" si="197"/>
        <v>0</v>
      </c>
      <c r="R2228" s="758" t="str">
        <f t="shared" si="198"/>
        <v/>
      </c>
      <c r="S2228" s="762"/>
      <c r="T2228" s="762"/>
    </row>
    <row r="2229" spans="1:20" x14ac:dyDescent="0.2">
      <c r="A2229" s="352" t="str">
        <f>IF(B2229="","",COUNT('Diário 1º PA'!$A$4:$A$2635)+COUNT('Diário 2º PA'!$A$4:$A$3040)+COUNT('Diário 3º PA'!$A$4:$A$2731)+ROW()-3)</f>
        <v/>
      </c>
      <c r="B2229" s="600"/>
      <c r="C2229" s="354"/>
      <c r="D2229" s="343"/>
      <c r="E2229" s="343"/>
      <c r="F2229" s="344"/>
      <c r="G2229" s="343"/>
      <c r="H2229" s="343"/>
      <c r="I2229" s="345"/>
      <c r="J2229" s="343"/>
      <c r="K2229" s="343"/>
      <c r="L2229" s="345"/>
      <c r="M2229" s="343"/>
      <c r="N2229" s="598"/>
      <c r="O2229" s="585"/>
      <c r="P2229" s="747">
        <f t="shared" si="196"/>
        <v>0</v>
      </c>
      <c r="Q2229" s="748">
        <f t="shared" si="197"/>
        <v>0</v>
      </c>
      <c r="R2229" s="758" t="str">
        <f t="shared" si="198"/>
        <v/>
      </c>
      <c r="S2229" s="762"/>
      <c r="T2229" s="762"/>
    </row>
    <row r="2230" spans="1:20" x14ac:dyDescent="0.2">
      <c r="A2230" s="352" t="str">
        <f>IF(B2230="","",COUNT('Diário 1º PA'!$A$4:$A$2635)+COUNT('Diário 2º PA'!$A$4:$A$3040)+COUNT('Diário 3º PA'!$A$4:$A$2731)+ROW()-3)</f>
        <v/>
      </c>
      <c r="B2230" s="600"/>
      <c r="C2230" s="354"/>
      <c r="D2230" s="343"/>
      <c r="E2230" s="343"/>
      <c r="F2230" s="344"/>
      <c r="G2230" s="343"/>
      <c r="H2230" s="343"/>
      <c r="I2230" s="345"/>
      <c r="J2230" s="343"/>
      <c r="K2230" s="343"/>
      <c r="L2230" s="345"/>
      <c r="M2230" s="343"/>
      <c r="N2230" s="598"/>
      <c r="O2230" s="585"/>
      <c r="P2230" s="747">
        <f t="shared" si="196"/>
        <v>0</v>
      </c>
      <c r="Q2230" s="748">
        <f t="shared" si="197"/>
        <v>0</v>
      </c>
      <c r="R2230" s="758" t="str">
        <f t="shared" si="198"/>
        <v/>
      </c>
      <c r="S2230" s="762"/>
      <c r="T2230" s="762"/>
    </row>
    <row r="2231" spans="1:20" x14ac:dyDescent="0.2">
      <c r="A2231" s="352" t="str">
        <f>IF(B2231="","",COUNT('Diário 1º PA'!$A$4:$A$2635)+COUNT('Diário 2º PA'!$A$4:$A$3040)+COUNT('Diário 3º PA'!$A$4:$A$2731)+ROW()-3)</f>
        <v/>
      </c>
      <c r="B2231" s="600"/>
      <c r="C2231" s="354"/>
      <c r="D2231" s="343"/>
      <c r="E2231" s="343"/>
      <c r="F2231" s="344"/>
      <c r="G2231" s="343"/>
      <c r="H2231" s="343"/>
      <c r="I2231" s="345"/>
      <c r="J2231" s="343"/>
      <c r="K2231" s="343"/>
      <c r="L2231" s="345"/>
      <c r="M2231" s="343"/>
      <c r="N2231" s="598"/>
      <c r="O2231" s="585"/>
      <c r="P2231" s="747">
        <f t="shared" si="196"/>
        <v>0</v>
      </c>
      <c r="Q2231" s="748">
        <f t="shared" si="197"/>
        <v>0</v>
      </c>
      <c r="R2231" s="758" t="str">
        <f t="shared" si="198"/>
        <v/>
      </c>
      <c r="S2231" s="762"/>
      <c r="T2231" s="762"/>
    </row>
    <row r="2232" spans="1:20" x14ac:dyDescent="0.2">
      <c r="A2232" s="352" t="str">
        <f>IF(B2232="","",COUNT('Diário 1º PA'!$A$4:$A$2635)+COUNT('Diário 2º PA'!$A$4:$A$3040)+COUNT('Diário 3º PA'!$A$4:$A$2731)+ROW()-3)</f>
        <v/>
      </c>
      <c r="B2232" s="600"/>
      <c r="C2232" s="354"/>
      <c r="D2232" s="343"/>
      <c r="E2232" s="343"/>
      <c r="F2232" s="344"/>
      <c r="G2232" s="343"/>
      <c r="H2232" s="343"/>
      <c r="I2232" s="345"/>
      <c r="J2232" s="343"/>
      <c r="K2232" s="343"/>
      <c r="L2232" s="345"/>
      <c r="M2232" s="343"/>
      <c r="N2232" s="598"/>
      <c r="O2232" s="585"/>
      <c r="P2232" s="747">
        <f t="shared" si="196"/>
        <v>0</v>
      </c>
      <c r="Q2232" s="748">
        <f t="shared" si="197"/>
        <v>0</v>
      </c>
      <c r="R2232" s="758" t="str">
        <f t="shared" si="198"/>
        <v/>
      </c>
      <c r="S2232" s="762"/>
      <c r="T2232" s="762"/>
    </row>
    <row r="2233" spans="1:20" x14ac:dyDescent="0.2">
      <c r="A2233" s="352" t="str">
        <f>IF(B2233="","",COUNT('Diário 1º PA'!$A$4:$A$2635)+COUNT('Diário 2º PA'!$A$4:$A$3040)+COUNT('Diário 3º PA'!$A$4:$A$2731)+ROW()-3)</f>
        <v/>
      </c>
      <c r="B2233" s="600"/>
      <c r="C2233" s="354"/>
      <c r="D2233" s="343"/>
      <c r="E2233" s="343"/>
      <c r="F2233" s="344"/>
      <c r="G2233" s="343"/>
      <c r="H2233" s="343"/>
      <c r="I2233" s="345"/>
      <c r="J2233" s="343"/>
      <c r="K2233" s="343"/>
      <c r="L2233" s="345"/>
      <c r="M2233" s="343"/>
      <c r="N2233" s="598"/>
      <c r="O2233" s="585"/>
      <c r="P2233" s="747">
        <f t="shared" si="196"/>
        <v>0</v>
      </c>
      <c r="Q2233" s="748">
        <f t="shared" si="197"/>
        <v>0</v>
      </c>
      <c r="R2233" s="758" t="str">
        <f t="shared" si="198"/>
        <v/>
      </c>
      <c r="S2233" s="762"/>
      <c r="T2233" s="762"/>
    </row>
    <row r="2234" spans="1:20" x14ac:dyDescent="0.2">
      <c r="A2234" s="352" t="str">
        <f>IF(B2234="","",COUNT('Diário 1º PA'!$A$4:$A$2635)+COUNT('Diário 2º PA'!$A$4:$A$3040)+COUNT('Diário 3º PA'!$A$4:$A$2731)+ROW()-3)</f>
        <v/>
      </c>
      <c r="B2234" s="600"/>
      <c r="C2234" s="354"/>
      <c r="D2234" s="343"/>
      <c r="E2234" s="343"/>
      <c r="F2234" s="344"/>
      <c r="G2234" s="343"/>
      <c r="H2234" s="343"/>
      <c r="I2234" s="345"/>
      <c r="J2234" s="343"/>
      <c r="K2234" s="343"/>
      <c r="L2234" s="345"/>
      <c r="M2234" s="343"/>
      <c r="N2234" s="598"/>
      <c r="O2234" s="585"/>
      <c r="P2234" s="747">
        <f t="shared" ref="P2234:P2297" si="199">IF(B2234=0,0,IF(YEAR(B2234)=$Q$1,MONTH(B2234)-$P$1+1,(YEAR(B2234)-$Q$1)*12-$P$1+1+MONTH(B2234)))</f>
        <v>0</v>
      </c>
      <c r="Q2234" s="748">
        <f t="shared" ref="Q2234:Q2297" si="200">IF(C2234=0,0,IF(YEAR(C2234)=$Q$1,MONTH(C2234)-$P$1+1,(YEAR(C2234)-$Q$1)*12-$P$1+1+MONTH(C2234)))</f>
        <v>0</v>
      </c>
      <c r="R2234" s="758" t="str">
        <f t="shared" ref="R2234:R2297" si="201">SUBSTITUTE(D2234," ","_")</f>
        <v/>
      </c>
      <c r="S2234" s="762"/>
      <c r="T2234" s="762"/>
    </row>
    <row r="2235" spans="1:20" x14ac:dyDescent="0.2">
      <c r="A2235" s="352" t="str">
        <f>IF(B2235="","",COUNT('Diário 1º PA'!$A$4:$A$2635)+COUNT('Diário 2º PA'!$A$4:$A$3040)+COUNT('Diário 3º PA'!$A$4:$A$2731)+ROW()-3)</f>
        <v/>
      </c>
      <c r="B2235" s="600"/>
      <c r="C2235" s="354"/>
      <c r="D2235" s="343"/>
      <c r="E2235" s="343"/>
      <c r="F2235" s="344"/>
      <c r="G2235" s="343"/>
      <c r="H2235" s="343"/>
      <c r="I2235" s="345"/>
      <c r="J2235" s="343"/>
      <c r="K2235" s="343"/>
      <c r="L2235" s="345"/>
      <c r="M2235" s="343"/>
      <c r="N2235" s="598"/>
      <c r="O2235" s="585"/>
      <c r="P2235" s="747">
        <f t="shared" si="199"/>
        <v>0</v>
      </c>
      <c r="Q2235" s="748">
        <f t="shared" si="200"/>
        <v>0</v>
      </c>
      <c r="R2235" s="758" t="str">
        <f t="shared" si="201"/>
        <v/>
      </c>
      <c r="S2235" s="762"/>
      <c r="T2235" s="762"/>
    </row>
    <row r="2236" spans="1:20" x14ac:dyDescent="0.2">
      <c r="A2236" s="352" t="str">
        <f>IF(B2236="","",COUNT('Diário 1º PA'!$A$4:$A$2635)+COUNT('Diário 2º PA'!$A$4:$A$3040)+COUNT('Diário 3º PA'!$A$4:$A$2731)+ROW()-3)</f>
        <v/>
      </c>
      <c r="B2236" s="600"/>
      <c r="C2236" s="354"/>
      <c r="D2236" s="343"/>
      <c r="E2236" s="343"/>
      <c r="F2236" s="344"/>
      <c r="G2236" s="343"/>
      <c r="H2236" s="343"/>
      <c r="I2236" s="345"/>
      <c r="J2236" s="343"/>
      <c r="K2236" s="343"/>
      <c r="L2236" s="345"/>
      <c r="M2236" s="343"/>
      <c r="N2236" s="598"/>
      <c r="O2236" s="585"/>
      <c r="P2236" s="747">
        <f t="shared" si="199"/>
        <v>0</v>
      </c>
      <c r="Q2236" s="748">
        <f t="shared" si="200"/>
        <v>0</v>
      </c>
      <c r="R2236" s="758" t="str">
        <f t="shared" si="201"/>
        <v/>
      </c>
      <c r="S2236" s="762"/>
      <c r="T2236" s="762"/>
    </row>
    <row r="2237" spans="1:20" x14ac:dyDescent="0.2">
      <c r="A2237" s="352" t="str">
        <f>IF(B2237="","",COUNT('Diário 1º PA'!$A$4:$A$2635)+COUNT('Diário 2º PA'!$A$4:$A$3040)+COUNT('Diário 3º PA'!$A$4:$A$2731)+ROW()-3)</f>
        <v/>
      </c>
      <c r="B2237" s="600"/>
      <c r="C2237" s="354"/>
      <c r="D2237" s="343"/>
      <c r="E2237" s="343"/>
      <c r="F2237" s="344"/>
      <c r="G2237" s="343"/>
      <c r="H2237" s="343"/>
      <c r="I2237" s="345"/>
      <c r="J2237" s="343"/>
      <c r="K2237" s="343"/>
      <c r="L2237" s="345"/>
      <c r="M2237" s="343"/>
      <c r="N2237" s="598"/>
      <c r="O2237" s="585"/>
      <c r="P2237" s="747">
        <f t="shared" si="199"/>
        <v>0</v>
      </c>
      <c r="Q2237" s="748">
        <f t="shared" si="200"/>
        <v>0</v>
      </c>
      <c r="R2237" s="758" t="str">
        <f t="shared" si="201"/>
        <v/>
      </c>
      <c r="S2237" s="762"/>
      <c r="T2237" s="762"/>
    </row>
    <row r="2238" spans="1:20" x14ac:dyDescent="0.2">
      <c r="A2238" s="352" t="str">
        <f>IF(B2238="","",COUNT('Diário 1º PA'!$A$4:$A$2635)+COUNT('Diário 2º PA'!$A$4:$A$3040)+COUNT('Diário 3º PA'!$A$4:$A$2731)+ROW()-3)</f>
        <v/>
      </c>
      <c r="B2238" s="600"/>
      <c r="C2238" s="354"/>
      <c r="D2238" s="343"/>
      <c r="E2238" s="343"/>
      <c r="F2238" s="344"/>
      <c r="G2238" s="343"/>
      <c r="H2238" s="343"/>
      <c r="I2238" s="345"/>
      <c r="J2238" s="343"/>
      <c r="K2238" s="343"/>
      <c r="L2238" s="345"/>
      <c r="M2238" s="343"/>
      <c r="N2238" s="598"/>
      <c r="O2238" s="585"/>
      <c r="P2238" s="747">
        <f t="shared" si="199"/>
        <v>0</v>
      </c>
      <c r="Q2238" s="748">
        <f t="shared" si="200"/>
        <v>0</v>
      </c>
      <c r="R2238" s="758" t="str">
        <f t="shared" si="201"/>
        <v/>
      </c>
      <c r="S2238" s="762"/>
      <c r="T2238" s="762"/>
    </row>
    <row r="2239" spans="1:20" x14ac:dyDescent="0.2">
      <c r="A2239" s="352" t="str">
        <f>IF(B2239="","",COUNT('Diário 1º PA'!$A$4:$A$2635)+COUNT('Diário 2º PA'!$A$4:$A$3040)+COUNT('Diário 3º PA'!$A$4:$A$2731)+ROW()-3)</f>
        <v/>
      </c>
      <c r="B2239" s="600"/>
      <c r="C2239" s="354"/>
      <c r="D2239" s="343"/>
      <c r="E2239" s="343"/>
      <c r="F2239" s="344"/>
      <c r="G2239" s="343"/>
      <c r="H2239" s="343"/>
      <c r="I2239" s="345"/>
      <c r="J2239" s="343"/>
      <c r="K2239" s="343"/>
      <c r="L2239" s="345"/>
      <c r="M2239" s="343"/>
      <c r="N2239" s="598"/>
      <c r="O2239" s="585"/>
      <c r="P2239" s="747">
        <f t="shared" si="199"/>
        <v>0</v>
      </c>
      <c r="Q2239" s="748">
        <f t="shared" si="200"/>
        <v>0</v>
      </c>
      <c r="R2239" s="758" t="str">
        <f t="shared" si="201"/>
        <v/>
      </c>
      <c r="S2239" s="762"/>
      <c r="T2239" s="762"/>
    </row>
    <row r="2240" spans="1:20" x14ac:dyDescent="0.2">
      <c r="A2240" s="352" t="str">
        <f>IF(B2240="","",COUNT('Diário 1º PA'!$A$4:$A$2635)+COUNT('Diário 2º PA'!$A$4:$A$3040)+COUNT('Diário 3º PA'!$A$4:$A$2731)+ROW()-3)</f>
        <v/>
      </c>
      <c r="B2240" s="600"/>
      <c r="C2240" s="354"/>
      <c r="D2240" s="343"/>
      <c r="E2240" s="343"/>
      <c r="F2240" s="344"/>
      <c r="G2240" s="343"/>
      <c r="H2240" s="343"/>
      <c r="I2240" s="345"/>
      <c r="J2240" s="343"/>
      <c r="K2240" s="343"/>
      <c r="L2240" s="345"/>
      <c r="M2240" s="343"/>
      <c r="N2240" s="598"/>
      <c r="O2240" s="585"/>
      <c r="P2240" s="747">
        <f t="shared" si="199"/>
        <v>0</v>
      </c>
      <c r="Q2240" s="748">
        <f t="shared" si="200"/>
        <v>0</v>
      </c>
      <c r="R2240" s="758" t="str">
        <f t="shared" si="201"/>
        <v/>
      </c>
      <c r="S2240" s="762"/>
      <c r="T2240" s="762"/>
    </row>
    <row r="2241" spans="1:20" x14ac:dyDescent="0.2">
      <c r="A2241" s="352" t="str">
        <f>IF(B2241="","",COUNT('Diário 1º PA'!$A$4:$A$2635)+COUNT('Diário 2º PA'!$A$4:$A$3040)+COUNT('Diário 3º PA'!$A$4:$A$2731)+ROW()-3)</f>
        <v/>
      </c>
      <c r="B2241" s="600"/>
      <c r="C2241" s="354"/>
      <c r="D2241" s="343"/>
      <c r="E2241" s="343"/>
      <c r="F2241" s="344"/>
      <c r="G2241" s="343"/>
      <c r="H2241" s="343"/>
      <c r="I2241" s="345"/>
      <c r="J2241" s="343"/>
      <c r="K2241" s="343"/>
      <c r="L2241" s="345"/>
      <c r="M2241" s="343"/>
      <c r="N2241" s="598"/>
      <c r="O2241" s="585"/>
      <c r="P2241" s="747">
        <f t="shared" si="199"/>
        <v>0</v>
      </c>
      <c r="Q2241" s="748">
        <f t="shared" si="200"/>
        <v>0</v>
      </c>
      <c r="R2241" s="758" t="str">
        <f t="shared" si="201"/>
        <v/>
      </c>
      <c r="S2241" s="762"/>
      <c r="T2241" s="762"/>
    </row>
    <row r="2242" spans="1:20" x14ac:dyDescent="0.2">
      <c r="A2242" s="352" t="str">
        <f>IF(B2242="","",COUNT('Diário 1º PA'!$A$4:$A$2635)+COUNT('Diário 2º PA'!$A$4:$A$3040)+COUNT('Diário 3º PA'!$A$4:$A$2731)+ROW()-3)</f>
        <v/>
      </c>
      <c r="B2242" s="600"/>
      <c r="C2242" s="354"/>
      <c r="D2242" s="343"/>
      <c r="E2242" s="343"/>
      <c r="F2242" s="344"/>
      <c r="G2242" s="343"/>
      <c r="H2242" s="343"/>
      <c r="I2242" s="345"/>
      <c r="J2242" s="343"/>
      <c r="K2242" s="343"/>
      <c r="L2242" s="345"/>
      <c r="M2242" s="343"/>
      <c r="N2242" s="598"/>
      <c r="O2242" s="585"/>
      <c r="P2242" s="747">
        <f t="shared" si="199"/>
        <v>0</v>
      </c>
      <c r="Q2242" s="748">
        <f t="shared" si="200"/>
        <v>0</v>
      </c>
      <c r="R2242" s="758" t="str">
        <f t="shared" si="201"/>
        <v/>
      </c>
      <c r="S2242" s="762"/>
      <c r="T2242" s="762"/>
    </row>
    <row r="2243" spans="1:20" x14ac:dyDescent="0.2">
      <c r="A2243" s="352" t="str">
        <f>IF(B2243="","",COUNT('Diário 1º PA'!$A$4:$A$2635)+COUNT('Diário 2º PA'!$A$4:$A$3040)+COUNT('Diário 3º PA'!$A$4:$A$2731)+ROW()-3)</f>
        <v/>
      </c>
      <c r="B2243" s="600"/>
      <c r="C2243" s="354"/>
      <c r="D2243" s="343"/>
      <c r="E2243" s="343"/>
      <c r="F2243" s="344"/>
      <c r="G2243" s="343"/>
      <c r="H2243" s="343"/>
      <c r="I2243" s="345"/>
      <c r="J2243" s="343"/>
      <c r="K2243" s="343"/>
      <c r="L2243" s="345"/>
      <c r="M2243" s="343"/>
      <c r="N2243" s="598"/>
      <c r="O2243" s="585"/>
      <c r="P2243" s="747">
        <f t="shared" si="199"/>
        <v>0</v>
      </c>
      <c r="Q2243" s="748">
        <f t="shared" si="200"/>
        <v>0</v>
      </c>
      <c r="R2243" s="758" t="str">
        <f t="shared" si="201"/>
        <v/>
      </c>
      <c r="S2243" s="762"/>
      <c r="T2243" s="762"/>
    </row>
    <row r="2244" spans="1:20" x14ac:dyDescent="0.2">
      <c r="A2244" s="352" t="str">
        <f>IF(B2244="","",COUNT('Diário 1º PA'!$A$4:$A$2635)+COUNT('Diário 2º PA'!$A$4:$A$3040)+COUNT('Diário 3º PA'!$A$4:$A$2731)+ROW()-3)</f>
        <v/>
      </c>
      <c r="B2244" s="600"/>
      <c r="C2244" s="354"/>
      <c r="D2244" s="343"/>
      <c r="E2244" s="343"/>
      <c r="F2244" s="344"/>
      <c r="G2244" s="343"/>
      <c r="H2244" s="343"/>
      <c r="I2244" s="345"/>
      <c r="J2244" s="343"/>
      <c r="K2244" s="343"/>
      <c r="L2244" s="345"/>
      <c r="M2244" s="343"/>
      <c r="N2244" s="598"/>
      <c r="O2244" s="585"/>
      <c r="P2244" s="747">
        <f t="shared" si="199"/>
        <v>0</v>
      </c>
      <c r="Q2244" s="748">
        <f t="shared" si="200"/>
        <v>0</v>
      </c>
      <c r="R2244" s="758" t="str">
        <f t="shared" si="201"/>
        <v/>
      </c>
      <c r="S2244" s="762"/>
      <c r="T2244" s="762"/>
    </row>
    <row r="2245" spans="1:20" x14ac:dyDescent="0.2">
      <c r="A2245" s="352" t="str">
        <f>IF(B2245="","",COUNT('Diário 1º PA'!$A$4:$A$2635)+COUNT('Diário 2º PA'!$A$4:$A$3040)+COUNT('Diário 3º PA'!$A$4:$A$2731)+ROW()-3)</f>
        <v/>
      </c>
      <c r="B2245" s="600"/>
      <c r="C2245" s="354"/>
      <c r="D2245" s="343"/>
      <c r="E2245" s="343"/>
      <c r="F2245" s="344"/>
      <c r="G2245" s="343"/>
      <c r="H2245" s="343"/>
      <c r="I2245" s="345"/>
      <c r="J2245" s="343"/>
      <c r="K2245" s="343"/>
      <c r="L2245" s="345"/>
      <c r="M2245" s="343"/>
      <c r="N2245" s="598"/>
      <c r="O2245" s="585"/>
      <c r="P2245" s="747">
        <f t="shared" si="199"/>
        <v>0</v>
      </c>
      <c r="Q2245" s="748">
        <f t="shared" si="200"/>
        <v>0</v>
      </c>
      <c r="R2245" s="758" t="str">
        <f t="shared" si="201"/>
        <v/>
      </c>
      <c r="S2245" s="762"/>
      <c r="T2245" s="762"/>
    </row>
    <row r="2246" spans="1:20" x14ac:dyDescent="0.2">
      <c r="A2246" s="352" t="str">
        <f>IF(B2246="","",COUNT('Diário 1º PA'!$A$4:$A$2635)+COUNT('Diário 2º PA'!$A$4:$A$3040)+COUNT('Diário 3º PA'!$A$4:$A$2731)+ROW()-3)</f>
        <v/>
      </c>
      <c r="B2246" s="600"/>
      <c r="C2246" s="354"/>
      <c r="D2246" s="343"/>
      <c r="E2246" s="343"/>
      <c r="F2246" s="344"/>
      <c r="G2246" s="343"/>
      <c r="H2246" s="343"/>
      <c r="I2246" s="345"/>
      <c r="J2246" s="343"/>
      <c r="K2246" s="343"/>
      <c r="L2246" s="345"/>
      <c r="M2246" s="343"/>
      <c r="N2246" s="598"/>
      <c r="O2246" s="585"/>
      <c r="P2246" s="747">
        <f t="shared" si="199"/>
        <v>0</v>
      </c>
      <c r="Q2246" s="748">
        <f t="shared" si="200"/>
        <v>0</v>
      </c>
      <c r="R2246" s="758" t="str">
        <f t="shared" si="201"/>
        <v/>
      </c>
      <c r="S2246" s="762"/>
      <c r="T2246" s="762"/>
    </row>
    <row r="2247" spans="1:20" x14ac:dyDescent="0.2">
      <c r="A2247" s="352" t="str">
        <f>IF(B2247="","",COUNT('Diário 1º PA'!$A$4:$A$2635)+COUNT('Diário 2º PA'!$A$4:$A$3040)+COUNT('Diário 3º PA'!$A$4:$A$2731)+ROW()-3)</f>
        <v/>
      </c>
      <c r="B2247" s="600"/>
      <c r="C2247" s="354"/>
      <c r="D2247" s="343"/>
      <c r="E2247" s="343"/>
      <c r="F2247" s="344"/>
      <c r="G2247" s="343"/>
      <c r="H2247" s="343"/>
      <c r="I2247" s="345"/>
      <c r="J2247" s="343"/>
      <c r="K2247" s="343"/>
      <c r="L2247" s="345"/>
      <c r="M2247" s="343"/>
      <c r="N2247" s="598"/>
      <c r="O2247" s="585"/>
      <c r="P2247" s="341">
        <f t="shared" si="199"/>
        <v>0</v>
      </c>
      <c r="Q2247" s="71">
        <f t="shared" si="200"/>
        <v>0</v>
      </c>
      <c r="R2247" s="763" t="str">
        <f t="shared" si="201"/>
        <v/>
      </c>
      <c r="S2247" s="677"/>
      <c r="T2247" s="677"/>
    </row>
    <row r="2248" spans="1:20" x14ac:dyDescent="0.2">
      <c r="A2248" s="352" t="str">
        <f>IF(B2248="","",COUNT('Diário 1º PA'!$A$4:$A$2635)+COUNT('Diário 2º PA'!$A$4:$A$3040)+COUNT('Diário 3º PA'!$A$4:$A$2731)+ROW()-3)</f>
        <v/>
      </c>
      <c r="B2248" s="600"/>
      <c r="C2248" s="354"/>
      <c r="D2248" s="343"/>
      <c r="E2248" s="343"/>
      <c r="F2248" s="344"/>
      <c r="G2248" s="343"/>
      <c r="H2248" s="343"/>
      <c r="I2248" s="345"/>
      <c r="J2248" s="343"/>
      <c r="K2248" s="343"/>
      <c r="L2248" s="345"/>
      <c r="M2248" s="343"/>
      <c r="N2248" s="598"/>
      <c r="O2248" s="585"/>
      <c r="P2248" s="341">
        <f t="shared" si="199"/>
        <v>0</v>
      </c>
      <c r="Q2248" s="71">
        <f t="shared" si="200"/>
        <v>0</v>
      </c>
      <c r="R2248" s="763" t="str">
        <f t="shared" si="201"/>
        <v/>
      </c>
      <c r="S2248" s="677"/>
      <c r="T2248" s="677"/>
    </row>
    <row r="2249" spans="1:20" x14ac:dyDescent="0.2">
      <c r="A2249" s="352" t="str">
        <f>IF(B2249="","",COUNT('Diário 1º PA'!$A$4:$A$2635)+COUNT('Diário 2º PA'!$A$4:$A$3040)+COUNT('Diário 3º PA'!$A$4:$A$2731)+ROW()-3)</f>
        <v/>
      </c>
      <c r="B2249" s="600"/>
      <c r="C2249" s="354"/>
      <c r="D2249" s="343"/>
      <c r="E2249" s="343"/>
      <c r="F2249" s="344"/>
      <c r="G2249" s="343"/>
      <c r="H2249" s="343"/>
      <c r="I2249" s="345"/>
      <c r="J2249" s="343"/>
      <c r="K2249" s="343"/>
      <c r="L2249" s="345"/>
      <c r="M2249" s="343"/>
      <c r="N2249" s="598"/>
      <c r="O2249" s="585"/>
      <c r="P2249" s="341">
        <f t="shared" si="199"/>
        <v>0</v>
      </c>
      <c r="Q2249" s="71">
        <f t="shared" si="200"/>
        <v>0</v>
      </c>
      <c r="R2249" s="763" t="str">
        <f t="shared" si="201"/>
        <v/>
      </c>
      <c r="S2249" s="677"/>
      <c r="T2249" s="677"/>
    </row>
    <row r="2250" spans="1:20" x14ac:dyDescent="0.2">
      <c r="A2250" s="352" t="str">
        <f>IF(B2250="","",COUNT('Diário 1º PA'!$A$4:$A$2635)+COUNT('Diário 2º PA'!$A$4:$A$3040)+COUNT('Diário 3º PA'!$A$4:$A$2731)+ROW()-3)</f>
        <v/>
      </c>
      <c r="B2250" s="600"/>
      <c r="C2250" s="354"/>
      <c r="D2250" s="343"/>
      <c r="E2250" s="343"/>
      <c r="F2250" s="344"/>
      <c r="G2250" s="343"/>
      <c r="H2250" s="343"/>
      <c r="I2250" s="345"/>
      <c r="J2250" s="343"/>
      <c r="K2250" s="343"/>
      <c r="L2250" s="345"/>
      <c r="M2250" s="343"/>
      <c r="N2250" s="598"/>
      <c r="O2250" s="585"/>
      <c r="P2250" s="341">
        <f t="shared" si="199"/>
        <v>0</v>
      </c>
      <c r="Q2250" s="71">
        <f t="shared" si="200"/>
        <v>0</v>
      </c>
      <c r="R2250" s="763" t="str">
        <f t="shared" si="201"/>
        <v/>
      </c>
      <c r="S2250" s="677"/>
      <c r="T2250" s="677"/>
    </row>
    <row r="2251" spans="1:20" x14ac:dyDescent="0.2">
      <c r="A2251" s="352" t="str">
        <f>IF(B2251="","",COUNT('Diário 1º PA'!$A$4:$A$2635)+COUNT('Diário 2º PA'!$A$4:$A$3040)+COUNT('Diário 3º PA'!$A$4:$A$2731)+ROW()-3)</f>
        <v/>
      </c>
      <c r="B2251" s="600"/>
      <c r="C2251" s="354"/>
      <c r="D2251" s="343"/>
      <c r="E2251" s="343"/>
      <c r="F2251" s="344"/>
      <c r="G2251" s="343"/>
      <c r="H2251" s="343"/>
      <c r="I2251" s="345"/>
      <c r="J2251" s="343"/>
      <c r="K2251" s="343"/>
      <c r="L2251" s="345"/>
      <c r="M2251" s="343"/>
      <c r="N2251" s="598"/>
      <c r="O2251" s="585"/>
      <c r="P2251" s="341">
        <f t="shared" si="199"/>
        <v>0</v>
      </c>
      <c r="Q2251" s="71">
        <f t="shared" si="200"/>
        <v>0</v>
      </c>
      <c r="R2251" s="763" t="str">
        <f t="shared" si="201"/>
        <v/>
      </c>
      <c r="S2251" s="677"/>
      <c r="T2251" s="677"/>
    </row>
    <row r="2252" spans="1:20" x14ac:dyDescent="0.2">
      <c r="A2252" s="352" t="str">
        <f>IF(B2252="","",COUNT('Diário 1º PA'!$A$4:$A$2635)+COUNT('Diário 2º PA'!$A$4:$A$3040)+COUNT('Diário 3º PA'!$A$4:$A$2731)+ROW()-3)</f>
        <v/>
      </c>
      <c r="B2252" s="600"/>
      <c r="C2252" s="354"/>
      <c r="D2252" s="343"/>
      <c r="E2252" s="343"/>
      <c r="F2252" s="344"/>
      <c r="G2252" s="343"/>
      <c r="H2252" s="343"/>
      <c r="I2252" s="345"/>
      <c r="J2252" s="343"/>
      <c r="K2252" s="343"/>
      <c r="L2252" s="345"/>
      <c r="M2252" s="343"/>
      <c r="N2252" s="598"/>
      <c r="O2252" s="585"/>
      <c r="P2252" s="341">
        <f t="shared" si="199"/>
        <v>0</v>
      </c>
      <c r="Q2252" s="71">
        <f t="shared" si="200"/>
        <v>0</v>
      </c>
      <c r="R2252" s="763" t="str">
        <f t="shared" si="201"/>
        <v/>
      </c>
      <c r="S2252" s="677"/>
      <c r="T2252" s="677"/>
    </row>
    <row r="2253" spans="1:20" x14ac:dyDescent="0.2">
      <c r="A2253" s="352" t="str">
        <f>IF(B2253="","",COUNT('Diário 1º PA'!$A$4:$A$2635)+COUNT('Diário 2º PA'!$A$4:$A$3040)+COUNT('Diário 3º PA'!$A$4:$A$2731)+ROW()-3)</f>
        <v/>
      </c>
      <c r="B2253" s="600"/>
      <c r="C2253" s="354"/>
      <c r="D2253" s="343"/>
      <c r="E2253" s="343"/>
      <c r="F2253" s="344"/>
      <c r="G2253" s="343"/>
      <c r="H2253" s="343"/>
      <c r="I2253" s="345"/>
      <c r="J2253" s="343"/>
      <c r="K2253" s="343"/>
      <c r="L2253" s="345"/>
      <c r="M2253" s="343"/>
      <c r="N2253" s="598"/>
      <c r="O2253" s="585"/>
      <c r="P2253" s="341">
        <f t="shared" si="199"/>
        <v>0</v>
      </c>
      <c r="Q2253" s="71">
        <f t="shared" si="200"/>
        <v>0</v>
      </c>
      <c r="R2253" s="763" t="str">
        <f t="shared" si="201"/>
        <v/>
      </c>
      <c r="S2253" s="677"/>
      <c r="T2253" s="677"/>
    </row>
    <row r="2254" spans="1:20" x14ac:dyDescent="0.2">
      <c r="A2254" s="352" t="str">
        <f>IF(B2254="","",COUNT('Diário 1º PA'!$A$4:$A$2635)+COUNT('Diário 2º PA'!$A$4:$A$3040)+COUNT('Diário 3º PA'!$A$4:$A$2731)+ROW()-3)</f>
        <v/>
      </c>
      <c r="B2254" s="600"/>
      <c r="C2254" s="354"/>
      <c r="D2254" s="343"/>
      <c r="E2254" s="343"/>
      <c r="F2254" s="344"/>
      <c r="G2254" s="343"/>
      <c r="H2254" s="343"/>
      <c r="I2254" s="345"/>
      <c r="J2254" s="343"/>
      <c r="K2254" s="343"/>
      <c r="L2254" s="345"/>
      <c r="M2254" s="343"/>
      <c r="N2254" s="598"/>
      <c r="O2254" s="585"/>
      <c r="P2254" s="341">
        <f t="shared" si="199"/>
        <v>0</v>
      </c>
      <c r="Q2254" s="71">
        <f t="shared" si="200"/>
        <v>0</v>
      </c>
      <c r="R2254" s="763" t="str">
        <f t="shared" si="201"/>
        <v/>
      </c>
      <c r="S2254" s="677"/>
      <c r="T2254" s="677"/>
    </row>
    <row r="2255" spans="1:20" x14ac:dyDescent="0.2">
      <c r="A2255" s="352" t="str">
        <f>IF(B2255="","",COUNT('Diário 1º PA'!$A$4:$A$2635)+COUNT('Diário 2º PA'!$A$4:$A$3040)+COUNT('Diário 3º PA'!$A$4:$A$2731)+ROW()-3)</f>
        <v/>
      </c>
      <c r="B2255" s="600"/>
      <c r="C2255" s="354"/>
      <c r="D2255" s="343"/>
      <c r="E2255" s="343"/>
      <c r="F2255" s="344"/>
      <c r="G2255" s="343"/>
      <c r="H2255" s="343"/>
      <c r="I2255" s="345"/>
      <c r="J2255" s="343"/>
      <c r="K2255" s="343"/>
      <c r="L2255" s="345"/>
      <c r="M2255" s="343"/>
      <c r="N2255" s="598"/>
      <c r="O2255" s="585"/>
      <c r="P2255" s="341">
        <f t="shared" si="199"/>
        <v>0</v>
      </c>
      <c r="Q2255" s="71">
        <f t="shared" si="200"/>
        <v>0</v>
      </c>
      <c r="R2255" s="763" t="str">
        <f t="shared" si="201"/>
        <v/>
      </c>
      <c r="S2255" s="677"/>
      <c r="T2255" s="677"/>
    </row>
    <row r="2256" spans="1:20" x14ac:dyDescent="0.2">
      <c r="A2256" s="352" t="str">
        <f>IF(B2256="","",COUNT('Diário 1º PA'!$A$4:$A$2635)+COUNT('Diário 2º PA'!$A$4:$A$3040)+COUNT('Diário 3º PA'!$A$4:$A$2731)+ROW()-3)</f>
        <v/>
      </c>
      <c r="B2256" s="600"/>
      <c r="C2256" s="354"/>
      <c r="D2256" s="343"/>
      <c r="E2256" s="343"/>
      <c r="F2256" s="344"/>
      <c r="G2256" s="343"/>
      <c r="H2256" s="343"/>
      <c r="I2256" s="345"/>
      <c r="J2256" s="343"/>
      <c r="K2256" s="343"/>
      <c r="L2256" s="345"/>
      <c r="M2256" s="343"/>
      <c r="N2256" s="598"/>
      <c r="O2256" s="585"/>
      <c r="P2256" s="341">
        <f t="shared" si="199"/>
        <v>0</v>
      </c>
      <c r="Q2256" s="71">
        <f t="shared" si="200"/>
        <v>0</v>
      </c>
      <c r="R2256" s="763" t="str">
        <f t="shared" si="201"/>
        <v/>
      </c>
      <c r="S2256" s="677"/>
      <c r="T2256" s="677"/>
    </row>
    <row r="2257" spans="1:20" x14ac:dyDescent="0.2">
      <c r="A2257" s="352" t="str">
        <f>IF(B2257="","",COUNT('Diário 1º PA'!$A$4:$A$2635)+COUNT('Diário 2º PA'!$A$4:$A$3040)+COUNT('Diário 3º PA'!$A$4:$A$2731)+ROW()-3)</f>
        <v/>
      </c>
      <c r="B2257" s="600"/>
      <c r="C2257" s="354"/>
      <c r="D2257" s="343"/>
      <c r="E2257" s="343"/>
      <c r="F2257" s="344"/>
      <c r="G2257" s="343"/>
      <c r="H2257" s="343"/>
      <c r="I2257" s="345"/>
      <c r="J2257" s="343"/>
      <c r="K2257" s="343"/>
      <c r="L2257" s="345"/>
      <c r="M2257" s="343"/>
      <c r="N2257" s="598"/>
      <c r="O2257" s="585"/>
      <c r="P2257" s="341">
        <f t="shared" si="199"/>
        <v>0</v>
      </c>
      <c r="Q2257" s="71">
        <f t="shared" si="200"/>
        <v>0</v>
      </c>
      <c r="R2257" s="763" t="str">
        <f t="shared" si="201"/>
        <v/>
      </c>
      <c r="S2257" s="677"/>
      <c r="T2257" s="677"/>
    </row>
    <row r="2258" spans="1:20" x14ac:dyDescent="0.2">
      <c r="A2258" s="352" t="str">
        <f>IF(B2258="","",COUNT('Diário 1º PA'!$A$4:$A$2635)+COUNT('Diário 2º PA'!$A$4:$A$3040)+COUNT('Diário 3º PA'!$A$4:$A$2731)+ROW()-3)</f>
        <v/>
      </c>
      <c r="B2258" s="600"/>
      <c r="C2258" s="354"/>
      <c r="D2258" s="343"/>
      <c r="E2258" s="343"/>
      <c r="F2258" s="344"/>
      <c r="G2258" s="343"/>
      <c r="H2258" s="343"/>
      <c r="I2258" s="345"/>
      <c r="J2258" s="343"/>
      <c r="K2258" s="343"/>
      <c r="L2258" s="345"/>
      <c r="M2258" s="343"/>
      <c r="N2258" s="598"/>
      <c r="O2258" s="585"/>
      <c r="P2258" s="341">
        <f t="shared" si="199"/>
        <v>0</v>
      </c>
      <c r="Q2258" s="71">
        <f t="shared" si="200"/>
        <v>0</v>
      </c>
      <c r="R2258" s="763" t="str">
        <f t="shared" si="201"/>
        <v/>
      </c>
      <c r="S2258" s="677"/>
      <c r="T2258" s="677"/>
    </row>
    <row r="2259" spans="1:20" x14ac:dyDescent="0.2">
      <c r="A2259" s="352" t="str">
        <f>IF(B2259="","",COUNT('Diário 1º PA'!$A$4:$A$2635)+COUNT('Diário 2º PA'!$A$4:$A$3040)+COUNT('Diário 3º PA'!$A$4:$A$2731)+ROW()-3)</f>
        <v/>
      </c>
      <c r="B2259" s="600"/>
      <c r="C2259" s="354"/>
      <c r="D2259" s="343"/>
      <c r="E2259" s="343"/>
      <c r="F2259" s="344"/>
      <c r="G2259" s="343"/>
      <c r="H2259" s="343"/>
      <c r="I2259" s="345"/>
      <c r="J2259" s="343"/>
      <c r="K2259" s="343"/>
      <c r="L2259" s="345"/>
      <c r="M2259" s="343"/>
      <c r="N2259" s="598"/>
      <c r="O2259" s="585"/>
      <c r="P2259" s="341">
        <f t="shared" si="199"/>
        <v>0</v>
      </c>
      <c r="Q2259" s="71">
        <f t="shared" si="200"/>
        <v>0</v>
      </c>
      <c r="R2259" s="763" t="str">
        <f t="shared" si="201"/>
        <v/>
      </c>
      <c r="S2259" s="677"/>
      <c r="T2259" s="677"/>
    </row>
    <row r="2260" spans="1:20" x14ac:dyDescent="0.2">
      <c r="A2260" s="352" t="str">
        <f>IF(B2260="","",COUNT('Diário 1º PA'!$A$4:$A$2635)+COUNT('Diário 2º PA'!$A$4:$A$3040)+COUNT('Diário 3º PA'!$A$4:$A$2731)+ROW()-3)</f>
        <v/>
      </c>
      <c r="B2260" s="600"/>
      <c r="C2260" s="354"/>
      <c r="D2260" s="343"/>
      <c r="E2260" s="343"/>
      <c r="F2260" s="344"/>
      <c r="G2260" s="343"/>
      <c r="H2260" s="343"/>
      <c r="I2260" s="345"/>
      <c r="J2260" s="343"/>
      <c r="K2260" s="343"/>
      <c r="L2260" s="345"/>
      <c r="M2260" s="343"/>
      <c r="N2260" s="598"/>
      <c r="O2260" s="585"/>
      <c r="P2260" s="341">
        <f t="shared" si="199"/>
        <v>0</v>
      </c>
      <c r="Q2260" s="71">
        <f t="shared" si="200"/>
        <v>0</v>
      </c>
      <c r="R2260" s="763" t="str">
        <f t="shared" si="201"/>
        <v/>
      </c>
      <c r="S2260" s="677"/>
      <c r="T2260" s="677"/>
    </row>
    <row r="2261" spans="1:20" x14ac:dyDescent="0.2">
      <c r="A2261" s="352" t="str">
        <f>IF(B2261="","",COUNT('Diário 1º PA'!$A$4:$A$2635)+COUNT('Diário 2º PA'!$A$4:$A$3040)+COUNT('Diário 3º PA'!$A$4:$A$2731)+ROW()-3)</f>
        <v/>
      </c>
      <c r="B2261" s="600"/>
      <c r="C2261" s="354"/>
      <c r="D2261" s="343"/>
      <c r="E2261" s="343"/>
      <c r="F2261" s="344"/>
      <c r="G2261" s="343"/>
      <c r="H2261" s="343"/>
      <c r="I2261" s="345"/>
      <c r="J2261" s="343"/>
      <c r="K2261" s="343"/>
      <c r="L2261" s="345"/>
      <c r="M2261" s="343"/>
      <c r="N2261" s="598"/>
      <c r="O2261" s="585"/>
      <c r="P2261" s="341">
        <f t="shared" si="199"/>
        <v>0</v>
      </c>
      <c r="Q2261" s="71">
        <f t="shared" si="200"/>
        <v>0</v>
      </c>
      <c r="R2261" s="763" t="str">
        <f t="shared" si="201"/>
        <v/>
      </c>
      <c r="S2261" s="677"/>
      <c r="T2261" s="677"/>
    </row>
    <row r="2262" spans="1:20" x14ac:dyDescent="0.2">
      <c r="A2262" s="352" t="str">
        <f>IF(B2262="","",COUNT('Diário 1º PA'!$A$4:$A$2635)+COUNT('Diário 2º PA'!$A$4:$A$3040)+COUNT('Diário 3º PA'!$A$4:$A$2731)+ROW()-3)</f>
        <v/>
      </c>
      <c r="B2262" s="600"/>
      <c r="C2262" s="354"/>
      <c r="D2262" s="343"/>
      <c r="E2262" s="343"/>
      <c r="F2262" s="344"/>
      <c r="G2262" s="343"/>
      <c r="H2262" s="343"/>
      <c r="I2262" s="345"/>
      <c r="J2262" s="343"/>
      <c r="K2262" s="343"/>
      <c r="L2262" s="345"/>
      <c r="M2262" s="343"/>
      <c r="N2262" s="598"/>
      <c r="O2262" s="585"/>
      <c r="P2262" s="341">
        <f t="shared" si="199"/>
        <v>0</v>
      </c>
      <c r="Q2262" s="71">
        <f t="shared" si="200"/>
        <v>0</v>
      </c>
      <c r="R2262" s="763" t="str">
        <f t="shared" si="201"/>
        <v/>
      </c>
      <c r="S2262" s="677"/>
      <c r="T2262" s="677"/>
    </row>
    <row r="2263" spans="1:20" x14ac:dyDescent="0.2">
      <c r="A2263" s="352" t="str">
        <f>IF(B2263="","",COUNT('Diário 1º PA'!$A$4:$A$2635)+COUNT('Diário 2º PA'!$A$4:$A$3040)+COUNT('Diário 3º PA'!$A$4:$A$2731)+ROW()-3)</f>
        <v/>
      </c>
      <c r="B2263" s="600"/>
      <c r="C2263" s="354"/>
      <c r="D2263" s="343"/>
      <c r="E2263" s="343"/>
      <c r="F2263" s="344"/>
      <c r="G2263" s="343"/>
      <c r="H2263" s="343"/>
      <c r="I2263" s="345"/>
      <c r="J2263" s="343"/>
      <c r="K2263" s="343"/>
      <c r="L2263" s="345"/>
      <c r="M2263" s="343"/>
      <c r="N2263" s="598"/>
      <c r="O2263" s="585"/>
      <c r="P2263" s="341">
        <f t="shared" si="199"/>
        <v>0</v>
      </c>
      <c r="Q2263" s="71">
        <f t="shared" si="200"/>
        <v>0</v>
      </c>
      <c r="R2263" s="763" t="str">
        <f t="shared" si="201"/>
        <v/>
      </c>
      <c r="S2263" s="677"/>
      <c r="T2263" s="677"/>
    </row>
    <row r="2264" spans="1:20" x14ac:dyDescent="0.2">
      <c r="A2264" s="352" t="str">
        <f>IF(B2264="","",COUNT('Diário 1º PA'!$A$4:$A$2635)+COUNT('Diário 2º PA'!$A$4:$A$3040)+COUNT('Diário 3º PA'!$A$4:$A$2731)+ROW()-3)</f>
        <v/>
      </c>
      <c r="B2264" s="600"/>
      <c r="C2264" s="354"/>
      <c r="D2264" s="343"/>
      <c r="E2264" s="343"/>
      <c r="F2264" s="344"/>
      <c r="G2264" s="343"/>
      <c r="H2264" s="343"/>
      <c r="I2264" s="345"/>
      <c r="J2264" s="343"/>
      <c r="K2264" s="343"/>
      <c r="L2264" s="345"/>
      <c r="M2264" s="343"/>
      <c r="N2264" s="598"/>
      <c r="O2264" s="585"/>
      <c r="P2264" s="341">
        <f t="shared" si="199"/>
        <v>0</v>
      </c>
      <c r="Q2264" s="71">
        <f t="shared" si="200"/>
        <v>0</v>
      </c>
      <c r="R2264" s="763" t="str">
        <f t="shared" si="201"/>
        <v/>
      </c>
      <c r="S2264" s="677"/>
      <c r="T2264" s="677"/>
    </row>
    <row r="2265" spans="1:20" x14ac:dyDescent="0.2">
      <c r="A2265" s="352" t="str">
        <f>IF(B2265="","",COUNT('Diário 1º PA'!$A$4:$A$2635)+COUNT('Diário 2º PA'!$A$4:$A$3040)+COUNT('Diário 3º PA'!$A$4:$A$2731)+ROW()-3)</f>
        <v/>
      </c>
      <c r="B2265" s="600"/>
      <c r="C2265" s="354"/>
      <c r="D2265" s="343"/>
      <c r="E2265" s="343"/>
      <c r="F2265" s="344"/>
      <c r="G2265" s="343"/>
      <c r="H2265" s="343"/>
      <c r="I2265" s="345"/>
      <c r="J2265" s="343"/>
      <c r="K2265" s="343"/>
      <c r="L2265" s="345"/>
      <c r="M2265" s="343"/>
      <c r="N2265" s="598"/>
      <c r="O2265" s="585"/>
      <c r="P2265" s="341">
        <f t="shared" si="199"/>
        <v>0</v>
      </c>
      <c r="Q2265" s="71">
        <f t="shared" si="200"/>
        <v>0</v>
      </c>
      <c r="R2265" s="763" t="str">
        <f t="shared" si="201"/>
        <v/>
      </c>
      <c r="S2265" s="677"/>
      <c r="T2265" s="677"/>
    </row>
    <row r="2266" spans="1:20" x14ac:dyDescent="0.2">
      <c r="A2266" s="352" t="str">
        <f>IF(B2266="","",COUNT('Diário 1º PA'!$A$4:$A$2635)+COUNT('Diário 2º PA'!$A$4:$A$3040)+COUNT('Diário 3º PA'!$A$4:$A$2731)+ROW()-3)</f>
        <v/>
      </c>
      <c r="B2266" s="600"/>
      <c r="C2266" s="354"/>
      <c r="D2266" s="343"/>
      <c r="E2266" s="343"/>
      <c r="F2266" s="344"/>
      <c r="G2266" s="343"/>
      <c r="H2266" s="343"/>
      <c r="I2266" s="345"/>
      <c r="J2266" s="343"/>
      <c r="K2266" s="343"/>
      <c r="L2266" s="345"/>
      <c r="M2266" s="343"/>
      <c r="N2266" s="598"/>
      <c r="O2266" s="585"/>
      <c r="P2266" s="341">
        <f t="shared" si="199"/>
        <v>0</v>
      </c>
      <c r="Q2266" s="71">
        <f t="shared" si="200"/>
        <v>0</v>
      </c>
      <c r="R2266" s="763" t="str">
        <f t="shared" si="201"/>
        <v/>
      </c>
      <c r="S2266" s="677"/>
      <c r="T2266" s="677"/>
    </row>
    <row r="2267" spans="1:20" x14ac:dyDescent="0.2">
      <c r="A2267" s="352" t="str">
        <f>IF(B2267="","",COUNT('Diário 1º PA'!$A$4:$A$2635)+COUNT('Diário 2º PA'!$A$4:$A$3040)+COUNT('Diário 3º PA'!$A$4:$A$2731)+ROW()-3)</f>
        <v/>
      </c>
      <c r="B2267" s="600"/>
      <c r="C2267" s="354"/>
      <c r="D2267" s="343"/>
      <c r="E2267" s="343"/>
      <c r="F2267" s="344"/>
      <c r="G2267" s="343"/>
      <c r="H2267" s="343"/>
      <c r="I2267" s="345"/>
      <c r="J2267" s="343"/>
      <c r="K2267" s="343"/>
      <c r="L2267" s="345"/>
      <c r="M2267" s="343"/>
      <c r="N2267" s="598"/>
      <c r="O2267" s="585"/>
      <c r="P2267" s="341">
        <f t="shared" si="199"/>
        <v>0</v>
      </c>
      <c r="Q2267" s="71">
        <f t="shared" si="200"/>
        <v>0</v>
      </c>
      <c r="R2267" s="763" t="str">
        <f t="shared" si="201"/>
        <v/>
      </c>
      <c r="S2267" s="677"/>
      <c r="T2267" s="677"/>
    </row>
    <row r="2268" spans="1:20" x14ac:dyDescent="0.2">
      <c r="A2268" s="352" t="str">
        <f>IF(B2268="","",COUNT('Diário 1º PA'!$A$4:$A$2635)+COUNT('Diário 2º PA'!$A$4:$A$3040)+COUNT('Diário 3º PA'!$A$4:$A$2731)+ROW()-3)</f>
        <v/>
      </c>
      <c r="B2268" s="600"/>
      <c r="C2268" s="354"/>
      <c r="D2268" s="343"/>
      <c r="E2268" s="343"/>
      <c r="F2268" s="344"/>
      <c r="G2268" s="343"/>
      <c r="H2268" s="343"/>
      <c r="I2268" s="345"/>
      <c r="J2268" s="343"/>
      <c r="K2268" s="343"/>
      <c r="L2268" s="345"/>
      <c r="M2268" s="343"/>
      <c r="N2268" s="598"/>
      <c r="O2268" s="585"/>
      <c r="P2268" s="341">
        <f t="shared" si="199"/>
        <v>0</v>
      </c>
      <c r="Q2268" s="71">
        <f t="shared" si="200"/>
        <v>0</v>
      </c>
      <c r="R2268" s="763" t="str">
        <f t="shared" si="201"/>
        <v/>
      </c>
      <c r="S2268" s="677"/>
      <c r="T2268" s="677"/>
    </row>
    <row r="2269" spans="1:20" x14ac:dyDescent="0.2">
      <c r="A2269" s="352" t="str">
        <f>IF(B2269="","",COUNT('Diário 1º PA'!$A$4:$A$2635)+COUNT('Diário 2º PA'!$A$4:$A$3040)+COUNT('Diário 3º PA'!$A$4:$A$2731)+ROW()-3)</f>
        <v/>
      </c>
      <c r="B2269" s="600"/>
      <c r="C2269" s="354"/>
      <c r="D2269" s="343"/>
      <c r="E2269" s="343"/>
      <c r="F2269" s="344"/>
      <c r="G2269" s="343"/>
      <c r="H2269" s="343"/>
      <c r="I2269" s="345"/>
      <c r="J2269" s="343"/>
      <c r="K2269" s="343"/>
      <c r="L2269" s="345"/>
      <c r="M2269" s="343"/>
      <c r="N2269" s="598"/>
      <c r="O2269" s="585"/>
      <c r="P2269" s="341">
        <f t="shared" si="199"/>
        <v>0</v>
      </c>
      <c r="Q2269" s="71">
        <f t="shared" si="200"/>
        <v>0</v>
      </c>
      <c r="R2269" s="763" t="str">
        <f t="shared" si="201"/>
        <v/>
      </c>
      <c r="S2269" s="677"/>
      <c r="T2269" s="677"/>
    </row>
    <row r="2270" spans="1:20" x14ac:dyDescent="0.2">
      <c r="A2270" s="352" t="str">
        <f>IF(B2270="","",COUNT('Diário 1º PA'!$A$4:$A$2635)+COUNT('Diário 2º PA'!$A$4:$A$3040)+COUNT('Diário 3º PA'!$A$4:$A$2731)+ROW()-3)</f>
        <v/>
      </c>
      <c r="B2270" s="600"/>
      <c r="C2270" s="354"/>
      <c r="D2270" s="343"/>
      <c r="E2270" s="343"/>
      <c r="F2270" s="344"/>
      <c r="G2270" s="343"/>
      <c r="H2270" s="343"/>
      <c r="I2270" s="345"/>
      <c r="J2270" s="343"/>
      <c r="K2270" s="343"/>
      <c r="L2270" s="345"/>
      <c r="M2270" s="343"/>
      <c r="N2270" s="598"/>
      <c r="O2270" s="585"/>
      <c r="P2270" s="341">
        <f t="shared" si="199"/>
        <v>0</v>
      </c>
      <c r="Q2270" s="71">
        <f t="shared" si="200"/>
        <v>0</v>
      </c>
      <c r="R2270" s="763" t="str">
        <f t="shared" si="201"/>
        <v/>
      </c>
      <c r="S2270" s="677"/>
      <c r="T2270" s="677"/>
    </row>
    <row r="2271" spans="1:20" x14ac:dyDescent="0.2">
      <c r="A2271" s="352" t="str">
        <f>IF(B2271="","",COUNT('Diário 1º PA'!$A$4:$A$2635)+COUNT('Diário 2º PA'!$A$4:$A$3040)+COUNT('Diário 3º PA'!$A$4:$A$2731)+ROW()-3)</f>
        <v/>
      </c>
      <c r="B2271" s="600"/>
      <c r="C2271" s="354"/>
      <c r="D2271" s="343"/>
      <c r="E2271" s="343"/>
      <c r="F2271" s="344"/>
      <c r="G2271" s="343"/>
      <c r="H2271" s="343"/>
      <c r="I2271" s="345"/>
      <c r="J2271" s="343"/>
      <c r="K2271" s="343"/>
      <c r="L2271" s="345"/>
      <c r="M2271" s="343"/>
      <c r="N2271" s="598"/>
      <c r="O2271" s="585"/>
      <c r="P2271" s="341">
        <f t="shared" si="199"/>
        <v>0</v>
      </c>
      <c r="Q2271" s="71">
        <f t="shared" si="200"/>
        <v>0</v>
      </c>
      <c r="R2271" s="763" t="str">
        <f t="shared" si="201"/>
        <v/>
      </c>
      <c r="S2271" s="677"/>
      <c r="T2271" s="677"/>
    </row>
    <row r="2272" spans="1:20" x14ac:dyDescent="0.2">
      <c r="A2272" s="352" t="str">
        <f>IF(B2272="","",COUNT('Diário 1º PA'!$A$4:$A$2635)+COUNT('Diário 2º PA'!$A$4:$A$3040)+COUNT('Diário 3º PA'!$A$4:$A$2731)+ROW()-3)</f>
        <v/>
      </c>
      <c r="B2272" s="600"/>
      <c r="C2272" s="354"/>
      <c r="D2272" s="343"/>
      <c r="E2272" s="343"/>
      <c r="F2272" s="344"/>
      <c r="G2272" s="343"/>
      <c r="H2272" s="343"/>
      <c r="I2272" s="345"/>
      <c r="J2272" s="343"/>
      <c r="K2272" s="343"/>
      <c r="L2272" s="345"/>
      <c r="M2272" s="343"/>
      <c r="N2272" s="598"/>
      <c r="O2272" s="585"/>
      <c r="P2272" s="341">
        <f t="shared" si="199"/>
        <v>0</v>
      </c>
      <c r="Q2272" s="71">
        <f t="shared" si="200"/>
        <v>0</v>
      </c>
      <c r="R2272" s="763" t="str">
        <f t="shared" si="201"/>
        <v/>
      </c>
      <c r="S2272" s="677"/>
      <c r="T2272" s="677"/>
    </row>
    <row r="2273" spans="1:20" x14ac:dyDescent="0.2">
      <c r="A2273" s="352" t="str">
        <f>IF(B2273="","",COUNT('Diário 1º PA'!$A$4:$A$2635)+COUNT('Diário 2º PA'!$A$4:$A$3040)+COUNT('Diário 3º PA'!$A$4:$A$2731)+ROW()-3)</f>
        <v/>
      </c>
      <c r="B2273" s="600"/>
      <c r="C2273" s="354"/>
      <c r="D2273" s="343"/>
      <c r="E2273" s="343"/>
      <c r="F2273" s="344"/>
      <c r="G2273" s="343"/>
      <c r="H2273" s="343"/>
      <c r="I2273" s="345"/>
      <c r="J2273" s="343"/>
      <c r="K2273" s="343"/>
      <c r="L2273" s="345"/>
      <c r="M2273" s="343"/>
      <c r="N2273" s="598"/>
      <c r="O2273" s="585"/>
      <c r="P2273" s="341">
        <f t="shared" si="199"/>
        <v>0</v>
      </c>
      <c r="Q2273" s="71">
        <f t="shared" si="200"/>
        <v>0</v>
      </c>
      <c r="R2273" s="763" t="str">
        <f t="shared" si="201"/>
        <v/>
      </c>
      <c r="S2273" s="677"/>
      <c r="T2273" s="677"/>
    </row>
    <row r="2274" spans="1:20" x14ac:dyDescent="0.2">
      <c r="A2274" s="352" t="str">
        <f>IF(B2274="","",COUNT('Diário 1º PA'!$A$4:$A$2635)+COUNT('Diário 2º PA'!$A$4:$A$3040)+COUNT('Diário 3º PA'!$A$4:$A$2731)+ROW()-3)</f>
        <v/>
      </c>
      <c r="B2274" s="600"/>
      <c r="C2274" s="354"/>
      <c r="D2274" s="343"/>
      <c r="E2274" s="343"/>
      <c r="F2274" s="344"/>
      <c r="G2274" s="343"/>
      <c r="H2274" s="343"/>
      <c r="I2274" s="345"/>
      <c r="J2274" s="343"/>
      <c r="K2274" s="343"/>
      <c r="L2274" s="345"/>
      <c r="M2274" s="343"/>
      <c r="N2274" s="598"/>
      <c r="O2274" s="585"/>
      <c r="P2274" s="341">
        <f t="shared" si="199"/>
        <v>0</v>
      </c>
      <c r="Q2274" s="71">
        <f t="shared" si="200"/>
        <v>0</v>
      </c>
      <c r="R2274" s="763" t="str">
        <f t="shared" si="201"/>
        <v/>
      </c>
      <c r="S2274" s="677"/>
      <c r="T2274" s="677"/>
    </row>
    <row r="2275" spans="1:20" x14ac:dyDescent="0.2">
      <c r="A2275" s="352" t="str">
        <f>IF(B2275="","",COUNT('Diário 1º PA'!$A$4:$A$2635)+COUNT('Diário 2º PA'!$A$4:$A$3040)+COUNT('Diário 3º PA'!$A$4:$A$2731)+ROW()-3)</f>
        <v/>
      </c>
      <c r="B2275" s="600"/>
      <c r="C2275" s="354"/>
      <c r="D2275" s="343"/>
      <c r="E2275" s="343"/>
      <c r="F2275" s="344"/>
      <c r="G2275" s="343"/>
      <c r="H2275" s="343"/>
      <c r="I2275" s="345"/>
      <c r="J2275" s="343"/>
      <c r="K2275" s="343"/>
      <c r="L2275" s="345"/>
      <c r="M2275" s="343"/>
      <c r="N2275" s="598"/>
      <c r="O2275" s="585"/>
      <c r="P2275" s="341">
        <f t="shared" si="199"/>
        <v>0</v>
      </c>
      <c r="Q2275" s="71">
        <f t="shared" si="200"/>
        <v>0</v>
      </c>
      <c r="R2275" s="763" t="str">
        <f t="shared" si="201"/>
        <v/>
      </c>
      <c r="S2275" s="677"/>
      <c r="T2275" s="677"/>
    </row>
    <row r="2276" spans="1:20" x14ac:dyDescent="0.2">
      <c r="A2276" s="352" t="str">
        <f>IF(B2276="","",COUNT('Diário 1º PA'!$A$4:$A$2635)+COUNT('Diário 2º PA'!$A$4:$A$3040)+COUNT('Diário 3º PA'!$A$4:$A$2731)+ROW()-3)</f>
        <v/>
      </c>
      <c r="B2276" s="600"/>
      <c r="C2276" s="354"/>
      <c r="D2276" s="343"/>
      <c r="E2276" s="343"/>
      <c r="F2276" s="344"/>
      <c r="G2276" s="343"/>
      <c r="H2276" s="343"/>
      <c r="I2276" s="345"/>
      <c r="J2276" s="343"/>
      <c r="K2276" s="343"/>
      <c r="L2276" s="345"/>
      <c r="M2276" s="343"/>
      <c r="N2276" s="598"/>
      <c r="O2276" s="585"/>
      <c r="P2276" s="341">
        <f t="shared" si="199"/>
        <v>0</v>
      </c>
      <c r="Q2276" s="71">
        <f t="shared" si="200"/>
        <v>0</v>
      </c>
      <c r="R2276" s="763" t="str">
        <f t="shared" si="201"/>
        <v/>
      </c>
      <c r="S2276" s="677"/>
      <c r="T2276" s="677"/>
    </row>
    <row r="2277" spans="1:20" x14ac:dyDescent="0.2">
      <c r="A2277" s="352" t="str">
        <f>IF(B2277="","",COUNT('Diário 1º PA'!$A$4:$A$2635)+COUNT('Diário 2º PA'!$A$4:$A$3040)+COUNT('Diário 3º PA'!$A$4:$A$2731)+ROW()-3)</f>
        <v/>
      </c>
      <c r="B2277" s="600"/>
      <c r="C2277" s="354"/>
      <c r="D2277" s="343"/>
      <c r="E2277" s="343"/>
      <c r="F2277" s="344"/>
      <c r="G2277" s="343"/>
      <c r="H2277" s="343"/>
      <c r="I2277" s="345"/>
      <c r="J2277" s="343"/>
      <c r="K2277" s="343"/>
      <c r="L2277" s="345"/>
      <c r="M2277" s="343"/>
      <c r="N2277" s="598"/>
      <c r="O2277" s="585"/>
      <c r="P2277" s="341">
        <f t="shared" si="199"/>
        <v>0</v>
      </c>
      <c r="Q2277" s="71">
        <f t="shared" si="200"/>
        <v>0</v>
      </c>
      <c r="R2277" s="763" t="str">
        <f t="shared" si="201"/>
        <v/>
      </c>
      <c r="S2277" s="677"/>
      <c r="T2277" s="677"/>
    </row>
    <row r="2278" spans="1:20" x14ac:dyDescent="0.2">
      <c r="A2278" s="352" t="str">
        <f>IF(B2278="","",COUNT('Diário 1º PA'!$A$4:$A$2635)+COUNT('Diário 2º PA'!$A$4:$A$3040)+COUNT('Diário 3º PA'!$A$4:$A$2731)+ROW()-3)</f>
        <v/>
      </c>
      <c r="B2278" s="600"/>
      <c r="C2278" s="354"/>
      <c r="D2278" s="343"/>
      <c r="E2278" s="343"/>
      <c r="F2278" s="344"/>
      <c r="G2278" s="343"/>
      <c r="H2278" s="343"/>
      <c r="I2278" s="345"/>
      <c r="J2278" s="343"/>
      <c r="K2278" s="343"/>
      <c r="L2278" s="345"/>
      <c r="M2278" s="343"/>
      <c r="N2278" s="598"/>
      <c r="O2278" s="585"/>
      <c r="P2278" s="341">
        <f t="shared" si="199"/>
        <v>0</v>
      </c>
      <c r="Q2278" s="71">
        <f t="shared" si="200"/>
        <v>0</v>
      </c>
      <c r="R2278" s="763" t="str">
        <f t="shared" si="201"/>
        <v/>
      </c>
      <c r="S2278" s="677"/>
      <c r="T2278" s="677"/>
    </row>
    <row r="2279" spans="1:20" x14ac:dyDescent="0.2">
      <c r="A2279" s="352" t="str">
        <f>IF(B2279="","",COUNT('Diário 1º PA'!$A$4:$A$2635)+COUNT('Diário 2º PA'!$A$4:$A$3040)+COUNT('Diário 3º PA'!$A$4:$A$2731)+ROW()-3)</f>
        <v/>
      </c>
      <c r="B2279" s="600"/>
      <c r="C2279" s="354"/>
      <c r="D2279" s="343"/>
      <c r="E2279" s="343"/>
      <c r="F2279" s="344"/>
      <c r="G2279" s="343"/>
      <c r="H2279" s="343"/>
      <c r="I2279" s="345"/>
      <c r="J2279" s="343"/>
      <c r="K2279" s="343"/>
      <c r="L2279" s="345"/>
      <c r="M2279" s="343"/>
      <c r="N2279" s="598"/>
      <c r="O2279" s="585"/>
      <c r="P2279" s="341">
        <f t="shared" si="199"/>
        <v>0</v>
      </c>
      <c r="Q2279" s="71">
        <f t="shared" si="200"/>
        <v>0</v>
      </c>
      <c r="R2279" s="763" t="str">
        <f t="shared" si="201"/>
        <v/>
      </c>
      <c r="S2279" s="677"/>
      <c r="T2279" s="677"/>
    </row>
    <row r="2280" spans="1:20" x14ac:dyDescent="0.2">
      <c r="A2280" s="352" t="str">
        <f>IF(B2280="","",COUNT('Diário 1º PA'!$A$4:$A$2635)+COUNT('Diário 2º PA'!$A$4:$A$3040)+COUNT('Diário 3º PA'!$A$4:$A$2731)+ROW()-3)</f>
        <v/>
      </c>
      <c r="B2280" s="600"/>
      <c r="C2280" s="354"/>
      <c r="D2280" s="343"/>
      <c r="E2280" s="343"/>
      <c r="F2280" s="344"/>
      <c r="G2280" s="343"/>
      <c r="H2280" s="343"/>
      <c r="I2280" s="345"/>
      <c r="J2280" s="343"/>
      <c r="K2280" s="343"/>
      <c r="L2280" s="345"/>
      <c r="M2280" s="343"/>
      <c r="N2280" s="598"/>
      <c r="O2280" s="585"/>
      <c r="P2280" s="341">
        <f t="shared" si="199"/>
        <v>0</v>
      </c>
      <c r="Q2280" s="71">
        <f t="shared" si="200"/>
        <v>0</v>
      </c>
      <c r="R2280" s="763" t="str">
        <f t="shared" si="201"/>
        <v/>
      </c>
      <c r="S2280" s="677"/>
      <c r="T2280" s="677"/>
    </row>
    <row r="2281" spans="1:20" x14ac:dyDescent="0.2">
      <c r="A2281" s="352" t="str">
        <f>IF(B2281="","",COUNT('Diário 1º PA'!$A$4:$A$2635)+COUNT('Diário 2º PA'!$A$4:$A$3040)+COUNT('Diário 3º PA'!$A$4:$A$2731)+ROW()-3)</f>
        <v/>
      </c>
      <c r="B2281" s="600"/>
      <c r="C2281" s="354"/>
      <c r="D2281" s="343"/>
      <c r="E2281" s="343"/>
      <c r="F2281" s="344"/>
      <c r="G2281" s="343"/>
      <c r="H2281" s="343"/>
      <c r="I2281" s="345"/>
      <c r="J2281" s="343"/>
      <c r="K2281" s="343"/>
      <c r="L2281" s="345"/>
      <c r="M2281" s="343"/>
      <c r="N2281" s="598"/>
      <c r="O2281" s="585"/>
      <c r="P2281" s="341">
        <f t="shared" si="199"/>
        <v>0</v>
      </c>
      <c r="Q2281" s="71">
        <f t="shared" si="200"/>
        <v>0</v>
      </c>
      <c r="R2281" s="763" t="str">
        <f t="shared" si="201"/>
        <v/>
      </c>
      <c r="S2281" s="677"/>
      <c r="T2281" s="677"/>
    </row>
    <row r="2282" spans="1:20" x14ac:dyDescent="0.2">
      <c r="A2282" s="352" t="str">
        <f>IF(B2282="","",COUNT('Diário 1º PA'!$A$4:$A$2635)+COUNT('Diário 2º PA'!$A$4:$A$3040)+COUNT('Diário 3º PA'!$A$4:$A$2731)+ROW()-3)</f>
        <v/>
      </c>
      <c r="B2282" s="600"/>
      <c r="C2282" s="354"/>
      <c r="D2282" s="343"/>
      <c r="E2282" s="343"/>
      <c r="F2282" s="344"/>
      <c r="G2282" s="343"/>
      <c r="H2282" s="343"/>
      <c r="I2282" s="345"/>
      <c r="J2282" s="343"/>
      <c r="K2282" s="343"/>
      <c r="L2282" s="345"/>
      <c r="M2282" s="343"/>
      <c r="N2282" s="598"/>
      <c r="O2282" s="585"/>
      <c r="P2282" s="341">
        <f t="shared" si="199"/>
        <v>0</v>
      </c>
      <c r="Q2282" s="71">
        <f t="shared" si="200"/>
        <v>0</v>
      </c>
      <c r="R2282" s="763" t="str">
        <f t="shared" si="201"/>
        <v/>
      </c>
      <c r="S2282" s="677"/>
      <c r="T2282" s="677"/>
    </row>
    <row r="2283" spans="1:20" x14ac:dyDescent="0.2">
      <c r="A2283" s="352" t="str">
        <f>IF(B2283="","",COUNT('Diário 1º PA'!$A$4:$A$2635)+COUNT('Diário 2º PA'!$A$4:$A$3040)+COUNT('Diário 3º PA'!$A$4:$A$2731)+ROW()-3)</f>
        <v/>
      </c>
      <c r="B2283" s="600"/>
      <c r="C2283" s="354"/>
      <c r="D2283" s="343"/>
      <c r="E2283" s="343"/>
      <c r="F2283" s="344"/>
      <c r="G2283" s="343"/>
      <c r="H2283" s="343"/>
      <c r="I2283" s="345"/>
      <c r="J2283" s="343"/>
      <c r="K2283" s="343"/>
      <c r="L2283" s="345"/>
      <c r="M2283" s="343"/>
      <c r="N2283" s="598"/>
      <c r="O2283" s="585"/>
      <c r="P2283" s="341">
        <f t="shared" si="199"/>
        <v>0</v>
      </c>
      <c r="Q2283" s="71">
        <f t="shared" si="200"/>
        <v>0</v>
      </c>
      <c r="R2283" s="763" t="str">
        <f t="shared" si="201"/>
        <v/>
      </c>
      <c r="S2283" s="677"/>
      <c r="T2283" s="677"/>
    </row>
    <row r="2284" spans="1:20" x14ac:dyDescent="0.2">
      <c r="A2284" s="352" t="str">
        <f>IF(B2284="","",COUNT('Diário 1º PA'!$A$4:$A$2635)+COUNT('Diário 2º PA'!$A$4:$A$3040)+COUNT('Diário 3º PA'!$A$4:$A$2731)+ROW()-3)</f>
        <v/>
      </c>
      <c r="B2284" s="600"/>
      <c r="C2284" s="354"/>
      <c r="D2284" s="343"/>
      <c r="E2284" s="343"/>
      <c r="F2284" s="344"/>
      <c r="G2284" s="343"/>
      <c r="H2284" s="343"/>
      <c r="I2284" s="345"/>
      <c r="J2284" s="343"/>
      <c r="K2284" s="343"/>
      <c r="L2284" s="345"/>
      <c r="M2284" s="343"/>
      <c r="N2284" s="598"/>
      <c r="O2284" s="585"/>
      <c r="P2284" s="341">
        <f t="shared" si="199"/>
        <v>0</v>
      </c>
      <c r="Q2284" s="71">
        <f t="shared" si="200"/>
        <v>0</v>
      </c>
      <c r="R2284" s="763" t="str">
        <f t="shared" si="201"/>
        <v/>
      </c>
      <c r="S2284" s="677"/>
      <c r="T2284" s="677"/>
    </row>
    <row r="2285" spans="1:20" x14ac:dyDescent="0.2">
      <c r="A2285" s="352" t="str">
        <f>IF(B2285="","",COUNT('Diário 1º PA'!$A$4:$A$2635)+COUNT('Diário 2º PA'!$A$4:$A$3040)+COUNT('Diário 3º PA'!$A$4:$A$2731)+ROW()-3)</f>
        <v/>
      </c>
      <c r="B2285" s="600"/>
      <c r="C2285" s="354"/>
      <c r="D2285" s="343"/>
      <c r="E2285" s="343"/>
      <c r="F2285" s="344"/>
      <c r="G2285" s="343"/>
      <c r="H2285" s="343"/>
      <c r="I2285" s="345"/>
      <c r="J2285" s="343"/>
      <c r="K2285" s="343"/>
      <c r="L2285" s="345"/>
      <c r="M2285" s="343"/>
      <c r="N2285" s="598"/>
      <c r="O2285" s="585"/>
      <c r="P2285" s="341">
        <f t="shared" si="199"/>
        <v>0</v>
      </c>
      <c r="Q2285" s="71">
        <f t="shared" si="200"/>
        <v>0</v>
      </c>
      <c r="R2285" s="763" t="str">
        <f t="shared" si="201"/>
        <v/>
      </c>
      <c r="S2285" s="677"/>
      <c r="T2285" s="677"/>
    </row>
    <row r="2286" spans="1:20" x14ac:dyDescent="0.2">
      <c r="A2286" s="352" t="str">
        <f>IF(B2286="","",COUNT('Diário 1º PA'!$A$4:$A$2635)+COUNT('Diário 2º PA'!$A$4:$A$3040)+COUNT('Diário 3º PA'!$A$4:$A$2731)+ROW()-3)</f>
        <v/>
      </c>
      <c r="B2286" s="600"/>
      <c r="C2286" s="354"/>
      <c r="D2286" s="343"/>
      <c r="E2286" s="343"/>
      <c r="F2286" s="344"/>
      <c r="G2286" s="343"/>
      <c r="H2286" s="343"/>
      <c r="I2286" s="345"/>
      <c r="J2286" s="343"/>
      <c r="K2286" s="343"/>
      <c r="L2286" s="345"/>
      <c r="M2286" s="343"/>
      <c r="N2286" s="598"/>
      <c r="O2286" s="585"/>
      <c r="P2286" s="341">
        <f t="shared" si="199"/>
        <v>0</v>
      </c>
      <c r="Q2286" s="71">
        <f t="shared" si="200"/>
        <v>0</v>
      </c>
      <c r="R2286" s="763" t="str">
        <f t="shared" si="201"/>
        <v/>
      </c>
      <c r="S2286" s="677"/>
      <c r="T2286" s="677"/>
    </row>
    <row r="2287" spans="1:20" x14ac:dyDescent="0.2">
      <c r="A2287" s="352" t="str">
        <f>IF(B2287="","",COUNT('Diário 1º PA'!$A$4:$A$2635)+COUNT('Diário 2º PA'!$A$4:$A$3040)+COUNT('Diário 3º PA'!$A$4:$A$2731)+ROW()-3)</f>
        <v/>
      </c>
      <c r="B2287" s="600"/>
      <c r="C2287" s="354"/>
      <c r="D2287" s="343"/>
      <c r="E2287" s="343"/>
      <c r="F2287" s="344"/>
      <c r="G2287" s="343"/>
      <c r="H2287" s="343"/>
      <c r="I2287" s="345"/>
      <c r="J2287" s="343"/>
      <c r="K2287" s="343"/>
      <c r="L2287" s="345"/>
      <c r="M2287" s="343"/>
      <c r="N2287" s="598"/>
      <c r="O2287" s="585"/>
      <c r="P2287" s="341">
        <f t="shared" si="199"/>
        <v>0</v>
      </c>
      <c r="Q2287" s="71">
        <f t="shared" si="200"/>
        <v>0</v>
      </c>
      <c r="R2287" s="763" t="str">
        <f t="shared" si="201"/>
        <v/>
      </c>
      <c r="S2287" s="677"/>
      <c r="T2287" s="677"/>
    </row>
    <row r="2288" spans="1:20" x14ac:dyDescent="0.2">
      <c r="A2288" s="352" t="str">
        <f>IF(B2288="","",COUNT('Diário 1º PA'!$A$4:$A$2635)+COUNT('Diário 2º PA'!$A$4:$A$3040)+COUNT('Diário 3º PA'!$A$4:$A$2731)+ROW()-3)</f>
        <v/>
      </c>
      <c r="B2288" s="600"/>
      <c r="C2288" s="354"/>
      <c r="D2288" s="343"/>
      <c r="E2288" s="343"/>
      <c r="F2288" s="344"/>
      <c r="G2288" s="343"/>
      <c r="H2288" s="343"/>
      <c r="I2288" s="345"/>
      <c r="J2288" s="343"/>
      <c r="K2288" s="343"/>
      <c r="L2288" s="345"/>
      <c r="M2288" s="343"/>
      <c r="N2288" s="598"/>
      <c r="O2288" s="585"/>
      <c r="P2288" s="341">
        <f t="shared" si="199"/>
        <v>0</v>
      </c>
      <c r="Q2288" s="71">
        <f t="shared" si="200"/>
        <v>0</v>
      </c>
      <c r="R2288" s="763" t="str">
        <f t="shared" si="201"/>
        <v/>
      </c>
      <c r="S2288" s="677"/>
      <c r="T2288" s="677"/>
    </row>
    <row r="2289" spans="1:20" x14ac:dyDescent="0.2">
      <c r="A2289" s="352" t="str">
        <f>IF(B2289="","",COUNT('Diário 1º PA'!$A$4:$A$2635)+COUNT('Diário 2º PA'!$A$4:$A$3040)+COUNT('Diário 3º PA'!$A$4:$A$2731)+ROW()-3)</f>
        <v/>
      </c>
      <c r="B2289" s="600"/>
      <c r="C2289" s="354"/>
      <c r="D2289" s="343"/>
      <c r="E2289" s="343"/>
      <c r="F2289" s="344"/>
      <c r="G2289" s="343"/>
      <c r="H2289" s="343"/>
      <c r="I2289" s="345"/>
      <c r="J2289" s="343"/>
      <c r="K2289" s="343"/>
      <c r="L2289" s="345"/>
      <c r="M2289" s="343"/>
      <c r="N2289" s="598"/>
      <c r="O2289" s="585"/>
      <c r="P2289" s="341">
        <f t="shared" si="199"/>
        <v>0</v>
      </c>
      <c r="Q2289" s="71">
        <f t="shared" si="200"/>
        <v>0</v>
      </c>
      <c r="R2289" s="763" t="str">
        <f t="shared" si="201"/>
        <v/>
      </c>
      <c r="S2289" s="677"/>
      <c r="T2289" s="677"/>
    </row>
    <row r="2290" spans="1:20" x14ac:dyDescent="0.2">
      <c r="A2290" s="352" t="str">
        <f>IF(B2290="","",COUNT('Diário 1º PA'!$A$4:$A$2635)+COUNT('Diário 2º PA'!$A$4:$A$3040)+COUNT('Diário 3º PA'!$A$4:$A$2731)+ROW()-3)</f>
        <v/>
      </c>
      <c r="B2290" s="600"/>
      <c r="C2290" s="354"/>
      <c r="D2290" s="343"/>
      <c r="E2290" s="343"/>
      <c r="F2290" s="344"/>
      <c r="G2290" s="343"/>
      <c r="H2290" s="343"/>
      <c r="I2290" s="345"/>
      <c r="J2290" s="343"/>
      <c r="K2290" s="343"/>
      <c r="L2290" s="345"/>
      <c r="M2290" s="343"/>
      <c r="N2290" s="598"/>
      <c r="O2290" s="585"/>
      <c r="P2290" s="341">
        <f t="shared" si="199"/>
        <v>0</v>
      </c>
      <c r="Q2290" s="71">
        <f t="shared" si="200"/>
        <v>0</v>
      </c>
      <c r="R2290" s="763" t="str">
        <f t="shared" si="201"/>
        <v/>
      </c>
      <c r="S2290" s="677"/>
      <c r="T2290" s="677"/>
    </row>
    <row r="2291" spans="1:20" x14ac:dyDescent="0.2">
      <c r="A2291" s="352" t="str">
        <f>IF(B2291="","",COUNT('Diário 1º PA'!$A$4:$A$2635)+COUNT('Diário 2º PA'!$A$4:$A$3040)+COUNT('Diário 3º PA'!$A$4:$A$2731)+ROW()-3)</f>
        <v/>
      </c>
      <c r="B2291" s="600"/>
      <c r="C2291" s="354"/>
      <c r="D2291" s="343"/>
      <c r="E2291" s="343"/>
      <c r="F2291" s="344"/>
      <c r="G2291" s="343"/>
      <c r="H2291" s="343"/>
      <c r="I2291" s="345"/>
      <c r="J2291" s="343"/>
      <c r="K2291" s="343"/>
      <c r="L2291" s="345"/>
      <c r="M2291" s="343"/>
      <c r="N2291" s="598"/>
      <c r="O2291" s="585"/>
      <c r="P2291" s="341">
        <f t="shared" si="199"/>
        <v>0</v>
      </c>
      <c r="Q2291" s="71">
        <f t="shared" si="200"/>
        <v>0</v>
      </c>
      <c r="R2291" s="763" t="str">
        <f t="shared" si="201"/>
        <v/>
      </c>
      <c r="S2291" s="677"/>
      <c r="T2291" s="677"/>
    </row>
    <row r="2292" spans="1:20" x14ac:dyDescent="0.2">
      <c r="A2292" s="352" t="str">
        <f>IF(B2292="","",COUNT('Diário 1º PA'!$A$4:$A$2635)+COUNT('Diário 2º PA'!$A$4:$A$3040)+COUNT('Diário 3º PA'!$A$4:$A$2731)+ROW()-3)</f>
        <v/>
      </c>
      <c r="B2292" s="600"/>
      <c r="C2292" s="354"/>
      <c r="D2292" s="343"/>
      <c r="E2292" s="343"/>
      <c r="F2292" s="344"/>
      <c r="G2292" s="343"/>
      <c r="H2292" s="343"/>
      <c r="I2292" s="345"/>
      <c r="J2292" s="343"/>
      <c r="K2292" s="343"/>
      <c r="L2292" s="345"/>
      <c r="M2292" s="343"/>
      <c r="N2292" s="598"/>
      <c r="O2292" s="585"/>
      <c r="P2292" s="341">
        <f t="shared" si="199"/>
        <v>0</v>
      </c>
      <c r="Q2292" s="71">
        <f t="shared" si="200"/>
        <v>0</v>
      </c>
      <c r="R2292" s="763" t="str">
        <f t="shared" si="201"/>
        <v/>
      </c>
      <c r="S2292" s="677"/>
      <c r="T2292" s="677"/>
    </row>
    <row r="2293" spans="1:20" x14ac:dyDescent="0.2">
      <c r="A2293" s="352" t="str">
        <f>IF(B2293="","",COUNT('Diário 1º PA'!$A$4:$A$2635)+COUNT('Diário 2º PA'!$A$4:$A$3040)+COUNT('Diário 3º PA'!$A$4:$A$2731)+ROW()-3)</f>
        <v/>
      </c>
      <c r="B2293" s="600"/>
      <c r="C2293" s="354"/>
      <c r="D2293" s="343"/>
      <c r="E2293" s="343"/>
      <c r="F2293" s="344"/>
      <c r="G2293" s="343"/>
      <c r="H2293" s="343"/>
      <c r="I2293" s="345"/>
      <c r="J2293" s="343"/>
      <c r="K2293" s="343"/>
      <c r="L2293" s="345"/>
      <c r="M2293" s="343"/>
      <c r="N2293" s="598"/>
      <c r="O2293" s="585"/>
      <c r="P2293" s="341">
        <f t="shared" si="199"/>
        <v>0</v>
      </c>
      <c r="Q2293" s="71">
        <f t="shared" si="200"/>
        <v>0</v>
      </c>
      <c r="R2293" s="763" t="str">
        <f t="shared" si="201"/>
        <v/>
      </c>
      <c r="S2293" s="677"/>
      <c r="T2293" s="677"/>
    </row>
    <row r="2294" spans="1:20" x14ac:dyDescent="0.2">
      <c r="A2294" s="352" t="str">
        <f>IF(B2294="","",COUNT('Diário 1º PA'!$A$4:$A$2635)+COUNT('Diário 2º PA'!$A$4:$A$3040)+COUNT('Diário 3º PA'!$A$4:$A$2731)+ROW()-3)</f>
        <v/>
      </c>
      <c r="B2294" s="600"/>
      <c r="C2294" s="354"/>
      <c r="D2294" s="343"/>
      <c r="E2294" s="343"/>
      <c r="F2294" s="344"/>
      <c r="G2294" s="343"/>
      <c r="H2294" s="343"/>
      <c r="I2294" s="345"/>
      <c r="J2294" s="343"/>
      <c r="K2294" s="343"/>
      <c r="L2294" s="345"/>
      <c r="M2294" s="343"/>
      <c r="N2294" s="598"/>
      <c r="O2294" s="585"/>
      <c r="P2294" s="341">
        <f t="shared" si="199"/>
        <v>0</v>
      </c>
      <c r="Q2294" s="71">
        <f t="shared" si="200"/>
        <v>0</v>
      </c>
      <c r="R2294" s="763" t="str">
        <f t="shared" si="201"/>
        <v/>
      </c>
      <c r="S2294" s="677"/>
      <c r="T2294" s="677"/>
    </row>
    <row r="2295" spans="1:20" x14ac:dyDescent="0.2">
      <c r="A2295" s="352" t="str">
        <f>IF(B2295="","",COUNT('Diário 1º PA'!$A$4:$A$2635)+COUNT('Diário 2º PA'!$A$4:$A$3040)+COUNT('Diário 3º PA'!$A$4:$A$2731)+ROW()-3)</f>
        <v/>
      </c>
      <c r="B2295" s="600"/>
      <c r="C2295" s="354"/>
      <c r="D2295" s="343"/>
      <c r="E2295" s="343"/>
      <c r="F2295" s="344"/>
      <c r="G2295" s="343"/>
      <c r="H2295" s="343"/>
      <c r="I2295" s="345"/>
      <c r="J2295" s="343"/>
      <c r="K2295" s="343"/>
      <c r="L2295" s="345"/>
      <c r="M2295" s="343"/>
      <c r="N2295" s="598"/>
      <c r="O2295" s="585"/>
      <c r="P2295" s="341">
        <f t="shared" si="199"/>
        <v>0</v>
      </c>
      <c r="Q2295" s="71">
        <f t="shared" si="200"/>
        <v>0</v>
      </c>
      <c r="R2295" s="763" t="str">
        <f t="shared" si="201"/>
        <v/>
      </c>
      <c r="S2295" s="677"/>
      <c r="T2295" s="677"/>
    </row>
    <row r="2296" spans="1:20" x14ac:dyDescent="0.2">
      <c r="A2296" s="352" t="str">
        <f>IF(B2296="","",COUNT('Diário 1º PA'!$A$4:$A$2635)+COUNT('Diário 2º PA'!$A$4:$A$3040)+COUNT('Diário 3º PA'!$A$4:$A$2731)+ROW()-3)</f>
        <v/>
      </c>
      <c r="B2296" s="600"/>
      <c r="C2296" s="354"/>
      <c r="D2296" s="343"/>
      <c r="E2296" s="343"/>
      <c r="F2296" s="344"/>
      <c r="G2296" s="343"/>
      <c r="H2296" s="343"/>
      <c r="I2296" s="345"/>
      <c r="J2296" s="343"/>
      <c r="K2296" s="343"/>
      <c r="L2296" s="345"/>
      <c r="M2296" s="343"/>
      <c r="N2296" s="598"/>
      <c r="O2296" s="585"/>
      <c r="P2296" s="341">
        <f t="shared" si="199"/>
        <v>0</v>
      </c>
      <c r="Q2296" s="71">
        <f t="shared" si="200"/>
        <v>0</v>
      </c>
      <c r="R2296" s="763" t="str">
        <f t="shared" si="201"/>
        <v/>
      </c>
      <c r="S2296" s="677"/>
      <c r="T2296" s="677"/>
    </row>
    <row r="2297" spans="1:20" x14ac:dyDescent="0.2">
      <c r="A2297" s="352" t="str">
        <f>IF(B2297="","",COUNT('Diário 1º PA'!$A$4:$A$2635)+COUNT('Diário 2º PA'!$A$4:$A$3040)+COUNT('Diário 3º PA'!$A$4:$A$2731)+ROW()-3)</f>
        <v/>
      </c>
      <c r="B2297" s="600"/>
      <c r="C2297" s="354"/>
      <c r="D2297" s="343"/>
      <c r="E2297" s="343"/>
      <c r="F2297" s="344"/>
      <c r="G2297" s="343"/>
      <c r="H2297" s="343"/>
      <c r="I2297" s="345"/>
      <c r="J2297" s="343"/>
      <c r="K2297" s="343"/>
      <c r="L2297" s="345"/>
      <c r="M2297" s="343"/>
      <c r="N2297" s="598"/>
      <c r="O2297" s="585"/>
      <c r="P2297" s="341">
        <f t="shared" si="199"/>
        <v>0</v>
      </c>
      <c r="Q2297" s="71">
        <f t="shared" si="200"/>
        <v>0</v>
      </c>
      <c r="R2297" s="763" t="str">
        <f t="shared" si="201"/>
        <v/>
      </c>
      <c r="S2297" s="677"/>
      <c r="T2297" s="677"/>
    </row>
    <row r="2298" spans="1:20" x14ac:dyDescent="0.2">
      <c r="A2298" s="352" t="str">
        <f>IF(B2298="","",COUNT('Diário 1º PA'!$A$4:$A$2635)+COUNT('Diário 2º PA'!$A$4:$A$3040)+COUNT('Diário 3º PA'!$A$4:$A$2731)+ROW()-3)</f>
        <v/>
      </c>
      <c r="B2298" s="600"/>
      <c r="C2298" s="354"/>
      <c r="D2298" s="343"/>
      <c r="E2298" s="343"/>
      <c r="F2298" s="344"/>
      <c r="G2298" s="343"/>
      <c r="H2298" s="343"/>
      <c r="I2298" s="345"/>
      <c r="J2298" s="343"/>
      <c r="K2298" s="343"/>
      <c r="L2298" s="345"/>
      <c r="M2298" s="343"/>
      <c r="N2298" s="598"/>
      <c r="O2298" s="585"/>
      <c r="P2298" s="341">
        <f t="shared" ref="P2298:P2361" si="202">IF(B2298=0,0,IF(YEAR(B2298)=$Q$1,MONTH(B2298)-$P$1+1,(YEAR(B2298)-$Q$1)*12-$P$1+1+MONTH(B2298)))</f>
        <v>0</v>
      </c>
      <c r="Q2298" s="71">
        <f t="shared" ref="Q2298:Q2361" si="203">IF(C2298=0,0,IF(YEAR(C2298)=$Q$1,MONTH(C2298)-$P$1+1,(YEAR(C2298)-$Q$1)*12-$P$1+1+MONTH(C2298)))</f>
        <v>0</v>
      </c>
      <c r="R2298" s="763" t="str">
        <f t="shared" ref="R2298:R2361" si="204">SUBSTITUTE(D2298," ","_")</f>
        <v/>
      </c>
      <c r="S2298" s="677"/>
      <c r="T2298" s="677"/>
    </row>
    <row r="2299" spans="1:20" x14ac:dyDescent="0.2">
      <c r="A2299" s="352" t="str">
        <f>IF(B2299="","",COUNT('Diário 1º PA'!$A$4:$A$2635)+COUNT('Diário 2º PA'!$A$4:$A$3040)+COUNT('Diário 3º PA'!$A$4:$A$2731)+ROW()-3)</f>
        <v/>
      </c>
      <c r="B2299" s="600"/>
      <c r="C2299" s="354"/>
      <c r="D2299" s="343"/>
      <c r="E2299" s="343"/>
      <c r="F2299" s="344"/>
      <c r="G2299" s="343"/>
      <c r="H2299" s="343"/>
      <c r="I2299" s="345"/>
      <c r="J2299" s="343"/>
      <c r="K2299" s="343"/>
      <c r="L2299" s="345"/>
      <c r="M2299" s="343"/>
      <c r="N2299" s="598"/>
      <c r="O2299" s="585"/>
      <c r="P2299" s="341">
        <f t="shared" si="202"/>
        <v>0</v>
      </c>
      <c r="Q2299" s="71">
        <f t="shared" si="203"/>
        <v>0</v>
      </c>
      <c r="R2299" s="763" t="str">
        <f t="shared" si="204"/>
        <v/>
      </c>
      <c r="S2299" s="677"/>
      <c r="T2299" s="677"/>
    </row>
    <row r="2300" spans="1:20" x14ac:dyDescent="0.2">
      <c r="A2300" s="352" t="str">
        <f>IF(B2300="","",COUNT('Diário 1º PA'!$A$4:$A$2635)+COUNT('Diário 2º PA'!$A$4:$A$3040)+COUNT('Diário 3º PA'!$A$4:$A$2731)+ROW()-3)</f>
        <v/>
      </c>
      <c r="B2300" s="600"/>
      <c r="C2300" s="354"/>
      <c r="D2300" s="343"/>
      <c r="E2300" s="343"/>
      <c r="F2300" s="344"/>
      <c r="G2300" s="343"/>
      <c r="H2300" s="343"/>
      <c r="I2300" s="345"/>
      <c r="J2300" s="343"/>
      <c r="K2300" s="343"/>
      <c r="L2300" s="345"/>
      <c r="M2300" s="343"/>
      <c r="N2300" s="598"/>
      <c r="O2300" s="585"/>
      <c r="P2300" s="341">
        <f t="shared" si="202"/>
        <v>0</v>
      </c>
      <c r="Q2300" s="71">
        <f t="shared" si="203"/>
        <v>0</v>
      </c>
      <c r="R2300" s="763" t="str">
        <f t="shared" si="204"/>
        <v/>
      </c>
      <c r="S2300" s="677"/>
      <c r="T2300" s="677"/>
    </row>
    <row r="2301" spans="1:20" x14ac:dyDescent="0.2">
      <c r="A2301" s="352" t="str">
        <f>IF(B2301="","",COUNT('Diário 1º PA'!$A$4:$A$2635)+COUNT('Diário 2º PA'!$A$4:$A$3040)+COUNT('Diário 3º PA'!$A$4:$A$2731)+ROW()-3)</f>
        <v/>
      </c>
      <c r="B2301" s="600"/>
      <c r="C2301" s="354"/>
      <c r="D2301" s="343"/>
      <c r="E2301" s="343"/>
      <c r="F2301" s="344"/>
      <c r="G2301" s="343"/>
      <c r="H2301" s="343"/>
      <c r="I2301" s="345"/>
      <c r="J2301" s="343"/>
      <c r="K2301" s="343"/>
      <c r="L2301" s="345"/>
      <c r="M2301" s="343"/>
      <c r="N2301" s="598"/>
      <c r="O2301" s="585"/>
      <c r="P2301" s="341">
        <f t="shared" si="202"/>
        <v>0</v>
      </c>
      <c r="Q2301" s="71">
        <f t="shared" si="203"/>
        <v>0</v>
      </c>
      <c r="R2301" s="763" t="str">
        <f t="shared" si="204"/>
        <v/>
      </c>
      <c r="S2301" s="677"/>
      <c r="T2301" s="677"/>
    </row>
    <row r="2302" spans="1:20" x14ac:dyDescent="0.2">
      <c r="A2302" s="352" t="str">
        <f>IF(B2302="","",COUNT('Diário 1º PA'!$A$4:$A$2635)+COUNT('Diário 2º PA'!$A$4:$A$3040)+COUNT('Diário 3º PA'!$A$4:$A$2731)+ROW()-3)</f>
        <v/>
      </c>
      <c r="B2302" s="600"/>
      <c r="C2302" s="354"/>
      <c r="D2302" s="343"/>
      <c r="E2302" s="343"/>
      <c r="F2302" s="344"/>
      <c r="G2302" s="343"/>
      <c r="H2302" s="343"/>
      <c r="I2302" s="345"/>
      <c r="J2302" s="343"/>
      <c r="K2302" s="343"/>
      <c r="L2302" s="345"/>
      <c r="M2302" s="343"/>
      <c r="N2302" s="598"/>
      <c r="O2302" s="585"/>
      <c r="P2302" s="341">
        <f t="shared" si="202"/>
        <v>0</v>
      </c>
      <c r="Q2302" s="71">
        <f t="shared" si="203"/>
        <v>0</v>
      </c>
      <c r="R2302" s="763" t="str">
        <f t="shared" si="204"/>
        <v/>
      </c>
      <c r="S2302" s="677"/>
      <c r="T2302" s="677"/>
    </row>
    <row r="2303" spans="1:20" x14ac:dyDescent="0.2">
      <c r="A2303" s="352" t="str">
        <f>IF(B2303="","",COUNT('Diário 1º PA'!$A$4:$A$2635)+COUNT('Diário 2º PA'!$A$4:$A$3040)+COUNT('Diário 3º PA'!$A$4:$A$2731)+ROW()-3)</f>
        <v/>
      </c>
      <c r="B2303" s="600"/>
      <c r="C2303" s="354"/>
      <c r="D2303" s="343"/>
      <c r="E2303" s="343"/>
      <c r="F2303" s="344"/>
      <c r="G2303" s="343"/>
      <c r="H2303" s="343"/>
      <c r="I2303" s="345"/>
      <c r="J2303" s="343"/>
      <c r="K2303" s="343"/>
      <c r="L2303" s="345"/>
      <c r="M2303" s="343"/>
      <c r="N2303" s="598"/>
      <c r="O2303" s="585"/>
      <c r="P2303" s="341">
        <f t="shared" si="202"/>
        <v>0</v>
      </c>
      <c r="Q2303" s="71">
        <f t="shared" si="203"/>
        <v>0</v>
      </c>
      <c r="R2303" s="763" t="str">
        <f t="shared" si="204"/>
        <v/>
      </c>
      <c r="S2303" s="677"/>
      <c r="T2303" s="677"/>
    </row>
    <row r="2304" spans="1:20" x14ac:dyDescent="0.2">
      <c r="A2304" s="352" t="str">
        <f>IF(B2304="","",COUNT('Diário 1º PA'!$A$4:$A$2635)+COUNT('Diário 2º PA'!$A$4:$A$3040)+COUNT('Diário 3º PA'!$A$4:$A$2731)+ROW()-3)</f>
        <v/>
      </c>
      <c r="B2304" s="600"/>
      <c r="C2304" s="354"/>
      <c r="D2304" s="343"/>
      <c r="E2304" s="343"/>
      <c r="F2304" s="344"/>
      <c r="G2304" s="343"/>
      <c r="H2304" s="343"/>
      <c r="I2304" s="345"/>
      <c r="J2304" s="343"/>
      <c r="K2304" s="343"/>
      <c r="L2304" s="345"/>
      <c r="M2304" s="343"/>
      <c r="N2304" s="598"/>
      <c r="O2304" s="585"/>
      <c r="P2304" s="341">
        <f t="shared" si="202"/>
        <v>0</v>
      </c>
      <c r="Q2304" s="71">
        <f t="shared" si="203"/>
        <v>0</v>
      </c>
      <c r="R2304" s="763" t="str">
        <f t="shared" si="204"/>
        <v/>
      </c>
      <c r="S2304" s="677"/>
      <c r="T2304" s="677"/>
    </row>
    <row r="2305" spans="1:20" x14ac:dyDescent="0.2">
      <c r="A2305" s="352" t="str">
        <f>IF(B2305="","",COUNT('Diário 1º PA'!$A$4:$A$2635)+COUNT('Diário 2º PA'!$A$4:$A$3040)+COUNT('Diário 3º PA'!$A$4:$A$2731)+ROW()-3)</f>
        <v/>
      </c>
      <c r="B2305" s="600"/>
      <c r="C2305" s="354"/>
      <c r="D2305" s="343"/>
      <c r="E2305" s="343"/>
      <c r="F2305" s="344"/>
      <c r="G2305" s="343"/>
      <c r="H2305" s="343"/>
      <c r="I2305" s="345"/>
      <c r="J2305" s="343"/>
      <c r="K2305" s="343"/>
      <c r="L2305" s="345"/>
      <c r="M2305" s="343"/>
      <c r="N2305" s="598"/>
      <c r="O2305" s="585"/>
      <c r="P2305" s="341">
        <f t="shared" si="202"/>
        <v>0</v>
      </c>
      <c r="Q2305" s="71">
        <f t="shared" si="203"/>
        <v>0</v>
      </c>
      <c r="R2305" s="763" t="str">
        <f t="shared" si="204"/>
        <v/>
      </c>
      <c r="S2305" s="677"/>
      <c r="T2305" s="677"/>
    </row>
    <row r="2306" spans="1:20" x14ac:dyDescent="0.2">
      <c r="A2306" s="352" t="str">
        <f>IF(B2306="","",COUNT('Diário 1º PA'!$A$4:$A$2635)+COUNT('Diário 2º PA'!$A$4:$A$3040)+COUNT('Diário 3º PA'!$A$4:$A$2731)+ROW()-3)</f>
        <v/>
      </c>
      <c r="B2306" s="600"/>
      <c r="C2306" s="354"/>
      <c r="D2306" s="343"/>
      <c r="E2306" s="343"/>
      <c r="F2306" s="344"/>
      <c r="G2306" s="343"/>
      <c r="H2306" s="343"/>
      <c r="I2306" s="345"/>
      <c r="J2306" s="343"/>
      <c r="K2306" s="343"/>
      <c r="L2306" s="345"/>
      <c r="M2306" s="343"/>
      <c r="N2306" s="598"/>
      <c r="O2306" s="585"/>
      <c r="P2306" s="341">
        <f t="shared" si="202"/>
        <v>0</v>
      </c>
      <c r="Q2306" s="71">
        <f t="shared" si="203"/>
        <v>0</v>
      </c>
      <c r="R2306" s="763" t="str">
        <f t="shared" si="204"/>
        <v/>
      </c>
      <c r="S2306" s="677"/>
      <c r="T2306" s="677"/>
    </row>
    <row r="2307" spans="1:20" x14ac:dyDescent="0.2">
      <c r="A2307" s="352" t="str">
        <f>IF(B2307="","",COUNT('Diário 1º PA'!$A$4:$A$2635)+COUNT('Diário 2º PA'!$A$4:$A$3040)+COUNT('Diário 3º PA'!$A$4:$A$2731)+ROW()-3)</f>
        <v/>
      </c>
      <c r="B2307" s="600"/>
      <c r="C2307" s="354"/>
      <c r="D2307" s="343"/>
      <c r="E2307" s="343"/>
      <c r="F2307" s="344"/>
      <c r="G2307" s="343"/>
      <c r="H2307" s="343"/>
      <c r="I2307" s="345"/>
      <c r="J2307" s="343"/>
      <c r="K2307" s="343"/>
      <c r="L2307" s="345"/>
      <c r="M2307" s="343"/>
      <c r="N2307" s="598"/>
      <c r="O2307" s="585"/>
      <c r="P2307" s="341">
        <f t="shared" si="202"/>
        <v>0</v>
      </c>
      <c r="Q2307" s="71">
        <f t="shared" si="203"/>
        <v>0</v>
      </c>
      <c r="R2307" s="763" t="str">
        <f t="shared" si="204"/>
        <v/>
      </c>
      <c r="S2307" s="677"/>
      <c r="T2307" s="677"/>
    </row>
    <row r="2308" spans="1:20" x14ac:dyDescent="0.2">
      <c r="A2308" s="352" t="str">
        <f>IF(B2308="","",COUNT('Diário 1º PA'!$A$4:$A$2635)+COUNT('Diário 2º PA'!$A$4:$A$3040)+COUNT('Diário 3º PA'!$A$4:$A$2731)+ROW()-3)</f>
        <v/>
      </c>
      <c r="B2308" s="600"/>
      <c r="C2308" s="354"/>
      <c r="D2308" s="343"/>
      <c r="E2308" s="343"/>
      <c r="F2308" s="344"/>
      <c r="G2308" s="343"/>
      <c r="H2308" s="343"/>
      <c r="I2308" s="345"/>
      <c r="J2308" s="343"/>
      <c r="K2308" s="343"/>
      <c r="L2308" s="345"/>
      <c r="M2308" s="343"/>
      <c r="N2308" s="598"/>
      <c r="O2308" s="585"/>
      <c r="P2308" s="341">
        <f t="shared" si="202"/>
        <v>0</v>
      </c>
      <c r="Q2308" s="71">
        <f t="shared" si="203"/>
        <v>0</v>
      </c>
      <c r="R2308" s="763" t="str">
        <f t="shared" si="204"/>
        <v/>
      </c>
      <c r="S2308" s="677"/>
      <c r="T2308" s="677"/>
    </row>
    <row r="2309" spans="1:20" x14ac:dyDescent="0.2">
      <c r="A2309" s="352" t="str">
        <f>IF(B2309="","",COUNT('Diário 1º PA'!$A$4:$A$2635)+COUNT('Diário 2º PA'!$A$4:$A$3040)+COUNT('Diário 3º PA'!$A$4:$A$2731)+ROW()-3)</f>
        <v/>
      </c>
      <c r="B2309" s="600"/>
      <c r="C2309" s="354"/>
      <c r="D2309" s="343"/>
      <c r="E2309" s="343"/>
      <c r="F2309" s="344"/>
      <c r="G2309" s="343"/>
      <c r="H2309" s="343"/>
      <c r="I2309" s="345"/>
      <c r="J2309" s="343"/>
      <c r="K2309" s="343"/>
      <c r="L2309" s="345"/>
      <c r="M2309" s="343"/>
      <c r="N2309" s="598"/>
      <c r="O2309" s="585"/>
      <c r="P2309" s="341">
        <f t="shared" si="202"/>
        <v>0</v>
      </c>
      <c r="Q2309" s="71">
        <f t="shared" si="203"/>
        <v>0</v>
      </c>
      <c r="R2309" s="763" t="str">
        <f t="shared" si="204"/>
        <v/>
      </c>
      <c r="S2309" s="677"/>
      <c r="T2309" s="677"/>
    </row>
    <row r="2310" spans="1:20" x14ac:dyDescent="0.2">
      <c r="A2310" s="352" t="str">
        <f>IF(B2310="","",COUNT('Diário 1º PA'!$A$4:$A$2635)+COUNT('Diário 2º PA'!$A$4:$A$3040)+COUNT('Diário 3º PA'!$A$4:$A$2731)+ROW()-3)</f>
        <v/>
      </c>
      <c r="B2310" s="600"/>
      <c r="C2310" s="354"/>
      <c r="D2310" s="343"/>
      <c r="E2310" s="343"/>
      <c r="F2310" s="344"/>
      <c r="G2310" s="343"/>
      <c r="H2310" s="343"/>
      <c r="I2310" s="345"/>
      <c r="J2310" s="343"/>
      <c r="K2310" s="343"/>
      <c r="L2310" s="345"/>
      <c r="M2310" s="343"/>
      <c r="N2310" s="598"/>
      <c r="O2310" s="585"/>
      <c r="P2310" s="341">
        <f t="shared" si="202"/>
        <v>0</v>
      </c>
      <c r="Q2310" s="71">
        <f t="shared" si="203"/>
        <v>0</v>
      </c>
      <c r="R2310" s="763" t="str">
        <f t="shared" si="204"/>
        <v/>
      </c>
      <c r="S2310" s="677"/>
      <c r="T2310" s="677"/>
    </row>
    <row r="2311" spans="1:20" x14ac:dyDescent="0.2">
      <c r="A2311" s="352" t="str">
        <f>IF(B2311="","",COUNT('Diário 1º PA'!$A$4:$A$2635)+COUNT('Diário 2º PA'!$A$4:$A$3040)+COUNT('Diário 3º PA'!$A$4:$A$2731)+ROW()-3)</f>
        <v/>
      </c>
      <c r="B2311" s="600"/>
      <c r="C2311" s="354"/>
      <c r="D2311" s="343"/>
      <c r="E2311" s="343"/>
      <c r="F2311" s="344"/>
      <c r="G2311" s="343"/>
      <c r="H2311" s="343"/>
      <c r="I2311" s="345"/>
      <c r="J2311" s="343"/>
      <c r="K2311" s="343"/>
      <c r="L2311" s="345"/>
      <c r="M2311" s="343"/>
      <c r="N2311" s="598"/>
      <c r="O2311" s="585"/>
      <c r="P2311" s="341">
        <f t="shared" si="202"/>
        <v>0</v>
      </c>
      <c r="Q2311" s="71">
        <f t="shared" si="203"/>
        <v>0</v>
      </c>
      <c r="R2311" s="763" t="str">
        <f t="shared" si="204"/>
        <v/>
      </c>
      <c r="S2311" s="677"/>
      <c r="T2311" s="677"/>
    </row>
    <row r="2312" spans="1:20" x14ac:dyDescent="0.2">
      <c r="A2312" s="352" t="str">
        <f>IF(B2312="","",COUNT('Diário 1º PA'!$A$4:$A$2635)+COUNT('Diário 2º PA'!$A$4:$A$3040)+COUNT('Diário 3º PA'!$A$4:$A$2731)+ROW()-3)</f>
        <v/>
      </c>
      <c r="B2312" s="600"/>
      <c r="C2312" s="354"/>
      <c r="D2312" s="343"/>
      <c r="E2312" s="343"/>
      <c r="F2312" s="344"/>
      <c r="G2312" s="343"/>
      <c r="H2312" s="343"/>
      <c r="I2312" s="345"/>
      <c r="J2312" s="343"/>
      <c r="K2312" s="343"/>
      <c r="L2312" s="345"/>
      <c r="M2312" s="343"/>
      <c r="N2312" s="598"/>
      <c r="O2312" s="585"/>
      <c r="P2312" s="341">
        <f t="shared" si="202"/>
        <v>0</v>
      </c>
      <c r="Q2312" s="71">
        <f t="shared" si="203"/>
        <v>0</v>
      </c>
      <c r="R2312" s="763" t="str">
        <f t="shared" si="204"/>
        <v/>
      </c>
      <c r="S2312" s="677"/>
      <c r="T2312" s="677"/>
    </row>
    <row r="2313" spans="1:20" x14ac:dyDescent="0.2">
      <c r="A2313" s="352" t="str">
        <f>IF(B2313="","",COUNT('Diário 1º PA'!$A$4:$A$2635)+COUNT('Diário 2º PA'!$A$4:$A$3040)+COUNT('Diário 3º PA'!$A$4:$A$2731)+ROW()-3)</f>
        <v/>
      </c>
      <c r="B2313" s="600"/>
      <c r="C2313" s="354"/>
      <c r="D2313" s="343"/>
      <c r="E2313" s="343"/>
      <c r="F2313" s="344"/>
      <c r="G2313" s="343"/>
      <c r="H2313" s="343"/>
      <c r="I2313" s="345"/>
      <c r="J2313" s="343"/>
      <c r="K2313" s="343"/>
      <c r="L2313" s="345"/>
      <c r="M2313" s="343"/>
      <c r="N2313" s="598"/>
      <c r="O2313" s="585"/>
      <c r="P2313" s="341">
        <f t="shared" si="202"/>
        <v>0</v>
      </c>
      <c r="Q2313" s="71">
        <f t="shared" si="203"/>
        <v>0</v>
      </c>
      <c r="R2313" s="763" t="str">
        <f t="shared" si="204"/>
        <v/>
      </c>
      <c r="S2313" s="677"/>
      <c r="T2313" s="677"/>
    </row>
    <row r="2314" spans="1:20" x14ac:dyDescent="0.2">
      <c r="A2314" s="352" t="str">
        <f>IF(B2314="","",COUNT('Diário 1º PA'!$A$4:$A$2635)+COUNT('Diário 2º PA'!$A$4:$A$3040)+COUNT('Diário 3º PA'!$A$4:$A$2731)+ROW()-3)</f>
        <v/>
      </c>
      <c r="B2314" s="600"/>
      <c r="C2314" s="354"/>
      <c r="D2314" s="343"/>
      <c r="E2314" s="343"/>
      <c r="F2314" s="344"/>
      <c r="G2314" s="343"/>
      <c r="H2314" s="343"/>
      <c r="I2314" s="345"/>
      <c r="J2314" s="343"/>
      <c r="K2314" s="343"/>
      <c r="L2314" s="345"/>
      <c r="M2314" s="343"/>
      <c r="N2314" s="598"/>
      <c r="O2314" s="585"/>
      <c r="P2314" s="341">
        <f t="shared" si="202"/>
        <v>0</v>
      </c>
      <c r="Q2314" s="71">
        <f t="shared" si="203"/>
        <v>0</v>
      </c>
      <c r="R2314" s="763" t="str">
        <f t="shared" si="204"/>
        <v/>
      </c>
      <c r="S2314" s="677"/>
      <c r="T2314" s="677"/>
    </row>
    <row r="2315" spans="1:20" x14ac:dyDescent="0.2">
      <c r="A2315" s="352" t="str">
        <f>IF(B2315="","",COUNT('Diário 1º PA'!$A$4:$A$2635)+COUNT('Diário 2º PA'!$A$4:$A$3040)+COUNT('Diário 3º PA'!$A$4:$A$2731)+ROW()-3)</f>
        <v/>
      </c>
      <c r="B2315" s="600"/>
      <c r="C2315" s="354"/>
      <c r="D2315" s="343"/>
      <c r="E2315" s="343"/>
      <c r="F2315" s="344"/>
      <c r="G2315" s="343"/>
      <c r="H2315" s="343"/>
      <c r="I2315" s="345"/>
      <c r="J2315" s="343"/>
      <c r="K2315" s="343"/>
      <c r="L2315" s="345"/>
      <c r="M2315" s="343"/>
      <c r="N2315" s="598"/>
      <c r="O2315" s="585"/>
      <c r="P2315" s="341">
        <f t="shared" si="202"/>
        <v>0</v>
      </c>
      <c r="Q2315" s="71">
        <f t="shared" si="203"/>
        <v>0</v>
      </c>
      <c r="R2315" s="763" t="str">
        <f t="shared" si="204"/>
        <v/>
      </c>
      <c r="S2315" s="677"/>
      <c r="T2315" s="677"/>
    </row>
    <row r="2316" spans="1:20" x14ac:dyDescent="0.2">
      <c r="A2316" s="352" t="str">
        <f>IF(B2316="","",COUNT('Diário 1º PA'!$A$4:$A$2635)+COUNT('Diário 2º PA'!$A$4:$A$3040)+COUNT('Diário 3º PA'!$A$4:$A$2731)+ROW()-3)</f>
        <v/>
      </c>
      <c r="B2316" s="600"/>
      <c r="C2316" s="354"/>
      <c r="D2316" s="343"/>
      <c r="E2316" s="343"/>
      <c r="F2316" s="344"/>
      <c r="G2316" s="343"/>
      <c r="H2316" s="343"/>
      <c r="I2316" s="345"/>
      <c r="J2316" s="343"/>
      <c r="K2316" s="343"/>
      <c r="L2316" s="345"/>
      <c r="M2316" s="343"/>
      <c r="N2316" s="598"/>
      <c r="O2316" s="585"/>
      <c r="P2316" s="341">
        <f t="shared" si="202"/>
        <v>0</v>
      </c>
      <c r="Q2316" s="71">
        <f t="shared" si="203"/>
        <v>0</v>
      </c>
      <c r="R2316" s="763" t="str">
        <f t="shared" si="204"/>
        <v/>
      </c>
      <c r="S2316" s="677"/>
      <c r="T2316" s="677"/>
    </row>
    <row r="2317" spans="1:20" x14ac:dyDescent="0.2">
      <c r="A2317" s="352" t="str">
        <f>IF(B2317="","",COUNT('Diário 1º PA'!$A$4:$A$2635)+COUNT('Diário 2º PA'!$A$4:$A$3040)+COUNT('Diário 3º PA'!$A$4:$A$2731)+ROW()-3)</f>
        <v/>
      </c>
      <c r="B2317" s="600"/>
      <c r="C2317" s="354"/>
      <c r="D2317" s="343"/>
      <c r="E2317" s="343"/>
      <c r="F2317" s="344"/>
      <c r="G2317" s="343"/>
      <c r="H2317" s="343"/>
      <c r="I2317" s="345"/>
      <c r="J2317" s="343"/>
      <c r="K2317" s="343"/>
      <c r="L2317" s="345"/>
      <c r="M2317" s="343"/>
      <c r="N2317" s="598"/>
      <c r="O2317" s="585"/>
      <c r="P2317" s="341">
        <f t="shared" si="202"/>
        <v>0</v>
      </c>
      <c r="Q2317" s="71">
        <f t="shared" si="203"/>
        <v>0</v>
      </c>
      <c r="R2317" s="93" t="str">
        <f t="shared" si="204"/>
        <v/>
      </c>
    </row>
    <row r="2318" spans="1:20" x14ac:dyDescent="0.2">
      <c r="A2318" s="352" t="str">
        <f>IF(B2318="","",COUNT('Diário 1º PA'!$A$4:$A$2635)+COUNT('Diário 2º PA'!$A$4:$A$3040)+COUNT('Diário 3º PA'!$A$4:$A$2731)+ROW()-3)</f>
        <v/>
      </c>
      <c r="B2318" s="600"/>
      <c r="C2318" s="354"/>
      <c r="D2318" s="343"/>
      <c r="E2318" s="343"/>
      <c r="F2318" s="344"/>
      <c r="G2318" s="343"/>
      <c r="H2318" s="343"/>
      <c r="I2318" s="345"/>
      <c r="J2318" s="343"/>
      <c r="K2318" s="343"/>
      <c r="L2318" s="345"/>
      <c r="M2318" s="343"/>
      <c r="N2318" s="598"/>
      <c r="O2318" s="585"/>
      <c r="P2318" s="341">
        <f t="shared" si="202"/>
        <v>0</v>
      </c>
      <c r="Q2318" s="71">
        <f t="shared" si="203"/>
        <v>0</v>
      </c>
      <c r="R2318" s="93" t="str">
        <f t="shared" si="204"/>
        <v/>
      </c>
    </row>
    <row r="2319" spans="1:20" x14ac:dyDescent="0.2">
      <c r="A2319" s="352" t="str">
        <f>IF(B2319="","",COUNT('Diário 1º PA'!$A$4:$A$2635)+COUNT('Diário 2º PA'!$A$4:$A$3040)+COUNT('Diário 3º PA'!$A$4:$A$2731)+ROW()-3)</f>
        <v/>
      </c>
      <c r="B2319" s="600"/>
      <c r="C2319" s="354"/>
      <c r="D2319" s="343"/>
      <c r="E2319" s="343"/>
      <c r="F2319" s="344"/>
      <c r="G2319" s="343"/>
      <c r="H2319" s="343"/>
      <c r="I2319" s="345"/>
      <c r="J2319" s="343"/>
      <c r="K2319" s="343"/>
      <c r="L2319" s="345"/>
      <c r="M2319" s="343"/>
      <c r="N2319" s="598"/>
      <c r="O2319" s="585"/>
      <c r="P2319" s="341">
        <f t="shared" si="202"/>
        <v>0</v>
      </c>
      <c r="Q2319" s="71">
        <f t="shared" si="203"/>
        <v>0</v>
      </c>
      <c r="R2319" s="93" t="str">
        <f t="shared" si="204"/>
        <v/>
      </c>
    </row>
    <row r="2320" spans="1:20" x14ac:dyDescent="0.2">
      <c r="A2320" s="352" t="str">
        <f>IF(B2320="","",COUNT('Diário 1º PA'!$A$4:$A$2635)+COUNT('Diário 2º PA'!$A$4:$A$3040)+COUNT('Diário 3º PA'!$A$4:$A$2731)+ROW()-3)</f>
        <v/>
      </c>
      <c r="B2320" s="600"/>
      <c r="C2320" s="354"/>
      <c r="D2320" s="343"/>
      <c r="E2320" s="343"/>
      <c r="F2320" s="344"/>
      <c r="G2320" s="343"/>
      <c r="H2320" s="343"/>
      <c r="I2320" s="345"/>
      <c r="J2320" s="343"/>
      <c r="K2320" s="343"/>
      <c r="L2320" s="345"/>
      <c r="M2320" s="343"/>
      <c r="N2320" s="598"/>
      <c r="O2320" s="585"/>
      <c r="P2320" s="341">
        <f t="shared" si="202"/>
        <v>0</v>
      </c>
      <c r="Q2320" s="71">
        <f t="shared" si="203"/>
        <v>0</v>
      </c>
      <c r="R2320" s="93" t="str">
        <f t="shared" si="204"/>
        <v/>
      </c>
    </row>
    <row r="2321" spans="1:18" x14ac:dyDescent="0.2">
      <c r="A2321" s="352" t="str">
        <f>IF(B2321="","",COUNT('Diário 1º PA'!$A$4:$A$2635)+COUNT('Diário 2º PA'!$A$4:$A$3040)+COUNT('Diário 3º PA'!$A$4:$A$2731)+ROW()-3)</f>
        <v/>
      </c>
      <c r="B2321" s="600"/>
      <c r="C2321" s="354"/>
      <c r="D2321" s="343"/>
      <c r="E2321" s="343"/>
      <c r="F2321" s="344"/>
      <c r="G2321" s="343"/>
      <c r="H2321" s="343"/>
      <c r="I2321" s="345"/>
      <c r="J2321" s="343"/>
      <c r="K2321" s="343"/>
      <c r="L2321" s="345"/>
      <c r="M2321" s="343"/>
      <c r="N2321" s="598"/>
      <c r="O2321" s="585"/>
      <c r="P2321" s="341">
        <f t="shared" si="202"/>
        <v>0</v>
      </c>
      <c r="Q2321" s="71">
        <f t="shared" si="203"/>
        <v>0</v>
      </c>
      <c r="R2321" s="93" t="str">
        <f t="shared" si="204"/>
        <v/>
      </c>
    </row>
    <row r="2322" spans="1:18" x14ac:dyDescent="0.2">
      <c r="A2322" s="352" t="str">
        <f>IF(B2322="","",COUNT('Diário 1º PA'!$A$4:$A$2635)+COUNT('Diário 2º PA'!$A$4:$A$3040)+COUNT('Diário 3º PA'!$A$4:$A$2731)+ROW()-3)</f>
        <v/>
      </c>
      <c r="B2322" s="600"/>
      <c r="C2322" s="354"/>
      <c r="D2322" s="343"/>
      <c r="E2322" s="343"/>
      <c r="F2322" s="344"/>
      <c r="G2322" s="343"/>
      <c r="H2322" s="343"/>
      <c r="I2322" s="345"/>
      <c r="J2322" s="343"/>
      <c r="K2322" s="343"/>
      <c r="L2322" s="345"/>
      <c r="M2322" s="343"/>
      <c r="N2322" s="598"/>
      <c r="O2322" s="585"/>
      <c r="P2322" s="341">
        <f t="shared" si="202"/>
        <v>0</v>
      </c>
      <c r="Q2322" s="71">
        <f t="shared" si="203"/>
        <v>0</v>
      </c>
      <c r="R2322" s="93" t="str">
        <f t="shared" si="204"/>
        <v/>
      </c>
    </row>
    <row r="2323" spans="1:18" x14ac:dyDescent="0.2">
      <c r="A2323" s="352" t="str">
        <f>IF(B2323="","",COUNT('Diário 1º PA'!$A$4:$A$2635)+COUNT('Diário 2º PA'!$A$4:$A$3040)+COUNT('Diário 3º PA'!$A$4:$A$2731)+ROW()-3)</f>
        <v/>
      </c>
      <c r="B2323" s="600"/>
      <c r="C2323" s="354"/>
      <c r="D2323" s="343"/>
      <c r="E2323" s="343"/>
      <c r="F2323" s="344"/>
      <c r="G2323" s="343"/>
      <c r="H2323" s="343"/>
      <c r="I2323" s="345"/>
      <c r="J2323" s="343"/>
      <c r="K2323" s="343"/>
      <c r="L2323" s="345"/>
      <c r="M2323" s="343"/>
      <c r="N2323" s="598"/>
      <c r="O2323" s="585"/>
      <c r="P2323" s="341">
        <f t="shared" si="202"/>
        <v>0</v>
      </c>
      <c r="Q2323" s="71">
        <f t="shared" si="203"/>
        <v>0</v>
      </c>
      <c r="R2323" s="93" t="str">
        <f t="shared" si="204"/>
        <v/>
      </c>
    </row>
    <row r="2324" spans="1:18" x14ac:dyDescent="0.2">
      <c r="A2324" s="352" t="str">
        <f>IF(B2324="","",COUNT('Diário 1º PA'!$A$4:$A$2635)+COUNT('Diário 2º PA'!$A$4:$A$3040)+COUNT('Diário 3º PA'!$A$4:$A$2731)+ROW()-3)</f>
        <v/>
      </c>
      <c r="B2324" s="600"/>
      <c r="C2324" s="354"/>
      <c r="D2324" s="343"/>
      <c r="E2324" s="343"/>
      <c r="F2324" s="344"/>
      <c r="G2324" s="343"/>
      <c r="H2324" s="343"/>
      <c r="I2324" s="345"/>
      <c r="J2324" s="343"/>
      <c r="K2324" s="343"/>
      <c r="L2324" s="345"/>
      <c r="M2324" s="343"/>
      <c r="N2324" s="598"/>
      <c r="O2324" s="585"/>
      <c r="P2324" s="341">
        <f t="shared" si="202"/>
        <v>0</v>
      </c>
      <c r="Q2324" s="71">
        <f t="shared" si="203"/>
        <v>0</v>
      </c>
      <c r="R2324" s="93" t="str">
        <f t="shared" si="204"/>
        <v/>
      </c>
    </row>
    <row r="2325" spans="1:18" x14ac:dyDescent="0.2">
      <c r="A2325" s="352" t="str">
        <f>IF(B2325="","",COUNT('Diário 1º PA'!$A$4:$A$2635)+COUNT('Diário 2º PA'!$A$4:$A$3040)+COUNT('Diário 3º PA'!$A$4:$A$2731)+ROW()-3)</f>
        <v/>
      </c>
      <c r="B2325" s="600"/>
      <c r="C2325" s="354"/>
      <c r="D2325" s="343"/>
      <c r="E2325" s="343"/>
      <c r="F2325" s="344"/>
      <c r="G2325" s="343"/>
      <c r="H2325" s="343"/>
      <c r="I2325" s="345"/>
      <c r="J2325" s="343"/>
      <c r="K2325" s="343"/>
      <c r="L2325" s="345"/>
      <c r="M2325" s="343"/>
      <c r="N2325" s="598"/>
      <c r="O2325" s="585"/>
      <c r="P2325" s="341">
        <f t="shared" si="202"/>
        <v>0</v>
      </c>
      <c r="Q2325" s="71">
        <f t="shared" si="203"/>
        <v>0</v>
      </c>
      <c r="R2325" s="93" t="str">
        <f t="shared" si="204"/>
        <v/>
      </c>
    </row>
    <row r="2326" spans="1:18" x14ac:dyDescent="0.2">
      <c r="A2326" s="352" t="str">
        <f>IF(B2326="","",COUNT('Diário 1º PA'!$A$4:$A$2635)+COUNT('Diário 2º PA'!$A$4:$A$3040)+COUNT('Diário 3º PA'!$A$4:$A$2731)+ROW()-3)</f>
        <v/>
      </c>
      <c r="B2326" s="600"/>
      <c r="C2326" s="354"/>
      <c r="D2326" s="343"/>
      <c r="E2326" s="343"/>
      <c r="F2326" s="344"/>
      <c r="G2326" s="343"/>
      <c r="H2326" s="343"/>
      <c r="I2326" s="345"/>
      <c r="J2326" s="343"/>
      <c r="K2326" s="343"/>
      <c r="L2326" s="345"/>
      <c r="M2326" s="343"/>
      <c r="N2326" s="598"/>
      <c r="O2326" s="585"/>
      <c r="P2326" s="341">
        <f t="shared" si="202"/>
        <v>0</v>
      </c>
      <c r="Q2326" s="71">
        <f t="shared" si="203"/>
        <v>0</v>
      </c>
      <c r="R2326" s="93" t="str">
        <f t="shared" si="204"/>
        <v/>
      </c>
    </row>
    <row r="2327" spans="1:18" x14ac:dyDescent="0.2">
      <c r="A2327" s="352" t="str">
        <f>IF(B2327="","",COUNT('Diário 1º PA'!$A$4:$A$2635)+COUNT('Diário 2º PA'!$A$4:$A$3040)+COUNT('Diário 3º PA'!$A$4:$A$2731)+ROW()-3)</f>
        <v/>
      </c>
      <c r="B2327" s="600"/>
      <c r="C2327" s="354"/>
      <c r="D2327" s="343"/>
      <c r="E2327" s="343"/>
      <c r="F2327" s="344"/>
      <c r="G2327" s="343"/>
      <c r="H2327" s="343"/>
      <c r="I2327" s="345"/>
      <c r="J2327" s="343"/>
      <c r="K2327" s="343"/>
      <c r="L2327" s="345"/>
      <c r="M2327" s="343"/>
      <c r="N2327" s="598"/>
      <c r="O2327" s="585"/>
      <c r="P2327" s="341">
        <f t="shared" si="202"/>
        <v>0</v>
      </c>
      <c r="Q2327" s="71">
        <f t="shared" si="203"/>
        <v>0</v>
      </c>
      <c r="R2327" s="93" t="str">
        <f t="shared" si="204"/>
        <v/>
      </c>
    </row>
    <row r="2328" spans="1:18" x14ac:dyDescent="0.2">
      <c r="A2328" s="352" t="str">
        <f>IF(B2328="","",COUNT('Diário 1º PA'!$A$4:$A$2635)+COUNT('Diário 2º PA'!$A$4:$A$3040)+COUNT('Diário 3º PA'!$A$4:$A$2731)+ROW()-3)</f>
        <v/>
      </c>
      <c r="B2328" s="600"/>
      <c r="C2328" s="354"/>
      <c r="D2328" s="343"/>
      <c r="E2328" s="343"/>
      <c r="F2328" s="344"/>
      <c r="G2328" s="343"/>
      <c r="H2328" s="343"/>
      <c r="I2328" s="345"/>
      <c r="J2328" s="343"/>
      <c r="K2328" s="343"/>
      <c r="L2328" s="345"/>
      <c r="M2328" s="343"/>
      <c r="N2328" s="598"/>
      <c r="O2328" s="585"/>
      <c r="P2328" s="341">
        <f t="shared" si="202"/>
        <v>0</v>
      </c>
      <c r="Q2328" s="71">
        <f t="shared" si="203"/>
        <v>0</v>
      </c>
      <c r="R2328" s="93" t="str">
        <f t="shared" si="204"/>
        <v/>
      </c>
    </row>
    <row r="2329" spans="1:18" x14ac:dyDescent="0.2">
      <c r="A2329" s="352" t="str">
        <f>IF(B2329="","",COUNT('Diário 1º PA'!$A$4:$A$2635)+COUNT('Diário 2º PA'!$A$4:$A$3040)+COUNT('Diário 3º PA'!$A$4:$A$2731)+ROW()-3)</f>
        <v/>
      </c>
      <c r="B2329" s="600"/>
      <c r="C2329" s="354"/>
      <c r="D2329" s="343"/>
      <c r="E2329" s="343"/>
      <c r="F2329" s="344"/>
      <c r="G2329" s="343"/>
      <c r="H2329" s="343"/>
      <c r="I2329" s="345"/>
      <c r="J2329" s="343"/>
      <c r="K2329" s="343"/>
      <c r="L2329" s="345"/>
      <c r="M2329" s="343"/>
      <c r="N2329" s="598"/>
      <c r="O2329" s="585"/>
      <c r="P2329" s="341">
        <f t="shared" si="202"/>
        <v>0</v>
      </c>
      <c r="Q2329" s="71">
        <f t="shared" si="203"/>
        <v>0</v>
      </c>
      <c r="R2329" s="93" t="str">
        <f t="shared" si="204"/>
        <v/>
      </c>
    </row>
    <row r="2330" spans="1:18" x14ac:dyDescent="0.2">
      <c r="A2330" s="352" t="str">
        <f>IF(B2330="","",COUNT('Diário 1º PA'!$A$4:$A$2635)+COUNT('Diário 2º PA'!$A$4:$A$3040)+COUNT('Diário 3º PA'!$A$4:$A$2731)+ROW()-3)</f>
        <v/>
      </c>
      <c r="B2330" s="600"/>
      <c r="C2330" s="354"/>
      <c r="D2330" s="343"/>
      <c r="E2330" s="343"/>
      <c r="F2330" s="344"/>
      <c r="G2330" s="343"/>
      <c r="H2330" s="343"/>
      <c r="I2330" s="345"/>
      <c r="J2330" s="343"/>
      <c r="K2330" s="343"/>
      <c r="L2330" s="345"/>
      <c r="M2330" s="343"/>
      <c r="N2330" s="598"/>
      <c r="O2330" s="585"/>
      <c r="P2330" s="341">
        <f t="shared" si="202"/>
        <v>0</v>
      </c>
      <c r="Q2330" s="71">
        <f t="shared" si="203"/>
        <v>0</v>
      </c>
      <c r="R2330" s="93" t="str">
        <f t="shared" si="204"/>
        <v/>
      </c>
    </row>
    <row r="2331" spans="1:18" x14ac:dyDescent="0.2">
      <c r="A2331" s="352" t="str">
        <f>IF(B2331="","",COUNT('Diário 1º PA'!$A$4:$A$2635)+COUNT('Diário 2º PA'!$A$4:$A$3040)+COUNT('Diário 3º PA'!$A$4:$A$2731)+ROW()-3)</f>
        <v/>
      </c>
      <c r="B2331" s="600"/>
      <c r="C2331" s="354"/>
      <c r="D2331" s="343"/>
      <c r="E2331" s="343"/>
      <c r="F2331" s="344"/>
      <c r="G2331" s="343"/>
      <c r="H2331" s="343"/>
      <c r="I2331" s="345"/>
      <c r="J2331" s="343"/>
      <c r="K2331" s="343"/>
      <c r="L2331" s="345"/>
      <c r="M2331" s="343"/>
      <c r="N2331" s="598"/>
      <c r="O2331" s="585"/>
      <c r="P2331" s="341">
        <f t="shared" si="202"/>
        <v>0</v>
      </c>
      <c r="Q2331" s="71">
        <f t="shared" si="203"/>
        <v>0</v>
      </c>
      <c r="R2331" s="93" t="str">
        <f t="shared" si="204"/>
        <v/>
      </c>
    </row>
    <row r="2332" spans="1:18" x14ac:dyDescent="0.2">
      <c r="A2332" s="352" t="str">
        <f>IF(B2332="","",COUNT('Diário 1º PA'!$A$4:$A$2635)+COUNT('Diário 2º PA'!$A$4:$A$3040)+COUNT('Diário 3º PA'!$A$4:$A$2731)+ROW()-3)</f>
        <v/>
      </c>
      <c r="B2332" s="600"/>
      <c r="C2332" s="354"/>
      <c r="D2332" s="343"/>
      <c r="E2332" s="343"/>
      <c r="F2332" s="344"/>
      <c r="G2332" s="343"/>
      <c r="H2332" s="343"/>
      <c r="I2332" s="345"/>
      <c r="J2332" s="343"/>
      <c r="K2332" s="343"/>
      <c r="L2332" s="345"/>
      <c r="M2332" s="343"/>
      <c r="N2332" s="598"/>
      <c r="O2332" s="585"/>
      <c r="P2332" s="341">
        <f t="shared" si="202"/>
        <v>0</v>
      </c>
      <c r="Q2332" s="71">
        <f t="shared" si="203"/>
        <v>0</v>
      </c>
      <c r="R2332" s="93" t="str">
        <f t="shared" si="204"/>
        <v/>
      </c>
    </row>
    <row r="2333" spans="1:18" x14ac:dyDescent="0.2">
      <c r="A2333" s="352" t="str">
        <f>IF(B2333="","",COUNT('Diário 1º PA'!$A$4:$A$2635)+COUNT('Diário 2º PA'!$A$4:$A$3040)+COUNT('Diário 3º PA'!$A$4:$A$2731)+ROW()-3)</f>
        <v/>
      </c>
      <c r="B2333" s="600"/>
      <c r="C2333" s="354"/>
      <c r="D2333" s="343"/>
      <c r="E2333" s="343"/>
      <c r="F2333" s="344"/>
      <c r="G2333" s="343"/>
      <c r="H2333" s="343"/>
      <c r="I2333" s="345"/>
      <c r="J2333" s="343"/>
      <c r="K2333" s="343"/>
      <c r="L2333" s="345"/>
      <c r="M2333" s="343"/>
      <c r="N2333" s="598"/>
      <c r="O2333" s="585"/>
      <c r="P2333" s="341">
        <f t="shared" si="202"/>
        <v>0</v>
      </c>
      <c r="Q2333" s="71">
        <f t="shared" si="203"/>
        <v>0</v>
      </c>
      <c r="R2333" s="93" t="str">
        <f t="shared" si="204"/>
        <v/>
      </c>
    </row>
    <row r="2334" spans="1:18" x14ac:dyDescent="0.2">
      <c r="A2334" s="352" t="str">
        <f>IF(B2334="","",COUNT('Diário 1º PA'!$A$4:$A$2635)+COUNT('Diário 2º PA'!$A$4:$A$3040)+COUNT('Diário 3º PA'!$A$4:$A$2731)+ROW()-3)</f>
        <v/>
      </c>
      <c r="B2334" s="600"/>
      <c r="C2334" s="354"/>
      <c r="D2334" s="343"/>
      <c r="E2334" s="343"/>
      <c r="F2334" s="344"/>
      <c r="G2334" s="343"/>
      <c r="H2334" s="343"/>
      <c r="I2334" s="345"/>
      <c r="J2334" s="343"/>
      <c r="K2334" s="343"/>
      <c r="L2334" s="345"/>
      <c r="M2334" s="343"/>
      <c r="N2334" s="598"/>
      <c r="O2334" s="585"/>
      <c r="P2334" s="341">
        <f t="shared" si="202"/>
        <v>0</v>
      </c>
      <c r="Q2334" s="71">
        <f t="shared" si="203"/>
        <v>0</v>
      </c>
      <c r="R2334" s="93" t="str">
        <f t="shared" si="204"/>
        <v/>
      </c>
    </row>
    <row r="2335" spans="1:18" x14ac:dyDescent="0.2">
      <c r="A2335" s="352" t="str">
        <f>IF(B2335="","",COUNT('Diário 1º PA'!$A$4:$A$2635)+COUNT('Diário 2º PA'!$A$4:$A$3040)+COUNT('Diário 3º PA'!$A$4:$A$2731)+ROW()-3)</f>
        <v/>
      </c>
      <c r="B2335" s="600"/>
      <c r="C2335" s="354"/>
      <c r="D2335" s="343"/>
      <c r="E2335" s="343"/>
      <c r="F2335" s="344"/>
      <c r="G2335" s="343"/>
      <c r="H2335" s="343"/>
      <c r="I2335" s="345"/>
      <c r="J2335" s="343"/>
      <c r="K2335" s="343"/>
      <c r="L2335" s="345"/>
      <c r="M2335" s="343"/>
      <c r="N2335" s="598"/>
      <c r="O2335" s="585"/>
      <c r="P2335" s="341">
        <f t="shared" si="202"/>
        <v>0</v>
      </c>
      <c r="Q2335" s="71">
        <f t="shared" si="203"/>
        <v>0</v>
      </c>
      <c r="R2335" s="93" t="str">
        <f t="shared" si="204"/>
        <v/>
      </c>
    </row>
    <row r="2336" spans="1:18" x14ac:dyDescent="0.2">
      <c r="A2336" s="352" t="str">
        <f>IF(B2336="","",COUNT('Diário 1º PA'!$A$4:$A$2635)+COUNT('Diário 2º PA'!$A$4:$A$3040)+COUNT('Diário 3º PA'!$A$4:$A$2731)+ROW()-3)</f>
        <v/>
      </c>
      <c r="B2336" s="600"/>
      <c r="C2336" s="354"/>
      <c r="D2336" s="343"/>
      <c r="E2336" s="343"/>
      <c r="F2336" s="344"/>
      <c r="G2336" s="343"/>
      <c r="H2336" s="343"/>
      <c r="I2336" s="345"/>
      <c r="J2336" s="343"/>
      <c r="K2336" s="343"/>
      <c r="L2336" s="345"/>
      <c r="M2336" s="343"/>
      <c r="N2336" s="598"/>
      <c r="O2336" s="585"/>
      <c r="P2336" s="341">
        <f t="shared" si="202"/>
        <v>0</v>
      </c>
      <c r="Q2336" s="71">
        <f t="shared" si="203"/>
        <v>0</v>
      </c>
      <c r="R2336" s="93" t="str">
        <f t="shared" si="204"/>
        <v/>
      </c>
    </row>
    <row r="2337" spans="1:18" x14ac:dyDescent="0.2">
      <c r="A2337" s="352" t="str">
        <f>IF(B2337="","",COUNT('Diário 1º PA'!$A$4:$A$2635)+COUNT('Diário 2º PA'!$A$4:$A$3040)+COUNT('Diário 3º PA'!$A$4:$A$2731)+ROW()-3)</f>
        <v/>
      </c>
      <c r="B2337" s="600"/>
      <c r="C2337" s="354"/>
      <c r="D2337" s="343"/>
      <c r="E2337" s="343"/>
      <c r="F2337" s="344"/>
      <c r="G2337" s="343"/>
      <c r="H2337" s="343"/>
      <c r="I2337" s="345"/>
      <c r="J2337" s="343"/>
      <c r="K2337" s="343"/>
      <c r="L2337" s="345"/>
      <c r="M2337" s="343"/>
      <c r="N2337" s="598"/>
      <c r="O2337" s="585"/>
      <c r="P2337" s="341">
        <f t="shared" si="202"/>
        <v>0</v>
      </c>
      <c r="Q2337" s="71">
        <f t="shared" si="203"/>
        <v>0</v>
      </c>
      <c r="R2337" s="93" t="str">
        <f t="shared" si="204"/>
        <v/>
      </c>
    </row>
    <row r="2338" spans="1:18" x14ac:dyDescent="0.2">
      <c r="A2338" s="352" t="str">
        <f>IF(B2338="","",COUNT('Diário 1º PA'!$A$4:$A$2635)+COUNT('Diário 2º PA'!$A$4:$A$3040)+COUNT('Diário 3º PA'!$A$4:$A$2731)+ROW()-3)</f>
        <v/>
      </c>
      <c r="B2338" s="600"/>
      <c r="C2338" s="354"/>
      <c r="D2338" s="343"/>
      <c r="E2338" s="343"/>
      <c r="F2338" s="344"/>
      <c r="G2338" s="343"/>
      <c r="H2338" s="343"/>
      <c r="I2338" s="345"/>
      <c r="J2338" s="343"/>
      <c r="K2338" s="343"/>
      <c r="L2338" s="345"/>
      <c r="M2338" s="343"/>
      <c r="N2338" s="598"/>
      <c r="O2338" s="585"/>
      <c r="P2338" s="341">
        <f t="shared" si="202"/>
        <v>0</v>
      </c>
      <c r="Q2338" s="71">
        <f t="shared" si="203"/>
        <v>0</v>
      </c>
      <c r="R2338" s="93" t="str">
        <f t="shared" si="204"/>
        <v/>
      </c>
    </row>
    <row r="2339" spans="1:18" x14ac:dyDescent="0.2">
      <c r="A2339" s="352" t="str">
        <f>IF(B2339="","",COUNT('Diário 1º PA'!$A$4:$A$2635)+COUNT('Diário 2º PA'!$A$4:$A$3040)+COUNT('Diário 3º PA'!$A$4:$A$2731)+ROW()-3)</f>
        <v/>
      </c>
      <c r="B2339" s="600"/>
      <c r="C2339" s="354"/>
      <c r="D2339" s="343"/>
      <c r="E2339" s="343"/>
      <c r="F2339" s="344"/>
      <c r="G2339" s="343"/>
      <c r="H2339" s="343"/>
      <c r="I2339" s="345"/>
      <c r="J2339" s="343"/>
      <c r="K2339" s="343"/>
      <c r="L2339" s="345"/>
      <c r="M2339" s="343"/>
      <c r="N2339" s="598"/>
      <c r="O2339" s="585"/>
      <c r="P2339" s="341">
        <f t="shared" si="202"/>
        <v>0</v>
      </c>
      <c r="Q2339" s="71">
        <f t="shared" si="203"/>
        <v>0</v>
      </c>
      <c r="R2339" s="93" t="str">
        <f t="shared" si="204"/>
        <v/>
      </c>
    </row>
    <row r="2340" spans="1:18" x14ac:dyDescent="0.2">
      <c r="A2340" s="352" t="str">
        <f>IF(B2340="","",COUNT('Diário 1º PA'!$A$4:$A$2635)+COUNT('Diário 2º PA'!$A$4:$A$3040)+COUNT('Diário 3º PA'!$A$4:$A$2731)+ROW()-3)</f>
        <v/>
      </c>
      <c r="B2340" s="600"/>
      <c r="C2340" s="354"/>
      <c r="D2340" s="343"/>
      <c r="E2340" s="343"/>
      <c r="F2340" s="344"/>
      <c r="G2340" s="343"/>
      <c r="H2340" s="343"/>
      <c r="I2340" s="345"/>
      <c r="J2340" s="343"/>
      <c r="K2340" s="343"/>
      <c r="L2340" s="345"/>
      <c r="M2340" s="343"/>
      <c r="N2340" s="598"/>
      <c r="O2340" s="585"/>
      <c r="P2340" s="341">
        <f t="shared" si="202"/>
        <v>0</v>
      </c>
      <c r="Q2340" s="71">
        <f t="shared" si="203"/>
        <v>0</v>
      </c>
      <c r="R2340" s="93" t="str">
        <f t="shared" si="204"/>
        <v/>
      </c>
    </row>
    <row r="2341" spans="1:18" x14ac:dyDescent="0.2">
      <c r="A2341" s="352" t="str">
        <f>IF(B2341="","",COUNT('Diário 1º PA'!$A$4:$A$2635)+COUNT('Diário 2º PA'!$A$4:$A$3040)+COUNT('Diário 3º PA'!$A$4:$A$2731)+ROW()-3)</f>
        <v/>
      </c>
      <c r="B2341" s="600"/>
      <c r="C2341" s="354"/>
      <c r="D2341" s="343"/>
      <c r="E2341" s="343"/>
      <c r="F2341" s="344"/>
      <c r="G2341" s="343"/>
      <c r="H2341" s="343"/>
      <c r="I2341" s="345"/>
      <c r="J2341" s="343"/>
      <c r="K2341" s="343"/>
      <c r="L2341" s="345"/>
      <c r="M2341" s="343"/>
      <c r="N2341" s="598"/>
      <c r="O2341" s="585"/>
      <c r="P2341" s="341">
        <f t="shared" si="202"/>
        <v>0</v>
      </c>
      <c r="Q2341" s="71">
        <f t="shared" si="203"/>
        <v>0</v>
      </c>
      <c r="R2341" s="93" t="str">
        <f t="shared" si="204"/>
        <v/>
      </c>
    </row>
    <row r="2342" spans="1:18" x14ac:dyDescent="0.2">
      <c r="A2342" s="352" t="str">
        <f>IF(B2342="","",COUNT('Diário 1º PA'!$A$4:$A$2635)+COUNT('Diário 2º PA'!$A$4:$A$3040)+COUNT('Diário 3º PA'!$A$4:$A$2731)+ROW()-3)</f>
        <v/>
      </c>
      <c r="B2342" s="600"/>
      <c r="C2342" s="354"/>
      <c r="D2342" s="343"/>
      <c r="E2342" s="343"/>
      <c r="F2342" s="344"/>
      <c r="G2342" s="343"/>
      <c r="H2342" s="343"/>
      <c r="I2342" s="345"/>
      <c r="J2342" s="343"/>
      <c r="K2342" s="343"/>
      <c r="L2342" s="345"/>
      <c r="M2342" s="343"/>
      <c r="N2342" s="598"/>
      <c r="O2342" s="585"/>
      <c r="P2342" s="341">
        <f t="shared" si="202"/>
        <v>0</v>
      </c>
      <c r="Q2342" s="71">
        <f t="shared" si="203"/>
        <v>0</v>
      </c>
      <c r="R2342" s="93" t="str">
        <f t="shared" si="204"/>
        <v/>
      </c>
    </row>
    <row r="2343" spans="1:18" x14ac:dyDescent="0.2">
      <c r="A2343" s="352" t="str">
        <f>IF(B2343="","",COUNT('Diário 1º PA'!$A$4:$A$2635)+COUNT('Diário 2º PA'!$A$4:$A$3040)+COUNT('Diário 3º PA'!$A$4:$A$2731)+ROW()-3)</f>
        <v/>
      </c>
      <c r="B2343" s="600"/>
      <c r="C2343" s="354"/>
      <c r="D2343" s="343"/>
      <c r="E2343" s="343"/>
      <c r="F2343" s="344"/>
      <c r="G2343" s="343"/>
      <c r="H2343" s="343"/>
      <c r="I2343" s="345"/>
      <c r="J2343" s="343"/>
      <c r="K2343" s="343"/>
      <c r="L2343" s="345"/>
      <c r="M2343" s="343"/>
      <c r="N2343" s="598"/>
      <c r="O2343" s="585"/>
      <c r="P2343" s="341">
        <f t="shared" si="202"/>
        <v>0</v>
      </c>
      <c r="Q2343" s="71">
        <f t="shared" si="203"/>
        <v>0</v>
      </c>
      <c r="R2343" s="93" t="str">
        <f t="shared" si="204"/>
        <v/>
      </c>
    </row>
    <row r="2344" spans="1:18" x14ac:dyDescent="0.2">
      <c r="A2344" s="352" t="str">
        <f>IF(B2344="","",COUNT('Diário 1º PA'!$A$4:$A$2635)+COUNT('Diário 2º PA'!$A$4:$A$3040)+COUNT('Diário 3º PA'!$A$4:$A$2731)+ROW()-3)</f>
        <v/>
      </c>
      <c r="B2344" s="600"/>
      <c r="C2344" s="354"/>
      <c r="D2344" s="343"/>
      <c r="E2344" s="343"/>
      <c r="F2344" s="344"/>
      <c r="G2344" s="343"/>
      <c r="H2344" s="343"/>
      <c r="I2344" s="345"/>
      <c r="J2344" s="343"/>
      <c r="K2344" s="343"/>
      <c r="L2344" s="345"/>
      <c r="M2344" s="343"/>
      <c r="N2344" s="598"/>
      <c r="O2344" s="585"/>
      <c r="P2344" s="341">
        <f t="shared" si="202"/>
        <v>0</v>
      </c>
      <c r="Q2344" s="71">
        <f t="shared" si="203"/>
        <v>0</v>
      </c>
      <c r="R2344" s="93" t="str">
        <f t="shared" si="204"/>
        <v/>
      </c>
    </row>
    <row r="2345" spans="1:18" x14ac:dyDescent="0.2">
      <c r="A2345" s="352" t="str">
        <f>IF(B2345="","",COUNT('Diário 1º PA'!$A$4:$A$2635)+COUNT('Diário 2º PA'!$A$4:$A$3040)+COUNT('Diário 3º PA'!$A$4:$A$2731)+ROW()-3)</f>
        <v/>
      </c>
      <c r="B2345" s="600"/>
      <c r="C2345" s="354"/>
      <c r="D2345" s="343"/>
      <c r="E2345" s="343"/>
      <c r="F2345" s="344"/>
      <c r="G2345" s="343"/>
      <c r="H2345" s="343"/>
      <c r="I2345" s="345"/>
      <c r="J2345" s="343"/>
      <c r="K2345" s="343"/>
      <c r="L2345" s="345"/>
      <c r="M2345" s="343"/>
      <c r="N2345" s="598"/>
      <c r="O2345" s="585"/>
      <c r="P2345" s="341">
        <f t="shared" si="202"/>
        <v>0</v>
      </c>
      <c r="Q2345" s="71">
        <f t="shared" si="203"/>
        <v>0</v>
      </c>
      <c r="R2345" s="93" t="str">
        <f t="shared" si="204"/>
        <v/>
      </c>
    </row>
    <row r="2346" spans="1:18" x14ac:dyDescent="0.2">
      <c r="A2346" s="352" t="str">
        <f>IF(B2346="","",COUNT('Diário 1º PA'!$A$4:$A$2635)+COUNT('Diário 2º PA'!$A$4:$A$3040)+COUNT('Diário 3º PA'!$A$4:$A$2731)+ROW()-3)</f>
        <v/>
      </c>
      <c r="B2346" s="600"/>
      <c r="C2346" s="354"/>
      <c r="D2346" s="343"/>
      <c r="E2346" s="343"/>
      <c r="F2346" s="344"/>
      <c r="G2346" s="343"/>
      <c r="H2346" s="343"/>
      <c r="I2346" s="345"/>
      <c r="J2346" s="343"/>
      <c r="K2346" s="343"/>
      <c r="L2346" s="345"/>
      <c r="M2346" s="343"/>
      <c r="N2346" s="598"/>
      <c r="O2346" s="585"/>
      <c r="P2346" s="341">
        <f t="shared" si="202"/>
        <v>0</v>
      </c>
      <c r="Q2346" s="71">
        <f t="shared" si="203"/>
        <v>0</v>
      </c>
      <c r="R2346" s="93" t="str">
        <f t="shared" si="204"/>
        <v/>
      </c>
    </row>
    <row r="2347" spans="1:18" x14ac:dyDescent="0.2">
      <c r="A2347" s="352" t="str">
        <f>IF(B2347="","",COUNT('Diário 1º PA'!$A$4:$A$2635)+COUNT('Diário 2º PA'!$A$4:$A$3040)+COUNT('Diário 3º PA'!$A$4:$A$2731)+ROW()-3)</f>
        <v/>
      </c>
      <c r="B2347" s="600"/>
      <c r="C2347" s="354"/>
      <c r="D2347" s="343"/>
      <c r="E2347" s="343"/>
      <c r="F2347" s="344"/>
      <c r="G2347" s="343"/>
      <c r="H2347" s="343"/>
      <c r="I2347" s="345"/>
      <c r="J2347" s="343"/>
      <c r="K2347" s="343"/>
      <c r="L2347" s="345"/>
      <c r="M2347" s="343"/>
      <c r="N2347" s="598"/>
      <c r="O2347" s="585"/>
      <c r="P2347" s="341">
        <f t="shared" si="202"/>
        <v>0</v>
      </c>
      <c r="Q2347" s="71">
        <f t="shared" si="203"/>
        <v>0</v>
      </c>
      <c r="R2347" s="93" t="str">
        <f t="shared" si="204"/>
        <v/>
      </c>
    </row>
    <row r="2348" spans="1:18" x14ac:dyDescent="0.2">
      <c r="A2348" s="352" t="str">
        <f>IF(B2348="","",COUNT('Diário 1º PA'!$A$4:$A$2635)+COUNT('Diário 2º PA'!$A$4:$A$3040)+COUNT('Diário 3º PA'!$A$4:$A$2731)+ROW()-3)</f>
        <v/>
      </c>
      <c r="B2348" s="600"/>
      <c r="C2348" s="354"/>
      <c r="D2348" s="343"/>
      <c r="E2348" s="343"/>
      <c r="F2348" s="344"/>
      <c r="G2348" s="343"/>
      <c r="H2348" s="343"/>
      <c r="I2348" s="345"/>
      <c r="J2348" s="343"/>
      <c r="K2348" s="343"/>
      <c r="L2348" s="345"/>
      <c r="M2348" s="343"/>
      <c r="N2348" s="598"/>
      <c r="O2348" s="585"/>
      <c r="P2348" s="341">
        <f t="shared" si="202"/>
        <v>0</v>
      </c>
      <c r="Q2348" s="71">
        <f t="shared" si="203"/>
        <v>0</v>
      </c>
      <c r="R2348" s="93" t="str">
        <f t="shared" si="204"/>
        <v/>
      </c>
    </row>
    <row r="2349" spans="1:18" x14ac:dyDescent="0.2">
      <c r="A2349" s="352" t="str">
        <f>IF(B2349="","",COUNT('Diário 1º PA'!$A$4:$A$2635)+COUNT('Diário 2º PA'!$A$4:$A$3040)+COUNT('Diário 3º PA'!$A$4:$A$2731)+ROW()-3)</f>
        <v/>
      </c>
      <c r="B2349" s="600"/>
      <c r="C2349" s="354"/>
      <c r="D2349" s="343"/>
      <c r="E2349" s="343"/>
      <c r="F2349" s="344"/>
      <c r="G2349" s="343"/>
      <c r="H2349" s="343"/>
      <c r="I2349" s="345"/>
      <c r="J2349" s="343"/>
      <c r="K2349" s="343"/>
      <c r="L2349" s="345"/>
      <c r="M2349" s="343"/>
      <c r="N2349" s="598"/>
      <c r="O2349" s="585"/>
      <c r="P2349" s="341">
        <f t="shared" si="202"/>
        <v>0</v>
      </c>
      <c r="Q2349" s="71">
        <f t="shared" si="203"/>
        <v>0</v>
      </c>
      <c r="R2349" s="93" t="str">
        <f t="shared" si="204"/>
        <v/>
      </c>
    </row>
    <row r="2350" spans="1:18" x14ac:dyDescent="0.2">
      <c r="A2350" s="352" t="str">
        <f>IF(B2350="","",COUNT('Diário 1º PA'!$A$4:$A$2635)+COUNT('Diário 2º PA'!$A$4:$A$3040)+COUNT('Diário 3º PA'!$A$4:$A$2731)+ROW()-3)</f>
        <v/>
      </c>
      <c r="B2350" s="600"/>
      <c r="C2350" s="354"/>
      <c r="D2350" s="343"/>
      <c r="E2350" s="343"/>
      <c r="F2350" s="344"/>
      <c r="G2350" s="343"/>
      <c r="H2350" s="343"/>
      <c r="I2350" s="345"/>
      <c r="J2350" s="343"/>
      <c r="K2350" s="343"/>
      <c r="L2350" s="345"/>
      <c r="M2350" s="343"/>
      <c r="N2350" s="598"/>
      <c r="O2350" s="585"/>
      <c r="P2350" s="341">
        <f t="shared" si="202"/>
        <v>0</v>
      </c>
      <c r="Q2350" s="71">
        <f t="shared" si="203"/>
        <v>0</v>
      </c>
      <c r="R2350" s="93" t="str">
        <f t="shared" si="204"/>
        <v/>
      </c>
    </row>
    <row r="2351" spans="1:18" x14ac:dyDescent="0.2">
      <c r="A2351" s="352" t="str">
        <f>IF(B2351="","",COUNT('Diário 1º PA'!$A$4:$A$2635)+COUNT('Diário 2º PA'!$A$4:$A$3040)+COUNT('Diário 3º PA'!$A$4:$A$2731)+ROW()-3)</f>
        <v/>
      </c>
      <c r="B2351" s="600"/>
      <c r="C2351" s="354"/>
      <c r="D2351" s="343"/>
      <c r="E2351" s="343"/>
      <c r="F2351" s="344"/>
      <c r="G2351" s="343"/>
      <c r="H2351" s="343"/>
      <c r="I2351" s="345"/>
      <c r="J2351" s="343"/>
      <c r="K2351" s="343"/>
      <c r="L2351" s="345"/>
      <c r="M2351" s="343"/>
      <c r="N2351" s="598"/>
      <c r="O2351" s="585"/>
      <c r="P2351" s="341">
        <f t="shared" si="202"/>
        <v>0</v>
      </c>
      <c r="Q2351" s="71">
        <f t="shared" si="203"/>
        <v>0</v>
      </c>
      <c r="R2351" s="93" t="str">
        <f t="shared" si="204"/>
        <v/>
      </c>
    </row>
    <row r="2352" spans="1:18" x14ac:dyDescent="0.2">
      <c r="A2352" s="352" t="str">
        <f>IF(B2352="","",COUNT('Diário 1º PA'!$A$4:$A$2635)+COUNT('Diário 2º PA'!$A$4:$A$3040)+COUNT('Diário 3º PA'!$A$4:$A$2731)+ROW()-3)</f>
        <v/>
      </c>
      <c r="B2352" s="600"/>
      <c r="C2352" s="354"/>
      <c r="D2352" s="343"/>
      <c r="E2352" s="343"/>
      <c r="F2352" s="344"/>
      <c r="G2352" s="343"/>
      <c r="H2352" s="343"/>
      <c r="I2352" s="345"/>
      <c r="J2352" s="343"/>
      <c r="K2352" s="343"/>
      <c r="L2352" s="345"/>
      <c r="M2352" s="343"/>
      <c r="N2352" s="598"/>
      <c r="O2352" s="585"/>
      <c r="P2352" s="341">
        <f t="shared" si="202"/>
        <v>0</v>
      </c>
      <c r="Q2352" s="71">
        <f t="shared" si="203"/>
        <v>0</v>
      </c>
      <c r="R2352" s="93" t="str">
        <f t="shared" si="204"/>
        <v/>
      </c>
    </row>
    <row r="2353" spans="1:18" x14ac:dyDescent="0.2">
      <c r="A2353" s="352" t="str">
        <f>IF(B2353="","",COUNT('Diário 1º PA'!$A$4:$A$2635)+COUNT('Diário 2º PA'!$A$4:$A$3040)+COUNT('Diário 3º PA'!$A$4:$A$2731)+ROW()-3)</f>
        <v/>
      </c>
      <c r="B2353" s="600"/>
      <c r="C2353" s="354"/>
      <c r="D2353" s="343"/>
      <c r="E2353" s="343"/>
      <c r="F2353" s="344"/>
      <c r="G2353" s="343"/>
      <c r="H2353" s="343"/>
      <c r="I2353" s="345"/>
      <c r="J2353" s="343"/>
      <c r="K2353" s="343"/>
      <c r="L2353" s="345"/>
      <c r="M2353" s="343"/>
      <c r="N2353" s="598"/>
      <c r="O2353" s="585"/>
      <c r="P2353" s="341">
        <f t="shared" si="202"/>
        <v>0</v>
      </c>
      <c r="Q2353" s="71">
        <f t="shared" si="203"/>
        <v>0</v>
      </c>
      <c r="R2353" s="93" t="str">
        <f t="shared" si="204"/>
        <v/>
      </c>
    </row>
    <row r="2354" spans="1:18" x14ac:dyDescent="0.2">
      <c r="A2354" s="352" t="str">
        <f>IF(B2354="","",COUNT('Diário 1º PA'!$A$4:$A$2635)+COUNT('Diário 2º PA'!$A$4:$A$3040)+COUNT('Diário 3º PA'!$A$4:$A$2731)+ROW()-3)</f>
        <v/>
      </c>
      <c r="B2354" s="600"/>
      <c r="C2354" s="354"/>
      <c r="D2354" s="343"/>
      <c r="E2354" s="343"/>
      <c r="F2354" s="344"/>
      <c r="G2354" s="343"/>
      <c r="H2354" s="343"/>
      <c r="I2354" s="345"/>
      <c r="J2354" s="343"/>
      <c r="K2354" s="343"/>
      <c r="L2354" s="345"/>
      <c r="M2354" s="343"/>
      <c r="N2354" s="598"/>
      <c r="O2354" s="585"/>
      <c r="P2354" s="341">
        <f t="shared" si="202"/>
        <v>0</v>
      </c>
      <c r="Q2354" s="71">
        <f t="shared" si="203"/>
        <v>0</v>
      </c>
      <c r="R2354" s="93" t="str">
        <f t="shared" si="204"/>
        <v/>
      </c>
    </row>
    <row r="2355" spans="1:18" x14ac:dyDescent="0.2">
      <c r="A2355" s="352" t="str">
        <f>IF(B2355="","",COUNT('Diário 1º PA'!$A$4:$A$2635)+COUNT('Diário 2º PA'!$A$4:$A$3040)+COUNT('Diário 3º PA'!$A$4:$A$2731)+ROW()-3)</f>
        <v/>
      </c>
      <c r="B2355" s="600"/>
      <c r="C2355" s="354"/>
      <c r="D2355" s="343"/>
      <c r="E2355" s="343"/>
      <c r="F2355" s="344"/>
      <c r="G2355" s="343"/>
      <c r="H2355" s="343"/>
      <c r="I2355" s="345"/>
      <c r="J2355" s="343"/>
      <c r="K2355" s="343"/>
      <c r="L2355" s="345"/>
      <c r="M2355" s="343"/>
      <c r="N2355" s="598"/>
      <c r="O2355" s="585"/>
      <c r="P2355" s="341">
        <f t="shared" si="202"/>
        <v>0</v>
      </c>
      <c r="Q2355" s="71">
        <f t="shared" si="203"/>
        <v>0</v>
      </c>
      <c r="R2355" s="93" t="str">
        <f t="shared" si="204"/>
        <v/>
      </c>
    </row>
    <row r="2356" spans="1:18" x14ac:dyDescent="0.2">
      <c r="A2356" s="352" t="str">
        <f>IF(B2356="","",COUNT('Diário 1º PA'!$A$4:$A$2635)+COUNT('Diário 2º PA'!$A$4:$A$3040)+COUNT('Diário 3º PA'!$A$4:$A$2731)+ROW()-3)</f>
        <v/>
      </c>
      <c r="B2356" s="600"/>
      <c r="C2356" s="354"/>
      <c r="D2356" s="343"/>
      <c r="E2356" s="343"/>
      <c r="F2356" s="344"/>
      <c r="G2356" s="343"/>
      <c r="H2356" s="343"/>
      <c r="I2356" s="345"/>
      <c r="J2356" s="343"/>
      <c r="K2356" s="343"/>
      <c r="L2356" s="345"/>
      <c r="M2356" s="343"/>
      <c r="N2356" s="598"/>
      <c r="O2356" s="585"/>
      <c r="P2356" s="341">
        <f t="shared" si="202"/>
        <v>0</v>
      </c>
      <c r="Q2356" s="71">
        <f t="shared" si="203"/>
        <v>0</v>
      </c>
      <c r="R2356" s="93" t="str">
        <f t="shared" si="204"/>
        <v/>
      </c>
    </row>
    <row r="2357" spans="1:18" x14ac:dyDescent="0.2">
      <c r="A2357" s="352" t="str">
        <f>IF(B2357="","",COUNT('Diário 1º PA'!$A$4:$A$2635)+COUNT('Diário 2º PA'!$A$4:$A$3040)+COUNT('Diário 3º PA'!$A$4:$A$2731)+ROW()-3)</f>
        <v/>
      </c>
      <c r="B2357" s="600"/>
      <c r="C2357" s="354"/>
      <c r="D2357" s="343"/>
      <c r="E2357" s="343"/>
      <c r="F2357" s="344"/>
      <c r="G2357" s="343"/>
      <c r="H2357" s="343"/>
      <c r="I2357" s="345"/>
      <c r="J2357" s="343"/>
      <c r="K2357" s="343"/>
      <c r="L2357" s="345"/>
      <c r="M2357" s="343"/>
      <c r="N2357" s="598"/>
      <c r="O2357" s="585"/>
      <c r="P2357" s="341">
        <f t="shared" si="202"/>
        <v>0</v>
      </c>
      <c r="Q2357" s="71">
        <f t="shared" si="203"/>
        <v>0</v>
      </c>
      <c r="R2357" s="93" t="str">
        <f t="shared" si="204"/>
        <v/>
      </c>
    </row>
    <row r="2358" spans="1:18" x14ac:dyDescent="0.2">
      <c r="A2358" s="352" t="str">
        <f>IF(B2358="","",COUNT('Diário 1º PA'!$A$4:$A$2635)+COUNT('Diário 2º PA'!$A$4:$A$3040)+COUNT('Diário 3º PA'!$A$4:$A$2731)+ROW()-3)</f>
        <v/>
      </c>
      <c r="B2358" s="600"/>
      <c r="C2358" s="354"/>
      <c r="D2358" s="343"/>
      <c r="E2358" s="343"/>
      <c r="F2358" s="344"/>
      <c r="G2358" s="343"/>
      <c r="H2358" s="343"/>
      <c r="I2358" s="345"/>
      <c r="J2358" s="343"/>
      <c r="K2358" s="343"/>
      <c r="L2358" s="345"/>
      <c r="M2358" s="343"/>
      <c r="N2358" s="598"/>
      <c r="O2358" s="585"/>
      <c r="P2358" s="341">
        <f t="shared" si="202"/>
        <v>0</v>
      </c>
      <c r="Q2358" s="71">
        <f t="shared" si="203"/>
        <v>0</v>
      </c>
      <c r="R2358" s="93" t="str">
        <f t="shared" si="204"/>
        <v/>
      </c>
    </row>
    <row r="2359" spans="1:18" x14ac:dyDescent="0.2">
      <c r="A2359" s="352" t="str">
        <f>IF(B2359="","",COUNT('Diário 1º PA'!$A$4:$A$2635)+COUNT('Diário 2º PA'!$A$4:$A$3040)+COUNT('Diário 3º PA'!$A$4:$A$2731)+ROW()-3)</f>
        <v/>
      </c>
      <c r="B2359" s="600"/>
      <c r="C2359" s="354"/>
      <c r="D2359" s="343"/>
      <c r="E2359" s="343"/>
      <c r="F2359" s="344"/>
      <c r="G2359" s="343"/>
      <c r="H2359" s="343"/>
      <c r="I2359" s="345"/>
      <c r="J2359" s="343"/>
      <c r="K2359" s="343"/>
      <c r="L2359" s="345"/>
      <c r="M2359" s="343"/>
      <c r="N2359" s="598"/>
      <c r="O2359" s="585"/>
      <c r="P2359" s="341">
        <f t="shared" si="202"/>
        <v>0</v>
      </c>
      <c r="Q2359" s="71">
        <f t="shared" si="203"/>
        <v>0</v>
      </c>
      <c r="R2359" s="93" t="str">
        <f t="shared" si="204"/>
        <v/>
      </c>
    </row>
    <row r="2360" spans="1:18" x14ac:dyDescent="0.2">
      <c r="A2360" s="352" t="str">
        <f>IF(B2360="","",COUNT('Diário 1º PA'!$A$4:$A$2635)+COUNT('Diário 2º PA'!$A$4:$A$3040)+COUNT('Diário 3º PA'!$A$4:$A$2731)+ROW()-3)</f>
        <v/>
      </c>
      <c r="B2360" s="600"/>
      <c r="C2360" s="354"/>
      <c r="D2360" s="343"/>
      <c r="E2360" s="343"/>
      <c r="F2360" s="344"/>
      <c r="G2360" s="343"/>
      <c r="H2360" s="343"/>
      <c r="I2360" s="345"/>
      <c r="J2360" s="343"/>
      <c r="K2360" s="343"/>
      <c r="L2360" s="345"/>
      <c r="M2360" s="343"/>
      <c r="N2360" s="598"/>
      <c r="O2360" s="585"/>
      <c r="P2360" s="341">
        <f t="shared" si="202"/>
        <v>0</v>
      </c>
      <c r="Q2360" s="71">
        <f t="shared" si="203"/>
        <v>0</v>
      </c>
      <c r="R2360" s="93" t="str">
        <f t="shared" si="204"/>
        <v/>
      </c>
    </row>
    <row r="2361" spans="1:18" x14ac:dyDescent="0.2">
      <c r="A2361" s="352" t="str">
        <f>IF(B2361="","",COUNT('Diário 1º PA'!$A$4:$A$2635)+COUNT('Diário 2º PA'!$A$4:$A$3040)+COUNT('Diário 3º PA'!$A$4:$A$2731)+ROW()-3)</f>
        <v/>
      </c>
      <c r="B2361" s="600"/>
      <c r="C2361" s="354"/>
      <c r="D2361" s="343"/>
      <c r="E2361" s="343"/>
      <c r="F2361" s="344"/>
      <c r="G2361" s="343"/>
      <c r="H2361" s="343"/>
      <c r="I2361" s="345"/>
      <c r="J2361" s="343"/>
      <c r="K2361" s="343"/>
      <c r="L2361" s="345"/>
      <c r="M2361" s="343"/>
      <c r="N2361" s="598"/>
      <c r="O2361" s="585"/>
      <c r="P2361" s="341">
        <f t="shared" si="202"/>
        <v>0</v>
      </c>
      <c r="Q2361" s="71">
        <f t="shared" si="203"/>
        <v>0</v>
      </c>
      <c r="R2361" s="93" t="str">
        <f t="shared" si="204"/>
        <v/>
      </c>
    </row>
    <row r="2362" spans="1:18" x14ac:dyDescent="0.2">
      <c r="A2362" s="352" t="str">
        <f>IF(B2362="","",COUNT('Diário 1º PA'!$A$4:$A$2635)+COUNT('Diário 2º PA'!$A$4:$A$3040)+COUNT('Diário 3º PA'!$A$4:$A$2731)+ROW()-3)</f>
        <v/>
      </c>
      <c r="B2362" s="600"/>
      <c r="C2362" s="354"/>
      <c r="D2362" s="343"/>
      <c r="E2362" s="343"/>
      <c r="F2362" s="344"/>
      <c r="G2362" s="343"/>
      <c r="H2362" s="343"/>
      <c r="I2362" s="345"/>
      <c r="J2362" s="343"/>
      <c r="K2362" s="343"/>
      <c r="L2362" s="345"/>
      <c r="M2362" s="343"/>
      <c r="N2362" s="598"/>
      <c r="O2362" s="585"/>
      <c r="P2362" s="341">
        <f t="shared" ref="P2362:P2425" si="205">IF(B2362=0,0,IF(YEAR(B2362)=$Q$1,MONTH(B2362)-$P$1+1,(YEAR(B2362)-$Q$1)*12-$P$1+1+MONTH(B2362)))</f>
        <v>0</v>
      </c>
      <c r="Q2362" s="71">
        <f t="shared" ref="Q2362:Q2425" si="206">IF(C2362=0,0,IF(YEAR(C2362)=$Q$1,MONTH(C2362)-$P$1+1,(YEAR(C2362)-$Q$1)*12-$P$1+1+MONTH(C2362)))</f>
        <v>0</v>
      </c>
      <c r="R2362" s="93" t="str">
        <f t="shared" ref="R2362:R2425" si="207">SUBSTITUTE(D2362," ","_")</f>
        <v/>
      </c>
    </row>
    <row r="2363" spans="1:18" x14ac:dyDescent="0.2">
      <c r="A2363" s="352" t="str">
        <f>IF(B2363="","",COUNT('Diário 1º PA'!$A$4:$A$2635)+COUNT('Diário 2º PA'!$A$4:$A$3040)+COUNT('Diário 3º PA'!$A$4:$A$2731)+ROW()-3)</f>
        <v/>
      </c>
      <c r="B2363" s="600"/>
      <c r="C2363" s="354"/>
      <c r="D2363" s="343"/>
      <c r="E2363" s="343"/>
      <c r="F2363" s="344"/>
      <c r="G2363" s="343"/>
      <c r="H2363" s="343"/>
      <c r="I2363" s="345"/>
      <c r="J2363" s="343"/>
      <c r="K2363" s="343"/>
      <c r="L2363" s="345"/>
      <c r="M2363" s="343"/>
      <c r="N2363" s="598"/>
      <c r="O2363" s="585"/>
      <c r="P2363" s="341">
        <f t="shared" si="205"/>
        <v>0</v>
      </c>
      <c r="Q2363" s="71">
        <f t="shared" si="206"/>
        <v>0</v>
      </c>
      <c r="R2363" s="93" t="str">
        <f t="shared" si="207"/>
        <v/>
      </c>
    </row>
    <row r="2364" spans="1:18" x14ac:dyDescent="0.2">
      <c r="A2364" s="352" t="str">
        <f>IF(B2364="","",COUNT('Diário 1º PA'!$A$4:$A$2635)+COUNT('Diário 2º PA'!$A$4:$A$3040)+COUNT('Diário 3º PA'!$A$4:$A$2731)+ROW()-3)</f>
        <v/>
      </c>
      <c r="B2364" s="600"/>
      <c r="C2364" s="354"/>
      <c r="D2364" s="343"/>
      <c r="E2364" s="343"/>
      <c r="F2364" s="344"/>
      <c r="G2364" s="343"/>
      <c r="H2364" s="343"/>
      <c r="I2364" s="345"/>
      <c r="J2364" s="343"/>
      <c r="K2364" s="343"/>
      <c r="L2364" s="345"/>
      <c r="M2364" s="343"/>
      <c r="N2364" s="598"/>
      <c r="O2364" s="585"/>
      <c r="P2364" s="341">
        <f t="shared" si="205"/>
        <v>0</v>
      </c>
      <c r="Q2364" s="71">
        <f t="shared" si="206"/>
        <v>0</v>
      </c>
      <c r="R2364" s="93" t="str">
        <f t="shared" si="207"/>
        <v/>
      </c>
    </row>
    <row r="2365" spans="1:18" x14ac:dyDescent="0.2">
      <c r="A2365" s="352" t="str">
        <f>IF(B2365="","",COUNT('Diário 1º PA'!$A$4:$A$2635)+COUNT('Diário 2º PA'!$A$4:$A$3040)+COUNT('Diário 3º PA'!$A$4:$A$2731)+ROW()-3)</f>
        <v/>
      </c>
      <c r="B2365" s="600"/>
      <c r="C2365" s="354"/>
      <c r="D2365" s="343"/>
      <c r="E2365" s="343"/>
      <c r="F2365" s="344"/>
      <c r="G2365" s="343"/>
      <c r="H2365" s="343"/>
      <c r="I2365" s="345"/>
      <c r="J2365" s="343"/>
      <c r="K2365" s="343"/>
      <c r="L2365" s="345"/>
      <c r="M2365" s="343"/>
      <c r="N2365" s="598"/>
      <c r="O2365" s="585"/>
      <c r="P2365" s="341">
        <f t="shared" si="205"/>
        <v>0</v>
      </c>
      <c r="Q2365" s="71">
        <f t="shared" si="206"/>
        <v>0</v>
      </c>
      <c r="R2365" s="93" t="str">
        <f t="shared" si="207"/>
        <v/>
      </c>
    </row>
    <row r="2366" spans="1:18" x14ac:dyDescent="0.2">
      <c r="A2366" s="352" t="str">
        <f>IF(B2366="","",COUNT('Diário 1º PA'!$A$4:$A$2635)+COUNT('Diário 2º PA'!$A$4:$A$3040)+COUNT('Diário 3º PA'!$A$4:$A$2731)+ROW()-3)</f>
        <v/>
      </c>
      <c r="B2366" s="600"/>
      <c r="C2366" s="354"/>
      <c r="D2366" s="343"/>
      <c r="E2366" s="343"/>
      <c r="F2366" s="344"/>
      <c r="G2366" s="343"/>
      <c r="H2366" s="343"/>
      <c r="I2366" s="345"/>
      <c r="J2366" s="343"/>
      <c r="K2366" s="343"/>
      <c r="L2366" s="345"/>
      <c r="M2366" s="343"/>
      <c r="N2366" s="598"/>
      <c r="O2366" s="585"/>
      <c r="P2366" s="341">
        <f t="shared" si="205"/>
        <v>0</v>
      </c>
      <c r="Q2366" s="71">
        <f t="shared" si="206"/>
        <v>0</v>
      </c>
      <c r="R2366" s="93" t="str">
        <f t="shared" si="207"/>
        <v/>
      </c>
    </row>
    <row r="2367" spans="1:18" x14ac:dyDescent="0.2">
      <c r="A2367" s="352" t="str">
        <f>IF(B2367="","",COUNT('Diário 1º PA'!$A$4:$A$2635)+COUNT('Diário 2º PA'!$A$4:$A$3040)+COUNT('Diário 3º PA'!$A$4:$A$2731)+ROW()-3)</f>
        <v/>
      </c>
      <c r="B2367" s="600"/>
      <c r="C2367" s="354"/>
      <c r="D2367" s="343"/>
      <c r="E2367" s="343"/>
      <c r="F2367" s="344"/>
      <c r="G2367" s="343"/>
      <c r="H2367" s="343"/>
      <c r="I2367" s="345"/>
      <c r="J2367" s="343"/>
      <c r="K2367" s="343"/>
      <c r="L2367" s="345"/>
      <c r="M2367" s="343"/>
      <c r="N2367" s="598"/>
      <c r="O2367" s="585"/>
      <c r="P2367" s="341">
        <f t="shared" si="205"/>
        <v>0</v>
      </c>
      <c r="Q2367" s="71">
        <f t="shared" si="206"/>
        <v>0</v>
      </c>
      <c r="R2367" s="93" t="str">
        <f t="shared" si="207"/>
        <v/>
      </c>
    </row>
    <row r="2368" spans="1:18" x14ac:dyDescent="0.2">
      <c r="A2368" s="352" t="str">
        <f>IF(B2368="","",COUNT('Diário 1º PA'!$A$4:$A$2635)+COUNT('Diário 2º PA'!$A$4:$A$3040)+COUNT('Diário 3º PA'!$A$4:$A$2731)+ROW()-3)</f>
        <v/>
      </c>
      <c r="B2368" s="600"/>
      <c r="C2368" s="354"/>
      <c r="D2368" s="343"/>
      <c r="E2368" s="343"/>
      <c r="F2368" s="344"/>
      <c r="G2368" s="343"/>
      <c r="H2368" s="343"/>
      <c r="I2368" s="345"/>
      <c r="J2368" s="343"/>
      <c r="K2368" s="343"/>
      <c r="L2368" s="345"/>
      <c r="M2368" s="343"/>
      <c r="N2368" s="598"/>
      <c r="O2368" s="585"/>
      <c r="P2368" s="341">
        <f t="shared" si="205"/>
        <v>0</v>
      </c>
      <c r="Q2368" s="71">
        <f t="shared" si="206"/>
        <v>0</v>
      </c>
      <c r="R2368" s="93" t="str">
        <f t="shared" si="207"/>
        <v/>
      </c>
    </row>
    <row r="2369" spans="1:18" x14ac:dyDescent="0.2">
      <c r="A2369" s="352" t="str">
        <f>IF(B2369="","",COUNT('Diário 1º PA'!$A$4:$A$2635)+COUNT('Diário 2º PA'!$A$4:$A$3040)+COUNT('Diário 3º PA'!$A$4:$A$2731)+ROW()-3)</f>
        <v/>
      </c>
      <c r="B2369" s="600"/>
      <c r="C2369" s="354"/>
      <c r="D2369" s="343"/>
      <c r="E2369" s="343"/>
      <c r="F2369" s="344"/>
      <c r="G2369" s="343"/>
      <c r="H2369" s="343"/>
      <c r="I2369" s="345"/>
      <c r="J2369" s="343"/>
      <c r="K2369" s="343"/>
      <c r="L2369" s="345"/>
      <c r="M2369" s="343"/>
      <c r="N2369" s="598"/>
      <c r="O2369" s="585"/>
      <c r="P2369" s="341">
        <f t="shared" si="205"/>
        <v>0</v>
      </c>
      <c r="Q2369" s="71">
        <f t="shared" si="206"/>
        <v>0</v>
      </c>
      <c r="R2369" s="93" t="str">
        <f t="shared" si="207"/>
        <v/>
      </c>
    </row>
    <row r="2370" spans="1:18" x14ac:dyDescent="0.2">
      <c r="A2370" s="352" t="str">
        <f>IF(B2370="","",COUNT('Diário 1º PA'!$A$4:$A$2635)+COUNT('Diário 2º PA'!$A$4:$A$3040)+COUNT('Diário 3º PA'!$A$4:$A$2731)+ROW()-3)</f>
        <v/>
      </c>
      <c r="B2370" s="600"/>
      <c r="C2370" s="354"/>
      <c r="D2370" s="343"/>
      <c r="E2370" s="343"/>
      <c r="F2370" s="344"/>
      <c r="G2370" s="343"/>
      <c r="H2370" s="343"/>
      <c r="I2370" s="345"/>
      <c r="J2370" s="343"/>
      <c r="K2370" s="343"/>
      <c r="L2370" s="345"/>
      <c r="M2370" s="343"/>
      <c r="N2370" s="598"/>
      <c r="O2370" s="585"/>
      <c r="P2370" s="341">
        <f t="shared" si="205"/>
        <v>0</v>
      </c>
      <c r="Q2370" s="71">
        <f t="shared" si="206"/>
        <v>0</v>
      </c>
      <c r="R2370" s="93" t="str">
        <f t="shared" si="207"/>
        <v/>
      </c>
    </row>
    <row r="2371" spans="1:18" x14ac:dyDescent="0.2">
      <c r="A2371" s="352" t="str">
        <f>IF(B2371="","",COUNT('Diário 1º PA'!$A$4:$A$2635)+COUNT('Diário 2º PA'!$A$4:$A$3040)+COUNT('Diário 3º PA'!$A$4:$A$2731)+ROW()-3)</f>
        <v/>
      </c>
      <c r="B2371" s="600"/>
      <c r="C2371" s="354"/>
      <c r="D2371" s="343"/>
      <c r="E2371" s="343"/>
      <c r="F2371" s="344"/>
      <c r="G2371" s="343"/>
      <c r="H2371" s="343"/>
      <c r="I2371" s="345"/>
      <c r="J2371" s="343"/>
      <c r="K2371" s="343"/>
      <c r="L2371" s="345"/>
      <c r="M2371" s="343"/>
      <c r="N2371" s="598"/>
      <c r="O2371" s="585"/>
      <c r="P2371" s="341">
        <f t="shared" si="205"/>
        <v>0</v>
      </c>
      <c r="Q2371" s="71">
        <f t="shared" si="206"/>
        <v>0</v>
      </c>
      <c r="R2371" s="93" t="str">
        <f t="shared" si="207"/>
        <v/>
      </c>
    </row>
    <row r="2372" spans="1:18" x14ac:dyDescent="0.2">
      <c r="A2372" s="352" t="str">
        <f>IF(B2372="","",COUNT('Diário 1º PA'!$A$4:$A$2635)+COUNT('Diário 2º PA'!$A$4:$A$3040)+COUNT('Diário 3º PA'!$A$4:$A$2731)+ROW()-3)</f>
        <v/>
      </c>
      <c r="B2372" s="600"/>
      <c r="C2372" s="354"/>
      <c r="D2372" s="343"/>
      <c r="E2372" s="343"/>
      <c r="F2372" s="344"/>
      <c r="G2372" s="343"/>
      <c r="H2372" s="343"/>
      <c r="I2372" s="345"/>
      <c r="J2372" s="343"/>
      <c r="K2372" s="343"/>
      <c r="L2372" s="345"/>
      <c r="M2372" s="343"/>
      <c r="N2372" s="598"/>
      <c r="O2372" s="585"/>
      <c r="P2372" s="341">
        <f t="shared" si="205"/>
        <v>0</v>
      </c>
      <c r="Q2372" s="71">
        <f t="shared" si="206"/>
        <v>0</v>
      </c>
      <c r="R2372" s="93" t="str">
        <f t="shared" si="207"/>
        <v/>
      </c>
    </row>
    <row r="2373" spans="1:18" x14ac:dyDescent="0.2">
      <c r="A2373" s="352" t="str">
        <f>IF(B2373="","",COUNT('Diário 1º PA'!$A$4:$A$2635)+COUNT('Diário 2º PA'!$A$4:$A$3040)+COUNT('Diário 3º PA'!$A$4:$A$2731)+ROW()-3)</f>
        <v/>
      </c>
      <c r="B2373" s="600"/>
      <c r="C2373" s="354"/>
      <c r="D2373" s="343"/>
      <c r="E2373" s="343"/>
      <c r="F2373" s="344"/>
      <c r="G2373" s="343"/>
      <c r="H2373" s="343"/>
      <c r="I2373" s="345"/>
      <c r="J2373" s="343"/>
      <c r="K2373" s="343"/>
      <c r="L2373" s="345"/>
      <c r="M2373" s="343"/>
      <c r="N2373" s="598"/>
      <c r="O2373" s="585"/>
      <c r="P2373" s="341">
        <f t="shared" si="205"/>
        <v>0</v>
      </c>
      <c r="Q2373" s="71">
        <f t="shared" si="206"/>
        <v>0</v>
      </c>
      <c r="R2373" s="93" t="str">
        <f t="shared" si="207"/>
        <v/>
      </c>
    </row>
    <row r="2374" spans="1:18" x14ac:dyDescent="0.2">
      <c r="A2374" s="352" t="str">
        <f>IF(B2374="","",COUNT('Diário 1º PA'!$A$4:$A$2635)+COUNT('Diário 2º PA'!$A$4:$A$3040)+COUNT('Diário 3º PA'!$A$4:$A$2731)+ROW()-3)</f>
        <v/>
      </c>
      <c r="B2374" s="600"/>
      <c r="C2374" s="354"/>
      <c r="D2374" s="343"/>
      <c r="E2374" s="343"/>
      <c r="F2374" s="344"/>
      <c r="G2374" s="343"/>
      <c r="H2374" s="343"/>
      <c r="I2374" s="345"/>
      <c r="J2374" s="343"/>
      <c r="K2374" s="343"/>
      <c r="L2374" s="345"/>
      <c r="M2374" s="343"/>
      <c r="N2374" s="598"/>
      <c r="O2374" s="585"/>
      <c r="P2374" s="341">
        <f t="shared" si="205"/>
        <v>0</v>
      </c>
      <c r="Q2374" s="71">
        <f t="shared" si="206"/>
        <v>0</v>
      </c>
      <c r="R2374" s="93" t="str">
        <f t="shared" si="207"/>
        <v/>
      </c>
    </row>
    <row r="2375" spans="1:18" x14ac:dyDescent="0.2">
      <c r="A2375" s="352" t="str">
        <f>IF(B2375="","",COUNT('Diário 1º PA'!$A$4:$A$2635)+COUNT('Diário 2º PA'!$A$4:$A$3040)+COUNT('Diário 3º PA'!$A$4:$A$2731)+ROW()-3)</f>
        <v/>
      </c>
      <c r="B2375" s="600"/>
      <c r="C2375" s="354"/>
      <c r="D2375" s="343"/>
      <c r="E2375" s="343"/>
      <c r="F2375" s="344"/>
      <c r="G2375" s="343"/>
      <c r="H2375" s="343"/>
      <c r="I2375" s="345"/>
      <c r="J2375" s="343"/>
      <c r="K2375" s="343"/>
      <c r="L2375" s="345"/>
      <c r="M2375" s="343"/>
      <c r="N2375" s="598"/>
      <c r="O2375" s="585"/>
      <c r="P2375" s="341">
        <f t="shared" si="205"/>
        <v>0</v>
      </c>
      <c r="Q2375" s="71">
        <f t="shared" si="206"/>
        <v>0</v>
      </c>
      <c r="R2375" s="93" t="str">
        <f t="shared" si="207"/>
        <v/>
      </c>
    </row>
    <row r="2376" spans="1:18" x14ac:dyDescent="0.2">
      <c r="A2376" s="352" t="str">
        <f>IF(B2376="","",COUNT('Diário 1º PA'!$A$4:$A$2635)+COUNT('Diário 2º PA'!$A$4:$A$3040)+COUNT('Diário 3º PA'!$A$4:$A$2731)+ROW()-3)</f>
        <v/>
      </c>
      <c r="B2376" s="600"/>
      <c r="C2376" s="354"/>
      <c r="D2376" s="343"/>
      <c r="E2376" s="343"/>
      <c r="F2376" s="344"/>
      <c r="G2376" s="343"/>
      <c r="H2376" s="343"/>
      <c r="I2376" s="345"/>
      <c r="J2376" s="343"/>
      <c r="K2376" s="343"/>
      <c r="L2376" s="345"/>
      <c r="M2376" s="343"/>
      <c r="N2376" s="598"/>
      <c r="O2376" s="585"/>
      <c r="P2376" s="341">
        <f t="shared" si="205"/>
        <v>0</v>
      </c>
      <c r="Q2376" s="71">
        <f t="shared" si="206"/>
        <v>0</v>
      </c>
      <c r="R2376" s="93" t="str">
        <f t="shared" si="207"/>
        <v/>
      </c>
    </row>
    <row r="2377" spans="1:18" x14ac:dyDescent="0.2">
      <c r="A2377" s="352" t="str">
        <f>IF(B2377="","",COUNT('Diário 1º PA'!$A$4:$A$2635)+COUNT('Diário 2º PA'!$A$4:$A$3040)+COUNT('Diário 3º PA'!$A$4:$A$2731)+ROW()-3)</f>
        <v/>
      </c>
      <c r="B2377" s="600"/>
      <c r="C2377" s="354"/>
      <c r="D2377" s="343"/>
      <c r="E2377" s="343"/>
      <c r="F2377" s="344"/>
      <c r="G2377" s="343"/>
      <c r="H2377" s="343"/>
      <c r="I2377" s="345"/>
      <c r="J2377" s="343"/>
      <c r="K2377" s="343"/>
      <c r="L2377" s="345"/>
      <c r="M2377" s="343"/>
      <c r="N2377" s="598"/>
      <c r="O2377" s="585"/>
      <c r="P2377" s="341">
        <f t="shared" si="205"/>
        <v>0</v>
      </c>
      <c r="Q2377" s="71">
        <f t="shared" si="206"/>
        <v>0</v>
      </c>
      <c r="R2377" s="93" t="str">
        <f t="shared" si="207"/>
        <v/>
      </c>
    </row>
    <row r="2378" spans="1:18" x14ac:dyDescent="0.2">
      <c r="A2378" s="352" t="str">
        <f>IF(B2378="","",COUNT('Diário 1º PA'!$A$4:$A$2635)+COUNT('Diário 2º PA'!$A$4:$A$3040)+COUNT('Diário 3º PA'!$A$4:$A$2731)+ROW()-3)</f>
        <v/>
      </c>
      <c r="B2378" s="600"/>
      <c r="C2378" s="354"/>
      <c r="D2378" s="343"/>
      <c r="E2378" s="343"/>
      <c r="F2378" s="344"/>
      <c r="G2378" s="343"/>
      <c r="H2378" s="343"/>
      <c r="I2378" s="345"/>
      <c r="J2378" s="343"/>
      <c r="K2378" s="343"/>
      <c r="L2378" s="345"/>
      <c r="M2378" s="343"/>
      <c r="N2378" s="598"/>
      <c r="O2378" s="585"/>
      <c r="P2378" s="341">
        <f t="shared" si="205"/>
        <v>0</v>
      </c>
      <c r="Q2378" s="71">
        <f t="shared" si="206"/>
        <v>0</v>
      </c>
      <c r="R2378" s="93" t="str">
        <f t="shared" si="207"/>
        <v/>
      </c>
    </row>
    <row r="2379" spans="1:18" x14ac:dyDescent="0.2">
      <c r="A2379" s="352" t="str">
        <f>IF(B2379="","",COUNT('Diário 1º PA'!$A$4:$A$2635)+COUNT('Diário 2º PA'!$A$4:$A$3040)+COUNT('Diário 3º PA'!$A$4:$A$2731)+ROW()-3)</f>
        <v/>
      </c>
      <c r="B2379" s="600"/>
      <c r="C2379" s="354"/>
      <c r="D2379" s="343"/>
      <c r="E2379" s="343"/>
      <c r="F2379" s="344"/>
      <c r="G2379" s="343"/>
      <c r="H2379" s="343"/>
      <c r="I2379" s="345"/>
      <c r="J2379" s="343"/>
      <c r="K2379" s="343"/>
      <c r="L2379" s="345"/>
      <c r="M2379" s="343"/>
      <c r="N2379" s="598"/>
      <c r="O2379" s="585"/>
      <c r="P2379" s="341">
        <f t="shared" si="205"/>
        <v>0</v>
      </c>
      <c r="Q2379" s="71">
        <f t="shared" si="206"/>
        <v>0</v>
      </c>
      <c r="R2379" s="93" t="str">
        <f t="shared" si="207"/>
        <v/>
      </c>
    </row>
    <row r="2380" spans="1:18" x14ac:dyDescent="0.2">
      <c r="A2380" s="352" t="str">
        <f>IF(B2380="","",COUNT('Diário 1º PA'!$A$4:$A$2635)+COUNT('Diário 2º PA'!$A$4:$A$3040)+COUNT('Diário 3º PA'!$A$4:$A$2731)+ROW()-3)</f>
        <v/>
      </c>
      <c r="B2380" s="600"/>
      <c r="C2380" s="354"/>
      <c r="D2380" s="343"/>
      <c r="E2380" s="343"/>
      <c r="F2380" s="344"/>
      <c r="G2380" s="343"/>
      <c r="H2380" s="343"/>
      <c r="I2380" s="345"/>
      <c r="J2380" s="343"/>
      <c r="K2380" s="343"/>
      <c r="L2380" s="345"/>
      <c r="M2380" s="343"/>
      <c r="N2380" s="598"/>
      <c r="O2380" s="585"/>
      <c r="P2380" s="341">
        <f t="shared" si="205"/>
        <v>0</v>
      </c>
      <c r="Q2380" s="71">
        <f t="shared" si="206"/>
        <v>0</v>
      </c>
      <c r="R2380" s="93" t="str">
        <f t="shared" si="207"/>
        <v/>
      </c>
    </row>
    <row r="2381" spans="1:18" x14ac:dyDescent="0.2">
      <c r="A2381" s="352" t="str">
        <f>IF(B2381="","",COUNT('Diário 1º PA'!$A$4:$A$2635)+COUNT('Diário 2º PA'!$A$4:$A$3040)+COUNT('Diário 3º PA'!$A$4:$A$2731)+ROW()-3)</f>
        <v/>
      </c>
      <c r="B2381" s="600"/>
      <c r="C2381" s="354"/>
      <c r="D2381" s="343"/>
      <c r="E2381" s="343"/>
      <c r="F2381" s="344"/>
      <c r="G2381" s="343"/>
      <c r="H2381" s="343"/>
      <c r="I2381" s="345"/>
      <c r="J2381" s="343"/>
      <c r="K2381" s="343"/>
      <c r="L2381" s="345"/>
      <c r="M2381" s="343"/>
      <c r="N2381" s="598"/>
      <c r="O2381" s="585"/>
      <c r="P2381" s="341">
        <f t="shared" si="205"/>
        <v>0</v>
      </c>
      <c r="Q2381" s="71">
        <f t="shared" si="206"/>
        <v>0</v>
      </c>
      <c r="R2381" s="93" t="str">
        <f t="shared" si="207"/>
        <v/>
      </c>
    </row>
    <row r="2382" spans="1:18" x14ac:dyDescent="0.2">
      <c r="A2382" s="352" t="str">
        <f>IF(B2382="","",COUNT('Diário 1º PA'!$A$4:$A$2635)+COUNT('Diário 2º PA'!$A$4:$A$3040)+COUNT('Diário 3º PA'!$A$4:$A$2731)+ROW()-3)</f>
        <v/>
      </c>
      <c r="B2382" s="600"/>
      <c r="C2382" s="354"/>
      <c r="D2382" s="343"/>
      <c r="E2382" s="343"/>
      <c r="F2382" s="344"/>
      <c r="G2382" s="343"/>
      <c r="H2382" s="343"/>
      <c r="I2382" s="345"/>
      <c r="J2382" s="343"/>
      <c r="K2382" s="343"/>
      <c r="L2382" s="345"/>
      <c r="M2382" s="343"/>
      <c r="N2382" s="598"/>
      <c r="O2382" s="585"/>
      <c r="P2382" s="341">
        <f t="shared" si="205"/>
        <v>0</v>
      </c>
      <c r="Q2382" s="71">
        <f t="shared" si="206"/>
        <v>0</v>
      </c>
      <c r="R2382" s="93" t="str">
        <f t="shared" si="207"/>
        <v/>
      </c>
    </row>
    <row r="2383" spans="1:18" x14ac:dyDescent="0.2">
      <c r="A2383" s="352" t="str">
        <f>IF(B2383="","",COUNT('Diário 1º PA'!$A$4:$A$2635)+COUNT('Diário 2º PA'!$A$4:$A$3040)+COUNT('Diário 3º PA'!$A$4:$A$2731)+ROW()-3)</f>
        <v/>
      </c>
      <c r="B2383" s="600"/>
      <c r="C2383" s="354"/>
      <c r="D2383" s="343"/>
      <c r="E2383" s="343"/>
      <c r="F2383" s="344"/>
      <c r="G2383" s="343"/>
      <c r="H2383" s="343"/>
      <c r="I2383" s="345"/>
      <c r="J2383" s="343"/>
      <c r="K2383" s="343"/>
      <c r="L2383" s="345"/>
      <c r="M2383" s="343"/>
      <c r="N2383" s="598"/>
      <c r="O2383" s="585"/>
      <c r="P2383" s="341">
        <f t="shared" si="205"/>
        <v>0</v>
      </c>
      <c r="Q2383" s="71">
        <f t="shared" si="206"/>
        <v>0</v>
      </c>
      <c r="R2383" s="93" t="str">
        <f t="shared" si="207"/>
        <v/>
      </c>
    </row>
    <row r="2384" spans="1:18" x14ac:dyDescent="0.2">
      <c r="A2384" s="352" t="str">
        <f>IF(B2384="","",COUNT('Diário 1º PA'!$A$4:$A$2635)+COUNT('Diário 2º PA'!$A$4:$A$3040)+COUNT('Diário 3º PA'!$A$4:$A$2731)+ROW()-3)</f>
        <v/>
      </c>
      <c r="B2384" s="600"/>
      <c r="C2384" s="354"/>
      <c r="D2384" s="343"/>
      <c r="E2384" s="343"/>
      <c r="F2384" s="344"/>
      <c r="G2384" s="343"/>
      <c r="H2384" s="343"/>
      <c r="I2384" s="345"/>
      <c r="J2384" s="343"/>
      <c r="K2384" s="343"/>
      <c r="L2384" s="345"/>
      <c r="M2384" s="343"/>
      <c r="N2384" s="598"/>
      <c r="O2384" s="585"/>
      <c r="P2384" s="341">
        <f t="shared" si="205"/>
        <v>0</v>
      </c>
      <c r="Q2384" s="71">
        <f t="shared" si="206"/>
        <v>0</v>
      </c>
      <c r="R2384" s="93" t="str">
        <f t="shared" si="207"/>
        <v/>
      </c>
    </row>
    <row r="2385" spans="1:18" x14ac:dyDescent="0.2">
      <c r="A2385" s="352" t="str">
        <f>IF(B2385="","",COUNT('Diário 1º PA'!$A$4:$A$2635)+COUNT('Diário 2º PA'!$A$4:$A$3040)+COUNT('Diário 3º PA'!$A$4:$A$2731)+ROW()-3)</f>
        <v/>
      </c>
      <c r="B2385" s="600"/>
      <c r="C2385" s="354"/>
      <c r="D2385" s="343"/>
      <c r="E2385" s="343"/>
      <c r="F2385" s="344"/>
      <c r="G2385" s="343"/>
      <c r="H2385" s="343"/>
      <c r="I2385" s="345"/>
      <c r="J2385" s="343"/>
      <c r="K2385" s="343"/>
      <c r="L2385" s="345"/>
      <c r="M2385" s="343"/>
      <c r="N2385" s="598"/>
      <c r="O2385" s="585"/>
      <c r="P2385" s="341">
        <f t="shared" si="205"/>
        <v>0</v>
      </c>
      <c r="Q2385" s="71">
        <f t="shared" si="206"/>
        <v>0</v>
      </c>
      <c r="R2385" s="93" t="str">
        <f t="shared" si="207"/>
        <v/>
      </c>
    </row>
    <row r="2386" spans="1:18" x14ac:dyDescent="0.2">
      <c r="A2386" s="352" t="str">
        <f>IF(B2386="","",COUNT('Diário 1º PA'!$A$4:$A$2635)+COUNT('Diário 2º PA'!$A$4:$A$3040)+COUNT('Diário 3º PA'!$A$4:$A$2731)+ROW()-3)</f>
        <v/>
      </c>
      <c r="B2386" s="600"/>
      <c r="C2386" s="354"/>
      <c r="D2386" s="343"/>
      <c r="E2386" s="343"/>
      <c r="F2386" s="344"/>
      <c r="G2386" s="343"/>
      <c r="H2386" s="343"/>
      <c r="I2386" s="345"/>
      <c r="J2386" s="343"/>
      <c r="K2386" s="343"/>
      <c r="L2386" s="345"/>
      <c r="M2386" s="343"/>
      <c r="N2386" s="598"/>
      <c r="O2386" s="585"/>
      <c r="P2386" s="341">
        <f t="shared" si="205"/>
        <v>0</v>
      </c>
      <c r="Q2386" s="71">
        <f t="shared" si="206"/>
        <v>0</v>
      </c>
      <c r="R2386" s="93" t="str">
        <f t="shared" si="207"/>
        <v/>
      </c>
    </row>
    <row r="2387" spans="1:18" x14ac:dyDescent="0.2">
      <c r="A2387" s="352" t="str">
        <f>IF(B2387="","",COUNT('Diário 1º PA'!$A$4:$A$2635)+COUNT('Diário 2º PA'!$A$4:$A$3040)+COUNT('Diário 3º PA'!$A$4:$A$2731)+ROW()-3)</f>
        <v/>
      </c>
      <c r="B2387" s="600"/>
      <c r="C2387" s="354"/>
      <c r="D2387" s="343"/>
      <c r="E2387" s="343"/>
      <c r="F2387" s="344"/>
      <c r="G2387" s="343"/>
      <c r="H2387" s="343"/>
      <c r="I2387" s="345"/>
      <c r="J2387" s="343"/>
      <c r="K2387" s="343"/>
      <c r="L2387" s="345"/>
      <c r="M2387" s="343"/>
      <c r="N2387" s="598"/>
      <c r="O2387" s="585"/>
      <c r="P2387" s="341">
        <f t="shared" si="205"/>
        <v>0</v>
      </c>
      <c r="Q2387" s="71">
        <f t="shared" si="206"/>
        <v>0</v>
      </c>
      <c r="R2387" s="93" t="str">
        <f t="shared" si="207"/>
        <v/>
      </c>
    </row>
    <row r="2388" spans="1:18" x14ac:dyDescent="0.2">
      <c r="A2388" s="352" t="str">
        <f>IF(B2388="","",COUNT('Diário 1º PA'!$A$4:$A$2635)+COUNT('Diário 2º PA'!$A$4:$A$3040)+COUNT('Diário 3º PA'!$A$4:$A$2731)+ROW()-3)</f>
        <v/>
      </c>
      <c r="B2388" s="600"/>
      <c r="C2388" s="354"/>
      <c r="D2388" s="343"/>
      <c r="E2388" s="343"/>
      <c r="F2388" s="344"/>
      <c r="G2388" s="343"/>
      <c r="H2388" s="343"/>
      <c r="I2388" s="345"/>
      <c r="J2388" s="343"/>
      <c r="K2388" s="343"/>
      <c r="L2388" s="345"/>
      <c r="M2388" s="343"/>
      <c r="N2388" s="598"/>
      <c r="O2388" s="585"/>
      <c r="P2388" s="341">
        <f t="shared" si="205"/>
        <v>0</v>
      </c>
      <c r="Q2388" s="71">
        <f t="shared" si="206"/>
        <v>0</v>
      </c>
      <c r="R2388" s="93" t="str">
        <f t="shared" si="207"/>
        <v/>
      </c>
    </row>
    <row r="2389" spans="1:18" x14ac:dyDescent="0.2">
      <c r="A2389" s="352" t="str">
        <f>IF(B2389="","",COUNT('Diário 1º PA'!$A$4:$A$2635)+COUNT('Diário 2º PA'!$A$4:$A$3040)+COUNT('Diário 3º PA'!$A$4:$A$2731)+ROW()-3)</f>
        <v/>
      </c>
      <c r="B2389" s="600"/>
      <c r="C2389" s="354"/>
      <c r="D2389" s="343"/>
      <c r="E2389" s="343"/>
      <c r="F2389" s="344"/>
      <c r="G2389" s="343"/>
      <c r="H2389" s="343"/>
      <c r="I2389" s="345"/>
      <c r="J2389" s="343"/>
      <c r="K2389" s="343"/>
      <c r="L2389" s="345"/>
      <c r="M2389" s="343"/>
      <c r="N2389" s="598"/>
      <c r="O2389" s="585"/>
      <c r="P2389" s="341">
        <f t="shared" si="205"/>
        <v>0</v>
      </c>
      <c r="Q2389" s="71">
        <f t="shared" si="206"/>
        <v>0</v>
      </c>
      <c r="R2389" s="93" t="str">
        <f t="shared" si="207"/>
        <v/>
      </c>
    </row>
    <row r="2390" spans="1:18" x14ac:dyDescent="0.2">
      <c r="A2390" s="352" t="str">
        <f>IF(B2390="","",COUNT('Diário 1º PA'!$A$4:$A$2635)+COUNT('Diário 2º PA'!$A$4:$A$3040)+COUNT('Diário 3º PA'!$A$4:$A$2731)+ROW()-3)</f>
        <v/>
      </c>
      <c r="B2390" s="600"/>
      <c r="C2390" s="354"/>
      <c r="D2390" s="343"/>
      <c r="E2390" s="343"/>
      <c r="F2390" s="344"/>
      <c r="G2390" s="343"/>
      <c r="H2390" s="343"/>
      <c r="I2390" s="345"/>
      <c r="J2390" s="343"/>
      <c r="K2390" s="343"/>
      <c r="L2390" s="345"/>
      <c r="M2390" s="343"/>
      <c r="N2390" s="598"/>
      <c r="O2390" s="585"/>
      <c r="P2390" s="341">
        <f t="shared" si="205"/>
        <v>0</v>
      </c>
      <c r="Q2390" s="71">
        <f t="shared" si="206"/>
        <v>0</v>
      </c>
      <c r="R2390" s="93" t="str">
        <f t="shared" si="207"/>
        <v/>
      </c>
    </row>
    <row r="2391" spans="1:18" x14ac:dyDescent="0.2">
      <c r="A2391" s="352" t="str">
        <f>IF(B2391="","",COUNT('Diário 1º PA'!$A$4:$A$2635)+COUNT('Diário 2º PA'!$A$4:$A$3040)+COUNT('Diário 3º PA'!$A$4:$A$2731)+ROW()-3)</f>
        <v/>
      </c>
      <c r="B2391" s="600"/>
      <c r="C2391" s="354"/>
      <c r="D2391" s="343"/>
      <c r="E2391" s="343"/>
      <c r="F2391" s="344"/>
      <c r="G2391" s="343"/>
      <c r="H2391" s="343"/>
      <c r="I2391" s="345"/>
      <c r="J2391" s="343"/>
      <c r="K2391" s="343"/>
      <c r="L2391" s="345"/>
      <c r="M2391" s="343"/>
      <c r="N2391" s="598"/>
      <c r="O2391" s="585"/>
      <c r="P2391" s="341">
        <f t="shared" si="205"/>
        <v>0</v>
      </c>
      <c r="Q2391" s="71">
        <f t="shared" si="206"/>
        <v>0</v>
      </c>
      <c r="R2391" s="93" t="str">
        <f t="shared" si="207"/>
        <v/>
      </c>
    </row>
    <row r="2392" spans="1:18" x14ac:dyDescent="0.2">
      <c r="A2392" s="352" t="str">
        <f>IF(B2392="","",COUNT('Diário 1º PA'!$A$4:$A$2635)+COUNT('Diário 2º PA'!$A$4:$A$3040)+COUNT('Diário 3º PA'!$A$4:$A$2731)+ROW()-3)</f>
        <v/>
      </c>
      <c r="B2392" s="600"/>
      <c r="C2392" s="354"/>
      <c r="D2392" s="343"/>
      <c r="E2392" s="343"/>
      <c r="F2392" s="344"/>
      <c r="G2392" s="343"/>
      <c r="H2392" s="343"/>
      <c r="I2392" s="345"/>
      <c r="J2392" s="343"/>
      <c r="K2392" s="343"/>
      <c r="L2392" s="345"/>
      <c r="M2392" s="343"/>
      <c r="N2392" s="598"/>
      <c r="O2392" s="585"/>
      <c r="P2392" s="341">
        <f t="shared" si="205"/>
        <v>0</v>
      </c>
      <c r="Q2392" s="71">
        <f t="shared" si="206"/>
        <v>0</v>
      </c>
      <c r="R2392" s="93" t="str">
        <f t="shared" si="207"/>
        <v/>
      </c>
    </row>
    <row r="2393" spans="1:18" x14ac:dyDescent="0.2">
      <c r="A2393" s="352" t="str">
        <f>IF(B2393="","",COUNT('Diário 1º PA'!$A$4:$A$2635)+COUNT('Diário 2º PA'!$A$4:$A$3040)+COUNT('Diário 3º PA'!$A$4:$A$2731)+ROW()-3)</f>
        <v/>
      </c>
      <c r="B2393" s="600"/>
      <c r="C2393" s="354"/>
      <c r="D2393" s="343"/>
      <c r="E2393" s="343"/>
      <c r="F2393" s="344"/>
      <c r="G2393" s="343"/>
      <c r="H2393" s="343"/>
      <c r="I2393" s="345"/>
      <c r="J2393" s="343"/>
      <c r="K2393" s="343"/>
      <c r="L2393" s="345"/>
      <c r="M2393" s="343"/>
      <c r="N2393" s="598"/>
      <c r="O2393" s="585"/>
      <c r="P2393" s="341">
        <f t="shared" si="205"/>
        <v>0</v>
      </c>
      <c r="Q2393" s="71">
        <f t="shared" si="206"/>
        <v>0</v>
      </c>
      <c r="R2393" s="93" t="str">
        <f t="shared" si="207"/>
        <v/>
      </c>
    </row>
    <row r="2394" spans="1:18" x14ac:dyDescent="0.2">
      <c r="A2394" s="352" t="str">
        <f>IF(B2394="","",COUNT('Diário 1º PA'!$A$4:$A$2635)+COUNT('Diário 2º PA'!$A$4:$A$3040)+COUNT('Diário 3º PA'!$A$4:$A$2731)+ROW()-3)</f>
        <v/>
      </c>
      <c r="B2394" s="600"/>
      <c r="C2394" s="354"/>
      <c r="D2394" s="343"/>
      <c r="E2394" s="343"/>
      <c r="F2394" s="344"/>
      <c r="G2394" s="343"/>
      <c r="H2394" s="343"/>
      <c r="I2394" s="345"/>
      <c r="J2394" s="343"/>
      <c r="K2394" s="343"/>
      <c r="L2394" s="345"/>
      <c r="M2394" s="343"/>
      <c r="N2394" s="598"/>
      <c r="O2394" s="585"/>
      <c r="P2394" s="341">
        <f t="shared" si="205"/>
        <v>0</v>
      </c>
      <c r="Q2394" s="71">
        <f t="shared" si="206"/>
        <v>0</v>
      </c>
      <c r="R2394" s="93" t="str">
        <f t="shared" si="207"/>
        <v/>
      </c>
    </row>
    <row r="2395" spans="1:18" x14ac:dyDescent="0.2">
      <c r="A2395" s="352" t="str">
        <f>IF(B2395="","",COUNT('Diário 1º PA'!$A$4:$A$2635)+COUNT('Diário 2º PA'!$A$4:$A$3040)+COUNT('Diário 3º PA'!$A$4:$A$2731)+ROW()-3)</f>
        <v/>
      </c>
      <c r="B2395" s="600"/>
      <c r="C2395" s="354"/>
      <c r="D2395" s="343"/>
      <c r="E2395" s="343"/>
      <c r="F2395" s="344"/>
      <c r="G2395" s="343"/>
      <c r="H2395" s="343"/>
      <c r="I2395" s="345"/>
      <c r="J2395" s="343"/>
      <c r="K2395" s="343"/>
      <c r="L2395" s="345"/>
      <c r="M2395" s="343"/>
      <c r="N2395" s="598"/>
      <c r="O2395" s="585"/>
      <c r="P2395" s="341">
        <f t="shared" si="205"/>
        <v>0</v>
      </c>
      <c r="Q2395" s="71">
        <f t="shared" si="206"/>
        <v>0</v>
      </c>
      <c r="R2395" s="93" t="str">
        <f t="shared" si="207"/>
        <v/>
      </c>
    </row>
    <row r="2396" spans="1:18" x14ac:dyDescent="0.2">
      <c r="A2396" s="352" t="str">
        <f>IF(B2396="","",COUNT('Diário 1º PA'!$A$4:$A$2635)+COUNT('Diário 2º PA'!$A$4:$A$3040)+COUNT('Diário 3º PA'!$A$4:$A$2731)+ROW()-3)</f>
        <v/>
      </c>
      <c r="B2396" s="600"/>
      <c r="C2396" s="354"/>
      <c r="D2396" s="343"/>
      <c r="E2396" s="343"/>
      <c r="F2396" s="344"/>
      <c r="G2396" s="343"/>
      <c r="H2396" s="343"/>
      <c r="I2396" s="345"/>
      <c r="J2396" s="343"/>
      <c r="K2396" s="343"/>
      <c r="L2396" s="345"/>
      <c r="M2396" s="343"/>
      <c r="N2396" s="598"/>
      <c r="O2396" s="585"/>
      <c r="P2396" s="341">
        <f t="shared" si="205"/>
        <v>0</v>
      </c>
      <c r="Q2396" s="71">
        <f t="shared" si="206"/>
        <v>0</v>
      </c>
      <c r="R2396" s="93" t="str">
        <f t="shared" si="207"/>
        <v/>
      </c>
    </row>
    <row r="2397" spans="1:18" x14ac:dyDescent="0.2">
      <c r="A2397" s="352" t="str">
        <f>IF(B2397="","",COUNT('Diário 1º PA'!$A$4:$A$2635)+COUNT('Diário 2º PA'!$A$4:$A$3040)+COUNT('Diário 3º PA'!$A$4:$A$2731)+ROW()-3)</f>
        <v/>
      </c>
      <c r="B2397" s="600"/>
      <c r="C2397" s="354"/>
      <c r="D2397" s="343"/>
      <c r="E2397" s="343"/>
      <c r="F2397" s="344"/>
      <c r="G2397" s="343"/>
      <c r="H2397" s="343"/>
      <c r="I2397" s="345"/>
      <c r="J2397" s="343"/>
      <c r="K2397" s="343"/>
      <c r="L2397" s="345"/>
      <c r="M2397" s="343"/>
      <c r="N2397" s="598"/>
      <c r="O2397" s="585"/>
      <c r="P2397" s="341">
        <f t="shared" si="205"/>
        <v>0</v>
      </c>
      <c r="Q2397" s="71">
        <f t="shared" si="206"/>
        <v>0</v>
      </c>
      <c r="R2397" s="93" t="str">
        <f t="shared" si="207"/>
        <v/>
      </c>
    </row>
    <row r="2398" spans="1:18" x14ac:dyDescent="0.2">
      <c r="A2398" s="352" t="str">
        <f>IF(B2398="","",COUNT('Diário 1º PA'!$A$4:$A$2635)+COUNT('Diário 2º PA'!$A$4:$A$3040)+COUNT('Diário 3º PA'!$A$4:$A$2731)+ROW()-3)</f>
        <v/>
      </c>
      <c r="B2398" s="600"/>
      <c r="C2398" s="354"/>
      <c r="D2398" s="343"/>
      <c r="E2398" s="343"/>
      <c r="F2398" s="344"/>
      <c r="G2398" s="343"/>
      <c r="H2398" s="343"/>
      <c r="I2398" s="345"/>
      <c r="J2398" s="343"/>
      <c r="K2398" s="343"/>
      <c r="L2398" s="345"/>
      <c r="M2398" s="343"/>
      <c r="N2398" s="598"/>
      <c r="O2398" s="585"/>
      <c r="P2398" s="341">
        <f t="shared" si="205"/>
        <v>0</v>
      </c>
      <c r="Q2398" s="71">
        <f t="shared" si="206"/>
        <v>0</v>
      </c>
      <c r="R2398" s="93" t="str">
        <f t="shared" si="207"/>
        <v/>
      </c>
    </row>
    <row r="2399" spans="1:18" x14ac:dyDescent="0.2">
      <c r="A2399" s="352" t="str">
        <f>IF(B2399="","",COUNT('Diário 1º PA'!$A$4:$A$2635)+COUNT('Diário 2º PA'!$A$4:$A$3040)+COUNT('Diário 3º PA'!$A$4:$A$2731)+ROW()-3)</f>
        <v/>
      </c>
      <c r="B2399" s="600"/>
      <c r="C2399" s="354"/>
      <c r="D2399" s="343"/>
      <c r="E2399" s="343"/>
      <c r="F2399" s="344"/>
      <c r="G2399" s="343"/>
      <c r="H2399" s="343"/>
      <c r="I2399" s="345"/>
      <c r="J2399" s="343"/>
      <c r="K2399" s="343"/>
      <c r="L2399" s="345"/>
      <c r="M2399" s="343"/>
      <c r="N2399" s="598"/>
      <c r="O2399" s="585"/>
      <c r="P2399" s="341">
        <f t="shared" si="205"/>
        <v>0</v>
      </c>
      <c r="Q2399" s="71">
        <f t="shared" si="206"/>
        <v>0</v>
      </c>
      <c r="R2399" s="93" t="str">
        <f t="shared" si="207"/>
        <v/>
      </c>
    </row>
    <row r="2400" spans="1:18" x14ac:dyDescent="0.2">
      <c r="A2400" s="352" t="str">
        <f>IF(B2400="","",COUNT('Diário 1º PA'!$A$4:$A$2635)+COUNT('Diário 2º PA'!$A$4:$A$3040)+COUNT('Diário 3º PA'!$A$4:$A$2731)+ROW()-3)</f>
        <v/>
      </c>
      <c r="B2400" s="600"/>
      <c r="C2400" s="354"/>
      <c r="D2400" s="343"/>
      <c r="E2400" s="343"/>
      <c r="F2400" s="344"/>
      <c r="G2400" s="343"/>
      <c r="H2400" s="343"/>
      <c r="I2400" s="345"/>
      <c r="J2400" s="343"/>
      <c r="K2400" s="343"/>
      <c r="L2400" s="345"/>
      <c r="M2400" s="343"/>
      <c r="N2400" s="598"/>
      <c r="O2400" s="585"/>
      <c r="P2400" s="341">
        <f t="shared" si="205"/>
        <v>0</v>
      </c>
      <c r="Q2400" s="71">
        <f t="shared" si="206"/>
        <v>0</v>
      </c>
      <c r="R2400" s="93" t="str">
        <f t="shared" si="207"/>
        <v/>
      </c>
    </row>
    <row r="2401" spans="1:18" x14ac:dyDescent="0.2">
      <c r="A2401" s="352" t="str">
        <f>IF(B2401="","",COUNT('Diário 1º PA'!$A$4:$A$2635)+COUNT('Diário 2º PA'!$A$4:$A$3040)+COUNT('Diário 3º PA'!$A$4:$A$2731)+ROW()-3)</f>
        <v/>
      </c>
      <c r="B2401" s="600"/>
      <c r="C2401" s="354"/>
      <c r="D2401" s="343"/>
      <c r="E2401" s="343"/>
      <c r="F2401" s="344"/>
      <c r="G2401" s="343"/>
      <c r="H2401" s="343"/>
      <c r="I2401" s="345"/>
      <c r="J2401" s="343"/>
      <c r="K2401" s="343"/>
      <c r="L2401" s="345"/>
      <c r="M2401" s="343"/>
      <c r="N2401" s="598"/>
      <c r="O2401" s="585"/>
      <c r="P2401" s="341">
        <f t="shared" si="205"/>
        <v>0</v>
      </c>
      <c r="Q2401" s="71">
        <f t="shared" si="206"/>
        <v>0</v>
      </c>
      <c r="R2401" s="93" t="str">
        <f t="shared" si="207"/>
        <v/>
      </c>
    </row>
    <row r="2402" spans="1:18" x14ac:dyDescent="0.2">
      <c r="A2402" s="352" t="str">
        <f>IF(B2402="","",COUNT('Diário 1º PA'!$A$4:$A$2635)+COUNT('Diário 2º PA'!$A$4:$A$3040)+COUNT('Diário 3º PA'!$A$4:$A$2731)+ROW()-3)</f>
        <v/>
      </c>
      <c r="B2402" s="600"/>
      <c r="C2402" s="354"/>
      <c r="D2402" s="343"/>
      <c r="E2402" s="343"/>
      <c r="F2402" s="344"/>
      <c r="G2402" s="343"/>
      <c r="H2402" s="343"/>
      <c r="I2402" s="345"/>
      <c r="J2402" s="343"/>
      <c r="K2402" s="343"/>
      <c r="L2402" s="345"/>
      <c r="M2402" s="343"/>
      <c r="N2402" s="598"/>
      <c r="O2402" s="585"/>
      <c r="P2402" s="341">
        <f t="shared" si="205"/>
        <v>0</v>
      </c>
      <c r="Q2402" s="71">
        <f t="shared" si="206"/>
        <v>0</v>
      </c>
      <c r="R2402" s="93" t="str">
        <f t="shared" si="207"/>
        <v/>
      </c>
    </row>
    <row r="2403" spans="1:18" x14ac:dyDescent="0.2">
      <c r="A2403" s="352" t="str">
        <f>IF(B2403="","",COUNT('Diário 1º PA'!$A$4:$A$2635)+COUNT('Diário 2º PA'!$A$4:$A$3040)+COUNT('Diário 3º PA'!$A$4:$A$2731)+ROW()-3)</f>
        <v/>
      </c>
      <c r="B2403" s="600"/>
      <c r="C2403" s="354"/>
      <c r="D2403" s="343"/>
      <c r="E2403" s="343"/>
      <c r="F2403" s="344"/>
      <c r="G2403" s="343"/>
      <c r="H2403" s="343"/>
      <c r="I2403" s="345"/>
      <c r="J2403" s="343"/>
      <c r="K2403" s="343"/>
      <c r="L2403" s="345"/>
      <c r="M2403" s="343"/>
      <c r="N2403" s="598"/>
      <c r="O2403" s="585"/>
      <c r="P2403" s="341">
        <f t="shared" si="205"/>
        <v>0</v>
      </c>
      <c r="Q2403" s="71">
        <f t="shared" si="206"/>
        <v>0</v>
      </c>
      <c r="R2403" s="93" t="str">
        <f t="shared" si="207"/>
        <v/>
      </c>
    </row>
    <row r="2404" spans="1:18" x14ac:dyDescent="0.2">
      <c r="A2404" s="352" t="str">
        <f>IF(B2404="","",COUNT('Diário 1º PA'!$A$4:$A$2635)+COUNT('Diário 2º PA'!$A$4:$A$3040)+COUNT('Diário 3º PA'!$A$4:$A$2731)+ROW()-3)</f>
        <v/>
      </c>
      <c r="B2404" s="600"/>
      <c r="C2404" s="354"/>
      <c r="D2404" s="343"/>
      <c r="E2404" s="343"/>
      <c r="F2404" s="344"/>
      <c r="G2404" s="343"/>
      <c r="H2404" s="343"/>
      <c r="I2404" s="345"/>
      <c r="J2404" s="343"/>
      <c r="K2404" s="343"/>
      <c r="L2404" s="345"/>
      <c r="M2404" s="343"/>
      <c r="N2404" s="598"/>
      <c r="O2404" s="585"/>
      <c r="P2404" s="341">
        <f t="shared" si="205"/>
        <v>0</v>
      </c>
      <c r="Q2404" s="71">
        <f t="shared" si="206"/>
        <v>0</v>
      </c>
      <c r="R2404" s="93" t="str">
        <f t="shared" si="207"/>
        <v/>
      </c>
    </row>
    <row r="2405" spans="1:18" x14ac:dyDescent="0.2">
      <c r="A2405" s="352" t="str">
        <f>IF(B2405="","",COUNT('Diário 1º PA'!$A$4:$A$2635)+COUNT('Diário 2º PA'!$A$4:$A$3040)+COUNT('Diário 3º PA'!$A$4:$A$2731)+ROW()-3)</f>
        <v/>
      </c>
      <c r="B2405" s="600"/>
      <c r="C2405" s="354"/>
      <c r="D2405" s="343"/>
      <c r="E2405" s="343"/>
      <c r="F2405" s="344"/>
      <c r="G2405" s="343"/>
      <c r="H2405" s="343"/>
      <c r="I2405" s="345"/>
      <c r="J2405" s="343"/>
      <c r="K2405" s="343"/>
      <c r="L2405" s="345"/>
      <c r="M2405" s="343"/>
      <c r="N2405" s="598"/>
      <c r="O2405" s="585"/>
      <c r="P2405" s="341">
        <f t="shared" si="205"/>
        <v>0</v>
      </c>
      <c r="Q2405" s="71">
        <f t="shared" si="206"/>
        <v>0</v>
      </c>
      <c r="R2405" s="93" t="str">
        <f t="shared" si="207"/>
        <v/>
      </c>
    </row>
    <row r="2406" spans="1:18" x14ac:dyDescent="0.2">
      <c r="A2406" s="352" t="str">
        <f>IF(B2406="","",COUNT('Diário 1º PA'!$A$4:$A$2635)+COUNT('Diário 2º PA'!$A$4:$A$3040)+COUNT('Diário 3º PA'!$A$4:$A$2731)+ROW()-3)</f>
        <v/>
      </c>
      <c r="B2406" s="600"/>
      <c r="C2406" s="354"/>
      <c r="D2406" s="343"/>
      <c r="E2406" s="343"/>
      <c r="F2406" s="344"/>
      <c r="G2406" s="343"/>
      <c r="H2406" s="343"/>
      <c r="I2406" s="345"/>
      <c r="J2406" s="343"/>
      <c r="K2406" s="343"/>
      <c r="L2406" s="345"/>
      <c r="M2406" s="343"/>
      <c r="N2406" s="598"/>
      <c r="O2406" s="585"/>
      <c r="P2406" s="341">
        <f t="shared" si="205"/>
        <v>0</v>
      </c>
      <c r="Q2406" s="71">
        <f t="shared" si="206"/>
        <v>0</v>
      </c>
      <c r="R2406" s="93" t="str">
        <f t="shared" si="207"/>
        <v/>
      </c>
    </row>
    <row r="2407" spans="1:18" x14ac:dyDescent="0.2">
      <c r="A2407" s="352" t="str">
        <f>IF(B2407="","",COUNT('Diário 1º PA'!$A$4:$A$2635)+COUNT('Diário 2º PA'!$A$4:$A$3040)+COUNT('Diário 3º PA'!$A$4:$A$2731)+ROW()-3)</f>
        <v/>
      </c>
      <c r="B2407" s="600"/>
      <c r="C2407" s="354"/>
      <c r="D2407" s="343"/>
      <c r="E2407" s="343"/>
      <c r="F2407" s="344"/>
      <c r="G2407" s="343"/>
      <c r="H2407" s="343"/>
      <c r="I2407" s="345"/>
      <c r="J2407" s="343"/>
      <c r="K2407" s="343"/>
      <c r="L2407" s="345"/>
      <c r="M2407" s="343"/>
      <c r="N2407" s="598"/>
      <c r="O2407" s="585"/>
      <c r="P2407" s="341">
        <f t="shared" si="205"/>
        <v>0</v>
      </c>
      <c r="Q2407" s="71">
        <f t="shared" si="206"/>
        <v>0</v>
      </c>
      <c r="R2407" s="93" t="str">
        <f t="shared" si="207"/>
        <v/>
      </c>
    </row>
    <row r="2408" spans="1:18" x14ac:dyDescent="0.2">
      <c r="A2408" s="352" t="str">
        <f>IF(B2408="","",COUNT('Diário 1º PA'!$A$4:$A$2635)+COUNT('Diário 2º PA'!$A$4:$A$3040)+COUNT('Diário 3º PA'!$A$4:$A$2731)+ROW()-3)</f>
        <v/>
      </c>
      <c r="B2408" s="600"/>
      <c r="C2408" s="354"/>
      <c r="D2408" s="343"/>
      <c r="E2408" s="343"/>
      <c r="F2408" s="344"/>
      <c r="G2408" s="343"/>
      <c r="H2408" s="343"/>
      <c r="I2408" s="345"/>
      <c r="J2408" s="343"/>
      <c r="K2408" s="343"/>
      <c r="L2408" s="345"/>
      <c r="M2408" s="343"/>
      <c r="N2408" s="598"/>
      <c r="O2408" s="585"/>
      <c r="P2408" s="341">
        <f t="shared" si="205"/>
        <v>0</v>
      </c>
      <c r="Q2408" s="71">
        <f t="shared" si="206"/>
        <v>0</v>
      </c>
      <c r="R2408" s="93" t="str">
        <f t="shared" si="207"/>
        <v/>
      </c>
    </row>
    <row r="2409" spans="1:18" x14ac:dyDescent="0.2">
      <c r="A2409" s="352" t="str">
        <f>IF(B2409="","",COUNT('Diário 1º PA'!$A$4:$A$2635)+COUNT('Diário 2º PA'!$A$4:$A$3040)+COUNT('Diário 3º PA'!$A$4:$A$2731)+ROW()-3)</f>
        <v/>
      </c>
      <c r="B2409" s="600"/>
      <c r="C2409" s="354"/>
      <c r="D2409" s="343"/>
      <c r="E2409" s="343"/>
      <c r="F2409" s="344"/>
      <c r="G2409" s="343"/>
      <c r="H2409" s="343"/>
      <c r="I2409" s="345"/>
      <c r="J2409" s="343"/>
      <c r="K2409" s="343"/>
      <c r="L2409" s="345"/>
      <c r="M2409" s="343"/>
      <c r="N2409" s="598"/>
      <c r="O2409" s="585"/>
      <c r="P2409" s="341">
        <f t="shared" si="205"/>
        <v>0</v>
      </c>
      <c r="Q2409" s="71">
        <f t="shared" si="206"/>
        <v>0</v>
      </c>
      <c r="R2409" s="93" t="str">
        <f t="shared" si="207"/>
        <v/>
      </c>
    </row>
    <row r="2410" spans="1:18" x14ac:dyDescent="0.2">
      <c r="A2410" s="352" t="str">
        <f>IF(B2410="","",COUNT('Diário 1º PA'!$A$4:$A$2635)+COUNT('Diário 2º PA'!$A$4:$A$3040)+COUNT('Diário 3º PA'!$A$4:$A$2731)+ROW()-3)</f>
        <v/>
      </c>
      <c r="B2410" s="600"/>
      <c r="C2410" s="354"/>
      <c r="D2410" s="343"/>
      <c r="E2410" s="343"/>
      <c r="F2410" s="344"/>
      <c r="G2410" s="343"/>
      <c r="H2410" s="343"/>
      <c r="I2410" s="345"/>
      <c r="J2410" s="343"/>
      <c r="K2410" s="343"/>
      <c r="L2410" s="345"/>
      <c r="M2410" s="343"/>
      <c r="N2410" s="598"/>
      <c r="O2410" s="585"/>
      <c r="P2410" s="341">
        <f t="shared" si="205"/>
        <v>0</v>
      </c>
      <c r="Q2410" s="71">
        <f t="shared" si="206"/>
        <v>0</v>
      </c>
      <c r="R2410" s="93" t="str">
        <f t="shared" si="207"/>
        <v/>
      </c>
    </row>
    <row r="2411" spans="1:18" x14ac:dyDescent="0.2">
      <c r="A2411" s="352" t="str">
        <f>IF(B2411="","",COUNT('Diário 1º PA'!$A$4:$A$2635)+COUNT('Diário 2º PA'!$A$4:$A$3040)+COUNT('Diário 3º PA'!$A$4:$A$2731)+ROW()-3)</f>
        <v/>
      </c>
      <c r="B2411" s="600"/>
      <c r="C2411" s="354"/>
      <c r="D2411" s="343"/>
      <c r="E2411" s="343"/>
      <c r="F2411" s="344"/>
      <c r="G2411" s="343"/>
      <c r="H2411" s="343"/>
      <c r="I2411" s="345"/>
      <c r="J2411" s="343"/>
      <c r="K2411" s="343"/>
      <c r="L2411" s="345"/>
      <c r="M2411" s="343"/>
      <c r="N2411" s="598"/>
      <c r="O2411" s="585"/>
      <c r="P2411" s="341">
        <f t="shared" si="205"/>
        <v>0</v>
      </c>
      <c r="Q2411" s="71">
        <f t="shared" si="206"/>
        <v>0</v>
      </c>
      <c r="R2411" s="93" t="str">
        <f t="shared" si="207"/>
        <v/>
      </c>
    </row>
    <row r="2412" spans="1:18" x14ac:dyDescent="0.2">
      <c r="A2412" s="352" t="str">
        <f>IF(B2412="","",COUNT('Diário 1º PA'!$A$4:$A$2635)+COUNT('Diário 2º PA'!$A$4:$A$3040)+COUNT('Diário 3º PA'!$A$4:$A$2731)+ROW()-3)</f>
        <v/>
      </c>
      <c r="B2412" s="600"/>
      <c r="C2412" s="354"/>
      <c r="D2412" s="343"/>
      <c r="E2412" s="343"/>
      <c r="F2412" s="344"/>
      <c r="G2412" s="343"/>
      <c r="H2412" s="343"/>
      <c r="I2412" s="345"/>
      <c r="J2412" s="343"/>
      <c r="K2412" s="343"/>
      <c r="L2412" s="345"/>
      <c r="M2412" s="343"/>
      <c r="N2412" s="598"/>
      <c r="O2412" s="585"/>
      <c r="P2412" s="341">
        <f t="shared" si="205"/>
        <v>0</v>
      </c>
      <c r="Q2412" s="71">
        <f t="shared" si="206"/>
        <v>0</v>
      </c>
      <c r="R2412" s="93" t="str">
        <f t="shared" si="207"/>
        <v/>
      </c>
    </row>
    <row r="2413" spans="1:18" x14ac:dyDescent="0.2">
      <c r="A2413" s="352" t="str">
        <f>IF(B2413="","",COUNT('Diário 1º PA'!$A$4:$A$2635)+COUNT('Diário 2º PA'!$A$4:$A$3040)+COUNT('Diário 3º PA'!$A$4:$A$2731)+ROW()-3)</f>
        <v/>
      </c>
      <c r="B2413" s="600"/>
      <c r="C2413" s="354"/>
      <c r="D2413" s="343"/>
      <c r="E2413" s="343"/>
      <c r="F2413" s="344"/>
      <c r="G2413" s="343"/>
      <c r="H2413" s="343"/>
      <c r="I2413" s="345"/>
      <c r="J2413" s="343"/>
      <c r="K2413" s="343"/>
      <c r="L2413" s="345"/>
      <c r="M2413" s="343"/>
      <c r="N2413" s="598"/>
      <c r="O2413" s="585"/>
      <c r="P2413" s="341">
        <f t="shared" si="205"/>
        <v>0</v>
      </c>
      <c r="Q2413" s="71">
        <f t="shared" si="206"/>
        <v>0</v>
      </c>
      <c r="R2413" s="93" t="str">
        <f t="shared" si="207"/>
        <v/>
      </c>
    </row>
    <row r="2414" spans="1:18" x14ac:dyDescent="0.2">
      <c r="A2414" s="352" t="str">
        <f>IF(B2414="","",COUNT('Diário 1º PA'!$A$4:$A$2635)+COUNT('Diário 2º PA'!$A$4:$A$3040)+COUNT('Diário 3º PA'!$A$4:$A$2731)+ROW()-3)</f>
        <v/>
      </c>
      <c r="B2414" s="600"/>
      <c r="C2414" s="354"/>
      <c r="D2414" s="343"/>
      <c r="E2414" s="343"/>
      <c r="F2414" s="344"/>
      <c r="G2414" s="343"/>
      <c r="H2414" s="343"/>
      <c r="I2414" s="345"/>
      <c r="J2414" s="343"/>
      <c r="K2414" s="343"/>
      <c r="L2414" s="345"/>
      <c r="M2414" s="343"/>
      <c r="N2414" s="598"/>
      <c r="O2414" s="585"/>
      <c r="P2414" s="341">
        <f t="shared" si="205"/>
        <v>0</v>
      </c>
      <c r="Q2414" s="71">
        <f t="shared" si="206"/>
        <v>0</v>
      </c>
      <c r="R2414" s="93" t="str">
        <f t="shared" si="207"/>
        <v/>
      </c>
    </row>
    <row r="2415" spans="1:18" x14ac:dyDescent="0.2">
      <c r="A2415" s="352" t="str">
        <f>IF(B2415="","",COUNT('Diário 1º PA'!$A$4:$A$2635)+COUNT('Diário 2º PA'!$A$4:$A$3040)+COUNT('Diário 3º PA'!$A$4:$A$2731)+ROW()-3)</f>
        <v/>
      </c>
      <c r="B2415" s="600"/>
      <c r="C2415" s="354"/>
      <c r="D2415" s="343"/>
      <c r="E2415" s="343"/>
      <c r="F2415" s="344"/>
      <c r="G2415" s="343"/>
      <c r="H2415" s="343"/>
      <c r="I2415" s="345"/>
      <c r="J2415" s="343"/>
      <c r="K2415" s="343"/>
      <c r="L2415" s="345"/>
      <c r="M2415" s="343"/>
      <c r="N2415" s="598"/>
      <c r="O2415" s="585"/>
      <c r="P2415" s="341">
        <f t="shared" si="205"/>
        <v>0</v>
      </c>
      <c r="Q2415" s="71">
        <f t="shared" si="206"/>
        <v>0</v>
      </c>
      <c r="R2415" s="93" t="str">
        <f t="shared" si="207"/>
        <v/>
      </c>
    </row>
    <row r="2416" spans="1:18" x14ac:dyDescent="0.2">
      <c r="A2416" s="352" t="str">
        <f>IF(B2416="","",COUNT('Diário 1º PA'!$A$4:$A$2635)+COUNT('Diário 2º PA'!$A$4:$A$3040)+COUNT('Diário 3º PA'!$A$4:$A$2731)+ROW()-3)</f>
        <v/>
      </c>
      <c r="B2416" s="600"/>
      <c r="C2416" s="354"/>
      <c r="D2416" s="343"/>
      <c r="E2416" s="343"/>
      <c r="F2416" s="344"/>
      <c r="G2416" s="343"/>
      <c r="H2416" s="343"/>
      <c r="I2416" s="345"/>
      <c r="J2416" s="343"/>
      <c r="K2416" s="343"/>
      <c r="L2416" s="345"/>
      <c r="M2416" s="343"/>
      <c r="N2416" s="598"/>
      <c r="O2416" s="585"/>
      <c r="P2416" s="341">
        <f t="shared" si="205"/>
        <v>0</v>
      </c>
      <c r="Q2416" s="71">
        <f t="shared" si="206"/>
        <v>0</v>
      </c>
      <c r="R2416" s="93" t="str">
        <f t="shared" si="207"/>
        <v/>
      </c>
    </row>
    <row r="2417" spans="1:18" x14ac:dyDescent="0.2">
      <c r="A2417" s="352" t="str">
        <f>IF(B2417="","",COUNT('Diário 1º PA'!$A$4:$A$2635)+COUNT('Diário 2º PA'!$A$4:$A$3040)+COUNT('Diário 3º PA'!$A$4:$A$2731)+ROW()-3)</f>
        <v/>
      </c>
      <c r="B2417" s="600"/>
      <c r="C2417" s="354"/>
      <c r="D2417" s="343"/>
      <c r="E2417" s="343"/>
      <c r="F2417" s="344"/>
      <c r="G2417" s="343"/>
      <c r="H2417" s="343"/>
      <c r="I2417" s="345"/>
      <c r="J2417" s="343"/>
      <c r="K2417" s="343"/>
      <c r="L2417" s="345"/>
      <c r="M2417" s="343"/>
      <c r="N2417" s="598"/>
      <c r="O2417" s="585"/>
      <c r="P2417" s="341">
        <f t="shared" si="205"/>
        <v>0</v>
      </c>
      <c r="Q2417" s="71">
        <f t="shared" si="206"/>
        <v>0</v>
      </c>
      <c r="R2417" s="93" t="str">
        <f t="shared" si="207"/>
        <v/>
      </c>
    </row>
    <row r="2418" spans="1:18" x14ac:dyDescent="0.2">
      <c r="A2418" s="352" t="str">
        <f>IF(B2418="","",COUNT('Diário 1º PA'!$A$4:$A$2635)+COUNT('Diário 2º PA'!$A$4:$A$3040)+COUNT('Diário 3º PA'!$A$4:$A$2731)+ROW()-3)</f>
        <v/>
      </c>
      <c r="B2418" s="600"/>
      <c r="C2418" s="354"/>
      <c r="D2418" s="343"/>
      <c r="E2418" s="343"/>
      <c r="F2418" s="344"/>
      <c r="G2418" s="343"/>
      <c r="H2418" s="343"/>
      <c r="I2418" s="345"/>
      <c r="J2418" s="343"/>
      <c r="K2418" s="343"/>
      <c r="L2418" s="345"/>
      <c r="M2418" s="343"/>
      <c r="N2418" s="598"/>
      <c r="O2418" s="585"/>
      <c r="P2418" s="341">
        <f t="shared" si="205"/>
        <v>0</v>
      </c>
      <c r="Q2418" s="71">
        <f t="shared" si="206"/>
        <v>0</v>
      </c>
      <c r="R2418" s="93" t="str">
        <f t="shared" si="207"/>
        <v/>
      </c>
    </row>
    <row r="2419" spans="1:18" x14ac:dyDescent="0.2">
      <c r="A2419" s="352" t="str">
        <f>IF(B2419="","",COUNT('Diário 1º PA'!$A$4:$A$2635)+COUNT('Diário 2º PA'!$A$4:$A$3040)+COUNT('Diário 3º PA'!$A$4:$A$2731)+ROW()-3)</f>
        <v/>
      </c>
      <c r="B2419" s="600"/>
      <c r="C2419" s="354"/>
      <c r="D2419" s="343"/>
      <c r="E2419" s="343"/>
      <c r="F2419" s="344"/>
      <c r="G2419" s="343"/>
      <c r="H2419" s="343"/>
      <c r="I2419" s="345"/>
      <c r="J2419" s="343"/>
      <c r="K2419" s="343"/>
      <c r="L2419" s="345"/>
      <c r="M2419" s="343"/>
      <c r="N2419" s="598"/>
      <c r="O2419" s="585"/>
      <c r="P2419" s="341">
        <f t="shared" si="205"/>
        <v>0</v>
      </c>
      <c r="Q2419" s="71">
        <f t="shared" si="206"/>
        <v>0</v>
      </c>
      <c r="R2419" s="93" t="str">
        <f t="shared" si="207"/>
        <v/>
      </c>
    </row>
    <row r="2420" spans="1:18" x14ac:dyDescent="0.2">
      <c r="A2420" s="352" t="str">
        <f>IF(B2420="","",COUNT('Diário 1º PA'!$A$4:$A$2635)+COUNT('Diário 2º PA'!$A$4:$A$3040)+COUNT('Diário 3º PA'!$A$4:$A$2731)+ROW()-3)</f>
        <v/>
      </c>
      <c r="B2420" s="600"/>
      <c r="C2420" s="354"/>
      <c r="D2420" s="343"/>
      <c r="E2420" s="343"/>
      <c r="F2420" s="344"/>
      <c r="G2420" s="343"/>
      <c r="H2420" s="343"/>
      <c r="I2420" s="345"/>
      <c r="J2420" s="343"/>
      <c r="K2420" s="343"/>
      <c r="L2420" s="345"/>
      <c r="M2420" s="343"/>
      <c r="N2420" s="598"/>
      <c r="O2420" s="585"/>
      <c r="P2420" s="341">
        <f t="shared" si="205"/>
        <v>0</v>
      </c>
      <c r="Q2420" s="71">
        <f t="shared" si="206"/>
        <v>0</v>
      </c>
      <c r="R2420" s="93" t="str">
        <f t="shared" si="207"/>
        <v/>
      </c>
    </row>
    <row r="2421" spans="1:18" x14ac:dyDescent="0.2">
      <c r="A2421" s="352" t="str">
        <f>IF(B2421="","",COUNT('Diário 1º PA'!$A$4:$A$2635)+COUNT('Diário 2º PA'!$A$4:$A$3040)+COUNT('Diário 3º PA'!$A$4:$A$2731)+ROW()-3)</f>
        <v/>
      </c>
      <c r="B2421" s="600"/>
      <c r="C2421" s="354"/>
      <c r="D2421" s="343"/>
      <c r="E2421" s="343"/>
      <c r="F2421" s="344"/>
      <c r="G2421" s="343"/>
      <c r="H2421" s="343"/>
      <c r="I2421" s="345"/>
      <c r="J2421" s="343"/>
      <c r="K2421" s="343"/>
      <c r="L2421" s="345"/>
      <c r="M2421" s="343"/>
      <c r="N2421" s="598"/>
      <c r="O2421" s="585"/>
      <c r="P2421" s="341">
        <f t="shared" si="205"/>
        <v>0</v>
      </c>
      <c r="Q2421" s="71">
        <f t="shared" si="206"/>
        <v>0</v>
      </c>
      <c r="R2421" s="93" t="str">
        <f t="shared" si="207"/>
        <v/>
      </c>
    </row>
    <row r="2422" spans="1:18" x14ac:dyDescent="0.2">
      <c r="A2422" s="352" t="str">
        <f>IF(B2422="","",COUNT('Diário 1º PA'!$A$4:$A$2635)+COUNT('Diário 2º PA'!$A$4:$A$3040)+COUNT('Diário 3º PA'!$A$4:$A$2731)+ROW()-3)</f>
        <v/>
      </c>
      <c r="B2422" s="600"/>
      <c r="C2422" s="354"/>
      <c r="D2422" s="343"/>
      <c r="E2422" s="343"/>
      <c r="F2422" s="344"/>
      <c r="G2422" s="343"/>
      <c r="H2422" s="343"/>
      <c r="I2422" s="345"/>
      <c r="J2422" s="343"/>
      <c r="K2422" s="343"/>
      <c r="L2422" s="345"/>
      <c r="M2422" s="343"/>
      <c r="N2422" s="598"/>
      <c r="O2422" s="585"/>
      <c r="P2422" s="341">
        <f t="shared" si="205"/>
        <v>0</v>
      </c>
      <c r="Q2422" s="71">
        <f t="shared" si="206"/>
        <v>0</v>
      </c>
      <c r="R2422" s="93" t="str">
        <f t="shared" si="207"/>
        <v/>
      </c>
    </row>
    <row r="2423" spans="1:18" x14ac:dyDescent="0.2">
      <c r="A2423" s="352" t="str">
        <f>IF(B2423="","",COUNT('Diário 1º PA'!$A$4:$A$2635)+COUNT('Diário 2º PA'!$A$4:$A$3040)+COUNT('Diário 3º PA'!$A$4:$A$2731)+ROW()-3)</f>
        <v/>
      </c>
      <c r="B2423" s="600"/>
      <c r="C2423" s="354"/>
      <c r="D2423" s="343"/>
      <c r="E2423" s="343"/>
      <c r="F2423" s="344"/>
      <c r="G2423" s="343"/>
      <c r="H2423" s="343"/>
      <c r="I2423" s="345"/>
      <c r="J2423" s="343"/>
      <c r="K2423" s="343"/>
      <c r="L2423" s="345"/>
      <c r="M2423" s="343"/>
      <c r="N2423" s="598"/>
      <c r="O2423" s="585"/>
      <c r="P2423" s="341">
        <f t="shared" si="205"/>
        <v>0</v>
      </c>
      <c r="Q2423" s="71">
        <f t="shared" si="206"/>
        <v>0</v>
      </c>
      <c r="R2423" s="93" t="str">
        <f t="shared" si="207"/>
        <v/>
      </c>
    </row>
    <row r="2424" spans="1:18" x14ac:dyDescent="0.2">
      <c r="A2424" s="352" t="str">
        <f>IF(B2424="","",COUNT('Diário 1º PA'!$A$4:$A$2635)+COUNT('Diário 2º PA'!$A$4:$A$3040)+COUNT('Diário 3º PA'!$A$4:$A$2731)+ROW()-3)</f>
        <v/>
      </c>
      <c r="B2424" s="600"/>
      <c r="C2424" s="354"/>
      <c r="D2424" s="343"/>
      <c r="E2424" s="343"/>
      <c r="F2424" s="344"/>
      <c r="G2424" s="343"/>
      <c r="H2424" s="343"/>
      <c r="I2424" s="345"/>
      <c r="J2424" s="343"/>
      <c r="K2424" s="343"/>
      <c r="L2424" s="345"/>
      <c r="M2424" s="343"/>
      <c r="N2424" s="598"/>
      <c r="O2424" s="585"/>
      <c r="P2424" s="341">
        <f t="shared" si="205"/>
        <v>0</v>
      </c>
      <c r="Q2424" s="71">
        <f t="shared" si="206"/>
        <v>0</v>
      </c>
      <c r="R2424" s="93" t="str">
        <f t="shared" si="207"/>
        <v/>
      </c>
    </row>
    <row r="2425" spans="1:18" x14ac:dyDescent="0.2">
      <c r="A2425" s="352" t="str">
        <f>IF(B2425="","",COUNT('Diário 1º PA'!$A$4:$A$2635)+COUNT('Diário 2º PA'!$A$4:$A$3040)+COUNT('Diário 3º PA'!$A$4:$A$2731)+ROW()-3)</f>
        <v/>
      </c>
      <c r="B2425" s="600"/>
      <c r="C2425" s="354"/>
      <c r="D2425" s="343"/>
      <c r="E2425" s="343"/>
      <c r="F2425" s="344"/>
      <c r="G2425" s="343"/>
      <c r="H2425" s="343"/>
      <c r="I2425" s="345"/>
      <c r="J2425" s="343"/>
      <c r="K2425" s="343"/>
      <c r="L2425" s="345"/>
      <c r="M2425" s="343"/>
      <c r="N2425" s="598"/>
      <c r="O2425" s="585"/>
      <c r="P2425" s="341">
        <f t="shared" si="205"/>
        <v>0</v>
      </c>
      <c r="Q2425" s="71">
        <f t="shared" si="206"/>
        <v>0</v>
      </c>
      <c r="R2425" s="93" t="str">
        <f t="shared" si="207"/>
        <v/>
      </c>
    </row>
    <row r="2426" spans="1:18" x14ac:dyDescent="0.2">
      <c r="A2426" s="352" t="str">
        <f>IF(B2426="","",COUNT('Diário 1º PA'!$A$4:$A$2635)+COUNT('Diário 2º PA'!$A$4:$A$3040)+COUNT('Diário 3º PA'!$A$4:$A$2731)+ROW()-3)</f>
        <v/>
      </c>
      <c r="B2426" s="600"/>
      <c r="C2426" s="354"/>
      <c r="D2426" s="343"/>
      <c r="E2426" s="343"/>
      <c r="F2426" s="344"/>
      <c r="G2426" s="343"/>
      <c r="H2426" s="343"/>
      <c r="I2426" s="345"/>
      <c r="J2426" s="343"/>
      <c r="K2426" s="343"/>
      <c r="L2426" s="345"/>
      <c r="M2426" s="343"/>
      <c r="N2426" s="598"/>
      <c r="O2426" s="585"/>
      <c r="P2426" s="341">
        <f t="shared" ref="P2426:P2489" si="208">IF(B2426=0,0,IF(YEAR(B2426)=$Q$1,MONTH(B2426)-$P$1+1,(YEAR(B2426)-$Q$1)*12-$P$1+1+MONTH(B2426)))</f>
        <v>0</v>
      </c>
      <c r="Q2426" s="71">
        <f t="shared" ref="Q2426:Q2489" si="209">IF(C2426=0,0,IF(YEAR(C2426)=$Q$1,MONTH(C2426)-$P$1+1,(YEAR(C2426)-$Q$1)*12-$P$1+1+MONTH(C2426)))</f>
        <v>0</v>
      </c>
      <c r="R2426" s="93" t="str">
        <f t="shared" ref="R2426:R2489" si="210">SUBSTITUTE(D2426," ","_")</f>
        <v/>
      </c>
    </row>
    <row r="2427" spans="1:18" x14ac:dyDescent="0.2">
      <c r="A2427" s="352" t="str">
        <f>IF(B2427="","",COUNT('Diário 1º PA'!$A$4:$A$2635)+COUNT('Diário 2º PA'!$A$4:$A$3040)+COUNT('Diário 3º PA'!$A$4:$A$2731)+ROW()-3)</f>
        <v/>
      </c>
      <c r="B2427" s="600"/>
      <c r="C2427" s="354"/>
      <c r="D2427" s="343"/>
      <c r="E2427" s="343"/>
      <c r="F2427" s="344"/>
      <c r="G2427" s="343"/>
      <c r="H2427" s="343"/>
      <c r="I2427" s="345"/>
      <c r="J2427" s="343"/>
      <c r="K2427" s="343"/>
      <c r="L2427" s="345"/>
      <c r="M2427" s="343"/>
      <c r="N2427" s="598"/>
      <c r="O2427" s="585"/>
      <c r="P2427" s="341">
        <f t="shared" si="208"/>
        <v>0</v>
      </c>
      <c r="Q2427" s="71">
        <f t="shared" si="209"/>
        <v>0</v>
      </c>
      <c r="R2427" s="93" t="str">
        <f t="shared" si="210"/>
        <v/>
      </c>
    </row>
    <row r="2428" spans="1:18" x14ac:dyDescent="0.2">
      <c r="A2428" s="352" t="str">
        <f>IF(B2428="","",COUNT('Diário 1º PA'!$A$4:$A$2635)+COUNT('Diário 2º PA'!$A$4:$A$3040)+COUNT('Diário 3º PA'!$A$4:$A$2731)+ROW()-3)</f>
        <v/>
      </c>
      <c r="B2428" s="600"/>
      <c r="C2428" s="354"/>
      <c r="D2428" s="343"/>
      <c r="E2428" s="343"/>
      <c r="F2428" s="344"/>
      <c r="G2428" s="343"/>
      <c r="H2428" s="343"/>
      <c r="I2428" s="345"/>
      <c r="J2428" s="343"/>
      <c r="K2428" s="343"/>
      <c r="L2428" s="345"/>
      <c r="M2428" s="343"/>
      <c r="N2428" s="598"/>
      <c r="O2428" s="585"/>
      <c r="P2428" s="341">
        <f t="shared" si="208"/>
        <v>0</v>
      </c>
      <c r="Q2428" s="71">
        <f t="shared" si="209"/>
        <v>0</v>
      </c>
      <c r="R2428" s="93" t="str">
        <f t="shared" si="210"/>
        <v/>
      </c>
    </row>
    <row r="2429" spans="1:18" x14ac:dyDescent="0.2">
      <c r="A2429" s="352" t="str">
        <f>IF(B2429="","",COUNT('Diário 1º PA'!$A$4:$A$2635)+COUNT('Diário 2º PA'!$A$4:$A$3040)+COUNT('Diário 3º PA'!$A$4:$A$2731)+ROW()-3)</f>
        <v/>
      </c>
      <c r="B2429" s="600"/>
      <c r="C2429" s="354"/>
      <c r="D2429" s="343"/>
      <c r="E2429" s="343"/>
      <c r="F2429" s="344"/>
      <c r="G2429" s="343"/>
      <c r="H2429" s="343"/>
      <c r="I2429" s="345"/>
      <c r="J2429" s="343"/>
      <c r="K2429" s="343"/>
      <c r="L2429" s="345"/>
      <c r="M2429" s="343"/>
      <c r="N2429" s="598"/>
      <c r="O2429" s="585"/>
      <c r="P2429" s="341">
        <f t="shared" si="208"/>
        <v>0</v>
      </c>
      <c r="Q2429" s="71">
        <f t="shared" si="209"/>
        <v>0</v>
      </c>
      <c r="R2429" s="93" t="str">
        <f t="shared" si="210"/>
        <v/>
      </c>
    </row>
    <row r="2430" spans="1:18" x14ac:dyDescent="0.2">
      <c r="A2430" s="352" t="str">
        <f>IF(B2430="","",COUNT('Diário 1º PA'!$A$4:$A$2635)+COUNT('Diário 2º PA'!$A$4:$A$3040)+COUNT('Diário 3º PA'!$A$4:$A$2731)+ROW()-3)</f>
        <v/>
      </c>
      <c r="B2430" s="600"/>
      <c r="C2430" s="354"/>
      <c r="D2430" s="343"/>
      <c r="E2430" s="343"/>
      <c r="F2430" s="344"/>
      <c r="G2430" s="343"/>
      <c r="H2430" s="343"/>
      <c r="I2430" s="345"/>
      <c r="J2430" s="343"/>
      <c r="K2430" s="343"/>
      <c r="L2430" s="345"/>
      <c r="M2430" s="343"/>
      <c r="N2430" s="598"/>
      <c r="O2430" s="585"/>
      <c r="P2430" s="341">
        <f t="shared" si="208"/>
        <v>0</v>
      </c>
      <c r="Q2430" s="71">
        <f t="shared" si="209"/>
        <v>0</v>
      </c>
      <c r="R2430" s="93" t="str">
        <f t="shared" si="210"/>
        <v/>
      </c>
    </row>
    <row r="2431" spans="1:18" x14ac:dyDescent="0.2">
      <c r="A2431" s="352" t="str">
        <f>IF(B2431="","",COUNT('Diário 1º PA'!$A$4:$A$2635)+COUNT('Diário 2º PA'!$A$4:$A$3040)+COUNT('Diário 3º PA'!$A$4:$A$2731)+ROW()-3)</f>
        <v/>
      </c>
      <c r="B2431" s="600"/>
      <c r="C2431" s="354"/>
      <c r="D2431" s="343"/>
      <c r="E2431" s="343"/>
      <c r="F2431" s="344"/>
      <c r="G2431" s="343"/>
      <c r="H2431" s="343"/>
      <c r="I2431" s="345"/>
      <c r="J2431" s="343"/>
      <c r="K2431" s="343"/>
      <c r="L2431" s="345"/>
      <c r="M2431" s="343"/>
      <c r="N2431" s="598"/>
      <c r="O2431" s="585"/>
      <c r="P2431" s="341">
        <f t="shared" si="208"/>
        <v>0</v>
      </c>
      <c r="Q2431" s="71">
        <f t="shared" si="209"/>
        <v>0</v>
      </c>
      <c r="R2431" s="93" t="str">
        <f t="shared" si="210"/>
        <v/>
      </c>
    </row>
    <row r="2432" spans="1:18" x14ac:dyDescent="0.2">
      <c r="A2432" s="352" t="str">
        <f>IF(B2432="","",COUNT('Diário 1º PA'!$A$4:$A$2635)+COUNT('Diário 2º PA'!$A$4:$A$3040)+COUNT('Diário 3º PA'!$A$4:$A$2731)+ROW()-3)</f>
        <v/>
      </c>
      <c r="B2432" s="600"/>
      <c r="C2432" s="354"/>
      <c r="D2432" s="343"/>
      <c r="E2432" s="343"/>
      <c r="F2432" s="344"/>
      <c r="G2432" s="343"/>
      <c r="H2432" s="343"/>
      <c r="I2432" s="345"/>
      <c r="J2432" s="343"/>
      <c r="K2432" s="343"/>
      <c r="L2432" s="345"/>
      <c r="M2432" s="343"/>
      <c r="N2432" s="598"/>
      <c r="O2432" s="585"/>
      <c r="P2432" s="341">
        <f t="shared" si="208"/>
        <v>0</v>
      </c>
      <c r="Q2432" s="71">
        <f t="shared" si="209"/>
        <v>0</v>
      </c>
      <c r="R2432" s="93" t="str">
        <f t="shared" si="210"/>
        <v/>
      </c>
    </row>
    <row r="2433" spans="1:18" x14ac:dyDescent="0.2">
      <c r="A2433" s="352" t="str">
        <f>IF(B2433="","",COUNT('Diário 1º PA'!$A$4:$A$2635)+COUNT('Diário 2º PA'!$A$4:$A$3040)+COUNT('Diário 3º PA'!$A$4:$A$2731)+ROW()-3)</f>
        <v/>
      </c>
      <c r="B2433" s="600"/>
      <c r="C2433" s="354"/>
      <c r="D2433" s="343"/>
      <c r="E2433" s="343"/>
      <c r="F2433" s="344"/>
      <c r="G2433" s="343"/>
      <c r="H2433" s="343"/>
      <c r="I2433" s="345"/>
      <c r="J2433" s="343"/>
      <c r="K2433" s="343"/>
      <c r="L2433" s="345"/>
      <c r="M2433" s="343"/>
      <c r="N2433" s="598"/>
      <c r="O2433" s="585"/>
      <c r="P2433" s="341">
        <f t="shared" si="208"/>
        <v>0</v>
      </c>
      <c r="Q2433" s="71">
        <f t="shared" si="209"/>
        <v>0</v>
      </c>
      <c r="R2433" s="93" t="str">
        <f t="shared" si="210"/>
        <v/>
      </c>
    </row>
    <row r="2434" spans="1:18" x14ac:dyDescent="0.2">
      <c r="A2434" s="352" t="str">
        <f>IF(B2434="","",COUNT('Diário 1º PA'!$A$4:$A$2635)+COUNT('Diário 2º PA'!$A$4:$A$3040)+COUNT('Diário 3º PA'!$A$4:$A$2731)+ROW()-3)</f>
        <v/>
      </c>
      <c r="B2434" s="600"/>
      <c r="C2434" s="354"/>
      <c r="D2434" s="343"/>
      <c r="E2434" s="343"/>
      <c r="F2434" s="344"/>
      <c r="G2434" s="343"/>
      <c r="H2434" s="343"/>
      <c r="I2434" s="345"/>
      <c r="J2434" s="343"/>
      <c r="K2434" s="343"/>
      <c r="L2434" s="345"/>
      <c r="M2434" s="343"/>
      <c r="N2434" s="598"/>
      <c r="O2434" s="585"/>
      <c r="P2434" s="341">
        <f t="shared" si="208"/>
        <v>0</v>
      </c>
      <c r="Q2434" s="71">
        <f t="shared" si="209"/>
        <v>0</v>
      </c>
      <c r="R2434" s="93" t="str">
        <f t="shared" si="210"/>
        <v/>
      </c>
    </row>
    <row r="2435" spans="1:18" x14ac:dyDescent="0.2">
      <c r="A2435" s="352" t="str">
        <f>IF(B2435="","",COUNT('Diário 1º PA'!$A$4:$A$2635)+COUNT('Diário 2º PA'!$A$4:$A$3040)+COUNT('Diário 3º PA'!$A$4:$A$2731)+ROW()-3)</f>
        <v/>
      </c>
      <c r="B2435" s="600"/>
      <c r="C2435" s="354"/>
      <c r="D2435" s="343"/>
      <c r="E2435" s="343"/>
      <c r="F2435" s="344"/>
      <c r="G2435" s="343"/>
      <c r="H2435" s="343"/>
      <c r="I2435" s="345"/>
      <c r="J2435" s="343"/>
      <c r="K2435" s="343"/>
      <c r="L2435" s="345"/>
      <c r="M2435" s="343"/>
      <c r="N2435" s="598"/>
      <c r="O2435" s="585"/>
      <c r="P2435" s="341">
        <f t="shared" si="208"/>
        <v>0</v>
      </c>
      <c r="Q2435" s="71">
        <f t="shared" si="209"/>
        <v>0</v>
      </c>
      <c r="R2435" s="93" t="str">
        <f t="shared" si="210"/>
        <v/>
      </c>
    </row>
    <row r="2436" spans="1:18" x14ac:dyDescent="0.2">
      <c r="A2436" s="352" t="str">
        <f>IF(B2436="","",COUNT('Diário 1º PA'!$A$4:$A$2635)+COUNT('Diário 2º PA'!$A$4:$A$3040)+COUNT('Diário 3º PA'!$A$4:$A$2731)+ROW()-3)</f>
        <v/>
      </c>
      <c r="B2436" s="600"/>
      <c r="C2436" s="354"/>
      <c r="D2436" s="343"/>
      <c r="E2436" s="343"/>
      <c r="F2436" s="344"/>
      <c r="G2436" s="343"/>
      <c r="H2436" s="343"/>
      <c r="I2436" s="345"/>
      <c r="J2436" s="343"/>
      <c r="K2436" s="343"/>
      <c r="L2436" s="345"/>
      <c r="M2436" s="343"/>
      <c r="N2436" s="598"/>
      <c r="O2436" s="585"/>
      <c r="P2436" s="341">
        <f t="shared" si="208"/>
        <v>0</v>
      </c>
      <c r="Q2436" s="71">
        <f t="shared" si="209"/>
        <v>0</v>
      </c>
      <c r="R2436" s="93" t="str">
        <f t="shared" si="210"/>
        <v/>
      </c>
    </row>
    <row r="2437" spans="1:18" x14ac:dyDescent="0.2">
      <c r="A2437" s="352" t="str">
        <f>IF(B2437="","",COUNT('Diário 1º PA'!$A$4:$A$2635)+COUNT('Diário 2º PA'!$A$4:$A$3040)+COUNT('Diário 3º PA'!$A$4:$A$2731)+ROW()-3)</f>
        <v/>
      </c>
      <c r="B2437" s="600"/>
      <c r="C2437" s="354"/>
      <c r="D2437" s="343"/>
      <c r="E2437" s="343"/>
      <c r="F2437" s="344"/>
      <c r="G2437" s="343"/>
      <c r="H2437" s="343"/>
      <c r="I2437" s="345"/>
      <c r="J2437" s="343"/>
      <c r="K2437" s="343"/>
      <c r="L2437" s="345"/>
      <c r="M2437" s="343"/>
      <c r="N2437" s="598"/>
      <c r="O2437" s="585"/>
      <c r="P2437" s="341">
        <f t="shared" si="208"/>
        <v>0</v>
      </c>
      <c r="Q2437" s="71">
        <f t="shared" si="209"/>
        <v>0</v>
      </c>
      <c r="R2437" s="93" t="str">
        <f t="shared" si="210"/>
        <v/>
      </c>
    </row>
    <row r="2438" spans="1:18" x14ac:dyDescent="0.2">
      <c r="A2438" s="352" t="str">
        <f>IF(B2438="","",COUNT('Diário 1º PA'!$A$4:$A$2635)+COUNT('Diário 2º PA'!$A$4:$A$3040)+COUNT('Diário 3º PA'!$A$4:$A$2731)+ROW()-3)</f>
        <v/>
      </c>
      <c r="B2438" s="600"/>
      <c r="C2438" s="354"/>
      <c r="D2438" s="343"/>
      <c r="E2438" s="343"/>
      <c r="F2438" s="344"/>
      <c r="G2438" s="343"/>
      <c r="H2438" s="343"/>
      <c r="I2438" s="345"/>
      <c r="J2438" s="343"/>
      <c r="K2438" s="343"/>
      <c r="L2438" s="345"/>
      <c r="M2438" s="343"/>
      <c r="N2438" s="598"/>
      <c r="O2438" s="585"/>
      <c r="P2438" s="341">
        <f t="shared" si="208"/>
        <v>0</v>
      </c>
      <c r="Q2438" s="71">
        <f t="shared" si="209"/>
        <v>0</v>
      </c>
      <c r="R2438" s="93" t="str">
        <f t="shared" si="210"/>
        <v/>
      </c>
    </row>
    <row r="2439" spans="1:18" x14ac:dyDescent="0.2">
      <c r="A2439" s="352" t="str">
        <f>IF(B2439="","",COUNT('Diário 1º PA'!$A$4:$A$2635)+COUNT('Diário 2º PA'!$A$4:$A$3040)+COUNT('Diário 3º PA'!$A$4:$A$2731)+ROW()-3)</f>
        <v/>
      </c>
      <c r="B2439" s="600"/>
      <c r="C2439" s="354"/>
      <c r="D2439" s="343"/>
      <c r="E2439" s="343"/>
      <c r="F2439" s="344"/>
      <c r="G2439" s="343"/>
      <c r="H2439" s="343"/>
      <c r="I2439" s="345"/>
      <c r="J2439" s="343"/>
      <c r="K2439" s="343"/>
      <c r="L2439" s="345"/>
      <c r="M2439" s="343"/>
      <c r="N2439" s="598"/>
      <c r="O2439" s="585"/>
      <c r="P2439" s="341">
        <f t="shared" si="208"/>
        <v>0</v>
      </c>
      <c r="Q2439" s="71">
        <f t="shared" si="209"/>
        <v>0</v>
      </c>
      <c r="R2439" s="93" t="str">
        <f t="shared" si="210"/>
        <v/>
      </c>
    </row>
    <row r="2440" spans="1:18" x14ac:dyDescent="0.2">
      <c r="A2440" s="352" t="str">
        <f>IF(B2440="","",COUNT('Diário 1º PA'!$A$4:$A$2635)+COUNT('Diário 2º PA'!$A$4:$A$3040)+COUNT('Diário 3º PA'!$A$4:$A$2731)+ROW()-3)</f>
        <v/>
      </c>
      <c r="B2440" s="600"/>
      <c r="C2440" s="354"/>
      <c r="D2440" s="343"/>
      <c r="E2440" s="343"/>
      <c r="F2440" s="344"/>
      <c r="G2440" s="343"/>
      <c r="H2440" s="343"/>
      <c r="I2440" s="345"/>
      <c r="J2440" s="343"/>
      <c r="K2440" s="343"/>
      <c r="L2440" s="345"/>
      <c r="M2440" s="343"/>
      <c r="N2440" s="598"/>
      <c r="O2440" s="585"/>
      <c r="P2440" s="341">
        <f t="shared" si="208"/>
        <v>0</v>
      </c>
      <c r="Q2440" s="71">
        <f t="shared" si="209"/>
        <v>0</v>
      </c>
      <c r="R2440" s="93" t="str">
        <f t="shared" si="210"/>
        <v/>
      </c>
    </row>
    <row r="2441" spans="1:18" x14ac:dyDescent="0.2">
      <c r="A2441" s="352" t="str">
        <f>IF(B2441="","",COUNT('Diário 1º PA'!$A$4:$A$2635)+COUNT('Diário 2º PA'!$A$4:$A$3040)+COUNT('Diário 3º PA'!$A$4:$A$2731)+ROW()-3)</f>
        <v/>
      </c>
      <c r="B2441" s="600"/>
      <c r="C2441" s="354"/>
      <c r="D2441" s="343"/>
      <c r="E2441" s="343"/>
      <c r="F2441" s="344"/>
      <c r="G2441" s="343"/>
      <c r="H2441" s="343"/>
      <c r="I2441" s="345"/>
      <c r="J2441" s="343"/>
      <c r="K2441" s="343"/>
      <c r="L2441" s="345"/>
      <c r="M2441" s="343"/>
      <c r="N2441" s="598"/>
      <c r="O2441" s="585"/>
      <c r="P2441" s="341">
        <f t="shared" si="208"/>
        <v>0</v>
      </c>
      <c r="Q2441" s="71">
        <f t="shared" si="209"/>
        <v>0</v>
      </c>
      <c r="R2441" s="93" t="str">
        <f t="shared" si="210"/>
        <v/>
      </c>
    </row>
    <row r="2442" spans="1:18" x14ac:dyDescent="0.2">
      <c r="A2442" s="352" t="str">
        <f>IF(B2442="","",COUNT('Diário 1º PA'!$A$4:$A$2635)+COUNT('Diário 2º PA'!$A$4:$A$3040)+COUNT('Diário 3º PA'!$A$4:$A$2731)+ROW()-3)</f>
        <v/>
      </c>
      <c r="B2442" s="600"/>
      <c r="C2442" s="354"/>
      <c r="D2442" s="343"/>
      <c r="E2442" s="343"/>
      <c r="F2442" s="344"/>
      <c r="G2442" s="343"/>
      <c r="H2442" s="343"/>
      <c r="I2442" s="345"/>
      <c r="J2442" s="343"/>
      <c r="K2442" s="343"/>
      <c r="L2442" s="345"/>
      <c r="M2442" s="343"/>
      <c r="N2442" s="598"/>
      <c r="O2442" s="585"/>
      <c r="P2442" s="341">
        <f t="shared" si="208"/>
        <v>0</v>
      </c>
      <c r="Q2442" s="71">
        <f t="shared" si="209"/>
        <v>0</v>
      </c>
      <c r="R2442" s="93" t="str">
        <f t="shared" si="210"/>
        <v/>
      </c>
    </row>
    <row r="2443" spans="1:18" x14ac:dyDescent="0.2">
      <c r="A2443" s="352" t="str">
        <f>IF(B2443="","",COUNT('Diário 1º PA'!$A$4:$A$2635)+COUNT('Diário 2º PA'!$A$4:$A$3040)+COUNT('Diário 3º PA'!$A$4:$A$2731)+ROW()-3)</f>
        <v/>
      </c>
      <c r="B2443" s="600"/>
      <c r="C2443" s="354"/>
      <c r="D2443" s="343"/>
      <c r="E2443" s="343"/>
      <c r="F2443" s="344"/>
      <c r="G2443" s="343"/>
      <c r="H2443" s="343"/>
      <c r="I2443" s="345"/>
      <c r="J2443" s="343"/>
      <c r="K2443" s="343"/>
      <c r="L2443" s="345"/>
      <c r="M2443" s="343"/>
      <c r="N2443" s="598"/>
      <c r="O2443" s="585"/>
      <c r="P2443" s="341">
        <f t="shared" si="208"/>
        <v>0</v>
      </c>
      <c r="Q2443" s="71">
        <f t="shared" si="209"/>
        <v>0</v>
      </c>
      <c r="R2443" s="93" t="str">
        <f t="shared" si="210"/>
        <v/>
      </c>
    </row>
    <row r="2444" spans="1:18" x14ac:dyDescent="0.2">
      <c r="A2444" s="352" t="str">
        <f>IF(B2444="","",COUNT('Diário 1º PA'!$A$4:$A$2635)+COUNT('Diário 2º PA'!$A$4:$A$3040)+COUNT('Diário 3º PA'!$A$4:$A$2731)+ROW()-3)</f>
        <v/>
      </c>
      <c r="B2444" s="600"/>
      <c r="C2444" s="354"/>
      <c r="D2444" s="343"/>
      <c r="E2444" s="343"/>
      <c r="F2444" s="344"/>
      <c r="G2444" s="343"/>
      <c r="H2444" s="343"/>
      <c r="I2444" s="345"/>
      <c r="J2444" s="343"/>
      <c r="K2444" s="343"/>
      <c r="L2444" s="345"/>
      <c r="M2444" s="343"/>
      <c r="N2444" s="598"/>
      <c r="O2444" s="585"/>
      <c r="P2444" s="341">
        <f t="shared" si="208"/>
        <v>0</v>
      </c>
      <c r="Q2444" s="71">
        <f t="shared" si="209"/>
        <v>0</v>
      </c>
      <c r="R2444" s="93" t="str">
        <f t="shared" si="210"/>
        <v/>
      </c>
    </row>
    <row r="2445" spans="1:18" x14ac:dyDescent="0.2">
      <c r="A2445" s="352" t="str">
        <f>IF(B2445="","",COUNT('Diário 1º PA'!$A$4:$A$2635)+COUNT('Diário 2º PA'!$A$4:$A$3040)+COUNT('Diário 3º PA'!$A$4:$A$2731)+ROW()-3)</f>
        <v/>
      </c>
      <c r="B2445" s="600"/>
      <c r="C2445" s="354"/>
      <c r="D2445" s="343"/>
      <c r="E2445" s="343"/>
      <c r="F2445" s="344"/>
      <c r="G2445" s="343"/>
      <c r="H2445" s="343"/>
      <c r="I2445" s="345"/>
      <c r="J2445" s="343"/>
      <c r="K2445" s="343"/>
      <c r="L2445" s="345"/>
      <c r="M2445" s="343"/>
      <c r="N2445" s="598"/>
      <c r="O2445" s="585"/>
      <c r="P2445" s="341">
        <f t="shared" si="208"/>
        <v>0</v>
      </c>
      <c r="Q2445" s="71">
        <f t="shared" si="209"/>
        <v>0</v>
      </c>
      <c r="R2445" s="93" t="str">
        <f t="shared" si="210"/>
        <v/>
      </c>
    </row>
    <row r="2446" spans="1:18" x14ac:dyDescent="0.2">
      <c r="A2446" s="352" t="str">
        <f>IF(B2446="","",COUNT('Diário 1º PA'!$A$4:$A$2635)+COUNT('Diário 2º PA'!$A$4:$A$3040)+COUNT('Diário 3º PA'!$A$4:$A$2731)+ROW()-3)</f>
        <v/>
      </c>
      <c r="B2446" s="600"/>
      <c r="C2446" s="354"/>
      <c r="D2446" s="343"/>
      <c r="E2446" s="343"/>
      <c r="F2446" s="344"/>
      <c r="G2446" s="343"/>
      <c r="H2446" s="343"/>
      <c r="I2446" s="345"/>
      <c r="J2446" s="343"/>
      <c r="K2446" s="343"/>
      <c r="L2446" s="345"/>
      <c r="M2446" s="343"/>
      <c r="N2446" s="598"/>
      <c r="O2446" s="585"/>
      <c r="P2446" s="341">
        <f t="shared" si="208"/>
        <v>0</v>
      </c>
      <c r="Q2446" s="71">
        <f t="shared" si="209"/>
        <v>0</v>
      </c>
      <c r="R2446" s="93" t="str">
        <f t="shared" si="210"/>
        <v/>
      </c>
    </row>
    <row r="2447" spans="1:18" x14ac:dyDescent="0.2">
      <c r="A2447" s="352" t="str">
        <f>IF(B2447="","",COUNT('Diário 1º PA'!$A$4:$A$2635)+COUNT('Diário 2º PA'!$A$4:$A$3040)+COUNT('Diário 3º PA'!$A$4:$A$2731)+ROW()-3)</f>
        <v/>
      </c>
      <c r="B2447" s="600"/>
      <c r="C2447" s="354"/>
      <c r="D2447" s="343"/>
      <c r="E2447" s="343"/>
      <c r="F2447" s="344"/>
      <c r="G2447" s="343"/>
      <c r="H2447" s="343"/>
      <c r="I2447" s="345"/>
      <c r="J2447" s="343"/>
      <c r="K2447" s="343"/>
      <c r="L2447" s="345"/>
      <c r="M2447" s="343"/>
      <c r="N2447" s="598"/>
      <c r="O2447" s="585"/>
      <c r="P2447" s="341">
        <f t="shared" si="208"/>
        <v>0</v>
      </c>
      <c r="Q2447" s="71">
        <f t="shared" si="209"/>
        <v>0</v>
      </c>
      <c r="R2447" s="93" t="str">
        <f t="shared" si="210"/>
        <v/>
      </c>
    </row>
    <row r="2448" spans="1:18" x14ac:dyDescent="0.2">
      <c r="A2448" s="352" t="str">
        <f>IF(B2448="","",COUNT('Diário 1º PA'!$A$4:$A$2635)+COUNT('Diário 2º PA'!$A$4:$A$3040)+COUNT('Diário 3º PA'!$A$4:$A$2731)+ROW()-3)</f>
        <v/>
      </c>
      <c r="B2448" s="600"/>
      <c r="C2448" s="354"/>
      <c r="D2448" s="343"/>
      <c r="E2448" s="343"/>
      <c r="F2448" s="344"/>
      <c r="G2448" s="343"/>
      <c r="H2448" s="343"/>
      <c r="I2448" s="345"/>
      <c r="J2448" s="343"/>
      <c r="K2448" s="343"/>
      <c r="L2448" s="345"/>
      <c r="M2448" s="343"/>
      <c r="N2448" s="598"/>
      <c r="O2448" s="585"/>
      <c r="P2448" s="341">
        <f t="shared" si="208"/>
        <v>0</v>
      </c>
      <c r="Q2448" s="71">
        <f t="shared" si="209"/>
        <v>0</v>
      </c>
      <c r="R2448" s="93" t="str">
        <f t="shared" si="210"/>
        <v/>
      </c>
    </row>
    <row r="2449" spans="1:18" x14ac:dyDescent="0.2">
      <c r="A2449" s="352" t="str">
        <f>IF(B2449="","",COUNT('Diário 1º PA'!$A$4:$A$2635)+COUNT('Diário 2º PA'!$A$4:$A$3040)+COUNT('Diário 3º PA'!$A$4:$A$2731)+ROW()-3)</f>
        <v/>
      </c>
      <c r="B2449" s="600"/>
      <c r="C2449" s="354"/>
      <c r="D2449" s="343"/>
      <c r="E2449" s="343"/>
      <c r="F2449" s="344"/>
      <c r="G2449" s="343"/>
      <c r="H2449" s="343"/>
      <c r="I2449" s="345"/>
      <c r="J2449" s="343"/>
      <c r="K2449" s="343"/>
      <c r="L2449" s="345"/>
      <c r="M2449" s="343"/>
      <c r="N2449" s="598"/>
      <c r="O2449" s="585"/>
      <c r="P2449" s="341">
        <f t="shared" si="208"/>
        <v>0</v>
      </c>
      <c r="Q2449" s="71">
        <f t="shared" si="209"/>
        <v>0</v>
      </c>
      <c r="R2449" s="93" t="str">
        <f t="shared" si="210"/>
        <v/>
      </c>
    </row>
    <row r="2450" spans="1:18" x14ac:dyDescent="0.2">
      <c r="A2450" s="352" t="str">
        <f>IF(B2450="","",COUNT('Diário 1º PA'!$A$4:$A$2635)+COUNT('Diário 2º PA'!$A$4:$A$3040)+COUNT('Diário 3º PA'!$A$4:$A$2731)+ROW()-3)</f>
        <v/>
      </c>
      <c r="B2450" s="600"/>
      <c r="C2450" s="354"/>
      <c r="D2450" s="343"/>
      <c r="E2450" s="343"/>
      <c r="F2450" s="344"/>
      <c r="G2450" s="343"/>
      <c r="H2450" s="343"/>
      <c r="I2450" s="345"/>
      <c r="J2450" s="343"/>
      <c r="K2450" s="343"/>
      <c r="L2450" s="345"/>
      <c r="M2450" s="343"/>
      <c r="N2450" s="598"/>
      <c r="O2450" s="585"/>
      <c r="P2450" s="341">
        <f t="shared" si="208"/>
        <v>0</v>
      </c>
      <c r="Q2450" s="71">
        <f t="shared" si="209"/>
        <v>0</v>
      </c>
      <c r="R2450" s="93" t="str">
        <f t="shared" si="210"/>
        <v/>
      </c>
    </row>
    <row r="2451" spans="1:18" x14ac:dyDescent="0.2">
      <c r="A2451" s="352" t="str">
        <f>IF(B2451="","",COUNT('Diário 1º PA'!$A$4:$A$2635)+COUNT('Diário 2º PA'!$A$4:$A$3040)+COUNT('Diário 3º PA'!$A$4:$A$2731)+ROW()-3)</f>
        <v/>
      </c>
      <c r="B2451" s="600"/>
      <c r="C2451" s="354"/>
      <c r="D2451" s="343"/>
      <c r="E2451" s="343"/>
      <c r="F2451" s="344"/>
      <c r="G2451" s="343"/>
      <c r="H2451" s="343"/>
      <c r="I2451" s="345"/>
      <c r="J2451" s="343"/>
      <c r="K2451" s="343"/>
      <c r="L2451" s="345"/>
      <c r="M2451" s="343"/>
      <c r="N2451" s="598"/>
      <c r="O2451" s="585"/>
      <c r="P2451" s="341">
        <f t="shared" si="208"/>
        <v>0</v>
      </c>
      <c r="Q2451" s="71">
        <f t="shared" si="209"/>
        <v>0</v>
      </c>
      <c r="R2451" s="93" t="str">
        <f t="shared" si="210"/>
        <v/>
      </c>
    </row>
    <row r="2452" spans="1:18" x14ac:dyDescent="0.2">
      <c r="A2452" s="352" t="str">
        <f>IF(B2452="","",COUNT('Diário 1º PA'!$A$4:$A$2635)+COUNT('Diário 2º PA'!$A$4:$A$3040)+COUNT('Diário 3º PA'!$A$4:$A$2731)+ROW()-3)</f>
        <v/>
      </c>
      <c r="B2452" s="600"/>
      <c r="C2452" s="354"/>
      <c r="D2452" s="343"/>
      <c r="E2452" s="343"/>
      <c r="F2452" s="344"/>
      <c r="G2452" s="343"/>
      <c r="H2452" s="343"/>
      <c r="I2452" s="345"/>
      <c r="J2452" s="343"/>
      <c r="K2452" s="343"/>
      <c r="L2452" s="345"/>
      <c r="M2452" s="343"/>
      <c r="N2452" s="598"/>
      <c r="O2452" s="585"/>
      <c r="P2452" s="341">
        <f t="shared" si="208"/>
        <v>0</v>
      </c>
      <c r="Q2452" s="71">
        <f t="shared" si="209"/>
        <v>0</v>
      </c>
      <c r="R2452" s="93" t="str">
        <f t="shared" si="210"/>
        <v/>
      </c>
    </row>
    <row r="2453" spans="1:18" x14ac:dyDescent="0.2">
      <c r="A2453" s="352" t="str">
        <f>IF(B2453="","",COUNT('Diário 1º PA'!$A$4:$A$2635)+COUNT('Diário 2º PA'!$A$4:$A$3040)+COUNT('Diário 3º PA'!$A$4:$A$2731)+ROW()-3)</f>
        <v/>
      </c>
      <c r="B2453" s="600"/>
      <c r="C2453" s="354"/>
      <c r="D2453" s="343"/>
      <c r="E2453" s="343"/>
      <c r="F2453" s="344"/>
      <c r="G2453" s="343"/>
      <c r="H2453" s="343"/>
      <c r="I2453" s="345"/>
      <c r="J2453" s="343"/>
      <c r="K2453" s="343"/>
      <c r="L2453" s="345"/>
      <c r="M2453" s="343"/>
      <c r="N2453" s="598"/>
      <c r="O2453" s="585"/>
      <c r="P2453" s="341">
        <f t="shared" si="208"/>
        <v>0</v>
      </c>
      <c r="Q2453" s="71">
        <f t="shared" si="209"/>
        <v>0</v>
      </c>
      <c r="R2453" s="93" t="str">
        <f t="shared" si="210"/>
        <v/>
      </c>
    </row>
    <row r="2454" spans="1:18" x14ac:dyDescent="0.2">
      <c r="A2454" s="352" t="str">
        <f>IF(B2454="","",COUNT('Diário 1º PA'!$A$4:$A$2635)+COUNT('Diário 2º PA'!$A$4:$A$3040)+COUNT('Diário 3º PA'!$A$4:$A$2731)+ROW()-3)</f>
        <v/>
      </c>
      <c r="B2454" s="600"/>
      <c r="C2454" s="354"/>
      <c r="D2454" s="343"/>
      <c r="E2454" s="343"/>
      <c r="F2454" s="344"/>
      <c r="G2454" s="343"/>
      <c r="H2454" s="343"/>
      <c r="I2454" s="345"/>
      <c r="J2454" s="343"/>
      <c r="K2454" s="343"/>
      <c r="L2454" s="345"/>
      <c r="M2454" s="343"/>
      <c r="N2454" s="598"/>
      <c r="O2454" s="585"/>
      <c r="P2454" s="341">
        <f t="shared" si="208"/>
        <v>0</v>
      </c>
      <c r="Q2454" s="71">
        <f t="shared" si="209"/>
        <v>0</v>
      </c>
      <c r="R2454" s="93" t="str">
        <f t="shared" si="210"/>
        <v/>
      </c>
    </row>
    <row r="2455" spans="1:18" x14ac:dyDescent="0.2">
      <c r="A2455" s="352" t="str">
        <f>IF(B2455="","",COUNT('Diário 1º PA'!$A$4:$A$2635)+COUNT('Diário 2º PA'!$A$4:$A$3040)+COUNT('Diário 3º PA'!$A$4:$A$2731)+ROW()-3)</f>
        <v/>
      </c>
      <c r="B2455" s="600"/>
      <c r="C2455" s="354"/>
      <c r="D2455" s="343"/>
      <c r="E2455" s="343"/>
      <c r="F2455" s="344"/>
      <c r="G2455" s="343"/>
      <c r="H2455" s="343"/>
      <c r="I2455" s="345"/>
      <c r="J2455" s="343"/>
      <c r="K2455" s="343"/>
      <c r="L2455" s="345"/>
      <c r="M2455" s="343"/>
      <c r="N2455" s="598"/>
      <c r="O2455" s="585"/>
      <c r="P2455" s="341">
        <f t="shared" si="208"/>
        <v>0</v>
      </c>
      <c r="Q2455" s="71">
        <f t="shared" si="209"/>
        <v>0</v>
      </c>
      <c r="R2455" s="93" t="str">
        <f t="shared" si="210"/>
        <v/>
      </c>
    </row>
    <row r="2456" spans="1:18" x14ac:dyDescent="0.2">
      <c r="A2456" s="352" t="str">
        <f>IF(B2456="","",COUNT('Diário 1º PA'!$A$4:$A$2635)+COUNT('Diário 2º PA'!$A$4:$A$3040)+COUNT('Diário 3º PA'!$A$4:$A$2731)+ROW()-3)</f>
        <v/>
      </c>
      <c r="B2456" s="600"/>
      <c r="C2456" s="354"/>
      <c r="D2456" s="343"/>
      <c r="E2456" s="343"/>
      <c r="F2456" s="344"/>
      <c r="G2456" s="343"/>
      <c r="H2456" s="343"/>
      <c r="I2456" s="345"/>
      <c r="J2456" s="343"/>
      <c r="K2456" s="343"/>
      <c r="L2456" s="345"/>
      <c r="M2456" s="343"/>
      <c r="N2456" s="598"/>
      <c r="O2456" s="585"/>
      <c r="P2456" s="341">
        <f t="shared" si="208"/>
        <v>0</v>
      </c>
      <c r="Q2456" s="71">
        <f t="shared" si="209"/>
        <v>0</v>
      </c>
      <c r="R2456" s="93" t="str">
        <f t="shared" si="210"/>
        <v/>
      </c>
    </row>
    <row r="2457" spans="1:18" x14ac:dyDescent="0.2">
      <c r="A2457" s="352" t="str">
        <f>IF(B2457="","",COUNT('Diário 1º PA'!$A$4:$A$2635)+COUNT('Diário 2º PA'!$A$4:$A$3040)+COUNT('Diário 3º PA'!$A$4:$A$2731)+ROW()-3)</f>
        <v/>
      </c>
      <c r="B2457" s="600"/>
      <c r="C2457" s="354"/>
      <c r="D2457" s="343"/>
      <c r="E2457" s="343"/>
      <c r="F2457" s="344"/>
      <c r="G2457" s="343"/>
      <c r="H2457" s="343"/>
      <c r="I2457" s="345"/>
      <c r="J2457" s="343"/>
      <c r="K2457" s="343"/>
      <c r="L2457" s="345"/>
      <c r="M2457" s="343"/>
      <c r="N2457" s="598"/>
      <c r="O2457" s="585"/>
      <c r="P2457" s="341">
        <f t="shared" si="208"/>
        <v>0</v>
      </c>
      <c r="Q2457" s="71">
        <f t="shared" si="209"/>
        <v>0</v>
      </c>
      <c r="R2457" s="93" t="str">
        <f t="shared" si="210"/>
        <v/>
      </c>
    </row>
    <row r="2458" spans="1:18" x14ac:dyDescent="0.2">
      <c r="A2458" s="352" t="str">
        <f>IF(B2458="","",COUNT('Diário 1º PA'!$A$4:$A$2635)+COUNT('Diário 2º PA'!$A$4:$A$3040)+COUNT('Diário 3º PA'!$A$4:$A$2731)+ROW()-3)</f>
        <v/>
      </c>
      <c r="B2458" s="600"/>
      <c r="C2458" s="354"/>
      <c r="D2458" s="343"/>
      <c r="E2458" s="343"/>
      <c r="F2458" s="344"/>
      <c r="G2458" s="343"/>
      <c r="H2458" s="343"/>
      <c r="I2458" s="345"/>
      <c r="J2458" s="343"/>
      <c r="K2458" s="343"/>
      <c r="L2458" s="345"/>
      <c r="M2458" s="343"/>
      <c r="N2458" s="598"/>
      <c r="O2458" s="585"/>
      <c r="P2458" s="341">
        <f t="shared" si="208"/>
        <v>0</v>
      </c>
      <c r="Q2458" s="71">
        <f t="shared" si="209"/>
        <v>0</v>
      </c>
      <c r="R2458" s="93" t="str">
        <f t="shared" si="210"/>
        <v/>
      </c>
    </row>
    <row r="2459" spans="1:18" x14ac:dyDescent="0.2">
      <c r="A2459" s="352" t="str">
        <f>IF(B2459="","",COUNT('Diário 1º PA'!$A$4:$A$2635)+COUNT('Diário 2º PA'!$A$4:$A$3040)+COUNT('Diário 3º PA'!$A$4:$A$2731)+ROW()-3)</f>
        <v/>
      </c>
      <c r="B2459" s="600"/>
      <c r="C2459" s="354"/>
      <c r="D2459" s="343"/>
      <c r="E2459" s="343"/>
      <c r="F2459" s="344"/>
      <c r="G2459" s="343"/>
      <c r="H2459" s="343"/>
      <c r="I2459" s="345"/>
      <c r="J2459" s="343"/>
      <c r="K2459" s="343"/>
      <c r="L2459" s="345"/>
      <c r="M2459" s="343"/>
      <c r="N2459" s="598"/>
      <c r="O2459" s="585"/>
      <c r="P2459" s="341">
        <f t="shared" si="208"/>
        <v>0</v>
      </c>
      <c r="Q2459" s="71">
        <f t="shared" si="209"/>
        <v>0</v>
      </c>
      <c r="R2459" s="93" t="str">
        <f t="shared" si="210"/>
        <v/>
      </c>
    </row>
    <row r="2460" spans="1:18" x14ac:dyDescent="0.2">
      <c r="A2460" s="352" t="str">
        <f>IF(B2460="","",COUNT('Diário 1º PA'!$A$4:$A$2635)+COUNT('Diário 2º PA'!$A$4:$A$3040)+COUNT('Diário 3º PA'!$A$4:$A$2731)+ROW()-3)</f>
        <v/>
      </c>
      <c r="B2460" s="600"/>
      <c r="C2460" s="354"/>
      <c r="D2460" s="343"/>
      <c r="E2460" s="343"/>
      <c r="F2460" s="344"/>
      <c r="G2460" s="343"/>
      <c r="H2460" s="343"/>
      <c r="I2460" s="345"/>
      <c r="J2460" s="343"/>
      <c r="K2460" s="343"/>
      <c r="L2460" s="345"/>
      <c r="M2460" s="343"/>
      <c r="N2460" s="598"/>
      <c r="O2460" s="585"/>
      <c r="P2460" s="341">
        <f t="shared" si="208"/>
        <v>0</v>
      </c>
      <c r="Q2460" s="71">
        <f t="shared" si="209"/>
        <v>0</v>
      </c>
      <c r="R2460" s="93" t="str">
        <f t="shared" si="210"/>
        <v/>
      </c>
    </row>
    <row r="2461" spans="1:18" x14ac:dyDescent="0.2">
      <c r="A2461" s="352" t="str">
        <f>IF(B2461="","",COUNT('Diário 1º PA'!$A$4:$A$2635)+COUNT('Diário 2º PA'!$A$4:$A$3040)+COUNT('Diário 3º PA'!$A$4:$A$2731)+ROW()-3)</f>
        <v/>
      </c>
      <c r="B2461" s="600"/>
      <c r="C2461" s="354"/>
      <c r="D2461" s="343"/>
      <c r="E2461" s="343"/>
      <c r="F2461" s="344"/>
      <c r="G2461" s="343"/>
      <c r="H2461" s="343"/>
      <c r="I2461" s="345"/>
      <c r="J2461" s="343"/>
      <c r="K2461" s="343"/>
      <c r="L2461" s="345"/>
      <c r="M2461" s="343"/>
      <c r="N2461" s="598"/>
      <c r="O2461" s="585"/>
      <c r="P2461" s="341">
        <f t="shared" si="208"/>
        <v>0</v>
      </c>
      <c r="Q2461" s="71">
        <f t="shared" si="209"/>
        <v>0</v>
      </c>
      <c r="R2461" s="93" t="str">
        <f t="shared" si="210"/>
        <v/>
      </c>
    </row>
    <row r="2462" spans="1:18" x14ac:dyDescent="0.2">
      <c r="A2462" s="352" t="str">
        <f>IF(B2462="","",COUNT('Diário 1º PA'!$A$4:$A$2635)+COUNT('Diário 2º PA'!$A$4:$A$3040)+COUNT('Diário 3º PA'!$A$4:$A$2731)+ROW()-3)</f>
        <v/>
      </c>
      <c r="B2462" s="600"/>
      <c r="C2462" s="354"/>
      <c r="D2462" s="343"/>
      <c r="E2462" s="343"/>
      <c r="F2462" s="344"/>
      <c r="G2462" s="343"/>
      <c r="H2462" s="343"/>
      <c r="I2462" s="345"/>
      <c r="J2462" s="343"/>
      <c r="K2462" s="343"/>
      <c r="L2462" s="345"/>
      <c r="M2462" s="343"/>
      <c r="N2462" s="598"/>
      <c r="O2462" s="585"/>
      <c r="P2462" s="341">
        <f t="shared" si="208"/>
        <v>0</v>
      </c>
      <c r="Q2462" s="71">
        <f t="shared" si="209"/>
        <v>0</v>
      </c>
      <c r="R2462" s="93" t="str">
        <f t="shared" si="210"/>
        <v/>
      </c>
    </row>
    <row r="2463" spans="1:18" x14ac:dyDescent="0.2">
      <c r="A2463" s="352" t="str">
        <f>IF(B2463="","",COUNT('Diário 1º PA'!$A$4:$A$2635)+COUNT('Diário 2º PA'!$A$4:$A$3040)+COUNT('Diário 3º PA'!$A$4:$A$2731)+ROW()-3)</f>
        <v/>
      </c>
      <c r="B2463" s="600"/>
      <c r="C2463" s="354"/>
      <c r="D2463" s="343"/>
      <c r="E2463" s="343"/>
      <c r="F2463" s="344"/>
      <c r="G2463" s="343"/>
      <c r="H2463" s="343"/>
      <c r="I2463" s="345"/>
      <c r="J2463" s="343"/>
      <c r="K2463" s="343"/>
      <c r="L2463" s="345"/>
      <c r="M2463" s="343"/>
      <c r="N2463" s="598"/>
      <c r="O2463" s="585"/>
      <c r="P2463" s="341">
        <f t="shared" si="208"/>
        <v>0</v>
      </c>
      <c r="Q2463" s="71">
        <f t="shared" si="209"/>
        <v>0</v>
      </c>
      <c r="R2463" s="93" t="str">
        <f t="shared" si="210"/>
        <v/>
      </c>
    </row>
    <row r="2464" spans="1:18" x14ac:dyDescent="0.2">
      <c r="A2464" s="352" t="str">
        <f>IF(B2464="","",COUNT('Diário 1º PA'!$A$4:$A$2635)+COUNT('Diário 2º PA'!$A$4:$A$3040)+COUNT('Diário 3º PA'!$A$4:$A$2731)+ROW()-3)</f>
        <v/>
      </c>
      <c r="B2464" s="600"/>
      <c r="C2464" s="354"/>
      <c r="D2464" s="343"/>
      <c r="E2464" s="343"/>
      <c r="F2464" s="344"/>
      <c r="G2464" s="343"/>
      <c r="H2464" s="343"/>
      <c r="I2464" s="345"/>
      <c r="J2464" s="343"/>
      <c r="K2464" s="343"/>
      <c r="L2464" s="345"/>
      <c r="M2464" s="343"/>
      <c r="N2464" s="598"/>
      <c r="O2464" s="585"/>
      <c r="P2464" s="341">
        <f t="shared" si="208"/>
        <v>0</v>
      </c>
      <c r="Q2464" s="71">
        <f t="shared" si="209"/>
        <v>0</v>
      </c>
      <c r="R2464" s="93" t="str">
        <f t="shared" si="210"/>
        <v/>
      </c>
    </row>
    <row r="2465" spans="1:18" x14ac:dyDescent="0.2">
      <c r="A2465" s="352" t="str">
        <f>IF(B2465="","",COUNT('Diário 1º PA'!$A$4:$A$2635)+COUNT('Diário 2º PA'!$A$4:$A$3040)+COUNT('Diário 3º PA'!$A$4:$A$2731)+ROW()-3)</f>
        <v/>
      </c>
      <c r="B2465" s="600"/>
      <c r="C2465" s="354"/>
      <c r="D2465" s="343"/>
      <c r="E2465" s="343"/>
      <c r="F2465" s="344"/>
      <c r="G2465" s="343"/>
      <c r="H2465" s="343"/>
      <c r="I2465" s="345"/>
      <c r="J2465" s="343"/>
      <c r="K2465" s="343"/>
      <c r="L2465" s="345"/>
      <c r="M2465" s="343"/>
      <c r="N2465" s="598"/>
      <c r="O2465" s="585"/>
      <c r="P2465" s="341">
        <f t="shared" si="208"/>
        <v>0</v>
      </c>
      <c r="Q2465" s="71">
        <f t="shared" si="209"/>
        <v>0</v>
      </c>
      <c r="R2465" s="93" t="str">
        <f t="shared" si="210"/>
        <v/>
      </c>
    </row>
    <row r="2466" spans="1:18" x14ac:dyDescent="0.2">
      <c r="A2466" s="352" t="str">
        <f>IF(B2466="","",COUNT('Diário 1º PA'!$A$4:$A$2635)+COUNT('Diário 2º PA'!$A$4:$A$3040)+COUNT('Diário 3º PA'!$A$4:$A$2731)+ROW()-3)</f>
        <v/>
      </c>
      <c r="B2466" s="600"/>
      <c r="C2466" s="354"/>
      <c r="D2466" s="343"/>
      <c r="E2466" s="343"/>
      <c r="F2466" s="344"/>
      <c r="G2466" s="343"/>
      <c r="H2466" s="343"/>
      <c r="I2466" s="345"/>
      <c r="J2466" s="343"/>
      <c r="K2466" s="343"/>
      <c r="L2466" s="345"/>
      <c r="M2466" s="343"/>
      <c r="N2466" s="598"/>
      <c r="O2466" s="585"/>
      <c r="P2466" s="341">
        <f t="shared" si="208"/>
        <v>0</v>
      </c>
      <c r="Q2466" s="71">
        <f t="shared" si="209"/>
        <v>0</v>
      </c>
      <c r="R2466" s="93" t="str">
        <f t="shared" si="210"/>
        <v/>
      </c>
    </row>
    <row r="2467" spans="1:18" x14ac:dyDescent="0.2">
      <c r="A2467" s="352" t="str">
        <f>IF(B2467="","",COUNT('Diário 1º PA'!$A$4:$A$2635)+COUNT('Diário 2º PA'!$A$4:$A$3040)+COUNT('Diário 3º PA'!$A$4:$A$2731)+ROW()-3)</f>
        <v/>
      </c>
      <c r="B2467" s="600"/>
      <c r="C2467" s="354"/>
      <c r="D2467" s="343"/>
      <c r="E2467" s="343"/>
      <c r="F2467" s="344"/>
      <c r="G2467" s="343"/>
      <c r="H2467" s="343"/>
      <c r="I2467" s="345"/>
      <c r="J2467" s="343"/>
      <c r="K2467" s="343"/>
      <c r="L2467" s="345"/>
      <c r="M2467" s="343"/>
      <c r="N2467" s="598"/>
      <c r="O2467" s="585"/>
      <c r="P2467" s="341">
        <f t="shared" si="208"/>
        <v>0</v>
      </c>
      <c r="Q2467" s="71">
        <f t="shared" si="209"/>
        <v>0</v>
      </c>
      <c r="R2467" s="93" t="str">
        <f t="shared" si="210"/>
        <v/>
      </c>
    </row>
    <row r="2468" spans="1:18" x14ac:dyDescent="0.2">
      <c r="A2468" s="352" t="str">
        <f>IF(B2468="","",COUNT('Diário 1º PA'!$A$4:$A$2635)+COUNT('Diário 2º PA'!$A$4:$A$3040)+COUNT('Diário 3º PA'!$A$4:$A$2731)+ROW()-3)</f>
        <v/>
      </c>
      <c r="B2468" s="600"/>
      <c r="C2468" s="354"/>
      <c r="D2468" s="343"/>
      <c r="E2468" s="343"/>
      <c r="F2468" s="344"/>
      <c r="G2468" s="343"/>
      <c r="H2468" s="343"/>
      <c r="I2468" s="345"/>
      <c r="J2468" s="343"/>
      <c r="K2468" s="343"/>
      <c r="L2468" s="345"/>
      <c r="M2468" s="343"/>
      <c r="N2468" s="598"/>
      <c r="O2468" s="585"/>
      <c r="P2468" s="341">
        <f t="shared" si="208"/>
        <v>0</v>
      </c>
      <c r="Q2468" s="71">
        <f t="shared" si="209"/>
        <v>0</v>
      </c>
      <c r="R2468" s="93" t="str">
        <f t="shared" si="210"/>
        <v/>
      </c>
    </row>
    <row r="2469" spans="1:18" x14ac:dyDescent="0.2">
      <c r="A2469" s="352" t="str">
        <f>IF(B2469="","",COUNT('Diário 1º PA'!$A$4:$A$2635)+COUNT('Diário 2º PA'!$A$4:$A$3040)+COUNT('Diário 3º PA'!$A$4:$A$2731)+ROW()-3)</f>
        <v/>
      </c>
      <c r="B2469" s="600"/>
      <c r="C2469" s="354"/>
      <c r="D2469" s="343"/>
      <c r="E2469" s="343"/>
      <c r="F2469" s="344"/>
      <c r="G2469" s="343"/>
      <c r="H2469" s="343"/>
      <c r="I2469" s="345"/>
      <c r="J2469" s="343"/>
      <c r="K2469" s="343"/>
      <c r="L2469" s="345"/>
      <c r="M2469" s="343"/>
      <c r="N2469" s="598"/>
      <c r="O2469" s="585"/>
      <c r="P2469" s="341">
        <f t="shared" si="208"/>
        <v>0</v>
      </c>
      <c r="Q2469" s="71">
        <f t="shared" si="209"/>
        <v>0</v>
      </c>
      <c r="R2469" s="93" t="str">
        <f t="shared" si="210"/>
        <v/>
      </c>
    </row>
    <row r="2470" spans="1:18" x14ac:dyDescent="0.2">
      <c r="A2470" s="352" t="str">
        <f>IF(B2470="","",COUNT('Diário 1º PA'!$A$4:$A$2635)+COUNT('Diário 2º PA'!$A$4:$A$3040)+COUNT('Diário 3º PA'!$A$4:$A$2731)+ROW()-3)</f>
        <v/>
      </c>
      <c r="B2470" s="600"/>
      <c r="C2470" s="354"/>
      <c r="D2470" s="343"/>
      <c r="E2470" s="343"/>
      <c r="F2470" s="344"/>
      <c r="G2470" s="343"/>
      <c r="H2470" s="343"/>
      <c r="I2470" s="345"/>
      <c r="J2470" s="343"/>
      <c r="K2470" s="343"/>
      <c r="L2470" s="345"/>
      <c r="M2470" s="343"/>
      <c r="N2470" s="598"/>
      <c r="O2470" s="585"/>
      <c r="P2470" s="341">
        <f t="shared" si="208"/>
        <v>0</v>
      </c>
      <c r="Q2470" s="71">
        <f t="shared" si="209"/>
        <v>0</v>
      </c>
      <c r="R2470" s="93" t="str">
        <f t="shared" si="210"/>
        <v/>
      </c>
    </row>
    <row r="2471" spans="1:18" x14ac:dyDescent="0.2">
      <c r="A2471" s="352" t="str">
        <f>IF(B2471="","",COUNT('Diário 1º PA'!$A$4:$A$2635)+COUNT('Diário 2º PA'!$A$4:$A$3040)+COUNT('Diário 3º PA'!$A$4:$A$2731)+ROW()-3)</f>
        <v/>
      </c>
      <c r="B2471" s="600"/>
      <c r="C2471" s="354"/>
      <c r="D2471" s="343"/>
      <c r="E2471" s="343"/>
      <c r="F2471" s="344"/>
      <c r="G2471" s="343"/>
      <c r="H2471" s="343"/>
      <c r="I2471" s="345"/>
      <c r="J2471" s="343"/>
      <c r="K2471" s="343"/>
      <c r="L2471" s="345"/>
      <c r="M2471" s="343"/>
      <c r="N2471" s="598"/>
      <c r="O2471" s="585"/>
      <c r="P2471" s="341">
        <f t="shared" si="208"/>
        <v>0</v>
      </c>
      <c r="Q2471" s="71">
        <f t="shared" si="209"/>
        <v>0</v>
      </c>
      <c r="R2471" s="93" t="str">
        <f t="shared" si="210"/>
        <v/>
      </c>
    </row>
    <row r="2472" spans="1:18" x14ac:dyDescent="0.2">
      <c r="A2472" s="352" t="str">
        <f>IF(B2472="","",COUNT('Diário 1º PA'!$A$4:$A$2635)+COUNT('Diário 2º PA'!$A$4:$A$3040)+COUNT('Diário 3º PA'!$A$4:$A$2731)+ROW()-3)</f>
        <v/>
      </c>
      <c r="B2472" s="600"/>
      <c r="C2472" s="354"/>
      <c r="D2472" s="343"/>
      <c r="E2472" s="343"/>
      <c r="F2472" s="344"/>
      <c r="G2472" s="343"/>
      <c r="H2472" s="343"/>
      <c r="I2472" s="345"/>
      <c r="J2472" s="343"/>
      <c r="K2472" s="343"/>
      <c r="L2472" s="345"/>
      <c r="M2472" s="343"/>
      <c r="N2472" s="598"/>
      <c r="O2472" s="585"/>
      <c r="P2472" s="341">
        <f t="shared" si="208"/>
        <v>0</v>
      </c>
      <c r="Q2472" s="71">
        <f t="shared" si="209"/>
        <v>0</v>
      </c>
      <c r="R2472" s="93" t="str">
        <f t="shared" si="210"/>
        <v/>
      </c>
    </row>
    <row r="2473" spans="1:18" x14ac:dyDescent="0.2">
      <c r="A2473" s="352" t="str">
        <f>IF(B2473="","",COUNT('Diário 1º PA'!$A$4:$A$2635)+COUNT('Diário 2º PA'!$A$4:$A$3040)+COUNT('Diário 3º PA'!$A$4:$A$2731)+ROW()-3)</f>
        <v/>
      </c>
      <c r="B2473" s="600"/>
      <c r="C2473" s="354"/>
      <c r="D2473" s="343"/>
      <c r="E2473" s="343"/>
      <c r="F2473" s="344"/>
      <c r="G2473" s="343"/>
      <c r="H2473" s="343"/>
      <c r="I2473" s="345"/>
      <c r="J2473" s="343"/>
      <c r="K2473" s="343"/>
      <c r="L2473" s="345"/>
      <c r="M2473" s="343"/>
      <c r="N2473" s="598"/>
      <c r="O2473" s="585"/>
      <c r="P2473" s="341">
        <f t="shared" si="208"/>
        <v>0</v>
      </c>
      <c r="Q2473" s="71">
        <f t="shared" si="209"/>
        <v>0</v>
      </c>
      <c r="R2473" s="93" t="str">
        <f t="shared" si="210"/>
        <v/>
      </c>
    </row>
    <row r="2474" spans="1:18" x14ac:dyDescent="0.2">
      <c r="A2474" s="352" t="str">
        <f>IF(B2474="","",COUNT('Diário 1º PA'!$A$4:$A$2635)+COUNT('Diário 2º PA'!$A$4:$A$3040)+COUNT('Diário 3º PA'!$A$4:$A$2731)+ROW()-3)</f>
        <v/>
      </c>
      <c r="B2474" s="600"/>
      <c r="C2474" s="354"/>
      <c r="D2474" s="343"/>
      <c r="E2474" s="343"/>
      <c r="F2474" s="344"/>
      <c r="G2474" s="343"/>
      <c r="H2474" s="343"/>
      <c r="I2474" s="345"/>
      <c r="J2474" s="343"/>
      <c r="K2474" s="343"/>
      <c r="L2474" s="345"/>
      <c r="M2474" s="343"/>
      <c r="N2474" s="598"/>
      <c r="O2474" s="585"/>
      <c r="P2474" s="341">
        <f t="shared" si="208"/>
        <v>0</v>
      </c>
      <c r="Q2474" s="71">
        <f t="shared" si="209"/>
        <v>0</v>
      </c>
      <c r="R2474" s="93" t="str">
        <f t="shared" si="210"/>
        <v/>
      </c>
    </row>
    <row r="2475" spans="1:18" x14ac:dyDescent="0.2">
      <c r="A2475" s="352" t="str">
        <f>IF(B2475="","",COUNT('Diário 1º PA'!$A$4:$A$2635)+COUNT('Diário 2º PA'!$A$4:$A$3040)+COUNT('Diário 3º PA'!$A$4:$A$2731)+ROW()-3)</f>
        <v/>
      </c>
      <c r="B2475" s="600"/>
      <c r="C2475" s="354"/>
      <c r="D2475" s="343"/>
      <c r="E2475" s="343"/>
      <c r="F2475" s="344"/>
      <c r="G2475" s="343"/>
      <c r="H2475" s="343"/>
      <c r="I2475" s="345"/>
      <c r="J2475" s="343"/>
      <c r="K2475" s="343"/>
      <c r="L2475" s="345"/>
      <c r="M2475" s="343"/>
      <c r="N2475" s="598"/>
      <c r="O2475" s="585"/>
      <c r="P2475" s="341">
        <f t="shared" si="208"/>
        <v>0</v>
      </c>
      <c r="Q2475" s="71">
        <f t="shared" si="209"/>
        <v>0</v>
      </c>
      <c r="R2475" s="93" t="str">
        <f t="shared" si="210"/>
        <v/>
      </c>
    </row>
    <row r="2476" spans="1:18" x14ac:dyDescent="0.2">
      <c r="A2476" s="352" t="str">
        <f>IF(B2476="","",COUNT('Diário 1º PA'!$A$4:$A$2635)+COUNT('Diário 2º PA'!$A$4:$A$3040)+COUNT('Diário 3º PA'!$A$4:$A$2731)+ROW()-3)</f>
        <v/>
      </c>
      <c r="B2476" s="600"/>
      <c r="C2476" s="354"/>
      <c r="D2476" s="343"/>
      <c r="E2476" s="343"/>
      <c r="F2476" s="344"/>
      <c r="G2476" s="343"/>
      <c r="H2476" s="343"/>
      <c r="I2476" s="345"/>
      <c r="J2476" s="343"/>
      <c r="K2476" s="343"/>
      <c r="L2476" s="345"/>
      <c r="M2476" s="343"/>
      <c r="N2476" s="598"/>
      <c r="O2476" s="585"/>
      <c r="P2476" s="341">
        <f t="shared" si="208"/>
        <v>0</v>
      </c>
      <c r="Q2476" s="71">
        <f t="shared" si="209"/>
        <v>0</v>
      </c>
      <c r="R2476" s="93" t="str">
        <f t="shared" si="210"/>
        <v/>
      </c>
    </row>
    <row r="2477" spans="1:18" x14ac:dyDescent="0.2">
      <c r="A2477" s="352" t="str">
        <f>IF(B2477="","",COUNT('Diário 1º PA'!$A$4:$A$2635)+COUNT('Diário 2º PA'!$A$4:$A$3040)+COUNT('Diário 3º PA'!$A$4:$A$2731)+ROW()-3)</f>
        <v/>
      </c>
      <c r="B2477" s="600"/>
      <c r="C2477" s="354"/>
      <c r="D2477" s="343"/>
      <c r="E2477" s="343"/>
      <c r="F2477" s="344"/>
      <c r="G2477" s="343"/>
      <c r="H2477" s="343"/>
      <c r="I2477" s="345"/>
      <c r="J2477" s="343"/>
      <c r="K2477" s="343"/>
      <c r="L2477" s="345"/>
      <c r="M2477" s="343"/>
      <c r="N2477" s="598"/>
      <c r="O2477" s="585"/>
      <c r="P2477" s="341">
        <f t="shared" si="208"/>
        <v>0</v>
      </c>
      <c r="Q2477" s="71">
        <f t="shared" si="209"/>
        <v>0</v>
      </c>
      <c r="R2477" s="93" t="str">
        <f t="shared" si="210"/>
        <v/>
      </c>
    </row>
    <row r="2478" spans="1:18" x14ac:dyDescent="0.2">
      <c r="A2478" s="352" t="str">
        <f>IF(B2478="","",COUNT('Diário 1º PA'!$A$4:$A$2635)+COUNT('Diário 2º PA'!$A$4:$A$3040)+COUNT('Diário 3º PA'!$A$4:$A$2731)+ROW()-3)</f>
        <v/>
      </c>
      <c r="B2478" s="600"/>
      <c r="C2478" s="354"/>
      <c r="D2478" s="343"/>
      <c r="E2478" s="343"/>
      <c r="F2478" s="344"/>
      <c r="G2478" s="343"/>
      <c r="H2478" s="343"/>
      <c r="I2478" s="345"/>
      <c r="J2478" s="343"/>
      <c r="K2478" s="343"/>
      <c r="L2478" s="345"/>
      <c r="M2478" s="343"/>
      <c r="N2478" s="598"/>
      <c r="O2478" s="585"/>
      <c r="P2478" s="341">
        <f t="shared" si="208"/>
        <v>0</v>
      </c>
      <c r="Q2478" s="71">
        <f t="shared" si="209"/>
        <v>0</v>
      </c>
      <c r="R2478" s="93" t="str">
        <f t="shared" si="210"/>
        <v/>
      </c>
    </row>
    <row r="2479" spans="1:18" x14ac:dyDescent="0.2">
      <c r="A2479" s="352" t="str">
        <f>IF(B2479="","",COUNT('Diário 1º PA'!$A$4:$A$2635)+COUNT('Diário 2º PA'!$A$4:$A$3040)+COUNT('Diário 3º PA'!$A$4:$A$2731)+ROW()-3)</f>
        <v/>
      </c>
      <c r="B2479" s="600"/>
      <c r="C2479" s="354"/>
      <c r="D2479" s="343"/>
      <c r="E2479" s="343"/>
      <c r="F2479" s="344"/>
      <c r="G2479" s="343"/>
      <c r="H2479" s="343"/>
      <c r="I2479" s="345"/>
      <c r="J2479" s="343"/>
      <c r="K2479" s="343"/>
      <c r="L2479" s="345"/>
      <c r="M2479" s="343"/>
      <c r="N2479" s="598"/>
      <c r="O2479" s="585"/>
      <c r="P2479" s="341">
        <f t="shared" si="208"/>
        <v>0</v>
      </c>
      <c r="Q2479" s="71">
        <f t="shared" si="209"/>
        <v>0</v>
      </c>
      <c r="R2479" s="93" t="str">
        <f t="shared" si="210"/>
        <v/>
      </c>
    </row>
    <row r="2480" spans="1:18" x14ac:dyDescent="0.2">
      <c r="A2480" s="352" t="str">
        <f>IF(B2480="","",COUNT('Diário 1º PA'!$A$4:$A$2635)+COUNT('Diário 2º PA'!$A$4:$A$3040)+COUNT('Diário 3º PA'!$A$4:$A$2731)+ROW()-3)</f>
        <v/>
      </c>
      <c r="B2480" s="600"/>
      <c r="C2480" s="354"/>
      <c r="D2480" s="343"/>
      <c r="E2480" s="343"/>
      <c r="F2480" s="344"/>
      <c r="G2480" s="343"/>
      <c r="H2480" s="343"/>
      <c r="I2480" s="345"/>
      <c r="J2480" s="343"/>
      <c r="K2480" s="343"/>
      <c r="L2480" s="345"/>
      <c r="M2480" s="343"/>
      <c r="N2480" s="598"/>
      <c r="O2480" s="585"/>
      <c r="P2480" s="341">
        <f t="shared" si="208"/>
        <v>0</v>
      </c>
      <c r="Q2480" s="71">
        <f t="shared" si="209"/>
        <v>0</v>
      </c>
      <c r="R2480" s="93" t="str">
        <f t="shared" si="210"/>
        <v/>
      </c>
    </row>
    <row r="2481" spans="1:18" x14ac:dyDescent="0.2">
      <c r="A2481" s="352" t="str">
        <f>IF(B2481="","",COUNT('Diário 1º PA'!$A$4:$A$2635)+COUNT('Diário 2º PA'!$A$4:$A$3040)+COUNT('Diário 3º PA'!$A$4:$A$2731)+ROW()-3)</f>
        <v/>
      </c>
      <c r="B2481" s="600"/>
      <c r="C2481" s="354"/>
      <c r="D2481" s="343"/>
      <c r="E2481" s="343"/>
      <c r="F2481" s="344"/>
      <c r="G2481" s="343"/>
      <c r="H2481" s="343"/>
      <c r="I2481" s="345"/>
      <c r="J2481" s="343"/>
      <c r="K2481" s="343"/>
      <c r="L2481" s="345"/>
      <c r="M2481" s="343"/>
      <c r="N2481" s="598"/>
      <c r="O2481" s="585"/>
      <c r="P2481" s="341">
        <f t="shared" si="208"/>
        <v>0</v>
      </c>
      <c r="Q2481" s="71">
        <f t="shared" si="209"/>
        <v>0</v>
      </c>
      <c r="R2481" s="93" t="str">
        <f t="shared" si="210"/>
        <v/>
      </c>
    </row>
    <row r="2482" spans="1:18" x14ac:dyDescent="0.2">
      <c r="A2482" s="352" t="str">
        <f>IF(B2482="","",COUNT('Diário 1º PA'!$A$4:$A$2635)+COUNT('Diário 2º PA'!$A$4:$A$3040)+COUNT('Diário 3º PA'!$A$4:$A$2731)+ROW()-3)</f>
        <v/>
      </c>
      <c r="B2482" s="600"/>
      <c r="C2482" s="354"/>
      <c r="D2482" s="343"/>
      <c r="E2482" s="343"/>
      <c r="F2482" s="344"/>
      <c r="G2482" s="343"/>
      <c r="H2482" s="343"/>
      <c r="I2482" s="345"/>
      <c r="J2482" s="343"/>
      <c r="K2482" s="343"/>
      <c r="L2482" s="345"/>
      <c r="M2482" s="343"/>
      <c r="N2482" s="598"/>
      <c r="O2482" s="585"/>
      <c r="P2482" s="341">
        <f t="shared" si="208"/>
        <v>0</v>
      </c>
      <c r="Q2482" s="71">
        <f t="shared" si="209"/>
        <v>0</v>
      </c>
      <c r="R2482" s="93" t="str">
        <f t="shared" si="210"/>
        <v/>
      </c>
    </row>
    <row r="2483" spans="1:18" x14ac:dyDescent="0.2">
      <c r="A2483" s="352" t="str">
        <f>IF(B2483="","",COUNT('Diário 1º PA'!$A$4:$A$2635)+COUNT('Diário 2º PA'!$A$4:$A$3040)+COUNT('Diário 3º PA'!$A$4:$A$2731)+ROW()-3)</f>
        <v/>
      </c>
      <c r="B2483" s="600"/>
      <c r="C2483" s="354"/>
      <c r="D2483" s="343"/>
      <c r="E2483" s="343"/>
      <c r="F2483" s="344"/>
      <c r="G2483" s="343"/>
      <c r="H2483" s="343"/>
      <c r="I2483" s="345"/>
      <c r="J2483" s="343"/>
      <c r="K2483" s="343"/>
      <c r="L2483" s="345"/>
      <c r="M2483" s="343"/>
      <c r="N2483" s="598"/>
      <c r="O2483" s="585"/>
      <c r="P2483" s="341">
        <f t="shared" si="208"/>
        <v>0</v>
      </c>
      <c r="Q2483" s="71">
        <f t="shared" si="209"/>
        <v>0</v>
      </c>
      <c r="R2483" s="93" t="str">
        <f t="shared" si="210"/>
        <v/>
      </c>
    </row>
    <row r="2484" spans="1:18" x14ac:dyDescent="0.2">
      <c r="A2484" s="352" t="str">
        <f>IF(B2484="","",COUNT('Diário 1º PA'!$A$4:$A$2635)+COUNT('Diário 2º PA'!$A$4:$A$3040)+COUNT('Diário 3º PA'!$A$4:$A$2731)+ROW()-3)</f>
        <v/>
      </c>
      <c r="B2484" s="600"/>
      <c r="C2484" s="354"/>
      <c r="D2484" s="343"/>
      <c r="E2484" s="343"/>
      <c r="F2484" s="344"/>
      <c r="G2484" s="343"/>
      <c r="H2484" s="343"/>
      <c r="I2484" s="345"/>
      <c r="J2484" s="343"/>
      <c r="K2484" s="343"/>
      <c r="L2484" s="345"/>
      <c r="M2484" s="343"/>
      <c r="N2484" s="598"/>
      <c r="O2484" s="585"/>
      <c r="P2484" s="341">
        <f t="shared" si="208"/>
        <v>0</v>
      </c>
      <c r="Q2484" s="71">
        <f t="shared" si="209"/>
        <v>0</v>
      </c>
      <c r="R2484" s="93" t="str">
        <f t="shared" si="210"/>
        <v/>
      </c>
    </row>
    <row r="2485" spans="1:18" x14ac:dyDescent="0.2">
      <c r="A2485" s="352" t="str">
        <f>IF(B2485="","",COUNT('Diário 1º PA'!$A$4:$A$2635)+COUNT('Diário 2º PA'!$A$4:$A$3040)+COUNT('Diário 3º PA'!$A$4:$A$2731)+ROW()-3)</f>
        <v/>
      </c>
      <c r="B2485" s="600"/>
      <c r="C2485" s="354"/>
      <c r="D2485" s="343"/>
      <c r="E2485" s="343"/>
      <c r="F2485" s="344"/>
      <c r="G2485" s="343"/>
      <c r="H2485" s="343"/>
      <c r="I2485" s="345"/>
      <c r="J2485" s="343"/>
      <c r="K2485" s="343"/>
      <c r="L2485" s="345"/>
      <c r="M2485" s="343"/>
      <c r="N2485" s="598"/>
      <c r="O2485" s="585"/>
      <c r="P2485" s="341">
        <f t="shared" si="208"/>
        <v>0</v>
      </c>
      <c r="Q2485" s="71">
        <f t="shared" si="209"/>
        <v>0</v>
      </c>
      <c r="R2485" s="93" t="str">
        <f t="shared" si="210"/>
        <v/>
      </c>
    </row>
    <row r="2486" spans="1:18" x14ac:dyDescent="0.2">
      <c r="A2486" s="352" t="str">
        <f>IF(B2486="","",COUNT('Diário 1º PA'!$A$4:$A$2635)+COUNT('Diário 2º PA'!$A$4:$A$3040)+COUNT('Diário 3º PA'!$A$4:$A$2731)+ROW()-3)</f>
        <v/>
      </c>
      <c r="B2486" s="600"/>
      <c r="C2486" s="354"/>
      <c r="D2486" s="343"/>
      <c r="E2486" s="343"/>
      <c r="F2486" s="344"/>
      <c r="G2486" s="343"/>
      <c r="H2486" s="343"/>
      <c r="I2486" s="345"/>
      <c r="J2486" s="343"/>
      <c r="K2486" s="343"/>
      <c r="L2486" s="345"/>
      <c r="M2486" s="343"/>
      <c r="N2486" s="598"/>
      <c r="O2486" s="585"/>
      <c r="P2486" s="341">
        <f t="shared" si="208"/>
        <v>0</v>
      </c>
      <c r="Q2486" s="71">
        <f t="shared" si="209"/>
        <v>0</v>
      </c>
      <c r="R2486" s="93" t="str">
        <f t="shared" si="210"/>
        <v/>
      </c>
    </row>
    <row r="2487" spans="1:18" x14ac:dyDescent="0.2">
      <c r="A2487" s="352" t="str">
        <f>IF(B2487="","",COUNT('Diário 1º PA'!$A$4:$A$2635)+COUNT('Diário 2º PA'!$A$4:$A$3040)+COUNT('Diário 3º PA'!$A$4:$A$2731)+ROW()-3)</f>
        <v/>
      </c>
      <c r="B2487" s="600"/>
      <c r="C2487" s="354"/>
      <c r="D2487" s="343"/>
      <c r="E2487" s="343"/>
      <c r="F2487" s="344"/>
      <c r="G2487" s="343"/>
      <c r="H2487" s="343"/>
      <c r="I2487" s="345"/>
      <c r="J2487" s="343"/>
      <c r="K2487" s="343"/>
      <c r="L2487" s="345"/>
      <c r="M2487" s="343"/>
      <c r="N2487" s="598"/>
      <c r="O2487" s="585"/>
      <c r="P2487" s="341">
        <f t="shared" si="208"/>
        <v>0</v>
      </c>
      <c r="Q2487" s="71">
        <f t="shared" si="209"/>
        <v>0</v>
      </c>
      <c r="R2487" s="93" t="str">
        <f t="shared" si="210"/>
        <v/>
      </c>
    </row>
    <row r="2488" spans="1:18" x14ac:dyDescent="0.2">
      <c r="A2488" s="352" t="str">
        <f>IF(B2488="","",COUNT('Diário 1º PA'!$A$4:$A$2635)+COUNT('Diário 2º PA'!$A$4:$A$3040)+COUNT('Diário 3º PA'!$A$4:$A$2731)+ROW()-3)</f>
        <v/>
      </c>
      <c r="B2488" s="600"/>
      <c r="C2488" s="354"/>
      <c r="D2488" s="343"/>
      <c r="E2488" s="343"/>
      <c r="F2488" s="344"/>
      <c r="G2488" s="343"/>
      <c r="H2488" s="343"/>
      <c r="I2488" s="345"/>
      <c r="J2488" s="343"/>
      <c r="K2488" s="343"/>
      <c r="L2488" s="345"/>
      <c r="M2488" s="343"/>
      <c r="N2488" s="598"/>
      <c r="O2488" s="585"/>
      <c r="P2488" s="341">
        <f t="shared" si="208"/>
        <v>0</v>
      </c>
      <c r="Q2488" s="71">
        <f t="shared" si="209"/>
        <v>0</v>
      </c>
      <c r="R2488" s="93" t="str">
        <f t="shared" si="210"/>
        <v/>
      </c>
    </row>
    <row r="2489" spans="1:18" x14ac:dyDescent="0.2">
      <c r="A2489" s="352" t="str">
        <f>IF(B2489="","",COUNT('Diário 1º PA'!$A$4:$A$2635)+COUNT('Diário 2º PA'!$A$4:$A$3040)+COUNT('Diário 3º PA'!$A$4:$A$2731)+ROW()-3)</f>
        <v/>
      </c>
      <c r="B2489" s="600"/>
      <c r="C2489" s="354"/>
      <c r="D2489" s="343"/>
      <c r="E2489" s="343"/>
      <c r="F2489" s="344"/>
      <c r="G2489" s="343"/>
      <c r="H2489" s="343"/>
      <c r="I2489" s="345"/>
      <c r="J2489" s="343"/>
      <c r="K2489" s="343"/>
      <c r="L2489" s="345"/>
      <c r="M2489" s="343"/>
      <c r="N2489" s="598"/>
      <c r="O2489" s="585"/>
      <c r="P2489" s="341">
        <f t="shared" si="208"/>
        <v>0</v>
      </c>
      <c r="Q2489" s="71">
        <f t="shared" si="209"/>
        <v>0</v>
      </c>
      <c r="R2489" s="93" t="str">
        <f t="shared" si="210"/>
        <v/>
      </c>
    </row>
    <row r="2490" spans="1:18" x14ac:dyDescent="0.2">
      <c r="A2490" s="352" t="str">
        <f>IF(B2490="","",COUNT('Diário 1º PA'!$A$4:$A$2635)+COUNT('Diário 2º PA'!$A$4:$A$3040)+COUNT('Diário 3º PA'!$A$4:$A$2731)+ROW()-3)</f>
        <v/>
      </c>
      <c r="B2490" s="600"/>
      <c r="C2490" s="354"/>
      <c r="D2490" s="343"/>
      <c r="E2490" s="343"/>
      <c r="F2490" s="344"/>
      <c r="G2490" s="343"/>
      <c r="H2490" s="343"/>
      <c r="I2490" s="345"/>
      <c r="J2490" s="343"/>
      <c r="K2490" s="343"/>
      <c r="L2490" s="345"/>
      <c r="M2490" s="343"/>
      <c r="N2490" s="598"/>
      <c r="O2490" s="585"/>
      <c r="P2490" s="341">
        <f t="shared" ref="P2490:P2553" si="211">IF(B2490=0,0,IF(YEAR(B2490)=$Q$1,MONTH(B2490)-$P$1+1,(YEAR(B2490)-$Q$1)*12-$P$1+1+MONTH(B2490)))</f>
        <v>0</v>
      </c>
      <c r="Q2490" s="71">
        <f t="shared" ref="Q2490:Q2553" si="212">IF(C2490=0,0,IF(YEAR(C2490)=$Q$1,MONTH(C2490)-$P$1+1,(YEAR(C2490)-$Q$1)*12-$P$1+1+MONTH(C2490)))</f>
        <v>0</v>
      </c>
      <c r="R2490" s="93" t="str">
        <f t="shared" ref="R2490:R2553" si="213">SUBSTITUTE(D2490," ","_")</f>
        <v/>
      </c>
    </row>
    <row r="2491" spans="1:18" x14ac:dyDescent="0.2">
      <c r="A2491" s="352" t="str">
        <f>IF(B2491="","",COUNT('Diário 1º PA'!$A$4:$A$2635)+COUNT('Diário 2º PA'!$A$4:$A$3040)+COUNT('Diário 3º PA'!$A$4:$A$2731)+ROW()-3)</f>
        <v/>
      </c>
      <c r="B2491" s="600"/>
      <c r="C2491" s="354"/>
      <c r="D2491" s="343"/>
      <c r="E2491" s="343"/>
      <c r="F2491" s="344"/>
      <c r="G2491" s="343"/>
      <c r="H2491" s="343"/>
      <c r="I2491" s="345"/>
      <c r="J2491" s="343"/>
      <c r="K2491" s="343"/>
      <c r="L2491" s="345"/>
      <c r="M2491" s="343"/>
      <c r="N2491" s="598"/>
      <c r="O2491" s="585"/>
      <c r="P2491" s="341">
        <f t="shared" si="211"/>
        <v>0</v>
      </c>
      <c r="Q2491" s="71">
        <f t="shared" si="212"/>
        <v>0</v>
      </c>
      <c r="R2491" s="93" t="str">
        <f t="shared" si="213"/>
        <v/>
      </c>
    </row>
    <row r="2492" spans="1:18" x14ac:dyDescent="0.2">
      <c r="A2492" s="352" t="str">
        <f>IF(B2492="","",COUNT('Diário 1º PA'!$A$4:$A$2635)+COUNT('Diário 2º PA'!$A$4:$A$3040)+COUNT('Diário 3º PA'!$A$4:$A$2731)+ROW()-3)</f>
        <v/>
      </c>
      <c r="B2492" s="600"/>
      <c r="C2492" s="354"/>
      <c r="D2492" s="343"/>
      <c r="E2492" s="343"/>
      <c r="F2492" s="344"/>
      <c r="G2492" s="343"/>
      <c r="H2492" s="343"/>
      <c r="I2492" s="345"/>
      <c r="J2492" s="343"/>
      <c r="K2492" s="343"/>
      <c r="L2492" s="345"/>
      <c r="M2492" s="343"/>
      <c r="N2492" s="598"/>
      <c r="O2492" s="585"/>
      <c r="P2492" s="341">
        <f t="shared" si="211"/>
        <v>0</v>
      </c>
      <c r="Q2492" s="71">
        <f t="shared" si="212"/>
        <v>0</v>
      </c>
      <c r="R2492" s="93" t="str">
        <f t="shared" si="213"/>
        <v/>
      </c>
    </row>
    <row r="2493" spans="1:18" x14ac:dyDescent="0.2">
      <c r="A2493" s="352" t="str">
        <f>IF(B2493="","",COUNT('Diário 1º PA'!$A$4:$A$2635)+COUNT('Diário 2º PA'!$A$4:$A$3040)+COUNT('Diário 3º PA'!$A$4:$A$2731)+ROW()-3)</f>
        <v/>
      </c>
      <c r="B2493" s="600"/>
      <c r="C2493" s="354"/>
      <c r="D2493" s="343"/>
      <c r="E2493" s="343"/>
      <c r="F2493" s="344"/>
      <c r="G2493" s="343"/>
      <c r="H2493" s="343"/>
      <c r="I2493" s="345"/>
      <c r="J2493" s="343"/>
      <c r="K2493" s="343"/>
      <c r="L2493" s="345"/>
      <c r="M2493" s="343"/>
      <c r="N2493" s="598"/>
      <c r="O2493" s="585"/>
      <c r="P2493" s="341">
        <f t="shared" si="211"/>
        <v>0</v>
      </c>
      <c r="Q2493" s="71">
        <f t="shared" si="212"/>
        <v>0</v>
      </c>
      <c r="R2493" s="93" t="str">
        <f t="shared" si="213"/>
        <v/>
      </c>
    </row>
    <row r="2494" spans="1:18" x14ac:dyDescent="0.2">
      <c r="A2494" s="352" t="str">
        <f>IF(B2494="","",COUNT('Diário 1º PA'!$A$4:$A$2635)+COUNT('Diário 2º PA'!$A$4:$A$3040)+COUNT('Diário 3º PA'!$A$4:$A$2731)+ROW()-3)</f>
        <v/>
      </c>
      <c r="B2494" s="600"/>
      <c r="C2494" s="354"/>
      <c r="D2494" s="343"/>
      <c r="E2494" s="343"/>
      <c r="F2494" s="344"/>
      <c r="G2494" s="343"/>
      <c r="H2494" s="343"/>
      <c r="I2494" s="345"/>
      <c r="J2494" s="343"/>
      <c r="K2494" s="343"/>
      <c r="L2494" s="345"/>
      <c r="M2494" s="343"/>
      <c r="N2494" s="598"/>
      <c r="O2494" s="585"/>
      <c r="P2494" s="341">
        <f t="shared" si="211"/>
        <v>0</v>
      </c>
      <c r="Q2494" s="71">
        <f t="shared" si="212"/>
        <v>0</v>
      </c>
      <c r="R2494" s="93" t="str">
        <f t="shared" si="213"/>
        <v/>
      </c>
    </row>
    <row r="2495" spans="1:18" x14ac:dyDescent="0.2">
      <c r="A2495" s="352" t="str">
        <f>IF(B2495="","",COUNT('Diário 1º PA'!$A$4:$A$2635)+COUNT('Diário 2º PA'!$A$4:$A$3040)+COUNT('Diário 3º PA'!$A$4:$A$2731)+ROW()-3)</f>
        <v/>
      </c>
      <c r="B2495" s="600"/>
      <c r="C2495" s="354"/>
      <c r="D2495" s="343"/>
      <c r="E2495" s="343"/>
      <c r="F2495" s="344"/>
      <c r="G2495" s="343"/>
      <c r="H2495" s="343"/>
      <c r="I2495" s="345"/>
      <c r="J2495" s="343"/>
      <c r="K2495" s="343"/>
      <c r="L2495" s="345"/>
      <c r="M2495" s="343"/>
      <c r="N2495" s="598"/>
      <c r="O2495" s="585"/>
      <c r="P2495" s="341">
        <f t="shared" si="211"/>
        <v>0</v>
      </c>
      <c r="Q2495" s="71">
        <f t="shared" si="212"/>
        <v>0</v>
      </c>
      <c r="R2495" s="93" t="str">
        <f t="shared" si="213"/>
        <v/>
      </c>
    </row>
    <row r="2496" spans="1:18" x14ac:dyDescent="0.2">
      <c r="A2496" s="352" t="str">
        <f>IF(B2496="","",COUNT('Diário 1º PA'!$A$4:$A$2635)+COUNT('Diário 2º PA'!$A$4:$A$3040)+COUNT('Diário 3º PA'!$A$4:$A$2731)+ROW()-3)</f>
        <v/>
      </c>
      <c r="B2496" s="600"/>
      <c r="C2496" s="354"/>
      <c r="D2496" s="343"/>
      <c r="E2496" s="343"/>
      <c r="F2496" s="344"/>
      <c r="G2496" s="343"/>
      <c r="H2496" s="343"/>
      <c r="I2496" s="345"/>
      <c r="J2496" s="343"/>
      <c r="K2496" s="343"/>
      <c r="L2496" s="345"/>
      <c r="M2496" s="343"/>
      <c r="N2496" s="598"/>
      <c r="O2496" s="585"/>
      <c r="P2496" s="341">
        <f t="shared" si="211"/>
        <v>0</v>
      </c>
      <c r="Q2496" s="71">
        <f t="shared" si="212"/>
        <v>0</v>
      </c>
      <c r="R2496" s="93" t="str">
        <f t="shared" si="213"/>
        <v/>
      </c>
    </row>
    <row r="2497" spans="1:18" x14ac:dyDescent="0.2">
      <c r="A2497" s="352" t="str">
        <f>IF(B2497="","",COUNT('Diário 1º PA'!$A$4:$A$2635)+COUNT('Diário 2º PA'!$A$4:$A$3040)+COUNT('Diário 3º PA'!$A$4:$A$2731)+ROW()-3)</f>
        <v/>
      </c>
      <c r="B2497" s="600"/>
      <c r="C2497" s="354"/>
      <c r="D2497" s="343"/>
      <c r="E2497" s="343"/>
      <c r="F2497" s="344"/>
      <c r="G2497" s="343"/>
      <c r="H2497" s="343"/>
      <c r="I2497" s="345"/>
      <c r="J2497" s="343"/>
      <c r="K2497" s="343"/>
      <c r="L2497" s="345"/>
      <c r="M2497" s="343"/>
      <c r="N2497" s="598"/>
      <c r="O2497" s="585"/>
      <c r="P2497" s="341">
        <f t="shared" si="211"/>
        <v>0</v>
      </c>
      <c r="Q2497" s="71">
        <f t="shared" si="212"/>
        <v>0</v>
      </c>
      <c r="R2497" s="93" t="str">
        <f t="shared" si="213"/>
        <v/>
      </c>
    </row>
    <row r="2498" spans="1:18" x14ac:dyDescent="0.2">
      <c r="A2498" s="352" t="str">
        <f>IF(B2498="","",COUNT('Diário 1º PA'!$A$4:$A$2635)+COUNT('Diário 2º PA'!$A$4:$A$3040)+COUNT('Diário 3º PA'!$A$4:$A$2731)+ROW()-3)</f>
        <v/>
      </c>
      <c r="B2498" s="600"/>
      <c r="C2498" s="354"/>
      <c r="D2498" s="343"/>
      <c r="E2498" s="343"/>
      <c r="F2498" s="344"/>
      <c r="G2498" s="343"/>
      <c r="H2498" s="343"/>
      <c r="I2498" s="345"/>
      <c r="J2498" s="343"/>
      <c r="K2498" s="343"/>
      <c r="L2498" s="345"/>
      <c r="M2498" s="343"/>
      <c r="N2498" s="598"/>
      <c r="O2498" s="585"/>
      <c r="P2498" s="341">
        <f t="shared" si="211"/>
        <v>0</v>
      </c>
      <c r="Q2498" s="71">
        <f t="shared" si="212"/>
        <v>0</v>
      </c>
      <c r="R2498" s="93" t="str">
        <f t="shared" si="213"/>
        <v/>
      </c>
    </row>
    <row r="2499" spans="1:18" x14ac:dyDescent="0.2">
      <c r="A2499" s="352" t="str">
        <f>IF(B2499="","",COUNT('Diário 1º PA'!$A$4:$A$2635)+COUNT('Diário 2º PA'!$A$4:$A$3040)+COUNT('Diário 3º PA'!$A$4:$A$2731)+ROW()-3)</f>
        <v/>
      </c>
      <c r="B2499" s="600"/>
      <c r="C2499" s="354"/>
      <c r="D2499" s="343"/>
      <c r="E2499" s="343"/>
      <c r="F2499" s="344"/>
      <c r="G2499" s="343"/>
      <c r="H2499" s="343"/>
      <c r="I2499" s="345"/>
      <c r="J2499" s="343"/>
      <c r="K2499" s="343"/>
      <c r="L2499" s="345"/>
      <c r="M2499" s="343"/>
      <c r="N2499" s="598"/>
      <c r="O2499" s="585"/>
      <c r="P2499" s="341">
        <f t="shared" si="211"/>
        <v>0</v>
      </c>
      <c r="Q2499" s="71">
        <f t="shared" si="212"/>
        <v>0</v>
      </c>
      <c r="R2499" s="93" t="str">
        <f t="shared" si="213"/>
        <v/>
      </c>
    </row>
    <row r="2500" spans="1:18" x14ac:dyDescent="0.2">
      <c r="A2500" s="352" t="str">
        <f>IF(B2500="","",COUNT('Diário 1º PA'!$A$4:$A$2635)+COUNT('Diário 2º PA'!$A$4:$A$3040)+COUNT('Diário 3º PA'!$A$4:$A$2731)+ROW()-3)</f>
        <v/>
      </c>
      <c r="B2500" s="600"/>
      <c r="C2500" s="354"/>
      <c r="D2500" s="343"/>
      <c r="E2500" s="343"/>
      <c r="F2500" s="344"/>
      <c r="G2500" s="343"/>
      <c r="H2500" s="343"/>
      <c r="I2500" s="345"/>
      <c r="J2500" s="343"/>
      <c r="K2500" s="343"/>
      <c r="L2500" s="345"/>
      <c r="M2500" s="343"/>
      <c r="N2500" s="598"/>
      <c r="O2500" s="585"/>
      <c r="P2500" s="341">
        <f t="shared" si="211"/>
        <v>0</v>
      </c>
      <c r="Q2500" s="71">
        <f t="shared" si="212"/>
        <v>0</v>
      </c>
      <c r="R2500" s="93" t="str">
        <f t="shared" si="213"/>
        <v/>
      </c>
    </row>
    <row r="2501" spans="1:18" x14ac:dyDescent="0.2">
      <c r="A2501" s="352" t="str">
        <f>IF(B2501="","",COUNT('Diário 1º PA'!$A$4:$A$2635)+COUNT('Diário 2º PA'!$A$4:$A$3040)+COUNT('Diário 3º PA'!$A$4:$A$2731)+ROW()-3)</f>
        <v/>
      </c>
      <c r="B2501" s="600"/>
      <c r="C2501" s="354"/>
      <c r="D2501" s="343"/>
      <c r="E2501" s="343"/>
      <c r="F2501" s="344"/>
      <c r="G2501" s="343"/>
      <c r="H2501" s="343"/>
      <c r="I2501" s="345"/>
      <c r="J2501" s="343"/>
      <c r="K2501" s="343"/>
      <c r="L2501" s="345"/>
      <c r="M2501" s="343"/>
      <c r="N2501" s="598"/>
      <c r="O2501" s="585"/>
      <c r="P2501" s="341">
        <f t="shared" si="211"/>
        <v>0</v>
      </c>
      <c r="Q2501" s="71">
        <f t="shared" si="212"/>
        <v>0</v>
      </c>
      <c r="R2501" s="93" t="str">
        <f t="shared" si="213"/>
        <v/>
      </c>
    </row>
    <row r="2502" spans="1:18" x14ac:dyDescent="0.2">
      <c r="A2502" s="352" t="str">
        <f>IF(B2502="","",COUNT('Diário 1º PA'!$A$4:$A$2635)+COUNT('Diário 2º PA'!$A$4:$A$3040)+COUNT('Diário 3º PA'!$A$4:$A$2731)+ROW()-3)</f>
        <v/>
      </c>
      <c r="B2502" s="600"/>
      <c r="C2502" s="354"/>
      <c r="D2502" s="343"/>
      <c r="E2502" s="343"/>
      <c r="F2502" s="344"/>
      <c r="G2502" s="343"/>
      <c r="H2502" s="343"/>
      <c r="I2502" s="345"/>
      <c r="J2502" s="343"/>
      <c r="K2502" s="343"/>
      <c r="L2502" s="345"/>
      <c r="M2502" s="343"/>
      <c r="N2502" s="598"/>
      <c r="O2502" s="585"/>
      <c r="P2502" s="341">
        <f t="shared" si="211"/>
        <v>0</v>
      </c>
      <c r="Q2502" s="71">
        <f t="shared" si="212"/>
        <v>0</v>
      </c>
      <c r="R2502" s="93" t="str">
        <f t="shared" si="213"/>
        <v/>
      </c>
    </row>
    <row r="2503" spans="1:18" x14ac:dyDescent="0.2">
      <c r="A2503" s="352" t="str">
        <f>IF(B2503="","",COUNT('Diário 1º PA'!$A$4:$A$2635)+COUNT('Diário 2º PA'!$A$4:$A$3040)+COUNT('Diário 3º PA'!$A$4:$A$2731)+ROW()-3)</f>
        <v/>
      </c>
      <c r="B2503" s="600"/>
      <c r="C2503" s="354"/>
      <c r="D2503" s="343"/>
      <c r="E2503" s="343"/>
      <c r="F2503" s="344"/>
      <c r="G2503" s="343"/>
      <c r="H2503" s="343"/>
      <c r="I2503" s="345"/>
      <c r="J2503" s="343"/>
      <c r="K2503" s="343"/>
      <c r="L2503" s="345"/>
      <c r="M2503" s="343"/>
      <c r="N2503" s="598"/>
      <c r="O2503" s="585"/>
      <c r="P2503" s="341">
        <f t="shared" si="211"/>
        <v>0</v>
      </c>
      <c r="Q2503" s="71">
        <f t="shared" si="212"/>
        <v>0</v>
      </c>
      <c r="R2503" s="93" t="str">
        <f t="shared" si="213"/>
        <v/>
      </c>
    </row>
    <row r="2504" spans="1:18" x14ac:dyDescent="0.2">
      <c r="A2504" s="352" t="str">
        <f>IF(B2504="","",COUNT('Diário 1º PA'!$A$4:$A$2635)+COUNT('Diário 2º PA'!$A$4:$A$3040)+COUNT('Diário 3º PA'!$A$4:$A$2731)+ROW()-3)</f>
        <v/>
      </c>
      <c r="B2504" s="600"/>
      <c r="C2504" s="354"/>
      <c r="D2504" s="343"/>
      <c r="E2504" s="343"/>
      <c r="F2504" s="344"/>
      <c r="G2504" s="343"/>
      <c r="H2504" s="343"/>
      <c r="I2504" s="345"/>
      <c r="J2504" s="343"/>
      <c r="K2504" s="343"/>
      <c r="L2504" s="345"/>
      <c r="M2504" s="343"/>
      <c r="N2504" s="598"/>
      <c r="O2504" s="585"/>
      <c r="P2504" s="341">
        <f t="shared" si="211"/>
        <v>0</v>
      </c>
      <c r="Q2504" s="71">
        <f t="shared" si="212"/>
        <v>0</v>
      </c>
      <c r="R2504" s="93" t="str">
        <f t="shared" si="213"/>
        <v/>
      </c>
    </row>
    <row r="2505" spans="1:18" x14ac:dyDescent="0.2">
      <c r="A2505" s="352" t="str">
        <f>IF(B2505="","",COUNT('Diário 1º PA'!$A$4:$A$2635)+COUNT('Diário 2º PA'!$A$4:$A$3040)+COUNT('Diário 3º PA'!$A$4:$A$2731)+ROW()-3)</f>
        <v/>
      </c>
      <c r="B2505" s="600"/>
      <c r="C2505" s="354"/>
      <c r="D2505" s="343"/>
      <c r="E2505" s="343"/>
      <c r="F2505" s="344"/>
      <c r="G2505" s="343"/>
      <c r="H2505" s="343"/>
      <c r="I2505" s="345"/>
      <c r="J2505" s="343"/>
      <c r="K2505" s="343"/>
      <c r="L2505" s="345"/>
      <c r="M2505" s="343"/>
      <c r="N2505" s="598"/>
      <c r="O2505" s="585"/>
      <c r="P2505" s="341">
        <f t="shared" si="211"/>
        <v>0</v>
      </c>
      <c r="Q2505" s="71">
        <f t="shared" si="212"/>
        <v>0</v>
      </c>
      <c r="R2505" s="93" t="str">
        <f t="shared" si="213"/>
        <v/>
      </c>
    </row>
    <row r="2506" spans="1:18" x14ac:dyDescent="0.2">
      <c r="A2506" s="352" t="str">
        <f>IF(B2506="","",COUNT('Diário 1º PA'!$A$4:$A$2635)+COUNT('Diário 2º PA'!$A$4:$A$3040)+COUNT('Diário 3º PA'!$A$4:$A$2731)+ROW()-3)</f>
        <v/>
      </c>
      <c r="B2506" s="600"/>
      <c r="C2506" s="354"/>
      <c r="D2506" s="343"/>
      <c r="E2506" s="343"/>
      <c r="F2506" s="344"/>
      <c r="G2506" s="343"/>
      <c r="H2506" s="343"/>
      <c r="I2506" s="345"/>
      <c r="J2506" s="343"/>
      <c r="K2506" s="343"/>
      <c r="L2506" s="345"/>
      <c r="M2506" s="343"/>
      <c r="N2506" s="598"/>
      <c r="O2506" s="585"/>
      <c r="P2506" s="341">
        <f t="shared" si="211"/>
        <v>0</v>
      </c>
      <c r="Q2506" s="71">
        <f t="shared" si="212"/>
        <v>0</v>
      </c>
      <c r="R2506" s="93" t="str">
        <f t="shared" si="213"/>
        <v/>
      </c>
    </row>
    <row r="2507" spans="1:18" x14ac:dyDescent="0.2">
      <c r="A2507" s="352" t="str">
        <f>IF(B2507="","",COUNT('Diário 1º PA'!$A$4:$A$2635)+COUNT('Diário 2º PA'!$A$4:$A$3040)+COUNT('Diário 3º PA'!$A$4:$A$2731)+ROW()-3)</f>
        <v/>
      </c>
      <c r="B2507" s="600"/>
      <c r="C2507" s="354"/>
      <c r="D2507" s="343"/>
      <c r="E2507" s="343"/>
      <c r="F2507" s="344"/>
      <c r="G2507" s="343"/>
      <c r="H2507" s="343"/>
      <c r="I2507" s="345"/>
      <c r="J2507" s="343"/>
      <c r="K2507" s="343"/>
      <c r="L2507" s="345"/>
      <c r="M2507" s="343"/>
      <c r="N2507" s="598"/>
      <c r="O2507" s="585"/>
      <c r="P2507" s="341">
        <f t="shared" si="211"/>
        <v>0</v>
      </c>
      <c r="Q2507" s="71">
        <f t="shared" si="212"/>
        <v>0</v>
      </c>
      <c r="R2507" s="93" t="str">
        <f t="shared" si="213"/>
        <v/>
      </c>
    </row>
    <row r="2508" spans="1:18" x14ac:dyDescent="0.2">
      <c r="A2508" s="352" t="str">
        <f>IF(B2508="","",COUNT('Diário 1º PA'!$A$4:$A$2635)+COUNT('Diário 2º PA'!$A$4:$A$3040)+COUNT('Diário 3º PA'!$A$4:$A$2731)+ROW()-3)</f>
        <v/>
      </c>
      <c r="B2508" s="600"/>
      <c r="C2508" s="354"/>
      <c r="D2508" s="343"/>
      <c r="E2508" s="343"/>
      <c r="F2508" s="344"/>
      <c r="G2508" s="343"/>
      <c r="H2508" s="343"/>
      <c r="I2508" s="345"/>
      <c r="J2508" s="343"/>
      <c r="K2508" s="343"/>
      <c r="L2508" s="345"/>
      <c r="M2508" s="343"/>
      <c r="N2508" s="598"/>
      <c r="O2508" s="585"/>
      <c r="P2508" s="341">
        <f t="shared" si="211"/>
        <v>0</v>
      </c>
      <c r="Q2508" s="71">
        <f t="shared" si="212"/>
        <v>0</v>
      </c>
      <c r="R2508" s="93" t="str">
        <f t="shared" si="213"/>
        <v/>
      </c>
    </row>
    <row r="2509" spans="1:18" x14ac:dyDescent="0.2">
      <c r="A2509" s="352" t="str">
        <f>IF(B2509="","",COUNT('Diário 1º PA'!$A$4:$A$2635)+COUNT('Diário 2º PA'!$A$4:$A$3040)+COUNT('Diário 3º PA'!$A$4:$A$2731)+ROW()-3)</f>
        <v/>
      </c>
      <c r="B2509" s="600"/>
      <c r="C2509" s="354"/>
      <c r="D2509" s="343"/>
      <c r="E2509" s="343"/>
      <c r="F2509" s="344"/>
      <c r="G2509" s="343"/>
      <c r="H2509" s="343"/>
      <c r="I2509" s="345"/>
      <c r="J2509" s="343"/>
      <c r="K2509" s="343"/>
      <c r="L2509" s="345"/>
      <c r="M2509" s="343"/>
      <c r="N2509" s="598"/>
      <c r="O2509" s="585"/>
      <c r="P2509" s="341">
        <f t="shared" si="211"/>
        <v>0</v>
      </c>
      <c r="Q2509" s="71">
        <f t="shared" si="212"/>
        <v>0</v>
      </c>
      <c r="R2509" s="93" t="str">
        <f t="shared" si="213"/>
        <v/>
      </c>
    </row>
    <row r="2510" spans="1:18" x14ac:dyDescent="0.2">
      <c r="A2510" s="352" t="str">
        <f>IF(B2510="","",COUNT('Diário 1º PA'!$A$4:$A$2635)+COUNT('Diário 2º PA'!$A$4:$A$3040)+COUNT('Diário 3º PA'!$A$4:$A$2731)+ROW()-3)</f>
        <v/>
      </c>
      <c r="B2510" s="600"/>
      <c r="C2510" s="354"/>
      <c r="D2510" s="343"/>
      <c r="E2510" s="343"/>
      <c r="F2510" s="344"/>
      <c r="G2510" s="343"/>
      <c r="H2510" s="343"/>
      <c r="I2510" s="345"/>
      <c r="J2510" s="343"/>
      <c r="K2510" s="343"/>
      <c r="L2510" s="345"/>
      <c r="M2510" s="343"/>
      <c r="N2510" s="598"/>
      <c r="O2510" s="585"/>
      <c r="P2510" s="341">
        <f t="shared" si="211"/>
        <v>0</v>
      </c>
      <c r="Q2510" s="71">
        <f t="shared" si="212"/>
        <v>0</v>
      </c>
      <c r="R2510" s="93" t="str">
        <f t="shared" si="213"/>
        <v/>
      </c>
    </row>
    <row r="2511" spans="1:18" x14ac:dyDescent="0.2">
      <c r="A2511" s="352" t="str">
        <f>IF(B2511="","",COUNT('Diário 1º PA'!$A$4:$A$2635)+COUNT('Diário 2º PA'!$A$4:$A$3040)+COUNT('Diário 3º PA'!$A$4:$A$2731)+ROW()-3)</f>
        <v/>
      </c>
      <c r="B2511" s="600"/>
      <c r="C2511" s="354"/>
      <c r="D2511" s="343"/>
      <c r="E2511" s="343"/>
      <c r="F2511" s="344"/>
      <c r="G2511" s="343"/>
      <c r="H2511" s="343"/>
      <c r="I2511" s="345"/>
      <c r="J2511" s="343"/>
      <c r="K2511" s="343"/>
      <c r="L2511" s="345"/>
      <c r="M2511" s="343"/>
      <c r="N2511" s="598"/>
      <c r="O2511" s="585"/>
      <c r="P2511" s="341">
        <f t="shared" si="211"/>
        <v>0</v>
      </c>
      <c r="Q2511" s="71">
        <f t="shared" si="212"/>
        <v>0</v>
      </c>
      <c r="R2511" s="93" t="str">
        <f t="shared" si="213"/>
        <v/>
      </c>
    </row>
    <row r="2512" spans="1:18" x14ac:dyDescent="0.2">
      <c r="A2512" s="352" t="str">
        <f>IF(B2512="","",COUNT('Diário 1º PA'!$A$4:$A$2635)+COUNT('Diário 2º PA'!$A$4:$A$3040)+COUNT('Diário 3º PA'!$A$4:$A$2731)+ROW()-3)</f>
        <v/>
      </c>
      <c r="B2512" s="600"/>
      <c r="C2512" s="354"/>
      <c r="D2512" s="343"/>
      <c r="E2512" s="343"/>
      <c r="F2512" s="344"/>
      <c r="G2512" s="343"/>
      <c r="H2512" s="343"/>
      <c r="I2512" s="345"/>
      <c r="J2512" s="343"/>
      <c r="K2512" s="343"/>
      <c r="L2512" s="345"/>
      <c r="M2512" s="343"/>
      <c r="N2512" s="598"/>
      <c r="O2512" s="585"/>
      <c r="P2512" s="341">
        <f t="shared" si="211"/>
        <v>0</v>
      </c>
      <c r="Q2512" s="71">
        <f t="shared" si="212"/>
        <v>0</v>
      </c>
      <c r="R2512" s="93" t="str">
        <f t="shared" si="213"/>
        <v/>
      </c>
    </row>
    <row r="2513" spans="1:18" x14ac:dyDescent="0.2">
      <c r="A2513" s="352" t="str">
        <f>IF(B2513="","",COUNT('Diário 1º PA'!$A$4:$A$2635)+COUNT('Diário 2º PA'!$A$4:$A$3040)+COUNT('Diário 3º PA'!$A$4:$A$2731)+ROW()-3)</f>
        <v/>
      </c>
      <c r="B2513" s="600"/>
      <c r="C2513" s="354"/>
      <c r="D2513" s="343"/>
      <c r="E2513" s="343"/>
      <c r="F2513" s="344"/>
      <c r="G2513" s="343"/>
      <c r="H2513" s="343"/>
      <c r="I2513" s="345"/>
      <c r="J2513" s="343"/>
      <c r="K2513" s="343"/>
      <c r="L2513" s="345"/>
      <c r="M2513" s="343"/>
      <c r="N2513" s="598"/>
      <c r="O2513" s="585"/>
      <c r="P2513" s="341">
        <f t="shared" si="211"/>
        <v>0</v>
      </c>
      <c r="Q2513" s="71">
        <f t="shared" si="212"/>
        <v>0</v>
      </c>
      <c r="R2513" s="93" t="str">
        <f t="shared" si="213"/>
        <v/>
      </c>
    </row>
    <row r="2514" spans="1:18" x14ac:dyDescent="0.2">
      <c r="A2514" s="352" t="str">
        <f>IF(B2514="","",COUNT('Diário 1º PA'!$A$4:$A$2635)+COUNT('Diário 2º PA'!$A$4:$A$3040)+COUNT('Diário 3º PA'!$A$4:$A$2731)+ROW()-3)</f>
        <v/>
      </c>
      <c r="B2514" s="600"/>
      <c r="C2514" s="354"/>
      <c r="D2514" s="343"/>
      <c r="E2514" s="343"/>
      <c r="F2514" s="344"/>
      <c r="G2514" s="343"/>
      <c r="H2514" s="343"/>
      <c r="I2514" s="345"/>
      <c r="J2514" s="343"/>
      <c r="K2514" s="343"/>
      <c r="L2514" s="345"/>
      <c r="M2514" s="343"/>
      <c r="N2514" s="598"/>
      <c r="O2514" s="585"/>
      <c r="P2514" s="341">
        <f t="shared" si="211"/>
        <v>0</v>
      </c>
      <c r="Q2514" s="71">
        <f t="shared" si="212"/>
        <v>0</v>
      </c>
      <c r="R2514" s="93" t="str">
        <f t="shared" si="213"/>
        <v/>
      </c>
    </row>
    <row r="2515" spans="1:18" x14ac:dyDescent="0.2">
      <c r="A2515" s="352" t="str">
        <f>IF(B2515="","",COUNT('Diário 1º PA'!$A$4:$A$2635)+COUNT('Diário 2º PA'!$A$4:$A$3040)+COUNT('Diário 3º PA'!$A$4:$A$2731)+ROW()-3)</f>
        <v/>
      </c>
      <c r="B2515" s="600"/>
      <c r="C2515" s="354"/>
      <c r="D2515" s="343"/>
      <c r="E2515" s="343"/>
      <c r="F2515" s="344"/>
      <c r="G2515" s="343"/>
      <c r="H2515" s="343"/>
      <c r="I2515" s="345"/>
      <c r="J2515" s="343"/>
      <c r="K2515" s="343"/>
      <c r="L2515" s="345"/>
      <c r="M2515" s="343"/>
      <c r="N2515" s="598"/>
      <c r="O2515" s="585"/>
      <c r="P2515" s="341">
        <f t="shared" si="211"/>
        <v>0</v>
      </c>
      <c r="Q2515" s="71">
        <f t="shared" si="212"/>
        <v>0</v>
      </c>
      <c r="R2515" s="93" t="str">
        <f t="shared" si="213"/>
        <v/>
      </c>
    </row>
    <row r="2516" spans="1:18" x14ac:dyDescent="0.2">
      <c r="A2516" s="352" t="str">
        <f>IF(B2516="","",COUNT('Diário 1º PA'!$A$4:$A$2635)+COUNT('Diário 2º PA'!$A$4:$A$3040)+COUNT('Diário 3º PA'!$A$4:$A$2731)+ROW()-3)</f>
        <v/>
      </c>
      <c r="B2516" s="600"/>
      <c r="C2516" s="354"/>
      <c r="D2516" s="343"/>
      <c r="E2516" s="343"/>
      <c r="F2516" s="344"/>
      <c r="G2516" s="343"/>
      <c r="H2516" s="343"/>
      <c r="I2516" s="345"/>
      <c r="J2516" s="343"/>
      <c r="K2516" s="343"/>
      <c r="L2516" s="345"/>
      <c r="M2516" s="343"/>
      <c r="N2516" s="598"/>
      <c r="O2516" s="585"/>
      <c r="P2516" s="341">
        <f t="shared" si="211"/>
        <v>0</v>
      </c>
      <c r="Q2516" s="71">
        <f t="shared" si="212"/>
        <v>0</v>
      </c>
      <c r="R2516" s="93" t="str">
        <f t="shared" si="213"/>
        <v/>
      </c>
    </row>
    <row r="2517" spans="1:18" x14ac:dyDescent="0.2">
      <c r="A2517" s="352" t="str">
        <f>IF(B2517="","",COUNT('Diário 1º PA'!$A$4:$A$2635)+COUNT('Diário 2º PA'!$A$4:$A$3040)+COUNT('Diário 3º PA'!$A$4:$A$2731)+ROW()-3)</f>
        <v/>
      </c>
      <c r="B2517" s="600"/>
      <c r="C2517" s="354"/>
      <c r="D2517" s="343"/>
      <c r="E2517" s="343"/>
      <c r="F2517" s="344"/>
      <c r="G2517" s="343"/>
      <c r="H2517" s="343"/>
      <c r="I2517" s="345"/>
      <c r="J2517" s="343"/>
      <c r="K2517" s="343"/>
      <c r="L2517" s="345"/>
      <c r="M2517" s="343"/>
      <c r="N2517" s="598"/>
      <c r="O2517" s="585"/>
      <c r="P2517" s="341">
        <f t="shared" si="211"/>
        <v>0</v>
      </c>
      <c r="Q2517" s="71">
        <f t="shared" si="212"/>
        <v>0</v>
      </c>
      <c r="R2517" s="93" t="str">
        <f t="shared" si="213"/>
        <v/>
      </c>
    </row>
    <row r="2518" spans="1:18" x14ac:dyDescent="0.2">
      <c r="A2518" s="352" t="str">
        <f>IF(B2518="","",COUNT('Diário 1º PA'!$A$4:$A$2635)+COUNT('Diário 2º PA'!$A$4:$A$3040)+COUNT('Diário 3º PA'!$A$4:$A$2731)+ROW()-3)</f>
        <v/>
      </c>
      <c r="B2518" s="600"/>
      <c r="C2518" s="354"/>
      <c r="D2518" s="343"/>
      <c r="E2518" s="343"/>
      <c r="F2518" s="344"/>
      <c r="G2518" s="343"/>
      <c r="H2518" s="343"/>
      <c r="I2518" s="345"/>
      <c r="J2518" s="343"/>
      <c r="K2518" s="343"/>
      <c r="L2518" s="345"/>
      <c r="M2518" s="343"/>
      <c r="N2518" s="598"/>
      <c r="O2518" s="585"/>
      <c r="P2518" s="341">
        <f t="shared" si="211"/>
        <v>0</v>
      </c>
      <c r="Q2518" s="71">
        <f t="shared" si="212"/>
        <v>0</v>
      </c>
      <c r="R2518" s="93" t="str">
        <f t="shared" si="213"/>
        <v/>
      </c>
    </row>
    <row r="2519" spans="1:18" x14ac:dyDescent="0.2">
      <c r="A2519" s="352" t="str">
        <f>IF(B2519="","",COUNT('Diário 1º PA'!$A$4:$A$2635)+COUNT('Diário 2º PA'!$A$4:$A$3040)+COUNT('Diário 3º PA'!$A$4:$A$2731)+ROW()-3)</f>
        <v/>
      </c>
      <c r="B2519" s="600"/>
      <c r="C2519" s="354"/>
      <c r="D2519" s="343"/>
      <c r="E2519" s="343"/>
      <c r="F2519" s="344"/>
      <c r="G2519" s="343"/>
      <c r="H2519" s="343"/>
      <c r="I2519" s="345"/>
      <c r="J2519" s="343"/>
      <c r="K2519" s="343"/>
      <c r="L2519" s="345"/>
      <c r="M2519" s="343"/>
      <c r="N2519" s="598"/>
      <c r="O2519" s="585"/>
      <c r="P2519" s="341">
        <f t="shared" si="211"/>
        <v>0</v>
      </c>
      <c r="Q2519" s="71">
        <f t="shared" si="212"/>
        <v>0</v>
      </c>
      <c r="R2519" s="93" t="str">
        <f t="shared" si="213"/>
        <v/>
      </c>
    </row>
    <row r="2520" spans="1:18" x14ac:dyDescent="0.2">
      <c r="A2520" s="352" t="str">
        <f>IF(B2520="","",COUNT('Diário 1º PA'!$A$4:$A$2635)+COUNT('Diário 2º PA'!$A$4:$A$3040)+COUNT('Diário 3º PA'!$A$4:$A$2731)+ROW()-3)</f>
        <v/>
      </c>
      <c r="B2520" s="600"/>
      <c r="C2520" s="354"/>
      <c r="D2520" s="343"/>
      <c r="E2520" s="343"/>
      <c r="F2520" s="344"/>
      <c r="G2520" s="343"/>
      <c r="H2520" s="343"/>
      <c r="I2520" s="345"/>
      <c r="J2520" s="343"/>
      <c r="K2520" s="343"/>
      <c r="L2520" s="345"/>
      <c r="M2520" s="343"/>
      <c r="N2520" s="598"/>
      <c r="O2520" s="585"/>
      <c r="P2520" s="341">
        <f t="shared" si="211"/>
        <v>0</v>
      </c>
      <c r="Q2520" s="71">
        <f t="shared" si="212"/>
        <v>0</v>
      </c>
      <c r="R2520" s="93" t="str">
        <f t="shared" si="213"/>
        <v/>
      </c>
    </row>
    <row r="2521" spans="1:18" x14ac:dyDescent="0.2">
      <c r="A2521" s="352" t="str">
        <f>IF(B2521="","",COUNT('Diário 1º PA'!$A$4:$A$2635)+COUNT('Diário 2º PA'!$A$4:$A$3040)+COUNT('Diário 3º PA'!$A$4:$A$2731)+ROW()-3)</f>
        <v/>
      </c>
      <c r="B2521" s="600"/>
      <c r="C2521" s="354"/>
      <c r="D2521" s="343"/>
      <c r="E2521" s="343"/>
      <c r="F2521" s="344"/>
      <c r="G2521" s="343"/>
      <c r="H2521" s="343"/>
      <c r="I2521" s="345"/>
      <c r="J2521" s="343"/>
      <c r="K2521" s="343"/>
      <c r="L2521" s="345"/>
      <c r="M2521" s="343"/>
      <c r="N2521" s="598"/>
      <c r="O2521" s="585"/>
      <c r="P2521" s="341">
        <f t="shared" si="211"/>
        <v>0</v>
      </c>
      <c r="Q2521" s="71">
        <f t="shared" si="212"/>
        <v>0</v>
      </c>
      <c r="R2521" s="93" t="str">
        <f t="shared" si="213"/>
        <v/>
      </c>
    </row>
    <row r="2522" spans="1:18" x14ac:dyDescent="0.2">
      <c r="A2522" s="352" t="str">
        <f>IF(B2522="","",COUNT('Diário 1º PA'!$A$4:$A$2635)+COUNT('Diário 2º PA'!$A$4:$A$3040)+COUNT('Diário 3º PA'!$A$4:$A$2731)+ROW()-3)</f>
        <v/>
      </c>
      <c r="B2522" s="600"/>
      <c r="C2522" s="354"/>
      <c r="D2522" s="343"/>
      <c r="E2522" s="343"/>
      <c r="F2522" s="344"/>
      <c r="G2522" s="343"/>
      <c r="H2522" s="343"/>
      <c r="I2522" s="345"/>
      <c r="J2522" s="343"/>
      <c r="K2522" s="343"/>
      <c r="L2522" s="345"/>
      <c r="M2522" s="343"/>
      <c r="N2522" s="598"/>
      <c r="O2522" s="585"/>
      <c r="P2522" s="341">
        <f t="shared" si="211"/>
        <v>0</v>
      </c>
      <c r="Q2522" s="71">
        <f t="shared" si="212"/>
        <v>0</v>
      </c>
      <c r="R2522" s="93" t="str">
        <f t="shared" si="213"/>
        <v/>
      </c>
    </row>
    <row r="2523" spans="1:18" x14ac:dyDescent="0.2">
      <c r="A2523" s="352" t="str">
        <f>IF(B2523="","",COUNT('Diário 1º PA'!$A$4:$A$2635)+COUNT('Diário 2º PA'!$A$4:$A$3040)+COUNT('Diário 3º PA'!$A$4:$A$2731)+ROW()-3)</f>
        <v/>
      </c>
      <c r="B2523" s="600"/>
      <c r="C2523" s="354"/>
      <c r="D2523" s="343"/>
      <c r="E2523" s="343"/>
      <c r="F2523" s="344"/>
      <c r="G2523" s="343"/>
      <c r="H2523" s="343"/>
      <c r="I2523" s="345"/>
      <c r="J2523" s="343"/>
      <c r="K2523" s="343"/>
      <c r="L2523" s="345"/>
      <c r="M2523" s="343"/>
      <c r="N2523" s="598"/>
      <c r="O2523" s="585"/>
      <c r="P2523" s="341">
        <f t="shared" si="211"/>
        <v>0</v>
      </c>
      <c r="Q2523" s="71">
        <f t="shared" si="212"/>
        <v>0</v>
      </c>
      <c r="R2523" s="93" t="str">
        <f t="shared" si="213"/>
        <v/>
      </c>
    </row>
    <row r="2524" spans="1:18" x14ac:dyDescent="0.2">
      <c r="A2524" s="352" t="str">
        <f>IF(B2524="","",COUNT('Diário 1º PA'!$A$4:$A$2635)+COUNT('Diário 2º PA'!$A$4:$A$3040)+COUNT('Diário 3º PA'!$A$4:$A$2731)+ROW()-3)</f>
        <v/>
      </c>
      <c r="B2524" s="600"/>
      <c r="C2524" s="354"/>
      <c r="D2524" s="343"/>
      <c r="E2524" s="343"/>
      <c r="F2524" s="344"/>
      <c r="G2524" s="343"/>
      <c r="H2524" s="343"/>
      <c r="I2524" s="345"/>
      <c r="J2524" s="343"/>
      <c r="K2524" s="343"/>
      <c r="L2524" s="345"/>
      <c r="M2524" s="343"/>
      <c r="N2524" s="598"/>
      <c r="O2524" s="585"/>
      <c r="P2524" s="341">
        <f t="shared" si="211"/>
        <v>0</v>
      </c>
      <c r="Q2524" s="71">
        <f t="shared" si="212"/>
        <v>0</v>
      </c>
      <c r="R2524" s="93" t="str">
        <f t="shared" si="213"/>
        <v/>
      </c>
    </row>
    <row r="2525" spans="1:18" x14ac:dyDescent="0.2">
      <c r="A2525" s="352" t="str">
        <f>IF(B2525="","",COUNT('Diário 1º PA'!$A$4:$A$2635)+COUNT('Diário 2º PA'!$A$4:$A$3040)+COUNT('Diário 3º PA'!$A$4:$A$2731)+ROW()-3)</f>
        <v/>
      </c>
      <c r="B2525" s="600"/>
      <c r="C2525" s="354"/>
      <c r="D2525" s="343"/>
      <c r="E2525" s="343"/>
      <c r="F2525" s="344"/>
      <c r="G2525" s="343"/>
      <c r="H2525" s="343"/>
      <c r="I2525" s="345"/>
      <c r="J2525" s="343"/>
      <c r="K2525" s="343"/>
      <c r="L2525" s="345"/>
      <c r="M2525" s="343"/>
      <c r="N2525" s="598"/>
      <c r="O2525" s="585"/>
      <c r="P2525" s="341">
        <f t="shared" si="211"/>
        <v>0</v>
      </c>
      <c r="Q2525" s="71">
        <f t="shared" si="212"/>
        <v>0</v>
      </c>
      <c r="R2525" s="93" t="str">
        <f t="shared" si="213"/>
        <v/>
      </c>
    </row>
    <row r="2526" spans="1:18" x14ac:dyDescent="0.2">
      <c r="A2526" s="352" t="str">
        <f>IF(B2526="","",COUNT('Diário 1º PA'!$A$4:$A$2635)+COUNT('Diário 2º PA'!$A$4:$A$3040)+COUNT('Diário 3º PA'!$A$4:$A$2731)+ROW()-3)</f>
        <v/>
      </c>
      <c r="B2526" s="600"/>
      <c r="C2526" s="354"/>
      <c r="D2526" s="343"/>
      <c r="E2526" s="343"/>
      <c r="F2526" s="344"/>
      <c r="G2526" s="343"/>
      <c r="H2526" s="343"/>
      <c r="I2526" s="345"/>
      <c r="J2526" s="343"/>
      <c r="K2526" s="343"/>
      <c r="L2526" s="345"/>
      <c r="M2526" s="343"/>
      <c r="N2526" s="598"/>
      <c r="O2526" s="585"/>
      <c r="P2526" s="341">
        <f t="shared" si="211"/>
        <v>0</v>
      </c>
      <c r="Q2526" s="71">
        <f t="shared" si="212"/>
        <v>0</v>
      </c>
      <c r="R2526" s="93" t="str">
        <f t="shared" si="213"/>
        <v/>
      </c>
    </row>
    <row r="2527" spans="1:18" x14ac:dyDescent="0.2">
      <c r="A2527" s="352" t="str">
        <f>IF(B2527="","",COUNT('Diário 1º PA'!$A$4:$A$2635)+COUNT('Diário 2º PA'!$A$4:$A$3040)+COUNT('Diário 3º PA'!$A$4:$A$2731)+ROW()-3)</f>
        <v/>
      </c>
      <c r="B2527" s="600"/>
      <c r="C2527" s="354"/>
      <c r="D2527" s="343"/>
      <c r="E2527" s="343"/>
      <c r="F2527" s="344"/>
      <c r="G2527" s="343"/>
      <c r="H2527" s="343"/>
      <c r="I2527" s="345"/>
      <c r="J2527" s="343"/>
      <c r="K2527" s="343"/>
      <c r="L2527" s="345"/>
      <c r="M2527" s="343"/>
      <c r="N2527" s="598"/>
      <c r="O2527" s="585"/>
      <c r="P2527" s="341">
        <f t="shared" si="211"/>
        <v>0</v>
      </c>
      <c r="Q2527" s="71">
        <f t="shared" si="212"/>
        <v>0</v>
      </c>
      <c r="R2527" s="93" t="str">
        <f t="shared" si="213"/>
        <v/>
      </c>
    </row>
    <row r="2528" spans="1:18" x14ac:dyDescent="0.2">
      <c r="A2528" s="352" t="str">
        <f>IF(B2528="","",COUNT('Diário 1º PA'!$A$4:$A$2635)+COUNT('Diário 2º PA'!$A$4:$A$3040)+COUNT('Diário 3º PA'!$A$4:$A$2731)+ROW()-3)</f>
        <v/>
      </c>
      <c r="B2528" s="600"/>
      <c r="C2528" s="354"/>
      <c r="D2528" s="343"/>
      <c r="E2528" s="343"/>
      <c r="F2528" s="344"/>
      <c r="G2528" s="343"/>
      <c r="H2528" s="343"/>
      <c r="I2528" s="345"/>
      <c r="J2528" s="343"/>
      <c r="K2528" s="343"/>
      <c r="L2528" s="345"/>
      <c r="M2528" s="343"/>
      <c r="N2528" s="598"/>
      <c r="O2528" s="585"/>
      <c r="P2528" s="341">
        <f t="shared" si="211"/>
        <v>0</v>
      </c>
      <c r="Q2528" s="71">
        <f t="shared" si="212"/>
        <v>0</v>
      </c>
      <c r="R2528" s="93" t="str">
        <f t="shared" si="213"/>
        <v/>
      </c>
    </row>
    <row r="2529" spans="1:18" x14ac:dyDescent="0.2">
      <c r="A2529" s="352" t="str">
        <f>IF(B2529="","",COUNT('Diário 1º PA'!$A$4:$A$2635)+COUNT('Diário 2º PA'!$A$4:$A$3040)+COUNT('Diário 3º PA'!$A$4:$A$2731)+ROW()-3)</f>
        <v/>
      </c>
      <c r="B2529" s="600"/>
      <c r="C2529" s="354"/>
      <c r="D2529" s="343"/>
      <c r="E2529" s="343"/>
      <c r="F2529" s="344"/>
      <c r="G2529" s="343"/>
      <c r="H2529" s="343"/>
      <c r="I2529" s="345"/>
      <c r="J2529" s="343"/>
      <c r="K2529" s="343"/>
      <c r="L2529" s="345"/>
      <c r="M2529" s="343"/>
      <c r="N2529" s="598"/>
      <c r="O2529" s="585"/>
      <c r="P2529" s="341">
        <f t="shared" si="211"/>
        <v>0</v>
      </c>
      <c r="Q2529" s="71">
        <f t="shared" si="212"/>
        <v>0</v>
      </c>
      <c r="R2529" s="93" t="str">
        <f t="shared" si="213"/>
        <v/>
      </c>
    </row>
    <row r="2530" spans="1:18" x14ac:dyDescent="0.2">
      <c r="A2530" s="352" t="str">
        <f>IF(B2530="","",COUNT('Diário 1º PA'!$A$4:$A$2635)+COUNT('Diário 2º PA'!$A$4:$A$3040)+COUNT('Diário 3º PA'!$A$4:$A$2731)+ROW()-3)</f>
        <v/>
      </c>
      <c r="B2530" s="600"/>
      <c r="C2530" s="354"/>
      <c r="D2530" s="343"/>
      <c r="E2530" s="343"/>
      <c r="F2530" s="344"/>
      <c r="G2530" s="343"/>
      <c r="H2530" s="343"/>
      <c r="I2530" s="345"/>
      <c r="J2530" s="343"/>
      <c r="K2530" s="343"/>
      <c r="L2530" s="345"/>
      <c r="M2530" s="343"/>
      <c r="N2530" s="598"/>
      <c r="O2530" s="585"/>
      <c r="P2530" s="341">
        <f t="shared" si="211"/>
        <v>0</v>
      </c>
      <c r="Q2530" s="71">
        <f t="shared" si="212"/>
        <v>0</v>
      </c>
      <c r="R2530" s="93" t="str">
        <f t="shared" si="213"/>
        <v/>
      </c>
    </row>
    <row r="2531" spans="1:18" x14ac:dyDescent="0.2">
      <c r="A2531" s="352" t="str">
        <f>IF(B2531="","",COUNT('Diário 1º PA'!$A$4:$A$2635)+COUNT('Diário 2º PA'!$A$4:$A$3040)+COUNT('Diário 3º PA'!$A$4:$A$2731)+ROW()-3)</f>
        <v/>
      </c>
      <c r="B2531" s="600"/>
      <c r="C2531" s="354"/>
      <c r="D2531" s="343"/>
      <c r="E2531" s="343"/>
      <c r="F2531" s="344"/>
      <c r="G2531" s="343"/>
      <c r="H2531" s="343"/>
      <c r="I2531" s="345"/>
      <c r="J2531" s="343"/>
      <c r="K2531" s="343"/>
      <c r="L2531" s="345"/>
      <c r="M2531" s="343"/>
      <c r="N2531" s="598"/>
      <c r="O2531" s="585"/>
      <c r="P2531" s="341">
        <f t="shared" si="211"/>
        <v>0</v>
      </c>
      <c r="Q2531" s="71">
        <f t="shared" si="212"/>
        <v>0</v>
      </c>
      <c r="R2531" s="93" t="str">
        <f t="shared" si="213"/>
        <v/>
      </c>
    </row>
    <row r="2532" spans="1:18" x14ac:dyDescent="0.2">
      <c r="A2532" s="352" t="str">
        <f>IF(B2532="","",COUNT('Diário 1º PA'!$A$4:$A$2635)+COUNT('Diário 2º PA'!$A$4:$A$3040)+COUNT('Diário 3º PA'!$A$4:$A$2731)+ROW()-3)</f>
        <v/>
      </c>
      <c r="B2532" s="600"/>
      <c r="C2532" s="354"/>
      <c r="D2532" s="343"/>
      <c r="E2532" s="343"/>
      <c r="F2532" s="344"/>
      <c r="G2532" s="343"/>
      <c r="H2532" s="343"/>
      <c r="I2532" s="345"/>
      <c r="J2532" s="343"/>
      <c r="K2532" s="343"/>
      <c r="L2532" s="345"/>
      <c r="M2532" s="343"/>
      <c r="N2532" s="598"/>
      <c r="O2532" s="585"/>
      <c r="P2532" s="341">
        <f t="shared" si="211"/>
        <v>0</v>
      </c>
      <c r="Q2532" s="71">
        <f t="shared" si="212"/>
        <v>0</v>
      </c>
      <c r="R2532" s="93" t="str">
        <f t="shared" si="213"/>
        <v/>
      </c>
    </row>
    <row r="2533" spans="1:18" x14ac:dyDescent="0.2">
      <c r="A2533" s="352" t="str">
        <f>IF(B2533="","",COUNT('Diário 1º PA'!$A$4:$A$2635)+COUNT('Diário 2º PA'!$A$4:$A$3040)+COUNT('Diário 3º PA'!$A$4:$A$2731)+ROW()-3)</f>
        <v/>
      </c>
      <c r="B2533" s="600"/>
      <c r="C2533" s="354"/>
      <c r="D2533" s="343"/>
      <c r="E2533" s="343"/>
      <c r="F2533" s="344"/>
      <c r="G2533" s="343"/>
      <c r="H2533" s="343"/>
      <c r="I2533" s="345"/>
      <c r="J2533" s="343"/>
      <c r="K2533" s="343"/>
      <c r="L2533" s="345"/>
      <c r="M2533" s="343"/>
      <c r="N2533" s="598"/>
      <c r="O2533" s="585"/>
      <c r="P2533" s="341">
        <f t="shared" si="211"/>
        <v>0</v>
      </c>
      <c r="Q2533" s="71">
        <f t="shared" si="212"/>
        <v>0</v>
      </c>
      <c r="R2533" s="93" t="str">
        <f t="shared" si="213"/>
        <v/>
      </c>
    </row>
    <row r="2534" spans="1:18" x14ac:dyDescent="0.2">
      <c r="A2534" s="352" t="str">
        <f>IF(B2534="","",COUNT('Diário 1º PA'!$A$4:$A$2635)+COUNT('Diário 2º PA'!$A$4:$A$3040)+COUNT('Diário 3º PA'!$A$4:$A$2731)+ROW()-3)</f>
        <v/>
      </c>
      <c r="B2534" s="600"/>
      <c r="C2534" s="354"/>
      <c r="D2534" s="343"/>
      <c r="E2534" s="343"/>
      <c r="F2534" s="344"/>
      <c r="G2534" s="343"/>
      <c r="H2534" s="343"/>
      <c r="I2534" s="345"/>
      <c r="J2534" s="343"/>
      <c r="K2534" s="343"/>
      <c r="L2534" s="345"/>
      <c r="M2534" s="343"/>
      <c r="N2534" s="598"/>
      <c r="O2534" s="585"/>
      <c r="P2534" s="341">
        <f t="shared" si="211"/>
        <v>0</v>
      </c>
      <c r="Q2534" s="71">
        <f t="shared" si="212"/>
        <v>0</v>
      </c>
      <c r="R2534" s="93" t="str">
        <f t="shared" si="213"/>
        <v/>
      </c>
    </row>
    <row r="2535" spans="1:18" x14ac:dyDescent="0.2">
      <c r="A2535" s="352" t="str">
        <f>IF(B2535="","",COUNT('Diário 1º PA'!$A$4:$A$2635)+COUNT('Diário 2º PA'!$A$4:$A$3040)+COUNT('Diário 3º PA'!$A$4:$A$2731)+ROW()-3)</f>
        <v/>
      </c>
      <c r="B2535" s="600"/>
      <c r="C2535" s="354"/>
      <c r="D2535" s="343"/>
      <c r="E2535" s="343"/>
      <c r="F2535" s="344"/>
      <c r="G2535" s="343"/>
      <c r="H2535" s="343"/>
      <c r="I2535" s="345"/>
      <c r="J2535" s="343"/>
      <c r="K2535" s="343"/>
      <c r="L2535" s="345"/>
      <c r="M2535" s="343"/>
      <c r="N2535" s="598"/>
      <c r="O2535" s="585"/>
      <c r="P2535" s="341">
        <f t="shared" si="211"/>
        <v>0</v>
      </c>
      <c r="Q2535" s="71">
        <f t="shared" si="212"/>
        <v>0</v>
      </c>
      <c r="R2535" s="93" t="str">
        <f t="shared" si="213"/>
        <v/>
      </c>
    </row>
    <row r="2536" spans="1:18" x14ac:dyDescent="0.2">
      <c r="A2536" s="352" t="str">
        <f>IF(B2536="","",COUNT('Diário 1º PA'!$A$4:$A$2635)+COUNT('Diário 2º PA'!$A$4:$A$3040)+COUNT('Diário 3º PA'!$A$4:$A$2731)+ROW()-3)</f>
        <v/>
      </c>
      <c r="B2536" s="600"/>
      <c r="C2536" s="354"/>
      <c r="D2536" s="343"/>
      <c r="E2536" s="343"/>
      <c r="F2536" s="344"/>
      <c r="G2536" s="343"/>
      <c r="H2536" s="343"/>
      <c r="I2536" s="345"/>
      <c r="J2536" s="343"/>
      <c r="K2536" s="343"/>
      <c r="L2536" s="345"/>
      <c r="M2536" s="343"/>
      <c r="N2536" s="598"/>
      <c r="O2536" s="585"/>
      <c r="P2536" s="341">
        <f t="shared" si="211"/>
        <v>0</v>
      </c>
      <c r="Q2536" s="71">
        <f t="shared" si="212"/>
        <v>0</v>
      </c>
      <c r="R2536" s="93" t="str">
        <f t="shared" si="213"/>
        <v/>
      </c>
    </row>
    <row r="2537" spans="1:18" x14ac:dyDescent="0.2">
      <c r="A2537" s="352" t="str">
        <f>IF(B2537="","",COUNT('Diário 1º PA'!$A$4:$A$2635)+COUNT('Diário 2º PA'!$A$4:$A$3040)+COUNT('Diário 3º PA'!$A$4:$A$2731)+ROW()-3)</f>
        <v/>
      </c>
      <c r="B2537" s="600"/>
      <c r="C2537" s="354"/>
      <c r="D2537" s="343"/>
      <c r="E2537" s="343"/>
      <c r="F2537" s="344"/>
      <c r="G2537" s="343"/>
      <c r="H2537" s="343"/>
      <c r="I2537" s="345"/>
      <c r="J2537" s="343"/>
      <c r="K2537" s="343"/>
      <c r="L2537" s="345"/>
      <c r="M2537" s="343"/>
      <c r="N2537" s="598"/>
      <c r="O2537" s="585"/>
      <c r="P2537" s="341">
        <f t="shared" si="211"/>
        <v>0</v>
      </c>
      <c r="Q2537" s="71">
        <f t="shared" si="212"/>
        <v>0</v>
      </c>
      <c r="R2537" s="93" t="str">
        <f t="shared" si="213"/>
        <v/>
      </c>
    </row>
    <row r="2538" spans="1:18" x14ac:dyDescent="0.2">
      <c r="A2538" s="352" t="str">
        <f>IF(B2538="","",COUNT('Diário 1º PA'!$A$4:$A$2635)+COUNT('Diário 2º PA'!$A$4:$A$3040)+COUNT('Diário 3º PA'!$A$4:$A$2731)+ROW()-3)</f>
        <v/>
      </c>
      <c r="B2538" s="600"/>
      <c r="C2538" s="354"/>
      <c r="D2538" s="343"/>
      <c r="E2538" s="343"/>
      <c r="F2538" s="344"/>
      <c r="G2538" s="343"/>
      <c r="H2538" s="343"/>
      <c r="I2538" s="345"/>
      <c r="J2538" s="343"/>
      <c r="K2538" s="343"/>
      <c r="L2538" s="345"/>
      <c r="M2538" s="343"/>
      <c r="N2538" s="598"/>
      <c r="O2538" s="585"/>
      <c r="P2538" s="341">
        <f t="shared" si="211"/>
        <v>0</v>
      </c>
      <c r="Q2538" s="71">
        <f t="shared" si="212"/>
        <v>0</v>
      </c>
      <c r="R2538" s="93" t="str">
        <f t="shared" si="213"/>
        <v/>
      </c>
    </row>
    <row r="2539" spans="1:18" x14ac:dyDescent="0.2">
      <c r="A2539" s="352" t="str">
        <f>IF(B2539="","",COUNT('Diário 1º PA'!$A$4:$A$2635)+COUNT('Diário 2º PA'!$A$4:$A$3040)+COUNT('Diário 3º PA'!$A$4:$A$2731)+ROW()-3)</f>
        <v/>
      </c>
      <c r="B2539" s="600"/>
      <c r="C2539" s="354"/>
      <c r="D2539" s="343"/>
      <c r="E2539" s="343"/>
      <c r="F2539" s="344"/>
      <c r="G2539" s="343"/>
      <c r="H2539" s="343"/>
      <c r="I2539" s="345"/>
      <c r="J2539" s="343"/>
      <c r="K2539" s="343"/>
      <c r="L2539" s="345"/>
      <c r="M2539" s="343"/>
      <c r="N2539" s="598"/>
      <c r="O2539" s="585"/>
      <c r="P2539" s="341">
        <f t="shared" si="211"/>
        <v>0</v>
      </c>
      <c r="Q2539" s="71">
        <f t="shared" si="212"/>
        <v>0</v>
      </c>
      <c r="R2539" s="93" t="str">
        <f t="shared" si="213"/>
        <v/>
      </c>
    </row>
    <row r="2540" spans="1:18" x14ac:dyDescent="0.2">
      <c r="A2540" s="352" t="str">
        <f>IF(B2540="","",COUNT('Diário 1º PA'!$A$4:$A$2635)+COUNT('Diário 2º PA'!$A$4:$A$3040)+COUNT('Diário 3º PA'!$A$4:$A$2731)+ROW()-3)</f>
        <v/>
      </c>
      <c r="B2540" s="600"/>
      <c r="C2540" s="354"/>
      <c r="D2540" s="343"/>
      <c r="E2540" s="343"/>
      <c r="F2540" s="344"/>
      <c r="G2540" s="343"/>
      <c r="H2540" s="343"/>
      <c r="I2540" s="345"/>
      <c r="J2540" s="343"/>
      <c r="K2540" s="343"/>
      <c r="L2540" s="345"/>
      <c r="M2540" s="343"/>
      <c r="N2540" s="598"/>
      <c r="O2540" s="585"/>
      <c r="P2540" s="341">
        <f t="shared" si="211"/>
        <v>0</v>
      </c>
      <c r="Q2540" s="71">
        <f t="shared" si="212"/>
        <v>0</v>
      </c>
      <c r="R2540" s="93" t="str">
        <f t="shared" si="213"/>
        <v/>
      </c>
    </row>
    <row r="2541" spans="1:18" x14ac:dyDescent="0.2">
      <c r="A2541" s="352" t="str">
        <f>IF(B2541="","",COUNT('Diário 1º PA'!$A$4:$A$2635)+COUNT('Diário 2º PA'!$A$4:$A$3040)+COUNT('Diário 3º PA'!$A$4:$A$2731)+ROW()-3)</f>
        <v/>
      </c>
      <c r="B2541" s="600"/>
      <c r="C2541" s="354"/>
      <c r="D2541" s="343"/>
      <c r="E2541" s="343"/>
      <c r="F2541" s="344"/>
      <c r="G2541" s="343"/>
      <c r="H2541" s="343"/>
      <c r="I2541" s="345"/>
      <c r="J2541" s="343"/>
      <c r="K2541" s="343"/>
      <c r="L2541" s="345"/>
      <c r="M2541" s="343"/>
      <c r="N2541" s="598"/>
      <c r="O2541" s="585"/>
      <c r="P2541" s="341">
        <f t="shared" si="211"/>
        <v>0</v>
      </c>
      <c r="Q2541" s="71">
        <f t="shared" si="212"/>
        <v>0</v>
      </c>
      <c r="R2541" s="93" t="str">
        <f t="shared" si="213"/>
        <v/>
      </c>
    </row>
    <row r="2542" spans="1:18" x14ac:dyDescent="0.2">
      <c r="A2542" s="352" t="str">
        <f>IF(B2542="","",COUNT('Diário 1º PA'!$A$4:$A$2635)+COUNT('Diário 2º PA'!$A$4:$A$3040)+COUNT('Diário 3º PA'!$A$4:$A$2731)+ROW()-3)</f>
        <v/>
      </c>
      <c r="B2542" s="600"/>
      <c r="C2542" s="354"/>
      <c r="D2542" s="343"/>
      <c r="E2542" s="343"/>
      <c r="F2542" s="344"/>
      <c r="G2542" s="343"/>
      <c r="H2542" s="343"/>
      <c r="I2542" s="345"/>
      <c r="J2542" s="343"/>
      <c r="K2542" s="343"/>
      <c r="L2542" s="345"/>
      <c r="M2542" s="343"/>
      <c r="N2542" s="598"/>
      <c r="O2542" s="585"/>
      <c r="P2542" s="341">
        <f t="shared" si="211"/>
        <v>0</v>
      </c>
      <c r="Q2542" s="71">
        <f t="shared" si="212"/>
        <v>0</v>
      </c>
      <c r="R2542" s="93" t="str">
        <f t="shared" si="213"/>
        <v/>
      </c>
    </row>
    <row r="2543" spans="1:18" x14ac:dyDescent="0.2">
      <c r="A2543" s="352" t="str">
        <f>IF(B2543="","",COUNT('Diário 1º PA'!$A$4:$A$2635)+COUNT('Diário 2º PA'!$A$4:$A$3040)+COUNT('Diário 3º PA'!$A$4:$A$2731)+ROW()-3)</f>
        <v/>
      </c>
      <c r="B2543" s="600"/>
      <c r="C2543" s="354"/>
      <c r="D2543" s="343"/>
      <c r="E2543" s="343"/>
      <c r="F2543" s="344"/>
      <c r="G2543" s="343"/>
      <c r="H2543" s="343"/>
      <c r="I2543" s="345"/>
      <c r="J2543" s="343"/>
      <c r="K2543" s="343"/>
      <c r="L2543" s="345"/>
      <c r="M2543" s="343"/>
      <c r="N2543" s="598"/>
      <c r="O2543" s="585"/>
      <c r="P2543" s="341">
        <f t="shared" si="211"/>
        <v>0</v>
      </c>
      <c r="Q2543" s="71">
        <f t="shared" si="212"/>
        <v>0</v>
      </c>
      <c r="R2543" s="93" t="str">
        <f t="shared" si="213"/>
        <v/>
      </c>
    </row>
    <row r="2544" spans="1:18" x14ac:dyDescent="0.2">
      <c r="A2544" s="352" t="str">
        <f>IF(B2544="","",COUNT('Diário 1º PA'!$A$4:$A$2635)+COUNT('Diário 2º PA'!$A$4:$A$3040)+COUNT('Diário 3º PA'!$A$4:$A$2731)+ROW()-3)</f>
        <v/>
      </c>
      <c r="B2544" s="600"/>
      <c r="C2544" s="354"/>
      <c r="D2544" s="343"/>
      <c r="E2544" s="343"/>
      <c r="F2544" s="344"/>
      <c r="G2544" s="343"/>
      <c r="H2544" s="343"/>
      <c r="I2544" s="345"/>
      <c r="J2544" s="343"/>
      <c r="K2544" s="343"/>
      <c r="L2544" s="345"/>
      <c r="M2544" s="343"/>
      <c r="N2544" s="598"/>
      <c r="O2544" s="585"/>
      <c r="P2544" s="341">
        <f t="shared" si="211"/>
        <v>0</v>
      </c>
      <c r="Q2544" s="71">
        <f t="shared" si="212"/>
        <v>0</v>
      </c>
      <c r="R2544" s="93" t="str">
        <f t="shared" si="213"/>
        <v/>
      </c>
    </row>
    <row r="2545" spans="1:18" x14ac:dyDescent="0.2">
      <c r="A2545" s="352" t="str">
        <f>IF(B2545="","",COUNT('Diário 1º PA'!$A$4:$A$2635)+COUNT('Diário 2º PA'!$A$4:$A$3040)+COUNT('Diário 3º PA'!$A$4:$A$2731)+ROW()-3)</f>
        <v/>
      </c>
      <c r="B2545" s="600"/>
      <c r="C2545" s="354"/>
      <c r="D2545" s="343"/>
      <c r="E2545" s="343"/>
      <c r="F2545" s="344"/>
      <c r="G2545" s="343"/>
      <c r="H2545" s="343"/>
      <c r="I2545" s="345"/>
      <c r="J2545" s="343"/>
      <c r="K2545" s="343"/>
      <c r="L2545" s="345"/>
      <c r="M2545" s="343"/>
      <c r="N2545" s="598"/>
      <c r="O2545" s="585"/>
      <c r="P2545" s="341">
        <f t="shared" si="211"/>
        <v>0</v>
      </c>
      <c r="Q2545" s="71">
        <f t="shared" si="212"/>
        <v>0</v>
      </c>
      <c r="R2545" s="93" t="str">
        <f t="shared" si="213"/>
        <v/>
      </c>
    </row>
    <row r="2546" spans="1:18" x14ac:dyDescent="0.2">
      <c r="A2546" s="352" t="str">
        <f>IF(B2546="","",COUNT('Diário 1º PA'!$A$4:$A$2635)+COUNT('Diário 2º PA'!$A$4:$A$3040)+COUNT('Diário 3º PA'!$A$4:$A$2731)+ROW()-3)</f>
        <v/>
      </c>
      <c r="B2546" s="600"/>
      <c r="C2546" s="354"/>
      <c r="D2546" s="343"/>
      <c r="E2546" s="343"/>
      <c r="F2546" s="344"/>
      <c r="G2546" s="343"/>
      <c r="H2546" s="343"/>
      <c r="I2546" s="345"/>
      <c r="J2546" s="343"/>
      <c r="K2546" s="343"/>
      <c r="L2546" s="345"/>
      <c r="M2546" s="343"/>
      <c r="N2546" s="598"/>
      <c r="O2546" s="585"/>
      <c r="P2546" s="341">
        <f t="shared" si="211"/>
        <v>0</v>
      </c>
      <c r="Q2546" s="71">
        <f t="shared" si="212"/>
        <v>0</v>
      </c>
      <c r="R2546" s="93" t="str">
        <f t="shared" si="213"/>
        <v/>
      </c>
    </row>
    <row r="2547" spans="1:18" x14ac:dyDescent="0.2">
      <c r="A2547" s="352" t="str">
        <f>IF(B2547="","",COUNT('Diário 1º PA'!$A$4:$A$2635)+COUNT('Diário 2º PA'!$A$4:$A$3040)+COUNT('Diário 3º PA'!$A$4:$A$2731)+ROW()-3)</f>
        <v/>
      </c>
      <c r="B2547" s="600"/>
      <c r="C2547" s="354"/>
      <c r="D2547" s="343"/>
      <c r="E2547" s="343"/>
      <c r="F2547" s="344"/>
      <c r="G2547" s="343"/>
      <c r="H2547" s="343"/>
      <c r="I2547" s="345"/>
      <c r="J2547" s="343"/>
      <c r="K2547" s="343"/>
      <c r="L2547" s="345"/>
      <c r="M2547" s="343"/>
      <c r="N2547" s="598"/>
      <c r="O2547" s="585"/>
      <c r="P2547" s="341">
        <f t="shared" si="211"/>
        <v>0</v>
      </c>
      <c r="Q2547" s="71">
        <f t="shared" si="212"/>
        <v>0</v>
      </c>
      <c r="R2547" s="93" t="str">
        <f t="shared" si="213"/>
        <v/>
      </c>
    </row>
    <row r="2548" spans="1:18" x14ac:dyDescent="0.2">
      <c r="A2548" s="352" t="str">
        <f>IF(B2548="","",COUNT('Diário 1º PA'!$A$4:$A$2635)+COUNT('Diário 2º PA'!$A$4:$A$3040)+COUNT('Diário 3º PA'!$A$4:$A$2731)+ROW()-3)</f>
        <v/>
      </c>
      <c r="B2548" s="600"/>
      <c r="C2548" s="354"/>
      <c r="D2548" s="343"/>
      <c r="E2548" s="343"/>
      <c r="F2548" s="344"/>
      <c r="G2548" s="343"/>
      <c r="H2548" s="343"/>
      <c r="I2548" s="345"/>
      <c r="J2548" s="343"/>
      <c r="K2548" s="343"/>
      <c r="L2548" s="345"/>
      <c r="M2548" s="343"/>
      <c r="N2548" s="598"/>
      <c r="O2548" s="585"/>
      <c r="P2548" s="341">
        <f t="shared" si="211"/>
        <v>0</v>
      </c>
      <c r="Q2548" s="71">
        <f t="shared" si="212"/>
        <v>0</v>
      </c>
      <c r="R2548" s="93" t="str">
        <f t="shared" si="213"/>
        <v/>
      </c>
    </row>
    <row r="2549" spans="1:18" x14ac:dyDescent="0.2">
      <c r="A2549" s="352" t="str">
        <f>IF(B2549="","",COUNT('Diário 1º PA'!$A$4:$A$2635)+COUNT('Diário 2º PA'!$A$4:$A$3040)+COUNT('Diário 3º PA'!$A$4:$A$2731)+ROW()-3)</f>
        <v/>
      </c>
      <c r="B2549" s="600"/>
      <c r="C2549" s="354"/>
      <c r="D2549" s="343"/>
      <c r="E2549" s="343"/>
      <c r="F2549" s="344"/>
      <c r="G2549" s="343"/>
      <c r="H2549" s="343"/>
      <c r="I2549" s="345"/>
      <c r="J2549" s="343"/>
      <c r="K2549" s="343"/>
      <c r="L2549" s="345"/>
      <c r="M2549" s="343"/>
      <c r="N2549" s="598"/>
      <c r="O2549" s="585"/>
      <c r="P2549" s="341">
        <f t="shared" si="211"/>
        <v>0</v>
      </c>
      <c r="Q2549" s="71">
        <f t="shared" si="212"/>
        <v>0</v>
      </c>
      <c r="R2549" s="93" t="str">
        <f t="shared" si="213"/>
        <v/>
      </c>
    </row>
    <row r="2550" spans="1:18" x14ac:dyDescent="0.2">
      <c r="A2550" s="352" t="str">
        <f>IF(B2550="","",COUNT('Diário 1º PA'!$A$4:$A$2635)+COUNT('Diário 2º PA'!$A$4:$A$3040)+COUNT('Diário 3º PA'!$A$4:$A$2731)+ROW()-3)</f>
        <v/>
      </c>
      <c r="B2550" s="600"/>
      <c r="C2550" s="354"/>
      <c r="D2550" s="343"/>
      <c r="E2550" s="343"/>
      <c r="F2550" s="344"/>
      <c r="G2550" s="343"/>
      <c r="H2550" s="343"/>
      <c r="I2550" s="345"/>
      <c r="J2550" s="343"/>
      <c r="K2550" s="343"/>
      <c r="L2550" s="345"/>
      <c r="M2550" s="343"/>
      <c r="N2550" s="598"/>
      <c r="O2550" s="585"/>
      <c r="P2550" s="341">
        <f t="shared" si="211"/>
        <v>0</v>
      </c>
      <c r="Q2550" s="71">
        <f t="shared" si="212"/>
        <v>0</v>
      </c>
      <c r="R2550" s="93" t="str">
        <f t="shared" si="213"/>
        <v/>
      </c>
    </row>
    <row r="2551" spans="1:18" x14ac:dyDescent="0.2">
      <c r="A2551" s="352" t="str">
        <f>IF(B2551="","",COUNT('Diário 1º PA'!$A$4:$A$2635)+COUNT('Diário 2º PA'!$A$4:$A$3040)+COUNT('Diário 3º PA'!$A$4:$A$2731)+ROW()-3)</f>
        <v/>
      </c>
      <c r="B2551" s="600"/>
      <c r="C2551" s="354"/>
      <c r="D2551" s="343"/>
      <c r="E2551" s="343"/>
      <c r="F2551" s="344"/>
      <c r="G2551" s="343"/>
      <c r="H2551" s="343"/>
      <c r="I2551" s="345"/>
      <c r="J2551" s="343"/>
      <c r="K2551" s="343"/>
      <c r="L2551" s="345"/>
      <c r="M2551" s="343"/>
      <c r="N2551" s="598"/>
      <c r="O2551" s="585"/>
      <c r="P2551" s="341">
        <f t="shared" si="211"/>
        <v>0</v>
      </c>
      <c r="Q2551" s="71">
        <f t="shared" si="212"/>
        <v>0</v>
      </c>
      <c r="R2551" s="93" t="str">
        <f t="shared" si="213"/>
        <v/>
      </c>
    </row>
    <row r="2552" spans="1:18" x14ac:dyDescent="0.2">
      <c r="A2552" s="352" t="str">
        <f>IF(B2552="","",COUNT('Diário 1º PA'!$A$4:$A$2635)+COUNT('Diário 2º PA'!$A$4:$A$3040)+COUNT('Diário 3º PA'!$A$4:$A$2731)+ROW()-3)</f>
        <v/>
      </c>
      <c r="B2552" s="600"/>
      <c r="C2552" s="354"/>
      <c r="D2552" s="343"/>
      <c r="E2552" s="343"/>
      <c r="F2552" s="344"/>
      <c r="G2552" s="343"/>
      <c r="H2552" s="343"/>
      <c r="I2552" s="345"/>
      <c r="J2552" s="343"/>
      <c r="K2552" s="343"/>
      <c r="L2552" s="345"/>
      <c r="M2552" s="343"/>
      <c r="N2552" s="598"/>
      <c r="O2552" s="585"/>
      <c r="P2552" s="341">
        <f t="shared" si="211"/>
        <v>0</v>
      </c>
      <c r="Q2552" s="71">
        <f t="shared" si="212"/>
        <v>0</v>
      </c>
      <c r="R2552" s="93" t="str">
        <f t="shared" si="213"/>
        <v/>
      </c>
    </row>
    <row r="2553" spans="1:18" x14ac:dyDescent="0.2">
      <c r="A2553" s="352" t="str">
        <f>IF(B2553="","",COUNT('Diário 1º PA'!$A$4:$A$2635)+COUNT('Diário 2º PA'!$A$4:$A$3040)+COUNT('Diário 3º PA'!$A$4:$A$2731)+ROW()-3)</f>
        <v/>
      </c>
      <c r="B2553" s="600"/>
      <c r="C2553" s="354"/>
      <c r="D2553" s="343"/>
      <c r="E2553" s="343"/>
      <c r="F2553" s="344"/>
      <c r="G2553" s="343"/>
      <c r="H2553" s="343"/>
      <c r="I2553" s="345"/>
      <c r="J2553" s="343"/>
      <c r="K2553" s="343"/>
      <c r="L2553" s="345"/>
      <c r="M2553" s="343"/>
      <c r="N2553" s="598"/>
      <c r="O2553" s="585"/>
      <c r="P2553" s="341">
        <f t="shared" si="211"/>
        <v>0</v>
      </c>
      <c r="Q2553" s="71">
        <f t="shared" si="212"/>
        <v>0</v>
      </c>
      <c r="R2553" s="93" t="str">
        <f t="shared" si="213"/>
        <v/>
      </c>
    </row>
    <row r="2554" spans="1:18" x14ac:dyDescent="0.2">
      <c r="A2554" s="352" t="str">
        <f>IF(B2554="","",COUNT('Diário 1º PA'!$A$4:$A$2635)+COUNT('Diário 2º PA'!$A$4:$A$3040)+COUNT('Diário 3º PA'!$A$4:$A$2731)+ROW()-3)</f>
        <v/>
      </c>
      <c r="B2554" s="600"/>
      <c r="C2554" s="354"/>
      <c r="D2554" s="343"/>
      <c r="E2554" s="343"/>
      <c r="F2554" s="344"/>
      <c r="G2554" s="343"/>
      <c r="H2554" s="343"/>
      <c r="I2554" s="345"/>
      <c r="J2554" s="343"/>
      <c r="K2554" s="343"/>
      <c r="L2554" s="345"/>
      <c r="M2554" s="343"/>
      <c r="N2554" s="598"/>
      <c r="O2554" s="585"/>
      <c r="P2554" s="341">
        <f t="shared" ref="P2554:P2564" si="214">IF(B2554=0,0,IF(YEAR(B2554)=$Q$1,MONTH(B2554)-$P$1+1,(YEAR(B2554)-$Q$1)*12-$P$1+1+MONTH(B2554)))</f>
        <v>0</v>
      </c>
      <c r="Q2554" s="71">
        <f t="shared" ref="Q2554:Q2564" si="215">IF(C2554=0,0,IF(YEAR(C2554)=$Q$1,MONTH(C2554)-$P$1+1,(YEAR(C2554)-$Q$1)*12-$P$1+1+MONTH(C2554)))</f>
        <v>0</v>
      </c>
      <c r="R2554" s="93" t="str">
        <f t="shared" ref="R2554:R2564" si="216">SUBSTITUTE(D2554," ","_")</f>
        <v/>
      </c>
    </row>
    <row r="2555" spans="1:18" x14ac:dyDescent="0.2">
      <c r="A2555" s="352" t="str">
        <f>IF(B2555="","",COUNT('Diário 1º PA'!$A$4:$A$2635)+COUNT('Diário 2º PA'!$A$4:$A$3040)+COUNT('Diário 3º PA'!$A$4:$A$2731)+ROW()-3)</f>
        <v/>
      </c>
      <c r="B2555" s="600"/>
      <c r="C2555" s="354"/>
      <c r="D2555" s="343"/>
      <c r="E2555" s="343"/>
      <c r="F2555" s="344"/>
      <c r="G2555" s="343"/>
      <c r="H2555" s="343"/>
      <c r="I2555" s="345"/>
      <c r="J2555" s="343"/>
      <c r="K2555" s="343"/>
      <c r="L2555" s="345"/>
      <c r="M2555" s="343"/>
      <c r="N2555" s="598"/>
      <c r="O2555" s="585"/>
      <c r="P2555" s="341">
        <f t="shared" si="214"/>
        <v>0</v>
      </c>
      <c r="Q2555" s="71">
        <f t="shared" si="215"/>
        <v>0</v>
      </c>
      <c r="R2555" s="93" t="str">
        <f t="shared" si="216"/>
        <v/>
      </c>
    </row>
    <row r="2556" spans="1:18" x14ac:dyDescent="0.2">
      <c r="A2556" s="352" t="str">
        <f>IF(B2556="","",COUNT('Diário 1º PA'!$A$4:$A$2635)+COUNT('Diário 2º PA'!$A$4:$A$3040)+COUNT('Diário 3º PA'!$A$4:$A$2731)+ROW()-3)</f>
        <v/>
      </c>
      <c r="B2556" s="600"/>
      <c r="C2556" s="354"/>
      <c r="D2556" s="343"/>
      <c r="E2556" s="343"/>
      <c r="F2556" s="344"/>
      <c r="G2556" s="343"/>
      <c r="H2556" s="343"/>
      <c r="I2556" s="345"/>
      <c r="J2556" s="343"/>
      <c r="K2556" s="343"/>
      <c r="L2556" s="345"/>
      <c r="M2556" s="343"/>
      <c r="N2556" s="598"/>
      <c r="O2556" s="585"/>
      <c r="P2556" s="341">
        <f t="shared" si="214"/>
        <v>0</v>
      </c>
      <c r="Q2556" s="71">
        <f t="shared" si="215"/>
        <v>0</v>
      </c>
      <c r="R2556" s="93" t="str">
        <f t="shared" si="216"/>
        <v/>
      </c>
    </row>
    <row r="2557" spans="1:18" x14ac:dyDescent="0.2">
      <c r="A2557" s="352" t="str">
        <f>IF(B2557="","",COUNT('Diário 1º PA'!$A$4:$A$2635)+COUNT('Diário 2º PA'!$A$4:$A$3040)+COUNT('Diário 3º PA'!$A$4:$A$2731)+ROW()-3)</f>
        <v/>
      </c>
      <c r="B2557" s="600"/>
      <c r="C2557" s="354"/>
      <c r="D2557" s="343"/>
      <c r="E2557" s="343"/>
      <c r="F2557" s="344"/>
      <c r="G2557" s="343"/>
      <c r="H2557" s="343"/>
      <c r="I2557" s="345"/>
      <c r="J2557" s="343"/>
      <c r="K2557" s="343"/>
      <c r="L2557" s="345"/>
      <c r="M2557" s="343"/>
      <c r="N2557" s="598"/>
      <c r="O2557" s="585"/>
      <c r="P2557" s="341">
        <f t="shared" si="214"/>
        <v>0</v>
      </c>
      <c r="Q2557" s="71">
        <f t="shared" si="215"/>
        <v>0</v>
      </c>
      <c r="R2557" s="93" t="str">
        <f t="shared" si="216"/>
        <v/>
      </c>
    </row>
    <row r="2558" spans="1:18" x14ac:dyDescent="0.2">
      <c r="A2558" s="352" t="str">
        <f>IF(B2558="","",COUNT('Diário 1º PA'!$A$4:$A$2635)+COUNT('Diário 2º PA'!$A$4:$A$3040)+COUNT('Diário 3º PA'!$A$4:$A$2731)+ROW()-3)</f>
        <v/>
      </c>
      <c r="B2558" s="600"/>
      <c r="C2558" s="354"/>
      <c r="D2558" s="343"/>
      <c r="E2558" s="343"/>
      <c r="F2558" s="344"/>
      <c r="G2558" s="343"/>
      <c r="H2558" s="343"/>
      <c r="I2558" s="345"/>
      <c r="J2558" s="343"/>
      <c r="K2558" s="343"/>
      <c r="L2558" s="345"/>
      <c r="M2558" s="343"/>
      <c r="N2558" s="598"/>
      <c r="O2558" s="585"/>
      <c r="P2558" s="341">
        <f t="shared" si="214"/>
        <v>0</v>
      </c>
      <c r="Q2558" s="71">
        <f t="shared" si="215"/>
        <v>0</v>
      </c>
      <c r="R2558" s="93" t="str">
        <f t="shared" si="216"/>
        <v/>
      </c>
    </row>
    <row r="2559" spans="1:18" x14ac:dyDescent="0.2">
      <c r="A2559" s="352" t="str">
        <f>IF(B2559="","",COUNT('Diário 1º PA'!$A$4:$A$2635)+COUNT('Diário 2º PA'!$A$4:$A$3040)+COUNT('Diário 3º PA'!$A$4:$A$2731)+ROW()-3)</f>
        <v/>
      </c>
      <c r="B2559" s="600"/>
      <c r="C2559" s="354"/>
      <c r="D2559" s="343"/>
      <c r="E2559" s="343"/>
      <c r="F2559" s="344"/>
      <c r="G2559" s="343"/>
      <c r="H2559" s="343"/>
      <c r="I2559" s="345"/>
      <c r="J2559" s="343"/>
      <c r="K2559" s="343"/>
      <c r="L2559" s="345"/>
      <c r="M2559" s="343"/>
      <c r="N2559" s="598"/>
      <c r="O2559" s="585"/>
      <c r="P2559" s="341">
        <f t="shared" si="214"/>
        <v>0</v>
      </c>
      <c r="Q2559" s="71">
        <f t="shared" si="215"/>
        <v>0</v>
      </c>
      <c r="R2559" s="93" t="str">
        <f t="shared" si="216"/>
        <v/>
      </c>
    </row>
    <row r="2560" spans="1:18" x14ac:dyDescent="0.2">
      <c r="A2560" s="352" t="str">
        <f>IF(B2560="","",COUNT('Diário 1º PA'!$A$4:$A$2635)+COUNT('Diário 2º PA'!$A$4:$A$3040)+COUNT('Diário 3º PA'!$A$4:$A$2731)+ROW()-3)</f>
        <v/>
      </c>
      <c r="B2560" s="600"/>
      <c r="C2560" s="354"/>
      <c r="D2560" s="343"/>
      <c r="E2560" s="343"/>
      <c r="F2560" s="344"/>
      <c r="G2560" s="343"/>
      <c r="H2560" s="343"/>
      <c r="I2560" s="345"/>
      <c r="J2560" s="343"/>
      <c r="K2560" s="343"/>
      <c r="L2560" s="345"/>
      <c r="M2560" s="343"/>
      <c r="N2560" s="598"/>
      <c r="O2560" s="585"/>
      <c r="P2560" s="341">
        <f t="shared" si="214"/>
        <v>0</v>
      </c>
      <c r="Q2560" s="71">
        <f t="shared" si="215"/>
        <v>0</v>
      </c>
      <c r="R2560" s="93" t="str">
        <f t="shared" si="216"/>
        <v/>
      </c>
    </row>
    <row r="2561" spans="1:18" x14ac:dyDescent="0.2">
      <c r="A2561" s="352" t="str">
        <f>IF(B2561="","",COUNT('Diário 1º PA'!$A$4:$A$2635)+COUNT('Diário 2º PA'!$A$4:$A$3040)+COUNT('Diário 3º PA'!$A$4:$A$2731)+ROW()-3)</f>
        <v/>
      </c>
      <c r="B2561" s="600"/>
      <c r="C2561" s="354"/>
      <c r="D2561" s="343"/>
      <c r="E2561" s="343"/>
      <c r="F2561" s="344"/>
      <c r="G2561" s="343"/>
      <c r="H2561" s="343"/>
      <c r="I2561" s="345"/>
      <c r="J2561" s="343"/>
      <c r="K2561" s="343"/>
      <c r="L2561" s="345"/>
      <c r="M2561" s="343"/>
      <c r="N2561" s="598"/>
      <c r="O2561" s="585"/>
      <c r="P2561" s="341">
        <f t="shared" si="214"/>
        <v>0</v>
      </c>
      <c r="Q2561" s="71">
        <f t="shared" si="215"/>
        <v>0</v>
      </c>
      <c r="R2561" s="93" t="str">
        <f t="shared" si="216"/>
        <v/>
      </c>
    </row>
    <row r="2562" spans="1:18" x14ac:dyDescent="0.2">
      <c r="A2562" s="352" t="str">
        <f>IF(B2562="","",COUNT('Diário 1º PA'!$A$4:$A$2635)+COUNT('Diário 2º PA'!$A$4:$A$3040)+COUNT('Diário 3º PA'!$A$4:$A$2731)+ROW()-3)</f>
        <v/>
      </c>
      <c r="B2562" s="600"/>
      <c r="C2562" s="354"/>
      <c r="D2562" s="343"/>
      <c r="E2562" s="343"/>
      <c r="F2562" s="344"/>
      <c r="G2562" s="343"/>
      <c r="H2562" s="343"/>
      <c r="I2562" s="345"/>
      <c r="J2562" s="343"/>
      <c r="K2562" s="343"/>
      <c r="L2562" s="345"/>
      <c r="M2562" s="343"/>
      <c r="N2562" s="598"/>
      <c r="O2562" s="585"/>
      <c r="P2562" s="341">
        <f t="shared" si="214"/>
        <v>0</v>
      </c>
      <c r="Q2562" s="71">
        <f t="shared" si="215"/>
        <v>0</v>
      </c>
      <c r="R2562" s="93" t="str">
        <f t="shared" si="216"/>
        <v/>
      </c>
    </row>
    <row r="2563" spans="1:18" x14ac:dyDescent="0.2">
      <c r="A2563" s="352" t="str">
        <f>IF(B2563="","",COUNT('Diário 1º PA'!$A$4:$A$2635)+COUNT('Diário 2º PA'!$A$4:$A$3040)+COUNT('Diário 3º PA'!$A$4:$A$2731)+ROW()-3)</f>
        <v/>
      </c>
      <c r="B2563" s="600"/>
      <c r="C2563" s="354"/>
      <c r="D2563" s="343"/>
      <c r="E2563" s="343"/>
      <c r="F2563" s="344"/>
      <c r="G2563" s="343"/>
      <c r="H2563" s="343"/>
      <c r="I2563" s="345"/>
      <c r="J2563" s="343"/>
      <c r="K2563" s="343"/>
      <c r="L2563" s="345"/>
      <c r="M2563" s="343"/>
      <c r="N2563" s="598"/>
      <c r="O2563" s="585"/>
      <c r="P2563" s="341">
        <f t="shared" si="214"/>
        <v>0</v>
      </c>
      <c r="Q2563" s="71">
        <f t="shared" si="215"/>
        <v>0</v>
      </c>
      <c r="R2563" s="93" t="str">
        <f t="shared" si="216"/>
        <v/>
      </c>
    </row>
    <row r="2564" spans="1:18" x14ac:dyDescent="0.2">
      <c r="A2564" s="352" t="str">
        <f>IF(B2564="","",COUNT('Diário 1º PA'!$A$4:$A$2635)+COUNT('Diário 2º PA'!$A$4:$A$3040)+COUNT('Diário 3º PA'!$A$4:$A$2731)+ROW()-3)</f>
        <v/>
      </c>
      <c r="B2564" s="600"/>
      <c r="C2564" s="354"/>
      <c r="D2564" s="343"/>
      <c r="E2564" s="343"/>
      <c r="F2564" s="344"/>
      <c r="G2564" s="343"/>
      <c r="H2564" s="343"/>
      <c r="I2564" s="345"/>
      <c r="J2564" s="343"/>
      <c r="K2564" s="343"/>
      <c r="L2564" s="345"/>
      <c r="M2564" s="343"/>
      <c r="N2564" s="598"/>
      <c r="O2564" s="585"/>
      <c r="P2564" s="341">
        <f t="shared" si="214"/>
        <v>0</v>
      </c>
      <c r="Q2564" s="71">
        <f t="shared" si="215"/>
        <v>0</v>
      </c>
      <c r="R2564" s="93" t="str">
        <f t="shared" si="216"/>
        <v/>
      </c>
    </row>
    <row r="2573" spans="1:18" x14ac:dyDescent="0.2">
      <c r="N2573" s="88"/>
    </row>
  </sheetData>
  <sheetProtection formatColumns="0" formatRows="0" insertColumns="0" insertRows="0" deleteRows="0" autoFilter="0"/>
  <autoFilter ref="A3:T2564" xr:uid="{00000000-0009-0000-0000-00000D000000}">
    <filterColumn colId="5">
      <colorFilter dxfId="22"/>
    </filterColumn>
  </autoFilter>
  <mergeCells count="2">
    <mergeCell ref="A1:N1"/>
    <mergeCell ref="A2:N2"/>
  </mergeCells>
  <conditionalFormatting sqref="K377:L377">
    <cfRule type="duplicateValues" dxfId="21" priority="27"/>
  </conditionalFormatting>
  <conditionalFormatting sqref="K378:L378">
    <cfRule type="duplicateValues" dxfId="20" priority="26"/>
  </conditionalFormatting>
  <conditionalFormatting sqref="C1790:D1790">
    <cfRule type="timePeriod" dxfId="19" priority="25" timePeriod="lastWeek">
      <formula>AND(TODAY()-ROUNDDOWN(C1790,0)&gt;=(WEEKDAY(TODAY())),TODAY()-ROUNDDOWN(C1790,0)&lt;(WEEKDAY(TODAY())+7))</formula>
    </cfRule>
  </conditionalFormatting>
  <conditionalFormatting sqref="C1791">
    <cfRule type="timePeriod" dxfId="18" priority="24" timePeriod="lastWeek">
      <formula>AND(TODAY()-ROUNDDOWN(C1791,0)&gt;=(WEEKDAY(TODAY())),TODAY()-ROUNDDOWN(C1791,0)&lt;(WEEKDAY(TODAY())+7))</formula>
    </cfRule>
  </conditionalFormatting>
  <conditionalFormatting sqref="C1792">
    <cfRule type="timePeriod" dxfId="17" priority="23" timePeriod="lastWeek">
      <formula>AND(TODAY()-ROUNDDOWN(C1792,0)&gt;=(WEEKDAY(TODAY())),TODAY()-ROUNDDOWN(C1792,0)&lt;(WEEKDAY(TODAY())+7))</formula>
    </cfRule>
  </conditionalFormatting>
  <conditionalFormatting sqref="C1793">
    <cfRule type="timePeriod" dxfId="16" priority="22" timePeriod="lastWeek">
      <formula>AND(TODAY()-ROUNDDOWN(C1793,0)&gt;=(WEEKDAY(TODAY())),TODAY()-ROUNDDOWN(C1793,0)&lt;(WEEKDAY(TODAY())+7))</formula>
    </cfRule>
  </conditionalFormatting>
  <conditionalFormatting sqref="C1794">
    <cfRule type="timePeriod" dxfId="15" priority="21" timePeriod="lastWeek">
      <formula>AND(TODAY()-ROUNDDOWN(C1794,0)&gt;=(WEEKDAY(TODAY())),TODAY()-ROUNDDOWN(C1794,0)&lt;(WEEKDAY(TODAY())+7))</formula>
    </cfRule>
  </conditionalFormatting>
  <conditionalFormatting sqref="C1795">
    <cfRule type="timePeriod" dxfId="14" priority="20" timePeriod="lastWeek">
      <formula>AND(TODAY()-ROUNDDOWN(C1795,0)&gt;=(WEEKDAY(TODAY())),TODAY()-ROUNDDOWN(C1795,0)&lt;(WEEKDAY(TODAY())+7))</formula>
    </cfRule>
  </conditionalFormatting>
  <conditionalFormatting sqref="C1796">
    <cfRule type="timePeriod" dxfId="13" priority="19" timePeriod="lastWeek">
      <formula>AND(TODAY()-ROUNDDOWN(C1796,0)&gt;=(WEEKDAY(TODAY())),TODAY()-ROUNDDOWN(C1796,0)&lt;(WEEKDAY(TODAY())+7))</formula>
    </cfRule>
  </conditionalFormatting>
  <conditionalFormatting sqref="C1797">
    <cfRule type="timePeriod" dxfId="12" priority="18" timePeriod="lastWeek">
      <formula>AND(TODAY()-ROUNDDOWN(C1797,0)&gt;=(WEEKDAY(TODAY())),TODAY()-ROUNDDOWN(C1797,0)&lt;(WEEKDAY(TODAY())+7))</formula>
    </cfRule>
  </conditionalFormatting>
  <conditionalFormatting sqref="C1798">
    <cfRule type="timePeriod" dxfId="11" priority="17" timePeriod="lastWeek">
      <formula>AND(TODAY()-ROUNDDOWN(C1798,0)&gt;=(WEEKDAY(TODAY())),TODAY()-ROUNDDOWN(C1798,0)&lt;(WEEKDAY(TODAY())+7))</formula>
    </cfRule>
  </conditionalFormatting>
  <conditionalFormatting sqref="C1800">
    <cfRule type="timePeriod" dxfId="10" priority="15" timePeriod="lastWeek">
      <formula>AND(TODAY()-ROUNDDOWN(C1800,0)&gt;=(WEEKDAY(TODAY())),TODAY()-ROUNDDOWN(C1800,0)&lt;(WEEKDAY(TODAY())+7))</formula>
    </cfRule>
  </conditionalFormatting>
  <conditionalFormatting sqref="C1801">
    <cfRule type="timePeriod" dxfId="9" priority="14" timePeriod="lastWeek">
      <formula>AND(TODAY()-ROUNDDOWN(C1801,0)&gt;=(WEEKDAY(TODAY())),TODAY()-ROUNDDOWN(C1801,0)&lt;(WEEKDAY(TODAY())+7))</formula>
    </cfRule>
  </conditionalFormatting>
  <conditionalFormatting sqref="C1802">
    <cfRule type="timePeriod" dxfId="8" priority="13" timePeriod="lastWeek">
      <formula>AND(TODAY()-ROUNDDOWN(C1802,0)&gt;=(WEEKDAY(TODAY())),TODAY()-ROUNDDOWN(C1802,0)&lt;(WEEKDAY(TODAY())+7))</formula>
    </cfRule>
  </conditionalFormatting>
  <conditionalFormatting sqref="C1803">
    <cfRule type="timePeriod" dxfId="7" priority="12" timePeriod="lastWeek">
      <formula>AND(TODAY()-ROUNDDOWN(C1803,0)&gt;=(WEEKDAY(TODAY())),TODAY()-ROUNDDOWN(C1803,0)&lt;(WEEKDAY(TODAY())+7))</formula>
    </cfRule>
  </conditionalFormatting>
  <conditionalFormatting sqref="C1805">
    <cfRule type="timePeriod" dxfId="6" priority="11" timePeriod="lastWeek">
      <formula>AND(TODAY()-ROUNDDOWN(C1805,0)&gt;=(WEEKDAY(TODAY())),TODAY()-ROUNDDOWN(C1805,0)&lt;(WEEKDAY(TODAY())+7))</formula>
    </cfRule>
  </conditionalFormatting>
  <conditionalFormatting sqref="C1806">
    <cfRule type="timePeriod" dxfId="5" priority="10" timePeriod="lastWeek">
      <formula>AND(TODAY()-ROUNDDOWN(C1806,0)&gt;=(WEEKDAY(TODAY())),TODAY()-ROUNDDOWN(C1806,0)&lt;(WEEKDAY(TODAY())+7))</formula>
    </cfRule>
  </conditionalFormatting>
  <conditionalFormatting sqref="C1809">
    <cfRule type="timePeriod" dxfId="4" priority="8" timePeriod="lastWeek">
      <formula>AND(TODAY()-ROUNDDOWN(C1809,0)&gt;=(WEEKDAY(TODAY())),TODAY()-ROUNDDOWN(C1809,0)&lt;(WEEKDAY(TODAY())+7))</formula>
    </cfRule>
  </conditionalFormatting>
  <conditionalFormatting sqref="N1809:N1826">
    <cfRule type="timePeriod" dxfId="3" priority="7" timePeriod="lastWeek">
      <formula>AND(TODAY()-ROUNDDOWN(N1809,0)&gt;=(WEEKDAY(TODAY())),TODAY()-ROUNDDOWN(N1809,0)&lt;(WEEKDAY(TODAY())+7))</formula>
    </cfRule>
  </conditionalFormatting>
  <conditionalFormatting sqref="B1731:B1732">
    <cfRule type="timePeriod" dxfId="2" priority="6" timePeriod="lastWeek">
      <formula>AND(TODAY()-ROUNDDOWN(B1731,0)&gt;=(WEEKDAY(TODAY())),TODAY()-ROUNDDOWN(B1731,0)&lt;(WEEKDAY(TODAY())+7))</formula>
    </cfRule>
  </conditionalFormatting>
  <conditionalFormatting sqref="B1734:B1735">
    <cfRule type="timePeriod" dxfId="1" priority="4" timePeriod="lastWeek">
      <formula>AND(TODAY()-ROUNDDOWN(B1734,0)&gt;=(WEEKDAY(TODAY())),TODAY()-ROUNDDOWN(B1734,0)&lt;(WEEKDAY(TODAY())+7))</formula>
    </cfRule>
  </conditionalFormatting>
  <conditionalFormatting sqref="B1725:B1726">
    <cfRule type="timePeriod" dxfId="0" priority="2" timePeriod="lastWeek">
      <formula>AND(TODAY()-ROUNDDOWN(B1725,0)&gt;=(WEEKDAY(TODAY())),TODAY()-ROUNDDOWN(B1725,0)&lt;(WEEKDAY(TODAY())+7))</formula>
    </cfRule>
  </conditionalFormatting>
  <dataValidations count="6">
    <dataValidation type="list" allowBlank="1" showInputMessage="1" showErrorMessage="1" sqref="E321:E329 E337:E358 E332:E333 E4:E312 E314:E318 E366:E373 E379:E381 E386:E396 E398:E403 E414 E406:E408 E516:E526 E494:E498 E503:E508 E510:E511 E433:E490 E529:E545 F546 E549 E551:E573 E577:E605 E608:E610 E619 E648:E662 E639 E664 E622:E637 E668:E697 E699:E756 E758 E760:E816 E819:E820 E838 E846 E851:E932 E940:E956 E958 E960 E962:E972 E974:E975 E998:E1000 E981:E995 E1004:E1012 E1014:E1015 E1019:E1094 E1102 E1106:E1108 E2038:E2564 E1156:E1159 E1148:E1154 E1161 E1137:E1146 E1163:E1168 E1170 E1172 E1116:E1134 E1190 E1192 E1178:E1184 E1355:E1358 E1353 E1363 E1194:E1342 E1367:E1375 E1497:E1501 E1378:E1495 E1507:E1544 E1546 E1550:E1551 E1564:E1565 E1571 E1627:E1628 E1632 E1634 E1575:E1625 E1639:E1642 E1647:E1651 E1344:E1351 E1672 E1674 E1677 E1682:E1683 E1686:E1708 E1711 E1817:E1826 E1749:E1757 E1760:E1763 E1767:E1768 E1770:E1773 E1775:E1780 E1782 E1784:E1798 E1800:E1803 E1805:E1806 E1809 E1811 E1813 E1815 E1726:E1730 E1716:E1721 E1735:E1747 E1732:E1733 E1724 E1829:E1936 E1657:E1670 E1952 E1942:E1950 E1991:E2018 E1982:E1988 E2028 E2030:E2036 E1713 E1955:E1978" xr:uid="{00000000-0002-0000-0D00-000000000000}">
      <formula1>INDIRECT($R4)</formula1>
    </dataValidation>
    <dataValidation type="list" allowBlank="1" showInputMessage="1" showErrorMessage="1" sqref="E313 D418 E330:E331 E334:E336 E359:E365 E374:E378 E382:E385 E397 D404:E404 E405 E409:E413 D415:E416 E319:E320 D424:D425 E491:E493 E499:E502 E509 E512:E515 E527:E528 E546:E548 E550 E574:E576 E606:E607 E1364:E1366 E620:E621 E638 E640:E647 E665:E667 E663 E698 E757 E759 E817:E818 E821 D822:E822 E823:E836 D837:E837 E839:E845 E847:E850 E933:E939 E957 E959 E961 E973 E976:E980 D977 E1001:E1003 E996:E997 E1013 E1016:E1018 E1095:E1101 E1109:E1115 E417:E432 E1103:E1105 D1135:E1136 E1147 E1162 E1155 E1160 E1169 E1171 E1173:E1177 E1185:E1189 E1191 E1193 E1343 E1352 E611:E618 E1359:E1362 E1354 E1376:E1377 E1496 E1502:E1506 E1545 E1547:E1549 D1552:E1552 E1553:E1563 E1566 D1567:E1567 E1568:E1570 E1635:E1638 E1629:E1631 E1633 E1572:E1574 E1626 E1643:E1646 E1652:E1656 E1671 E1673 E1675:E1676 E1678:E1681 E1684:E1685 E1712 E1709:E1710 E1748 D1758:E1758 E1759 E1764:E1766 E1769 E1774 D1781:E1781 E1783 E1799 E1804 E1807:E1808 E1810 E1812 E1814 E1816 E1827:E1828 E1722:E1723 E1731 E1734 E1725 E1937:E1941 E1951 E1953:E1954 E1979:E1981 E1989:E1990 E2029 E2019:E2027 E2037 E1714:E1715" xr:uid="{00000000-0002-0000-0D00-000001000000}">
      <formula1>INDIRECT($J313)</formula1>
    </dataValidation>
    <dataValidation type="list" allowBlank="1" showInputMessage="1" showErrorMessage="1" sqref="D4:D403 D405:D414 D417 D426:D821 D823:D825 D827:D836 D838:D976 D419:D423 D1568:D1757 D978:D1134 D1553:D1566 D1137:D1551 D1759:D1780 D1782:D2564" xr:uid="{00000000-0002-0000-0D00-000002000000}">
      <formula1>Categorias</formula1>
    </dataValidation>
    <dataValidation type="list" allowBlank="1" showInputMessage="1" showErrorMessage="1" sqref="H551:I551 H977:I977 H552:H976 F1096 F1100 H4:H549 H1172:H1505 H1506:I1506 H978:H1170 H1632:I1632 H1507:H1631 H1633:H2564" xr:uid="{00000000-0002-0000-0D00-000003000000}">
      <formula1>VinculoPT</formula1>
    </dataValidation>
    <dataValidation type="list" allowBlank="1" showInputMessage="1" showErrorMessage="1" sqref="E1634" xr:uid="{00000000-0002-0000-0D00-000004000000}">
      <formula1>INDIRECT($J1633)</formula1>
    </dataValidation>
    <dataValidation type="list" allowBlank="1" showInputMessage="1" showErrorMessage="1" sqref="O4:O2564" xr:uid="{00000000-0002-0000-0D00-000005000000}">
      <formula1>Conta</formula1>
    </dataValidation>
  </dataValidations>
  <pageMargins left="0.59055118110236227" right="0.59055118110236227" top="0.59055118110236227" bottom="0.59055118110236227" header="0" footer="0"/>
  <pageSetup paperSize="9" scale="47" fitToHeight="0" pageOrder="overThenDown" orientation="landscape" r:id="rId1"/>
  <headerFooter>
    <oddFooter>Página &amp;P de &amp;N</oddFooter>
  </headerFooter>
  <rowBreaks count="9" manualBreakCount="9">
    <brk id="96" max="16383" man="1"/>
    <brk id="368" max="16383" man="1"/>
    <brk id="369" max="16383" man="1"/>
    <brk id="821" max="16383" man="1"/>
    <brk id="874" max="16383" man="1"/>
    <brk id="879" max="16383" man="1"/>
    <brk id="972" max="16383" man="1"/>
    <brk id="1472" max="19" man="1"/>
    <brk id="1509"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016"/>
  <sheetViews>
    <sheetView zoomScaleSheetLayoutView="100" workbookViewId="0">
      <pane ySplit="3" topLeftCell="A48" activePane="bottomLeft" state="frozen"/>
      <selection activeCell="G29" sqref="G29"/>
      <selection pane="bottomLeft" activeCell="G7" sqref="G7"/>
    </sheetView>
  </sheetViews>
  <sheetFormatPr defaultColWidth="9.140625" defaultRowHeight="12.75" x14ac:dyDescent="0.2"/>
  <cols>
    <col min="1" max="1" width="5.7109375" style="106" customWidth="1"/>
    <col min="2" max="2" width="10.140625" style="89" bestFit="1" customWidth="1"/>
    <col min="3" max="3" width="23.5703125" style="57" customWidth="1"/>
    <col min="4" max="4" width="12.85546875" style="56" customWidth="1"/>
    <col min="5" max="5" width="52.5703125" style="55" customWidth="1"/>
    <col min="6" max="6" width="23.85546875" style="98" customWidth="1"/>
    <col min="7" max="7" width="20" style="305" customWidth="1"/>
    <col min="8" max="8" width="17.28515625" style="305" customWidth="1"/>
    <col min="9" max="9" width="13.42578125" style="306" customWidth="1"/>
    <col min="10" max="10" width="14.42578125" style="305" customWidth="1"/>
    <col min="11" max="11" width="11" style="56" customWidth="1"/>
    <col min="12" max="12" width="14.85546875" style="92" hidden="1" customWidth="1"/>
    <col min="13" max="16384" width="9.140625" style="88"/>
  </cols>
  <sheetData>
    <row r="1" spans="1:12" ht="18" customHeight="1" x14ac:dyDescent="0.2">
      <c r="A1" s="776" t="str">
        <f>Capa!A1</f>
        <v>Contrato de Gestão nº. 05/20 celebrado entre a Fundação Clóvis Salgado e a Associação Pró-Cultura e Promoção das Artes</v>
      </c>
      <c r="B1" s="776"/>
      <c r="C1" s="776"/>
      <c r="D1" s="776"/>
      <c r="E1" s="776"/>
      <c r="F1" s="776"/>
      <c r="G1" s="776"/>
      <c r="H1" s="776"/>
      <c r="I1" s="776"/>
      <c r="J1" s="776"/>
      <c r="K1" s="776"/>
      <c r="L1" s="89">
        <f>MONTH(Resumo!C5)</f>
        <v>1</v>
      </c>
    </row>
    <row r="2" spans="1:12" ht="18" customHeight="1" x14ac:dyDescent="0.2">
      <c r="A2" s="813" t="str">
        <f>"Tabela 10 - Diário de Entradas e Saídas da Reserva de Recursos "&amp;YEAR(Resumo!C5)</f>
        <v>Tabela 10 - Diário de Entradas e Saídas da Reserva de Recursos 2022</v>
      </c>
      <c r="B2" s="813"/>
      <c r="C2" s="813"/>
      <c r="D2" s="813"/>
      <c r="E2" s="813"/>
      <c r="F2" s="813"/>
      <c r="G2" s="813"/>
      <c r="H2" s="813"/>
      <c r="I2" s="813"/>
      <c r="J2" s="813"/>
      <c r="K2" s="813"/>
      <c r="L2" s="90"/>
    </row>
    <row r="3" spans="1:12" s="91" customFormat="1" ht="50.25" customHeight="1" x14ac:dyDescent="0.2">
      <c r="A3" s="499" t="s">
        <v>97</v>
      </c>
      <c r="B3" s="499" t="s">
        <v>280</v>
      </c>
      <c r="C3" s="500" t="s">
        <v>35</v>
      </c>
      <c r="D3" s="500" t="s">
        <v>272</v>
      </c>
      <c r="E3" s="500" t="s">
        <v>55</v>
      </c>
      <c r="F3" s="501" t="s">
        <v>54</v>
      </c>
      <c r="G3" s="500" t="s">
        <v>56</v>
      </c>
      <c r="H3" s="500" t="s">
        <v>76</v>
      </c>
      <c r="I3" s="501" t="s">
        <v>52</v>
      </c>
      <c r="J3" s="500" t="s">
        <v>75</v>
      </c>
      <c r="K3" s="500" t="s">
        <v>165</v>
      </c>
      <c r="L3" s="502" t="s">
        <v>281</v>
      </c>
    </row>
    <row r="4" spans="1:12" ht="48" x14ac:dyDescent="0.2">
      <c r="A4" s="432">
        <v>1</v>
      </c>
      <c r="B4" s="420">
        <v>44586</v>
      </c>
      <c r="C4" s="419" t="s">
        <v>315</v>
      </c>
      <c r="D4" s="422">
        <v>9479.66</v>
      </c>
      <c r="E4" s="415" t="s">
        <v>1512</v>
      </c>
      <c r="F4" s="434" t="s">
        <v>1944</v>
      </c>
      <c r="G4" s="426" t="s">
        <v>796</v>
      </c>
      <c r="H4" s="434" t="s">
        <v>797</v>
      </c>
      <c r="I4" s="434" t="s">
        <v>798</v>
      </c>
      <c r="J4" s="436" t="s">
        <v>310</v>
      </c>
      <c r="K4" s="413">
        <v>44586</v>
      </c>
      <c r="L4" s="300">
        <f>IF(B4=0,0,MONTH(B4)-$L$1+1)</f>
        <v>1</v>
      </c>
    </row>
    <row r="5" spans="1:12" ht="24" x14ac:dyDescent="0.2">
      <c r="A5" s="432">
        <v>2</v>
      </c>
      <c r="B5" s="420">
        <v>44586</v>
      </c>
      <c r="C5" s="419" t="s">
        <v>320</v>
      </c>
      <c r="D5" s="422">
        <v>153</v>
      </c>
      <c r="E5" s="419" t="s">
        <v>880</v>
      </c>
      <c r="F5" s="398" t="s">
        <v>881</v>
      </c>
      <c r="G5" s="400" t="s">
        <v>882</v>
      </c>
      <c r="H5" s="400" t="s">
        <v>883</v>
      </c>
      <c r="I5" s="399" t="s">
        <v>798</v>
      </c>
      <c r="J5" s="402" t="s">
        <v>310</v>
      </c>
      <c r="K5" s="413">
        <v>44586</v>
      </c>
      <c r="L5" s="300">
        <f t="shared" ref="L5:L68" si="0">IF(B5=0,0,MONTH(B5)-$L$1+1)</f>
        <v>1</v>
      </c>
    </row>
    <row r="6" spans="1:12" ht="48" x14ac:dyDescent="0.2">
      <c r="A6" s="432">
        <v>3</v>
      </c>
      <c r="B6" s="420">
        <v>44592</v>
      </c>
      <c r="C6" s="419" t="s">
        <v>324</v>
      </c>
      <c r="D6" s="422">
        <v>303.32</v>
      </c>
      <c r="E6" s="419" t="s">
        <v>1519</v>
      </c>
      <c r="F6" s="434" t="s">
        <v>1944</v>
      </c>
      <c r="G6" s="426" t="s">
        <v>796</v>
      </c>
      <c r="H6" s="434" t="s">
        <v>797</v>
      </c>
      <c r="I6" s="434" t="s">
        <v>798</v>
      </c>
      <c r="J6" s="436" t="s">
        <v>310</v>
      </c>
      <c r="K6" s="413">
        <v>44592</v>
      </c>
      <c r="L6" s="300">
        <f t="shared" si="0"/>
        <v>1</v>
      </c>
    </row>
    <row r="7" spans="1:12" ht="48" x14ac:dyDescent="0.2">
      <c r="A7" s="432">
        <v>4</v>
      </c>
      <c r="B7" s="420">
        <v>44620</v>
      </c>
      <c r="C7" s="419" t="s">
        <v>324</v>
      </c>
      <c r="D7" s="422">
        <v>368.08</v>
      </c>
      <c r="E7" s="419" t="s">
        <v>1941</v>
      </c>
      <c r="F7" s="434" t="s">
        <v>1944</v>
      </c>
      <c r="G7" s="426" t="s">
        <v>796</v>
      </c>
      <c r="H7" s="434" t="s">
        <v>797</v>
      </c>
      <c r="I7" s="434" t="s">
        <v>798</v>
      </c>
      <c r="J7" s="436" t="s">
        <v>310</v>
      </c>
      <c r="K7" s="413">
        <v>44620</v>
      </c>
      <c r="L7" s="300">
        <f t="shared" si="0"/>
        <v>2</v>
      </c>
    </row>
    <row r="8" spans="1:12" ht="48" x14ac:dyDescent="0.2">
      <c r="A8" s="432">
        <v>5</v>
      </c>
      <c r="B8" s="420">
        <v>44623</v>
      </c>
      <c r="C8" s="419" t="s">
        <v>315</v>
      </c>
      <c r="D8" s="422">
        <v>5090.76</v>
      </c>
      <c r="E8" s="415" t="s">
        <v>1519</v>
      </c>
      <c r="F8" s="434" t="s">
        <v>1944</v>
      </c>
      <c r="G8" s="426" t="s">
        <v>796</v>
      </c>
      <c r="H8" s="434" t="s">
        <v>797</v>
      </c>
      <c r="I8" s="434" t="s">
        <v>798</v>
      </c>
      <c r="J8" s="436" t="s">
        <v>310</v>
      </c>
      <c r="K8" s="413">
        <v>44623</v>
      </c>
      <c r="L8" s="300">
        <f t="shared" ref="L8:L14" si="1">IF(B8=0,0,MONTH(B8)-$L$1+1)</f>
        <v>3</v>
      </c>
    </row>
    <row r="9" spans="1:12" ht="24" x14ac:dyDescent="0.2">
      <c r="A9" s="432">
        <v>6</v>
      </c>
      <c r="B9" s="420">
        <v>44623</v>
      </c>
      <c r="C9" s="419" t="s">
        <v>320</v>
      </c>
      <c r="D9" s="422">
        <v>153</v>
      </c>
      <c r="E9" s="419" t="s">
        <v>880</v>
      </c>
      <c r="F9" s="398" t="s">
        <v>881</v>
      </c>
      <c r="G9" s="400" t="s">
        <v>882</v>
      </c>
      <c r="H9" s="400" t="s">
        <v>883</v>
      </c>
      <c r="I9" s="399" t="s">
        <v>798</v>
      </c>
      <c r="J9" s="402" t="s">
        <v>310</v>
      </c>
      <c r="K9" s="413">
        <v>44623</v>
      </c>
      <c r="L9" s="300">
        <f t="shared" si="1"/>
        <v>3</v>
      </c>
    </row>
    <row r="10" spans="1:12" ht="48" x14ac:dyDescent="0.2">
      <c r="A10" s="432">
        <v>7</v>
      </c>
      <c r="B10" s="420">
        <v>44628</v>
      </c>
      <c r="C10" s="419" t="s">
        <v>315</v>
      </c>
      <c r="D10" s="422">
        <v>1279.25</v>
      </c>
      <c r="E10" s="415" t="s">
        <v>2672</v>
      </c>
      <c r="F10" s="434" t="s">
        <v>1944</v>
      </c>
      <c r="G10" s="426" t="s">
        <v>796</v>
      </c>
      <c r="H10" s="434" t="s">
        <v>797</v>
      </c>
      <c r="I10" s="434" t="s">
        <v>798</v>
      </c>
      <c r="J10" s="436" t="s">
        <v>310</v>
      </c>
      <c r="K10" s="413">
        <v>44628</v>
      </c>
      <c r="L10" s="300">
        <f t="shared" si="1"/>
        <v>3</v>
      </c>
    </row>
    <row r="11" spans="1:12" ht="29.25" customHeight="1" x14ac:dyDescent="0.2">
      <c r="A11" s="432">
        <v>8</v>
      </c>
      <c r="B11" s="420">
        <v>44628</v>
      </c>
      <c r="C11" s="419" t="s">
        <v>320</v>
      </c>
      <c r="D11" s="422">
        <v>153</v>
      </c>
      <c r="E11" s="419" t="s">
        <v>880</v>
      </c>
      <c r="F11" s="398" t="s">
        <v>881</v>
      </c>
      <c r="G11" s="400" t="s">
        <v>882</v>
      </c>
      <c r="H11" s="400" t="s">
        <v>883</v>
      </c>
      <c r="I11" s="399" t="s">
        <v>798</v>
      </c>
      <c r="J11" s="402" t="s">
        <v>310</v>
      </c>
      <c r="K11" s="413">
        <v>44628</v>
      </c>
      <c r="L11" s="300">
        <f t="shared" si="1"/>
        <v>3</v>
      </c>
    </row>
    <row r="12" spans="1:12" ht="48" x14ac:dyDescent="0.2">
      <c r="A12" s="432">
        <v>9</v>
      </c>
      <c r="B12" s="420">
        <v>44645</v>
      </c>
      <c r="C12" s="419" t="s">
        <v>315</v>
      </c>
      <c r="D12" s="422">
        <v>5030.43</v>
      </c>
      <c r="E12" s="415" t="s">
        <v>1941</v>
      </c>
      <c r="F12" s="434" t="s">
        <v>1944</v>
      </c>
      <c r="G12" s="426" t="s">
        <v>796</v>
      </c>
      <c r="H12" s="434" t="s">
        <v>797</v>
      </c>
      <c r="I12" s="434" t="s">
        <v>798</v>
      </c>
      <c r="J12" s="436" t="s">
        <v>310</v>
      </c>
      <c r="K12" s="413">
        <v>44645</v>
      </c>
      <c r="L12" s="300">
        <f t="shared" si="1"/>
        <v>3</v>
      </c>
    </row>
    <row r="13" spans="1:12" ht="48" x14ac:dyDescent="0.2">
      <c r="A13" s="432">
        <v>10</v>
      </c>
      <c r="B13" s="420">
        <v>44645</v>
      </c>
      <c r="C13" s="419" t="s">
        <v>315</v>
      </c>
      <c r="D13" s="422">
        <v>5479.99</v>
      </c>
      <c r="E13" s="415" t="s">
        <v>2673</v>
      </c>
      <c r="F13" s="434" t="s">
        <v>1944</v>
      </c>
      <c r="G13" s="426" t="s">
        <v>796</v>
      </c>
      <c r="H13" s="434" t="s">
        <v>797</v>
      </c>
      <c r="I13" s="434" t="s">
        <v>798</v>
      </c>
      <c r="J13" s="436" t="s">
        <v>310</v>
      </c>
      <c r="K13" s="413">
        <v>44645</v>
      </c>
      <c r="L13" s="300">
        <f t="shared" si="1"/>
        <v>3</v>
      </c>
    </row>
    <row r="14" spans="1:12" ht="48" x14ac:dyDescent="0.2">
      <c r="A14" s="432">
        <v>11</v>
      </c>
      <c r="B14" s="420">
        <v>44651</v>
      </c>
      <c r="C14" s="419" t="s">
        <v>324</v>
      </c>
      <c r="D14" s="422">
        <v>482.82</v>
      </c>
      <c r="E14" s="419" t="s">
        <v>2669</v>
      </c>
      <c r="F14" s="434" t="s">
        <v>1944</v>
      </c>
      <c r="G14" s="426" t="s">
        <v>796</v>
      </c>
      <c r="H14" s="434" t="s">
        <v>797</v>
      </c>
      <c r="I14" s="434" t="s">
        <v>798</v>
      </c>
      <c r="J14" s="436" t="s">
        <v>310</v>
      </c>
      <c r="K14" s="413">
        <v>44651</v>
      </c>
      <c r="L14" s="300">
        <f t="shared" si="1"/>
        <v>3</v>
      </c>
    </row>
    <row r="15" spans="1:12" ht="48" x14ac:dyDescent="0.2">
      <c r="A15" s="432">
        <v>12</v>
      </c>
      <c r="B15" s="420">
        <v>44677</v>
      </c>
      <c r="C15" s="419" t="s">
        <v>315</v>
      </c>
      <c r="D15" s="422">
        <v>10906.71</v>
      </c>
      <c r="E15" s="419" t="s">
        <v>2669</v>
      </c>
      <c r="F15" s="415" t="s">
        <v>1944</v>
      </c>
      <c r="G15" s="401" t="s">
        <v>796</v>
      </c>
      <c r="H15" s="401" t="s">
        <v>797</v>
      </c>
      <c r="I15" s="467" t="s">
        <v>798</v>
      </c>
      <c r="J15" s="401" t="s">
        <v>310</v>
      </c>
      <c r="K15" s="420">
        <v>44677</v>
      </c>
      <c r="L15" s="300">
        <f t="shared" si="0"/>
        <v>4</v>
      </c>
    </row>
    <row r="16" spans="1:12" ht="24" x14ac:dyDescent="0.2">
      <c r="A16" s="432">
        <v>13</v>
      </c>
      <c r="B16" s="420">
        <v>44677</v>
      </c>
      <c r="C16" s="419" t="s">
        <v>320</v>
      </c>
      <c r="D16" s="422">
        <v>153</v>
      </c>
      <c r="E16" s="419" t="s">
        <v>880</v>
      </c>
      <c r="F16" s="415" t="s">
        <v>881</v>
      </c>
      <c r="G16" s="401" t="s">
        <v>882</v>
      </c>
      <c r="H16" s="401" t="s">
        <v>883</v>
      </c>
      <c r="I16" s="467" t="s">
        <v>798</v>
      </c>
      <c r="J16" s="401" t="s">
        <v>310</v>
      </c>
      <c r="K16" s="420">
        <v>44677</v>
      </c>
      <c r="L16" s="300">
        <f t="shared" si="0"/>
        <v>4</v>
      </c>
    </row>
    <row r="17" spans="1:12" ht="48" x14ac:dyDescent="0.2">
      <c r="A17" s="432">
        <v>14</v>
      </c>
      <c r="B17" s="420">
        <v>44681</v>
      </c>
      <c r="C17" s="419" t="s">
        <v>324</v>
      </c>
      <c r="D17" s="422">
        <v>493.89</v>
      </c>
      <c r="E17" s="419" t="s">
        <v>3727</v>
      </c>
      <c r="F17" s="415" t="s">
        <v>1944</v>
      </c>
      <c r="G17" s="401" t="s">
        <v>796</v>
      </c>
      <c r="H17" s="401" t="s">
        <v>797</v>
      </c>
      <c r="I17" s="467" t="s">
        <v>798</v>
      </c>
      <c r="J17" s="401" t="s">
        <v>310</v>
      </c>
      <c r="K17" s="420">
        <v>44681</v>
      </c>
      <c r="L17" s="300">
        <f t="shared" si="0"/>
        <v>4</v>
      </c>
    </row>
    <row r="18" spans="1:12" ht="48" x14ac:dyDescent="0.2">
      <c r="A18" s="432">
        <v>15</v>
      </c>
      <c r="B18" s="420">
        <v>44685</v>
      </c>
      <c r="C18" s="419" t="s">
        <v>315</v>
      </c>
      <c r="D18" s="422">
        <v>5064.8599999999997</v>
      </c>
      <c r="E18" s="415" t="s">
        <v>4421</v>
      </c>
      <c r="F18" s="434" t="s">
        <v>1944</v>
      </c>
      <c r="G18" s="426" t="s">
        <v>796</v>
      </c>
      <c r="H18" s="434" t="s">
        <v>797</v>
      </c>
      <c r="I18" s="434" t="s">
        <v>798</v>
      </c>
      <c r="J18" s="436" t="s">
        <v>310</v>
      </c>
      <c r="K18" s="413">
        <v>44685</v>
      </c>
      <c r="L18" s="300">
        <f t="shared" ref="L18:L29" si="2">IF(B18=0,0,MONTH(B18)-$L$1+1)</f>
        <v>5</v>
      </c>
    </row>
    <row r="19" spans="1:12" ht="24" x14ac:dyDescent="0.2">
      <c r="A19" s="432">
        <v>16</v>
      </c>
      <c r="B19" s="420">
        <v>44685</v>
      </c>
      <c r="C19" s="419" t="s">
        <v>320</v>
      </c>
      <c r="D19" s="422">
        <v>153</v>
      </c>
      <c r="E19" s="419" t="s">
        <v>880</v>
      </c>
      <c r="F19" s="415" t="s">
        <v>881</v>
      </c>
      <c r="G19" s="401" t="s">
        <v>882</v>
      </c>
      <c r="H19" s="401" t="s">
        <v>883</v>
      </c>
      <c r="I19" s="467" t="s">
        <v>798</v>
      </c>
      <c r="J19" s="401" t="s">
        <v>310</v>
      </c>
      <c r="K19" s="413">
        <v>44685</v>
      </c>
      <c r="L19" s="300">
        <f t="shared" si="2"/>
        <v>5</v>
      </c>
    </row>
    <row r="20" spans="1:12" ht="48" x14ac:dyDescent="0.2">
      <c r="A20" s="432">
        <v>17</v>
      </c>
      <c r="B20" s="420">
        <v>44706</v>
      </c>
      <c r="C20" s="419" t="s">
        <v>315</v>
      </c>
      <c r="D20" s="422">
        <v>12450.42</v>
      </c>
      <c r="E20" s="415" t="s">
        <v>3727</v>
      </c>
      <c r="F20" s="434" t="s">
        <v>1944</v>
      </c>
      <c r="G20" s="426" t="s">
        <v>796</v>
      </c>
      <c r="H20" s="434" t="s">
        <v>797</v>
      </c>
      <c r="I20" s="434" t="s">
        <v>798</v>
      </c>
      <c r="J20" s="436" t="s">
        <v>310</v>
      </c>
      <c r="K20" s="413">
        <v>44706</v>
      </c>
      <c r="L20" s="300">
        <f t="shared" si="2"/>
        <v>5</v>
      </c>
    </row>
    <row r="21" spans="1:12" ht="48" x14ac:dyDescent="0.2">
      <c r="A21" s="432">
        <v>18</v>
      </c>
      <c r="B21" s="420">
        <v>44706</v>
      </c>
      <c r="C21" s="419" t="s">
        <v>315</v>
      </c>
      <c r="D21" s="422">
        <v>842.29</v>
      </c>
      <c r="E21" s="415" t="s">
        <v>4422</v>
      </c>
      <c r="F21" s="434" t="s">
        <v>1944</v>
      </c>
      <c r="G21" s="426" t="s">
        <v>796</v>
      </c>
      <c r="H21" s="434" t="s">
        <v>797</v>
      </c>
      <c r="I21" s="434" t="s">
        <v>798</v>
      </c>
      <c r="J21" s="436" t="s">
        <v>310</v>
      </c>
      <c r="K21" s="413">
        <v>44706</v>
      </c>
      <c r="L21" s="300">
        <f t="shared" si="2"/>
        <v>5</v>
      </c>
    </row>
    <row r="22" spans="1:12" ht="48" x14ac:dyDescent="0.2">
      <c r="A22" s="432">
        <v>19</v>
      </c>
      <c r="B22" s="420">
        <v>44712</v>
      </c>
      <c r="C22" s="419" t="s">
        <v>324</v>
      </c>
      <c r="D22" s="422">
        <v>265.64999999999998</v>
      </c>
      <c r="E22" s="419" t="s">
        <v>4423</v>
      </c>
      <c r="F22" s="415" t="s">
        <v>1944</v>
      </c>
      <c r="G22" s="401" t="s">
        <v>796</v>
      </c>
      <c r="H22" s="419" t="s">
        <v>797</v>
      </c>
      <c r="I22" s="467" t="s">
        <v>798</v>
      </c>
      <c r="J22" s="401" t="s">
        <v>310</v>
      </c>
      <c r="K22" s="413">
        <v>44712</v>
      </c>
      <c r="L22" s="300">
        <f t="shared" si="2"/>
        <v>5</v>
      </c>
    </row>
    <row r="23" spans="1:12" ht="48" x14ac:dyDescent="0.2">
      <c r="A23" s="432">
        <v>20</v>
      </c>
      <c r="B23" s="420">
        <v>44736</v>
      </c>
      <c r="C23" s="419" t="s">
        <v>315</v>
      </c>
      <c r="D23" s="422">
        <v>10415.200000000001</v>
      </c>
      <c r="E23" s="415" t="s">
        <v>4423</v>
      </c>
      <c r="F23" s="434" t="s">
        <v>1944</v>
      </c>
      <c r="G23" s="426" t="s">
        <v>796</v>
      </c>
      <c r="H23" s="434" t="s">
        <v>797</v>
      </c>
      <c r="I23" s="434" t="s">
        <v>798</v>
      </c>
      <c r="J23" s="436" t="s">
        <v>310</v>
      </c>
      <c r="K23" s="413">
        <v>44736</v>
      </c>
      <c r="L23" s="300">
        <f t="shared" si="2"/>
        <v>6</v>
      </c>
    </row>
    <row r="24" spans="1:12" ht="48" x14ac:dyDescent="0.2">
      <c r="A24" s="432">
        <v>21</v>
      </c>
      <c r="B24" s="420">
        <v>44736</v>
      </c>
      <c r="C24" s="419" t="s">
        <v>315</v>
      </c>
      <c r="D24" s="422">
        <v>2131.87</v>
      </c>
      <c r="E24" s="415" t="s">
        <v>5479</v>
      </c>
      <c r="F24" s="434" t="s">
        <v>1944</v>
      </c>
      <c r="G24" s="426" t="s">
        <v>796</v>
      </c>
      <c r="H24" s="434" t="s">
        <v>797</v>
      </c>
      <c r="I24" s="434" t="s">
        <v>798</v>
      </c>
      <c r="J24" s="436" t="s">
        <v>310</v>
      </c>
      <c r="K24" s="413">
        <v>44736</v>
      </c>
      <c r="L24" s="300">
        <f t="shared" si="2"/>
        <v>6</v>
      </c>
    </row>
    <row r="25" spans="1:12" ht="24" x14ac:dyDescent="0.2">
      <c r="A25" s="432">
        <v>22</v>
      </c>
      <c r="B25" s="420">
        <v>44736</v>
      </c>
      <c r="C25" s="419" t="s">
        <v>320</v>
      </c>
      <c r="D25" s="422">
        <v>153</v>
      </c>
      <c r="E25" s="419" t="s">
        <v>880</v>
      </c>
      <c r="F25" s="415" t="s">
        <v>881</v>
      </c>
      <c r="G25" s="401" t="s">
        <v>882</v>
      </c>
      <c r="H25" s="401" t="s">
        <v>883</v>
      </c>
      <c r="I25" s="467" t="s">
        <v>798</v>
      </c>
      <c r="J25" s="401" t="s">
        <v>310</v>
      </c>
      <c r="K25" s="413">
        <v>44736</v>
      </c>
      <c r="L25" s="300">
        <f t="shared" si="2"/>
        <v>6</v>
      </c>
    </row>
    <row r="26" spans="1:12" ht="48" x14ac:dyDescent="0.2">
      <c r="A26" s="432">
        <v>23</v>
      </c>
      <c r="B26" s="420">
        <v>44742</v>
      </c>
      <c r="C26" s="419" t="s">
        <v>324</v>
      </c>
      <c r="D26" s="422">
        <v>937.36</v>
      </c>
      <c r="E26" s="419" t="s">
        <v>5436</v>
      </c>
      <c r="F26" s="415" t="s">
        <v>1944</v>
      </c>
      <c r="G26" s="401" t="s">
        <v>796</v>
      </c>
      <c r="H26" s="419" t="s">
        <v>797</v>
      </c>
      <c r="I26" s="467" t="s">
        <v>798</v>
      </c>
      <c r="J26" s="401" t="s">
        <v>310</v>
      </c>
      <c r="K26" s="413">
        <v>44742</v>
      </c>
      <c r="L26" s="300">
        <f t="shared" si="2"/>
        <v>6</v>
      </c>
    </row>
    <row r="27" spans="1:12" ht="24" x14ac:dyDescent="0.2">
      <c r="A27" s="432">
        <v>22</v>
      </c>
      <c r="B27" s="420">
        <v>44748</v>
      </c>
      <c r="C27" s="419" t="s">
        <v>320</v>
      </c>
      <c r="D27" s="422">
        <v>153</v>
      </c>
      <c r="E27" s="419" t="s">
        <v>880</v>
      </c>
      <c r="F27" s="415" t="s">
        <v>881</v>
      </c>
      <c r="G27" s="401" t="s">
        <v>882</v>
      </c>
      <c r="H27" s="401" t="s">
        <v>883</v>
      </c>
      <c r="I27" s="467" t="s">
        <v>798</v>
      </c>
      <c r="J27" s="401" t="s">
        <v>310</v>
      </c>
      <c r="K27" s="413">
        <v>44748</v>
      </c>
      <c r="L27" s="300">
        <f t="shared" si="2"/>
        <v>7</v>
      </c>
    </row>
    <row r="28" spans="1:12" ht="48" x14ac:dyDescent="0.2">
      <c r="A28" s="432">
        <v>23</v>
      </c>
      <c r="B28" s="420">
        <v>44767</v>
      </c>
      <c r="C28" s="419" t="s">
        <v>324</v>
      </c>
      <c r="D28" s="422">
        <v>23304.6</v>
      </c>
      <c r="E28" s="419" t="s">
        <v>5436</v>
      </c>
      <c r="F28" s="415" t="s">
        <v>1944</v>
      </c>
      <c r="G28" s="401" t="s">
        <v>796</v>
      </c>
      <c r="H28" s="419" t="s">
        <v>797</v>
      </c>
      <c r="I28" s="467" t="s">
        <v>798</v>
      </c>
      <c r="J28" s="401" t="s">
        <v>310</v>
      </c>
      <c r="K28" s="413">
        <v>44767</v>
      </c>
      <c r="L28" s="300">
        <f t="shared" si="2"/>
        <v>7</v>
      </c>
    </row>
    <row r="29" spans="1:12" ht="48" x14ac:dyDescent="0.2">
      <c r="A29" s="432">
        <v>21</v>
      </c>
      <c r="B29" s="420">
        <v>44767</v>
      </c>
      <c r="C29" s="419" t="s">
        <v>315</v>
      </c>
      <c r="D29" s="422">
        <v>5354.81</v>
      </c>
      <c r="E29" s="415" t="s">
        <v>6199</v>
      </c>
      <c r="F29" s="434" t="s">
        <v>1944</v>
      </c>
      <c r="G29" s="426" t="s">
        <v>796</v>
      </c>
      <c r="H29" s="434" t="s">
        <v>797</v>
      </c>
      <c r="I29" s="434" t="s">
        <v>798</v>
      </c>
      <c r="J29" s="401" t="s">
        <v>310</v>
      </c>
      <c r="K29" s="413">
        <v>44767</v>
      </c>
      <c r="L29" s="300">
        <f t="shared" si="2"/>
        <v>7</v>
      </c>
    </row>
    <row r="30" spans="1:12" ht="48" x14ac:dyDescent="0.2">
      <c r="A30" s="352">
        <v>27</v>
      </c>
      <c r="B30" s="420">
        <v>44772</v>
      </c>
      <c r="C30" s="419" t="s">
        <v>324</v>
      </c>
      <c r="D30" s="422">
        <v>1021.79</v>
      </c>
      <c r="E30" s="419" t="s">
        <v>6191</v>
      </c>
      <c r="F30" s="415" t="s">
        <v>1944</v>
      </c>
      <c r="G30" s="401" t="s">
        <v>796</v>
      </c>
      <c r="H30" s="419" t="s">
        <v>797</v>
      </c>
      <c r="I30" s="467" t="s">
        <v>798</v>
      </c>
      <c r="J30" s="401" t="s">
        <v>310</v>
      </c>
      <c r="K30" s="413">
        <v>44772</v>
      </c>
      <c r="L30" s="71">
        <f t="shared" si="0"/>
        <v>7</v>
      </c>
    </row>
    <row r="31" spans="1:12" ht="48" x14ac:dyDescent="0.2">
      <c r="A31" s="352">
        <v>28</v>
      </c>
      <c r="B31" s="420">
        <v>44798</v>
      </c>
      <c r="C31" s="419" t="s">
        <v>324</v>
      </c>
      <c r="D31" s="422">
        <v>17635.68</v>
      </c>
      <c r="E31" s="419" t="s">
        <v>6191</v>
      </c>
      <c r="F31" s="415" t="s">
        <v>1944</v>
      </c>
      <c r="G31" s="401" t="s">
        <v>796</v>
      </c>
      <c r="H31" s="419" t="s">
        <v>797</v>
      </c>
      <c r="I31" s="467" t="s">
        <v>798</v>
      </c>
      <c r="J31" s="401" t="s">
        <v>310</v>
      </c>
      <c r="K31" s="413">
        <v>44798</v>
      </c>
      <c r="L31" s="71">
        <f t="shared" si="0"/>
        <v>8</v>
      </c>
    </row>
    <row r="32" spans="1:12" ht="48" x14ac:dyDescent="0.2">
      <c r="A32" s="352">
        <v>29</v>
      </c>
      <c r="B32" s="420">
        <v>44798</v>
      </c>
      <c r="C32" s="419" t="s">
        <v>315</v>
      </c>
      <c r="D32" s="422">
        <v>3503.17</v>
      </c>
      <c r="E32" s="415" t="s">
        <v>6934</v>
      </c>
      <c r="F32" s="434" t="s">
        <v>1944</v>
      </c>
      <c r="G32" s="426" t="s">
        <v>796</v>
      </c>
      <c r="H32" s="434" t="s">
        <v>797</v>
      </c>
      <c r="I32" s="434" t="s">
        <v>798</v>
      </c>
      <c r="J32" s="401" t="s">
        <v>310</v>
      </c>
      <c r="K32" s="413">
        <v>44798</v>
      </c>
      <c r="L32" s="71">
        <f t="shared" si="0"/>
        <v>8</v>
      </c>
    </row>
    <row r="33" spans="1:12" ht="24" x14ac:dyDescent="0.2">
      <c r="A33" s="352">
        <v>30</v>
      </c>
      <c r="B33" s="420">
        <v>44798</v>
      </c>
      <c r="C33" s="419" t="s">
        <v>320</v>
      </c>
      <c r="D33" s="422">
        <v>153</v>
      </c>
      <c r="E33" s="419" t="s">
        <v>880</v>
      </c>
      <c r="F33" s="415" t="s">
        <v>881</v>
      </c>
      <c r="G33" s="401" t="s">
        <v>882</v>
      </c>
      <c r="H33" s="401" t="s">
        <v>883</v>
      </c>
      <c r="I33" s="467" t="s">
        <v>798</v>
      </c>
      <c r="J33" s="401" t="s">
        <v>310</v>
      </c>
      <c r="K33" s="413">
        <v>44798</v>
      </c>
      <c r="L33" s="71">
        <f t="shared" si="0"/>
        <v>8</v>
      </c>
    </row>
    <row r="34" spans="1:12" ht="48" x14ac:dyDescent="0.2">
      <c r="A34" s="352">
        <v>31</v>
      </c>
      <c r="B34" s="420">
        <v>44804</v>
      </c>
      <c r="C34" s="419" t="s">
        <v>324</v>
      </c>
      <c r="D34" s="422">
        <v>1558.2</v>
      </c>
      <c r="E34" s="419" t="s">
        <v>6932</v>
      </c>
      <c r="F34" s="415" t="s">
        <v>1944</v>
      </c>
      <c r="G34" s="401" t="s">
        <v>796</v>
      </c>
      <c r="H34" s="419" t="s">
        <v>797</v>
      </c>
      <c r="I34" s="467" t="s">
        <v>798</v>
      </c>
      <c r="J34" s="401" t="s">
        <v>310</v>
      </c>
      <c r="K34" s="413">
        <v>44804</v>
      </c>
      <c r="L34" s="71">
        <f t="shared" si="0"/>
        <v>8</v>
      </c>
    </row>
    <row r="35" spans="1:12" ht="48" x14ac:dyDescent="0.2">
      <c r="A35" s="352">
        <v>32</v>
      </c>
      <c r="B35" s="420">
        <v>44827</v>
      </c>
      <c r="C35" s="419" t="s">
        <v>324</v>
      </c>
      <c r="D35" s="422">
        <v>23363.33</v>
      </c>
      <c r="E35" s="419" t="s">
        <v>6932</v>
      </c>
      <c r="F35" s="415" t="s">
        <v>1944</v>
      </c>
      <c r="G35" s="401" t="s">
        <v>796</v>
      </c>
      <c r="H35" s="419" t="s">
        <v>797</v>
      </c>
      <c r="I35" s="467" t="s">
        <v>798</v>
      </c>
      <c r="J35" s="401" t="s">
        <v>310</v>
      </c>
      <c r="K35" s="413">
        <v>44827</v>
      </c>
      <c r="L35" s="71">
        <f>IF(B35=0,0,MONTH(B35)-$L$1+1)</f>
        <v>9</v>
      </c>
    </row>
    <row r="36" spans="1:12" ht="48" x14ac:dyDescent="0.2">
      <c r="A36" s="352">
        <v>33</v>
      </c>
      <c r="B36" s="420">
        <v>44827</v>
      </c>
      <c r="C36" s="419" t="s">
        <v>315</v>
      </c>
      <c r="D36" s="422">
        <v>4685.47</v>
      </c>
      <c r="E36" s="415" t="s">
        <v>7427</v>
      </c>
      <c r="F36" s="434" t="s">
        <v>1944</v>
      </c>
      <c r="G36" s="426" t="s">
        <v>796</v>
      </c>
      <c r="H36" s="434" t="s">
        <v>797</v>
      </c>
      <c r="I36" s="434" t="s">
        <v>798</v>
      </c>
      <c r="J36" s="401" t="s">
        <v>310</v>
      </c>
      <c r="K36" s="413">
        <v>44827</v>
      </c>
      <c r="L36" s="71">
        <f>IF(B36=0,0,MONTH(B36)-$L$1+1)</f>
        <v>9</v>
      </c>
    </row>
    <row r="37" spans="1:12" ht="24" x14ac:dyDescent="0.2">
      <c r="A37" s="352">
        <v>34</v>
      </c>
      <c r="B37" s="420">
        <v>44827</v>
      </c>
      <c r="C37" s="419" t="s">
        <v>320</v>
      </c>
      <c r="D37" s="422">
        <v>153</v>
      </c>
      <c r="E37" s="419" t="s">
        <v>880</v>
      </c>
      <c r="F37" s="415" t="s">
        <v>881</v>
      </c>
      <c r="G37" s="401" t="s">
        <v>882</v>
      </c>
      <c r="H37" s="401" t="s">
        <v>883</v>
      </c>
      <c r="I37" s="467" t="s">
        <v>798</v>
      </c>
      <c r="J37" s="401" t="s">
        <v>310</v>
      </c>
      <c r="K37" s="413">
        <v>44827</v>
      </c>
      <c r="L37" s="71">
        <f>IF(B37=0,0,MONTH(B37)-$L$1+1)</f>
        <v>9</v>
      </c>
    </row>
    <row r="38" spans="1:12" ht="48" x14ac:dyDescent="0.2">
      <c r="A38" s="352">
        <v>35</v>
      </c>
      <c r="B38" s="420">
        <v>44834</v>
      </c>
      <c r="C38" s="419" t="s">
        <v>324</v>
      </c>
      <c r="D38" s="422">
        <v>1699.45</v>
      </c>
      <c r="E38" s="419" t="s">
        <v>7425</v>
      </c>
      <c r="F38" s="415" t="s">
        <v>1944</v>
      </c>
      <c r="G38" s="401" t="s">
        <v>796</v>
      </c>
      <c r="H38" s="419" t="s">
        <v>797</v>
      </c>
      <c r="I38" s="467" t="s">
        <v>798</v>
      </c>
      <c r="J38" s="401" t="s">
        <v>310</v>
      </c>
      <c r="K38" s="413">
        <v>44834</v>
      </c>
      <c r="L38" s="71">
        <f t="shared" si="0"/>
        <v>9</v>
      </c>
    </row>
    <row r="39" spans="1:12" ht="48" x14ac:dyDescent="0.2">
      <c r="A39" s="352">
        <v>28</v>
      </c>
      <c r="B39" s="420">
        <v>44859</v>
      </c>
      <c r="C39" s="419" t="s">
        <v>324</v>
      </c>
      <c r="D39" s="422">
        <v>23865.72</v>
      </c>
      <c r="E39" s="419" t="s">
        <v>7425</v>
      </c>
      <c r="F39" s="415" t="s">
        <v>1944</v>
      </c>
      <c r="G39" s="401" t="s">
        <v>796</v>
      </c>
      <c r="H39" s="419" t="s">
        <v>797</v>
      </c>
      <c r="I39" s="467" t="s">
        <v>798</v>
      </c>
      <c r="J39" s="401" t="s">
        <v>310</v>
      </c>
      <c r="K39" s="413">
        <v>44859</v>
      </c>
      <c r="L39" s="71">
        <f>IF(B39=0,0,MONTH(B39)-$L$1+1)</f>
        <v>10</v>
      </c>
    </row>
    <row r="40" spans="1:12" ht="48" x14ac:dyDescent="0.2">
      <c r="A40" s="352">
        <v>29</v>
      </c>
      <c r="B40" s="420">
        <v>44859</v>
      </c>
      <c r="C40" s="419" t="s">
        <v>315</v>
      </c>
      <c r="D40" s="422">
        <v>5640.9</v>
      </c>
      <c r="E40" s="415" t="s">
        <v>8102</v>
      </c>
      <c r="F40" s="434" t="s">
        <v>1944</v>
      </c>
      <c r="G40" s="426" t="s">
        <v>796</v>
      </c>
      <c r="H40" s="434" t="s">
        <v>797</v>
      </c>
      <c r="I40" s="434" t="s">
        <v>798</v>
      </c>
      <c r="J40" s="401" t="s">
        <v>310</v>
      </c>
      <c r="K40" s="413">
        <v>44859</v>
      </c>
      <c r="L40" s="71">
        <f>IF(B40=0,0,MONTH(B40)-$L$1+1)</f>
        <v>10</v>
      </c>
    </row>
    <row r="41" spans="1:12" ht="24" x14ac:dyDescent="0.2">
      <c r="A41" s="352">
        <v>30</v>
      </c>
      <c r="B41" s="420">
        <v>44859</v>
      </c>
      <c r="C41" s="419" t="s">
        <v>320</v>
      </c>
      <c r="D41" s="422">
        <v>153</v>
      </c>
      <c r="E41" s="419" t="s">
        <v>880</v>
      </c>
      <c r="F41" s="415" t="s">
        <v>881</v>
      </c>
      <c r="G41" s="401" t="s">
        <v>882</v>
      </c>
      <c r="H41" s="401" t="s">
        <v>883</v>
      </c>
      <c r="I41" s="467" t="s">
        <v>798</v>
      </c>
      <c r="J41" s="401" t="s">
        <v>310</v>
      </c>
      <c r="K41" s="413">
        <v>44859</v>
      </c>
      <c r="L41" s="71">
        <f>IF(B41=0,0,MONTH(B41)-$L$1+1)</f>
        <v>10</v>
      </c>
    </row>
    <row r="42" spans="1:12" ht="48" x14ac:dyDescent="0.2">
      <c r="A42" s="352">
        <v>35</v>
      </c>
      <c r="B42" s="420">
        <v>44865</v>
      </c>
      <c r="C42" s="419" t="s">
        <v>324</v>
      </c>
      <c r="D42" s="422">
        <v>1877.39</v>
      </c>
      <c r="E42" s="419" t="s">
        <v>8021</v>
      </c>
      <c r="F42" s="415" t="s">
        <v>1944</v>
      </c>
      <c r="G42" s="401" t="s">
        <v>796</v>
      </c>
      <c r="H42" s="419" t="s">
        <v>797</v>
      </c>
      <c r="I42" s="467" t="s">
        <v>798</v>
      </c>
      <c r="J42" s="401" t="s">
        <v>310</v>
      </c>
      <c r="K42" s="413">
        <v>44865</v>
      </c>
      <c r="L42" s="71">
        <f>IF(B42=0,0,MONTH(B42)-$L$1+1)</f>
        <v>10</v>
      </c>
    </row>
    <row r="43" spans="1:12" ht="48" x14ac:dyDescent="0.2">
      <c r="A43" s="352">
        <v>40</v>
      </c>
      <c r="B43" s="420">
        <v>44890</v>
      </c>
      <c r="C43" s="419" t="s">
        <v>324</v>
      </c>
      <c r="D43" s="422">
        <v>18556.169999999998</v>
      </c>
      <c r="E43" s="419" t="s">
        <v>8021</v>
      </c>
      <c r="F43" s="415" t="s">
        <v>1944</v>
      </c>
      <c r="G43" s="401" t="s">
        <v>796</v>
      </c>
      <c r="H43" s="419" t="s">
        <v>797</v>
      </c>
      <c r="I43" s="467" t="s">
        <v>798</v>
      </c>
      <c r="J43" s="401" t="s">
        <v>310</v>
      </c>
      <c r="K43" s="413">
        <v>44890</v>
      </c>
      <c r="L43" s="71">
        <f t="shared" si="0"/>
        <v>11</v>
      </c>
    </row>
    <row r="44" spans="1:12" ht="48" x14ac:dyDescent="0.2">
      <c r="A44" s="352">
        <v>41</v>
      </c>
      <c r="B44" s="420">
        <v>44890</v>
      </c>
      <c r="C44" s="419" t="s">
        <v>315</v>
      </c>
      <c r="D44" s="422">
        <v>3038.53</v>
      </c>
      <c r="E44" s="415" t="s">
        <v>8622</v>
      </c>
      <c r="F44" s="434" t="s">
        <v>1944</v>
      </c>
      <c r="G44" s="426" t="s">
        <v>796</v>
      </c>
      <c r="H44" s="434" t="s">
        <v>797</v>
      </c>
      <c r="I44" s="434" t="s">
        <v>798</v>
      </c>
      <c r="J44" s="401" t="s">
        <v>310</v>
      </c>
      <c r="K44" s="413">
        <v>44890</v>
      </c>
      <c r="L44" s="71">
        <f t="shared" si="0"/>
        <v>11</v>
      </c>
    </row>
    <row r="45" spans="1:12" ht="24" x14ac:dyDescent="0.2">
      <c r="A45" s="352">
        <v>42</v>
      </c>
      <c r="B45" s="420">
        <v>44890</v>
      </c>
      <c r="C45" s="419" t="s">
        <v>320</v>
      </c>
      <c r="D45" s="422">
        <v>153</v>
      </c>
      <c r="E45" s="419" t="s">
        <v>880</v>
      </c>
      <c r="F45" s="415" t="s">
        <v>881</v>
      </c>
      <c r="G45" s="401" t="s">
        <v>882</v>
      </c>
      <c r="H45" s="401" t="s">
        <v>883</v>
      </c>
      <c r="I45" s="467" t="s">
        <v>798</v>
      </c>
      <c r="J45" s="401" t="s">
        <v>310</v>
      </c>
      <c r="K45" s="413">
        <v>44890</v>
      </c>
      <c r="L45" s="71">
        <f t="shared" si="0"/>
        <v>11</v>
      </c>
    </row>
    <row r="46" spans="1:12" ht="48" x14ac:dyDescent="0.2">
      <c r="A46" s="352">
        <v>43</v>
      </c>
      <c r="B46" s="420">
        <v>44895</v>
      </c>
      <c r="C46" s="419" t="s">
        <v>324</v>
      </c>
      <c r="D46" s="422">
        <v>289.08999999999997</v>
      </c>
      <c r="E46" s="419" t="s">
        <v>8618</v>
      </c>
      <c r="F46" s="415" t="s">
        <v>1944</v>
      </c>
      <c r="G46" s="401" t="s">
        <v>796</v>
      </c>
      <c r="H46" s="419" t="s">
        <v>797</v>
      </c>
      <c r="I46" s="467" t="s">
        <v>798</v>
      </c>
      <c r="J46" s="401" t="s">
        <v>310</v>
      </c>
      <c r="K46" s="413">
        <v>44895</v>
      </c>
      <c r="L46" s="71">
        <f t="shared" si="0"/>
        <v>11</v>
      </c>
    </row>
    <row r="47" spans="1:12" ht="48" x14ac:dyDescent="0.2">
      <c r="A47" s="352">
        <v>44</v>
      </c>
      <c r="B47" s="420">
        <v>44918</v>
      </c>
      <c r="C47" s="419" t="s">
        <v>324</v>
      </c>
      <c r="D47" s="422">
        <v>758.08</v>
      </c>
      <c r="E47" s="419" t="s">
        <v>8618</v>
      </c>
      <c r="F47" s="415" t="s">
        <v>1944</v>
      </c>
      <c r="G47" s="401" t="s">
        <v>796</v>
      </c>
      <c r="H47" s="419" t="s">
        <v>797</v>
      </c>
      <c r="I47" s="467" t="s">
        <v>798</v>
      </c>
      <c r="J47" s="401" t="s">
        <v>310</v>
      </c>
      <c r="K47" s="413">
        <v>44918</v>
      </c>
      <c r="L47" s="71">
        <f t="shared" si="0"/>
        <v>12</v>
      </c>
    </row>
    <row r="48" spans="1:12" ht="48" x14ac:dyDescent="0.2">
      <c r="A48" s="352">
        <v>45</v>
      </c>
      <c r="B48" s="420">
        <v>44918</v>
      </c>
      <c r="C48" s="419" t="s">
        <v>315</v>
      </c>
      <c r="D48" s="422">
        <v>44.57</v>
      </c>
      <c r="E48" s="415" t="s">
        <v>9208</v>
      </c>
      <c r="F48" s="434" t="s">
        <v>1944</v>
      </c>
      <c r="G48" s="426" t="s">
        <v>796</v>
      </c>
      <c r="H48" s="434" t="s">
        <v>797</v>
      </c>
      <c r="I48" s="434" t="s">
        <v>798</v>
      </c>
      <c r="J48" s="401" t="s">
        <v>310</v>
      </c>
      <c r="K48" s="413">
        <v>44918</v>
      </c>
      <c r="L48" s="71">
        <f t="shared" si="0"/>
        <v>12</v>
      </c>
    </row>
    <row r="49" spans="1:12" ht="24" x14ac:dyDescent="0.2">
      <c r="A49" s="352">
        <v>46</v>
      </c>
      <c r="B49" s="420">
        <v>44918</v>
      </c>
      <c r="C49" s="419" t="s">
        <v>320</v>
      </c>
      <c r="D49" s="422">
        <v>153</v>
      </c>
      <c r="E49" s="419" t="s">
        <v>880</v>
      </c>
      <c r="F49" s="415" t="s">
        <v>881</v>
      </c>
      <c r="G49" s="401" t="s">
        <v>882</v>
      </c>
      <c r="H49" s="401" t="s">
        <v>883</v>
      </c>
      <c r="I49" s="467" t="s">
        <v>798</v>
      </c>
      <c r="J49" s="401" t="s">
        <v>310</v>
      </c>
      <c r="K49" s="413">
        <v>44918</v>
      </c>
      <c r="L49" s="71">
        <f t="shared" si="0"/>
        <v>12</v>
      </c>
    </row>
    <row r="50" spans="1:12" ht="48" x14ac:dyDescent="0.2">
      <c r="A50" s="352">
        <v>47</v>
      </c>
      <c r="B50" s="420">
        <v>44925</v>
      </c>
      <c r="C50" s="419" t="s">
        <v>324</v>
      </c>
      <c r="D50" s="422">
        <v>2580.9699999999998</v>
      </c>
      <c r="E50" s="419" t="s">
        <v>9204</v>
      </c>
      <c r="F50" s="415" t="s">
        <v>1944</v>
      </c>
      <c r="G50" s="401" t="s">
        <v>796</v>
      </c>
      <c r="H50" s="419" t="s">
        <v>797</v>
      </c>
      <c r="I50" s="467" t="s">
        <v>798</v>
      </c>
      <c r="J50" s="401" t="s">
        <v>310</v>
      </c>
      <c r="K50" s="413">
        <v>44925</v>
      </c>
      <c r="L50" s="71">
        <f t="shared" si="0"/>
        <v>12</v>
      </c>
    </row>
    <row r="51" spans="1:12" hidden="1" x14ac:dyDescent="0.2">
      <c r="A51" s="352">
        <v>48</v>
      </c>
      <c r="B51" s="342"/>
      <c r="C51" s="343"/>
      <c r="D51" s="344"/>
      <c r="E51" s="343"/>
      <c r="F51" s="345"/>
      <c r="G51" s="346"/>
      <c r="H51" s="346"/>
      <c r="I51" s="347"/>
      <c r="J51" s="346"/>
      <c r="K51" s="353"/>
      <c r="L51" s="71">
        <f t="shared" si="0"/>
        <v>0</v>
      </c>
    </row>
    <row r="52" spans="1:12" hidden="1" x14ac:dyDescent="0.2">
      <c r="A52" s="352">
        <v>49</v>
      </c>
      <c r="B52" s="342"/>
      <c r="C52" s="343"/>
      <c r="D52" s="344"/>
      <c r="E52" s="343"/>
      <c r="F52" s="345"/>
      <c r="G52" s="346"/>
      <c r="H52" s="346"/>
      <c r="I52" s="347"/>
      <c r="J52" s="346"/>
      <c r="K52" s="353"/>
      <c r="L52" s="71">
        <f t="shared" si="0"/>
        <v>0</v>
      </c>
    </row>
    <row r="53" spans="1:12" hidden="1" x14ac:dyDescent="0.2">
      <c r="A53" s="352">
        <v>50</v>
      </c>
      <c r="B53" s="342"/>
      <c r="C53" s="343"/>
      <c r="D53" s="344"/>
      <c r="E53" s="343"/>
      <c r="F53" s="345"/>
      <c r="G53" s="346"/>
      <c r="H53" s="346"/>
      <c r="I53" s="347"/>
      <c r="J53" s="346"/>
      <c r="K53" s="353"/>
      <c r="L53" s="71">
        <f t="shared" si="0"/>
        <v>0</v>
      </c>
    </row>
    <row r="54" spans="1:12" hidden="1" x14ac:dyDescent="0.2">
      <c r="A54" s="352">
        <v>51</v>
      </c>
      <c r="B54" s="342"/>
      <c r="C54" s="343"/>
      <c r="D54" s="344"/>
      <c r="E54" s="343"/>
      <c r="F54" s="345"/>
      <c r="G54" s="346"/>
      <c r="H54" s="346"/>
      <c r="I54" s="347"/>
      <c r="J54" s="346"/>
      <c r="K54" s="353"/>
      <c r="L54" s="71">
        <f t="shared" si="0"/>
        <v>0</v>
      </c>
    </row>
    <row r="55" spans="1:12" hidden="1" x14ac:dyDescent="0.2">
      <c r="A55" s="352">
        <v>52</v>
      </c>
      <c r="B55" s="342"/>
      <c r="C55" s="343"/>
      <c r="D55" s="344"/>
      <c r="E55" s="343"/>
      <c r="F55" s="345"/>
      <c r="G55" s="346"/>
      <c r="H55" s="346"/>
      <c r="I55" s="347"/>
      <c r="J55" s="346"/>
      <c r="K55" s="353"/>
      <c r="L55" s="71">
        <f t="shared" si="0"/>
        <v>0</v>
      </c>
    </row>
    <row r="56" spans="1:12" hidden="1" x14ac:dyDescent="0.2">
      <c r="A56" s="352">
        <v>53</v>
      </c>
      <c r="B56" s="342"/>
      <c r="C56" s="343"/>
      <c r="D56" s="344"/>
      <c r="E56" s="343"/>
      <c r="F56" s="345"/>
      <c r="G56" s="346"/>
      <c r="H56" s="346"/>
      <c r="I56" s="347"/>
      <c r="J56" s="346"/>
      <c r="K56" s="353"/>
      <c r="L56" s="71">
        <f t="shared" si="0"/>
        <v>0</v>
      </c>
    </row>
    <row r="57" spans="1:12" hidden="1" x14ac:dyDescent="0.2">
      <c r="A57" s="352">
        <v>54</v>
      </c>
      <c r="B57" s="342"/>
      <c r="C57" s="343"/>
      <c r="D57" s="344"/>
      <c r="E57" s="343"/>
      <c r="F57" s="345"/>
      <c r="G57" s="346"/>
      <c r="H57" s="346"/>
      <c r="I57" s="347"/>
      <c r="J57" s="346"/>
      <c r="K57" s="353"/>
      <c r="L57" s="71">
        <f t="shared" si="0"/>
        <v>0</v>
      </c>
    </row>
    <row r="58" spans="1:12" hidden="1" x14ac:dyDescent="0.2">
      <c r="A58" s="352">
        <v>55</v>
      </c>
      <c r="B58" s="342"/>
      <c r="C58" s="343"/>
      <c r="D58" s="344"/>
      <c r="E58" s="343"/>
      <c r="F58" s="345"/>
      <c r="G58" s="346"/>
      <c r="H58" s="346"/>
      <c r="I58" s="347"/>
      <c r="J58" s="346"/>
      <c r="K58" s="353"/>
      <c r="L58" s="71">
        <f t="shared" si="0"/>
        <v>0</v>
      </c>
    </row>
    <row r="59" spans="1:12" hidden="1" x14ac:dyDescent="0.2">
      <c r="A59" s="352">
        <v>56</v>
      </c>
      <c r="B59" s="342"/>
      <c r="C59" s="343"/>
      <c r="D59" s="344"/>
      <c r="E59" s="343"/>
      <c r="F59" s="345"/>
      <c r="G59" s="346"/>
      <c r="H59" s="346"/>
      <c r="I59" s="347"/>
      <c r="J59" s="346"/>
      <c r="K59" s="353"/>
      <c r="L59" s="71">
        <f t="shared" si="0"/>
        <v>0</v>
      </c>
    </row>
    <row r="60" spans="1:12" hidden="1" x14ac:dyDescent="0.2">
      <c r="A60" s="352">
        <v>57</v>
      </c>
      <c r="B60" s="342"/>
      <c r="C60" s="343"/>
      <c r="D60" s="344"/>
      <c r="E60" s="343"/>
      <c r="F60" s="345"/>
      <c r="G60" s="346"/>
      <c r="H60" s="346"/>
      <c r="I60" s="347"/>
      <c r="J60" s="346"/>
      <c r="K60" s="353"/>
      <c r="L60" s="71">
        <f t="shared" si="0"/>
        <v>0</v>
      </c>
    </row>
    <row r="61" spans="1:12" hidden="1" x14ac:dyDescent="0.2">
      <c r="A61" s="352">
        <v>58</v>
      </c>
      <c r="B61" s="342"/>
      <c r="C61" s="343"/>
      <c r="D61" s="344"/>
      <c r="E61" s="343"/>
      <c r="F61" s="345"/>
      <c r="G61" s="346"/>
      <c r="H61" s="346"/>
      <c r="I61" s="347"/>
      <c r="J61" s="346"/>
      <c r="K61" s="353"/>
      <c r="L61" s="71">
        <f t="shared" si="0"/>
        <v>0</v>
      </c>
    </row>
    <row r="62" spans="1:12" hidden="1" x14ac:dyDescent="0.2">
      <c r="A62" s="352">
        <v>59</v>
      </c>
      <c r="B62" s="342"/>
      <c r="C62" s="343"/>
      <c r="D62" s="344"/>
      <c r="E62" s="343"/>
      <c r="F62" s="345"/>
      <c r="G62" s="346"/>
      <c r="H62" s="346"/>
      <c r="I62" s="347"/>
      <c r="J62" s="346"/>
      <c r="K62" s="353"/>
      <c r="L62" s="71">
        <f t="shared" si="0"/>
        <v>0</v>
      </c>
    </row>
    <row r="63" spans="1:12" hidden="1" x14ac:dyDescent="0.2">
      <c r="A63" s="352">
        <v>60</v>
      </c>
      <c r="B63" s="342"/>
      <c r="C63" s="343"/>
      <c r="D63" s="344"/>
      <c r="E63" s="343"/>
      <c r="F63" s="345"/>
      <c r="G63" s="346"/>
      <c r="H63" s="346"/>
      <c r="I63" s="347"/>
      <c r="J63" s="346"/>
      <c r="K63" s="353"/>
      <c r="L63" s="71">
        <f t="shared" si="0"/>
        <v>0</v>
      </c>
    </row>
    <row r="64" spans="1:12" hidden="1" x14ac:dyDescent="0.2">
      <c r="A64" s="352">
        <v>61</v>
      </c>
      <c r="B64" s="342"/>
      <c r="C64" s="343"/>
      <c r="D64" s="344"/>
      <c r="E64" s="343"/>
      <c r="F64" s="345"/>
      <c r="G64" s="346"/>
      <c r="H64" s="346"/>
      <c r="I64" s="347"/>
      <c r="J64" s="346"/>
      <c r="K64" s="353"/>
      <c r="L64" s="71">
        <f t="shared" si="0"/>
        <v>0</v>
      </c>
    </row>
    <row r="65" spans="1:12" hidden="1" x14ac:dyDescent="0.2">
      <c r="A65" s="352">
        <v>62</v>
      </c>
      <c r="B65" s="342"/>
      <c r="C65" s="343"/>
      <c r="D65" s="344"/>
      <c r="E65" s="343"/>
      <c r="F65" s="345"/>
      <c r="G65" s="346"/>
      <c r="H65" s="346"/>
      <c r="I65" s="347"/>
      <c r="J65" s="346"/>
      <c r="K65" s="353"/>
      <c r="L65" s="71">
        <f t="shared" si="0"/>
        <v>0</v>
      </c>
    </row>
    <row r="66" spans="1:12" hidden="1" x14ac:dyDescent="0.2">
      <c r="A66" s="352">
        <v>63</v>
      </c>
      <c r="B66" s="342"/>
      <c r="C66" s="343"/>
      <c r="D66" s="344"/>
      <c r="E66" s="343"/>
      <c r="F66" s="345"/>
      <c r="G66" s="346"/>
      <c r="H66" s="346"/>
      <c r="I66" s="347"/>
      <c r="J66" s="346"/>
      <c r="K66" s="353"/>
      <c r="L66" s="71">
        <f t="shared" si="0"/>
        <v>0</v>
      </c>
    </row>
    <row r="67" spans="1:12" hidden="1" x14ac:dyDescent="0.2">
      <c r="A67" s="352">
        <v>64</v>
      </c>
      <c r="B67" s="342"/>
      <c r="C67" s="343"/>
      <c r="D67" s="344"/>
      <c r="E67" s="343"/>
      <c r="F67" s="345"/>
      <c r="G67" s="346"/>
      <c r="H67" s="346"/>
      <c r="I67" s="347"/>
      <c r="J67" s="346"/>
      <c r="K67" s="353"/>
      <c r="L67" s="71">
        <f t="shared" si="0"/>
        <v>0</v>
      </c>
    </row>
    <row r="68" spans="1:12" hidden="1" x14ac:dyDescent="0.2">
      <c r="A68" s="352">
        <v>65</v>
      </c>
      <c r="B68" s="342"/>
      <c r="C68" s="343"/>
      <c r="D68" s="344"/>
      <c r="E68" s="343"/>
      <c r="F68" s="345"/>
      <c r="G68" s="346"/>
      <c r="H68" s="346"/>
      <c r="I68" s="347"/>
      <c r="J68" s="346"/>
      <c r="K68" s="353"/>
      <c r="L68" s="71">
        <f t="shared" si="0"/>
        <v>0</v>
      </c>
    </row>
    <row r="69" spans="1:12" hidden="1" x14ac:dyDescent="0.2">
      <c r="A69" s="352">
        <v>66</v>
      </c>
      <c r="B69" s="342"/>
      <c r="C69" s="343"/>
      <c r="D69" s="344"/>
      <c r="E69" s="343"/>
      <c r="F69" s="345"/>
      <c r="G69" s="346"/>
      <c r="H69" s="346"/>
      <c r="I69" s="347"/>
      <c r="J69" s="346"/>
      <c r="K69" s="353"/>
      <c r="L69" s="71">
        <f t="shared" ref="L69:L133" si="3">IF(B69=0,0,MONTH(B69)-$L$1+1)</f>
        <v>0</v>
      </c>
    </row>
    <row r="70" spans="1:12" hidden="1" x14ac:dyDescent="0.2">
      <c r="A70" s="352">
        <v>67</v>
      </c>
      <c r="B70" s="342"/>
      <c r="C70" s="343"/>
      <c r="D70" s="344"/>
      <c r="E70" s="343"/>
      <c r="F70" s="345"/>
      <c r="G70" s="346"/>
      <c r="H70" s="346"/>
      <c r="I70" s="347"/>
      <c r="J70" s="346"/>
      <c r="K70" s="353"/>
      <c r="L70" s="71">
        <f t="shared" si="3"/>
        <v>0</v>
      </c>
    </row>
    <row r="71" spans="1:12" hidden="1" x14ac:dyDescent="0.2">
      <c r="A71" s="352">
        <v>68</v>
      </c>
      <c r="B71" s="342"/>
      <c r="C71" s="343"/>
      <c r="D71" s="344"/>
      <c r="E71" s="343"/>
      <c r="F71" s="345"/>
      <c r="G71" s="346"/>
      <c r="H71" s="346"/>
      <c r="I71" s="347"/>
      <c r="J71" s="346"/>
      <c r="K71" s="353"/>
      <c r="L71" s="71">
        <f t="shared" si="3"/>
        <v>0</v>
      </c>
    </row>
    <row r="72" spans="1:12" hidden="1" x14ac:dyDescent="0.2">
      <c r="A72" s="352">
        <v>69</v>
      </c>
      <c r="B72" s="342"/>
      <c r="C72" s="343"/>
      <c r="D72" s="344"/>
      <c r="E72" s="343"/>
      <c r="F72" s="345"/>
      <c r="G72" s="346"/>
      <c r="H72" s="346"/>
      <c r="I72" s="347"/>
      <c r="J72" s="346"/>
      <c r="K72" s="353"/>
      <c r="L72" s="71">
        <f t="shared" si="3"/>
        <v>0</v>
      </c>
    </row>
    <row r="73" spans="1:12" hidden="1" x14ac:dyDescent="0.2">
      <c r="A73" s="352">
        <v>70</v>
      </c>
      <c r="B73" s="342"/>
      <c r="C73" s="343"/>
      <c r="D73" s="344"/>
      <c r="E73" s="343"/>
      <c r="F73" s="345"/>
      <c r="G73" s="346"/>
      <c r="H73" s="346"/>
      <c r="I73" s="347"/>
      <c r="J73" s="346"/>
      <c r="K73" s="353"/>
      <c r="L73" s="71">
        <f t="shared" si="3"/>
        <v>0</v>
      </c>
    </row>
    <row r="74" spans="1:12" hidden="1" x14ac:dyDescent="0.2">
      <c r="A74" s="352">
        <v>71</v>
      </c>
      <c r="B74" s="342"/>
      <c r="C74" s="343"/>
      <c r="D74" s="344"/>
      <c r="E74" s="343"/>
      <c r="F74" s="345"/>
      <c r="G74" s="346"/>
      <c r="H74" s="346"/>
      <c r="I74" s="347"/>
      <c r="J74" s="346"/>
      <c r="K74" s="353"/>
      <c r="L74" s="71">
        <f t="shared" si="3"/>
        <v>0</v>
      </c>
    </row>
    <row r="75" spans="1:12" hidden="1" x14ac:dyDescent="0.2">
      <c r="A75" s="352">
        <v>72</v>
      </c>
      <c r="B75" s="342"/>
      <c r="C75" s="343"/>
      <c r="D75" s="344"/>
      <c r="E75" s="343"/>
      <c r="F75" s="345"/>
      <c r="G75" s="346"/>
      <c r="H75" s="346"/>
      <c r="I75" s="347"/>
      <c r="J75" s="346"/>
      <c r="K75" s="353"/>
      <c r="L75" s="71">
        <f t="shared" si="3"/>
        <v>0</v>
      </c>
    </row>
    <row r="76" spans="1:12" hidden="1" x14ac:dyDescent="0.2">
      <c r="A76" s="352">
        <v>73</v>
      </c>
      <c r="B76" s="342"/>
      <c r="C76" s="343"/>
      <c r="D76" s="344"/>
      <c r="E76" s="343"/>
      <c r="F76" s="345"/>
      <c r="G76" s="346"/>
      <c r="H76" s="346"/>
      <c r="I76" s="347"/>
      <c r="J76" s="346"/>
      <c r="K76" s="353"/>
      <c r="L76" s="71">
        <f t="shared" si="3"/>
        <v>0</v>
      </c>
    </row>
    <row r="77" spans="1:12" hidden="1" x14ac:dyDescent="0.2">
      <c r="A77" s="352">
        <v>74</v>
      </c>
      <c r="B77" s="342"/>
      <c r="C77" s="343"/>
      <c r="D77" s="344"/>
      <c r="E77" s="343"/>
      <c r="F77" s="345"/>
      <c r="G77" s="346"/>
      <c r="H77" s="346"/>
      <c r="I77" s="347"/>
      <c r="J77" s="346"/>
      <c r="K77" s="353"/>
      <c r="L77" s="71">
        <f t="shared" si="3"/>
        <v>0</v>
      </c>
    </row>
    <row r="78" spans="1:12" hidden="1" x14ac:dyDescent="0.2">
      <c r="A78" s="352">
        <v>75</v>
      </c>
      <c r="B78" s="342"/>
      <c r="C78" s="343"/>
      <c r="D78" s="344"/>
      <c r="E78" s="343"/>
      <c r="F78" s="345"/>
      <c r="G78" s="346"/>
      <c r="H78" s="346"/>
      <c r="I78" s="347"/>
      <c r="J78" s="346"/>
      <c r="K78" s="353"/>
      <c r="L78" s="71">
        <f t="shared" si="3"/>
        <v>0</v>
      </c>
    </row>
    <row r="79" spans="1:12" hidden="1" x14ac:dyDescent="0.2">
      <c r="A79" s="352">
        <v>76</v>
      </c>
      <c r="B79" s="342"/>
      <c r="C79" s="343"/>
      <c r="D79" s="344"/>
      <c r="E79" s="343"/>
      <c r="F79" s="345"/>
      <c r="G79" s="346"/>
      <c r="H79" s="346"/>
      <c r="I79" s="347"/>
      <c r="J79" s="346"/>
      <c r="K79" s="353"/>
      <c r="L79" s="71">
        <f t="shared" si="3"/>
        <v>0</v>
      </c>
    </row>
    <row r="80" spans="1:12" hidden="1" x14ac:dyDescent="0.2">
      <c r="A80" s="352">
        <v>77</v>
      </c>
      <c r="B80" s="342"/>
      <c r="C80" s="343"/>
      <c r="D80" s="344"/>
      <c r="E80" s="343"/>
      <c r="F80" s="345"/>
      <c r="G80" s="346"/>
      <c r="H80" s="346"/>
      <c r="I80" s="347"/>
      <c r="J80" s="346"/>
      <c r="K80" s="353"/>
      <c r="L80" s="71">
        <f t="shared" si="3"/>
        <v>0</v>
      </c>
    </row>
    <row r="81" spans="1:12" hidden="1" x14ac:dyDescent="0.2">
      <c r="A81" s="352">
        <v>78</v>
      </c>
      <c r="B81" s="342"/>
      <c r="C81" s="343"/>
      <c r="D81" s="344"/>
      <c r="E81" s="343"/>
      <c r="F81" s="345"/>
      <c r="G81" s="346"/>
      <c r="H81" s="346"/>
      <c r="I81" s="347"/>
      <c r="J81" s="346"/>
      <c r="K81" s="353"/>
      <c r="L81" s="71">
        <f t="shared" si="3"/>
        <v>0</v>
      </c>
    </row>
    <row r="82" spans="1:12" hidden="1" x14ac:dyDescent="0.2">
      <c r="A82" s="352">
        <v>79</v>
      </c>
      <c r="B82" s="342"/>
      <c r="C82" s="343"/>
      <c r="D82" s="344"/>
      <c r="E82" s="343"/>
      <c r="F82" s="345"/>
      <c r="G82" s="346"/>
      <c r="H82" s="346"/>
      <c r="I82" s="347"/>
      <c r="J82" s="347"/>
      <c r="K82" s="353"/>
      <c r="L82" s="71">
        <f t="shared" si="3"/>
        <v>0</v>
      </c>
    </row>
    <row r="83" spans="1:12" hidden="1" x14ac:dyDescent="0.2">
      <c r="A83" s="352">
        <v>80</v>
      </c>
      <c r="B83" s="342"/>
      <c r="C83" s="343"/>
      <c r="D83" s="344"/>
      <c r="E83" s="343"/>
      <c r="F83" s="345"/>
      <c r="G83" s="346"/>
      <c r="H83" s="346"/>
      <c r="I83" s="347"/>
      <c r="J83" s="346"/>
      <c r="K83" s="353"/>
      <c r="L83" s="71">
        <f t="shared" si="3"/>
        <v>0</v>
      </c>
    </row>
    <row r="84" spans="1:12" hidden="1" x14ac:dyDescent="0.2">
      <c r="A84" s="352">
        <v>81</v>
      </c>
      <c r="B84" s="342"/>
      <c r="C84" s="343"/>
      <c r="D84" s="344"/>
      <c r="E84" s="343"/>
      <c r="F84" s="345"/>
      <c r="G84" s="346"/>
      <c r="H84" s="346"/>
      <c r="I84" s="347"/>
      <c r="J84" s="346"/>
      <c r="K84" s="353"/>
      <c r="L84" s="71">
        <f t="shared" si="3"/>
        <v>0</v>
      </c>
    </row>
    <row r="85" spans="1:12" hidden="1" x14ac:dyDescent="0.2">
      <c r="A85" s="352">
        <v>82</v>
      </c>
      <c r="B85" s="342"/>
      <c r="C85" s="343"/>
      <c r="D85" s="344"/>
      <c r="E85" s="343"/>
      <c r="F85" s="345"/>
      <c r="G85" s="346"/>
      <c r="H85" s="346"/>
      <c r="I85" s="347"/>
      <c r="J85" s="346"/>
      <c r="K85" s="353"/>
      <c r="L85" s="71">
        <f t="shared" si="3"/>
        <v>0</v>
      </c>
    </row>
    <row r="86" spans="1:12" hidden="1" x14ac:dyDescent="0.2">
      <c r="A86" s="352">
        <v>83</v>
      </c>
      <c r="B86" s="342"/>
      <c r="C86" s="343"/>
      <c r="D86" s="344"/>
      <c r="E86" s="343"/>
      <c r="F86" s="345"/>
      <c r="G86" s="346"/>
      <c r="H86" s="346"/>
      <c r="I86" s="347"/>
      <c r="J86" s="346"/>
      <c r="K86" s="353"/>
      <c r="L86" s="71">
        <f t="shared" si="3"/>
        <v>0</v>
      </c>
    </row>
    <row r="87" spans="1:12" hidden="1" x14ac:dyDescent="0.2">
      <c r="A87" s="352">
        <v>84</v>
      </c>
      <c r="B87" s="342"/>
      <c r="C87" s="343"/>
      <c r="D87" s="344"/>
      <c r="E87" s="343"/>
      <c r="F87" s="345"/>
      <c r="G87" s="346"/>
      <c r="H87" s="346"/>
      <c r="I87" s="347"/>
      <c r="J87" s="346"/>
      <c r="K87" s="353"/>
      <c r="L87" s="71">
        <f t="shared" si="3"/>
        <v>0</v>
      </c>
    </row>
    <row r="88" spans="1:12" hidden="1" x14ac:dyDescent="0.2">
      <c r="A88" s="352">
        <v>85</v>
      </c>
      <c r="B88" s="342"/>
      <c r="C88" s="343"/>
      <c r="D88" s="344"/>
      <c r="E88" s="343"/>
      <c r="F88" s="345"/>
      <c r="G88" s="346"/>
      <c r="H88" s="346"/>
      <c r="I88" s="347"/>
      <c r="J88" s="346"/>
      <c r="K88" s="353"/>
      <c r="L88" s="71">
        <f t="shared" si="3"/>
        <v>0</v>
      </c>
    </row>
    <row r="89" spans="1:12" hidden="1" x14ac:dyDescent="0.2">
      <c r="A89" s="352">
        <v>86</v>
      </c>
      <c r="B89" s="342"/>
      <c r="C89" s="343"/>
      <c r="D89" s="344"/>
      <c r="E89" s="343"/>
      <c r="F89" s="345"/>
      <c r="G89" s="346"/>
      <c r="H89" s="346"/>
      <c r="I89" s="347"/>
      <c r="J89" s="346"/>
      <c r="K89" s="353"/>
      <c r="L89" s="71">
        <f t="shared" si="3"/>
        <v>0</v>
      </c>
    </row>
    <row r="90" spans="1:12" hidden="1" x14ac:dyDescent="0.2">
      <c r="A90" s="352">
        <v>87</v>
      </c>
      <c r="B90" s="342"/>
      <c r="C90" s="343"/>
      <c r="D90" s="344"/>
      <c r="E90" s="343"/>
      <c r="F90" s="345"/>
      <c r="G90" s="346"/>
      <c r="H90" s="346"/>
      <c r="I90" s="347"/>
      <c r="J90" s="346"/>
      <c r="K90" s="353"/>
      <c r="L90" s="71">
        <f t="shared" si="3"/>
        <v>0</v>
      </c>
    </row>
    <row r="91" spans="1:12" hidden="1" x14ac:dyDescent="0.2">
      <c r="A91" s="352">
        <v>88</v>
      </c>
      <c r="B91" s="342"/>
      <c r="C91" s="343"/>
      <c r="D91" s="344"/>
      <c r="E91" s="343"/>
      <c r="F91" s="345"/>
      <c r="G91" s="346"/>
      <c r="H91" s="346"/>
      <c r="I91" s="347"/>
      <c r="J91" s="346"/>
      <c r="K91" s="353"/>
      <c r="L91" s="71">
        <f t="shared" si="3"/>
        <v>0</v>
      </c>
    </row>
    <row r="92" spans="1:12" hidden="1" x14ac:dyDescent="0.2">
      <c r="A92" s="352">
        <v>89</v>
      </c>
      <c r="B92" s="342"/>
      <c r="C92" s="343"/>
      <c r="D92" s="344"/>
      <c r="E92" s="343"/>
      <c r="F92" s="345"/>
      <c r="G92" s="346"/>
      <c r="H92" s="346"/>
      <c r="I92" s="347"/>
      <c r="J92" s="346"/>
      <c r="K92" s="353"/>
      <c r="L92" s="71">
        <f t="shared" si="3"/>
        <v>0</v>
      </c>
    </row>
    <row r="93" spans="1:12" hidden="1" x14ac:dyDescent="0.2">
      <c r="A93" s="352">
        <v>90</v>
      </c>
      <c r="B93" s="342"/>
      <c r="C93" s="343"/>
      <c r="D93" s="344"/>
      <c r="E93" s="343"/>
      <c r="F93" s="345"/>
      <c r="G93" s="346"/>
      <c r="H93" s="346"/>
      <c r="I93" s="347"/>
      <c r="J93" s="346"/>
      <c r="K93" s="353"/>
      <c r="L93" s="71">
        <f t="shared" si="3"/>
        <v>0</v>
      </c>
    </row>
    <row r="94" spans="1:12" hidden="1" x14ac:dyDescent="0.2">
      <c r="A94" s="352">
        <v>91</v>
      </c>
      <c r="B94" s="342"/>
      <c r="C94" s="343"/>
      <c r="D94" s="344"/>
      <c r="E94" s="343"/>
      <c r="F94" s="345"/>
      <c r="G94" s="346"/>
      <c r="H94" s="346"/>
      <c r="I94" s="347"/>
      <c r="J94" s="346"/>
      <c r="K94" s="353"/>
      <c r="L94" s="71">
        <f t="shared" si="3"/>
        <v>0</v>
      </c>
    </row>
    <row r="95" spans="1:12" hidden="1" x14ac:dyDescent="0.2">
      <c r="A95" s="352">
        <v>92</v>
      </c>
      <c r="B95" s="342"/>
      <c r="C95" s="343"/>
      <c r="D95" s="344"/>
      <c r="E95" s="343"/>
      <c r="F95" s="345"/>
      <c r="G95" s="346"/>
      <c r="H95" s="346"/>
      <c r="I95" s="347"/>
      <c r="J95" s="346"/>
      <c r="K95" s="353"/>
      <c r="L95" s="71">
        <f t="shared" si="3"/>
        <v>0</v>
      </c>
    </row>
    <row r="96" spans="1:12" hidden="1" x14ac:dyDescent="0.2">
      <c r="A96" s="352">
        <v>93</v>
      </c>
      <c r="B96" s="342"/>
      <c r="C96" s="343"/>
      <c r="D96" s="344"/>
      <c r="E96" s="343"/>
      <c r="F96" s="345"/>
      <c r="G96" s="346"/>
      <c r="H96" s="346"/>
      <c r="I96" s="347"/>
      <c r="J96" s="346"/>
      <c r="K96" s="353"/>
      <c r="L96" s="71">
        <f t="shared" si="3"/>
        <v>0</v>
      </c>
    </row>
    <row r="97" spans="1:12" hidden="1" x14ac:dyDescent="0.2">
      <c r="A97" s="352">
        <v>94</v>
      </c>
      <c r="B97" s="342"/>
      <c r="C97" s="343"/>
      <c r="D97" s="344"/>
      <c r="E97" s="343"/>
      <c r="F97" s="345"/>
      <c r="G97" s="346"/>
      <c r="H97" s="346"/>
      <c r="I97" s="347"/>
      <c r="J97" s="346"/>
      <c r="K97" s="353"/>
      <c r="L97" s="71">
        <f t="shared" si="3"/>
        <v>0</v>
      </c>
    </row>
    <row r="98" spans="1:12" hidden="1" x14ac:dyDescent="0.2">
      <c r="A98" s="352">
        <v>95</v>
      </c>
      <c r="B98" s="342"/>
      <c r="C98" s="343"/>
      <c r="D98" s="344"/>
      <c r="E98" s="343"/>
      <c r="F98" s="345"/>
      <c r="G98" s="346"/>
      <c r="H98" s="346"/>
      <c r="I98" s="347"/>
      <c r="J98" s="346"/>
      <c r="K98" s="353"/>
      <c r="L98" s="71">
        <f t="shared" si="3"/>
        <v>0</v>
      </c>
    </row>
    <row r="99" spans="1:12" hidden="1" x14ac:dyDescent="0.2">
      <c r="A99" s="352">
        <v>96</v>
      </c>
      <c r="B99" s="342"/>
      <c r="C99" s="343"/>
      <c r="D99" s="344"/>
      <c r="E99" s="343"/>
      <c r="F99" s="345"/>
      <c r="G99" s="346"/>
      <c r="H99" s="346"/>
      <c r="I99" s="347"/>
      <c r="J99" s="346"/>
      <c r="K99" s="353"/>
      <c r="L99" s="71">
        <f t="shared" si="3"/>
        <v>0</v>
      </c>
    </row>
    <row r="100" spans="1:12" hidden="1" x14ac:dyDescent="0.2">
      <c r="A100" s="352">
        <v>97</v>
      </c>
      <c r="B100" s="342"/>
      <c r="C100" s="343"/>
      <c r="D100" s="344"/>
      <c r="E100" s="343"/>
      <c r="F100" s="345"/>
      <c r="G100" s="346"/>
      <c r="H100" s="346"/>
      <c r="I100" s="347"/>
      <c r="J100" s="346"/>
      <c r="K100" s="353"/>
      <c r="L100" s="71">
        <f t="shared" si="3"/>
        <v>0</v>
      </c>
    </row>
    <row r="101" spans="1:12" hidden="1" x14ac:dyDescent="0.2">
      <c r="A101" s="352">
        <v>98</v>
      </c>
      <c r="B101" s="342"/>
      <c r="C101" s="343"/>
      <c r="D101" s="344"/>
      <c r="E101" s="343"/>
      <c r="F101" s="345"/>
      <c r="G101" s="346"/>
      <c r="H101" s="346"/>
      <c r="I101" s="347"/>
      <c r="J101" s="346"/>
      <c r="K101" s="353"/>
      <c r="L101" s="71">
        <f t="shared" si="3"/>
        <v>0</v>
      </c>
    </row>
    <row r="102" spans="1:12" hidden="1" x14ac:dyDescent="0.2">
      <c r="A102" s="352">
        <v>99</v>
      </c>
      <c r="B102" s="342"/>
      <c r="C102" s="343"/>
      <c r="D102" s="344"/>
      <c r="E102" s="343"/>
      <c r="F102" s="345"/>
      <c r="G102" s="346"/>
      <c r="H102" s="346"/>
      <c r="I102" s="347"/>
      <c r="J102" s="346"/>
      <c r="K102" s="353"/>
      <c r="L102" s="71">
        <f t="shared" si="3"/>
        <v>0</v>
      </c>
    </row>
    <row r="103" spans="1:12" hidden="1" x14ac:dyDescent="0.2">
      <c r="A103" s="352">
        <v>100</v>
      </c>
      <c r="B103" s="342"/>
      <c r="C103" s="343"/>
      <c r="D103" s="344"/>
      <c r="E103" s="343"/>
      <c r="F103" s="345"/>
      <c r="G103" s="346"/>
      <c r="H103" s="346"/>
      <c r="I103" s="347"/>
      <c r="J103" s="346"/>
      <c r="K103" s="353"/>
      <c r="L103" s="71">
        <f t="shared" si="3"/>
        <v>0</v>
      </c>
    </row>
    <row r="104" spans="1:12" hidden="1" x14ac:dyDescent="0.2">
      <c r="A104" s="352">
        <v>101</v>
      </c>
      <c r="B104" s="342"/>
      <c r="C104" s="343"/>
      <c r="D104" s="344"/>
      <c r="E104" s="343"/>
      <c r="F104" s="345"/>
      <c r="G104" s="346"/>
      <c r="H104" s="346"/>
      <c r="I104" s="347"/>
      <c r="J104" s="346"/>
      <c r="K104" s="353"/>
      <c r="L104" s="71">
        <f t="shared" si="3"/>
        <v>0</v>
      </c>
    </row>
    <row r="105" spans="1:12" hidden="1" x14ac:dyDescent="0.2">
      <c r="A105" s="352">
        <v>102</v>
      </c>
      <c r="B105" s="342"/>
      <c r="C105" s="343"/>
      <c r="D105" s="344"/>
      <c r="E105" s="343"/>
      <c r="F105" s="345"/>
      <c r="G105" s="346"/>
      <c r="H105" s="346"/>
      <c r="I105" s="347"/>
      <c r="J105" s="346"/>
      <c r="K105" s="353"/>
      <c r="L105" s="71">
        <f t="shared" si="3"/>
        <v>0</v>
      </c>
    </row>
    <row r="106" spans="1:12" hidden="1" x14ac:dyDescent="0.2">
      <c r="A106" s="352">
        <v>103</v>
      </c>
      <c r="B106" s="342"/>
      <c r="C106" s="343"/>
      <c r="D106" s="344"/>
      <c r="E106" s="343"/>
      <c r="F106" s="345"/>
      <c r="G106" s="346"/>
      <c r="H106" s="346"/>
      <c r="I106" s="347"/>
      <c r="J106" s="346"/>
      <c r="K106" s="353"/>
      <c r="L106" s="71">
        <f t="shared" si="3"/>
        <v>0</v>
      </c>
    </row>
    <row r="107" spans="1:12" hidden="1" x14ac:dyDescent="0.2">
      <c r="A107" s="352">
        <v>104</v>
      </c>
      <c r="B107" s="342"/>
      <c r="C107" s="343"/>
      <c r="D107" s="344"/>
      <c r="E107" s="343"/>
      <c r="F107" s="345"/>
      <c r="G107" s="346"/>
      <c r="H107" s="346"/>
      <c r="I107" s="347"/>
      <c r="J107" s="346"/>
      <c r="K107" s="353"/>
      <c r="L107" s="71">
        <f t="shared" si="3"/>
        <v>0</v>
      </c>
    </row>
    <row r="108" spans="1:12" hidden="1" x14ac:dyDescent="0.2">
      <c r="A108" s="352">
        <v>105</v>
      </c>
      <c r="B108" s="342"/>
      <c r="C108" s="343"/>
      <c r="D108" s="344"/>
      <c r="E108" s="343"/>
      <c r="F108" s="345"/>
      <c r="G108" s="346"/>
      <c r="H108" s="346"/>
      <c r="I108" s="347"/>
      <c r="J108" s="346"/>
      <c r="K108" s="353"/>
      <c r="L108" s="71">
        <f t="shared" si="3"/>
        <v>0</v>
      </c>
    </row>
    <row r="109" spans="1:12" hidden="1" x14ac:dyDescent="0.2">
      <c r="A109" s="352">
        <v>106</v>
      </c>
      <c r="B109" s="342"/>
      <c r="C109" s="343"/>
      <c r="D109" s="344"/>
      <c r="E109" s="343"/>
      <c r="F109" s="345"/>
      <c r="G109" s="346"/>
      <c r="H109" s="346"/>
      <c r="I109" s="347"/>
      <c r="J109" s="346"/>
      <c r="K109" s="353"/>
      <c r="L109" s="71">
        <f t="shared" si="3"/>
        <v>0</v>
      </c>
    </row>
    <row r="110" spans="1:12" hidden="1" x14ac:dyDescent="0.2">
      <c r="A110" s="352">
        <v>107</v>
      </c>
      <c r="B110" s="342"/>
      <c r="C110" s="343"/>
      <c r="D110" s="350"/>
      <c r="E110" s="343"/>
      <c r="F110" s="345"/>
      <c r="G110" s="346"/>
      <c r="H110" s="346"/>
      <c r="I110" s="347"/>
      <c r="J110" s="347"/>
      <c r="K110" s="353"/>
      <c r="L110" s="71">
        <f t="shared" si="3"/>
        <v>0</v>
      </c>
    </row>
    <row r="111" spans="1:12" hidden="1" x14ac:dyDescent="0.2">
      <c r="A111" s="352">
        <v>108</v>
      </c>
      <c r="B111" s="342"/>
      <c r="C111" s="343"/>
      <c r="D111" s="344"/>
      <c r="E111" s="343"/>
      <c r="F111" s="345"/>
      <c r="G111" s="346"/>
      <c r="H111" s="346"/>
      <c r="I111" s="347"/>
      <c r="J111" s="346"/>
      <c r="K111" s="353"/>
      <c r="L111" s="71">
        <f t="shared" si="3"/>
        <v>0</v>
      </c>
    </row>
    <row r="112" spans="1:12" hidden="1" x14ac:dyDescent="0.2">
      <c r="A112" s="352">
        <v>109</v>
      </c>
      <c r="B112" s="342"/>
      <c r="C112" s="343"/>
      <c r="D112" s="344"/>
      <c r="E112" s="343"/>
      <c r="F112" s="345"/>
      <c r="G112" s="346"/>
      <c r="H112" s="346"/>
      <c r="I112" s="347"/>
      <c r="J112" s="346"/>
      <c r="K112" s="353"/>
      <c r="L112" s="71">
        <f t="shared" si="3"/>
        <v>0</v>
      </c>
    </row>
    <row r="113" spans="1:12" hidden="1" x14ac:dyDescent="0.2">
      <c r="A113" s="352">
        <v>110</v>
      </c>
      <c r="B113" s="342"/>
      <c r="C113" s="343"/>
      <c r="D113" s="344"/>
      <c r="E113" s="343"/>
      <c r="F113" s="345"/>
      <c r="G113" s="346"/>
      <c r="H113" s="346"/>
      <c r="I113" s="347"/>
      <c r="J113" s="346"/>
      <c r="K113" s="353"/>
      <c r="L113" s="71">
        <f t="shared" si="3"/>
        <v>0</v>
      </c>
    </row>
    <row r="114" spans="1:12" hidden="1" x14ac:dyDescent="0.2">
      <c r="A114" s="352">
        <v>111</v>
      </c>
      <c r="B114" s="342"/>
      <c r="C114" s="343"/>
      <c r="D114" s="344"/>
      <c r="E114" s="343"/>
      <c r="F114" s="345"/>
      <c r="G114" s="346"/>
      <c r="H114" s="346"/>
      <c r="I114" s="347"/>
      <c r="J114" s="346"/>
      <c r="K114" s="353"/>
      <c r="L114" s="71">
        <f t="shared" si="3"/>
        <v>0</v>
      </c>
    </row>
    <row r="115" spans="1:12" hidden="1" x14ac:dyDescent="0.2">
      <c r="A115" s="352">
        <v>112</v>
      </c>
      <c r="B115" s="342"/>
      <c r="C115" s="343"/>
      <c r="D115" s="344"/>
      <c r="E115" s="343"/>
      <c r="F115" s="345"/>
      <c r="G115" s="346"/>
      <c r="H115" s="346"/>
      <c r="I115" s="347"/>
      <c r="J115" s="346"/>
      <c r="K115" s="353"/>
      <c r="L115" s="71">
        <f t="shared" si="3"/>
        <v>0</v>
      </c>
    </row>
    <row r="116" spans="1:12" hidden="1" x14ac:dyDescent="0.2">
      <c r="A116" s="352">
        <v>113</v>
      </c>
      <c r="B116" s="342"/>
      <c r="C116" s="343"/>
      <c r="D116" s="344"/>
      <c r="E116" s="343"/>
      <c r="F116" s="345"/>
      <c r="G116" s="346"/>
      <c r="H116" s="346"/>
      <c r="I116" s="347"/>
      <c r="J116" s="346"/>
      <c r="K116" s="353"/>
      <c r="L116" s="71">
        <f t="shared" si="3"/>
        <v>0</v>
      </c>
    </row>
    <row r="117" spans="1:12" hidden="1" x14ac:dyDescent="0.2">
      <c r="A117" s="352">
        <v>114</v>
      </c>
      <c r="B117" s="342"/>
      <c r="C117" s="343"/>
      <c r="D117" s="344"/>
      <c r="E117" s="343"/>
      <c r="F117" s="345"/>
      <c r="G117" s="346"/>
      <c r="H117" s="346"/>
      <c r="I117" s="347"/>
      <c r="J117" s="346"/>
      <c r="K117" s="353"/>
      <c r="L117" s="71">
        <f t="shared" si="3"/>
        <v>0</v>
      </c>
    </row>
    <row r="118" spans="1:12" hidden="1" x14ac:dyDescent="0.2">
      <c r="A118" s="352">
        <v>115</v>
      </c>
      <c r="B118" s="342"/>
      <c r="C118" s="343"/>
      <c r="D118" s="344"/>
      <c r="E118" s="343"/>
      <c r="F118" s="345"/>
      <c r="G118" s="346"/>
      <c r="H118" s="346"/>
      <c r="I118" s="347"/>
      <c r="J118" s="346"/>
      <c r="K118" s="353"/>
      <c r="L118" s="71">
        <f t="shared" si="3"/>
        <v>0</v>
      </c>
    </row>
    <row r="119" spans="1:12" hidden="1" x14ac:dyDescent="0.2">
      <c r="A119" s="352">
        <v>116</v>
      </c>
      <c r="B119" s="342"/>
      <c r="C119" s="343"/>
      <c r="D119" s="344"/>
      <c r="E119" s="343"/>
      <c r="F119" s="345"/>
      <c r="G119" s="346"/>
      <c r="H119" s="346"/>
      <c r="I119" s="347"/>
      <c r="J119" s="346"/>
      <c r="K119" s="353"/>
      <c r="L119" s="71">
        <f t="shared" si="3"/>
        <v>0</v>
      </c>
    </row>
    <row r="120" spans="1:12" hidden="1" x14ac:dyDescent="0.2">
      <c r="A120" s="352">
        <v>117</v>
      </c>
      <c r="B120" s="342"/>
      <c r="C120" s="343"/>
      <c r="D120" s="344"/>
      <c r="E120" s="343"/>
      <c r="F120" s="345"/>
      <c r="G120" s="346"/>
      <c r="H120" s="346"/>
      <c r="I120" s="347"/>
      <c r="J120" s="346"/>
      <c r="K120" s="353"/>
      <c r="L120" s="71">
        <f t="shared" si="3"/>
        <v>0</v>
      </c>
    </row>
    <row r="121" spans="1:12" hidden="1" x14ac:dyDescent="0.2">
      <c r="A121" s="352">
        <v>118</v>
      </c>
      <c r="B121" s="342"/>
      <c r="C121" s="343"/>
      <c r="D121" s="344"/>
      <c r="E121" s="343"/>
      <c r="F121" s="345"/>
      <c r="G121" s="346"/>
      <c r="H121" s="346"/>
      <c r="I121" s="347"/>
      <c r="J121" s="346"/>
      <c r="K121" s="353"/>
      <c r="L121" s="71">
        <f t="shared" si="3"/>
        <v>0</v>
      </c>
    </row>
    <row r="122" spans="1:12" hidden="1" x14ac:dyDescent="0.2">
      <c r="A122" s="352">
        <v>119</v>
      </c>
      <c r="B122" s="342"/>
      <c r="C122" s="343"/>
      <c r="D122" s="344"/>
      <c r="E122" s="343"/>
      <c r="F122" s="345"/>
      <c r="G122" s="346"/>
      <c r="H122" s="346"/>
      <c r="I122" s="347"/>
      <c r="J122" s="346"/>
      <c r="K122" s="353"/>
      <c r="L122" s="71">
        <f t="shared" si="3"/>
        <v>0</v>
      </c>
    </row>
    <row r="123" spans="1:12" hidden="1" x14ac:dyDescent="0.2">
      <c r="A123" s="352">
        <v>120</v>
      </c>
      <c r="B123" s="342"/>
      <c r="C123" s="343"/>
      <c r="D123" s="344"/>
      <c r="E123" s="343"/>
      <c r="F123" s="345"/>
      <c r="G123" s="346"/>
      <c r="H123" s="346"/>
      <c r="I123" s="347"/>
      <c r="J123" s="346"/>
      <c r="K123" s="353"/>
      <c r="L123" s="71">
        <f t="shared" si="3"/>
        <v>0</v>
      </c>
    </row>
    <row r="124" spans="1:12" hidden="1" x14ac:dyDescent="0.2">
      <c r="A124" s="352">
        <v>121</v>
      </c>
      <c r="B124" s="342"/>
      <c r="C124" s="343"/>
      <c r="D124" s="344"/>
      <c r="E124" s="343"/>
      <c r="F124" s="345"/>
      <c r="G124" s="346"/>
      <c r="H124" s="346"/>
      <c r="I124" s="347"/>
      <c r="J124" s="346"/>
      <c r="K124" s="353"/>
      <c r="L124" s="71">
        <f t="shared" si="3"/>
        <v>0</v>
      </c>
    </row>
    <row r="125" spans="1:12" hidden="1" x14ac:dyDescent="0.2">
      <c r="A125" s="352">
        <v>122</v>
      </c>
      <c r="B125" s="342"/>
      <c r="C125" s="343"/>
      <c r="D125" s="344"/>
      <c r="E125" s="343"/>
      <c r="F125" s="345"/>
      <c r="G125" s="346"/>
      <c r="H125" s="346"/>
      <c r="I125" s="347"/>
      <c r="J125" s="346"/>
      <c r="K125" s="353"/>
      <c r="L125" s="71">
        <f t="shared" si="3"/>
        <v>0</v>
      </c>
    </row>
    <row r="126" spans="1:12" hidden="1" x14ac:dyDescent="0.2">
      <c r="A126" s="352">
        <v>123</v>
      </c>
      <c r="B126" s="342"/>
      <c r="C126" s="343"/>
      <c r="D126" s="344"/>
      <c r="E126" s="343"/>
      <c r="F126" s="345"/>
      <c r="G126" s="346"/>
      <c r="H126" s="346"/>
      <c r="I126" s="347"/>
      <c r="J126" s="346"/>
      <c r="K126" s="353"/>
      <c r="L126" s="71">
        <f t="shared" si="3"/>
        <v>0</v>
      </c>
    </row>
    <row r="127" spans="1:12" hidden="1" x14ac:dyDescent="0.2">
      <c r="A127" s="352">
        <v>124</v>
      </c>
      <c r="B127" s="342"/>
      <c r="C127" s="343"/>
      <c r="D127" s="344"/>
      <c r="E127" s="343"/>
      <c r="F127" s="345"/>
      <c r="G127" s="346"/>
      <c r="H127" s="346"/>
      <c r="I127" s="347"/>
      <c r="J127" s="346"/>
      <c r="K127" s="353"/>
      <c r="L127" s="71">
        <f t="shared" si="3"/>
        <v>0</v>
      </c>
    </row>
    <row r="128" spans="1:12" hidden="1" x14ac:dyDescent="0.2">
      <c r="A128" s="352">
        <v>125</v>
      </c>
      <c r="B128" s="342"/>
      <c r="C128" s="343"/>
      <c r="D128" s="344"/>
      <c r="E128" s="343"/>
      <c r="F128" s="345"/>
      <c r="G128" s="346"/>
      <c r="H128" s="346"/>
      <c r="I128" s="347"/>
      <c r="J128" s="346"/>
      <c r="K128" s="353"/>
      <c r="L128" s="71">
        <f t="shared" si="3"/>
        <v>0</v>
      </c>
    </row>
    <row r="129" spans="1:12" hidden="1" x14ac:dyDescent="0.2">
      <c r="A129" s="352">
        <v>126</v>
      </c>
      <c r="B129" s="342"/>
      <c r="C129" s="343"/>
      <c r="D129" s="344"/>
      <c r="E129" s="343"/>
      <c r="F129" s="345"/>
      <c r="G129" s="346"/>
      <c r="H129" s="346"/>
      <c r="I129" s="347"/>
      <c r="J129" s="346"/>
      <c r="K129" s="353"/>
      <c r="L129" s="71">
        <f t="shared" si="3"/>
        <v>0</v>
      </c>
    </row>
    <row r="130" spans="1:12" hidden="1" x14ac:dyDescent="0.2">
      <c r="A130" s="352">
        <v>127</v>
      </c>
      <c r="B130" s="342"/>
      <c r="C130" s="343"/>
      <c r="D130" s="344"/>
      <c r="E130" s="343"/>
      <c r="F130" s="345"/>
      <c r="G130" s="346"/>
      <c r="H130" s="346"/>
      <c r="I130" s="347"/>
      <c r="J130" s="346"/>
      <c r="K130" s="353"/>
      <c r="L130" s="71">
        <f t="shared" si="3"/>
        <v>0</v>
      </c>
    </row>
    <row r="131" spans="1:12" hidden="1" x14ac:dyDescent="0.2">
      <c r="A131" s="352">
        <v>128</v>
      </c>
      <c r="B131" s="342"/>
      <c r="C131" s="343"/>
      <c r="D131" s="344"/>
      <c r="E131" s="343"/>
      <c r="F131" s="345"/>
      <c r="G131" s="346"/>
      <c r="H131" s="346"/>
      <c r="I131" s="347"/>
      <c r="J131" s="346"/>
      <c r="K131" s="353"/>
      <c r="L131" s="71">
        <f t="shared" si="3"/>
        <v>0</v>
      </c>
    </row>
    <row r="132" spans="1:12" hidden="1" x14ac:dyDescent="0.2">
      <c r="A132" s="352">
        <v>129</v>
      </c>
      <c r="B132" s="342"/>
      <c r="C132" s="343"/>
      <c r="D132" s="344"/>
      <c r="E132" s="343"/>
      <c r="F132" s="345"/>
      <c r="G132" s="346"/>
      <c r="H132" s="346"/>
      <c r="I132" s="347"/>
      <c r="J132" s="346"/>
      <c r="K132" s="353"/>
      <c r="L132" s="71">
        <f t="shared" si="3"/>
        <v>0</v>
      </c>
    </row>
    <row r="133" spans="1:12" hidden="1" x14ac:dyDescent="0.2">
      <c r="A133" s="352">
        <v>130</v>
      </c>
      <c r="B133" s="342"/>
      <c r="C133" s="343"/>
      <c r="D133" s="344"/>
      <c r="E133" s="343"/>
      <c r="F133" s="345"/>
      <c r="G133" s="346"/>
      <c r="H133" s="346"/>
      <c r="I133" s="347"/>
      <c r="J133" s="346"/>
      <c r="K133" s="353"/>
      <c r="L133" s="71">
        <f t="shared" si="3"/>
        <v>0</v>
      </c>
    </row>
    <row r="134" spans="1:12" hidden="1" x14ac:dyDescent="0.2">
      <c r="A134" s="352">
        <v>131</v>
      </c>
      <c r="B134" s="342"/>
      <c r="C134" s="343"/>
      <c r="D134" s="344"/>
      <c r="E134" s="343"/>
      <c r="F134" s="345"/>
      <c r="G134" s="346"/>
      <c r="H134" s="346"/>
      <c r="I134" s="347"/>
      <c r="J134" s="346"/>
      <c r="K134" s="353"/>
      <c r="L134" s="71">
        <f t="shared" ref="L134:L197" si="4">IF(B134=0,0,MONTH(B134)-$L$1+1)</f>
        <v>0</v>
      </c>
    </row>
    <row r="135" spans="1:12" hidden="1" x14ac:dyDescent="0.2">
      <c r="A135" s="352">
        <v>132</v>
      </c>
      <c r="B135" s="342"/>
      <c r="C135" s="343"/>
      <c r="D135" s="344"/>
      <c r="E135" s="343"/>
      <c r="F135" s="345"/>
      <c r="G135" s="346"/>
      <c r="H135" s="346"/>
      <c r="I135" s="347"/>
      <c r="J135" s="346"/>
      <c r="K135" s="353"/>
      <c r="L135" s="71">
        <f t="shared" si="4"/>
        <v>0</v>
      </c>
    </row>
    <row r="136" spans="1:12" hidden="1" x14ac:dyDescent="0.2">
      <c r="A136" s="352">
        <v>133</v>
      </c>
      <c r="B136" s="342"/>
      <c r="C136" s="343"/>
      <c r="D136" s="344"/>
      <c r="E136" s="343"/>
      <c r="F136" s="345"/>
      <c r="G136" s="346"/>
      <c r="H136" s="346"/>
      <c r="I136" s="347"/>
      <c r="J136" s="346"/>
      <c r="K136" s="353"/>
      <c r="L136" s="71">
        <f t="shared" si="4"/>
        <v>0</v>
      </c>
    </row>
    <row r="137" spans="1:12" hidden="1" x14ac:dyDescent="0.2">
      <c r="A137" s="352">
        <v>134</v>
      </c>
      <c r="B137" s="342"/>
      <c r="C137" s="343"/>
      <c r="D137" s="344"/>
      <c r="E137" s="343"/>
      <c r="F137" s="345"/>
      <c r="G137" s="346"/>
      <c r="H137" s="346"/>
      <c r="I137" s="347"/>
      <c r="J137" s="346"/>
      <c r="K137" s="353"/>
      <c r="L137" s="71">
        <f t="shared" si="4"/>
        <v>0</v>
      </c>
    </row>
    <row r="138" spans="1:12" hidden="1" x14ac:dyDescent="0.2">
      <c r="A138" s="352">
        <v>135</v>
      </c>
      <c r="B138" s="342"/>
      <c r="C138" s="343"/>
      <c r="D138" s="344"/>
      <c r="E138" s="343"/>
      <c r="F138" s="345"/>
      <c r="G138" s="346"/>
      <c r="H138" s="346"/>
      <c r="I138" s="347"/>
      <c r="J138" s="346"/>
      <c r="K138" s="353"/>
      <c r="L138" s="71">
        <f t="shared" si="4"/>
        <v>0</v>
      </c>
    </row>
    <row r="139" spans="1:12" hidden="1" x14ac:dyDescent="0.2">
      <c r="A139" s="352">
        <v>136</v>
      </c>
      <c r="B139" s="342"/>
      <c r="C139" s="343"/>
      <c r="D139" s="350"/>
      <c r="E139" s="343"/>
      <c r="F139" s="345"/>
      <c r="G139" s="346"/>
      <c r="H139" s="346"/>
      <c r="I139" s="347"/>
      <c r="J139" s="347"/>
      <c r="K139" s="353"/>
      <c r="L139" s="71">
        <f t="shared" si="4"/>
        <v>0</v>
      </c>
    </row>
    <row r="140" spans="1:12" hidden="1" x14ac:dyDescent="0.2">
      <c r="A140" s="352">
        <v>137</v>
      </c>
      <c r="B140" s="342"/>
      <c r="C140" s="343"/>
      <c r="D140" s="344"/>
      <c r="E140" s="343"/>
      <c r="F140" s="345"/>
      <c r="G140" s="346"/>
      <c r="H140" s="346"/>
      <c r="I140" s="347"/>
      <c r="J140" s="346"/>
      <c r="K140" s="353"/>
      <c r="L140" s="71">
        <f t="shared" si="4"/>
        <v>0</v>
      </c>
    </row>
    <row r="141" spans="1:12" hidden="1" x14ac:dyDescent="0.2">
      <c r="A141" s="352">
        <v>138</v>
      </c>
      <c r="B141" s="342"/>
      <c r="C141" s="343"/>
      <c r="D141" s="344"/>
      <c r="E141" s="343"/>
      <c r="F141" s="345"/>
      <c r="G141" s="346"/>
      <c r="H141" s="346"/>
      <c r="I141" s="347"/>
      <c r="J141" s="346"/>
      <c r="K141" s="353"/>
      <c r="L141" s="71">
        <f t="shared" si="4"/>
        <v>0</v>
      </c>
    </row>
    <row r="142" spans="1:12" hidden="1" x14ac:dyDescent="0.2">
      <c r="A142" s="352">
        <v>139</v>
      </c>
      <c r="B142" s="342"/>
      <c r="C142" s="343"/>
      <c r="D142" s="344"/>
      <c r="E142" s="343"/>
      <c r="F142" s="345"/>
      <c r="G142" s="346"/>
      <c r="H142" s="346"/>
      <c r="I142" s="347"/>
      <c r="J142" s="346"/>
      <c r="K142" s="353"/>
      <c r="L142" s="71">
        <f t="shared" si="4"/>
        <v>0</v>
      </c>
    </row>
    <row r="143" spans="1:12" hidden="1" x14ac:dyDescent="0.2">
      <c r="A143" s="352">
        <v>140</v>
      </c>
      <c r="B143" s="342"/>
      <c r="C143" s="343"/>
      <c r="D143" s="344"/>
      <c r="E143" s="343"/>
      <c r="F143" s="345"/>
      <c r="G143" s="346"/>
      <c r="H143" s="346"/>
      <c r="I143" s="347"/>
      <c r="J143" s="346"/>
      <c r="K143" s="353"/>
      <c r="L143" s="71">
        <f t="shared" si="4"/>
        <v>0</v>
      </c>
    </row>
    <row r="144" spans="1:12" hidden="1" x14ac:dyDescent="0.2">
      <c r="A144" s="352">
        <v>141</v>
      </c>
      <c r="B144" s="342"/>
      <c r="C144" s="343"/>
      <c r="D144" s="344"/>
      <c r="E144" s="343"/>
      <c r="F144" s="345"/>
      <c r="G144" s="346"/>
      <c r="H144" s="346"/>
      <c r="I144" s="347"/>
      <c r="J144" s="346"/>
      <c r="K144" s="353"/>
      <c r="L144" s="71">
        <f t="shared" si="4"/>
        <v>0</v>
      </c>
    </row>
    <row r="145" spans="1:12" hidden="1" x14ac:dyDescent="0.2">
      <c r="A145" s="352">
        <v>142</v>
      </c>
      <c r="B145" s="342"/>
      <c r="C145" s="343"/>
      <c r="D145" s="344"/>
      <c r="E145" s="343"/>
      <c r="F145" s="345"/>
      <c r="G145" s="346"/>
      <c r="H145" s="346"/>
      <c r="I145" s="347"/>
      <c r="J145" s="346"/>
      <c r="K145" s="353"/>
      <c r="L145" s="71">
        <f t="shared" si="4"/>
        <v>0</v>
      </c>
    </row>
    <row r="146" spans="1:12" hidden="1" x14ac:dyDescent="0.2">
      <c r="A146" s="352">
        <v>143</v>
      </c>
      <c r="B146" s="342"/>
      <c r="C146" s="343"/>
      <c r="D146" s="344"/>
      <c r="E146" s="343"/>
      <c r="F146" s="345"/>
      <c r="G146" s="346"/>
      <c r="H146" s="346"/>
      <c r="I146" s="347"/>
      <c r="J146" s="346"/>
      <c r="K146" s="353"/>
      <c r="L146" s="71">
        <f t="shared" si="4"/>
        <v>0</v>
      </c>
    </row>
    <row r="147" spans="1:12" hidden="1" x14ac:dyDescent="0.2">
      <c r="A147" s="352">
        <v>144</v>
      </c>
      <c r="B147" s="342"/>
      <c r="C147" s="343"/>
      <c r="D147" s="344"/>
      <c r="E147" s="343"/>
      <c r="F147" s="345"/>
      <c r="G147" s="346"/>
      <c r="H147" s="346"/>
      <c r="I147" s="347"/>
      <c r="J147" s="346"/>
      <c r="K147" s="353"/>
      <c r="L147" s="71">
        <f t="shared" si="4"/>
        <v>0</v>
      </c>
    </row>
    <row r="148" spans="1:12" hidden="1" x14ac:dyDescent="0.2">
      <c r="A148" s="352">
        <v>145</v>
      </c>
      <c r="B148" s="342"/>
      <c r="C148" s="343"/>
      <c r="D148" s="344"/>
      <c r="E148" s="343"/>
      <c r="F148" s="345"/>
      <c r="G148" s="346"/>
      <c r="H148" s="346"/>
      <c r="I148" s="347"/>
      <c r="J148" s="346"/>
      <c r="K148" s="353"/>
      <c r="L148" s="71">
        <f t="shared" si="4"/>
        <v>0</v>
      </c>
    </row>
    <row r="149" spans="1:12" hidden="1" x14ac:dyDescent="0.2">
      <c r="A149" s="352">
        <v>146</v>
      </c>
      <c r="B149" s="342"/>
      <c r="C149" s="343"/>
      <c r="D149" s="344"/>
      <c r="E149" s="343"/>
      <c r="F149" s="345"/>
      <c r="G149" s="346"/>
      <c r="H149" s="346"/>
      <c r="I149" s="347"/>
      <c r="J149" s="346"/>
      <c r="K149" s="353"/>
      <c r="L149" s="71">
        <f t="shared" si="4"/>
        <v>0</v>
      </c>
    </row>
    <row r="150" spans="1:12" hidden="1" x14ac:dyDescent="0.2">
      <c r="A150" s="352">
        <v>147</v>
      </c>
      <c r="B150" s="342"/>
      <c r="C150" s="343"/>
      <c r="D150" s="344"/>
      <c r="E150" s="343"/>
      <c r="F150" s="345"/>
      <c r="G150" s="346"/>
      <c r="H150" s="346"/>
      <c r="I150" s="347"/>
      <c r="J150" s="346"/>
      <c r="K150" s="353"/>
      <c r="L150" s="71">
        <f t="shared" si="4"/>
        <v>0</v>
      </c>
    </row>
    <row r="151" spans="1:12" hidden="1" x14ac:dyDescent="0.2">
      <c r="A151" s="352">
        <v>148</v>
      </c>
      <c r="B151" s="342"/>
      <c r="C151" s="343"/>
      <c r="D151" s="344"/>
      <c r="E151" s="343"/>
      <c r="F151" s="345"/>
      <c r="G151" s="346"/>
      <c r="H151" s="346"/>
      <c r="I151" s="347"/>
      <c r="J151" s="346"/>
      <c r="K151" s="353"/>
      <c r="L151" s="71">
        <f t="shared" si="4"/>
        <v>0</v>
      </c>
    </row>
    <row r="152" spans="1:12" hidden="1" x14ac:dyDescent="0.2">
      <c r="A152" s="352">
        <v>149</v>
      </c>
      <c r="B152" s="342"/>
      <c r="C152" s="343"/>
      <c r="D152" s="344"/>
      <c r="E152" s="343"/>
      <c r="F152" s="345"/>
      <c r="G152" s="346"/>
      <c r="H152" s="346"/>
      <c r="I152" s="347"/>
      <c r="J152" s="346"/>
      <c r="K152" s="353"/>
      <c r="L152" s="71">
        <f t="shared" si="4"/>
        <v>0</v>
      </c>
    </row>
    <row r="153" spans="1:12" hidden="1" x14ac:dyDescent="0.2">
      <c r="A153" s="352">
        <v>150</v>
      </c>
      <c r="B153" s="342"/>
      <c r="C153" s="343"/>
      <c r="D153" s="344"/>
      <c r="E153" s="343"/>
      <c r="F153" s="345"/>
      <c r="G153" s="346"/>
      <c r="H153" s="346"/>
      <c r="I153" s="347"/>
      <c r="J153" s="346"/>
      <c r="K153" s="353"/>
      <c r="L153" s="71">
        <f t="shared" si="4"/>
        <v>0</v>
      </c>
    </row>
    <row r="154" spans="1:12" hidden="1" x14ac:dyDescent="0.2">
      <c r="A154" s="352">
        <v>151</v>
      </c>
      <c r="B154" s="342"/>
      <c r="C154" s="343"/>
      <c r="D154" s="344"/>
      <c r="E154" s="343"/>
      <c r="F154" s="345"/>
      <c r="G154" s="346"/>
      <c r="H154" s="346"/>
      <c r="I154" s="347"/>
      <c r="J154" s="346"/>
      <c r="K154" s="353"/>
      <c r="L154" s="71">
        <f t="shared" si="4"/>
        <v>0</v>
      </c>
    </row>
    <row r="155" spans="1:12" hidden="1" x14ac:dyDescent="0.2">
      <c r="A155" s="352">
        <v>152</v>
      </c>
      <c r="B155" s="342"/>
      <c r="C155" s="343"/>
      <c r="D155" s="344"/>
      <c r="E155" s="343"/>
      <c r="F155" s="345"/>
      <c r="G155" s="346"/>
      <c r="H155" s="346"/>
      <c r="I155" s="347"/>
      <c r="J155" s="346"/>
      <c r="K155" s="353"/>
      <c r="L155" s="71">
        <f t="shared" si="4"/>
        <v>0</v>
      </c>
    </row>
    <row r="156" spans="1:12" hidden="1" x14ac:dyDescent="0.2">
      <c r="A156" s="352">
        <v>153</v>
      </c>
      <c r="B156" s="342"/>
      <c r="C156" s="343"/>
      <c r="D156" s="344"/>
      <c r="E156" s="343"/>
      <c r="F156" s="345"/>
      <c r="G156" s="346"/>
      <c r="H156" s="346"/>
      <c r="I156" s="347"/>
      <c r="J156" s="346"/>
      <c r="K156" s="353"/>
      <c r="L156" s="71">
        <f t="shared" si="4"/>
        <v>0</v>
      </c>
    </row>
    <row r="157" spans="1:12" hidden="1" x14ac:dyDescent="0.2">
      <c r="A157" s="352">
        <v>154</v>
      </c>
      <c r="B157" s="342"/>
      <c r="C157" s="343"/>
      <c r="D157" s="344"/>
      <c r="E157" s="343"/>
      <c r="F157" s="345"/>
      <c r="G157" s="346"/>
      <c r="H157" s="346"/>
      <c r="I157" s="347"/>
      <c r="J157" s="346"/>
      <c r="K157" s="353"/>
      <c r="L157" s="71">
        <f t="shared" si="4"/>
        <v>0</v>
      </c>
    </row>
    <row r="158" spans="1:12" hidden="1" x14ac:dyDescent="0.2">
      <c r="A158" s="352">
        <v>155</v>
      </c>
      <c r="B158" s="342"/>
      <c r="C158" s="343"/>
      <c r="D158" s="344"/>
      <c r="E158" s="343"/>
      <c r="F158" s="345"/>
      <c r="G158" s="346"/>
      <c r="H158" s="346"/>
      <c r="I158" s="347"/>
      <c r="J158" s="346"/>
      <c r="K158" s="353"/>
      <c r="L158" s="71">
        <f t="shared" si="4"/>
        <v>0</v>
      </c>
    </row>
    <row r="159" spans="1:12" hidden="1" x14ac:dyDescent="0.2">
      <c r="A159" s="352">
        <v>156</v>
      </c>
      <c r="B159" s="342"/>
      <c r="C159" s="343"/>
      <c r="D159" s="344"/>
      <c r="E159" s="343"/>
      <c r="F159" s="345"/>
      <c r="G159" s="346"/>
      <c r="H159" s="346"/>
      <c r="I159" s="347"/>
      <c r="J159" s="346"/>
      <c r="K159" s="353"/>
      <c r="L159" s="71">
        <f t="shared" si="4"/>
        <v>0</v>
      </c>
    </row>
    <row r="160" spans="1:12" hidden="1" x14ac:dyDescent="0.2">
      <c r="A160" s="352">
        <v>157</v>
      </c>
      <c r="B160" s="342"/>
      <c r="C160" s="343"/>
      <c r="D160" s="344"/>
      <c r="E160" s="343"/>
      <c r="F160" s="345"/>
      <c r="G160" s="346"/>
      <c r="H160" s="346"/>
      <c r="I160" s="347"/>
      <c r="J160" s="346"/>
      <c r="K160" s="353"/>
      <c r="L160" s="71">
        <f t="shared" si="4"/>
        <v>0</v>
      </c>
    </row>
    <row r="161" spans="1:12" hidden="1" x14ac:dyDescent="0.2">
      <c r="A161" s="352">
        <v>158</v>
      </c>
      <c r="B161" s="342"/>
      <c r="C161" s="343"/>
      <c r="D161" s="344"/>
      <c r="E161" s="343"/>
      <c r="F161" s="345"/>
      <c r="G161" s="346"/>
      <c r="H161" s="346"/>
      <c r="I161" s="347"/>
      <c r="J161" s="346"/>
      <c r="K161" s="353"/>
      <c r="L161" s="71">
        <f t="shared" si="4"/>
        <v>0</v>
      </c>
    </row>
    <row r="162" spans="1:12" hidden="1" x14ac:dyDescent="0.2">
      <c r="A162" s="352">
        <v>159</v>
      </c>
      <c r="B162" s="342"/>
      <c r="C162" s="343"/>
      <c r="D162" s="344"/>
      <c r="E162" s="343"/>
      <c r="F162" s="345"/>
      <c r="G162" s="346"/>
      <c r="H162" s="346"/>
      <c r="I162" s="347"/>
      <c r="J162" s="346"/>
      <c r="K162" s="353"/>
      <c r="L162" s="71">
        <f t="shared" si="4"/>
        <v>0</v>
      </c>
    </row>
    <row r="163" spans="1:12" hidden="1" x14ac:dyDescent="0.2">
      <c r="A163" s="352">
        <v>160</v>
      </c>
      <c r="B163" s="342"/>
      <c r="C163" s="343"/>
      <c r="D163" s="344"/>
      <c r="E163" s="343"/>
      <c r="F163" s="345"/>
      <c r="G163" s="346"/>
      <c r="H163" s="346"/>
      <c r="I163" s="347"/>
      <c r="J163" s="346"/>
      <c r="K163" s="353"/>
      <c r="L163" s="71">
        <f t="shared" si="4"/>
        <v>0</v>
      </c>
    </row>
    <row r="164" spans="1:12" hidden="1" x14ac:dyDescent="0.2">
      <c r="A164" s="352">
        <v>161</v>
      </c>
      <c r="B164" s="342"/>
      <c r="C164" s="343"/>
      <c r="D164" s="344"/>
      <c r="E164" s="343"/>
      <c r="F164" s="345"/>
      <c r="G164" s="346"/>
      <c r="H164" s="346"/>
      <c r="I164" s="347"/>
      <c r="J164" s="346"/>
      <c r="K164" s="353"/>
      <c r="L164" s="71">
        <f t="shared" si="4"/>
        <v>0</v>
      </c>
    </row>
    <row r="165" spans="1:12" hidden="1" x14ac:dyDescent="0.2">
      <c r="A165" s="352">
        <v>162</v>
      </c>
      <c r="B165" s="342"/>
      <c r="C165" s="343"/>
      <c r="D165" s="344"/>
      <c r="E165" s="343"/>
      <c r="F165" s="345"/>
      <c r="G165" s="346"/>
      <c r="H165" s="346"/>
      <c r="I165" s="347"/>
      <c r="J165" s="346"/>
      <c r="K165" s="353"/>
      <c r="L165" s="71">
        <f t="shared" si="4"/>
        <v>0</v>
      </c>
    </row>
    <row r="166" spans="1:12" hidden="1" x14ac:dyDescent="0.2">
      <c r="A166" s="352">
        <v>163</v>
      </c>
      <c r="B166" s="342"/>
      <c r="C166" s="343"/>
      <c r="D166" s="344"/>
      <c r="E166" s="343"/>
      <c r="F166" s="345"/>
      <c r="G166" s="346"/>
      <c r="H166" s="346"/>
      <c r="I166" s="347"/>
      <c r="J166" s="346"/>
      <c r="K166" s="353"/>
      <c r="L166" s="71">
        <f t="shared" si="4"/>
        <v>0</v>
      </c>
    </row>
    <row r="167" spans="1:12" hidden="1" x14ac:dyDescent="0.2">
      <c r="A167" s="352">
        <v>164</v>
      </c>
      <c r="B167" s="342"/>
      <c r="C167" s="343"/>
      <c r="D167" s="344"/>
      <c r="E167" s="343"/>
      <c r="F167" s="345"/>
      <c r="G167" s="346"/>
      <c r="H167" s="346"/>
      <c r="I167" s="347"/>
      <c r="J167" s="346"/>
      <c r="K167" s="353"/>
      <c r="L167" s="71">
        <f t="shared" si="4"/>
        <v>0</v>
      </c>
    </row>
    <row r="168" spans="1:12" hidden="1" x14ac:dyDescent="0.2">
      <c r="A168" s="352">
        <v>165</v>
      </c>
      <c r="B168" s="342"/>
      <c r="C168" s="343"/>
      <c r="D168" s="344"/>
      <c r="E168" s="343"/>
      <c r="F168" s="345"/>
      <c r="G168" s="346"/>
      <c r="H168" s="346"/>
      <c r="I168" s="347"/>
      <c r="J168" s="346"/>
      <c r="K168" s="353"/>
      <c r="L168" s="71">
        <f t="shared" si="4"/>
        <v>0</v>
      </c>
    </row>
    <row r="169" spans="1:12" hidden="1" x14ac:dyDescent="0.2">
      <c r="A169" s="352">
        <v>166</v>
      </c>
      <c r="B169" s="342"/>
      <c r="C169" s="343"/>
      <c r="D169" s="344"/>
      <c r="E169" s="343"/>
      <c r="F169" s="345"/>
      <c r="G169" s="346"/>
      <c r="H169" s="346"/>
      <c r="I169" s="347"/>
      <c r="J169" s="346"/>
      <c r="K169" s="353"/>
      <c r="L169" s="71">
        <f t="shared" si="4"/>
        <v>0</v>
      </c>
    </row>
    <row r="170" spans="1:12" hidden="1" x14ac:dyDescent="0.2">
      <c r="A170" s="352">
        <v>167</v>
      </c>
      <c r="B170" s="342"/>
      <c r="C170" s="343"/>
      <c r="D170" s="344"/>
      <c r="E170" s="343"/>
      <c r="F170" s="345"/>
      <c r="G170" s="346"/>
      <c r="H170" s="346"/>
      <c r="I170" s="347"/>
      <c r="J170" s="346"/>
      <c r="K170" s="353"/>
      <c r="L170" s="71">
        <f t="shared" si="4"/>
        <v>0</v>
      </c>
    </row>
    <row r="171" spans="1:12" hidden="1" x14ac:dyDescent="0.2">
      <c r="A171" s="352">
        <v>168</v>
      </c>
      <c r="B171" s="342"/>
      <c r="C171" s="343"/>
      <c r="D171" s="344"/>
      <c r="E171" s="343"/>
      <c r="F171" s="345"/>
      <c r="G171" s="346"/>
      <c r="H171" s="346"/>
      <c r="I171" s="347"/>
      <c r="J171" s="346"/>
      <c r="K171" s="353"/>
      <c r="L171" s="71">
        <f t="shared" si="4"/>
        <v>0</v>
      </c>
    </row>
    <row r="172" spans="1:12" hidden="1" x14ac:dyDescent="0.2">
      <c r="A172" s="352">
        <v>169</v>
      </c>
      <c r="B172" s="342"/>
      <c r="C172" s="343"/>
      <c r="D172" s="344"/>
      <c r="E172" s="343"/>
      <c r="F172" s="345"/>
      <c r="G172" s="346"/>
      <c r="H172" s="346"/>
      <c r="I172" s="347"/>
      <c r="J172" s="346"/>
      <c r="K172" s="353"/>
      <c r="L172" s="71">
        <f t="shared" si="4"/>
        <v>0</v>
      </c>
    </row>
    <row r="173" spans="1:12" hidden="1" x14ac:dyDescent="0.2">
      <c r="A173" s="352">
        <v>170</v>
      </c>
      <c r="B173" s="342"/>
      <c r="C173" s="343"/>
      <c r="D173" s="344"/>
      <c r="E173" s="343"/>
      <c r="F173" s="345"/>
      <c r="G173" s="346"/>
      <c r="H173" s="346"/>
      <c r="I173" s="347"/>
      <c r="J173" s="346"/>
      <c r="K173" s="353"/>
      <c r="L173" s="71">
        <f t="shared" si="4"/>
        <v>0</v>
      </c>
    </row>
    <row r="174" spans="1:12" hidden="1" x14ac:dyDescent="0.2">
      <c r="A174" s="352">
        <v>171</v>
      </c>
      <c r="B174" s="342"/>
      <c r="C174" s="343"/>
      <c r="D174" s="344"/>
      <c r="E174" s="343"/>
      <c r="F174" s="345"/>
      <c r="G174" s="346"/>
      <c r="H174" s="346"/>
      <c r="I174" s="347"/>
      <c r="J174" s="346"/>
      <c r="K174" s="353"/>
      <c r="L174" s="71">
        <f t="shared" si="4"/>
        <v>0</v>
      </c>
    </row>
    <row r="175" spans="1:12" hidden="1" x14ac:dyDescent="0.2">
      <c r="A175" s="352">
        <v>172</v>
      </c>
      <c r="B175" s="342"/>
      <c r="C175" s="343"/>
      <c r="D175" s="344"/>
      <c r="E175" s="343"/>
      <c r="F175" s="345"/>
      <c r="G175" s="346"/>
      <c r="H175" s="346"/>
      <c r="I175" s="347"/>
      <c r="J175" s="346"/>
      <c r="K175" s="353"/>
      <c r="L175" s="71">
        <f t="shared" si="4"/>
        <v>0</v>
      </c>
    </row>
    <row r="176" spans="1:12" hidden="1" x14ac:dyDescent="0.2">
      <c r="A176" s="352">
        <v>173</v>
      </c>
      <c r="B176" s="342"/>
      <c r="C176" s="343"/>
      <c r="D176" s="344"/>
      <c r="E176" s="343"/>
      <c r="F176" s="345"/>
      <c r="G176" s="346"/>
      <c r="H176" s="346"/>
      <c r="I176" s="347"/>
      <c r="J176" s="346"/>
      <c r="K176" s="353"/>
      <c r="L176" s="71">
        <f t="shared" si="4"/>
        <v>0</v>
      </c>
    </row>
    <row r="177" spans="1:12" hidden="1" x14ac:dyDescent="0.2">
      <c r="A177" s="352">
        <v>174</v>
      </c>
      <c r="B177" s="342"/>
      <c r="C177" s="343"/>
      <c r="D177" s="344"/>
      <c r="E177" s="343"/>
      <c r="F177" s="345"/>
      <c r="G177" s="346"/>
      <c r="H177" s="346"/>
      <c r="I177" s="347"/>
      <c r="J177" s="346"/>
      <c r="K177" s="353"/>
      <c r="L177" s="71">
        <f t="shared" si="4"/>
        <v>0</v>
      </c>
    </row>
    <row r="178" spans="1:12" hidden="1" x14ac:dyDescent="0.2">
      <c r="A178" s="352">
        <v>175</v>
      </c>
      <c r="B178" s="342"/>
      <c r="C178" s="343"/>
      <c r="D178" s="344"/>
      <c r="E178" s="343"/>
      <c r="F178" s="345"/>
      <c r="G178" s="346"/>
      <c r="H178" s="346"/>
      <c r="I178" s="347"/>
      <c r="J178" s="346"/>
      <c r="K178" s="353"/>
      <c r="L178" s="71">
        <f t="shared" si="4"/>
        <v>0</v>
      </c>
    </row>
    <row r="179" spans="1:12" hidden="1" x14ac:dyDescent="0.2">
      <c r="A179" s="352">
        <v>176</v>
      </c>
      <c r="B179" s="342"/>
      <c r="C179" s="343"/>
      <c r="D179" s="344"/>
      <c r="E179" s="343"/>
      <c r="F179" s="345"/>
      <c r="G179" s="346"/>
      <c r="H179" s="346"/>
      <c r="I179" s="347"/>
      <c r="J179" s="346"/>
      <c r="K179" s="353"/>
      <c r="L179" s="71">
        <f t="shared" si="4"/>
        <v>0</v>
      </c>
    </row>
    <row r="180" spans="1:12" hidden="1" x14ac:dyDescent="0.2">
      <c r="A180" s="352">
        <v>177</v>
      </c>
      <c r="B180" s="342"/>
      <c r="C180" s="343"/>
      <c r="D180" s="344"/>
      <c r="E180" s="343"/>
      <c r="F180" s="345"/>
      <c r="G180" s="346"/>
      <c r="H180" s="346"/>
      <c r="I180" s="347"/>
      <c r="J180" s="346"/>
      <c r="K180" s="353"/>
      <c r="L180" s="71">
        <f t="shared" si="4"/>
        <v>0</v>
      </c>
    </row>
    <row r="181" spans="1:12" hidden="1" x14ac:dyDescent="0.2">
      <c r="A181" s="352">
        <v>178</v>
      </c>
      <c r="B181" s="342"/>
      <c r="C181" s="343"/>
      <c r="D181" s="344"/>
      <c r="E181" s="343"/>
      <c r="F181" s="345"/>
      <c r="G181" s="346"/>
      <c r="H181" s="346"/>
      <c r="I181" s="347"/>
      <c r="J181" s="346"/>
      <c r="K181" s="353"/>
      <c r="L181" s="71">
        <f t="shared" si="4"/>
        <v>0</v>
      </c>
    </row>
    <row r="182" spans="1:12" hidden="1" x14ac:dyDescent="0.2">
      <c r="A182" s="352">
        <v>179</v>
      </c>
      <c r="B182" s="342"/>
      <c r="C182" s="343"/>
      <c r="D182" s="344"/>
      <c r="E182" s="343"/>
      <c r="F182" s="345"/>
      <c r="G182" s="346"/>
      <c r="H182" s="346"/>
      <c r="I182" s="347"/>
      <c r="J182" s="346"/>
      <c r="K182" s="353"/>
      <c r="L182" s="71">
        <f t="shared" si="4"/>
        <v>0</v>
      </c>
    </row>
    <row r="183" spans="1:12" hidden="1" x14ac:dyDescent="0.2">
      <c r="A183" s="352">
        <v>180</v>
      </c>
      <c r="B183" s="342"/>
      <c r="C183" s="343"/>
      <c r="D183" s="344"/>
      <c r="E183" s="343"/>
      <c r="F183" s="345"/>
      <c r="G183" s="346"/>
      <c r="H183" s="346"/>
      <c r="I183" s="347"/>
      <c r="J183" s="346"/>
      <c r="K183" s="353"/>
      <c r="L183" s="71">
        <f t="shared" si="4"/>
        <v>0</v>
      </c>
    </row>
    <row r="184" spans="1:12" hidden="1" x14ac:dyDescent="0.2">
      <c r="A184" s="352">
        <v>181</v>
      </c>
      <c r="B184" s="342"/>
      <c r="C184" s="343"/>
      <c r="D184" s="344"/>
      <c r="E184" s="343"/>
      <c r="F184" s="345"/>
      <c r="G184" s="346"/>
      <c r="H184" s="346"/>
      <c r="I184" s="347"/>
      <c r="J184" s="346"/>
      <c r="K184" s="353"/>
      <c r="L184" s="71">
        <f t="shared" si="4"/>
        <v>0</v>
      </c>
    </row>
    <row r="185" spans="1:12" hidden="1" x14ac:dyDescent="0.2">
      <c r="A185" s="352">
        <v>182</v>
      </c>
      <c r="B185" s="342"/>
      <c r="C185" s="343"/>
      <c r="D185" s="344"/>
      <c r="E185" s="343"/>
      <c r="F185" s="345"/>
      <c r="G185" s="346"/>
      <c r="H185" s="346"/>
      <c r="I185" s="347"/>
      <c r="J185" s="346"/>
      <c r="K185" s="353"/>
      <c r="L185" s="71">
        <f t="shared" si="4"/>
        <v>0</v>
      </c>
    </row>
    <row r="186" spans="1:12" hidden="1" x14ac:dyDescent="0.2">
      <c r="A186" s="352">
        <v>183</v>
      </c>
      <c r="B186" s="342"/>
      <c r="C186" s="343"/>
      <c r="D186" s="344"/>
      <c r="E186" s="343"/>
      <c r="F186" s="345"/>
      <c r="G186" s="346"/>
      <c r="H186" s="346"/>
      <c r="I186" s="347"/>
      <c r="J186" s="346"/>
      <c r="K186" s="353"/>
      <c r="L186" s="71">
        <f t="shared" si="4"/>
        <v>0</v>
      </c>
    </row>
    <row r="187" spans="1:12" hidden="1" x14ac:dyDescent="0.2">
      <c r="A187" s="352">
        <v>184</v>
      </c>
      <c r="B187" s="342"/>
      <c r="C187" s="343"/>
      <c r="D187" s="344"/>
      <c r="E187" s="343"/>
      <c r="F187" s="345"/>
      <c r="G187" s="346"/>
      <c r="H187" s="346"/>
      <c r="I187" s="347"/>
      <c r="J187" s="346"/>
      <c r="K187" s="353"/>
      <c r="L187" s="71">
        <f t="shared" si="4"/>
        <v>0</v>
      </c>
    </row>
    <row r="188" spans="1:12" hidden="1" x14ac:dyDescent="0.2">
      <c r="A188" s="352">
        <v>185</v>
      </c>
      <c r="B188" s="342"/>
      <c r="C188" s="343"/>
      <c r="D188" s="344"/>
      <c r="E188" s="343"/>
      <c r="F188" s="345"/>
      <c r="G188" s="346"/>
      <c r="H188" s="346"/>
      <c r="I188" s="347"/>
      <c r="J188" s="346"/>
      <c r="K188" s="353"/>
      <c r="L188" s="71">
        <f t="shared" si="4"/>
        <v>0</v>
      </c>
    </row>
    <row r="189" spans="1:12" hidden="1" x14ac:dyDescent="0.2">
      <c r="A189" s="352">
        <v>186</v>
      </c>
      <c r="B189" s="342"/>
      <c r="C189" s="343"/>
      <c r="D189" s="344"/>
      <c r="E189" s="343"/>
      <c r="F189" s="345"/>
      <c r="G189" s="346"/>
      <c r="H189" s="346"/>
      <c r="I189" s="347"/>
      <c r="J189" s="346"/>
      <c r="K189" s="353"/>
      <c r="L189" s="71">
        <f t="shared" si="4"/>
        <v>0</v>
      </c>
    </row>
    <row r="190" spans="1:12" hidden="1" x14ac:dyDescent="0.2">
      <c r="A190" s="352">
        <v>187</v>
      </c>
      <c r="B190" s="342"/>
      <c r="C190" s="343"/>
      <c r="D190" s="344"/>
      <c r="E190" s="343"/>
      <c r="F190" s="345"/>
      <c r="G190" s="346"/>
      <c r="H190" s="346"/>
      <c r="I190" s="347"/>
      <c r="J190" s="346"/>
      <c r="K190" s="353"/>
      <c r="L190" s="71">
        <f t="shared" si="4"/>
        <v>0</v>
      </c>
    </row>
    <row r="191" spans="1:12" hidden="1" x14ac:dyDescent="0.2">
      <c r="A191" s="352">
        <v>188</v>
      </c>
      <c r="B191" s="342"/>
      <c r="C191" s="343"/>
      <c r="D191" s="344"/>
      <c r="E191" s="343"/>
      <c r="F191" s="345"/>
      <c r="G191" s="346"/>
      <c r="H191" s="346"/>
      <c r="I191" s="347"/>
      <c r="J191" s="346"/>
      <c r="K191" s="353"/>
      <c r="L191" s="71">
        <f t="shared" si="4"/>
        <v>0</v>
      </c>
    </row>
    <row r="192" spans="1:12" hidden="1" x14ac:dyDescent="0.2">
      <c r="A192" s="352">
        <v>189</v>
      </c>
      <c r="B192" s="342"/>
      <c r="C192" s="343"/>
      <c r="D192" s="344"/>
      <c r="E192" s="343"/>
      <c r="F192" s="345"/>
      <c r="G192" s="346"/>
      <c r="H192" s="346"/>
      <c r="I192" s="347"/>
      <c r="J192" s="346"/>
      <c r="K192" s="353"/>
      <c r="L192" s="71">
        <f t="shared" si="4"/>
        <v>0</v>
      </c>
    </row>
    <row r="193" spans="1:12" hidden="1" x14ac:dyDescent="0.2">
      <c r="A193" s="352">
        <v>190</v>
      </c>
      <c r="B193" s="342"/>
      <c r="C193" s="343"/>
      <c r="D193" s="344"/>
      <c r="E193" s="343"/>
      <c r="F193" s="345"/>
      <c r="G193" s="346"/>
      <c r="H193" s="346"/>
      <c r="I193" s="347"/>
      <c r="J193" s="346"/>
      <c r="K193" s="353"/>
      <c r="L193" s="71">
        <f t="shared" si="4"/>
        <v>0</v>
      </c>
    </row>
    <row r="194" spans="1:12" hidden="1" x14ac:dyDescent="0.2">
      <c r="A194" s="352">
        <v>191</v>
      </c>
      <c r="B194" s="342"/>
      <c r="C194" s="343"/>
      <c r="D194" s="344"/>
      <c r="E194" s="343"/>
      <c r="F194" s="345"/>
      <c r="G194" s="346"/>
      <c r="H194" s="346"/>
      <c r="I194" s="347"/>
      <c r="J194" s="346"/>
      <c r="K194" s="353"/>
      <c r="L194" s="71">
        <f t="shared" si="4"/>
        <v>0</v>
      </c>
    </row>
    <row r="195" spans="1:12" hidden="1" x14ac:dyDescent="0.2">
      <c r="A195" s="352">
        <v>192</v>
      </c>
      <c r="B195" s="342"/>
      <c r="C195" s="343"/>
      <c r="D195" s="344"/>
      <c r="E195" s="343"/>
      <c r="F195" s="345"/>
      <c r="G195" s="346"/>
      <c r="H195" s="346"/>
      <c r="I195" s="347"/>
      <c r="J195" s="346"/>
      <c r="K195" s="353"/>
      <c r="L195" s="71">
        <f t="shared" si="4"/>
        <v>0</v>
      </c>
    </row>
    <row r="196" spans="1:12" hidden="1" x14ac:dyDescent="0.2">
      <c r="A196" s="352">
        <v>193</v>
      </c>
      <c r="B196" s="342"/>
      <c r="C196" s="343"/>
      <c r="D196" s="344"/>
      <c r="E196" s="343"/>
      <c r="F196" s="345"/>
      <c r="G196" s="346"/>
      <c r="H196" s="346"/>
      <c r="I196" s="347"/>
      <c r="J196" s="346"/>
      <c r="K196" s="353"/>
      <c r="L196" s="71">
        <f t="shared" si="4"/>
        <v>0</v>
      </c>
    </row>
    <row r="197" spans="1:12" hidden="1" x14ac:dyDescent="0.2">
      <c r="A197" s="352">
        <v>194</v>
      </c>
      <c r="B197" s="342"/>
      <c r="C197" s="343"/>
      <c r="D197" s="344"/>
      <c r="E197" s="343"/>
      <c r="F197" s="345"/>
      <c r="G197" s="346"/>
      <c r="H197" s="346"/>
      <c r="I197" s="347"/>
      <c r="J197" s="346"/>
      <c r="K197" s="353"/>
      <c r="L197" s="71">
        <f t="shared" si="4"/>
        <v>0</v>
      </c>
    </row>
    <row r="198" spans="1:12" hidden="1" x14ac:dyDescent="0.2">
      <c r="A198" s="352">
        <v>195</v>
      </c>
      <c r="B198" s="342"/>
      <c r="C198" s="343"/>
      <c r="D198" s="344"/>
      <c r="E198" s="343"/>
      <c r="F198" s="345"/>
      <c r="G198" s="346"/>
      <c r="H198" s="346"/>
      <c r="I198" s="347"/>
      <c r="J198" s="346"/>
      <c r="K198" s="353"/>
      <c r="L198" s="71">
        <f t="shared" ref="L198:L261" si="5">IF(B198=0,0,MONTH(B198)-$L$1+1)</f>
        <v>0</v>
      </c>
    </row>
    <row r="199" spans="1:12" hidden="1" x14ac:dyDescent="0.2">
      <c r="A199" s="352">
        <v>196</v>
      </c>
      <c r="B199" s="342"/>
      <c r="C199" s="343"/>
      <c r="D199" s="344"/>
      <c r="E199" s="343"/>
      <c r="F199" s="345"/>
      <c r="G199" s="346"/>
      <c r="H199" s="346"/>
      <c r="I199" s="347"/>
      <c r="J199" s="346"/>
      <c r="K199" s="353"/>
      <c r="L199" s="71">
        <f t="shared" si="5"/>
        <v>0</v>
      </c>
    </row>
    <row r="200" spans="1:12" hidden="1" x14ac:dyDescent="0.2">
      <c r="A200" s="352">
        <v>197</v>
      </c>
      <c r="B200" s="342"/>
      <c r="C200" s="343"/>
      <c r="D200" s="344"/>
      <c r="E200" s="343"/>
      <c r="F200" s="345"/>
      <c r="G200" s="346"/>
      <c r="H200" s="346"/>
      <c r="I200" s="347"/>
      <c r="J200" s="346"/>
      <c r="K200" s="353"/>
      <c r="L200" s="71">
        <f t="shared" si="5"/>
        <v>0</v>
      </c>
    </row>
    <row r="201" spans="1:12" hidden="1" x14ac:dyDescent="0.2">
      <c r="A201" s="352">
        <v>198</v>
      </c>
      <c r="B201" s="342"/>
      <c r="C201" s="343"/>
      <c r="D201" s="344"/>
      <c r="E201" s="343"/>
      <c r="F201" s="345"/>
      <c r="G201" s="346"/>
      <c r="H201" s="346"/>
      <c r="I201" s="347"/>
      <c r="J201" s="346"/>
      <c r="K201" s="353"/>
      <c r="L201" s="71">
        <f t="shared" si="5"/>
        <v>0</v>
      </c>
    </row>
    <row r="202" spans="1:12" hidden="1" x14ac:dyDescent="0.2">
      <c r="A202" s="352">
        <v>199</v>
      </c>
      <c r="B202" s="342"/>
      <c r="C202" s="343"/>
      <c r="D202" s="344"/>
      <c r="E202" s="343"/>
      <c r="F202" s="345"/>
      <c r="G202" s="346"/>
      <c r="H202" s="346"/>
      <c r="I202" s="347"/>
      <c r="J202" s="346"/>
      <c r="K202" s="353"/>
      <c r="L202" s="71">
        <f t="shared" si="5"/>
        <v>0</v>
      </c>
    </row>
    <row r="203" spans="1:12" hidden="1" x14ac:dyDescent="0.2">
      <c r="A203" s="352">
        <v>200</v>
      </c>
      <c r="B203" s="342"/>
      <c r="C203" s="343"/>
      <c r="D203" s="344"/>
      <c r="E203" s="343"/>
      <c r="F203" s="345"/>
      <c r="G203" s="346"/>
      <c r="H203" s="346"/>
      <c r="I203" s="347"/>
      <c r="J203" s="346"/>
      <c r="K203" s="353"/>
      <c r="L203" s="71">
        <f t="shared" si="5"/>
        <v>0</v>
      </c>
    </row>
    <row r="204" spans="1:12" hidden="1" x14ac:dyDescent="0.2">
      <c r="A204" s="352">
        <v>201</v>
      </c>
      <c r="B204" s="342"/>
      <c r="C204" s="343"/>
      <c r="D204" s="344"/>
      <c r="E204" s="343"/>
      <c r="F204" s="345"/>
      <c r="G204" s="346"/>
      <c r="H204" s="346"/>
      <c r="I204" s="347"/>
      <c r="J204" s="346"/>
      <c r="K204" s="353"/>
      <c r="L204" s="71">
        <f t="shared" si="5"/>
        <v>0</v>
      </c>
    </row>
    <row r="205" spans="1:12" hidden="1" x14ac:dyDescent="0.2">
      <c r="A205" s="352">
        <v>202</v>
      </c>
      <c r="B205" s="342"/>
      <c r="C205" s="343"/>
      <c r="D205" s="344"/>
      <c r="E205" s="343"/>
      <c r="F205" s="345"/>
      <c r="G205" s="346"/>
      <c r="H205" s="346"/>
      <c r="I205" s="347"/>
      <c r="J205" s="346"/>
      <c r="K205" s="353"/>
      <c r="L205" s="71">
        <f t="shared" si="5"/>
        <v>0</v>
      </c>
    </row>
    <row r="206" spans="1:12" hidden="1" x14ac:dyDescent="0.2">
      <c r="A206" s="352">
        <v>203</v>
      </c>
      <c r="B206" s="342"/>
      <c r="C206" s="343"/>
      <c r="D206" s="344"/>
      <c r="E206" s="343"/>
      <c r="F206" s="345"/>
      <c r="G206" s="346"/>
      <c r="H206" s="346"/>
      <c r="I206" s="347"/>
      <c r="J206" s="346"/>
      <c r="K206" s="353"/>
      <c r="L206" s="71">
        <f t="shared" si="5"/>
        <v>0</v>
      </c>
    </row>
    <row r="207" spans="1:12" hidden="1" x14ac:dyDescent="0.2">
      <c r="A207" s="352">
        <v>204</v>
      </c>
      <c r="B207" s="342"/>
      <c r="C207" s="343"/>
      <c r="D207" s="344"/>
      <c r="E207" s="343"/>
      <c r="F207" s="345"/>
      <c r="G207" s="346"/>
      <c r="H207" s="346"/>
      <c r="I207" s="347"/>
      <c r="J207" s="346"/>
      <c r="K207" s="353"/>
      <c r="L207" s="71">
        <f t="shared" si="5"/>
        <v>0</v>
      </c>
    </row>
    <row r="208" spans="1:12" hidden="1" x14ac:dyDescent="0.2">
      <c r="A208" s="352">
        <v>205</v>
      </c>
      <c r="B208" s="342"/>
      <c r="C208" s="343"/>
      <c r="D208" s="344"/>
      <c r="E208" s="343"/>
      <c r="F208" s="345"/>
      <c r="G208" s="346"/>
      <c r="H208" s="346"/>
      <c r="I208" s="347"/>
      <c r="J208" s="346"/>
      <c r="K208" s="353"/>
      <c r="L208" s="71">
        <f t="shared" si="5"/>
        <v>0</v>
      </c>
    </row>
    <row r="209" spans="1:12" hidden="1" x14ac:dyDescent="0.2">
      <c r="A209" s="352">
        <v>206</v>
      </c>
      <c r="B209" s="342"/>
      <c r="C209" s="343"/>
      <c r="D209" s="344"/>
      <c r="E209" s="343"/>
      <c r="F209" s="345"/>
      <c r="G209" s="346"/>
      <c r="H209" s="346"/>
      <c r="I209" s="347"/>
      <c r="J209" s="346"/>
      <c r="K209" s="353"/>
      <c r="L209" s="71">
        <f t="shared" si="5"/>
        <v>0</v>
      </c>
    </row>
    <row r="210" spans="1:12" hidden="1" x14ac:dyDescent="0.2">
      <c r="A210" s="352">
        <v>207</v>
      </c>
      <c r="B210" s="342"/>
      <c r="C210" s="343"/>
      <c r="D210" s="344"/>
      <c r="E210" s="343"/>
      <c r="F210" s="345"/>
      <c r="G210" s="346"/>
      <c r="H210" s="346"/>
      <c r="I210" s="347"/>
      <c r="J210" s="346"/>
      <c r="K210" s="353"/>
      <c r="L210" s="71">
        <f t="shared" si="5"/>
        <v>0</v>
      </c>
    </row>
    <row r="211" spans="1:12" hidden="1" x14ac:dyDescent="0.2">
      <c r="A211" s="352">
        <v>208</v>
      </c>
      <c r="B211" s="342"/>
      <c r="C211" s="343"/>
      <c r="D211" s="344"/>
      <c r="E211" s="343"/>
      <c r="F211" s="345"/>
      <c r="G211" s="346"/>
      <c r="H211" s="346"/>
      <c r="I211" s="347"/>
      <c r="J211" s="346"/>
      <c r="K211" s="353"/>
      <c r="L211" s="71">
        <f t="shared" si="5"/>
        <v>0</v>
      </c>
    </row>
    <row r="212" spans="1:12" hidden="1" x14ac:dyDescent="0.2">
      <c r="A212" s="352">
        <v>209</v>
      </c>
      <c r="B212" s="342"/>
      <c r="C212" s="343"/>
      <c r="D212" s="344"/>
      <c r="E212" s="343"/>
      <c r="F212" s="345"/>
      <c r="G212" s="346"/>
      <c r="H212" s="346"/>
      <c r="I212" s="347"/>
      <c r="J212" s="346"/>
      <c r="K212" s="353"/>
      <c r="L212" s="71">
        <f t="shared" si="5"/>
        <v>0</v>
      </c>
    </row>
    <row r="213" spans="1:12" hidden="1" x14ac:dyDescent="0.2">
      <c r="A213" s="352">
        <v>210</v>
      </c>
      <c r="B213" s="342"/>
      <c r="C213" s="343"/>
      <c r="D213" s="344"/>
      <c r="E213" s="343"/>
      <c r="F213" s="345"/>
      <c r="G213" s="346"/>
      <c r="H213" s="346"/>
      <c r="I213" s="347"/>
      <c r="J213" s="346"/>
      <c r="K213" s="353"/>
      <c r="L213" s="71">
        <f t="shared" si="5"/>
        <v>0</v>
      </c>
    </row>
    <row r="214" spans="1:12" hidden="1" x14ac:dyDescent="0.2">
      <c r="A214" s="352">
        <v>211</v>
      </c>
      <c r="B214" s="342"/>
      <c r="C214" s="343"/>
      <c r="D214" s="344"/>
      <c r="E214" s="343"/>
      <c r="F214" s="345"/>
      <c r="G214" s="346"/>
      <c r="H214" s="346"/>
      <c r="I214" s="347"/>
      <c r="J214" s="346"/>
      <c r="K214" s="353"/>
      <c r="L214" s="71">
        <f t="shared" si="5"/>
        <v>0</v>
      </c>
    </row>
    <row r="215" spans="1:12" hidden="1" x14ac:dyDescent="0.2">
      <c r="A215" s="352">
        <v>212</v>
      </c>
      <c r="B215" s="342"/>
      <c r="C215" s="343"/>
      <c r="D215" s="344"/>
      <c r="E215" s="343"/>
      <c r="F215" s="345"/>
      <c r="G215" s="346"/>
      <c r="H215" s="346"/>
      <c r="I215" s="347"/>
      <c r="J215" s="346"/>
      <c r="K215" s="353"/>
      <c r="L215" s="71">
        <f t="shared" si="5"/>
        <v>0</v>
      </c>
    </row>
    <row r="216" spans="1:12" hidden="1" x14ac:dyDescent="0.2">
      <c r="A216" s="352">
        <v>213</v>
      </c>
      <c r="B216" s="342"/>
      <c r="C216" s="343"/>
      <c r="D216" s="344"/>
      <c r="E216" s="343"/>
      <c r="F216" s="345"/>
      <c r="G216" s="346"/>
      <c r="H216" s="346"/>
      <c r="I216" s="347"/>
      <c r="J216" s="346"/>
      <c r="K216" s="353"/>
      <c r="L216" s="71">
        <f t="shared" si="5"/>
        <v>0</v>
      </c>
    </row>
    <row r="217" spans="1:12" hidden="1" x14ac:dyDescent="0.2">
      <c r="A217" s="352">
        <v>214</v>
      </c>
      <c r="B217" s="342"/>
      <c r="C217" s="343"/>
      <c r="D217" s="344"/>
      <c r="E217" s="343"/>
      <c r="F217" s="345"/>
      <c r="G217" s="346"/>
      <c r="H217" s="346"/>
      <c r="I217" s="347"/>
      <c r="J217" s="346"/>
      <c r="K217" s="353"/>
      <c r="L217" s="71">
        <f t="shared" si="5"/>
        <v>0</v>
      </c>
    </row>
    <row r="218" spans="1:12" hidden="1" x14ac:dyDescent="0.2">
      <c r="A218" s="352">
        <v>215</v>
      </c>
      <c r="B218" s="342"/>
      <c r="C218" s="343"/>
      <c r="D218" s="344"/>
      <c r="E218" s="343"/>
      <c r="F218" s="345"/>
      <c r="G218" s="346"/>
      <c r="H218" s="346"/>
      <c r="I218" s="347"/>
      <c r="J218" s="346"/>
      <c r="K218" s="353"/>
      <c r="L218" s="71">
        <f t="shared" si="5"/>
        <v>0</v>
      </c>
    </row>
    <row r="219" spans="1:12" hidden="1" x14ac:dyDescent="0.2">
      <c r="A219" s="352">
        <v>216</v>
      </c>
      <c r="B219" s="342"/>
      <c r="C219" s="343"/>
      <c r="D219" s="344"/>
      <c r="E219" s="343"/>
      <c r="F219" s="345"/>
      <c r="G219" s="346"/>
      <c r="H219" s="346"/>
      <c r="I219" s="347"/>
      <c r="J219" s="346"/>
      <c r="K219" s="353"/>
      <c r="L219" s="71">
        <f t="shared" si="5"/>
        <v>0</v>
      </c>
    </row>
    <row r="220" spans="1:12" hidden="1" x14ac:dyDescent="0.2">
      <c r="A220" s="352">
        <v>217</v>
      </c>
      <c r="B220" s="342"/>
      <c r="C220" s="343"/>
      <c r="D220" s="344"/>
      <c r="E220" s="343"/>
      <c r="F220" s="345"/>
      <c r="G220" s="346"/>
      <c r="H220" s="346"/>
      <c r="I220" s="347"/>
      <c r="J220" s="346"/>
      <c r="K220" s="353"/>
      <c r="L220" s="71">
        <f t="shared" si="5"/>
        <v>0</v>
      </c>
    </row>
    <row r="221" spans="1:12" hidden="1" x14ac:dyDescent="0.2">
      <c r="A221" s="352">
        <v>218</v>
      </c>
      <c r="B221" s="342"/>
      <c r="C221" s="343"/>
      <c r="D221" s="344"/>
      <c r="E221" s="343"/>
      <c r="F221" s="345"/>
      <c r="G221" s="346"/>
      <c r="H221" s="346"/>
      <c r="I221" s="347"/>
      <c r="J221" s="346"/>
      <c r="K221" s="353"/>
      <c r="L221" s="71">
        <f t="shared" si="5"/>
        <v>0</v>
      </c>
    </row>
    <row r="222" spans="1:12" hidden="1" x14ac:dyDescent="0.2">
      <c r="A222" s="352">
        <v>219</v>
      </c>
      <c r="B222" s="342"/>
      <c r="C222" s="343"/>
      <c r="D222" s="344"/>
      <c r="E222" s="343"/>
      <c r="F222" s="345"/>
      <c r="G222" s="346"/>
      <c r="H222" s="346"/>
      <c r="I222" s="347"/>
      <c r="J222" s="346"/>
      <c r="K222" s="353"/>
      <c r="L222" s="71">
        <f t="shared" si="5"/>
        <v>0</v>
      </c>
    </row>
    <row r="223" spans="1:12" hidden="1" x14ac:dyDescent="0.2">
      <c r="A223" s="352">
        <v>220</v>
      </c>
      <c r="B223" s="342"/>
      <c r="C223" s="343"/>
      <c r="D223" s="344"/>
      <c r="E223" s="343"/>
      <c r="F223" s="345"/>
      <c r="G223" s="346"/>
      <c r="H223" s="346"/>
      <c r="I223" s="347"/>
      <c r="J223" s="346"/>
      <c r="K223" s="353"/>
      <c r="L223" s="71">
        <f t="shared" si="5"/>
        <v>0</v>
      </c>
    </row>
    <row r="224" spans="1:12" hidden="1" x14ac:dyDescent="0.2">
      <c r="A224" s="352">
        <v>221</v>
      </c>
      <c r="B224" s="342"/>
      <c r="C224" s="343"/>
      <c r="D224" s="344"/>
      <c r="E224" s="343"/>
      <c r="F224" s="345"/>
      <c r="G224" s="346"/>
      <c r="H224" s="346"/>
      <c r="I224" s="347"/>
      <c r="J224" s="346"/>
      <c r="K224" s="353"/>
      <c r="L224" s="71">
        <f t="shared" si="5"/>
        <v>0</v>
      </c>
    </row>
    <row r="225" spans="1:12" hidden="1" x14ac:dyDescent="0.2">
      <c r="A225" s="352">
        <v>222</v>
      </c>
      <c r="B225" s="342"/>
      <c r="C225" s="343"/>
      <c r="D225" s="344"/>
      <c r="E225" s="343"/>
      <c r="F225" s="345"/>
      <c r="G225" s="346"/>
      <c r="H225" s="346"/>
      <c r="I225" s="347"/>
      <c r="J225" s="346"/>
      <c r="K225" s="353"/>
      <c r="L225" s="71">
        <f t="shared" si="5"/>
        <v>0</v>
      </c>
    </row>
    <row r="226" spans="1:12" hidden="1" x14ac:dyDescent="0.2">
      <c r="A226" s="352">
        <v>223</v>
      </c>
      <c r="B226" s="342"/>
      <c r="C226" s="343"/>
      <c r="D226" s="344"/>
      <c r="E226" s="343"/>
      <c r="F226" s="345"/>
      <c r="G226" s="346"/>
      <c r="H226" s="346"/>
      <c r="I226" s="347"/>
      <c r="J226" s="346"/>
      <c r="K226" s="353"/>
      <c r="L226" s="71">
        <f t="shared" si="5"/>
        <v>0</v>
      </c>
    </row>
    <row r="227" spans="1:12" hidden="1" x14ac:dyDescent="0.2">
      <c r="A227" s="352">
        <v>224</v>
      </c>
      <c r="B227" s="342"/>
      <c r="C227" s="343"/>
      <c r="D227" s="344"/>
      <c r="E227" s="343"/>
      <c r="F227" s="345"/>
      <c r="G227" s="346"/>
      <c r="H227" s="346"/>
      <c r="I227" s="347"/>
      <c r="J227" s="346"/>
      <c r="K227" s="353"/>
      <c r="L227" s="71">
        <f t="shared" si="5"/>
        <v>0</v>
      </c>
    </row>
    <row r="228" spans="1:12" hidden="1" x14ac:dyDescent="0.2">
      <c r="A228" s="352">
        <v>225</v>
      </c>
      <c r="B228" s="342"/>
      <c r="C228" s="343"/>
      <c r="D228" s="344"/>
      <c r="E228" s="343"/>
      <c r="F228" s="345"/>
      <c r="G228" s="346"/>
      <c r="H228" s="346"/>
      <c r="I228" s="347"/>
      <c r="J228" s="346"/>
      <c r="K228" s="353"/>
      <c r="L228" s="71">
        <f t="shared" si="5"/>
        <v>0</v>
      </c>
    </row>
    <row r="229" spans="1:12" hidden="1" x14ac:dyDescent="0.2">
      <c r="A229" s="352">
        <v>226</v>
      </c>
      <c r="B229" s="342"/>
      <c r="C229" s="343"/>
      <c r="D229" s="344"/>
      <c r="E229" s="343"/>
      <c r="F229" s="345"/>
      <c r="G229" s="346"/>
      <c r="H229" s="346"/>
      <c r="I229" s="347"/>
      <c r="J229" s="346"/>
      <c r="K229" s="353"/>
      <c r="L229" s="71">
        <f t="shared" si="5"/>
        <v>0</v>
      </c>
    </row>
    <row r="230" spans="1:12" hidden="1" x14ac:dyDescent="0.2">
      <c r="A230" s="352">
        <v>227</v>
      </c>
      <c r="B230" s="342"/>
      <c r="C230" s="343"/>
      <c r="D230" s="344"/>
      <c r="E230" s="343"/>
      <c r="F230" s="345"/>
      <c r="G230" s="346"/>
      <c r="H230" s="346"/>
      <c r="I230" s="347"/>
      <c r="J230" s="346"/>
      <c r="K230" s="353"/>
      <c r="L230" s="71">
        <f t="shared" si="5"/>
        <v>0</v>
      </c>
    </row>
    <row r="231" spans="1:12" hidden="1" x14ac:dyDescent="0.2">
      <c r="A231" s="352">
        <v>228</v>
      </c>
      <c r="B231" s="342"/>
      <c r="C231" s="343"/>
      <c r="D231" s="344"/>
      <c r="E231" s="343"/>
      <c r="F231" s="345"/>
      <c r="G231" s="346"/>
      <c r="H231" s="346"/>
      <c r="I231" s="347"/>
      <c r="J231" s="346"/>
      <c r="K231" s="353"/>
      <c r="L231" s="71">
        <f t="shared" si="5"/>
        <v>0</v>
      </c>
    </row>
    <row r="232" spans="1:12" hidden="1" x14ac:dyDescent="0.2">
      <c r="A232" s="352">
        <v>229</v>
      </c>
      <c r="B232" s="342"/>
      <c r="C232" s="343"/>
      <c r="D232" s="344"/>
      <c r="E232" s="343"/>
      <c r="F232" s="345"/>
      <c r="G232" s="346"/>
      <c r="H232" s="346"/>
      <c r="I232" s="347"/>
      <c r="J232" s="346"/>
      <c r="K232" s="353"/>
      <c r="L232" s="71">
        <f t="shared" si="5"/>
        <v>0</v>
      </c>
    </row>
    <row r="233" spans="1:12" hidden="1" x14ac:dyDescent="0.2">
      <c r="A233" s="352">
        <v>230</v>
      </c>
      <c r="B233" s="342"/>
      <c r="C233" s="343"/>
      <c r="D233" s="344"/>
      <c r="E233" s="343"/>
      <c r="F233" s="345"/>
      <c r="G233" s="346"/>
      <c r="H233" s="346"/>
      <c r="I233" s="347"/>
      <c r="J233" s="346"/>
      <c r="K233" s="353"/>
      <c r="L233" s="71">
        <f t="shared" si="5"/>
        <v>0</v>
      </c>
    </row>
    <row r="234" spans="1:12" hidden="1" x14ac:dyDescent="0.2">
      <c r="A234" s="352">
        <v>231</v>
      </c>
      <c r="B234" s="342"/>
      <c r="C234" s="343"/>
      <c r="D234" s="344"/>
      <c r="E234" s="343"/>
      <c r="F234" s="345"/>
      <c r="G234" s="346"/>
      <c r="H234" s="346"/>
      <c r="I234" s="347"/>
      <c r="J234" s="346"/>
      <c r="K234" s="353"/>
      <c r="L234" s="71">
        <f t="shared" si="5"/>
        <v>0</v>
      </c>
    </row>
    <row r="235" spans="1:12" hidden="1" x14ac:dyDescent="0.2">
      <c r="A235" s="352">
        <v>232</v>
      </c>
      <c r="B235" s="342"/>
      <c r="C235" s="343"/>
      <c r="D235" s="344"/>
      <c r="E235" s="343"/>
      <c r="F235" s="345"/>
      <c r="G235" s="346"/>
      <c r="H235" s="346"/>
      <c r="I235" s="347"/>
      <c r="J235" s="346"/>
      <c r="K235" s="353"/>
      <c r="L235" s="71">
        <f t="shared" si="5"/>
        <v>0</v>
      </c>
    </row>
    <row r="236" spans="1:12" hidden="1" x14ac:dyDescent="0.2">
      <c r="A236" s="352">
        <v>233</v>
      </c>
      <c r="B236" s="342"/>
      <c r="C236" s="343"/>
      <c r="D236" s="344"/>
      <c r="E236" s="343"/>
      <c r="F236" s="345"/>
      <c r="G236" s="346"/>
      <c r="H236" s="346"/>
      <c r="I236" s="347"/>
      <c r="J236" s="346"/>
      <c r="K236" s="353"/>
      <c r="L236" s="71">
        <f t="shared" si="5"/>
        <v>0</v>
      </c>
    </row>
    <row r="237" spans="1:12" hidden="1" x14ac:dyDescent="0.2">
      <c r="A237" s="352">
        <v>234</v>
      </c>
      <c r="B237" s="342"/>
      <c r="C237" s="343"/>
      <c r="D237" s="344"/>
      <c r="E237" s="343"/>
      <c r="F237" s="345"/>
      <c r="G237" s="346"/>
      <c r="H237" s="346"/>
      <c r="I237" s="347"/>
      <c r="J237" s="346"/>
      <c r="K237" s="353"/>
      <c r="L237" s="71">
        <f t="shared" si="5"/>
        <v>0</v>
      </c>
    </row>
    <row r="238" spans="1:12" hidden="1" x14ac:dyDescent="0.2">
      <c r="A238" s="352">
        <v>235</v>
      </c>
      <c r="B238" s="342"/>
      <c r="C238" s="343"/>
      <c r="D238" s="344"/>
      <c r="E238" s="343"/>
      <c r="F238" s="345"/>
      <c r="G238" s="346"/>
      <c r="H238" s="346"/>
      <c r="I238" s="347"/>
      <c r="J238" s="346"/>
      <c r="K238" s="353"/>
      <c r="L238" s="71">
        <f t="shared" si="5"/>
        <v>0</v>
      </c>
    </row>
    <row r="239" spans="1:12" hidden="1" x14ac:dyDescent="0.2">
      <c r="A239" s="352">
        <v>236</v>
      </c>
      <c r="B239" s="342"/>
      <c r="C239" s="343"/>
      <c r="D239" s="344"/>
      <c r="E239" s="343"/>
      <c r="F239" s="345"/>
      <c r="G239" s="346"/>
      <c r="H239" s="346"/>
      <c r="I239" s="347"/>
      <c r="J239" s="346"/>
      <c r="K239" s="353"/>
      <c r="L239" s="71">
        <f t="shared" si="5"/>
        <v>0</v>
      </c>
    </row>
    <row r="240" spans="1:12" hidden="1" x14ac:dyDescent="0.2">
      <c r="A240" s="352">
        <v>237</v>
      </c>
      <c r="B240" s="342"/>
      <c r="C240" s="343"/>
      <c r="D240" s="344"/>
      <c r="E240" s="343"/>
      <c r="F240" s="345"/>
      <c r="G240" s="346"/>
      <c r="H240" s="346"/>
      <c r="I240" s="347"/>
      <c r="J240" s="346"/>
      <c r="K240" s="353"/>
      <c r="L240" s="71">
        <f t="shared" si="5"/>
        <v>0</v>
      </c>
    </row>
    <row r="241" spans="1:12" hidden="1" x14ac:dyDescent="0.2">
      <c r="A241" s="352">
        <v>238</v>
      </c>
      <c r="B241" s="342"/>
      <c r="C241" s="343"/>
      <c r="D241" s="344"/>
      <c r="E241" s="343"/>
      <c r="F241" s="345"/>
      <c r="G241" s="346"/>
      <c r="H241" s="346"/>
      <c r="I241" s="347"/>
      <c r="J241" s="346"/>
      <c r="K241" s="353"/>
      <c r="L241" s="71">
        <f t="shared" si="5"/>
        <v>0</v>
      </c>
    </row>
    <row r="242" spans="1:12" hidden="1" x14ac:dyDescent="0.2">
      <c r="A242" s="352">
        <v>239</v>
      </c>
      <c r="B242" s="342"/>
      <c r="C242" s="343"/>
      <c r="D242" s="344"/>
      <c r="E242" s="343"/>
      <c r="F242" s="345"/>
      <c r="G242" s="346"/>
      <c r="H242" s="346"/>
      <c r="I242" s="347"/>
      <c r="J242" s="346"/>
      <c r="K242" s="353"/>
      <c r="L242" s="71">
        <f t="shared" si="5"/>
        <v>0</v>
      </c>
    </row>
    <row r="243" spans="1:12" hidden="1" x14ac:dyDescent="0.2">
      <c r="A243" s="352">
        <v>240</v>
      </c>
      <c r="B243" s="342"/>
      <c r="C243" s="343"/>
      <c r="D243" s="344"/>
      <c r="E243" s="343"/>
      <c r="F243" s="345"/>
      <c r="G243" s="346"/>
      <c r="H243" s="346"/>
      <c r="I243" s="347"/>
      <c r="J243" s="346"/>
      <c r="K243" s="353"/>
      <c r="L243" s="71">
        <f t="shared" si="5"/>
        <v>0</v>
      </c>
    </row>
    <row r="244" spans="1:12" hidden="1" x14ac:dyDescent="0.2">
      <c r="A244" s="352">
        <v>241</v>
      </c>
      <c r="B244" s="342"/>
      <c r="C244" s="343"/>
      <c r="D244" s="344"/>
      <c r="E244" s="343"/>
      <c r="F244" s="345"/>
      <c r="G244" s="346"/>
      <c r="H244" s="346"/>
      <c r="I244" s="347"/>
      <c r="J244" s="346"/>
      <c r="K244" s="353"/>
      <c r="L244" s="71">
        <f t="shared" si="5"/>
        <v>0</v>
      </c>
    </row>
    <row r="245" spans="1:12" hidden="1" x14ac:dyDescent="0.2">
      <c r="A245" s="352">
        <v>242</v>
      </c>
      <c r="B245" s="342"/>
      <c r="C245" s="343"/>
      <c r="D245" s="344"/>
      <c r="E245" s="343"/>
      <c r="F245" s="345"/>
      <c r="G245" s="346"/>
      <c r="H245" s="346"/>
      <c r="I245" s="347"/>
      <c r="J245" s="346"/>
      <c r="K245" s="353"/>
      <c r="L245" s="71">
        <f t="shared" si="5"/>
        <v>0</v>
      </c>
    </row>
    <row r="246" spans="1:12" hidden="1" x14ac:dyDescent="0.2">
      <c r="A246" s="352">
        <v>243</v>
      </c>
      <c r="B246" s="342"/>
      <c r="C246" s="343"/>
      <c r="D246" s="344"/>
      <c r="E246" s="343"/>
      <c r="F246" s="345"/>
      <c r="G246" s="346"/>
      <c r="H246" s="346"/>
      <c r="I246" s="347"/>
      <c r="J246" s="346"/>
      <c r="K246" s="353"/>
      <c r="L246" s="71">
        <f t="shared" si="5"/>
        <v>0</v>
      </c>
    </row>
    <row r="247" spans="1:12" hidden="1" x14ac:dyDescent="0.2">
      <c r="A247" s="352">
        <v>244</v>
      </c>
      <c r="B247" s="342"/>
      <c r="C247" s="343"/>
      <c r="D247" s="344"/>
      <c r="E247" s="343"/>
      <c r="F247" s="345"/>
      <c r="G247" s="346"/>
      <c r="H247" s="346"/>
      <c r="I247" s="347"/>
      <c r="J247" s="346"/>
      <c r="K247" s="353"/>
      <c r="L247" s="71">
        <f t="shared" si="5"/>
        <v>0</v>
      </c>
    </row>
    <row r="248" spans="1:12" hidden="1" x14ac:dyDescent="0.2">
      <c r="A248" s="352">
        <v>245</v>
      </c>
      <c r="B248" s="342"/>
      <c r="C248" s="343"/>
      <c r="D248" s="344"/>
      <c r="E248" s="343"/>
      <c r="F248" s="345"/>
      <c r="G248" s="346"/>
      <c r="H248" s="346"/>
      <c r="I248" s="347"/>
      <c r="J248" s="346"/>
      <c r="K248" s="353"/>
      <c r="L248" s="71">
        <f t="shared" si="5"/>
        <v>0</v>
      </c>
    </row>
    <row r="249" spans="1:12" hidden="1" x14ac:dyDescent="0.2">
      <c r="A249" s="352">
        <v>246</v>
      </c>
      <c r="B249" s="342"/>
      <c r="C249" s="343"/>
      <c r="D249" s="344"/>
      <c r="E249" s="343"/>
      <c r="F249" s="345"/>
      <c r="G249" s="346"/>
      <c r="H249" s="346"/>
      <c r="I249" s="347"/>
      <c r="J249" s="346"/>
      <c r="K249" s="353"/>
      <c r="L249" s="71">
        <f t="shared" si="5"/>
        <v>0</v>
      </c>
    </row>
    <row r="250" spans="1:12" hidden="1" x14ac:dyDescent="0.2">
      <c r="A250" s="352">
        <v>247</v>
      </c>
      <c r="B250" s="342"/>
      <c r="C250" s="343"/>
      <c r="D250" s="344"/>
      <c r="E250" s="343"/>
      <c r="F250" s="345"/>
      <c r="G250" s="346"/>
      <c r="H250" s="346"/>
      <c r="I250" s="347"/>
      <c r="J250" s="346"/>
      <c r="K250" s="353"/>
      <c r="L250" s="71">
        <f t="shared" si="5"/>
        <v>0</v>
      </c>
    </row>
    <row r="251" spans="1:12" hidden="1" x14ac:dyDescent="0.2">
      <c r="A251" s="352">
        <v>248</v>
      </c>
      <c r="B251" s="342"/>
      <c r="C251" s="343"/>
      <c r="D251" s="344"/>
      <c r="E251" s="343"/>
      <c r="F251" s="345"/>
      <c r="G251" s="346"/>
      <c r="H251" s="346"/>
      <c r="I251" s="347"/>
      <c r="J251" s="346"/>
      <c r="K251" s="353"/>
      <c r="L251" s="71">
        <f t="shared" si="5"/>
        <v>0</v>
      </c>
    </row>
    <row r="252" spans="1:12" hidden="1" x14ac:dyDescent="0.2">
      <c r="A252" s="352">
        <v>249</v>
      </c>
      <c r="B252" s="342"/>
      <c r="C252" s="343"/>
      <c r="D252" s="344"/>
      <c r="E252" s="343"/>
      <c r="F252" s="345"/>
      <c r="G252" s="346"/>
      <c r="H252" s="346"/>
      <c r="I252" s="347"/>
      <c r="J252" s="346"/>
      <c r="K252" s="353"/>
      <c r="L252" s="71">
        <f t="shared" si="5"/>
        <v>0</v>
      </c>
    </row>
    <row r="253" spans="1:12" hidden="1" x14ac:dyDescent="0.2">
      <c r="A253" s="352">
        <v>250</v>
      </c>
      <c r="B253" s="342"/>
      <c r="C253" s="343"/>
      <c r="D253" s="344"/>
      <c r="E253" s="343"/>
      <c r="F253" s="345"/>
      <c r="G253" s="346"/>
      <c r="H253" s="346"/>
      <c r="I253" s="347"/>
      <c r="J253" s="346"/>
      <c r="K253" s="353"/>
      <c r="L253" s="71">
        <f t="shared" si="5"/>
        <v>0</v>
      </c>
    </row>
    <row r="254" spans="1:12" hidden="1" x14ac:dyDescent="0.2">
      <c r="A254" s="352">
        <v>251</v>
      </c>
      <c r="B254" s="342"/>
      <c r="C254" s="343"/>
      <c r="D254" s="344"/>
      <c r="E254" s="343"/>
      <c r="F254" s="345"/>
      <c r="G254" s="346"/>
      <c r="H254" s="346"/>
      <c r="I254" s="347"/>
      <c r="J254" s="346"/>
      <c r="K254" s="353"/>
      <c r="L254" s="71">
        <f t="shared" si="5"/>
        <v>0</v>
      </c>
    </row>
    <row r="255" spans="1:12" hidden="1" x14ac:dyDescent="0.2">
      <c r="A255" s="352">
        <v>252</v>
      </c>
      <c r="B255" s="342"/>
      <c r="C255" s="343"/>
      <c r="D255" s="344"/>
      <c r="E255" s="343"/>
      <c r="F255" s="345"/>
      <c r="G255" s="346"/>
      <c r="H255" s="346"/>
      <c r="I255" s="347"/>
      <c r="J255" s="346"/>
      <c r="K255" s="353"/>
      <c r="L255" s="71">
        <f t="shared" si="5"/>
        <v>0</v>
      </c>
    </row>
    <row r="256" spans="1:12" hidden="1" x14ac:dyDescent="0.2">
      <c r="A256" s="352">
        <v>253</v>
      </c>
      <c r="B256" s="342"/>
      <c r="C256" s="343"/>
      <c r="D256" s="344"/>
      <c r="E256" s="343"/>
      <c r="F256" s="345"/>
      <c r="G256" s="346"/>
      <c r="H256" s="346"/>
      <c r="I256" s="347"/>
      <c r="J256" s="346"/>
      <c r="K256" s="353"/>
      <c r="L256" s="71">
        <f t="shared" si="5"/>
        <v>0</v>
      </c>
    </row>
    <row r="257" spans="1:12" hidden="1" x14ac:dyDescent="0.2">
      <c r="A257" s="352">
        <v>254</v>
      </c>
      <c r="B257" s="342"/>
      <c r="C257" s="343"/>
      <c r="D257" s="344"/>
      <c r="E257" s="343"/>
      <c r="F257" s="345"/>
      <c r="G257" s="346"/>
      <c r="H257" s="346"/>
      <c r="I257" s="347"/>
      <c r="J257" s="346"/>
      <c r="K257" s="353"/>
      <c r="L257" s="71">
        <f t="shared" si="5"/>
        <v>0</v>
      </c>
    </row>
    <row r="258" spans="1:12" hidden="1" x14ac:dyDescent="0.2">
      <c r="A258" s="352">
        <v>255</v>
      </c>
      <c r="B258" s="342"/>
      <c r="C258" s="343"/>
      <c r="D258" s="344"/>
      <c r="E258" s="343"/>
      <c r="F258" s="345"/>
      <c r="G258" s="346"/>
      <c r="H258" s="346"/>
      <c r="I258" s="347"/>
      <c r="J258" s="346"/>
      <c r="K258" s="353"/>
      <c r="L258" s="71">
        <f t="shared" si="5"/>
        <v>0</v>
      </c>
    </row>
    <row r="259" spans="1:12" hidden="1" x14ac:dyDescent="0.2">
      <c r="A259" s="352">
        <v>256</v>
      </c>
      <c r="B259" s="342"/>
      <c r="C259" s="343"/>
      <c r="D259" s="344"/>
      <c r="E259" s="343"/>
      <c r="F259" s="345"/>
      <c r="G259" s="346"/>
      <c r="H259" s="346"/>
      <c r="I259" s="347"/>
      <c r="J259" s="346"/>
      <c r="K259" s="353"/>
      <c r="L259" s="71">
        <f t="shared" si="5"/>
        <v>0</v>
      </c>
    </row>
    <row r="260" spans="1:12" hidden="1" x14ac:dyDescent="0.2">
      <c r="A260" s="352">
        <v>257</v>
      </c>
      <c r="B260" s="342"/>
      <c r="C260" s="343"/>
      <c r="D260" s="344"/>
      <c r="E260" s="343"/>
      <c r="F260" s="345"/>
      <c r="G260" s="346"/>
      <c r="H260" s="346"/>
      <c r="I260" s="347"/>
      <c r="J260" s="346"/>
      <c r="K260" s="353"/>
      <c r="L260" s="71">
        <f t="shared" si="5"/>
        <v>0</v>
      </c>
    </row>
    <row r="261" spans="1:12" hidden="1" x14ac:dyDescent="0.2">
      <c r="A261" s="352">
        <v>258</v>
      </c>
      <c r="B261" s="342"/>
      <c r="C261" s="343"/>
      <c r="D261" s="344"/>
      <c r="E261" s="343"/>
      <c r="F261" s="345"/>
      <c r="G261" s="346"/>
      <c r="H261" s="346"/>
      <c r="I261" s="347"/>
      <c r="J261" s="346"/>
      <c r="K261" s="353"/>
      <c r="L261" s="71">
        <f t="shared" si="5"/>
        <v>0</v>
      </c>
    </row>
    <row r="262" spans="1:12" hidden="1" x14ac:dyDescent="0.2">
      <c r="A262" s="352">
        <v>259</v>
      </c>
      <c r="B262" s="342"/>
      <c r="C262" s="343"/>
      <c r="D262" s="344"/>
      <c r="E262" s="343"/>
      <c r="F262" s="345"/>
      <c r="G262" s="346"/>
      <c r="H262" s="346"/>
      <c r="I262" s="347"/>
      <c r="J262" s="346"/>
      <c r="K262" s="353"/>
      <c r="L262" s="71">
        <f t="shared" ref="L262:L320" si="6">IF(B262=0,0,MONTH(B262)-$L$1+1)</f>
        <v>0</v>
      </c>
    </row>
    <row r="263" spans="1:12" hidden="1" x14ac:dyDescent="0.2">
      <c r="A263" s="352">
        <v>260</v>
      </c>
      <c r="B263" s="342"/>
      <c r="C263" s="343"/>
      <c r="D263" s="344"/>
      <c r="E263" s="343"/>
      <c r="F263" s="345"/>
      <c r="G263" s="346"/>
      <c r="H263" s="346"/>
      <c r="I263" s="347"/>
      <c r="J263" s="346"/>
      <c r="K263" s="353"/>
      <c r="L263" s="71">
        <f t="shared" si="6"/>
        <v>0</v>
      </c>
    </row>
    <row r="264" spans="1:12" hidden="1" x14ac:dyDescent="0.2">
      <c r="A264" s="352">
        <v>261</v>
      </c>
      <c r="B264" s="342"/>
      <c r="C264" s="343"/>
      <c r="D264" s="344"/>
      <c r="E264" s="343"/>
      <c r="F264" s="345"/>
      <c r="G264" s="346"/>
      <c r="H264" s="346"/>
      <c r="I264" s="347"/>
      <c r="J264" s="346"/>
      <c r="K264" s="353"/>
      <c r="L264" s="71">
        <f t="shared" si="6"/>
        <v>0</v>
      </c>
    </row>
    <row r="265" spans="1:12" hidden="1" x14ac:dyDescent="0.2">
      <c r="A265" s="352">
        <v>262</v>
      </c>
      <c r="B265" s="342"/>
      <c r="C265" s="343"/>
      <c r="D265" s="344"/>
      <c r="E265" s="343"/>
      <c r="F265" s="345"/>
      <c r="G265" s="346"/>
      <c r="H265" s="346"/>
      <c r="I265" s="347"/>
      <c r="J265" s="346"/>
      <c r="K265" s="353"/>
      <c r="L265" s="71">
        <f t="shared" si="6"/>
        <v>0</v>
      </c>
    </row>
    <row r="266" spans="1:12" hidden="1" x14ac:dyDescent="0.2">
      <c r="A266" s="352">
        <v>263</v>
      </c>
      <c r="B266" s="342"/>
      <c r="C266" s="343"/>
      <c r="D266" s="344"/>
      <c r="E266" s="343"/>
      <c r="F266" s="345"/>
      <c r="G266" s="346"/>
      <c r="H266" s="346"/>
      <c r="I266" s="347"/>
      <c r="J266" s="346"/>
      <c r="K266" s="353"/>
      <c r="L266" s="71">
        <f t="shared" si="6"/>
        <v>0</v>
      </c>
    </row>
    <row r="267" spans="1:12" hidden="1" x14ac:dyDescent="0.2">
      <c r="A267" s="352">
        <v>264</v>
      </c>
      <c r="B267" s="342"/>
      <c r="C267" s="343"/>
      <c r="D267" s="344"/>
      <c r="E267" s="343"/>
      <c r="F267" s="345"/>
      <c r="G267" s="346"/>
      <c r="H267" s="346"/>
      <c r="I267" s="347"/>
      <c r="J267" s="346"/>
      <c r="K267" s="353"/>
      <c r="L267" s="71">
        <f t="shared" si="6"/>
        <v>0</v>
      </c>
    </row>
    <row r="268" spans="1:12" hidden="1" x14ac:dyDescent="0.2">
      <c r="A268" s="352">
        <v>265</v>
      </c>
      <c r="B268" s="342"/>
      <c r="C268" s="343"/>
      <c r="D268" s="344"/>
      <c r="E268" s="343"/>
      <c r="F268" s="345"/>
      <c r="G268" s="346"/>
      <c r="H268" s="346"/>
      <c r="I268" s="347"/>
      <c r="J268" s="346"/>
      <c r="K268" s="353"/>
      <c r="L268" s="71">
        <f t="shared" si="6"/>
        <v>0</v>
      </c>
    </row>
    <row r="269" spans="1:12" hidden="1" x14ac:dyDescent="0.2">
      <c r="A269" s="352">
        <v>266</v>
      </c>
      <c r="B269" s="342"/>
      <c r="C269" s="343"/>
      <c r="D269" s="344"/>
      <c r="E269" s="343"/>
      <c r="F269" s="345"/>
      <c r="G269" s="346"/>
      <c r="H269" s="346"/>
      <c r="I269" s="347"/>
      <c r="J269" s="346"/>
      <c r="K269" s="353"/>
      <c r="L269" s="71">
        <f t="shared" si="6"/>
        <v>0</v>
      </c>
    </row>
    <row r="270" spans="1:12" hidden="1" x14ac:dyDescent="0.2">
      <c r="A270" s="352">
        <v>267</v>
      </c>
      <c r="B270" s="342"/>
      <c r="C270" s="343"/>
      <c r="D270" s="344"/>
      <c r="E270" s="343"/>
      <c r="F270" s="345"/>
      <c r="G270" s="346"/>
      <c r="H270" s="346"/>
      <c r="I270" s="347"/>
      <c r="J270" s="346"/>
      <c r="K270" s="353"/>
      <c r="L270" s="71">
        <f t="shared" si="6"/>
        <v>0</v>
      </c>
    </row>
    <row r="271" spans="1:12" hidden="1" x14ac:dyDescent="0.2">
      <c r="A271" s="352">
        <v>268</v>
      </c>
      <c r="B271" s="342"/>
      <c r="C271" s="343"/>
      <c r="D271" s="344"/>
      <c r="E271" s="343"/>
      <c r="F271" s="345"/>
      <c r="G271" s="346"/>
      <c r="H271" s="346"/>
      <c r="I271" s="347"/>
      <c r="J271" s="346"/>
      <c r="K271" s="353"/>
      <c r="L271" s="71">
        <f t="shared" si="6"/>
        <v>0</v>
      </c>
    </row>
    <row r="272" spans="1:12" hidden="1" x14ac:dyDescent="0.2">
      <c r="A272" s="352">
        <v>269</v>
      </c>
      <c r="B272" s="342"/>
      <c r="C272" s="343"/>
      <c r="D272" s="344"/>
      <c r="E272" s="343"/>
      <c r="F272" s="345"/>
      <c r="G272" s="346"/>
      <c r="H272" s="346"/>
      <c r="I272" s="347"/>
      <c r="J272" s="346"/>
      <c r="K272" s="353"/>
      <c r="L272" s="71">
        <f t="shared" si="6"/>
        <v>0</v>
      </c>
    </row>
    <row r="273" spans="1:12" hidden="1" x14ac:dyDescent="0.2">
      <c r="A273" s="352">
        <v>270</v>
      </c>
      <c r="B273" s="342"/>
      <c r="C273" s="343"/>
      <c r="D273" s="344"/>
      <c r="E273" s="343"/>
      <c r="F273" s="345"/>
      <c r="G273" s="346"/>
      <c r="H273" s="346"/>
      <c r="I273" s="347"/>
      <c r="J273" s="346"/>
      <c r="K273" s="353"/>
      <c r="L273" s="71">
        <f t="shared" si="6"/>
        <v>0</v>
      </c>
    </row>
    <row r="274" spans="1:12" hidden="1" x14ac:dyDescent="0.2">
      <c r="A274" s="352">
        <v>271</v>
      </c>
      <c r="B274" s="342"/>
      <c r="C274" s="343"/>
      <c r="D274" s="344"/>
      <c r="E274" s="343"/>
      <c r="F274" s="345"/>
      <c r="G274" s="346"/>
      <c r="H274" s="346"/>
      <c r="I274" s="347"/>
      <c r="J274" s="346"/>
      <c r="K274" s="353"/>
      <c r="L274" s="71">
        <f t="shared" si="6"/>
        <v>0</v>
      </c>
    </row>
    <row r="275" spans="1:12" hidden="1" x14ac:dyDescent="0.2">
      <c r="A275" s="352">
        <v>272</v>
      </c>
      <c r="B275" s="342"/>
      <c r="C275" s="343"/>
      <c r="D275" s="344"/>
      <c r="E275" s="343"/>
      <c r="F275" s="345"/>
      <c r="G275" s="346"/>
      <c r="H275" s="346"/>
      <c r="I275" s="347"/>
      <c r="J275" s="346"/>
      <c r="K275" s="353"/>
      <c r="L275" s="71">
        <f t="shared" si="6"/>
        <v>0</v>
      </c>
    </row>
    <row r="276" spans="1:12" hidden="1" x14ac:dyDescent="0.2">
      <c r="A276" s="352">
        <v>273</v>
      </c>
      <c r="B276" s="342"/>
      <c r="C276" s="343"/>
      <c r="D276" s="344"/>
      <c r="E276" s="343"/>
      <c r="F276" s="345"/>
      <c r="G276" s="346"/>
      <c r="H276" s="346"/>
      <c r="I276" s="347"/>
      <c r="J276" s="346"/>
      <c r="K276" s="353"/>
      <c r="L276" s="71">
        <f t="shared" si="6"/>
        <v>0</v>
      </c>
    </row>
    <row r="277" spans="1:12" hidden="1" x14ac:dyDescent="0.2">
      <c r="A277" s="352">
        <v>274</v>
      </c>
      <c r="B277" s="342"/>
      <c r="C277" s="343"/>
      <c r="D277" s="344"/>
      <c r="E277" s="343"/>
      <c r="F277" s="345"/>
      <c r="G277" s="346"/>
      <c r="H277" s="346"/>
      <c r="I277" s="347"/>
      <c r="J277" s="346"/>
      <c r="K277" s="353"/>
      <c r="L277" s="71">
        <f t="shared" si="6"/>
        <v>0</v>
      </c>
    </row>
    <row r="278" spans="1:12" hidden="1" x14ac:dyDescent="0.2">
      <c r="A278" s="352">
        <v>275</v>
      </c>
      <c r="B278" s="342"/>
      <c r="C278" s="343"/>
      <c r="D278" s="344"/>
      <c r="E278" s="343"/>
      <c r="F278" s="345"/>
      <c r="G278" s="346"/>
      <c r="H278" s="346"/>
      <c r="I278" s="347"/>
      <c r="J278" s="346"/>
      <c r="K278" s="353"/>
      <c r="L278" s="71">
        <f t="shared" si="6"/>
        <v>0</v>
      </c>
    </row>
    <row r="279" spans="1:12" hidden="1" x14ac:dyDescent="0.2">
      <c r="A279" s="352">
        <v>276</v>
      </c>
      <c r="B279" s="342"/>
      <c r="C279" s="343"/>
      <c r="D279" s="344"/>
      <c r="E279" s="343"/>
      <c r="F279" s="345"/>
      <c r="G279" s="346"/>
      <c r="H279" s="346"/>
      <c r="I279" s="347"/>
      <c r="J279" s="346"/>
      <c r="K279" s="353"/>
      <c r="L279" s="71">
        <f t="shared" si="6"/>
        <v>0</v>
      </c>
    </row>
    <row r="280" spans="1:12" hidden="1" x14ac:dyDescent="0.2">
      <c r="A280" s="352">
        <v>277</v>
      </c>
      <c r="B280" s="342"/>
      <c r="C280" s="343"/>
      <c r="D280" s="344"/>
      <c r="E280" s="343"/>
      <c r="F280" s="345"/>
      <c r="G280" s="346"/>
      <c r="H280" s="346"/>
      <c r="I280" s="347"/>
      <c r="J280" s="346"/>
      <c r="K280" s="353"/>
      <c r="L280" s="71">
        <f t="shared" si="6"/>
        <v>0</v>
      </c>
    </row>
    <row r="281" spans="1:12" hidden="1" x14ac:dyDescent="0.2">
      <c r="A281" s="352">
        <v>278</v>
      </c>
      <c r="B281" s="342"/>
      <c r="C281" s="343"/>
      <c r="D281" s="344"/>
      <c r="E281" s="343"/>
      <c r="F281" s="345"/>
      <c r="G281" s="346"/>
      <c r="H281" s="346"/>
      <c r="I281" s="347"/>
      <c r="J281" s="346"/>
      <c r="K281" s="353"/>
      <c r="L281" s="71">
        <f t="shared" si="6"/>
        <v>0</v>
      </c>
    </row>
    <row r="282" spans="1:12" hidden="1" x14ac:dyDescent="0.2">
      <c r="A282" s="352">
        <v>279</v>
      </c>
      <c r="B282" s="342"/>
      <c r="C282" s="343"/>
      <c r="D282" s="344"/>
      <c r="E282" s="343"/>
      <c r="F282" s="345"/>
      <c r="G282" s="346"/>
      <c r="H282" s="346"/>
      <c r="I282" s="347"/>
      <c r="J282" s="346"/>
      <c r="K282" s="353"/>
      <c r="L282" s="71">
        <f t="shared" si="6"/>
        <v>0</v>
      </c>
    </row>
    <row r="283" spans="1:12" hidden="1" x14ac:dyDescent="0.2">
      <c r="A283" s="352">
        <v>280</v>
      </c>
      <c r="B283" s="342"/>
      <c r="C283" s="343"/>
      <c r="D283" s="344"/>
      <c r="E283" s="343"/>
      <c r="F283" s="345"/>
      <c r="G283" s="346"/>
      <c r="H283" s="346"/>
      <c r="I283" s="347"/>
      <c r="J283" s="346"/>
      <c r="K283" s="353"/>
      <c r="L283" s="71">
        <f t="shared" si="6"/>
        <v>0</v>
      </c>
    </row>
    <row r="284" spans="1:12" hidden="1" x14ac:dyDescent="0.2">
      <c r="A284" s="352">
        <v>281</v>
      </c>
      <c r="B284" s="342"/>
      <c r="C284" s="343"/>
      <c r="D284" s="344"/>
      <c r="E284" s="343"/>
      <c r="F284" s="345"/>
      <c r="G284" s="346"/>
      <c r="H284" s="346"/>
      <c r="I284" s="347"/>
      <c r="J284" s="346"/>
      <c r="K284" s="353"/>
      <c r="L284" s="71">
        <f t="shared" si="6"/>
        <v>0</v>
      </c>
    </row>
    <row r="285" spans="1:12" hidden="1" x14ac:dyDescent="0.2">
      <c r="A285" s="352">
        <v>282</v>
      </c>
      <c r="B285" s="342"/>
      <c r="C285" s="343"/>
      <c r="D285" s="344"/>
      <c r="E285" s="343"/>
      <c r="F285" s="345"/>
      <c r="G285" s="346"/>
      <c r="H285" s="346"/>
      <c r="I285" s="347"/>
      <c r="J285" s="346"/>
      <c r="K285" s="353"/>
      <c r="L285" s="71">
        <f t="shared" si="6"/>
        <v>0</v>
      </c>
    </row>
    <row r="286" spans="1:12" hidden="1" x14ac:dyDescent="0.2">
      <c r="A286" s="352">
        <v>283</v>
      </c>
      <c r="B286" s="342"/>
      <c r="C286" s="343"/>
      <c r="D286" s="344"/>
      <c r="E286" s="343"/>
      <c r="F286" s="345"/>
      <c r="G286" s="346"/>
      <c r="H286" s="346"/>
      <c r="I286" s="347"/>
      <c r="J286" s="346"/>
      <c r="K286" s="353"/>
      <c r="L286" s="71">
        <f t="shared" si="6"/>
        <v>0</v>
      </c>
    </row>
    <row r="287" spans="1:12" hidden="1" x14ac:dyDescent="0.2">
      <c r="A287" s="352">
        <v>284</v>
      </c>
      <c r="B287" s="342"/>
      <c r="C287" s="343"/>
      <c r="D287" s="344"/>
      <c r="E287" s="343"/>
      <c r="F287" s="345"/>
      <c r="G287" s="346"/>
      <c r="H287" s="346"/>
      <c r="I287" s="347"/>
      <c r="J287" s="346"/>
      <c r="K287" s="353"/>
      <c r="L287" s="71">
        <f t="shared" si="6"/>
        <v>0</v>
      </c>
    </row>
    <row r="288" spans="1:12" hidden="1" x14ac:dyDescent="0.2">
      <c r="A288" s="352">
        <v>285</v>
      </c>
      <c r="B288" s="342"/>
      <c r="C288" s="343"/>
      <c r="D288" s="344"/>
      <c r="E288" s="343"/>
      <c r="F288" s="345"/>
      <c r="G288" s="346"/>
      <c r="H288" s="346"/>
      <c r="I288" s="347"/>
      <c r="J288" s="346"/>
      <c r="K288" s="353"/>
      <c r="L288" s="71">
        <f t="shared" si="6"/>
        <v>0</v>
      </c>
    </row>
    <row r="289" spans="1:12" hidden="1" x14ac:dyDescent="0.2">
      <c r="A289" s="352">
        <v>286</v>
      </c>
      <c r="B289" s="342"/>
      <c r="C289" s="343"/>
      <c r="D289" s="344"/>
      <c r="E289" s="343"/>
      <c r="F289" s="345"/>
      <c r="G289" s="346"/>
      <c r="H289" s="346"/>
      <c r="I289" s="347"/>
      <c r="J289" s="346"/>
      <c r="K289" s="353"/>
      <c r="L289" s="71">
        <f t="shared" si="6"/>
        <v>0</v>
      </c>
    </row>
    <row r="290" spans="1:12" hidden="1" x14ac:dyDescent="0.2">
      <c r="A290" s="352">
        <v>287</v>
      </c>
      <c r="B290" s="342"/>
      <c r="C290" s="343"/>
      <c r="D290" s="344"/>
      <c r="E290" s="343"/>
      <c r="F290" s="345"/>
      <c r="G290" s="346"/>
      <c r="H290" s="346"/>
      <c r="I290" s="347"/>
      <c r="J290" s="346"/>
      <c r="K290" s="353"/>
      <c r="L290" s="71">
        <f t="shared" si="6"/>
        <v>0</v>
      </c>
    </row>
    <row r="291" spans="1:12" hidden="1" x14ac:dyDescent="0.2">
      <c r="A291" s="352">
        <v>288</v>
      </c>
      <c r="B291" s="342"/>
      <c r="C291" s="343"/>
      <c r="D291" s="344"/>
      <c r="E291" s="343"/>
      <c r="F291" s="345"/>
      <c r="G291" s="346"/>
      <c r="H291" s="346"/>
      <c r="I291" s="347"/>
      <c r="J291" s="346"/>
      <c r="K291" s="353"/>
      <c r="L291" s="71">
        <f t="shared" si="6"/>
        <v>0</v>
      </c>
    </row>
    <row r="292" spans="1:12" hidden="1" x14ac:dyDescent="0.2">
      <c r="A292" s="352">
        <v>289</v>
      </c>
      <c r="B292" s="342"/>
      <c r="C292" s="343"/>
      <c r="D292" s="344"/>
      <c r="E292" s="343"/>
      <c r="F292" s="345"/>
      <c r="G292" s="346"/>
      <c r="H292" s="346"/>
      <c r="I292" s="347"/>
      <c r="J292" s="346"/>
      <c r="K292" s="353"/>
      <c r="L292" s="71">
        <f t="shared" si="6"/>
        <v>0</v>
      </c>
    </row>
    <row r="293" spans="1:12" hidden="1" x14ac:dyDescent="0.2">
      <c r="A293" s="352">
        <v>290</v>
      </c>
      <c r="B293" s="342"/>
      <c r="C293" s="343"/>
      <c r="D293" s="344"/>
      <c r="E293" s="343"/>
      <c r="F293" s="345"/>
      <c r="G293" s="346"/>
      <c r="H293" s="346"/>
      <c r="I293" s="347"/>
      <c r="J293" s="346"/>
      <c r="K293" s="353"/>
      <c r="L293" s="71">
        <f t="shared" si="6"/>
        <v>0</v>
      </c>
    </row>
    <row r="294" spans="1:12" hidden="1" x14ac:dyDescent="0.2">
      <c r="A294" s="352">
        <v>291</v>
      </c>
      <c r="B294" s="342"/>
      <c r="C294" s="343"/>
      <c r="D294" s="344"/>
      <c r="E294" s="343"/>
      <c r="F294" s="345"/>
      <c r="G294" s="346"/>
      <c r="H294" s="346"/>
      <c r="I294" s="347"/>
      <c r="J294" s="346"/>
      <c r="K294" s="353"/>
      <c r="L294" s="71">
        <f t="shared" si="6"/>
        <v>0</v>
      </c>
    </row>
    <row r="295" spans="1:12" hidden="1" x14ac:dyDescent="0.2">
      <c r="A295" s="352">
        <v>292</v>
      </c>
      <c r="B295" s="342"/>
      <c r="C295" s="343"/>
      <c r="D295" s="344"/>
      <c r="E295" s="343"/>
      <c r="F295" s="345"/>
      <c r="G295" s="346"/>
      <c r="H295" s="346"/>
      <c r="I295" s="347"/>
      <c r="J295" s="346"/>
      <c r="K295" s="353"/>
      <c r="L295" s="71">
        <f t="shared" si="6"/>
        <v>0</v>
      </c>
    </row>
    <row r="296" spans="1:12" hidden="1" x14ac:dyDescent="0.2">
      <c r="A296" s="352">
        <v>293</v>
      </c>
      <c r="B296" s="342"/>
      <c r="C296" s="343"/>
      <c r="D296" s="344"/>
      <c r="E296" s="343"/>
      <c r="F296" s="345"/>
      <c r="G296" s="346"/>
      <c r="H296" s="346"/>
      <c r="I296" s="347"/>
      <c r="J296" s="346"/>
      <c r="K296" s="353"/>
      <c r="L296" s="71">
        <f t="shared" si="6"/>
        <v>0</v>
      </c>
    </row>
    <row r="297" spans="1:12" hidden="1" x14ac:dyDescent="0.2">
      <c r="A297" s="352">
        <v>294</v>
      </c>
      <c r="B297" s="342"/>
      <c r="C297" s="343"/>
      <c r="D297" s="344"/>
      <c r="E297" s="343"/>
      <c r="F297" s="345"/>
      <c r="G297" s="346"/>
      <c r="H297" s="346"/>
      <c r="I297" s="347"/>
      <c r="J297" s="346"/>
      <c r="K297" s="353"/>
      <c r="L297" s="71">
        <f t="shared" si="6"/>
        <v>0</v>
      </c>
    </row>
    <row r="298" spans="1:12" hidden="1" x14ac:dyDescent="0.2">
      <c r="A298" s="352">
        <v>295</v>
      </c>
      <c r="B298" s="342"/>
      <c r="C298" s="343"/>
      <c r="D298" s="344"/>
      <c r="E298" s="343"/>
      <c r="F298" s="345"/>
      <c r="G298" s="346"/>
      <c r="H298" s="346"/>
      <c r="I298" s="347"/>
      <c r="J298" s="346"/>
      <c r="K298" s="353"/>
      <c r="L298" s="71">
        <f t="shared" si="6"/>
        <v>0</v>
      </c>
    </row>
    <row r="299" spans="1:12" hidden="1" x14ac:dyDescent="0.2">
      <c r="A299" s="352">
        <v>296</v>
      </c>
      <c r="B299" s="342"/>
      <c r="C299" s="343"/>
      <c r="D299" s="344"/>
      <c r="E299" s="343"/>
      <c r="F299" s="345"/>
      <c r="G299" s="346"/>
      <c r="H299" s="346"/>
      <c r="I299" s="347"/>
      <c r="J299" s="346"/>
      <c r="K299" s="353"/>
      <c r="L299" s="71">
        <f t="shared" si="6"/>
        <v>0</v>
      </c>
    </row>
    <row r="300" spans="1:12" hidden="1" x14ac:dyDescent="0.2">
      <c r="A300" s="352">
        <v>297</v>
      </c>
      <c r="B300" s="342"/>
      <c r="C300" s="343"/>
      <c r="D300" s="344"/>
      <c r="E300" s="343"/>
      <c r="F300" s="345"/>
      <c r="G300" s="346"/>
      <c r="H300" s="346"/>
      <c r="I300" s="347"/>
      <c r="J300" s="346"/>
      <c r="K300" s="353"/>
      <c r="L300" s="71">
        <f t="shared" si="6"/>
        <v>0</v>
      </c>
    </row>
    <row r="301" spans="1:12" hidden="1" x14ac:dyDescent="0.2">
      <c r="A301" s="352">
        <v>298</v>
      </c>
      <c r="B301" s="342"/>
      <c r="C301" s="343"/>
      <c r="D301" s="344"/>
      <c r="E301" s="343"/>
      <c r="F301" s="345"/>
      <c r="G301" s="346"/>
      <c r="H301" s="346"/>
      <c r="I301" s="347"/>
      <c r="J301" s="346"/>
      <c r="K301" s="353"/>
      <c r="L301" s="71">
        <f t="shared" si="6"/>
        <v>0</v>
      </c>
    </row>
    <row r="302" spans="1:12" hidden="1" x14ac:dyDescent="0.2">
      <c r="A302" s="352">
        <v>299</v>
      </c>
      <c r="B302" s="342"/>
      <c r="C302" s="343"/>
      <c r="D302" s="344"/>
      <c r="E302" s="343"/>
      <c r="F302" s="345"/>
      <c r="G302" s="346"/>
      <c r="H302" s="346"/>
      <c r="I302" s="347"/>
      <c r="J302" s="346"/>
      <c r="K302" s="353"/>
      <c r="L302" s="71">
        <f t="shared" si="6"/>
        <v>0</v>
      </c>
    </row>
    <row r="303" spans="1:12" hidden="1" x14ac:dyDescent="0.2">
      <c r="A303" s="352">
        <v>300</v>
      </c>
      <c r="B303" s="342"/>
      <c r="C303" s="343"/>
      <c r="D303" s="344"/>
      <c r="E303" s="343"/>
      <c r="F303" s="345"/>
      <c r="G303" s="346"/>
      <c r="H303" s="346"/>
      <c r="I303" s="347"/>
      <c r="J303" s="346"/>
      <c r="K303" s="353"/>
      <c r="L303" s="71">
        <f t="shared" si="6"/>
        <v>0</v>
      </c>
    </row>
    <row r="304" spans="1:12" hidden="1" x14ac:dyDescent="0.2">
      <c r="A304" s="352">
        <v>301</v>
      </c>
      <c r="B304" s="342"/>
      <c r="C304" s="343"/>
      <c r="D304" s="344"/>
      <c r="E304" s="343"/>
      <c r="F304" s="345"/>
      <c r="G304" s="346"/>
      <c r="H304" s="346"/>
      <c r="I304" s="347"/>
      <c r="J304" s="346"/>
      <c r="K304" s="353"/>
      <c r="L304" s="71">
        <f t="shared" si="6"/>
        <v>0</v>
      </c>
    </row>
    <row r="305" spans="1:12" hidden="1" x14ac:dyDescent="0.2">
      <c r="A305" s="352">
        <v>302</v>
      </c>
      <c r="B305" s="342"/>
      <c r="C305" s="343"/>
      <c r="D305" s="344"/>
      <c r="E305" s="343"/>
      <c r="F305" s="345"/>
      <c r="G305" s="346"/>
      <c r="H305" s="346"/>
      <c r="I305" s="347"/>
      <c r="J305" s="346"/>
      <c r="K305" s="353"/>
      <c r="L305" s="71">
        <f t="shared" si="6"/>
        <v>0</v>
      </c>
    </row>
    <row r="306" spans="1:12" hidden="1" x14ac:dyDescent="0.2">
      <c r="A306" s="352">
        <v>303</v>
      </c>
      <c r="B306" s="342"/>
      <c r="C306" s="343"/>
      <c r="D306" s="344"/>
      <c r="E306" s="343"/>
      <c r="F306" s="345"/>
      <c r="G306" s="346"/>
      <c r="H306" s="346"/>
      <c r="I306" s="347"/>
      <c r="J306" s="346"/>
      <c r="K306" s="353"/>
      <c r="L306" s="71">
        <f t="shared" si="6"/>
        <v>0</v>
      </c>
    </row>
    <row r="307" spans="1:12" hidden="1" x14ac:dyDescent="0.2">
      <c r="A307" s="352">
        <v>304</v>
      </c>
      <c r="B307" s="342"/>
      <c r="C307" s="343"/>
      <c r="D307" s="344"/>
      <c r="E307" s="343"/>
      <c r="F307" s="345"/>
      <c r="G307" s="346"/>
      <c r="H307" s="346"/>
      <c r="I307" s="347"/>
      <c r="J307" s="346"/>
      <c r="K307" s="353"/>
      <c r="L307" s="71">
        <f t="shared" si="6"/>
        <v>0</v>
      </c>
    </row>
    <row r="308" spans="1:12" hidden="1" x14ac:dyDescent="0.2">
      <c r="A308" s="352">
        <v>305</v>
      </c>
      <c r="B308" s="342"/>
      <c r="C308" s="343"/>
      <c r="D308" s="344"/>
      <c r="E308" s="343"/>
      <c r="F308" s="345"/>
      <c r="G308" s="346"/>
      <c r="H308" s="346"/>
      <c r="I308" s="347"/>
      <c r="J308" s="346"/>
      <c r="K308" s="353"/>
      <c r="L308" s="71">
        <f t="shared" si="6"/>
        <v>0</v>
      </c>
    </row>
    <row r="309" spans="1:12" hidden="1" x14ac:dyDescent="0.2">
      <c r="A309" s="352">
        <v>306</v>
      </c>
      <c r="B309" s="342"/>
      <c r="C309" s="343"/>
      <c r="D309" s="344"/>
      <c r="E309" s="343"/>
      <c r="F309" s="345"/>
      <c r="G309" s="346"/>
      <c r="H309" s="346"/>
      <c r="I309" s="347"/>
      <c r="J309" s="346"/>
      <c r="K309" s="353"/>
      <c r="L309" s="71">
        <f t="shared" si="6"/>
        <v>0</v>
      </c>
    </row>
    <row r="310" spans="1:12" hidden="1" x14ac:dyDescent="0.2">
      <c r="A310" s="352">
        <v>307</v>
      </c>
      <c r="B310" s="342"/>
      <c r="C310" s="343"/>
      <c r="D310" s="344"/>
      <c r="E310" s="343"/>
      <c r="F310" s="345"/>
      <c r="G310" s="346"/>
      <c r="H310" s="346"/>
      <c r="I310" s="347"/>
      <c r="J310" s="346"/>
      <c r="K310" s="353"/>
      <c r="L310" s="71">
        <f t="shared" si="6"/>
        <v>0</v>
      </c>
    </row>
    <row r="311" spans="1:12" hidden="1" x14ac:dyDescent="0.2">
      <c r="A311" s="352">
        <v>308</v>
      </c>
      <c r="B311" s="342"/>
      <c r="C311" s="343"/>
      <c r="D311" s="344"/>
      <c r="E311" s="343"/>
      <c r="F311" s="345"/>
      <c r="G311" s="346"/>
      <c r="H311" s="346"/>
      <c r="I311" s="347"/>
      <c r="J311" s="346"/>
      <c r="K311" s="353"/>
      <c r="L311" s="71">
        <f t="shared" si="6"/>
        <v>0</v>
      </c>
    </row>
    <row r="312" spans="1:12" hidden="1" x14ac:dyDescent="0.2">
      <c r="A312" s="352">
        <v>309</v>
      </c>
      <c r="B312" s="342"/>
      <c r="C312" s="343"/>
      <c r="D312" s="344"/>
      <c r="E312" s="343"/>
      <c r="F312" s="345"/>
      <c r="G312" s="346"/>
      <c r="H312" s="346"/>
      <c r="I312" s="347"/>
      <c r="J312" s="346"/>
      <c r="K312" s="353"/>
      <c r="L312" s="71">
        <f t="shared" si="6"/>
        <v>0</v>
      </c>
    </row>
    <row r="313" spans="1:12" hidden="1" x14ac:dyDescent="0.2">
      <c r="A313" s="352">
        <v>310</v>
      </c>
      <c r="B313" s="342"/>
      <c r="C313" s="343"/>
      <c r="D313" s="344"/>
      <c r="E313" s="343"/>
      <c r="F313" s="345"/>
      <c r="G313" s="346"/>
      <c r="H313" s="346"/>
      <c r="I313" s="347"/>
      <c r="J313" s="346"/>
      <c r="K313" s="353"/>
      <c r="L313" s="71">
        <f t="shared" si="6"/>
        <v>0</v>
      </c>
    </row>
    <row r="314" spans="1:12" hidden="1" x14ac:dyDescent="0.2">
      <c r="A314" s="352">
        <v>311</v>
      </c>
      <c r="B314" s="342"/>
      <c r="C314" s="343"/>
      <c r="D314" s="344"/>
      <c r="E314" s="343"/>
      <c r="F314" s="345"/>
      <c r="G314" s="346"/>
      <c r="H314" s="346"/>
      <c r="I314" s="347"/>
      <c r="J314" s="346"/>
      <c r="K314" s="353"/>
      <c r="L314" s="71">
        <f t="shared" si="6"/>
        <v>0</v>
      </c>
    </row>
    <row r="315" spans="1:12" hidden="1" x14ac:dyDescent="0.2">
      <c r="A315" s="352">
        <v>312</v>
      </c>
      <c r="B315" s="342"/>
      <c r="C315" s="343"/>
      <c r="D315" s="344"/>
      <c r="E315" s="343"/>
      <c r="F315" s="345"/>
      <c r="G315" s="346"/>
      <c r="H315" s="346"/>
      <c r="I315" s="347"/>
      <c r="J315" s="346"/>
      <c r="K315" s="353"/>
      <c r="L315" s="71">
        <f t="shared" si="6"/>
        <v>0</v>
      </c>
    </row>
    <row r="316" spans="1:12" hidden="1" x14ac:dyDescent="0.2">
      <c r="A316" s="352">
        <v>313</v>
      </c>
      <c r="B316" s="342"/>
      <c r="C316" s="343"/>
      <c r="D316" s="344"/>
      <c r="E316" s="343"/>
      <c r="F316" s="345"/>
      <c r="G316" s="346"/>
      <c r="H316" s="346"/>
      <c r="I316" s="347"/>
      <c r="J316" s="346"/>
      <c r="K316" s="353"/>
      <c r="L316" s="71">
        <f t="shared" si="6"/>
        <v>0</v>
      </c>
    </row>
    <row r="317" spans="1:12" hidden="1" x14ac:dyDescent="0.2">
      <c r="A317" s="352">
        <v>314</v>
      </c>
      <c r="B317" s="342"/>
      <c r="C317" s="343"/>
      <c r="D317" s="344"/>
      <c r="E317" s="343"/>
      <c r="F317" s="345"/>
      <c r="G317" s="346"/>
      <c r="H317" s="346"/>
      <c r="I317" s="347"/>
      <c r="J317" s="346"/>
      <c r="K317" s="353"/>
      <c r="L317" s="71">
        <f t="shared" si="6"/>
        <v>0</v>
      </c>
    </row>
    <row r="318" spans="1:12" hidden="1" x14ac:dyDescent="0.2">
      <c r="A318" s="352">
        <v>315</v>
      </c>
      <c r="B318" s="342"/>
      <c r="C318" s="343"/>
      <c r="D318" s="344"/>
      <c r="E318" s="343"/>
      <c r="F318" s="345"/>
      <c r="G318" s="346"/>
      <c r="H318" s="346"/>
      <c r="I318" s="347"/>
      <c r="J318" s="346"/>
      <c r="K318" s="353"/>
      <c r="L318" s="71">
        <f t="shared" si="6"/>
        <v>0</v>
      </c>
    </row>
    <row r="319" spans="1:12" hidden="1" x14ac:dyDescent="0.2">
      <c r="A319" s="352">
        <v>316</v>
      </c>
      <c r="B319" s="342"/>
      <c r="C319" s="343"/>
      <c r="D319" s="344"/>
      <c r="E319" s="343"/>
      <c r="F319" s="345"/>
      <c r="G319" s="346"/>
      <c r="H319" s="346"/>
      <c r="I319" s="347"/>
      <c r="J319" s="346"/>
      <c r="K319" s="353"/>
      <c r="L319" s="71">
        <f t="shared" si="6"/>
        <v>0</v>
      </c>
    </row>
    <row r="320" spans="1:12" hidden="1" x14ac:dyDescent="0.2">
      <c r="A320" s="352">
        <v>317</v>
      </c>
      <c r="B320" s="342"/>
      <c r="C320" s="343"/>
      <c r="D320" s="344"/>
      <c r="E320" s="343"/>
      <c r="F320" s="345"/>
      <c r="G320" s="346"/>
      <c r="H320" s="346"/>
      <c r="I320" s="347"/>
      <c r="J320" s="346"/>
      <c r="K320" s="353"/>
      <c r="L320" s="71">
        <f t="shared" si="6"/>
        <v>0</v>
      </c>
    </row>
    <row r="321" spans="1:12" hidden="1" x14ac:dyDescent="0.2">
      <c r="A321" s="352">
        <v>318</v>
      </c>
      <c r="B321" s="342"/>
      <c r="C321" s="343"/>
      <c r="D321" s="344"/>
      <c r="E321" s="343"/>
      <c r="F321" s="345"/>
      <c r="G321" s="346"/>
      <c r="H321" s="346"/>
      <c r="I321" s="347"/>
      <c r="J321" s="346"/>
      <c r="K321" s="353"/>
      <c r="L321" s="71">
        <f t="shared" ref="L321:L384" si="7">IF(B321=0,0,MONTH(B321)-$L$1+1)</f>
        <v>0</v>
      </c>
    </row>
    <row r="322" spans="1:12" hidden="1" x14ac:dyDescent="0.2">
      <c r="A322" s="352">
        <v>319</v>
      </c>
      <c r="B322" s="342"/>
      <c r="C322" s="343"/>
      <c r="D322" s="344"/>
      <c r="E322" s="343"/>
      <c r="F322" s="345"/>
      <c r="G322" s="346"/>
      <c r="H322" s="346"/>
      <c r="I322" s="347"/>
      <c r="J322" s="346"/>
      <c r="K322" s="353"/>
      <c r="L322" s="71">
        <f t="shared" si="7"/>
        <v>0</v>
      </c>
    </row>
    <row r="323" spans="1:12" hidden="1" x14ac:dyDescent="0.2">
      <c r="A323" s="352">
        <v>320</v>
      </c>
      <c r="B323" s="342"/>
      <c r="C323" s="343"/>
      <c r="D323" s="344"/>
      <c r="E323" s="343"/>
      <c r="F323" s="345"/>
      <c r="G323" s="346"/>
      <c r="H323" s="346"/>
      <c r="I323" s="347"/>
      <c r="J323" s="346"/>
      <c r="K323" s="353"/>
      <c r="L323" s="71">
        <f t="shared" si="7"/>
        <v>0</v>
      </c>
    </row>
    <row r="324" spans="1:12" hidden="1" x14ac:dyDescent="0.2">
      <c r="A324" s="352">
        <v>321</v>
      </c>
      <c r="B324" s="342"/>
      <c r="C324" s="343"/>
      <c r="D324" s="344"/>
      <c r="E324" s="343"/>
      <c r="F324" s="345"/>
      <c r="G324" s="346"/>
      <c r="H324" s="346"/>
      <c r="I324" s="347"/>
      <c r="J324" s="346"/>
      <c r="K324" s="353"/>
      <c r="L324" s="71">
        <f t="shared" si="7"/>
        <v>0</v>
      </c>
    </row>
    <row r="325" spans="1:12" hidden="1" x14ac:dyDescent="0.2">
      <c r="A325" s="352">
        <v>322</v>
      </c>
      <c r="B325" s="342"/>
      <c r="C325" s="343"/>
      <c r="D325" s="344"/>
      <c r="E325" s="343"/>
      <c r="F325" s="345"/>
      <c r="G325" s="346"/>
      <c r="H325" s="346"/>
      <c r="I325" s="347"/>
      <c r="J325" s="346"/>
      <c r="K325" s="353"/>
      <c r="L325" s="71">
        <f t="shared" si="7"/>
        <v>0</v>
      </c>
    </row>
    <row r="326" spans="1:12" hidden="1" x14ac:dyDescent="0.2">
      <c r="A326" s="352">
        <v>323</v>
      </c>
      <c r="B326" s="342"/>
      <c r="C326" s="343"/>
      <c r="D326" s="344"/>
      <c r="E326" s="343"/>
      <c r="F326" s="345"/>
      <c r="G326" s="346"/>
      <c r="H326" s="346"/>
      <c r="I326" s="347"/>
      <c r="J326" s="346"/>
      <c r="K326" s="353"/>
      <c r="L326" s="71">
        <f t="shared" si="7"/>
        <v>0</v>
      </c>
    </row>
    <row r="327" spans="1:12" hidden="1" x14ac:dyDescent="0.2">
      <c r="A327" s="352">
        <v>324</v>
      </c>
      <c r="B327" s="342"/>
      <c r="C327" s="343"/>
      <c r="D327" s="344"/>
      <c r="E327" s="343"/>
      <c r="F327" s="345"/>
      <c r="G327" s="346"/>
      <c r="H327" s="346"/>
      <c r="I327" s="347"/>
      <c r="J327" s="346"/>
      <c r="K327" s="353"/>
      <c r="L327" s="71">
        <f t="shared" si="7"/>
        <v>0</v>
      </c>
    </row>
    <row r="328" spans="1:12" hidden="1" x14ac:dyDescent="0.2">
      <c r="A328" s="352">
        <v>325</v>
      </c>
      <c r="B328" s="342"/>
      <c r="C328" s="343"/>
      <c r="D328" s="344"/>
      <c r="E328" s="343"/>
      <c r="F328" s="345"/>
      <c r="G328" s="346"/>
      <c r="H328" s="346"/>
      <c r="I328" s="347"/>
      <c r="J328" s="346"/>
      <c r="K328" s="353"/>
      <c r="L328" s="71">
        <f t="shared" si="7"/>
        <v>0</v>
      </c>
    </row>
    <row r="329" spans="1:12" hidden="1" x14ac:dyDescent="0.2">
      <c r="A329" s="352">
        <v>326</v>
      </c>
      <c r="B329" s="342"/>
      <c r="C329" s="343"/>
      <c r="D329" s="344"/>
      <c r="E329" s="343"/>
      <c r="F329" s="345"/>
      <c r="G329" s="346"/>
      <c r="H329" s="346"/>
      <c r="I329" s="347"/>
      <c r="J329" s="346"/>
      <c r="K329" s="353"/>
      <c r="L329" s="71">
        <f t="shared" si="7"/>
        <v>0</v>
      </c>
    </row>
    <row r="330" spans="1:12" hidden="1" x14ac:dyDescent="0.2">
      <c r="A330" s="352">
        <v>327</v>
      </c>
      <c r="B330" s="342"/>
      <c r="C330" s="343"/>
      <c r="D330" s="344"/>
      <c r="E330" s="343"/>
      <c r="F330" s="345"/>
      <c r="G330" s="346"/>
      <c r="H330" s="346"/>
      <c r="I330" s="347"/>
      <c r="J330" s="346"/>
      <c r="K330" s="353"/>
      <c r="L330" s="71">
        <f t="shared" si="7"/>
        <v>0</v>
      </c>
    </row>
    <row r="331" spans="1:12" hidden="1" x14ac:dyDescent="0.2">
      <c r="A331" s="352">
        <v>328</v>
      </c>
      <c r="B331" s="342"/>
      <c r="C331" s="343"/>
      <c r="D331" s="344"/>
      <c r="E331" s="343"/>
      <c r="F331" s="345"/>
      <c r="G331" s="346"/>
      <c r="H331" s="346"/>
      <c r="I331" s="347"/>
      <c r="J331" s="346"/>
      <c r="K331" s="353"/>
      <c r="L331" s="71">
        <f t="shared" si="7"/>
        <v>0</v>
      </c>
    </row>
    <row r="332" spans="1:12" hidden="1" x14ac:dyDescent="0.2">
      <c r="A332" s="352">
        <v>329</v>
      </c>
      <c r="B332" s="342"/>
      <c r="C332" s="343"/>
      <c r="D332" s="344"/>
      <c r="E332" s="343"/>
      <c r="F332" s="345"/>
      <c r="G332" s="346"/>
      <c r="H332" s="346"/>
      <c r="I332" s="347"/>
      <c r="J332" s="346"/>
      <c r="K332" s="353"/>
      <c r="L332" s="71">
        <f t="shared" si="7"/>
        <v>0</v>
      </c>
    </row>
    <row r="333" spans="1:12" hidden="1" x14ac:dyDescent="0.2">
      <c r="A333" s="352">
        <v>330</v>
      </c>
      <c r="B333" s="342"/>
      <c r="C333" s="343"/>
      <c r="D333" s="344"/>
      <c r="E333" s="343"/>
      <c r="F333" s="345"/>
      <c r="G333" s="346"/>
      <c r="H333" s="346"/>
      <c r="I333" s="347"/>
      <c r="J333" s="346"/>
      <c r="K333" s="353"/>
      <c r="L333" s="71">
        <f t="shared" si="7"/>
        <v>0</v>
      </c>
    </row>
    <row r="334" spans="1:12" hidden="1" x14ac:dyDescent="0.2">
      <c r="A334" s="352">
        <v>331</v>
      </c>
      <c r="B334" s="342"/>
      <c r="C334" s="343"/>
      <c r="D334" s="344"/>
      <c r="E334" s="343"/>
      <c r="F334" s="345"/>
      <c r="G334" s="346"/>
      <c r="H334" s="346"/>
      <c r="I334" s="347"/>
      <c r="J334" s="346"/>
      <c r="K334" s="353"/>
      <c r="L334" s="71">
        <f t="shared" si="7"/>
        <v>0</v>
      </c>
    </row>
    <row r="335" spans="1:12" hidden="1" x14ac:dyDescent="0.2">
      <c r="A335" s="352">
        <v>332</v>
      </c>
      <c r="B335" s="342"/>
      <c r="C335" s="343"/>
      <c r="D335" s="344"/>
      <c r="E335" s="343"/>
      <c r="F335" s="345"/>
      <c r="G335" s="346"/>
      <c r="H335" s="346"/>
      <c r="I335" s="347"/>
      <c r="J335" s="346"/>
      <c r="K335" s="353"/>
      <c r="L335" s="71">
        <f t="shared" si="7"/>
        <v>0</v>
      </c>
    </row>
    <row r="336" spans="1:12" hidden="1" x14ac:dyDescent="0.2">
      <c r="A336" s="352">
        <v>333</v>
      </c>
      <c r="B336" s="342"/>
      <c r="C336" s="343"/>
      <c r="D336" s="344"/>
      <c r="E336" s="343"/>
      <c r="F336" s="345"/>
      <c r="G336" s="346"/>
      <c r="H336" s="346"/>
      <c r="I336" s="347"/>
      <c r="J336" s="346"/>
      <c r="K336" s="353"/>
      <c r="L336" s="71">
        <f t="shared" si="7"/>
        <v>0</v>
      </c>
    </row>
    <row r="337" spans="1:12" hidden="1" x14ac:dyDescent="0.2">
      <c r="A337" s="352">
        <v>334</v>
      </c>
      <c r="B337" s="342"/>
      <c r="C337" s="343"/>
      <c r="D337" s="344"/>
      <c r="E337" s="343"/>
      <c r="F337" s="345"/>
      <c r="G337" s="346"/>
      <c r="H337" s="346"/>
      <c r="I337" s="347"/>
      <c r="J337" s="346"/>
      <c r="K337" s="353"/>
      <c r="L337" s="71">
        <f t="shared" si="7"/>
        <v>0</v>
      </c>
    </row>
    <row r="338" spans="1:12" hidden="1" x14ac:dyDescent="0.2">
      <c r="A338" s="352">
        <v>335</v>
      </c>
      <c r="B338" s="342"/>
      <c r="C338" s="343"/>
      <c r="D338" s="344"/>
      <c r="E338" s="343"/>
      <c r="F338" s="345"/>
      <c r="G338" s="346"/>
      <c r="H338" s="346"/>
      <c r="I338" s="347"/>
      <c r="J338" s="346"/>
      <c r="K338" s="353"/>
      <c r="L338" s="71">
        <f t="shared" si="7"/>
        <v>0</v>
      </c>
    </row>
    <row r="339" spans="1:12" hidden="1" x14ac:dyDescent="0.2">
      <c r="A339" s="352">
        <v>336</v>
      </c>
      <c r="B339" s="342"/>
      <c r="C339" s="343"/>
      <c r="D339" s="344"/>
      <c r="E339" s="343"/>
      <c r="F339" s="345"/>
      <c r="G339" s="346"/>
      <c r="H339" s="346"/>
      <c r="I339" s="347"/>
      <c r="J339" s="346"/>
      <c r="K339" s="353"/>
      <c r="L339" s="71">
        <f t="shared" si="7"/>
        <v>0</v>
      </c>
    </row>
    <row r="340" spans="1:12" hidden="1" x14ac:dyDescent="0.2">
      <c r="A340" s="352">
        <v>337</v>
      </c>
      <c r="B340" s="342"/>
      <c r="C340" s="343"/>
      <c r="D340" s="344"/>
      <c r="E340" s="343"/>
      <c r="F340" s="345"/>
      <c r="G340" s="346"/>
      <c r="H340" s="346"/>
      <c r="I340" s="347"/>
      <c r="J340" s="346"/>
      <c r="K340" s="353"/>
      <c r="L340" s="71">
        <f t="shared" si="7"/>
        <v>0</v>
      </c>
    </row>
    <row r="341" spans="1:12" hidden="1" x14ac:dyDescent="0.2">
      <c r="A341" s="352">
        <v>338</v>
      </c>
      <c r="B341" s="342"/>
      <c r="C341" s="343"/>
      <c r="D341" s="344"/>
      <c r="E341" s="343"/>
      <c r="F341" s="345"/>
      <c r="G341" s="346"/>
      <c r="H341" s="346"/>
      <c r="I341" s="347"/>
      <c r="J341" s="346"/>
      <c r="K341" s="353"/>
      <c r="L341" s="71">
        <f t="shared" si="7"/>
        <v>0</v>
      </c>
    </row>
    <row r="342" spans="1:12" hidden="1" x14ac:dyDescent="0.2">
      <c r="A342" s="352">
        <v>339</v>
      </c>
      <c r="B342" s="342"/>
      <c r="C342" s="343"/>
      <c r="D342" s="344"/>
      <c r="E342" s="343"/>
      <c r="F342" s="345"/>
      <c r="G342" s="346"/>
      <c r="H342" s="346"/>
      <c r="I342" s="347"/>
      <c r="J342" s="346"/>
      <c r="K342" s="353"/>
      <c r="L342" s="71">
        <f t="shared" si="7"/>
        <v>0</v>
      </c>
    </row>
    <row r="343" spans="1:12" hidden="1" x14ac:dyDescent="0.2">
      <c r="A343" s="352">
        <v>340</v>
      </c>
      <c r="B343" s="342"/>
      <c r="C343" s="343"/>
      <c r="D343" s="344"/>
      <c r="E343" s="343"/>
      <c r="F343" s="345"/>
      <c r="G343" s="346"/>
      <c r="H343" s="346"/>
      <c r="I343" s="347"/>
      <c r="J343" s="346"/>
      <c r="K343" s="353"/>
      <c r="L343" s="71">
        <f t="shared" si="7"/>
        <v>0</v>
      </c>
    </row>
    <row r="344" spans="1:12" hidden="1" x14ac:dyDescent="0.2">
      <c r="A344" s="352">
        <v>341</v>
      </c>
      <c r="B344" s="342"/>
      <c r="C344" s="343"/>
      <c r="D344" s="344"/>
      <c r="E344" s="343"/>
      <c r="F344" s="345"/>
      <c r="G344" s="346"/>
      <c r="H344" s="346"/>
      <c r="I344" s="347"/>
      <c r="J344" s="346"/>
      <c r="K344" s="353"/>
      <c r="L344" s="71">
        <f t="shared" si="7"/>
        <v>0</v>
      </c>
    </row>
    <row r="345" spans="1:12" hidden="1" x14ac:dyDescent="0.2">
      <c r="A345" s="352">
        <v>342</v>
      </c>
      <c r="B345" s="342"/>
      <c r="C345" s="343"/>
      <c r="D345" s="344"/>
      <c r="E345" s="343"/>
      <c r="F345" s="345"/>
      <c r="G345" s="346"/>
      <c r="H345" s="346"/>
      <c r="I345" s="347"/>
      <c r="J345" s="346"/>
      <c r="K345" s="353"/>
      <c r="L345" s="71">
        <f t="shared" si="7"/>
        <v>0</v>
      </c>
    </row>
    <row r="346" spans="1:12" hidden="1" x14ac:dyDescent="0.2">
      <c r="A346" s="352">
        <v>343</v>
      </c>
      <c r="B346" s="342"/>
      <c r="C346" s="343"/>
      <c r="D346" s="344"/>
      <c r="E346" s="343"/>
      <c r="F346" s="345"/>
      <c r="G346" s="346"/>
      <c r="H346" s="346"/>
      <c r="I346" s="347"/>
      <c r="J346" s="346"/>
      <c r="K346" s="353"/>
      <c r="L346" s="71">
        <f t="shared" si="7"/>
        <v>0</v>
      </c>
    </row>
    <row r="347" spans="1:12" hidden="1" x14ac:dyDescent="0.2">
      <c r="A347" s="352">
        <v>344</v>
      </c>
      <c r="B347" s="342"/>
      <c r="C347" s="343"/>
      <c r="D347" s="344"/>
      <c r="E347" s="343"/>
      <c r="F347" s="345"/>
      <c r="G347" s="346"/>
      <c r="H347" s="346"/>
      <c r="I347" s="347"/>
      <c r="J347" s="346"/>
      <c r="K347" s="353"/>
      <c r="L347" s="71">
        <f t="shared" si="7"/>
        <v>0</v>
      </c>
    </row>
    <row r="348" spans="1:12" hidden="1" x14ac:dyDescent="0.2">
      <c r="A348" s="352">
        <v>345</v>
      </c>
      <c r="B348" s="342"/>
      <c r="C348" s="343"/>
      <c r="D348" s="344"/>
      <c r="E348" s="343"/>
      <c r="F348" s="345"/>
      <c r="G348" s="346"/>
      <c r="H348" s="346"/>
      <c r="I348" s="347"/>
      <c r="J348" s="346"/>
      <c r="K348" s="353"/>
      <c r="L348" s="71">
        <f t="shared" si="7"/>
        <v>0</v>
      </c>
    </row>
    <row r="349" spans="1:12" hidden="1" x14ac:dyDescent="0.2">
      <c r="A349" s="352">
        <v>346</v>
      </c>
      <c r="B349" s="342"/>
      <c r="C349" s="343"/>
      <c r="D349" s="344"/>
      <c r="E349" s="343"/>
      <c r="F349" s="345"/>
      <c r="G349" s="346"/>
      <c r="H349" s="346"/>
      <c r="I349" s="347"/>
      <c r="J349" s="346"/>
      <c r="K349" s="353"/>
      <c r="L349" s="71">
        <f t="shared" si="7"/>
        <v>0</v>
      </c>
    </row>
    <row r="350" spans="1:12" hidden="1" x14ac:dyDescent="0.2">
      <c r="A350" s="352">
        <v>347</v>
      </c>
      <c r="B350" s="342"/>
      <c r="C350" s="343"/>
      <c r="D350" s="344"/>
      <c r="E350" s="343"/>
      <c r="F350" s="345"/>
      <c r="G350" s="346"/>
      <c r="H350" s="346"/>
      <c r="I350" s="347"/>
      <c r="J350" s="346"/>
      <c r="K350" s="353"/>
      <c r="L350" s="71">
        <f t="shared" si="7"/>
        <v>0</v>
      </c>
    </row>
    <row r="351" spans="1:12" hidden="1" x14ac:dyDescent="0.2">
      <c r="A351" s="352">
        <v>348</v>
      </c>
      <c r="B351" s="342"/>
      <c r="C351" s="343"/>
      <c r="D351" s="344"/>
      <c r="E351" s="343"/>
      <c r="F351" s="345"/>
      <c r="G351" s="346"/>
      <c r="H351" s="346"/>
      <c r="I351" s="347"/>
      <c r="J351" s="346"/>
      <c r="K351" s="353"/>
      <c r="L351" s="71">
        <f t="shared" si="7"/>
        <v>0</v>
      </c>
    </row>
    <row r="352" spans="1:12" hidden="1" x14ac:dyDescent="0.2">
      <c r="A352" s="352">
        <v>349</v>
      </c>
      <c r="B352" s="342"/>
      <c r="C352" s="343"/>
      <c r="D352" s="344"/>
      <c r="E352" s="343"/>
      <c r="F352" s="345"/>
      <c r="G352" s="346"/>
      <c r="H352" s="346"/>
      <c r="I352" s="347"/>
      <c r="J352" s="346"/>
      <c r="K352" s="353"/>
      <c r="L352" s="71">
        <f t="shared" si="7"/>
        <v>0</v>
      </c>
    </row>
    <row r="353" spans="1:12" hidden="1" x14ac:dyDescent="0.2">
      <c r="A353" s="352">
        <v>350</v>
      </c>
      <c r="B353" s="342"/>
      <c r="C353" s="343"/>
      <c r="D353" s="344"/>
      <c r="E353" s="343"/>
      <c r="F353" s="345"/>
      <c r="G353" s="346"/>
      <c r="H353" s="346"/>
      <c r="I353" s="347"/>
      <c r="J353" s="346"/>
      <c r="K353" s="353"/>
      <c r="L353" s="71">
        <f t="shared" si="7"/>
        <v>0</v>
      </c>
    </row>
    <row r="354" spans="1:12" hidden="1" x14ac:dyDescent="0.2">
      <c r="A354" s="352">
        <v>351</v>
      </c>
      <c r="B354" s="342"/>
      <c r="C354" s="343"/>
      <c r="D354" s="344"/>
      <c r="E354" s="343"/>
      <c r="F354" s="345"/>
      <c r="G354" s="346"/>
      <c r="H354" s="346"/>
      <c r="I354" s="347"/>
      <c r="J354" s="346"/>
      <c r="K354" s="353"/>
      <c r="L354" s="71">
        <f t="shared" si="7"/>
        <v>0</v>
      </c>
    </row>
    <row r="355" spans="1:12" hidden="1" x14ac:dyDescent="0.2">
      <c r="A355" s="352">
        <v>352</v>
      </c>
      <c r="B355" s="342"/>
      <c r="C355" s="343"/>
      <c r="D355" s="344"/>
      <c r="E355" s="343"/>
      <c r="F355" s="345"/>
      <c r="G355" s="346"/>
      <c r="H355" s="346"/>
      <c r="I355" s="347"/>
      <c r="J355" s="346"/>
      <c r="K355" s="353"/>
      <c r="L355" s="71">
        <f t="shared" si="7"/>
        <v>0</v>
      </c>
    </row>
    <row r="356" spans="1:12" hidden="1" x14ac:dyDescent="0.2">
      <c r="A356" s="352">
        <v>353</v>
      </c>
      <c r="B356" s="342"/>
      <c r="C356" s="343"/>
      <c r="D356" s="344"/>
      <c r="E356" s="343"/>
      <c r="F356" s="345"/>
      <c r="G356" s="346"/>
      <c r="H356" s="346"/>
      <c r="I356" s="347"/>
      <c r="J356" s="346"/>
      <c r="K356" s="353"/>
      <c r="L356" s="71">
        <f t="shared" si="7"/>
        <v>0</v>
      </c>
    </row>
    <row r="357" spans="1:12" hidden="1" x14ac:dyDescent="0.2">
      <c r="A357" s="352">
        <v>354</v>
      </c>
      <c r="B357" s="342"/>
      <c r="C357" s="343"/>
      <c r="D357" s="344"/>
      <c r="E357" s="343"/>
      <c r="F357" s="345"/>
      <c r="G357" s="346"/>
      <c r="H357" s="346"/>
      <c r="I357" s="347"/>
      <c r="J357" s="346"/>
      <c r="K357" s="353"/>
      <c r="L357" s="71">
        <f t="shared" si="7"/>
        <v>0</v>
      </c>
    </row>
    <row r="358" spans="1:12" hidden="1" x14ac:dyDescent="0.2">
      <c r="A358" s="352">
        <v>355</v>
      </c>
      <c r="B358" s="342"/>
      <c r="C358" s="343"/>
      <c r="D358" s="344"/>
      <c r="E358" s="343"/>
      <c r="F358" s="345"/>
      <c r="G358" s="346"/>
      <c r="H358" s="346"/>
      <c r="I358" s="347"/>
      <c r="J358" s="346"/>
      <c r="K358" s="353"/>
      <c r="L358" s="71">
        <f t="shared" si="7"/>
        <v>0</v>
      </c>
    </row>
    <row r="359" spans="1:12" hidden="1" x14ac:dyDescent="0.2">
      <c r="A359" s="352">
        <v>356</v>
      </c>
      <c r="B359" s="342"/>
      <c r="C359" s="343"/>
      <c r="D359" s="344"/>
      <c r="E359" s="343"/>
      <c r="F359" s="345"/>
      <c r="G359" s="346"/>
      <c r="H359" s="346"/>
      <c r="I359" s="347"/>
      <c r="J359" s="346"/>
      <c r="K359" s="353"/>
      <c r="L359" s="71">
        <f t="shared" si="7"/>
        <v>0</v>
      </c>
    </row>
    <row r="360" spans="1:12" hidden="1" x14ac:dyDescent="0.2">
      <c r="A360" s="352">
        <v>357</v>
      </c>
      <c r="B360" s="342"/>
      <c r="C360" s="343"/>
      <c r="D360" s="344"/>
      <c r="E360" s="343"/>
      <c r="F360" s="345"/>
      <c r="G360" s="346"/>
      <c r="H360" s="346"/>
      <c r="I360" s="347"/>
      <c r="J360" s="346"/>
      <c r="K360" s="353"/>
      <c r="L360" s="71">
        <f t="shared" si="7"/>
        <v>0</v>
      </c>
    </row>
    <row r="361" spans="1:12" hidden="1" x14ac:dyDescent="0.2">
      <c r="A361" s="352">
        <v>358</v>
      </c>
      <c r="B361" s="342"/>
      <c r="C361" s="343"/>
      <c r="D361" s="344"/>
      <c r="E361" s="343"/>
      <c r="F361" s="345"/>
      <c r="G361" s="346"/>
      <c r="H361" s="346"/>
      <c r="I361" s="347"/>
      <c r="J361" s="346"/>
      <c r="K361" s="353"/>
      <c r="L361" s="71">
        <f t="shared" si="7"/>
        <v>0</v>
      </c>
    </row>
    <row r="362" spans="1:12" hidden="1" x14ac:dyDescent="0.2">
      <c r="A362" s="352">
        <v>359</v>
      </c>
      <c r="B362" s="342"/>
      <c r="C362" s="343"/>
      <c r="D362" s="344"/>
      <c r="E362" s="343"/>
      <c r="F362" s="345"/>
      <c r="G362" s="346"/>
      <c r="H362" s="346"/>
      <c r="I362" s="347"/>
      <c r="J362" s="346"/>
      <c r="K362" s="353"/>
      <c r="L362" s="71">
        <f t="shared" si="7"/>
        <v>0</v>
      </c>
    </row>
    <row r="363" spans="1:12" hidden="1" x14ac:dyDescent="0.2">
      <c r="A363" s="352">
        <v>360</v>
      </c>
      <c r="B363" s="342"/>
      <c r="C363" s="343"/>
      <c r="D363" s="344"/>
      <c r="E363" s="343"/>
      <c r="F363" s="345"/>
      <c r="G363" s="346"/>
      <c r="H363" s="346"/>
      <c r="I363" s="347"/>
      <c r="J363" s="346"/>
      <c r="K363" s="353"/>
      <c r="L363" s="71">
        <f t="shared" si="7"/>
        <v>0</v>
      </c>
    </row>
    <row r="364" spans="1:12" hidden="1" x14ac:dyDescent="0.2">
      <c r="A364" s="352">
        <v>361</v>
      </c>
      <c r="B364" s="342"/>
      <c r="C364" s="343"/>
      <c r="D364" s="344"/>
      <c r="E364" s="343"/>
      <c r="F364" s="345"/>
      <c r="G364" s="346"/>
      <c r="H364" s="346"/>
      <c r="I364" s="347"/>
      <c r="J364" s="346"/>
      <c r="K364" s="353"/>
      <c r="L364" s="71">
        <f t="shared" si="7"/>
        <v>0</v>
      </c>
    </row>
    <row r="365" spans="1:12" hidden="1" x14ac:dyDescent="0.2">
      <c r="A365" s="352">
        <v>362</v>
      </c>
      <c r="B365" s="342"/>
      <c r="C365" s="343"/>
      <c r="D365" s="344"/>
      <c r="E365" s="343"/>
      <c r="F365" s="345"/>
      <c r="G365" s="346"/>
      <c r="H365" s="346"/>
      <c r="I365" s="347"/>
      <c r="J365" s="346"/>
      <c r="K365" s="353"/>
      <c r="L365" s="71">
        <f t="shared" si="7"/>
        <v>0</v>
      </c>
    </row>
    <row r="366" spans="1:12" hidden="1" x14ac:dyDescent="0.2">
      <c r="A366" s="352">
        <v>363</v>
      </c>
      <c r="B366" s="342"/>
      <c r="C366" s="343"/>
      <c r="D366" s="344"/>
      <c r="E366" s="343"/>
      <c r="F366" s="345"/>
      <c r="G366" s="346"/>
      <c r="H366" s="346"/>
      <c r="I366" s="347"/>
      <c r="J366" s="346"/>
      <c r="K366" s="353"/>
      <c r="L366" s="71">
        <f t="shared" si="7"/>
        <v>0</v>
      </c>
    </row>
    <row r="367" spans="1:12" hidden="1" x14ac:dyDescent="0.2">
      <c r="A367" s="352">
        <v>364</v>
      </c>
      <c r="B367" s="342"/>
      <c r="C367" s="343"/>
      <c r="D367" s="344"/>
      <c r="E367" s="343"/>
      <c r="F367" s="345"/>
      <c r="G367" s="346"/>
      <c r="H367" s="346"/>
      <c r="I367" s="347"/>
      <c r="J367" s="346"/>
      <c r="K367" s="353"/>
      <c r="L367" s="71">
        <f t="shared" si="7"/>
        <v>0</v>
      </c>
    </row>
    <row r="368" spans="1:12" hidden="1" x14ac:dyDescent="0.2">
      <c r="A368" s="352">
        <v>365</v>
      </c>
      <c r="B368" s="342"/>
      <c r="C368" s="343"/>
      <c r="D368" s="344"/>
      <c r="E368" s="343"/>
      <c r="F368" s="345"/>
      <c r="G368" s="346"/>
      <c r="H368" s="346"/>
      <c r="I368" s="347"/>
      <c r="J368" s="346"/>
      <c r="K368" s="353"/>
      <c r="L368" s="71">
        <f t="shared" si="7"/>
        <v>0</v>
      </c>
    </row>
    <row r="369" spans="1:12" hidden="1" x14ac:dyDescent="0.2">
      <c r="A369" s="352">
        <v>366</v>
      </c>
      <c r="B369" s="342"/>
      <c r="C369" s="343"/>
      <c r="D369" s="344"/>
      <c r="E369" s="343"/>
      <c r="F369" s="345"/>
      <c r="G369" s="346"/>
      <c r="H369" s="346"/>
      <c r="I369" s="347"/>
      <c r="J369" s="346"/>
      <c r="K369" s="353"/>
      <c r="L369" s="71">
        <f t="shared" si="7"/>
        <v>0</v>
      </c>
    </row>
    <row r="370" spans="1:12" hidden="1" x14ac:dyDescent="0.2">
      <c r="A370" s="352">
        <v>367</v>
      </c>
      <c r="B370" s="342"/>
      <c r="C370" s="343"/>
      <c r="D370" s="344"/>
      <c r="E370" s="343"/>
      <c r="F370" s="345"/>
      <c r="G370" s="346"/>
      <c r="H370" s="346"/>
      <c r="I370" s="347"/>
      <c r="J370" s="346"/>
      <c r="K370" s="353"/>
      <c r="L370" s="71">
        <f t="shared" si="7"/>
        <v>0</v>
      </c>
    </row>
    <row r="371" spans="1:12" hidden="1" x14ac:dyDescent="0.2">
      <c r="A371" s="352">
        <v>368</v>
      </c>
      <c r="B371" s="342"/>
      <c r="C371" s="343"/>
      <c r="D371" s="344"/>
      <c r="E371" s="343"/>
      <c r="F371" s="345"/>
      <c r="G371" s="346"/>
      <c r="H371" s="346"/>
      <c r="I371" s="347"/>
      <c r="J371" s="346"/>
      <c r="K371" s="353"/>
      <c r="L371" s="71">
        <f t="shared" si="7"/>
        <v>0</v>
      </c>
    </row>
    <row r="372" spans="1:12" hidden="1" x14ac:dyDescent="0.2">
      <c r="A372" s="352">
        <v>369</v>
      </c>
      <c r="B372" s="342"/>
      <c r="C372" s="343"/>
      <c r="D372" s="344"/>
      <c r="E372" s="343"/>
      <c r="F372" s="345"/>
      <c r="G372" s="346"/>
      <c r="H372" s="346"/>
      <c r="I372" s="347"/>
      <c r="J372" s="346"/>
      <c r="K372" s="353"/>
      <c r="L372" s="71">
        <f t="shared" si="7"/>
        <v>0</v>
      </c>
    </row>
    <row r="373" spans="1:12" hidden="1" x14ac:dyDescent="0.2">
      <c r="A373" s="352">
        <v>370</v>
      </c>
      <c r="B373" s="342"/>
      <c r="C373" s="343"/>
      <c r="D373" s="344"/>
      <c r="E373" s="343"/>
      <c r="F373" s="345"/>
      <c r="G373" s="346"/>
      <c r="H373" s="346"/>
      <c r="I373" s="347"/>
      <c r="J373" s="346"/>
      <c r="K373" s="353"/>
      <c r="L373" s="71">
        <f t="shared" si="7"/>
        <v>0</v>
      </c>
    </row>
    <row r="374" spans="1:12" hidden="1" x14ac:dyDescent="0.2">
      <c r="A374" s="352">
        <v>371</v>
      </c>
      <c r="B374" s="342"/>
      <c r="C374" s="343"/>
      <c r="D374" s="344"/>
      <c r="E374" s="343"/>
      <c r="F374" s="345"/>
      <c r="G374" s="346"/>
      <c r="H374" s="346"/>
      <c r="I374" s="347"/>
      <c r="J374" s="346"/>
      <c r="K374" s="353"/>
      <c r="L374" s="71">
        <f t="shared" si="7"/>
        <v>0</v>
      </c>
    </row>
    <row r="375" spans="1:12" hidden="1" x14ac:dyDescent="0.2">
      <c r="A375" s="352">
        <v>372</v>
      </c>
      <c r="B375" s="342"/>
      <c r="C375" s="343"/>
      <c r="D375" s="344"/>
      <c r="E375" s="343"/>
      <c r="F375" s="345"/>
      <c r="G375" s="346"/>
      <c r="H375" s="346"/>
      <c r="I375" s="347"/>
      <c r="J375" s="346"/>
      <c r="K375" s="353"/>
      <c r="L375" s="71">
        <f t="shared" si="7"/>
        <v>0</v>
      </c>
    </row>
    <row r="376" spans="1:12" hidden="1" x14ac:dyDescent="0.2">
      <c r="A376" s="352">
        <v>373</v>
      </c>
      <c r="B376" s="342"/>
      <c r="C376" s="343"/>
      <c r="D376" s="344"/>
      <c r="E376" s="343"/>
      <c r="F376" s="345"/>
      <c r="G376" s="346"/>
      <c r="H376" s="346"/>
      <c r="I376" s="347"/>
      <c r="J376" s="346"/>
      <c r="K376" s="353"/>
      <c r="L376" s="71">
        <f t="shared" si="7"/>
        <v>0</v>
      </c>
    </row>
    <row r="377" spans="1:12" hidden="1" x14ac:dyDescent="0.2">
      <c r="A377" s="352">
        <v>374</v>
      </c>
      <c r="B377" s="342"/>
      <c r="C377" s="343"/>
      <c r="D377" s="344"/>
      <c r="E377" s="343"/>
      <c r="F377" s="345"/>
      <c r="G377" s="346"/>
      <c r="H377" s="346"/>
      <c r="I377" s="347"/>
      <c r="J377" s="346"/>
      <c r="K377" s="353"/>
      <c r="L377" s="71">
        <f t="shared" si="7"/>
        <v>0</v>
      </c>
    </row>
    <row r="378" spans="1:12" hidden="1" x14ac:dyDescent="0.2">
      <c r="A378" s="352">
        <v>375</v>
      </c>
      <c r="B378" s="342"/>
      <c r="C378" s="343"/>
      <c r="D378" s="344"/>
      <c r="E378" s="343"/>
      <c r="F378" s="345"/>
      <c r="G378" s="346"/>
      <c r="H378" s="346"/>
      <c r="I378" s="347"/>
      <c r="J378" s="346"/>
      <c r="K378" s="353"/>
      <c r="L378" s="71">
        <f t="shared" si="7"/>
        <v>0</v>
      </c>
    </row>
    <row r="379" spans="1:12" hidden="1" x14ac:dyDescent="0.2">
      <c r="A379" s="352">
        <v>376</v>
      </c>
      <c r="B379" s="342"/>
      <c r="C379" s="343"/>
      <c r="D379" s="344"/>
      <c r="E379" s="343"/>
      <c r="F379" s="345"/>
      <c r="G379" s="346"/>
      <c r="H379" s="346"/>
      <c r="I379" s="347"/>
      <c r="J379" s="346"/>
      <c r="K379" s="353"/>
      <c r="L379" s="71">
        <f t="shared" si="7"/>
        <v>0</v>
      </c>
    </row>
    <row r="380" spans="1:12" hidden="1" x14ac:dyDescent="0.2">
      <c r="A380" s="352">
        <v>377</v>
      </c>
      <c r="B380" s="342"/>
      <c r="C380" s="343"/>
      <c r="D380" s="344"/>
      <c r="E380" s="343"/>
      <c r="F380" s="345"/>
      <c r="G380" s="346"/>
      <c r="H380" s="346"/>
      <c r="I380" s="347"/>
      <c r="J380" s="346"/>
      <c r="K380" s="353"/>
      <c r="L380" s="71">
        <f t="shared" si="7"/>
        <v>0</v>
      </c>
    </row>
    <row r="381" spans="1:12" hidden="1" x14ac:dyDescent="0.2">
      <c r="A381" s="352">
        <v>378</v>
      </c>
      <c r="B381" s="342"/>
      <c r="C381" s="343"/>
      <c r="D381" s="344"/>
      <c r="E381" s="343"/>
      <c r="F381" s="345"/>
      <c r="G381" s="346"/>
      <c r="H381" s="346"/>
      <c r="I381" s="347"/>
      <c r="J381" s="346"/>
      <c r="K381" s="353"/>
      <c r="L381" s="71">
        <f t="shared" si="7"/>
        <v>0</v>
      </c>
    </row>
    <row r="382" spans="1:12" hidden="1" x14ac:dyDescent="0.2">
      <c r="A382" s="352">
        <v>379</v>
      </c>
      <c r="B382" s="342"/>
      <c r="C382" s="343"/>
      <c r="D382" s="344"/>
      <c r="E382" s="343"/>
      <c r="F382" s="345"/>
      <c r="G382" s="346"/>
      <c r="H382" s="346"/>
      <c r="I382" s="347"/>
      <c r="J382" s="346"/>
      <c r="K382" s="353"/>
      <c r="L382" s="71">
        <f t="shared" si="7"/>
        <v>0</v>
      </c>
    </row>
    <row r="383" spans="1:12" hidden="1" x14ac:dyDescent="0.2">
      <c r="A383" s="352">
        <v>380</v>
      </c>
      <c r="B383" s="342"/>
      <c r="C383" s="343"/>
      <c r="D383" s="344"/>
      <c r="E383" s="343"/>
      <c r="F383" s="345"/>
      <c r="G383" s="346"/>
      <c r="H383" s="346"/>
      <c r="I383" s="347"/>
      <c r="J383" s="346"/>
      <c r="K383" s="353"/>
      <c r="L383" s="71">
        <f t="shared" si="7"/>
        <v>0</v>
      </c>
    </row>
    <row r="384" spans="1:12" hidden="1" x14ac:dyDescent="0.2">
      <c r="A384" s="352">
        <v>381</v>
      </c>
      <c r="B384" s="342"/>
      <c r="C384" s="343"/>
      <c r="D384" s="344"/>
      <c r="E384" s="343"/>
      <c r="F384" s="345"/>
      <c r="G384" s="346"/>
      <c r="H384" s="346"/>
      <c r="I384" s="347"/>
      <c r="J384" s="346"/>
      <c r="K384" s="353"/>
      <c r="L384" s="71">
        <f t="shared" si="7"/>
        <v>0</v>
      </c>
    </row>
    <row r="385" spans="1:12" hidden="1" x14ac:dyDescent="0.2">
      <c r="A385" s="352">
        <v>382</v>
      </c>
      <c r="B385" s="342"/>
      <c r="C385" s="343"/>
      <c r="D385" s="344"/>
      <c r="E385" s="343"/>
      <c r="F385" s="345"/>
      <c r="G385" s="346"/>
      <c r="H385" s="346"/>
      <c r="I385" s="347"/>
      <c r="J385" s="346"/>
      <c r="K385" s="353"/>
      <c r="L385" s="71">
        <f t="shared" ref="L385:L448" si="8">IF(B385=0,0,MONTH(B385)-$L$1+1)</f>
        <v>0</v>
      </c>
    </row>
    <row r="386" spans="1:12" hidden="1" x14ac:dyDescent="0.2">
      <c r="A386" s="352">
        <v>383</v>
      </c>
      <c r="B386" s="342"/>
      <c r="C386" s="343"/>
      <c r="D386" s="344"/>
      <c r="E386" s="343"/>
      <c r="F386" s="345"/>
      <c r="G386" s="346"/>
      <c r="H386" s="346"/>
      <c r="I386" s="347"/>
      <c r="J386" s="346"/>
      <c r="K386" s="353"/>
      <c r="L386" s="71">
        <f t="shared" si="8"/>
        <v>0</v>
      </c>
    </row>
    <row r="387" spans="1:12" hidden="1" x14ac:dyDescent="0.2">
      <c r="A387" s="352">
        <v>384</v>
      </c>
      <c r="B387" s="342"/>
      <c r="C387" s="343"/>
      <c r="D387" s="344"/>
      <c r="E387" s="343"/>
      <c r="F387" s="345"/>
      <c r="G387" s="346"/>
      <c r="H387" s="346"/>
      <c r="I387" s="347"/>
      <c r="J387" s="346"/>
      <c r="K387" s="353"/>
      <c r="L387" s="71">
        <f t="shared" si="8"/>
        <v>0</v>
      </c>
    </row>
    <row r="388" spans="1:12" hidden="1" x14ac:dyDescent="0.2">
      <c r="A388" s="352">
        <v>385</v>
      </c>
      <c r="B388" s="342"/>
      <c r="C388" s="343"/>
      <c r="D388" s="344"/>
      <c r="E388" s="343"/>
      <c r="F388" s="345"/>
      <c r="G388" s="346"/>
      <c r="H388" s="346"/>
      <c r="I388" s="347"/>
      <c r="J388" s="346"/>
      <c r="K388" s="353"/>
      <c r="L388" s="71">
        <f t="shared" si="8"/>
        <v>0</v>
      </c>
    </row>
    <row r="389" spans="1:12" hidden="1" x14ac:dyDescent="0.2">
      <c r="A389" s="352">
        <v>386</v>
      </c>
      <c r="B389" s="342"/>
      <c r="C389" s="343"/>
      <c r="D389" s="344"/>
      <c r="E389" s="343"/>
      <c r="F389" s="345"/>
      <c r="G389" s="346"/>
      <c r="H389" s="346"/>
      <c r="I389" s="347"/>
      <c r="J389" s="346"/>
      <c r="K389" s="353"/>
      <c r="L389" s="71">
        <f t="shared" si="8"/>
        <v>0</v>
      </c>
    </row>
    <row r="390" spans="1:12" hidden="1" x14ac:dyDescent="0.2">
      <c r="A390" s="352">
        <v>387</v>
      </c>
      <c r="B390" s="342"/>
      <c r="C390" s="343"/>
      <c r="D390" s="344"/>
      <c r="E390" s="343"/>
      <c r="F390" s="345"/>
      <c r="G390" s="346"/>
      <c r="H390" s="346"/>
      <c r="I390" s="347"/>
      <c r="J390" s="346"/>
      <c r="K390" s="353"/>
      <c r="L390" s="71">
        <f t="shared" si="8"/>
        <v>0</v>
      </c>
    </row>
    <row r="391" spans="1:12" hidden="1" x14ac:dyDescent="0.2">
      <c r="A391" s="352">
        <v>388</v>
      </c>
      <c r="B391" s="342"/>
      <c r="C391" s="343"/>
      <c r="D391" s="344"/>
      <c r="E391" s="343"/>
      <c r="F391" s="345"/>
      <c r="G391" s="346"/>
      <c r="H391" s="346"/>
      <c r="I391" s="347"/>
      <c r="J391" s="346"/>
      <c r="K391" s="353"/>
      <c r="L391" s="71">
        <f t="shared" si="8"/>
        <v>0</v>
      </c>
    </row>
    <row r="392" spans="1:12" hidden="1" x14ac:dyDescent="0.2">
      <c r="A392" s="352">
        <v>389</v>
      </c>
      <c r="B392" s="342"/>
      <c r="C392" s="343"/>
      <c r="D392" s="344"/>
      <c r="E392" s="343"/>
      <c r="F392" s="345"/>
      <c r="G392" s="346"/>
      <c r="H392" s="346"/>
      <c r="I392" s="347"/>
      <c r="J392" s="346"/>
      <c r="K392" s="353"/>
      <c r="L392" s="71">
        <f t="shared" si="8"/>
        <v>0</v>
      </c>
    </row>
    <row r="393" spans="1:12" hidden="1" x14ac:dyDescent="0.2">
      <c r="A393" s="352">
        <v>390</v>
      </c>
      <c r="B393" s="342"/>
      <c r="C393" s="343"/>
      <c r="D393" s="344"/>
      <c r="E393" s="343"/>
      <c r="F393" s="345"/>
      <c r="G393" s="346"/>
      <c r="H393" s="346"/>
      <c r="I393" s="347"/>
      <c r="J393" s="346"/>
      <c r="K393" s="353"/>
      <c r="L393" s="71">
        <f t="shared" si="8"/>
        <v>0</v>
      </c>
    </row>
    <row r="394" spans="1:12" hidden="1" x14ac:dyDescent="0.2">
      <c r="A394" s="352">
        <v>391</v>
      </c>
      <c r="B394" s="342"/>
      <c r="C394" s="343"/>
      <c r="D394" s="344"/>
      <c r="E394" s="343"/>
      <c r="F394" s="345"/>
      <c r="G394" s="346"/>
      <c r="H394" s="346"/>
      <c r="I394" s="347"/>
      <c r="J394" s="346"/>
      <c r="K394" s="353"/>
      <c r="L394" s="71">
        <f t="shared" si="8"/>
        <v>0</v>
      </c>
    </row>
    <row r="395" spans="1:12" hidden="1" x14ac:dyDescent="0.2">
      <c r="A395" s="352">
        <v>392</v>
      </c>
      <c r="B395" s="342"/>
      <c r="C395" s="343"/>
      <c r="D395" s="344"/>
      <c r="E395" s="343"/>
      <c r="F395" s="345"/>
      <c r="G395" s="346"/>
      <c r="H395" s="346"/>
      <c r="I395" s="347"/>
      <c r="J395" s="346"/>
      <c r="K395" s="353"/>
      <c r="L395" s="71">
        <f t="shared" si="8"/>
        <v>0</v>
      </c>
    </row>
    <row r="396" spans="1:12" hidden="1" x14ac:dyDescent="0.2">
      <c r="A396" s="352">
        <v>393</v>
      </c>
      <c r="B396" s="342"/>
      <c r="C396" s="343"/>
      <c r="D396" s="344"/>
      <c r="E396" s="343"/>
      <c r="F396" s="345"/>
      <c r="G396" s="346"/>
      <c r="H396" s="346"/>
      <c r="I396" s="347"/>
      <c r="J396" s="346"/>
      <c r="K396" s="353"/>
      <c r="L396" s="71">
        <f t="shared" si="8"/>
        <v>0</v>
      </c>
    </row>
    <row r="397" spans="1:12" hidden="1" x14ac:dyDescent="0.2">
      <c r="A397" s="352">
        <v>394</v>
      </c>
      <c r="B397" s="342"/>
      <c r="C397" s="343"/>
      <c r="D397" s="344"/>
      <c r="E397" s="343"/>
      <c r="F397" s="345"/>
      <c r="G397" s="346"/>
      <c r="H397" s="346"/>
      <c r="I397" s="347"/>
      <c r="J397" s="346"/>
      <c r="K397" s="353"/>
      <c r="L397" s="71">
        <f t="shared" si="8"/>
        <v>0</v>
      </c>
    </row>
    <row r="398" spans="1:12" hidden="1" x14ac:dyDescent="0.2">
      <c r="A398" s="352">
        <v>395</v>
      </c>
      <c r="B398" s="342"/>
      <c r="C398" s="343"/>
      <c r="D398" s="344"/>
      <c r="E398" s="343"/>
      <c r="F398" s="345"/>
      <c r="G398" s="346"/>
      <c r="H398" s="346"/>
      <c r="I398" s="347"/>
      <c r="J398" s="346"/>
      <c r="K398" s="353"/>
      <c r="L398" s="71">
        <f t="shared" si="8"/>
        <v>0</v>
      </c>
    </row>
    <row r="399" spans="1:12" hidden="1" x14ac:dyDescent="0.2">
      <c r="A399" s="352">
        <v>396</v>
      </c>
      <c r="B399" s="342"/>
      <c r="C399" s="343"/>
      <c r="D399" s="344"/>
      <c r="E399" s="343"/>
      <c r="F399" s="345"/>
      <c r="G399" s="346"/>
      <c r="H399" s="346"/>
      <c r="I399" s="347"/>
      <c r="J399" s="346"/>
      <c r="K399" s="353"/>
      <c r="L399" s="71">
        <f t="shared" si="8"/>
        <v>0</v>
      </c>
    </row>
    <row r="400" spans="1:12" hidden="1" x14ac:dyDescent="0.2">
      <c r="A400" s="352">
        <v>397</v>
      </c>
      <c r="B400" s="342"/>
      <c r="C400" s="343"/>
      <c r="D400" s="344"/>
      <c r="E400" s="343"/>
      <c r="F400" s="345"/>
      <c r="G400" s="346"/>
      <c r="H400" s="346"/>
      <c r="I400" s="347"/>
      <c r="J400" s="346"/>
      <c r="K400" s="353"/>
      <c r="L400" s="71">
        <f t="shared" si="8"/>
        <v>0</v>
      </c>
    </row>
    <row r="401" spans="1:12" hidden="1" x14ac:dyDescent="0.2">
      <c r="A401" s="352">
        <v>398</v>
      </c>
      <c r="B401" s="342"/>
      <c r="C401" s="343"/>
      <c r="D401" s="344"/>
      <c r="E401" s="343"/>
      <c r="F401" s="345"/>
      <c r="G401" s="346"/>
      <c r="H401" s="346"/>
      <c r="I401" s="347"/>
      <c r="J401" s="346"/>
      <c r="K401" s="353"/>
      <c r="L401" s="71">
        <f t="shared" si="8"/>
        <v>0</v>
      </c>
    </row>
    <row r="402" spans="1:12" hidden="1" x14ac:dyDescent="0.2">
      <c r="A402" s="352">
        <v>399</v>
      </c>
      <c r="B402" s="342"/>
      <c r="C402" s="343"/>
      <c r="D402" s="344"/>
      <c r="E402" s="343"/>
      <c r="F402" s="345"/>
      <c r="G402" s="346"/>
      <c r="H402" s="346"/>
      <c r="I402" s="347"/>
      <c r="J402" s="346"/>
      <c r="K402" s="353"/>
      <c r="L402" s="71">
        <f t="shared" si="8"/>
        <v>0</v>
      </c>
    </row>
    <row r="403" spans="1:12" hidden="1" x14ac:dyDescent="0.2">
      <c r="A403" s="352">
        <v>400</v>
      </c>
      <c r="B403" s="342"/>
      <c r="C403" s="343"/>
      <c r="D403" s="344"/>
      <c r="E403" s="343"/>
      <c r="F403" s="345"/>
      <c r="G403" s="346"/>
      <c r="H403" s="346"/>
      <c r="I403" s="347"/>
      <c r="J403" s="346"/>
      <c r="K403" s="353"/>
      <c r="L403" s="71">
        <f t="shared" si="8"/>
        <v>0</v>
      </c>
    </row>
    <row r="404" spans="1:12" hidden="1" x14ac:dyDescent="0.2">
      <c r="A404" s="352">
        <v>401</v>
      </c>
      <c r="B404" s="342"/>
      <c r="C404" s="343"/>
      <c r="D404" s="344"/>
      <c r="E404" s="343"/>
      <c r="F404" s="345"/>
      <c r="G404" s="346"/>
      <c r="H404" s="346"/>
      <c r="I404" s="347"/>
      <c r="J404" s="346"/>
      <c r="K404" s="353"/>
      <c r="L404" s="71">
        <f t="shared" si="8"/>
        <v>0</v>
      </c>
    </row>
    <row r="405" spans="1:12" hidden="1" x14ac:dyDescent="0.2">
      <c r="A405" s="352">
        <v>402</v>
      </c>
      <c r="B405" s="342"/>
      <c r="C405" s="343"/>
      <c r="D405" s="344"/>
      <c r="E405" s="343"/>
      <c r="F405" s="345"/>
      <c r="G405" s="346"/>
      <c r="H405" s="346"/>
      <c r="I405" s="347"/>
      <c r="J405" s="346"/>
      <c r="K405" s="353"/>
      <c r="L405" s="71">
        <f t="shared" si="8"/>
        <v>0</v>
      </c>
    </row>
    <row r="406" spans="1:12" hidden="1" x14ac:dyDescent="0.2">
      <c r="A406" s="352">
        <v>403</v>
      </c>
      <c r="B406" s="342"/>
      <c r="C406" s="343"/>
      <c r="D406" s="344"/>
      <c r="E406" s="343"/>
      <c r="F406" s="345"/>
      <c r="G406" s="346"/>
      <c r="H406" s="346"/>
      <c r="I406" s="347"/>
      <c r="J406" s="346"/>
      <c r="K406" s="353"/>
      <c r="L406" s="71">
        <f t="shared" si="8"/>
        <v>0</v>
      </c>
    </row>
    <row r="407" spans="1:12" hidden="1" x14ac:dyDescent="0.2">
      <c r="A407" s="352">
        <v>404</v>
      </c>
      <c r="B407" s="342"/>
      <c r="C407" s="343"/>
      <c r="D407" s="344"/>
      <c r="E407" s="343"/>
      <c r="F407" s="345"/>
      <c r="G407" s="346"/>
      <c r="H407" s="346"/>
      <c r="I407" s="347"/>
      <c r="J407" s="346"/>
      <c r="K407" s="353"/>
      <c r="L407" s="71">
        <f t="shared" si="8"/>
        <v>0</v>
      </c>
    </row>
    <row r="408" spans="1:12" hidden="1" x14ac:dyDescent="0.2">
      <c r="A408" s="352">
        <v>405</v>
      </c>
      <c r="B408" s="342"/>
      <c r="C408" s="343"/>
      <c r="D408" s="344"/>
      <c r="E408" s="343"/>
      <c r="F408" s="345"/>
      <c r="G408" s="346"/>
      <c r="H408" s="346"/>
      <c r="I408" s="347"/>
      <c r="J408" s="346"/>
      <c r="K408" s="353"/>
      <c r="L408" s="71">
        <f t="shared" si="8"/>
        <v>0</v>
      </c>
    </row>
    <row r="409" spans="1:12" hidden="1" x14ac:dyDescent="0.2">
      <c r="A409" s="352">
        <v>406</v>
      </c>
      <c r="B409" s="342"/>
      <c r="C409" s="343"/>
      <c r="D409" s="344"/>
      <c r="E409" s="343"/>
      <c r="F409" s="345"/>
      <c r="G409" s="346"/>
      <c r="H409" s="346"/>
      <c r="I409" s="347"/>
      <c r="J409" s="346"/>
      <c r="K409" s="353"/>
      <c r="L409" s="71">
        <f t="shared" si="8"/>
        <v>0</v>
      </c>
    </row>
    <row r="410" spans="1:12" hidden="1" x14ac:dyDescent="0.2">
      <c r="A410" s="352">
        <v>407</v>
      </c>
      <c r="B410" s="342"/>
      <c r="C410" s="343"/>
      <c r="D410" s="344"/>
      <c r="E410" s="343"/>
      <c r="F410" s="345"/>
      <c r="G410" s="346"/>
      <c r="H410" s="346"/>
      <c r="I410" s="347"/>
      <c r="J410" s="346"/>
      <c r="K410" s="353"/>
      <c r="L410" s="71">
        <f t="shared" si="8"/>
        <v>0</v>
      </c>
    </row>
    <row r="411" spans="1:12" hidden="1" x14ac:dyDescent="0.2">
      <c r="A411" s="352">
        <v>408</v>
      </c>
      <c r="B411" s="342"/>
      <c r="C411" s="343"/>
      <c r="D411" s="344"/>
      <c r="E411" s="343"/>
      <c r="F411" s="345"/>
      <c r="G411" s="346"/>
      <c r="H411" s="346"/>
      <c r="I411" s="347"/>
      <c r="J411" s="346"/>
      <c r="K411" s="353"/>
      <c r="L411" s="71">
        <f t="shared" si="8"/>
        <v>0</v>
      </c>
    </row>
    <row r="412" spans="1:12" hidden="1" x14ac:dyDescent="0.2">
      <c r="A412" s="352">
        <v>409</v>
      </c>
      <c r="B412" s="342"/>
      <c r="C412" s="343"/>
      <c r="D412" s="344"/>
      <c r="E412" s="343"/>
      <c r="F412" s="345"/>
      <c r="G412" s="346"/>
      <c r="H412" s="346"/>
      <c r="I412" s="347"/>
      <c r="J412" s="346"/>
      <c r="K412" s="353"/>
      <c r="L412" s="71">
        <f t="shared" si="8"/>
        <v>0</v>
      </c>
    </row>
    <row r="413" spans="1:12" hidden="1" x14ac:dyDescent="0.2">
      <c r="A413" s="352">
        <v>410</v>
      </c>
      <c r="B413" s="342"/>
      <c r="C413" s="343"/>
      <c r="D413" s="344"/>
      <c r="E413" s="343"/>
      <c r="F413" s="345"/>
      <c r="G413" s="346"/>
      <c r="H413" s="346"/>
      <c r="I413" s="347"/>
      <c r="J413" s="346"/>
      <c r="K413" s="353"/>
      <c r="L413" s="71">
        <f t="shared" si="8"/>
        <v>0</v>
      </c>
    </row>
    <row r="414" spans="1:12" hidden="1" x14ac:dyDescent="0.2">
      <c r="A414" s="352">
        <v>411</v>
      </c>
      <c r="B414" s="342"/>
      <c r="C414" s="343"/>
      <c r="D414" s="344"/>
      <c r="E414" s="343"/>
      <c r="F414" s="345"/>
      <c r="G414" s="346"/>
      <c r="H414" s="346"/>
      <c r="I414" s="347"/>
      <c r="J414" s="346"/>
      <c r="K414" s="353"/>
      <c r="L414" s="71">
        <f t="shared" si="8"/>
        <v>0</v>
      </c>
    </row>
    <row r="415" spans="1:12" hidden="1" x14ac:dyDescent="0.2">
      <c r="A415" s="352">
        <v>412</v>
      </c>
      <c r="B415" s="342"/>
      <c r="C415" s="343"/>
      <c r="D415" s="344"/>
      <c r="E415" s="343"/>
      <c r="F415" s="345"/>
      <c r="G415" s="346"/>
      <c r="H415" s="346"/>
      <c r="I415" s="347"/>
      <c r="J415" s="346"/>
      <c r="K415" s="353"/>
      <c r="L415" s="71">
        <f t="shared" si="8"/>
        <v>0</v>
      </c>
    </row>
    <row r="416" spans="1:12" hidden="1" x14ac:dyDescent="0.2">
      <c r="A416" s="352">
        <v>413</v>
      </c>
      <c r="B416" s="342"/>
      <c r="C416" s="343"/>
      <c r="D416" s="344"/>
      <c r="E416" s="343"/>
      <c r="F416" s="345"/>
      <c r="G416" s="346"/>
      <c r="H416" s="346"/>
      <c r="I416" s="347"/>
      <c r="J416" s="346"/>
      <c r="K416" s="353"/>
      <c r="L416" s="71">
        <f t="shared" si="8"/>
        <v>0</v>
      </c>
    </row>
    <row r="417" spans="1:12" hidden="1" x14ac:dyDescent="0.2">
      <c r="A417" s="352">
        <v>414</v>
      </c>
      <c r="B417" s="342"/>
      <c r="C417" s="343"/>
      <c r="D417" s="344"/>
      <c r="E417" s="343"/>
      <c r="F417" s="345"/>
      <c r="G417" s="346"/>
      <c r="H417" s="346"/>
      <c r="I417" s="347"/>
      <c r="J417" s="346"/>
      <c r="K417" s="353"/>
      <c r="L417" s="71">
        <f t="shared" si="8"/>
        <v>0</v>
      </c>
    </row>
    <row r="418" spans="1:12" hidden="1" x14ac:dyDescent="0.2">
      <c r="A418" s="352">
        <v>415</v>
      </c>
      <c r="B418" s="342"/>
      <c r="C418" s="343"/>
      <c r="D418" s="344"/>
      <c r="E418" s="343"/>
      <c r="F418" s="345"/>
      <c r="G418" s="346"/>
      <c r="H418" s="346"/>
      <c r="I418" s="347"/>
      <c r="J418" s="346"/>
      <c r="K418" s="353"/>
      <c r="L418" s="71">
        <f t="shared" si="8"/>
        <v>0</v>
      </c>
    </row>
    <row r="419" spans="1:12" hidden="1" x14ac:dyDescent="0.2">
      <c r="A419" s="352">
        <v>416</v>
      </c>
      <c r="B419" s="342"/>
      <c r="C419" s="343"/>
      <c r="D419" s="344"/>
      <c r="E419" s="343"/>
      <c r="F419" s="345"/>
      <c r="G419" s="346"/>
      <c r="H419" s="346"/>
      <c r="I419" s="347"/>
      <c r="J419" s="346"/>
      <c r="K419" s="353"/>
      <c r="L419" s="71">
        <f t="shared" si="8"/>
        <v>0</v>
      </c>
    </row>
    <row r="420" spans="1:12" hidden="1" x14ac:dyDescent="0.2">
      <c r="A420" s="352">
        <v>417</v>
      </c>
      <c r="B420" s="342"/>
      <c r="C420" s="343"/>
      <c r="D420" s="344"/>
      <c r="E420" s="343"/>
      <c r="F420" s="345"/>
      <c r="G420" s="346"/>
      <c r="H420" s="346"/>
      <c r="I420" s="347"/>
      <c r="J420" s="346"/>
      <c r="K420" s="353"/>
      <c r="L420" s="71">
        <f t="shared" si="8"/>
        <v>0</v>
      </c>
    </row>
    <row r="421" spans="1:12" hidden="1" x14ac:dyDescent="0.2">
      <c r="A421" s="352">
        <v>418</v>
      </c>
      <c r="B421" s="342"/>
      <c r="C421" s="343"/>
      <c r="D421" s="344"/>
      <c r="E421" s="343"/>
      <c r="F421" s="345"/>
      <c r="G421" s="346"/>
      <c r="H421" s="346"/>
      <c r="I421" s="347"/>
      <c r="J421" s="346"/>
      <c r="K421" s="353"/>
      <c r="L421" s="71">
        <f t="shared" si="8"/>
        <v>0</v>
      </c>
    </row>
    <row r="422" spans="1:12" hidden="1" x14ac:dyDescent="0.2">
      <c r="A422" s="352">
        <v>419</v>
      </c>
      <c r="B422" s="342"/>
      <c r="C422" s="343"/>
      <c r="D422" s="344"/>
      <c r="E422" s="343"/>
      <c r="F422" s="345"/>
      <c r="G422" s="346"/>
      <c r="H422" s="346"/>
      <c r="I422" s="347"/>
      <c r="J422" s="346"/>
      <c r="K422" s="353"/>
      <c r="L422" s="71">
        <f t="shared" si="8"/>
        <v>0</v>
      </c>
    </row>
    <row r="423" spans="1:12" hidden="1" x14ac:dyDescent="0.2">
      <c r="A423" s="352">
        <v>420</v>
      </c>
      <c r="B423" s="342"/>
      <c r="C423" s="343"/>
      <c r="D423" s="344"/>
      <c r="E423" s="343"/>
      <c r="F423" s="345"/>
      <c r="G423" s="346"/>
      <c r="H423" s="346"/>
      <c r="I423" s="347"/>
      <c r="J423" s="346"/>
      <c r="K423" s="353"/>
      <c r="L423" s="71">
        <f t="shared" si="8"/>
        <v>0</v>
      </c>
    </row>
    <row r="424" spans="1:12" hidden="1" x14ac:dyDescent="0.2">
      <c r="A424" s="352">
        <v>421</v>
      </c>
      <c r="B424" s="342"/>
      <c r="C424" s="343"/>
      <c r="D424" s="344"/>
      <c r="E424" s="343"/>
      <c r="F424" s="345"/>
      <c r="G424" s="346"/>
      <c r="H424" s="346"/>
      <c r="I424" s="347"/>
      <c r="J424" s="346"/>
      <c r="K424" s="353"/>
      <c r="L424" s="71">
        <f t="shared" si="8"/>
        <v>0</v>
      </c>
    </row>
    <row r="425" spans="1:12" hidden="1" x14ac:dyDescent="0.2">
      <c r="A425" s="352">
        <v>422</v>
      </c>
      <c r="B425" s="342"/>
      <c r="C425" s="343"/>
      <c r="D425" s="344"/>
      <c r="E425" s="343"/>
      <c r="F425" s="345"/>
      <c r="G425" s="346"/>
      <c r="H425" s="346"/>
      <c r="I425" s="347"/>
      <c r="J425" s="346"/>
      <c r="K425" s="353"/>
      <c r="L425" s="71">
        <f t="shared" si="8"/>
        <v>0</v>
      </c>
    </row>
    <row r="426" spans="1:12" hidden="1" x14ac:dyDescent="0.2">
      <c r="A426" s="352">
        <v>423</v>
      </c>
      <c r="B426" s="342"/>
      <c r="C426" s="343"/>
      <c r="D426" s="344"/>
      <c r="E426" s="343"/>
      <c r="F426" s="345"/>
      <c r="G426" s="346"/>
      <c r="H426" s="346"/>
      <c r="I426" s="347"/>
      <c r="J426" s="346"/>
      <c r="K426" s="353"/>
      <c r="L426" s="71">
        <f t="shared" si="8"/>
        <v>0</v>
      </c>
    </row>
    <row r="427" spans="1:12" hidden="1" x14ac:dyDescent="0.2">
      <c r="A427" s="352">
        <v>424</v>
      </c>
      <c r="B427" s="342"/>
      <c r="C427" s="343"/>
      <c r="D427" s="344"/>
      <c r="E427" s="343"/>
      <c r="F427" s="345"/>
      <c r="G427" s="346"/>
      <c r="H427" s="346"/>
      <c r="I427" s="347"/>
      <c r="J427" s="346"/>
      <c r="K427" s="353"/>
      <c r="L427" s="71">
        <f t="shared" si="8"/>
        <v>0</v>
      </c>
    </row>
    <row r="428" spans="1:12" hidden="1" x14ac:dyDescent="0.2">
      <c r="A428" s="352">
        <v>425</v>
      </c>
      <c r="B428" s="342"/>
      <c r="C428" s="343"/>
      <c r="D428" s="344"/>
      <c r="E428" s="343"/>
      <c r="F428" s="345"/>
      <c r="G428" s="346"/>
      <c r="H428" s="346"/>
      <c r="I428" s="347"/>
      <c r="J428" s="346"/>
      <c r="K428" s="353"/>
      <c r="L428" s="71">
        <f t="shared" si="8"/>
        <v>0</v>
      </c>
    </row>
    <row r="429" spans="1:12" hidden="1" x14ac:dyDescent="0.2">
      <c r="A429" s="352">
        <v>426</v>
      </c>
      <c r="B429" s="342"/>
      <c r="C429" s="343"/>
      <c r="D429" s="344"/>
      <c r="E429" s="343"/>
      <c r="F429" s="345"/>
      <c r="G429" s="346"/>
      <c r="H429" s="346"/>
      <c r="I429" s="347"/>
      <c r="J429" s="346"/>
      <c r="K429" s="353"/>
      <c r="L429" s="71">
        <f t="shared" si="8"/>
        <v>0</v>
      </c>
    </row>
    <row r="430" spans="1:12" hidden="1" x14ac:dyDescent="0.2">
      <c r="A430" s="352">
        <v>427</v>
      </c>
      <c r="B430" s="342"/>
      <c r="C430" s="343"/>
      <c r="D430" s="344"/>
      <c r="E430" s="343"/>
      <c r="F430" s="345"/>
      <c r="G430" s="346"/>
      <c r="H430" s="346"/>
      <c r="I430" s="347"/>
      <c r="J430" s="346"/>
      <c r="K430" s="353"/>
      <c r="L430" s="71">
        <f t="shared" si="8"/>
        <v>0</v>
      </c>
    </row>
    <row r="431" spans="1:12" hidden="1" x14ac:dyDescent="0.2">
      <c r="A431" s="352">
        <v>428</v>
      </c>
      <c r="B431" s="342"/>
      <c r="C431" s="343"/>
      <c r="D431" s="344"/>
      <c r="E431" s="343"/>
      <c r="F431" s="345"/>
      <c r="G431" s="346"/>
      <c r="H431" s="346"/>
      <c r="I431" s="347"/>
      <c r="J431" s="346"/>
      <c r="K431" s="353"/>
      <c r="L431" s="71">
        <f t="shared" si="8"/>
        <v>0</v>
      </c>
    </row>
    <row r="432" spans="1:12" hidden="1" x14ac:dyDescent="0.2">
      <c r="A432" s="352">
        <v>429</v>
      </c>
      <c r="B432" s="342"/>
      <c r="C432" s="343"/>
      <c r="D432" s="344"/>
      <c r="E432" s="343"/>
      <c r="F432" s="345"/>
      <c r="G432" s="346"/>
      <c r="H432" s="346"/>
      <c r="I432" s="347"/>
      <c r="J432" s="346"/>
      <c r="K432" s="353"/>
      <c r="L432" s="71">
        <f t="shared" si="8"/>
        <v>0</v>
      </c>
    </row>
    <row r="433" spans="1:12" hidden="1" x14ac:dyDescent="0.2">
      <c r="A433" s="352">
        <v>430</v>
      </c>
      <c r="B433" s="342"/>
      <c r="C433" s="343"/>
      <c r="D433" s="344"/>
      <c r="E433" s="343"/>
      <c r="F433" s="345"/>
      <c r="G433" s="346"/>
      <c r="H433" s="346"/>
      <c r="I433" s="347"/>
      <c r="J433" s="346"/>
      <c r="K433" s="353"/>
      <c r="L433" s="71">
        <f t="shared" si="8"/>
        <v>0</v>
      </c>
    </row>
    <row r="434" spans="1:12" hidden="1" x14ac:dyDescent="0.2">
      <c r="A434" s="352">
        <v>431</v>
      </c>
      <c r="B434" s="342"/>
      <c r="C434" s="343"/>
      <c r="D434" s="344"/>
      <c r="E434" s="343"/>
      <c r="F434" s="345"/>
      <c r="G434" s="346"/>
      <c r="H434" s="346"/>
      <c r="I434" s="347"/>
      <c r="J434" s="346"/>
      <c r="K434" s="353"/>
      <c r="L434" s="71">
        <f t="shared" si="8"/>
        <v>0</v>
      </c>
    </row>
    <row r="435" spans="1:12" hidden="1" x14ac:dyDescent="0.2">
      <c r="A435" s="352">
        <v>432</v>
      </c>
      <c r="B435" s="342"/>
      <c r="C435" s="343"/>
      <c r="D435" s="344"/>
      <c r="E435" s="343"/>
      <c r="F435" s="345"/>
      <c r="G435" s="346"/>
      <c r="H435" s="346"/>
      <c r="I435" s="347"/>
      <c r="J435" s="346"/>
      <c r="K435" s="353"/>
      <c r="L435" s="71">
        <f t="shared" si="8"/>
        <v>0</v>
      </c>
    </row>
    <row r="436" spans="1:12" hidden="1" x14ac:dyDescent="0.2">
      <c r="A436" s="352">
        <v>433</v>
      </c>
      <c r="B436" s="342"/>
      <c r="C436" s="343"/>
      <c r="D436" s="344"/>
      <c r="E436" s="343"/>
      <c r="F436" s="345"/>
      <c r="G436" s="346"/>
      <c r="H436" s="346"/>
      <c r="I436" s="347"/>
      <c r="J436" s="346"/>
      <c r="K436" s="353"/>
      <c r="L436" s="71">
        <f t="shared" si="8"/>
        <v>0</v>
      </c>
    </row>
    <row r="437" spans="1:12" hidden="1" x14ac:dyDescent="0.2">
      <c r="A437" s="352">
        <v>434</v>
      </c>
      <c r="B437" s="342"/>
      <c r="C437" s="343"/>
      <c r="D437" s="344"/>
      <c r="E437" s="343"/>
      <c r="F437" s="345"/>
      <c r="G437" s="346"/>
      <c r="H437" s="346"/>
      <c r="I437" s="347"/>
      <c r="J437" s="346"/>
      <c r="K437" s="353"/>
      <c r="L437" s="71">
        <f t="shared" si="8"/>
        <v>0</v>
      </c>
    </row>
    <row r="438" spans="1:12" hidden="1" x14ac:dyDescent="0.2">
      <c r="A438" s="352">
        <v>435</v>
      </c>
      <c r="B438" s="342"/>
      <c r="C438" s="343"/>
      <c r="D438" s="344"/>
      <c r="E438" s="343"/>
      <c r="F438" s="345"/>
      <c r="G438" s="346"/>
      <c r="H438" s="346"/>
      <c r="I438" s="347"/>
      <c r="J438" s="346"/>
      <c r="K438" s="353"/>
      <c r="L438" s="71">
        <f t="shared" si="8"/>
        <v>0</v>
      </c>
    </row>
    <row r="439" spans="1:12" hidden="1" x14ac:dyDescent="0.2">
      <c r="A439" s="352">
        <v>436</v>
      </c>
      <c r="B439" s="342"/>
      <c r="C439" s="343"/>
      <c r="D439" s="344"/>
      <c r="E439" s="343"/>
      <c r="F439" s="345"/>
      <c r="G439" s="346"/>
      <c r="H439" s="346"/>
      <c r="I439" s="347"/>
      <c r="J439" s="346"/>
      <c r="K439" s="353"/>
      <c r="L439" s="71">
        <f t="shared" si="8"/>
        <v>0</v>
      </c>
    </row>
    <row r="440" spans="1:12" hidden="1" x14ac:dyDescent="0.2">
      <c r="A440" s="352">
        <v>437</v>
      </c>
      <c r="B440" s="342"/>
      <c r="C440" s="343"/>
      <c r="D440" s="344"/>
      <c r="E440" s="343"/>
      <c r="F440" s="345"/>
      <c r="G440" s="346"/>
      <c r="H440" s="346"/>
      <c r="I440" s="347"/>
      <c r="J440" s="346"/>
      <c r="K440" s="353"/>
      <c r="L440" s="71">
        <f t="shared" si="8"/>
        <v>0</v>
      </c>
    </row>
    <row r="441" spans="1:12" hidden="1" x14ac:dyDescent="0.2">
      <c r="A441" s="352">
        <v>438</v>
      </c>
      <c r="B441" s="342"/>
      <c r="C441" s="343"/>
      <c r="D441" s="344"/>
      <c r="E441" s="343"/>
      <c r="F441" s="345"/>
      <c r="G441" s="346"/>
      <c r="H441" s="346"/>
      <c r="I441" s="347"/>
      <c r="J441" s="346"/>
      <c r="K441" s="353"/>
      <c r="L441" s="71">
        <f t="shared" si="8"/>
        <v>0</v>
      </c>
    </row>
    <row r="442" spans="1:12" hidden="1" x14ac:dyDescent="0.2">
      <c r="A442" s="352">
        <v>439</v>
      </c>
      <c r="B442" s="342"/>
      <c r="C442" s="343"/>
      <c r="D442" s="344"/>
      <c r="E442" s="343"/>
      <c r="F442" s="345"/>
      <c r="G442" s="346"/>
      <c r="H442" s="346"/>
      <c r="I442" s="347"/>
      <c r="J442" s="346"/>
      <c r="K442" s="353"/>
      <c r="L442" s="71">
        <f t="shared" si="8"/>
        <v>0</v>
      </c>
    </row>
    <row r="443" spans="1:12" hidden="1" x14ac:dyDescent="0.2">
      <c r="A443" s="352">
        <v>440</v>
      </c>
      <c r="B443" s="342"/>
      <c r="C443" s="343"/>
      <c r="D443" s="344"/>
      <c r="E443" s="343"/>
      <c r="F443" s="345"/>
      <c r="G443" s="346"/>
      <c r="H443" s="346"/>
      <c r="I443" s="347"/>
      <c r="J443" s="346"/>
      <c r="K443" s="353"/>
      <c r="L443" s="71">
        <f t="shared" si="8"/>
        <v>0</v>
      </c>
    </row>
    <row r="444" spans="1:12" hidden="1" x14ac:dyDescent="0.2">
      <c r="A444" s="352">
        <v>441</v>
      </c>
      <c r="B444" s="342"/>
      <c r="C444" s="343"/>
      <c r="D444" s="344"/>
      <c r="E444" s="343"/>
      <c r="F444" s="345"/>
      <c r="G444" s="346"/>
      <c r="H444" s="346"/>
      <c r="I444" s="347"/>
      <c r="J444" s="346"/>
      <c r="K444" s="353"/>
      <c r="L444" s="71">
        <f t="shared" si="8"/>
        <v>0</v>
      </c>
    </row>
    <row r="445" spans="1:12" hidden="1" x14ac:dyDescent="0.2">
      <c r="A445" s="352">
        <v>442</v>
      </c>
      <c r="B445" s="342"/>
      <c r="C445" s="343"/>
      <c r="D445" s="344"/>
      <c r="E445" s="343"/>
      <c r="F445" s="345"/>
      <c r="G445" s="346"/>
      <c r="H445" s="346"/>
      <c r="I445" s="347"/>
      <c r="J445" s="346"/>
      <c r="K445" s="353"/>
      <c r="L445" s="71">
        <f t="shared" si="8"/>
        <v>0</v>
      </c>
    </row>
    <row r="446" spans="1:12" hidden="1" x14ac:dyDescent="0.2">
      <c r="A446" s="352">
        <v>443</v>
      </c>
      <c r="B446" s="342"/>
      <c r="C446" s="343"/>
      <c r="D446" s="344"/>
      <c r="E446" s="343"/>
      <c r="F446" s="345"/>
      <c r="G446" s="346"/>
      <c r="H446" s="346"/>
      <c r="I446" s="347"/>
      <c r="J446" s="346"/>
      <c r="K446" s="353"/>
      <c r="L446" s="71">
        <f t="shared" si="8"/>
        <v>0</v>
      </c>
    </row>
    <row r="447" spans="1:12" hidden="1" x14ac:dyDescent="0.2">
      <c r="A447" s="352">
        <v>444</v>
      </c>
      <c r="B447" s="342"/>
      <c r="C447" s="343"/>
      <c r="D447" s="344"/>
      <c r="E447" s="343"/>
      <c r="F447" s="345"/>
      <c r="G447" s="346"/>
      <c r="H447" s="346"/>
      <c r="I447" s="347"/>
      <c r="J447" s="346"/>
      <c r="K447" s="353"/>
      <c r="L447" s="71">
        <f t="shared" si="8"/>
        <v>0</v>
      </c>
    </row>
    <row r="448" spans="1:12" hidden="1" x14ac:dyDescent="0.2">
      <c r="A448" s="352">
        <v>445</v>
      </c>
      <c r="B448" s="342"/>
      <c r="C448" s="343"/>
      <c r="D448" s="344"/>
      <c r="E448" s="343"/>
      <c r="F448" s="345"/>
      <c r="G448" s="346"/>
      <c r="H448" s="346"/>
      <c r="I448" s="347"/>
      <c r="J448" s="346"/>
      <c r="K448" s="353"/>
      <c r="L448" s="71">
        <f t="shared" si="8"/>
        <v>0</v>
      </c>
    </row>
    <row r="449" spans="1:12" hidden="1" x14ac:dyDescent="0.2">
      <c r="A449" s="352">
        <v>446</v>
      </c>
      <c r="B449" s="342"/>
      <c r="C449" s="343"/>
      <c r="D449" s="344"/>
      <c r="E449" s="343"/>
      <c r="F449" s="345"/>
      <c r="G449" s="346"/>
      <c r="H449" s="346"/>
      <c r="I449" s="347"/>
      <c r="J449" s="346"/>
      <c r="K449" s="353"/>
      <c r="L449" s="71">
        <f t="shared" ref="L449:L512" si="9">IF(B449=0,0,MONTH(B449)-$L$1+1)</f>
        <v>0</v>
      </c>
    </row>
    <row r="450" spans="1:12" hidden="1" x14ac:dyDescent="0.2">
      <c r="A450" s="352">
        <v>447</v>
      </c>
      <c r="B450" s="342"/>
      <c r="C450" s="343"/>
      <c r="D450" s="344"/>
      <c r="E450" s="343"/>
      <c r="F450" s="345"/>
      <c r="G450" s="346"/>
      <c r="H450" s="346"/>
      <c r="I450" s="347"/>
      <c r="J450" s="346"/>
      <c r="K450" s="353"/>
      <c r="L450" s="71">
        <f t="shared" si="9"/>
        <v>0</v>
      </c>
    </row>
    <row r="451" spans="1:12" hidden="1" x14ac:dyDescent="0.2">
      <c r="A451" s="352">
        <v>448</v>
      </c>
      <c r="B451" s="342"/>
      <c r="C451" s="343"/>
      <c r="D451" s="344"/>
      <c r="E451" s="343"/>
      <c r="F451" s="345"/>
      <c r="G451" s="346"/>
      <c r="H451" s="346"/>
      <c r="I451" s="347"/>
      <c r="J451" s="346"/>
      <c r="K451" s="353"/>
      <c r="L451" s="71">
        <f t="shared" si="9"/>
        <v>0</v>
      </c>
    </row>
    <row r="452" spans="1:12" hidden="1" x14ac:dyDescent="0.2">
      <c r="A452" s="352">
        <v>449</v>
      </c>
      <c r="B452" s="342"/>
      <c r="C452" s="343"/>
      <c r="D452" s="344"/>
      <c r="E452" s="343"/>
      <c r="F452" s="345"/>
      <c r="G452" s="346"/>
      <c r="H452" s="346"/>
      <c r="I452" s="347"/>
      <c r="J452" s="346"/>
      <c r="K452" s="353"/>
      <c r="L452" s="71">
        <f t="shared" si="9"/>
        <v>0</v>
      </c>
    </row>
    <row r="453" spans="1:12" hidden="1" x14ac:dyDescent="0.2">
      <c r="A453" s="352">
        <v>450</v>
      </c>
      <c r="B453" s="342"/>
      <c r="C453" s="343"/>
      <c r="D453" s="344"/>
      <c r="E453" s="343"/>
      <c r="F453" s="345"/>
      <c r="G453" s="346"/>
      <c r="H453" s="346"/>
      <c r="I453" s="347"/>
      <c r="J453" s="346"/>
      <c r="K453" s="353"/>
      <c r="L453" s="71">
        <f t="shared" si="9"/>
        <v>0</v>
      </c>
    </row>
    <row r="454" spans="1:12" hidden="1" x14ac:dyDescent="0.2">
      <c r="A454" s="352">
        <v>451</v>
      </c>
      <c r="B454" s="342"/>
      <c r="C454" s="343"/>
      <c r="D454" s="344"/>
      <c r="E454" s="343"/>
      <c r="F454" s="345"/>
      <c r="G454" s="346"/>
      <c r="H454" s="346"/>
      <c r="I454" s="347"/>
      <c r="J454" s="346"/>
      <c r="K454" s="353"/>
      <c r="L454" s="71">
        <f t="shared" si="9"/>
        <v>0</v>
      </c>
    </row>
    <row r="455" spans="1:12" hidden="1" x14ac:dyDescent="0.2">
      <c r="A455" s="352">
        <v>452</v>
      </c>
      <c r="B455" s="342"/>
      <c r="C455" s="343"/>
      <c r="D455" s="344"/>
      <c r="E455" s="343"/>
      <c r="F455" s="345"/>
      <c r="G455" s="346"/>
      <c r="H455" s="346"/>
      <c r="I455" s="347"/>
      <c r="J455" s="346"/>
      <c r="K455" s="353"/>
      <c r="L455" s="71">
        <f t="shared" si="9"/>
        <v>0</v>
      </c>
    </row>
    <row r="456" spans="1:12" hidden="1" x14ac:dyDescent="0.2">
      <c r="A456" s="352">
        <v>453</v>
      </c>
      <c r="B456" s="342"/>
      <c r="C456" s="343"/>
      <c r="D456" s="344"/>
      <c r="E456" s="343"/>
      <c r="F456" s="345"/>
      <c r="G456" s="346"/>
      <c r="H456" s="346"/>
      <c r="I456" s="347"/>
      <c r="J456" s="346"/>
      <c r="K456" s="353"/>
      <c r="L456" s="71">
        <f t="shared" si="9"/>
        <v>0</v>
      </c>
    </row>
    <row r="457" spans="1:12" hidden="1" x14ac:dyDescent="0.2">
      <c r="A457" s="352">
        <v>454</v>
      </c>
      <c r="B457" s="342"/>
      <c r="C457" s="343"/>
      <c r="D457" s="344"/>
      <c r="E457" s="343"/>
      <c r="F457" s="345"/>
      <c r="G457" s="346"/>
      <c r="H457" s="346"/>
      <c r="I457" s="347"/>
      <c r="J457" s="346"/>
      <c r="K457" s="353"/>
      <c r="L457" s="71">
        <f t="shared" si="9"/>
        <v>0</v>
      </c>
    </row>
    <row r="458" spans="1:12" hidden="1" x14ac:dyDescent="0.2">
      <c r="A458" s="352">
        <v>455</v>
      </c>
      <c r="B458" s="342"/>
      <c r="C458" s="343"/>
      <c r="D458" s="344"/>
      <c r="E458" s="343"/>
      <c r="F458" s="345"/>
      <c r="G458" s="346"/>
      <c r="H458" s="346"/>
      <c r="I458" s="347"/>
      <c r="J458" s="346"/>
      <c r="K458" s="353"/>
      <c r="L458" s="71">
        <f t="shared" si="9"/>
        <v>0</v>
      </c>
    </row>
    <row r="459" spans="1:12" hidden="1" x14ac:dyDescent="0.2">
      <c r="A459" s="352">
        <v>456</v>
      </c>
      <c r="B459" s="342"/>
      <c r="C459" s="343"/>
      <c r="D459" s="344"/>
      <c r="E459" s="343"/>
      <c r="F459" s="345"/>
      <c r="G459" s="346"/>
      <c r="H459" s="346"/>
      <c r="I459" s="347"/>
      <c r="J459" s="346"/>
      <c r="K459" s="353"/>
      <c r="L459" s="71">
        <f t="shared" si="9"/>
        <v>0</v>
      </c>
    </row>
    <row r="460" spans="1:12" hidden="1" x14ac:dyDescent="0.2">
      <c r="A460" s="352">
        <v>457</v>
      </c>
      <c r="B460" s="342"/>
      <c r="C460" s="343"/>
      <c r="D460" s="344"/>
      <c r="E460" s="343"/>
      <c r="F460" s="345"/>
      <c r="G460" s="346"/>
      <c r="H460" s="346"/>
      <c r="I460" s="347"/>
      <c r="J460" s="346"/>
      <c r="K460" s="353"/>
      <c r="L460" s="71">
        <f t="shared" si="9"/>
        <v>0</v>
      </c>
    </row>
    <row r="461" spans="1:12" hidden="1" x14ac:dyDescent="0.2">
      <c r="A461" s="352">
        <v>458</v>
      </c>
      <c r="B461" s="342"/>
      <c r="C461" s="343"/>
      <c r="D461" s="344"/>
      <c r="E461" s="343"/>
      <c r="F461" s="345"/>
      <c r="G461" s="346"/>
      <c r="H461" s="346"/>
      <c r="I461" s="347"/>
      <c r="J461" s="346"/>
      <c r="K461" s="353"/>
      <c r="L461" s="71">
        <f t="shared" si="9"/>
        <v>0</v>
      </c>
    </row>
    <row r="462" spans="1:12" hidden="1" x14ac:dyDescent="0.2">
      <c r="A462" s="352">
        <v>459</v>
      </c>
      <c r="B462" s="342"/>
      <c r="C462" s="343"/>
      <c r="D462" s="344"/>
      <c r="E462" s="343"/>
      <c r="F462" s="345"/>
      <c r="G462" s="346"/>
      <c r="H462" s="346"/>
      <c r="I462" s="347"/>
      <c r="J462" s="346"/>
      <c r="K462" s="353"/>
      <c r="L462" s="71">
        <f t="shared" si="9"/>
        <v>0</v>
      </c>
    </row>
    <row r="463" spans="1:12" hidden="1" x14ac:dyDescent="0.2">
      <c r="A463" s="352">
        <v>460</v>
      </c>
      <c r="B463" s="342"/>
      <c r="C463" s="343"/>
      <c r="D463" s="344"/>
      <c r="E463" s="343"/>
      <c r="F463" s="345"/>
      <c r="G463" s="346"/>
      <c r="H463" s="346"/>
      <c r="I463" s="347"/>
      <c r="J463" s="346"/>
      <c r="K463" s="353"/>
      <c r="L463" s="71">
        <f t="shared" si="9"/>
        <v>0</v>
      </c>
    </row>
    <row r="464" spans="1:12" hidden="1" x14ac:dyDescent="0.2">
      <c r="A464" s="352">
        <v>461</v>
      </c>
      <c r="B464" s="342"/>
      <c r="C464" s="343"/>
      <c r="D464" s="344"/>
      <c r="E464" s="343"/>
      <c r="F464" s="345"/>
      <c r="G464" s="346"/>
      <c r="H464" s="346"/>
      <c r="I464" s="347"/>
      <c r="J464" s="346"/>
      <c r="K464" s="353"/>
      <c r="L464" s="71">
        <f t="shared" si="9"/>
        <v>0</v>
      </c>
    </row>
    <row r="465" spans="1:12" hidden="1" x14ac:dyDescent="0.2">
      <c r="A465" s="352">
        <v>462</v>
      </c>
      <c r="B465" s="342"/>
      <c r="C465" s="343"/>
      <c r="D465" s="344"/>
      <c r="E465" s="343"/>
      <c r="F465" s="345"/>
      <c r="G465" s="346"/>
      <c r="H465" s="346"/>
      <c r="I465" s="347"/>
      <c r="J465" s="346"/>
      <c r="K465" s="353"/>
      <c r="L465" s="71">
        <f t="shared" si="9"/>
        <v>0</v>
      </c>
    </row>
    <row r="466" spans="1:12" hidden="1" x14ac:dyDescent="0.2">
      <c r="A466" s="352">
        <v>463</v>
      </c>
      <c r="B466" s="342"/>
      <c r="C466" s="343"/>
      <c r="D466" s="344"/>
      <c r="E466" s="343"/>
      <c r="F466" s="345"/>
      <c r="G466" s="346"/>
      <c r="H466" s="346"/>
      <c r="I466" s="347"/>
      <c r="J466" s="346"/>
      <c r="K466" s="353"/>
      <c r="L466" s="71">
        <f t="shared" si="9"/>
        <v>0</v>
      </c>
    </row>
    <row r="467" spans="1:12" hidden="1" x14ac:dyDescent="0.2">
      <c r="A467" s="352">
        <v>464</v>
      </c>
      <c r="B467" s="342"/>
      <c r="C467" s="343"/>
      <c r="D467" s="344"/>
      <c r="E467" s="343"/>
      <c r="F467" s="345"/>
      <c r="G467" s="346"/>
      <c r="H467" s="346"/>
      <c r="I467" s="347"/>
      <c r="J467" s="346"/>
      <c r="K467" s="353"/>
      <c r="L467" s="71">
        <f t="shared" si="9"/>
        <v>0</v>
      </c>
    </row>
    <row r="468" spans="1:12" hidden="1" x14ac:dyDescent="0.2">
      <c r="A468" s="352">
        <v>465</v>
      </c>
      <c r="B468" s="342"/>
      <c r="C468" s="343"/>
      <c r="D468" s="344"/>
      <c r="E468" s="343"/>
      <c r="F468" s="345"/>
      <c r="G468" s="346"/>
      <c r="H468" s="346"/>
      <c r="I468" s="347"/>
      <c r="J468" s="346"/>
      <c r="K468" s="353"/>
      <c r="L468" s="71">
        <f t="shared" si="9"/>
        <v>0</v>
      </c>
    </row>
    <row r="469" spans="1:12" hidden="1" x14ac:dyDescent="0.2">
      <c r="A469" s="352">
        <v>466</v>
      </c>
      <c r="B469" s="342"/>
      <c r="C469" s="343"/>
      <c r="D469" s="344"/>
      <c r="E469" s="343"/>
      <c r="F469" s="345"/>
      <c r="G469" s="346"/>
      <c r="H469" s="346"/>
      <c r="I469" s="347"/>
      <c r="J469" s="346"/>
      <c r="K469" s="353"/>
      <c r="L469" s="71">
        <f t="shared" si="9"/>
        <v>0</v>
      </c>
    </row>
    <row r="470" spans="1:12" hidden="1" x14ac:dyDescent="0.2">
      <c r="A470" s="352">
        <v>467</v>
      </c>
      <c r="B470" s="342"/>
      <c r="C470" s="343"/>
      <c r="D470" s="344"/>
      <c r="E470" s="343"/>
      <c r="F470" s="345"/>
      <c r="G470" s="346"/>
      <c r="H470" s="346"/>
      <c r="I470" s="347"/>
      <c r="J470" s="346"/>
      <c r="K470" s="353"/>
      <c r="L470" s="71">
        <f t="shared" si="9"/>
        <v>0</v>
      </c>
    </row>
    <row r="471" spans="1:12" hidden="1" x14ac:dyDescent="0.2">
      <c r="A471" s="352">
        <v>468</v>
      </c>
      <c r="B471" s="342"/>
      <c r="C471" s="343"/>
      <c r="D471" s="344"/>
      <c r="E471" s="343"/>
      <c r="F471" s="345"/>
      <c r="G471" s="346"/>
      <c r="H471" s="346"/>
      <c r="I471" s="347"/>
      <c r="J471" s="346"/>
      <c r="K471" s="353"/>
      <c r="L471" s="71">
        <f t="shared" si="9"/>
        <v>0</v>
      </c>
    </row>
    <row r="472" spans="1:12" hidden="1" x14ac:dyDescent="0.2">
      <c r="A472" s="352">
        <v>469</v>
      </c>
      <c r="B472" s="342"/>
      <c r="C472" s="343"/>
      <c r="D472" s="344"/>
      <c r="E472" s="343"/>
      <c r="F472" s="345"/>
      <c r="G472" s="346"/>
      <c r="H472" s="346"/>
      <c r="I472" s="347"/>
      <c r="J472" s="346"/>
      <c r="K472" s="353"/>
      <c r="L472" s="71">
        <f t="shared" si="9"/>
        <v>0</v>
      </c>
    </row>
    <row r="473" spans="1:12" hidden="1" x14ac:dyDescent="0.2">
      <c r="A473" s="352">
        <v>470</v>
      </c>
      <c r="B473" s="342"/>
      <c r="C473" s="343"/>
      <c r="D473" s="344"/>
      <c r="E473" s="343"/>
      <c r="F473" s="345"/>
      <c r="G473" s="346"/>
      <c r="H473" s="346"/>
      <c r="I473" s="347"/>
      <c r="J473" s="346"/>
      <c r="K473" s="353"/>
      <c r="L473" s="71">
        <f t="shared" si="9"/>
        <v>0</v>
      </c>
    </row>
    <row r="474" spans="1:12" hidden="1" x14ac:dyDescent="0.2">
      <c r="A474" s="352">
        <v>471</v>
      </c>
      <c r="B474" s="342"/>
      <c r="C474" s="343"/>
      <c r="D474" s="344"/>
      <c r="E474" s="343"/>
      <c r="F474" s="345"/>
      <c r="G474" s="346"/>
      <c r="H474" s="346"/>
      <c r="I474" s="347"/>
      <c r="J474" s="346"/>
      <c r="K474" s="353"/>
      <c r="L474" s="71">
        <f t="shared" si="9"/>
        <v>0</v>
      </c>
    </row>
    <row r="475" spans="1:12" hidden="1" x14ac:dyDescent="0.2">
      <c r="A475" s="352">
        <v>472</v>
      </c>
      <c r="B475" s="342"/>
      <c r="C475" s="343"/>
      <c r="D475" s="344"/>
      <c r="E475" s="343"/>
      <c r="F475" s="345"/>
      <c r="G475" s="346"/>
      <c r="H475" s="346"/>
      <c r="I475" s="347"/>
      <c r="J475" s="346"/>
      <c r="K475" s="353"/>
      <c r="L475" s="71">
        <f t="shared" si="9"/>
        <v>0</v>
      </c>
    </row>
    <row r="476" spans="1:12" hidden="1" x14ac:dyDescent="0.2">
      <c r="A476" s="352">
        <v>473</v>
      </c>
      <c r="B476" s="342"/>
      <c r="C476" s="343"/>
      <c r="D476" s="344"/>
      <c r="E476" s="343"/>
      <c r="F476" s="345"/>
      <c r="G476" s="346"/>
      <c r="H476" s="346"/>
      <c r="I476" s="347"/>
      <c r="J476" s="346"/>
      <c r="K476" s="353"/>
      <c r="L476" s="71">
        <f t="shared" si="9"/>
        <v>0</v>
      </c>
    </row>
    <row r="477" spans="1:12" hidden="1" x14ac:dyDescent="0.2">
      <c r="A477" s="352">
        <v>474</v>
      </c>
      <c r="B477" s="342"/>
      <c r="C477" s="343"/>
      <c r="D477" s="344"/>
      <c r="E477" s="343"/>
      <c r="F477" s="345"/>
      <c r="G477" s="346"/>
      <c r="H477" s="346"/>
      <c r="I477" s="347"/>
      <c r="J477" s="346"/>
      <c r="K477" s="353"/>
      <c r="L477" s="71">
        <f t="shared" si="9"/>
        <v>0</v>
      </c>
    </row>
    <row r="478" spans="1:12" hidden="1" x14ac:dyDescent="0.2">
      <c r="A478" s="352">
        <v>475</v>
      </c>
      <c r="B478" s="342"/>
      <c r="C478" s="343"/>
      <c r="D478" s="344"/>
      <c r="E478" s="343"/>
      <c r="F478" s="345"/>
      <c r="G478" s="346"/>
      <c r="H478" s="346"/>
      <c r="I478" s="347"/>
      <c r="J478" s="346"/>
      <c r="K478" s="353"/>
      <c r="L478" s="71">
        <f t="shared" si="9"/>
        <v>0</v>
      </c>
    </row>
    <row r="479" spans="1:12" hidden="1" x14ac:dyDescent="0.2">
      <c r="A479" s="352">
        <v>476</v>
      </c>
      <c r="B479" s="342"/>
      <c r="C479" s="343"/>
      <c r="D479" s="344"/>
      <c r="E479" s="343"/>
      <c r="F479" s="345"/>
      <c r="G479" s="346"/>
      <c r="H479" s="346"/>
      <c r="I479" s="347"/>
      <c r="J479" s="346"/>
      <c r="K479" s="353"/>
      <c r="L479" s="71">
        <f t="shared" si="9"/>
        <v>0</v>
      </c>
    </row>
    <row r="480" spans="1:12" hidden="1" x14ac:dyDescent="0.2">
      <c r="A480" s="352">
        <v>477</v>
      </c>
      <c r="B480" s="342"/>
      <c r="C480" s="343"/>
      <c r="D480" s="344"/>
      <c r="E480" s="343"/>
      <c r="F480" s="345"/>
      <c r="G480" s="346"/>
      <c r="H480" s="346"/>
      <c r="I480" s="347"/>
      <c r="J480" s="346"/>
      <c r="K480" s="353"/>
      <c r="L480" s="71">
        <f t="shared" si="9"/>
        <v>0</v>
      </c>
    </row>
    <row r="481" spans="1:12" hidden="1" x14ac:dyDescent="0.2">
      <c r="A481" s="352">
        <v>478</v>
      </c>
      <c r="B481" s="342"/>
      <c r="C481" s="343"/>
      <c r="D481" s="344"/>
      <c r="E481" s="343"/>
      <c r="F481" s="345"/>
      <c r="G481" s="346"/>
      <c r="H481" s="346"/>
      <c r="I481" s="347"/>
      <c r="J481" s="346"/>
      <c r="K481" s="353"/>
      <c r="L481" s="71">
        <f t="shared" si="9"/>
        <v>0</v>
      </c>
    </row>
    <row r="482" spans="1:12" hidden="1" x14ac:dyDescent="0.2">
      <c r="A482" s="352">
        <v>479</v>
      </c>
      <c r="B482" s="342"/>
      <c r="C482" s="343"/>
      <c r="D482" s="344"/>
      <c r="E482" s="343"/>
      <c r="F482" s="345"/>
      <c r="G482" s="346"/>
      <c r="H482" s="346"/>
      <c r="I482" s="347"/>
      <c r="J482" s="346"/>
      <c r="K482" s="353"/>
      <c r="L482" s="71">
        <f t="shared" si="9"/>
        <v>0</v>
      </c>
    </row>
    <row r="483" spans="1:12" hidden="1" x14ac:dyDescent="0.2">
      <c r="A483" s="352">
        <v>480</v>
      </c>
      <c r="B483" s="342"/>
      <c r="C483" s="343"/>
      <c r="D483" s="344"/>
      <c r="E483" s="343"/>
      <c r="F483" s="345"/>
      <c r="G483" s="346"/>
      <c r="H483" s="346"/>
      <c r="I483" s="347"/>
      <c r="J483" s="346"/>
      <c r="K483" s="353"/>
      <c r="L483" s="71">
        <f t="shared" si="9"/>
        <v>0</v>
      </c>
    </row>
    <row r="484" spans="1:12" hidden="1" x14ac:dyDescent="0.2">
      <c r="A484" s="352">
        <v>481</v>
      </c>
      <c r="B484" s="342"/>
      <c r="C484" s="343"/>
      <c r="D484" s="344"/>
      <c r="E484" s="343"/>
      <c r="F484" s="345"/>
      <c r="G484" s="346"/>
      <c r="H484" s="346"/>
      <c r="I484" s="347"/>
      <c r="J484" s="346"/>
      <c r="K484" s="353"/>
      <c r="L484" s="71">
        <f t="shared" si="9"/>
        <v>0</v>
      </c>
    </row>
    <row r="485" spans="1:12" hidden="1" x14ac:dyDescent="0.2">
      <c r="A485" s="352">
        <v>482</v>
      </c>
      <c r="B485" s="342"/>
      <c r="C485" s="343"/>
      <c r="D485" s="344"/>
      <c r="E485" s="343"/>
      <c r="F485" s="345"/>
      <c r="G485" s="346"/>
      <c r="H485" s="346"/>
      <c r="I485" s="347"/>
      <c r="J485" s="346"/>
      <c r="K485" s="353"/>
      <c r="L485" s="71">
        <f t="shared" si="9"/>
        <v>0</v>
      </c>
    </row>
    <row r="486" spans="1:12" hidden="1" x14ac:dyDescent="0.2">
      <c r="A486" s="352">
        <v>483</v>
      </c>
      <c r="B486" s="342"/>
      <c r="C486" s="343"/>
      <c r="D486" s="344"/>
      <c r="E486" s="343"/>
      <c r="F486" s="345"/>
      <c r="G486" s="346"/>
      <c r="H486" s="346"/>
      <c r="I486" s="347"/>
      <c r="J486" s="346"/>
      <c r="K486" s="353"/>
      <c r="L486" s="71">
        <f t="shared" si="9"/>
        <v>0</v>
      </c>
    </row>
    <row r="487" spans="1:12" hidden="1" x14ac:dyDescent="0.2">
      <c r="A487" s="352">
        <v>484</v>
      </c>
      <c r="B487" s="342"/>
      <c r="C487" s="343"/>
      <c r="D487" s="344"/>
      <c r="E487" s="343"/>
      <c r="F487" s="345"/>
      <c r="G487" s="346"/>
      <c r="H487" s="346"/>
      <c r="I487" s="347"/>
      <c r="J487" s="346"/>
      <c r="K487" s="353"/>
      <c r="L487" s="71">
        <f t="shared" si="9"/>
        <v>0</v>
      </c>
    </row>
    <row r="488" spans="1:12" hidden="1" x14ac:dyDescent="0.2">
      <c r="A488" s="352">
        <v>485</v>
      </c>
      <c r="B488" s="342"/>
      <c r="C488" s="343"/>
      <c r="D488" s="344"/>
      <c r="E488" s="343"/>
      <c r="F488" s="345"/>
      <c r="G488" s="346"/>
      <c r="H488" s="346"/>
      <c r="I488" s="347"/>
      <c r="J488" s="346"/>
      <c r="K488" s="353"/>
      <c r="L488" s="71">
        <f t="shared" si="9"/>
        <v>0</v>
      </c>
    </row>
    <row r="489" spans="1:12" hidden="1" x14ac:dyDescent="0.2">
      <c r="A489" s="352">
        <v>486</v>
      </c>
      <c r="B489" s="342"/>
      <c r="C489" s="343"/>
      <c r="D489" s="344"/>
      <c r="E489" s="343"/>
      <c r="F489" s="345"/>
      <c r="G489" s="346"/>
      <c r="H489" s="346"/>
      <c r="I489" s="347"/>
      <c r="J489" s="346"/>
      <c r="K489" s="353"/>
      <c r="L489" s="71">
        <f t="shared" si="9"/>
        <v>0</v>
      </c>
    </row>
    <row r="490" spans="1:12" hidden="1" x14ac:dyDescent="0.2">
      <c r="A490" s="352">
        <v>487</v>
      </c>
      <c r="B490" s="342"/>
      <c r="C490" s="343"/>
      <c r="D490" s="344"/>
      <c r="E490" s="343"/>
      <c r="F490" s="345"/>
      <c r="G490" s="346"/>
      <c r="H490" s="346"/>
      <c r="I490" s="347"/>
      <c r="J490" s="346"/>
      <c r="K490" s="353"/>
      <c r="L490" s="71">
        <f t="shared" si="9"/>
        <v>0</v>
      </c>
    </row>
    <row r="491" spans="1:12" hidden="1" x14ac:dyDescent="0.2">
      <c r="A491" s="352">
        <v>488</v>
      </c>
      <c r="B491" s="342"/>
      <c r="C491" s="343"/>
      <c r="D491" s="344"/>
      <c r="E491" s="343"/>
      <c r="F491" s="345"/>
      <c r="G491" s="346"/>
      <c r="H491" s="346"/>
      <c r="I491" s="347"/>
      <c r="J491" s="346"/>
      <c r="K491" s="353"/>
      <c r="L491" s="71">
        <f t="shared" si="9"/>
        <v>0</v>
      </c>
    </row>
    <row r="492" spans="1:12" hidden="1" x14ac:dyDescent="0.2">
      <c r="A492" s="352">
        <v>489</v>
      </c>
      <c r="B492" s="342"/>
      <c r="C492" s="343"/>
      <c r="D492" s="344"/>
      <c r="E492" s="343"/>
      <c r="F492" s="345"/>
      <c r="G492" s="346"/>
      <c r="H492" s="346"/>
      <c r="I492" s="347"/>
      <c r="J492" s="346"/>
      <c r="K492" s="353"/>
      <c r="L492" s="71">
        <f t="shared" si="9"/>
        <v>0</v>
      </c>
    </row>
    <row r="493" spans="1:12" hidden="1" x14ac:dyDescent="0.2">
      <c r="A493" s="352">
        <v>490</v>
      </c>
      <c r="B493" s="342"/>
      <c r="C493" s="343"/>
      <c r="D493" s="344"/>
      <c r="E493" s="343"/>
      <c r="F493" s="345"/>
      <c r="G493" s="346"/>
      <c r="H493" s="346"/>
      <c r="I493" s="347"/>
      <c r="J493" s="346"/>
      <c r="K493" s="353"/>
      <c r="L493" s="71">
        <f t="shared" si="9"/>
        <v>0</v>
      </c>
    </row>
    <row r="494" spans="1:12" hidden="1" x14ac:dyDescent="0.2">
      <c r="A494" s="352">
        <v>491</v>
      </c>
      <c r="B494" s="342"/>
      <c r="C494" s="343"/>
      <c r="D494" s="344"/>
      <c r="E494" s="343"/>
      <c r="F494" s="345"/>
      <c r="G494" s="346"/>
      <c r="H494" s="346"/>
      <c r="I494" s="347"/>
      <c r="J494" s="346"/>
      <c r="K494" s="353"/>
      <c r="L494" s="71">
        <f t="shared" si="9"/>
        <v>0</v>
      </c>
    </row>
    <row r="495" spans="1:12" hidden="1" x14ac:dyDescent="0.2">
      <c r="A495" s="352">
        <v>492</v>
      </c>
      <c r="B495" s="342"/>
      <c r="C495" s="343"/>
      <c r="D495" s="344"/>
      <c r="E495" s="343"/>
      <c r="F495" s="345"/>
      <c r="G495" s="346"/>
      <c r="H495" s="346"/>
      <c r="I495" s="347"/>
      <c r="J495" s="346"/>
      <c r="K495" s="353"/>
      <c r="L495" s="71">
        <f t="shared" si="9"/>
        <v>0</v>
      </c>
    </row>
    <row r="496" spans="1:12" hidden="1" x14ac:dyDescent="0.2">
      <c r="A496" s="352">
        <v>493</v>
      </c>
      <c r="B496" s="342"/>
      <c r="C496" s="343"/>
      <c r="D496" s="344"/>
      <c r="E496" s="343"/>
      <c r="F496" s="345"/>
      <c r="G496" s="346"/>
      <c r="H496" s="346"/>
      <c r="I496" s="347"/>
      <c r="J496" s="346"/>
      <c r="K496" s="353"/>
      <c r="L496" s="71">
        <f t="shared" si="9"/>
        <v>0</v>
      </c>
    </row>
    <row r="497" spans="1:12" hidden="1" x14ac:dyDescent="0.2">
      <c r="A497" s="352">
        <v>494</v>
      </c>
      <c r="B497" s="342"/>
      <c r="C497" s="343"/>
      <c r="D497" s="344"/>
      <c r="E497" s="343"/>
      <c r="F497" s="345"/>
      <c r="G497" s="346"/>
      <c r="H497" s="346"/>
      <c r="I497" s="347"/>
      <c r="J497" s="346"/>
      <c r="K497" s="353"/>
      <c r="L497" s="71">
        <f t="shared" si="9"/>
        <v>0</v>
      </c>
    </row>
    <row r="498" spans="1:12" hidden="1" x14ac:dyDescent="0.2">
      <c r="A498" s="352">
        <v>495</v>
      </c>
      <c r="B498" s="342"/>
      <c r="C498" s="343"/>
      <c r="D498" s="344"/>
      <c r="E498" s="343"/>
      <c r="F498" s="345"/>
      <c r="G498" s="346"/>
      <c r="H498" s="346"/>
      <c r="I498" s="347"/>
      <c r="J498" s="346"/>
      <c r="K498" s="353"/>
      <c r="L498" s="71">
        <f t="shared" si="9"/>
        <v>0</v>
      </c>
    </row>
    <row r="499" spans="1:12" hidden="1" x14ac:dyDescent="0.2">
      <c r="A499" s="352">
        <v>496</v>
      </c>
      <c r="B499" s="342"/>
      <c r="C499" s="343"/>
      <c r="D499" s="344"/>
      <c r="E499" s="343"/>
      <c r="F499" s="345"/>
      <c r="G499" s="346"/>
      <c r="H499" s="346"/>
      <c r="I499" s="347"/>
      <c r="J499" s="346"/>
      <c r="K499" s="353"/>
      <c r="L499" s="71">
        <f t="shared" si="9"/>
        <v>0</v>
      </c>
    </row>
    <row r="500" spans="1:12" hidden="1" x14ac:dyDescent="0.2">
      <c r="A500" s="352">
        <v>497</v>
      </c>
      <c r="B500" s="342"/>
      <c r="C500" s="343"/>
      <c r="D500" s="344"/>
      <c r="E500" s="343"/>
      <c r="F500" s="345"/>
      <c r="G500" s="346"/>
      <c r="H500" s="346"/>
      <c r="I500" s="347"/>
      <c r="J500" s="346"/>
      <c r="K500" s="353"/>
      <c r="L500" s="71">
        <f t="shared" si="9"/>
        <v>0</v>
      </c>
    </row>
    <row r="501" spans="1:12" hidden="1" x14ac:dyDescent="0.2">
      <c r="A501" s="352">
        <v>498</v>
      </c>
      <c r="B501" s="342"/>
      <c r="C501" s="343"/>
      <c r="D501" s="344"/>
      <c r="E501" s="343"/>
      <c r="F501" s="345"/>
      <c r="G501" s="346"/>
      <c r="H501" s="346"/>
      <c r="I501" s="347"/>
      <c r="J501" s="346"/>
      <c r="K501" s="353"/>
      <c r="L501" s="71">
        <f t="shared" si="9"/>
        <v>0</v>
      </c>
    </row>
    <row r="502" spans="1:12" hidden="1" x14ac:dyDescent="0.2">
      <c r="A502" s="352">
        <v>499</v>
      </c>
      <c r="B502" s="342"/>
      <c r="C502" s="343"/>
      <c r="D502" s="344"/>
      <c r="E502" s="343"/>
      <c r="F502" s="345"/>
      <c r="G502" s="346"/>
      <c r="H502" s="346"/>
      <c r="I502" s="347"/>
      <c r="J502" s="346"/>
      <c r="K502" s="353"/>
      <c r="L502" s="71">
        <f t="shared" si="9"/>
        <v>0</v>
      </c>
    </row>
    <row r="503" spans="1:12" hidden="1" x14ac:dyDescent="0.2">
      <c r="A503" s="352">
        <v>500</v>
      </c>
      <c r="B503" s="342"/>
      <c r="C503" s="343"/>
      <c r="D503" s="344"/>
      <c r="E503" s="343"/>
      <c r="F503" s="345"/>
      <c r="G503" s="346"/>
      <c r="H503" s="346"/>
      <c r="I503" s="347"/>
      <c r="J503" s="346"/>
      <c r="K503" s="353"/>
      <c r="L503" s="71">
        <f t="shared" si="9"/>
        <v>0</v>
      </c>
    </row>
    <row r="504" spans="1:12" hidden="1" x14ac:dyDescent="0.2">
      <c r="A504" s="352">
        <v>501</v>
      </c>
      <c r="B504" s="342"/>
      <c r="C504" s="343"/>
      <c r="D504" s="344"/>
      <c r="E504" s="343"/>
      <c r="F504" s="345"/>
      <c r="G504" s="346"/>
      <c r="H504" s="346"/>
      <c r="I504" s="347"/>
      <c r="J504" s="346"/>
      <c r="K504" s="353"/>
      <c r="L504" s="71">
        <f t="shared" si="9"/>
        <v>0</v>
      </c>
    </row>
    <row r="505" spans="1:12" hidden="1" x14ac:dyDescent="0.2">
      <c r="A505" s="352">
        <v>502</v>
      </c>
      <c r="B505" s="342"/>
      <c r="C505" s="343"/>
      <c r="D505" s="344"/>
      <c r="E505" s="343"/>
      <c r="F505" s="345"/>
      <c r="G505" s="346"/>
      <c r="H505" s="346"/>
      <c r="I505" s="347"/>
      <c r="J505" s="346"/>
      <c r="K505" s="353"/>
      <c r="L505" s="71">
        <f t="shared" si="9"/>
        <v>0</v>
      </c>
    </row>
    <row r="506" spans="1:12" hidden="1" x14ac:dyDescent="0.2">
      <c r="A506" s="352">
        <v>503</v>
      </c>
      <c r="B506" s="342"/>
      <c r="C506" s="343"/>
      <c r="D506" s="344"/>
      <c r="E506" s="343"/>
      <c r="F506" s="345"/>
      <c r="G506" s="346"/>
      <c r="H506" s="346"/>
      <c r="I506" s="347"/>
      <c r="J506" s="346"/>
      <c r="K506" s="353"/>
      <c r="L506" s="71">
        <f t="shared" si="9"/>
        <v>0</v>
      </c>
    </row>
    <row r="507" spans="1:12" hidden="1" x14ac:dyDescent="0.2">
      <c r="A507" s="352">
        <v>504</v>
      </c>
      <c r="B507" s="342"/>
      <c r="C507" s="343"/>
      <c r="D507" s="344"/>
      <c r="E507" s="343"/>
      <c r="F507" s="345"/>
      <c r="G507" s="346"/>
      <c r="H507" s="346"/>
      <c r="I507" s="347"/>
      <c r="J507" s="346"/>
      <c r="K507" s="353"/>
      <c r="L507" s="71">
        <f t="shared" si="9"/>
        <v>0</v>
      </c>
    </row>
    <row r="508" spans="1:12" hidden="1" x14ac:dyDescent="0.2">
      <c r="A508" s="352">
        <v>505</v>
      </c>
      <c r="B508" s="342"/>
      <c r="C508" s="343"/>
      <c r="D508" s="344"/>
      <c r="E508" s="343"/>
      <c r="F508" s="345"/>
      <c r="G508" s="346"/>
      <c r="H508" s="346"/>
      <c r="I508" s="347"/>
      <c r="J508" s="346"/>
      <c r="K508" s="353"/>
      <c r="L508" s="71">
        <f t="shared" si="9"/>
        <v>0</v>
      </c>
    </row>
    <row r="509" spans="1:12" hidden="1" x14ac:dyDescent="0.2">
      <c r="A509" s="352">
        <v>506</v>
      </c>
      <c r="B509" s="342"/>
      <c r="C509" s="343"/>
      <c r="D509" s="344"/>
      <c r="E509" s="343"/>
      <c r="F509" s="345"/>
      <c r="G509" s="346"/>
      <c r="H509" s="346"/>
      <c r="I509" s="347"/>
      <c r="J509" s="346"/>
      <c r="K509" s="353"/>
      <c r="L509" s="71">
        <f t="shared" si="9"/>
        <v>0</v>
      </c>
    </row>
    <row r="510" spans="1:12" hidden="1" x14ac:dyDescent="0.2">
      <c r="A510" s="352">
        <v>507</v>
      </c>
      <c r="B510" s="342"/>
      <c r="C510" s="343"/>
      <c r="D510" s="344"/>
      <c r="E510" s="343"/>
      <c r="F510" s="345"/>
      <c r="G510" s="346"/>
      <c r="H510" s="346"/>
      <c r="I510" s="347"/>
      <c r="J510" s="346"/>
      <c r="K510" s="353"/>
      <c r="L510" s="71">
        <f t="shared" si="9"/>
        <v>0</v>
      </c>
    </row>
    <row r="511" spans="1:12" hidden="1" x14ac:dyDescent="0.2">
      <c r="A511" s="352">
        <v>508</v>
      </c>
      <c r="B511" s="342"/>
      <c r="C511" s="343"/>
      <c r="D511" s="344"/>
      <c r="E511" s="343"/>
      <c r="F511" s="345"/>
      <c r="G511" s="346"/>
      <c r="H511" s="346"/>
      <c r="I511" s="347"/>
      <c r="J511" s="346"/>
      <c r="K511" s="353"/>
      <c r="L511" s="71">
        <f t="shared" si="9"/>
        <v>0</v>
      </c>
    </row>
    <row r="512" spans="1:12" hidden="1" x14ac:dyDescent="0.2">
      <c r="A512" s="352">
        <v>509</v>
      </c>
      <c r="B512" s="342"/>
      <c r="C512" s="343"/>
      <c r="D512" s="344"/>
      <c r="E512" s="343"/>
      <c r="F512" s="345"/>
      <c r="G512" s="346"/>
      <c r="H512" s="346"/>
      <c r="I512" s="347"/>
      <c r="J512" s="346"/>
      <c r="K512" s="353"/>
      <c r="L512" s="71">
        <f t="shared" si="9"/>
        <v>0</v>
      </c>
    </row>
    <row r="513" spans="1:12" hidden="1" x14ac:dyDescent="0.2">
      <c r="A513" s="352">
        <v>510</v>
      </c>
      <c r="B513" s="342"/>
      <c r="C513" s="343"/>
      <c r="D513" s="344"/>
      <c r="E513" s="343"/>
      <c r="F513" s="345"/>
      <c r="G513" s="346"/>
      <c r="H513" s="346"/>
      <c r="I513" s="347"/>
      <c r="J513" s="346"/>
      <c r="K513" s="353"/>
      <c r="L513" s="71">
        <f t="shared" ref="L513:L576" si="10">IF(B513=0,0,MONTH(B513)-$L$1+1)</f>
        <v>0</v>
      </c>
    </row>
    <row r="514" spans="1:12" hidden="1" x14ac:dyDescent="0.2">
      <c r="A514" s="352">
        <v>511</v>
      </c>
      <c r="B514" s="342"/>
      <c r="C514" s="343"/>
      <c r="D514" s="344"/>
      <c r="E514" s="343"/>
      <c r="F514" s="345"/>
      <c r="G514" s="346"/>
      <c r="H514" s="346"/>
      <c r="I514" s="347"/>
      <c r="J514" s="346"/>
      <c r="K514" s="353"/>
      <c r="L514" s="71">
        <f t="shared" si="10"/>
        <v>0</v>
      </c>
    </row>
    <row r="515" spans="1:12" hidden="1" x14ac:dyDescent="0.2">
      <c r="A515" s="352">
        <v>512</v>
      </c>
      <c r="B515" s="342"/>
      <c r="C515" s="343"/>
      <c r="D515" s="344"/>
      <c r="E515" s="343"/>
      <c r="F515" s="345"/>
      <c r="G515" s="346"/>
      <c r="H515" s="346"/>
      <c r="I515" s="347"/>
      <c r="J515" s="346"/>
      <c r="K515" s="353"/>
      <c r="L515" s="71">
        <f t="shared" si="10"/>
        <v>0</v>
      </c>
    </row>
    <row r="516" spans="1:12" hidden="1" x14ac:dyDescent="0.2">
      <c r="A516" s="352">
        <v>513</v>
      </c>
      <c r="B516" s="342"/>
      <c r="C516" s="343"/>
      <c r="D516" s="344"/>
      <c r="E516" s="343"/>
      <c r="F516" s="345"/>
      <c r="G516" s="346"/>
      <c r="H516" s="346"/>
      <c r="I516" s="347"/>
      <c r="J516" s="346"/>
      <c r="K516" s="353"/>
      <c r="L516" s="71">
        <f t="shared" si="10"/>
        <v>0</v>
      </c>
    </row>
    <row r="517" spans="1:12" hidden="1" x14ac:dyDescent="0.2">
      <c r="A517" s="352">
        <v>514</v>
      </c>
      <c r="B517" s="342"/>
      <c r="C517" s="343"/>
      <c r="D517" s="344"/>
      <c r="E517" s="343"/>
      <c r="F517" s="345"/>
      <c r="G517" s="346"/>
      <c r="H517" s="346"/>
      <c r="I517" s="347"/>
      <c r="J517" s="346"/>
      <c r="K517" s="353"/>
      <c r="L517" s="71">
        <f t="shared" si="10"/>
        <v>0</v>
      </c>
    </row>
    <row r="518" spans="1:12" hidden="1" x14ac:dyDescent="0.2">
      <c r="A518" s="352">
        <v>515</v>
      </c>
      <c r="B518" s="342"/>
      <c r="C518" s="343"/>
      <c r="D518" s="344"/>
      <c r="E518" s="343"/>
      <c r="F518" s="345"/>
      <c r="G518" s="346"/>
      <c r="H518" s="346"/>
      <c r="I518" s="347"/>
      <c r="J518" s="346"/>
      <c r="K518" s="353"/>
      <c r="L518" s="71">
        <f t="shared" si="10"/>
        <v>0</v>
      </c>
    </row>
    <row r="519" spans="1:12" hidden="1" x14ac:dyDescent="0.2">
      <c r="A519" s="352">
        <v>516</v>
      </c>
      <c r="B519" s="342"/>
      <c r="C519" s="343"/>
      <c r="D519" s="344"/>
      <c r="E519" s="343"/>
      <c r="F519" s="345"/>
      <c r="G519" s="346"/>
      <c r="H519" s="346"/>
      <c r="I519" s="347"/>
      <c r="J519" s="346"/>
      <c r="K519" s="353"/>
      <c r="L519" s="71">
        <f t="shared" si="10"/>
        <v>0</v>
      </c>
    </row>
    <row r="520" spans="1:12" hidden="1" x14ac:dyDescent="0.2">
      <c r="A520" s="352">
        <v>517</v>
      </c>
      <c r="B520" s="342"/>
      <c r="C520" s="343"/>
      <c r="D520" s="344"/>
      <c r="E520" s="343"/>
      <c r="F520" s="345"/>
      <c r="G520" s="346"/>
      <c r="H520" s="346"/>
      <c r="I520" s="347"/>
      <c r="J520" s="346"/>
      <c r="K520" s="353"/>
      <c r="L520" s="71">
        <f t="shared" si="10"/>
        <v>0</v>
      </c>
    </row>
    <row r="521" spans="1:12" hidden="1" x14ac:dyDescent="0.2">
      <c r="A521" s="352">
        <v>518</v>
      </c>
      <c r="B521" s="342"/>
      <c r="C521" s="343"/>
      <c r="D521" s="344"/>
      <c r="E521" s="343"/>
      <c r="F521" s="345"/>
      <c r="G521" s="346"/>
      <c r="H521" s="346"/>
      <c r="I521" s="347"/>
      <c r="J521" s="346"/>
      <c r="K521" s="353"/>
      <c r="L521" s="71">
        <f t="shared" si="10"/>
        <v>0</v>
      </c>
    </row>
    <row r="522" spans="1:12" hidden="1" x14ac:dyDescent="0.2">
      <c r="A522" s="352">
        <v>519</v>
      </c>
      <c r="B522" s="342"/>
      <c r="C522" s="343"/>
      <c r="D522" s="344"/>
      <c r="E522" s="343"/>
      <c r="F522" s="345"/>
      <c r="G522" s="346"/>
      <c r="H522" s="346"/>
      <c r="I522" s="347"/>
      <c r="J522" s="346"/>
      <c r="K522" s="353"/>
      <c r="L522" s="71">
        <f t="shared" si="10"/>
        <v>0</v>
      </c>
    </row>
    <row r="523" spans="1:12" hidden="1" x14ac:dyDescent="0.2">
      <c r="A523" s="352">
        <v>520</v>
      </c>
      <c r="B523" s="342"/>
      <c r="C523" s="343"/>
      <c r="D523" s="344"/>
      <c r="E523" s="343"/>
      <c r="F523" s="345"/>
      <c r="G523" s="346"/>
      <c r="H523" s="346"/>
      <c r="I523" s="347"/>
      <c r="J523" s="346"/>
      <c r="K523" s="353"/>
      <c r="L523" s="71">
        <f t="shared" si="10"/>
        <v>0</v>
      </c>
    </row>
    <row r="524" spans="1:12" hidden="1" x14ac:dyDescent="0.2">
      <c r="A524" s="352">
        <v>521</v>
      </c>
      <c r="B524" s="342"/>
      <c r="C524" s="343"/>
      <c r="D524" s="344"/>
      <c r="E524" s="343"/>
      <c r="F524" s="345"/>
      <c r="G524" s="346"/>
      <c r="H524" s="346"/>
      <c r="I524" s="347"/>
      <c r="J524" s="346"/>
      <c r="K524" s="353"/>
      <c r="L524" s="71">
        <f t="shared" si="10"/>
        <v>0</v>
      </c>
    </row>
    <row r="525" spans="1:12" hidden="1" x14ac:dyDescent="0.2">
      <c r="A525" s="352">
        <v>522</v>
      </c>
      <c r="B525" s="342"/>
      <c r="C525" s="343"/>
      <c r="D525" s="344"/>
      <c r="E525" s="343"/>
      <c r="F525" s="345"/>
      <c r="G525" s="346"/>
      <c r="H525" s="346"/>
      <c r="I525" s="347"/>
      <c r="J525" s="346"/>
      <c r="K525" s="353"/>
      <c r="L525" s="71">
        <f t="shared" si="10"/>
        <v>0</v>
      </c>
    </row>
    <row r="526" spans="1:12" hidden="1" x14ac:dyDescent="0.2">
      <c r="A526" s="352">
        <v>523</v>
      </c>
      <c r="B526" s="342"/>
      <c r="C526" s="343"/>
      <c r="D526" s="344"/>
      <c r="E526" s="343"/>
      <c r="F526" s="345"/>
      <c r="G526" s="346"/>
      <c r="H526" s="346"/>
      <c r="I526" s="347"/>
      <c r="J526" s="346"/>
      <c r="K526" s="353"/>
      <c r="L526" s="71">
        <f t="shared" si="10"/>
        <v>0</v>
      </c>
    </row>
    <row r="527" spans="1:12" hidden="1" x14ac:dyDescent="0.2">
      <c r="A527" s="352">
        <v>524</v>
      </c>
      <c r="B527" s="342"/>
      <c r="C527" s="343"/>
      <c r="D527" s="344"/>
      <c r="E527" s="343"/>
      <c r="F527" s="345"/>
      <c r="G527" s="346"/>
      <c r="H527" s="346"/>
      <c r="I527" s="347"/>
      <c r="J527" s="346"/>
      <c r="K527" s="353"/>
      <c r="L527" s="71">
        <f t="shared" si="10"/>
        <v>0</v>
      </c>
    </row>
    <row r="528" spans="1:12" hidden="1" x14ac:dyDescent="0.2">
      <c r="A528" s="352">
        <v>525</v>
      </c>
      <c r="B528" s="342"/>
      <c r="C528" s="343"/>
      <c r="D528" s="344"/>
      <c r="E528" s="343"/>
      <c r="F528" s="345"/>
      <c r="G528" s="346"/>
      <c r="H528" s="346"/>
      <c r="I528" s="347"/>
      <c r="J528" s="346"/>
      <c r="K528" s="353"/>
      <c r="L528" s="71">
        <f t="shared" si="10"/>
        <v>0</v>
      </c>
    </row>
    <row r="529" spans="1:12" hidden="1" x14ac:dyDescent="0.2">
      <c r="A529" s="352">
        <v>526</v>
      </c>
      <c r="B529" s="342"/>
      <c r="C529" s="343"/>
      <c r="D529" s="344"/>
      <c r="E529" s="343"/>
      <c r="F529" s="345"/>
      <c r="G529" s="346"/>
      <c r="H529" s="346"/>
      <c r="I529" s="347"/>
      <c r="J529" s="346"/>
      <c r="K529" s="353"/>
      <c r="L529" s="71">
        <f t="shared" si="10"/>
        <v>0</v>
      </c>
    </row>
    <row r="530" spans="1:12" hidden="1" x14ac:dyDescent="0.2">
      <c r="A530" s="352">
        <v>527</v>
      </c>
      <c r="B530" s="342"/>
      <c r="C530" s="343"/>
      <c r="D530" s="344"/>
      <c r="E530" s="343"/>
      <c r="F530" s="345"/>
      <c r="G530" s="346"/>
      <c r="H530" s="346"/>
      <c r="I530" s="347"/>
      <c r="J530" s="346"/>
      <c r="K530" s="353"/>
      <c r="L530" s="71">
        <f t="shared" si="10"/>
        <v>0</v>
      </c>
    </row>
    <row r="531" spans="1:12" hidden="1" x14ac:dyDescent="0.2">
      <c r="A531" s="352">
        <v>528</v>
      </c>
      <c r="B531" s="342"/>
      <c r="C531" s="343"/>
      <c r="D531" s="344"/>
      <c r="E531" s="343"/>
      <c r="F531" s="345"/>
      <c r="G531" s="346"/>
      <c r="H531" s="346"/>
      <c r="I531" s="347"/>
      <c r="J531" s="346"/>
      <c r="K531" s="353"/>
      <c r="L531" s="71">
        <f t="shared" si="10"/>
        <v>0</v>
      </c>
    </row>
    <row r="532" spans="1:12" hidden="1" x14ac:dyDescent="0.2">
      <c r="A532" s="352">
        <v>529</v>
      </c>
      <c r="B532" s="342"/>
      <c r="C532" s="343"/>
      <c r="D532" s="344"/>
      <c r="E532" s="343"/>
      <c r="F532" s="345"/>
      <c r="G532" s="346"/>
      <c r="H532" s="346"/>
      <c r="I532" s="347"/>
      <c r="J532" s="346"/>
      <c r="K532" s="353"/>
      <c r="L532" s="71">
        <f t="shared" si="10"/>
        <v>0</v>
      </c>
    </row>
    <row r="533" spans="1:12" hidden="1" x14ac:dyDescent="0.2">
      <c r="A533" s="352">
        <v>530</v>
      </c>
      <c r="B533" s="342"/>
      <c r="C533" s="343"/>
      <c r="D533" s="344"/>
      <c r="E533" s="343"/>
      <c r="F533" s="345"/>
      <c r="G533" s="346"/>
      <c r="H533" s="346"/>
      <c r="I533" s="347"/>
      <c r="J533" s="346"/>
      <c r="K533" s="353"/>
      <c r="L533" s="71">
        <f t="shared" si="10"/>
        <v>0</v>
      </c>
    </row>
    <row r="534" spans="1:12" hidden="1" x14ac:dyDescent="0.2">
      <c r="A534" s="352">
        <v>531</v>
      </c>
      <c r="B534" s="342"/>
      <c r="C534" s="343"/>
      <c r="D534" s="344"/>
      <c r="E534" s="343"/>
      <c r="F534" s="345"/>
      <c r="G534" s="346"/>
      <c r="H534" s="346"/>
      <c r="I534" s="347"/>
      <c r="J534" s="346"/>
      <c r="K534" s="353"/>
      <c r="L534" s="71">
        <f t="shared" si="10"/>
        <v>0</v>
      </c>
    </row>
    <row r="535" spans="1:12" hidden="1" x14ac:dyDescent="0.2">
      <c r="A535" s="352">
        <v>532</v>
      </c>
      <c r="B535" s="342"/>
      <c r="C535" s="343"/>
      <c r="D535" s="344"/>
      <c r="E535" s="343"/>
      <c r="F535" s="345"/>
      <c r="G535" s="346"/>
      <c r="H535" s="346"/>
      <c r="I535" s="347"/>
      <c r="J535" s="346"/>
      <c r="K535" s="353"/>
      <c r="L535" s="71">
        <f t="shared" si="10"/>
        <v>0</v>
      </c>
    </row>
    <row r="536" spans="1:12" hidden="1" x14ac:dyDescent="0.2">
      <c r="A536" s="352">
        <v>533</v>
      </c>
      <c r="B536" s="342"/>
      <c r="C536" s="343"/>
      <c r="D536" s="344"/>
      <c r="E536" s="343"/>
      <c r="F536" s="345"/>
      <c r="G536" s="346"/>
      <c r="H536" s="346"/>
      <c r="I536" s="347"/>
      <c r="J536" s="346"/>
      <c r="K536" s="353"/>
      <c r="L536" s="71">
        <f t="shared" si="10"/>
        <v>0</v>
      </c>
    </row>
    <row r="537" spans="1:12" hidden="1" x14ac:dyDescent="0.2">
      <c r="A537" s="352">
        <v>534</v>
      </c>
      <c r="B537" s="342"/>
      <c r="C537" s="343"/>
      <c r="D537" s="344"/>
      <c r="E537" s="343"/>
      <c r="F537" s="345"/>
      <c r="G537" s="346"/>
      <c r="H537" s="346"/>
      <c r="I537" s="347"/>
      <c r="J537" s="346"/>
      <c r="K537" s="353"/>
      <c r="L537" s="71">
        <f t="shared" si="10"/>
        <v>0</v>
      </c>
    </row>
    <row r="538" spans="1:12" hidden="1" x14ac:dyDescent="0.2">
      <c r="A538" s="352">
        <v>535</v>
      </c>
      <c r="B538" s="342"/>
      <c r="C538" s="343"/>
      <c r="D538" s="344"/>
      <c r="E538" s="343"/>
      <c r="F538" s="345"/>
      <c r="G538" s="346"/>
      <c r="H538" s="346"/>
      <c r="I538" s="347"/>
      <c r="J538" s="346"/>
      <c r="K538" s="353"/>
      <c r="L538" s="71">
        <f t="shared" si="10"/>
        <v>0</v>
      </c>
    </row>
    <row r="539" spans="1:12" hidden="1" x14ac:dyDescent="0.2">
      <c r="A539" s="352">
        <v>536</v>
      </c>
      <c r="B539" s="342"/>
      <c r="C539" s="343"/>
      <c r="D539" s="344"/>
      <c r="E539" s="343"/>
      <c r="F539" s="345"/>
      <c r="G539" s="346"/>
      <c r="H539" s="346"/>
      <c r="I539" s="347"/>
      <c r="J539" s="346"/>
      <c r="K539" s="353"/>
      <c r="L539" s="71">
        <f t="shared" si="10"/>
        <v>0</v>
      </c>
    </row>
    <row r="540" spans="1:12" hidden="1" x14ac:dyDescent="0.2">
      <c r="A540" s="352">
        <v>537</v>
      </c>
      <c r="B540" s="342"/>
      <c r="C540" s="343"/>
      <c r="D540" s="344"/>
      <c r="E540" s="343"/>
      <c r="F540" s="345"/>
      <c r="G540" s="346"/>
      <c r="H540" s="346"/>
      <c r="I540" s="347"/>
      <c r="J540" s="346"/>
      <c r="K540" s="353"/>
      <c r="L540" s="71">
        <f t="shared" si="10"/>
        <v>0</v>
      </c>
    </row>
    <row r="541" spans="1:12" hidden="1" x14ac:dyDescent="0.2">
      <c r="A541" s="352">
        <v>538</v>
      </c>
      <c r="B541" s="342"/>
      <c r="C541" s="343"/>
      <c r="D541" s="344"/>
      <c r="E541" s="343"/>
      <c r="F541" s="345"/>
      <c r="G541" s="346"/>
      <c r="H541" s="346"/>
      <c r="I541" s="347"/>
      <c r="J541" s="346"/>
      <c r="K541" s="353"/>
      <c r="L541" s="71">
        <f t="shared" si="10"/>
        <v>0</v>
      </c>
    </row>
    <row r="542" spans="1:12" hidden="1" x14ac:dyDescent="0.2">
      <c r="A542" s="352">
        <v>539</v>
      </c>
      <c r="B542" s="342"/>
      <c r="C542" s="343"/>
      <c r="D542" s="344"/>
      <c r="E542" s="343"/>
      <c r="F542" s="345"/>
      <c r="G542" s="346"/>
      <c r="H542" s="346"/>
      <c r="I542" s="347"/>
      <c r="J542" s="346"/>
      <c r="K542" s="353"/>
      <c r="L542" s="71">
        <f t="shared" si="10"/>
        <v>0</v>
      </c>
    </row>
    <row r="543" spans="1:12" hidden="1" x14ac:dyDescent="0.2">
      <c r="A543" s="352">
        <v>540</v>
      </c>
      <c r="B543" s="342"/>
      <c r="C543" s="343"/>
      <c r="D543" s="344"/>
      <c r="E543" s="343"/>
      <c r="F543" s="345"/>
      <c r="G543" s="346"/>
      <c r="H543" s="346"/>
      <c r="I543" s="347"/>
      <c r="J543" s="346"/>
      <c r="K543" s="353"/>
      <c r="L543" s="71">
        <f t="shared" si="10"/>
        <v>0</v>
      </c>
    </row>
    <row r="544" spans="1:12" hidden="1" x14ac:dyDescent="0.2">
      <c r="A544" s="352">
        <v>541</v>
      </c>
      <c r="B544" s="342"/>
      <c r="C544" s="343"/>
      <c r="D544" s="344"/>
      <c r="E544" s="343"/>
      <c r="F544" s="345"/>
      <c r="G544" s="346"/>
      <c r="H544" s="346"/>
      <c r="I544" s="347"/>
      <c r="J544" s="346"/>
      <c r="K544" s="353"/>
      <c r="L544" s="71">
        <f t="shared" si="10"/>
        <v>0</v>
      </c>
    </row>
    <row r="545" spans="1:12" hidden="1" x14ac:dyDescent="0.2">
      <c r="A545" s="352">
        <v>542</v>
      </c>
      <c r="B545" s="342"/>
      <c r="C545" s="343"/>
      <c r="D545" s="344"/>
      <c r="E545" s="343"/>
      <c r="F545" s="345"/>
      <c r="G545" s="346"/>
      <c r="H545" s="346"/>
      <c r="I545" s="347"/>
      <c r="J545" s="346"/>
      <c r="K545" s="353"/>
      <c r="L545" s="71">
        <f t="shared" si="10"/>
        <v>0</v>
      </c>
    </row>
    <row r="546" spans="1:12" hidden="1" x14ac:dyDescent="0.2">
      <c r="A546" s="352">
        <v>543</v>
      </c>
      <c r="B546" s="342"/>
      <c r="C546" s="343"/>
      <c r="D546" s="344"/>
      <c r="E546" s="343"/>
      <c r="F546" s="345"/>
      <c r="G546" s="346"/>
      <c r="H546" s="346"/>
      <c r="I546" s="347"/>
      <c r="J546" s="346"/>
      <c r="K546" s="353"/>
      <c r="L546" s="71">
        <f t="shared" si="10"/>
        <v>0</v>
      </c>
    </row>
    <row r="547" spans="1:12" hidden="1" x14ac:dyDescent="0.2">
      <c r="A547" s="352">
        <v>544</v>
      </c>
      <c r="B547" s="342"/>
      <c r="C547" s="343"/>
      <c r="D547" s="344"/>
      <c r="E547" s="343"/>
      <c r="F547" s="345"/>
      <c r="G547" s="346"/>
      <c r="H547" s="346"/>
      <c r="I547" s="347"/>
      <c r="J547" s="346"/>
      <c r="K547" s="353"/>
      <c r="L547" s="71">
        <f t="shared" si="10"/>
        <v>0</v>
      </c>
    </row>
    <row r="548" spans="1:12" hidden="1" x14ac:dyDescent="0.2">
      <c r="A548" s="352">
        <v>545</v>
      </c>
      <c r="B548" s="342"/>
      <c r="C548" s="343"/>
      <c r="D548" s="344"/>
      <c r="E548" s="343"/>
      <c r="F548" s="345"/>
      <c r="G548" s="346"/>
      <c r="H548" s="346"/>
      <c r="I548" s="347"/>
      <c r="J548" s="346"/>
      <c r="K548" s="353"/>
      <c r="L548" s="71">
        <f t="shared" si="10"/>
        <v>0</v>
      </c>
    </row>
    <row r="549" spans="1:12" hidden="1" x14ac:dyDescent="0.2">
      <c r="A549" s="352">
        <v>546</v>
      </c>
      <c r="B549" s="342"/>
      <c r="C549" s="343"/>
      <c r="D549" s="344"/>
      <c r="E549" s="343"/>
      <c r="F549" s="345"/>
      <c r="G549" s="346"/>
      <c r="H549" s="346"/>
      <c r="I549" s="347"/>
      <c r="J549" s="346"/>
      <c r="K549" s="353"/>
      <c r="L549" s="71">
        <f t="shared" si="10"/>
        <v>0</v>
      </c>
    </row>
    <row r="550" spans="1:12" hidden="1" x14ac:dyDescent="0.2">
      <c r="A550" s="352">
        <v>547</v>
      </c>
      <c r="B550" s="342"/>
      <c r="C550" s="343"/>
      <c r="D550" s="344"/>
      <c r="E550" s="343"/>
      <c r="F550" s="345"/>
      <c r="G550" s="346"/>
      <c r="H550" s="346"/>
      <c r="I550" s="347"/>
      <c r="J550" s="346"/>
      <c r="K550" s="353"/>
      <c r="L550" s="71">
        <f t="shared" si="10"/>
        <v>0</v>
      </c>
    </row>
    <row r="551" spans="1:12" hidden="1" x14ac:dyDescent="0.2">
      <c r="A551" s="352">
        <v>548</v>
      </c>
      <c r="B551" s="342"/>
      <c r="C551" s="343"/>
      <c r="D551" s="344"/>
      <c r="E551" s="343"/>
      <c r="F551" s="345"/>
      <c r="G551" s="346"/>
      <c r="H551" s="346"/>
      <c r="I551" s="347"/>
      <c r="J551" s="346"/>
      <c r="K551" s="353"/>
      <c r="L551" s="71">
        <f t="shared" si="10"/>
        <v>0</v>
      </c>
    </row>
    <row r="552" spans="1:12" hidden="1" x14ac:dyDescent="0.2">
      <c r="A552" s="352">
        <v>549</v>
      </c>
      <c r="B552" s="342"/>
      <c r="C552" s="343"/>
      <c r="D552" s="344"/>
      <c r="E552" s="343"/>
      <c r="F552" s="345"/>
      <c r="G552" s="346"/>
      <c r="H552" s="346"/>
      <c r="I552" s="347"/>
      <c r="J552" s="346"/>
      <c r="K552" s="353"/>
      <c r="L552" s="71">
        <f t="shared" si="10"/>
        <v>0</v>
      </c>
    </row>
    <row r="553" spans="1:12" hidden="1" x14ac:dyDescent="0.2">
      <c r="A553" s="352">
        <v>550</v>
      </c>
      <c r="B553" s="342"/>
      <c r="C553" s="343"/>
      <c r="D553" s="344"/>
      <c r="E553" s="343"/>
      <c r="F553" s="345"/>
      <c r="G553" s="346"/>
      <c r="H553" s="346"/>
      <c r="I553" s="347"/>
      <c r="J553" s="346"/>
      <c r="K553" s="353"/>
      <c r="L553" s="71">
        <f t="shared" si="10"/>
        <v>0</v>
      </c>
    </row>
    <row r="554" spans="1:12" hidden="1" x14ac:dyDescent="0.2">
      <c r="A554" s="352">
        <v>551</v>
      </c>
      <c r="B554" s="342"/>
      <c r="C554" s="343"/>
      <c r="D554" s="344"/>
      <c r="E554" s="343"/>
      <c r="F554" s="345"/>
      <c r="G554" s="346"/>
      <c r="H554" s="346"/>
      <c r="I554" s="347"/>
      <c r="J554" s="346"/>
      <c r="K554" s="353"/>
      <c r="L554" s="71">
        <f t="shared" si="10"/>
        <v>0</v>
      </c>
    </row>
    <row r="555" spans="1:12" hidden="1" x14ac:dyDescent="0.2">
      <c r="A555" s="352">
        <v>552</v>
      </c>
      <c r="B555" s="342"/>
      <c r="C555" s="343"/>
      <c r="D555" s="344"/>
      <c r="E555" s="343"/>
      <c r="F555" s="345"/>
      <c r="G555" s="346"/>
      <c r="H555" s="346"/>
      <c r="I555" s="347"/>
      <c r="J555" s="346"/>
      <c r="K555" s="353"/>
      <c r="L555" s="71">
        <f t="shared" si="10"/>
        <v>0</v>
      </c>
    </row>
    <row r="556" spans="1:12" hidden="1" x14ac:dyDescent="0.2">
      <c r="A556" s="352">
        <v>553</v>
      </c>
      <c r="B556" s="342"/>
      <c r="C556" s="343"/>
      <c r="D556" s="344"/>
      <c r="E556" s="343"/>
      <c r="F556" s="345"/>
      <c r="G556" s="346"/>
      <c r="H556" s="346"/>
      <c r="I556" s="347"/>
      <c r="J556" s="346"/>
      <c r="K556" s="353"/>
      <c r="L556" s="71">
        <f t="shared" si="10"/>
        <v>0</v>
      </c>
    </row>
    <row r="557" spans="1:12" hidden="1" x14ac:dyDescent="0.2">
      <c r="A557" s="352">
        <v>554</v>
      </c>
      <c r="B557" s="342"/>
      <c r="C557" s="343"/>
      <c r="D557" s="344"/>
      <c r="E557" s="343"/>
      <c r="F557" s="345"/>
      <c r="G557" s="346"/>
      <c r="H557" s="346"/>
      <c r="I557" s="347"/>
      <c r="J557" s="346"/>
      <c r="K557" s="353"/>
      <c r="L557" s="71">
        <f t="shared" si="10"/>
        <v>0</v>
      </c>
    </row>
    <row r="558" spans="1:12" hidden="1" x14ac:dyDescent="0.2">
      <c r="A558" s="352">
        <v>555</v>
      </c>
      <c r="B558" s="342"/>
      <c r="C558" s="343"/>
      <c r="D558" s="344"/>
      <c r="E558" s="343"/>
      <c r="F558" s="345"/>
      <c r="G558" s="346"/>
      <c r="H558" s="346"/>
      <c r="I558" s="347"/>
      <c r="J558" s="346"/>
      <c r="K558" s="353"/>
      <c r="L558" s="71">
        <f t="shared" si="10"/>
        <v>0</v>
      </c>
    </row>
    <row r="559" spans="1:12" hidden="1" x14ac:dyDescent="0.2">
      <c r="A559" s="352">
        <v>556</v>
      </c>
      <c r="B559" s="342"/>
      <c r="C559" s="343"/>
      <c r="D559" s="344"/>
      <c r="E559" s="343"/>
      <c r="F559" s="345"/>
      <c r="G559" s="346"/>
      <c r="H559" s="346"/>
      <c r="I559" s="347"/>
      <c r="J559" s="346"/>
      <c r="K559" s="353"/>
      <c r="L559" s="71">
        <f t="shared" si="10"/>
        <v>0</v>
      </c>
    </row>
    <row r="560" spans="1:12" hidden="1" x14ac:dyDescent="0.2">
      <c r="A560" s="352">
        <v>557</v>
      </c>
      <c r="B560" s="342"/>
      <c r="C560" s="343"/>
      <c r="D560" s="344"/>
      <c r="E560" s="343"/>
      <c r="F560" s="345"/>
      <c r="G560" s="346"/>
      <c r="H560" s="346"/>
      <c r="I560" s="347"/>
      <c r="J560" s="346"/>
      <c r="K560" s="353"/>
      <c r="L560" s="71">
        <f t="shared" si="10"/>
        <v>0</v>
      </c>
    </row>
    <row r="561" spans="1:12" hidden="1" x14ac:dyDescent="0.2">
      <c r="A561" s="352">
        <v>558</v>
      </c>
      <c r="B561" s="342"/>
      <c r="C561" s="343"/>
      <c r="D561" s="344"/>
      <c r="E561" s="343"/>
      <c r="F561" s="345"/>
      <c r="G561" s="346"/>
      <c r="H561" s="346"/>
      <c r="I561" s="347"/>
      <c r="J561" s="346"/>
      <c r="K561" s="353"/>
      <c r="L561" s="71">
        <f t="shared" si="10"/>
        <v>0</v>
      </c>
    </row>
    <row r="562" spans="1:12" hidden="1" x14ac:dyDescent="0.2">
      <c r="A562" s="352">
        <v>559</v>
      </c>
      <c r="B562" s="342"/>
      <c r="C562" s="343"/>
      <c r="D562" s="344"/>
      <c r="E562" s="343"/>
      <c r="F562" s="345"/>
      <c r="G562" s="346"/>
      <c r="H562" s="346"/>
      <c r="I562" s="347"/>
      <c r="J562" s="346"/>
      <c r="K562" s="353"/>
      <c r="L562" s="71">
        <f t="shared" si="10"/>
        <v>0</v>
      </c>
    </row>
    <row r="563" spans="1:12" hidden="1" x14ac:dyDescent="0.2">
      <c r="A563" s="352">
        <v>560</v>
      </c>
      <c r="B563" s="342"/>
      <c r="C563" s="343"/>
      <c r="D563" s="344"/>
      <c r="E563" s="343"/>
      <c r="F563" s="345"/>
      <c r="G563" s="346"/>
      <c r="H563" s="346"/>
      <c r="I563" s="347"/>
      <c r="J563" s="346"/>
      <c r="K563" s="353"/>
      <c r="L563" s="71">
        <f t="shared" si="10"/>
        <v>0</v>
      </c>
    </row>
    <row r="564" spans="1:12" hidden="1" x14ac:dyDescent="0.2">
      <c r="A564" s="352">
        <v>561</v>
      </c>
      <c r="B564" s="342"/>
      <c r="C564" s="343"/>
      <c r="D564" s="344"/>
      <c r="E564" s="343"/>
      <c r="F564" s="345"/>
      <c r="G564" s="346"/>
      <c r="H564" s="346"/>
      <c r="I564" s="347"/>
      <c r="J564" s="346"/>
      <c r="K564" s="353"/>
      <c r="L564" s="71">
        <f t="shared" si="10"/>
        <v>0</v>
      </c>
    </row>
    <row r="565" spans="1:12" hidden="1" x14ac:dyDescent="0.2">
      <c r="A565" s="352">
        <v>562</v>
      </c>
      <c r="B565" s="342"/>
      <c r="C565" s="343"/>
      <c r="D565" s="344"/>
      <c r="E565" s="343"/>
      <c r="F565" s="345"/>
      <c r="G565" s="346"/>
      <c r="H565" s="346"/>
      <c r="I565" s="347"/>
      <c r="J565" s="346"/>
      <c r="K565" s="353"/>
      <c r="L565" s="71">
        <f t="shared" si="10"/>
        <v>0</v>
      </c>
    </row>
    <row r="566" spans="1:12" hidden="1" x14ac:dyDescent="0.2">
      <c r="A566" s="352">
        <v>563</v>
      </c>
      <c r="B566" s="342"/>
      <c r="C566" s="343"/>
      <c r="D566" s="344"/>
      <c r="E566" s="343"/>
      <c r="F566" s="345"/>
      <c r="G566" s="346"/>
      <c r="H566" s="346"/>
      <c r="I566" s="347"/>
      <c r="J566" s="346"/>
      <c r="K566" s="353"/>
      <c r="L566" s="71">
        <f t="shared" si="10"/>
        <v>0</v>
      </c>
    </row>
    <row r="567" spans="1:12" hidden="1" x14ac:dyDescent="0.2">
      <c r="A567" s="352">
        <v>564</v>
      </c>
      <c r="B567" s="342"/>
      <c r="C567" s="343"/>
      <c r="D567" s="344"/>
      <c r="E567" s="343"/>
      <c r="F567" s="345"/>
      <c r="G567" s="346"/>
      <c r="H567" s="346"/>
      <c r="I567" s="347"/>
      <c r="J567" s="346"/>
      <c r="K567" s="353"/>
      <c r="L567" s="71">
        <f t="shared" si="10"/>
        <v>0</v>
      </c>
    </row>
    <row r="568" spans="1:12" hidden="1" x14ac:dyDescent="0.2">
      <c r="A568" s="352">
        <v>565</v>
      </c>
      <c r="B568" s="342"/>
      <c r="C568" s="343"/>
      <c r="D568" s="344"/>
      <c r="E568" s="343"/>
      <c r="F568" s="345"/>
      <c r="G568" s="346"/>
      <c r="H568" s="346"/>
      <c r="I568" s="347"/>
      <c r="J568" s="346"/>
      <c r="K568" s="353"/>
      <c r="L568" s="71">
        <f t="shared" si="10"/>
        <v>0</v>
      </c>
    </row>
    <row r="569" spans="1:12" hidden="1" x14ac:dyDescent="0.2">
      <c r="A569" s="352">
        <v>566</v>
      </c>
      <c r="B569" s="342"/>
      <c r="C569" s="343"/>
      <c r="D569" s="344"/>
      <c r="E569" s="343"/>
      <c r="F569" s="345"/>
      <c r="G569" s="346"/>
      <c r="H569" s="346"/>
      <c r="I569" s="347"/>
      <c r="J569" s="346"/>
      <c r="K569" s="353"/>
      <c r="L569" s="71">
        <f t="shared" si="10"/>
        <v>0</v>
      </c>
    </row>
    <row r="570" spans="1:12" hidden="1" x14ac:dyDescent="0.2">
      <c r="A570" s="352">
        <v>567</v>
      </c>
      <c r="B570" s="342"/>
      <c r="C570" s="343"/>
      <c r="D570" s="344"/>
      <c r="E570" s="343"/>
      <c r="F570" s="345"/>
      <c r="G570" s="346"/>
      <c r="H570" s="346"/>
      <c r="I570" s="347"/>
      <c r="J570" s="346"/>
      <c r="K570" s="353"/>
      <c r="L570" s="71">
        <f t="shared" si="10"/>
        <v>0</v>
      </c>
    </row>
    <row r="571" spans="1:12" hidden="1" x14ac:dyDescent="0.2">
      <c r="A571" s="352">
        <v>568</v>
      </c>
      <c r="B571" s="342"/>
      <c r="C571" s="343"/>
      <c r="D571" s="344"/>
      <c r="E571" s="343"/>
      <c r="F571" s="345"/>
      <c r="G571" s="346"/>
      <c r="H571" s="346"/>
      <c r="I571" s="347"/>
      <c r="J571" s="346"/>
      <c r="K571" s="353"/>
      <c r="L571" s="71">
        <f t="shared" si="10"/>
        <v>0</v>
      </c>
    </row>
    <row r="572" spans="1:12" hidden="1" x14ac:dyDescent="0.2">
      <c r="A572" s="352">
        <v>569</v>
      </c>
      <c r="B572" s="342"/>
      <c r="C572" s="343"/>
      <c r="D572" s="344"/>
      <c r="E572" s="343"/>
      <c r="F572" s="345"/>
      <c r="G572" s="346"/>
      <c r="H572" s="346"/>
      <c r="I572" s="347"/>
      <c r="J572" s="346"/>
      <c r="K572" s="353"/>
      <c r="L572" s="71">
        <f t="shared" si="10"/>
        <v>0</v>
      </c>
    </row>
    <row r="573" spans="1:12" hidden="1" x14ac:dyDescent="0.2">
      <c r="A573" s="352">
        <v>570</v>
      </c>
      <c r="B573" s="342"/>
      <c r="C573" s="343"/>
      <c r="D573" s="344"/>
      <c r="E573" s="343"/>
      <c r="F573" s="345"/>
      <c r="G573" s="346"/>
      <c r="H573" s="346"/>
      <c r="I573" s="347"/>
      <c r="J573" s="346"/>
      <c r="K573" s="353"/>
      <c r="L573" s="71">
        <f t="shared" si="10"/>
        <v>0</v>
      </c>
    </row>
    <row r="574" spans="1:12" hidden="1" x14ac:dyDescent="0.2">
      <c r="A574" s="352">
        <v>571</v>
      </c>
      <c r="B574" s="342"/>
      <c r="C574" s="343"/>
      <c r="D574" s="344"/>
      <c r="E574" s="343"/>
      <c r="F574" s="345"/>
      <c r="G574" s="346"/>
      <c r="H574" s="346"/>
      <c r="I574" s="347"/>
      <c r="J574" s="346"/>
      <c r="K574" s="353"/>
      <c r="L574" s="71">
        <f t="shared" si="10"/>
        <v>0</v>
      </c>
    </row>
    <row r="575" spans="1:12" hidden="1" x14ac:dyDescent="0.2">
      <c r="A575" s="352">
        <v>572</v>
      </c>
      <c r="B575" s="342"/>
      <c r="C575" s="343"/>
      <c r="D575" s="344"/>
      <c r="E575" s="343"/>
      <c r="F575" s="345"/>
      <c r="G575" s="346"/>
      <c r="H575" s="346"/>
      <c r="I575" s="347"/>
      <c r="J575" s="346"/>
      <c r="K575" s="353"/>
      <c r="L575" s="71">
        <f t="shared" si="10"/>
        <v>0</v>
      </c>
    </row>
    <row r="576" spans="1:12" hidden="1" x14ac:dyDescent="0.2">
      <c r="A576" s="352">
        <v>573</v>
      </c>
      <c r="B576" s="342"/>
      <c r="C576" s="343"/>
      <c r="D576" s="344"/>
      <c r="E576" s="343"/>
      <c r="F576" s="345"/>
      <c r="G576" s="346"/>
      <c r="H576" s="346"/>
      <c r="I576" s="347"/>
      <c r="J576" s="346"/>
      <c r="K576" s="353"/>
      <c r="L576" s="71">
        <f t="shared" si="10"/>
        <v>0</v>
      </c>
    </row>
    <row r="577" spans="1:12" hidden="1" x14ac:dyDescent="0.2">
      <c r="A577" s="352">
        <v>574</v>
      </c>
      <c r="B577" s="342"/>
      <c r="C577" s="343"/>
      <c r="D577" s="344"/>
      <c r="E577" s="343"/>
      <c r="F577" s="345"/>
      <c r="G577" s="346"/>
      <c r="H577" s="346"/>
      <c r="I577" s="347"/>
      <c r="J577" s="346"/>
      <c r="K577" s="353"/>
      <c r="L577" s="71">
        <f t="shared" ref="L577:L640" si="11">IF(B577=0,0,MONTH(B577)-$L$1+1)</f>
        <v>0</v>
      </c>
    </row>
    <row r="578" spans="1:12" hidden="1" x14ac:dyDescent="0.2">
      <c r="A578" s="352">
        <v>575</v>
      </c>
      <c r="B578" s="342"/>
      <c r="C578" s="343"/>
      <c r="D578" s="344"/>
      <c r="E578" s="343"/>
      <c r="F578" s="345"/>
      <c r="G578" s="346"/>
      <c r="H578" s="346"/>
      <c r="I578" s="347"/>
      <c r="J578" s="346"/>
      <c r="K578" s="353"/>
      <c r="L578" s="71">
        <f t="shared" si="11"/>
        <v>0</v>
      </c>
    </row>
    <row r="579" spans="1:12" hidden="1" x14ac:dyDescent="0.2">
      <c r="A579" s="352">
        <v>576</v>
      </c>
      <c r="B579" s="342"/>
      <c r="C579" s="343"/>
      <c r="D579" s="344"/>
      <c r="E579" s="343"/>
      <c r="F579" s="345"/>
      <c r="G579" s="346"/>
      <c r="H579" s="346"/>
      <c r="I579" s="347"/>
      <c r="J579" s="346"/>
      <c r="K579" s="353"/>
      <c r="L579" s="71">
        <f t="shared" si="11"/>
        <v>0</v>
      </c>
    </row>
    <row r="580" spans="1:12" hidden="1" x14ac:dyDescent="0.2">
      <c r="A580" s="352">
        <v>577</v>
      </c>
      <c r="B580" s="342"/>
      <c r="C580" s="343"/>
      <c r="D580" s="344"/>
      <c r="E580" s="343"/>
      <c r="F580" s="345"/>
      <c r="G580" s="346"/>
      <c r="H580" s="346"/>
      <c r="I580" s="347"/>
      <c r="J580" s="346"/>
      <c r="K580" s="353"/>
      <c r="L580" s="71">
        <f t="shared" si="11"/>
        <v>0</v>
      </c>
    </row>
    <row r="581" spans="1:12" hidden="1" x14ac:dyDescent="0.2">
      <c r="A581" s="352">
        <v>578</v>
      </c>
      <c r="B581" s="342"/>
      <c r="C581" s="343"/>
      <c r="D581" s="344"/>
      <c r="E581" s="343"/>
      <c r="F581" s="345"/>
      <c r="G581" s="346"/>
      <c r="H581" s="346"/>
      <c r="I581" s="347"/>
      <c r="J581" s="346"/>
      <c r="K581" s="353"/>
      <c r="L581" s="71">
        <f t="shared" si="11"/>
        <v>0</v>
      </c>
    </row>
    <row r="582" spans="1:12" hidden="1" x14ac:dyDescent="0.2">
      <c r="A582" s="352">
        <v>579</v>
      </c>
      <c r="B582" s="342"/>
      <c r="C582" s="343"/>
      <c r="D582" s="344"/>
      <c r="E582" s="343"/>
      <c r="F582" s="345"/>
      <c r="G582" s="346"/>
      <c r="H582" s="346"/>
      <c r="I582" s="347"/>
      <c r="J582" s="346"/>
      <c r="K582" s="353"/>
      <c r="L582" s="71">
        <f t="shared" si="11"/>
        <v>0</v>
      </c>
    </row>
    <row r="583" spans="1:12" hidden="1" x14ac:dyDescent="0.2">
      <c r="A583" s="352">
        <v>580</v>
      </c>
      <c r="B583" s="342"/>
      <c r="C583" s="343"/>
      <c r="D583" s="344"/>
      <c r="E583" s="343"/>
      <c r="F583" s="345"/>
      <c r="G583" s="346"/>
      <c r="H583" s="346"/>
      <c r="I583" s="347"/>
      <c r="J583" s="346"/>
      <c r="K583" s="353"/>
      <c r="L583" s="71">
        <f t="shared" si="11"/>
        <v>0</v>
      </c>
    </row>
    <row r="584" spans="1:12" hidden="1" x14ac:dyDescent="0.2">
      <c r="A584" s="352">
        <v>581</v>
      </c>
      <c r="B584" s="342"/>
      <c r="C584" s="343"/>
      <c r="D584" s="344"/>
      <c r="E584" s="343"/>
      <c r="F584" s="345"/>
      <c r="G584" s="346"/>
      <c r="H584" s="346"/>
      <c r="I584" s="347"/>
      <c r="J584" s="346"/>
      <c r="K584" s="353"/>
      <c r="L584" s="71">
        <f t="shared" si="11"/>
        <v>0</v>
      </c>
    </row>
    <row r="585" spans="1:12" hidden="1" x14ac:dyDescent="0.2">
      <c r="A585" s="352">
        <v>582</v>
      </c>
      <c r="B585" s="342"/>
      <c r="C585" s="343"/>
      <c r="D585" s="344"/>
      <c r="E585" s="343"/>
      <c r="F585" s="345"/>
      <c r="G585" s="346"/>
      <c r="H585" s="346"/>
      <c r="I585" s="347"/>
      <c r="J585" s="346"/>
      <c r="K585" s="353"/>
      <c r="L585" s="71">
        <f t="shared" si="11"/>
        <v>0</v>
      </c>
    </row>
    <row r="586" spans="1:12" hidden="1" x14ac:dyDescent="0.2">
      <c r="A586" s="352">
        <v>583</v>
      </c>
      <c r="B586" s="342"/>
      <c r="C586" s="343"/>
      <c r="D586" s="344"/>
      <c r="E586" s="343"/>
      <c r="F586" s="345"/>
      <c r="G586" s="346"/>
      <c r="H586" s="346"/>
      <c r="I586" s="347"/>
      <c r="J586" s="346"/>
      <c r="K586" s="353"/>
      <c r="L586" s="71">
        <f t="shared" si="11"/>
        <v>0</v>
      </c>
    </row>
    <row r="587" spans="1:12" hidden="1" x14ac:dyDescent="0.2">
      <c r="A587" s="352">
        <v>584</v>
      </c>
      <c r="B587" s="342"/>
      <c r="C587" s="343"/>
      <c r="D587" s="344"/>
      <c r="E587" s="343"/>
      <c r="F587" s="345"/>
      <c r="G587" s="346"/>
      <c r="H587" s="346"/>
      <c r="I587" s="347"/>
      <c r="J587" s="346"/>
      <c r="K587" s="353"/>
      <c r="L587" s="71">
        <f t="shared" si="11"/>
        <v>0</v>
      </c>
    </row>
    <row r="588" spans="1:12" hidden="1" x14ac:dyDescent="0.2">
      <c r="A588" s="352">
        <v>585</v>
      </c>
      <c r="B588" s="342"/>
      <c r="C588" s="343"/>
      <c r="D588" s="344"/>
      <c r="E588" s="343"/>
      <c r="F588" s="345"/>
      <c r="G588" s="346"/>
      <c r="H588" s="346"/>
      <c r="I588" s="347"/>
      <c r="J588" s="346"/>
      <c r="K588" s="353"/>
      <c r="L588" s="71">
        <f t="shared" si="11"/>
        <v>0</v>
      </c>
    </row>
    <row r="589" spans="1:12" hidden="1" x14ac:dyDescent="0.2">
      <c r="A589" s="352">
        <v>586</v>
      </c>
      <c r="B589" s="342"/>
      <c r="C589" s="343"/>
      <c r="D589" s="344"/>
      <c r="E589" s="343"/>
      <c r="F589" s="345"/>
      <c r="G589" s="346"/>
      <c r="H589" s="346"/>
      <c r="I589" s="347"/>
      <c r="J589" s="346"/>
      <c r="K589" s="353"/>
      <c r="L589" s="71">
        <f t="shared" si="11"/>
        <v>0</v>
      </c>
    </row>
    <row r="590" spans="1:12" hidden="1" x14ac:dyDescent="0.2">
      <c r="A590" s="352">
        <v>587</v>
      </c>
      <c r="B590" s="342"/>
      <c r="C590" s="343"/>
      <c r="D590" s="344"/>
      <c r="E590" s="343"/>
      <c r="F590" s="345"/>
      <c r="G590" s="346"/>
      <c r="H590" s="346"/>
      <c r="I590" s="347"/>
      <c r="J590" s="346"/>
      <c r="K590" s="353"/>
      <c r="L590" s="71">
        <f t="shared" si="11"/>
        <v>0</v>
      </c>
    </row>
    <row r="591" spans="1:12" hidden="1" x14ac:dyDescent="0.2">
      <c r="A591" s="352">
        <v>588</v>
      </c>
      <c r="B591" s="342"/>
      <c r="C591" s="343"/>
      <c r="D591" s="344"/>
      <c r="E591" s="343"/>
      <c r="F591" s="345"/>
      <c r="G591" s="346"/>
      <c r="H591" s="346"/>
      <c r="I591" s="347"/>
      <c r="J591" s="346"/>
      <c r="K591" s="353"/>
      <c r="L591" s="71">
        <f t="shared" si="11"/>
        <v>0</v>
      </c>
    </row>
    <row r="592" spans="1:12" hidden="1" x14ac:dyDescent="0.2">
      <c r="A592" s="352">
        <v>589</v>
      </c>
      <c r="B592" s="342"/>
      <c r="C592" s="343"/>
      <c r="D592" s="344"/>
      <c r="E592" s="343"/>
      <c r="F592" s="345"/>
      <c r="G592" s="346"/>
      <c r="H592" s="346"/>
      <c r="I592" s="347"/>
      <c r="J592" s="346"/>
      <c r="K592" s="353"/>
      <c r="L592" s="71">
        <f t="shared" si="11"/>
        <v>0</v>
      </c>
    </row>
    <row r="593" spans="1:12" hidden="1" x14ac:dyDescent="0.2">
      <c r="A593" s="352">
        <v>590</v>
      </c>
      <c r="B593" s="342"/>
      <c r="C593" s="343"/>
      <c r="D593" s="344"/>
      <c r="E593" s="343"/>
      <c r="F593" s="345"/>
      <c r="G593" s="346"/>
      <c r="H593" s="346"/>
      <c r="I593" s="347"/>
      <c r="J593" s="346"/>
      <c r="K593" s="353"/>
      <c r="L593" s="71">
        <f t="shared" si="11"/>
        <v>0</v>
      </c>
    </row>
    <row r="594" spans="1:12" hidden="1" x14ac:dyDescent="0.2">
      <c r="A594" s="352">
        <v>591</v>
      </c>
      <c r="B594" s="342"/>
      <c r="C594" s="343"/>
      <c r="D594" s="344"/>
      <c r="E594" s="343"/>
      <c r="F594" s="345"/>
      <c r="G594" s="346"/>
      <c r="H594" s="346"/>
      <c r="I594" s="347"/>
      <c r="J594" s="346"/>
      <c r="K594" s="353"/>
      <c r="L594" s="71">
        <f t="shared" si="11"/>
        <v>0</v>
      </c>
    </row>
    <row r="595" spans="1:12" hidden="1" x14ac:dyDescent="0.2">
      <c r="A595" s="352">
        <v>592</v>
      </c>
      <c r="B595" s="342"/>
      <c r="C595" s="343"/>
      <c r="D595" s="344"/>
      <c r="E595" s="343"/>
      <c r="F595" s="345"/>
      <c r="G595" s="346"/>
      <c r="H595" s="346"/>
      <c r="I595" s="347"/>
      <c r="J595" s="346"/>
      <c r="K595" s="353"/>
      <c r="L595" s="71">
        <f t="shared" si="11"/>
        <v>0</v>
      </c>
    </row>
    <row r="596" spans="1:12" hidden="1" x14ac:dyDescent="0.2">
      <c r="A596" s="352">
        <v>593</v>
      </c>
      <c r="B596" s="342"/>
      <c r="C596" s="343"/>
      <c r="D596" s="344"/>
      <c r="E596" s="343"/>
      <c r="F596" s="345"/>
      <c r="G596" s="346"/>
      <c r="H596" s="346"/>
      <c r="I596" s="347"/>
      <c r="J596" s="346"/>
      <c r="K596" s="353"/>
      <c r="L596" s="71">
        <f t="shared" si="11"/>
        <v>0</v>
      </c>
    </row>
    <row r="597" spans="1:12" hidden="1" x14ac:dyDescent="0.2">
      <c r="A597" s="352">
        <v>594</v>
      </c>
      <c r="B597" s="342"/>
      <c r="C597" s="343"/>
      <c r="D597" s="344"/>
      <c r="E597" s="343"/>
      <c r="F597" s="345"/>
      <c r="G597" s="346"/>
      <c r="H597" s="346"/>
      <c r="I597" s="347"/>
      <c r="J597" s="346"/>
      <c r="K597" s="353"/>
      <c r="L597" s="71">
        <f t="shared" si="11"/>
        <v>0</v>
      </c>
    </row>
    <row r="598" spans="1:12" hidden="1" x14ac:dyDescent="0.2">
      <c r="A598" s="352">
        <v>595</v>
      </c>
      <c r="B598" s="342"/>
      <c r="C598" s="343"/>
      <c r="D598" s="344"/>
      <c r="E598" s="343"/>
      <c r="F598" s="345"/>
      <c r="G598" s="346"/>
      <c r="H598" s="346"/>
      <c r="I598" s="347"/>
      <c r="J598" s="346"/>
      <c r="K598" s="353"/>
      <c r="L598" s="71">
        <f t="shared" si="11"/>
        <v>0</v>
      </c>
    </row>
    <row r="599" spans="1:12" hidden="1" x14ac:dyDescent="0.2">
      <c r="A599" s="352">
        <v>596</v>
      </c>
      <c r="B599" s="342"/>
      <c r="C599" s="343"/>
      <c r="D599" s="344"/>
      <c r="E599" s="343"/>
      <c r="F599" s="345"/>
      <c r="G599" s="346"/>
      <c r="H599" s="346"/>
      <c r="I599" s="347"/>
      <c r="J599" s="346"/>
      <c r="K599" s="353"/>
      <c r="L599" s="71">
        <f t="shared" si="11"/>
        <v>0</v>
      </c>
    </row>
    <row r="600" spans="1:12" hidden="1" x14ac:dyDescent="0.2">
      <c r="A600" s="352">
        <v>597</v>
      </c>
      <c r="B600" s="342"/>
      <c r="C600" s="343"/>
      <c r="D600" s="344"/>
      <c r="E600" s="343"/>
      <c r="F600" s="345"/>
      <c r="G600" s="346"/>
      <c r="H600" s="346"/>
      <c r="I600" s="347"/>
      <c r="J600" s="346"/>
      <c r="K600" s="353"/>
      <c r="L600" s="71">
        <f t="shared" si="11"/>
        <v>0</v>
      </c>
    </row>
    <row r="601" spans="1:12" hidden="1" x14ac:dyDescent="0.2">
      <c r="A601" s="352">
        <v>598</v>
      </c>
      <c r="B601" s="342"/>
      <c r="C601" s="343"/>
      <c r="D601" s="344"/>
      <c r="E601" s="343"/>
      <c r="F601" s="345"/>
      <c r="G601" s="346"/>
      <c r="H601" s="346"/>
      <c r="I601" s="347"/>
      <c r="J601" s="346"/>
      <c r="K601" s="353"/>
      <c r="L601" s="71">
        <f t="shared" si="11"/>
        <v>0</v>
      </c>
    </row>
    <row r="602" spans="1:12" hidden="1" x14ac:dyDescent="0.2">
      <c r="A602" s="352">
        <v>599</v>
      </c>
      <c r="B602" s="342"/>
      <c r="C602" s="343"/>
      <c r="D602" s="344"/>
      <c r="E602" s="343"/>
      <c r="F602" s="345"/>
      <c r="G602" s="346"/>
      <c r="H602" s="346"/>
      <c r="I602" s="347"/>
      <c r="J602" s="346"/>
      <c r="K602" s="353"/>
      <c r="L602" s="71">
        <f t="shared" si="11"/>
        <v>0</v>
      </c>
    </row>
    <row r="603" spans="1:12" hidden="1" x14ac:dyDescent="0.2">
      <c r="A603" s="352">
        <v>600</v>
      </c>
      <c r="B603" s="342"/>
      <c r="C603" s="343"/>
      <c r="D603" s="344"/>
      <c r="E603" s="343"/>
      <c r="F603" s="345"/>
      <c r="G603" s="346"/>
      <c r="H603" s="346"/>
      <c r="I603" s="347"/>
      <c r="J603" s="346"/>
      <c r="K603" s="353"/>
      <c r="L603" s="71">
        <f t="shared" si="11"/>
        <v>0</v>
      </c>
    </row>
    <row r="604" spans="1:12" hidden="1" x14ac:dyDescent="0.2">
      <c r="A604" s="352">
        <v>601</v>
      </c>
      <c r="B604" s="342"/>
      <c r="C604" s="343"/>
      <c r="D604" s="344"/>
      <c r="E604" s="343"/>
      <c r="F604" s="345"/>
      <c r="G604" s="346"/>
      <c r="H604" s="346"/>
      <c r="I604" s="347"/>
      <c r="J604" s="346"/>
      <c r="K604" s="353"/>
      <c r="L604" s="71">
        <f t="shared" si="11"/>
        <v>0</v>
      </c>
    </row>
    <row r="605" spans="1:12" hidden="1" x14ac:dyDescent="0.2">
      <c r="A605" s="352">
        <v>602</v>
      </c>
      <c r="B605" s="342"/>
      <c r="C605" s="343"/>
      <c r="D605" s="344"/>
      <c r="E605" s="343"/>
      <c r="F605" s="345"/>
      <c r="G605" s="346"/>
      <c r="H605" s="346"/>
      <c r="I605" s="347"/>
      <c r="J605" s="346"/>
      <c r="K605" s="353"/>
      <c r="L605" s="71">
        <f t="shared" si="11"/>
        <v>0</v>
      </c>
    </row>
    <row r="606" spans="1:12" hidden="1" x14ac:dyDescent="0.2">
      <c r="A606" s="352">
        <v>603</v>
      </c>
      <c r="B606" s="342"/>
      <c r="C606" s="343"/>
      <c r="D606" s="344"/>
      <c r="E606" s="343"/>
      <c r="F606" s="345"/>
      <c r="G606" s="346"/>
      <c r="H606" s="346"/>
      <c r="I606" s="347"/>
      <c r="J606" s="346"/>
      <c r="K606" s="353"/>
      <c r="L606" s="71">
        <f t="shared" si="11"/>
        <v>0</v>
      </c>
    </row>
    <row r="607" spans="1:12" hidden="1" x14ac:dyDescent="0.2">
      <c r="A607" s="352">
        <v>604</v>
      </c>
      <c r="B607" s="342"/>
      <c r="C607" s="343"/>
      <c r="D607" s="344"/>
      <c r="E607" s="343"/>
      <c r="F607" s="345"/>
      <c r="G607" s="346"/>
      <c r="H607" s="346"/>
      <c r="I607" s="347"/>
      <c r="J607" s="346"/>
      <c r="K607" s="353"/>
      <c r="L607" s="71">
        <f t="shared" si="11"/>
        <v>0</v>
      </c>
    </row>
    <row r="608" spans="1:12" hidden="1" x14ac:dyDescent="0.2">
      <c r="A608" s="352">
        <v>605</v>
      </c>
      <c r="B608" s="342"/>
      <c r="C608" s="343"/>
      <c r="D608" s="344"/>
      <c r="E608" s="343"/>
      <c r="F608" s="345"/>
      <c r="G608" s="346"/>
      <c r="H608" s="346"/>
      <c r="I608" s="347"/>
      <c r="J608" s="346"/>
      <c r="K608" s="353"/>
      <c r="L608" s="71">
        <f t="shared" si="11"/>
        <v>0</v>
      </c>
    </row>
    <row r="609" spans="1:12" hidden="1" x14ac:dyDescent="0.2">
      <c r="A609" s="352">
        <v>606</v>
      </c>
      <c r="B609" s="342"/>
      <c r="C609" s="343"/>
      <c r="D609" s="344"/>
      <c r="E609" s="343"/>
      <c r="F609" s="345"/>
      <c r="G609" s="346"/>
      <c r="H609" s="346"/>
      <c r="I609" s="347"/>
      <c r="J609" s="346"/>
      <c r="K609" s="353"/>
      <c r="L609" s="71">
        <f t="shared" si="11"/>
        <v>0</v>
      </c>
    </row>
    <row r="610" spans="1:12" hidden="1" x14ac:dyDescent="0.2">
      <c r="A610" s="352">
        <v>607</v>
      </c>
      <c r="B610" s="342"/>
      <c r="C610" s="343"/>
      <c r="D610" s="344"/>
      <c r="E610" s="343"/>
      <c r="F610" s="345"/>
      <c r="G610" s="346"/>
      <c r="H610" s="346"/>
      <c r="I610" s="347"/>
      <c r="J610" s="346"/>
      <c r="K610" s="353"/>
      <c r="L610" s="71">
        <f t="shared" si="11"/>
        <v>0</v>
      </c>
    </row>
    <row r="611" spans="1:12" hidden="1" x14ac:dyDescent="0.2">
      <c r="A611" s="352">
        <v>608</v>
      </c>
      <c r="B611" s="342"/>
      <c r="C611" s="343"/>
      <c r="D611" s="344"/>
      <c r="E611" s="343"/>
      <c r="F611" s="345"/>
      <c r="G611" s="346"/>
      <c r="H611" s="346"/>
      <c r="I611" s="347"/>
      <c r="J611" s="346"/>
      <c r="K611" s="353"/>
      <c r="L611" s="71">
        <f t="shared" si="11"/>
        <v>0</v>
      </c>
    </row>
    <row r="612" spans="1:12" hidden="1" x14ac:dyDescent="0.2">
      <c r="A612" s="352">
        <v>609</v>
      </c>
      <c r="B612" s="342"/>
      <c r="C612" s="343"/>
      <c r="D612" s="344"/>
      <c r="E612" s="343"/>
      <c r="F612" s="345"/>
      <c r="G612" s="346"/>
      <c r="H612" s="346"/>
      <c r="I612" s="347"/>
      <c r="J612" s="346"/>
      <c r="K612" s="353"/>
      <c r="L612" s="71">
        <f t="shared" si="11"/>
        <v>0</v>
      </c>
    </row>
    <row r="613" spans="1:12" hidden="1" x14ac:dyDescent="0.2">
      <c r="A613" s="352">
        <v>610</v>
      </c>
      <c r="B613" s="342"/>
      <c r="C613" s="343"/>
      <c r="D613" s="344"/>
      <c r="E613" s="343"/>
      <c r="F613" s="345"/>
      <c r="G613" s="346"/>
      <c r="H613" s="346"/>
      <c r="I613" s="347"/>
      <c r="J613" s="346"/>
      <c r="K613" s="353"/>
      <c r="L613" s="71">
        <f t="shared" si="11"/>
        <v>0</v>
      </c>
    </row>
    <row r="614" spans="1:12" hidden="1" x14ac:dyDescent="0.2">
      <c r="A614" s="352">
        <v>611</v>
      </c>
      <c r="B614" s="342"/>
      <c r="C614" s="343"/>
      <c r="D614" s="344"/>
      <c r="E614" s="343"/>
      <c r="F614" s="345"/>
      <c r="G614" s="346"/>
      <c r="H614" s="346"/>
      <c r="I614" s="347"/>
      <c r="J614" s="346"/>
      <c r="K614" s="353"/>
      <c r="L614" s="71">
        <f t="shared" si="11"/>
        <v>0</v>
      </c>
    </row>
    <row r="615" spans="1:12" hidden="1" x14ac:dyDescent="0.2">
      <c r="A615" s="352">
        <v>612</v>
      </c>
      <c r="B615" s="342"/>
      <c r="C615" s="343"/>
      <c r="D615" s="344"/>
      <c r="E615" s="343"/>
      <c r="F615" s="345"/>
      <c r="G615" s="346"/>
      <c r="H615" s="346"/>
      <c r="I615" s="347"/>
      <c r="J615" s="346"/>
      <c r="K615" s="353"/>
      <c r="L615" s="71">
        <f t="shared" si="11"/>
        <v>0</v>
      </c>
    </row>
    <row r="616" spans="1:12" hidden="1" x14ac:dyDescent="0.2">
      <c r="A616" s="352">
        <v>613</v>
      </c>
      <c r="B616" s="342"/>
      <c r="C616" s="343"/>
      <c r="D616" s="344"/>
      <c r="E616" s="343"/>
      <c r="F616" s="345"/>
      <c r="G616" s="346"/>
      <c r="H616" s="346"/>
      <c r="I616" s="347"/>
      <c r="J616" s="346"/>
      <c r="K616" s="353"/>
      <c r="L616" s="71">
        <f t="shared" si="11"/>
        <v>0</v>
      </c>
    </row>
    <row r="617" spans="1:12" hidden="1" x14ac:dyDescent="0.2">
      <c r="A617" s="352">
        <v>614</v>
      </c>
      <c r="B617" s="342"/>
      <c r="C617" s="343"/>
      <c r="D617" s="344"/>
      <c r="E617" s="343"/>
      <c r="F617" s="345"/>
      <c r="G617" s="346"/>
      <c r="H617" s="346"/>
      <c r="I617" s="347"/>
      <c r="J617" s="346"/>
      <c r="K617" s="353"/>
      <c r="L617" s="71">
        <f t="shared" si="11"/>
        <v>0</v>
      </c>
    </row>
    <row r="618" spans="1:12" hidden="1" x14ac:dyDescent="0.2">
      <c r="A618" s="352">
        <v>615</v>
      </c>
      <c r="B618" s="342"/>
      <c r="C618" s="343"/>
      <c r="D618" s="344"/>
      <c r="E618" s="343"/>
      <c r="F618" s="345"/>
      <c r="G618" s="346"/>
      <c r="H618" s="346"/>
      <c r="I618" s="347"/>
      <c r="J618" s="346"/>
      <c r="K618" s="353"/>
      <c r="L618" s="71">
        <f t="shared" si="11"/>
        <v>0</v>
      </c>
    </row>
    <row r="619" spans="1:12" hidden="1" x14ac:dyDescent="0.2">
      <c r="A619" s="352">
        <v>616</v>
      </c>
      <c r="B619" s="342"/>
      <c r="C619" s="343"/>
      <c r="D619" s="344"/>
      <c r="E619" s="343"/>
      <c r="F619" s="345"/>
      <c r="G619" s="346"/>
      <c r="H619" s="346"/>
      <c r="I619" s="347"/>
      <c r="J619" s="346"/>
      <c r="K619" s="353"/>
      <c r="L619" s="71">
        <f t="shared" si="11"/>
        <v>0</v>
      </c>
    </row>
    <row r="620" spans="1:12" hidden="1" x14ac:dyDescent="0.2">
      <c r="A620" s="352">
        <v>617</v>
      </c>
      <c r="B620" s="342"/>
      <c r="C620" s="343"/>
      <c r="D620" s="344"/>
      <c r="E620" s="343"/>
      <c r="F620" s="345"/>
      <c r="G620" s="346"/>
      <c r="H620" s="346"/>
      <c r="I620" s="347"/>
      <c r="J620" s="346"/>
      <c r="K620" s="353"/>
      <c r="L620" s="71">
        <f t="shared" si="11"/>
        <v>0</v>
      </c>
    </row>
    <row r="621" spans="1:12" hidden="1" x14ac:dyDescent="0.2">
      <c r="A621" s="352">
        <v>618</v>
      </c>
      <c r="B621" s="342"/>
      <c r="C621" s="343"/>
      <c r="D621" s="344"/>
      <c r="E621" s="343"/>
      <c r="F621" s="345"/>
      <c r="G621" s="346"/>
      <c r="H621" s="346"/>
      <c r="I621" s="347"/>
      <c r="J621" s="346"/>
      <c r="K621" s="353"/>
      <c r="L621" s="71">
        <f t="shared" si="11"/>
        <v>0</v>
      </c>
    </row>
    <row r="622" spans="1:12" hidden="1" x14ac:dyDescent="0.2">
      <c r="A622" s="352">
        <v>619</v>
      </c>
      <c r="B622" s="342"/>
      <c r="C622" s="343"/>
      <c r="D622" s="344"/>
      <c r="E622" s="343"/>
      <c r="F622" s="345"/>
      <c r="G622" s="346"/>
      <c r="H622" s="346"/>
      <c r="I622" s="347"/>
      <c r="J622" s="346"/>
      <c r="K622" s="353"/>
      <c r="L622" s="71">
        <f t="shared" si="11"/>
        <v>0</v>
      </c>
    </row>
    <row r="623" spans="1:12" hidden="1" x14ac:dyDescent="0.2">
      <c r="A623" s="352">
        <v>620</v>
      </c>
      <c r="B623" s="342"/>
      <c r="C623" s="343"/>
      <c r="D623" s="344"/>
      <c r="E623" s="343"/>
      <c r="F623" s="345"/>
      <c r="G623" s="346"/>
      <c r="H623" s="346"/>
      <c r="I623" s="347"/>
      <c r="J623" s="346"/>
      <c r="K623" s="353"/>
      <c r="L623" s="71">
        <f t="shared" si="11"/>
        <v>0</v>
      </c>
    </row>
    <row r="624" spans="1:12" hidden="1" x14ac:dyDescent="0.2">
      <c r="A624" s="352">
        <v>621</v>
      </c>
      <c r="B624" s="342"/>
      <c r="C624" s="343"/>
      <c r="D624" s="344"/>
      <c r="E624" s="343"/>
      <c r="F624" s="345"/>
      <c r="G624" s="346"/>
      <c r="H624" s="346"/>
      <c r="I624" s="347"/>
      <c r="J624" s="346"/>
      <c r="K624" s="353"/>
      <c r="L624" s="71">
        <f t="shared" si="11"/>
        <v>0</v>
      </c>
    </row>
    <row r="625" spans="1:12" hidden="1" x14ac:dyDescent="0.2">
      <c r="A625" s="352">
        <v>622</v>
      </c>
      <c r="B625" s="342"/>
      <c r="C625" s="343"/>
      <c r="D625" s="344"/>
      <c r="E625" s="343"/>
      <c r="F625" s="345"/>
      <c r="G625" s="346"/>
      <c r="H625" s="346"/>
      <c r="I625" s="347"/>
      <c r="J625" s="346"/>
      <c r="K625" s="353"/>
      <c r="L625" s="71">
        <f t="shared" si="11"/>
        <v>0</v>
      </c>
    </row>
    <row r="626" spans="1:12" hidden="1" x14ac:dyDescent="0.2">
      <c r="A626" s="352">
        <v>623</v>
      </c>
      <c r="B626" s="342"/>
      <c r="C626" s="343"/>
      <c r="D626" s="344"/>
      <c r="E626" s="343"/>
      <c r="F626" s="345"/>
      <c r="G626" s="346"/>
      <c r="H626" s="346"/>
      <c r="I626" s="347"/>
      <c r="J626" s="346"/>
      <c r="K626" s="353"/>
      <c r="L626" s="71">
        <f t="shared" si="11"/>
        <v>0</v>
      </c>
    </row>
    <row r="627" spans="1:12" hidden="1" x14ac:dyDescent="0.2">
      <c r="A627" s="352">
        <v>624</v>
      </c>
      <c r="B627" s="342"/>
      <c r="C627" s="343"/>
      <c r="D627" s="344"/>
      <c r="E627" s="343"/>
      <c r="F627" s="345"/>
      <c r="G627" s="346"/>
      <c r="H627" s="346"/>
      <c r="I627" s="347"/>
      <c r="J627" s="346"/>
      <c r="K627" s="353"/>
      <c r="L627" s="71">
        <f t="shared" si="11"/>
        <v>0</v>
      </c>
    </row>
    <row r="628" spans="1:12" hidden="1" x14ac:dyDescent="0.2">
      <c r="A628" s="352">
        <v>625</v>
      </c>
      <c r="B628" s="342"/>
      <c r="C628" s="343"/>
      <c r="D628" s="344"/>
      <c r="E628" s="343"/>
      <c r="F628" s="345"/>
      <c r="G628" s="346"/>
      <c r="H628" s="346"/>
      <c r="I628" s="347"/>
      <c r="J628" s="346"/>
      <c r="K628" s="353"/>
      <c r="L628" s="71">
        <f t="shared" si="11"/>
        <v>0</v>
      </c>
    </row>
    <row r="629" spans="1:12" hidden="1" x14ac:dyDescent="0.2">
      <c r="A629" s="352">
        <v>626</v>
      </c>
      <c r="B629" s="342"/>
      <c r="C629" s="343"/>
      <c r="D629" s="344"/>
      <c r="E629" s="343"/>
      <c r="F629" s="345"/>
      <c r="G629" s="346"/>
      <c r="H629" s="346"/>
      <c r="I629" s="347"/>
      <c r="J629" s="346"/>
      <c r="K629" s="353"/>
      <c r="L629" s="71">
        <f t="shared" si="11"/>
        <v>0</v>
      </c>
    </row>
    <row r="630" spans="1:12" hidden="1" x14ac:dyDescent="0.2">
      <c r="A630" s="352">
        <v>627</v>
      </c>
      <c r="B630" s="342"/>
      <c r="C630" s="343"/>
      <c r="D630" s="344"/>
      <c r="E630" s="343"/>
      <c r="F630" s="345"/>
      <c r="G630" s="346"/>
      <c r="H630" s="346"/>
      <c r="I630" s="347"/>
      <c r="J630" s="346"/>
      <c r="K630" s="353"/>
      <c r="L630" s="71">
        <f t="shared" si="11"/>
        <v>0</v>
      </c>
    </row>
    <row r="631" spans="1:12" hidden="1" x14ac:dyDescent="0.2">
      <c r="A631" s="352">
        <v>628</v>
      </c>
      <c r="B631" s="342"/>
      <c r="C631" s="343"/>
      <c r="D631" s="344"/>
      <c r="E631" s="343"/>
      <c r="F631" s="345"/>
      <c r="G631" s="346"/>
      <c r="H631" s="346"/>
      <c r="I631" s="347"/>
      <c r="J631" s="346"/>
      <c r="K631" s="353"/>
      <c r="L631" s="71">
        <f t="shared" si="11"/>
        <v>0</v>
      </c>
    </row>
    <row r="632" spans="1:12" hidden="1" x14ac:dyDescent="0.2">
      <c r="A632" s="352">
        <v>629</v>
      </c>
      <c r="B632" s="342"/>
      <c r="C632" s="343"/>
      <c r="D632" s="344"/>
      <c r="E632" s="343"/>
      <c r="F632" s="345"/>
      <c r="G632" s="346"/>
      <c r="H632" s="346"/>
      <c r="I632" s="347"/>
      <c r="J632" s="346"/>
      <c r="K632" s="353"/>
      <c r="L632" s="71">
        <f t="shared" si="11"/>
        <v>0</v>
      </c>
    </row>
    <row r="633" spans="1:12" hidden="1" x14ac:dyDescent="0.2">
      <c r="A633" s="352">
        <v>630</v>
      </c>
      <c r="B633" s="342"/>
      <c r="C633" s="343"/>
      <c r="D633" s="344"/>
      <c r="E633" s="343"/>
      <c r="F633" s="345"/>
      <c r="G633" s="346"/>
      <c r="H633" s="346"/>
      <c r="I633" s="347"/>
      <c r="J633" s="346"/>
      <c r="K633" s="353"/>
      <c r="L633" s="71">
        <f t="shared" si="11"/>
        <v>0</v>
      </c>
    </row>
    <row r="634" spans="1:12" hidden="1" x14ac:dyDescent="0.2">
      <c r="A634" s="352">
        <v>631</v>
      </c>
      <c r="B634" s="342"/>
      <c r="C634" s="343"/>
      <c r="D634" s="344"/>
      <c r="E634" s="343"/>
      <c r="F634" s="345"/>
      <c r="G634" s="346"/>
      <c r="H634" s="346"/>
      <c r="I634" s="347"/>
      <c r="J634" s="346"/>
      <c r="K634" s="353"/>
      <c r="L634" s="71">
        <f t="shared" si="11"/>
        <v>0</v>
      </c>
    </row>
    <row r="635" spans="1:12" hidden="1" x14ac:dyDescent="0.2">
      <c r="A635" s="352">
        <v>632</v>
      </c>
      <c r="B635" s="342"/>
      <c r="C635" s="343"/>
      <c r="D635" s="344"/>
      <c r="E635" s="343"/>
      <c r="F635" s="345"/>
      <c r="G635" s="346"/>
      <c r="H635" s="346"/>
      <c r="I635" s="347"/>
      <c r="J635" s="346"/>
      <c r="K635" s="353"/>
      <c r="L635" s="71">
        <f t="shared" si="11"/>
        <v>0</v>
      </c>
    </row>
    <row r="636" spans="1:12" hidden="1" x14ac:dyDescent="0.2">
      <c r="A636" s="352">
        <v>633</v>
      </c>
      <c r="B636" s="342"/>
      <c r="C636" s="343"/>
      <c r="D636" s="344"/>
      <c r="E636" s="343"/>
      <c r="F636" s="345"/>
      <c r="G636" s="346"/>
      <c r="H636" s="346"/>
      <c r="I636" s="347"/>
      <c r="J636" s="346"/>
      <c r="K636" s="353"/>
      <c r="L636" s="71">
        <f t="shared" si="11"/>
        <v>0</v>
      </c>
    </row>
    <row r="637" spans="1:12" hidden="1" x14ac:dyDescent="0.2">
      <c r="A637" s="352">
        <v>634</v>
      </c>
      <c r="B637" s="342"/>
      <c r="C637" s="343"/>
      <c r="D637" s="344"/>
      <c r="E637" s="343"/>
      <c r="F637" s="345"/>
      <c r="G637" s="346"/>
      <c r="H637" s="346"/>
      <c r="I637" s="347"/>
      <c r="J637" s="346"/>
      <c r="K637" s="353"/>
      <c r="L637" s="71">
        <f t="shared" si="11"/>
        <v>0</v>
      </c>
    </row>
    <row r="638" spans="1:12" hidden="1" x14ac:dyDescent="0.2">
      <c r="A638" s="352">
        <v>635</v>
      </c>
      <c r="B638" s="342"/>
      <c r="C638" s="343"/>
      <c r="D638" s="344"/>
      <c r="E638" s="343"/>
      <c r="F638" s="345"/>
      <c r="G638" s="346"/>
      <c r="H638" s="346"/>
      <c r="I638" s="347"/>
      <c r="J638" s="346"/>
      <c r="K638" s="353"/>
      <c r="L638" s="71">
        <f t="shared" si="11"/>
        <v>0</v>
      </c>
    </row>
    <row r="639" spans="1:12" hidden="1" x14ac:dyDescent="0.2">
      <c r="A639" s="352">
        <v>636</v>
      </c>
      <c r="B639" s="342"/>
      <c r="C639" s="343"/>
      <c r="D639" s="344"/>
      <c r="E639" s="343"/>
      <c r="F639" s="345"/>
      <c r="G639" s="346"/>
      <c r="H639" s="346"/>
      <c r="I639" s="347"/>
      <c r="J639" s="346"/>
      <c r="K639" s="353"/>
      <c r="L639" s="71">
        <f t="shared" si="11"/>
        <v>0</v>
      </c>
    </row>
    <row r="640" spans="1:12" hidden="1" x14ac:dyDescent="0.2">
      <c r="A640" s="352">
        <v>637</v>
      </c>
      <c r="B640" s="342"/>
      <c r="C640" s="343"/>
      <c r="D640" s="344"/>
      <c r="E640" s="343"/>
      <c r="F640" s="345"/>
      <c r="G640" s="346"/>
      <c r="H640" s="346"/>
      <c r="I640" s="347"/>
      <c r="J640" s="346"/>
      <c r="K640" s="353"/>
      <c r="L640" s="71">
        <f t="shared" si="11"/>
        <v>0</v>
      </c>
    </row>
    <row r="641" spans="1:12" hidden="1" x14ac:dyDescent="0.2">
      <c r="A641" s="352">
        <v>638</v>
      </c>
      <c r="B641" s="342"/>
      <c r="C641" s="343"/>
      <c r="D641" s="344"/>
      <c r="E641" s="343"/>
      <c r="F641" s="345"/>
      <c r="G641" s="346"/>
      <c r="H641" s="346"/>
      <c r="I641" s="347"/>
      <c r="J641" s="346"/>
      <c r="K641" s="353"/>
      <c r="L641" s="71">
        <f t="shared" ref="L641:L704" si="12">IF(B641=0,0,MONTH(B641)-$L$1+1)</f>
        <v>0</v>
      </c>
    </row>
    <row r="642" spans="1:12" hidden="1" x14ac:dyDescent="0.2">
      <c r="A642" s="352">
        <v>639</v>
      </c>
      <c r="B642" s="342"/>
      <c r="C642" s="343"/>
      <c r="D642" s="344"/>
      <c r="E642" s="343"/>
      <c r="F642" s="345"/>
      <c r="G642" s="346"/>
      <c r="H642" s="346"/>
      <c r="I642" s="347"/>
      <c r="J642" s="346"/>
      <c r="K642" s="353"/>
      <c r="L642" s="71">
        <f t="shared" si="12"/>
        <v>0</v>
      </c>
    </row>
    <row r="643" spans="1:12" hidden="1" x14ac:dyDescent="0.2">
      <c r="A643" s="352">
        <v>640</v>
      </c>
      <c r="B643" s="342"/>
      <c r="C643" s="343"/>
      <c r="D643" s="344"/>
      <c r="E643" s="343"/>
      <c r="F643" s="345"/>
      <c r="G643" s="346"/>
      <c r="H643" s="346"/>
      <c r="I643" s="347"/>
      <c r="J643" s="346"/>
      <c r="K643" s="353"/>
      <c r="L643" s="71">
        <f t="shared" si="12"/>
        <v>0</v>
      </c>
    </row>
    <row r="644" spans="1:12" hidden="1" x14ac:dyDescent="0.2">
      <c r="A644" s="352">
        <v>641</v>
      </c>
      <c r="B644" s="342"/>
      <c r="C644" s="343"/>
      <c r="D644" s="344"/>
      <c r="E644" s="343"/>
      <c r="F644" s="345"/>
      <c r="G644" s="346"/>
      <c r="H644" s="346"/>
      <c r="I644" s="347"/>
      <c r="J644" s="346"/>
      <c r="K644" s="353"/>
      <c r="L644" s="71">
        <f t="shared" si="12"/>
        <v>0</v>
      </c>
    </row>
    <row r="645" spans="1:12" hidden="1" x14ac:dyDescent="0.2">
      <c r="A645" s="352">
        <v>642</v>
      </c>
      <c r="B645" s="342"/>
      <c r="C645" s="343"/>
      <c r="D645" s="344"/>
      <c r="E645" s="343"/>
      <c r="F645" s="345"/>
      <c r="G645" s="346"/>
      <c r="H645" s="346"/>
      <c r="I645" s="347"/>
      <c r="J645" s="346"/>
      <c r="K645" s="353"/>
      <c r="L645" s="71">
        <f t="shared" si="12"/>
        <v>0</v>
      </c>
    </row>
    <row r="646" spans="1:12" hidden="1" x14ac:dyDescent="0.2">
      <c r="A646" s="352">
        <v>643</v>
      </c>
      <c r="B646" s="342"/>
      <c r="C646" s="343"/>
      <c r="D646" s="344"/>
      <c r="E646" s="343"/>
      <c r="F646" s="345"/>
      <c r="G646" s="346"/>
      <c r="H646" s="346"/>
      <c r="I646" s="347"/>
      <c r="J646" s="346"/>
      <c r="K646" s="353"/>
      <c r="L646" s="71">
        <f t="shared" si="12"/>
        <v>0</v>
      </c>
    </row>
    <row r="647" spans="1:12" hidden="1" x14ac:dyDescent="0.2">
      <c r="A647" s="352">
        <v>644</v>
      </c>
      <c r="B647" s="342"/>
      <c r="C647" s="343"/>
      <c r="D647" s="344"/>
      <c r="E647" s="343"/>
      <c r="F647" s="345"/>
      <c r="G647" s="346"/>
      <c r="H647" s="346"/>
      <c r="I647" s="347"/>
      <c r="J647" s="346"/>
      <c r="K647" s="353"/>
      <c r="L647" s="71">
        <f t="shared" si="12"/>
        <v>0</v>
      </c>
    </row>
    <row r="648" spans="1:12" hidden="1" x14ac:dyDescent="0.2">
      <c r="A648" s="352">
        <v>645</v>
      </c>
      <c r="B648" s="342"/>
      <c r="C648" s="343"/>
      <c r="D648" s="344"/>
      <c r="E648" s="343"/>
      <c r="F648" s="345"/>
      <c r="G648" s="346"/>
      <c r="H648" s="346"/>
      <c r="I648" s="347"/>
      <c r="J648" s="346"/>
      <c r="K648" s="353"/>
      <c r="L648" s="71">
        <f t="shared" si="12"/>
        <v>0</v>
      </c>
    </row>
    <row r="649" spans="1:12" hidden="1" x14ac:dyDescent="0.2">
      <c r="A649" s="352">
        <v>646</v>
      </c>
      <c r="B649" s="342"/>
      <c r="C649" s="343"/>
      <c r="D649" s="344"/>
      <c r="E649" s="343"/>
      <c r="F649" s="345"/>
      <c r="G649" s="346"/>
      <c r="H649" s="346"/>
      <c r="I649" s="347"/>
      <c r="J649" s="346"/>
      <c r="K649" s="353"/>
      <c r="L649" s="71">
        <f t="shared" si="12"/>
        <v>0</v>
      </c>
    </row>
    <row r="650" spans="1:12" hidden="1" x14ac:dyDescent="0.2">
      <c r="A650" s="352">
        <v>647</v>
      </c>
      <c r="B650" s="342"/>
      <c r="C650" s="343"/>
      <c r="D650" s="344"/>
      <c r="E650" s="343"/>
      <c r="F650" s="345"/>
      <c r="G650" s="346"/>
      <c r="H650" s="346"/>
      <c r="I650" s="347"/>
      <c r="J650" s="346"/>
      <c r="K650" s="353"/>
      <c r="L650" s="71">
        <f t="shared" si="12"/>
        <v>0</v>
      </c>
    </row>
    <row r="651" spans="1:12" hidden="1" x14ac:dyDescent="0.2">
      <c r="A651" s="352">
        <v>648</v>
      </c>
      <c r="B651" s="342"/>
      <c r="C651" s="343"/>
      <c r="D651" s="344"/>
      <c r="E651" s="343"/>
      <c r="F651" s="345"/>
      <c r="G651" s="346"/>
      <c r="H651" s="346"/>
      <c r="I651" s="347"/>
      <c r="J651" s="346"/>
      <c r="K651" s="353"/>
      <c r="L651" s="71">
        <f t="shared" si="12"/>
        <v>0</v>
      </c>
    </row>
    <row r="652" spans="1:12" hidden="1" x14ac:dyDescent="0.2">
      <c r="A652" s="352">
        <v>649</v>
      </c>
      <c r="B652" s="342"/>
      <c r="C652" s="343"/>
      <c r="D652" s="344"/>
      <c r="E652" s="343"/>
      <c r="F652" s="345"/>
      <c r="G652" s="346"/>
      <c r="H652" s="346"/>
      <c r="I652" s="347"/>
      <c r="J652" s="346"/>
      <c r="K652" s="353"/>
      <c r="L652" s="71">
        <f t="shared" si="12"/>
        <v>0</v>
      </c>
    </row>
    <row r="653" spans="1:12" hidden="1" x14ac:dyDescent="0.2">
      <c r="A653" s="352">
        <v>650</v>
      </c>
      <c r="B653" s="342"/>
      <c r="C653" s="343"/>
      <c r="D653" s="344"/>
      <c r="E653" s="343"/>
      <c r="F653" s="345"/>
      <c r="G653" s="346"/>
      <c r="H653" s="346"/>
      <c r="I653" s="347"/>
      <c r="J653" s="346"/>
      <c r="K653" s="353"/>
      <c r="L653" s="71">
        <f t="shared" si="12"/>
        <v>0</v>
      </c>
    </row>
    <row r="654" spans="1:12" hidden="1" x14ac:dyDescent="0.2">
      <c r="A654" s="352">
        <v>651</v>
      </c>
      <c r="B654" s="342"/>
      <c r="C654" s="343"/>
      <c r="D654" s="344"/>
      <c r="E654" s="343"/>
      <c r="F654" s="345"/>
      <c r="G654" s="346"/>
      <c r="H654" s="346"/>
      <c r="I654" s="347"/>
      <c r="J654" s="346"/>
      <c r="K654" s="353"/>
      <c r="L654" s="71">
        <f t="shared" si="12"/>
        <v>0</v>
      </c>
    </row>
    <row r="655" spans="1:12" hidden="1" x14ac:dyDescent="0.2">
      <c r="A655" s="352">
        <v>652</v>
      </c>
      <c r="B655" s="342"/>
      <c r="C655" s="343"/>
      <c r="D655" s="344"/>
      <c r="E655" s="343"/>
      <c r="F655" s="345"/>
      <c r="G655" s="346"/>
      <c r="H655" s="346"/>
      <c r="I655" s="347"/>
      <c r="J655" s="346"/>
      <c r="K655" s="353"/>
      <c r="L655" s="71">
        <f t="shared" si="12"/>
        <v>0</v>
      </c>
    </row>
    <row r="656" spans="1:12" hidden="1" x14ac:dyDescent="0.2">
      <c r="A656" s="352">
        <v>653</v>
      </c>
      <c r="B656" s="342"/>
      <c r="C656" s="343"/>
      <c r="D656" s="344"/>
      <c r="E656" s="343"/>
      <c r="F656" s="345"/>
      <c r="G656" s="346"/>
      <c r="H656" s="346"/>
      <c r="I656" s="347"/>
      <c r="J656" s="346"/>
      <c r="K656" s="353"/>
      <c r="L656" s="71">
        <f t="shared" si="12"/>
        <v>0</v>
      </c>
    </row>
    <row r="657" spans="1:12" hidden="1" x14ac:dyDescent="0.2">
      <c r="A657" s="352">
        <v>654</v>
      </c>
      <c r="B657" s="342"/>
      <c r="C657" s="343"/>
      <c r="D657" s="344"/>
      <c r="E657" s="343"/>
      <c r="F657" s="345"/>
      <c r="G657" s="346"/>
      <c r="H657" s="346"/>
      <c r="I657" s="347"/>
      <c r="J657" s="346"/>
      <c r="K657" s="353"/>
      <c r="L657" s="71">
        <f t="shared" si="12"/>
        <v>0</v>
      </c>
    </row>
    <row r="658" spans="1:12" hidden="1" x14ac:dyDescent="0.2">
      <c r="A658" s="352">
        <v>655</v>
      </c>
      <c r="B658" s="342"/>
      <c r="C658" s="343"/>
      <c r="D658" s="344"/>
      <c r="E658" s="343"/>
      <c r="F658" s="345"/>
      <c r="G658" s="346"/>
      <c r="H658" s="346"/>
      <c r="I658" s="347"/>
      <c r="J658" s="346"/>
      <c r="K658" s="353"/>
      <c r="L658" s="71">
        <f t="shared" si="12"/>
        <v>0</v>
      </c>
    </row>
    <row r="659" spans="1:12" hidden="1" x14ac:dyDescent="0.2">
      <c r="A659" s="352">
        <v>656</v>
      </c>
      <c r="B659" s="342"/>
      <c r="C659" s="343"/>
      <c r="D659" s="344"/>
      <c r="E659" s="343"/>
      <c r="F659" s="345"/>
      <c r="G659" s="346"/>
      <c r="H659" s="346"/>
      <c r="I659" s="347"/>
      <c r="J659" s="346"/>
      <c r="K659" s="353"/>
      <c r="L659" s="71">
        <f t="shared" si="12"/>
        <v>0</v>
      </c>
    </row>
    <row r="660" spans="1:12" hidden="1" x14ac:dyDescent="0.2">
      <c r="A660" s="352">
        <v>657</v>
      </c>
      <c r="B660" s="342"/>
      <c r="C660" s="343"/>
      <c r="D660" s="344"/>
      <c r="E660" s="343"/>
      <c r="F660" s="345"/>
      <c r="G660" s="346"/>
      <c r="H660" s="346"/>
      <c r="I660" s="347"/>
      <c r="J660" s="346"/>
      <c r="K660" s="353"/>
      <c r="L660" s="71">
        <f t="shared" si="12"/>
        <v>0</v>
      </c>
    </row>
    <row r="661" spans="1:12" hidden="1" x14ac:dyDescent="0.2">
      <c r="A661" s="352">
        <v>658</v>
      </c>
      <c r="B661" s="342"/>
      <c r="C661" s="343"/>
      <c r="D661" s="344"/>
      <c r="E661" s="343"/>
      <c r="F661" s="345"/>
      <c r="G661" s="346"/>
      <c r="H661" s="346"/>
      <c r="I661" s="347"/>
      <c r="J661" s="346"/>
      <c r="K661" s="353"/>
      <c r="L661" s="71">
        <f t="shared" si="12"/>
        <v>0</v>
      </c>
    </row>
    <row r="662" spans="1:12" hidden="1" x14ac:dyDescent="0.2">
      <c r="A662" s="352">
        <v>659</v>
      </c>
      <c r="B662" s="342"/>
      <c r="C662" s="343"/>
      <c r="D662" s="344"/>
      <c r="E662" s="343"/>
      <c r="F662" s="345"/>
      <c r="G662" s="346"/>
      <c r="H662" s="346"/>
      <c r="I662" s="347"/>
      <c r="J662" s="346"/>
      <c r="K662" s="353"/>
      <c r="L662" s="71">
        <f t="shared" si="12"/>
        <v>0</v>
      </c>
    </row>
    <row r="663" spans="1:12" hidden="1" x14ac:dyDescent="0.2">
      <c r="A663" s="352">
        <v>660</v>
      </c>
      <c r="B663" s="342"/>
      <c r="C663" s="343"/>
      <c r="D663" s="344"/>
      <c r="E663" s="343"/>
      <c r="F663" s="345"/>
      <c r="G663" s="346"/>
      <c r="H663" s="346"/>
      <c r="I663" s="347"/>
      <c r="J663" s="346"/>
      <c r="K663" s="353"/>
      <c r="L663" s="71">
        <f t="shared" si="12"/>
        <v>0</v>
      </c>
    </row>
    <row r="664" spans="1:12" hidden="1" x14ac:dyDescent="0.2">
      <c r="A664" s="352">
        <v>661</v>
      </c>
      <c r="B664" s="342"/>
      <c r="C664" s="343"/>
      <c r="D664" s="344"/>
      <c r="E664" s="343"/>
      <c r="F664" s="345"/>
      <c r="G664" s="346"/>
      <c r="H664" s="346"/>
      <c r="I664" s="347"/>
      <c r="J664" s="346"/>
      <c r="K664" s="353"/>
      <c r="L664" s="71">
        <f t="shared" si="12"/>
        <v>0</v>
      </c>
    </row>
    <row r="665" spans="1:12" hidden="1" x14ac:dyDescent="0.2">
      <c r="A665" s="352">
        <v>662</v>
      </c>
      <c r="B665" s="342"/>
      <c r="C665" s="343"/>
      <c r="D665" s="344"/>
      <c r="E665" s="343"/>
      <c r="F665" s="345"/>
      <c r="G665" s="346"/>
      <c r="H665" s="346"/>
      <c r="I665" s="347"/>
      <c r="J665" s="346"/>
      <c r="K665" s="353"/>
      <c r="L665" s="71">
        <f t="shared" si="12"/>
        <v>0</v>
      </c>
    </row>
    <row r="666" spans="1:12" hidden="1" x14ac:dyDescent="0.2">
      <c r="A666" s="352">
        <v>663</v>
      </c>
      <c r="B666" s="342"/>
      <c r="C666" s="343"/>
      <c r="D666" s="344"/>
      <c r="E666" s="343"/>
      <c r="F666" s="345"/>
      <c r="G666" s="346"/>
      <c r="H666" s="346"/>
      <c r="I666" s="347"/>
      <c r="J666" s="346"/>
      <c r="K666" s="353"/>
      <c r="L666" s="71">
        <f t="shared" si="12"/>
        <v>0</v>
      </c>
    </row>
    <row r="667" spans="1:12" hidden="1" x14ac:dyDescent="0.2">
      <c r="A667" s="352">
        <v>664</v>
      </c>
      <c r="B667" s="342"/>
      <c r="C667" s="343"/>
      <c r="D667" s="344"/>
      <c r="E667" s="343"/>
      <c r="F667" s="345"/>
      <c r="G667" s="346"/>
      <c r="H667" s="346"/>
      <c r="I667" s="347"/>
      <c r="J667" s="346"/>
      <c r="K667" s="353"/>
      <c r="L667" s="71">
        <f t="shared" si="12"/>
        <v>0</v>
      </c>
    </row>
    <row r="668" spans="1:12" hidden="1" x14ac:dyDescent="0.2">
      <c r="A668" s="352">
        <v>665</v>
      </c>
      <c r="B668" s="342"/>
      <c r="C668" s="343"/>
      <c r="D668" s="344"/>
      <c r="E668" s="343"/>
      <c r="F668" s="345"/>
      <c r="G668" s="346"/>
      <c r="H668" s="346"/>
      <c r="I668" s="347"/>
      <c r="J668" s="346"/>
      <c r="K668" s="353"/>
      <c r="L668" s="71">
        <f t="shared" si="12"/>
        <v>0</v>
      </c>
    </row>
    <row r="669" spans="1:12" hidden="1" x14ac:dyDescent="0.2">
      <c r="A669" s="352">
        <v>666</v>
      </c>
      <c r="B669" s="342"/>
      <c r="C669" s="343"/>
      <c r="D669" s="344"/>
      <c r="E669" s="343"/>
      <c r="F669" s="345"/>
      <c r="G669" s="346"/>
      <c r="H669" s="346"/>
      <c r="I669" s="347"/>
      <c r="J669" s="346"/>
      <c r="K669" s="353"/>
      <c r="L669" s="71">
        <f t="shared" si="12"/>
        <v>0</v>
      </c>
    </row>
    <row r="670" spans="1:12" hidden="1" x14ac:dyDescent="0.2">
      <c r="A670" s="352">
        <v>667</v>
      </c>
      <c r="B670" s="342"/>
      <c r="C670" s="343"/>
      <c r="D670" s="344"/>
      <c r="E670" s="343"/>
      <c r="F670" s="345"/>
      <c r="G670" s="346"/>
      <c r="H670" s="346"/>
      <c r="I670" s="347"/>
      <c r="J670" s="346"/>
      <c r="K670" s="353"/>
      <c r="L670" s="71">
        <f t="shared" si="12"/>
        <v>0</v>
      </c>
    </row>
    <row r="671" spans="1:12" hidden="1" x14ac:dyDescent="0.2">
      <c r="A671" s="352">
        <v>668</v>
      </c>
      <c r="B671" s="342"/>
      <c r="C671" s="343"/>
      <c r="D671" s="344"/>
      <c r="E671" s="343"/>
      <c r="F671" s="345"/>
      <c r="G671" s="346"/>
      <c r="H671" s="346"/>
      <c r="I671" s="347"/>
      <c r="J671" s="346"/>
      <c r="K671" s="353"/>
      <c r="L671" s="71">
        <f t="shared" si="12"/>
        <v>0</v>
      </c>
    </row>
    <row r="672" spans="1:12" hidden="1" x14ac:dyDescent="0.2">
      <c r="A672" s="352">
        <v>669</v>
      </c>
      <c r="B672" s="342"/>
      <c r="C672" s="343"/>
      <c r="D672" s="344"/>
      <c r="E672" s="343"/>
      <c r="F672" s="345"/>
      <c r="G672" s="346"/>
      <c r="H672" s="346"/>
      <c r="I672" s="347"/>
      <c r="J672" s="346"/>
      <c r="K672" s="353"/>
      <c r="L672" s="71">
        <f t="shared" si="12"/>
        <v>0</v>
      </c>
    </row>
    <row r="673" spans="1:12" hidden="1" x14ac:dyDescent="0.2">
      <c r="A673" s="352">
        <v>670</v>
      </c>
      <c r="B673" s="342"/>
      <c r="C673" s="343"/>
      <c r="D673" s="344"/>
      <c r="E673" s="343"/>
      <c r="F673" s="345"/>
      <c r="G673" s="346"/>
      <c r="H673" s="346"/>
      <c r="I673" s="347"/>
      <c r="J673" s="346"/>
      <c r="K673" s="353"/>
      <c r="L673" s="71">
        <f t="shared" si="12"/>
        <v>0</v>
      </c>
    </row>
    <row r="674" spans="1:12" hidden="1" x14ac:dyDescent="0.2">
      <c r="A674" s="352">
        <v>671</v>
      </c>
      <c r="B674" s="342"/>
      <c r="C674" s="343"/>
      <c r="D674" s="344"/>
      <c r="E674" s="343"/>
      <c r="F674" s="345"/>
      <c r="G674" s="346"/>
      <c r="H674" s="346"/>
      <c r="I674" s="347"/>
      <c r="J674" s="346"/>
      <c r="K674" s="353"/>
      <c r="L674" s="71">
        <f t="shared" si="12"/>
        <v>0</v>
      </c>
    </row>
    <row r="675" spans="1:12" hidden="1" x14ac:dyDescent="0.2">
      <c r="A675" s="352">
        <v>672</v>
      </c>
      <c r="B675" s="342"/>
      <c r="C675" s="343"/>
      <c r="D675" s="344"/>
      <c r="E675" s="343"/>
      <c r="F675" s="345"/>
      <c r="G675" s="346"/>
      <c r="H675" s="346"/>
      <c r="I675" s="347"/>
      <c r="J675" s="346"/>
      <c r="K675" s="353"/>
      <c r="L675" s="71">
        <f t="shared" si="12"/>
        <v>0</v>
      </c>
    </row>
    <row r="676" spans="1:12" hidden="1" x14ac:dyDescent="0.2">
      <c r="A676" s="352">
        <v>673</v>
      </c>
      <c r="B676" s="342"/>
      <c r="C676" s="343"/>
      <c r="D676" s="344"/>
      <c r="E676" s="343"/>
      <c r="F676" s="345"/>
      <c r="G676" s="346"/>
      <c r="H676" s="346"/>
      <c r="I676" s="347"/>
      <c r="J676" s="346"/>
      <c r="K676" s="353"/>
      <c r="L676" s="71">
        <f t="shared" si="12"/>
        <v>0</v>
      </c>
    </row>
    <row r="677" spans="1:12" hidden="1" x14ac:dyDescent="0.2">
      <c r="A677" s="352">
        <v>674</v>
      </c>
      <c r="B677" s="342"/>
      <c r="C677" s="343"/>
      <c r="D677" s="344"/>
      <c r="E677" s="343"/>
      <c r="F677" s="345"/>
      <c r="G677" s="346"/>
      <c r="H677" s="346"/>
      <c r="I677" s="347"/>
      <c r="J677" s="346"/>
      <c r="K677" s="353"/>
      <c r="L677" s="71">
        <f t="shared" si="12"/>
        <v>0</v>
      </c>
    </row>
    <row r="678" spans="1:12" hidden="1" x14ac:dyDescent="0.2">
      <c r="A678" s="352">
        <v>675</v>
      </c>
      <c r="B678" s="342"/>
      <c r="C678" s="343"/>
      <c r="D678" s="344"/>
      <c r="E678" s="343"/>
      <c r="F678" s="345"/>
      <c r="G678" s="346"/>
      <c r="H678" s="346"/>
      <c r="I678" s="347"/>
      <c r="J678" s="346"/>
      <c r="K678" s="353"/>
      <c r="L678" s="71">
        <f t="shared" si="12"/>
        <v>0</v>
      </c>
    </row>
    <row r="679" spans="1:12" hidden="1" x14ac:dyDescent="0.2">
      <c r="A679" s="352">
        <v>676</v>
      </c>
      <c r="B679" s="342"/>
      <c r="C679" s="343"/>
      <c r="D679" s="344"/>
      <c r="E679" s="343"/>
      <c r="F679" s="345"/>
      <c r="G679" s="346"/>
      <c r="H679" s="346"/>
      <c r="I679" s="347"/>
      <c r="J679" s="346"/>
      <c r="K679" s="353"/>
      <c r="L679" s="71">
        <f t="shared" si="12"/>
        <v>0</v>
      </c>
    </row>
    <row r="680" spans="1:12" hidden="1" x14ac:dyDescent="0.2">
      <c r="A680" s="352">
        <v>677</v>
      </c>
      <c r="B680" s="342"/>
      <c r="C680" s="343"/>
      <c r="D680" s="344"/>
      <c r="E680" s="343"/>
      <c r="F680" s="345"/>
      <c r="G680" s="346"/>
      <c r="H680" s="346"/>
      <c r="I680" s="347"/>
      <c r="J680" s="346"/>
      <c r="K680" s="353"/>
      <c r="L680" s="71">
        <f t="shared" si="12"/>
        <v>0</v>
      </c>
    </row>
    <row r="681" spans="1:12" hidden="1" x14ac:dyDescent="0.2">
      <c r="A681" s="352">
        <v>678</v>
      </c>
      <c r="B681" s="342"/>
      <c r="C681" s="343"/>
      <c r="D681" s="344"/>
      <c r="E681" s="343"/>
      <c r="F681" s="345"/>
      <c r="G681" s="346"/>
      <c r="H681" s="346"/>
      <c r="I681" s="347"/>
      <c r="J681" s="346"/>
      <c r="K681" s="353"/>
      <c r="L681" s="71">
        <f t="shared" si="12"/>
        <v>0</v>
      </c>
    </row>
    <row r="682" spans="1:12" hidden="1" x14ac:dyDescent="0.2">
      <c r="A682" s="352">
        <v>679</v>
      </c>
      <c r="B682" s="342"/>
      <c r="C682" s="343"/>
      <c r="D682" s="344"/>
      <c r="E682" s="343"/>
      <c r="F682" s="345"/>
      <c r="G682" s="346"/>
      <c r="H682" s="346"/>
      <c r="I682" s="347"/>
      <c r="J682" s="346"/>
      <c r="K682" s="353"/>
      <c r="L682" s="71">
        <f t="shared" si="12"/>
        <v>0</v>
      </c>
    </row>
    <row r="683" spans="1:12" hidden="1" x14ac:dyDescent="0.2">
      <c r="A683" s="352">
        <v>680</v>
      </c>
      <c r="B683" s="342"/>
      <c r="C683" s="343"/>
      <c r="D683" s="344"/>
      <c r="E683" s="343"/>
      <c r="F683" s="345"/>
      <c r="G683" s="346"/>
      <c r="H683" s="346"/>
      <c r="I683" s="347"/>
      <c r="J683" s="346"/>
      <c r="K683" s="353"/>
      <c r="L683" s="71">
        <f t="shared" si="12"/>
        <v>0</v>
      </c>
    </row>
    <row r="684" spans="1:12" hidden="1" x14ac:dyDescent="0.2">
      <c r="A684" s="352">
        <v>681</v>
      </c>
      <c r="B684" s="342"/>
      <c r="C684" s="343"/>
      <c r="D684" s="344"/>
      <c r="E684" s="343"/>
      <c r="F684" s="345"/>
      <c r="G684" s="346"/>
      <c r="H684" s="346"/>
      <c r="I684" s="347"/>
      <c r="J684" s="346"/>
      <c r="K684" s="353"/>
      <c r="L684" s="71">
        <f t="shared" si="12"/>
        <v>0</v>
      </c>
    </row>
    <row r="685" spans="1:12" hidden="1" x14ac:dyDescent="0.2">
      <c r="A685" s="352">
        <v>682</v>
      </c>
      <c r="B685" s="342"/>
      <c r="C685" s="343"/>
      <c r="D685" s="344"/>
      <c r="E685" s="343"/>
      <c r="F685" s="345"/>
      <c r="G685" s="346"/>
      <c r="H685" s="346"/>
      <c r="I685" s="347"/>
      <c r="J685" s="346"/>
      <c r="K685" s="353"/>
      <c r="L685" s="71">
        <f t="shared" si="12"/>
        <v>0</v>
      </c>
    </row>
    <row r="686" spans="1:12" hidden="1" x14ac:dyDescent="0.2">
      <c r="A686" s="352">
        <v>683</v>
      </c>
      <c r="B686" s="342"/>
      <c r="C686" s="343"/>
      <c r="D686" s="344"/>
      <c r="E686" s="343"/>
      <c r="F686" s="345"/>
      <c r="G686" s="346"/>
      <c r="H686" s="346"/>
      <c r="I686" s="347"/>
      <c r="J686" s="346"/>
      <c r="K686" s="353"/>
      <c r="L686" s="71">
        <f t="shared" si="12"/>
        <v>0</v>
      </c>
    </row>
    <row r="687" spans="1:12" hidden="1" x14ac:dyDescent="0.2">
      <c r="A687" s="352">
        <v>684</v>
      </c>
      <c r="B687" s="342"/>
      <c r="C687" s="343"/>
      <c r="D687" s="344"/>
      <c r="E687" s="343"/>
      <c r="F687" s="345"/>
      <c r="G687" s="346"/>
      <c r="H687" s="346"/>
      <c r="I687" s="347"/>
      <c r="J687" s="346"/>
      <c r="K687" s="353"/>
      <c r="L687" s="71">
        <f t="shared" si="12"/>
        <v>0</v>
      </c>
    </row>
    <row r="688" spans="1:12" hidden="1" x14ac:dyDescent="0.2">
      <c r="A688" s="352">
        <v>685</v>
      </c>
      <c r="B688" s="342"/>
      <c r="C688" s="343"/>
      <c r="D688" s="344"/>
      <c r="E688" s="343"/>
      <c r="F688" s="345"/>
      <c r="G688" s="346"/>
      <c r="H688" s="346"/>
      <c r="I688" s="347"/>
      <c r="J688" s="346"/>
      <c r="K688" s="353"/>
      <c r="L688" s="71">
        <f t="shared" si="12"/>
        <v>0</v>
      </c>
    </row>
    <row r="689" spans="1:12" hidden="1" x14ac:dyDescent="0.2">
      <c r="A689" s="352">
        <v>686</v>
      </c>
      <c r="B689" s="342"/>
      <c r="C689" s="343"/>
      <c r="D689" s="344"/>
      <c r="E689" s="343"/>
      <c r="F689" s="345"/>
      <c r="G689" s="346"/>
      <c r="H689" s="346"/>
      <c r="I689" s="347"/>
      <c r="J689" s="346"/>
      <c r="K689" s="353"/>
      <c r="L689" s="71">
        <f t="shared" si="12"/>
        <v>0</v>
      </c>
    </row>
    <row r="690" spans="1:12" hidden="1" x14ac:dyDescent="0.2">
      <c r="A690" s="352">
        <v>687</v>
      </c>
      <c r="B690" s="342"/>
      <c r="C690" s="343"/>
      <c r="D690" s="344"/>
      <c r="E690" s="343"/>
      <c r="F690" s="345"/>
      <c r="G690" s="346"/>
      <c r="H690" s="346"/>
      <c r="I690" s="347"/>
      <c r="J690" s="346"/>
      <c r="K690" s="353"/>
      <c r="L690" s="71">
        <f t="shared" si="12"/>
        <v>0</v>
      </c>
    </row>
    <row r="691" spans="1:12" hidden="1" x14ac:dyDescent="0.2">
      <c r="A691" s="352">
        <v>688</v>
      </c>
      <c r="B691" s="342"/>
      <c r="C691" s="343"/>
      <c r="D691" s="344"/>
      <c r="E691" s="343"/>
      <c r="F691" s="345"/>
      <c r="G691" s="346"/>
      <c r="H691" s="346"/>
      <c r="I691" s="347"/>
      <c r="J691" s="346"/>
      <c r="K691" s="353"/>
      <c r="L691" s="71">
        <f t="shared" si="12"/>
        <v>0</v>
      </c>
    </row>
    <row r="692" spans="1:12" hidden="1" x14ac:dyDescent="0.2">
      <c r="A692" s="352">
        <v>689</v>
      </c>
      <c r="B692" s="342"/>
      <c r="C692" s="343"/>
      <c r="D692" s="344"/>
      <c r="E692" s="343"/>
      <c r="F692" s="345"/>
      <c r="G692" s="346"/>
      <c r="H692" s="346"/>
      <c r="I692" s="347"/>
      <c r="J692" s="346"/>
      <c r="K692" s="353"/>
      <c r="L692" s="71">
        <f t="shared" si="12"/>
        <v>0</v>
      </c>
    </row>
    <row r="693" spans="1:12" hidden="1" x14ac:dyDescent="0.2">
      <c r="A693" s="352">
        <v>690</v>
      </c>
      <c r="B693" s="342"/>
      <c r="C693" s="343"/>
      <c r="D693" s="344"/>
      <c r="E693" s="343"/>
      <c r="F693" s="345"/>
      <c r="G693" s="346"/>
      <c r="H693" s="346"/>
      <c r="I693" s="347"/>
      <c r="J693" s="346"/>
      <c r="K693" s="353"/>
      <c r="L693" s="71">
        <f t="shared" si="12"/>
        <v>0</v>
      </c>
    </row>
    <row r="694" spans="1:12" hidden="1" x14ac:dyDescent="0.2">
      <c r="A694" s="352">
        <v>691</v>
      </c>
      <c r="B694" s="342"/>
      <c r="C694" s="343"/>
      <c r="D694" s="344"/>
      <c r="E694" s="343"/>
      <c r="F694" s="345"/>
      <c r="G694" s="346"/>
      <c r="H694" s="346"/>
      <c r="I694" s="347"/>
      <c r="J694" s="346"/>
      <c r="K694" s="353"/>
      <c r="L694" s="71">
        <f t="shared" si="12"/>
        <v>0</v>
      </c>
    </row>
    <row r="695" spans="1:12" hidden="1" x14ac:dyDescent="0.2">
      <c r="A695" s="352">
        <v>692</v>
      </c>
      <c r="B695" s="342"/>
      <c r="C695" s="343"/>
      <c r="D695" s="344"/>
      <c r="E695" s="343"/>
      <c r="F695" s="345"/>
      <c r="G695" s="346"/>
      <c r="H695" s="346"/>
      <c r="I695" s="347"/>
      <c r="J695" s="346"/>
      <c r="K695" s="353"/>
      <c r="L695" s="71">
        <f t="shared" si="12"/>
        <v>0</v>
      </c>
    </row>
    <row r="696" spans="1:12" hidden="1" x14ac:dyDescent="0.2">
      <c r="A696" s="352">
        <v>693</v>
      </c>
      <c r="B696" s="342"/>
      <c r="C696" s="343"/>
      <c r="D696" s="344"/>
      <c r="E696" s="343"/>
      <c r="F696" s="345"/>
      <c r="G696" s="346"/>
      <c r="H696" s="346"/>
      <c r="I696" s="347"/>
      <c r="J696" s="346"/>
      <c r="K696" s="353"/>
      <c r="L696" s="71">
        <f t="shared" si="12"/>
        <v>0</v>
      </c>
    </row>
    <row r="697" spans="1:12" hidden="1" x14ac:dyDescent="0.2">
      <c r="A697" s="352">
        <v>694</v>
      </c>
      <c r="B697" s="342"/>
      <c r="C697" s="343"/>
      <c r="D697" s="344"/>
      <c r="E697" s="343"/>
      <c r="F697" s="345"/>
      <c r="G697" s="346"/>
      <c r="H697" s="346"/>
      <c r="I697" s="347"/>
      <c r="J697" s="346"/>
      <c r="K697" s="353"/>
      <c r="L697" s="71">
        <f t="shared" si="12"/>
        <v>0</v>
      </c>
    </row>
    <row r="698" spans="1:12" hidden="1" x14ac:dyDescent="0.2">
      <c r="A698" s="352">
        <v>695</v>
      </c>
      <c r="B698" s="342"/>
      <c r="C698" s="343"/>
      <c r="D698" s="344"/>
      <c r="E698" s="343"/>
      <c r="F698" s="345"/>
      <c r="G698" s="346"/>
      <c r="H698" s="346"/>
      <c r="I698" s="347"/>
      <c r="J698" s="346"/>
      <c r="K698" s="353"/>
      <c r="L698" s="71">
        <f t="shared" si="12"/>
        <v>0</v>
      </c>
    </row>
    <row r="699" spans="1:12" hidden="1" x14ac:dyDescent="0.2">
      <c r="A699" s="352">
        <v>696</v>
      </c>
      <c r="B699" s="342"/>
      <c r="C699" s="343"/>
      <c r="D699" s="344"/>
      <c r="E699" s="343"/>
      <c r="F699" s="345"/>
      <c r="G699" s="346"/>
      <c r="H699" s="346"/>
      <c r="I699" s="347"/>
      <c r="J699" s="346"/>
      <c r="K699" s="353"/>
      <c r="L699" s="71">
        <f t="shared" si="12"/>
        <v>0</v>
      </c>
    </row>
    <row r="700" spans="1:12" hidden="1" x14ac:dyDescent="0.2">
      <c r="A700" s="352">
        <v>697</v>
      </c>
      <c r="B700" s="342"/>
      <c r="C700" s="343"/>
      <c r="D700" s="344"/>
      <c r="E700" s="343"/>
      <c r="F700" s="345"/>
      <c r="G700" s="346"/>
      <c r="H700" s="346"/>
      <c r="I700" s="347"/>
      <c r="J700" s="346"/>
      <c r="K700" s="353"/>
      <c r="L700" s="71">
        <f t="shared" si="12"/>
        <v>0</v>
      </c>
    </row>
    <row r="701" spans="1:12" hidden="1" x14ac:dyDescent="0.2">
      <c r="A701" s="352">
        <v>698</v>
      </c>
      <c r="B701" s="342"/>
      <c r="C701" s="343"/>
      <c r="D701" s="344"/>
      <c r="E701" s="343"/>
      <c r="F701" s="345"/>
      <c r="G701" s="346"/>
      <c r="H701" s="346"/>
      <c r="I701" s="347"/>
      <c r="J701" s="346"/>
      <c r="K701" s="353"/>
      <c r="L701" s="71">
        <f t="shared" si="12"/>
        <v>0</v>
      </c>
    </row>
    <row r="702" spans="1:12" hidden="1" x14ac:dyDescent="0.2">
      <c r="A702" s="352">
        <v>699</v>
      </c>
      <c r="B702" s="342"/>
      <c r="C702" s="343"/>
      <c r="D702" s="344"/>
      <c r="E702" s="343"/>
      <c r="F702" s="345"/>
      <c r="G702" s="346"/>
      <c r="H702" s="346"/>
      <c r="I702" s="347"/>
      <c r="J702" s="346"/>
      <c r="K702" s="353"/>
      <c r="L702" s="71">
        <f t="shared" si="12"/>
        <v>0</v>
      </c>
    </row>
    <row r="703" spans="1:12" hidden="1" x14ac:dyDescent="0.2">
      <c r="A703" s="352">
        <v>700</v>
      </c>
      <c r="B703" s="342"/>
      <c r="C703" s="343"/>
      <c r="D703" s="344"/>
      <c r="E703" s="343"/>
      <c r="F703" s="345"/>
      <c r="G703" s="346"/>
      <c r="H703" s="346"/>
      <c r="I703" s="347"/>
      <c r="J703" s="346"/>
      <c r="K703" s="353"/>
      <c r="L703" s="71">
        <f t="shared" si="12"/>
        <v>0</v>
      </c>
    </row>
    <row r="704" spans="1:12" hidden="1" x14ac:dyDescent="0.2">
      <c r="A704" s="352">
        <v>701</v>
      </c>
      <c r="B704" s="342"/>
      <c r="C704" s="343"/>
      <c r="D704" s="344"/>
      <c r="E704" s="343"/>
      <c r="F704" s="345"/>
      <c r="G704" s="346"/>
      <c r="H704" s="346"/>
      <c r="I704" s="347"/>
      <c r="J704" s="346"/>
      <c r="K704" s="353"/>
      <c r="L704" s="71">
        <f t="shared" si="12"/>
        <v>0</v>
      </c>
    </row>
    <row r="705" spans="1:12" hidden="1" x14ac:dyDescent="0.2">
      <c r="A705" s="352">
        <v>702</v>
      </c>
      <c r="B705" s="342"/>
      <c r="C705" s="343"/>
      <c r="D705" s="344"/>
      <c r="E705" s="343"/>
      <c r="F705" s="345"/>
      <c r="G705" s="346"/>
      <c r="H705" s="346"/>
      <c r="I705" s="347"/>
      <c r="J705" s="346"/>
      <c r="K705" s="353"/>
      <c r="L705" s="71">
        <f t="shared" ref="L705:L768" si="13">IF(B705=0,0,MONTH(B705)-$L$1+1)</f>
        <v>0</v>
      </c>
    </row>
    <row r="706" spans="1:12" hidden="1" x14ac:dyDescent="0.2">
      <c r="A706" s="352">
        <v>703</v>
      </c>
      <c r="B706" s="342"/>
      <c r="C706" s="343"/>
      <c r="D706" s="344"/>
      <c r="E706" s="343"/>
      <c r="F706" s="345"/>
      <c r="G706" s="346"/>
      <c r="H706" s="346"/>
      <c r="I706" s="347"/>
      <c r="J706" s="346"/>
      <c r="K706" s="353"/>
      <c r="L706" s="71">
        <f t="shared" si="13"/>
        <v>0</v>
      </c>
    </row>
    <row r="707" spans="1:12" hidden="1" x14ac:dyDescent="0.2">
      <c r="A707" s="352">
        <v>704</v>
      </c>
      <c r="B707" s="342"/>
      <c r="C707" s="343"/>
      <c r="D707" s="344"/>
      <c r="E707" s="343"/>
      <c r="F707" s="345"/>
      <c r="G707" s="346"/>
      <c r="H707" s="346"/>
      <c r="I707" s="347"/>
      <c r="J707" s="346"/>
      <c r="K707" s="353"/>
      <c r="L707" s="71">
        <f t="shared" si="13"/>
        <v>0</v>
      </c>
    </row>
    <row r="708" spans="1:12" hidden="1" x14ac:dyDescent="0.2">
      <c r="A708" s="352">
        <v>705</v>
      </c>
      <c r="B708" s="342"/>
      <c r="C708" s="343"/>
      <c r="D708" s="344"/>
      <c r="E708" s="343"/>
      <c r="F708" s="345"/>
      <c r="G708" s="346"/>
      <c r="H708" s="346"/>
      <c r="I708" s="347"/>
      <c r="J708" s="346"/>
      <c r="K708" s="353"/>
      <c r="L708" s="71">
        <f t="shared" si="13"/>
        <v>0</v>
      </c>
    </row>
    <row r="709" spans="1:12" hidden="1" x14ac:dyDescent="0.2">
      <c r="A709" s="352">
        <v>706</v>
      </c>
      <c r="B709" s="342"/>
      <c r="C709" s="343"/>
      <c r="D709" s="344"/>
      <c r="E709" s="343"/>
      <c r="F709" s="345"/>
      <c r="G709" s="346"/>
      <c r="H709" s="346"/>
      <c r="I709" s="347"/>
      <c r="J709" s="346"/>
      <c r="K709" s="353"/>
      <c r="L709" s="71">
        <f t="shared" si="13"/>
        <v>0</v>
      </c>
    </row>
    <row r="710" spans="1:12" hidden="1" x14ac:dyDescent="0.2">
      <c r="A710" s="352">
        <v>707</v>
      </c>
      <c r="B710" s="342"/>
      <c r="C710" s="343"/>
      <c r="D710" s="344"/>
      <c r="E710" s="343"/>
      <c r="F710" s="345"/>
      <c r="G710" s="346"/>
      <c r="H710" s="346"/>
      <c r="I710" s="347"/>
      <c r="J710" s="346"/>
      <c r="K710" s="353"/>
      <c r="L710" s="71">
        <f t="shared" si="13"/>
        <v>0</v>
      </c>
    </row>
    <row r="711" spans="1:12" hidden="1" x14ac:dyDescent="0.2">
      <c r="A711" s="352">
        <v>708</v>
      </c>
      <c r="B711" s="342"/>
      <c r="C711" s="343"/>
      <c r="D711" s="344"/>
      <c r="E711" s="343"/>
      <c r="F711" s="345"/>
      <c r="G711" s="346"/>
      <c r="H711" s="346"/>
      <c r="I711" s="347"/>
      <c r="J711" s="346"/>
      <c r="K711" s="353"/>
      <c r="L711" s="71">
        <f t="shared" si="13"/>
        <v>0</v>
      </c>
    </row>
    <row r="712" spans="1:12" hidden="1" x14ac:dyDescent="0.2">
      <c r="A712" s="352">
        <v>709</v>
      </c>
      <c r="B712" s="342"/>
      <c r="C712" s="343"/>
      <c r="D712" s="344"/>
      <c r="E712" s="343"/>
      <c r="F712" s="345"/>
      <c r="G712" s="346"/>
      <c r="H712" s="346"/>
      <c r="I712" s="347"/>
      <c r="J712" s="346"/>
      <c r="K712" s="353"/>
      <c r="L712" s="71">
        <f t="shared" si="13"/>
        <v>0</v>
      </c>
    </row>
    <row r="713" spans="1:12" hidden="1" x14ac:dyDescent="0.2">
      <c r="A713" s="352">
        <v>710</v>
      </c>
      <c r="B713" s="342"/>
      <c r="C713" s="343"/>
      <c r="D713" s="344"/>
      <c r="E713" s="343"/>
      <c r="F713" s="345"/>
      <c r="G713" s="346"/>
      <c r="H713" s="346"/>
      <c r="I713" s="347"/>
      <c r="J713" s="346"/>
      <c r="K713" s="353"/>
      <c r="L713" s="71">
        <f t="shared" si="13"/>
        <v>0</v>
      </c>
    </row>
    <row r="714" spans="1:12" hidden="1" x14ac:dyDescent="0.2">
      <c r="A714" s="352">
        <v>711</v>
      </c>
      <c r="B714" s="342"/>
      <c r="C714" s="343"/>
      <c r="D714" s="344"/>
      <c r="E714" s="343"/>
      <c r="F714" s="345"/>
      <c r="G714" s="346"/>
      <c r="H714" s="346"/>
      <c r="I714" s="347"/>
      <c r="J714" s="346"/>
      <c r="K714" s="353"/>
      <c r="L714" s="71">
        <f t="shared" si="13"/>
        <v>0</v>
      </c>
    </row>
    <row r="715" spans="1:12" hidden="1" x14ac:dyDescent="0.2">
      <c r="A715" s="352">
        <v>712</v>
      </c>
      <c r="B715" s="342"/>
      <c r="C715" s="343"/>
      <c r="D715" s="344"/>
      <c r="E715" s="343"/>
      <c r="F715" s="345"/>
      <c r="G715" s="346"/>
      <c r="H715" s="346"/>
      <c r="I715" s="347"/>
      <c r="J715" s="346"/>
      <c r="K715" s="353"/>
      <c r="L715" s="71">
        <f t="shared" si="13"/>
        <v>0</v>
      </c>
    </row>
    <row r="716" spans="1:12" hidden="1" x14ac:dyDescent="0.2">
      <c r="A716" s="352">
        <v>713</v>
      </c>
      <c r="B716" s="342"/>
      <c r="C716" s="343"/>
      <c r="D716" s="344"/>
      <c r="E716" s="343"/>
      <c r="F716" s="345"/>
      <c r="G716" s="346"/>
      <c r="H716" s="346"/>
      <c r="I716" s="347"/>
      <c r="J716" s="346"/>
      <c r="K716" s="353"/>
      <c r="L716" s="71">
        <f t="shared" si="13"/>
        <v>0</v>
      </c>
    </row>
    <row r="717" spans="1:12" hidden="1" x14ac:dyDescent="0.2">
      <c r="A717" s="352">
        <v>714</v>
      </c>
      <c r="B717" s="342"/>
      <c r="C717" s="343"/>
      <c r="D717" s="344"/>
      <c r="E717" s="343"/>
      <c r="F717" s="345"/>
      <c r="G717" s="346"/>
      <c r="H717" s="346"/>
      <c r="I717" s="347"/>
      <c r="J717" s="346"/>
      <c r="K717" s="353"/>
      <c r="L717" s="71">
        <f t="shared" si="13"/>
        <v>0</v>
      </c>
    </row>
    <row r="718" spans="1:12" hidden="1" x14ac:dyDescent="0.2">
      <c r="A718" s="352">
        <v>715</v>
      </c>
      <c r="B718" s="342"/>
      <c r="C718" s="343"/>
      <c r="D718" s="344"/>
      <c r="E718" s="343"/>
      <c r="F718" s="345"/>
      <c r="G718" s="346"/>
      <c r="H718" s="346"/>
      <c r="I718" s="347"/>
      <c r="J718" s="346"/>
      <c r="K718" s="353"/>
      <c r="L718" s="71">
        <f t="shared" si="13"/>
        <v>0</v>
      </c>
    </row>
    <row r="719" spans="1:12" hidden="1" x14ac:dyDescent="0.2">
      <c r="A719" s="352">
        <v>716</v>
      </c>
      <c r="B719" s="342"/>
      <c r="C719" s="343"/>
      <c r="D719" s="344"/>
      <c r="E719" s="343"/>
      <c r="F719" s="345"/>
      <c r="G719" s="346"/>
      <c r="H719" s="346"/>
      <c r="I719" s="347"/>
      <c r="J719" s="346"/>
      <c r="K719" s="353"/>
      <c r="L719" s="71">
        <f t="shared" si="13"/>
        <v>0</v>
      </c>
    </row>
    <row r="720" spans="1:12" hidden="1" x14ac:dyDescent="0.2">
      <c r="A720" s="352">
        <v>717</v>
      </c>
      <c r="B720" s="342"/>
      <c r="C720" s="343"/>
      <c r="D720" s="344"/>
      <c r="E720" s="343"/>
      <c r="F720" s="345"/>
      <c r="G720" s="346"/>
      <c r="H720" s="346"/>
      <c r="I720" s="347"/>
      <c r="J720" s="346"/>
      <c r="K720" s="353"/>
      <c r="L720" s="71">
        <f t="shared" si="13"/>
        <v>0</v>
      </c>
    </row>
    <row r="721" spans="1:12" hidden="1" x14ac:dyDescent="0.2">
      <c r="A721" s="352">
        <v>718</v>
      </c>
      <c r="B721" s="342"/>
      <c r="C721" s="343"/>
      <c r="D721" s="344"/>
      <c r="E721" s="343"/>
      <c r="F721" s="345"/>
      <c r="G721" s="346"/>
      <c r="H721" s="346"/>
      <c r="I721" s="347"/>
      <c r="J721" s="346"/>
      <c r="K721" s="353"/>
      <c r="L721" s="71">
        <f t="shared" si="13"/>
        <v>0</v>
      </c>
    </row>
    <row r="722" spans="1:12" hidden="1" x14ac:dyDescent="0.2">
      <c r="A722" s="352">
        <v>719</v>
      </c>
      <c r="B722" s="342"/>
      <c r="C722" s="343"/>
      <c r="D722" s="344"/>
      <c r="E722" s="343"/>
      <c r="F722" s="345"/>
      <c r="G722" s="346"/>
      <c r="H722" s="346"/>
      <c r="I722" s="347"/>
      <c r="J722" s="346"/>
      <c r="K722" s="353"/>
      <c r="L722" s="71">
        <f t="shared" si="13"/>
        <v>0</v>
      </c>
    </row>
    <row r="723" spans="1:12" hidden="1" x14ac:dyDescent="0.2">
      <c r="A723" s="352">
        <v>720</v>
      </c>
      <c r="B723" s="342"/>
      <c r="C723" s="343"/>
      <c r="D723" s="344"/>
      <c r="E723" s="343"/>
      <c r="F723" s="345"/>
      <c r="G723" s="346"/>
      <c r="H723" s="346"/>
      <c r="I723" s="347"/>
      <c r="J723" s="346"/>
      <c r="K723" s="353"/>
      <c r="L723" s="71">
        <f t="shared" si="13"/>
        <v>0</v>
      </c>
    </row>
    <row r="724" spans="1:12" hidden="1" x14ac:dyDescent="0.2">
      <c r="A724" s="352">
        <v>721</v>
      </c>
      <c r="B724" s="342"/>
      <c r="C724" s="343"/>
      <c r="D724" s="344"/>
      <c r="E724" s="343"/>
      <c r="F724" s="345"/>
      <c r="G724" s="346"/>
      <c r="H724" s="346"/>
      <c r="I724" s="347"/>
      <c r="J724" s="346"/>
      <c r="K724" s="353"/>
      <c r="L724" s="71">
        <f t="shared" si="13"/>
        <v>0</v>
      </c>
    </row>
    <row r="725" spans="1:12" hidden="1" x14ac:dyDescent="0.2">
      <c r="A725" s="352">
        <v>722</v>
      </c>
      <c r="B725" s="342"/>
      <c r="C725" s="343"/>
      <c r="D725" s="344"/>
      <c r="E725" s="343"/>
      <c r="F725" s="345"/>
      <c r="G725" s="346"/>
      <c r="H725" s="346"/>
      <c r="I725" s="347"/>
      <c r="J725" s="346"/>
      <c r="K725" s="353"/>
      <c r="L725" s="71">
        <f t="shared" si="13"/>
        <v>0</v>
      </c>
    </row>
    <row r="726" spans="1:12" hidden="1" x14ac:dyDescent="0.2">
      <c r="A726" s="352">
        <v>723</v>
      </c>
      <c r="B726" s="342"/>
      <c r="C726" s="343"/>
      <c r="D726" s="344"/>
      <c r="E726" s="343"/>
      <c r="F726" s="345"/>
      <c r="G726" s="346"/>
      <c r="H726" s="346"/>
      <c r="I726" s="347"/>
      <c r="J726" s="346"/>
      <c r="K726" s="353"/>
      <c r="L726" s="71">
        <f t="shared" si="13"/>
        <v>0</v>
      </c>
    </row>
    <row r="727" spans="1:12" hidden="1" x14ac:dyDescent="0.2">
      <c r="A727" s="352">
        <v>724</v>
      </c>
      <c r="B727" s="342"/>
      <c r="C727" s="343"/>
      <c r="D727" s="344"/>
      <c r="E727" s="343"/>
      <c r="F727" s="345"/>
      <c r="G727" s="346"/>
      <c r="H727" s="346"/>
      <c r="I727" s="347"/>
      <c r="J727" s="346"/>
      <c r="K727" s="353"/>
      <c r="L727" s="71">
        <f t="shared" si="13"/>
        <v>0</v>
      </c>
    </row>
    <row r="728" spans="1:12" hidden="1" x14ac:dyDescent="0.2">
      <c r="A728" s="352">
        <v>725</v>
      </c>
      <c r="B728" s="342"/>
      <c r="C728" s="343"/>
      <c r="D728" s="344"/>
      <c r="E728" s="343"/>
      <c r="F728" s="345"/>
      <c r="G728" s="346"/>
      <c r="H728" s="346"/>
      <c r="I728" s="347"/>
      <c r="J728" s="346"/>
      <c r="K728" s="353"/>
      <c r="L728" s="71">
        <f t="shared" si="13"/>
        <v>0</v>
      </c>
    </row>
    <row r="729" spans="1:12" hidden="1" x14ac:dyDescent="0.2">
      <c r="A729" s="352">
        <v>726</v>
      </c>
      <c r="B729" s="342"/>
      <c r="C729" s="343"/>
      <c r="D729" s="344"/>
      <c r="E729" s="343"/>
      <c r="F729" s="345"/>
      <c r="G729" s="346"/>
      <c r="H729" s="346"/>
      <c r="I729" s="347"/>
      <c r="J729" s="346"/>
      <c r="K729" s="353"/>
      <c r="L729" s="71">
        <f t="shared" si="13"/>
        <v>0</v>
      </c>
    </row>
    <row r="730" spans="1:12" hidden="1" x14ac:dyDescent="0.2">
      <c r="A730" s="352">
        <v>727</v>
      </c>
      <c r="B730" s="342"/>
      <c r="C730" s="343"/>
      <c r="D730" s="344"/>
      <c r="E730" s="343"/>
      <c r="F730" s="345"/>
      <c r="G730" s="346"/>
      <c r="H730" s="346"/>
      <c r="I730" s="347"/>
      <c r="J730" s="346"/>
      <c r="K730" s="353"/>
      <c r="L730" s="71">
        <f t="shared" si="13"/>
        <v>0</v>
      </c>
    </row>
    <row r="731" spans="1:12" hidden="1" x14ac:dyDescent="0.2">
      <c r="A731" s="352">
        <v>728</v>
      </c>
      <c r="B731" s="342"/>
      <c r="C731" s="343"/>
      <c r="D731" s="344"/>
      <c r="E731" s="343"/>
      <c r="F731" s="345"/>
      <c r="G731" s="346"/>
      <c r="H731" s="346"/>
      <c r="I731" s="347"/>
      <c r="J731" s="346"/>
      <c r="K731" s="353"/>
      <c r="L731" s="71">
        <f t="shared" si="13"/>
        <v>0</v>
      </c>
    </row>
    <row r="732" spans="1:12" hidden="1" x14ac:dyDescent="0.2">
      <c r="A732" s="352">
        <v>729</v>
      </c>
      <c r="B732" s="342"/>
      <c r="C732" s="343"/>
      <c r="D732" s="344"/>
      <c r="E732" s="343"/>
      <c r="F732" s="345"/>
      <c r="G732" s="346"/>
      <c r="H732" s="346"/>
      <c r="I732" s="347"/>
      <c r="J732" s="346"/>
      <c r="K732" s="353"/>
      <c r="L732" s="71">
        <f t="shared" si="13"/>
        <v>0</v>
      </c>
    </row>
    <row r="733" spans="1:12" hidden="1" x14ac:dyDescent="0.2">
      <c r="A733" s="352">
        <v>730</v>
      </c>
      <c r="B733" s="342"/>
      <c r="C733" s="343"/>
      <c r="D733" s="344"/>
      <c r="E733" s="343"/>
      <c r="F733" s="345"/>
      <c r="G733" s="346"/>
      <c r="H733" s="346"/>
      <c r="I733" s="347"/>
      <c r="J733" s="346"/>
      <c r="K733" s="353"/>
      <c r="L733" s="71">
        <f t="shared" si="13"/>
        <v>0</v>
      </c>
    </row>
    <row r="734" spans="1:12" hidden="1" x14ac:dyDescent="0.2">
      <c r="A734" s="352">
        <v>731</v>
      </c>
      <c r="B734" s="342"/>
      <c r="C734" s="343"/>
      <c r="D734" s="344"/>
      <c r="E734" s="343"/>
      <c r="F734" s="345"/>
      <c r="G734" s="346"/>
      <c r="H734" s="346"/>
      <c r="I734" s="347"/>
      <c r="J734" s="346"/>
      <c r="K734" s="353"/>
      <c r="L734" s="71">
        <f t="shared" si="13"/>
        <v>0</v>
      </c>
    </row>
    <row r="735" spans="1:12" hidden="1" x14ac:dyDescent="0.2">
      <c r="A735" s="352">
        <v>732</v>
      </c>
      <c r="B735" s="342"/>
      <c r="C735" s="343"/>
      <c r="D735" s="344"/>
      <c r="E735" s="343"/>
      <c r="F735" s="345"/>
      <c r="G735" s="346"/>
      <c r="H735" s="346"/>
      <c r="I735" s="347"/>
      <c r="J735" s="346"/>
      <c r="K735" s="353"/>
      <c r="L735" s="71">
        <f t="shared" si="13"/>
        <v>0</v>
      </c>
    </row>
    <row r="736" spans="1:12" hidden="1" x14ac:dyDescent="0.2">
      <c r="A736" s="352">
        <v>733</v>
      </c>
      <c r="B736" s="342"/>
      <c r="C736" s="343"/>
      <c r="D736" s="344"/>
      <c r="E736" s="343"/>
      <c r="F736" s="345"/>
      <c r="G736" s="346"/>
      <c r="H736" s="346"/>
      <c r="I736" s="347"/>
      <c r="J736" s="346"/>
      <c r="K736" s="353"/>
      <c r="L736" s="71">
        <f t="shared" si="13"/>
        <v>0</v>
      </c>
    </row>
    <row r="737" spans="1:12" hidden="1" x14ac:dyDescent="0.2">
      <c r="A737" s="352">
        <v>734</v>
      </c>
      <c r="B737" s="342"/>
      <c r="C737" s="343"/>
      <c r="D737" s="344"/>
      <c r="E737" s="343"/>
      <c r="F737" s="345"/>
      <c r="G737" s="346"/>
      <c r="H737" s="346"/>
      <c r="I737" s="347"/>
      <c r="J737" s="346"/>
      <c r="K737" s="353"/>
      <c r="L737" s="71">
        <f t="shared" si="13"/>
        <v>0</v>
      </c>
    </row>
    <row r="738" spans="1:12" hidden="1" x14ac:dyDescent="0.2">
      <c r="A738" s="352">
        <v>735</v>
      </c>
      <c r="B738" s="342"/>
      <c r="C738" s="343"/>
      <c r="D738" s="344"/>
      <c r="E738" s="343"/>
      <c r="F738" s="345"/>
      <c r="G738" s="346"/>
      <c r="H738" s="346"/>
      <c r="I738" s="347"/>
      <c r="J738" s="346"/>
      <c r="K738" s="353"/>
      <c r="L738" s="71">
        <f t="shared" si="13"/>
        <v>0</v>
      </c>
    </row>
    <row r="739" spans="1:12" hidden="1" x14ac:dyDescent="0.2">
      <c r="A739" s="352">
        <v>736</v>
      </c>
      <c r="B739" s="342"/>
      <c r="C739" s="343"/>
      <c r="D739" s="344"/>
      <c r="E739" s="343"/>
      <c r="F739" s="345"/>
      <c r="G739" s="346"/>
      <c r="H739" s="346"/>
      <c r="I739" s="347"/>
      <c r="J739" s="346"/>
      <c r="K739" s="353"/>
      <c r="L739" s="71">
        <f t="shared" si="13"/>
        <v>0</v>
      </c>
    </row>
    <row r="740" spans="1:12" hidden="1" x14ac:dyDescent="0.2">
      <c r="A740" s="352">
        <v>737</v>
      </c>
      <c r="B740" s="342"/>
      <c r="C740" s="343"/>
      <c r="D740" s="344"/>
      <c r="E740" s="343"/>
      <c r="F740" s="345"/>
      <c r="G740" s="346"/>
      <c r="H740" s="346"/>
      <c r="I740" s="347"/>
      <c r="J740" s="346"/>
      <c r="K740" s="353"/>
      <c r="L740" s="71">
        <f t="shared" si="13"/>
        <v>0</v>
      </c>
    </row>
    <row r="741" spans="1:12" hidden="1" x14ac:dyDescent="0.2">
      <c r="A741" s="352">
        <v>738</v>
      </c>
      <c r="B741" s="342"/>
      <c r="C741" s="343"/>
      <c r="D741" s="344"/>
      <c r="E741" s="343"/>
      <c r="F741" s="345"/>
      <c r="G741" s="346"/>
      <c r="H741" s="346"/>
      <c r="I741" s="347"/>
      <c r="J741" s="346"/>
      <c r="K741" s="353"/>
      <c r="L741" s="71">
        <f t="shared" si="13"/>
        <v>0</v>
      </c>
    </row>
    <row r="742" spans="1:12" hidden="1" x14ac:dyDescent="0.2">
      <c r="A742" s="352">
        <v>739</v>
      </c>
      <c r="B742" s="342"/>
      <c r="C742" s="343"/>
      <c r="D742" s="344"/>
      <c r="E742" s="343"/>
      <c r="F742" s="345"/>
      <c r="G742" s="346"/>
      <c r="H742" s="346"/>
      <c r="I742" s="347"/>
      <c r="J742" s="346"/>
      <c r="K742" s="353"/>
      <c r="L742" s="71">
        <f t="shared" si="13"/>
        <v>0</v>
      </c>
    </row>
    <row r="743" spans="1:12" hidden="1" x14ac:dyDescent="0.2">
      <c r="A743" s="352">
        <v>740</v>
      </c>
      <c r="B743" s="342"/>
      <c r="C743" s="343"/>
      <c r="D743" s="344"/>
      <c r="E743" s="343"/>
      <c r="F743" s="345"/>
      <c r="G743" s="346"/>
      <c r="H743" s="346"/>
      <c r="I743" s="347"/>
      <c r="J743" s="346"/>
      <c r="K743" s="353"/>
      <c r="L743" s="71">
        <f t="shared" si="13"/>
        <v>0</v>
      </c>
    </row>
    <row r="744" spans="1:12" hidden="1" x14ac:dyDescent="0.2">
      <c r="A744" s="352">
        <v>741</v>
      </c>
      <c r="B744" s="342"/>
      <c r="C744" s="343"/>
      <c r="D744" s="344"/>
      <c r="E744" s="343"/>
      <c r="F744" s="345"/>
      <c r="G744" s="346"/>
      <c r="H744" s="346"/>
      <c r="I744" s="347"/>
      <c r="J744" s="346"/>
      <c r="K744" s="353"/>
      <c r="L744" s="71">
        <f t="shared" si="13"/>
        <v>0</v>
      </c>
    </row>
    <row r="745" spans="1:12" hidden="1" x14ac:dyDescent="0.2">
      <c r="A745" s="352">
        <v>742</v>
      </c>
      <c r="B745" s="342"/>
      <c r="C745" s="343"/>
      <c r="D745" s="344"/>
      <c r="E745" s="343"/>
      <c r="F745" s="345"/>
      <c r="G745" s="346"/>
      <c r="H745" s="346"/>
      <c r="I745" s="347"/>
      <c r="J745" s="346"/>
      <c r="K745" s="353"/>
      <c r="L745" s="71">
        <f t="shared" si="13"/>
        <v>0</v>
      </c>
    </row>
    <row r="746" spans="1:12" hidden="1" x14ac:dyDescent="0.2">
      <c r="A746" s="352">
        <v>743</v>
      </c>
      <c r="B746" s="342"/>
      <c r="C746" s="343"/>
      <c r="D746" s="344"/>
      <c r="E746" s="343"/>
      <c r="F746" s="345"/>
      <c r="G746" s="346"/>
      <c r="H746" s="346"/>
      <c r="I746" s="347"/>
      <c r="J746" s="346"/>
      <c r="K746" s="353"/>
      <c r="L746" s="71">
        <f t="shared" si="13"/>
        <v>0</v>
      </c>
    </row>
    <row r="747" spans="1:12" hidden="1" x14ac:dyDescent="0.2">
      <c r="A747" s="352">
        <v>744</v>
      </c>
      <c r="B747" s="342"/>
      <c r="C747" s="343"/>
      <c r="D747" s="344"/>
      <c r="E747" s="343"/>
      <c r="F747" s="345"/>
      <c r="G747" s="346"/>
      <c r="H747" s="346"/>
      <c r="I747" s="347"/>
      <c r="J747" s="346"/>
      <c r="K747" s="353"/>
      <c r="L747" s="71">
        <f t="shared" si="13"/>
        <v>0</v>
      </c>
    </row>
    <row r="748" spans="1:12" hidden="1" x14ac:dyDescent="0.2">
      <c r="A748" s="352">
        <v>745</v>
      </c>
      <c r="B748" s="342"/>
      <c r="C748" s="343"/>
      <c r="D748" s="344"/>
      <c r="E748" s="343"/>
      <c r="F748" s="345"/>
      <c r="G748" s="346"/>
      <c r="H748" s="346"/>
      <c r="I748" s="347"/>
      <c r="J748" s="346"/>
      <c r="K748" s="353"/>
      <c r="L748" s="71">
        <f t="shared" si="13"/>
        <v>0</v>
      </c>
    </row>
    <row r="749" spans="1:12" hidden="1" x14ac:dyDescent="0.2">
      <c r="A749" s="352">
        <v>746</v>
      </c>
      <c r="B749" s="342"/>
      <c r="C749" s="343"/>
      <c r="D749" s="344"/>
      <c r="E749" s="343"/>
      <c r="F749" s="345"/>
      <c r="G749" s="346"/>
      <c r="H749" s="346"/>
      <c r="I749" s="347"/>
      <c r="J749" s="346"/>
      <c r="K749" s="353"/>
      <c r="L749" s="71">
        <f t="shared" si="13"/>
        <v>0</v>
      </c>
    </row>
    <row r="750" spans="1:12" hidden="1" x14ac:dyDescent="0.2">
      <c r="A750" s="352">
        <v>747</v>
      </c>
      <c r="B750" s="342"/>
      <c r="C750" s="343"/>
      <c r="D750" s="344"/>
      <c r="E750" s="343"/>
      <c r="F750" s="345"/>
      <c r="G750" s="346"/>
      <c r="H750" s="346"/>
      <c r="I750" s="347"/>
      <c r="J750" s="346"/>
      <c r="K750" s="353"/>
      <c r="L750" s="71">
        <f t="shared" si="13"/>
        <v>0</v>
      </c>
    </row>
    <row r="751" spans="1:12" hidden="1" x14ac:dyDescent="0.2">
      <c r="A751" s="352">
        <v>748</v>
      </c>
      <c r="B751" s="342"/>
      <c r="C751" s="343"/>
      <c r="D751" s="344"/>
      <c r="E751" s="343"/>
      <c r="F751" s="345"/>
      <c r="G751" s="346"/>
      <c r="H751" s="346"/>
      <c r="I751" s="347"/>
      <c r="J751" s="346"/>
      <c r="K751" s="353"/>
      <c r="L751" s="71">
        <f t="shared" si="13"/>
        <v>0</v>
      </c>
    </row>
    <row r="752" spans="1:12" hidden="1" x14ac:dyDescent="0.2">
      <c r="A752" s="352">
        <v>749</v>
      </c>
      <c r="B752" s="342"/>
      <c r="C752" s="343"/>
      <c r="D752" s="344"/>
      <c r="E752" s="343"/>
      <c r="F752" s="345"/>
      <c r="G752" s="346"/>
      <c r="H752" s="346"/>
      <c r="I752" s="347"/>
      <c r="J752" s="346"/>
      <c r="K752" s="353"/>
      <c r="L752" s="71">
        <f t="shared" si="13"/>
        <v>0</v>
      </c>
    </row>
    <row r="753" spans="1:12" hidden="1" x14ac:dyDescent="0.2">
      <c r="A753" s="352">
        <v>750</v>
      </c>
      <c r="B753" s="342"/>
      <c r="C753" s="343"/>
      <c r="D753" s="344"/>
      <c r="E753" s="343"/>
      <c r="F753" s="345"/>
      <c r="G753" s="346"/>
      <c r="H753" s="346"/>
      <c r="I753" s="347"/>
      <c r="J753" s="346"/>
      <c r="K753" s="353"/>
      <c r="L753" s="71">
        <f t="shared" si="13"/>
        <v>0</v>
      </c>
    </row>
    <row r="754" spans="1:12" hidden="1" x14ac:dyDescent="0.2">
      <c r="A754" s="352">
        <v>751</v>
      </c>
      <c r="B754" s="342"/>
      <c r="C754" s="343"/>
      <c r="D754" s="344"/>
      <c r="E754" s="343"/>
      <c r="F754" s="345"/>
      <c r="G754" s="346"/>
      <c r="H754" s="346"/>
      <c r="I754" s="347"/>
      <c r="J754" s="346"/>
      <c r="K754" s="353"/>
      <c r="L754" s="71">
        <f t="shared" si="13"/>
        <v>0</v>
      </c>
    </row>
    <row r="755" spans="1:12" hidden="1" x14ac:dyDescent="0.2">
      <c r="A755" s="352">
        <v>752</v>
      </c>
      <c r="B755" s="342"/>
      <c r="C755" s="343"/>
      <c r="D755" s="344"/>
      <c r="E755" s="343"/>
      <c r="F755" s="345"/>
      <c r="G755" s="346"/>
      <c r="H755" s="346"/>
      <c r="I755" s="347"/>
      <c r="J755" s="346"/>
      <c r="K755" s="353"/>
      <c r="L755" s="71">
        <f t="shared" si="13"/>
        <v>0</v>
      </c>
    </row>
    <row r="756" spans="1:12" hidden="1" x14ac:dyDescent="0.2">
      <c r="A756" s="352">
        <v>753</v>
      </c>
      <c r="B756" s="342"/>
      <c r="C756" s="343"/>
      <c r="D756" s="344"/>
      <c r="E756" s="343"/>
      <c r="F756" s="345"/>
      <c r="G756" s="346"/>
      <c r="H756" s="346"/>
      <c r="I756" s="347"/>
      <c r="J756" s="346"/>
      <c r="K756" s="353"/>
      <c r="L756" s="71">
        <f t="shared" si="13"/>
        <v>0</v>
      </c>
    </row>
    <row r="757" spans="1:12" hidden="1" x14ac:dyDescent="0.2">
      <c r="A757" s="352">
        <v>754</v>
      </c>
      <c r="B757" s="342"/>
      <c r="C757" s="343"/>
      <c r="D757" s="344"/>
      <c r="E757" s="343"/>
      <c r="F757" s="345"/>
      <c r="G757" s="346"/>
      <c r="H757" s="346"/>
      <c r="I757" s="347"/>
      <c r="J757" s="346"/>
      <c r="K757" s="353"/>
      <c r="L757" s="71">
        <f t="shared" si="13"/>
        <v>0</v>
      </c>
    </row>
    <row r="758" spans="1:12" hidden="1" x14ac:dyDescent="0.2">
      <c r="A758" s="352">
        <v>755</v>
      </c>
      <c r="B758" s="342"/>
      <c r="C758" s="343"/>
      <c r="D758" s="344"/>
      <c r="E758" s="343"/>
      <c r="F758" s="345"/>
      <c r="G758" s="346"/>
      <c r="H758" s="346"/>
      <c r="I758" s="347"/>
      <c r="J758" s="346"/>
      <c r="K758" s="353"/>
      <c r="L758" s="71">
        <f t="shared" si="13"/>
        <v>0</v>
      </c>
    </row>
    <row r="759" spans="1:12" hidden="1" x14ac:dyDescent="0.2">
      <c r="A759" s="352">
        <v>756</v>
      </c>
      <c r="B759" s="342"/>
      <c r="C759" s="343"/>
      <c r="D759" s="344"/>
      <c r="E759" s="343"/>
      <c r="F759" s="345"/>
      <c r="G759" s="346"/>
      <c r="H759" s="346"/>
      <c r="I759" s="347"/>
      <c r="J759" s="346"/>
      <c r="K759" s="353"/>
      <c r="L759" s="71">
        <f t="shared" si="13"/>
        <v>0</v>
      </c>
    </row>
    <row r="760" spans="1:12" hidden="1" x14ac:dyDescent="0.2">
      <c r="A760" s="352">
        <v>757</v>
      </c>
      <c r="B760" s="342"/>
      <c r="C760" s="343"/>
      <c r="D760" s="344"/>
      <c r="E760" s="343"/>
      <c r="F760" s="345"/>
      <c r="G760" s="346"/>
      <c r="H760" s="346"/>
      <c r="I760" s="347"/>
      <c r="J760" s="346"/>
      <c r="K760" s="353"/>
      <c r="L760" s="71">
        <f t="shared" si="13"/>
        <v>0</v>
      </c>
    </row>
    <row r="761" spans="1:12" hidden="1" x14ac:dyDescent="0.2">
      <c r="A761" s="352">
        <v>758</v>
      </c>
      <c r="B761" s="342"/>
      <c r="C761" s="343"/>
      <c r="D761" s="344"/>
      <c r="E761" s="343"/>
      <c r="F761" s="345"/>
      <c r="G761" s="346"/>
      <c r="H761" s="346"/>
      <c r="I761" s="347"/>
      <c r="J761" s="346"/>
      <c r="K761" s="353"/>
      <c r="L761" s="71">
        <f t="shared" si="13"/>
        <v>0</v>
      </c>
    </row>
    <row r="762" spans="1:12" hidden="1" x14ac:dyDescent="0.2">
      <c r="A762" s="352">
        <v>759</v>
      </c>
      <c r="B762" s="342"/>
      <c r="C762" s="343"/>
      <c r="D762" s="344"/>
      <c r="E762" s="343"/>
      <c r="F762" s="345"/>
      <c r="G762" s="346"/>
      <c r="H762" s="346"/>
      <c r="I762" s="347"/>
      <c r="J762" s="346"/>
      <c r="K762" s="353"/>
      <c r="L762" s="71">
        <f t="shared" si="13"/>
        <v>0</v>
      </c>
    </row>
    <row r="763" spans="1:12" hidden="1" x14ac:dyDescent="0.2">
      <c r="A763" s="352">
        <v>760</v>
      </c>
      <c r="B763" s="342"/>
      <c r="C763" s="343"/>
      <c r="D763" s="344"/>
      <c r="E763" s="343"/>
      <c r="F763" s="345"/>
      <c r="G763" s="346"/>
      <c r="H763" s="346"/>
      <c r="I763" s="347"/>
      <c r="J763" s="346"/>
      <c r="K763" s="353"/>
      <c r="L763" s="71">
        <f t="shared" si="13"/>
        <v>0</v>
      </c>
    </row>
    <row r="764" spans="1:12" hidden="1" x14ac:dyDescent="0.2">
      <c r="A764" s="352">
        <v>761</v>
      </c>
      <c r="B764" s="342"/>
      <c r="C764" s="343"/>
      <c r="D764" s="344"/>
      <c r="E764" s="343"/>
      <c r="F764" s="345"/>
      <c r="G764" s="346"/>
      <c r="H764" s="346"/>
      <c r="I764" s="347"/>
      <c r="J764" s="346"/>
      <c r="K764" s="353"/>
      <c r="L764" s="71">
        <f t="shared" si="13"/>
        <v>0</v>
      </c>
    </row>
    <row r="765" spans="1:12" hidden="1" x14ac:dyDescent="0.2">
      <c r="A765" s="352">
        <v>762</v>
      </c>
      <c r="B765" s="342"/>
      <c r="C765" s="343"/>
      <c r="D765" s="344"/>
      <c r="E765" s="343"/>
      <c r="F765" s="345"/>
      <c r="G765" s="346"/>
      <c r="H765" s="346"/>
      <c r="I765" s="347"/>
      <c r="J765" s="346"/>
      <c r="K765" s="353"/>
      <c r="L765" s="71">
        <f t="shared" si="13"/>
        <v>0</v>
      </c>
    </row>
    <row r="766" spans="1:12" hidden="1" x14ac:dyDescent="0.2">
      <c r="A766" s="352">
        <v>763</v>
      </c>
      <c r="B766" s="342"/>
      <c r="C766" s="343"/>
      <c r="D766" s="344"/>
      <c r="E766" s="343"/>
      <c r="F766" s="345"/>
      <c r="G766" s="346"/>
      <c r="H766" s="346"/>
      <c r="I766" s="347"/>
      <c r="J766" s="346"/>
      <c r="K766" s="353"/>
      <c r="L766" s="71">
        <f t="shared" si="13"/>
        <v>0</v>
      </c>
    </row>
    <row r="767" spans="1:12" hidden="1" x14ac:dyDescent="0.2">
      <c r="A767" s="352">
        <v>764</v>
      </c>
      <c r="B767" s="342"/>
      <c r="C767" s="343"/>
      <c r="D767" s="344"/>
      <c r="E767" s="343"/>
      <c r="F767" s="345"/>
      <c r="G767" s="346"/>
      <c r="H767" s="346"/>
      <c r="I767" s="347"/>
      <c r="J767" s="346"/>
      <c r="K767" s="353"/>
      <c r="L767" s="71">
        <f t="shared" si="13"/>
        <v>0</v>
      </c>
    </row>
    <row r="768" spans="1:12" hidden="1" x14ac:dyDescent="0.2">
      <c r="A768" s="352">
        <v>765</v>
      </c>
      <c r="B768" s="342"/>
      <c r="C768" s="343"/>
      <c r="D768" s="344"/>
      <c r="E768" s="343"/>
      <c r="F768" s="345"/>
      <c r="G768" s="346"/>
      <c r="H768" s="346"/>
      <c r="I768" s="347"/>
      <c r="J768" s="346"/>
      <c r="K768" s="353"/>
      <c r="L768" s="71">
        <f t="shared" si="13"/>
        <v>0</v>
      </c>
    </row>
    <row r="769" spans="1:12" hidden="1" x14ac:dyDescent="0.2">
      <c r="A769" s="352">
        <v>766</v>
      </c>
      <c r="B769" s="342"/>
      <c r="C769" s="343"/>
      <c r="D769" s="344"/>
      <c r="E769" s="343"/>
      <c r="F769" s="345"/>
      <c r="G769" s="346"/>
      <c r="H769" s="346"/>
      <c r="I769" s="347"/>
      <c r="J769" s="346"/>
      <c r="K769" s="353"/>
      <c r="L769" s="71">
        <f t="shared" ref="L769:L832" si="14">IF(B769=0,0,MONTH(B769)-$L$1+1)</f>
        <v>0</v>
      </c>
    </row>
    <row r="770" spans="1:12" hidden="1" x14ac:dyDescent="0.2">
      <c r="A770" s="352">
        <v>767</v>
      </c>
      <c r="B770" s="342"/>
      <c r="C770" s="343"/>
      <c r="D770" s="344"/>
      <c r="E770" s="343"/>
      <c r="F770" s="345"/>
      <c r="G770" s="346"/>
      <c r="H770" s="346"/>
      <c r="I770" s="347"/>
      <c r="J770" s="346"/>
      <c r="K770" s="353"/>
      <c r="L770" s="71">
        <f t="shared" si="14"/>
        <v>0</v>
      </c>
    </row>
    <row r="771" spans="1:12" hidden="1" x14ac:dyDescent="0.2">
      <c r="A771" s="352">
        <v>768</v>
      </c>
      <c r="B771" s="342"/>
      <c r="C771" s="343"/>
      <c r="D771" s="344"/>
      <c r="E771" s="343"/>
      <c r="F771" s="345"/>
      <c r="G771" s="346"/>
      <c r="H771" s="346"/>
      <c r="I771" s="347"/>
      <c r="J771" s="346"/>
      <c r="K771" s="353"/>
      <c r="L771" s="71">
        <f t="shared" si="14"/>
        <v>0</v>
      </c>
    </row>
    <row r="772" spans="1:12" hidden="1" x14ac:dyDescent="0.2">
      <c r="A772" s="352">
        <v>769</v>
      </c>
      <c r="B772" s="342"/>
      <c r="C772" s="343"/>
      <c r="D772" s="344"/>
      <c r="E772" s="343"/>
      <c r="F772" s="345"/>
      <c r="G772" s="346"/>
      <c r="H772" s="346"/>
      <c r="I772" s="347"/>
      <c r="J772" s="346"/>
      <c r="K772" s="353"/>
      <c r="L772" s="71">
        <f t="shared" si="14"/>
        <v>0</v>
      </c>
    </row>
    <row r="773" spans="1:12" hidden="1" x14ac:dyDescent="0.2">
      <c r="A773" s="352">
        <v>770</v>
      </c>
      <c r="B773" s="342"/>
      <c r="C773" s="343"/>
      <c r="D773" s="344"/>
      <c r="E773" s="343"/>
      <c r="F773" s="345"/>
      <c r="G773" s="346"/>
      <c r="H773" s="346"/>
      <c r="I773" s="347"/>
      <c r="J773" s="346"/>
      <c r="K773" s="353"/>
      <c r="L773" s="71">
        <f t="shared" si="14"/>
        <v>0</v>
      </c>
    </row>
    <row r="774" spans="1:12" hidden="1" x14ac:dyDescent="0.2">
      <c r="A774" s="352">
        <v>771</v>
      </c>
      <c r="B774" s="342"/>
      <c r="C774" s="343"/>
      <c r="D774" s="344"/>
      <c r="E774" s="343"/>
      <c r="F774" s="345"/>
      <c r="G774" s="346"/>
      <c r="H774" s="346"/>
      <c r="I774" s="347"/>
      <c r="J774" s="346"/>
      <c r="K774" s="353"/>
      <c r="L774" s="71">
        <f t="shared" si="14"/>
        <v>0</v>
      </c>
    </row>
    <row r="775" spans="1:12" hidden="1" x14ac:dyDescent="0.2">
      <c r="A775" s="352">
        <v>772</v>
      </c>
      <c r="B775" s="342"/>
      <c r="C775" s="343"/>
      <c r="D775" s="344"/>
      <c r="E775" s="343"/>
      <c r="F775" s="345"/>
      <c r="G775" s="346"/>
      <c r="H775" s="346"/>
      <c r="I775" s="347"/>
      <c r="J775" s="346"/>
      <c r="K775" s="353"/>
      <c r="L775" s="71">
        <f t="shared" si="14"/>
        <v>0</v>
      </c>
    </row>
    <row r="776" spans="1:12" hidden="1" x14ac:dyDescent="0.2">
      <c r="A776" s="352">
        <v>773</v>
      </c>
      <c r="B776" s="342"/>
      <c r="C776" s="343"/>
      <c r="D776" s="344"/>
      <c r="E776" s="343"/>
      <c r="F776" s="345"/>
      <c r="G776" s="346"/>
      <c r="H776" s="346"/>
      <c r="I776" s="347"/>
      <c r="J776" s="346"/>
      <c r="K776" s="353"/>
      <c r="L776" s="71">
        <f t="shared" si="14"/>
        <v>0</v>
      </c>
    </row>
    <row r="777" spans="1:12" hidden="1" x14ac:dyDescent="0.2">
      <c r="A777" s="352">
        <v>774</v>
      </c>
      <c r="B777" s="342"/>
      <c r="C777" s="343"/>
      <c r="D777" s="344"/>
      <c r="E777" s="343"/>
      <c r="F777" s="345"/>
      <c r="G777" s="346"/>
      <c r="H777" s="346"/>
      <c r="I777" s="347"/>
      <c r="J777" s="346"/>
      <c r="K777" s="353"/>
      <c r="L777" s="71">
        <f t="shared" si="14"/>
        <v>0</v>
      </c>
    </row>
    <row r="778" spans="1:12" hidden="1" x14ac:dyDescent="0.2">
      <c r="A778" s="352">
        <v>775</v>
      </c>
      <c r="B778" s="342"/>
      <c r="C778" s="343"/>
      <c r="D778" s="344"/>
      <c r="E778" s="343"/>
      <c r="F778" s="345"/>
      <c r="G778" s="346"/>
      <c r="H778" s="346"/>
      <c r="I778" s="347"/>
      <c r="J778" s="346"/>
      <c r="K778" s="353"/>
      <c r="L778" s="71">
        <f t="shared" si="14"/>
        <v>0</v>
      </c>
    </row>
    <row r="779" spans="1:12" hidden="1" x14ac:dyDescent="0.2">
      <c r="A779" s="352">
        <v>776</v>
      </c>
      <c r="B779" s="342"/>
      <c r="C779" s="343"/>
      <c r="D779" s="344"/>
      <c r="E779" s="343"/>
      <c r="F779" s="345"/>
      <c r="G779" s="346"/>
      <c r="H779" s="346"/>
      <c r="I779" s="347"/>
      <c r="J779" s="346"/>
      <c r="K779" s="353"/>
      <c r="L779" s="71">
        <f t="shared" si="14"/>
        <v>0</v>
      </c>
    </row>
    <row r="780" spans="1:12" hidden="1" x14ac:dyDescent="0.2">
      <c r="A780" s="352">
        <v>777</v>
      </c>
      <c r="B780" s="342"/>
      <c r="C780" s="343"/>
      <c r="D780" s="344"/>
      <c r="E780" s="343"/>
      <c r="F780" s="345"/>
      <c r="G780" s="346"/>
      <c r="H780" s="346"/>
      <c r="I780" s="347"/>
      <c r="J780" s="346"/>
      <c r="K780" s="353"/>
      <c r="L780" s="71">
        <f t="shared" si="14"/>
        <v>0</v>
      </c>
    </row>
    <row r="781" spans="1:12" hidden="1" x14ac:dyDescent="0.2">
      <c r="A781" s="352">
        <v>778</v>
      </c>
      <c r="B781" s="342"/>
      <c r="C781" s="343"/>
      <c r="D781" s="344"/>
      <c r="E781" s="343"/>
      <c r="F781" s="345"/>
      <c r="G781" s="346"/>
      <c r="H781" s="346"/>
      <c r="I781" s="347"/>
      <c r="J781" s="346"/>
      <c r="K781" s="353"/>
      <c r="L781" s="71">
        <f t="shared" si="14"/>
        <v>0</v>
      </c>
    </row>
    <row r="782" spans="1:12" hidden="1" x14ac:dyDescent="0.2">
      <c r="A782" s="352">
        <v>779</v>
      </c>
      <c r="B782" s="342"/>
      <c r="C782" s="343"/>
      <c r="D782" s="344"/>
      <c r="E782" s="343"/>
      <c r="F782" s="345"/>
      <c r="G782" s="346"/>
      <c r="H782" s="346"/>
      <c r="I782" s="347"/>
      <c r="J782" s="346"/>
      <c r="K782" s="353"/>
      <c r="L782" s="71">
        <f t="shared" si="14"/>
        <v>0</v>
      </c>
    </row>
    <row r="783" spans="1:12" hidden="1" x14ac:dyDescent="0.2">
      <c r="A783" s="352">
        <v>780</v>
      </c>
      <c r="B783" s="342"/>
      <c r="C783" s="343"/>
      <c r="D783" s="344"/>
      <c r="E783" s="343"/>
      <c r="F783" s="345"/>
      <c r="G783" s="346"/>
      <c r="H783" s="346"/>
      <c r="I783" s="347"/>
      <c r="J783" s="346"/>
      <c r="K783" s="353"/>
      <c r="L783" s="71">
        <f t="shared" si="14"/>
        <v>0</v>
      </c>
    </row>
    <row r="784" spans="1:12" hidden="1" x14ac:dyDescent="0.2">
      <c r="A784" s="352">
        <v>781</v>
      </c>
      <c r="B784" s="342"/>
      <c r="C784" s="343"/>
      <c r="D784" s="344"/>
      <c r="E784" s="343"/>
      <c r="F784" s="345"/>
      <c r="G784" s="346"/>
      <c r="H784" s="346"/>
      <c r="I784" s="347"/>
      <c r="J784" s="346"/>
      <c r="K784" s="353"/>
      <c r="L784" s="71">
        <f t="shared" si="14"/>
        <v>0</v>
      </c>
    </row>
    <row r="785" spans="1:12" hidden="1" x14ac:dyDescent="0.2">
      <c r="A785" s="352">
        <v>782</v>
      </c>
      <c r="B785" s="342"/>
      <c r="C785" s="343"/>
      <c r="D785" s="344"/>
      <c r="E785" s="343"/>
      <c r="F785" s="345"/>
      <c r="G785" s="346"/>
      <c r="H785" s="346"/>
      <c r="I785" s="347"/>
      <c r="J785" s="346"/>
      <c r="K785" s="353"/>
      <c r="L785" s="71">
        <f t="shared" si="14"/>
        <v>0</v>
      </c>
    </row>
    <row r="786" spans="1:12" hidden="1" x14ac:dyDescent="0.2">
      <c r="A786" s="352">
        <v>783</v>
      </c>
      <c r="B786" s="342"/>
      <c r="C786" s="343"/>
      <c r="D786" s="344"/>
      <c r="E786" s="343"/>
      <c r="F786" s="345"/>
      <c r="G786" s="346"/>
      <c r="H786" s="346"/>
      <c r="I786" s="347"/>
      <c r="J786" s="346"/>
      <c r="K786" s="353"/>
      <c r="L786" s="71">
        <f t="shared" si="14"/>
        <v>0</v>
      </c>
    </row>
    <row r="787" spans="1:12" hidden="1" x14ac:dyDescent="0.2">
      <c r="A787" s="352">
        <v>784</v>
      </c>
      <c r="B787" s="342"/>
      <c r="C787" s="343"/>
      <c r="D787" s="344"/>
      <c r="E787" s="343"/>
      <c r="F787" s="345"/>
      <c r="G787" s="346"/>
      <c r="H787" s="346"/>
      <c r="I787" s="347"/>
      <c r="J787" s="346"/>
      <c r="K787" s="353"/>
      <c r="L787" s="71">
        <f t="shared" si="14"/>
        <v>0</v>
      </c>
    </row>
    <row r="788" spans="1:12" hidden="1" x14ac:dyDescent="0.2">
      <c r="A788" s="352">
        <v>785</v>
      </c>
      <c r="B788" s="342"/>
      <c r="C788" s="343"/>
      <c r="D788" s="344"/>
      <c r="E788" s="343"/>
      <c r="F788" s="345"/>
      <c r="G788" s="346"/>
      <c r="H788" s="346"/>
      <c r="I788" s="347"/>
      <c r="J788" s="346"/>
      <c r="K788" s="353"/>
      <c r="L788" s="71">
        <f t="shared" si="14"/>
        <v>0</v>
      </c>
    </row>
    <row r="789" spans="1:12" hidden="1" x14ac:dyDescent="0.2">
      <c r="A789" s="352">
        <v>786</v>
      </c>
      <c r="B789" s="342"/>
      <c r="C789" s="343"/>
      <c r="D789" s="344"/>
      <c r="E789" s="343"/>
      <c r="F789" s="345"/>
      <c r="G789" s="346"/>
      <c r="H789" s="346"/>
      <c r="I789" s="347"/>
      <c r="J789" s="346"/>
      <c r="K789" s="353"/>
      <c r="L789" s="71">
        <f t="shared" si="14"/>
        <v>0</v>
      </c>
    </row>
    <row r="790" spans="1:12" hidden="1" x14ac:dyDescent="0.2">
      <c r="A790" s="352">
        <v>787</v>
      </c>
      <c r="B790" s="342"/>
      <c r="C790" s="343"/>
      <c r="D790" s="344"/>
      <c r="E790" s="343"/>
      <c r="F790" s="345"/>
      <c r="G790" s="346"/>
      <c r="H790" s="346"/>
      <c r="I790" s="347"/>
      <c r="J790" s="346"/>
      <c r="K790" s="353"/>
      <c r="L790" s="71">
        <f t="shared" si="14"/>
        <v>0</v>
      </c>
    </row>
    <row r="791" spans="1:12" hidden="1" x14ac:dyDescent="0.2">
      <c r="A791" s="352">
        <v>788</v>
      </c>
      <c r="B791" s="342"/>
      <c r="C791" s="343"/>
      <c r="D791" s="344"/>
      <c r="E791" s="343"/>
      <c r="F791" s="345"/>
      <c r="G791" s="346"/>
      <c r="H791" s="346"/>
      <c r="I791" s="347"/>
      <c r="J791" s="346"/>
      <c r="K791" s="353"/>
      <c r="L791" s="71">
        <f t="shared" si="14"/>
        <v>0</v>
      </c>
    </row>
    <row r="792" spans="1:12" hidden="1" x14ac:dyDescent="0.2">
      <c r="A792" s="352">
        <v>789</v>
      </c>
      <c r="B792" s="342"/>
      <c r="C792" s="343"/>
      <c r="D792" s="344"/>
      <c r="E792" s="343"/>
      <c r="F792" s="345"/>
      <c r="G792" s="346"/>
      <c r="H792" s="346"/>
      <c r="I792" s="347"/>
      <c r="J792" s="346"/>
      <c r="K792" s="353"/>
      <c r="L792" s="71">
        <f t="shared" si="14"/>
        <v>0</v>
      </c>
    </row>
    <row r="793" spans="1:12" hidden="1" x14ac:dyDescent="0.2">
      <c r="A793" s="352">
        <v>790</v>
      </c>
      <c r="B793" s="342"/>
      <c r="C793" s="343"/>
      <c r="D793" s="344"/>
      <c r="E793" s="343"/>
      <c r="F793" s="345"/>
      <c r="G793" s="346"/>
      <c r="H793" s="346"/>
      <c r="I793" s="347"/>
      <c r="J793" s="346"/>
      <c r="K793" s="353"/>
      <c r="L793" s="71">
        <f t="shared" si="14"/>
        <v>0</v>
      </c>
    </row>
    <row r="794" spans="1:12" hidden="1" x14ac:dyDescent="0.2">
      <c r="A794" s="352">
        <v>791</v>
      </c>
      <c r="B794" s="342"/>
      <c r="C794" s="343"/>
      <c r="D794" s="344"/>
      <c r="E794" s="343"/>
      <c r="F794" s="345"/>
      <c r="G794" s="346"/>
      <c r="H794" s="346"/>
      <c r="I794" s="347"/>
      <c r="J794" s="346"/>
      <c r="K794" s="353"/>
      <c r="L794" s="71">
        <f t="shared" si="14"/>
        <v>0</v>
      </c>
    </row>
    <row r="795" spans="1:12" hidden="1" x14ac:dyDescent="0.2">
      <c r="A795" s="352">
        <v>792</v>
      </c>
      <c r="B795" s="342"/>
      <c r="C795" s="343"/>
      <c r="D795" s="344"/>
      <c r="E795" s="343"/>
      <c r="F795" s="345"/>
      <c r="G795" s="346"/>
      <c r="H795" s="346"/>
      <c r="I795" s="347"/>
      <c r="J795" s="346"/>
      <c r="K795" s="353"/>
      <c r="L795" s="71">
        <f t="shared" si="14"/>
        <v>0</v>
      </c>
    </row>
    <row r="796" spans="1:12" hidden="1" x14ac:dyDescent="0.2">
      <c r="A796" s="352">
        <v>793</v>
      </c>
      <c r="B796" s="342"/>
      <c r="C796" s="343"/>
      <c r="D796" s="344"/>
      <c r="E796" s="343"/>
      <c r="F796" s="345"/>
      <c r="G796" s="346"/>
      <c r="H796" s="346"/>
      <c r="I796" s="347"/>
      <c r="J796" s="346"/>
      <c r="K796" s="353"/>
      <c r="L796" s="71">
        <f t="shared" si="14"/>
        <v>0</v>
      </c>
    </row>
    <row r="797" spans="1:12" hidden="1" x14ac:dyDescent="0.2">
      <c r="A797" s="352">
        <v>794</v>
      </c>
      <c r="B797" s="342"/>
      <c r="C797" s="343"/>
      <c r="D797" s="344"/>
      <c r="E797" s="343"/>
      <c r="F797" s="345"/>
      <c r="G797" s="346"/>
      <c r="H797" s="346"/>
      <c r="I797" s="347"/>
      <c r="J797" s="346"/>
      <c r="K797" s="353"/>
      <c r="L797" s="71">
        <f t="shared" si="14"/>
        <v>0</v>
      </c>
    </row>
    <row r="798" spans="1:12" hidden="1" x14ac:dyDescent="0.2">
      <c r="A798" s="352">
        <v>795</v>
      </c>
      <c r="B798" s="342"/>
      <c r="C798" s="343"/>
      <c r="D798" s="344"/>
      <c r="E798" s="343"/>
      <c r="F798" s="345"/>
      <c r="G798" s="346"/>
      <c r="H798" s="346"/>
      <c r="I798" s="347"/>
      <c r="J798" s="346"/>
      <c r="K798" s="353"/>
      <c r="L798" s="71">
        <f t="shared" si="14"/>
        <v>0</v>
      </c>
    </row>
    <row r="799" spans="1:12" hidden="1" x14ac:dyDescent="0.2">
      <c r="A799" s="352">
        <v>796</v>
      </c>
      <c r="B799" s="342"/>
      <c r="C799" s="343"/>
      <c r="D799" s="344"/>
      <c r="E799" s="343"/>
      <c r="F799" s="345"/>
      <c r="G799" s="346"/>
      <c r="H799" s="346"/>
      <c r="I799" s="347"/>
      <c r="J799" s="346"/>
      <c r="K799" s="353"/>
      <c r="L799" s="71">
        <f t="shared" si="14"/>
        <v>0</v>
      </c>
    </row>
    <row r="800" spans="1:12" hidden="1" x14ac:dyDescent="0.2">
      <c r="A800" s="352">
        <v>797</v>
      </c>
      <c r="B800" s="342"/>
      <c r="C800" s="343"/>
      <c r="D800" s="344"/>
      <c r="E800" s="343"/>
      <c r="F800" s="345"/>
      <c r="G800" s="346"/>
      <c r="H800" s="346"/>
      <c r="I800" s="347"/>
      <c r="J800" s="346"/>
      <c r="K800" s="353"/>
      <c r="L800" s="71">
        <f t="shared" si="14"/>
        <v>0</v>
      </c>
    </row>
    <row r="801" spans="1:12" hidden="1" x14ac:dyDescent="0.2">
      <c r="A801" s="352">
        <v>798</v>
      </c>
      <c r="B801" s="342"/>
      <c r="C801" s="343"/>
      <c r="D801" s="344"/>
      <c r="E801" s="343"/>
      <c r="F801" s="345"/>
      <c r="G801" s="346"/>
      <c r="H801" s="346"/>
      <c r="I801" s="347"/>
      <c r="J801" s="346"/>
      <c r="K801" s="353"/>
      <c r="L801" s="71">
        <f t="shared" si="14"/>
        <v>0</v>
      </c>
    </row>
    <row r="802" spans="1:12" hidden="1" x14ac:dyDescent="0.2">
      <c r="A802" s="352">
        <v>799</v>
      </c>
      <c r="B802" s="342"/>
      <c r="C802" s="343"/>
      <c r="D802" s="344"/>
      <c r="E802" s="343"/>
      <c r="F802" s="345"/>
      <c r="G802" s="346"/>
      <c r="H802" s="346"/>
      <c r="I802" s="347"/>
      <c r="J802" s="346"/>
      <c r="K802" s="353"/>
      <c r="L802" s="71">
        <f t="shared" si="14"/>
        <v>0</v>
      </c>
    </row>
    <row r="803" spans="1:12" hidden="1" x14ac:dyDescent="0.2">
      <c r="A803" s="352">
        <v>800</v>
      </c>
      <c r="B803" s="342"/>
      <c r="C803" s="343"/>
      <c r="D803" s="344"/>
      <c r="E803" s="343"/>
      <c r="F803" s="345"/>
      <c r="G803" s="346"/>
      <c r="H803" s="346"/>
      <c r="I803" s="347"/>
      <c r="J803" s="346"/>
      <c r="K803" s="353"/>
      <c r="L803" s="71">
        <f t="shared" si="14"/>
        <v>0</v>
      </c>
    </row>
    <row r="804" spans="1:12" hidden="1" x14ac:dyDescent="0.2">
      <c r="A804" s="352">
        <v>801</v>
      </c>
      <c r="B804" s="342"/>
      <c r="C804" s="343"/>
      <c r="D804" s="344"/>
      <c r="E804" s="343"/>
      <c r="F804" s="345"/>
      <c r="G804" s="346"/>
      <c r="H804" s="346"/>
      <c r="I804" s="347"/>
      <c r="J804" s="346"/>
      <c r="K804" s="353"/>
      <c r="L804" s="71">
        <f t="shared" si="14"/>
        <v>0</v>
      </c>
    </row>
    <row r="805" spans="1:12" hidden="1" x14ac:dyDescent="0.2">
      <c r="A805" s="352">
        <v>802</v>
      </c>
      <c r="B805" s="342"/>
      <c r="C805" s="343"/>
      <c r="D805" s="344"/>
      <c r="E805" s="343"/>
      <c r="F805" s="345"/>
      <c r="G805" s="346"/>
      <c r="H805" s="346"/>
      <c r="I805" s="347"/>
      <c r="J805" s="346"/>
      <c r="K805" s="353"/>
      <c r="L805" s="71">
        <f t="shared" si="14"/>
        <v>0</v>
      </c>
    </row>
    <row r="806" spans="1:12" hidden="1" x14ac:dyDescent="0.2">
      <c r="A806" s="352">
        <v>803</v>
      </c>
      <c r="B806" s="342"/>
      <c r="C806" s="343"/>
      <c r="D806" s="344"/>
      <c r="E806" s="343"/>
      <c r="F806" s="345"/>
      <c r="G806" s="346"/>
      <c r="H806" s="346"/>
      <c r="I806" s="347"/>
      <c r="J806" s="346"/>
      <c r="K806" s="353"/>
      <c r="L806" s="71">
        <f t="shared" si="14"/>
        <v>0</v>
      </c>
    </row>
    <row r="807" spans="1:12" hidden="1" x14ac:dyDescent="0.2">
      <c r="A807" s="352">
        <v>804</v>
      </c>
      <c r="B807" s="342"/>
      <c r="C807" s="343"/>
      <c r="D807" s="344"/>
      <c r="E807" s="343"/>
      <c r="F807" s="345"/>
      <c r="G807" s="346"/>
      <c r="H807" s="346"/>
      <c r="I807" s="347"/>
      <c r="J807" s="346"/>
      <c r="K807" s="353"/>
      <c r="L807" s="71">
        <f t="shared" si="14"/>
        <v>0</v>
      </c>
    </row>
    <row r="808" spans="1:12" hidden="1" x14ac:dyDescent="0.2">
      <c r="A808" s="352">
        <v>805</v>
      </c>
      <c r="B808" s="342"/>
      <c r="C808" s="343"/>
      <c r="D808" s="344"/>
      <c r="E808" s="343"/>
      <c r="F808" s="345"/>
      <c r="G808" s="346"/>
      <c r="H808" s="346"/>
      <c r="I808" s="347"/>
      <c r="J808" s="346"/>
      <c r="K808" s="353"/>
      <c r="L808" s="71">
        <f t="shared" si="14"/>
        <v>0</v>
      </c>
    </row>
    <row r="809" spans="1:12" hidden="1" x14ac:dyDescent="0.2">
      <c r="A809" s="352">
        <v>806</v>
      </c>
      <c r="B809" s="342"/>
      <c r="C809" s="343"/>
      <c r="D809" s="344"/>
      <c r="E809" s="343"/>
      <c r="F809" s="345"/>
      <c r="G809" s="346"/>
      <c r="H809" s="346"/>
      <c r="I809" s="347"/>
      <c r="J809" s="346"/>
      <c r="K809" s="353"/>
      <c r="L809" s="71">
        <f t="shared" si="14"/>
        <v>0</v>
      </c>
    </row>
    <row r="810" spans="1:12" hidden="1" x14ac:dyDescent="0.2">
      <c r="A810" s="352">
        <v>807</v>
      </c>
      <c r="B810" s="342"/>
      <c r="C810" s="343"/>
      <c r="D810" s="344"/>
      <c r="E810" s="343"/>
      <c r="F810" s="345"/>
      <c r="G810" s="346"/>
      <c r="H810" s="346"/>
      <c r="I810" s="347"/>
      <c r="J810" s="346"/>
      <c r="K810" s="353"/>
      <c r="L810" s="71">
        <f t="shared" si="14"/>
        <v>0</v>
      </c>
    </row>
    <row r="811" spans="1:12" hidden="1" x14ac:dyDescent="0.2">
      <c r="A811" s="352">
        <v>808</v>
      </c>
      <c r="B811" s="342"/>
      <c r="C811" s="343"/>
      <c r="D811" s="344"/>
      <c r="E811" s="343"/>
      <c r="F811" s="345"/>
      <c r="G811" s="346"/>
      <c r="H811" s="346"/>
      <c r="I811" s="347"/>
      <c r="J811" s="346"/>
      <c r="K811" s="353"/>
      <c r="L811" s="71">
        <f t="shared" si="14"/>
        <v>0</v>
      </c>
    </row>
    <row r="812" spans="1:12" hidden="1" x14ac:dyDescent="0.2">
      <c r="A812" s="352">
        <v>809</v>
      </c>
      <c r="B812" s="342"/>
      <c r="C812" s="343"/>
      <c r="D812" s="344"/>
      <c r="E812" s="343"/>
      <c r="F812" s="345"/>
      <c r="G812" s="346"/>
      <c r="H812" s="346"/>
      <c r="I812" s="347"/>
      <c r="J812" s="346"/>
      <c r="K812" s="353"/>
      <c r="L812" s="71">
        <f t="shared" si="14"/>
        <v>0</v>
      </c>
    </row>
    <row r="813" spans="1:12" hidden="1" x14ac:dyDescent="0.2">
      <c r="A813" s="352">
        <v>810</v>
      </c>
      <c r="B813" s="342"/>
      <c r="C813" s="343"/>
      <c r="D813" s="344"/>
      <c r="E813" s="343"/>
      <c r="F813" s="345"/>
      <c r="G813" s="346"/>
      <c r="H813" s="346"/>
      <c r="I813" s="347"/>
      <c r="J813" s="346"/>
      <c r="K813" s="353"/>
      <c r="L813" s="71">
        <f t="shared" si="14"/>
        <v>0</v>
      </c>
    </row>
    <row r="814" spans="1:12" hidden="1" x14ac:dyDescent="0.2">
      <c r="A814" s="352">
        <v>811</v>
      </c>
      <c r="B814" s="342"/>
      <c r="C814" s="343"/>
      <c r="D814" s="344"/>
      <c r="E814" s="343"/>
      <c r="F814" s="345"/>
      <c r="G814" s="346"/>
      <c r="H814" s="346"/>
      <c r="I814" s="347"/>
      <c r="J814" s="346"/>
      <c r="K814" s="353"/>
      <c r="L814" s="71">
        <f t="shared" si="14"/>
        <v>0</v>
      </c>
    </row>
    <row r="815" spans="1:12" hidden="1" x14ac:dyDescent="0.2">
      <c r="A815" s="352">
        <v>812</v>
      </c>
      <c r="B815" s="342"/>
      <c r="C815" s="343"/>
      <c r="D815" s="344"/>
      <c r="E815" s="343"/>
      <c r="F815" s="345"/>
      <c r="G815" s="346"/>
      <c r="H815" s="346"/>
      <c r="I815" s="347"/>
      <c r="J815" s="346"/>
      <c r="K815" s="353"/>
      <c r="L815" s="71">
        <f t="shared" si="14"/>
        <v>0</v>
      </c>
    </row>
    <row r="816" spans="1:12" hidden="1" x14ac:dyDescent="0.2">
      <c r="A816" s="352">
        <v>813</v>
      </c>
      <c r="B816" s="342"/>
      <c r="C816" s="343"/>
      <c r="D816" s="344"/>
      <c r="E816" s="343"/>
      <c r="F816" s="345"/>
      <c r="G816" s="346"/>
      <c r="H816" s="346"/>
      <c r="I816" s="347"/>
      <c r="J816" s="346"/>
      <c r="K816" s="353"/>
      <c r="L816" s="71">
        <f t="shared" si="14"/>
        <v>0</v>
      </c>
    </row>
    <row r="817" spans="1:12" hidden="1" x14ac:dyDescent="0.2">
      <c r="A817" s="352">
        <v>814</v>
      </c>
      <c r="B817" s="342"/>
      <c r="C817" s="343"/>
      <c r="D817" s="344"/>
      <c r="E817" s="343"/>
      <c r="F817" s="345"/>
      <c r="G817" s="346"/>
      <c r="H817" s="346"/>
      <c r="I817" s="347"/>
      <c r="J817" s="346"/>
      <c r="K817" s="353"/>
      <c r="L817" s="71">
        <f t="shared" si="14"/>
        <v>0</v>
      </c>
    </row>
    <row r="818" spans="1:12" hidden="1" x14ac:dyDescent="0.2">
      <c r="A818" s="352">
        <v>815</v>
      </c>
      <c r="B818" s="342"/>
      <c r="C818" s="343"/>
      <c r="D818" s="344"/>
      <c r="E818" s="343"/>
      <c r="F818" s="345"/>
      <c r="G818" s="346"/>
      <c r="H818" s="346"/>
      <c r="I818" s="347"/>
      <c r="J818" s="346"/>
      <c r="K818" s="353"/>
      <c r="L818" s="71">
        <f t="shared" si="14"/>
        <v>0</v>
      </c>
    </row>
    <row r="819" spans="1:12" hidden="1" x14ac:dyDescent="0.2">
      <c r="A819" s="352">
        <v>816</v>
      </c>
      <c r="B819" s="342"/>
      <c r="C819" s="343"/>
      <c r="D819" s="344"/>
      <c r="E819" s="343"/>
      <c r="F819" s="345"/>
      <c r="G819" s="346"/>
      <c r="H819" s="346"/>
      <c r="I819" s="347"/>
      <c r="J819" s="346"/>
      <c r="K819" s="353"/>
      <c r="L819" s="71">
        <f t="shared" si="14"/>
        <v>0</v>
      </c>
    </row>
    <row r="820" spans="1:12" hidden="1" x14ac:dyDescent="0.2">
      <c r="A820" s="352">
        <v>817</v>
      </c>
      <c r="B820" s="342"/>
      <c r="C820" s="343"/>
      <c r="D820" s="344"/>
      <c r="E820" s="343"/>
      <c r="F820" s="345"/>
      <c r="G820" s="346"/>
      <c r="H820" s="346"/>
      <c r="I820" s="347"/>
      <c r="J820" s="346"/>
      <c r="K820" s="353"/>
      <c r="L820" s="71">
        <f t="shared" si="14"/>
        <v>0</v>
      </c>
    </row>
    <row r="821" spans="1:12" hidden="1" x14ac:dyDescent="0.2">
      <c r="A821" s="352">
        <v>818</v>
      </c>
      <c r="B821" s="342"/>
      <c r="C821" s="343"/>
      <c r="D821" s="344"/>
      <c r="E821" s="343"/>
      <c r="F821" s="345"/>
      <c r="G821" s="346"/>
      <c r="H821" s="346"/>
      <c r="I821" s="347"/>
      <c r="J821" s="346"/>
      <c r="K821" s="353"/>
      <c r="L821" s="71">
        <f t="shared" si="14"/>
        <v>0</v>
      </c>
    </row>
    <row r="822" spans="1:12" hidden="1" x14ac:dyDescent="0.2">
      <c r="A822" s="352">
        <v>819</v>
      </c>
      <c r="B822" s="342"/>
      <c r="C822" s="343"/>
      <c r="D822" s="344"/>
      <c r="E822" s="343"/>
      <c r="F822" s="345"/>
      <c r="G822" s="346"/>
      <c r="H822" s="346"/>
      <c r="I822" s="347"/>
      <c r="J822" s="346"/>
      <c r="K822" s="353"/>
      <c r="L822" s="71">
        <f t="shared" si="14"/>
        <v>0</v>
      </c>
    </row>
    <row r="823" spans="1:12" hidden="1" x14ac:dyDescent="0.2">
      <c r="A823" s="352">
        <v>820</v>
      </c>
      <c r="B823" s="342"/>
      <c r="C823" s="343"/>
      <c r="D823" s="344"/>
      <c r="E823" s="343"/>
      <c r="F823" s="345"/>
      <c r="G823" s="346"/>
      <c r="H823" s="346"/>
      <c r="I823" s="347"/>
      <c r="J823" s="346"/>
      <c r="K823" s="353"/>
      <c r="L823" s="71">
        <f t="shared" si="14"/>
        <v>0</v>
      </c>
    </row>
    <row r="824" spans="1:12" hidden="1" x14ac:dyDescent="0.2">
      <c r="A824" s="352">
        <v>821</v>
      </c>
      <c r="B824" s="342"/>
      <c r="C824" s="343"/>
      <c r="D824" s="344"/>
      <c r="E824" s="343"/>
      <c r="F824" s="345"/>
      <c r="G824" s="346"/>
      <c r="H824" s="346"/>
      <c r="I824" s="347"/>
      <c r="J824" s="346"/>
      <c r="K824" s="353"/>
      <c r="L824" s="71">
        <f t="shared" si="14"/>
        <v>0</v>
      </c>
    </row>
    <row r="825" spans="1:12" hidden="1" x14ac:dyDescent="0.2">
      <c r="A825" s="352">
        <v>822</v>
      </c>
      <c r="B825" s="342"/>
      <c r="C825" s="343"/>
      <c r="D825" s="344"/>
      <c r="E825" s="343"/>
      <c r="F825" s="345"/>
      <c r="G825" s="346"/>
      <c r="H825" s="346"/>
      <c r="I825" s="347"/>
      <c r="J825" s="346"/>
      <c r="K825" s="353"/>
      <c r="L825" s="71">
        <f t="shared" si="14"/>
        <v>0</v>
      </c>
    </row>
    <row r="826" spans="1:12" hidden="1" x14ac:dyDescent="0.2">
      <c r="A826" s="352">
        <v>823</v>
      </c>
      <c r="B826" s="342"/>
      <c r="C826" s="343"/>
      <c r="D826" s="344"/>
      <c r="E826" s="343"/>
      <c r="F826" s="345"/>
      <c r="G826" s="346"/>
      <c r="H826" s="346"/>
      <c r="I826" s="347"/>
      <c r="J826" s="346"/>
      <c r="K826" s="353"/>
      <c r="L826" s="71">
        <f t="shared" si="14"/>
        <v>0</v>
      </c>
    </row>
    <row r="827" spans="1:12" hidden="1" x14ac:dyDescent="0.2">
      <c r="A827" s="352">
        <v>824</v>
      </c>
      <c r="B827" s="342"/>
      <c r="C827" s="343"/>
      <c r="D827" s="344"/>
      <c r="E827" s="343"/>
      <c r="F827" s="345"/>
      <c r="G827" s="346"/>
      <c r="H827" s="346"/>
      <c r="I827" s="347"/>
      <c r="J827" s="346"/>
      <c r="K827" s="353"/>
      <c r="L827" s="71">
        <f t="shared" si="14"/>
        <v>0</v>
      </c>
    </row>
    <row r="828" spans="1:12" hidden="1" x14ac:dyDescent="0.2">
      <c r="A828" s="352">
        <v>825</v>
      </c>
      <c r="B828" s="342"/>
      <c r="C828" s="343"/>
      <c r="D828" s="344"/>
      <c r="E828" s="343"/>
      <c r="F828" s="345"/>
      <c r="G828" s="346"/>
      <c r="H828" s="346"/>
      <c r="I828" s="347"/>
      <c r="J828" s="346"/>
      <c r="K828" s="353"/>
      <c r="L828" s="71">
        <f t="shared" si="14"/>
        <v>0</v>
      </c>
    </row>
    <row r="829" spans="1:12" hidden="1" x14ac:dyDescent="0.2">
      <c r="A829" s="352">
        <v>826</v>
      </c>
      <c r="B829" s="342"/>
      <c r="C829" s="343"/>
      <c r="D829" s="344"/>
      <c r="E829" s="343"/>
      <c r="F829" s="345"/>
      <c r="G829" s="346"/>
      <c r="H829" s="346"/>
      <c r="I829" s="347"/>
      <c r="J829" s="346"/>
      <c r="K829" s="353"/>
      <c r="L829" s="71">
        <f t="shared" si="14"/>
        <v>0</v>
      </c>
    </row>
    <row r="830" spans="1:12" hidden="1" x14ac:dyDescent="0.2">
      <c r="A830" s="352">
        <v>827</v>
      </c>
      <c r="B830" s="342"/>
      <c r="C830" s="343"/>
      <c r="D830" s="344"/>
      <c r="E830" s="343"/>
      <c r="F830" s="345"/>
      <c r="G830" s="346"/>
      <c r="H830" s="346"/>
      <c r="I830" s="347"/>
      <c r="J830" s="346"/>
      <c r="K830" s="353"/>
      <c r="L830" s="71">
        <f t="shared" si="14"/>
        <v>0</v>
      </c>
    </row>
    <row r="831" spans="1:12" hidden="1" x14ac:dyDescent="0.2">
      <c r="A831" s="352">
        <v>828</v>
      </c>
      <c r="B831" s="342"/>
      <c r="C831" s="343"/>
      <c r="D831" s="344"/>
      <c r="E831" s="343"/>
      <c r="F831" s="345"/>
      <c r="G831" s="346"/>
      <c r="H831" s="346"/>
      <c r="I831" s="347"/>
      <c r="J831" s="346"/>
      <c r="K831" s="353"/>
      <c r="L831" s="71">
        <f t="shared" si="14"/>
        <v>0</v>
      </c>
    </row>
    <row r="832" spans="1:12" hidden="1" x14ac:dyDescent="0.2">
      <c r="A832" s="352">
        <v>829</v>
      </c>
      <c r="B832" s="342"/>
      <c r="C832" s="343"/>
      <c r="D832" s="344"/>
      <c r="E832" s="343"/>
      <c r="F832" s="345"/>
      <c r="G832" s="346"/>
      <c r="H832" s="346"/>
      <c r="I832" s="347"/>
      <c r="J832" s="346"/>
      <c r="K832" s="353"/>
      <c r="L832" s="71">
        <f t="shared" si="14"/>
        <v>0</v>
      </c>
    </row>
    <row r="833" spans="1:12" hidden="1" x14ac:dyDescent="0.2">
      <c r="A833" s="352">
        <v>830</v>
      </c>
      <c r="B833" s="342"/>
      <c r="C833" s="343"/>
      <c r="D833" s="344"/>
      <c r="E833" s="343"/>
      <c r="F833" s="345"/>
      <c r="G833" s="346"/>
      <c r="H833" s="346"/>
      <c r="I833" s="347"/>
      <c r="J833" s="346"/>
      <c r="K833" s="353"/>
      <c r="L833" s="71">
        <f t="shared" ref="L833:L896" si="15">IF(B833=0,0,MONTH(B833)-$L$1+1)</f>
        <v>0</v>
      </c>
    </row>
    <row r="834" spans="1:12" hidden="1" x14ac:dyDescent="0.2">
      <c r="A834" s="352">
        <v>831</v>
      </c>
      <c r="B834" s="342"/>
      <c r="C834" s="343"/>
      <c r="D834" s="344"/>
      <c r="E834" s="343"/>
      <c r="F834" s="345"/>
      <c r="G834" s="346"/>
      <c r="H834" s="346"/>
      <c r="I834" s="347"/>
      <c r="J834" s="346"/>
      <c r="K834" s="353"/>
      <c r="L834" s="71">
        <f t="shared" si="15"/>
        <v>0</v>
      </c>
    </row>
    <row r="835" spans="1:12" hidden="1" x14ac:dyDescent="0.2">
      <c r="A835" s="352">
        <v>832</v>
      </c>
      <c r="B835" s="342"/>
      <c r="C835" s="343"/>
      <c r="D835" s="344"/>
      <c r="E835" s="343"/>
      <c r="F835" s="345"/>
      <c r="G835" s="346"/>
      <c r="H835" s="346"/>
      <c r="I835" s="347"/>
      <c r="J835" s="346"/>
      <c r="K835" s="353"/>
      <c r="L835" s="71">
        <f t="shared" si="15"/>
        <v>0</v>
      </c>
    </row>
    <row r="836" spans="1:12" hidden="1" x14ac:dyDescent="0.2">
      <c r="A836" s="352">
        <v>833</v>
      </c>
      <c r="B836" s="342"/>
      <c r="C836" s="343"/>
      <c r="D836" s="344"/>
      <c r="E836" s="343"/>
      <c r="F836" s="345"/>
      <c r="G836" s="346"/>
      <c r="H836" s="346"/>
      <c r="I836" s="347"/>
      <c r="J836" s="346"/>
      <c r="K836" s="353"/>
      <c r="L836" s="71">
        <f t="shared" si="15"/>
        <v>0</v>
      </c>
    </row>
    <row r="837" spans="1:12" hidden="1" x14ac:dyDescent="0.2">
      <c r="A837" s="352">
        <v>834</v>
      </c>
      <c r="B837" s="342"/>
      <c r="C837" s="343"/>
      <c r="D837" s="344"/>
      <c r="E837" s="343"/>
      <c r="F837" s="345"/>
      <c r="G837" s="346"/>
      <c r="H837" s="346"/>
      <c r="I837" s="347"/>
      <c r="J837" s="346"/>
      <c r="K837" s="353"/>
      <c r="L837" s="71">
        <f t="shared" si="15"/>
        <v>0</v>
      </c>
    </row>
    <row r="838" spans="1:12" hidden="1" x14ac:dyDescent="0.2">
      <c r="A838" s="352">
        <v>835</v>
      </c>
      <c r="B838" s="342"/>
      <c r="C838" s="343"/>
      <c r="D838" s="344"/>
      <c r="E838" s="343"/>
      <c r="F838" s="345"/>
      <c r="G838" s="346"/>
      <c r="H838" s="346"/>
      <c r="I838" s="347"/>
      <c r="J838" s="346"/>
      <c r="K838" s="353"/>
      <c r="L838" s="71">
        <f t="shared" si="15"/>
        <v>0</v>
      </c>
    </row>
    <row r="839" spans="1:12" hidden="1" x14ac:dyDescent="0.2">
      <c r="A839" s="352">
        <v>836</v>
      </c>
      <c r="B839" s="342"/>
      <c r="C839" s="343"/>
      <c r="D839" s="344"/>
      <c r="E839" s="343"/>
      <c r="F839" s="345"/>
      <c r="G839" s="346"/>
      <c r="H839" s="346"/>
      <c r="I839" s="347"/>
      <c r="J839" s="346"/>
      <c r="K839" s="353"/>
      <c r="L839" s="71">
        <f t="shared" si="15"/>
        <v>0</v>
      </c>
    </row>
    <row r="840" spans="1:12" hidden="1" x14ac:dyDescent="0.2">
      <c r="A840" s="352">
        <v>837</v>
      </c>
      <c r="B840" s="342"/>
      <c r="C840" s="343"/>
      <c r="D840" s="344"/>
      <c r="E840" s="343"/>
      <c r="F840" s="345"/>
      <c r="G840" s="346"/>
      <c r="H840" s="346"/>
      <c r="I840" s="347"/>
      <c r="J840" s="346"/>
      <c r="K840" s="353"/>
      <c r="L840" s="71">
        <f t="shared" si="15"/>
        <v>0</v>
      </c>
    </row>
    <row r="841" spans="1:12" hidden="1" x14ac:dyDescent="0.2">
      <c r="A841" s="352">
        <v>838</v>
      </c>
      <c r="B841" s="342"/>
      <c r="C841" s="343"/>
      <c r="D841" s="344"/>
      <c r="E841" s="343"/>
      <c r="F841" s="345"/>
      <c r="G841" s="346"/>
      <c r="H841" s="346"/>
      <c r="I841" s="347"/>
      <c r="J841" s="346"/>
      <c r="K841" s="353"/>
      <c r="L841" s="71">
        <f t="shared" si="15"/>
        <v>0</v>
      </c>
    </row>
    <row r="842" spans="1:12" hidden="1" x14ac:dyDescent="0.2">
      <c r="A842" s="352">
        <v>839</v>
      </c>
      <c r="B842" s="342"/>
      <c r="C842" s="343"/>
      <c r="D842" s="344"/>
      <c r="E842" s="343"/>
      <c r="F842" s="345"/>
      <c r="G842" s="346"/>
      <c r="H842" s="346"/>
      <c r="I842" s="347"/>
      <c r="J842" s="346"/>
      <c r="K842" s="353"/>
      <c r="L842" s="71">
        <f t="shared" si="15"/>
        <v>0</v>
      </c>
    </row>
    <row r="843" spans="1:12" hidden="1" x14ac:dyDescent="0.2">
      <c r="A843" s="352">
        <v>840</v>
      </c>
      <c r="B843" s="342"/>
      <c r="C843" s="343"/>
      <c r="D843" s="344"/>
      <c r="E843" s="343"/>
      <c r="F843" s="345"/>
      <c r="G843" s="346"/>
      <c r="H843" s="346"/>
      <c r="I843" s="347"/>
      <c r="J843" s="346"/>
      <c r="K843" s="353"/>
      <c r="L843" s="71">
        <f t="shared" si="15"/>
        <v>0</v>
      </c>
    </row>
    <row r="844" spans="1:12" hidden="1" x14ac:dyDescent="0.2">
      <c r="A844" s="352">
        <v>841</v>
      </c>
      <c r="B844" s="342"/>
      <c r="C844" s="343"/>
      <c r="D844" s="344"/>
      <c r="E844" s="343"/>
      <c r="F844" s="345"/>
      <c r="G844" s="346"/>
      <c r="H844" s="346"/>
      <c r="I844" s="347"/>
      <c r="J844" s="346"/>
      <c r="K844" s="353"/>
      <c r="L844" s="71">
        <f t="shared" si="15"/>
        <v>0</v>
      </c>
    </row>
    <row r="845" spans="1:12" hidden="1" x14ac:dyDescent="0.2">
      <c r="A845" s="352">
        <v>842</v>
      </c>
      <c r="B845" s="342"/>
      <c r="C845" s="343"/>
      <c r="D845" s="344"/>
      <c r="E845" s="343"/>
      <c r="F845" s="345"/>
      <c r="G845" s="346"/>
      <c r="H845" s="346"/>
      <c r="I845" s="347"/>
      <c r="J845" s="346"/>
      <c r="K845" s="353"/>
      <c r="L845" s="71">
        <f t="shared" si="15"/>
        <v>0</v>
      </c>
    </row>
    <row r="846" spans="1:12" hidden="1" x14ac:dyDescent="0.2">
      <c r="A846" s="352">
        <v>843</v>
      </c>
      <c r="B846" s="342"/>
      <c r="C846" s="343"/>
      <c r="D846" s="344"/>
      <c r="E846" s="343"/>
      <c r="F846" s="345"/>
      <c r="G846" s="346"/>
      <c r="H846" s="346"/>
      <c r="I846" s="347"/>
      <c r="J846" s="346"/>
      <c r="K846" s="353"/>
      <c r="L846" s="71">
        <f t="shared" si="15"/>
        <v>0</v>
      </c>
    </row>
    <row r="847" spans="1:12" hidden="1" x14ac:dyDescent="0.2">
      <c r="A847" s="352">
        <v>844</v>
      </c>
      <c r="B847" s="342"/>
      <c r="C847" s="343"/>
      <c r="D847" s="344"/>
      <c r="E847" s="343"/>
      <c r="F847" s="345"/>
      <c r="G847" s="346"/>
      <c r="H847" s="346"/>
      <c r="I847" s="347"/>
      <c r="J847" s="346"/>
      <c r="K847" s="353"/>
      <c r="L847" s="71">
        <f t="shared" si="15"/>
        <v>0</v>
      </c>
    </row>
    <row r="848" spans="1:12" hidden="1" x14ac:dyDescent="0.2">
      <c r="A848" s="352">
        <v>845</v>
      </c>
      <c r="B848" s="342"/>
      <c r="C848" s="343"/>
      <c r="D848" s="344"/>
      <c r="E848" s="343"/>
      <c r="F848" s="345"/>
      <c r="G848" s="346"/>
      <c r="H848" s="346"/>
      <c r="I848" s="347"/>
      <c r="J848" s="346"/>
      <c r="K848" s="353"/>
      <c r="L848" s="71">
        <f t="shared" si="15"/>
        <v>0</v>
      </c>
    </row>
    <row r="849" spans="1:12" hidden="1" x14ac:dyDescent="0.2">
      <c r="A849" s="352">
        <v>846</v>
      </c>
      <c r="B849" s="342"/>
      <c r="C849" s="343"/>
      <c r="D849" s="344"/>
      <c r="E849" s="343"/>
      <c r="F849" s="345"/>
      <c r="G849" s="346"/>
      <c r="H849" s="346"/>
      <c r="I849" s="347"/>
      <c r="J849" s="346"/>
      <c r="K849" s="353"/>
      <c r="L849" s="71">
        <f t="shared" si="15"/>
        <v>0</v>
      </c>
    </row>
    <row r="850" spans="1:12" hidden="1" x14ac:dyDescent="0.2">
      <c r="A850" s="352">
        <v>847</v>
      </c>
      <c r="B850" s="342"/>
      <c r="C850" s="343"/>
      <c r="D850" s="344"/>
      <c r="E850" s="343"/>
      <c r="F850" s="345"/>
      <c r="G850" s="346"/>
      <c r="H850" s="346"/>
      <c r="I850" s="347"/>
      <c r="J850" s="346"/>
      <c r="K850" s="353"/>
      <c r="L850" s="71">
        <f t="shared" si="15"/>
        <v>0</v>
      </c>
    </row>
    <row r="851" spans="1:12" hidden="1" x14ac:dyDescent="0.2">
      <c r="A851" s="352">
        <v>848</v>
      </c>
      <c r="B851" s="342"/>
      <c r="C851" s="343"/>
      <c r="D851" s="344"/>
      <c r="E851" s="343"/>
      <c r="F851" s="345"/>
      <c r="G851" s="346"/>
      <c r="H851" s="346"/>
      <c r="I851" s="347"/>
      <c r="J851" s="346"/>
      <c r="K851" s="353"/>
      <c r="L851" s="71">
        <f t="shared" si="15"/>
        <v>0</v>
      </c>
    </row>
    <row r="852" spans="1:12" hidden="1" x14ac:dyDescent="0.2">
      <c r="A852" s="352">
        <v>849</v>
      </c>
      <c r="B852" s="342"/>
      <c r="C852" s="343"/>
      <c r="D852" s="344"/>
      <c r="E852" s="343"/>
      <c r="F852" s="345"/>
      <c r="G852" s="346"/>
      <c r="H852" s="346"/>
      <c r="I852" s="347"/>
      <c r="J852" s="346"/>
      <c r="K852" s="353"/>
      <c r="L852" s="71">
        <f t="shared" si="15"/>
        <v>0</v>
      </c>
    </row>
    <row r="853" spans="1:12" hidden="1" x14ac:dyDescent="0.2">
      <c r="A853" s="352">
        <v>850</v>
      </c>
      <c r="B853" s="342"/>
      <c r="C853" s="343"/>
      <c r="D853" s="344"/>
      <c r="E853" s="343"/>
      <c r="F853" s="345"/>
      <c r="G853" s="346"/>
      <c r="H853" s="346"/>
      <c r="I853" s="347"/>
      <c r="J853" s="346"/>
      <c r="K853" s="353"/>
      <c r="L853" s="71">
        <f t="shared" si="15"/>
        <v>0</v>
      </c>
    </row>
    <row r="854" spans="1:12" hidden="1" x14ac:dyDescent="0.2">
      <c r="A854" s="352">
        <v>851</v>
      </c>
      <c r="B854" s="342"/>
      <c r="C854" s="343"/>
      <c r="D854" s="344"/>
      <c r="E854" s="343"/>
      <c r="F854" s="345"/>
      <c r="G854" s="346"/>
      <c r="H854" s="346"/>
      <c r="I854" s="347"/>
      <c r="J854" s="346"/>
      <c r="K854" s="353"/>
      <c r="L854" s="71">
        <f t="shared" si="15"/>
        <v>0</v>
      </c>
    </row>
    <row r="855" spans="1:12" hidden="1" x14ac:dyDescent="0.2">
      <c r="A855" s="352">
        <v>852</v>
      </c>
      <c r="B855" s="342"/>
      <c r="C855" s="343"/>
      <c r="D855" s="344"/>
      <c r="E855" s="343"/>
      <c r="F855" s="345"/>
      <c r="G855" s="346"/>
      <c r="H855" s="346"/>
      <c r="I855" s="347"/>
      <c r="J855" s="346"/>
      <c r="K855" s="353"/>
      <c r="L855" s="71">
        <f t="shared" si="15"/>
        <v>0</v>
      </c>
    </row>
    <row r="856" spans="1:12" hidden="1" x14ac:dyDescent="0.2">
      <c r="A856" s="352">
        <v>853</v>
      </c>
      <c r="B856" s="342"/>
      <c r="C856" s="343"/>
      <c r="D856" s="344"/>
      <c r="E856" s="343"/>
      <c r="F856" s="345"/>
      <c r="G856" s="346"/>
      <c r="H856" s="346"/>
      <c r="I856" s="347"/>
      <c r="J856" s="346"/>
      <c r="K856" s="353"/>
      <c r="L856" s="71">
        <f t="shared" si="15"/>
        <v>0</v>
      </c>
    </row>
    <row r="857" spans="1:12" hidden="1" x14ac:dyDescent="0.2">
      <c r="A857" s="352">
        <v>854</v>
      </c>
      <c r="B857" s="342"/>
      <c r="C857" s="343"/>
      <c r="D857" s="344"/>
      <c r="E857" s="343"/>
      <c r="F857" s="345"/>
      <c r="G857" s="346"/>
      <c r="H857" s="346"/>
      <c r="I857" s="347"/>
      <c r="J857" s="346"/>
      <c r="K857" s="353"/>
      <c r="L857" s="71">
        <f t="shared" si="15"/>
        <v>0</v>
      </c>
    </row>
    <row r="858" spans="1:12" hidden="1" x14ac:dyDescent="0.2">
      <c r="A858" s="352">
        <v>855</v>
      </c>
      <c r="B858" s="342"/>
      <c r="C858" s="343"/>
      <c r="D858" s="344"/>
      <c r="E858" s="343"/>
      <c r="F858" s="345"/>
      <c r="G858" s="346"/>
      <c r="H858" s="346"/>
      <c r="I858" s="347"/>
      <c r="J858" s="346"/>
      <c r="K858" s="353"/>
      <c r="L858" s="71">
        <f t="shared" si="15"/>
        <v>0</v>
      </c>
    </row>
    <row r="859" spans="1:12" hidden="1" x14ac:dyDescent="0.2">
      <c r="A859" s="352">
        <v>856</v>
      </c>
      <c r="B859" s="342"/>
      <c r="C859" s="343"/>
      <c r="D859" s="344"/>
      <c r="E859" s="343"/>
      <c r="F859" s="345"/>
      <c r="G859" s="346"/>
      <c r="H859" s="346"/>
      <c r="I859" s="347"/>
      <c r="J859" s="346"/>
      <c r="K859" s="353"/>
      <c r="L859" s="71">
        <f t="shared" si="15"/>
        <v>0</v>
      </c>
    </row>
    <row r="860" spans="1:12" hidden="1" x14ac:dyDescent="0.2">
      <c r="A860" s="352">
        <v>857</v>
      </c>
      <c r="B860" s="342"/>
      <c r="C860" s="343"/>
      <c r="D860" s="344"/>
      <c r="E860" s="343"/>
      <c r="F860" s="345"/>
      <c r="G860" s="346"/>
      <c r="H860" s="346"/>
      <c r="I860" s="347"/>
      <c r="J860" s="346"/>
      <c r="K860" s="353"/>
      <c r="L860" s="71">
        <f t="shared" si="15"/>
        <v>0</v>
      </c>
    </row>
    <row r="861" spans="1:12" hidden="1" x14ac:dyDescent="0.2">
      <c r="A861" s="352">
        <v>858</v>
      </c>
      <c r="B861" s="342"/>
      <c r="C861" s="343"/>
      <c r="D861" s="344"/>
      <c r="E861" s="343"/>
      <c r="F861" s="345"/>
      <c r="G861" s="346"/>
      <c r="H861" s="346"/>
      <c r="I861" s="347"/>
      <c r="J861" s="346"/>
      <c r="K861" s="353"/>
      <c r="L861" s="71">
        <f t="shared" si="15"/>
        <v>0</v>
      </c>
    </row>
    <row r="862" spans="1:12" hidden="1" x14ac:dyDescent="0.2">
      <c r="A862" s="352">
        <v>859</v>
      </c>
      <c r="B862" s="342"/>
      <c r="C862" s="343"/>
      <c r="D862" s="344"/>
      <c r="E862" s="343"/>
      <c r="F862" s="345"/>
      <c r="G862" s="346"/>
      <c r="H862" s="346"/>
      <c r="I862" s="347"/>
      <c r="J862" s="346"/>
      <c r="K862" s="353"/>
      <c r="L862" s="71">
        <f t="shared" si="15"/>
        <v>0</v>
      </c>
    </row>
    <row r="863" spans="1:12" hidden="1" x14ac:dyDescent="0.2">
      <c r="A863" s="352">
        <v>860</v>
      </c>
      <c r="B863" s="342"/>
      <c r="C863" s="343"/>
      <c r="D863" s="344"/>
      <c r="E863" s="343"/>
      <c r="F863" s="345"/>
      <c r="G863" s="346"/>
      <c r="H863" s="346"/>
      <c r="I863" s="347"/>
      <c r="J863" s="346"/>
      <c r="K863" s="353"/>
      <c r="L863" s="71">
        <f t="shared" si="15"/>
        <v>0</v>
      </c>
    </row>
    <row r="864" spans="1:12" hidden="1" x14ac:dyDescent="0.2">
      <c r="A864" s="352">
        <v>861</v>
      </c>
      <c r="B864" s="342"/>
      <c r="C864" s="343"/>
      <c r="D864" s="344"/>
      <c r="E864" s="343"/>
      <c r="F864" s="345"/>
      <c r="G864" s="346"/>
      <c r="H864" s="346"/>
      <c r="I864" s="347"/>
      <c r="J864" s="346"/>
      <c r="K864" s="353"/>
      <c r="L864" s="71">
        <f t="shared" si="15"/>
        <v>0</v>
      </c>
    </row>
    <row r="865" spans="1:12" hidden="1" x14ac:dyDescent="0.2">
      <c r="A865" s="352">
        <v>862</v>
      </c>
      <c r="B865" s="342"/>
      <c r="C865" s="343"/>
      <c r="D865" s="344"/>
      <c r="E865" s="343"/>
      <c r="F865" s="345"/>
      <c r="G865" s="346"/>
      <c r="H865" s="346"/>
      <c r="I865" s="347"/>
      <c r="J865" s="346"/>
      <c r="K865" s="353"/>
      <c r="L865" s="71">
        <f t="shared" si="15"/>
        <v>0</v>
      </c>
    </row>
    <row r="866" spans="1:12" hidden="1" x14ac:dyDescent="0.2">
      <c r="A866" s="352">
        <v>863</v>
      </c>
      <c r="B866" s="342"/>
      <c r="C866" s="343"/>
      <c r="D866" s="344"/>
      <c r="E866" s="343"/>
      <c r="F866" s="345"/>
      <c r="G866" s="346"/>
      <c r="H866" s="346"/>
      <c r="I866" s="347"/>
      <c r="J866" s="346"/>
      <c r="K866" s="353"/>
      <c r="L866" s="71">
        <f t="shared" si="15"/>
        <v>0</v>
      </c>
    </row>
    <row r="867" spans="1:12" hidden="1" x14ac:dyDescent="0.2">
      <c r="A867" s="352">
        <v>864</v>
      </c>
      <c r="B867" s="342"/>
      <c r="C867" s="343"/>
      <c r="D867" s="344"/>
      <c r="E867" s="343"/>
      <c r="F867" s="345"/>
      <c r="G867" s="346"/>
      <c r="H867" s="346"/>
      <c r="I867" s="347"/>
      <c r="J867" s="346"/>
      <c r="K867" s="353"/>
      <c r="L867" s="71">
        <f t="shared" si="15"/>
        <v>0</v>
      </c>
    </row>
    <row r="868" spans="1:12" hidden="1" x14ac:dyDescent="0.2">
      <c r="A868" s="352">
        <v>865</v>
      </c>
      <c r="B868" s="342"/>
      <c r="C868" s="343"/>
      <c r="D868" s="344"/>
      <c r="E868" s="343"/>
      <c r="F868" s="345"/>
      <c r="G868" s="346"/>
      <c r="H868" s="346"/>
      <c r="I868" s="347"/>
      <c r="J868" s="346"/>
      <c r="K868" s="353"/>
      <c r="L868" s="71">
        <f t="shared" si="15"/>
        <v>0</v>
      </c>
    </row>
    <row r="869" spans="1:12" hidden="1" x14ac:dyDescent="0.2">
      <c r="A869" s="352">
        <v>866</v>
      </c>
      <c r="B869" s="342"/>
      <c r="C869" s="343"/>
      <c r="D869" s="344"/>
      <c r="E869" s="343"/>
      <c r="F869" s="345"/>
      <c r="G869" s="346"/>
      <c r="H869" s="346"/>
      <c r="I869" s="347"/>
      <c r="J869" s="346"/>
      <c r="K869" s="353"/>
      <c r="L869" s="71">
        <f t="shared" si="15"/>
        <v>0</v>
      </c>
    </row>
    <row r="870" spans="1:12" hidden="1" x14ac:dyDescent="0.2">
      <c r="A870" s="352">
        <v>867</v>
      </c>
      <c r="B870" s="342"/>
      <c r="C870" s="343"/>
      <c r="D870" s="344"/>
      <c r="E870" s="343"/>
      <c r="F870" s="345"/>
      <c r="G870" s="346"/>
      <c r="H870" s="346"/>
      <c r="I870" s="347"/>
      <c r="J870" s="346"/>
      <c r="K870" s="353"/>
      <c r="L870" s="71">
        <f t="shared" si="15"/>
        <v>0</v>
      </c>
    </row>
    <row r="871" spans="1:12" hidden="1" x14ac:dyDescent="0.2">
      <c r="A871" s="352">
        <v>868</v>
      </c>
      <c r="B871" s="342"/>
      <c r="C871" s="343"/>
      <c r="D871" s="344"/>
      <c r="E871" s="343"/>
      <c r="F871" s="345"/>
      <c r="G871" s="346"/>
      <c r="H871" s="346"/>
      <c r="I871" s="347"/>
      <c r="J871" s="346"/>
      <c r="K871" s="353"/>
      <c r="L871" s="71">
        <f t="shared" si="15"/>
        <v>0</v>
      </c>
    </row>
    <row r="872" spans="1:12" hidden="1" x14ac:dyDescent="0.2">
      <c r="A872" s="352">
        <v>869</v>
      </c>
      <c r="B872" s="342"/>
      <c r="C872" s="343"/>
      <c r="D872" s="344"/>
      <c r="E872" s="343"/>
      <c r="F872" s="345"/>
      <c r="G872" s="346"/>
      <c r="H872" s="346"/>
      <c r="I872" s="347"/>
      <c r="J872" s="346"/>
      <c r="K872" s="353"/>
      <c r="L872" s="71">
        <f t="shared" si="15"/>
        <v>0</v>
      </c>
    </row>
    <row r="873" spans="1:12" hidden="1" x14ac:dyDescent="0.2">
      <c r="A873" s="352">
        <v>870</v>
      </c>
      <c r="B873" s="342"/>
      <c r="C873" s="343"/>
      <c r="D873" s="344"/>
      <c r="E873" s="343"/>
      <c r="F873" s="345"/>
      <c r="G873" s="346"/>
      <c r="H873" s="346"/>
      <c r="I873" s="347"/>
      <c r="J873" s="346"/>
      <c r="K873" s="353"/>
      <c r="L873" s="71">
        <f t="shared" si="15"/>
        <v>0</v>
      </c>
    </row>
    <row r="874" spans="1:12" hidden="1" x14ac:dyDescent="0.2">
      <c r="A874" s="352">
        <v>871</v>
      </c>
      <c r="B874" s="342"/>
      <c r="C874" s="343"/>
      <c r="D874" s="344"/>
      <c r="E874" s="343"/>
      <c r="F874" s="345"/>
      <c r="G874" s="346"/>
      <c r="H874" s="346"/>
      <c r="I874" s="347"/>
      <c r="J874" s="346"/>
      <c r="K874" s="353"/>
      <c r="L874" s="71">
        <f t="shared" si="15"/>
        <v>0</v>
      </c>
    </row>
    <row r="875" spans="1:12" hidden="1" x14ac:dyDescent="0.2">
      <c r="A875" s="352">
        <v>872</v>
      </c>
      <c r="B875" s="342"/>
      <c r="C875" s="343"/>
      <c r="D875" s="344"/>
      <c r="E875" s="343"/>
      <c r="F875" s="345"/>
      <c r="G875" s="346"/>
      <c r="H875" s="346"/>
      <c r="I875" s="347"/>
      <c r="J875" s="346"/>
      <c r="K875" s="353"/>
      <c r="L875" s="71">
        <f t="shared" si="15"/>
        <v>0</v>
      </c>
    </row>
    <row r="876" spans="1:12" hidden="1" x14ac:dyDescent="0.2">
      <c r="A876" s="352">
        <v>873</v>
      </c>
      <c r="B876" s="342"/>
      <c r="C876" s="343"/>
      <c r="D876" s="344"/>
      <c r="E876" s="343"/>
      <c r="F876" s="345"/>
      <c r="G876" s="346"/>
      <c r="H876" s="346"/>
      <c r="I876" s="347"/>
      <c r="J876" s="346"/>
      <c r="K876" s="353"/>
      <c r="L876" s="71">
        <f t="shared" si="15"/>
        <v>0</v>
      </c>
    </row>
    <row r="877" spans="1:12" hidden="1" x14ac:dyDescent="0.2">
      <c r="A877" s="352">
        <v>874</v>
      </c>
      <c r="B877" s="342"/>
      <c r="C877" s="343"/>
      <c r="D877" s="344"/>
      <c r="E877" s="343"/>
      <c r="F877" s="345"/>
      <c r="G877" s="346"/>
      <c r="H877" s="346"/>
      <c r="I877" s="347"/>
      <c r="J877" s="346"/>
      <c r="K877" s="353"/>
      <c r="L877" s="71">
        <f t="shared" si="15"/>
        <v>0</v>
      </c>
    </row>
    <row r="878" spans="1:12" hidden="1" x14ac:dyDescent="0.2">
      <c r="A878" s="352">
        <v>875</v>
      </c>
      <c r="B878" s="342"/>
      <c r="C878" s="343"/>
      <c r="D878" s="344"/>
      <c r="E878" s="343"/>
      <c r="F878" s="345"/>
      <c r="G878" s="346"/>
      <c r="H878" s="346"/>
      <c r="I878" s="347"/>
      <c r="J878" s="346"/>
      <c r="K878" s="353"/>
      <c r="L878" s="71">
        <f t="shared" si="15"/>
        <v>0</v>
      </c>
    </row>
    <row r="879" spans="1:12" hidden="1" x14ac:dyDescent="0.2">
      <c r="A879" s="352">
        <v>876</v>
      </c>
      <c r="B879" s="342"/>
      <c r="C879" s="343"/>
      <c r="D879" s="344"/>
      <c r="E879" s="343"/>
      <c r="F879" s="345"/>
      <c r="G879" s="346"/>
      <c r="H879" s="346"/>
      <c r="I879" s="347"/>
      <c r="J879" s="346"/>
      <c r="K879" s="353"/>
      <c r="L879" s="71">
        <f t="shared" si="15"/>
        <v>0</v>
      </c>
    </row>
    <row r="880" spans="1:12" hidden="1" x14ac:dyDescent="0.2">
      <c r="A880" s="352">
        <v>877</v>
      </c>
      <c r="B880" s="342"/>
      <c r="C880" s="343"/>
      <c r="D880" s="344"/>
      <c r="E880" s="343"/>
      <c r="F880" s="345"/>
      <c r="G880" s="346"/>
      <c r="H880" s="346"/>
      <c r="I880" s="347"/>
      <c r="J880" s="346"/>
      <c r="K880" s="353"/>
      <c r="L880" s="71">
        <f t="shared" si="15"/>
        <v>0</v>
      </c>
    </row>
    <row r="881" spans="1:12" hidden="1" x14ac:dyDescent="0.2">
      <c r="A881" s="352">
        <v>878</v>
      </c>
      <c r="B881" s="342"/>
      <c r="C881" s="343"/>
      <c r="D881" s="344"/>
      <c r="E881" s="343"/>
      <c r="F881" s="345"/>
      <c r="G881" s="346"/>
      <c r="H881" s="346"/>
      <c r="I881" s="347"/>
      <c r="J881" s="346"/>
      <c r="K881" s="353"/>
      <c r="L881" s="71">
        <f t="shared" si="15"/>
        <v>0</v>
      </c>
    </row>
    <row r="882" spans="1:12" hidden="1" x14ac:dyDescent="0.2">
      <c r="A882" s="352">
        <v>879</v>
      </c>
      <c r="B882" s="342"/>
      <c r="C882" s="343"/>
      <c r="D882" s="344"/>
      <c r="E882" s="343"/>
      <c r="F882" s="345"/>
      <c r="G882" s="346"/>
      <c r="H882" s="346"/>
      <c r="I882" s="347"/>
      <c r="J882" s="346"/>
      <c r="K882" s="353"/>
      <c r="L882" s="71">
        <f t="shared" si="15"/>
        <v>0</v>
      </c>
    </row>
    <row r="883" spans="1:12" hidden="1" x14ac:dyDescent="0.2">
      <c r="A883" s="352">
        <v>880</v>
      </c>
      <c r="B883" s="342"/>
      <c r="C883" s="343"/>
      <c r="D883" s="344"/>
      <c r="E883" s="343"/>
      <c r="F883" s="345"/>
      <c r="G883" s="346"/>
      <c r="H883" s="346"/>
      <c r="I883" s="347"/>
      <c r="J883" s="346"/>
      <c r="K883" s="353"/>
      <c r="L883" s="71">
        <f t="shared" si="15"/>
        <v>0</v>
      </c>
    </row>
    <row r="884" spans="1:12" hidden="1" x14ac:dyDescent="0.2">
      <c r="A884" s="352">
        <v>881</v>
      </c>
      <c r="B884" s="342"/>
      <c r="C884" s="343"/>
      <c r="D884" s="344"/>
      <c r="E884" s="343"/>
      <c r="F884" s="345"/>
      <c r="G884" s="346"/>
      <c r="H884" s="346"/>
      <c r="I884" s="347"/>
      <c r="J884" s="346"/>
      <c r="K884" s="353"/>
      <c r="L884" s="71">
        <f t="shared" si="15"/>
        <v>0</v>
      </c>
    </row>
    <row r="885" spans="1:12" hidden="1" x14ac:dyDescent="0.2">
      <c r="A885" s="352">
        <v>882</v>
      </c>
      <c r="B885" s="342"/>
      <c r="C885" s="343"/>
      <c r="D885" s="344"/>
      <c r="E885" s="343"/>
      <c r="F885" s="345"/>
      <c r="G885" s="346"/>
      <c r="H885" s="346"/>
      <c r="I885" s="347"/>
      <c r="J885" s="346"/>
      <c r="K885" s="353"/>
      <c r="L885" s="71">
        <f t="shared" si="15"/>
        <v>0</v>
      </c>
    </row>
    <row r="886" spans="1:12" hidden="1" x14ac:dyDescent="0.2">
      <c r="A886" s="352">
        <v>883</v>
      </c>
      <c r="B886" s="342"/>
      <c r="C886" s="343"/>
      <c r="D886" s="344"/>
      <c r="E886" s="343"/>
      <c r="F886" s="345"/>
      <c r="G886" s="346"/>
      <c r="H886" s="346"/>
      <c r="I886" s="347"/>
      <c r="J886" s="346"/>
      <c r="K886" s="353"/>
      <c r="L886" s="71">
        <f t="shared" si="15"/>
        <v>0</v>
      </c>
    </row>
    <row r="887" spans="1:12" hidden="1" x14ac:dyDescent="0.2">
      <c r="A887" s="352">
        <v>884</v>
      </c>
      <c r="B887" s="342"/>
      <c r="C887" s="343"/>
      <c r="D887" s="344"/>
      <c r="E887" s="343"/>
      <c r="F887" s="345"/>
      <c r="G887" s="346"/>
      <c r="H887" s="346"/>
      <c r="I887" s="347"/>
      <c r="J887" s="346"/>
      <c r="K887" s="353"/>
      <c r="L887" s="71">
        <f t="shared" si="15"/>
        <v>0</v>
      </c>
    </row>
    <row r="888" spans="1:12" hidden="1" x14ac:dyDescent="0.2">
      <c r="A888" s="352">
        <v>885</v>
      </c>
      <c r="B888" s="342"/>
      <c r="C888" s="343"/>
      <c r="D888" s="344"/>
      <c r="E888" s="343"/>
      <c r="F888" s="345"/>
      <c r="G888" s="346"/>
      <c r="H888" s="346"/>
      <c r="I888" s="347"/>
      <c r="J888" s="346"/>
      <c r="K888" s="353"/>
      <c r="L888" s="71">
        <f t="shared" si="15"/>
        <v>0</v>
      </c>
    </row>
    <row r="889" spans="1:12" hidden="1" x14ac:dyDescent="0.2">
      <c r="A889" s="352">
        <v>886</v>
      </c>
      <c r="B889" s="342"/>
      <c r="C889" s="343"/>
      <c r="D889" s="344"/>
      <c r="E889" s="343"/>
      <c r="F889" s="345"/>
      <c r="G889" s="346"/>
      <c r="H889" s="346"/>
      <c r="I889" s="347"/>
      <c r="J889" s="346"/>
      <c r="K889" s="353"/>
      <c r="L889" s="71">
        <f t="shared" si="15"/>
        <v>0</v>
      </c>
    </row>
    <row r="890" spans="1:12" hidden="1" x14ac:dyDescent="0.2">
      <c r="A890" s="352">
        <v>887</v>
      </c>
      <c r="B890" s="342"/>
      <c r="C890" s="343"/>
      <c r="D890" s="344"/>
      <c r="E890" s="343"/>
      <c r="F890" s="345"/>
      <c r="G890" s="346"/>
      <c r="H890" s="346"/>
      <c r="I890" s="347"/>
      <c r="J890" s="346"/>
      <c r="K890" s="353"/>
      <c r="L890" s="71">
        <f t="shared" si="15"/>
        <v>0</v>
      </c>
    </row>
    <row r="891" spans="1:12" hidden="1" x14ac:dyDescent="0.2">
      <c r="A891" s="352">
        <v>888</v>
      </c>
      <c r="B891" s="342"/>
      <c r="C891" s="343"/>
      <c r="D891" s="344"/>
      <c r="E891" s="343"/>
      <c r="F891" s="345"/>
      <c r="G891" s="346"/>
      <c r="H891" s="346"/>
      <c r="I891" s="347"/>
      <c r="J891" s="346"/>
      <c r="K891" s="353"/>
      <c r="L891" s="71">
        <f t="shared" si="15"/>
        <v>0</v>
      </c>
    </row>
    <row r="892" spans="1:12" hidden="1" x14ac:dyDescent="0.2">
      <c r="A892" s="352">
        <v>889</v>
      </c>
      <c r="B892" s="342"/>
      <c r="C892" s="343"/>
      <c r="D892" s="344"/>
      <c r="E892" s="343"/>
      <c r="F892" s="345"/>
      <c r="G892" s="346"/>
      <c r="H892" s="346"/>
      <c r="I892" s="347"/>
      <c r="J892" s="346"/>
      <c r="K892" s="353"/>
      <c r="L892" s="71">
        <f t="shared" si="15"/>
        <v>0</v>
      </c>
    </row>
    <row r="893" spans="1:12" hidden="1" x14ac:dyDescent="0.2">
      <c r="A893" s="352">
        <v>890</v>
      </c>
      <c r="B893" s="342"/>
      <c r="C893" s="343"/>
      <c r="D893" s="344"/>
      <c r="E893" s="343"/>
      <c r="F893" s="345"/>
      <c r="G893" s="346"/>
      <c r="H893" s="346"/>
      <c r="I893" s="347"/>
      <c r="J893" s="346"/>
      <c r="K893" s="353"/>
      <c r="L893" s="71">
        <f t="shared" si="15"/>
        <v>0</v>
      </c>
    </row>
    <row r="894" spans="1:12" hidden="1" x14ac:dyDescent="0.2">
      <c r="A894" s="352">
        <v>891</v>
      </c>
      <c r="B894" s="342"/>
      <c r="C894" s="343"/>
      <c r="D894" s="344"/>
      <c r="E894" s="343"/>
      <c r="F894" s="345"/>
      <c r="G894" s="346"/>
      <c r="H894" s="346"/>
      <c r="I894" s="347"/>
      <c r="J894" s="346"/>
      <c r="K894" s="353"/>
      <c r="L894" s="71">
        <f t="shared" si="15"/>
        <v>0</v>
      </c>
    </row>
    <row r="895" spans="1:12" hidden="1" x14ac:dyDescent="0.2">
      <c r="A895" s="352">
        <v>892</v>
      </c>
      <c r="B895" s="342"/>
      <c r="C895" s="343"/>
      <c r="D895" s="344"/>
      <c r="E895" s="343"/>
      <c r="F895" s="345"/>
      <c r="G895" s="346"/>
      <c r="H895" s="346"/>
      <c r="I895" s="347"/>
      <c r="J895" s="346"/>
      <c r="K895" s="353"/>
      <c r="L895" s="71">
        <f t="shared" si="15"/>
        <v>0</v>
      </c>
    </row>
    <row r="896" spans="1:12" hidden="1" x14ac:dyDescent="0.2">
      <c r="A896" s="352">
        <v>893</v>
      </c>
      <c r="B896" s="342"/>
      <c r="C896" s="343"/>
      <c r="D896" s="344"/>
      <c r="E896" s="343"/>
      <c r="F896" s="345"/>
      <c r="G896" s="346"/>
      <c r="H896" s="346"/>
      <c r="I896" s="347"/>
      <c r="J896" s="346"/>
      <c r="K896" s="353"/>
      <c r="L896" s="71">
        <f t="shared" si="15"/>
        <v>0</v>
      </c>
    </row>
    <row r="897" spans="1:12" hidden="1" x14ac:dyDescent="0.2">
      <c r="A897" s="352">
        <v>894</v>
      </c>
      <c r="B897" s="342"/>
      <c r="C897" s="343"/>
      <c r="D897" s="344"/>
      <c r="E897" s="343"/>
      <c r="F897" s="345"/>
      <c r="G897" s="346"/>
      <c r="H897" s="346"/>
      <c r="I897" s="347"/>
      <c r="J897" s="346"/>
      <c r="K897" s="353"/>
      <c r="L897" s="71">
        <f t="shared" ref="L897:L960" si="16">IF(B897=0,0,MONTH(B897)-$L$1+1)</f>
        <v>0</v>
      </c>
    </row>
    <row r="898" spans="1:12" hidden="1" x14ac:dyDescent="0.2">
      <c r="A898" s="352">
        <v>895</v>
      </c>
      <c r="B898" s="342"/>
      <c r="C898" s="343"/>
      <c r="D898" s="344"/>
      <c r="E898" s="343"/>
      <c r="F898" s="345"/>
      <c r="G898" s="346"/>
      <c r="H898" s="346"/>
      <c r="I898" s="347"/>
      <c r="J898" s="346"/>
      <c r="K898" s="353"/>
      <c r="L898" s="71">
        <f t="shared" si="16"/>
        <v>0</v>
      </c>
    </row>
    <row r="899" spans="1:12" hidden="1" x14ac:dyDescent="0.2">
      <c r="A899" s="352">
        <v>896</v>
      </c>
      <c r="B899" s="342"/>
      <c r="C899" s="343"/>
      <c r="D899" s="344"/>
      <c r="E899" s="343"/>
      <c r="F899" s="345"/>
      <c r="G899" s="346"/>
      <c r="H899" s="346"/>
      <c r="I899" s="347"/>
      <c r="J899" s="346"/>
      <c r="K899" s="353"/>
      <c r="L899" s="71">
        <f t="shared" si="16"/>
        <v>0</v>
      </c>
    </row>
    <row r="900" spans="1:12" hidden="1" x14ac:dyDescent="0.2">
      <c r="A900" s="352">
        <v>897</v>
      </c>
      <c r="B900" s="342"/>
      <c r="C900" s="343"/>
      <c r="D900" s="344"/>
      <c r="E900" s="343"/>
      <c r="F900" s="345"/>
      <c r="G900" s="346"/>
      <c r="H900" s="346"/>
      <c r="I900" s="347"/>
      <c r="J900" s="346"/>
      <c r="K900" s="353"/>
      <c r="L900" s="71">
        <f t="shared" si="16"/>
        <v>0</v>
      </c>
    </row>
    <row r="901" spans="1:12" hidden="1" x14ac:dyDescent="0.2">
      <c r="A901" s="352">
        <v>898</v>
      </c>
      <c r="B901" s="342"/>
      <c r="C901" s="343"/>
      <c r="D901" s="344"/>
      <c r="E901" s="343"/>
      <c r="F901" s="345"/>
      <c r="G901" s="346"/>
      <c r="H901" s="346"/>
      <c r="I901" s="347"/>
      <c r="J901" s="346"/>
      <c r="K901" s="353"/>
      <c r="L901" s="71">
        <f t="shared" si="16"/>
        <v>0</v>
      </c>
    </row>
    <row r="902" spans="1:12" hidden="1" x14ac:dyDescent="0.2">
      <c r="A902" s="352">
        <v>899</v>
      </c>
      <c r="B902" s="342"/>
      <c r="C902" s="343"/>
      <c r="D902" s="344"/>
      <c r="E902" s="343"/>
      <c r="F902" s="345"/>
      <c r="G902" s="346"/>
      <c r="H902" s="346"/>
      <c r="I902" s="347"/>
      <c r="J902" s="346"/>
      <c r="K902" s="353"/>
      <c r="L902" s="71">
        <f t="shared" si="16"/>
        <v>0</v>
      </c>
    </row>
    <row r="903" spans="1:12" hidden="1" x14ac:dyDescent="0.2">
      <c r="A903" s="352">
        <v>900</v>
      </c>
      <c r="B903" s="342"/>
      <c r="C903" s="343"/>
      <c r="D903" s="344"/>
      <c r="E903" s="343"/>
      <c r="F903" s="345"/>
      <c r="G903" s="346"/>
      <c r="H903" s="346"/>
      <c r="I903" s="347"/>
      <c r="J903" s="346"/>
      <c r="K903" s="353"/>
      <c r="L903" s="71">
        <f t="shared" si="16"/>
        <v>0</v>
      </c>
    </row>
    <row r="904" spans="1:12" hidden="1" x14ac:dyDescent="0.2">
      <c r="A904" s="352">
        <v>901</v>
      </c>
      <c r="B904" s="342"/>
      <c r="C904" s="343"/>
      <c r="D904" s="344"/>
      <c r="E904" s="343"/>
      <c r="F904" s="345"/>
      <c r="G904" s="346"/>
      <c r="H904" s="346"/>
      <c r="I904" s="347"/>
      <c r="J904" s="346"/>
      <c r="K904" s="353"/>
      <c r="L904" s="71">
        <f t="shared" si="16"/>
        <v>0</v>
      </c>
    </row>
    <row r="905" spans="1:12" hidden="1" x14ac:dyDescent="0.2">
      <c r="A905" s="352">
        <v>902</v>
      </c>
      <c r="B905" s="342"/>
      <c r="C905" s="343"/>
      <c r="D905" s="344"/>
      <c r="E905" s="343"/>
      <c r="F905" s="345"/>
      <c r="G905" s="346"/>
      <c r="H905" s="346"/>
      <c r="I905" s="347"/>
      <c r="J905" s="346"/>
      <c r="K905" s="353"/>
      <c r="L905" s="71">
        <f t="shared" si="16"/>
        <v>0</v>
      </c>
    </row>
    <row r="906" spans="1:12" hidden="1" x14ac:dyDescent="0.2">
      <c r="A906" s="352">
        <v>903</v>
      </c>
      <c r="B906" s="342"/>
      <c r="C906" s="343"/>
      <c r="D906" s="344"/>
      <c r="E906" s="343"/>
      <c r="F906" s="345"/>
      <c r="G906" s="346"/>
      <c r="H906" s="346"/>
      <c r="I906" s="347"/>
      <c r="J906" s="346"/>
      <c r="K906" s="353"/>
      <c r="L906" s="71">
        <f t="shared" si="16"/>
        <v>0</v>
      </c>
    </row>
    <row r="907" spans="1:12" hidden="1" x14ac:dyDescent="0.2">
      <c r="A907" s="352">
        <v>904</v>
      </c>
      <c r="B907" s="342"/>
      <c r="C907" s="343"/>
      <c r="D907" s="344"/>
      <c r="E907" s="343"/>
      <c r="F907" s="345"/>
      <c r="G907" s="346"/>
      <c r="H907" s="346"/>
      <c r="I907" s="347"/>
      <c r="J907" s="346"/>
      <c r="K907" s="353"/>
      <c r="L907" s="71">
        <f t="shared" si="16"/>
        <v>0</v>
      </c>
    </row>
    <row r="908" spans="1:12" hidden="1" x14ac:dyDescent="0.2">
      <c r="A908" s="352">
        <v>905</v>
      </c>
      <c r="B908" s="342"/>
      <c r="C908" s="343"/>
      <c r="D908" s="344"/>
      <c r="E908" s="343"/>
      <c r="F908" s="345"/>
      <c r="G908" s="346"/>
      <c r="H908" s="346"/>
      <c r="I908" s="347"/>
      <c r="J908" s="346"/>
      <c r="K908" s="353"/>
      <c r="L908" s="71">
        <f t="shared" si="16"/>
        <v>0</v>
      </c>
    </row>
    <row r="909" spans="1:12" hidden="1" x14ac:dyDescent="0.2">
      <c r="A909" s="352">
        <v>906</v>
      </c>
      <c r="B909" s="342"/>
      <c r="C909" s="343"/>
      <c r="D909" s="344"/>
      <c r="E909" s="343"/>
      <c r="F909" s="345"/>
      <c r="G909" s="346"/>
      <c r="H909" s="346"/>
      <c r="I909" s="347"/>
      <c r="J909" s="346"/>
      <c r="K909" s="353"/>
      <c r="L909" s="71">
        <f t="shared" si="16"/>
        <v>0</v>
      </c>
    </row>
    <row r="910" spans="1:12" hidden="1" x14ac:dyDescent="0.2">
      <c r="A910" s="352">
        <v>907</v>
      </c>
      <c r="B910" s="342"/>
      <c r="C910" s="343"/>
      <c r="D910" s="344"/>
      <c r="E910" s="343"/>
      <c r="F910" s="345"/>
      <c r="G910" s="346"/>
      <c r="H910" s="346"/>
      <c r="I910" s="347"/>
      <c r="J910" s="346"/>
      <c r="K910" s="353"/>
      <c r="L910" s="71">
        <f t="shared" si="16"/>
        <v>0</v>
      </c>
    </row>
    <row r="911" spans="1:12" hidden="1" x14ac:dyDescent="0.2">
      <c r="A911" s="352">
        <v>908</v>
      </c>
      <c r="B911" s="342"/>
      <c r="C911" s="343"/>
      <c r="D911" s="344"/>
      <c r="E911" s="343"/>
      <c r="F911" s="345"/>
      <c r="G911" s="346"/>
      <c r="H911" s="346"/>
      <c r="I911" s="347"/>
      <c r="J911" s="346"/>
      <c r="K911" s="353"/>
      <c r="L911" s="71">
        <f t="shared" si="16"/>
        <v>0</v>
      </c>
    </row>
    <row r="912" spans="1:12" hidden="1" x14ac:dyDescent="0.2">
      <c r="A912" s="352">
        <v>909</v>
      </c>
      <c r="B912" s="342"/>
      <c r="C912" s="343"/>
      <c r="D912" s="344"/>
      <c r="E912" s="343"/>
      <c r="F912" s="345"/>
      <c r="G912" s="346"/>
      <c r="H912" s="346"/>
      <c r="I912" s="347"/>
      <c r="J912" s="346"/>
      <c r="K912" s="353"/>
      <c r="L912" s="71">
        <f t="shared" si="16"/>
        <v>0</v>
      </c>
    </row>
    <row r="913" spans="1:12" hidden="1" x14ac:dyDescent="0.2">
      <c r="A913" s="352">
        <v>910</v>
      </c>
      <c r="B913" s="342"/>
      <c r="C913" s="343"/>
      <c r="D913" s="344"/>
      <c r="E913" s="343"/>
      <c r="F913" s="345"/>
      <c r="G913" s="346"/>
      <c r="H913" s="346"/>
      <c r="I913" s="347"/>
      <c r="J913" s="346"/>
      <c r="K913" s="353"/>
      <c r="L913" s="71">
        <f t="shared" si="16"/>
        <v>0</v>
      </c>
    </row>
    <row r="914" spans="1:12" hidden="1" x14ac:dyDescent="0.2">
      <c r="A914" s="352">
        <v>911</v>
      </c>
      <c r="B914" s="342"/>
      <c r="C914" s="343"/>
      <c r="D914" s="344"/>
      <c r="E914" s="343"/>
      <c r="F914" s="345"/>
      <c r="G914" s="346"/>
      <c r="H914" s="346"/>
      <c r="I914" s="347"/>
      <c r="J914" s="346"/>
      <c r="K914" s="353"/>
      <c r="L914" s="71">
        <f t="shared" si="16"/>
        <v>0</v>
      </c>
    </row>
    <row r="915" spans="1:12" hidden="1" x14ac:dyDescent="0.2">
      <c r="A915" s="352">
        <v>912</v>
      </c>
      <c r="B915" s="342"/>
      <c r="C915" s="343"/>
      <c r="D915" s="344"/>
      <c r="E915" s="343"/>
      <c r="F915" s="345"/>
      <c r="G915" s="346"/>
      <c r="H915" s="346"/>
      <c r="I915" s="347"/>
      <c r="J915" s="346"/>
      <c r="K915" s="353"/>
      <c r="L915" s="71">
        <f t="shared" si="16"/>
        <v>0</v>
      </c>
    </row>
    <row r="916" spans="1:12" hidden="1" x14ac:dyDescent="0.2">
      <c r="A916" s="352">
        <v>913</v>
      </c>
      <c r="B916" s="342"/>
      <c r="C916" s="343"/>
      <c r="D916" s="344"/>
      <c r="E916" s="343"/>
      <c r="F916" s="345"/>
      <c r="G916" s="346"/>
      <c r="H916" s="346"/>
      <c r="I916" s="347"/>
      <c r="J916" s="346"/>
      <c r="K916" s="353"/>
      <c r="L916" s="71">
        <f t="shared" si="16"/>
        <v>0</v>
      </c>
    </row>
    <row r="917" spans="1:12" hidden="1" x14ac:dyDescent="0.2">
      <c r="A917" s="352">
        <v>914</v>
      </c>
      <c r="B917" s="342"/>
      <c r="C917" s="343"/>
      <c r="D917" s="344"/>
      <c r="E917" s="343"/>
      <c r="F917" s="345"/>
      <c r="G917" s="346"/>
      <c r="H917" s="346"/>
      <c r="I917" s="347"/>
      <c r="J917" s="346"/>
      <c r="K917" s="353"/>
      <c r="L917" s="71">
        <f t="shared" si="16"/>
        <v>0</v>
      </c>
    </row>
    <row r="918" spans="1:12" hidden="1" x14ac:dyDescent="0.2">
      <c r="A918" s="352">
        <v>915</v>
      </c>
      <c r="B918" s="342"/>
      <c r="C918" s="343"/>
      <c r="D918" s="344"/>
      <c r="E918" s="343"/>
      <c r="F918" s="345"/>
      <c r="G918" s="346"/>
      <c r="H918" s="346"/>
      <c r="I918" s="347"/>
      <c r="J918" s="346"/>
      <c r="K918" s="353"/>
      <c r="L918" s="71">
        <f t="shared" si="16"/>
        <v>0</v>
      </c>
    </row>
    <row r="919" spans="1:12" hidden="1" x14ac:dyDescent="0.2">
      <c r="A919" s="352">
        <v>916</v>
      </c>
      <c r="B919" s="342"/>
      <c r="C919" s="343"/>
      <c r="D919" s="344"/>
      <c r="E919" s="343"/>
      <c r="F919" s="345"/>
      <c r="G919" s="346"/>
      <c r="H919" s="346"/>
      <c r="I919" s="347"/>
      <c r="J919" s="346"/>
      <c r="K919" s="353"/>
      <c r="L919" s="71">
        <f t="shared" si="16"/>
        <v>0</v>
      </c>
    </row>
    <row r="920" spans="1:12" hidden="1" x14ac:dyDescent="0.2">
      <c r="A920" s="352">
        <v>917</v>
      </c>
      <c r="B920" s="342"/>
      <c r="C920" s="343"/>
      <c r="D920" s="344"/>
      <c r="E920" s="343"/>
      <c r="F920" s="345"/>
      <c r="G920" s="346"/>
      <c r="H920" s="346"/>
      <c r="I920" s="347"/>
      <c r="J920" s="346"/>
      <c r="K920" s="353"/>
      <c r="L920" s="71">
        <f t="shared" si="16"/>
        <v>0</v>
      </c>
    </row>
    <row r="921" spans="1:12" hidden="1" x14ac:dyDescent="0.2">
      <c r="A921" s="352">
        <v>918</v>
      </c>
      <c r="B921" s="342"/>
      <c r="C921" s="343"/>
      <c r="D921" s="344"/>
      <c r="E921" s="343"/>
      <c r="F921" s="345"/>
      <c r="G921" s="346"/>
      <c r="H921" s="346"/>
      <c r="I921" s="347"/>
      <c r="J921" s="346"/>
      <c r="K921" s="353"/>
      <c r="L921" s="71">
        <f t="shared" si="16"/>
        <v>0</v>
      </c>
    </row>
    <row r="922" spans="1:12" hidden="1" x14ac:dyDescent="0.2">
      <c r="A922" s="352">
        <v>919</v>
      </c>
      <c r="B922" s="342"/>
      <c r="C922" s="343"/>
      <c r="D922" s="344"/>
      <c r="E922" s="343"/>
      <c r="F922" s="345"/>
      <c r="G922" s="346"/>
      <c r="H922" s="346"/>
      <c r="I922" s="347"/>
      <c r="J922" s="346"/>
      <c r="K922" s="353"/>
      <c r="L922" s="71">
        <f t="shared" si="16"/>
        <v>0</v>
      </c>
    </row>
    <row r="923" spans="1:12" hidden="1" x14ac:dyDescent="0.2">
      <c r="A923" s="352">
        <v>920</v>
      </c>
      <c r="B923" s="342"/>
      <c r="C923" s="343"/>
      <c r="D923" s="344"/>
      <c r="E923" s="343"/>
      <c r="F923" s="345"/>
      <c r="G923" s="346"/>
      <c r="H923" s="346"/>
      <c r="I923" s="347"/>
      <c r="J923" s="346"/>
      <c r="K923" s="353"/>
      <c r="L923" s="71">
        <f t="shared" si="16"/>
        <v>0</v>
      </c>
    </row>
    <row r="924" spans="1:12" hidden="1" x14ac:dyDescent="0.2">
      <c r="A924" s="352">
        <v>921</v>
      </c>
      <c r="B924" s="342"/>
      <c r="C924" s="343"/>
      <c r="D924" s="344"/>
      <c r="E924" s="343"/>
      <c r="F924" s="345"/>
      <c r="G924" s="346"/>
      <c r="H924" s="346"/>
      <c r="I924" s="347"/>
      <c r="J924" s="346"/>
      <c r="K924" s="353"/>
      <c r="L924" s="71">
        <f t="shared" si="16"/>
        <v>0</v>
      </c>
    </row>
    <row r="925" spans="1:12" hidden="1" x14ac:dyDescent="0.2">
      <c r="A925" s="352">
        <v>922</v>
      </c>
      <c r="B925" s="342"/>
      <c r="C925" s="343"/>
      <c r="D925" s="344"/>
      <c r="E925" s="343"/>
      <c r="F925" s="345"/>
      <c r="G925" s="346"/>
      <c r="H925" s="346"/>
      <c r="I925" s="347"/>
      <c r="J925" s="346"/>
      <c r="K925" s="353"/>
      <c r="L925" s="71">
        <f t="shared" si="16"/>
        <v>0</v>
      </c>
    </row>
    <row r="926" spans="1:12" hidden="1" x14ac:dyDescent="0.2">
      <c r="A926" s="352">
        <v>923</v>
      </c>
      <c r="B926" s="342"/>
      <c r="C926" s="343"/>
      <c r="D926" s="344"/>
      <c r="E926" s="343"/>
      <c r="F926" s="345"/>
      <c r="G926" s="346"/>
      <c r="H926" s="346"/>
      <c r="I926" s="347"/>
      <c r="J926" s="346"/>
      <c r="K926" s="353"/>
      <c r="L926" s="71">
        <f t="shared" si="16"/>
        <v>0</v>
      </c>
    </row>
    <row r="927" spans="1:12" hidden="1" x14ac:dyDescent="0.2">
      <c r="A927" s="352">
        <v>924</v>
      </c>
      <c r="B927" s="342"/>
      <c r="C927" s="343"/>
      <c r="D927" s="344"/>
      <c r="E927" s="343"/>
      <c r="F927" s="345"/>
      <c r="G927" s="346"/>
      <c r="H927" s="346"/>
      <c r="I927" s="347"/>
      <c r="J927" s="346"/>
      <c r="K927" s="353"/>
      <c r="L927" s="71">
        <f t="shared" si="16"/>
        <v>0</v>
      </c>
    </row>
    <row r="928" spans="1:12" hidden="1" x14ac:dyDescent="0.2">
      <c r="A928" s="352">
        <v>925</v>
      </c>
      <c r="B928" s="342"/>
      <c r="C928" s="343"/>
      <c r="D928" s="344"/>
      <c r="E928" s="343"/>
      <c r="F928" s="345"/>
      <c r="G928" s="346"/>
      <c r="H928" s="346"/>
      <c r="I928" s="347"/>
      <c r="J928" s="346"/>
      <c r="K928" s="353"/>
      <c r="L928" s="71">
        <f t="shared" si="16"/>
        <v>0</v>
      </c>
    </row>
    <row r="929" spans="1:12" hidden="1" x14ac:dyDescent="0.2">
      <c r="A929" s="352">
        <v>926</v>
      </c>
      <c r="B929" s="342"/>
      <c r="C929" s="343"/>
      <c r="D929" s="344"/>
      <c r="E929" s="343"/>
      <c r="F929" s="345"/>
      <c r="G929" s="346"/>
      <c r="H929" s="346"/>
      <c r="I929" s="347"/>
      <c r="J929" s="346"/>
      <c r="K929" s="353"/>
      <c r="L929" s="71">
        <f t="shared" si="16"/>
        <v>0</v>
      </c>
    </row>
    <row r="930" spans="1:12" hidden="1" x14ac:dyDescent="0.2">
      <c r="A930" s="352">
        <v>927</v>
      </c>
      <c r="B930" s="342"/>
      <c r="C930" s="343"/>
      <c r="D930" s="344"/>
      <c r="E930" s="343"/>
      <c r="F930" s="345"/>
      <c r="G930" s="346"/>
      <c r="H930" s="346"/>
      <c r="I930" s="347"/>
      <c r="J930" s="346"/>
      <c r="K930" s="353"/>
      <c r="L930" s="71">
        <f t="shared" si="16"/>
        <v>0</v>
      </c>
    </row>
    <row r="931" spans="1:12" hidden="1" x14ac:dyDescent="0.2">
      <c r="A931" s="352">
        <v>928</v>
      </c>
      <c r="B931" s="342"/>
      <c r="C931" s="343"/>
      <c r="D931" s="344"/>
      <c r="E931" s="343"/>
      <c r="F931" s="345"/>
      <c r="G931" s="346"/>
      <c r="H931" s="346"/>
      <c r="I931" s="347"/>
      <c r="J931" s="346"/>
      <c r="K931" s="353"/>
      <c r="L931" s="71">
        <f t="shared" si="16"/>
        <v>0</v>
      </c>
    </row>
    <row r="932" spans="1:12" hidden="1" x14ac:dyDescent="0.2">
      <c r="A932" s="352">
        <v>929</v>
      </c>
      <c r="B932" s="342"/>
      <c r="C932" s="343"/>
      <c r="D932" s="344"/>
      <c r="E932" s="343"/>
      <c r="F932" s="345"/>
      <c r="G932" s="346"/>
      <c r="H932" s="346"/>
      <c r="I932" s="347"/>
      <c r="J932" s="346"/>
      <c r="K932" s="353"/>
      <c r="L932" s="71">
        <f t="shared" si="16"/>
        <v>0</v>
      </c>
    </row>
    <row r="933" spans="1:12" hidden="1" x14ac:dyDescent="0.2">
      <c r="A933" s="352">
        <v>930</v>
      </c>
      <c r="B933" s="342"/>
      <c r="C933" s="343"/>
      <c r="D933" s="344"/>
      <c r="E933" s="343"/>
      <c r="F933" s="345"/>
      <c r="G933" s="346"/>
      <c r="H933" s="346"/>
      <c r="I933" s="347"/>
      <c r="J933" s="346"/>
      <c r="K933" s="353"/>
      <c r="L933" s="71">
        <f t="shared" si="16"/>
        <v>0</v>
      </c>
    </row>
    <row r="934" spans="1:12" hidden="1" x14ac:dyDescent="0.2">
      <c r="A934" s="352">
        <v>931</v>
      </c>
      <c r="B934" s="342"/>
      <c r="C934" s="343"/>
      <c r="D934" s="344"/>
      <c r="E934" s="343"/>
      <c r="F934" s="345"/>
      <c r="G934" s="346"/>
      <c r="H934" s="346"/>
      <c r="I934" s="347"/>
      <c r="J934" s="346"/>
      <c r="K934" s="353"/>
      <c r="L934" s="71">
        <f t="shared" si="16"/>
        <v>0</v>
      </c>
    </row>
    <row r="935" spans="1:12" hidden="1" x14ac:dyDescent="0.2">
      <c r="A935" s="352">
        <v>932</v>
      </c>
      <c r="B935" s="342"/>
      <c r="C935" s="343"/>
      <c r="D935" s="344"/>
      <c r="E935" s="343"/>
      <c r="F935" s="345"/>
      <c r="G935" s="346"/>
      <c r="H935" s="346"/>
      <c r="I935" s="347"/>
      <c r="J935" s="346"/>
      <c r="K935" s="353"/>
      <c r="L935" s="71">
        <f t="shared" si="16"/>
        <v>0</v>
      </c>
    </row>
    <row r="936" spans="1:12" hidden="1" x14ac:dyDescent="0.2">
      <c r="A936" s="352">
        <v>933</v>
      </c>
      <c r="B936" s="342"/>
      <c r="C936" s="343"/>
      <c r="D936" s="344"/>
      <c r="E936" s="343"/>
      <c r="F936" s="345"/>
      <c r="G936" s="346"/>
      <c r="H936" s="346"/>
      <c r="I936" s="347"/>
      <c r="J936" s="346"/>
      <c r="K936" s="353"/>
      <c r="L936" s="71">
        <f t="shared" si="16"/>
        <v>0</v>
      </c>
    </row>
    <row r="937" spans="1:12" hidden="1" x14ac:dyDescent="0.2">
      <c r="A937" s="352">
        <v>934</v>
      </c>
      <c r="B937" s="342"/>
      <c r="C937" s="343"/>
      <c r="D937" s="344"/>
      <c r="E937" s="343"/>
      <c r="F937" s="345"/>
      <c r="G937" s="346"/>
      <c r="H937" s="346"/>
      <c r="I937" s="347"/>
      <c r="J937" s="346"/>
      <c r="K937" s="353"/>
      <c r="L937" s="71">
        <f t="shared" si="16"/>
        <v>0</v>
      </c>
    </row>
    <row r="938" spans="1:12" hidden="1" x14ac:dyDescent="0.2">
      <c r="A938" s="352">
        <v>935</v>
      </c>
      <c r="B938" s="342"/>
      <c r="C938" s="343"/>
      <c r="D938" s="344"/>
      <c r="E938" s="343"/>
      <c r="F938" s="345"/>
      <c r="G938" s="346"/>
      <c r="H938" s="346"/>
      <c r="I938" s="347"/>
      <c r="J938" s="346"/>
      <c r="K938" s="353"/>
      <c r="L938" s="71">
        <f t="shared" si="16"/>
        <v>0</v>
      </c>
    </row>
    <row r="939" spans="1:12" hidden="1" x14ac:dyDescent="0.2">
      <c r="A939" s="352">
        <v>936</v>
      </c>
      <c r="B939" s="342"/>
      <c r="C939" s="343"/>
      <c r="D939" s="344"/>
      <c r="E939" s="343"/>
      <c r="F939" s="345"/>
      <c r="G939" s="346"/>
      <c r="H939" s="346"/>
      <c r="I939" s="347"/>
      <c r="J939" s="346"/>
      <c r="K939" s="353"/>
      <c r="L939" s="71">
        <f t="shared" si="16"/>
        <v>0</v>
      </c>
    </row>
    <row r="940" spans="1:12" hidden="1" x14ac:dyDescent="0.2">
      <c r="A940" s="352">
        <v>937</v>
      </c>
      <c r="B940" s="342"/>
      <c r="C940" s="343"/>
      <c r="D940" s="344"/>
      <c r="E940" s="343"/>
      <c r="F940" s="345"/>
      <c r="G940" s="346"/>
      <c r="H940" s="346"/>
      <c r="I940" s="347"/>
      <c r="J940" s="346"/>
      <c r="K940" s="353"/>
      <c r="L940" s="71">
        <f t="shared" si="16"/>
        <v>0</v>
      </c>
    </row>
    <row r="941" spans="1:12" hidden="1" x14ac:dyDescent="0.2">
      <c r="A941" s="352">
        <v>938</v>
      </c>
      <c r="B941" s="342"/>
      <c r="C941" s="343"/>
      <c r="D941" s="344"/>
      <c r="E941" s="343"/>
      <c r="F941" s="345"/>
      <c r="G941" s="346"/>
      <c r="H941" s="346"/>
      <c r="I941" s="347"/>
      <c r="J941" s="346"/>
      <c r="K941" s="353"/>
      <c r="L941" s="71">
        <f t="shared" si="16"/>
        <v>0</v>
      </c>
    </row>
    <row r="942" spans="1:12" hidden="1" x14ac:dyDescent="0.2">
      <c r="A942" s="352">
        <v>939</v>
      </c>
      <c r="B942" s="342"/>
      <c r="C942" s="343"/>
      <c r="D942" s="344"/>
      <c r="E942" s="343"/>
      <c r="F942" s="345"/>
      <c r="G942" s="346"/>
      <c r="H942" s="346"/>
      <c r="I942" s="347"/>
      <c r="J942" s="346"/>
      <c r="K942" s="353"/>
      <c r="L942" s="71">
        <f t="shared" si="16"/>
        <v>0</v>
      </c>
    </row>
    <row r="943" spans="1:12" hidden="1" x14ac:dyDescent="0.2">
      <c r="A943" s="352">
        <v>940</v>
      </c>
      <c r="B943" s="342"/>
      <c r="C943" s="343"/>
      <c r="D943" s="344"/>
      <c r="E943" s="343"/>
      <c r="F943" s="345"/>
      <c r="G943" s="346"/>
      <c r="H943" s="346"/>
      <c r="I943" s="347"/>
      <c r="J943" s="346"/>
      <c r="K943" s="353"/>
      <c r="L943" s="71">
        <f t="shared" si="16"/>
        <v>0</v>
      </c>
    </row>
    <row r="944" spans="1:12" hidden="1" x14ac:dyDescent="0.2">
      <c r="A944" s="352">
        <v>941</v>
      </c>
      <c r="B944" s="342"/>
      <c r="C944" s="343"/>
      <c r="D944" s="344"/>
      <c r="E944" s="343"/>
      <c r="F944" s="345"/>
      <c r="G944" s="346"/>
      <c r="H944" s="346"/>
      <c r="I944" s="347"/>
      <c r="J944" s="346"/>
      <c r="K944" s="353"/>
      <c r="L944" s="71">
        <f t="shared" si="16"/>
        <v>0</v>
      </c>
    </row>
    <row r="945" spans="1:12" hidden="1" x14ac:dyDescent="0.2">
      <c r="A945" s="352">
        <v>942</v>
      </c>
      <c r="B945" s="342"/>
      <c r="C945" s="343"/>
      <c r="D945" s="344"/>
      <c r="E945" s="343"/>
      <c r="F945" s="345"/>
      <c r="G945" s="346"/>
      <c r="H945" s="346"/>
      <c r="I945" s="347"/>
      <c r="J945" s="346"/>
      <c r="K945" s="353"/>
      <c r="L945" s="71">
        <f t="shared" si="16"/>
        <v>0</v>
      </c>
    </row>
    <row r="946" spans="1:12" hidden="1" x14ac:dyDescent="0.2">
      <c r="A946" s="352">
        <v>943</v>
      </c>
      <c r="B946" s="342"/>
      <c r="C946" s="343"/>
      <c r="D946" s="344"/>
      <c r="E946" s="343"/>
      <c r="F946" s="345"/>
      <c r="G946" s="346"/>
      <c r="H946" s="346"/>
      <c r="I946" s="347"/>
      <c r="J946" s="346"/>
      <c r="K946" s="353"/>
      <c r="L946" s="71">
        <f t="shared" si="16"/>
        <v>0</v>
      </c>
    </row>
    <row r="947" spans="1:12" hidden="1" x14ac:dyDescent="0.2">
      <c r="A947" s="352">
        <v>944</v>
      </c>
      <c r="B947" s="342"/>
      <c r="C947" s="343"/>
      <c r="D947" s="344"/>
      <c r="E947" s="343"/>
      <c r="F947" s="345"/>
      <c r="G947" s="346"/>
      <c r="H947" s="346"/>
      <c r="I947" s="347"/>
      <c r="J947" s="346"/>
      <c r="K947" s="353"/>
      <c r="L947" s="71">
        <f t="shared" si="16"/>
        <v>0</v>
      </c>
    </row>
    <row r="948" spans="1:12" hidden="1" x14ac:dyDescent="0.2">
      <c r="A948" s="352">
        <v>945</v>
      </c>
      <c r="B948" s="342"/>
      <c r="C948" s="343"/>
      <c r="D948" s="344"/>
      <c r="E948" s="343"/>
      <c r="F948" s="345"/>
      <c r="G948" s="346"/>
      <c r="H948" s="346"/>
      <c r="I948" s="347"/>
      <c r="J948" s="346"/>
      <c r="K948" s="353"/>
      <c r="L948" s="71">
        <f t="shared" si="16"/>
        <v>0</v>
      </c>
    </row>
    <row r="949" spans="1:12" hidden="1" x14ac:dyDescent="0.2">
      <c r="A949" s="352">
        <v>946</v>
      </c>
      <c r="B949" s="342"/>
      <c r="C949" s="343"/>
      <c r="D949" s="344"/>
      <c r="E949" s="343"/>
      <c r="F949" s="345"/>
      <c r="G949" s="346"/>
      <c r="H949" s="346"/>
      <c r="I949" s="347"/>
      <c r="J949" s="346"/>
      <c r="K949" s="353"/>
      <c r="L949" s="71">
        <f t="shared" si="16"/>
        <v>0</v>
      </c>
    </row>
    <row r="950" spans="1:12" hidden="1" x14ac:dyDescent="0.2">
      <c r="A950" s="352">
        <v>947</v>
      </c>
      <c r="B950" s="342"/>
      <c r="C950" s="343"/>
      <c r="D950" s="344"/>
      <c r="E950" s="343"/>
      <c r="F950" s="345"/>
      <c r="G950" s="346"/>
      <c r="H950" s="346"/>
      <c r="I950" s="347"/>
      <c r="J950" s="346"/>
      <c r="K950" s="353"/>
      <c r="L950" s="71">
        <f t="shared" si="16"/>
        <v>0</v>
      </c>
    </row>
    <row r="951" spans="1:12" hidden="1" x14ac:dyDescent="0.2">
      <c r="A951" s="352">
        <v>948</v>
      </c>
      <c r="B951" s="342"/>
      <c r="C951" s="343"/>
      <c r="D951" s="344"/>
      <c r="E951" s="343"/>
      <c r="F951" s="345"/>
      <c r="G951" s="346"/>
      <c r="H951" s="346"/>
      <c r="I951" s="347"/>
      <c r="J951" s="346"/>
      <c r="K951" s="353"/>
      <c r="L951" s="71">
        <f t="shared" si="16"/>
        <v>0</v>
      </c>
    </row>
    <row r="952" spans="1:12" hidden="1" x14ac:dyDescent="0.2">
      <c r="A952" s="352">
        <v>949</v>
      </c>
      <c r="B952" s="342"/>
      <c r="C952" s="343"/>
      <c r="D952" s="344"/>
      <c r="E952" s="343"/>
      <c r="F952" s="345"/>
      <c r="G952" s="346"/>
      <c r="H952" s="346"/>
      <c r="I952" s="347"/>
      <c r="J952" s="346"/>
      <c r="K952" s="353"/>
      <c r="L952" s="71">
        <f t="shared" si="16"/>
        <v>0</v>
      </c>
    </row>
    <row r="953" spans="1:12" hidden="1" x14ac:dyDescent="0.2">
      <c r="A953" s="352">
        <v>950</v>
      </c>
      <c r="B953" s="342"/>
      <c r="C953" s="343"/>
      <c r="D953" s="344"/>
      <c r="E953" s="343"/>
      <c r="F953" s="345"/>
      <c r="G953" s="346"/>
      <c r="H953" s="346"/>
      <c r="I953" s="347"/>
      <c r="J953" s="346"/>
      <c r="K953" s="353"/>
      <c r="L953" s="71">
        <f t="shared" si="16"/>
        <v>0</v>
      </c>
    </row>
    <row r="954" spans="1:12" hidden="1" x14ac:dyDescent="0.2">
      <c r="A954" s="352">
        <v>951</v>
      </c>
      <c r="B954" s="342"/>
      <c r="C954" s="343"/>
      <c r="D954" s="344"/>
      <c r="E954" s="343"/>
      <c r="F954" s="345"/>
      <c r="G954" s="346"/>
      <c r="H954" s="346"/>
      <c r="I954" s="347"/>
      <c r="J954" s="346"/>
      <c r="K954" s="353"/>
      <c r="L954" s="71">
        <f t="shared" si="16"/>
        <v>0</v>
      </c>
    </row>
    <row r="955" spans="1:12" hidden="1" x14ac:dyDescent="0.2">
      <c r="A955" s="352">
        <v>952</v>
      </c>
      <c r="B955" s="342"/>
      <c r="C955" s="343"/>
      <c r="D955" s="344"/>
      <c r="E955" s="343"/>
      <c r="F955" s="345"/>
      <c r="G955" s="346"/>
      <c r="H955" s="346"/>
      <c r="I955" s="347"/>
      <c r="J955" s="346"/>
      <c r="K955" s="353"/>
      <c r="L955" s="71">
        <f t="shared" si="16"/>
        <v>0</v>
      </c>
    </row>
    <row r="956" spans="1:12" hidden="1" x14ac:dyDescent="0.2">
      <c r="A956" s="352">
        <v>953</v>
      </c>
      <c r="B956" s="342"/>
      <c r="C956" s="343"/>
      <c r="D956" s="344"/>
      <c r="E956" s="343"/>
      <c r="F956" s="345"/>
      <c r="G956" s="346"/>
      <c r="H956" s="346"/>
      <c r="I956" s="347"/>
      <c r="J956" s="346"/>
      <c r="K956" s="353"/>
      <c r="L956" s="71">
        <f t="shared" si="16"/>
        <v>0</v>
      </c>
    </row>
    <row r="957" spans="1:12" hidden="1" x14ac:dyDescent="0.2">
      <c r="A957" s="352">
        <v>954</v>
      </c>
      <c r="B957" s="342"/>
      <c r="C957" s="343"/>
      <c r="D957" s="344"/>
      <c r="E957" s="343"/>
      <c r="F957" s="345"/>
      <c r="G957" s="346"/>
      <c r="H957" s="346"/>
      <c r="I957" s="347"/>
      <c r="J957" s="346"/>
      <c r="K957" s="353"/>
      <c r="L957" s="71">
        <f t="shared" si="16"/>
        <v>0</v>
      </c>
    </row>
    <row r="958" spans="1:12" hidden="1" x14ac:dyDescent="0.2">
      <c r="A958" s="352">
        <v>955</v>
      </c>
      <c r="B958" s="342"/>
      <c r="C958" s="343"/>
      <c r="D958" s="344"/>
      <c r="E958" s="343"/>
      <c r="F958" s="345"/>
      <c r="G958" s="346"/>
      <c r="H958" s="346"/>
      <c r="I958" s="347"/>
      <c r="J958" s="346"/>
      <c r="K958" s="353"/>
      <c r="L958" s="71">
        <f t="shared" si="16"/>
        <v>0</v>
      </c>
    </row>
    <row r="959" spans="1:12" hidden="1" x14ac:dyDescent="0.2">
      <c r="A959" s="352">
        <v>956</v>
      </c>
      <c r="B959" s="342"/>
      <c r="C959" s="343"/>
      <c r="D959" s="344"/>
      <c r="E959" s="343"/>
      <c r="F959" s="345"/>
      <c r="G959" s="346"/>
      <c r="H959" s="346"/>
      <c r="I959" s="347"/>
      <c r="J959" s="346"/>
      <c r="K959" s="353"/>
      <c r="L959" s="71">
        <f t="shared" si="16"/>
        <v>0</v>
      </c>
    </row>
    <row r="960" spans="1:12" hidden="1" x14ac:dyDescent="0.2">
      <c r="A960" s="352">
        <v>957</v>
      </c>
      <c r="B960" s="342"/>
      <c r="C960" s="343"/>
      <c r="D960" s="344"/>
      <c r="E960" s="343"/>
      <c r="F960" s="345"/>
      <c r="G960" s="346"/>
      <c r="H960" s="346"/>
      <c r="I960" s="347"/>
      <c r="J960" s="346"/>
      <c r="K960" s="353"/>
      <c r="L960" s="71">
        <f t="shared" si="16"/>
        <v>0</v>
      </c>
    </row>
    <row r="961" spans="1:12" hidden="1" x14ac:dyDescent="0.2">
      <c r="A961" s="352">
        <v>958</v>
      </c>
      <c r="B961" s="342"/>
      <c r="C961" s="343"/>
      <c r="D961" s="344"/>
      <c r="E961" s="343"/>
      <c r="F961" s="345"/>
      <c r="G961" s="346"/>
      <c r="H961" s="346"/>
      <c r="I961" s="347"/>
      <c r="J961" s="346"/>
      <c r="K961" s="353"/>
      <c r="L961" s="71">
        <f t="shared" ref="L961:L1003" si="17">IF(B961=0,0,MONTH(B961)-$L$1+1)</f>
        <v>0</v>
      </c>
    </row>
    <row r="962" spans="1:12" hidden="1" x14ac:dyDescent="0.2">
      <c r="A962" s="352">
        <v>959</v>
      </c>
      <c r="B962" s="342"/>
      <c r="C962" s="343"/>
      <c r="D962" s="344"/>
      <c r="E962" s="343"/>
      <c r="F962" s="345"/>
      <c r="G962" s="346"/>
      <c r="H962" s="346"/>
      <c r="I962" s="347"/>
      <c r="J962" s="346"/>
      <c r="K962" s="353"/>
      <c r="L962" s="71">
        <f t="shared" si="17"/>
        <v>0</v>
      </c>
    </row>
    <row r="963" spans="1:12" hidden="1" x14ac:dyDescent="0.2">
      <c r="A963" s="352">
        <v>960</v>
      </c>
      <c r="B963" s="342"/>
      <c r="C963" s="343"/>
      <c r="D963" s="344"/>
      <c r="E963" s="343"/>
      <c r="F963" s="345"/>
      <c r="G963" s="346"/>
      <c r="H963" s="346"/>
      <c r="I963" s="347"/>
      <c r="J963" s="346"/>
      <c r="K963" s="353"/>
      <c r="L963" s="71">
        <f t="shared" si="17"/>
        <v>0</v>
      </c>
    </row>
    <row r="964" spans="1:12" hidden="1" x14ac:dyDescent="0.2">
      <c r="A964" s="352">
        <v>961</v>
      </c>
      <c r="B964" s="342"/>
      <c r="C964" s="343"/>
      <c r="D964" s="344"/>
      <c r="E964" s="343"/>
      <c r="F964" s="345"/>
      <c r="G964" s="346"/>
      <c r="H964" s="346"/>
      <c r="I964" s="347"/>
      <c r="J964" s="346"/>
      <c r="K964" s="353"/>
      <c r="L964" s="71">
        <f t="shared" si="17"/>
        <v>0</v>
      </c>
    </row>
    <row r="965" spans="1:12" hidden="1" x14ac:dyDescent="0.2">
      <c r="A965" s="352">
        <v>962</v>
      </c>
      <c r="B965" s="342"/>
      <c r="C965" s="343"/>
      <c r="D965" s="344"/>
      <c r="E965" s="343"/>
      <c r="F965" s="345"/>
      <c r="G965" s="346"/>
      <c r="H965" s="346"/>
      <c r="I965" s="347"/>
      <c r="J965" s="346"/>
      <c r="K965" s="353"/>
      <c r="L965" s="71">
        <f t="shared" si="17"/>
        <v>0</v>
      </c>
    </row>
    <row r="966" spans="1:12" hidden="1" x14ac:dyDescent="0.2">
      <c r="A966" s="352">
        <v>963</v>
      </c>
      <c r="B966" s="342"/>
      <c r="C966" s="343"/>
      <c r="D966" s="344"/>
      <c r="E966" s="343"/>
      <c r="F966" s="345"/>
      <c r="G966" s="346"/>
      <c r="H966" s="346"/>
      <c r="I966" s="347"/>
      <c r="J966" s="346"/>
      <c r="K966" s="353"/>
      <c r="L966" s="71">
        <f t="shared" si="17"/>
        <v>0</v>
      </c>
    </row>
    <row r="967" spans="1:12" hidden="1" x14ac:dyDescent="0.2">
      <c r="A967" s="352">
        <v>964</v>
      </c>
      <c r="B967" s="342"/>
      <c r="C967" s="343"/>
      <c r="D967" s="344"/>
      <c r="E967" s="343"/>
      <c r="F967" s="345"/>
      <c r="G967" s="346"/>
      <c r="H967" s="346"/>
      <c r="I967" s="347"/>
      <c r="J967" s="346"/>
      <c r="K967" s="353"/>
      <c r="L967" s="71">
        <f t="shared" si="17"/>
        <v>0</v>
      </c>
    </row>
    <row r="968" spans="1:12" hidden="1" x14ac:dyDescent="0.2">
      <c r="A968" s="352">
        <v>965</v>
      </c>
      <c r="B968" s="342"/>
      <c r="C968" s="343"/>
      <c r="D968" s="344"/>
      <c r="E968" s="343"/>
      <c r="F968" s="345"/>
      <c r="G968" s="346"/>
      <c r="H968" s="346"/>
      <c r="I968" s="347"/>
      <c r="J968" s="346"/>
      <c r="K968" s="353"/>
      <c r="L968" s="71">
        <f t="shared" si="17"/>
        <v>0</v>
      </c>
    </row>
    <row r="969" spans="1:12" hidden="1" x14ac:dyDescent="0.2">
      <c r="A969" s="352">
        <v>966</v>
      </c>
      <c r="B969" s="342"/>
      <c r="C969" s="343"/>
      <c r="D969" s="344"/>
      <c r="E969" s="343"/>
      <c r="F969" s="345"/>
      <c r="G969" s="346"/>
      <c r="H969" s="346"/>
      <c r="I969" s="347"/>
      <c r="J969" s="346"/>
      <c r="K969" s="353"/>
      <c r="L969" s="71">
        <f t="shared" si="17"/>
        <v>0</v>
      </c>
    </row>
    <row r="970" spans="1:12" hidden="1" x14ac:dyDescent="0.2">
      <c r="A970" s="352">
        <v>967</v>
      </c>
      <c r="B970" s="342"/>
      <c r="C970" s="343"/>
      <c r="D970" s="344"/>
      <c r="E970" s="343"/>
      <c r="F970" s="345"/>
      <c r="G970" s="346"/>
      <c r="H970" s="346"/>
      <c r="I970" s="347"/>
      <c r="J970" s="346"/>
      <c r="K970" s="353"/>
      <c r="L970" s="71">
        <f t="shared" si="17"/>
        <v>0</v>
      </c>
    </row>
    <row r="971" spans="1:12" hidden="1" x14ac:dyDescent="0.2">
      <c r="A971" s="352">
        <v>968</v>
      </c>
      <c r="B971" s="342"/>
      <c r="C971" s="343"/>
      <c r="D971" s="344"/>
      <c r="E971" s="343"/>
      <c r="F971" s="345"/>
      <c r="G971" s="346"/>
      <c r="H971" s="346"/>
      <c r="I971" s="347"/>
      <c r="J971" s="346"/>
      <c r="K971" s="353"/>
      <c r="L971" s="71">
        <f t="shared" si="17"/>
        <v>0</v>
      </c>
    </row>
    <row r="972" spans="1:12" hidden="1" x14ac:dyDescent="0.2">
      <c r="A972" s="352">
        <v>969</v>
      </c>
      <c r="B972" s="342"/>
      <c r="C972" s="343"/>
      <c r="D972" s="344"/>
      <c r="E972" s="343"/>
      <c r="F972" s="345"/>
      <c r="G972" s="346"/>
      <c r="H972" s="346"/>
      <c r="I972" s="347"/>
      <c r="J972" s="346"/>
      <c r="K972" s="353"/>
      <c r="L972" s="71">
        <f t="shared" si="17"/>
        <v>0</v>
      </c>
    </row>
    <row r="973" spans="1:12" hidden="1" x14ac:dyDescent="0.2">
      <c r="A973" s="352">
        <v>970</v>
      </c>
      <c r="B973" s="342"/>
      <c r="C973" s="343"/>
      <c r="D973" s="344"/>
      <c r="E973" s="343"/>
      <c r="F973" s="345"/>
      <c r="G973" s="346"/>
      <c r="H973" s="346"/>
      <c r="I973" s="347"/>
      <c r="J973" s="346"/>
      <c r="K973" s="353"/>
      <c r="L973" s="71">
        <f t="shared" si="17"/>
        <v>0</v>
      </c>
    </row>
    <row r="974" spans="1:12" hidden="1" x14ac:dyDescent="0.2">
      <c r="A974" s="352">
        <v>971</v>
      </c>
      <c r="B974" s="342"/>
      <c r="C974" s="343"/>
      <c r="D974" s="344"/>
      <c r="E974" s="343"/>
      <c r="F974" s="345"/>
      <c r="G974" s="346"/>
      <c r="H974" s="346"/>
      <c r="I974" s="347"/>
      <c r="J974" s="346"/>
      <c r="K974" s="353"/>
      <c r="L974" s="71">
        <f t="shared" si="17"/>
        <v>0</v>
      </c>
    </row>
    <row r="975" spans="1:12" hidden="1" x14ac:dyDescent="0.2">
      <c r="A975" s="352">
        <v>972</v>
      </c>
      <c r="B975" s="342"/>
      <c r="C975" s="343"/>
      <c r="D975" s="344"/>
      <c r="E975" s="343"/>
      <c r="F975" s="345"/>
      <c r="G975" s="346"/>
      <c r="H975" s="346"/>
      <c r="I975" s="347"/>
      <c r="J975" s="346"/>
      <c r="K975" s="353"/>
      <c r="L975" s="71">
        <f t="shared" si="17"/>
        <v>0</v>
      </c>
    </row>
    <row r="976" spans="1:12" hidden="1" x14ac:dyDescent="0.2">
      <c r="A976" s="352">
        <v>973</v>
      </c>
      <c r="B976" s="342"/>
      <c r="C976" s="343"/>
      <c r="D976" s="344"/>
      <c r="E976" s="343"/>
      <c r="F976" s="345"/>
      <c r="G976" s="346"/>
      <c r="H976" s="346"/>
      <c r="I976" s="347"/>
      <c r="J976" s="346"/>
      <c r="K976" s="353"/>
      <c r="L976" s="71">
        <f t="shared" si="17"/>
        <v>0</v>
      </c>
    </row>
    <row r="977" spans="1:12" hidden="1" x14ac:dyDescent="0.2">
      <c r="A977" s="352">
        <v>974</v>
      </c>
      <c r="B977" s="342"/>
      <c r="C977" s="343"/>
      <c r="D977" s="344"/>
      <c r="E977" s="343"/>
      <c r="F977" s="345"/>
      <c r="G977" s="346"/>
      <c r="H977" s="346"/>
      <c r="I977" s="347"/>
      <c r="J977" s="346"/>
      <c r="K977" s="353"/>
      <c r="L977" s="71">
        <f t="shared" si="17"/>
        <v>0</v>
      </c>
    </row>
    <row r="978" spans="1:12" hidden="1" x14ac:dyDescent="0.2">
      <c r="A978" s="352">
        <v>975</v>
      </c>
      <c r="B978" s="342"/>
      <c r="C978" s="343"/>
      <c r="D978" s="344"/>
      <c r="E978" s="343"/>
      <c r="F978" s="345"/>
      <c r="G978" s="346"/>
      <c r="H978" s="346"/>
      <c r="I978" s="347"/>
      <c r="J978" s="346"/>
      <c r="K978" s="353"/>
      <c r="L978" s="71">
        <f t="shared" si="17"/>
        <v>0</v>
      </c>
    </row>
    <row r="979" spans="1:12" hidden="1" x14ac:dyDescent="0.2">
      <c r="A979" s="352">
        <v>976</v>
      </c>
      <c r="B979" s="342"/>
      <c r="C979" s="343"/>
      <c r="D979" s="344"/>
      <c r="E979" s="343"/>
      <c r="F979" s="345"/>
      <c r="G979" s="346"/>
      <c r="H979" s="346"/>
      <c r="I979" s="347"/>
      <c r="J979" s="346"/>
      <c r="K979" s="353"/>
      <c r="L979" s="71">
        <f t="shared" si="17"/>
        <v>0</v>
      </c>
    </row>
    <row r="980" spans="1:12" hidden="1" x14ac:dyDescent="0.2">
      <c r="A980" s="352">
        <v>977</v>
      </c>
      <c r="B980" s="342"/>
      <c r="C980" s="343"/>
      <c r="D980" s="344"/>
      <c r="E980" s="343"/>
      <c r="F980" s="345"/>
      <c r="G980" s="346"/>
      <c r="H980" s="346"/>
      <c r="I980" s="347"/>
      <c r="J980" s="346"/>
      <c r="K980" s="353"/>
      <c r="L980" s="71">
        <f t="shared" si="17"/>
        <v>0</v>
      </c>
    </row>
    <row r="981" spans="1:12" hidden="1" x14ac:dyDescent="0.2">
      <c r="A981" s="352">
        <v>978</v>
      </c>
      <c r="B981" s="342"/>
      <c r="C981" s="343"/>
      <c r="D981" s="344"/>
      <c r="E981" s="343"/>
      <c r="F981" s="345"/>
      <c r="G981" s="346"/>
      <c r="H981" s="346"/>
      <c r="I981" s="347"/>
      <c r="J981" s="346"/>
      <c r="K981" s="353"/>
      <c r="L981" s="71">
        <f t="shared" si="17"/>
        <v>0</v>
      </c>
    </row>
    <row r="982" spans="1:12" hidden="1" x14ac:dyDescent="0.2">
      <c r="A982" s="352">
        <v>979</v>
      </c>
      <c r="B982" s="342"/>
      <c r="C982" s="343"/>
      <c r="D982" s="344"/>
      <c r="E982" s="343"/>
      <c r="F982" s="345"/>
      <c r="G982" s="346"/>
      <c r="H982" s="346"/>
      <c r="I982" s="347"/>
      <c r="J982" s="346"/>
      <c r="K982" s="353"/>
      <c r="L982" s="71">
        <f t="shared" si="17"/>
        <v>0</v>
      </c>
    </row>
    <row r="983" spans="1:12" hidden="1" x14ac:dyDescent="0.2">
      <c r="A983" s="352">
        <v>980</v>
      </c>
      <c r="B983" s="342"/>
      <c r="C983" s="343"/>
      <c r="D983" s="344"/>
      <c r="E983" s="343"/>
      <c r="F983" s="345"/>
      <c r="G983" s="346"/>
      <c r="H983" s="346"/>
      <c r="I983" s="347"/>
      <c r="J983" s="346"/>
      <c r="K983" s="353"/>
      <c r="L983" s="71">
        <f t="shared" si="17"/>
        <v>0</v>
      </c>
    </row>
    <row r="984" spans="1:12" hidden="1" x14ac:dyDescent="0.2">
      <c r="A984" s="352">
        <v>981</v>
      </c>
      <c r="B984" s="342"/>
      <c r="C984" s="343"/>
      <c r="D984" s="344"/>
      <c r="E984" s="343"/>
      <c r="F984" s="345"/>
      <c r="G984" s="346"/>
      <c r="H984" s="346"/>
      <c r="I984" s="347"/>
      <c r="J984" s="346"/>
      <c r="K984" s="353"/>
      <c r="L984" s="71">
        <f t="shared" si="17"/>
        <v>0</v>
      </c>
    </row>
    <row r="985" spans="1:12" hidden="1" x14ac:dyDescent="0.2">
      <c r="A985" s="352">
        <v>982</v>
      </c>
      <c r="B985" s="342"/>
      <c r="C985" s="343"/>
      <c r="D985" s="344"/>
      <c r="E985" s="343"/>
      <c r="F985" s="345"/>
      <c r="G985" s="346"/>
      <c r="H985" s="346"/>
      <c r="I985" s="347"/>
      <c r="J985" s="346"/>
      <c r="K985" s="353"/>
      <c r="L985" s="71">
        <f t="shared" si="17"/>
        <v>0</v>
      </c>
    </row>
    <row r="986" spans="1:12" hidden="1" x14ac:dyDescent="0.2">
      <c r="A986" s="352">
        <v>983</v>
      </c>
      <c r="B986" s="342"/>
      <c r="C986" s="343"/>
      <c r="D986" s="344"/>
      <c r="E986" s="343"/>
      <c r="F986" s="345"/>
      <c r="G986" s="346"/>
      <c r="H986" s="346"/>
      <c r="I986" s="347"/>
      <c r="J986" s="346"/>
      <c r="K986" s="353"/>
      <c r="L986" s="71">
        <f t="shared" si="17"/>
        <v>0</v>
      </c>
    </row>
    <row r="987" spans="1:12" hidden="1" x14ac:dyDescent="0.2">
      <c r="A987" s="352">
        <v>984</v>
      </c>
      <c r="B987" s="342"/>
      <c r="C987" s="343"/>
      <c r="D987" s="344"/>
      <c r="E987" s="343"/>
      <c r="F987" s="345"/>
      <c r="G987" s="346"/>
      <c r="H987" s="346"/>
      <c r="I987" s="347"/>
      <c r="J987" s="346"/>
      <c r="K987" s="353"/>
      <c r="L987" s="71">
        <f t="shared" si="17"/>
        <v>0</v>
      </c>
    </row>
    <row r="988" spans="1:12" hidden="1" x14ac:dyDescent="0.2">
      <c r="A988" s="352">
        <v>985</v>
      </c>
      <c r="B988" s="342"/>
      <c r="C988" s="343"/>
      <c r="D988" s="344"/>
      <c r="E988" s="343"/>
      <c r="F988" s="345"/>
      <c r="G988" s="346"/>
      <c r="H988" s="346"/>
      <c r="I988" s="347"/>
      <c r="J988" s="346"/>
      <c r="K988" s="353"/>
      <c r="L988" s="71">
        <f t="shared" si="17"/>
        <v>0</v>
      </c>
    </row>
    <row r="989" spans="1:12" hidden="1" x14ac:dyDescent="0.2">
      <c r="A989" s="352">
        <v>986</v>
      </c>
      <c r="B989" s="342"/>
      <c r="C989" s="343"/>
      <c r="D989" s="344"/>
      <c r="E989" s="343"/>
      <c r="F989" s="345"/>
      <c r="G989" s="346"/>
      <c r="H989" s="346"/>
      <c r="I989" s="347"/>
      <c r="J989" s="346"/>
      <c r="K989" s="353"/>
      <c r="L989" s="71">
        <f t="shared" si="17"/>
        <v>0</v>
      </c>
    </row>
    <row r="990" spans="1:12" hidden="1" x14ac:dyDescent="0.2">
      <c r="A990" s="352">
        <v>987</v>
      </c>
      <c r="B990" s="342"/>
      <c r="C990" s="343"/>
      <c r="D990" s="344"/>
      <c r="E990" s="343"/>
      <c r="F990" s="345"/>
      <c r="G990" s="346"/>
      <c r="H990" s="346"/>
      <c r="I990" s="347"/>
      <c r="J990" s="346"/>
      <c r="K990" s="353"/>
      <c r="L990" s="71">
        <f t="shared" si="17"/>
        <v>0</v>
      </c>
    </row>
    <row r="991" spans="1:12" hidden="1" x14ac:dyDescent="0.2">
      <c r="A991" s="352">
        <v>988</v>
      </c>
      <c r="B991" s="342"/>
      <c r="C991" s="343"/>
      <c r="D991" s="344"/>
      <c r="E991" s="343"/>
      <c r="F991" s="345"/>
      <c r="G991" s="346"/>
      <c r="H991" s="346"/>
      <c r="I991" s="347"/>
      <c r="J991" s="346"/>
      <c r="K991" s="353"/>
      <c r="L991" s="71">
        <f t="shared" si="17"/>
        <v>0</v>
      </c>
    </row>
    <row r="992" spans="1:12" hidden="1" x14ac:dyDescent="0.2">
      <c r="A992" s="352">
        <v>989</v>
      </c>
      <c r="B992" s="342"/>
      <c r="C992" s="343"/>
      <c r="D992" s="344"/>
      <c r="E992" s="343"/>
      <c r="F992" s="345"/>
      <c r="G992" s="346"/>
      <c r="H992" s="346"/>
      <c r="I992" s="347"/>
      <c r="J992" s="346"/>
      <c r="K992" s="353"/>
      <c r="L992" s="71">
        <f t="shared" si="17"/>
        <v>0</v>
      </c>
    </row>
    <row r="993" spans="1:12" hidden="1" x14ac:dyDescent="0.2">
      <c r="A993" s="352">
        <v>990</v>
      </c>
      <c r="B993" s="342"/>
      <c r="C993" s="343"/>
      <c r="D993" s="344"/>
      <c r="E993" s="343"/>
      <c r="F993" s="345"/>
      <c r="G993" s="346"/>
      <c r="H993" s="346"/>
      <c r="I993" s="347"/>
      <c r="J993" s="346"/>
      <c r="K993" s="353"/>
      <c r="L993" s="71">
        <f t="shared" si="17"/>
        <v>0</v>
      </c>
    </row>
    <row r="994" spans="1:12" hidden="1" x14ac:dyDescent="0.2">
      <c r="A994" s="352">
        <v>991</v>
      </c>
      <c r="B994" s="342"/>
      <c r="C994" s="343"/>
      <c r="D994" s="344"/>
      <c r="E994" s="343"/>
      <c r="F994" s="345"/>
      <c r="G994" s="346"/>
      <c r="H994" s="346"/>
      <c r="I994" s="347"/>
      <c r="J994" s="346"/>
      <c r="K994" s="353"/>
      <c r="L994" s="71">
        <f t="shared" si="17"/>
        <v>0</v>
      </c>
    </row>
    <row r="995" spans="1:12" hidden="1" x14ac:dyDescent="0.2">
      <c r="A995" s="352">
        <v>992</v>
      </c>
      <c r="B995" s="342"/>
      <c r="C995" s="343"/>
      <c r="D995" s="344"/>
      <c r="E995" s="343"/>
      <c r="F995" s="345"/>
      <c r="G995" s="346"/>
      <c r="H995" s="346"/>
      <c r="I995" s="347"/>
      <c r="J995" s="346"/>
      <c r="K995" s="353"/>
      <c r="L995" s="71">
        <f t="shared" si="17"/>
        <v>0</v>
      </c>
    </row>
    <row r="996" spans="1:12" hidden="1" x14ac:dyDescent="0.2">
      <c r="A996" s="352">
        <v>993</v>
      </c>
      <c r="B996" s="342"/>
      <c r="C996" s="343"/>
      <c r="D996" s="344"/>
      <c r="E996" s="343"/>
      <c r="F996" s="345"/>
      <c r="G996" s="346"/>
      <c r="H996" s="346"/>
      <c r="I996" s="347"/>
      <c r="J996" s="346"/>
      <c r="K996" s="353"/>
      <c r="L996" s="71">
        <f t="shared" si="17"/>
        <v>0</v>
      </c>
    </row>
    <row r="997" spans="1:12" hidden="1" x14ac:dyDescent="0.2">
      <c r="A997" s="352">
        <v>994</v>
      </c>
      <c r="B997" s="342"/>
      <c r="C997" s="343"/>
      <c r="D997" s="344"/>
      <c r="E997" s="343"/>
      <c r="F997" s="345"/>
      <c r="G997" s="346"/>
      <c r="H997" s="346"/>
      <c r="I997" s="347"/>
      <c r="J997" s="346"/>
      <c r="K997" s="353"/>
      <c r="L997" s="71">
        <f t="shared" si="17"/>
        <v>0</v>
      </c>
    </row>
    <row r="998" spans="1:12" hidden="1" x14ac:dyDescent="0.2">
      <c r="A998" s="352">
        <v>995</v>
      </c>
      <c r="B998" s="342"/>
      <c r="C998" s="343"/>
      <c r="D998" s="344"/>
      <c r="E998" s="343"/>
      <c r="F998" s="345"/>
      <c r="G998" s="346"/>
      <c r="H998" s="346"/>
      <c r="I998" s="347"/>
      <c r="J998" s="346"/>
      <c r="K998" s="353"/>
      <c r="L998" s="71">
        <f t="shared" si="17"/>
        <v>0</v>
      </c>
    </row>
    <row r="999" spans="1:12" hidden="1" x14ac:dyDescent="0.2">
      <c r="A999" s="352">
        <v>996</v>
      </c>
      <c r="B999" s="342"/>
      <c r="C999" s="343"/>
      <c r="D999" s="344"/>
      <c r="E999" s="343"/>
      <c r="F999" s="345"/>
      <c r="G999" s="346"/>
      <c r="H999" s="346"/>
      <c r="I999" s="347"/>
      <c r="J999" s="346"/>
      <c r="K999" s="353"/>
      <c r="L999" s="71">
        <f t="shared" si="17"/>
        <v>0</v>
      </c>
    </row>
    <row r="1000" spans="1:12" hidden="1" x14ac:dyDescent="0.2">
      <c r="A1000" s="352">
        <v>997</v>
      </c>
      <c r="B1000" s="342"/>
      <c r="C1000" s="343"/>
      <c r="D1000" s="344"/>
      <c r="E1000" s="343"/>
      <c r="F1000" s="345"/>
      <c r="G1000" s="346"/>
      <c r="H1000" s="346"/>
      <c r="I1000" s="347"/>
      <c r="J1000" s="346"/>
      <c r="K1000" s="353"/>
      <c r="L1000" s="71">
        <f t="shared" si="17"/>
        <v>0</v>
      </c>
    </row>
    <row r="1001" spans="1:12" hidden="1" x14ac:dyDescent="0.2">
      <c r="A1001" s="352">
        <v>998</v>
      </c>
      <c r="B1001" s="342"/>
      <c r="C1001" s="343"/>
      <c r="D1001" s="344"/>
      <c r="E1001" s="343"/>
      <c r="F1001" s="345"/>
      <c r="G1001" s="346"/>
      <c r="H1001" s="346"/>
      <c r="I1001" s="347"/>
      <c r="J1001" s="346"/>
      <c r="K1001" s="353"/>
      <c r="L1001" s="71">
        <f t="shared" si="17"/>
        <v>0</v>
      </c>
    </row>
    <row r="1002" spans="1:12" hidden="1" x14ac:dyDescent="0.2">
      <c r="A1002" s="352">
        <v>999</v>
      </c>
      <c r="B1002" s="342"/>
      <c r="C1002" s="343"/>
      <c r="D1002" s="344"/>
      <c r="E1002" s="343"/>
      <c r="F1002" s="345"/>
      <c r="G1002" s="346"/>
      <c r="H1002" s="346"/>
      <c r="I1002" s="347"/>
      <c r="J1002" s="346"/>
      <c r="K1002" s="353"/>
      <c r="L1002" s="71">
        <f t="shared" si="17"/>
        <v>0</v>
      </c>
    </row>
    <row r="1003" spans="1:12" hidden="1" x14ac:dyDescent="0.2">
      <c r="A1003" s="352">
        <v>1000</v>
      </c>
      <c r="B1003" s="342"/>
      <c r="C1003" s="343"/>
      <c r="D1003" s="344"/>
      <c r="E1003" s="343"/>
      <c r="F1003" s="345"/>
      <c r="G1003" s="346"/>
      <c r="H1003" s="346"/>
      <c r="I1003" s="347"/>
      <c r="J1003" s="346"/>
      <c r="K1003" s="353"/>
      <c r="L1003" s="71">
        <f t="shared" si="17"/>
        <v>0</v>
      </c>
    </row>
    <row r="1004" spans="1:12" hidden="1" x14ac:dyDescent="0.2">
      <c r="A1004" s="352">
        <v>1001</v>
      </c>
      <c r="B1004" s="342"/>
      <c r="C1004" s="343"/>
      <c r="D1004" s="344"/>
      <c r="E1004" s="343"/>
      <c r="F1004" s="345"/>
      <c r="G1004" s="346"/>
      <c r="H1004" s="346"/>
      <c r="I1004" s="347"/>
      <c r="J1004" s="346"/>
      <c r="K1004" s="353"/>
      <c r="L1004" s="71">
        <f>IF(B1004=0,0,MONTH(B1004)-$L$1+1)</f>
        <v>0</v>
      </c>
    </row>
    <row r="1005" spans="1:12" hidden="1" x14ac:dyDescent="0.2">
      <c r="B1005" s="94"/>
      <c r="C1005" s="95"/>
      <c r="D1005" s="96"/>
      <c r="E1005" s="95"/>
      <c r="F1005" s="97"/>
      <c r="G1005" s="303"/>
      <c r="H1005" s="303"/>
      <c r="I1005" s="304"/>
      <c r="J1005" s="303"/>
      <c r="K1005" s="94"/>
    </row>
    <row r="1006" spans="1:12" hidden="1" x14ac:dyDescent="0.2">
      <c r="B1006" s="94"/>
      <c r="C1006" s="95"/>
      <c r="D1006" s="96"/>
      <c r="E1006" s="95"/>
      <c r="F1006" s="97"/>
      <c r="G1006" s="303"/>
      <c r="H1006" s="303"/>
      <c r="I1006" s="304"/>
      <c r="J1006" s="303"/>
      <c r="K1006" s="94"/>
    </row>
    <row r="1007" spans="1:12" hidden="1" x14ac:dyDescent="0.2">
      <c r="B1007" s="94"/>
      <c r="C1007" s="95"/>
      <c r="D1007" s="96"/>
      <c r="E1007" s="95"/>
      <c r="F1007" s="97"/>
      <c r="G1007" s="303"/>
      <c r="H1007" s="303"/>
      <c r="I1007" s="304"/>
      <c r="J1007" s="303"/>
      <c r="K1007" s="94"/>
    </row>
    <row r="1008" spans="1:12" hidden="1" x14ac:dyDescent="0.2">
      <c r="B1008" s="94"/>
      <c r="C1008" s="95"/>
      <c r="D1008" s="96"/>
      <c r="E1008" s="95"/>
      <c r="F1008" s="97"/>
      <c r="G1008" s="303"/>
      <c r="H1008" s="303"/>
      <c r="I1008" s="304"/>
      <c r="J1008" s="303"/>
      <c r="K1008" s="94"/>
    </row>
    <row r="1009" spans="2:11" hidden="1" x14ac:dyDescent="0.2">
      <c r="B1009" s="94"/>
      <c r="C1009" s="95"/>
      <c r="D1009" s="96"/>
      <c r="E1009" s="95"/>
      <c r="F1009" s="97"/>
      <c r="G1009" s="303"/>
      <c r="H1009" s="303"/>
      <c r="I1009" s="304"/>
      <c r="J1009" s="303"/>
      <c r="K1009" s="94"/>
    </row>
    <row r="1010" spans="2:11" hidden="1" x14ac:dyDescent="0.2">
      <c r="B1010" s="94"/>
      <c r="C1010" s="95"/>
      <c r="D1010" s="96"/>
      <c r="E1010" s="95"/>
      <c r="F1010" s="97"/>
      <c r="G1010" s="303"/>
      <c r="H1010" s="303"/>
      <c r="I1010" s="304"/>
      <c r="J1010" s="303"/>
      <c r="K1010" s="94"/>
    </row>
    <row r="1011" spans="2:11" hidden="1" x14ac:dyDescent="0.2">
      <c r="B1011" s="94"/>
      <c r="C1011" s="95"/>
      <c r="D1011" s="96"/>
      <c r="E1011" s="95"/>
      <c r="F1011" s="97"/>
      <c r="G1011" s="303"/>
      <c r="H1011" s="303"/>
      <c r="I1011" s="304"/>
      <c r="J1011" s="303"/>
      <c r="K1011" s="94"/>
    </row>
    <row r="1012" spans="2:11" hidden="1" x14ac:dyDescent="0.2">
      <c r="B1012" s="94"/>
      <c r="C1012" s="95"/>
      <c r="D1012" s="96"/>
      <c r="E1012" s="95"/>
      <c r="F1012" s="97"/>
      <c r="G1012" s="303"/>
      <c r="H1012" s="303"/>
      <c r="I1012" s="304"/>
      <c r="J1012" s="303"/>
      <c r="K1012" s="94"/>
    </row>
    <row r="1013" spans="2:11" hidden="1" x14ac:dyDescent="0.2">
      <c r="B1013" s="94"/>
      <c r="C1013" s="95"/>
      <c r="D1013" s="96"/>
      <c r="E1013" s="95"/>
      <c r="F1013" s="97"/>
      <c r="G1013" s="303"/>
      <c r="H1013" s="303"/>
      <c r="I1013" s="304"/>
      <c r="J1013" s="303"/>
      <c r="K1013" s="94"/>
    </row>
    <row r="1014" spans="2:11" hidden="1" x14ac:dyDescent="0.2"/>
    <row r="1015" spans="2:11" hidden="1" x14ac:dyDescent="0.2"/>
    <row r="1016" spans="2:11" hidden="1" x14ac:dyDescent="0.2"/>
  </sheetData>
  <sheetProtection formatColumns="0" formatRows="0" insertColumns="0" insertRows="0" deleteRows="0" autoFilter="0"/>
  <autoFilter ref="A3:K1004" xr:uid="{00000000-0009-0000-0000-00000E000000}">
    <sortState xmlns:xlrd2="http://schemas.microsoft.com/office/spreadsheetml/2017/richdata2" ref="A5:Z2004">
      <sortCondition ref="A4:A2004"/>
    </sortState>
  </autoFilter>
  <mergeCells count="2">
    <mergeCell ref="A1:K1"/>
    <mergeCell ref="A2:K2"/>
  </mergeCells>
  <dataValidations count="1">
    <dataValidation type="list" allowBlank="1" showInputMessage="1" showErrorMessage="1" sqref="C4:C1004" xr:uid="{00000000-0002-0000-0E00-000000000000}">
      <formula1>Reserva</formula1>
    </dataValidation>
  </dataValidations>
  <printOptions horizontalCentered="1"/>
  <pageMargins left="0.59055118110236227" right="0.59055118110236227" top="0.59055118110236227" bottom="0.59055118110236227" header="0" footer="0"/>
  <pageSetup paperSize="9" scale="65"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499984740745262"/>
    <pageSetUpPr fitToPage="1"/>
  </sheetPr>
  <dimension ref="A1:P999"/>
  <sheetViews>
    <sheetView showGridLines="0" zoomScaleSheetLayoutView="100" workbookViewId="0">
      <pane ySplit="5" topLeftCell="A67" activePane="bottomLeft" state="frozen"/>
      <selection pane="bottomLeft" activeCell="C39" sqref="C39"/>
    </sheetView>
  </sheetViews>
  <sheetFormatPr defaultColWidth="9.140625" defaultRowHeight="15" x14ac:dyDescent="0.25"/>
  <cols>
    <col min="1" max="1" width="4" style="334" bestFit="1" customWidth="1"/>
    <col min="2" max="2" width="29.85546875" style="334" customWidth="1"/>
    <col min="3" max="3" width="36.7109375" style="324" customWidth="1"/>
    <col min="4" max="4" width="13.7109375" style="324" customWidth="1"/>
    <col min="5" max="5" width="11" style="324" customWidth="1"/>
    <col min="6" max="6" width="15.5703125" style="324" customWidth="1"/>
    <col min="7" max="7" width="13.7109375" style="324" customWidth="1"/>
    <col min="8" max="8" width="10.5703125" style="324" customWidth="1"/>
    <col min="9" max="9" width="19.7109375" style="324" customWidth="1"/>
    <col min="10" max="11" width="11.28515625" style="324" customWidth="1"/>
    <col min="12" max="12" width="9.140625" style="324"/>
    <col min="13" max="13" width="9.140625" style="324" customWidth="1"/>
    <col min="14" max="15" width="9.140625" style="324" hidden="1" customWidth="1"/>
    <col min="16" max="16384" width="9.140625" style="324"/>
  </cols>
  <sheetData>
    <row r="1" spans="1:16" x14ac:dyDescent="0.25">
      <c r="A1" s="815" t="s">
        <v>367</v>
      </c>
      <c r="B1" s="815"/>
      <c r="C1" s="815"/>
      <c r="D1" s="815"/>
      <c r="E1" s="815"/>
      <c r="F1" s="815"/>
      <c r="G1" s="815"/>
      <c r="H1" s="815"/>
      <c r="I1" s="815"/>
      <c r="J1" s="815"/>
      <c r="K1" s="815"/>
    </row>
    <row r="2" spans="1:16" ht="15.6" customHeight="1" x14ac:dyDescent="0.25">
      <c r="A2" s="813" t="str">
        <f>Capa!A1</f>
        <v>Contrato de Gestão nº. 05/20 celebrado entre a Fundação Clóvis Salgado e a Associação Pró-Cultura e Promoção das Artes</v>
      </c>
      <c r="B2" s="813"/>
      <c r="C2" s="813"/>
      <c r="D2" s="813"/>
      <c r="E2" s="813"/>
      <c r="F2" s="813"/>
      <c r="G2" s="813"/>
      <c r="H2" s="813"/>
      <c r="I2" s="813"/>
      <c r="J2" s="813"/>
      <c r="K2" s="813"/>
      <c r="L2" s="323"/>
      <c r="M2" s="323"/>
      <c r="N2" s="323"/>
      <c r="O2" s="323"/>
      <c r="P2" s="323"/>
    </row>
    <row r="3" spans="1:16" ht="15.6" customHeight="1" x14ac:dyDescent="0.25">
      <c r="A3" s="813">
        <f>Capa!A3</f>
        <v>0</v>
      </c>
      <c r="B3" s="813"/>
      <c r="C3" s="813"/>
      <c r="D3" s="813"/>
      <c r="E3" s="813"/>
      <c r="F3" s="813"/>
      <c r="G3" s="813"/>
      <c r="H3" s="813"/>
      <c r="I3" s="813"/>
      <c r="J3" s="813"/>
      <c r="K3" s="813"/>
      <c r="L3" s="323"/>
      <c r="M3" s="323"/>
      <c r="N3" s="323"/>
      <c r="O3" s="323"/>
      <c r="P3" s="323"/>
    </row>
    <row r="4" spans="1:16" ht="25.5" customHeight="1" thickBot="1" x14ac:dyDescent="0.3">
      <c r="A4" s="814" t="s">
        <v>3153</v>
      </c>
      <c r="B4" s="814"/>
      <c r="C4" s="814"/>
      <c r="D4" s="814"/>
      <c r="E4" s="814"/>
      <c r="F4" s="814"/>
      <c r="G4" s="814"/>
      <c r="H4" s="814"/>
      <c r="I4" s="814"/>
      <c r="J4" s="814"/>
      <c r="K4" s="814"/>
      <c r="N4" s="325" t="s">
        <v>168</v>
      </c>
      <c r="O4" s="325" t="s">
        <v>351</v>
      </c>
    </row>
    <row r="5" spans="1:16" ht="46.5" customHeight="1" thickBot="1" x14ac:dyDescent="0.3">
      <c r="A5" s="326" t="s">
        <v>308</v>
      </c>
      <c r="B5" s="326" t="s">
        <v>352</v>
      </c>
      <c r="C5" s="326" t="s">
        <v>353</v>
      </c>
      <c r="D5" s="326" t="s">
        <v>354</v>
      </c>
      <c r="E5" s="326" t="s">
        <v>36</v>
      </c>
      <c r="F5" s="326" t="s">
        <v>355</v>
      </c>
      <c r="G5" s="326" t="s">
        <v>356</v>
      </c>
      <c r="H5" s="326" t="s">
        <v>33</v>
      </c>
      <c r="I5" s="327" t="s">
        <v>357</v>
      </c>
      <c r="J5" s="327" t="s">
        <v>358</v>
      </c>
      <c r="K5" s="327" t="s">
        <v>359</v>
      </c>
    </row>
    <row r="6" spans="1:16" x14ac:dyDescent="0.25">
      <c r="A6" s="328">
        <v>1</v>
      </c>
      <c r="B6" s="503" t="s">
        <v>3155</v>
      </c>
      <c r="C6" s="503" t="s">
        <v>941</v>
      </c>
      <c r="D6" s="503" t="s">
        <v>942</v>
      </c>
      <c r="E6" s="488" t="s">
        <v>168</v>
      </c>
      <c r="F6" s="504">
        <v>18781.55</v>
      </c>
      <c r="G6" s="504">
        <v>18781.55</v>
      </c>
      <c r="H6" s="505" t="s">
        <v>3156</v>
      </c>
      <c r="I6" s="488" t="s">
        <v>3157</v>
      </c>
      <c r="J6" s="506">
        <v>43252</v>
      </c>
      <c r="K6" s="329"/>
    </row>
    <row r="7" spans="1:16" x14ac:dyDescent="0.25">
      <c r="A7" s="328">
        <v>2</v>
      </c>
      <c r="B7" s="488" t="s">
        <v>3158</v>
      </c>
      <c r="C7" s="488" t="s">
        <v>990</v>
      </c>
      <c r="D7" s="488" t="s">
        <v>991</v>
      </c>
      <c r="E7" s="488" t="s">
        <v>168</v>
      </c>
      <c r="F7" s="507">
        <v>15701.11</v>
      </c>
      <c r="G7" s="507">
        <v>15701.11</v>
      </c>
      <c r="H7" s="505" t="s">
        <v>3156</v>
      </c>
      <c r="I7" s="488" t="s">
        <v>3157</v>
      </c>
      <c r="J7" s="506">
        <v>42564</v>
      </c>
      <c r="K7" s="333"/>
    </row>
    <row r="8" spans="1:16" x14ac:dyDescent="0.25">
      <c r="A8" s="328">
        <v>3</v>
      </c>
      <c r="B8" s="488" t="s">
        <v>3154</v>
      </c>
      <c r="C8" s="488" t="s">
        <v>952</v>
      </c>
      <c r="D8" s="488" t="s">
        <v>953</v>
      </c>
      <c r="E8" s="488" t="s">
        <v>168</v>
      </c>
      <c r="F8" s="507">
        <v>15847.13</v>
      </c>
      <c r="G8" s="507">
        <v>15847.13</v>
      </c>
      <c r="H8" s="505" t="s">
        <v>3156</v>
      </c>
      <c r="I8" s="488" t="s">
        <v>3157</v>
      </c>
      <c r="J8" s="506">
        <v>36923</v>
      </c>
      <c r="K8" s="333"/>
    </row>
    <row r="9" spans="1:16" x14ac:dyDescent="0.25">
      <c r="A9" s="328">
        <v>4</v>
      </c>
      <c r="B9" s="488" t="s">
        <v>3159</v>
      </c>
      <c r="C9" s="488" t="s">
        <v>946</v>
      </c>
      <c r="D9" s="488" t="s">
        <v>947</v>
      </c>
      <c r="E9" s="488" t="s">
        <v>168</v>
      </c>
      <c r="F9" s="507">
        <v>3658.52</v>
      </c>
      <c r="G9" s="507">
        <v>3658.52</v>
      </c>
      <c r="H9" s="505" t="s">
        <v>3156</v>
      </c>
      <c r="I9" s="488" t="s">
        <v>3157</v>
      </c>
      <c r="J9" s="506">
        <v>36923</v>
      </c>
      <c r="K9" s="333"/>
    </row>
    <row r="10" spans="1:16" x14ac:dyDescent="0.25">
      <c r="A10" s="328">
        <v>5</v>
      </c>
      <c r="B10" s="488" t="s">
        <v>3160</v>
      </c>
      <c r="C10" s="488" t="s">
        <v>963</v>
      </c>
      <c r="D10" s="488" t="s">
        <v>964</v>
      </c>
      <c r="E10" s="488" t="s">
        <v>168</v>
      </c>
      <c r="F10" s="507">
        <v>3889.6</v>
      </c>
      <c r="G10" s="507">
        <v>3536</v>
      </c>
      <c r="H10" s="505" t="s">
        <v>3156</v>
      </c>
      <c r="I10" s="488" t="s">
        <v>3157</v>
      </c>
      <c r="J10" s="506">
        <v>42564</v>
      </c>
      <c r="K10" s="333"/>
    </row>
    <row r="11" spans="1:16" x14ac:dyDescent="0.25">
      <c r="A11" s="328">
        <v>6</v>
      </c>
      <c r="B11" s="488" t="s">
        <v>3161</v>
      </c>
      <c r="C11" s="488" t="s">
        <v>1194</v>
      </c>
      <c r="D11" s="488" t="s">
        <v>1195</v>
      </c>
      <c r="E11" s="488" t="s">
        <v>168</v>
      </c>
      <c r="F11" s="507">
        <v>1294.7</v>
      </c>
      <c r="G11" s="507">
        <v>1294.7</v>
      </c>
      <c r="H11" s="505" t="s">
        <v>3156</v>
      </c>
      <c r="I11" s="488" t="s">
        <v>3157</v>
      </c>
      <c r="J11" s="506">
        <v>43133</v>
      </c>
      <c r="K11" s="333"/>
    </row>
    <row r="12" spans="1:16" ht="24" x14ac:dyDescent="0.25">
      <c r="A12" s="328">
        <v>7</v>
      </c>
      <c r="B12" s="488" t="s">
        <v>3162</v>
      </c>
      <c r="C12" s="488" t="s">
        <v>1169</v>
      </c>
      <c r="D12" s="488" t="s">
        <v>1170</v>
      </c>
      <c r="E12" s="488" t="s">
        <v>168</v>
      </c>
      <c r="F12" s="507">
        <v>3546.4</v>
      </c>
      <c r="G12" s="507">
        <v>3546.4</v>
      </c>
      <c r="H12" s="505" t="s">
        <v>3156</v>
      </c>
      <c r="I12" s="488" t="s">
        <v>3157</v>
      </c>
      <c r="J12" s="506">
        <v>42564</v>
      </c>
      <c r="K12" s="333"/>
    </row>
    <row r="13" spans="1:16" x14ac:dyDescent="0.25">
      <c r="A13" s="328">
        <v>8</v>
      </c>
      <c r="B13" s="488" t="s">
        <v>3163</v>
      </c>
      <c r="C13" s="488" t="s">
        <v>929</v>
      </c>
      <c r="D13" s="488" t="s">
        <v>930</v>
      </c>
      <c r="E13" s="488" t="s">
        <v>168</v>
      </c>
      <c r="F13" s="507">
        <v>1884.14</v>
      </c>
      <c r="G13" s="507">
        <v>1884.14</v>
      </c>
      <c r="H13" s="505" t="s">
        <v>3156</v>
      </c>
      <c r="I13" s="488" t="s">
        <v>3191</v>
      </c>
      <c r="J13" s="506">
        <v>42618</v>
      </c>
      <c r="K13" s="333"/>
    </row>
    <row r="14" spans="1:16" x14ac:dyDescent="0.25">
      <c r="A14" s="328">
        <v>9</v>
      </c>
      <c r="B14" s="488" t="s">
        <v>3163</v>
      </c>
      <c r="C14" s="488" t="s">
        <v>828</v>
      </c>
      <c r="D14" s="488" t="s">
        <v>829</v>
      </c>
      <c r="E14" s="488" t="s">
        <v>168</v>
      </c>
      <c r="F14" s="507">
        <v>1884.14</v>
      </c>
      <c r="G14" s="507">
        <v>1884.14</v>
      </c>
      <c r="H14" s="505" t="s">
        <v>3156</v>
      </c>
      <c r="I14" s="488" t="s">
        <v>3191</v>
      </c>
      <c r="J14" s="506">
        <v>42618</v>
      </c>
      <c r="K14" s="333"/>
    </row>
    <row r="15" spans="1:16" x14ac:dyDescent="0.25">
      <c r="A15" s="328">
        <v>10</v>
      </c>
      <c r="B15" s="488" t="s">
        <v>6352</v>
      </c>
      <c r="C15" s="488" t="s">
        <v>923</v>
      </c>
      <c r="D15" s="488" t="s">
        <v>924</v>
      </c>
      <c r="E15" s="488" t="s">
        <v>168</v>
      </c>
      <c r="F15" s="507">
        <v>6305.41</v>
      </c>
      <c r="G15" s="507">
        <v>6305.41</v>
      </c>
      <c r="H15" s="505" t="s">
        <v>3156</v>
      </c>
      <c r="I15" s="488" t="s">
        <v>3157</v>
      </c>
      <c r="J15" s="509">
        <v>44062</v>
      </c>
      <c r="K15" s="333"/>
    </row>
    <row r="16" spans="1:16" x14ac:dyDescent="0.25">
      <c r="A16" s="328">
        <v>11</v>
      </c>
      <c r="B16" s="488" t="s">
        <v>3165</v>
      </c>
      <c r="C16" s="488" t="s">
        <v>1207</v>
      </c>
      <c r="D16" s="488" t="s">
        <v>1584</v>
      </c>
      <c r="E16" s="488" t="s">
        <v>168</v>
      </c>
      <c r="F16" s="507">
        <v>1884.14</v>
      </c>
      <c r="G16" s="507">
        <v>1884.14</v>
      </c>
      <c r="H16" s="505" t="s">
        <v>3156</v>
      </c>
      <c r="I16" s="488" t="s">
        <v>3191</v>
      </c>
      <c r="J16" s="509">
        <v>44139</v>
      </c>
      <c r="K16" s="333"/>
    </row>
    <row r="17" spans="1:11" x14ac:dyDescent="0.25">
      <c r="A17" s="328">
        <v>12</v>
      </c>
      <c r="B17" s="488" t="s">
        <v>6361</v>
      </c>
      <c r="C17" s="488" t="s">
        <v>907</v>
      </c>
      <c r="D17" s="488" t="s">
        <v>908</v>
      </c>
      <c r="E17" s="488" t="s">
        <v>168</v>
      </c>
      <c r="F17" s="507">
        <v>6305.41</v>
      </c>
      <c r="G17" s="507">
        <v>6305.41</v>
      </c>
      <c r="H17" s="505" t="s">
        <v>3156</v>
      </c>
      <c r="I17" s="488" t="s">
        <v>3157</v>
      </c>
      <c r="J17" s="506">
        <v>43024</v>
      </c>
      <c r="K17" s="333"/>
    </row>
    <row r="18" spans="1:11" ht="24" x14ac:dyDescent="0.25">
      <c r="A18" s="328">
        <v>13</v>
      </c>
      <c r="B18" s="751" t="s">
        <v>3164</v>
      </c>
      <c r="C18" s="751" t="s">
        <v>949</v>
      </c>
      <c r="D18" s="751" t="s">
        <v>3185</v>
      </c>
      <c r="E18" s="751" t="s">
        <v>168</v>
      </c>
      <c r="F18" s="752">
        <v>6305.41</v>
      </c>
      <c r="G18" s="752">
        <v>6305.41</v>
      </c>
      <c r="H18" s="753" t="s">
        <v>3156</v>
      </c>
      <c r="I18" s="751" t="s">
        <v>3157</v>
      </c>
      <c r="J18" s="754">
        <v>44245</v>
      </c>
      <c r="K18" s="755">
        <v>44876</v>
      </c>
    </row>
    <row r="19" spans="1:11" x14ac:dyDescent="0.25">
      <c r="A19" s="328">
        <v>14</v>
      </c>
      <c r="B19" s="488" t="s">
        <v>6353</v>
      </c>
      <c r="C19" s="488" t="s">
        <v>943</v>
      </c>
      <c r="D19" s="488" t="s">
        <v>944</v>
      </c>
      <c r="E19" s="488" t="s">
        <v>168</v>
      </c>
      <c r="F19" s="507">
        <v>2300</v>
      </c>
      <c r="G19" s="507">
        <v>2300</v>
      </c>
      <c r="H19" s="508" t="s">
        <v>3189</v>
      </c>
      <c r="I19" s="488" t="s">
        <v>3191</v>
      </c>
      <c r="J19" s="509">
        <v>44384</v>
      </c>
      <c r="K19" s="333"/>
    </row>
    <row r="20" spans="1:11" x14ac:dyDescent="0.25">
      <c r="A20" s="328">
        <v>15</v>
      </c>
      <c r="B20" s="488" t="s">
        <v>6353</v>
      </c>
      <c r="C20" s="488" t="s">
        <v>935</v>
      </c>
      <c r="D20" s="488" t="s">
        <v>936</v>
      </c>
      <c r="E20" s="488" t="s">
        <v>168</v>
      </c>
      <c r="F20" s="507">
        <v>2300</v>
      </c>
      <c r="G20" s="507">
        <v>2300</v>
      </c>
      <c r="H20" s="508" t="s">
        <v>3189</v>
      </c>
      <c r="I20" s="488" t="s">
        <v>3191</v>
      </c>
      <c r="J20" s="509">
        <v>44384</v>
      </c>
      <c r="K20" s="333"/>
    </row>
    <row r="21" spans="1:11" x14ac:dyDescent="0.25">
      <c r="A21" s="328">
        <v>16</v>
      </c>
      <c r="B21" s="488" t="s">
        <v>6353</v>
      </c>
      <c r="C21" s="488" t="s">
        <v>954</v>
      </c>
      <c r="D21" s="488" t="s">
        <v>955</v>
      </c>
      <c r="E21" s="488" t="s">
        <v>168</v>
      </c>
      <c r="F21" s="507">
        <v>2300</v>
      </c>
      <c r="G21" s="507">
        <v>2300</v>
      </c>
      <c r="H21" s="508" t="s">
        <v>3189</v>
      </c>
      <c r="I21" s="488" t="s">
        <v>3191</v>
      </c>
      <c r="J21" s="509">
        <v>44384</v>
      </c>
      <c r="K21" s="333"/>
    </row>
    <row r="22" spans="1:11" x14ac:dyDescent="0.25">
      <c r="A22" s="328">
        <v>17</v>
      </c>
      <c r="B22" s="488" t="s">
        <v>3167</v>
      </c>
      <c r="C22" s="488" t="s">
        <v>972</v>
      </c>
      <c r="D22" s="488" t="s">
        <v>973</v>
      </c>
      <c r="E22" s="488" t="s">
        <v>168</v>
      </c>
      <c r="F22" s="507">
        <v>2500</v>
      </c>
      <c r="G22" s="507">
        <v>2500</v>
      </c>
      <c r="H22" s="508" t="s">
        <v>3190</v>
      </c>
      <c r="I22" s="488" t="s">
        <v>3191</v>
      </c>
      <c r="J22" s="509">
        <v>44390</v>
      </c>
      <c r="K22" s="333"/>
    </row>
    <row r="23" spans="1:11" x14ac:dyDescent="0.25">
      <c r="A23" s="328">
        <v>18</v>
      </c>
      <c r="B23" s="488" t="s">
        <v>6353</v>
      </c>
      <c r="C23" s="488" t="s">
        <v>3519</v>
      </c>
      <c r="D23" s="488" t="s">
        <v>988</v>
      </c>
      <c r="E23" s="488" t="s">
        <v>168</v>
      </c>
      <c r="F23" s="507">
        <v>2300</v>
      </c>
      <c r="G23" s="507">
        <v>2300</v>
      </c>
      <c r="H23" s="508" t="s">
        <v>3189</v>
      </c>
      <c r="I23" s="488" t="s">
        <v>3191</v>
      </c>
      <c r="J23" s="509">
        <v>44384</v>
      </c>
      <c r="K23" s="333"/>
    </row>
    <row r="24" spans="1:11" x14ac:dyDescent="0.25">
      <c r="A24" s="328">
        <v>19</v>
      </c>
      <c r="B24" s="488" t="s">
        <v>3168</v>
      </c>
      <c r="C24" s="488" t="s">
        <v>914</v>
      </c>
      <c r="D24" s="488" t="s">
        <v>915</v>
      </c>
      <c r="E24" s="488" t="s">
        <v>168</v>
      </c>
      <c r="F24" s="507">
        <v>2500</v>
      </c>
      <c r="G24" s="507">
        <v>2500</v>
      </c>
      <c r="H24" s="508" t="s">
        <v>3190</v>
      </c>
      <c r="I24" s="488" t="s">
        <v>3191</v>
      </c>
      <c r="J24" s="509">
        <v>44390</v>
      </c>
      <c r="K24" s="333"/>
    </row>
    <row r="25" spans="1:11" x14ac:dyDescent="0.25">
      <c r="A25" s="328">
        <v>20</v>
      </c>
      <c r="B25" s="488" t="s">
        <v>6353</v>
      </c>
      <c r="C25" s="488" t="s">
        <v>992</v>
      </c>
      <c r="D25" s="488" t="s">
        <v>993</v>
      </c>
      <c r="E25" s="488" t="s">
        <v>168</v>
      </c>
      <c r="F25" s="507">
        <v>2300</v>
      </c>
      <c r="G25" s="507">
        <v>2300</v>
      </c>
      <c r="H25" s="508" t="s">
        <v>3189</v>
      </c>
      <c r="I25" s="488" t="s">
        <v>3191</v>
      </c>
      <c r="J25" s="509">
        <v>44384</v>
      </c>
      <c r="K25" s="333"/>
    </row>
    <row r="26" spans="1:11" x14ac:dyDescent="0.25">
      <c r="A26" s="328">
        <v>21</v>
      </c>
      <c r="B26" s="488" t="s">
        <v>6353</v>
      </c>
      <c r="C26" s="488" t="s">
        <v>926</v>
      </c>
      <c r="D26" s="488" t="s">
        <v>927</v>
      </c>
      <c r="E26" s="488" t="s">
        <v>168</v>
      </c>
      <c r="F26" s="507">
        <v>2300</v>
      </c>
      <c r="G26" s="507">
        <v>2300</v>
      </c>
      <c r="H26" s="508" t="s">
        <v>3189</v>
      </c>
      <c r="I26" s="488" t="s">
        <v>3191</v>
      </c>
      <c r="J26" s="509">
        <v>44384</v>
      </c>
      <c r="K26" s="333"/>
    </row>
    <row r="27" spans="1:11" x14ac:dyDescent="0.25">
      <c r="A27" s="328">
        <v>22</v>
      </c>
      <c r="B27" s="488" t="s">
        <v>6353</v>
      </c>
      <c r="C27" s="488" t="s">
        <v>1171</v>
      </c>
      <c r="D27" s="488" t="s">
        <v>1172</v>
      </c>
      <c r="E27" s="488" t="s">
        <v>168</v>
      </c>
      <c r="F27" s="507">
        <v>2300</v>
      </c>
      <c r="G27" s="507">
        <v>2300</v>
      </c>
      <c r="H27" s="508" t="s">
        <v>3189</v>
      </c>
      <c r="I27" s="488" t="s">
        <v>3191</v>
      </c>
      <c r="J27" s="509">
        <v>44384</v>
      </c>
      <c r="K27" s="333"/>
    </row>
    <row r="28" spans="1:11" x14ac:dyDescent="0.25">
      <c r="A28" s="328">
        <v>23</v>
      </c>
      <c r="B28" s="488" t="s">
        <v>6353</v>
      </c>
      <c r="C28" s="488" t="s">
        <v>1173</v>
      </c>
      <c r="D28" s="488" t="s">
        <v>1174</v>
      </c>
      <c r="E28" s="488" t="s">
        <v>168</v>
      </c>
      <c r="F28" s="507">
        <v>2300</v>
      </c>
      <c r="G28" s="507">
        <v>2300</v>
      </c>
      <c r="H28" s="508" t="s">
        <v>3189</v>
      </c>
      <c r="I28" s="488" t="s">
        <v>3191</v>
      </c>
      <c r="J28" s="509">
        <v>44384</v>
      </c>
      <c r="K28" s="333"/>
    </row>
    <row r="29" spans="1:11" x14ac:dyDescent="0.25">
      <c r="A29" s="328">
        <v>24</v>
      </c>
      <c r="B29" s="488" t="s">
        <v>6353</v>
      </c>
      <c r="C29" s="488" t="s">
        <v>1175</v>
      </c>
      <c r="D29" s="488" t="s">
        <v>1176</v>
      </c>
      <c r="E29" s="488" t="s">
        <v>168</v>
      </c>
      <c r="F29" s="507">
        <v>2300</v>
      </c>
      <c r="G29" s="507">
        <v>2300</v>
      </c>
      <c r="H29" s="508" t="s">
        <v>3189</v>
      </c>
      <c r="I29" s="488" t="s">
        <v>3191</v>
      </c>
      <c r="J29" s="509">
        <v>44384</v>
      </c>
      <c r="K29" s="333"/>
    </row>
    <row r="30" spans="1:11" x14ac:dyDescent="0.25">
      <c r="A30" s="328">
        <v>25</v>
      </c>
      <c r="B30" s="488" t="s">
        <v>6353</v>
      </c>
      <c r="C30" s="488" t="s">
        <v>6355</v>
      </c>
      <c r="D30" s="488" t="s">
        <v>1178</v>
      </c>
      <c r="E30" s="488" t="s">
        <v>168</v>
      </c>
      <c r="F30" s="507">
        <v>2300</v>
      </c>
      <c r="G30" s="507">
        <v>2300</v>
      </c>
      <c r="H30" s="508" t="s">
        <v>3189</v>
      </c>
      <c r="I30" s="488" t="s">
        <v>3191</v>
      </c>
      <c r="J30" s="509">
        <v>44384</v>
      </c>
      <c r="K30" s="333"/>
    </row>
    <row r="31" spans="1:11" x14ac:dyDescent="0.25">
      <c r="A31" s="328">
        <v>26</v>
      </c>
      <c r="B31" s="488" t="s">
        <v>6353</v>
      </c>
      <c r="C31" s="488" t="s">
        <v>916</v>
      </c>
      <c r="D31" s="488" t="s">
        <v>917</v>
      </c>
      <c r="E31" s="488" t="s">
        <v>168</v>
      </c>
      <c r="F31" s="507">
        <v>2300</v>
      </c>
      <c r="G31" s="507">
        <v>2300</v>
      </c>
      <c r="H31" s="508" t="s">
        <v>3189</v>
      </c>
      <c r="I31" s="488" t="s">
        <v>3191</v>
      </c>
      <c r="J31" s="509">
        <v>44384</v>
      </c>
      <c r="K31" s="333"/>
    </row>
    <row r="32" spans="1:11" x14ac:dyDescent="0.25">
      <c r="A32" s="328">
        <v>27</v>
      </c>
      <c r="B32" s="488" t="s">
        <v>6353</v>
      </c>
      <c r="C32" s="488" t="s">
        <v>918</v>
      </c>
      <c r="D32" s="488" t="s">
        <v>919</v>
      </c>
      <c r="E32" s="488" t="s">
        <v>168</v>
      </c>
      <c r="F32" s="507">
        <v>2300</v>
      </c>
      <c r="G32" s="507">
        <v>2300</v>
      </c>
      <c r="H32" s="508" t="s">
        <v>3189</v>
      </c>
      <c r="I32" s="488" t="s">
        <v>3191</v>
      </c>
      <c r="J32" s="509">
        <v>44384</v>
      </c>
      <c r="K32" s="333"/>
    </row>
    <row r="33" spans="1:11" x14ac:dyDescent="0.25">
      <c r="A33" s="328">
        <v>28</v>
      </c>
      <c r="B33" s="488" t="s">
        <v>6353</v>
      </c>
      <c r="C33" s="488" t="s">
        <v>1190</v>
      </c>
      <c r="D33" s="488" t="s">
        <v>1191</v>
      </c>
      <c r="E33" s="488" t="s">
        <v>168</v>
      </c>
      <c r="F33" s="507">
        <v>2300</v>
      </c>
      <c r="G33" s="507">
        <v>2300</v>
      </c>
      <c r="H33" s="508" t="s">
        <v>3189</v>
      </c>
      <c r="I33" s="488" t="s">
        <v>3191</v>
      </c>
      <c r="J33" s="509">
        <v>44384</v>
      </c>
      <c r="K33" s="333"/>
    </row>
    <row r="34" spans="1:11" x14ac:dyDescent="0.25">
      <c r="A34" s="328">
        <v>29</v>
      </c>
      <c r="B34" s="488" t="s">
        <v>6353</v>
      </c>
      <c r="C34" s="488" t="s">
        <v>920</v>
      </c>
      <c r="D34" s="488" t="s">
        <v>921</v>
      </c>
      <c r="E34" s="488" t="s">
        <v>168</v>
      </c>
      <c r="F34" s="507">
        <v>2300</v>
      </c>
      <c r="G34" s="507">
        <v>2300</v>
      </c>
      <c r="H34" s="508" t="s">
        <v>3189</v>
      </c>
      <c r="I34" s="488" t="s">
        <v>3191</v>
      </c>
      <c r="J34" s="509">
        <v>44384</v>
      </c>
      <c r="K34" s="333"/>
    </row>
    <row r="35" spans="1:11" x14ac:dyDescent="0.25">
      <c r="A35" s="328">
        <v>30</v>
      </c>
      <c r="B35" s="488" t="s">
        <v>3169</v>
      </c>
      <c r="C35" s="488" t="s">
        <v>1196</v>
      </c>
      <c r="D35" s="488" t="s">
        <v>1197</v>
      </c>
      <c r="E35" s="488" t="s">
        <v>168</v>
      </c>
      <c r="F35" s="507">
        <v>1980</v>
      </c>
      <c r="G35" s="507">
        <v>1980</v>
      </c>
      <c r="H35" s="508" t="s">
        <v>3189</v>
      </c>
      <c r="I35" s="488" t="s">
        <v>3191</v>
      </c>
      <c r="J35" s="509">
        <v>44390</v>
      </c>
      <c r="K35" s="333"/>
    </row>
    <row r="36" spans="1:11" x14ac:dyDescent="0.25">
      <c r="A36" s="328">
        <v>31</v>
      </c>
      <c r="B36" s="488" t="s">
        <v>6353</v>
      </c>
      <c r="C36" s="488" t="s">
        <v>1198</v>
      </c>
      <c r="D36" s="488" t="s">
        <v>1199</v>
      </c>
      <c r="E36" s="488" t="s">
        <v>168</v>
      </c>
      <c r="F36" s="507">
        <v>2300</v>
      </c>
      <c r="G36" s="507">
        <v>2300</v>
      </c>
      <c r="H36" s="508" t="s">
        <v>3189</v>
      </c>
      <c r="I36" s="488" t="s">
        <v>3191</v>
      </c>
      <c r="J36" s="509">
        <v>44384</v>
      </c>
      <c r="K36" s="333"/>
    </row>
    <row r="37" spans="1:11" x14ac:dyDescent="0.25">
      <c r="A37" s="328">
        <v>32</v>
      </c>
      <c r="B37" s="488" t="s">
        <v>6353</v>
      </c>
      <c r="C37" s="488" t="s">
        <v>1202</v>
      </c>
      <c r="D37" s="488" t="s">
        <v>1201</v>
      </c>
      <c r="E37" s="488" t="s">
        <v>168</v>
      </c>
      <c r="F37" s="507">
        <v>2300</v>
      </c>
      <c r="G37" s="507">
        <v>2300</v>
      </c>
      <c r="H37" s="508" t="s">
        <v>3189</v>
      </c>
      <c r="I37" s="488" t="s">
        <v>3191</v>
      </c>
      <c r="J37" s="509">
        <v>44384</v>
      </c>
      <c r="K37" s="333"/>
    </row>
    <row r="38" spans="1:11" x14ac:dyDescent="0.25">
      <c r="A38" s="328">
        <v>33</v>
      </c>
      <c r="B38" s="488" t="s">
        <v>6353</v>
      </c>
      <c r="C38" s="488" t="s">
        <v>1205</v>
      </c>
      <c r="D38" s="488" t="s">
        <v>1206</v>
      </c>
      <c r="E38" s="488" t="s">
        <v>168</v>
      </c>
      <c r="F38" s="507">
        <v>2300</v>
      </c>
      <c r="G38" s="507">
        <v>2300</v>
      </c>
      <c r="H38" s="508" t="s">
        <v>3189</v>
      </c>
      <c r="I38" s="488" t="s">
        <v>3191</v>
      </c>
      <c r="J38" s="509">
        <v>44384</v>
      </c>
      <c r="K38" s="333"/>
    </row>
    <row r="39" spans="1:11" x14ac:dyDescent="0.25">
      <c r="A39" s="712">
        <v>34</v>
      </c>
      <c r="B39" s="706" t="s">
        <v>6353</v>
      </c>
      <c r="C39" s="706" t="s">
        <v>911</v>
      </c>
      <c r="D39" s="706" t="s">
        <v>912</v>
      </c>
      <c r="E39" s="706" t="s">
        <v>168</v>
      </c>
      <c r="F39" s="707">
        <v>2300</v>
      </c>
      <c r="G39" s="707">
        <v>2300</v>
      </c>
      <c r="H39" s="711" t="s">
        <v>3189</v>
      </c>
      <c r="I39" s="706" t="s">
        <v>3191</v>
      </c>
      <c r="J39" s="709">
        <v>44384</v>
      </c>
      <c r="K39" s="710">
        <v>44795</v>
      </c>
    </row>
    <row r="40" spans="1:11" ht="24" x14ac:dyDescent="0.25">
      <c r="A40" s="328">
        <v>35</v>
      </c>
      <c r="B40" s="488" t="s">
        <v>3166</v>
      </c>
      <c r="C40" s="488" t="s">
        <v>985</v>
      </c>
      <c r="D40" s="488" t="s">
        <v>986</v>
      </c>
      <c r="E40" s="488" t="s">
        <v>168</v>
      </c>
      <c r="F40" s="507">
        <v>3410</v>
      </c>
      <c r="G40" s="507">
        <v>3100</v>
      </c>
      <c r="H40" s="505" t="s">
        <v>3156</v>
      </c>
      <c r="I40" s="488" t="s">
        <v>3157</v>
      </c>
      <c r="J40" s="509">
        <v>44410</v>
      </c>
      <c r="K40" s="333"/>
    </row>
    <row r="41" spans="1:11" x14ac:dyDescent="0.25">
      <c r="A41" s="328">
        <v>36</v>
      </c>
      <c r="B41" s="488" t="s">
        <v>3170</v>
      </c>
      <c r="C41" s="488" t="s">
        <v>3174</v>
      </c>
      <c r="D41" s="488" t="s">
        <v>962</v>
      </c>
      <c r="E41" s="488" t="s">
        <v>168</v>
      </c>
      <c r="F41" s="507">
        <v>2300</v>
      </c>
      <c r="G41" s="507">
        <v>2300</v>
      </c>
      <c r="H41" s="508" t="s">
        <v>3189</v>
      </c>
      <c r="I41" s="488" t="s">
        <v>3191</v>
      </c>
      <c r="J41" s="509">
        <v>44411</v>
      </c>
      <c r="K41" s="333"/>
    </row>
    <row r="42" spans="1:11" x14ac:dyDescent="0.25">
      <c r="A42" s="328">
        <v>37</v>
      </c>
      <c r="B42" s="488" t="s">
        <v>3170</v>
      </c>
      <c r="C42" s="488" t="s">
        <v>3175</v>
      </c>
      <c r="D42" s="488" t="s">
        <v>970</v>
      </c>
      <c r="E42" s="488" t="s">
        <v>168</v>
      </c>
      <c r="F42" s="507">
        <v>2300</v>
      </c>
      <c r="G42" s="507">
        <v>2300</v>
      </c>
      <c r="H42" s="508" t="s">
        <v>3189</v>
      </c>
      <c r="I42" s="488" t="s">
        <v>3191</v>
      </c>
      <c r="J42" s="509">
        <v>44411</v>
      </c>
      <c r="K42" s="333"/>
    </row>
    <row r="43" spans="1:11" x14ac:dyDescent="0.25">
      <c r="A43" s="328">
        <v>38</v>
      </c>
      <c r="B43" s="488" t="s">
        <v>3170</v>
      </c>
      <c r="C43" s="488" t="s">
        <v>975</v>
      </c>
      <c r="D43" s="488" t="s">
        <v>3186</v>
      </c>
      <c r="E43" s="488" t="s">
        <v>168</v>
      </c>
      <c r="F43" s="507">
        <v>2300</v>
      </c>
      <c r="G43" s="507">
        <v>2300</v>
      </c>
      <c r="H43" s="508" t="s">
        <v>3189</v>
      </c>
      <c r="I43" s="488" t="s">
        <v>3191</v>
      </c>
      <c r="J43" s="509">
        <v>44411</v>
      </c>
      <c r="K43" s="333"/>
    </row>
    <row r="44" spans="1:11" x14ac:dyDescent="0.25">
      <c r="A44" s="328">
        <v>39</v>
      </c>
      <c r="B44" s="488" t="s">
        <v>3170</v>
      </c>
      <c r="C44" s="488" t="s">
        <v>3176</v>
      </c>
      <c r="D44" s="488" t="s">
        <v>981</v>
      </c>
      <c r="E44" s="488" t="s">
        <v>168</v>
      </c>
      <c r="F44" s="507">
        <v>2300</v>
      </c>
      <c r="G44" s="507">
        <v>2300</v>
      </c>
      <c r="H44" s="508" t="s">
        <v>3189</v>
      </c>
      <c r="I44" s="488" t="s">
        <v>3191</v>
      </c>
      <c r="J44" s="509">
        <v>44411</v>
      </c>
      <c r="K44" s="333"/>
    </row>
    <row r="45" spans="1:11" x14ac:dyDescent="0.25">
      <c r="A45" s="328">
        <v>40</v>
      </c>
      <c r="B45" s="488" t="s">
        <v>3170</v>
      </c>
      <c r="C45" s="488" t="s">
        <v>3177</v>
      </c>
      <c r="D45" s="488" t="s">
        <v>983</v>
      </c>
      <c r="E45" s="488" t="s">
        <v>168</v>
      </c>
      <c r="F45" s="507">
        <v>2300</v>
      </c>
      <c r="G45" s="507">
        <v>2300</v>
      </c>
      <c r="H45" s="508" t="s">
        <v>3189</v>
      </c>
      <c r="I45" s="488" t="s">
        <v>3191</v>
      </c>
      <c r="J45" s="509">
        <v>44411</v>
      </c>
      <c r="K45" s="333"/>
    </row>
    <row r="46" spans="1:11" x14ac:dyDescent="0.25">
      <c r="A46" s="328">
        <v>41</v>
      </c>
      <c r="B46" s="488" t="s">
        <v>3170</v>
      </c>
      <c r="C46" s="488" t="s">
        <v>3178</v>
      </c>
      <c r="D46" s="488" t="s">
        <v>995</v>
      </c>
      <c r="E46" s="488" t="s">
        <v>168</v>
      </c>
      <c r="F46" s="507">
        <v>2300</v>
      </c>
      <c r="G46" s="507">
        <v>2300</v>
      </c>
      <c r="H46" s="508" t="s">
        <v>3189</v>
      </c>
      <c r="I46" s="488" t="s">
        <v>3191</v>
      </c>
      <c r="J46" s="509">
        <v>44411</v>
      </c>
      <c r="K46" s="333"/>
    </row>
    <row r="47" spans="1:11" x14ac:dyDescent="0.25">
      <c r="A47" s="328">
        <v>42</v>
      </c>
      <c r="B47" s="488" t="s">
        <v>3170</v>
      </c>
      <c r="C47" s="488" t="s">
        <v>1167</v>
      </c>
      <c r="D47" s="488" t="s">
        <v>1168</v>
      </c>
      <c r="E47" s="488" t="s">
        <v>168</v>
      </c>
      <c r="F47" s="507">
        <v>2300</v>
      </c>
      <c r="G47" s="507">
        <v>2300</v>
      </c>
      <c r="H47" s="508" t="s">
        <v>3189</v>
      </c>
      <c r="I47" s="488" t="s">
        <v>3191</v>
      </c>
      <c r="J47" s="509">
        <v>44411</v>
      </c>
      <c r="K47" s="333"/>
    </row>
    <row r="48" spans="1:11" x14ac:dyDescent="0.25">
      <c r="A48" s="328">
        <v>43</v>
      </c>
      <c r="B48" s="488" t="s">
        <v>3170</v>
      </c>
      <c r="C48" s="488" t="s">
        <v>3179</v>
      </c>
      <c r="D48" s="488" t="s">
        <v>1183</v>
      </c>
      <c r="E48" s="488" t="s">
        <v>168</v>
      </c>
      <c r="F48" s="507">
        <v>2300</v>
      </c>
      <c r="G48" s="507">
        <v>2300</v>
      </c>
      <c r="H48" s="508" t="s">
        <v>3189</v>
      </c>
      <c r="I48" s="488" t="s">
        <v>3191</v>
      </c>
      <c r="J48" s="509">
        <v>44411</v>
      </c>
      <c r="K48" s="333"/>
    </row>
    <row r="49" spans="1:11" x14ac:dyDescent="0.25">
      <c r="A49" s="328">
        <v>44</v>
      </c>
      <c r="B49" s="488" t="s">
        <v>3170</v>
      </c>
      <c r="C49" s="488" t="s">
        <v>3180</v>
      </c>
      <c r="D49" s="488" t="s">
        <v>933</v>
      </c>
      <c r="E49" s="488" t="s">
        <v>168</v>
      </c>
      <c r="F49" s="507">
        <v>2300</v>
      </c>
      <c r="G49" s="507">
        <v>2300</v>
      </c>
      <c r="H49" s="508" t="s">
        <v>3189</v>
      </c>
      <c r="I49" s="488" t="s">
        <v>3191</v>
      </c>
      <c r="J49" s="509">
        <v>44411</v>
      </c>
      <c r="K49" s="333"/>
    </row>
    <row r="50" spans="1:11" x14ac:dyDescent="0.25">
      <c r="A50" s="328">
        <v>45</v>
      </c>
      <c r="B50" s="488" t="s">
        <v>3170</v>
      </c>
      <c r="C50" s="488" t="s">
        <v>3181</v>
      </c>
      <c r="D50" s="488" t="s">
        <v>3187</v>
      </c>
      <c r="E50" s="488" t="s">
        <v>168</v>
      </c>
      <c r="F50" s="507">
        <v>2300</v>
      </c>
      <c r="G50" s="507">
        <v>2300</v>
      </c>
      <c r="H50" s="508" t="s">
        <v>3189</v>
      </c>
      <c r="I50" s="488" t="s">
        <v>3191</v>
      </c>
      <c r="J50" s="509">
        <v>44411</v>
      </c>
      <c r="K50" s="333"/>
    </row>
    <row r="51" spans="1:11" x14ac:dyDescent="0.25">
      <c r="A51" s="328">
        <v>46</v>
      </c>
      <c r="B51" s="488" t="s">
        <v>3170</v>
      </c>
      <c r="C51" s="488" t="s">
        <v>1203</v>
      </c>
      <c r="D51" s="488" t="s">
        <v>1204</v>
      </c>
      <c r="E51" s="488" t="s">
        <v>168</v>
      </c>
      <c r="F51" s="507">
        <v>2300</v>
      </c>
      <c r="G51" s="507">
        <v>2300</v>
      </c>
      <c r="H51" s="508" t="s">
        <v>3189</v>
      </c>
      <c r="I51" s="488" t="s">
        <v>3191</v>
      </c>
      <c r="J51" s="509">
        <v>44411</v>
      </c>
      <c r="K51" s="333"/>
    </row>
    <row r="52" spans="1:11" x14ac:dyDescent="0.25">
      <c r="A52" s="712">
        <v>47</v>
      </c>
      <c r="B52" s="706" t="s">
        <v>3171</v>
      </c>
      <c r="C52" s="706" t="s">
        <v>966</v>
      </c>
      <c r="D52" s="706" t="s">
        <v>967</v>
      </c>
      <c r="E52" s="706" t="s">
        <v>168</v>
      </c>
      <c r="F52" s="707">
        <v>3400</v>
      </c>
      <c r="G52" s="707">
        <v>3400</v>
      </c>
      <c r="H52" s="708" t="s">
        <v>3156</v>
      </c>
      <c r="I52" s="706" t="s">
        <v>3191</v>
      </c>
      <c r="J52" s="709">
        <v>44420</v>
      </c>
      <c r="K52" s="710">
        <v>44685</v>
      </c>
    </row>
    <row r="53" spans="1:11" x14ac:dyDescent="0.25">
      <c r="A53" s="712">
        <v>48</v>
      </c>
      <c r="B53" s="706" t="s">
        <v>3172</v>
      </c>
      <c r="C53" s="706" t="s">
        <v>957</v>
      </c>
      <c r="D53" s="706" t="s">
        <v>958</v>
      </c>
      <c r="E53" s="706" t="s">
        <v>168</v>
      </c>
      <c r="F53" s="707">
        <v>3300</v>
      </c>
      <c r="G53" s="707">
        <v>3300</v>
      </c>
      <c r="H53" s="711" t="s">
        <v>3189</v>
      </c>
      <c r="I53" s="706" t="s">
        <v>3191</v>
      </c>
      <c r="J53" s="709">
        <v>44476</v>
      </c>
      <c r="K53" s="710">
        <v>44726</v>
      </c>
    </row>
    <row r="54" spans="1:11" x14ac:dyDescent="0.25">
      <c r="A54" s="328">
        <v>49</v>
      </c>
      <c r="B54" s="488" t="s">
        <v>3172</v>
      </c>
      <c r="C54" s="488" t="s">
        <v>3182</v>
      </c>
      <c r="D54" s="488" t="s">
        <v>960</v>
      </c>
      <c r="E54" s="488" t="s">
        <v>168</v>
      </c>
      <c r="F54" s="507">
        <v>3630</v>
      </c>
      <c r="G54" s="507">
        <v>3630</v>
      </c>
      <c r="H54" s="508" t="s">
        <v>3189</v>
      </c>
      <c r="I54" s="488" t="s">
        <v>3191</v>
      </c>
      <c r="J54" s="509">
        <v>44476</v>
      </c>
      <c r="K54" s="333"/>
    </row>
    <row r="55" spans="1:11" x14ac:dyDescent="0.25">
      <c r="A55" s="328">
        <v>50</v>
      </c>
      <c r="B55" s="488" t="s">
        <v>3173</v>
      </c>
      <c r="C55" s="488" t="s">
        <v>977</v>
      </c>
      <c r="D55" s="488" t="s">
        <v>978</v>
      </c>
      <c r="E55" s="488" t="s">
        <v>168</v>
      </c>
      <c r="F55" s="507">
        <v>3630</v>
      </c>
      <c r="G55" s="507">
        <v>3630</v>
      </c>
      <c r="H55" s="508" t="s">
        <v>3189</v>
      </c>
      <c r="I55" s="488" t="s">
        <v>3191</v>
      </c>
      <c r="J55" s="509">
        <v>44476</v>
      </c>
      <c r="K55" s="333"/>
    </row>
    <row r="56" spans="1:11" x14ac:dyDescent="0.25">
      <c r="A56" s="328">
        <v>51</v>
      </c>
      <c r="B56" s="488" t="s">
        <v>3172</v>
      </c>
      <c r="C56" s="488" t="s">
        <v>3183</v>
      </c>
      <c r="D56" s="488" t="s">
        <v>939</v>
      </c>
      <c r="E56" s="488" t="s">
        <v>168</v>
      </c>
      <c r="F56" s="507">
        <v>3630</v>
      </c>
      <c r="G56" s="507">
        <v>3630</v>
      </c>
      <c r="H56" s="508" t="s">
        <v>3189</v>
      </c>
      <c r="I56" s="488" t="s">
        <v>3191</v>
      </c>
      <c r="J56" s="509">
        <v>44476</v>
      </c>
      <c r="K56" s="333"/>
    </row>
    <row r="57" spans="1:11" x14ac:dyDescent="0.25">
      <c r="A57" s="328">
        <v>52</v>
      </c>
      <c r="B57" s="488" t="s">
        <v>3172</v>
      </c>
      <c r="C57" s="488" t="s">
        <v>996</v>
      </c>
      <c r="D57" s="487" t="s">
        <v>997</v>
      </c>
      <c r="E57" s="488" t="s">
        <v>168</v>
      </c>
      <c r="F57" s="507">
        <v>3630</v>
      </c>
      <c r="G57" s="507">
        <v>3630</v>
      </c>
      <c r="H57" s="505" t="s">
        <v>3156</v>
      </c>
      <c r="I57" s="488" t="s">
        <v>3191</v>
      </c>
      <c r="J57" s="509">
        <v>44494</v>
      </c>
      <c r="K57" s="333"/>
    </row>
    <row r="58" spans="1:11" x14ac:dyDescent="0.25">
      <c r="A58" s="328">
        <v>53</v>
      </c>
      <c r="B58" s="488" t="s">
        <v>6356</v>
      </c>
      <c r="C58" s="488" t="s">
        <v>1179</v>
      </c>
      <c r="D58" s="487" t="s">
        <v>1180</v>
      </c>
      <c r="E58" s="488" t="s">
        <v>168</v>
      </c>
      <c r="F58" s="507">
        <v>3546.4</v>
      </c>
      <c r="G58" s="507">
        <v>3546.4</v>
      </c>
      <c r="H58" s="505" t="s">
        <v>3156</v>
      </c>
      <c r="I58" s="488" t="s">
        <v>3157</v>
      </c>
      <c r="J58" s="509">
        <v>44494</v>
      </c>
      <c r="K58" s="333"/>
    </row>
    <row r="59" spans="1:11" x14ac:dyDescent="0.25">
      <c r="A59" s="328">
        <v>54</v>
      </c>
      <c r="B59" s="488" t="s">
        <v>3172</v>
      </c>
      <c r="C59" s="488" t="s">
        <v>3184</v>
      </c>
      <c r="D59" s="488" t="s">
        <v>3188</v>
      </c>
      <c r="E59" s="488" t="s">
        <v>168</v>
      </c>
      <c r="F59" s="507">
        <v>3630</v>
      </c>
      <c r="G59" s="507">
        <v>3630</v>
      </c>
      <c r="H59" s="508" t="s">
        <v>3189</v>
      </c>
      <c r="I59" s="488" t="s">
        <v>3191</v>
      </c>
      <c r="J59" s="509">
        <v>44476</v>
      </c>
      <c r="K59" s="333"/>
    </row>
    <row r="60" spans="1:11" x14ac:dyDescent="0.25">
      <c r="A60" s="328">
        <v>55</v>
      </c>
      <c r="B60" s="488" t="s">
        <v>3173</v>
      </c>
      <c r="C60" s="488" t="s">
        <v>1184</v>
      </c>
      <c r="D60" s="488" t="s">
        <v>1185</v>
      </c>
      <c r="E60" s="488" t="s">
        <v>168</v>
      </c>
      <c r="F60" s="507">
        <v>3630</v>
      </c>
      <c r="G60" s="507">
        <v>3630</v>
      </c>
      <c r="H60" s="508" t="s">
        <v>3189</v>
      </c>
      <c r="I60" s="488" t="s">
        <v>3191</v>
      </c>
      <c r="J60" s="509">
        <v>44476</v>
      </c>
      <c r="K60" s="333"/>
    </row>
    <row r="61" spans="1:11" x14ac:dyDescent="0.25">
      <c r="A61" s="328">
        <v>56</v>
      </c>
      <c r="B61" s="488" t="s">
        <v>3173</v>
      </c>
      <c r="C61" s="488" t="s">
        <v>1186</v>
      </c>
      <c r="D61" s="488" t="s">
        <v>1187</v>
      </c>
      <c r="E61" s="488" t="s">
        <v>168</v>
      </c>
      <c r="F61" s="507">
        <v>3630</v>
      </c>
      <c r="G61" s="507">
        <v>3630</v>
      </c>
      <c r="H61" s="508" t="s">
        <v>3189</v>
      </c>
      <c r="I61" s="488" t="s">
        <v>3191</v>
      </c>
      <c r="J61" s="509">
        <v>44476</v>
      </c>
      <c r="K61" s="333"/>
    </row>
    <row r="62" spans="1:11" x14ac:dyDescent="0.25">
      <c r="A62" s="328">
        <v>57</v>
      </c>
      <c r="B62" s="488" t="s">
        <v>3173</v>
      </c>
      <c r="C62" s="488" t="s">
        <v>1188</v>
      </c>
      <c r="D62" s="488" t="s">
        <v>1189</v>
      </c>
      <c r="E62" s="488" t="s">
        <v>168</v>
      </c>
      <c r="F62" s="507">
        <v>3630</v>
      </c>
      <c r="G62" s="507">
        <v>3630</v>
      </c>
      <c r="H62" s="508" t="s">
        <v>3189</v>
      </c>
      <c r="I62" s="488" t="s">
        <v>3191</v>
      </c>
      <c r="J62" s="509">
        <v>44476</v>
      </c>
      <c r="K62" s="333"/>
    </row>
    <row r="63" spans="1:11" x14ac:dyDescent="0.25">
      <c r="A63" s="328">
        <v>58</v>
      </c>
      <c r="B63" s="488" t="s">
        <v>3173</v>
      </c>
      <c r="C63" s="488" t="s">
        <v>1192</v>
      </c>
      <c r="D63" s="488" t="s">
        <v>1193</v>
      </c>
      <c r="E63" s="488" t="s">
        <v>168</v>
      </c>
      <c r="F63" s="507">
        <v>3630</v>
      </c>
      <c r="G63" s="507">
        <v>3630</v>
      </c>
      <c r="H63" s="508" t="s">
        <v>3189</v>
      </c>
      <c r="I63" s="488" t="s">
        <v>3191</v>
      </c>
      <c r="J63" s="509">
        <v>44476</v>
      </c>
      <c r="K63" s="333"/>
    </row>
    <row r="64" spans="1:11" x14ac:dyDescent="0.25">
      <c r="A64" s="328">
        <v>59</v>
      </c>
      <c r="B64" s="330" t="s">
        <v>3194</v>
      </c>
      <c r="C64" s="330" t="s">
        <v>6351</v>
      </c>
      <c r="D64" s="330" t="s">
        <v>2062</v>
      </c>
      <c r="E64" s="330" t="s">
        <v>168</v>
      </c>
      <c r="F64" s="507">
        <v>4617.8</v>
      </c>
      <c r="G64" s="507">
        <v>4617.8</v>
      </c>
      <c r="H64" s="508">
        <v>40</v>
      </c>
      <c r="I64" s="488" t="s">
        <v>3157</v>
      </c>
      <c r="J64" s="333">
        <v>44615</v>
      </c>
      <c r="K64" s="333"/>
    </row>
    <row r="65" spans="1:11" x14ac:dyDescent="0.25">
      <c r="A65" s="328">
        <v>60</v>
      </c>
      <c r="B65" s="330" t="s">
        <v>3172</v>
      </c>
      <c r="C65" s="330" t="s">
        <v>3192</v>
      </c>
      <c r="D65" s="330" t="s">
        <v>3193</v>
      </c>
      <c r="E65" s="330" t="s">
        <v>168</v>
      </c>
      <c r="F65" s="507">
        <v>3630</v>
      </c>
      <c r="G65" s="507">
        <v>3630</v>
      </c>
      <c r="H65" s="508" t="s">
        <v>3189</v>
      </c>
      <c r="I65" s="488" t="s">
        <v>3191</v>
      </c>
      <c r="J65" s="333">
        <v>44643</v>
      </c>
      <c r="K65" s="333"/>
    </row>
    <row r="66" spans="1:11" x14ac:dyDescent="0.25">
      <c r="A66" s="328">
        <v>61</v>
      </c>
      <c r="B66" s="330" t="s">
        <v>3172</v>
      </c>
      <c r="C66" s="330" t="s">
        <v>3195</v>
      </c>
      <c r="D66" s="330" t="s">
        <v>3196</v>
      </c>
      <c r="E66" s="330" t="s">
        <v>168</v>
      </c>
      <c r="F66" s="507">
        <v>3630</v>
      </c>
      <c r="G66" s="507">
        <v>3630</v>
      </c>
      <c r="H66" s="508" t="s">
        <v>3189</v>
      </c>
      <c r="I66" s="488" t="s">
        <v>3191</v>
      </c>
      <c r="J66" s="333">
        <v>44643</v>
      </c>
      <c r="K66" s="333"/>
    </row>
    <row r="67" spans="1:11" x14ac:dyDescent="0.25">
      <c r="A67" s="328">
        <v>62</v>
      </c>
      <c r="B67" s="330" t="s">
        <v>6353</v>
      </c>
      <c r="C67" s="330" t="s">
        <v>3197</v>
      </c>
      <c r="D67" s="330" t="s">
        <v>3198</v>
      </c>
      <c r="E67" s="330" t="s">
        <v>168</v>
      </c>
      <c r="F67" s="507">
        <v>3300</v>
      </c>
      <c r="G67" s="507">
        <v>3300</v>
      </c>
      <c r="H67" s="508" t="s">
        <v>3189</v>
      </c>
      <c r="I67" s="488" t="s">
        <v>3191</v>
      </c>
      <c r="J67" s="333">
        <v>44643</v>
      </c>
      <c r="K67" s="333"/>
    </row>
    <row r="68" spans="1:11" x14ac:dyDescent="0.25">
      <c r="A68" s="328">
        <v>63</v>
      </c>
      <c r="B68" s="330" t="s">
        <v>3170</v>
      </c>
      <c r="C68" s="330" t="s">
        <v>6328</v>
      </c>
      <c r="D68" s="330" t="s">
        <v>6354</v>
      </c>
      <c r="E68" s="330" t="s">
        <v>168</v>
      </c>
      <c r="F68" s="331">
        <v>2300</v>
      </c>
      <c r="G68" s="331">
        <v>2300</v>
      </c>
      <c r="H68" s="332" t="s">
        <v>3189</v>
      </c>
      <c r="I68" s="330" t="s">
        <v>3191</v>
      </c>
      <c r="J68" s="333">
        <v>44748</v>
      </c>
      <c r="K68" s="333"/>
    </row>
    <row r="69" spans="1:11" x14ac:dyDescent="0.25">
      <c r="A69" s="328">
        <v>64</v>
      </c>
      <c r="B69" s="330" t="s">
        <v>3170</v>
      </c>
      <c r="C69" s="330" t="s">
        <v>6357</v>
      </c>
      <c r="D69" s="330" t="s">
        <v>6358</v>
      </c>
      <c r="E69" s="330" t="s">
        <v>168</v>
      </c>
      <c r="F69" s="331">
        <v>2300</v>
      </c>
      <c r="G69" s="331">
        <v>2300</v>
      </c>
      <c r="H69" s="332" t="s">
        <v>3189</v>
      </c>
      <c r="I69" s="330" t="s">
        <v>3191</v>
      </c>
      <c r="J69" s="333">
        <v>44748</v>
      </c>
      <c r="K69" s="333"/>
    </row>
    <row r="70" spans="1:11" x14ac:dyDescent="0.25">
      <c r="A70" s="328">
        <v>65</v>
      </c>
      <c r="B70" s="330" t="s">
        <v>3170</v>
      </c>
      <c r="C70" s="330" t="s">
        <v>6359</v>
      </c>
      <c r="D70" s="330" t="s">
        <v>6311</v>
      </c>
      <c r="E70" s="330" t="s">
        <v>168</v>
      </c>
      <c r="F70" s="331">
        <v>2300</v>
      </c>
      <c r="G70" s="331">
        <v>2300</v>
      </c>
      <c r="H70" s="332" t="s">
        <v>3189</v>
      </c>
      <c r="I70" s="330" t="s">
        <v>3191</v>
      </c>
      <c r="J70" s="333">
        <v>44748</v>
      </c>
      <c r="K70" s="333"/>
    </row>
    <row r="71" spans="1:11" x14ac:dyDescent="0.25">
      <c r="A71" s="328">
        <v>66</v>
      </c>
      <c r="B71" s="330" t="s">
        <v>3170</v>
      </c>
      <c r="C71" s="330" t="s">
        <v>6360</v>
      </c>
      <c r="D71" s="330" t="s">
        <v>6318</v>
      </c>
      <c r="E71" s="330" t="s">
        <v>168</v>
      </c>
      <c r="F71" s="331">
        <v>2300</v>
      </c>
      <c r="G71" s="331">
        <v>2300</v>
      </c>
      <c r="H71" s="332" t="s">
        <v>3189</v>
      </c>
      <c r="I71" s="330" t="s">
        <v>3191</v>
      </c>
      <c r="J71" s="333">
        <v>44748</v>
      </c>
      <c r="K71" s="333"/>
    </row>
    <row r="72" spans="1:11" x14ac:dyDescent="0.25">
      <c r="A72" s="328">
        <v>67</v>
      </c>
      <c r="B72" s="330" t="s">
        <v>3171</v>
      </c>
      <c r="C72" s="330" t="s">
        <v>5864</v>
      </c>
      <c r="D72" s="330" t="s">
        <v>5865</v>
      </c>
      <c r="E72" s="330" t="s">
        <v>168</v>
      </c>
      <c r="F72" s="331">
        <v>3400</v>
      </c>
      <c r="G72" s="331">
        <v>3400</v>
      </c>
      <c r="H72" s="332" t="s">
        <v>3156</v>
      </c>
      <c r="I72" s="330" t="s">
        <v>3157</v>
      </c>
      <c r="J72" s="333">
        <v>44739</v>
      </c>
      <c r="K72" s="333"/>
    </row>
    <row r="73" spans="1:11" x14ac:dyDescent="0.25">
      <c r="A73" s="328">
        <v>68</v>
      </c>
      <c r="B73" s="330" t="s">
        <v>3172</v>
      </c>
      <c r="C73" s="330" t="s">
        <v>7441</v>
      </c>
      <c r="D73" s="330" t="s">
        <v>7442</v>
      </c>
      <c r="E73" s="330" t="s">
        <v>168</v>
      </c>
      <c r="F73" s="507">
        <v>3630</v>
      </c>
      <c r="G73" s="507">
        <v>3630</v>
      </c>
      <c r="H73" s="508" t="s">
        <v>3189</v>
      </c>
      <c r="I73" s="488" t="s">
        <v>3191</v>
      </c>
      <c r="J73" s="333">
        <v>44825</v>
      </c>
      <c r="K73" s="333"/>
    </row>
    <row r="74" spans="1:11" x14ac:dyDescent="0.25">
      <c r="A74" s="328">
        <v>69</v>
      </c>
      <c r="B74" s="330"/>
      <c r="C74" s="330"/>
      <c r="D74" s="330"/>
      <c r="E74" s="330"/>
      <c r="F74" s="331"/>
      <c r="G74" s="331"/>
      <c r="H74" s="332"/>
      <c r="I74" s="330"/>
      <c r="J74" s="333"/>
      <c r="K74" s="333"/>
    </row>
    <row r="75" spans="1:11" x14ac:dyDescent="0.25">
      <c r="A75" s="328">
        <v>70</v>
      </c>
      <c r="B75" s="330"/>
      <c r="C75" s="330"/>
      <c r="D75" s="330"/>
      <c r="E75" s="330"/>
      <c r="F75" s="331"/>
      <c r="G75" s="331"/>
      <c r="H75" s="332"/>
      <c r="I75" s="330"/>
      <c r="J75" s="333"/>
      <c r="K75" s="333"/>
    </row>
    <row r="76" spans="1:11" x14ac:dyDescent="0.25">
      <c r="A76" s="328">
        <v>71</v>
      </c>
      <c r="B76" s="330"/>
      <c r="C76" s="330"/>
      <c r="D76" s="330"/>
      <c r="E76" s="330"/>
      <c r="F76" s="331"/>
      <c r="G76" s="331"/>
      <c r="H76" s="332"/>
      <c r="I76" s="330"/>
      <c r="J76" s="333"/>
      <c r="K76" s="333"/>
    </row>
    <row r="77" spans="1:11" x14ac:dyDescent="0.25">
      <c r="A77" s="328">
        <v>72</v>
      </c>
      <c r="B77" s="330"/>
      <c r="C77" s="330"/>
      <c r="D77" s="330"/>
      <c r="E77" s="330"/>
      <c r="F77" s="331"/>
      <c r="G77" s="331"/>
      <c r="H77" s="332"/>
      <c r="I77" s="330"/>
      <c r="J77" s="333"/>
      <c r="K77" s="333"/>
    </row>
    <row r="78" spans="1:11" x14ac:dyDescent="0.25">
      <c r="A78" s="328">
        <v>73</v>
      </c>
      <c r="B78" s="330"/>
      <c r="C78" s="330"/>
      <c r="D78" s="330"/>
      <c r="E78" s="330"/>
      <c r="F78" s="331"/>
      <c r="G78" s="331"/>
      <c r="H78" s="332"/>
      <c r="I78" s="330"/>
      <c r="J78" s="333"/>
      <c r="K78" s="333"/>
    </row>
    <row r="79" spans="1:11" x14ac:dyDescent="0.25">
      <c r="A79" s="328">
        <v>74</v>
      </c>
      <c r="B79" s="330"/>
      <c r="C79" s="330"/>
      <c r="D79" s="330"/>
      <c r="E79" s="330"/>
      <c r="F79" s="331"/>
      <c r="G79" s="331"/>
      <c r="H79" s="332"/>
      <c r="I79" s="330"/>
      <c r="J79" s="333"/>
      <c r="K79" s="333"/>
    </row>
    <row r="80" spans="1:11" x14ac:dyDescent="0.25">
      <c r="A80" s="328">
        <v>75</v>
      </c>
      <c r="B80" s="330"/>
      <c r="C80" s="330"/>
      <c r="D80" s="330"/>
      <c r="E80" s="330"/>
      <c r="F80" s="331"/>
      <c r="G80" s="331"/>
      <c r="H80" s="332"/>
      <c r="I80" s="330"/>
      <c r="J80" s="333"/>
      <c r="K80" s="333"/>
    </row>
    <row r="81" spans="1:11" x14ac:dyDescent="0.25">
      <c r="A81" s="328">
        <v>76</v>
      </c>
      <c r="B81" s="330"/>
      <c r="C81" s="330"/>
      <c r="D81" s="330"/>
      <c r="E81" s="330"/>
      <c r="F81" s="331"/>
      <c r="G81" s="331"/>
      <c r="H81" s="332"/>
      <c r="I81" s="330"/>
      <c r="J81" s="333"/>
      <c r="K81" s="333"/>
    </row>
    <row r="82" spans="1:11" x14ac:dyDescent="0.25">
      <c r="A82" s="328">
        <v>77</v>
      </c>
      <c r="B82" s="330"/>
      <c r="C82" s="330"/>
      <c r="D82" s="330"/>
      <c r="E82" s="330"/>
      <c r="F82" s="331"/>
      <c r="G82" s="331"/>
      <c r="H82" s="332"/>
      <c r="I82" s="330"/>
      <c r="J82" s="333"/>
      <c r="K82" s="333"/>
    </row>
    <row r="83" spans="1:11" x14ac:dyDescent="0.25">
      <c r="A83" s="328">
        <v>78</v>
      </c>
      <c r="B83" s="330"/>
      <c r="C83" s="330"/>
      <c r="D83" s="330"/>
      <c r="E83" s="330"/>
      <c r="F83" s="331"/>
      <c r="G83" s="331"/>
      <c r="H83" s="332"/>
      <c r="I83" s="330"/>
      <c r="J83" s="333"/>
      <c r="K83" s="333"/>
    </row>
    <row r="84" spans="1:11" x14ac:dyDescent="0.25">
      <c r="A84" s="328">
        <v>79</v>
      </c>
      <c r="B84" s="330"/>
      <c r="C84" s="330"/>
      <c r="D84" s="330"/>
      <c r="E84" s="330"/>
      <c r="F84" s="331"/>
      <c r="G84" s="331"/>
      <c r="H84" s="332"/>
      <c r="I84" s="330"/>
      <c r="J84" s="333"/>
      <c r="K84" s="333"/>
    </row>
    <row r="85" spans="1:11" x14ac:dyDescent="0.25">
      <c r="A85" s="328">
        <v>80</v>
      </c>
      <c r="B85" s="330"/>
      <c r="C85" s="330"/>
      <c r="D85" s="330"/>
      <c r="E85" s="330"/>
      <c r="F85" s="331"/>
      <c r="G85" s="331"/>
      <c r="H85" s="332"/>
      <c r="I85" s="330"/>
      <c r="J85" s="333"/>
      <c r="K85" s="333"/>
    </row>
    <row r="86" spans="1:11" x14ac:dyDescent="0.25">
      <c r="A86" s="328">
        <v>81</v>
      </c>
      <c r="B86" s="330"/>
      <c r="C86" s="330"/>
      <c r="D86" s="330"/>
      <c r="E86" s="330"/>
      <c r="F86" s="331"/>
      <c r="G86" s="331"/>
      <c r="H86" s="332"/>
      <c r="I86" s="330"/>
      <c r="J86" s="333"/>
      <c r="K86" s="333"/>
    </row>
    <row r="87" spans="1:11" x14ac:dyDescent="0.25">
      <c r="A87" s="328">
        <v>82</v>
      </c>
      <c r="B87" s="330"/>
      <c r="C87" s="330"/>
      <c r="D87" s="330"/>
      <c r="E87" s="330"/>
      <c r="F87" s="331"/>
      <c r="G87" s="331"/>
      <c r="H87" s="332"/>
      <c r="I87" s="330"/>
      <c r="J87" s="333"/>
      <c r="K87" s="333"/>
    </row>
    <row r="88" spans="1:11" x14ac:dyDescent="0.25">
      <c r="A88" s="328">
        <v>83</v>
      </c>
      <c r="B88" s="330"/>
      <c r="C88" s="330"/>
      <c r="D88" s="330"/>
      <c r="E88" s="330"/>
      <c r="F88" s="331"/>
      <c r="G88" s="331"/>
      <c r="H88" s="332"/>
      <c r="I88" s="330"/>
      <c r="J88" s="333"/>
      <c r="K88" s="333"/>
    </row>
    <row r="89" spans="1:11" x14ac:dyDescent="0.25">
      <c r="A89" s="328">
        <v>84</v>
      </c>
      <c r="B89" s="330"/>
      <c r="C89" s="330"/>
      <c r="D89" s="330"/>
      <c r="E89" s="330"/>
      <c r="F89" s="331"/>
      <c r="G89" s="331"/>
      <c r="H89" s="332"/>
      <c r="I89" s="330"/>
      <c r="J89" s="333"/>
      <c r="K89" s="333"/>
    </row>
    <row r="90" spans="1:11" x14ac:dyDescent="0.25">
      <c r="A90" s="328">
        <v>85</v>
      </c>
      <c r="B90" s="330"/>
      <c r="C90" s="330"/>
      <c r="D90" s="330"/>
      <c r="E90" s="330"/>
      <c r="F90" s="331"/>
      <c r="G90" s="331"/>
      <c r="H90" s="332"/>
      <c r="I90" s="330"/>
      <c r="J90" s="333"/>
      <c r="K90" s="333"/>
    </row>
    <row r="91" spans="1:11" x14ac:dyDescent="0.25">
      <c r="A91" s="328">
        <v>86</v>
      </c>
      <c r="B91" s="330"/>
      <c r="C91" s="330"/>
      <c r="D91" s="330"/>
      <c r="E91" s="330"/>
      <c r="F91" s="331"/>
      <c r="G91" s="331"/>
      <c r="H91" s="332"/>
      <c r="I91" s="330"/>
      <c r="J91" s="333"/>
      <c r="K91" s="333"/>
    </row>
    <row r="92" spans="1:11" x14ac:dyDescent="0.25">
      <c r="A92" s="328">
        <v>87</v>
      </c>
      <c r="B92" s="330"/>
      <c r="C92" s="330"/>
      <c r="D92" s="330"/>
      <c r="E92" s="330"/>
      <c r="F92" s="331"/>
      <c r="G92" s="331"/>
      <c r="H92" s="332"/>
      <c r="I92" s="330"/>
      <c r="J92" s="333"/>
      <c r="K92" s="333"/>
    </row>
    <row r="93" spans="1:11" x14ac:dyDescent="0.25">
      <c r="A93" s="328">
        <v>88</v>
      </c>
      <c r="B93" s="330"/>
      <c r="C93" s="330"/>
      <c r="D93" s="330"/>
      <c r="E93" s="330"/>
      <c r="F93" s="331"/>
      <c r="G93" s="331"/>
      <c r="H93" s="332"/>
      <c r="I93" s="330"/>
      <c r="J93" s="333"/>
      <c r="K93" s="333"/>
    </row>
    <row r="94" spans="1:11" x14ac:dyDescent="0.25">
      <c r="A94" s="328">
        <v>89</v>
      </c>
      <c r="B94" s="330"/>
      <c r="C94" s="330"/>
      <c r="D94" s="330"/>
      <c r="E94" s="330"/>
      <c r="F94" s="331"/>
      <c r="G94" s="331"/>
      <c r="H94" s="332"/>
      <c r="I94" s="330"/>
      <c r="J94" s="333"/>
      <c r="K94" s="333"/>
    </row>
    <row r="95" spans="1:11" x14ac:dyDescent="0.25">
      <c r="A95" s="328">
        <v>90</v>
      </c>
      <c r="B95" s="330"/>
      <c r="C95" s="330"/>
      <c r="D95" s="330"/>
      <c r="E95" s="330"/>
      <c r="F95" s="331"/>
      <c r="G95" s="331"/>
      <c r="H95" s="332"/>
      <c r="I95" s="330"/>
      <c r="J95" s="333"/>
      <c r="K95" s="333"/>
    </row>
    <row r="96" spans="1:11" x14ac:dyDescent="0.25">
      <c r="A96" s="328">
        <v>91</v>
      </c>
      <c r="B96" s="330"/>
      <c r="C96" s="330"/>
      <c r="D96" s="330"/>
      <c r="E96" s="330"/>
      <c r="F96" s="331"/>
      <c r="G96" s="331"/>
      <c r="H96" s="332"/>
      <c r="I96" s="330"/>
      <c r="J96" s="333"/>
      <c r="K96" s="333"/>
    </row>
    <row r="97" spans="1:11" x14ac:dyDescent="0.25">
      <c r="A97" s="328">
        <v>92</v>
      </c>
      <c r="B97" s="330"/>
      <c r="C97" s="330"/>
      <c r="D97" s="330"/>
      <c r="E97" s="330"/>
      <c r="F97" s="331"/>
      <c r="G97" s="331"/>
      <c r="H97" s="332"/>
      <c r="I97" s="330"/>
      <c r="J97" s="333"/>
      <c r="K97" s="333"/>
    </row>
    <row r="98" spans="1:11" x14ac:dyDescent="0.25">
      <c r="A98" s="328">
        <v>93</v>
      </c>
      <c r="B98" s="330"/>
      <c r="C98" s="330"/>
      <c r="D98" s="330"/>
      <c r="E98" s="330"/>
      <c r="F98" s="331"/>
      <c r="G98" s="331"/>
      <c r="H98" s="332"/>
      <c r="I98" s="330"/>
      <c r="J98" s="333"/>
      <c r="K98" s="333"/>
    </row>
    <row r="99" spans="1:11" x14ac:dyDescent="0.25">
      <c r="A99" s="328">
        <v>94</v>
      </c>
      <c r="B99" s="330"/>
      <c r="C99" s="330"/>
      <c r="D99" s="330"/>
      <c r="E99" s="330"/>
      <c r="F99" s="331"/>
      <c r="G99" s="331"/>
      <c r="H99" s="332"/>
      <c r="I99" s="330"/>
      <c r="J99" s="333"/>
      <c r="K99" s="333"/>
    </row>
    <row r="100" spans="1:11" x14ac:dyDescent="0.25">
      <c r="A100" s="328">
        <v>95</v>
      </c>
      <c r="B100" s="330"/>
      <c r="C100" s="330"/>
      <c r="D100" s="330"/>
      <c r="E100" s="330"/>
      <c r="F100" s="331"/>
      <c r="G100" s="331"/>
      <c r="H100" s="332"/>
      <c r="I100" s="330"/>
      <c r="J100" s="333"/>
      <c r="K100" s="333"/>
    </row>
    <row r="101" spans="1:11" x14ac:dyDescent="0.25">
      <c r="A101" s="328">
        <v>96</v>
      </c>
      <c r="B101" s="330"/>
      <c r="C101" s="330"/>
      <c r="D101" s="330"/>
      <c r="E101" s="330"/>
      <c r="F101" s="331"/>
      <c r="G101" s="331"/>
      <c r="H101" s="332"/>
      <c r="I101" s="330"/>
      <c r="J101" s="333"/>
      <c r="K101" s="333"/>
    </row>
    <row r="102" spans="1:11" x14ac:dyDescent="0.25">
      <c r="A102" s="328">
        <v>97</v>
      </c>
      <c r="B102" s="330"/>
      <c r="C102" s="330"/>
      <c r="D102" s="330"/>
      <c r="E102" s="330"/>
      <c r="F102" s="331"/>
      <c r="G102" s="331"/>
      <c r="H102" s="332"/>
      <c r="I102" s="330"/>
      <c r="J102" s="333"/>
      <c r="K102" s="333"/>
    </row>
    <row r="103" spans="1:11" x14ac:dyDescent="0.25">
      <c r="A103" s="328">
        <v>98</v>
      </c>
      <c r="B103" s="330"/>
      <c r="C103" s="330"/>
      <c r="D103" s="330"/>
      <c r="E103" s="330"/>
      <c r="F103" s="331"/>
      <c r="G103" s="331"/>
      <c r="H103" s="332"/>
      <c r="I103" s="330"/>
      <c r="J103" s="333"/>
      <c r="K103" s="333"/>
    </row>
    <row r="104" spans="1:11" x14ac:dyDescent="0.25">
      <c r="A104" s="328">
        <v>99</v>
      </c>
      <c r="B104" s="330"/>
      <c r="C104" s="330"/>
      <c r="D104" s="330"/>
      <c r="E104" s="330"/>
      <c r="F104" s="331"/>
      <c r="G104" s="331"/>
      <c r="H104" s="332"/>
      <c r="I104" s="330"/>
      <c r="J104" s="333"/>
      <c r="K104" s="333"/>
    </row>
    <row r="105" spans="1:11" x14ac:dyDescent="0.25">
      <c r="A105" s="328">
        <v>100</v>
      </c>
      <c r="B105" s="330"/>
      <c r="C105" s="330"/>
      <c r="D105" s="330"/>
      <c r="E105" s="330"/>
      <c r="F105" s="331"/>
      <c r="G105" s="331"/>
      <c r="H105" s="332"/>
      <c r="I105" s="330"/>
      <c r="J105" s="333"/>
      <c r="K105" s="333"/>
    </row>
    <row r="106" spans="1:11" x14ac:dyDescent="0.25">
      <c r="A106" s="328">
        <v>101</v>
      </c>
      <c r="B106" s="330"/>
      <c r="C106" s="330"/>
      <c r="D106" s="330"/>
      <c r="E106" s="330"/>
      <c r="F106" s="331"/>
      <c r="G106" s="331"/>
      <c r="H106" s="332"/>
      <c r="I106" s="330"/>
      <c r="J106" s="333"/>
      <c r="K106" s="333"/>
    </row>
    <row r="107" spans="1:11" x14ac:dyDescent="0.25">
      <c r="A107" s="328">
        <v>102</v>
      </c>
      <c r="B107" s="330"/>
      <c r="C107" s="330"/>
      <c r="D107" s="330"/>
      <c r="E107" s="330"/>
      <c r="F107" s="331"/>
      <c r="G107" s="331"/>
      <c r="H107" s="332"/>
      <c r="I107" s="330"/>
      <c r="J107" s="333"/>
      <c r="K107" s="333"/>
    </row>
    <row r="108" spans="1:11" x14ac:dyDescent="0.25">
      <c r="A108" s="328">
        <v>103</v>
      </c>
      <c r="B108" s="330"/>
      <c r="C108" s="330"/>
      <c r="D108" s="330"/>
      <c r="E108" s="330"/>
      <c r="F108" s="331"/>
      <c r="G108" s="331"/>
      <c r="H108" s="332"/>
      <c r="I108" s="330"/>
      <c r="J108" s="333"/>
      <c r="K108" s="333"/>
    </row>
    <row r="109" spans="1:11" x14ac:dyDescent="0.25">
      <c r="A109" s="328">
        <v>104</v>
      </c>
      <c r="B109" s="330"/>
      <c r="C109" s="330"/>
      <c r="D109" s="330"/>
      <c r="E109" s="330"/>
      <c r="F109" s="331"/>
      <c r="G109" s="331"/>
      <c r="H109" s="332"/>
      <c r="I109" s="330"/>
      <c r="J109" s="333"/>
      <c r="K109" s="333"/>
    </row>
    <row r="110" spans="1:11" x14ac:dyDescent="0.25">
      <c r="A110" s="328">
        <v>105</v>
      </c>
      <c r="B110" s="330"/>
      <c r="C110" s="330"/>
      <c r="D110" s="330"/>
      <c r="E110" s="330"/>
      <c r="F110" s="331"/>
      <c r="G110" s="331"/>
      <c r="H110" s="332"/>
      <c r="I110" s="330"/>
      <c r="J110" s="333"/>
      <c r="K110" s="333"/>
    </row>
    <row r="111" spans="1:11" x14ac:dyDescent="0.25">
      <c r="A111" s="328">
        <v>106</v>
      </c>
      <c r="B111" s="330"/>
      <c r="C111" s="330"/>
      <c r="D111" s="330"/>
      <c r="E111" s="330"/>
      <c r="F111" s="331"/>
      <c r="G111" s="331"/>
      <c r="H111" s="332"/>
      <c r="I111" s="330"/>
      <c r="J111" s="333"/>
      <c r="K111" s="333"/>
    </row>
    <row r="112" spans="1:11" x14ac:dyDescent="0.25">
      <c r="A112" s="328">
        <v>107</v>
      </c>
      <c r="B112" s="330"/>
      <c r="C112" s="330"/>
      <c r="D112" s="330"/>
      <c r="E112" s="330"/>
      <c r="F112" s="331"/>
      <c r="G112" s="331"/>
      <c r="H112" s="332"/>
      <c r="I112" s="330"/>
      <c r="J112" s="333"/>
      <c r="K112" s="333"/>
    </row>
    <row r="113" spans="1:11" x14ac:dyDescent="0.25">
      <c r="A113" s="328">
        <v>108</v>
      </c>
      <c r="B113" s="330"/>
      <c r="C113" s="330"/>
      <c r="D113" s="330"/>
      <c r="E113" s="330"/>
      <c r="F113" s="331"/>
      <c r="G113" s="331"/>
      <c r="H113" s="332"/>
      <c r="I113" s="330"/>
      <c r="J113" s="333"/>
      <c r="K113" s="333"/>
    </row>
    <row r="114" spans="1:11" x14ac:dyDescent="0.25">
      <c r="A114" s="328">
        <v>109</v>
      </c>
      <c r="B114" s="330"/>
      <c r="C114" s="330"/>
      <c r="D114" s="330"/>
      <c r="E114" s="330"/>
      <c r="F114" s="331"/>
      <c r="G114" s="331"/>
      <c r="H114" s="332"/>
      <c r="I114" s="330"/>
      <c r="J114" s="333"/>
      <c r="K114" s="333"/>
    </row>
    <row r="115" spans="1:11" x14ac:dyDescent="0.25">
      <c r="A115" s="328">
        <v>110</v>
      </c>
      <c r="B115" s="330"/>
      <c r="C115" s="330"/>
      <c r="D115" s="330"/>
      <c r="E115" s="330"/>
      <c r="F115" s="331"/>
      <c r="G115" s="331"/>
      <c r="H115" s="332"/>
      <c r="I115" s="330"/>
      <c r="J115" s="333"/>
      <c r="K115" s="333"/>
    </row>
    <row r="116" spans="1:11" x14ac:dyDescent="0.25">
      <c r="A116" s="328">
        <v>111</v>
      </c>
      <c r="B116" s="330"/>
      <c r="C116" s="330"/>
      <c r="D116" s="330"/>
      <c r="E116" s="330"/>
      <c r="F116" s="331"/>
      <c r="G116" s="331"/>
      <c r="H116" s="332"/>
      <c r="I116" s="330"/>
      <c r="J116" s="333"/>
      <c r="K116" s="333"/>
    </row>
    <row r="117" spans="1:11" x14ac:dyDescent="0.25">
      <c r="A117" s="328">
        <v>112</v>
      </c>
      <c r="B117" s="330"/>
      <c r="C117" s="330"/>
      <c r="D117" s="330"/>
      <c r="E117" s="330"/>
      <c r="F117" s="331"/>
      <c r="G117" s="331"/>
      <c r="H117" s="332"/>
      <c r="I117" s="330"/>
      <c r="J117" s="333"/>
      <c r="K117" s="333"/>
    </row>
    <row r="118" spans="1:11" x14ac:dyDescent="0.25">
      <c r="A118" s="328">
        <v>113</v>
      </c>
      <c r="B118" s="330"/>
      <c r="C118" s="330"/>
      <c r="D118" s="330"/>
      <c r="E118" s="330"/>
      <c r="F118" s="331"/>
      <c r="G118" s="331"/>
      <c r="H118" s="332"/>
      <c r="I118" s="330"/>
      <c r="J118" s="333"/>
      <c r="K118" s="333"/>
    </row>
    <row r="119" spans="1:11" x14ac:dyDescent="0.25">
      <c r="A119" s="328">
        <v>114</v>
      </c>
      <c r="B119" s="330"/>
      <c r="C119" s="330"/>
      <c r="D119" s="330"/>
      <c r="E119" s="330"/>
      <c r="F119" s="331"/>
      <c r="G119" s="331"/>
      <c r="H119" s="332"/>
      <c r="I119" s="330"/>
      <c r="J119" s="333"/>
      <c r="K119" s="333"/>
    </row>
    <row r="120" spans="1:11" x14ac:dyDescent="0.25">
      <c r="A120" s="328">
        <v>115</v>
      </c>
      <c r="B120" s="330"/>
      <c r="C120" s="330"/>
      <c r="D120" s="330"/>
      <c r="E120" s="330"/>
      <c r="F120" s="331"/>
      <c r="G120" s="331"/>
      <c r="H120" s="332"/>
      <c r="I120" s="330"/>
      <c r="J120" s="333"/>
      <c r="K120" s="333"/>
    </row>
    <row r="121" spans="1:11" x14ac:dyDescent="0.25">
      <c r="A121" s="328">
        <v>116</v>
      </c>
      <c r="B121" s="330"/>
      <c r="C121" s="330"/>
      <c r="D121" s="330"/>
      <c r="E121" s="330"/>
      <c r="F121" s="331"/>
      <c r="G121" s="331"/>
      <c r="H121" s="332"/>
      <c r="I121" s="330"/>
      <c r="J121" s="333"/>
      <c r="K121" s="333"/>
    </row>
    <row r="122" spans="1:11" x14ac:dyDescent="0.25">
      <c r="A122" s="328">
        <v>117</v>
      </c>
      <c r="B122" s="330"/>
      <c r="C122" s="330"/>
      <c r="D122" s="330"/>
      <c r="E122" s="330"/>
      <c r="F122" s="331"/>
      <c r="G122" s="331"/>
      <c r="H122" s="332"/>
      <c r="I122" s="330"/>
      <c r="J122" s="333"/>
      <c r="K122" s="333"/>
    </row>
    <row r="123" spans="1:11" x14ac:dyDescent="0.25">
      <c r="A123" s="328">
        <v>118</v>
      </c>
      <c r="B123" s="330"/>
      <c r="C123" s="330"/>
      <c r="D123" s="330"/>
      <c r="E123" s="330"/>
      <c r="F123" s="331"/>
      <c r="G123" s="331"/>
      <c r="H123" s="332"/>
      <c r="I123" s="330"/>
      <c r="J123" s="333"/>
      <c r="K123" s="333"/>
    </row>
    <row r="124" spans="1:11" x14ac:dyDescent="0.25">
      <c r="A124" s="328">
        <v>119</v>
      </c>
      <c r="B124" s="330"/>
      <c r="C124" s="330"/>
      <c r="D124" s="330"/>
      <c r="E124" s="330"/>
      <c r="F124" s="331"/>
      <c r="G124" s="331"/>
      <c r="H124" s="332"/>
      <c r="I124" s="330"/>
      <c r="J124" s="333"/>
      <c r="K124" s="333"/>
    </row>
    <row r="125" spans="1:11" x14ac:dyDescent="0.25">
      <c r="A125" s="328">
        <v>120</v>
      </c>
      <c r="B125" s="330"/>
      <c r="C125" s="330"/>
      <c r="D125" s="330"/>
      <c r="E125" s="330"/>
      <c r="F125" s="331"/>
      <c r="G125" s="331"/>
      <c r="H125" s="332"/>
      <c r="I125" s="330"/>
      <c r="J125" s="333"/>
      <c r="K125" s="333"/>
    </row>
    <row r="126" spans="1:11" x14ac:dyDescent="0.25">
      <c r="A126" s="328">
        <v>121</v>
      </c>
      <c r="B126" s="330"/>
      <c r="C126" s="330"/>
      <c r="D126" s="330"/>
      <c r="E126" s="330"/>
      <c r="F126" s="331"/>
      <c r="G126" s="331"/>
      <c r="H126" s="332"/>
      <c r="I126" s="330"/>
      <c r="J126" s="333"/>
      <c r="K126" s="333"/>
    </row>
    <row r="127" spans="1:11" x14ac:dyDescent="0.25">
      <c r="A127" s="328">
        <v>122</v>
      </c>
      <c r="B127" s="330"/>
      <c r="C127" s="330"/>
      <c r="D127" s="330"/>
      <c r="E127" s="330"/>
      <c r="F127" s="331"/>
      <c r="G127" s="331"/>
      <c r="H127" s="332"/>
      <c r="I127" s="330"/>
      <c r="J127" s="333"/>
      <c r="K127" s="333"/>
    </row>
    <row r="128" spans="1:11" x14ac:dyDescent="0.25">
      <c r="A128" s="328">
        <v>123</v>
      </c>
      <c r="B128" s="330"/>
      <c r="C128" s="330"/>
      <c r="D128" s="330"/>
      <c r="E128" s="330"/>
      <c r="F128" s="331"/>
      <c r="G128" s="331"/>
      <c r="H128" s="332"/>
      <c r="I128" s="330"/>
      <c r="J128" s="333"/>
      <c r="K128" s="333"/>
    </row>
    <row r="129" spans="1:11" x14ac:dyDescent="0.25">
      <c r="A129" s="328">
        <v>124</v>
      </c>
      <c r="B129" s="330"/>
      <c r="C129" s="330"/>
      <c r="D129" s="330"/>
      <c r="E129" s="330"/>
      <c r="F129" s="331"/>
      <c r="G129" s="331"/>
      <c r="H129" s="332"/>
      <c r="I129" s="330"/>
      <c r="J129" s="333"/>
      <c r="K129" s="333"/>
    </row>
    <row r="130" spans="1:11" x14ac:dyDescent="0.25">
      <c r="A130" s="328">
        <v>125</v>
      </c>
      <c r="B130" s="330"/>
      <c r="C130" s="330"/>
      <c r="D130" s="330"/>
      <c r="E130" s="330"/>
      <c r="F130" s="331"/>
      <c r="G130" s="331"/>
      <c r="H130" s="332"/>
      <c r="I130" s="330"/>
      <c r="J130" s="333"/>
      <c r="K130" s="333"/>
    </row>
    <row r="131" spans="1:11" x14ac:dyDescent="0.25">
      <c r="A131" s="328">
        <v>126</v>
      </c>
      <c r="B131" s="330"/>
      <c r="C131" s="330"/>
      <c r="D131" s="330"/>
      <c r="E131" s="330"/>
      <c r="F131" s="331"/>
      <c r="G131" s="331"/>
      <c r="H131" s="332"/>
      <c r="I131" s="330"/>
      <c r="J131" s="333"/>
      <c r="K131" s="333"/>
    </row>
    <row r="132" spans="1:11" x14ac:dyDescent="0.25">
      <c r="A132" s="328">
        <v>127</v>
      </c>
      <c r="B132" s="330"/>
      <c r="C132" s="330"/>
      <c r="D132" s="330"/>
      <c r="E132" s="330"/>
      <c r="F132" s="331"/>
      <c r="G132" s="331"/>
      <c r="H132" s="332"/>
      <c r="I132" s="330"/>
      <c r="J132" s="333"/>
      <c r="K132" s="333"/>
    </row>
    <row r="133" spans="1:11" x14ac:dyDescent="0.25">
      <c r="A133" s="328">
        <v>128</v>
      </c>
      <c r="B133" s="330"/>
      <c r="C133" s="330"/>
      <c r="D133" s="330"/>
      <c r="E133" s="330"/>
      <c r="F133" s="331"/>
      <c r="G133" s="331"/>
      <c r="H133" s="332"/>
      <c r="I133" s="330"/>
      <c r="J133" s="333"/>
      <c r="K133" s="333"/>
    </row>
    <row r="134" spans="1:11" x14ac:dyDescent="0.25">
      <c r="A134" s="328">
        <v>129</v>
      </c>
      <c r="B134" s="330"/>
      <c r="C134" s="330"/>
      <c r="D134" s="330"/>
      <c r="E134" s="330"/>
      <c r="F134" s="331"/>
      <c r="G134" s="331"/>
      <c r="H134" s="332"/>
      <c r="I134" s="330"/>
      <c r="J134" s="333"/>
      <c r="K134" s="333"/>
    </row>
    <row r="135" spans="1:11" x14ac:dyDescent="0.25">
      <c r="A135" s="328">
        <v>130</v>
      </c>
      <c r="B135" s="330"/>
      <c r="C135" s="330"/>
      <c r="D135" s="330"/>
      <c r="E135" s="330"/>
      <c r="F135" s="331"/>
      <c r="G135" s="331"/>
      <c r="H135" s="332"/>
      <c r="I135" s="330"/>
      <c r="J135" s="333"/>
      <c r="K135" s="333"/>
    </row>
    <row r="136" spans="1:11" x14ac:dyDescent="0.25">
      <c r="A136" s="328">
        <v>131</v>
      </c>
      <c r="B136" s="330"/>
      <c r="C136" s="330"/>
      <c r="D136" s="330"/>
      <c r="E136" s="330"/>
      <c r="F136" s="331"/>
      <c r="G136" s="331"/>
      <c r="H136" s="332"/>
      <c r="I136" s="330"/>
      <c r="J136" s="333"/>
      <c r="K136" s="333"/>
    </row>
    <row r="137" spans="1:11" x14ac:dyDescent="0.25">
      <c r="A137" s="328">
        <v>132</v>
      </c>
      <c r="B137" s="330"/>
      <c r="C137" s="330"/>
      <c r="D137" s="330"/>
      <c r="E137" s="330"/>
      <c r="F137" s="331"/>
      <c r="G137" s="331"/>
      <c r="H137" s="332"/>
      <c r="I137" s="330"/>
      <c r="J137" s="333"/>
      <c r="K137" s="333"/>
    </row>
    <row r="138" spans="1:11" x14ac:dyDescent="0.25">
      <c r="A138" s="328">
        <v>133</v>
      </c>
      <c r="B138" s="330"/>
      <c r="C138" s="330"/>
      <c r="D138" s="330"/>
      <c r="E138" s="330"/>
      <c r="F138" s="331"/>
      <c r="G138" s="331"/>
      <c r="H138" s="332"/>
      <c r="I138" s="330"/>
      <c r="J138" s="333"/>
      <c r="K138" s="333"/>
    </row>
    <row r="139" spans="1:11" x14ac:dyDescent="0.25">
      <c r="A139" s="328">
        <v>134</v>
      </c>
      <c r="B139" s="330"/>
      <c r="C139" s="330"/>
      <c r="D139" s="330"/>
      <c r="E139" s="330"/>
      <c r="F139" s="331"/>
      <c r="G139" s="331"/>
      <c r="H139" s="332"/>
      <c r="I139" s="330"/>
      <c r="J139" s="333"/>
      <c r="K139" s="333"/>
    </row>
    <row r="140" spans="1:11" x14ac:dyDescent="0.25">
      <c r="A140" s="328">
        <v>135</v>
      </c>
      <c r="B140" s="330"/>
      <c r="C140" s="330"/>
      <c r="D140" s="330"/>
      <c r="E140" s="330"/>
      <c r="F140" s="331"/>
      <c r="G140" s="331"/>
      <c r="H140" s="332"/>
      <c r="I140" s="330"/>
      <c r="J140" s="333"/>
      <c r="K140" s="333"/>
    </row>
    <row r="141" spans="1:11" x14ac:dyDescent="0.25">
      <c r="A141" s="328">
        <v>136</v>
      </c>
      <c r="B141" s="330"/>
      <c r="C141" s="330"/>
      <c r="D141" s="330"/>
      <c r="E141" s="330"/>
      <c r="F141" s="331"/>
      <c r="G141" s="331"/>
      <c r="H141" s="332"/>
      <c r="I141" s="330"/>
      <c r="J141" s="333"/>
      <c r="K141" s="333"/>
    </row>
    <row r="142" spans="1:11" x14ac:dyDescent="0.25">
      <c r="A142" s="328">
        <v>137</v>
      </c>
      <c r="B142" s="330"/>
      <c r="C142" s="330"/>
      <c r="D142" s="330"/>
      <c r="E142" s="330"/>
      <c r="F142" s="331"/>
      <c r="G142" s="331"/>
      <c r="H142" s="332"/>
      <c r="I142" s="330"/>
      <c r="J142" s="333"/>
      <c r="K142" s="333"/>
    </row>
    <row r="143" spans="1:11" x14ac:dyDescent="0.25">
      <c r="A143" s="328">
        <v>138</v>
      </c>
      <c r="B143" s="330"/>
      <c r="C143" s="330"/>
      <c r="D143" s="330"/>
      <c r="E143" s="330"/>
      <c r="F143" s="331"/>
      <c r="G143" s="331"/>
      <c r="H143" s="332"/>
      <c r="I143" s="330"/>
      <c r="J143" s="333"/>
      <c r="K143" s="333"/>
    </row>
    <row r="144" spans="1:11" x14ac:dyDescent="0.25">
      <c r="A144" s="328">
        <v>139</v>
      </c>
      <c r="B144" s="330"/>
      <c r="C144" s="330"/>
      <c r="D144" s="330"/>
      <c r="E144" s="330"/>
      <c r="F144" s="331"/>
      <c r="G144" s="331"/>
      <c r="H144" s="332"/>
      <c r="I144" s="330"/>
      <c r="J144" s="333"/>
      <c r="K144" s="333"/>
    </row>
    <row r="145" spans="1:11" x14ac:dyDescent="0.25">
      <c r="A145" s="328">
        <v>140</v>
      </c>
      <c r="B145" s="330"/>
      <c r="C145" s="330"/>
      <c r="D145" s="330"/>
      <c r="E145" s="330"/>
      <c r="F145" s="331"/>
      <c r="G145" s="331"/>
      <c r="H145" s="332"/>
      <c r="I145" s="330"/>
      <c r="J145" s="333"/>
      <c r="K145" s="333"/>
    </row>
    <row r="146" spans="1:11" x14ac:dyDescent="0.25">
      <c r="A146" s="328">
        <v>141</v>
      </c>
      <c r="B146" s="330"/>
      <c r="C146" s="330"/>
      <c r="D146" s="330"/>
      <c r="E146" s="330"/>
      <c r="F146" s="331"/>
      <c r="G146" s="331"/>
      <c r="H146" s="332"/>
      <c r="I146" s="330"/>
      <c r="J146" s="333"/>
      <c r="K146" s="333"/>
    </row>
    <row r="147" spans="1:11" x14ac:dyDescent="0.25">
      <c r="A147" s="328">
        <v>142</v>
      </c>
      <c r="B147" s="330"/>
      <c r="C147" s="330"/>
      <c r="D147" s="330"/>
      <c r="E147" s="330"/>
      <c r="F147" s="331"/>
      <c r="G147" s="331"/>
      <c r="H147" s="332"/>
      <c r="I147" s="330"/>
      <c r="J147" s="333"/>
      <c r="K147" s="333"/>
    </row>
    <row r="148" spans="1:11" x14ac:dyDescent="0.25">
      <c r="A148" s="328">
        <v>143</v>
      </c>
      <c r="B148" s="330"/>
      <c r="C148" s="330"/>
      <c r="D148" s="330"/>
      <c r="E148" s="330"/>
      <c r="F148" s="331"/>
      <c r="G148" s="331"/>
      <c r="H148" s="332"/>
      <c r="I148" s="330"/>
      <c r="J148" s="333"/>
      <c r="K148" s="333"/>
    </row>
    <row r="149" spans="1:11" x14ac:dyDescent="0.25">
      <c r="A149" s="328">
        <v>144</v>
      </c>
      <c r="B149" s="330"/>
      <c r="C149" s="330"/>
      <c r="D149" s="330"/>
      <c r="E149" s="330"/>
      <c r="F149" s="331"/>
      <c r="G149" s="331"/>
      <c r="H149" s="332"/>
      <c r="I149" s="330"/>
      <c r="J149" s="333"/>
      <c r="K149" s="333"/>
    </row>
    <row r="150" spans="1:11" x14ac:dyDescent="0.25">
      <c r="A150" s="328">
        <v>145</v>
      </c>
      <c r="B150" s="330"/>
      <c r="C150" s="330"/>
      <c r="D150" s="330"/>
      <c r="E150" s="330"/>
      <c r="F150" s="331"/>
      <c r="G150" s="331"/>
      <c r="H150" s="332"/>
      <c r="I150" s="330"/>
      <c r="J150" s="333"/>
      <c r="K150" s="333"/>
    </row>
    <row r="151" spans="1:11" x14ac:dyDescent="0.25">
      <c r="A151" s="328">
        <v>146</v>
      </c>
      <c r="B151" s="330"/>
      <c r="C151" s="330"/>
      <c r="D151" s="330"/>
      <c r="E151" s="330"/>
      <c r="F151" s="331"/>
      <c r="G151" s="331"/>
      <c r="H151" s="332"/>
      <c r="I151" s="330"/>
      <c r="J151" s="333"/>
      <c r="K151" s="333"/>
    </row>
    <row r="152" spans="1:11" x14ac:dyDescent="0.25">
      <c r="A152" s="328">
        <v>147</v>
      </c>
      <c r="B152" s="330"/>
      <c r="C152" s="330"/>
      <c r="D152" s="330"/>
      <c r="E152" s="330"/>
      <c r="F152" s="331"/>
      <c r="G152" s="331"/>
      <c r="H152" s="332"/>
      <c r="I152" s="330"/>
      <c r="J152" s="333"/>
      <c r="K152" s="333"/>
    </row>
    <row r="153" spans="1:11" x14ac:dyDescent="0.25">
      <c r="A153" s="328">
        <v>148</v>
      </c>
      <c r="B153" s="330"/>
      <c r="C153" s="330"/>
      <c r="D153" s="330"/>
      <c r="E153" s="330"/>
      <c r="F153" s="331"/>
      <c r="G153" s="331"/>
      <c r="H153" s="332"/>
      <c r="I153" s="330"/>
      <c r="J153" s="333"/>
      <c r="K153" s="333"/>
    </row>
    <row r="154" spans="1:11" x14ac:dyDescent="0.25">
      <c r="A154" s="328">
        <v>149</v>
      </c>
      <c r="B154" s="330"/>
      <c r="C154" s="330"/>
      <c r="D154" s="330"/>
      <c r="E154" s="330"/>
      <c r="F154" s="331"/>
      <c r="G154" s="331"/>
      <c r="H154" s="332"/>
      <c r="I154" s="330"/>
      <c r="J154" s="333"/>
      <c r="K154" s="333"/>
    </row>
    <row r="155" spans="1:11" x14ac:dyDescent="0.25">
      <c r="A155" s="328">
        <v>150</v>
      </c>
      <c r="B155" s="330"/>
      <c r="C155" s="330"/>
      <c r="D155" s="330"/>
      <c r="E155" s="330"/>
      <c r="F155" s="331"/>
      <c r="G155" s="331"/>
      <c r="H155" s="332"/>
      <c r="I155" s="330"/>
      <c r="J155" s="333"/>
      <c r="K155" s="333"/>
    </row>
    <row r="156" spans="1:11" x14ac:dyDescent="0.25">
      <c r="A156" s="328">
        <v>151</v>
      </c>
      <c r="B156" s="330"/>
      <c r="C156" s="330"/>
      <c r="D156" s="330"/>
      <c r="E156" s="330"/>
      <c r="F156" s="331"/>
      <c r="G156" s="331"/>
      <c r="H156" s="332"/>
      <c r="I156" s="330"/>
      <c r="J156" s="333"/>
      <c r="K156" s="333"/>
    </row>
    <row r="157" spans="1:11" x14ac:dyDescent="0.25">
      <c r="A157" s="328">
        <v>152</v>
      </c>
      <c r="B157" s="330"/>
      <c r="C157" s="330"/>
      <c r="D157" s="330"/>
      <c r="E157" s="330"/>
      <c r="F157" s="331"/>
      <c r="G157" s="331"/>
      <c r="H157" s="332"/>
      <c r="I157" s="330"/>
      <c r="J157" s="333"/>
      <c r="K157" s="333"/>
    </row>
    <row r="158" spans="1:11" x14ac:dyDescent="0.25">
      <c r="A158" s="328">
        <v>153</v>
      </c>
      <c r="B158" s="330"/>
      <c r="C158" s="330"/>
      <c r="D158" s="330"/>
      <c r="E158" s="330"/>
      <c r="F158" s="331"/>
      <c r="G158" s="331"/>
      <c r="H158" s="332"/>
      <c r="I158" s="330"/>
      <c r="J158" s="333"/>
      <c r="K158" s="333"/>
    </row>
    <row r="159" spans="1:11" x14ac:dyDescent="0.25">
      <c r="A159" s="328">
        <v>154</v>
      </c>
      <c r="B159" s="330"/>
      <c r="C159" s="330"/>
      <c r="D159" s="330"/>
      <c r="E159" s="330"/>
      <c r="F159" s="331"/>
      <c r="G159" s="331"/>
      <c r="H159" s="332"/>
      <c r="I159" s="330"/>
      <c r="J159" s="333"/>
      <c r="K159" s="333"/>
    </row>
    <row r="160" spans="1:11" x14ac:dyDescent="0.25">
      <c r="A160" s="328">
        <v>155</v>
      </c>
      <c r="B160" s="330"/>
      <c r="C160" s="330"/>
      <c r="D160" s="330"/>
      <c r="E160" s="330"/>
      <c r="F160" s="331"/>
      <c r="G160" s="331"/>
      <c r="H160" s="332"/>
      <c r="I160" s="330"/>
      <c r="J160" s="333"/>
      <c r="K160" s="333"/>
    </row>
    <row r="161" spans="1:11" x14ac:dyDescent="0.25">
      <c r="A161" s="328">
        <v>156</v>
      </c>
      <c r="B161" s="330"/>
      <c r="C161" s="330"/>
      <c r="D161" s="330"/>
      <c r="E161" s="330"/>
      <c r="F161" s="331"/>
      <c r="G161" s="331"/>
      <c r="H161" s="332"/>
      <c r="I161" s="330"/>
      <c r="J161" s="333"/>
      <c r="K161" s="333"/>
    </row>
    <row r="162" spans="1:11" x14ac:dyDescent="0.25">
      <c r="A162" s="328">
        <v>157</v>
      </c>
      <c r="B162" s="330"/>
      <c r="C162" s="330"/>
      <c r="D162" s="330"/>
      <c r="E162" s="330"/>
      <c r="F162" s="331"/>
      <c r="G162" s="331"/>
      <c r="H162" s="332"/>
      <c r="I162" s="330"/>
      <c r="J162" s="333"/>
      <c r="K162" s="333"/>
    </row>
    <row r="163" spans="1:11" x14ac:dyDescent="0.25">
      <c r="A163" s="328">
        <v>158</v>
      </c>
      <c r="B163" s="330"/>
      <c r="C163" s="330"/>
      <c r="D163" s="330"/>
      <c r="E163" s="330"/>
      <c r="F163" s="331"/>
      <c r="G163" s="331"/>
      <c r="H163" s="332"/>
      <c r="I163" s="330"/>
      <c r="J163" s="333"/>
      <c r="K163" s="333"/>
    </row>
    <row r="164" spans="1:11" x14ac:dyDescent="0.25">
      <c r="A164" s="328">
        <v>159</v>
      </c>
      <c r="B164" s="330"/>
      <c r="C164" s="330"/>
      <c r="D164" s="330"/>
      <c r="E164" s="330"/>
      <c r="F164" s="331"/>
      <c r="G164" s="331"/>
      <c r="H164" s="332"/>
      <c r="I164" s="330"/>
      <c r="J164" s="333"/>
      <c r="K164" s="333"/>
    </row>
    <row r="165" spans="1:11" x14ac:dyDescent="0.25">
      <c r="A165" s="328">
        <v>160</v>
      </c>
      <c r="B165" s="330"/>
      <c r="C165" s="330"/>
      <c r="D165" s="330"/>
      <c r="E165" s="330"/>
      <c r="F165" s="331"/>
      <c r="G165" s="331"/>
      <c r="H165" s="332"/>
      <c r="I165" s="330"/>
      <c r="J165" s="333"/>
      <c r="K165" s="333"/>
    </row>
    <row r="166" spans="1:11" x14ac:dyDescent="0.25">
      <c r="A166" s="328">
        <v>161</v>
      </c>
      <c r="B166" s="330"/>
      <c r="C166" s="330"/>
      <c r="D166" s="330"/>
      <c r="E166" s="330"/>
      <c r="F166" s="331"/>
      <c r="G166" s="331"/>
      <c r="H166" s="332"/>
      <c r="I166" s="330"/>
      <c r="J166" s="333"/>
      <c r="K166" s="333"/>
    </row>
    <row r="167" spans="1:11" x14ac:dyDescent="0.25">
      <c r="A167" s="328">
        <v>162</v>
      </c>
      <c r="B167" s="330"/>
      <c r="C167" s="330"/>
      <c r="D167" s="330"/>
      <c r="E167" s="330"/>
      <c r="F167" s="331"/>
      <c r="G167" s="331"/>
      <c r="H167" s="332"/>
      <c r="I167" s="330"/>
      <c r="J167" s="333"/>
      <c r="K167" s="333"/>
    </row>
    <row r="168" spans="1:11" x14ac:dyDescent="0.25">
      <c r="A168" s="328">
        <v>163</v>
      </c>
      <c r="B168" s="330"/>
      <c r="C168" s="330"/>
      <c r="D168" s="330"/>
      <c r="E168" s="330"/>
      <c r="F168" s="331"/>
      <c r="G168" s="331"/>
      <c r="H168" s="332"/>
      <c r="I168" s="330"/>
      <c r="J168" s="333"/>
      <c r="K168" s="333"/>
    </row>
    <row r="169" spans="1:11" x14ac:dyDescent="0.25">
      <c r="A169" s="328">
        <v>164</v>
      </c>
      <c r="B169" s="330"/>
      <c r="C169" s="330"/>
      <c r="D169" s="330"/>
      <c r="E169" s="330"/>
      <c r="F169" s="331"/>
      <c r="G169" s="331"/>
      <c r="H169" s="332"/>
      <c r="I169" s="330"/>
      <c r="J169" s="333"/>
      <c r="K169" s="333"/>
    </row>
    <row r="170" spans="1:11" x14ac:dyDescent="0.25">
      <c r="A170" s="328">
        <v>165</v>
      </c>
      <c r="B170" s="330"/>
      <c r="C170" s="330"/>
      <c r="D170" s="330"/>
      <c r="E170" s="330"/>
      <c r="F170" s="331"/>
      <c r="G170" s="331"/>
      <c r="H170" s="332"/>
      <c r="I170" s="330"/>
      <c r="J170" s="333"/>
      <c r="K170" s="333"/>
    </row>
    <row r="171" spans="1:11" x14ac:dyDescent="0.25">
      <c r="A171" s="328">
        <v>166</v>
      </c>
      <c r="B171" s="330"/>
      <c r="C171" s="330"/>
      <c r="D171" s="330"/>
      <c r="E171" s="330"/>
      <c r="F171" s="331"/>
      <c r="G171" s="331"/>
      <c r="H171" s="332"/>
      <c r="I171" s="330"/>
      <c r="J171" s="333"/>
      <c r="K171" s="333"/>
    </row>
    <row r="172" spans="1:11" x14ac:dyDescent="0.25">
      <c r="A172" s="328">
        <v>167</v>
      </c>
      <c r="B172" s="330"/>
      <c r="C172" s="330"/>
      <c r="D172" s="330"/>
      <c r="E172" s="330"/>
      <c r="F172" s="331"/>
      <c r="G172" s="331"/>
      <c r="H172" s="332"/>
      <c r="I172" s="330"/>
      <c r="J172" s="333"/>
      <c r="K172" s="333"/>
    </row>
    <row r="173" spans="1:11" x14ac:dyDescent="0.25">
      <c r="A173" s="328">
        <v>168</v>
      </c>
      <c r="B173" s="330"/>
      <c r="C173" s="330"/>
      <c r="D173" s="330"/>
      <c r="E173" s="330"/>
      <c r="F173" s="331"/>
      <c r="G173" s="331"/>
      <c r="H173" s="332"/>
      <c r="I173" s="330"/>
      <c r="J173" s="333"/>
      <c r="K173" s="333"/>
    </row>
    <row r="174" spans="1:11" x14ac:dyDescent="0.25">
      <c r="A174" s="328">
        <v>169</v>
      </c>
      <c r="B174" s="330"/>
      <c r="C174" s="330"/>
      <c r="D174" s="330"/>
      <c r="E174" s="330"/>
      <c r="F174" s="331"/>
      <c r="G174" s="331"/>
      <c r="H174" s="332"/>
      <c r="I174" s="330"/>
      <c r="J174" s="333"/>
      <c r="K174" s="333"/>
    </row>
    <row r="175" spans="1:11" x14ac:dyDescent="0.25">
      <c r="A175" s="328">
        <v>170</v>
      </c>
      <c r="B175" s="330"/>
      <c r="C175" s="330"/>
      <c r="D175" s="330"/>
      <c r="E175" s="330"/>
      <c r="F175" s="331"/>
      <c r="G175" s="331"/>
      <c r="H175" s="332"/>
      <c r="I175" s="330"/>
      <c r="J175" s="333"/>
      <c r="K175" s="333"/>
    </row>
    <row r="176" spans="1:11" x14ac:dyDescent="0.25">
      <c r="A176" s="328">
        <v>171</v>
      </c>
      <c r="B176" s="330"/>
      <c r="C176" s="330"/>
      <c r="D176" s="330"/>
      <c r="E176" s="330"/>
      <c r="F176" s="331"/>
      <c r="G176" s="331"/>
      <c r="H176" s="332"/>
      <c r="I176" s="330"/>
      <c r="J176" s="333"/>
      <c r="K176" s="333"/>
    </row>
    <row r="177" spans="1:11" x14ac:dyDescent="0.25">
      <c r="A177" s="328">
        <v>172</v>
      </c>
      <c r="B177" s="330"/>
      <c r="C177" s="330"/>
      <c r="D177" s="330"/>
      <c r="E177" s="330"/>
      <c r="F177" s="331"/>
      <c r="G177" s="331"/>
      <c r="H177" s="332"/>
      <c r="I177" s="330"/>
      <c r="J177" s="333"/>
      <c r="K177" s="333"/>
    </row>
    <row r="178" spans="1:11" x14ac:dyDescent="0.25">
      <c r="A178" s="328">
        <v>173</v>
      </c>
      <c r="B178" s="330"/>
      <c r="C178" s="330"/>
      <c r="D178" s="330"/>
      <c r="E178" s="330"/>
      <c r="F178" s="331"/>
      <c r="G178" s="331"/>
      <c r="H178" s="332"/>
      <c r="I178" s="330"/>
      <c r="J178" s="333"/>
      <c r="K178" s="333"/>
    </row>
    <row r="179" spans="1:11" x14ac:dyDescent="0.25">
      <c r="A179" s="328">
        <v>174</v>
      </c>
      <c r="B179" s="330"/>
      <c r="C179" s="330"/>
      <c r="D179" s="330"/>
      <c r="E179" s="330"/>
      <c r="F179" s="331"/>
      <c r="G179" s="331"/>
      <c r="H179" s="332"/>
      <c r="I179" s="330"/>
      <c r="J179" s="333"/>
      <c r="K179" s="333"/>
    </row>
    <row r="180" spans="1:11" x14ac:dyDescent="0.25">
      <c r="A180" s="328">
        <v>175</v>
      </c>
      <c r="B180" s="330"/>
      <c r="C180" s="330"/>
      <c r="D180" s="330"/>
      <c r="E180" s="330"/>
      <c r="F180" s="331"/>
      <c r="G180" s="331"/>
      <c r="H180" s="332"/>
      <c r="I180" s="330"/>
      <c r="J180" s="333"/>
      <c r="K180" s="333"/>
    </row>
    <row r="181" spans="1:11" x14ac:dyDescent="0.25">
      <c r="A181" s="328">
        <v>176</v>
      </c>
      <c r="B181" s="330"/>
      <c r="C181" s="330"/>
      <c r="D181" s="330"/>
      <c r="E181" s="330"/>
      <c r="F181" s="331"/>
      <c r="G181" s="331"/>
      <c r="H181" s="332"/>
      <c r="I181" s="330"/>
      <c r="J181" s="333"/>
      <c r="K181" s="333"/>
    </row>
    <row r="182" spans="1:11" x14ac:dyDescent="0.25">
      <c r="A182" s="328">
        <v>177</v>
      </c>
      <c r="B182" s="330"/>
      <c r="C182" s="330"/>
      <c r="D182" s="330"/>
      <c r="E182" s="330"/>
      <c r="F182" s="331"/>
      <c r="G182" s="331"/>
      <c r="H182" s="332"/>
      <c r="I182" s="330"/>
      <c r="J182" s="333"/>
      <c r="K182" s="333"/>
    </row>
    <row r="183" spans="1:11" x14ac:dyDescent="0.25">
      <c r="A183" s="328">
        <v>178</v>
      </c>
      <c r="B183" s="330"/>
      <c r="C183" s="330"/>
      <c r="D183" s="330"/>
      <c r="E183" s="330"/>
      <c r="F183" s="331"/>
      <c r="G183" s="331"/>
      <c r="H183" s="332"/>
      <c r="I183" s="330"/>
      <c r="J183" s="333"/>
      <c r="K183" s="333"/>
    </row>
    <row r="184" spans="1:11" x14ac:dyDescent="0.25">
      <c r="A184" s="328">
        <v>179</v>
      </c>
      <c r="B184" s="330"/>
      <c r="C184" s="330"/>
      <c r="D184" s="330"/>
      <c r="E184" s="330"/>
      <c r="F184" s="331"/>
      <c r="G184" s="331"/>
      <c r="H184" s="332"/>
      <c r="I184" s="330"/>
      <c r="J184" s="333"/>
      <c r="K184" s="333"/>
    </row>
    <row r="185" spans="1:11" x14ac:dyDescent="0.25">
      <c r="A185" s="328">
        <v>180</v>
      </c>
      <c r="B185" s="330"/>
      <c r="C185" s="330"/>
      <c r="D185" s="330"/>
      <c r="E185" s="330"/>
      <c r="F185" s="331"/>
      <c r="G185" s="331"/>
      <c r="H185" s="332"/>
      <c r="I185" s="330"/>
      <c r="J185" s="333"/>
      <c r="K185" s="333"/>
    </row>
    <row r="186" spans="1:11" x14ac:dyDescent="0.25">
      <c r="A186" s="328">
        <v>181</v>
      </c>
      <c r="B186" s="330"/>
      <c r="C186" s="330"/>
      <c r="D186" s="330"/>
      <c r="E186" s="330"/>
      <c r="F186" s="331"/>
      <c r="G186" s="331"/>
      <c r="H186" s="332"/>
      <c r="I186" s="330"/>
      <c r="J186" s="333"/>
      <c r="K186" s="333"/>
    </row>
    <row r="187" spans="1:11" x14ac:dyDescent="0.25">
      <c r="A187" s="328">
        <v>182</v>
      </c>
      <c r="B187" s="330"/>
      <c r="C187" s="330"/>
      <c r="D187" s="330"/>
      <c r="E187" s="330"/>
      <c r="F187" s="331"/>
      <c r="G187" s="331"/>
      <c r="H187" s="332"/>
      <c r="I187" s="330"/>
      <c r="J187" s="333"/>
      <c r="K187" s="333"/>
    </row>
    <row r="188" spans="1:11" x14ac:dyDescent="0.25">
      <c r="A188" s="328">
        <v>183</v>
      </c>
      <c r="B188" s="330"/>
      <c r="C188" s="330"/>
      <c r="D188" s="330"/>
      <c r="E188" s="330"/>
      <c r="F188" s="331"/>
      <c r="G188" s="331"/>
      <c r="H188" s="332"/>
      <c r="I188" s="330"/>
      <c r="J188" s="333"/>
      <c r="K188" s="333"/>
    </row>
    <row r="189" spans="1:11" x14ac:dyDescent="0.25">
      <c r="A189" s="328">
        <v>184</v>
      </c>
      <c r="B189" s="330"/>
      <c r="C189" s="330"/>
      <c r="D189" s="330"/>
      <c r="E189" s="330"/>
      <c r="F189" s="331"/>
      <c r="G189" s="331"/>
      <c r="H189" s="332"/>
      <c r="I189" s="330"/>
      <c r="J189" s="333"/>
      <c r="K189" s="333"/>
    </row>
    <row r="190" spans="1:11" x14ac:dyDescent="0.25">
      <c r="A190" s="328">
        <v>185</v>
      </c>
      <c r="B190" s="330"/>
      <c r="C190" s="330"/>
      <c r="D190" s="330"/>
      <c r="E190" s="330"/>
      <c r="F190" s="331"/>
      <c r="G190" s="331"/>
      <c r="H190" s="332"/>
      <c r="I190" s="330"/>
      <c r="J190" s="333"/>
      <c r="K190" s="333"/>
    </row>
    <row r="191" spans="1:11" x14ac:dyDescent="0.25">
      <c r="A191" s="328">
        <v>186</v>
      </c>
      <c r="B191" s="330"/>
      <c r="C191" s="330"/>
      <c r="D191" s="330"/>
      <c r="E191" s="330"/>
      <c r="F191" s="331"/>
      <c r="G191" s="331"/>
      <c r="H191" s="332"/>
      <c r="I191" s="330"/>
      <c r="J191" s="333"/>
      <c r="K191" s="333"/>
    </row>
    <row r="192" spans="1:11" x14ac:dyDescent="0.25">
      <c r="A192" s="328">
        <v>187</v>
      </c>
      <c r="B192" s="330"/>
      <c r="C192" s="330"/>
      <c r="D192" s="330"/>
      <c r="E192" s="330"/>
      <c r="F192" s="331"/>
      <c r="G192" s="331"/>
      <c r="H192" s="332"/>
      <c r="I192" s="330"/>
      <c r="J192" s="333"/>
      <c r="K192" s="333"/>
    </row>
    <row r="193" spans="1:11" x14ac:dyDescent="0.25">
      <c r="A193" s="328">
        <v>188</v>
      </c>
      <c r="B193" s="330"/>
      <c r="C193" s="330"/>
      <c r="D193" s="330"/>
      <c r="E193" s="330"/>
      <c r="F193" s="331"/>
      <c r="G193" s="331"/>
      <c r="H193" s="332"/>
      <c r="I193" s="330"/>
      <c r="J193" s="333"/>
      <c r="K193" s="333"/>
    </row>
    <row r="194" spans="1:11" x14ac:dyDescent="0.25">
      <c r="A194" s="328">
        <v>189</v>
      </c>
      <c r="B194" s="330"/>
      <c r="C194" s="330"/>
      <c r="D194" s="330"/>
      <c r="E194" s="330"/>
      <c r="F194" s="331"/>
      <c r="G194" s="331"/>
      <c r="H194" s="332"/>
      <c r="I194" s="330"/>
      <c r="J194" s="333"/>
      <c r="K194" s="333"/>
    </row>
    <row r="195" spans="1:11" x14ac:dyDescent="0.25">
      <c r="A195" s="328">
        <v>190</v>
      </c>
      <c r="B195" s="330"/>
      <c r="C195" s="330"/>
      <c r="D195" s="330"/>
      <c r="E195" s="330"/>
      <c r="F195" s="331"/>
      <c r="G195" s="331"/>
      <c r="H195" s="332"/>
      <c r="I195" s="330"/>
      <c r="J195" s="333"/>
      <c r="K195" s="333"/>
    </row>
    <row r="196" spans="1:11" x14ac:dyDescent="0.25">
      <c r="A196" s="328">
        <v>191</v>
      </c>
      <c r="B196" s="330"/>
      <c r="C196" s="330"/>
      <c r="D196" s="330"/>
      <c r="E196" s="330"/>
      <c r="F196" s="331"/>
      <c r="G196" s="331"/>
      <c r="H196" s="332"/>
      <c r="I196" s="330"/>
      <c r="J196" s="333"/>
      <c r="K196" s="333"/>
    </row>
    <row r="197" spans="1:11" x14ac:dyDescent="0.25">
      <c r="A197" s="328">
        <v>192</v>
      </c>
      <c r="B197" s="330"/>
      <c r="C197" s="330"/>
      <c r="D197" s="330"/>
      <c r="E197" s="330"/>
      <c r="F197" s="331"/>
      <c r="G197" s="331"/>
      <c r="H197" s="332"/>
      <c r="I197" s="330"/>
      <c r="J197" s="333"/>
      <c r="K197" s="333"/>
    </row>
    <row r="198" spans="1:11" x14ac:dyDescent="0.25">
      <c r="A198" s="328">
        <v>193</v>
      </c>
      <c r="B198" s="330"/>
      <c r="C198" s="330"/>
      <c r="D198" s="330"/>
      <c r="E198" s="330"/>
      <c r="F198" s="331"/>
      <c r="G198" s="331"/>
      <c r="H198" s="332"/>
      <c r="I198" s="330"/>
      <c r="J198" s="333"/>
      <c r="K198" s="333"/>
    </row>
    <row r="199" spans="1:11" x14ac:dyDescent="0.25">
      <c r="A199" s="328">
        <v>194</v>
      </c>
      <c r="B199" s="330"/>
      <c r="C199" s="330"/>
      <c r="D199" s="330"/>
      <c r="E199" s="330"/>
      <c r="F199" s="331"/>
      <c r="G199" s="331"/>
      <c r="H199" s="332"/>
      <c r="I199" s="330"/>
      <c r="J199" s="333"/>
      <c r="K199" s="333"/>
    </row>
    <row r="200" spans="1:11" x14ac:dyDescent="0.25">
      <c r="A200" s="328">
        <v>195</v>
      </c>
      <c r="B200" s="330"/>
      <c r="C200" s="330"/>
      <c r="D200" s="330"/>
      <c r="E200" s="330"/>
      <c r="F200" s="331"/>
      <c r="G200" s="331"/>
      <c r="H200" s="332"/>
      <c r="I200" s="330"/>
      <c r="J200" s="333"/>
      <c r="K200" s="333"/>
    </row>
    <row r="201" spans="1:11" x14ac:dyDescent="0.25">
      <c r="A201" s="328">
        <v>196</v>
      </c>
      <c r="B201" s="330"/>
      <c r="C201" s="330"/>
      <c r="D201" s="330"/>
      <c r="E201" s="330"/>
      <c r="F201" s="331"/>
      <c r="G201" s="331"/>
      <c r="H201" s="332"/>
      <c r="I201" s="330"/>
      <c r="J201" s="333"/>
      <c r="K201" s="333"/>
    </row>
    <row r="202" spans="1:11" x14ac:dyDescent="0.25">
      <c r="A202" s="328">
        <v>197</v>
      </c>
      <c r="B202" s="330"/>
      <c r="C202" s="330"/>
      <c r="D202" s="330"/>
      <c r="E202" s="330"/>
      <c r="F202" s="331"/>
      <c r="G202" s="331"/>
      <c r="H202" s="332"/>
      <c r="I202" s="330"/>
      <c r="J202" s="333"/>
      <c r="K202" s="333"/>
    </row>
    <row r="203" spans="1:11" x14ac:dyDescent="0.25">
      <c r="A203" s="328">
        <v>198</v>
      </c>
      <c r="B203" s="330"/>
      <c r="C203" s="330"/>
      <c r="D203" s="330"/>
      <c r="E203" s="330"/>
      <c r="F203" s="331"/>
      <c r="G203" s="331"/>
      <c r="H203" s="332"/>
      <c r="I203" s="330"/>
      <c r="J203" s="333"/>
      <c r="K203" s="333"/>
    </row>
    <row r="204" spans="1:11" x14ac:dyDescent="0.25">
      <c r="A204" s="328">
        <v>199</v>
      </c>
      <c r="B204" s="330"/>
      <c r="C204" s="330"/>
      <c r="D204" s="330"/>
      <c r="E204" s="330"/>
      <c r="F204" s="331"/>
      <c r="G204" s="331"/>
      <c r="H204" s="332"/>
      <c r="I204" s="330"/>
      <c r="J204" s="333"/>
      <c r="K204" s="333"/>
    </row>
    <row r="205" spans="1:11" x14ac:dyDescent="0.25">
      <c r="A205" s="328">
        <v>200</v>
      </c>
      <c r="B205" s="330"/>
      <c r="C205" s="330"/>
      <c r="D205" s="330"/>
      <c r="E205" s="330"/>
      <c r="F205" s="331"/>
      <c r="G205" s="331"/>
      <c r="H205" s="332"/>
      <c r="I205" s="330"/>
      <c r="J205" s="333"/>
      <c r="K205" s="333"/>
    </row>
    <row r="206" spans="1:11" x14ac:dyDescent="0.25">
      <c r="A206" s="328">
        <v>201</v>
      </c>
      <c r="B206" s="330"/>
      <c r="C206" s="330"/>
      <c r="D206" s="330"/>
      <c r="E206" s="330"/>
      <c r="F206" s="331"/>
      <c r="G206" s="331"/>
      <c r="H206" s="332"/>
      <c r="I206" s="330"/>
      <c r="J206" s="333"/>
      <c r="K206" s="333"/>
    </row>
    <row r="207" spans="1:11" x14ac:dyDescent="0.25">
      <c r="A207" s="328">
        <v>202</v>
      </c>
      <c r="B207" s="330"/>
      <c r="C207" s="330"/>
      <c r="D207" s="330"/>
      <c r="E207" s="330"/>
      <c r="F207" s="331"/>
      <c r="G207" s="331"/>
      <c r="H207" s="332"/>
      <c r="I207" s="330"/>
      <c r="J207" s="333"/>
      <c r="K207" s="333"/>
    </row>
    <row r="208" spans="1:11" x14ac:dyDescent="0.25">
      <c r="A208" s="328">
        <v>203</v>
      </c>
      <c r="B208" s="330"/>
      <c r="C208" s="330"/>
      <c r="D208" s="330"/>
      <c r="E208" s="330"/>
      <c r="F208" s="331"/>
      <c r="G208" s="331"/>
      <c r="H208" s="332"/>
      <c r="I208" s="330"/>
      <c r="J208" s="333"/>
      <c r="K208" s="333"/>
    </row>
    <row r="209" spans="1:11" x14ac:dyDescent="0.25">
      <c r="A209" s="328">
        <v>204</v>
      </c>
      <c r="B209" s="330"/>
      <c r="C209" s="330"/>
      <c r="D209" s="330"/>
      <c r="E209" s="330"/>
      <c r="F209" s="331"/>
      <c r="G209" s="331"/>
      <c r="H209" s="332"/>
      <c r="I209" s="330"/>
      <c r="J209" s="333"/>
      <c r="K209" s="333"/>
    </row>
    <row r="210" spans="1:11" x14ac:dyDescent="0.25">
      <c r="A210" s="328">
        <v>205</v>
      </c>
      <c r="B210" s="330"/>
      <c r="C210" s="330"/>
      <c r="D210" s="330"/>
      <c r="E210" s="330"/>
      <c r="F210" s="331"/>
      <c r="G210" s="331"/>
      <c r="H210" s="332"/>
      <c r="I210" s="330"/>
      <c r="J210" s="333"/>
      <c r="K210" s="333"/>
    </row>
    <row r="211" spans="1:11" x14ac:dyDescent="0.25">
      <c r="A211" s="328">
        <v>206</v>
      </c>
      <c r="B211" s="330"/>
      <c r="C211" s="330"/>
      <c r="D211" s="330"/>
      <c r="E211" s="330"/>
      <c r="F211" s="331"/>
      <c r="G211" s="331"/>
      <c r="H211" s="332"/>
      <c r="I211" s="330"/>
      <c r="J211" s="333"/>
      <c r="K211" s="333"/>
    </row>
    <row r="212" spans="1:11" x14ac:dyDescent="0.25">
      <c r="A212" s="328">
        <v>207</v>
      </c>
      <c r="B212" s="330"/>
      <c r="C212" s="330"/>
      <c r="D212" s="330"/>
      <c r="E212" s="330"/>
      <c r="F212" s="331"/>
      <c r="G212" s="331"/>
      <c r="H212" s="332"/>
      <c r="I212" s="330"/>
      <c r="J212" s="333"/>
      <c r="K212" s="333"/>
    </row>
    <row r="213" spans="1:11" x14ac:dyDescent="0.25">
      <c r="A213" s="328">
        <v>208</v>
      </c>
      <c r="B213" s="330"/>
      <c r="C213" s="330"/>
      <c r="D213" s="330"/>
      <c r="E213" s="330"/>
      <c r="F213" s="331"/>
      <c r="G213" s="331"/>
      <c r="H213" s="332"/>
      <c r="I213" s="330"/>
      <c r="J213" s="333"/>
      <c r="K213" s="333"/>
    </row>
    <row r="214" spans="1:11" x14ac:dyDescent="0.25">
      <c r="A214" s="328">
        <v>209</v>
      </c>
      <c r="B214" s="330"/>
      <c r="C214" s="330"/>
      <c r="D214" s="330"/>
      <c r="E214" s="330"/>
      <c r="F214" s="331"/>
      <c r="G214" s="331"/>
      <c r="H214" s="332"/>
      <c r="I214" s="330"/>
      <c r="J214" s="333"/>
      <c r="K214" s="333"/>
    </row>
    <row r="215" spans="1:11" x14ac:dyDescent="0.25">
      <c r="A215" s="328">
        <v>210</v>
      </c>
      <c r="B215" s="330"/>
      <c r="C215" s="330"/>
      <c r="D215" s="330"/>
      <c r="E215" s="330"/>
      <c r="F215" s="331"/>
      <c r="G215" s="331"/>
      <c r="H215" s="332"/>
      <c r="I215" s="330"/>
      <c r="J215" s="333"/>
      <c r="K215" s="333"/>
    </row>
    <row r="216" spans="1:11" x14ac:dyDescent="0.25">
      <c r="A216" s="328">
        <v>211</v>
      </c>
      <c r="B216" s="330"/>
      <c r="C216" s="330"/>
      <c r="D216" s="330"/>
      <c r="E216" s="330"/>
      <c r="F216" s="331"/>
      <c r="G216" s="331"/>
      <c r="H216" s="332"/>
      <c r="I216" s="330"/>
      <c r="J216" s="333"/>
      <c r="K216" s="333"/>
    </row>
    <row r="217" spans="1:11" x14ac:dyDescent="0.25">
      <c r="A217" s="328">
        <v>212</v>
      </c>
      <c r="B217" s="330"/>
      <c r="C217" s="330"/>
      <c r="D217" s="330"/>
      <c r="E217" s="330"/>
      <c r="F217" s="331"/>
      <c r="G217" s="331"/>
      <c r="H217" s="332"/>
      <c r="I217" s="330"/>
      <c r="J217" s="333"/>
      <c r="K217" s="333"/>
    </row>
    <row r="218" spans="1:11" x14ac:dyDescent="0.25">
      <c r="A218" s="328">
        <v>213</v>
      </c>
      <c r="B218" s="330"/>
      <c r="C218" s="330"/>
      <c r="D218" s="330"/>
      <c r="E218" s="330"/>
      <c r="F218" s="331"/>
      <c r="G218" s="331"/>
      <c r="H218" s="332"/>
      <c r="I218" s="330"/>
      <c r="J218" s="333"/>
      <c r="K218" s="333"/>
    </row>
    <row r="219" spans="1:11" x14ac:dyDescent="0.25">
      <c r="A219" s="328">
        <v>214</v>
      </c>
      <c r="B219" s="330"/>
      <c r="C219" s="330"/>
      <c r="D219" s="330"/>
      <c r="E219" s="330"/>
      <c r="F219" s="331"/>
      <c r="G219" s="331"/>
      <c r="H219" s="332"/>
      <c r="I219" s="330"/>
      <c r="J219" s="333"/>
      <c r="K219" s="333"/>
    </row>
    <row r="220" spans="1:11" x14ac:dyDescent="0.25">
      <c r="A220" s="328">
        <v>215</v>
      </c>
      <c r="B220" s="330"/>
      <c r="C220" s="330"/>
      <c r="D220" s="330"/>
      <c r="E220" s="330"/>
      <c r="F220" s="331"/>
      <c r="G220" s="331"/>
      <c r="H220" s="332"/>
      <c r="I220" s="330"/>
      <c r="J220" s="333"/>
      <c r="K220" s="333"/>
    </row>
    <row r="221" spans="1:11" x14ac:dyDescent="0.25">
      <c r="A221" s="328">
        <v>216</v>
      </c>
      <c r="B221" s="330"/>
      <c r="C221" s="330"/>
      <c r="D221" s="330"/>
      <c r="E221" s="330"/>
      <c r="F221" s="331"/>
      <c r="G221" s="331"/>
      <c r="H221" s="332"/>
      <c r="I221" s="330"/>
      <c r="J221" s="333"/>
      <c r="K221" s="333"/>
    </row>
    <row r="222" spans="1:11" x14ac:dyDescent="0.25">
      <c r="A222" s="328">
        <v>217</v>
      </c>
      <c r="B222" s="330"/>
      <c r="C222" s="330"/>
      <c r="D222" s="330"/>
      <c r="E222" s="330"/>
      <c r="F222" s="331"/>
      <c r="G222" s="331"/>
      <c r="H222" s="332"/>
      <c r="I222" s="330"/>
      <c r="J222" s="333"/>
      <c r="K222" s="333"/>
    </row>
    <row r="223" spans="1:11" x14ac:dyDescent="0.25">
      <c r="A223" s="328">
        <v>218</v>
      </c>
      <c r="B223" s="330"/>
      <c r="C223" s="330"/>
      <c r="D223" s="330"/>
      <c r="E223" s="330"/>
      <c r="F223" s="331"/>
      <c r="G223" s="331"/>
      <c r="H223" s="332"/>
      <c r="I223" s="330"/>
      <c r="J223" s="333"/>
      <c r="K223" s="333"/>
    </row>
    <row r="224" spans="1:11" x14ac:dyDescent="0.25">
      <c r="A224" s="328">
        <v>219</v>
      </c>
      <c r="B224" s="330"/>
      <c r="C224" s="330"/>
      <c r="D224" s="330"/>
      <c r="E224" s="330"/>
      <c r="F224" s="331"/>
      <c r="G224" s="331"/>
      <c r="H224" s="332"/>
      <c r="I224" s="330"/>
      <c r="J224" s="333"/>
      <c r="K224" s="333"/>
    </row>
    <row r="225" spans="1:11" x14ac:dyDescent="0.25">
      <c r="A225" s="328">
        <v>220</v>
      </c>
      <c r="B225" s="330"/>
      <c r="C225" s="330"/>
      <c r="D225" s="330"/>
      <c r="E225" s="330"/>
      <c r="F225" s="331"/>
      <c r="G225" s="331"/>
      <c r="H225" s="332"/>
      <c r="I225" s="330"/>
      <c r="J225" s="333"/>
      <c r="K225" s="333"/>
    </row>
    <row r="226" spans="1:11" x14ac:dyDescent="0.25">
      <c r="A226" s="328">
        <v>221</v>
      </c>
      <c r="B226" s="330"/>
      <c r="C226" s="330"/>
      <c r="D226" s="330"/>
      <c r="E226" s="330"/>
      <c r="F226" s="331"/>
      <c r="G226" s="331"/>
      <c r="H226" s="332"/>
      <c r="I226" s="330"/>
      <c r="J226" s="333"/>
      <c r="K226" s="333"/>
    </row>
    <row r="227" spans="1:11" x14ac:dyDescent="0.25">
      <c r="A227" s="328">
        <v>222</v>
      </c>
      <c r="B227" s="330"/>
      <c r="C227" s="330"/>
      <c r="D227" s="330"/>
      <c r="E227" s="330"/>
      <c r="F227" s="331"/>
      <c r="G227" s="331"/>
      <c r="H227" s="332"/>
      <c r="I227" s="330"/>
      <c r="J227" s="333"/>
      <c r="K227" s="333"/>
    </row>
    <row r="228" spans="1:11" x14ac:dyDescent="0.25">
      <c r="A228" s="328">
        <v>223</v>
      </c>
      <c r="B228" s="330"/>
      <c r="C228" s="330"/>
      <c r="D228" s="330"/>
      <c r="E228" s="330"/>
      <c r="F228" s="331"/>
      <c r="G228" s="331"/>
      <c r="H228" s="332"/>
      <c r="I228" s="330"/>
      <c r="J228" s="333"/>
      <c r="K228" s="333"/>
    </row>
    <row r="229" spans="1:11" x14ac:dyDescent="0.25">
      <c r="A229" s="328">
        <v>224</v>
      </c>
      <c r="B229" s="330"/>
      <c r="C229" s="330"/>
      <c r="D229" s="330"/>
      <c r="E229" s="330"/>
      <c r="F229" s="331"/>
      <c r="G229" s="331"/>
      <c r="H229" s="332"/>
      <c r="I229" s="330"/>
      <c r="J229" s="333"/>
      <c r="K229" s="333"/>
    </row>
    <row r="230" spans="1:11" x14ac:dyDescent="0.25">
      <c r="A230" s="328">
        <v>225</v>
      </c>
      <c r="B230" s="330"/>
      <c r="C230" s="330"/>
      <c r="D230" s="330"/>
      <c r="E230" s="330"/>
      <c r="F230" s="331"/>
      <c r="G230" s="331"/>
      <c r="H230" s="332"/>
      <c r="I230" s="330"/>
      <c r="J230" s="333"/>
      <c r="K230" s="333"/>
    </row>
    <row r="231" spans="1:11" x14ac:dyDescent="0.25">
      <c r="A231" s="328">
        <v>226</v>
      </c>
      <c r="B231" s="330"/>
      <c r="C231" s="330"/>
      <c r="D231" s="330"/>
      <c r="E231" s="330"/>
      <c r="F231" s="331"/>
      <c r="G231" s="331"/>
      <c r="H231" s="332"/>
      <c r="I231" s="330"/>
      <c r="J231" s="333"/>
      <c r="K231" s="333"/>
    </row>
    <row r="232" spans="1:11" x14ac:dyDescent="0.25">
      <c r="A232" s="328">
        <v>227</v>
      </c>
      <c r="B232" s="330"/>
      <c r="C232" s="330"/>
      <c r="D232" s="330"/>
      <c r="E232" s="330"/>
      <c r="F232" s="331"/>
      <c r="G232" s="331"/>
      <c r="H232" s="332"/>
      <c r="I232" s="330"/>
      <c r="J232" s="333"/>
      <c r="K232" s="333"/>
    </row>
    <row r="233" spans="1:11" x14ac:dyDescent="0.25">
      <c r="A233" s="328">
        <v>228</v>
      </c>
      <c r="B233" s="330"/>
      <c r="C233" s="330"/>
      <c r="D233" s="330"/>
      <c r="E233" s="330"/>
      <c r="F233" s="331"/>
      <c r="G233" s="331"/>
      <c r="H233" s="332"/>
      <c r="I233" s="330"/>
      <c r="J233" s="333"/>
      <c r="K233" s="333"/>
    </row>
    <row r="234" spans="1:11" x14ac:dyDescent="0.25">
      <c r="A234" s="328">
        <v>229</v>
      </c>
      <c r="B234" s="330"/>
      <c r="C234" s="330"/>
      <c r="D234" s="330"/>
      <c r="E234" s="330"/>
      <c r="F234" s="331"/>
      <c r="G234" s="331"/>
      <c r="H234" s="332"/>
      <c r="I234" s="330"/>
      <c r="J234" s="333"/>
      <c r="K234" s="333"/>
    </row>
    <row r="235" spans="1:11" x14ac:dyDescent="0.25">
      <c r="A235" s="328">
        <v>230</v>
      </c>
      <c r="B235" s="330"/>
      <c r="C235" s="330"/>
      <c r="D235" s="330"/>
      <c r="E235" s="330"/>
      <c r="F235" s="331"/>
      <c r="G235" s="331"/>
      <c r="H235" s="332"/>
      <c r="I235" s="330"/>
      <c r="J235" s="333"/>
      <c r="K235" s="333"/>
    </row>
    <row r="236" spans="1:11" x14ac:dyDescent="0.25">
      <c r="A236" s="328">
        <v>231</v>
      </c>
      <c r="B236" s="330"/>
      <c r="C236" s="330"/>
      <c r="D236" s="330"/>
      <c r="E236" s="330"/>
      <c r="F236" s="331"/>
      <c r="G236" s="331"/>
      <c r="H236" s="332"/>
      <c r="I236" s="330"/>
      <c r="J236" s="333"/>
      <c r="K236" s="333"/>
    </row>
    <row r="237" spans="1:11" x14ac:dyDescent="0.25">
      <c r="A237" s="328">
        <v>232</v>
      </c>
      <c r="B237" s="330"/>
      <c r="C237" s="330"/>
      <c r="D237" s="330"/>
      <c r="E237" s="330"/>
      <c r="F237" s="331"/>
      <c r="G237" s="331"/>
      <c r="H237" s="332"/>
      <c r="I237" s="330"/>
      <c r="J237" s="333"/>
      <c r="K237" s="333"/>
    </row>
    <row r="238" spans="1:11" x14ac:dyDescent="0.25">
      <c r="A238" s="328">
        <v>233</v>
      </c>
      <c r="B238" s="330"/>
      <c r="C238" s="330"/>
      <c r="D238" s="330"/>
      <c r="E238" s="330"/>
      <c r="F238" s="331"/>
      <c r="G238" s="331"/>
      <c r="H238" s="332"/>
      <c r="I238" s="330"/>
      <c r="J238" s="333"/>
      <c r="K238" s="333"/>
    </row>
    <row r="239" spans="1:11" x14ac:dyDescent="0.25">
      <c r="A239" s="328">
        <v>234</v>
      </c>
      <c r="B239" s="330"/>
      <c r="C239" s="330"/>
      <c r="D239" s="330"/>
      <c r="E239" s="330"/>
      <c r="F239" s="331"/>
      <c r="G239" s="331"/>
      <c r="H239" s="332"/>
      <c r="I239" s="330"/>
      <c r="J239" s="333"/>
      <c r="K239" s="333"/>
    </row>
    <row r="240" spans="1:11" x14ac:dyDescent="0.25">
      <c r="A240" s="328">
        <v>235</v>
      </c>
      <c r="B240" s="330"/>
      <c r="C240" s="330"/>
      <c r="D240" s="330"/>
      <c r="E240" s="330"/>
      <c r="F240" s="331"/>
      <c r="G240" s="331"/>
      <c r="H240" s="332"/>
      <c r="I240" s="330"/>
      <c r="J240" s="333"/>
      <c r="K240" s="333"/>
    </row>
    <row r="241" spans="1:11" x14ac:dyDescent="0.25">
      <c r="A241" s="328">
        <v>236</v>
      </c>
      <c r="B241" s="330"/>
      <c r="C241" s="330"/>
      <c r="D241" s="330"/>
      <c r="E241" s="330"/>
      <c r="F241" s="331"/>
      <c r="G241" s="331"/>
      <c r="H241" s="332"/>
      <c r="I241" s="330"/>
      <c r="J241" s="333"/>
      <c r="K241" s="333"/>
    </row>
    <row r="242" spans="1:11" x14ac:dyDescent="0.25">
      <c r="A242" s="328">
        <v>237</v>
      </c>
      <c r="B242" s="330"/>
      <c r="C242" s="330"/>
      <c r="D242" s="330"/>
      <c r="E242" s="330"/>
      <c r="F242" s="331"/>
      <c r="G242" s="331"/>
      <c r="H242" s="332"/>
      <c r="I242" s="330"/>
      <c r="J242" s="333"/>
      <c r="K242" s="333"/>
    </row>
    <row r="243" spans="1:11" x14ac:dyDescent="0.25">
      <c r="A243" s="328">
        <v>238</v>
      </c>
      <c r="B243" s="330"/>
      <c r="C243" s="330"/>
      <c r="D243" s="330"/>
      <c r="E243" s="330"/>
      <c r="F243" s="331"/>
      <c r="G243" s="331"/>
      <c r="H243" s="332"/>
      <c r="I243" s="330"/>
      <c r="J243" s="333"/>
      <c r="K243" s="333"/>
    </row>
    <row r="244" spans="1:11" x14ac:dyDescent="0.25">
      <c r="A244" s="328">
        <v>239</v>
      </c>
      <c r="B244" s="330"/>
      <c r="C244" s="330"/>
      <c r="D244" s="330"/>
      <c r="E244" s="330"/>
      <c r="F244" s="331"/>
      <c r="G244" s="331"/>
      <c r="H244" s="332"/>
      <c r="I244" s="330"/>
      <c r="J244" s="333"/>
      <c r="K244" s="333"/>
    </row>
    <row r="245" spans="1:11" x14ac:dyDescent="0.25">
      <c r="A245" s="328">
        <v>240</v>
      </c>
      <c r="B245" s="330"/>
      <c r="C245" s="330"/>
      <c r="D245" s="330"/>
      <c r="E245" s="330"/>
      <c r="F245" s="331"/>
      <c r="G245" s="331"/>
      <c r="H245" s="332"/>
      <c r="I245" s="330"/>
      <c r="J245" s="333"/>
      <c r="K245" s="333"/>
    </row>
    <row r="246" spans="1:11" x14ac:dyDescent="0.25">
      <c r="A246" s="328">
        <v>241</v>
      </c>
      <c r="B246" s="330"/>
      <c r="C246" s="330"/>
      <c r="D246" s="330"/>
      <c r="E246" s="330"/>
      <c r="F246" s="331"/>
      <c r="G246" s="331"/>
      <c r="H246" s="332"/>
      <c r="I246" s="330"/>
      <c r="J246" s="333"/>
      <c r="K246" s="333"/>
    </row>
    <row r="247" spans="1:11" x14ac:dyDescent="0.25">
      <c r="A247" s="328">
        <v>242</v>
      </c>
      <c r="B247" s="330"/>
      <c r="C247" s="330"/>
      <c r="D247" s="330"/>
      <c r="E247" s="330"/>
      <c r="F247" s="331"/>
      <c r="G247" s="331"/>
      <c r="H247" s="332"/>
      <c r="I247" s="330"/>
      <c r="J247" s="333"/>
      <c r="K247" s="333"/>
    </row>
    <row r="248" spans="1:11" x14ac:dyDescent="0.25">
      <c r="A248" s="328">
        <v>243</v>
      </c>
      <c r="B248" s="330"/>
      <c r="C248" s="330"/>
      <c r="D248" s="330"/>
      <c r="E248" s="330"/>
      <c r="F248" s="331"/>
      <c r="G248" s="331"/>
      <c r="H248" s="332"/>
      <c r="I248" s="330"/>
      <c r="J248" s="333"/>
      <c r="K248" s="333"/>
    </row>
    <row r="249" spans="1:11" x14ac:dyDescent="0.25">
      <c r="A249" s="328">
        <v>244</v>
      </c>
      <c r="B249" s="330"/>
      <c r="C249" s="330"/>
      <c r="D249" s="330"/>
      <c r="E249" s="330"/>
      <c r="F249" s="331"/>
      <c r="G249" s="331"/>
      <c r="H249" s="332"/>
      <c r="I249" s="330"/>
      <c r="J249" s="333"/>
      <c r="K249" s="333"/>
    </row>
    <row r="250" spans="1:11" x14ac:dyDescent="0.25">
      <c r="A250" s="328">
        <v>245</v>
      </c>
      <c r="B250" s="330"/>
      <c r="C250" s="330"/>
      <c r="D250" s="330"/>
      <c r="E250" s="330"/>
      <c r="F250" s="331"/>
      <c r="G250" s="331"/>
      <c r="H250" s="332"/>
      <c r="I250" s="330"/>
      <c r="J250" s="333"/>
      <c r="K250" s="333"/>
    </row>
    <row r="251" spans="1:11" x14ac:dyDescent="0.25">
      <c r="A251" s="328">
        <v>246</v>
      </c>
      <c r="B251" s="330"/>
      <c r="C251" s="330"/>
      <c r="D251" s="330"/>
      <c r="E251" s="330"/>
      <c r="F251" s="331"/>
      <c r="G251" s="331"/>
      <c r="H251" s="332"/>
      <c r="I251" s="330"/>
      <c r="J251" s="333"/>
      <c r="K251" s="333"/>
    </row>
    <row r="252" spans="1:11" x14ac:dyDescent="0.25">
      <c r="A252" s="328">
        <v>247</v>
      </c>
      <c r="B252" s="330"/>
      <c r="C252" s="330"/>
      <c r="D252" s="330"/>
      <c r="E252" s="330"/>
      <c r="F252" s="331"/>
      <c r="G252" s="331"/>
      <c r="H252" s="332"/>
      <c r="I252" s="330"/>
      <c r="J252" s="333"/>
      <c r="K252" s="333"/>
    </row>
    <row r="253" spans="1:11" x14ac:dyDescent="0.25">
      <c r="A253" s="328">
        <v>248</v>
      </c>
      <c r="B253" s="330"/>
      <c r="C253" s="330"/>
      <c r="D253" s="330"/>
      <c r="E253" s="330"/>
      <c r="F253" s="331"/>
      <c r="G253" s="331"/>
      <c r="H253" s="332"/>
      <c r="I253" s="330"/>
      <c r="J253" s="333"/>
      <c r="K253" s="333"/>
    </row>
    <row r="254" spans="1:11" x14ac:dyDescent="0.25">
      <c r="A254" s="328">
        <v>249</v>
      </c>
      <c r="B254" s="330"/>
      <c r="C254" s="330"/>
      <c r="D254" s="330"/>
      <c r="E254" s="330"/>
      <c r="F254" s="331"/>
      <c r="G254" s="331"/>
      <c r="H254" s="332"/>
      <c r="I254" s="330"/>
      <c r="J254" s="333"/>
      <c r="K254" s="333"/>
    </row>
    <row r="255" spans="1:11" x14ac:dyDescent="0.25">
      <c r="A255" s="328">
        <v>250</v>
      </c>
      <c r="B255" s="330"/>
      <c r="C255" s="330"/>
      <c r="D255" s="330"/>
      <c r="E255" s="330"/>
      <c r="F255" s="331"/>
      <c r="G255" s="331"/>
      <c r="H255" s="332"/>
      <c r="I255" s="330"/>
      <c r="J255" s="333"/>
      <c r="K255" s="333"/>
    </row>
    <row r="256" spans="1:11" x14ac:dyDescent="0.25">
      <c r="A256" s="328">
        <v>251</v>
      </c>
      <c r="B256" s="330"/>
      <c r="C256" s="330"/>
      <c r="D256" s="330"/>
      <c r="E256" s="330"/>
      <c r="F256" s="331"/>
      <c r="G256" s="331"/>
      <c r="H256" s="332"/>
      <c r="I256" s="330"/>
      <c r="J256" s="333"/>
      <c r="K256" s="333"/>
    </row>
    <row r="257" spans="1:11" x14ac:dyDescent="0.25">
      <c r="A257" s="328">
        <v>252</v>
      </c>
      <c r="B257" s="330"/>
      <c r="C257" s="330"/>
      <c r="D257" s="330"/>
      <c r="E257" s="330"/>
      <c r="F257" s="331"/>
      <c r="G257" s="331"/>
      <c r="H257" s="332"/>
      <c r="I257" s="330"/>
      <c r="J257" s="333"/>
      <c r="K257" s="333"/>
    </row>
    <row r="258" spans="1:11" x14ac:dyDescent="0.25">
      <c r="A258" s="328">
        <v>253</v>
      </c>
      <c r="B258" s="330"/>
      <c r="C258" s="330"/>
      <c r="D258" s="330"/>
      <c r="E258" s="330"/>
      <c r="F258" s="331"/>
      <c r="G258" s="331"/>
      <c r="H258" s="332"/>
      <c r="I258" s="330"/>
      <c r="J258" s="333"/>
      <c r="K258" s="333"/>
    </row>
    <row r="259" spans="1:11" x14ac:dyDescent="0.25">
      <c r="A259" s="328">
        <v>254</v>
      </c>
      <c r="B259" s="330"/>
      <c r="C259" s="330"/>
      <c r="D259" s="330"/>
      <c r="E259" s="330"/>
      <c r="F259" s="331"/>
      <c r="G259" s="331"/>
      <c r="H259" s="332"/>
      <c r="I259" s="330"/>
      <c r="J259" s="333"/>
      <c r="K259" s="333"/>
    </row>
    <row r="260" spans="1:11" x14ac:dyDescent="0.25">
      <c r="A260" s="328">
        <v>255</v>
      </c>
      <c r="B260" s="330"/>
      <c r="C260" s="330"/>
      <c r="D260" s="330"/>
      <c r="E260" s="330"/>
      <c r="F260" s="331"/>
      <c r="G260" s="331"/>
      <c r="H260" s="332"/>
      <c r="I260" s="330"/>
      <c r="J260" s="333"/>
      <c r="K260" s="333"/>
    </row>
    <row r="261" spans="1:11" x14ac:dyDescent="0.25">
      <c r="A261" s="328">
        <v>256</v>
      </c>
      <c r="B261" s="330"/>
      <c r="C261" s="330"/>
      <c r="D261" s="330"/>
      <c r="E261" s="330"/>
      <c r="F261" s="331"/>
      <c r="G261" s="331"/>
      <c r="H261" s="332"/>
      <c r="I261" s="330"/>
      <c r="J261" s="333"/>
      <c r="K261" s="333"/>
    </row>
    <row r="262" spans="1:11" x14ac:dyDescent="0.25">
      <c r="A262" s="328">
        <v>257</v>
      </c>
      <c r="B262" s="330"/>
      <c r="C262" s="330"/>
      <c r="D262" s="330"/>
      <c r="E262" s="330"/>
      <c r="F262" s="331"/>
      <c r="G262" s="331"/>
      <c r="H262" s="332"/>
      <c r="I262" s="330"/>
      <c r="J262" s="333"/>
      <c r="K262" s="333"/>
    </row>
    <row r="263" spans="1:11" x14ac:dyDescent="0.25">
      <c r="A263" s="328">
        <v>258</v>
      </c>
      <c r="B263" s="330"/>
      <c r="C263" s="330"/>
      <c r="D263" s="330"/>
      <c r="E263" s="330"/>
      <c r="F263" s="331"/>
      <c r="G263" s="331"/>
      <c r="H263" s="332"/>
      <c r="I263" s="330"/>
      <c r="J263" s="333"/>
      <c r="K263" s="333"/>
    </row>
    <row r="264" spans="1:11" x14ac:dyDescent="0.25">
      <c r="A264" s="328">
        <v>259</v>
      </c>
      <c r="B264" s="330"/>
      <c r="C264" s="330"/>
      <c r="D264" s="330"/>
      <c r="E264" s="330"/>
      <c r="F264" s="331"/>
      <c r="G264" s="331"/>
      <c r="H264" s="332"/>
      <c r="I264" s="330"/>
      <c r="J264" s="333"/>
      <c r="K264" s="333"/>
    </row>
    <row r="265" spans="1:11" x14ac:dyDescent="0.25">
      <c r="A265" s="328">
        <v>260</v>
      </c>
      <c r="B265" s="330"/>
      <c r="C265" s="330"/>
      <c r="D265" s="330"/>
      <c r="E265" s="330"/>
      <c r="F265" s="331"/>
      <c r="G265" s="331"/>
      <c r="H265" s="332"/>
      <c r="I265" s="330"/>
      <c r="J265" s="333"/>
      <c r="K265" s="333"/>
    </row>
    <row r="266" spans="1:11" x14ac:dyDescent="0.25">
      <c r="A266" s="328">
        <v>261</v>
      </c>
      <c r="B266" s="330"/>
      <c r="C266" s="330"/>
      <c r="D266" s="330"/>
      <c r="E266" s="330"/>
      <c r="F266" s="331"/>
      <c r="G266" s="331"/>
      <c r="H266" s="332"/>
      <c r="I266" s="330"/>
      <c r="J266" s="333"/>
      <c r="K266" s="333"/>
    </row>
    <row r="267" spans="1:11" x14ac:dyDescent="0.25">
      <c r="A267" s="328">
        <v>262</v>
      </c>
      <c r="B267" s="330"/>
      <c r="C267" s="330"/>
      <c r="D267" s="330"/>
      <c r="E267" s="330"/>
      <c r="F267" s="331"/>
      <c r="G267" s="331"/>
      <c r="H267" s="332"/>
      <c r="I267" s="330"/>
      <c r="J267" s="333"/>
      <c r="K267" s="333"/>
    </row>
    <row r="268" spans="1:11" x14ac:dyDescent="0.25">
      <c r="A268" s="328">
        <v>263</v>
      </c>
      <c r="B268" s="330"/>
      <c r="C268" s="330"/>
      <c r="D268" s="330"/>
      <c r="E268" s="330"/>
      <c r="F268" s="331"/>
      <c r="G268" s="331"/>
      <c r="H268" s="332"/>
      <c r="I268" s="330"/>
      <c r="J268" s="333"/>
      <c r="K268" s="333"/>
    </row>
    <row r="269" spans="1:11" x14ac:dyDescent="0.25">
      <c r="A269" s="328">
        <v>264</v>
      </c>
      <c r="B269" s="330"/>
      <c r="C269" s="330"/>
      <c r="D269" s="330"/>
      <c r="E269" s="330"/>
      <c r="F269" s="331"/>
      <c r="G269" s="331"/>
      <c r="H269" s="332"/>
      <c r="I269" s="330"/>
      <c r="J269" s="333"/>
      <c r="K269" s="333"/>
    </row>
    <row r="270" spans="1:11" x14ac:dyDescent="0.25">
      <c r="A270" s="328">
        <v>265</v>
      </c>
      <c r="B270" s="330"/>
      <c r="C270" s="330"/>
      <c r="D270" s="330"/>
      <c r="E270" s="330"/>
      <c r="F270" s="331"/>
      <c r="G270" s="331"/>
      <c r="H270" s="332"/>
      <c r="I270" s="330"/>
      <c r="J270" s="333"/>
      <c r="K270" s="333"/>
    </row>
    <row r="271" spans="1:11" x14ac:dyDescent="0.25">
      <c r="A271" s="328">
        <v>266</v>
      </c>
      <c r="B271" s="330"/>
      <c r="C271" s="330"/>
      <c r="D271" s="330"/>
      <c r="E271" s="330"/>
      <c r="F271" s="331"/>
      <c r="G271" s="331"/>
      <c r="H271" s="332"/>
      <c r="I271" s="330"/>
      <c r="J271" s="333"/>
      <c r="K271" s="333"/>
    </row>
    <row r="272" spans="1:11" x14ac:dyDescent="0.25">
      <c r="A272" s="328">
        <v>267</v>
      </c>
      <c r="B272" s="330"/>
      <c r="C272" s="330"/>
      <c r="D272" s="330"/>
      <c r="E272" s="330"/>
      <c r="F272" s="331"/>
      <c r="G272" s="331"/>
      <c r="H272" s="332"/>
      <c r="I272" s="330"/>
      <c r="J272" s="333"/>
      <c r="K272" s="333"/>
    </row>
    <row r="273" spans="1:11" x14ac:dyDescent="0.25">
      <c r="A273" s="328">
        <v>268</v>
      </c>
      <c r="B273" s="330"/>
      <c r="C273" s="330"/>
      <c r="D273" s="330"/>
      <c r="E273" s="330"/>
      <c r="F273" s="331"/>
      <c r="G273" s="331"/>
      <c r="H273" s="332"/>
      <c r="I273" s="330"/>
      <c r="J273" s="333"/>
      <c r="K273" s="333"/>
    </row>
    <row r="274" spans="1:11" x14ac:dyDescent="0.25">
      <c r="A274" s="328">
        <v>269</v>
      </c>
      <c r="B274" s="330"/>
      <c r="C274" s="330"/>
      <c r="D274" s="330"/>
      <c r="E274" s="330"/>
      <c r="F274" s="331"/>
      <c r="G274" s="331"/>
      <c r="H274" s="332"/>
      <c r="I274" s="330"/>
      <c r="J274" s="333"/>
      <c r="K274" s="333"/>
    </row>
    <row r="275" spans="1:11" x14ac:dyDescent="0.25">
      <c r="A275" s="328">
        <v>270</v>
      </c>
      <c r="B275" s="330"/>
      <c r="C275" s="330"/>
      <c r="D275" s="330"/>
      <c r="E275" s="330"/>
      <c r="F275" s="331"/>
      <c r="G275" s="331"/>
      <c r="H275" s="332"/>
      <c r="I275" s="330"/>
      <c r="J275" s="333"/>
      <c r="K275" s="333"/>
    </row>
    <row r="276" spans="1:11" x14ac:dyDescent="0.25">
      <c r="A276" s="328">
        <v>271</v>
      </c>
      <c r="B276" s="330"/>
      <c r="C276" s="330"/>
      <c r="D276" s="330"/>
      <c r="E276" s="330"/>
      <c r="F276" s="331"/>
      <c r="G276" s="331"/>
      <c r="H276" s="332"/>
      <c r="I276" s="330"/>
      <c r="J276" s="333"/>
      <c r="K276" s="333"/>
    </row>
    <row r="277" spans="1:11" x14ac:dyDescent="0.25">
      <c r="A277" s="328">
        <v>272</v>
      </c>
      <c r="B277" s="330"/>
      <c r="C277" s="330"/>
      <c r="D277" s="330"/>
      <c r="E277" s="330"/>
      <c r="F277" s="331"/>
      <c r="G277" s="331"/>
      <c r="H277" s="332"/>
      <c r="I277" s="330"/>
      <c r="J277" s="333"/>
      <c r="K277" s="333"/>
    </row>
    <row r="278" spans="1:11" x14ac:dyDescent="0.25">
      <c r="A278" s="328">
        <v>273</v>
      </c>
      <c r="B278" s="330"/>
      <c r="C278" s="330"/>
      <c r="D278" s="330"/>
      <c r="E278" s="330"/>
      <c r="F278" s="331"/>
      <c r="G278" s="331"/>
      <c r="H278" s="332"/>
      <c r="I278" s="330"/>
      <c r="J278" s="333"/>
      <c r="K278" s="333"/>
    </row>
    <row r="279" spans="1:11" x14ac:dyDescent="0.25">
      <c r="A279" s="328">
        <v>274</v>
      </c>
      <c r="B279" s="330"/>
      <c r="C279" s="330"/>
      <c r="D279" s="330"/>
      <c r="E279" s="330"/>
      <c r="F279" s="331"/>
      <c r="G279" s="331"/>
      <c r="H279" s="332"/>
      <c r="I279" s="330"/>
      <c r="J279" s="333"/>
      <c r="K279" s="333"/>
    </row>
    <row r="280" spans="1:11" x14ac:dyDescent="0.25">
      <c r="A280" s="328">
        <v>275</v>
      </c>
      <c r="B280" s="330"/>
      <c r="C280" s="330"/>
      <c r="D280" s="330"/>
      <c r="E280" s="330"/>
      <c r="F280" s="331"/>
      <c r="G280" s="331"/>
      <c r="H280" s="332"/>
      <c r="I280" s="330"/>
      <c r="J280" s="333"/>
      <c r="K280" s="333"/>
    </row>
    <row r="281" spans="1:11" x14ac:dyDescent="0.25">
      <c r="A281" s="328">
        <v>276</v>
      </c>
      <c r="B281" s="330"/>
      <c r="C281" s="330"/>
      <c r="D281" s="330"/>
      <c r="E281" s="330"/>
      <c r="F281" s="331"/>
      <c r="G281" s="331"/>
      <c r="H281" s="332"/>
      <c r="I281" s="330"/>
      <c r="J281" s="333"/>
      <c r="K281" s="333"/>
    </row>
    <row r="282" spans="1:11" x14ac:dyDescent="0.25">
      <c r="A282" s="328">
        <v>277</v>
      </c>
      <c r="B282" s="330"/>
      <c r="C282" s="330"/>
      <c r="D282" s="330"/>
      <c r="E282" s="330"/>
      <c r="F282" s="331"/>
      <c r="G282" s="331"/>
      <c r="H282" s="332"/>
      <c r="I282" s="330"/>
      <c r="J282" s="333"/>
      <c r="K282" s="333"/>
    </row>
    <row r="283" spans="1:11" x14ac:dyDescent="0.25">
      <c r="A283" s="328">
        <v>278</v>
      </c>
      <c r="B283" s="330"/>
      <c r="C283" s="330"/>
      <c r="D283" s="330"/>
      <c r="E283" s="330"/>
      <c r="F283" s="331"/>
      <c r="G283" s="331"/>
      <c r="H283" s="332"/>
      <c r="I283" s="330"/>
      <c r="J283" s="333"/>
      <c r="K283" s="333"/>
    </row>
    <row r="284" spans="1:11" x14ac:dyDescent="0.25">
      <c r="A284" s="328">
        <v>279</v>
      </c>
      <c r="B284" s="330"/>
      <c r="C284" s="330"/>
      <c r="D284" s="330"/>
      <c r="E284" s="330"/>
      <c r="F284" s="331"/>
      <c r="G284" s="331"/>
      <c r="H284" s="332"/>
      <c r="I284" s="330"/>
      <c r="J284" s="333"/>
      <c r="K284" s="333"/>
    </row>
    <row r="285" spans="1:11" x14ac:dyDescent="0.25">
      <c r="A285" s="328">
        <v>280</v>
      </c>
      <c r="B285" s="330"/>
      <c r="C285" s="330"/>
      <c r="D285" s="330"/>
      <c r="E285" s="330"/>
      <c r="F285" s="331"/>
      <c r="G285" s="331"/>
      <c r="H285" s="332"/>
      <c r="I285" s="330"/>
      <c r="J285" s="333"/>
      <c r="K285" s="333"/>
    </row>
    <row r="286" spans="1:11" x14ac:dyDescent="0.25">
      <c r="A286" s="328">
        <v>281</v>
      </c>
      <c r="B286" s="330"/>
      <c r="C286" s="330"/>
      <c r="D286" s="330"/>
      <c r="E286" s="330"/>
      <c r="F286" s="331"/>
      <c r="G286" s="331"/>
      <c r="H286" s="332"/>
      <c r="I286" s="330"/>
      <c r="J286" s="333"/>
      <c r="K286" s="333"/>
    </row>
    <row r="287" spans="1:11" x14ac:dyDescent="0.25">
      <c r="A287" s="328">
        <v>282</v>
      </c>
      <c r="B287" s="330"/>
      <c r="C287" s="330"/>
      <c r="D287" s="330"/>
      <c r="E287" s="330"/>
      <c r="F287" s="331"/>
      <c r="G287" s="331"/>
      <c r="H287" s="332"/>
      <c r="I287" s="330"/>
      <c r="J287" s="333"/>
      <c r="K287" s="333"/>
    </row>
    <row r="288" spans="1:11" x14ac:dyDescent="0.25">
      <c r="A288" s="328">
        <v>283</v>
      </c>
      <c r="B288" s="330"/>
      <c r="C288" s="330"/>
      <c r="D288" s="330"/>
      <c r="E288" s="330"/>
      <c r="F288" s="331"/>
      <c r="G288" s="331"/>
      <c r="H288" s="332"/>
      <c r="I288" s="330"/>
      <c r="J288" s="333"/>
      <c r="K288" s="333"/>
    </row>
    <row r="289" spans="1:11" x14ac:dyDescent="0.25">
      <c r="A289" s="328">
        <v>284</v>
      </c>
      <c r="B289" s="330"/>
      <c r="C289" s="330"/>
      <c r="D289" s="330"/>
      <c r="E289" s="330"/>
      <c r="F289" s="331"/>
      <c r="G289" s="331"/>
      <c r="H289" s="332"/>
      <c r="I289" s="330"/>
      <c r="J289" s="333"/>
      <c r="K289" s="333"/>
    </row>
    <row r="290" spans="1:11" x14ac:dyDescent="0.25">
      <c r="A290" s="328">
        <v>285</v>
      </c>
      <c r="B290" s="330"/>
      <c r="C290" s="330"/>
      <c r="D290" s="330"/>
      <c r="E290" s="330"/>
      <c r="F290" s="331"/>
      <c r="G290" s="331"/>
      <c r="H290" s="332"/>
      <c r="I290" s="330"/>
      <c r="J290" s="333"/>
      <c r="K290" s="333"/>
    </row>
    <row r="291" spans="1:11" x14ac:dyDescent="0.25">
      <c r="A291" s="328">
        <v>286</v>
      </c>
      <c r="B291" s="330"/>
      <c r="C291" s="330"/>
      <c r="D291" s="330"/>
      <c r="E291" s="330"/>
      <c r="F291" s="331"/>
      <c r="G291" s="331"/>
      <c r="H291" s="332"/>
      <c r="I291" s="330"/>
      <c r="J291" s="333"/>
      <c r="K291" s="333"/>
    </row>
    <row r="292" spans="1:11" x14ac:dyDescent="0.25">
      <c r="A292" s="328">
        <v>287</v>
      </c>
      <c r="B292" s="330"/>
      <c r="C292" s="330"/>
      <c r="D292" s="330"/>
      <c r="E292" s="330"/>
      <c r="F292" s="331"/>
      <c r="G292" s="331"/>
      <c r="H292" s="332"/>
      <c r="I292" s="330"/>
      <c r="J292" s="333"/>
      <c r="K292" s="333"/>
    </row>
    <row r="293" spans="1:11" x14ac:dyDescent="0.25">
      <c r="A293" s="328">
        <v>288</v>
      </c>
      <c r="B293" s="330"/>
      <c r="C293" s="330"/>
      <c r="D293" s="330"/>
      <c r="E293" s="330"/>
      <c r="F293" s="331"/>
      <c r="G293" s="331"/>
      <c r="H293" s="332"/>
      <c r="I293" s="330"/>
      <c r="J293" s="333"/>
      <c r="K293" s="333"/>
    </row>
    <row r="294" spans="1:11" x14ac:dyDescent="0.25">
      <c r="A294" s="328">
        <v>289</v>
      </c>
      <c r="B294" s="330"/>
      <c r="C294" s="330"/>
      <c r="D294" s="330"/>
      <c r="E294" s="330"/>
      <c r="F294" s="331"/>
      <c r="G294" s="331"/>
      <c r="H294" s="332"/>
      <c r="I294" s="330"/>
      <c r="J294" s="333"/>
      <c r="K294" s="333"/>
    </row>
    <row r="295" spans="1:11" x14ac:dyDescent="0.25">
      <c r="A295" s="328">
        <v>290</v>
      </c>
      <c r="B295" s="330"/>
      <c r="C295" s="330"/>
      <c r="D295" s="330"/>
      <c r="E295" s="330"/>
      <c r="F295" s="331"/>
      <c r="G295" s="331"/>
      <c r="H295" s="332"/>
      <c r="I295" s="330"/>
      <c r="J295" s="333"/>
      <c r="K295" s="333"/>
    </row>
    <row r="296" spans="1:11" x14ac:dyDescent="0.25">
      <c r="A296" s="328">
        <v>291</v>
      </c>
      <c r="B296" s="330"/>
      <c r="C296" s="330"/>
      <c r="D296" s="330"/>
      <c r="E296" s="330"/>
      <c r="F296" s="331"/>
      <c r="G296" s="331"/>
      <c r="H296" s="332"/>
      <c r="I296" s="330"/>
      <c r="J296" s="333"/>
      <c r="K296" s="333"/>
    </row>
    <row r="297" spans="1:11" x14ac:dyDescent="0.25">
      <c r="A297" s="328">
        <v>292</v>
      </c>
      <c r="B297" s="330"/>
      <c r="C297" s="330"/>
      <c r="D297" s="330"/>
      <c r="E297" s="330"/>
      <c r="F297" s="331"/>
      <c r="G297" s="331"/>
      <c r="H297" s="332"/>
      <c r="I297" s="330"/>
      <c r="J297" s="333"/>
      <c r="K297" s="333"/>
    </row>
    <row r="298" spans="1:11" x14ac:dyDescent="0.25">
      <c r="A298" s="328">
        <v>293</v>
      </c>
      <c r="B298" s="330"/>
      <c r="C298" s="330"/>
      <c r="D298" s="330"/>
      <c r="E298" s="330"/>
      <c r="F298" s="331"/>
      <c r="G298" s="331"/>
      <c r="H298" s="332"/>
      <c r="I298" s="330"/>
      <c r="J298" s="333"/>
      <c r="K298" s="333"/>
    </row>
    <row r="299" spans="1:11" x14ac:dyDescent="0.25">
      <c r="A299" s="328">
        <v>294</v>
      </c>
      <c r="B299" s="330"/>
      <c r="C299" s="330"/>
      <c r="D299" s="330"/>
      <c r="E299" s="330"/>
      <c r="F299" s="331"/>
      <c r="G299" s="331"/>
      <c r="H299" s="332"/>
      <c r="I299" s="330"/>
      <c r="J299" s="333"/>
      <c r="K299" s="333"/>
    </row>
    <row r="300" spans="1:11" x14ac:dyDescent="0.25">
      <c r="A300" s="328">
        <v>295</v>
      </c>
      <c r="B300" s="330"/>
      <c r="C300" s="330"/>
      <c r="D300" s="330"/>
      <c r="E300" s="330"/>
      <c r="F300" s="331"/>
      <c r="G300" s="331"/>
      <c r="H300" s="332"/>
      <c r="I300" s="330"/>
      <c r="J300" s="333"/>
      <c r="K300" s="333"/>
    </row>
    <row r="301" spans="1:11" x14ac:dyDescent="0.25">
      <c r="A301" s="328">
        <v>296</v>
      </c>
      <c r="B301" s="330"/>
      <c r="C301" s="330"/>
      <c r="D301" s="330"/>
      <c r="E301" s="330"/>
      <c r="F301" s="331"/>
      <c r="G301" s="331"/>
      <c r="H301" s="332"/>
      <c r="I301" s="330"/>
      <c r="J301" s="333"/>
      <c r="K301" s="333"/>
    </row>
    <row r="302" spans="1:11" x14ac:dyDescent="0.25">
      <c r="A302" s="328">
        <v>297</v>
      </c>
      <c r="B302" s="330"/>
      <c r="C302" s="330"/>
      <c r="D302" s="330"/>
      <c r="E302" s="330"/>
      <c r="F302" s="331"/>
      <c r="G302" s="331"/>
      <c r="H302" s="332"/>
      <c r="I302" s="330"/>
      <c r="J302" s="333"/>
      <c r="K302" s="333"/>
    </row>
    <row r="303" spans="1:11" x14ac:dyDescent="0.25">
      <c r="A303" s="328">
        <v>298</v>
      </c>
      <c r="B303" s="330"/>
      <c r="C303" s="330"/>
      <c r="D303" s="330"/>
      <c r="E303" s="330"/>
      <c r="F303" s="331"/>
      <c r="G303" s="331"/>
      <c r="H303" s="332"/>
      <c r="I303" s="330"/>
      <c r="J303" s="333"/>
      <c r="K303" s="333"/>
    </row>
    <row r="304" spans="1:11" x14ac:dyDescent="0.25">
      <c r="A304" s="328">
        <v>299</v>
      </c>
      <c r="B304" s="330"/>
      <c r="C304" s="330"/>
      <c r="D304" s="330"/>
      <c r="E304" s="330"/>
      <c r="F304" s="331"/>
      <c r="G304" s="331"/>
      <c r="H304" s="332"/>
      <c r="I304" s="330"/>
      <c r="J304" s="333"/>
      <c r="K304" s="333"/>
    </row>
    <row r="305" spans="1:11" x14ac:dyDescent="0.25">
      <c r="A305" s="328">
        <v>300</v>
      </c>
      <c r="B305" s="330"/>
      <c r="C305" s="330"/>
      <c r="D305" s="330"/>
      <c r="E305" s="330"/>
      <c r="F305" s="331"/>
      <c r="G305" s="331"/>
      <c r="H305" s="332"/>
      <c r="I305" s="330"/>
      <c r="J305" s="333"/>
      <c r="K305" s="333"/>
    </row>
    <row r="306" spans="1:11" x14ac:dyDescent="0.25">
      <c r="A306" s="328">
        <v>301</v>
      </c>
      <c r="B306" s="330"/>
      <c r="C306" s="330"/>
      <c r="D306" s="330"/>
      <c r="E306" s="330"/>
      <c r="F306" s="331"/>
      <c r="G306" s="331"/>
      <c r="H306" s="332"/>
      <c r="I306" s="330"/>
      <c r="J306" s="333"/>
      <c r="K306" s="333"/>
    </row>
    <row r="307" spans="1:11" x14ac:dyDescent="0.25">
      <c r="A307" s="328">
        <v>302</v>
      </c>
      <c r="B307" s="330"/>
      <c r="C307" s="330"/>
      <c r="D307" s="330"/>
      <c r="E307" s="330"/>
      <c r="F307" s="331"/>
      <c r="G307" s="331"/>
      <c r="H307" s="332"/>
      <c r="I307" s="330"/>
      <c r="J307" s="333"/>
      <c r="K307" s="333"/>
    </row>
    <row r="308" spans="1:11" x14ac:dyDescent="0.25">
      <c r="A308" s="328">
        <v>303</v>
      </c>
      <c r="B308" s="330"/>
      <c r="C308" s="330"/>
      <c r="D308" s="330"/>
      <c r="E308" s="330"/>
      <c r="F308" s="331"/>
      <c r="G308" s="331"/>
      <c r="H308" s="332"/>
      <c r="I308" s="330"/>
      <c r="J308" s="333"/>
      <c r="K308" s="333"/>
    </row>
    <row r="309" spans="1:11" x14ac:dyDescent="0.25">
      <c r="A309" s="328">
        <v>304</v>
      </c>
      <c r="B309" s="330"/>
      <c r="C309" s="330"/>
      <c r="D309" s="330"/>
      <c r="E309" s="330"/>
      <c r="F309" s="331"/>
      <c r="G309" s="331"/>
      <c r="H309" s="332"/>
      <c r="I309" s="330"/>
      <c r="J309" s="333"/>
      <c r="K309" s="333"/>
    </row>
    <row r="310" spans="1:11" x14ac:dyDescent="0.25">
      <c r="A310" s="328">
        <v>305</v>
      </c>
      <c r="B310" s="330"/>
      <c r="C310" s="330"/>
      <c r="D310" s="330"/>
      <c r="E310" s="330"/>
      <c r="F310" s="331"/>
      <c r="G310" s="331"/>
      <c r="H310" s="332"/>
      <c r="I310" s="330"/>
      <c r="J310" s="333"/>
      <c r="K310" s="333"/>
    </row>
    <row r="311" spans="1:11" x14ac:dyDescent="0.25">
      <c r="A311" s="328">
        <v>306</v>
      </c>
      <c r="B311" s="330"/>
      <c r="C311" s="330"/>
      <c r="D311" s="330"/>
      <c r="E311" s="330"/>
      <c r="F311" s="331"/>
      <c r="G311" s="331"/>
      <c r="H311" s="332"/>
      <c r="I311" s="330"/>
      <c r="J311" s="333"/>
      <c r="K311" s="333"/>
    </row>
    <row r="312" spans="1:11" x14ac:dyDescent="0.25">
      <c r="A312" s="328">
        <v>307</v>
      </c>
      <c r="B312" s="330"/>
      <c r="C312" s="330"/>
      <c r="D312" s="330"/>
      <c r="E312" s="330"/>
      <c r="F312" s="331"/>
      <c r="G312" s="331"/>
      <c r="H312" s="332"/>
      <c r="I312" s="330"/>
      <c r="J312" s="333"/>
      <c r="K312" s="333"/>
    </row>
    <row r="313" spans="1:11" x14ac:dyDescent="0.25">
      <c r="A313" s="328">
        <v>308</v>
      </c>
      <c r="B313" s="330"/>
      <c r="C313" s="330"/>
      <c r="D313" s="330"/>
      <c r="E313" s="330"/>
      <c r="F313" s="331"/>
      <c r="G313" s="331"/>
      <c r="H313" s="332"/>
      <c r="I313" s="330"/>
      <c r="J313" s="333"/>
      <c r="K313" s="333"/>
    </row>
    <row r="314" spans="1:11" x14ac:dyDescent="0.25">
      <c r="A314" s="328">
        <v>309</v>
      </c>
      <c r="B314" s="330"/>
      <c r="C314" s="330"/>
      <c r="D314" s="330"/>
      <c r="E314" s="330"/>
      <c r="F314" s="331"/>
      <c r="G314" s="331"/>
      <c r="H314" s="332"/>
      <c r="I314" s="330"/>
      <c r="J314" s="333"/>
      <c r="K314" s="333"/>
    </row>
    <row r="315" spans="1:11" x14ac:dyDescent="0.25">
      <c r="A315" s="328">
        <v>310</v>
      </c>
      <c r="B315" s="330"/>
      <c r="C315" s="330"/>
      <c r="D315" s="330"/>
      <c r="E315" s="330"/>
      <c r="F315" s="331"/>
      <c r="G315" s="331"/>
      <c r="H315" s="332"/>
      <c r="I315" s="330"/>
      <c r="J315" s="333"/>
      <c r="K315" s="333"/>
    </row>
    <row r="316" spans="1:11" x14ac:dyDescent="0.25">
      <c r="A316" s="328">
        <v>311</v>
      </c>
      <c r="B316" s="330"/>
      <c r="C316" s="330"/>
      <c r="D316" s="330"/>
      <c r="E316" s="330"/>
      <c r="F316" s="331"/>
      <c r="G316" s="331"/>
      <c r="H316" s="332"/>
      <c r="I316" s="330"/>
      <c r="J316" s="333"/>
      <c r="K316" s="333"/>
    </row>
    <row r="317" spans="1:11" x14ac:dyDescent="0.25">
      <c r="A317" s="328">
        <v>312</v>
      </c>
      <c r="B317" s="330"/>
      <c r="C317" s="330"/>
      <c r="D317" s="330"/>
      <c r="E317" s="330"/>
      <c r="F317" s="331"/>
      <c r="G317" s="331"/>
      <c r="H317" s="332"/>
      <c r="I317" s="330"/>
      <c r="J317" s="333"/>
      <c r="K317" s="333"/>
    </row>
    <row r="318" spans="1:11" x14ac:dyDescent="0.25">
      <c r="A318" s="328">
        <v>313</v>
      </c>
      <c r="B318" s="330"/>
      <c r="C318" s="330"/>
      <c r="D318" s="330"/>
      <c r="E318" s="330"/>
      <c r="F318" s="331"/>
      <c r="G318" s="331"/>
      <c r="H318" s="332"/>
      <c r="I318" s="330"/>
      <c r="J318" s="333"/>
      <c r="K318" s="333"/>
    </row>
    <row r="319" spans="1:11" x14ac:dyDescent="0.25">
      <c r="A319" s="328">
        <v>314</v>
      </c>
      <c r="B319" s="330"/>
      <c r="C319" s="330"/>
      <c r="D319" s="330"/>
      <c r="E319" s="330"/>
      <c r="F319" s="331"/>
      <c r="G319" s="331"/>
      <c r="H319" s="332"/>
      <c r="I319" s="330"/>
      <c r="J319" s="333"/>
      <c r="K319" s="333"/>
    </row>
    <row r="320" spans="1:11" x14ac:dyDescent="0.25">
      <c r="A320" s="328">
        <v>315</v>
      </c>
      <c r="B320" s="330"/>
      <c r="C320" s="330"/>
      <c r="D320" s="330"/>
      <c r="E320" s="330"/>
      <c r="F320" s="331"/>
      <c r="G320" s="331"/>
      <c r="H320" s="332"/>
      <c r="I320" s="330"/>
      <c r="J320" s="333"/>
      <c r="K320" s="333"/>
    </row>
    <row r="321" spans="1:11" x14ac:dyDescent="0.25">
      <c r="A321" s="328">
        <v>316</v>
      </c>
      <c r="B321" s="330"/>
      <c r="C321" s="330"/>
      <c r="D321" s="330"/>
      <c r="E321" s="330"/>
      <c r="F321" s="331"/>
      <c r="G321" s="331"/>
      <c r="H321" s="332"/>
      <c r="I321" s="330"/>
      <c r="J321" s="333"/>
      <c r="K321" s="333"/>
    </row>
    <row r="322" spans="1:11" x14ac:dyDescent="0.25">
      <c r="A322" s="328">
        <v>317</v>
      </c>
      <c r="B322" s="330"/>
      <c r="C322" s="330"/>
      <c r="D322" s="330"/>
      <c r="E322" s="330"/>
      <c r="F322" s="331"/>
      <c r="G322" s="331"/>
      <c r="H322" s="332"/>
      <c r="I322" s="330"/>
      <c r="J322" s="333"/>
      <c r="K322" s="333"/>
    </row>
    <row r="323" spans="1:11" x14ac:dyDescent="0.25">
      <c r="A323" s="328">
        <v>318</v>
      </c>
      <c r="B323" s="330"/>
      <c r="C323" s="330"/>
      <c r="D323" s="330"/>
      <c r="E323" s="330"/>
      <c r="F323" s="331"/>
      <c r="G323" s="331"/>
      <c r="H323" s="332"/>
      <c r="I323" s="330"/>
      <c r="J323" s="333"/>
      <c r="K323" s="333"/>
    </row>
    <row r="324" spans="1:11" x14ac:dyDescent="0.25">
      <c r="A324" s="328">
        <v>319</v>
      </c>
      <c r="B324" s="330"/>
      <c r="C324" s="330"/>
      <c r="D324" s="330"/>
      <c r="E324" s="330"/>
      <c r="F324" s="331"/>
      <c r="G324" s="331"/>
      <c r="H324" s="332"/>
      <c r="I324" s="330"/>
      <c r="J324" s="333"/>
      <c r="K324" s="333"/>
    </row>
    <row r="325" spans="1:11" x14ac:dyDescent="0.25">
      <c r="A325" s="328">
        <v>320</v>
      </c>
      <c r="B325" s="330"/>
      <c r="C325" s="330"/>
      <c r="D325" s="330"/>
      <c r="E325" s="330"/>
      <c r="F325" s="331"/>
      <c r="G325" s="331"/>
      <c r="H325" s="332"/>
      <c r="I325" s="330"/>
      <c r="J325" s="333"/>
      <c r="K325" s="333"/>
    </row>
    <row r="326" spans="1:11" x14ac:dyDescent="0.25">
      <c r="A326" s="328">
        <v>321</v>
      </c>
      <c r="B326" s="330"/>
      <c r="C326" s="330"/>
      <c r="D326" s="330"/>
      <c r="E326" s="330"/>
      <c r="F326" s="331"/>
      <c r="G326" s="331"/>
      <c r="H326" s="332"/>
      <c r="I326" s="330"/>
      <c r="J326" s="333"/>
      <c r="K326" s="333"/>
    </row>
    <row r="327" spans="1:11" x14ac:dyDescent="0.25">
      <c r="A327" s="328">
        <v>322</v>
      </c>
      <c r="B327" s="330"/>
      <c r="C327" s="330"/>
      <c r="D327" s="330"/>
      <c r="E327" s="330"/>
      <c r="F327" s="331"/>
      <c r="G327" s="331"/>
      <c r="H327" s="332"/>
      <c r="I327" s="330"/>
      <c r="J327" s="333"/>
      <c r="K327" s="333"/>
    </row>
    <row r="328" spans="1:11" x14ac:dyDescent="0.25">
      <c r="A328" s="328">
        <v>323</v>
      </c>
      <c r="B328" s="330"/>
      <c r="C328" s="330"/>
      <c r="D328" s="330"/>
      <c r="E328" s="330"/>
      <c r="F328" s="331"/>
      <c r="G328" s="331"/>
      <c r="H328" s="332"/>
      <c r="I328" s="330"/>
      <c r="J328" s="333"/>
      <c r="K328" s="333"/>
    </row>
    <row r="329" spans="1:11" x14ac:dyDescent="0.25">
      <c r="A329" s="328">
        <v>324</v>
      </c>
      <c r="B329" s="330"/>
      <c r="C329" s="330"/>
      <c r="D329" s="330"/>
      <c r="E329" s="330"/>
      <c r="F329" s="331"/>
      <c r="G329" s="331"/>
      <c r="H329" s="332"/>
      <c r="I329" s="330"/>
      <c r="J329" s="333"/>
      <c r="K329" s="333"/>
    </row>
    <row r="330" spans="1:11" x14ac:dyDescent="0.25">
      <c r="A330" s="328">
        <v>325</v>
      </c>
      <c r="B330" s="330"/>
      <c r="C330" s="330"/>
      <c r="D330" s="330"/>
      <c r="E330" s="330"/>
      <c r="F330" s="331"/>
      <c r="G330" s="331"/>
      <c r="H330" s="332"/>
      <c r="I330" s="330"/>
      <c r="J330" s="333"/>
      <c r="K330" s="333"/>
    </row>
    <row r="331" spans="1:11" x14ac:dyDescent="0.25">
      <c r="A331" s="328">
        <v>326</v>
      </c>
      <c r="B331" s="330"/>
      <c r="C331" s="330"/>
      <c r="D331" s="330"/>
      <c r="E331" s="330"/>
      <c r="F331" s="331"/>
      <c r="G331" s="331"/>
      <c r="H331" s="332"/>
      <c r="I331" s="330"/>
      <c r="J331" s="333"/>
      <c r="K331" s="333"/>
    </row>
    <row r="332" spans="1:11" x14ac:dyDescent="0.25">
      <c r="A332" s="328">
        <v>327</v>
      </c>
      <c r="B332" s="330"/>
      <c r="C332" s="330"/>
      <c r="D332" s="330"/>
      <c r="E332" s="330"/>
      <c r="F332" s="331"/>
      <c r="G332" s="331"/>
      <c r="H332" s="332"/>
      <c r="I332" s="330"/>
      <c r="J332" s="333"/>
      <c r="K332" s="333"/>
    </row>
    <row r="333" spans="1:11" x14ac:dyDescent="0.25">
      <c r="A333" s="328">
        <v>328</v>
      </c>
      <c r="B333" s="330"/>
      <c r="C333" s="330"/>
      <c r="D333" s="330"/>
      <c r="E333" s="330"/>
      <c r="F333" s="331"/>
      <c r="G333" s="331"/>
      <c r="H333" s="332"/>
      <c r="I333" s="330"/>
      <c r="J333" s="333"/>
      <c r="K333" s="333"/>
    </row>
    <row r="334" spans="1:11" x14ac:dyDescent="0.25">
      <c r="A334" s="328">
        <v>329</v>
      </c>
      <c r="B334" s="330"/>
      <c r="C334" s="330"/>
      <c r="D334" s="330"/>
      <c r="E334" s="330"/>
      <c r="F334" s="331"/>
      <c r="G334" s="331"/>
      <c r="H334" s="332"/>
      <c r="I334" s="330"/>
      <c r="J334" s="333"/>
      <c r="K334" s="333"/>
    </row>
    <row r="335" spans="1:11" x14ac:dyDescent="0.25">
      <c r="A335" s="328">
        <v>330</v>
      </c>
      <c r="B335" s="330"/>
      <c r="C335" s="330"/>
      <c r="D335" s="330"/>
      <c r="E335" s="330"/>
      <c r="F335" s="331"/>
      <c r="G335" s="331"/>
      <c r="H335" s="332"/>
      <c r="I335" s="330"/>
      <c r="J335" s="333"/>
      <c r="K335" s="333"/>
    </row>
    <row r="336" spans="1:11" x14ac:dyDescent="0.25">
      <c r="A336" s="328">
        <v>331</v>
      </c>
      <c r="B336" s="330"/>
      <c r="C336" s="330"/>
      <c r="D336" s="330"/>
      <c r="E336" s="330"/>
      <c r="F336" s="331"/>
      <c r="G336" s="331"/>
      <c r="H336" s="332"/>
      <c r="I336" s="330"/>
      <c r="J336" s="333"/>
      <c r="K336" s="333"/>
    </row>
    <row r="337" spans="1:11" x14ac:dyDescent="0.25">
      <c r="A337" s="328">
        <v>332</v>
      </c>
      <c r="B337" s="330"/>
      <c r="C337" s="330"/>
      <c r="D337" s="330"/>
      <c r="E337" s="330"/>
      <c r="F337" s="331"/>
      <c r="G337" s="331"/>
      <c r="H337" s="332"/>
      <c r="I337" s="330"/>
      <c r="J337" s="333"/>
      <c r="K337" s="333"/>
    </row>
    <row r="338" spans="1:11" x14ac:dyDescent="0.25">
      <c r="A338" s="328">
        <v>333</v>
      </c>
      <c r="B338" s="330"/>
      <c r="C338" s="330"/>
      <c r="D338" s="330"/>
      <c r="E338" s="330"/>
      <c r="F338" s="331"/>
      <c r="G338" s="331"/>
      <c r="H338" s="332"/>
      <c r="I338" s="330"/>
      <c r="J338" s="333"/>
      <c r="K338" s="333"/>
    </row>
    <row r="339" spans="1:11" x14ac:dyDescent="0.25">
      <c r="A339" s="328">
        <v>334</v>
      </c>
      <c r="B339" s="330"/>
      <c r="C339" s="330"/>
      <c r="D339" s="330"/>
      <c r="E339" s="330"/>
      <c r="F339" s="331"/>
      <c r="G339" s="331"/>
      <c r="H339" s="332"/>
      <c r="I339" s="330"/>
      <c r="J339" s="333"/>
      <c r="K339" s="333"/>
    </row>
    <row r="340" spans="1:11" x14ac:dyDescent="0.25">
      <c r="A340" s="328">
        <v>335</v>
      </c>
      <c r="B340" s="330"/>
      <c r="C340" s="330"/>
      <c r="D340" s="330"/>
      <c r="E340" s="330"/>
      <c r="F340" s="331"/>
      <c r="G340" s="331"/>
      <c r="H340" s="332"/>
      <c r="I340" s="330"/>
      <c r="J340" s="333"/>
      <c r="K340" s="333"/>
    </row>
    <row r="341" spans="1:11" x14ac:dyDescent="0.25">
      <c r="A341" s="328">
        <v>336</v>
      </c>
      <c r="B341" s="330"/>
      <c r="C341" s="330"/>
      <c r="D341" s="330"/>
      <c r="E341" s="330"/>
      <c r="F341" s="331"/>
      <c r="G341" s="331"/>
      <c r="H341" s="332"/>
      <c r="I341" s="330"/>
      <c r="J341" s="333"/>
      <c r="K341" s="333"/>
    </row>
    <row r="342" spans="1:11" x14ac:dyDescent="0.25">
      <c r="A342" s="328">
        <v>337</v>
      </c>
      <c r="B342" s="330"/>
      <c r="C342" s="330"/>
      <c r="D342" s="330"/>
      <c r="E342" s="330"/>
      <c r="F342" s="331"/>
      <c r="G342" s="331"/>
      <c r="H342" s="332"/>
      <c r="I342" s="330"/>
      <c r="J342" s="333"/>
      <c r="K342" s="333"/>
    </row>
    <row r="343" spans="1:11" x14ac:dyDescent="0.25">
      <c r="A343" s="328">
        <v>338</v>
      </c>
      <c r="B343" s="330"/>
      <c r="C343" s="330"/>
      <c r="D343" s="330"/>
      <c r="E343" s="330"/>
      <c r="F343" s="331"/>
      <c r="G343" s="331"/>
      <c r="H343" s="332"/>
      <c r="I343" s="330"/>
      <c r="J343" s="333"/>
      <c r="K343" s="333"/>
    </row>
    <row r="344" spans="1:11" x14ac:dyDescent="0.25">
      <c r="A344" s="328">
        <v>339</v>
      </c>
      <c r="B344" s="330"/>
      <c r="C344" s="330"/>
      <c r="D344" s="330"/>
      <c r="E344" s="330"/>
      <c r="F344" s="331"/>
      <c r="G344" s="331"/>
      <c r="H344" s="332"/>
      <c r="I344" s="330"/>
      <c r="J344" s="333"/>
      <c r="K344" s="333"/>
    </row>
    <row r="345" spans="1:11" x14ac:dyDescent="0.25">
      <c r="A345" s="328">
        <v>340</v>
      </c>
      <c r="B345" s="330"/>
      <c r="C345" s="330"/>
      <c r="D345" s="330"/>
      <c r="E345" s="330"/>
      <c r="F345" s="331"/>
      <c r="G345" s="331"/>
      <c r="H345" s="332"/>
      <c r="I345" s="330"/>
      <c r="J345" s="333"/>
      <c r="K345" s="333"/>
    </row>
    <row r="346" spans="1:11" x14ac:dyDescent="0.25">
      <c r="A346" s="328">
        <v>341</v>
      </c>
      <c r="B346" s="330"/>
      <c r="C346" s="330"/>
      <c r="D346" s="330"/>
      <c r="E346" s="330"/>
      <c r="F346" s="331"/>
      <c r="G346" s="331"/>
      <c r="H346" s="332"/>
      <c r="I346" s="330"/>
      <c r="J346" s="333"/>
      <c r="K346" s="333"/>
    </row>
    <row r="347" spans="1:11" x14ac:dyDescent="0.25">
      <c r="A347" s="328">
        <v>342</v>
      </c>
      <c r="B347" s="330"/>
      <c r="C347" s="330"/>
      <c r="D347" s="330"/>
      <c r="E347" s="330"/>
      <c r="F347" s="331"/>
      <c r="G347" s="331"/>
      <c r="H347" s="332"/>
      <c r="I347" s="330"/>
      <c r="J347" s="333"/>
      <c r="K347" s="333"/>
    </row>
    <row r="348" spans="1:11" x14ac:dyDescent="0.25">
      <c r="A348" s="328">
        <v>343</v>
      </c>
      <c r="B348" s="330"/>
      <c r="C348" s="330"/>
      <c r="D348" s="330"/>
      <c r="E348" s="330"/>
      <c r="F348" s="331"/>
      <c r="G348" s="331"/>
      <c r="H348" s="332"/>
      <c r="I348" s="330"/>
      <c r="J348" s="333"/>
      <c r="K348" s="333"/>
    </row>
    <row r="349" spans="1:11" x14ac:dyDescent="0.25">
      <c r="A349" s="328">
        <v>344</v>
      </c>
      <c r="B349" s="330"/>
      <c r="C349" s="330"/>
      <c r="D349" s="330"/>
      <c r="E349" s="330"/>
      <c r="F349" s="331"/>
      <c r="G349" s="331"/>
      <c r="H349" s="332"/>
      <c r="I349" s="330"/>
      <c r="J349" s="333"/>
      <c r="K349" s="333"/>
    </row>
    <row r="350" spans="1:11" x14ac:dyDescent="0.25">
      <c r="A350" s="328">
        <v>345</v>
      </c>
      <c r="B350" s="330"/>
      <c r="C350" s="330"/>
      <c r="D350" s="330"/>
      <c r="E350" s="330"/>
      <c r="F350" s="331"/>
      <c r="G350" s="331"/>
      <c r="H350" s="332"/>
      <c r="I350" s="330"/>
      <c r="J350" s="333"/>
      <c r="K350" s="333"/>
    </row>
    <row r="351" spans="1:11" x14ac:dyDescent="0.25">
      <c r="A351" s="328">
        <v>346</v>
      </c>
      <c r="B351" s="330"/>
      <c r="C351" s="330"/>
      <c r="D351" s="330"/>
      <c r="E351" s="330"/>
      <c r="F351" s="331"/>
      <c r="G351" s="331"/>
      <c r="H351" s="332"/>
      <c r="I351" s="330"/>
      <c r="J351" s="333"/>
      <c r="K351" s="333"/>
    </row>
    <row r="352" spans="1:11" x14ac:dyDescent="0.25">
      <c r="A352" s="328">
        <v>347</v>
      </c>
      <c r="B352" s="330"/>
      <c r="C352" s="330"/>
      <c r="D352" s="330"/>
      <c r="E352" s="330"/>
      <c r="F352" s="331"/>
      <c r="G352" s="331"/>
      <c r="H352" s="332"/>
      <c r="I352" s="330"/>
      <c r="J352" s="333"/>
      <c r="K352" s="333"/>
    </row>
    <row r="353" spans="1:11" x14ac:dyDescent="0.25">
      <c r="A353" s="328">
        <v>348</v>
      </c>
      <c r="B353" s="330"/>
      <c r="C353" s="330"/>
      <c r="D353" s="330"/>
      <c r="E353" s="330"/>
      <c r="F353" s="331"/>
      <c r="G353" s="331"/>
      <c r="H353" s="332"/>
      <c r="I353" s="330"/>
      <c r="J353" s="333"/>
      <c r="K353" s="333"/>
    </row>
    <row r="354" spans="1:11" x14ac:dyDescent="0.25">
      <c r="A354" s="328">
        <v>349</v>
      </c>
      <c r="B354" s="330"/>
      <c r="C354" s="330"/>
      <c r="D354" s="330"/>
      <c r="E354" s="330"/>
      <c r="F354" s="331"/>
      <c r="G354" s="331"/>
      <c r="H354" s="332"/>
      <c r="I354" s="330"/>
      <c r="J354" s="333"/>
      <c r="K354" s="333"/>
    </row>
    <row r="355" spans="1:11" x14ac:dyDescent="0.25">
      <c r="A355" s="328">
        <v>350</v>
      </c>
      <c r="B355" s="330"/>
      <c r="C355" s="330"/>
      <c r="D355" s="330"/>
      <c r="E355" s="330"/>
      <c r="F355" s="331"/>
      <c r="G355" s="331"/>
      <c r="H355" s="332"/>
      <c r="I355" s="330"/>
      <c r="J355" s="333"/>
      <c r="K355" s="333"/>
    </row>
    <row r="356" spans="1:11" x14ac:dyDescent="0.25">
      <c r="A356" s="328">
        <v>351</v>
      </c>
      <c r="B356" s="330"/>
      <c r="C356" s="330"/>
      <c r="D356" s="330"/>
      <c r="E356" s="330"/>
      <c r="F356" s="331"/>
      <c r="G356" s="331"/>
      <c r="H356" s="332"/>
      <c r="I356" s="330"/>
      <c r="J356" s="333"/>
      <c r="K356" s="333"/>
    </row>
    <row r="357" spans="1:11" x14ac:dyDescent="0.25">
      <c r="A357" s="328">
        <v>352</v>
      </c>
      <c r="B357" s="330"/>
      <c r="C357" s="330"/>
      <c r="D357" s="330"/>
      <c r="E357" s="330"/>
      <c r="F357" s="331"/>
      <c r="G357" s="331"/>
      <c r="H357" s="332"/>
      <c r="I357" s="330"/>
      <c r="J357" s="333"/>
      <c r="K357" s="333"/>
    </row>
    <row r="358" spans="1:11" x14ac:dyDescent="0.25">
      <c r="A358" s="328">
        <v>353</v>
      </c>
      <c r="B358" s="330"/>
      <c r="C358" s="330"/>
      <c r="D358" s="330"/>
      <c r="E358" s="330"/>
      <c r="F358" s="331"/>
      <c r="G358" s="331"/>
      <c r="H358" s="332"/>
      <c r="I358" s="330"/>
      <c r="J358" s="333"/>
      <c r="K358" s="333"/>
    </row>
    <row r="359" spans="1:11" x14ac:dyDescent="0.25">
      <c r="A359" s="328">
        <v>354</v>
      </c>
      <c r="B359" s="330"/>
      <c r="C359" s="330"/>
      <c r="D359" s="330"/>
      <c r="E359" s="330"/>
      <c r="F359" s="331"/>
      <c r="G359" s="331"/>
      <c r="H359" s="332"/>
      <c r="I359" s="330"/>
      <c r="J359" s="333"/>
      <c r="K359" s="333"/>
    </row>
    <row r="360" spans="1:11" x14ac:dyDescent="0.25">
      <c r="A360" s="328">
        <v>355</v>
      </c>
      <c r="B360" s="330"/>
      <c r="C360" s="330"/>
      <c r="D360" s="330"/>
      <c r="E360" s="330"/>
      <c r="F360" s="331"/>
      <c r="G360" s="331"/>
      <c r="H360" s="332"/>
      <c r="I360" s="330"/>
      <c r="J360" s="333"/>
      <c r="K360" s="333"/>
    </row>
    <row r="361" spans="1:11" x14ac:dyDescent="0.25">
      <c r="A361" s="328">
        <v>356</v>
      </c>
      <c r="B361" s="330"/>
      <c r="C361" s="330"/>
      <c r="D361" s="330"/>
      <c r="E361" s="330"/>
      <c r="F361" s="331"/>
      <c r="G361" s="331"/>
      <c r="H361" s="332"/>
      <c r="I361" s="330"/>
      <c r="J361" s="333"/>
      <c r="K361" s="333"/>
    </row>
    <row r="362" spans="1:11" x14ac:dyDescent="0.25">
      <c r="A362" s="328">
        <v>357</v>
      </c>
      <c r="B362" s="330"/>
      <c r="C362" s="330"/>
      <c r="D362" s="330"/>
      <c r="E362" s="330"/>
      <c r="F362" s="331"/>
      <c r="G362" s="331"/>
      <c r="H362" s="332"/>
      <c r="I362" s="330"/>
      <c r="J362" s="333"/>
      <c r="K362" s="333"/>
    </row>
    <row r="363" spans="1:11" x14ac:dyDescent="0.25">
      <c r="A363" s="328">
        <v>358</v>
      </c>
      <c r="B363" s="330"/>
      <c r="C363" s="330"/>
      <c r="D363" s="330"/>
      <c r="E363" s="330"/>
      <c r="F363" s="331"/>
      <c r="G363" s="331"/>
      <c r="H363" s="332"/>
      <c r="I363" s="330"/>
      <c r="J363" s="333"/>
      <c r="K363" s="333"/>
    </row>
    <row r="364" spans="1:11" x14ac:dyDescent="0.25">
      <c r="A364" s="328">
        <v>359</v>
      </c>
      <c r="B364" s="330"/>
      <c r="C364" s="330"/>
      <c r="D364" s="330"/>
      <c r="E364" s="330"/>
      <c r="F364" s="331"/>
      <c r="G364" s="331"/>
      <c r="H364" s="332"/>
      <c r="I364" s="330"/>
      <c r="J364" s="333"/>
      <c r="K364" s="333"/>
    </row>
    <row r="365" spans="1:11" x14ac:dyDescent="0.25">
      <c r="A365" s="328">
        <v>360</v>
      </c>
      <c r="B365" s="330"/>
      <c r="C365" s="330"/>
      <c r="D365" s="330"/>
      <c r="E365" s="330"/>
      <c r="F365" s="331"/>
      <c r="G365" s="331"/>
      <c r="H365" s="332"/>
      <c r="I365" s="330"/>
      <c r="J365" s="333"/>
      <c r="K365" s="333"/>
    </row>
    <row r="366" spans="1:11" x14ac:dyDescent="0.25">
      <c r="A366" s="328">
        <v>361</v>
      </c>
      <c r="B366" s="330"/>
      <c r="C366" s="330"/>
      <c r="D366" s="330"/>
      <c r="E366" s="330"/>
      <c r="F366" s="331"/>
      <c r="G366" s="331"/>
      <c r="H366" s="332"/>
      <c r="I366" s="330"/>
      <c r="J366" s="333"/>
      <c r="K366" s="333"/>
    </row>
    <row r="367" spans="1:11" x14ac:dyDescent="0.25">
      <c r="A367" s="328">
        <v>362</v>
      </c>
      <c r="B367" s="330"/>
      <c r="C367" s="330"/>
      <c r="D367" s="330"/>
      <c r="E367" s="330"/>
      <c r="F367" s="331"/>
      <c r="G367" s="331"/>
      <c r="H367" s="332"/>
      <c r="I367" s="330"/>
      <c r="J367" s="333"/>
      <c r="K367" s="333"/>
    </row>
    <row r="368" spans="1:11" x14ac:dyDescent="0.25">
      <c r="A368" s="328">
        <v>363</v>
      </c>
      <c r="B368" s="330"/>
      <c r="C368" s="330"/>
      <c r="D368" s="330"/>
      <c r="E368" s="330"/>
      <c r="F368" s="331"/>
      <c r="G368" s="331"/>
      <c r="H368" s="332"/>
      <c r="I368" s="330"/>
      <c r="J368" s="333"/>
      <c r="K368" s="333"/>
    </row>
    <row r="369" spans="1:11" x14ac:dyDescent="0.25">
      <c r="A369" s="328">
        <v>364</v>
      </c>
      <c r="B369" s="330"/>
      <c r="C369" s="330"/>
      <c r="D369" s="330"/>
      <c r="E369" s="330"/>
      <c r="F369" s="331"/>
      <c r="G369" s="331"/>
      <c r="H369" s="332"/>
      <c r="I369" s="330"/>
      <c r="J369" s="333"/>
      <c r="K369" s="333"/>
    </row>
    <row r="370" spans="1:11" x14ac:dyDescent="0.25">
      <c r="A370" s="328">
        <v>365</v>
      </c>
      <c r="B370" s="330"/>
      <c r="C370" s="330"/>
      <c r="D370" s="330"/>
      <c r="E370" s="330"/>
      <c r="F370" s="331"/>
      <c r="G370" s="331"/>
      <c r="H370" s="332"/>
      <c r="I370" s="330"/>
      <c r="J370" s="333"/>
      <c r="K370" s="333"/>
    </row>
    <row r="371" spans="1:11" x14ac:dyDescent="0.25">
      <c r="A371" s="328">
        <v>366</v>
      </c>
      <c r="B371" s="330"/>
      <c r="C371" s="330"/>
      <c r="D371" s="330"/>
      <c r="E371" s="330"/>
      <c r="F371" s="331"/>
      <c r="G371" s="331"/>
      <c r="H371" s="332"/>
      <c r="I371" s="330"/>
      <c r="J371" s="333"/>
      <c r="K371" s="333"/>
    </row>
    <row r="372" spans="1:11" x14ac:dyDescent="0.25">
      <c r="A372" s="328">
        <v>367</v>
      </c>
      <c r="B372" s="330"/>
      <c r="C372" s="330"/>
      <c r="D372" s="330"/>
      <c r="E372" s="330"/>
      <c r="F372" s="331"/>
      <c r="G372" s="331"/>
      <c r="H372" s="332"/>
      <c r="I372" s="330"/>
      <c r="J372" s="333"/>
      <c r="K372" s="333"/>
    </row>
    <row r="373" spans="1:11" x14ac:dyDescent="0.25">
      <c r="A373" s="328">
        <v>368</v>
      </c>
      <c r="B373" s="330"/>
      <c r="C373" s="330"/>
      <c r="D373" s="330"/>
      <c r="E373" s="330"/>
      <c r="F373" s="331"/>
      <c r="G373" s="331"/>
      <c r="H373" s="332"/>
      <c r="I373" s="330"/>
      <c r="J373" s="333"/>
      <c r="K373" s="333"/>
    </row>
    <row r="374" spans="1:11" x14ac:dyDescent="0.25">
      <c r="A374" s="328">
        <v>369</v>
      </c>
      <c r="B374" s="330"/>
      <c r="C374" s="330"/>
      <c r="D374" s="330"/>
      <c r="E374" s="330"/>
      <c r="F374" s="331"/>
      <c r="G374" s="331"/>
      <c r="H374" s="332"/>
      <c r="I374" s="330"/>
      <c r="J374" s="333"/>
      <c r="K374" s="333"/>
    </row>
    <row r="375" spans="1:11" x14ac:dyDescent="0.25">
      <c r="A375" s="328">
        <v>370</v>
      </c>
      <c r="B375" s="330"/>
      <c r="C375" s="330"/>
      <c r="D375" s="330"/>
      <c r="E375" s="330"/>
      <c r="F375" s="331"/>
      <c r="G375" s="331"/>
      <c r="H375" s="332"/>
      <c r="I375" s="330"/>
      <c r="J375" s="333"/>
      <c r="K375" s="333"/>
    </row>
    <row r="376" spans="1:11" x14ac:dyDescent="0.25">
      <c r="A376" s="328">
        <v>371</v>
      </c>
      <c r="B376" s="330"/>
      <c r="C376" s="330"/>
      <c r="D376" s="330"/>
      <c r="E376" s="330"/>
      <c r="F376" s="331"/>
      <c r="G376" s="331"/>
      <c r="H376" s="332"/>
      <c r="I376" s="330"/>
      <c r="J376" s="333"/>
      <c r="K376" s="333"/>
    </row>
    <row r="377" spans="1:11" x14ac:dyDescent="0.25">
      <c r="A377" s="328">
        <v>372</v>
      </c>
      <c r="B377" s="330"/>
      <c r="C377" s="330"/>
      <c r="D377" s="330"/>
      <c r="E377" s="330"/>
      <c r="F377" s="331"/>
      <c r="G377" s="331"/>
      <c r="H377" s="332"/>
      <c r="I377" s="330"/>
      <c r="J377" s="333"/>
      <c r="K377" s="333"/>
    </row>
    <row r="378" spans="1:11" x14ac:dyDescent="0.25">
      <c r="A378" s="328">
        <v>373</v>
      </c>
      <c r="B378" s="330"/>
      <c r="C378" s="330"/>
      <c r="D378" s="330"/>
      <c r="E378" s="330"/>
      <c r="F378" s="331"/>
      <c r="G378" s="331"/>
      <c r="H378" s="332"/>
      <c r="I378" s="330"/>
      <c r="J378" s="333"/>
      <c r="K378" s="333"/>
    </row>
    <row r="379" spans="1:11" x14ac:dyDescent="0.25">
      <c r="A379" s="328">
        <v>374</v>
      </c>
      <c r="B379" s="330"/>
      <c r="C379" s="330"/>
      <c r="D379" s="330"/>
      <c r="E379" s="330"/>
      <c r="F379" s="331"/>
      <c r="G379" s="331"/>
      <c r="H379" s="332"/>
      <c r="I379" s="330"/>
      <c r="J379" s="333"/>
      <c r="K379" s="333"/>
    </row>
    <row r="380" spans="1:11" x14ac:dyDescent="0.25">
      <c r="A380" s="328">
        <v>375</v>
      </c>
      <c r="B380" s="330"/>
      <c r="C380" s="330"/>
      <c r="D380" s="330"/>
      <c r="E380" s="330"/>
      <c r="F380" s="331"/>
      <c r="G380" s="331"/>
      <c r="H380" s="332"/>
      <c r="I380" s="330"/>
      <c r="J380" s="333"/>
      <c r="K380" s="333"/>
    </row>
    <row r="381" spans="1:11" x14ac:dyDescent="0.25">
      <c r="A381" s="328">
        <v>376</v>
      </c>
      <c r="B381" s="330"/>
      <c r="C381" s="330"/>
      <c r="D381" s="330"/>
      <c r="E381" s="330"/>
      <c r="F381" s="331"/>
      <c r="G381" s="331"/>
      <c r="H381" s="332"/>
      <c r="I381" s="330"/>
      <c r="J381" s="333"/>
      <c r="K381" s="333"/>
    </row>
    <row r="382" spans="1:11" x14ac:dyDescent="0.25">
      <c r="A382" s="328">
        <v>377</v>
      </c>
      <c r="B382" s="330"/>
      <c r="C382" s="330"/>
      <c r="D382" s="330"/>
      <c r="E382" s="330"/>
      <c r="F382" s="331"/>
      <c r="G382" s="331"/>
      <c r="H382" s="332"/>
      <c r="I382" s="330"/>
      <c r="J382" s="333"/>
      <c r="K382" s="333"/>
    </row>
    <row r="383" spans="1:11" x14ac:dyDescent="0.25">
      <c r="A383" s="328">
        <v>378</v>
      </c>
      <c r="B383" s="330"/>
      <c r="C383" s="330"/>
      <c r="D383" s="330"/>
      <c r="E383" s="330"/>
      <c r="F383" s="331"/>
      <c r="G383" s="331"/>
      <c r="H383" s="332"/>
      <c r="I383" s="330"/>
      <c r="J383" s="333"/>
      <c r="K383" s="333"/>
    </row>
    <row r="384" spans="1:11" x14ac:dyDescent="0.25">
      <c r="A384" s="328">
        <v>379</v>
      </c>
      <c r="B384" s="330"/>
      <c r="C384" s="330"/>
      <c r="D384" s="330"/>
      <c r="E384" s="330"/>
      <c r="F384" s="331"/>
      <c r="G384" s="331"/>
      <c r="H384" s="332"/>
      <c r="I384" s="330"/>
      <c r="J384" s="333"/>
      <c r="K384" s="333"/>
    </row>
    <row r="385" spans="1:11" x14ac:dyDescent="0.25">
      <c r="A385" s="328">
        <v>380</v>
      </c>
      <c r="B385" s="330"/>
      <c r="C385" s="330"/>
      <c r="D385" s="330"/>
      <c r="E385" s="330"/>
      <c r="F385" s="331"/>
      <c r="G385" s="331"/>
      <c r="H385" s="332"/>
      <c r="I385" s="330"/>
      <c r="J385" s="333"/>
      <c r="K385" s="333"/>
    </row>
    <row r="386" spans="1:11" x14ac:dyDescent="0.25">
      <c r="A386" s="328">
        <v>381</v>
      </c>
      <c r="B386" s="330"/>
      <c r="C386" s="330"/>
      <c r="D386" s="330"/>
      <c r="E386" s="330"/>
      <c r="F386" s="331"/>
      <c r="G386" s="331"/>
      <c r="H386" s="332"/>
      <c r="I386" s="330"/>
      <c r="J386" s="333"/>
      <c r="K386" s="333"/>
    </row>
    <row r="387" spans="1:11" x14ac:dyDescent="0.25">
      <c r="A387" s="328">
        <v>382</v>
      </c>
      <c r="B387" s="330"/>
      <c r="C387" s="330"/>
      <c r="D387" s="330"/>
      <c r="E387" s="330"/>
      <c r="F387" s="331"/>
      <c r="G387" s="331"/>
      <c r="H387" s="332"/>
      <c r="I387" s="330"/>
      <c r="J387" s="333"/>
      <c r="K387" s="333"/>
    </row>
    <row r="388" spans="1:11" x14ac:dyDescent="0.25">
      <c r="A388" s="328">
        <v>383</v>
      </c>
      <c r="B388" s="330"/>
      <c r="C388" s="330"/>
      <c r="D388" s="330"/>
      <c r="E388" s="330"/>
      <c r="F388" s="331"/>
      <c r="G388" s="331"/>
      <c r="H388" s="332"/>
      <c r="I388" s="330"/>
      <c r="J388" s="333"/>
      <c r="K388" s="333"/>
    </row>
    <row r="389" spans="1:11" x14ac:dyDescent="0.25">
      <c r="A389" s="328">
        <v>384</v>
      </c>
      <c r="B389" s="330"/>
      <c r="C389" s="330"/>
      <c r="D389" s="330"/>
      <c r="E389" s="330"/>
      <c r="F389" s="331"/>
      <c r="G389" s="331"/>
      <c r="H389" s="332"/>
      <c r="I389" s="330"/>
      <c r="J389" s="333"/>
      <c r="K389" s="333"/>
    </row>
    <row r="390" spans="1:11" x14ac:dyDescent="0.25">
      <c r="A390" s="328">
        <v>385</v>
      </c>
      <c r="B390" s="330"/>
      <c r="C390" s="330"/>
      <c r="D390" s="330"/>
      <c r="E390" s="330"/>
      <c r="F390" s="331"/>
      <c r="G390" s="331"/>
      <c r="H390" s="332"/>
      <c r="I390" s="330"/>
      <c r="J390" s="333"/>
      <c r="K390" s="333"/>
    </row>
    <row r="391" spans="1:11" x14ac:dyDescent="0.25">
      <c r="A391" s="328">
        <v>386</v>
      </c>
      <c r="B391" s="330"/>
      <c r="C391" s="330"/>
      <c r="D391" s="330"/>
      <c r="E391" s="330"/>
      <c r="F391" s="331"/>
      <c r="G391" s="331"/>
      <c r="H391" s="332"/>
      <c r="I391" s="330"/>
      <c r="J391" s="333"/>
      <c r="K391" s="333"/>
    </row>
    <row r="392" spans="1:11" x14ac:dyDescent="0.25">
      <c r="A392" s="328">
        <v>387</v>
      </c>
      <c r="B392" s="330"/>
      <c r="C392" s="330"/>
      <c r="D392" s="330"/>
      <c r="E392" s="330"/>
      <c r="F392" s="331"/>
      <c r="G392" s="331"/>
      <c r="H392" s="332"/>
      <c r="I392" s="330"/>
      <c r="J392" s="333"/>
      <c r="K392" s="333"/>
    </row>
    <row r="393" spans="1:11" x14ac:dyDescent="0.25">
      <c r="A393" s="328">
        <v>388</v>
      </c>
      <c r="B393" s="330"/>
      <c r="C393" s="330"/>
      <c r="D393" s="330"/>
      <c r="E393" s="330"/>
      <c r="F393" s="331"/>
      <c r="G393" s="331"/>
      <c r="H393" s="332"/>
      <c r="I393" s="330"/>
      <c r="J393" s="333"/>
      <c r="K393" s="333"/>
    </row>
    <row r="394" spans="1:11" x14ac:dyDescent="0.25">
      <c r="A394" s="328">
        <v>389</v>
      </c>
      <c r="B394" s="330"/>
      <c r="C394" s="330"/>
      <c r="D394" s="330"/>
      <c r="E394" s="330"/>
      <c r="F394" s="331"/>
      <c r="G394" s="331"/>
      <c r="H394" s="332"/>
      <c r="I394" s="330"/>
      <c r="J394" s="333"/>
      <c r="K394" s="333"/>
    </row>
    <row r="395" spans="1:11" x14ac:dyDescent="0.25">
      <c r="A395" s="328">
        <v>390</v>
      </c>
      <c r="B395" s="330"/>
      <c r="C395" s="330"/>
      <c r="D395" s="330"/>
      <c r="E395" s="330"/>
      <c r="F395" s="331"/>
      <c r="G395" s="331"/>
      <c r="H395" s="332"/>
      <c r="I395" s="330"/>
      <c r="J395" s="333"/>
      <c r="K395" s="333"/>
    </row>
    <row r="396" spans="1:11" x14ac:dyDescent="0.25">
      <c r="A396" s="328">
        <v>391</v>
      </c>
      <c r="B396" s="330"/>
      <c r="C396" s="330"/>
      <c r="D396" s="330"/>
      <c r="E396" s="330"/>
      <c r="F396" s="331"/>
      <c r="G396" s="331"/>
      <c r="H396" s="332"/>
      <c r="I396" s="330"/>
      <c r="J396" s="333"/>
      <c r="K396" s="333"/>
    </row>
    <row r="397" spans="1:11" x14ac:dyDescent="0.25">
      <c r="A397" s="328">
        <v>392</v>
      </c>
      <c r="B397" s="330"/>
      <c r="C397" s="330"/>
      <c r="D397" s="330"/>
      <c r="E397" s="330"/>
      <c r="F397" s="331"/>
      <c r="G397" s="331"/>
      <c r="H397" s="332"/>
      <c r="I397" s="330"/>
      <c r="J397" s="333"/>
      <c r="K397" s="333"/>
    </row>
    <row r="398" spans="1:11" x14ac:dyDescent="0.25">
      <c r="A398" s="328">
        <v>393</v>
      </c>
      <c r="B398" s="330"/>
      <c r="C398" s="330"/>
      <c r="D398" s="330"/>
      <c r="E398" s="330"/>
      <c r="F398" s="331"/>
      <c r="G398" s="331"/>
      <c r="H398" s="332"/>
      <c r="I398" s="330"/>
      <c r="J398" s="333"/>
      <c r="K398" s="333"/>
    </row>
    <row r="399" spans="1:11" x14ac:dyDescent="0.25">
      <c r="A399" s="328">
        <v>394</v>
      </c>
      <c r="B399" s="330"/>
      <c r="C399" s="330"/>
      <c r="D399" s="330"/>
      <c r="E399" s="330"/>
      <c r="F399" s="331"/>
      <c r="G399" s="331"/>
      <c r="H399" s="332"/>
      <c r="I399" s="330"/>
      <c r="J399" s="333"/>
      <c r="K399" s="333"/>
    </row>
    <row r="400" spans="1:11" x14ac:dyDescent="0.25">
      <c r="A400" s="328">
        <v>395</v>
      </c>
      <c r="B400" s="330"/>
      <c r="C400" s="330"/>
      <c r="D400" s="330"/>
      <c r="E400" s="330"/>
      <c r="F400" s="331"/>
      <c r="G400" s="331"/>
      <c r="H400" s="332"/>
      <c r="I400" s="330"/>
      <c r="J400" s="333"/>
      <c r="K400" s="333"/>
    </row>
    <row r="401" spans="1:11" x14ac:dyDescent="0.25">
      <c r="A401" s="328">
        <v>396</v>
      </c>
      <c r="B401" s="330"/>
      <c r="C401" s="330"/>
      <c r="D401" s="330"/>
      <c r="E401" s="330"/>
      <c r="F401" s="331"/>
      <c r="G401" s="331"/>
      <c r="H401" s="332"/>
      <c r="I401" s="330"/>
      <c r="J401" s="333"/>
      <c r="K401" s="333"/>
    </row>
    <row r="402" spans="1:11" x14ac:dyDescent="0.25">
      <c r="A402" s="328">
        <v>397</v>
      </c>
      <c r="B402" s="330"/>
      <c r="C402" s="330"/>
      <c r="D402" s="330"/>
      <c r="E402" s="330"/>
      <c r="F402" s="331"/>
      <c r="G402" s="331"/>
      <c r="H402" s="332"/>
      <c r="I402" s="330"/>
      <c r="J402" s="333"/>
      <c r="K402" s="333"/>
    </row>
    <row r="403" spans="1:11" x14ac:dyDescent="0.25">
      <c r="A403" s="328">
        <v>398</v>
      </c>
      <c r="B403" s="330"/>
      <c r="C403" s="330"/>
      <c r="D403" s="330"/>
      <c r="E403" s="330"/>
      <c r="F403" s="331"/>
      <c r="G403" s="331"/>
      <c r="H403" s="332"/>
      <c r="I403" s="330"/>
      <c r="J403" s="333"/>
      <c r="K403" s="333"/>
    </row>
    <row r="404" spans="1:11" x14ac:dyDescent="0.25">
      <c r="A404" s="328">
        <v>399</v>
      </c>
      <c r="B404" s="330"/>
      <c r="C404" s="330"/>
      <c r="D404" s="330"/>
      <c r="E404" s="330"/>
      <c r="F404" s="331"/>
      <c r="G404" s="331"/>
      <c r="H404" s="332"/>
      <c r="I404" s="330"/>
      <c r="J404" s="333"/>
      <c r="K404" s="333"/>
    </row>
    <row r="405" spans="1:11" x14ac:dyDescent="0.25">
      <c r="A405" s="328">
        <v>400</v>
      </c>
      <c r="B405" s="330"/>
      <c r="C405" s="330"/>
      <c r="D405" s="330"/>
      <c r="E405" s="330"/>
      <c r="F405" s="331"/>
      <c r="G405" s="331"/>
      <c r="H405" s="332"/>
      <c r="I405" s="330"/>
      <c r="J405" s="333"/>
      <c r="K405" s="333"/>
    </row>
    <row r="406" spans="1:11" x14ac:dyDescent="0.25">
      <c r="A406" s="328">
        <v>401</v>
      </c>
      <c r="B406" s="330"/>
      <c r="C406" s="330"/>
      <c r="D406" s="330"/>
      <c r="E406" s="330"/>
      <c r="F406" s="331"/>
      <c r="G406" s="331"/>
      <c r="H406" s="332"/>
      <c r="I406" s="330"/>
      <c r="J406" s="333"/>
      <c r="K406" s="333"/>
    </row>
    <row r="407" spans="1:11" x14ac:dyDescent="0.25">
      <c r="A407" s="328">
        <v>402</v>
      </c>
      <c r="B407" s="330"/>
      <c r="C407" s="330"/>
      <c r="D407" s="330"/>
      <c r="E407" s="330"/>
      <c r="F407" s="331"/>
      <c r="G407" s="331"/>
      <c r="H407" s="332"/>
      <c r="I407" s="330"/>
      <c r="J407" s="333"/>
      <c r="K407" s="333"/>
    </row>
    <row r="408" spans="1:11" x14ac:dyDescent="0.25">
      <c r="A408" s="328">
        <v>403</v>
      </c>
      <c r="B408" s="330"/>
      <c r="C408" s="330"/>
      <c r="D408" s="330"/>
      <c r="E408" s="330"/>
      <c r="F408" s="331"/>
      <c r="G408" s="331"/>
      <c r="H408" s="332"/>
      <c r="I408" s="330"/>
      <c r="J408" s="333"/>
      <c r="K408" s="333"/>
    </row>
    <row r="409" spans="1:11" x14ac:dyDescent="0.25">
      <c r="A409" s="328">
        <v>404</v>
      </c>
      <c r="B409" s="330"/>
      <c r="C409" s="330"/>
      <c r="D409" s="330"/>
      <c r="E409" s="330"/>
      <c r="F409" s="331"/>
      <c r="G409" s="331"/>
      <c r="H409" s="332"/>
      <c r="I409" s="330"/>
      <c r="J409" s="333"/>
      <c r="K409" s="333"/>
    </row>
    <row r="410" spans="1:11" x14ac:dyDescent="0.25">
      <c r="A410" s="328">
        <v>405</v>
      </c>
      <c r="B410" s="330"/>
      <c r="C410" s="330"/>
      <c r="D410" s="330"/>
      <c r="E410" s="330"/>
      <c r="F410" s="331"/>
      <c r="G410" s="331"/>
      <c r="H410" s="332"/>
      <c r="I410" s="330"/>
      <c r="J410" s="333"/>
      <c r="K410" s="333"/>
    </row>
    <row r="411" spans="1:11" x14ac:dyDescent="0.25">
      <c r="A411" s="328">
        <v>406</v>
      </c>
      <c r="B411" s="330"/>
      <c r="C411" s="330"/>
      <c r="D411" s="330"/>
      <c r="E411" s="330"/>
      <c r="F411" s="331"/>
      <c r="G411" s="331"/>
      <c r="H411" s="332"/>
      <c r="I411" s="330"/>
      <c r="J411" s="333"/>
      <c r="K411" s="333"/>
    </row>
    <row r="412" spans="1:11" x14ac:dyDescent="0.25">
      <c r="A412" s="328">
        <v>407</v>
      </c>
      <c r="B412" s="330"/>
      <c r="C412" s="330"/>
      <c r="D412" s="330"/>
      <c r="E412" s="330"/>
      <c r="F412" s="331"/>
      <c r="G412" s="331"/>
      <c r="H412" s="332"/>
      <c r="I412" s="330"/>
      <c r="J412" s="333"/>
      <c r="K412" s="333"/>
    </row>
    <row r="413" spans="1:11" x14ac:dyDescent="0.25">
      <c r="A413" s="328">
        <v>408</v>
      </c>
      <c r="B413" s="330"/>
      <c r="C413" s="330"/>
      <c r="D413" s="330"/>
      <c r="E413" s="330"/>
      <c r="F413" s="331"/>
      <c r="G413" s="331"/>
      <c r="H413" s="332"/>
      <c r="I413" s="330"/>
      <c r="J413" s="333"/>
      <c r="K413" s="333"/>
    </row>
    <row r="414" spans="1:11" x14ac:dyDescent="0.25">
      <c r="A414" s="328">
        <v>409</v>
      </c>
      <c r="B414" s="330"/>
      <c r="C414" s="330"/>
      <c r="D414" s="330"/>
      <c r="E414" s="330"/>
      <c r="F414" s="331"/>
      <c r="G414" s="331"/>
      <c r="H414" s="332"/>
      <c r="I414" s="330"/>
      <c r="J414" s="333"/>
      <c r="K414" s="333"/>
    </row>
    <row r="415" spans="1:11" x14ac:dyDescent="0.25">
      <c r="A415" s="328">
        <v>410</v>
      </c>
      <c r="B415" s="330"/>
      <c r="C415" s="330"/>
      <c r="D415" s="330"/>
      <c r="E415" s="330"/>
      <c r="F415" s="331"/>
      <c r="G415" s="331"/>
      <c r="H415" s="332"/>
      <c r="I415" s="330"/>
      <c r="J415" s="333"/>
      <c r="K415" s="333"/>
    </row>
    <row r="416" spans="1:11" x14ac:dyDescent="0.25">
      <c r="A416" s="328">
        <v>411</v>
      </c>
      <c r="B416" s="330"/>
      <c r="C416" s="330"/>
      <c r="D416" s="330"/>
      <c r="E416" s="330"/>
      <c r="F416" s="331"/>
      <c r="G416" s="331"/>
      <c r="H416" s="332"/>
      <c r="I416" s="330"/>
      <c r="J416" s="333"/>
      <c r="K416" s="333"/>
    </row>
    <row r="417" spans="1:11" x14ac:dyDescent="0.25">
      <c r="A417" s="328">
        <v>412</v>
      </c>
      <c r="B417" s="330"/>
      <c r="C417" s="330"/>
      <c r="D417" s="330"/>
      <c r="E417" s="330"/>
      <c r="F417" s="331"/>
      <c r="G417" s="331"/>
      <c r="H417" s="332"/>
      <c r="I417" s="330"/>
      <c r="J417" s="333"/>
      <c r="K417" s="333"/>
    </row>
    <row r="418" spans="1:11" x14ac:dyDescent="0.25">
      <c r="A418" s="328">
        <v>413</v>
      </c>
      <c r="B418" s="330"/>
      <c r="C418" s="330"/>
      <c r="D418" s="330"/>
      <c r="E418" s="330"/>
      <c r="F418" s="331"/>
      <c r="G418" s="331"/>
      <c r="H418" s="332"/>
      <c r="I418" s="330"/>
      <c r="J418" s="333"/>
      <c r="K418" s="333"/>
    </row>
    <row r="419" spans="1:11" x14ac:dyDescent="0.25">
      <c r="A419" s="328">
        <v>414</v>
      </c>
      <c r="B419" s="330"/>
      <c r="C419" s="330"/>
      <c r="D419" s="330"/>
      <c r="E419" s="330"/>
      <c r="F419" s="331"/>
      <c r="G419" s="331"/>
      <c r="H419" s="332"/>
      <c r="I419" s="330"/>
      <c r="J419" s="333"/>
      <c r="K419" s="333"/>
    </row>
    <row r="420" spans="1:11" x14ac:dyDescent="0.25">
      <c r="A420" s="328">
        <v>415</v>
      </c>
      <c r="B420" s="330"/>
      <c r="C420" s="330"/>
      <c r="D420" s="330"/>
      <c r="E420" s="330"/>
      <c r="F420" s="331"/>
      <c r="G420" s="331"/>
      <c r="H420" s="332"/>
      <c r="I420" s="330"/>
      <c r="J420" s="333"/>
      <c r="K420" s="333"/>
    </row>
    <row r="421" spans="1:11" x14ac:dyDescent="0.25">
      <c r="A421" s="328">
        <v>416</v>
      </c>
      <c r="B421" s="330"/>
      <c r="C421" s="330"/>
      <c r="D421" s="330"/>
      <c r="E421" s="330"/>
      <c r="F421" s="331"/>
      <c r="G421" s="331"/>
      <c r="H421" s="332"/>
      <c r="I421" s="330"/>
      <c r="J421" s="333"/>
      <c r="K421" s="333"/>
    </row>
    <row r="422" spans="1:11" x14ac:dyDescent="0.25">
      <c r="A422" s="328">
        <v>417</v>
      </c>
      <c r="B422" s="330"/>
      <c r="C422" s="330"/>
      <c r="D422" s="330"/>
      <c r="E422" s="330"/>
      <c r="F422" s="331"/>
      <c r="G422" s="331"/>
      <c r="H422" s="332"/>
      <c r="I422" s="330"/>
      <c r="J422" s="333"/>
      <c r="K422" s="333"/>
    </row>
    <row r="423" spans="1:11" x14ac:dyDescent="0.25">
      <c r="A423" s="328">
        <v>418</v>
      </c>
      <c r="B423" s="330"/>
      <c r="C423" s="330"/>
      <c r="D423" s="330"/>
      <c r="E423" s="330"/>
      <c r="F423" s="331"/>
      <c r="G423" s="331"/>
      <c r="H423" s="332"/>
      <c r="I423" s="330"/>
      <c r="J423" s="333"/>
      <c r="K423" s="333"/>
    </row>
    <row r="424" spans="1:11" x14ac:dyDescent="0.25">
      <c r="A424" s="328">
        <v>419</v>
      </c>
      <c r="B424" s="330"/>
      <c r="C424" s="330"/>
      <c r="D424" s="330"/>
      <c r="E424" s="330"/>
      <c r="F424" s="331"/>
      <c r="G424" s="331"/>
      <c r="H424" s="332"/>
      <c r="I424" s="330"/>
      <c r="J424" s="333"/>
      <c r="K424" s="333"/>
    </row>
    <row r="425" spans="1:11" x14ac:dyDescent="0.25">
      <c r="A425" s="328">
        <v>420</v>
      </c>
      <c r="B425" s="330"/>
      <c r="C425" s="330"/>
      <c r="D425" s="330"/>
      <c r="E425" s="330"/>
      <c r="F425" s="331"/>
      <c r="G425" s="331"/>
      <c r="H425" s="332"/>
      <c r="I425" s="330"/>
      <c r="J425" s="333"/>
      <c r="K425" s="333"/>
    </row>
    <row r="426" spans="1:11" x14ac:dyDescent="0.25">
      <c r="A426" s="328">
        <v>421</v>
      </c>
      <c r="B426" s="330"/>
      <c r="C426" s="330"/>
      <c r="D426" s="330"/>
      <c r="E426" s="330"/>
      <c r="F426" s="331"/>
      <c r="G426" s="331"/>
      <c r="H426" s="332"/>
      <c r="I426" s="330"/>
      <c r="J426" s="333"/>
      <c r="K426" s="333"/>
    </row>
    <row r="427" spans="1:11" x14ac:dyDescent="0.25">
      <c r="A427" s="328">
        <v>422</v>
      </c>
      <c r="B427" s="330"/>
      <c r="C427" s="330"/>
      <c r="D427" s="330"/>
      <c r="E427" s="330"/>
      <c r="F427" s="331"/>
      <c r="G427" s="331"/>
      <c r="H427" s="332"/>
      <c r="I427" s="330"/>
      <c r="J427" s="333"/>
      <c r="K427" s="333"/>
    </row>
    <row r="428" spans="1:11" x14ac:dyDescent="0.25">
      <c r="A428" s="328">
        <v>423</v>
      </c>
      <c r="B428" s="330"/>
      <c r="C428" s="330"/>
      <c r="D428" s="330"/>
      <c r="E428" s="330"/>
      <c r="F428" s="331"/>
      <c r="G428" s="331"/>
      <c r="H428" s="332"/>
      <c r="I428" s="330"/>
      <c r="J428" s="333"/>
      <c r="K428" s="333"/>
    </row>
    <row r="429" spans="1:11" x14ac:dyDescent="0.25">
      <c r="A429" s="328">
        <v>424</v>
      </c>
      <c r="B429" s="330"/>
      <c r="C429" s="330"/>
      <c r="D429" s="330"/>
      <c r="E429" s="330"/>
      <c r="F429" s="331"/>
      <c r="G429" s="331"/>
      <c r="H429" s="332"/>
      <c r="I429" s="330"/>
      <c r="J429" s="333"/>
      <c r="K429" s="333"/>
    </row>
    <row r="430" spans="1:11" x14ac:dyDescent="0.25">
      <c r="A430" s="328">
        <v>425</v>
      </c>
      <c r="B430" s="330"/>
      <c r="C430" s="330"/>
      <c r="D430" s="330"/>
      <c r="E430" s="330"/>
      <c r="F430" s="331"/>
      <c r="G430" s="331"/>
      <c r="H430" s="332"/>
      <c r="I430" s="330"/>
      <c r="J430" s="333"/>
      <c r="K430" s="333"/>
    </row>
    <row r="431" spans="1:11" x14ac:dyDescent="0.25">
      <c r="A431" s="328">
        <v>426</v>
      </c>
      <c r="B431" s="330"/>
      <c r="C431" s="330"/>
      <c r="D431" s="330"/>
      <c r="E431" s="330"/>
      <c r="F431" s="331"/>
      <c r="G431" s="331"/>
      <c r="H431" s="332"/>
      <c r="I431" s="330"/>
      <c r="J431" s="333"/>
      <c r="K431" s="333"/>
    </row>
    <row r="432" spans="1:11" x14ac:dyDescent="0.25">
      <c r="A432" s="328">
        <v>427</v>
      </c>
      <c r="B432" s="330"/>
      <c r="C432" s="330"/>
      <c r="D432" s="330"/>
      <c r="E432" s="330"/>
      <c r="F432" s="331"/>
      <c r="G432" s="331"/>
      <c r="H432" s="332"/>
      <c r="I432" s="330"/>
      <c r="J432" s="333"/>
      <c r="K432" s="333"/>
    </row>
    <row r="433" spans="1:11" x14ac:dyDescent="0.25">
      <c r="A433" s="328">
        <v>428</v>
      </c>
      <c r="B433" s="330"/>
      <c r="C433" s="330"/>
      <c r="D433" s="330"/>
      <c r="E433" s="330"/>
      <c r="F433" s="331"/>
      <c r="G433" s="331"/>
      <c r="H433" s="332"/>
      <c r="I433" s="330"/>
      <c r="J433" s="333"/>
      <c r="K433" s="333"/>
    </row>
    <row r="434" spans="1:11" x14ac:dyDescent="0.25">
      <c r="A434" s="328">
        <v>429</v>
      </c>
      <c r="B434" s="330"/>
      <c r="C434" s="330"/>
      <c r="D434" s="330"/>
      <c r="E434" s="330"/>
      <c r="F434" s="331"/>
      <c r="G434" s="331"/>
      <c r="H434" s="332"/>
      <c r="I434" s="330"/>
      <c r="J434" s="333"/>
      <c r="K434" s="333"/>
    </row>
    <row r="435" spans="1:11" x14ac:dyDescent="0.25">
      <c r="A435" s="328">
        <v>430</v>
      </c>
      <c r="B435" s="330"/>
      <c r="C435" s="330"/>
      <c r="D435" s="330"/>
      <c r="E435" s="330"/>
      <c r="F435" s="331"/>
      <c r="G435" s="331"/>
      <c r="H435" s="332"/>
      <c r="I435" s="330"/>
      <c r="J435" s="333"/>
      <c r="K435" s="333"/>
    </row>
    <row r="436" spans="1:11" x14ac:dyDescent="0.25">
      <c r="A436" s="328">
        <v>431</v>
      </c>
      <c r="B436" s="330"/>
      <c r="C436" s="330"/>
      <c r="D436" s="330"/>
      <c r="E436" s="330"/>
      <c r="F436" s="331"/>
      <c r="G436" s="331"/>
      <c r="H436" s="332"/>
      <c r="I436" s="330"/>
      <c r="J436" s="333"/>
      <c r="K436" s="333"/>
    </row>
    <row r="437" spans="1:11" x14ac:dyDescent="0.25">
      <c r="A437" s="328">
        <v>432</v>
      </c>
      <c r="B437" s="330"/>
      <c r="C437" s="330"/>
      <c r="D437" s="330"/>
      <c r="E437" s="330"/>
      <c r="F437" s="331"/>
      <c r="G437" s="331"/>
      <c r="H437" s="332"/>
      <c r="I437" s="330"/>
      <c r="J437" s="333"/>
      <c r="K437" s="333"/>
    </row>
    <row r="438" spans="1:11" x14ac:dyDescent="0.25">
      <c r="A438" s="328">
        <v>433</v>
      </c>
      <c r="B438" s="330"/>
      <c r="C438" s="330"/>
      <c r="D438" s="330"/>
      <c r="E438" s="330"/>
      <c r="F438" s="331"/>
      <c r="G438" s="331"/>
      <c r="H438" s="332"/>
      <c r="I438" s="330"/>
      <c r="J438" s="333"/>
      <c r="K438" s="333"/>
    </row>
    <row r="439" spans="1:11" x14ac:dyDescent="0.25">
      <c r="A439" s="328">
        <v>434</v>
      </c>
      <c r="B439" s="330"/>
      <c r="C439" s="330"/>
      <c r="D439" s="330"/>
      <c r="E439" s="330"/>
      <c r="F439" s="331"/>
      <c r="G439" s="331"/>
      <c r="H439" s="332"/>
      <c r="I439" s="330"/>
      <c r="J439" s="333"/>
      <c r="K439" s="333"/>
    </row>
    <row r="440" spans="1:11" x14ac:dyDescent="0.25">
      <c r="A440" s="328">
        <v>435</v>
      </c>
      <c r="B440" s="330"/>
      <c r="C440" s="330"/>
      <c r="D440" s="330"/>
      <c r="E440" s="330"/>
      <c r="F440" s="331"/>
      <c r="G440" s="331"/>
      <c r="H440" s="332"/>
      <c r="I440" s="330"/>
      <c r="J440" s="333"/>
      <c r="K440" s="333"/>
    </row>
    <row r="441" spans="1:11" x14ac:dyDescent="0.25">
      <c r="A441" s="328">
        <v>436</v>
      </c>
      <c r="B441" s="330"/>
      <c r="C441" s="330"/>
      <c r="D441" s="330"/>
      <c r="E441" s="330"/>
      <c r="F441" s="331"/>
      <c r="G441" s="331"/>
      <c r="H441" s="332"/>
      <c r="I441" s="330"/>
      <c r="J441" s="333"/>
      <c r="K441" s="333"/>
    </row>
    <row r="442" spans="1:11" x14ac:dyDescent="0.25">
      <c r="A442" s="328">
        <v>437</v>
      </c>
      <c r="B442" s="330"/>
      <c r="C442" s="330"/>
      <c r="D442" s="330"/>
      <c r="E442" s="330"/>
      <c r="F442" s="331"/>
      <c r="G442" s="331"/>
      <c r="H442" s="332"/>
      <c r="I442" s="330"/>
      <c r="J442" s="333"/>
      <c r="K442" s="333"/>
    </row>
    <row r="443" spans="1:11" x14ac:dyDescent="0.25">
      <c r="A443" s="328">
        <v>438</v>
      </c>
      <c r="B443" s="330"/>
      <c r="C443" s="330"/>
      <c r="D443" s="330"/>
      <c r="E443" s="330"/>
      <c r="F443" s="331"/>
      <c r="G443" s="331"/>
      <c r="H443" s="332"/>
      <c r="I443" s="330"/>
      <c r="J443" s="333"/>
      <c r="K443" s="333"/>
    </row>
    <row r="444" spans="1:11" x14ac:dyDescent="0.25">
      <c r="A444" s="328">
        <v>439</v>
      </c>
      <c r="B444" s="330"/>
      <c r="C444" s="330"/>
      <c r="D444" s="330"/>
      <c r="E444" s="330"/>
      <c r="F444" s="331"/>
      <c r="G444" s="331"/>
      <c r="H444" s="332"/>
      <c r="I444" s="330"/>
      <c r="J444" s="333"/>
      <c r="K444" s="333"/>
    </row>
    <row r="445" spans="1:11" x14ac:dyDescent="0.25">
      <c r="A445" s="328">
        <v>440</v>
      </c>
      <c r="B445" s="330"/>
      <c r="C445" s="330"/>
      <c r="D445" s="330"/>
      <c r="E445" s="330"/>
      <c r="F445" s="331"/>
      <c r="G445" s="331"/>
      <c r="H445" s="332"/>
      <c r="I445" s="330"/>
      <c r="J445" s="333"/>
      <c r="K445" s="333"/>
    </row>
    <row r="446" spans="1:11" x14ac:dyDescent="0.25">
      <c r="A446" s="328">
        <v>441</v>
      </c>
      <c r="B446" s="330"/>
      <c r="C446" s="330"/>
      <c r="D446" s="330"/>
      <c r="E446" s="330"/>
      <c r="F446" s="331"/>
      <c r="G446" s="331"/>
      <c r="H446" s="332"/>
      <c r="I446" s="330"/>
      <c r="J446" s="333"/>
      <c r="K446" s="333"/>
    </row>
    <row r="447" spans="1:11" x14ac:dyDescent="0.25">
      <c r="A447" s="328">
        <v>442</v>
      </c>
      <c r="B447" s="330"/>
      <c r="C447" s="330"/>
      <c r="D447" s="330"/>
      <c r="E447" s="330"/>
      <c r="F447" s="331"/>
      <c r="G447" s="331"/>
      <c r="H447" s="332"/>
      <c r="I447" s="330"/>
      <c r="J447" s="333"/>
      <c r="K447" s="333"/>
    </row>
    <row r="448" spans="1:11" x14ac:dyDescent="0.25">
      <c r="A448" s="328">
        <v>443</v>
      </c>
      <c r="B448" s="330"/>
      <c r="C448" s="330"/>
      <c r="D448" s="330"/>
      <c r="E448" s="330"/>
      <c r="F448" s="331"/>
      <c r="G448" s="331"/>
      <c r="H448" s="332"/>
      <c r="I448" s="330"/>
      <c r="J448" s="333"/>
      <c r="K448" s="333"/>
    </row>
    <row r="449" spans="1:11" x14ac:dyDescent="0.25">
      <c r="A449" s="328">
        <v>444</v>
      </c>
      <c r="B449" s="330"/>
      <c r="C449" s="330"/>
      <c r="D449" s="330"/>
      <c r="E449" s="330"/>
      <c r="F449" s="331"/>
      <c r="G449" s="331"/>
      <c r="H449" s="332"/>
      <c r="I449" s="330"/>
      <c r="J449" s="333"/>
      <c r="K449" s="333"/>
    </row>
    <row r="450" spans="1:11" x14ac:dyDescent="0.25">
      <c r="A450" s="328">
        <v>445</v>
      </c>
      <c r="B450" s="330"/>
      <c r="C450" s="330"/>
      <c r="D450" s="330"/>
      <c r="E450" s="330"/>
      <c r="F450" s="331"/>
      <c r="G450" s="331"/>
      <c r="H450" s="332"/>
      <c r="I450" s="330"/>
      <c r="J450" s="333"/>
      <c r="K450" s="333"/>
    </row>
    <row r="451" spans="1:11" x14ac:dyDescent="0.25">
      <c r="A451" s="328">
        <v>446</v>
      </c>
      <c r="B451" s="330"/>
      <c r="C451" s="330"/>
      <c r="D451" s="330"/>
      <c r="E451" s="330"/>
      <c r="F451" s="331"/>
      <c r="G451" s="331"/>
      <c r="H451" s="332"/>
      <c r="I451" s="330"/>
      <c r="J451" s="333"/>
      <c r="K451" s="333"/>
    </row>
    <row r="452" spans="1:11" x14ac:dyDescent="0.25">
      <c r="A452" s="328">
        <v>447</v>
      </c>
      <c r="B452" s="330"/>
      <c r="C452" s="330"/>
      <c r="D452" s="330"/>
      <c r="E452" s="330"/>
      <c r="F452" s="331"/>
      <c r="G452" s="331"/>
      <c r="H452" s="332"/>
      <c r="I452" s="330"/>
      <c r="J452" s="333"/>
      <c r="K452" s="333"/>
    </row>
    <row r="453" spans="1:11" x14ac:dyDescent="0.25">
      <c r="A453" s="328">
        <v>448</v>
      </c>
      <c r="B453" s="330"/>
      <c r="C453" s="330"/>
      <c r="D453" s="330"/>
      <c r="E453" s="330"/>
      <c r="F453" s="331"/>
      <c r="G453" s="331"/>
      <c r="H453" s="332"/>
      <c r="I453" s="330"/>
      <c r="J453" s="333"/>
      <c r="K453" s="333"/>
    </row>
    <row r="454" spans="1:11" x14ac:dyDescent="0.25">
      <c r="A454" s="328">
        <v>449</v>
      </c>
      <c r="B454" s="330"/>
      <c r="C454" s="330"/>
      <c r="D454" s="330"/>
      <c r="E454" s="330"/>
      <c r="F454" s="331"/>
      <c r="G454" s="331"/>
      <c r="H454" s="332"/>
      <c r="I454" s="330"/>
      <c r="J454" s="333"/>
      <c r="K454" s="333"/>
    </row>
    <row r="455" spans="1:11" x14ac:dyDescent="0.25">
      <c r="A455" s="328">
        <v>450</v>
      </c>
      <c r="B455" s="330"/>
      <c r="C455" s="330"/>
      <c r="D455" s="330"/>
      <c r="E455" s="330"/>
      <c r="F455" s="331"/>
      <c r="G455" s="331"/>
      <c r="H455" s="332"/>
      <c r="I455" s="330"/>
      <c r="J455" s="333"/>
      <c r="K455" s="333"/>
    </row>
    <row r="456" spans="1:11" x14ac:dyDescent="0.25">
      <c r="A456" s="328">
        <v>451</v>
      </c>
      <c r="B456" s="330"/>
      <c r="C456" s="330"/>
      <c r="D456" s="330"/>
      <c r="E456" s="330"/>
      <c r="F456" s="331"/>
      <c r="G456" s="331"/>
      <c r="H456" s="332"/>
      <c r="I456" s="330"/>
      <c r="J456" s="333"/>
      <c r="K456" s="333"/>
    </row>
    <row r="457" spans="1:11" x14ac:dyDescent="0.25">
      <c r="A457" s="328">
        <v>452</v>
      </c>
      <c r="B457" s="330"/>
      <c r="C457" s="330"/>
      <c r="D457" s="330"/>
      <c r="E457" s="330"/>
      <c r="F457" s="331"/>
      <c r="G457" s="331"/>
      <c r="H457" s="332"/>
      <c r="I457" s="330"/>
      <c r="J457" s="333"/>
      <c r="K457" s="333"/>
    </row>
    <row r="458" spans="1:11" x14ac:dyDescent="0.25">
      <c r="A458" s="328">
        <v>453</v>
      </c>
      <c r="B458" s="330"/>
      <c r="C458" s="330"/>
      <c r="D458" s="330"/>
      <c r="E458" s="330"/>
      <c r="F458" s="331"/>
      <c r="G458" s="331"/>
      <c r="H458" s="332"/>
      <c r="I458" s="330"/>
      <c r="J458" s="333"/>
      <c r="K458" s="333"/>
    </row>
    <row r="459" spans="1:11" x14ac:dyDescent="0.25">
      <c r="A459" s="328">
        <v>454</v>
      </c>
      <c r="B459" s="330"/>
      <c r="C459" s="330"/>
      <c r="D459" s="330"/>
      <c r="E459" s="330"/>
      <c r="F459" s="331"/>
      <c r="G459" s="331"/>
      <c r="H459" s="332"/>
      <c r="I459" s="330"/>
      <c r="J459" s="333"/>
      <c r="K459" s="333"/>
    </row>
    <row r="460" spans="1:11" x14ac:dyDescent="0.25">
      <c r="A460" s="328">
        <v>455</v>
      </c>
      <c r="B460" s="330"/>
      <c r="C460" s="330"/>
      <c r="D460" s="330"/>
      <c r="E460" s="330"/>
      <c r="F460" s="331"/>
      <c r="G460" s="331"/>
      <c r="H460" s="332"/>
      <c r="I460" s="330"/>
      <c r="J460" s="333"/>
      <c r="K460" s="333"/>
    </row>
    <row r="461" spans="1:11" x14ac:dyDescent="0.25">
      <c r="A461" s="328">
        <v>456</v>
      </c>
      <c r="B461" s="330"/>
      <c r="C461" s="330"/>
      <c r="D461" s="330"/>
      <c r="E461" s="330"/>
      <c r="F461" s="331"/>
      <c r="G461" s="331"/>
      <c r="H461" s="332"/>
      <c r="I461" s="330"/>
      <c r="J461" s="333"/>
      <c r="K461" s="333"/>
    </row>
    <row r="462" spans="1:11" x14ac:dyDescent="0.25">
      <c r="A462" s="328">
        <v>457</v>
      </c>
      <c r="B462" s="330"/>
      <c r="C462" s="330"/>
      <c r="D462" s="330"/>
      <c r="E462" s="330"/>
      <c r="F462" s="331"/>
      <c r="G462" s="331"/>
      <c r="H462" s="332"/>
      <c r="I462" s="330"/>
      <c r="J462" s="333"/>
      <c r="K462" s="333"/>
    </row>
    <row r="463" spans="1:11" x14ac:dyDescent="0.25">
      <c r="A463" s="328">
        <v>458</v>
      </c>
      <c r="B463" s="330"/>
      <c r="C463" s="330"/>
      <c r="D463" s="330"/>
      <c r="E463" s="330"/>
      <c r="F463" s="331"/>
      <c r="G463" s="331"/>
      <c r="H463" s="332"/>
      <c r="I463" s="330"/>
      <c r="J463" s="333"/>
      <c r="K463" s="333"/>
    </row>
    <row r="464" spans="1:11" x14ac:dyDescent="0.25">
      <c r="A464" s="328">
        <v>459</v>
      </c>
      <c r="B464" s="330"/>
      <c r="C464" s="330"/>
      <c r="D464" s="330"/>
      <c r="E464" s="330"/>
      <c r="F464" s="331"/>
      <c r="G464" s="331"/>
      <c r="H464" s="332"/>
      <c r="I464" s="330"/>
      <c r="J464" s="333"/>
      <c r="K464" s="333"/>
    </row>
    <row r="465" spans="1:11" x14ac:dyDescent="0.25">
      <c r="A465" s="328">
        <v>460</v>
      </c>
      <c r="B465" s="330"/>
      <c r="C465" s="330"/>
      <c r="D465" s="330"/>
      <c r="E465" s="330"/>
      <c r="F465" s="331"/>
      <c r="G465" s="331"/>
      <c r="H465" s="332"/>
      <c r="I465" s="330"/>
      <c r="J465" s="333"/>
      <c r="K465" s="333"/>
    </row>
    <row r="466" spans="1:11" x14ac:dyDescent="0.25">
      <c r="A466" s="328">
        <v>461</v>
      </c>
      <c r="B466" s="330"/>
      <c r="C466" s="330"/>
      <c r="D466" s="330"/>
      <c r="E466" s="330"/>
      <c r="F466" s="331"/>
      <c r="G466" s="331"/>
      <c r="H466" s="332"/>
      <c r="I466" s="330"/>
      <c r="J466" s="333"/>
      <c r="K466" s="333"/>
    </row>
    <row r="467" spans="1:11" x14ac:dyDescent="0.25">
      <c r="A467" s="328">
        <v>462</v>
      </c>
      <c r="B467" s="330"/>
      <c r="C467" s="330"/>
      <c r="D467" s="330"/>
      <c r="E467" s="330"/>
      <c r="F467" s="331"/>
      <c r="G467" s="331"/>
      <c r="H467" s="332"/>
      <c r="I467" s="330"/>
      <c r="J467" s="333"/>
      <c r="K467" s="333"/>
    </row>
    <row r="468" spans="1:11" x14ac:dyDescent="0.25">
      <c r="A468" s="328">
        <v>463</v>
      </c>
      <c r="B468" s="330"/>
      <c r="C468" s="330"/>
      <c r="D468" s="330"/>
      <c r="E468" s="330"/>
      <c r="F468" s="331"/>
      <c r="G468" s="331"/>
      <c r="H468" s="332"/>
      <c r="I468" s="330"/>
      <c r="J468" s="333"/>
      <c r="K468" s="333"/>
    </row>
    <row r="469" spans="1:11" x14ac:dyDescent="0.25">
      <c r="A469" s="328">
        <v>464</v>
      </c>
      <c r="B469" s="330"/>
      <c r="C469" s="330"/>
      <c r="D469" s="330"/>
      <c r="E469" s="330"/>
      <c r="F469" s="331"/>
      <c r="G469" s="331"/>
      <c r="H469" s="332"/>
      <c r="I469" s="330"/>
      <c r="J469" s="333"/>
      <c r="K469" s="333"/>
    </row>
    <row r="470" spans="1:11" x14ac:dyDescent="0.25">
      <c r="A470" s="328">
        <v>465</v>
      </c>
      <c r="B470" s="330"/>
      <c r="C470" s="330"/>
      <c r="D470" s="330"/>
      <c r="E470" s="330"/>
      <c r="F470" s="331"/>
      <c r="G470" s="331"/>
      <c r="H470" s="332"/>
      <c r="I470" s="330"/>
      <c r="J470" s="333"/>
      <c r="K470" s="333"/>
    </row>
    <row r="471" spans="1:11" x14ac:dyDescent="0.25">
      <c r="A471" s="328">
        <v>466</v>
      </c>
      <c r="B471" s="330"/>
      <c r="C471" s="330"/>
      <c r="D471" s="330"/>
      <c r="E471" s="330"/>
      <c r="F471" s="331"/>
      <c r="G471" s="331"/>
      <c r="H471" s="332"/>
      <c r="I471" s="330"/>
      <c r="J471" s="333"/>
      <c r="K471" s="333"/>
    </row>
    <row r="472" spans="1:11" x14ac:dyDescent="0.25">
      <c r="A472" s="328">
        <v>467</v>
      </c>
      <c r="B472" s="330"/>
      <c r="C472" s="330"/>
      <c r="D472" s="330"/>
      <c r="E472" s="330"/>
      <c r="F472" s="331"/>
      <c r="G472" s="331"/>
      <c r="H472" s="332"/>
      <c r="I472" s="330"/>
      <c r="J472" s="333"/>
      <c r="K472" s="333"/>
    </row>
    <row r="473" spans="1:11" x14ac:dyDescent="0.25">
      <c r="A473" s="328">
        <v>468</v>
      </c>
      <c r="B473" s="330"/>
      <c r="C473" s="330"/>
      <c r="D473" s="330"/>
      <c r="E473" s="330"/>
      <c r="F473" s="331"/>
      <c r="G473" s="331"/>
      <c r="H473" s="332"/>
      <c r="I473" s="330"/>
      <c r="J473" s="333"/>
      <c r="K473" s="333"/>
    </row>
    <row r="474" spans="1:11" x14ac:dyDescent="0.25">
      <c r="A474" s="328">
        <v>469</v>
      </c>
      <c r="B474" s="330"/>
      <c r="C474" s="330"/>
      <c r="D474" s="330"/>
      <c r="E474" s="330"/>
      <c r="F474" s="331"/>
      <c r="G474" s="331"/>
      <c r="H474" s="332"/>
      <c r="I474" s="330"/>
      <c r="J474" s="333"/>
      <c r="K474" s="333"/>
    </row>
    <row r="475" spans="1:11" x14ac:dyDescent="0.25">
      <c r="A475" s="328">
        <v>470</v>
      </c>
      <c r="B475" s="330"/>
      <c r="C475" s="330"/>
      <c r="D475" s="330"/>
      <c r="E475" s="330"/>
      <c r="F475" s="331"/>
      <c r="G475" s="331"/>
      <c r="H475" s="332"/>
      <c r="I475" s="330"/>
      <c r="J475" s="333"/>
      <c r="K475" s="333"/>
    </row>
    <row r="476" spans="1:11" x14ac:dyDescent="0.25">
      <c r="A476" s="328">
        <v>471</v>
      </c>
      <c r="B476" s="330"/>
      <c r="C476" s="330"/>
      <c r="D476" s="330"/>
      <c r="E476" s="330"/>
      <c r="F476" s="331"/>
      <c r="G476" s="331"/>
      <c r="H476" s="332"/>
      <c r="I476" s="330"/>
      <c r="J476" s="333"/>
      <c r="K476" s="333"/>
    </row>
    <row r="477" spans="1:11" x14ac:dyDescent="0.25">
      <c r="A477" s="328">
        <v>472</v>
      </c>
      <c r="B477" s="330"/>
      <c r="C477" s="330"/>
      <c r="D477" s="330"/>
      <c r="E477" s="330"/>
      <c r="F477" s="331"/>
      <c r="G477" s="331"/>
      <c r="H477" s="332"/>
      <c r="I477" s="330"/>
      <c r="J477" s="333"/>
      <c r="K477" s="333"/>
    </row>
    <row r="478" spans="1:11" x14ac:dyDescent="0.25">
      <c r="A478" s="328">
        <v>473</v>
      </c>
      <c r="B478" s="330"/>
      <c r="C478" s="330"/>
      <c r="D478" s="330"/>
      <c r="E478" s="330"/>
      <c r="F478" s="331"/>
      <c r="G478" s="331"/>
      <c r="H478" s="332"/>
      <c r="I478" s="330"/>
      <c r="J478" s="333"/>
      <c r="K478" s="333"/>
    </row>
    <row r="479" spans="1:11" x14ac:dyDescent="0.25">
      <c r="A479" s="328">
        <v>474</v>
      </c>
      <c r="B479" s="330"/>
      <c r="C479" s="330"/>
      <c r="D479" s="330"/>
      <c r="E479" s="330"/>
      <c r="F479" s="331"/>
      <c r="G479" s="331"/>
      <c r="H479" s="332"/>
      <c r="I479" s="330"/>
      <c r="J479" s="333"/>
      <c r="K479" s="333"/>
    </row>
    <row r="480" spans="1:11" x14ac:dyDescent="0.25">
      <c r="A480" s="328">
        <v>475</v>
      </c>
      <c r="B480" s="330"/>
      <c r="C480" s="330"/>
      <c r="D480" s="330"/>
      <c r="E480" s="330"/>
      <c r="F480" s="331"/>
      <c r="G480" s="331"/>
      <c r="H480" s="332"/>
      <c r="I480" s="330"/>
      <c r="J480" s="333"/>
      <c r="K480" s="333"/>
    </row>
    <row r="481" spans="1:11" x14ac:dyDescent="0.25">
      <c r="A481" s="328">
        <v>476</v>
      </c>
      <c r="B481" s="330"/>
      <c r="C481" s="330"/>
      <c r="D481" s="330"/>
      <c r="E481" s="330"/>
      <c r="F481" s="331"/>
      <c r="G481" s="331"/>
      <c r="H481" s="332"/>
      <c r="I481" s="330"/>
      <c r="J481" s="333"/>
      <c r="K481" s="333"/>
    </row>
    <row r="482" spans="1:11" x14ac:dyDescent="0.25">
      <c r="A482" s="328">
        <v>477</v>
      </c>
      <c r="B482" s="330"/>
      <c r="C482" s="330"/>
      <c r="D482" s="330"/>
      <c r="E482" s="330"/>
      <c r="F482" s="331"/>
      <c r="G482" s="331"/>
      <c r="H482" s="332"/>
      <c r="I482" s="330"/>
      <c r="J482" s="333"/>
      <c r="K482" s="333"/>
    </row>
    <row r="483" spans="1:11" x14ac:dyDescent="0.25">
      <c r="A483" s="328">
        <v>478</v>
      </c>
      <c r="B483" s="330"/>
      <c r="C483" s="330"/>
      <c r="D483" s="330"/>
      <c r="E483" s="330"/>
      <c r="F483" s="331"/>
      <c r="G483" s="331"/>
      <c r="H483" s="332"/>
      <c r="I483" s="330"/>
      <c r="J483" s="333"/>
      <c r="K483" s="333"/>
    </row>
    <row r="484" spans="1:11" x14ac:dyDescent="0.25">
      <c r="A484" s="328">
        <v>479</v>
      </c>
      <c r="B484" s="330"/>
      <c r="C484" s="330"/>
      <c r="D484" s="330"/>
      <c r="E484" s="330"/>
      <c r="F484" s="331"/>
      <c r="G484" s="331"/>
      <c r="H484" s="332"/>
      <c r="I484" s="330"/>
      <c r="J484" s="333"/>
      <c r="K484" s="333"/>
    </row>
    <row r="485" spans="1:11" x14ac:dyDescent="0.25">
      <c r="A485" s="328">
        <v>480</v>
      </c>
      <c r="B485" s="330"/>
      <c r="C485" s="330"/>
      <c r="D485" s="330"/>
      <c r="E485" s="330"/>
      <c r="F485" s="331"/>
      <c r="G485" s="331"/>
      <c r="H485" s="332"/>
      <c r="I485" s="330"/>
      <c r="J485" s="333"/>
      <c r="K485" s="333"/>
    </row>
    <row r="486" spans="1:11" x14ac:dyDescent="0.25">
      <c r="A486" s="328">
        <v>481</v>
      </c>
      <c r="B486" s="330"/>
      <c r="C486" s="330"/>
      <c r="D486" s="330"/>
      <c r="E486" s="330"/>
      <c r="F486" s="331"/>
      <c r="G486" s="331"/>
      <c r="H486" s="332"/>
      <c r="I486" s="330"/>
      <c r="J486" s="333"/>
      <c r="K486" s="333"/>
    </row>
    <row r="487" spans="1:11" x14ac:dyDescent="0.25">
      <c r="A487" s="328">
        <v>482</v>
      </c>
      <c r="B487" s="330"/>
      <c r="C487" s="330"/>
      <c r="D487" s="330"/>
      <c r="E487" s="330"/>
      <c r="F487" s="331"/>
      <c r="G487" s="331"/>
      <c r="H487" s="332"/>
      <c r="I487" s="330"/>
      <c r="J487" s="333"/>
      <c r="K487" s="333"/>
    </row>
    <row r="488" spans="1:11" x14ac:dyDescent="0.25">
      <c r="A488" s="328">
        <v>483</v>
      </c>
      <c r="B488" s="330"/>
      <c r="C488" s="330"/>
      <c r="D488" s="330"/>
      <c r="E488" s="330"/>
      <c r="F488" s="331"/>
      <c r="G488" s="331"/>
      <c r="H488" s="332"/>
      <c r="I488" s="330"/>
      <c r="J488" s="333"/>
      <c r="K488" s="333"/>
    </row>
    <row r="489" spans="1:11" x14ac:dyDescent="0.25">
      <c r="A489" s="328">
        <v>484</v>
      </c>
      <c r="B489" s="330"/>
      <c r="C489" s="330"/>
      <c r="D489" s="330"/>
      <c r="E489" s="330"/>
      <c r="F489" s="331"/>
      <c r="G489" s="331"/>
      <c r="H489" s="332"/>
      <c r="I489" s="330"/>
      <c r="J489" s="333"/>
      <c r="K489" s="333"/>
    </row>
    <row r="490" spans="1:11" x14ac:dyDescent="0.25">
      <c r="A490" s="328">
        <v>485</v>
      </c>
      <c r="B490" s="330"/>
      <c r="C490" s="330"/>
      <c r="D490" s="330"/>
      <c r="E490" s="330"/>
      <c r="F490" s="331"/>
      <c r="G490" s="331"/>
      <c r="H490" s="332"/>
      <c r="I490" s="330"/>
      <c r="J490" s="333"/>
      <c r="K490" s="333"/>
    </row>
    <row r="491" spans="1:11" x14ac:dyDescent="0.25">
      <c r="A491" s="328">
        <v>486</v>
      </c>
      <c r="B491" s="330"/>
      <c r="C491" s="330"/>
      <c r="D491" s="330"/>
      <c r="E491" s="330"/>
      <c r="F491" s="331"/>
      <c r="G491" s="331"/>
      <c r="H491" s="332"/>
      <c r="I491" s="330"/>
      <c r="J491" s="333"/>
      <c r="K491" s="333"/>
    </row>
    <row r="492" spans="1:11" x14ac:dyDescent="0.25">
      <c r="A492" s="328">
        <v>487</v>
      </c>
      <c r="B492" s="330"/>
      <c r="C492" s="330"/>
      <c r="D492" s="330"/>
      <c r="E492" s="330"/>
      <c r="F492" s="331"/>
      <c r="G492" s="331"/>
      <c r="H492" s="332"/>
      <c r="I492" s="330"/>
      <c r="J492" s="333"/>
      <c r="K492" s="333"/>
    </row>
    <row r="493" spans="1:11" x14ac:dyDescent="0.25">
      <c r="A493" s="328">
        <v>488</v>
      </c>
      <c r="B493" s="330"/>
      <c r="C493" s="330"/>
      <c r="D493" s="330"/>
      <c r="E493" s="330"/>
      <c r="F493" s="331"/>
      <c r="G493" s="331"/>
      <c r="H493" s="332"/>
      <c r="I493" s="330"/>
      <c r="J493" s="333"/>
      <c r="K493" s="333"/>
    </row>
    <row r="494" spans="1:11" x14ac:dyDescent="0.25">
      <c r="A494" s="328">
        <v>489</v>
      </c>
      <c r="B494" s="330"/>
      <c r="C494" s="330"/>
      <c r="D494" s="330"/>
      <c r="E494" s="330"/>
      <c r="F494" s="331"/>
      <c r="G494" s="331"/>
      <c r="H494" s="332"/>
      <c r="I494" s="330"/>
      <c r="J494" s="333"/>
      <c r="K494" s="333"/>
    </row>
    <row r="495" spans="1:11" x14ac:dyDescent="0.25">
      <c r="A495" s="328">
        <v>490</v>
      </c>
      <c r="B495" s="330"/>
      <c r="C495" s="330"/>
      <c r="D495" s="330"/>
      <c r="E495" s="330"/>
      <c r="F495" s="331"/>
      <c r="G495" s="331"/>
      <c r="H495" s="332"/>
      <c r="I495" s="330"/>
      <c r="J495" s="333"/>
      <c r="K495" s="333"/>
    </row>
    <row r="496" spans="1:11" x14ac:dyDescent="0.25">
      <c r="A496" s="328">
        <v>491</v>
      </c>
      <c r="B496" s="330"/>
      <c r="C496" s="330"/>
      <c r="D496" s="330"/>
      <c r="E496" s="330"/>
      <c r="F496" s="331"/>
      <c r="G496" s="331"/>
      <c r="H496" s="332"/>
      <c r="I496" s="330"/>
      <c r="J496" s="333"/>
      <c r="K496" s="333"/>
    </row>
    <row r="497" spans="1:11" x14ac:dyDescent="0.25">
      <c r="A497" s="328">
        <v>492</v>
      </c>
      <c r="B497" s="330"/>
      <c r="C497" s="330"/>
      <c r="D497" s="330"/>
      <c r="E497" s="330"/>
      <c r="F497" s="331"/>
      <c r="G497" s="331"/>
      <c r="H497" s="332"/>
      <c r="I497" s="330"/>
      <c r="J497" s="333"/>
      <c r="K497" s="333"/>
    </row>
    <row r="498" spans="1:11" x14ac:dyDescent="0.25">
      <c r="A498" s="328">
        <v>493</v>
      </c>
      <c r="B498" s="330"/>
      <c r="C498" s="330"/>
      <c r="D498" s="330"/>
      <c r="E498" s="330"/>
      <c r="F498" s="331"/>
      <c r="G498" s="331"/>
      <c r="H498" s="332"/>
      <c r="I498" s="330"/>
      <c r="J498" s="333"/>
      <c r="K498" s="333"/>
    </row>
    <row r="499" spans="1:11" x14ac:dyDescent="0.25">
      <c r="A499" s="328">
        <v>494</v>
      </c>
      <c r="B499" s="330"/>
      <c r="C499" s="330"/>
      <c r="D499" s="330"/>
      <c r="E499" s="330"/>
      <c r="F499" s="331"/>
      <c r="G499" s="331"/>
      <c r="H499" s="332"/>
      <c r="I499" s="330"/>
      <c r="J499" s="333"/>
      <c r="K499" s="333"/>
    </row>
    <row r="500" spans="1:11" x14ac:dyDescent="0.25">
      <c r="A500" s="328">
        <v>495</v>
      </c>
      <c r="B500" s="330"/>
      <c r="C500" s="330"/>
      <c r="D500" s="330"/>
      <c r="E500" s="330"/>
      <c r="F500" s="331"/>
      <c r="G500" s="331"/>
      <c r="H500" s="332"/>
      <c r="I500" s="330"/>
      <c r="J500" s="333"/>
      <c r="K500" s="333"/>
    </row>
    <row r="501" spans="1:11" x14ac:dyDescent="0.25">
      <c r="A501" s="328">
        <v>496</v>
      </c>
      <c r="B501" s="330"/>
      <c r="C501" s="330"/>
      <c r="D501" s="330"/>
      <c r="E501" s="330"/>
      <c r="F501" s="331"/>
      <c r="G501" s="331"/>
      <c r="H501" s="332"/>
      <c r="I501" s="330"/>
      <c r="J501" s="333"/>
      <c r="K501" s="333"/>
    </row>
    <row r="502" spans="1:11" x14ac:dyDescent="0.25">
      <c r="A502" s="328">
        <v>497</v>
      </c>
      <c r="B502" s="330"/>
      <c r="C502" s="330"/>
      <c r="D502" s="330"/>
      <c r="E502" s="330"/>
      <c r="F502" s="331"/>
      <c r="G502" s="331"/>
      <c r="H502" s="332"/>
      <c r="I502" s="330"/>
      <c r="J502" s="333"/>
      <c r="K502" s="333"/>
    </row>
    <row r="503" spans="1:11" x14ac:dyDescent="0.25">
      <c r="A503" s="328">
        <v>498</v>
      </c>
      <c r="B503" s="330"/>
      <c r="C503" s="330"/>
      <c r="D503" s="330"/>
      <c r="E503" s="330"/>
      <c r="F503" s="331"/>
      <c r="G503" s="331"/>
      <c r="H503" s="332"/>
      <c r="I503" s="330"/>
      <c r="J503" s="333"/>
      <c r="K503" s="333"/>
    </row>
    <row r="504" spans="1:11" x14ac:dyDescent="0.25">
      <c r="A504" s="328">
        <v>499</v>
      </c>
      <c r="B504" s="330"/>
      <c r="C504" s="330"/>
      <c r="D504" s="330"/>
      <c r="E504" s="330"/>
      <c r="F504" s="331"/>
      <c r="G504" s="331"/>
      <c r="H504" s="332"/>
      <c r="I504" s="330"/>
      <c r="J504" s="333"/>
      <c r="K504" s="333"/>
    </row>
    <row r="505" spans="1:11" x14ac:dyDescent="0.25">
      <c r="A505" s="328">
        <v>500</v>
      </c>
      <c r="B505" s="330"/>
      <c r="C505" s="330"/>
      <c r="D505" s="330"/>
      <c r="E505" s="330"/>
      <c r="F505" s="331"/>
      <c r="G505" s="331"/>
      <c r="H505" s="332"/>
      <c r="I505" s="330"/>
      <c r="J505" s="333"/>
      <c r="K505" s="333"/>
    </row>
    <row r="506" spans="1:11" x14ac:dyDescent="0.25">
      <c r="A506" s="328">
        <v>501</v>
      </c>
      <c r="B506" s="330"/>
      <c r="C506" s="330"/>
      <c r="D506" s="330"/>
      <c r="E506" s="330"/>
      <c r="F506" s="331"/>
      <c r="G506" s="331"/>
      <c r="H506" s="332"/>
      <c r="I506" s="330"/>
      <c r="J506" s="333"/>
      <c r="K506" s="333"/>
    </row>
    <row r="507" spans="1:11" x14ac:dyDescent="0.25">
      <c r="A507" s="328">
        <v>502</v>
      </c>
      <c r="B507" s="330"/>
      <c r="C507" s="330"/>
      <c r="D507" s="330"/>
      <c r="E507" s="330"/>
      <c r="F507" s="331"/>
      <c r="G507" s="331"/>
      <c r="H507" s="332"/>
      <c r="I507" s="330"/>
      <c r="J507" s="333"/>
      <c r="K507" s="333"/>
    </row>
    <row r="508" spans="1:11" x14ac:dyDescent="0.25">
      <c r="A508" s="328">
        <v>503</v>
      </c>
      <c r="B508" s="330"/>
      <c r="C508" s="330"/>
      <c r="D508" s="330"/>
      <c r="E508" s="330"/>
      <c r="F508" s="331"/>
      <c r="G508" s="331"/>
      <c r="H508" s="332"/>
      <c r="I508" s="330"/>
      <c r="J508" s="333"/>
      <c r="K508" s="333"/>
    </row>
    <row r="509" spans="1:11" x14ac:dyDescent="0.25">
      <c r="A509" s="328">
        <v>504</v>
      </c>
      <c r="B509" s="330"/>
      <c r="C509" s="330"/>
      <c r="D509" s="330"/>
      <c r="E509" s="330"/>
      <c r="F509" s="331"/>
      <c r="G509" s="331"/>
      <c r="H509" s="332"/>
      <c r="I509" s="330"/>
      <c r="J509" s="333"/>
      <c r="K509" s="333"/>
    </row>
    <row r="510" spans="1:11" x14ac:dyDescent="0.25">
      <c r="A510" s="328">
        <v>505</v>
      </c>
      <c r="B510" s="330"/>
      <c r="C510" s="330"/>
      <c r="D510" s="330"/>
      <c r="E510" s="330"/>
      <c r="F510" s="331"/>
      <c r="G510" s="331"/>
      <c r="H510" s="332"/>
      <c r="I510" s="330"/>
      <c r="J510" s="333"/>
      <c r="K510" s="333"/>
    </row>
    <row r="511" spans="1:11" x14ac:dyDescent="0.25">
      <c r="A511" s="328">
        <v>506</v>
      </c>
      <c r="B511" s="330"/>
      <c r="C511" s="330"/>
      <c r="D511" s="330"/>
      <c r="E511" s="330"/>
      <c r="F511" s="331"/>
      <c r="G511" s="331"/>
      <c r="H511" s="332"/>
      <c r="I511" s="330"/>
      <c r="J511" s="333"/>
      <c r="K511" s="333"/>
    </row>
    <row r="512" spans="1:11" x14ac:dyDescent="0.25">
      <c r="A512" s="328">
        <v>507</v>
      </c>
      <c r="B512" s="330"/>
      <c r="C512" s="330"/>
      <c r="D512" s="330"/>
      <c r="E512" s="330"/>
      <c r="F512" s="331"/>
      <c r="G512" s="331"/>
      <c r="H512" s="332"/>
      <c r="I512" s="330"/>
      <c r="J512" s="333"/>
      <c r="K512" s="333"/>
    </row>
    <row r="513" spans="1:11" x14ac:dyDescent="0.25">
      <c r="A513" s="328">
        <v>508</v>
      </c>
      <c r="B513" s="330"/>
      <c r="C513" s="330"/>
      <c r="D513" s="330"/>
      <c r="E513" s="330"/>
      <c r="F513" s="331"/>
      <c r="G513" s="331"/>
      <c r="H513" s="332"/>
      <c r="I513" s="330"/>
      <c r="J513" s="333"/>
      <c r="K513" s="333"/>
    </row>
    <row r="514" spans="1:11" x14ac:dyDescent="0.25">
      <c r="A514" s="328">
        <v>509</v>
      </c>
      <c r="B514" s="330"/>
      <c r="C514" s="330"/>
      <c r="D514" s="330"/>
      <c r="E514" s="330"/>
      <c r="F514" s="331"/>
      <c r="G514" s="331"/>
      <c r="H514" s="332"/>
      <c r="I514" s="330"/>
      <c r="J514" s="333"/>
      <c r="K514" s="333"/>
    </row>
    <row r="515" spans="1:11" x14ac:dyDescent="0.25">
      <c r="A515" s="328">
        <v>510</v>
      </c>
      <c r="B515" s="330"/>
      <c r="C515" s="330"/>
      <c r="D515" s="330"/>
      <c r="E515" s="330"/>
      <c r="F515" s="331"/>
      <c r="G515" s="331"/>
      <c r="H515" s="332"/>
      <c r="I515" s="330"/>
      <c r="J515" s="333"/>
      <c r="K515" s="333"/>
    </row>
    <row r="516" spans="1:11" x14ac:dyDescent="0.25">
      <c r="A516" s="328">
        <v>511</v>
      </c>
      <c r="B516" s="330"/>
      <c r="C516" s="330"/>
      <c r="D516" s="330"/>
      <c r="E516" s="330"/>
      <c r="F516" s="331"/>
      <c r="G516" s="331"/>
      <c r="H516" s="332"/>
      <c r="I516" s="330"/>
      <c r="J516" s="333"/>
      <c r="K516" s="333"/>
    </row>
    <row r="517" spans="1:11" x14ac:dyDescent="0.25">
      <c r="A517" s="328">
        <v>512</v>
      </c>
      <c r="B517" s="330"/>
      <c r="C517" s="330"/>
      <c r="D517" s="330"/>
      <c r="E517" s="330"/>
      <c r="F517" s="331"/>
      <c r="G517" s="331"/>
      <c r="H517" s="332"/>
      <c r="I517" s="330"/>
      <c r="J517" s="333"/>
      <c r="K517" s="333"/>
    </row>
    <row r="518" spans="1:11" x14ac:dyDescent="0.25">
      <c r="A518" s="328">
        <v>513</v>
      </c>
      <c r="B518" s="330"/>
      <c r="C518" s="330"/>
      <c r="D518" s="330"/>
      <c r="E518" s="330"/>
      <c r="F518" s="331"/>
      <c r="G518" s="331"/>
      <c r="H518" s="332"/>
      <c r="I518" s="330"/>
      <c r="J518" s="333"/>
      <c r="K518" s="333"/>
    </row>
    <row r="519" spans="1:11" x14ac:dyDescent="0.25">
      <c r="A519" s="328">
        <v>514</v>
      </c>
      <c r="B519" s="330"/>
      <c r="C519" s="330"/>
      <c r="D519" s="330"/>
      <c r="E519" s="330"/>
      <c r="F519" s="331"/>
      <c r="G519" s="331"/>
      <c r="H519" s="332"/>
      <c r="I519" s="330"/>
      <c r="J519" s="333"/>
      <c r="K519" s="333"/>
    </row>
    <row r="520" spans="1:11" x14ac:dyDescent="0.25">
      <c r="A520" s="328">
        <v>515</v>
      </c>
      <c r="B520" s="330"/>
      <c r="C520" s="330"/>
      <c r="D520" s="330"/>
      <c r="E520" s="330"/>
      <c r="F520" s="331"/>
      <c r="G520" s="331"/>
      <c r="H520" s="332"/>
      <c r="I520" s="330"/>
      <c r="J520" s="333"/>
      <c r="K520" s="333"/>
    </row>
    <row r="521" spans="1:11" x14ac:dyDescent="0.25">
      <c r="A521" s="328">
        <v>516</v>
      </c>
      <c r="B521" s="330"/>
      <c r="C521" s="330"/>
      <c r="D521" s="330"/>
      <c r="E521" s="330"/>
      <c r="F521" s="331"/>
      <c r="G521" s="331"/>
      <c r="H521" s="332"/>
      <c r="I521" s="330"/>
      <c r="J521" s="333"/>
      <c r="K521" s="333"/>
    </row>
    <row r="522" spans="1:11" x14ac:dyDescent="0.25">
      <c r="A522" s="328">
        <v>517</v>
      </c>
      <c r="B522" s="330"/>
      <c r="C522" s="330"/>
      <c r="D522" s="330"/>
      <c r="E522" s="330"/>
      <c r="F522" s="331"/>
      <c r="G522" s="331"/>
      <c r="H522" s="332"/>
      <c r="I522" s="330"/>
      <c r="J522" s="333"/>
      <c r="K522" s="333"/>
    </row>
    <row r="523" spans="1:11" x14ac:dyDescent="0.25">
      <c r="A523" s="328">
        <v>518</v>
      </c>
      <c r="B523" s="330"/>
      <c r="C523" s="330"/>
      <c r="D523" s="330"/>
      <c r="E523" s="330"/>
      <c r="F523" s="331"/>
      <c r="G523" s="331"/>
      <c r="H523" s="332"/>
      <c r="I523" s="330"/>
      <c r="J523" s="333"/>
      <c r="K523" s="333"/>
    </row>
    <row r="524" spans="1:11" x14ac:dyDescent="0.25">
      <c r="A524" s="328">
        <v>519</v>
      </c>
      <c r="B524" s="330"/>
      <c r="C524" s="330"/>
      <c r="D524" s="330"/>
      <c r="E524" s="330"/>
      <c r="F524" s="331"/>
      <c r="G524" s="331"/>
      <c r="H524" s="332"/>
      <c r="I524" s="330"/>
      <c r="J524" s="333"/>
      <c r="K524" s="333"/>
    </row>
    <row r="525" spans="1:11" x14ac:dyDescent="0.25">
      <c r="A525" s="328">
        <v>520</v>
      </c>
      <c r="B525" s="330"/>
      <c r="C525" s="330"/>
      <c r="D525" s="330"/>
      <c r="E525" s="330"/>
      <c r="F525" s="331"/>
      <c r="G525" s="331"/>
      <c r="H525" s="332"/>
      <c r="I525" s="330"/>
      <c r="J525" s="333"/>
      <c r="K525" s="333"/>
    </row>
    <row r="526" spans="1:11" x14ac:dyDescent="0.25">
      <c r="A526" s="328">
        <v>521</v>
      </c>
      <c r="B526" s="330"/>
      <c r="C526" s="330"/>
      <c r="D526" s="330"/>
      <c r="E526" s="330"/>
      <c r="F526" s="331"/>
      <c r="G526" s="331"/>
      <c r="H526" s="332"/>
      <c r="I526" s="330"/>
      <c r="J526" s="333"/>
      <c r="K526" s="333"/>
    </row>
    <row r="527" spans="1:11" x14ac:dyDescent="0.25">
      <c r="A527" s="328">
        <v>522</v>
      </c>
      <c r="B527" s="330"/>
      <c r="C527" s="330"/>
      <c r="D527" s="330"/>
      <c r="E527" s="330"/>
      <c r="F527" s="331"/>
      <c r="G527" s="331"/>
      <c r="H527" s="332"/>
      <c r="I527" s="330"/>
      <c r="J527" s="333"/>
      <c r="K527" s="333"/>
    </row>
    <row r="528" spans="1:11" x14ac:dyDescent="0.25">
      <c r="A528" s="328">
        <v>523</v>
      </c>
      <c r="B528" s="330"/>
      <c r="C528" s="330"/>
      <c r="D528" s="330"/>
      <c r="E528" s="330"/>
      <c r="F528" s="331"/>
      <c r="G528" s="331"/>
      <c r="H528" s="332"/>
      <c r="I528" s="330"/>
      <c r="J528" s="333"/>
      <c r="K528" s="333"/>
    </row>
    <row r="529" spans="1:11" x14ac:dyDescent="0.25">
      <c r="A529" s="328">
        <v>524</v>
      </c>
      <c r="B529" s="330"/>
      <c r="C529" s="330"/>
      <c r="D529" s="330"/>
      <c r="E529" s="330"/>
      <c r="F529" s="331"/>
      <c r="G529" s="331"/>
      <c r="H529" s="332"/>
      <c r="I529" s="330"/>
      <c r="J529" s="333"/>
      <c r="K529" s="333"/>
    </row>
    <row r="530" spans="1:11" x14ac:dyDescent="0.25">
      <c r="A530" s="328">
        <v>525</v>
      </c>
      <c r="B530" s="330"/>
      <c r="C530" s="330"/>
      <c r="D530" s="330"/>
      <c r="E530" s="330"/>
      <c r="F530" s="331"/>
      <c r="G530" s="331"/>
      <c r="H530" s="332"/>
      <c r="I530" s="330"/>
      <c r="J530" s="333"/>
      <c r="K530" s="333"/>
    </row>
    <row r="531" spans="1:11" x14ac:dyDescent="0.25">
      <c r="A531" s="328">
        <v>526</v>
      </c>
      <c r="B531" s="330"/>
      <c r="C531" s="330"/>
      <c r="D531" s="330"/>
      <c r="E531" s="330"/>
      <c r="F531" s="331"/>
      <c r="G531" s="331"/>
      <c r="H531" s="332"/>
      <c r="I531" s="330"/>
      <c r="J531" s="333"/>
      <c r="K531" s="333"/>
    </row>
    <row r="532" spans="1:11" x14ac:dyDescent="0.25">
      <c r="A532" s="328">
        <v>527</v>
      </c>
      <c r="B532" s="330"/>
      <c r="C532" s="330"/>
      <c r="D532" s="330"/>
      <c r="E532" s="330"/>
      <c r="F532" s="331"/>
      <c r="G532" s="331"/>
      <c r="H532" s="332"/>
      <c r="I532" s="330"/>
      <c r="J532" s="333"/>
      <c r="K532" s="333"/>
    </row>
    <row r="533" spans="1:11" x14ac:dyDescent="0.25">
      <c r="A533" s="328">
        <v>528</v>
      </c>
      <c r="B533" s="330"/>
      <c r="C533" s="330"/>
      <c r="D533" s="330"/>
      <c r="E533" s="330"/>
      <c r="F533" s="331"/>
      <c r="G533" s="331"/>
      <c r="H533" s="332"/>
      <c r="I533" s="330"/>
      <c r="J533" s="333"/>
      <c r="K533" s="333"/>
    </row>
    <row r="534" spans="1:11" x14ac:dyDescent="0.25">
      <c r="A534" s="328">
        <v>529</v>
      </c>
      <c r="B534" s="330"/>
      <c r="C534" s="330"/>
      <c r="D534" s="330"/>
      <c r="E534" s="330"/>
      <c r="F534" s="331"/>
      <c r="G534" s="331"/>
      <c r="H534" s="332"/>
      <c r="I534" s="330"/>
      <c r="J534" s="333"/>
      <c r="K534" s="333"/>
    </row>
    <row r="535" spans="1:11" x14ac:dyDescent="0.25">
      <c r="A535" s="328">
        <v>530</v>
      </c>
      <c r="B535" s="330"/>
      <c r="C535" s="330"/>
      <c r="D535" s="330"/>
      <c r="E535" s="330"/>
      <c r="F535" s="331"/>
      <c r="G535" s="331"/>
      <c r="H535" s="332"/>
      <c r="I535" s="330"/>
      <c r="J535" s="333"/>
      <c r="K535" s="333"/>
    </row>
    <row r="536" spans="1:11" x14ac:dyDescent="0.25">
      <c r="A536" s="328">
        <v>531</v>
      </c>
      <c r="B536" s="330"/>
      <c r="C536" s="330"/>
      <c r="D536" s="330"/>
      <c r="E536" s="330"/>
      <c r="F536" s="331"/>
      <c r="G536" s="331"/>
      <c r="H536" s="332"/>
      <c r="I536" s="330"/>
      <c r="J536" s="333"/>
      <c r="K536" s="333"/>
    </row>
    <row r="537" spans="1:11" x14ac:dyDescent="0.25">
      <c r="A537" s="328">
        <v>532</v>
      </c>
      <c r="B537" s="330"/>
      <c r="C537" s="330"/>
      <c r="D537" s="330"/>
      <c r="E537" s="330"/>
      <c r="F537" s="331"/>
      <c r="G537" s="331"/>
      <c r="H537" s="332"/>
      <c r="I537" s="330"/>
      <c r="J537" s="333"/>
      <c r="K537" s="333"/>
    </row>
    <row r="538" spans="1:11" x14ac:dyDescent="0.25">
      <c r="A538" s="328">
        <v>533</v>
      </c>
      <c r="B538" s="330"/>
      <c r="C538" s="330"/>
      <c r="D538" s="330"/>
      <c r="E538" s="330"/>
      <c r="F538" s="331"/>
      <c r="G538" s="331"/>
      <c r="H538" s="332"/>
      <c r="I538" s="330"/>
      <c r="J538" s="333"/>
      <c r="K538" s="333"/>
    </row>
    <row r="539" spans="1:11" x14ac:dyDescent="0.25">
      <c r="A539" s="328">
        <v>534</v>
      </c>
      <c r="B539" s="330"/>
      <c r="C539" s="330"/>
      <c r="D539" s="330"/>
      <c r="E539" s="330"/>
      <c r="F539" s="331"/>
      <c r="G539" s="331"/>
      <c r="H539" s="332"/>
      <c r="I539" s="330"/>
      <c r="J539" s="333"/>
      <c r="K539" s="333"/>
    </row>
    <row r="540" spans="1:11" x14ac:dyDescent="0.25">
      <c r="A540" s="328">
        <v>535</v>
      </c>
      <c r="B540" s="330"/>
      <c r="C540" s="330"/>
      <c r="D540" s="330"/>
      <c r="E540" s="330"/>
      <c r="F540" s="331"/>
      <c r="G540" s="331"/>
      <c r="H540" s="332"/>
      <c r="I540" s="330"/>
      <c r="J540" s="333"/>
      <c r="K540" s="333"/>
    </row>
    <row r="541" spans="1:11" x14ac:dyDescent="0.25">
      <c r="A541" s="328">
        <v>536</v>
      </c>
      <c r="B541" s="330"/>
      <c r="C541" s="330"/>
      <c r="D541" s="330"/>
      <c r="E541" s="330"/>
      <c r="F541" s="331"/>
      <c r="G541" s="331"/>
      <c r="H541" s="332"/>
      <c r="I541" s="330"/>
      <c r="J541" s="333"/>
      <c r="K541" s="333"/>
    </row>
    <row r="542" spans="1:11" x14ac:dyDescent="0.25">
      <c r="A542" s="328">
        <v>537</v>
      </c>
      <c r="B542" s="330"/>
      <c r="C542" s="330"/>
      <c r="D542" s="330"/>
      <c r="E542" s="330"/>
      <c r="F542" s="331"/>
      <c r="G542" s="331"/>
      <c r="H542" s="332"/>
      <c r="I542" s="330"/>
      <c r="J542" s="333"/>
      <c r="K542" s="333"/>
    </row>
    <row r="543" spans="1:11" x14ac:dyDescent="0.25">
      <c r="A543" s="328">
        <v>538</v>
      </c>
      <c r="B543" s="330"/>
      <c r="C543" s="330"/>
      <c r="D543" s="330"/>
      <c r="E543" s="330"/>
      <c r="F543" s="331"/>
      <c r="G543" s="331"/>
      <c r="H543" s="332"/>
      <c r="I543" s="330"/>
      <c r="J543" s="333"/>
      <c r="K543" s="333"/>
    </row>
    <row r="544" spans="1:11" x14ac:dyDescent="0.25">
      <c r="A544" s="328">
        <v>539</v>
      </c>
      <c r="B544" s="330"/>
      <c r="C544" s="330"/>
      <c r="D544" s="330"/>
      <c r="E544" s="330"/>
      <c r="F544" s="331"/>
      <c r="G544" s="331"/>
      <c r="H544" s="332"/>
      <c r="I544" s="330"/>
      <c r="J544" s="333"/>
      <c r="K544" s="333"/>
    </row>
    <row r="545" spans="1:11" x14ac:dyDescent="0.25">
      <c r="A545" s="328">
        <v>540</v>
      </c>
      <c r="B545" s="330"/>
      <c r="C545" s="330"/>
      <c r="D545" s="330"/>
      <c r="E545" s="330"/>
      <c r="F545" s="331"/>
      <c r="G545" s="331"/>
      <c r="H545" s="332"/>
      <c r="I545" s="330"/>
      <c r="J545" s="333"/>
      <c r="K545" s="333"/>
    </row>
    <row r="546" spans="1:11" x14ac:dyDescent="0.25">
      <c r="A546" s="328">
        <v>541</v>
      </c>
      <c r="B546" s="330"/>
      <c r="C546" s="330"/>
      <c r="D546" s="330"/>
      <c r="E546" s="330"/>
      <c r="F546" s="331"/>
      <c r="G546" s="331"/>
      <c r="H546" s="332"/>
      <c r="I546" s="330"/>
      <c r="J546" s="333"/>
      <c r="K546" s="333"/>
    </row>
    <row r="547" spans="1:11" x14ac:dyDescent="0.25">
      <c r="A547" s="328">
        <v>542</v>
      </c>
      <c r="B547" s="330"/>
      <c r="C547" s="330"/>
      <c r="D547" s="330"/>
      <c r="E547" s="330"/>
      <c r="F547" s="331"/>
      <c r="G547" s="331"/>
      <c r="H547" s="332"/>
      <c r="I547" s="330"/>
      <c r="J547" s="333"/>
      <c r="K547" s="333"/>
    </row>
    <row r="548" spans="1:11" x14ac:dyDescent="0.25">
      <c r="A548" s="328">
        <v>543</v>
      </c>
      <c r="B548" s="330"/>
      <c r="C548" s="330"/>
      <c r="D548" s="330"/>
      <c r="E548" s="330"/>
      <c r="F548" s="331"/>
      <c r="G548" s="331"/>
      <c r="H548" s="332"/>
      <c r="I548" s="330"/>
      <c r="J548" s="333"/>
      <c r="K548" s="333"/>
    </row>
    <row r="549" spans="1:11" x14ac:dyDescent="0.25">
      <c r="A549" s="328">
        <v>544</v>
      </c>
      <c r="B549" s="330"/>
      <c r="C549" s="330"/>
      <c r="D549" s="330"/>
      <c r="E549" s="330"/>
      <c r="F549" s="331"/>
      <c r="G549" s="331"/>
      <c r="H549" s="332"/>
      <c r="I549" s="330"/>
      <c r="J549" s="333"/>
      <c r="K549" s="333"/>
    </row>
    <row r="550" spans="1:11" x14ac:dyDescent="0.25">
      <c r="A550" s="328">
        <v>545</v>
      </c>
      <c r="B550" s="330"/>
      <c r="C550" s="330"/>
      <c r="D550" s="330"/>
      <c r="E550" s="330"/>
      <c r="F550" s="331"/>
      <c r="G550" s="331"/>
      <c r="H550" s="332"/>
      <c r="I550" s="330"/>
      <c r="J550" s="333"/>
      <c r="K550" s="333"/>
    </row>
    <row r="551" spans="1:11" x14ac:dyDescent="0.25">
      <c r="A551" s="328">
        <v>546</v>
      </c>
      <c r="B551" s="330"/>
      <c r="C551" s="330"/>
      <c r="D551" s="330"/>
      <c r="E551" s="330"/>
      <c r="F551" s="331"/>
      <c r="G551" s="331"/>
      <c r="H551" s="332"/>
      <c r="I551" s="330"/>
      <c r="J551" s="333"/>
      <c r="K551" s="333"/>
    </row>
    <row r="552" spans="1:11" x14ac:dyDescent="0.25">
      <c r="A552" s="328">
        <v>547</v>
      </c>
      <c r="B552" s="330"/>
      <c r="C552" s="330"/>
      <c r="D552" s="330"/>
      <c r="E552" s="330"/>
      <c r="F552" s="331"/>
      <c r="G552" s="331"/>
      <c r="H552" s="332"/>
      <c r="I552" s="330"/>
      <c r="J552" s="333"/>
      <c r="K552" s="333"/>
    </row>
    <row r="553" spans="1:11" x14ac:dyDescent="0.25">
      <c r="A553" s="328">
        <v>548</v>
      </c>
      <c r="B553" s="330"/>
      <c r="C553" s="330"/>
      <c r="D553" s="330"/>
      <c r="E553" s="330"/>
      <c r="F553" s="331"/>
      <c r="G553" s="331"/>
      <c r="H553" s="332"/>
      <c r="I553" s="330"/>
      <c r="J553" s="333"/>
      <c r="K553" s="333"/>
    </row>
    <row r="554" spans="1:11" x14ac:dyDescent="0.25">
      <c r="A554" s="328">
        <v>549</v>
      </c>
      <c r="B554" s="330"/>
      <c r="C554" s="330"/>
      <c r="D554" s="330"/>
      <c r="E554" s="330"/>
      <c r="F554" s="331"/>
      <c r="G554" s="331"/>
      <c r="H554" s="332"/>
      <c r="I554" s="330"/>
      <c r="J554" s="333"/>
      <c r="K554" s="333"/>
    </row>
    <row r="555" spans="1:11" x14ac:dyDescent="0.25">
      <c r="A555" s="328">
        <v>550</v>
      </c>
      <c r="B555" s="330"/>
      <c r="C555" s="330"/>
      <c r="D555" s="330"/>
      <c r="E555" s="330"/>
      <c r="F555" s="331"/>
      <c r="G555" s="331"/>
      <c r="H555" s="332"/>
      <c r="I555" s="330"/>
      <c r="J555" s="333"/>
      <c r="K555" s="333"/>
    </row>
    <row r="556" spans="1:11" x14ac:dyDescent="0.25">
      <c r="A556" s="328">
        <v>551</v>
      </c>
      <c r="B556" s="330"/>
      <c r="C556" s="330"/>
      <c r="D556" s="330"/>
      <c r="E556" s="330"/>
      <c r="F556" s="331"/>
      <c r="G556" s="331"/>
      <c r="H556" s="332"/>
      <c r="I556" s="330"/>
      <c r="J556" s="333"/>
      <c r="K556" s="333"/>
    </row>
    <row r="557" spans="1:11" x14ac:dyDescent="0.25">
      <c r="A557" s="328">
        <v>552</v>
      </c>
      <c r="B557" s="330"/>
      <c r="C557" s="330"/>
      <c r="D557" s="330"/>
      <c r="E557" s="330"/>
      <c r="F557" s="331"/>
      <c r="G557" s="331"/>
      <c r="H557" s="332"/>
      <c r="I557" s="330"/>
      <c r="J557" s="333"/>
      <c r="K557" s="333"/>
    </row>
    <row r="558" spans="1:11" x14ac:dyDescent="0.25">
      <c r="A558" s="328">
        <v>553</v>
      </c>
      <c r="B558" s="330"/>
      <c r="C558" s="330"/>
      <c r="D558" s="330"/>
      <c r="E558" s="330"/>
      <c r="F558" s="331"/>
      <c r="G558" s="331"/>
      <c r="H558" s="332"/>
      <c r="I558" s="330"/>
      <c r="J558" s="333"/>
      <c r="K558" s="333"/>
    </row>
    <row r="559" spans="1:11" x14ac:dyDescent="0.25">
      <c r="A559" s="328">
        <v>554</v>
      </c>
      <c r="B559" s="330"/>
      <c r="C559" s="330"/>
      <c r="D559" s="330"/>
      <c r="E559" s="330"/>
      <c r="F559" s="331"/>
      <c r="G559" s="331"/>
      <c r="H559" s="332"/>
      <c r="I559" s="330"/>
      <c r="J559" s="333"/>
      <c r="K559" s="333"/>
    </row>
    <row r="560" spans="1:11" x14ac:dyDescent="0.25">
      <c r="A560" s="328">
        <v>555</v>
      </c>
      <c r="B560" s="330"/>
      <c r="C560" s="330"/>
      <c r="D560" s="330"/>
      <c r="E560" s="330"/>
      <c r="F560" s="331"/>
      <c r="G560" s="331"/>
      <c r="H560" s="332"/>
      <c r="I560" s="330"/>
      <c r="J560" s="333"/>
      <c r="K560" s="333"/>
    </row>
    <row r="561" spans="1:11" x14ac:dyDescent="0.25">
      <c r="A561" s="328">
        <v>556</v>
      </c>
      <c r="B561" s="330"/>
      <c r="C561" s="330"/>
      <c r="D561" s="330"/>
      <c r="E561" s="330"/>
      <c r="F561" s="331"/>
      <c r="G561" s="331"/>
      <c r="H561" s="332"/>
      <c r="I561" s="330"/>
      <c r="J561" s="333"/>
      <c r="K561" s="333"/>
    </row>
    <row r="562" spans="1:11" x14ac:dyDescent="0.25">
      <c r="A562" s="328">
        <v>557</v>
      </c>
      <c r="B562" s="330"/>
      <c r="C562" s="330"/>
      <c r="D562" s="330"/>
      <c r="E562" s="330"/>
      <c r="F562" s="331"/>
      <c r="G562" s="331"/>
      <c r="H562" s="332"/>
      <c r="I562" s="330"/>
      <c r="J562" s="333"/>
      <c r="K562" s="333"/>
    </row>
    <row r="563" spans="1:11" x14ac:dyDescent="0.25">
      <c r="A563" s="328">
        <v>558</v>
      </c>
      <c r="B563" s="330"/>
      <c r="C563" s="330"/>
      <c r="D563" s="330"/>
      <c r="E563" s="330"/>
      <c r="F563" s="331"/>
      <c r="G563" s="331"/>
      <c r="H563" s="332"/>
      <c r="I563" s="330"/>
      <c r="J563" s="333"/>
      <c r="K563" s="333"/>
    </row>
    <row r="564" spans="1:11" x14ac:dyDescent="0.25">
      <c r="A564" s="328">
        <v>559</v>
      </c>
      <c r="B564" s="330"/>
      <c r="C564" s="330"/>
      <c r="D564" s="330"/>
      <c r="E564" s="330"/>
      <c r="F564" s="331"/>
      <c r="G564" s="331"/>
      <c r="H564" s="332"/>
      <c r="I564" s="330"/>
      <c r="J564" s="333"/>
      <c r="K564" s="333"/>
    </row>
    <row r="565" spans="1:11" x14ac:dyDescent="0.25">
      <c r="A565" s="328">
        <v>560</v>
      </c>
      <c r="B565" s="330"/>
      <c r="C565" s="330"/>
      <c r="D565" s="330"/>
      <c r="E565" s="330"/>
      <c r="F565" s="331"/>
      <c r="G565" s="331"/>
      <c r="H565" s="332"/>
      <c r="I565" s="330"/>
      <c r="J565" s="333"/>
      <c r="K565" s="333"/>
    </row>
    <row r="566" spans="1:11" x14ac:dyDescent="0.25">
      <c r="A566" s="328">
        <v>561</v>
      </c>
      <c r="B566" s="330"/>
      <c r="C566" s="330"/>
      <c r="D566" s="330"/>
      <c r="E566" s="330"/>
      <c r="F566" s="331"/>
      <c r="G566" s="331"/>
      <c r="H566" s="332"/>
      <c r="I566" s="330"/>
      <c r="J566" s="333"/>
      <c r="K566" s="333"/>
    </row>
    <row r="567" spans="1:11" x14ac:dyDescent="0.25">
      <c r="A567" s="328">
        <v>562</v>
      </c>
      <c r="B567" s="330"/>
      <c r="C567" s="330"/>
      <c r="D567" s="330"/>
      <c r="E567" s="330"/>
      <c r="F567" s="331"/>
      <c r="G567" s="331"/>
      <c r="H567" s="332"/>
      <c r="I567" s="330"/>
      <c r="J567" s="333"/>
      <c r="K567" s="333"/>
    </row>
    <row r="568" spans="1:11" x14ac:dyDescent="0.25">
      <c r="A568" s="328">
        <v>563</v>
      </c>
      <c r="B568" s="330"/>
      <c r="C568" s="330"/>
      <c r="D568" s="330"/>
      <c r="E568" s="330"/>
      <c r="F568" s="331"/>
      <c r="G568" s="331"/>
      <c r="H568" s="332"/>
      <c r="I568" s="330"/>
      <c r="J568" s="333"/>
      <c r="K568" s="333"/>
    </row>
    <row r="569" spans="1:11" x14ac:dyDescent="0.25">
      <c r="A569" s="328">
        <v>564</v>
      </c>
      <c r="B569" s="330"/>
      <c r="C569" s="330"/>
      <c r="D569" s="330"/>
      <c r="E569" s="330"/>
      <c r="F569" s="331"/>
      <c r="G569" s="331"/>
      <c r="H569" s="332"/>
      <c r="I569" s="330"/>
      <c r="J569" s="333"/>
      <c r="K569" s="333"/>
    </row>
    <row r="570" spans="1:11" x14ac:dyDescent="0.25">
      <c r="A570" s="328">
        <v>565</v>
      </c>
      <c r="B570" s="330"/>
      <c r="C570" s="330"/>
      <c r="D570" s="330"/>
      <c r="E570" s="330"/>
      <c r="F570" s="331"/>
      <c r="G570" s="331"/>
      <c r="H570" s="332"/>
      <c r="I570" s="330"/>
      <c r="J570" s="333"/>
      <c r="K570" s="333"/>
    </row>
    <row r="571" spans="1:11" x14ac:dyDescent="0.25">
      <c r="A571" s="328">
        <v>566</v>
      </c>
      <c r="B571" s="330"/>
      <c r="C571" s="330"/>
      <c r="D571" s="330"/>
      <c r="E571" s="330"/>
      <c r="F571" s="331"/>
      <c r="G571" s="331"/>
      <c r="H571" s="332"/>
      <c r="I571" s="330"/>
      <c r="J571" s="333"/>
      <c r="K571" s="333"/>
    </row>
    <row r="572" spans="1:11" x14ac:dyDescent="0.25">
      <c r="A572" s="328">
        <v>567</v>
      </c>
      <c r="B572" s="330"/>
      <c r="C572" s="330"/>
      <c r="D572" s="330"/>
      <c r="E572" s="330"/>
      <c r="F572" s="331"/>
      <c r="G572" s="331"/>
      <c r="H572" s="332"/>
      <c r="I572" s="330"/>
      <c r="J572" s="333"/>
      <c r="K572" s="333"/>
    </row>
    <row r="573" spans="1:11" x14ac:dyDescent="0.25">
      <c r="A573" s="328">
        <v>568</v>
      </c>
      <c r="B573" s="330"/>
      <c r="C573" s="330"/>
      <c r="D573" s="330"/>
      <c r="E573" s="330"/>
      <c r="F573" s="331"/>
      <c r="G573" s="331"/>
      <c r="H573" s="332"/>
      <c r="I573" s="330"/>
      <c r="J573" s="333"/>
      <c r="K573" s="333"/>
    </row>
    <row r="574" spans="1:11" x14ac:dyDescent="0.25">
      <c r="A574" s="328">
        <v>569</v>
      </c>
      <c r="B574" s="330"/>
      <c r="C574" s="330"/>
      <c r="D574" s="330"/>
      <c r="E574" s="330"/>
      <c r="F574" s="331"/>
      <c r="G574" s="331"/>
      <c r="H574" s="332"/>
      <c r="I574" s="330"/>
      <c r="J574" s="333"/>
      <c r="K574" s="333"/>
    </row>
    <row r="575" spans="1:11" x14ac:dyDescent="0.25">
      <c r="A575" s="328">
        <v>570</v>
      </c>
      <c r="B575" s="330"/>
      <c r="C575" s="330"/>
      <c r="D575" s="330"/>
      <c r="E575" s="330"/>
      <c r="F575" s="331"/>
      <c r="G575" s="331"/>
      <c r="H575" s="332"/>
      <c r="I575" s="330"/>
      <c r="J575" s="333"/>
      <c r="K575" s="333"/>
    </row>
    <row r="576" spans="1:11" x14ac:dyDescent="0.25">
      <c r="A576" s="328">
        <v>571</v>
      </c>
      <c r="B576" s="330"/>
      <c r="C576" s="330"/>
      <c r="D576" s="330"/>
      <c r="E576" s="330"/>
      <c r="F576" s="331"/>
      <c r="G576" s="331"/>
      <c r="H576" s="332"/>
      <c r="I576" s="330"/>
      <c r="J576" s="333"/>
      <c r="K576" s="333"/>
    </row>
    <row r="577" spans="1:11" x14ac:dyDescent="0.25">
      <c r="A577" s="328">
        <v>572</v>
      </c>
      <c r="B577" s="330"/>
      <c r="C577" s="330"/>
      <c r="D577" s="330"/>
      <c r="E577" s="330"/>
      <c r="F577" s="331"/>
      <c r="G577" s="331"/>
      <c r="H577" s="332"/>
      <c r="I577" s="330"/>
      <c r="J577" s="333"/>
      <c r="K577" s="333"/>
    </row>
    <row r="578" spans="1:11" x14ac:dyDescent="0.25">
      <c r="A578" s="328">
        <v>573</v>
      </c>
      <c r="B578" s="330"/>
      <c r="C578" s="330"/>
      <c r="D578" s="330"/>
      <c r="E578" s="330"/>
      <c r="F578" s="331"/>
      <c r="G578" s="331"/>
      <c r="H578" s="332"/>
      <c r="I578" s="330"/>
      <c r="J578" s="333"/>
      <c r="K578" s="333"/>
    </row>
    <row r="579" spans="1:11" x14ac:dyDescent="0.25">
      <c r="A579" s="328">
        <v>574</v>
      </c>
      <c r="B579" s="330"/>
      <c r="C579" s="330"/>
      <c r="D579" s="330"/>
      <c r="E579" s="330"/>
      <c r="F579" s="331"/>
      <c r="G579" s="331"/>
      <c r="H579" s="332"/>
      <c r="I579" s="330"/>
      <c r="J579" s="333"/>
      <c r="K579" s="333"/>
    </row>
    <row r="580" spans="1:11" x14ac:dyDescent="0.25">
      <c r="A580" s="328">
        <v>575</v>
      </c>
      <c r="B580" s="330"/>
      <c r="C580" s="330"/>
      <c r="D580" s="330"/>
      <c r="E580" s="330"/>
      <c r="F580" s="331"/>
      <c r="G580" s="331"/>
      <c r="H580" s="332"/>
      <c r="I580" s="330"/>
      <c r="J580" s="333"/>
      <c r="K580" s="333"/>
    </row>
    <row r="581" spans="1:11" x14ac:dyDescent="0.25">
      <c r="A581" s="328">
        <v>576</v>
      </c>
      <c r="B581" s="330"/>
      <c r="C581" s="330"/>
      <c r="D581" s="330"/>
      <c r="E581" s="330"/>
      <c r="F581" s="331"/>
      <c r="G581" s="331"/>
      <c r="H581" s="332"/>
      <c r="I581" s="330"/>
      <c r="J581" s="333"/>
      <c r="K581" s="333"/>
    </row>
    <row r="582" spans="1:11" x14ac:dyDescent="0.25">
      <c r="A582" s="328">
        <v>577</v>
      </c>
      <c r="B582" s="330"/>
      <c r="C582" s="330"/>
      <c r="D582" s="330"/>
      <c r="E582" s="330"/>
      <c r="F582" s="331"/>
      <c r="G582" s="331"/>
      <c r="H582" s="332"/>
      <c r="I582" s="330"/>
      <c r="J582" s="333"/>
      <c r="K582" s="333"/>
    </row>
    <row r="583" spans="1:11" x14ac:dyDescent="0.25">
      <c r="A583" s="328">
        <v>578</v>
      </c>
      <c r="B583" s="330"/>
      <c r="C583" s="330"/>
      <c r="D583" s="330"/>
      <c r="E583" s="330"/>
      <c r="F583" s="331"/>
      <c r="G583" s="331"/>
      <c r="H583" s="332"/>
      <c r="I583" s="330"/>
      <c r="J583" s="333"/>
      <c r="K583" s="333"/>
    </row>
    <row r="584" spans="1:11" x14ac:dyDescent="0.25">
      <c r="A584" s="328">
        <v>579</v>
      </c>
      <c r="B584" s="330"/>
      <c r="C584" s="330"/>
      <c r="D584" s="330"/>
      <c r="E584" s="330"/>
      <c r="F584" s="331"/>
      <c r="G584" s="331"/>
      <c r="H584" s="332"/>
      <c r="I584" s="330"/>
      <c r="J584" s="333"/>
      <c r="K584" s="333"/>
    </row>
    <row r="585" spans="1:11" x14ac:dyDescent="0.25">
      <c r="A585" s="328">
        <v>580</v>
      </c>
      <c r="B585" s="330"/>
      <c r="C585" s="330"/>
      <c r="D585" s="330"/>
      <c r="E585" s="330"/>
      <c r="F585" s="331"/>
      <c r="G585" s="331"/>
      <c r="H585" s="332"/>
      <c r="I585" s="330"/>
      <c r="J585" s="333"/>
      <c r="K585" s="333"/>
    </row>
    <row r="586" spans="1:11" x14ac:dyDescent="0.25">
      <c r="A586" s="328">
        <v>581</v>
      </c>
      <c r="B586" s="330"/>
      <c r="C586" s="330"/>
      <c r="D586" s="330"/>
      <c r="E586" s="330"/>
      <c r="F586" s="331"/>
      <c r="G586" s="331"/>
      <c r="H586" s="332"/>
      <c r="I586" s="330"/>
      <c r="J586" s="333"/>
      <c r="K586" s="333"/>
    </row>
    <row r="587" spans="1:11" x14ac:dyDescent="0.25">
      <c r="A587" s="328">
        <v>582</v>
      </c>
      <c r="B587" s="330"/>
      <c r="C587" s="330"/>
      <c r="D587" s="330"/>
      <c r="E587" s="330"/>
      <c r="F587" s="331"/>
      <c r="G587" s="331"/>
      <c r="H587" s="332"/>
      <c r="I587" s="330"/>
      <c r="J587" s="333"/>
      <c r="K587" s="333"/>
    </row>
    <row r="588" spans="1:11" x14ac:dyDescent="0.25">
      <c r="A588" s="328">
        <v>583</v>
      </c>
      <c r="B588" s="330"/>
      <c r="C588" s="330"/>
      <c r="D588" s="330"/>
      <c r="E588" s="330"/>
      <c r="F588" s="331"/>
      <c r="G588" s="331"/>
      <c r="H588" s="332"/>
      <c r="I588" s="330"/>
      <c r="J588" s="333"/>
      <c r="K588" s="333"/>
    </row>
    <row r="589" spans="1:11" x14ac:dyDescent="0.25">
      <c r="A589" s="328">
        <v>584</v>
      </c>
      <c r="B589" s="330"/>
      <c r="C589" s="330"/>
      <c r="D589" s="330"/>
      <c r="E589" s="330"/>
      <c r="F589" s="331"/>
      <c r="G589" s="331"/>
      <c r="H589" s="332"/>
      <c r="I589" s="330"/>
      <c r="J589" s="333"/>
      <c r="K589" s="333"/>
    </row>
    <row r="590" spans="1:11" x14ac:dyDescent="0.25">
      <c r="A590" s="328">
        <v>585</v>
      </c>
      <c r="B590" s="330"/>
      <c r="C590" s="330"/>
      <c r="D590" s="330"/>
      <c r="E590" s="330"/>
      <c r="F590" s="331"/>
      <c r="G590" s="331"/>
      <c r="H590" s="332"/>
      <c r="I590" s="330"/>
      <c r="J590" s="333"/>
      <c r="K590" s="333"/>
    </row>
    <row r="591" spans="1:11" x14ac:dyDescent="0.25">
      <c r="A591" s="328">
        <v>586</v>
      </c>
      <c r="B591" s="330"/>
      <c r="C591" s="330"/>
      <c r="D591" s="330"/>
      <c r="E591" s="330"/>
      <c r="F591" s="331"/>
      <c r="G591" s="331"/>
      <c r="H591" s="332"/>
      <c r="I591" s="330"/>
      <c r="J591" s="333"/>
      <c r="K591" s="333"/>
    </row>
    <row r="592" spans="1:11" x14ac:dyDescent="0.25">
      <c r="A592" s="328">
        <v>587</v>
      </c>
      <c r="B592" s="330"/>
      <c r="C592" s="330"/>
      <c r="D592" s="330"/>
      <c r="E592" s="330"/>
      <c r="F592" s="331"/>
      <c r="G592" s="331"/>
      <c r="H592" s="332"/>
      <c r="I592" s="330"/>
      <c r="J592" s="333"/>
      <c r="K592" s="333"/>
    </row>
    <row r="593" spans="1:11" x14ac:dyDescent="0.25">
      <c r="A593" s="328">
        <v>588</v>
      </c>
      <c r="B593" s="330"/>
      <c r="C593" s="330"/>
      <c r="D593" s="330"/>
      <c r="E593" s="330"/>
      <c r="F593" s="331"/>
      <c r="G593" s="331"/>
      <c r="H593" s="332"/>
      <c r="I593" s="330"/>
      <c r="J593" s="333"/>
      <c r="K593" s="333"/>
    </row>
    <row r="594" spans="1:11" x14ac:dyDescent="0.25">
      <c r="A594" s="328">
        <v>589</v>
      </c>
      <c r="B594" s="330"/>
      <c r="C594" s="330"/>
      <c r="D594" s="330"/>
      <c r="E594" s="330"/>
      <c r="F594" s="331"/>
      <c r="G594" s="331"/>
      <c r="H594" s="332"/>
      <c r="I594" s="330"/>
      <c r="J594" s="333"/>
      <c r="K594" s="333"/>
    </row>
    <row r="595" spans="1:11" x14ac:dyDescent="0.25">
      <c r="A595" s="328">
        <v>590</v>
      </c>
      <c r="B595" s="330"/>
      <c r="C595" s="330"/>
      <c r="D595" s="330"/>
      <c r="E595" s="330"/>
      <c r="F595" s="331"/>
      <c r="G595" s="331"/>
      <c r="H595" s="332"/>
      <c r="I595" s="330"/>
      <c r="J595" s="333"/>
      <c r="K595" s="333"/>
    </row>
    <row r="596" spans="1:11" x14ac:dyDescent="0.25">
      <c r="A596" s="328">
        <v>591</v>
      </c>
      <c r="B596" s="330"/>
      <c r="C596" s="330"/>
      <c r="D596" s="330"/>
      <c r="E596" s="330"/>
      <c r="F596" s="331"/>
      <c r="G596" s="331"/>
      <c r="H596" s="332"/>
      <c r="I596" s="330"/>
      <c r="J596" s="333"/>
      <c r="K596" s="333"/>
    </row>
    <row r="597" spans="1:11" x14ac:dyDescent="0.25">
      <c r="A597" s="328">
        <v>592</v>
      </c>
      <c r="B597" s="330"/>
      <c r="C597" s="330"/>
      <c r="D597" s="330"/>
      <c r="E597" s="330"/>
      <c r="F597" s="331"/>
      <c r="G597" s="331"/>
      <c r="H597" s="332"/>
      <c r="I597" s="330"/>
      <c r="J597" s="333"/>
      <c r="K597" s="333"/>
    </row>
    <row r="598" spans="1:11" x14ac:dyDescent="0.25">
      <c r="A598" s="328">
        <v>593</v>
      </c>
      <c r="B598" s="330"/>
      <c r="C598" s="330"/>
      <c r="D598" s="330"/>
      <c r="E598" s="330"/>
      <c r="F598" s="331"/>
      <c r="G598" s="331"/>
      <c r="H598" s="332"/>
      <c r="I598" s="330"/>
      <c r="J598" s="333"/>
      <c r="K598" s="333"/>
    </row>
    <row r="599" spans="1:11" x14ac:dyDescent="0.25">
      <c r="A599" s="328">
        <v>594</v>
      </c>
      <c r="B599" s="330"/>
      <c r="C599" s="330"/>
      <c r="D599" s="330"/>
      <c r="E599" s="330"/>
      <c r="F599" s="331"/>
      <c r="G599" s="331"/>
      <c r="H599" s="332"/>
      <c r="I599" s="330"/>
      <c r="J599" s="333"/>
      <c r="K599" s="333"/>
    </row>
    <row r="600" spans="1:11" x14ac:dyDescent="0.25">
      <c r="A600" s="328">
        <v>595</v>
      </c>
      <c r="B600" s="330"/>
      <c r="C600" s="330"/>
      <c r="D600" s="330"/>
      <c r="E600" s="330"/>
      <c r="F600" s="331"/>
      <c r="G600" s="331"/>
      <c r="H600" s="332"/>
      <c r="I600" s="330"/>
      <c r="J600" s="333"/>
      <c r="K600" s="333"/>
    </row>
    <row r="601" spans="1:11" x14ac:dyDescent="0.25">
      <c r="A601" s="328">
        <v>596</v>
      </c>
      <c r="B601" s="330"/>
      <c r="C601" s="330"/>
      <c r="D601" s="330"/>
      <c r="E601" s="330"/>
      <c r="F601" s="331"/>
      <c r="G601" s="331"/>
      <c r="H601" s="332"/>
      <c r="I601" s="330"/>
      <c r="J601" s="333"/>
      <c r="K601" s="333"/>
    </row>
    <row r="602" spans="1:11" x14ac:dyDescent="0.25">
      <c r="A602" s="328">
        <v>597</v>
      </c>
      <c r="B602" s="330"/>
      <c r="C602" s="330"/>
      <c r="D602" s="330"/>
      <c r="E602" s="330"/>
      <c r="F602" s="331"/>
      <c r="G602" s="331"/>
      <c r="H602" s="332"/>
      <c r="I602" s="330"/>
      <c r="J602" s="333"/>
      <c r="K602" s="333"/>
    </row>
    <row r="603" spans="1:11" x14ac:dyDescent="0.25">
      <c r="A603" s="328">
        <v>598</v>
      </c>
      <c r="B603" s="330"/>
      <c r="C603" s="330"/>
      <c r="D603" s="330"/>
      <c r="E603" s="330"/>
      <c r="F603" s="331"/>
      <c r="G603" s="331"/>
      <c r="H603" s="332"/>
      <c r="I603" s="330"/>
      <c r="J603" s="333"/>
      <c r="K603" s="333"/>
    </row>
    <row r="604" spans="1:11" x14ac:dyDescent="0.25">
      <c r="A604" s="328">
        <v>599</v>
      </c>
      <c r="B604" s="330"/>
      <c r="C604" s="330"/>
      <c r="D604" s="330"/>
      <c r="E604" s="330"/>
      <c r="F604" s="331"/>
      <c r="G604" s="331"/>
      <c r="H604" s="332"/>
      <c r="I604" s="330"/>
      <c r="J604" s="333"/>
      <c r="K604" s="333"/>
    </row>
    <row r="605" spans="1:11" x14ac:dyDescent="0.25">
      <c r="A605" s="328">
        <v>600</v>
      </c>
      <c r="B605" s="330"/>
      <c r="C605" s="330"/>
      <c r="D605" s="330"/>
      <c r="E605" s="330"/>
      <c r="F605" s="331"/>
      <c r="G605" s="331"/>
      <c r="H605" s="332"/>
      <c r="I605" s="330"/>
      <c r="J605" s="333"/>
      <c r="K605" s="333"/>
    </row>
    <row r="606" spans="1:11" x14ac:dyDescent="0.25">
      <c r="A606" s="328">
        <v>601</v>
      </c>
      <c r="B606" s="330"/>
      <c r="C606" s="330"/>
      <c r="D606" s="330"/>
      <c r="E606" s="330"/>
      <c r="F606" s="331"/>
      <c r="G606" s="331"/>
      <c r="H606" s="332"/>
      <c r="I606" s="330"/>
      <c r="J606" s="333"/>
      <c r="K606" s="333"/>
    </row>
    <row r="607" spans="1:11" x14ac:dyDescent="0.25">
      <c r="A607" s="328">
        <v>602</v>
      </c>
      <c r="B607" s="330"/>
      <c r="C607" s="330"/>
      <c r="D607" s="330"/>
      <c r="E607" s="330"/>
      <c r="F607" s="331"/>
      <c r="G607" s="331"/>
      <c r="H607" s="332"/>
      <c r="I607" s="330"/>
      <c r="J607" s="333"/>
      <c r="K607" s="333"/>
    </row>
    <row r="608" spans="1:11" x14ac:dyDescent="0.25">
      <c r="A608" s="328">
        <v>603</v>
      </c>
      <c r="B608" s="330"/>
      <c r="C608" s="330"/>
      <c r="D608" s="330"/>
      <c r="E608" s="330"/>
      <c r="F608" s="331"/>
      <c r="G608" s="331"/>
      <c r="H608" s="332"/>
      <c r="I608" s="330"/>
      <c r="J608" s="333"/>
      <c r="K608" s="333"/>
    </row>
    <row r="609" spans="1:11" x14ac:dyDescent="0.25">
      <c r="A609" s="328">
        <v>604</v>
      </c>
      <c r="B609" s="330"/>
      <c r="C609" s="330"/>
      <c r="D609" s="330"/>
      <c r="E609" s="330"/>
      <c r="F609" s="331"/>
      <c r="G609" s="331"/>
      <c r="H609" s="332"/>
      <c r="I609" s="330"/>
      <c r="J609" s="333"/>
      <c r="K609" s="333"/>
    </row>
    <row r="610" spans="1:11" x14ac:dyDescent="0.25">
      <c r="A610" s="328">
        <v>605</v>
      </c>
      <c r="B610" s="330"/>
      <c r="C610" s="330"/>
      <c r="D610" s="330"/>
      <c r="E610" s="330"/>
      <c r="F610" s="331"/>
      <c r="G610" s="331"/>
      <c r="H610" s="332"/>
      <c r="I610" s="330"/>
      <c r="J610" s="333"/>
      <c r="K610" s="333"/>
    </row>
    <row r="611" spans="1:11" x14ac:dyDescent="0.25">
      <c r="A611" s="328">
        <v>606</v>
      </c>
      <c r="B611" s="330"/>
      <c r="C611" s="330"/>
      <c r="D611" s="330"/>
      <c r="E611" s="330"/>
      <c r="F611" s="331"/>
      <c r="G611" s="331"/>
      <c r="H611" s="332"/>
      <c r="I611" s="330"/>
      <c r="J611" s="333"/>
      <c r="K611" s="333"/>
    </row>
    <row r="612" spans="1:11" x14ac:dyDescent="0.25">
      <c r="A612" s="328">
        <v>607</v>
      </c>
      <c r="B612" s="330"/>
      <c r="C612" s="330"/>
      <c r="D612" s="330"/>
      <c r="E612" s="330"/>
      <c r="F612" s="331"/>
      <c r="G612" s="331"/>
      <c r="H612" s="332"/>
      <c r="I612" s="330"/>
      <c r="J612" s="333"/>
      <c r="K612" s="333"/>
    </row>
    <row r="613" spans="1:11" x14ac:dyDescent="0.25">
      <c r="A613" s="328">
        <v>608</v>
      </c>
      <c r="B613" s="330"/>
      <c r="C613" s="330"/>
      <c r="D613" s="330"/>
      <c r="E613" s="330"/>
      <c r="F613" s="331"/>
      <c r="G613" s="331"/>
      <c r="H613" s="332"/>
      <c r="I613" s="330"/>
      <c r="J613" s="333"/>
      <c r="K613" s="333"/>
    </row>
    <row r="614" spans="1:11" x14ac:dyDescent="0.25">
      <c r="A614" s="328">
        <v>609</v>
      </c>
      <c r="B614" s="330"/>
      <c r="C614" s="330"/>
      <c r="D614" s="330"/>
      <c r="E614" s="330"/>
      <c r="F614" s="331"/>
      <c r="G614" s="331"/>
      <c r="H614" s="332"/>
      <c r="I614" s="330"/>
      <c r="J614" s="333"/>
      <c r="K614" s="333"/>
    </row>
    <row r="615" spans="1:11" x14ac:dyDescent="0.25">
      <c r="A615" s="328">
        <v>610</v>
      </c>
      <c r="B615" s="330"/>
      <c r="C615" s="330"/>
      <c r="D615" s="330"/>
      <c r="E615" s="330"/>
      <c r="F615" s="331"/>
      <c r="G615" s="331"/>
      <c r="H615" s="332"/>
      <c r="I615" s="330"/>
      <c r="J615" s="333"/>
      <c r="K615" s="333"/>
    </row>
    <row r="616" spans="1:11" x14ac:dyDescent="0.25">
      <c r="A616" s="328">
        <v>611</v>
      </c>
      <c r="B616" s="330"/>
      <c r="C616" s="330"/>
      <c r="D616" s="330"/>
      <c r="E616" s="330"/>
      <c r="F616" s="331"/>
      <c r="G616" s="331"/>
      <c r="H616" s="332"/>
      <c r="I616" s="330"/>
      <c r="J616" s="333"/>
      <c r="K616" s="333"/>
    </row>
    <row r="617" spans="1:11" x14ac:dyDescent="0.25">
      <c r="A617" s="328">
        <v>612</v>
      </c>
      <c r="B617" s="330"/>
      <c r="C617" s="330"/>
      <c r="D617" s="330"/>
      <c r="E617" s="330"/>
      <c r="F617" s="331"/>
      <c r="G617" s="331"/>
      <c r="H617" s="332"/>
      <c r="I617" s="330"/>
      <c r="J617" s="333"/>
      <c r="K617" s="333"/>
    </row>
    <row r="618" spans="1:11" x14ac:dyDescent="0.25">
      <c r="A618" s="328">
        <v>613</v>
      </c>
      <c r="B618" s="330"/>
      <c r="C618" s="330"/>
      <c r="D618" s="330"/>
      <c r="E618" s="330"/>
      <c r="F618" s="331"/>
      <c r="G618" s="331"/>
      <c r="H618" s="332"/>
      <c r="I618" s="330"/>
      <c r="J618" s="333"/>
      <c r="K618" s="333"/>
    </row>
    <row r="619" spans="1:11" x14ac:dyDescent="0.25">
      <c r="A619" s="328">
        <v>614</v>
      </c>
      <c r="B619" s="330"/>
      <c r="C619" s="330"/>
      <c r="D619" s="330"/>
      <c r="E619" s="330"/>
      <c r="F619" s="331"/>
      <c r="G619" s="331"/>
      <c r="H619" s="332"/>
      <c r="I619" s="330"/>
      <c r="J619" s="333"/>
      <c r="K619" s="333"/>
    </row>
    <row r="620" spans="1:11" x14ac:dyDescent="0.25">
      <c r="A620" s="328">
        <v>615</v>
      </c>
      <c r="B620" s="330"/>
      <c r="C620" s="330"/>
      <c r="D620" s="330"/>
      <c r="E620" s="330"/>
      <c r="F620" s="331"/>
      <c r="G620" s="331"/>
      <c r="H620" s="332"/>
      <c r="I620" s="330"/>
      <c r="J620" s="333"/>
      <c r="K620" s="333"/>
    </row>
    <row r="621" spans="1:11" x14ac:dyDescent="0.25">
      <c r="A621" s="328">
        <v>616</v>
      </c>
      <c r="B621" s="330"/>
      <c r="C621" s="330"/>
      <c r="D621" s="330"/>
      <c r="E621" s="330"/>
      <c r="F621" s="331"/>
      <c r="G621" s="331"/>
      <c r="H621" s="332"/>
      <c r="I621" s="330"/>
      <c r="J621" s="333"/>
      <c r="K621" s="333"/>
    </row>
    <row r="622" spans="1:11" x14ac:dyDescent="0.25">
      <c r="A622" s="328">
        <v>617</v>
      </c>
      <c r="B622" s="330"/>
      <c r="C622" s="330"/>
      <c r="D622" s="330"/>
      <c r="E622" s="330"/>
      <c r="F622" s="331"/>
      <c r="G622" s="331"/>
      <c r="H622" s="332"/>
      <c r="I622" s="330"/>
      <c r="J622" s="333"/>
      <c r="K622" s="333"/>
    </row>
    <row r="623" spans="1:11" x14ac:dyDescent="0.25">
      <c r="A623" s="328">
        <v>618</v>
      </c>
      <c r="B623" s="330"/>
      <c r="C623" s="330"/>
      <c r="D623" s="330"/>
      <c r="E623" s="330"/>
      <c r="F623" s="331"/>
      <c r="G623" s="331"/>
      <c r="H623" s="332"/>
      <c r="I623" s="330"/>
      <c r="J623" s="333"/>
      <c r="K623" s="333"/>
    </row>
    <row r="624" spans="1:11" x14ac:dyDescent="0.25">
      <c r="A624" s="328">
        <v>619</v>
      </c>
      <c r="B624" s="330"/>
      <c r="C624" s="330"/>
      <c r="D624" s="330"/>
      <c r="E624" s="330"/>
      <c r="F624" s="331"/>
      <c r="G624" s="331"/>
      <c r="H624" s="332"/>
      <c r="I624" s="330"/>
      <c r="J624" s="333"/>
      <c r="K624" s="333"/>
    </row>
    <row r="625" spans="1:11" x14ac:dyDescent="0.25">
      <c r="A625" s="328">
        <v>620</v>
      </c>
      <c r="B625" s="330"/>
      <c r="C625" s="330"/>
      <c r="D625" s="330"/>
      <c r="E625" s="330"/>
      <c r="F625" s="331"/>
      <c r="G625" s="331"/>
      <c r="H625" s="332"/>
      <c r="I625" s="330"/>
      <c r="J625" s="333"/>
      <c r="K625" s="333"/>
    </row>
    <row r="626" spans="1:11" x14ac:dyDescent="0.25">
      <c r="A626" s="328">
        <v>621</v>
      </c>
      <c r="B626" s="330"/>
      <c r="C626" s="330"/>
      <c r="D626" s="330"/>
      <c r="E626" s="330"/>
      <c r="F626" s="331"/>
      <c r="G626" s="331"/>
      <c r="H626" s="332"/>
      <c r="I626" s="330"/>
      <c r="J626" s="333"/>
      <c r="K626" s="333"/>
    </row>
    <row r="627" spans="1:11" x14ac:dyDescent="0.25">
      <c r="A627" s="328">
        <v>622</v>
      </c>
      <c r="B627" s="330"/>
      <c r="C627" s="330"/>
      <c r="D627" s="330"/>
      <c r="E627" s="330"/>
      <c r="F627" s="331"/>
      <c r="G627" s="331"/>
      <c r="H627" s="332"/>
      <c r="I627" s="330"/>
      <c r="J627" s="333"/>
      <c r="K627" s="333"/>
    </row>
    <row r="628" spans="1:11" x14ac:dyDescent="0.25">
      <c r="A628" s="328">
        <v>623</v>
      </c>
      <c r="B628" s="330"/>
      <c r="C628" s="330"/>
      <c r="D628" s="330"/>
      <c r="E628" s="330"/>
      <c r="F628" s="331"/>
      <c r="G628" s="331"/>
      <c r="H628" s="332"/>
      <c r="I628" s="330"/>
      <c r="J628" s="333"/>
      <c r="K628" s="333"/>
    </row>
    <row r="629" spans="1:11" x14ac:dyDescent="0.25">
      <c r="A629" s="328">
        <v>624</v>
      </c>
      <c r="B629" s="330"/>
      <c r="C629" s="330"/>
      <c r="D629" s="330"/>
      <c r="E629" s="330"/>
      <c r="F629" s="331"/>
      <c r="G629" s="331"/>
      <c r="H629" s="332"/>
      <c r="I629" s="330"/>
      <c r="J629" s="333"/>
      <c r="K629" s="333"/>
    </row>
    <row r="630" spans="1:11" x14ac:dyDescent="0.25">
      <c r="A630" s="328">
        <v>625</v>
      </c>
      <c r="B630" s="330"/>
      <c r="C630" s="330"/>
      <c r="D630" s="330"/>
      <c r="E630" s="330"/>
      <c r="F630" s="331"/>
      <c r="G630" s="331"/>
      <c r="H630" s="332"/>
      <c r="I630" s="330"/>
      <c r="J630" s="333"/>
      <c r="K630" s="333"/>
    </row>
    <row r="631" spans="1:11" x14ac:dyDescent="0.25">
      <c r="A631" s="328">
        <v>626</v>
      </c>
      <c r="B631" s="330"/>
      <c r="C631" s="330"/>
      <c r="D631" s="330"/>
      <c r="E631" s="330"/>
      <c r="F631" s="331"/>
      <c r="G631" s="331"/>
      <c r="H631" s="332"/>
      <c r="I631" s="330"/>
      <c r="J631" s="333"/>
      <c r="K631" s="333"/>
    </row>
    <row r="632" spans="1:11" x14ac:dyDescent="0.25">
      <c r="A632" s="328">
        <v>627</v>
      </c>
      <c r="B632" s="330"/>
      <c r="C632" s="330"/>
      <c r="D632" s="330"/>
      <c r="E632" s="330"/>
      <c r="F632" s="331"/>
      <c r="G632" s="331"/>
      <c r="H632" s="332"/>
      <c r="I632" s="330"/>
      <c r="J632" s="333"/>
      <c r="K632" s="333"/>
    </row>
    <row r="633" spans="1:11" x14ac:dyDescent="0.25">
      <c r="A633" s="328">
        <v>628</v>
      </c>
      <c r="B633" s="330"/>
      <c r="C633" s="330"/>
      <c r="D633" s="330"/>
      <c r="E633" s="330"/>
      <c r="F633" s="331"/>
      <c r="G633" s="331"/>
      <c r="H633" s="332"/>
      <c r="I633" s="330"/>
      <c r="J633" s="333"/>
      <c r="K633" s="333"/>
    </row>
    <row r="634" spans="1:11" x14ac:dyDescent="0.25">
      <c r="A634" s="328">
        <v>629</v>
      </c>
      <c r="B634" s="330"/>
      <c r="C634" s="330"/>
      <c r="D634" s="330"/>
      <c r="E634" s="330"/>
      <c r="F634" s="331"/>
      <c r="G634" s="331"/>
      <c r="H634" s="332"/>
      <c r="I634" s="330"/>
      <c r="J634" s="333"/>
      <c r="K634" s="333"/>
    </row>
    <row r="635" spans="1:11" x14ac:dyDescent="0.25">
      <c r="A635" s="328">
        <v>630</v>
      </c>
      <c r="B635" s="330"/>
      <c r="C635" s="330"/>
      <c r="D635" s="330"/>
      <c r="E635" s="330"/>
      <c r="F635" s="331"/>
      <c r="G635" s="331"/>
      <c r="H635" s="332"/>
      <c r="I635" s="330"/>
      <c r="J635" s="333"/>
      <c r="K635" s="333"/>
    </row>
    <row r="636" spans="1:11" x14ac:dyDescent="0.25">
      <c r="A636" s="328">
        <v>631</v>
      </c>
      <c r="B636" s="330"/>
      <c r="C636" s="330"/>
      <c r="D636" s="330"/>
      <c r="E636" s="330"/>
      <c r="F636" s="331"/>
      <c r="G636" s="331"/>
      <c r="H636" s="332"/>
      <c r="I636" s="330"/>
      <c r="J636" s="333"/>
      <c r="K636" s="333"/>
    </row>
    <row r="637" spans="1:11" x14ac:dyDescent="0.25">
      <c r="A637" s="328">
        <v>632</v>
      </c>
      <c r="B637" s="330"/>
      <c r="C637" s="330"/>
      <c r="D637" s="330"/>
      <c r="E637" s="330"/>
      <c r="F637" s="331"/>
      <c r="G637" s="331"/>
      <c r="H637" s="332"/>
      <c r="I637" s="330"/>
      <c r="J637" s="333"/>
      <c r="K637" s="333"/>
    </row>
    <row r="638" spans="1:11" x14ac:dyDescent="0.25">
      <c r="A638" s="328">
        <v>633</v>
      </c>
      <c r="B638" s="330"/>
      <c r="C638" s="330"/>
      <c r="D638" s="330"/>
      <c r="E638" s="330"/>
      <c r="F638" s="331"/>
      <c r="G638" s="331"/>
      <c r="H638" s="332"/>
      <c r="I638" s="330"/>
      <c r="J638" s="333"/>
      <c r="K638" s="333"/>
    </row>
    <row r="639" spans="1:11" x14ac:dyDescent="0.25">
      <c r="A639" s="328">
        <v>634</v>
      </c>
      <c r="B639" s="330"/>
      <c r="C639" s="330"/>
      <c r="D639" s="330"/>
      <c r="E639" s="330"/>
      <c r="F639" s="331"/>
      <c r="G639" s="331"/>
      <c r="H639" s="332"/>
      <c r="I639" s="330"/>
      <c r="J639" s="333"/>
      <c r="K639" s="333"/>
    </row>
    <row r="640" spans="1:11" x14ac:dyDescent="0.25">
      <c r="A640" s="328">
        <v>635</v>
      </c>
      <c r="B640" s="330"/>
      <c r="C640" s="330"/>
      <c r="D640" s="330"/>
      <c r="E640" s="330"/>
      <c r="F640" s="331"/>
      <c r="G640" s="331"/>
      <c r="H640" s="332"/>
      <c r="I640" s="330"/>
      <c r="J640" s="333"/>
      <c r="K640" s="333"/>
    </row>
    <row r="641" spans="1:11" x14ac:dyDescent="0.25">
      <c r="A641" s="328">
        <v>636</v>
      </c>
      <c r="B641" s="330"/>
      <c r="C641" s="330"/>
      <c r="D641" s="330"/>
      <c r="E641" s="330"/>
      <c r="F641" s="331"/>
      <c r="G641" s="331"/>
      <c r="H641" s="332"/>
      <c r="I641" s="330"/>
      <c r="J641" s="333"/>
      <c r="K641" s="333"/>
    </row>
    <row r="642" spans="1:11" x14ac:dyDescent="0.25">
      <c r="A642" s="328">
        <v>637</v>
      </c>
      <c r="B642" s="330"/>
      <c r="C642" s="330"/>
      <c r="D642" s="330"/>
      <c r="E642" s="330"/>
      <c r="F642" s="331"/>
      <c r="G642" s="331"/>
      <c r="H642" s="332"/>
      <c r="I642" s="330"/>
      <c r="J642" s="333"/>
      <c r="K642" s="333"/>
    </row>
    <row r="643" spans="1:11" x14ac:dyDescent="0.25">
      <c r="A643" s="328">
        <v>638</v>
      </c>
      <c r="B643" s="330"/>
      <c r="C643" s="330"/>
      <c r="D643" s="330"/>
      <c r="E643" s="330"/>
      <c r="F643" s="331"/>
      <c r="G643" s="331"/>
      <c r="H643" s="332"/>
      <c r="I643" s="330"/>
      <c r="J643" s="333"/>
      <c r="K643" s="333"/>
    </row>
    <row r="644" spans="1:11" x14ac:dyDescent="0.25">
      <c r="A644" s="328">
        <v>639</v>
      </c>
      <c r="B644" s="330"/>
      <c r="C644" s="330"/>
      <c r="D644" s="330"/>
      <c r="E644" s="330"/>
      <c r="F644" s="331"/>
      <c r="G644" s="331"/>
      <c r="H644" s="332"/>
      <c r="I644" s="330"/>
      <c r="J644" s="333"/>
      <c r="K644" s="333"/>
    </row>
    <row r="645" spans="1:11" x14ac:dyDescent="0.25">
      <c r="A645" s="328">
        <v>640</v>
      </c>
      <c r="B645" s="330"/>
      <c r="C645" s="330"/>
      <c r="D645" s="330"/>
      <c r="E645" s="330"/>
      <c r="F645" s="331"/>
      <c r="G645" s="331"/>
      <c r="H645" s="332"/>
      <c r="I645" s="330"/>
      <c r="J645" s="333"/>
      <c r="K645" s="333"/>
    </row>
    <row r="646" spans="1:11" x14ac:dyDescent="0.25">
      <c r="A646" s="328">
        <v>641</v>
      </c>
      <c r="B646" s="330"/>
      <c r="C646" s="330"/>
      <c r="D646" s="330"/>
      <c r="E646" s="330"/>
      <c r="F646" s="331"/>
      <c r="G646" s="331"/>
      <c r="H646" s="332"/>
      <c r="I646" s="330"/>
      <c r="J646" s="333"/>
      <c r="K646" s="333"/>
    </row>
    <row r="647" spans="1:11" x14ac:dyDescent="0.25">
      <c r="A647" s="328">
        <v>642</v>
      </c>
      <c r="B647" s="330"/>
      <c r="C647" s="330"/>
      <c r="D647" s="330"/>
      <c r="E647" s="330"/>
      <c r="F647" s="331"/>
      <c r="G647" s="331"/>
      <c r="H647" s="332"/>
      <c r="I647" s="330"/>
      <c r="J647" s="333"/>
      <c r="K647" s="333"/>
    </row>
    <row r="648" spans="1:11" x14ac:dyDescent="0.25">
      <c r="A648" s="328">
        <v>643</v>
      </c>
      <c r="B648" s="330"/>
      <c r="C648" s="330"/>
      <c r="D648" s="330"/>
      <c r="E648" s="330"/>
      <c r="F648" s="331"/>
      <c r="G648" s="331"/>
      <c r="H648" s="332"/>
      <c r="I648" s="330"/>
      <c r="J648" s="333"/>
      <c r="K648" s="333"/>
    </row>
    <row r="649" spans="1:11" x14ac:dyDescent="0.25">
      <c r="A649" s="328">
        <v>644</v>
      </c>
      <c r="B649" s="330"/>
      <c r="C649" s="330"/>
      <c r="D649" s="330"/>
      <c r="E649" s="330"/>
      <c r="F649" s="331"/>
      <c r="G649" s="331"/>
      <c r="H649" s="332"/>
      <c r="I649" s="330"/>
      <c r="J649" s="333"/>
      <c r="K649" s="333"/>
    </row>
    <row r="650" spans="1:11" x14ac:dyDescent="0.25">
      <c r="A650" s="328">
        <v>645</v>
      </c>
      <c r="B650" s="330"/>
      <c r="C650" s="330"/>
      <c r="D650" s="330"/>
      <c r="E650" s="330"/>
      <c r="F650" s="331"/>
      <c r="G650" s="331"/>
      <c r="H650" s="332"/>
      <c r="I650" s="330"/>
      <c r="J650" s="333"/>
      <c r="K650" s="333"/>
    </row>
    <row r="651" spans="1:11" x14ac:dyDescent="0.25">
      <c r="A651" s="328">
        <v>646</v>
      </c>
      <c r="B651" s="330"/>
      <c r="C651" s="330"/>
      <c r="D651" s="330"/>
      <c r="E651" s="330"/>
      <c r="F651" s="331"/>
      <c r="G651" s="331"/>
      <c r="H651" s="332"/>
      <c r="I651" s="330"/>
      <c r="J651" s="333"/>
      <c r="K651" s="333"/>
    </row>
    <row r="652" spans="1:11" x14ac:dyDescent="0.25">
      <c r="A652" s="328">
        <v>647</v>
      </c>
      <c r="B652" s="330"/>
      <c r="C652" s="330"/>
      <c r="D652" s="330"/>
      <c r="E652" s="330"/>
      <c r="F652" s="331"/>
      <c r="G652" s="331"/>
      <c r="H652" s="332"/>
      <c r="I652" s="330"/>
      <c r="J652" s="333"/>
      <c r="K652" s="333"/>
    </row>
    <row r="653" spans="1:11" x14ac:dyDescent="0.25">
      <c r="A653" s="328">
        <v>648</v>
      </c>
      <c r="B653" s="330"/>
      <c r="C653" s="330"/>
      <c r="D653" s="330"/>
      <c r="E653" s="330"/>
      <c r="F653" s="331"/>
      <c r="G653" s="331"/>
      <c r="H653" s="332"/>
      <c r="I653" s="330"/>
      <c r="J653" s="333"/>
      <c r="K653" s="333"/>
    </row>
    <row r="654" spans="1:11" x14ac:dyDescent="0.25">
      <c r="A654" s="328">
        <v>649</v>
      </c>
      <c r="B654" s="330"/>
      <c r="C654" s="330"/>
      <c r="D654" s="330"/>
      <c r="E654" s="330"/>
      <c r="F654" s="331"/>
      <c r="G654" s="331"/>
      <c r="H654" s="332"/>
      <c r="I654" s="330"/>
      <c r="J654" s="333"/>
      <c r="K654" s="333"/>
    </row>
    <row r="655" spans="1:11" x14ac:dyDescent="0.25">
      <c r="A655" s="328">
        <v>650</v>
      </c>
      <c r="B655" s="330"/>
      <c r="C655" s="330"/>
      <c r="D655" s="330"/>
      <c r="E655" s="330"/>
      <c r="F655" s="331"/>
      <c r="G655" s="331"/>
      <c r="H655" s="332"/>
      <c r="I655" s="330"/>
      <c r="J655" s="333"/>
      <c r="K655" s="333"/>
    </row>
    <row r="656" spans="1:11" x14ac:dyDescent="0.25">
      <c r="A656" s="328">
        <v>651</v>
      </c>
      <c r="B656" s="330"/>
      <c r="C656" s="330"/>
      <c r="D656" s="330"/>
      <c r="E656" s="330"/>
      <c r="F656" s="331"/>
      <c r="G656" s="331"/>
      <c r="H656" s="332"/>
      <c r="I656" s="330"/>
      <c r="J656" s="333"/>
      <c r="K656" s="333"/>
    </row>
    <row r="657" spans="1:11" x14ac:dyDescent="0.25">
      <c r="A657" s="328">
        <v>652</v>
      </c>
      <c r="B657" s="330"/>
      <c r="C657" s="330"/>
      <c r="D657" s="330"/>
      <c r="E657" s="330"/>
      <c r="F657" s="331"/>
      <c r="G657" s="331"/>
      <c r="H657" s="332"/>
      <c r="I657" s="330"/>
      <c r="J657" s="333"/>
      <c r="K657" s="333"/>
    </row>
    <row r="658" spans="1:11" x14ac:dyDescent="0.25">
      <c r="A658" s="328">
        <v>653</v>
      </c>
      <c r="B658" s="330"/>
      <c r="C658" s="330"/>
      <c r="D658" s="330"/>
      <c r="E658" s="330"/>
      <c r="F658" s="331"/>
      <c r="G658" s="331"/>
      <c r="H658" s="332"/>
      <c r="I658" s="330"/>
      <c r="J658" s="333"/>
      <c r="K658" s="333"/>
    </row>
    <row r="659" spans="1:11" x14ac:dyDescent="0.25">
      <c r="A659" s="328">
        <v>654</v>
      </c>
      <c r="B659" s="330"/>
      <c r="C659" s="330"/>
      <c r="D659" s="330"/>
      <c r="E659" s="330"/>
      <c r="F659" s="331"/>
      <c r="G659" s="331"/>
      <c r="H659" s="332"/>
      <c r="I659" s="330"/>
      <c r="J659" s="333"/>
      <c r="K659" s="333"/>
    </row>
    <row r="660" spans="1:11" x14ac:dyDescent="0.25">
      <c r="A660" s="328">
        <v>655</v>
      </c>
      <c r="B660" s="330"/>
      <c r="C660" s="330"/>
      <c r="D660" s="330"/>
      <c r="E660" s="330"/>
      <c r="F660" s="331"/>
      <c r="G660" s="331"/>
      <c r="H660" s="332"/>
      <c r="I660" s="330"/>
      <c r="J660" s="333"/>
      <c r="K660" s="333"/>
    </row>
    <row r="661" spans="1:11" x14ac:dyDescent="0.25">
      <c r="A661" s="328">
        <v>656</v>
      </c>
      <c r="B661" s="330"/>
      <c r="C661" s="330"/>
      <c r="D661" s="330"/>
      <c r="E661" s="330"/>
      <c r="F661" s="331"/>
      <c r="G661" s="331"/>
      <c r="H661" s="332"/>
      <c r="I661" s="330"/>
      <c r="J661" s="333"/>
      <c r="K661" s="333"/>
    </row>
    <row r="662" spans="1:11" x14ac:dyDescent="0.25">
      <c r="A662" s="328">
        <v>657</v>
      </c>
      <c r="B662" s="330"/>
      <c r="C662" s="330"/>
      <c r="D662" s="330"/>
      <c r="E662" s="330"/>
      <c r="F662" s="331"/>
      <c r="G662" s="331"/>
      <c r="H662" s="332"/>
      <c r="I662" s="330"/>
      <c r="J662" s="333"/>
      <c r="K662" s="333"/>
    </row>
    <row r="663" spans="1:11" x14ac:dyDescent="0.25">
      <c r="A663" s="328">
        <v>658</v>
      </c>
      <c r="B663" s="330"/>
      <c r="C663" s="330"/>
      <c r="D663" s="330"/>
      <c r="E663" s="330"/>
      <c r="F663" s="331"/>
      <c r="G663" s="331"/>
      <c r="H663" s="332"/>
      <c r="I663" s="330"/>
      <c r="J663" s="333"/>
      <c r="K663" s="333"/>
    </row>
    <row r="664" spans="1:11" x14ac:dyDescent="0.25">
      <c r="A664" s="328">
        <v>659</v>
      </c>
      <c r="B664" s="330"/>
      <c r="C664" s="330"/>
      <c r="D664" s="330"/>
      <c r="E664" s="330"/>
      <c r="F664" s="331"/>
      <c r="G664" s="331"/>
      <c r="H664" s="332"/>
      <c r="I664" s="330"/>
      <c r="J664" s="333"/>
      <c r="K664" s="333"/>
    </row>
    <row r="665" spans="1:11" x14ac:dyDescent="0.25">
      <c r="A665" s="328">
        <v>660</v>
      </c>
      <c r="B665" s="330"/>
      <c r="C665" s="330"/>
      <c r="D665" s="330"/>
      <c r="E665" s="330"/>
      <c r="F665" s="331"/>
      <c r="G665" s="331"/>
      <c r="H665" s="332"/>
      <c r="I665" s="330"/>
      <c r="J665" s="333"/>
      <c r="K665" s="333"/>
    </row>
    <row r="666" spans="1:11" x14ac:dyDescent="0.25">
      <c r="A666" s="328">
        <v>661</v>
      </c>
      <c r="B666" s="330"/>
      <c r="C666" s="330"/>
      <c r="D666" s="330"/>
      <c r="E666" s="330"/>
      <c r="F666" s="331"/>
      <c r="G666" s="331"/>
      <c r="H666" s="332"/>
      <c r="I666" s="330"/>
      <c r="J666" s="333"/>
      <c r="K666" s="333"/>
    </row>
    <row r="667" spans="1:11" x14ac:dyDescent="0.25">
      <c r="A667" s="328">
        <v>662</v>
      </c>
      <c r="B667" s="330"/>
      <c r="C667" s="330"/>
      <c r="D667" s="330"/>
      <c r="E667" s="330"/>
      <c r="F667" s="331"/>
      <c r="G667" s="331"/>
      <c r="H667" s="332"/>
      <c r="I667" s="330"/>
      <c r="J667" s="333"/>
      <c r="K667" s="333"/>
    </row>
    <row r="668" spans="1:11" x14ac:dyDescent="0.25">
      <c r="A668" s="328">
        <v>663</v>
      </c>
      <c r="B668" s="330"/>
      <c r="C668" s="330"/>
      <c r="D668" s="330"/>
      <c r="E668" s="330"/>
      <c r="F668" s="331"/>
      <c r="G668" s="331"/>
      <c r="H668" s="332"/>
      <c r="I668" s="330"/>
      <c r="J668" s="333"/>
      <c r="K668" s="333"/>
    </row>
    <row r="669" spans="1:11" x14ac:dyDescent="0.25">
      <c r="A669" s="328">
        <v>664</v>
      </c>
      <c r="B669" s="330"/>
      <c r="C669" s="330"/>
      <c r="D669" s="330"/>
      <c r="E669" s="330"/>
      <c r="F669" s="331"/>
      <c r="G669" s="331"/>
      <c r="H669" s="332"/>
      <c r="I669" s="330"/>
      <c r="J669" s="333"/>
      <c r="K669" s="333"/>
    </row>
    <row r="670" spans="1:11" x14ac:dyDescent="0.25">
      <c r="A670" s="328">
        <v>665</v>
      </c>
      <c r="B670" s="330"/>
      <c r="C670" s="330"/>
      <c r="D670" s="330"/>
      <c r="E670" s="330"/>
      <c r="F670" s="331"/>
      <c r="G670" s="331"/>
      <c r="H670" s="332"/>
      <c r="I670" s="330"/>
      <c r="J670" s="333"/>
      <c r="K670" s="333"/>
    </row>
    <row r="671" spans="1:11" x14ac:dyDescent="0.25">
      <c r="A671" s="328">
        <v>666</v>
      </c>
      <c r="B671" s="330"/>
      <c r="C671" s="330"/>
      <c r="D671" s="330"/>
      <c r="E671" s="330"/>
      <c r="F671" s="331"/>
      <c r="G671" s="331"/>
      <c r="H671" s="332"/>
      <c r="I671" s="330"/>
      <c r="J671" s="333"/>
      <c r="K671" s="333"/>
    </row>
    <row r="672" spans="1:11" x14ac:dyDescent="0.25">
      <c r="A672" s="328">
        <v>667</v>
      </c>
      <c r="B672" s="330"/>
      <c r="C672" s="330"/>
      <c r="D672" s="330"/>
      <c r="E672" s="330"/>
      <c r="F672" s="331"/>
      <c r="G672" s="331"/>
      <c r="H672" s="332"/>
      <c r="I672" s="330"/>
      <c r="J672" s="333"/>
      <c r="K672" s="333"/>
    </row>
    <row r="673" spans="1:11" x14ac:dyDescent="0.25">
      <c r="A673" s="328">
        <v>668</v>
      </c>
      <c r="B673" s="330"/>
      <c r="C673" s="330"/>
      <c r="D673" s="330"/>
      <c r="E673" s="330"/>
      <c r="F673" s="331"/>
      <c r="G673" s="331"/>
      <c r="H673" s="332"/>
      <c r="I673" s="330"/>
      <c r="J673" s="333"/>
      <c r="K673" s="333"/>
    </row>
    <row r="674" spans="1:11" x14ac:dyDescent="0.25">
      <c r="A674" s="328">
        <v>669</v>
      </c>
      <c r="B674" s="330"/>
      <c r="C674" s="330"/>
      <c r="D674" s="330"/>
      <c r="E674" s="330"/>
      <c r="F674" s="331"/>
      <c r="G674" s="331"/>
      <c r="H674" s="332"/>
      <c r="I674" s="330"/>
      <c r="J674" s="333"/>
      <c r="K674" s="333"/>
    </row>
    <row r="675" spans="1:11" x14ac:dyDescent="0.25">
      <c r="A675" s="328">
        <v>670</v>
      </c>
      <c r="B675" s="330"/>
      <c r="C675" s="330"/>
      <c r="D675" s="330"/>
      <c r="E675" s="330"/>
      <c r="F675" s="331"/>
      <c r="G675" s="331"/>
      <c r="H675" s="332"/>
      <c r="I675" s="330"/>
      <c r="J675" s="333"/>
      <c r="K675" s="333"/>
    </row>
    <row r="676" spans="1:11" x14ac:dyDescent="0.25">
      <c r="A676" s="328">
        <v>671</v>
      </c>
      <c r="B676" s="330"/>
      <c r="C676" s="330"/>
      <c r="D676" s="330"/>
      <c r="E676" s="330"/>
      <c r="F676" s="331"/>
      <c r="G676" s="331"/>
      <c r="H676" s="332"/>
      <c r="I676" s="330"/>
      <c r="J676" s="333"/>
      <c r="K676" s="333"/>
    </row>
    <row r="677" spans="1:11" x14ac:dyDescent="0.25">
      <c r="A677" s="328">
        <v>672</v>
      </c>
      <c r="B677" s="330"/>
      <c r="C677" s="330"/>
      <c r="D677" s="330"/>
      <c r="E677" s="330"/>
      <c r="F677" s="331"/>
      <c r="G677" s="331"/>
      <c r="H677" s="332"/>
      <c r="I677" s="330"/>
      <c r="J677" s="333"/>
      <c r="K677" s="333"/>
    </row>
    <row r="678" spans="1:11" x14ac:dyDescent="0.25">
      <c r="A678" s="328">
        <v>673</v>
      </c>
      <c r="B678" s="330"/>
      <c r="C678" s="330"/>
      <c r="D678" s="330"/>
      <c r="E678" s="330"/>
      <c r="F678" s="331"/>
      <c r="G678" s="331"/>
      <c r="H678" s="332"/>
      <c r="I678" s="330"/>
      <c r="J678" s="333"/>
      <c r="K678" s="333"/>
    </row>
    <row r="679" spans="1:11" x14ac:dyDescent="0.25">
      <c r="A679" s="328">
        <v>674</v>
      </c>
      <c r="B679" s="330"/>
      <c r="C679" s="330"/>
      <c r="D679" s="330"/>
      <c r="E679" s="330"/>
      <c r="F679" s="331"/>
      <c r="G679" s="331"/>
      <c r="H679" s="332"/>
      <c r="I679" s="330"/>
      <c r="J679" s="333"/>
      <c r="K679" s="333"/>
    </row>
    <row r="680" spans="1:11" x14ac:dyDescent="0.25">
      <c r="A680" s="328">
        <v>675</v>
      </c>
      <c r="B680" s="330"/>
      <c r="C680" s="330"/>
      <c r="D680" s="330"/>
      <c r="E680" s="330"/>
      <c r="F680" s="331"/>
      <c r="G680" s="331"/>
      <c r="H680" s="332"/>
      <c r="I680" s="330"/>
      <c r="J680" s="333"/>
      <c r="K680" s="333"/>
    </row>
    <row r="681" spans="1:11" x14ac:dyDescent="0.25">
      <c r="A681" s="328">
        <v>676</v>
      </c>
      <c r="B681" s="330"/>
      <c r="C681" s="330"/>
      <c r="D681" s="330"/>
      <c r="E681" s="330"/>
      <c r="F681" s="331"/>
      <c r="G681" s="331"/>
      <c r="H681" s="332"/>
      <c r="I681" s="330"/>
      <c r="J681" s="333"/>
      <c r="K681" s="333"/>
    </row>
    <row r="682" spans="1:11" x14ac:dyDescent="0.25">
      <c r="A682" s="328">
        <v>677</v>
      </c>
      <c r="B682" s="330"/>
      <c r="C682" s="330"/>
      <c r="D682" s="330"/>
      <c r="E682" s="330"/>
      <c r="F682" s="331"/>
      <c r="G682" s="331"/>
      <c r="H682" s="332"/>
      <c r="I682" s="330"/>
      <c r="J682" s="333"/>
      <c r="K682" s="333"/>
    </row>
    <row r="683" spans="1:11" x14ac:dyDescent="0.25">
      <c r="A683" s="328">
        <v>678</v>
      </c>
      <c r="B683" s="330"/>
      <c r="C683" s="330"/>
      <c r="D683" s="330"/>
      <c r="E683" s="330"/>
      <c r="F683" s="331"/>
      <c r="G683" s="331"/>
      <c r="H683" s="332"/>
      <c r="I683" s="330"/>
      <c r="J683" s="333"/>
      <c r="K683" s="333"/>
    </row>
    <row r="684" spans="1:11" x14ac:dyDescent="0.25">
      <c r="A684" s="328">
        <v>679</v>
      </c>
      <c r="B684" s="330"/>
      <c r="C684" s="330"/>
      <c r="D684" s="330"/>
      <c r="E684" s="330"/>
      <c r="F684" s="331"/>
      <c r="G684" s="331"/>
      <c r="H684" s="332"/>
      <c r="I684" s="330"/>
      <c r="J684" s="333"/>
      <c r="K684" s="333"/>
    </row>
    <row r="685" spans="1:11" x14ac:dyDescent="0.25">
      <c r="A685" s="328">
        <v>680</v>
      </c>
      <c r="B685" s="330"/>
      <c r="C685" s="330"/>
      <c r="D685" s="330"/>
      <c r="E685" s="330"/>
      <c r="F685" s="331"/>
      <c r="G685" s="331"/>
      <c r="H685" s="332"/>
      <c r="I685" s="330"/>
      <c r="J685" s="333"/>
      <c r="K685" s="333"/>
    </row>
    <row r="686" spans="1:11" x14ac:dyDescent="0.25">
      <c r="A686" s="328">
        <v>681</v>
      </c>
      <c r="B686" s="330"/>
      <c r="C686" s="330"/>
      <c r="D686" s="330"/>
      <c r="E686" s="330"/>
      <c r="F686" s="331"/>
      <c r="G686" s="331"/>
      <c r="H686" s="332"/>
      <c r="I686" s="330"/>
      <c r="J686" s="333"/>
      <c r="K686" s="333"/>
    </row>
    <row r="687" spans="1:11" x14ac:dyDescent="0.25">
      <c r="A687" s="328">
        <v>682</v>
      </c>
      <c r="B687" s="330"/>
      <c r="C687" s="330"/>
      <c r="D687" s="330"/>
      <c r="E687" s="330"/>
      <c r="F687" s="331"/>
      <c r="G687" s="331"/>
      <c r="H687" s="332"/>
      <c r="I687" s="330"/>
      <c r="J687" s="333"/>
      <c r="K687" s="333"/>
    </row>
    <row r="688" spans="1:11" x14ac:dyDescent="0.25">
      <c r="A688" s="328">
        <v>683</v>
      </c>
      <c r="B688" s="330"/>
      <c r="C688" s="330"/>
      <c r="D688" s="330"/>
      <c r="E688" s="330"/>
      <c r="F688" s="331"/>
      <c r="G688" s="331"/>
      <c r="H688" s="332"/>
      <c r="I688" s="330"/>
      <c r="J688" s="333"/>
      <c r="K688" s="333"/>
    </row>
    <row r="689" spans="1:11" x14ac:dyDescent="0.25">
      <c r="A689" s="328">
        <v>684</v>
      </c>
      <c r="B689" s="330"/>
      <c r="C689" s="330"/>
      <c r="D689" s="330"/>
      <c r="E689" s="330"/>
      <c r="F689" s="331"/>
      <c r="G689" s="331"/>
      <c r="H689" s="332"/>
      <c r="I689" s="330"/>
      <c r="J689" s="333"/>
      <c r="K689" s="333"/>
    </row>
    <row r="690" spans="1:11" x14ac:dyDescent="0.25">
      <c r="A690" s="328">
        <v>685</v>
      </c>
      <c r="B690" s="330"/>
      <c r="C690" s="330"/>
      <c r="D690" s="330"/>
      <c r="E690" s="330"/>
      <c r="F690" s="331"/>
      <c r="G690" s="331"/>
      <c r="H690" s="332"/>
      <c r="I690" s="330"/>
      <c r="J690" s="333"/>
      <c r="K690" s="333"/>
    </row>
    <row r="691" spans="1:11" x14ac:dyDescent="0.25">
      <c r="A691" s="328">
        <v>686</v>
      </c>
      <c r="B691" s="330"/>
      <c r="C691" s="330"/>
      <c r="D691" s="330"/>
      <c r="E691" s="330"/>
      <c r="F691" s="331"/>
      <c r="G691" s="331"/>
      <c r="H691" s="332"/>
      <c r="I691" s="330"/>
      <c r="J691" s="333"/>
      <c r="K691" s="333"/>
    </row>
    <row r="692" spans="1:11" x14ac:dyDescent="0.25">
      <c r="A692" s="328">
        <v>687</v>
      </c>
      <c r="B692" s="330"/>
      <c r="C692" s="330"/>
      <c r="D692" s="330"/>
      <c r="E692" s="330"/>
      <c r="F692" s="331"/>
      <c r="G692" s="331"/>
      <c r="H692" s="332"/>
      <c r="I692" s="330"/>
      <c r="J692" s="333"/>
      <c r="K692" s="333"/>
    </row>
    <row r="693" spans="1:11" x14ac:dyDescent="0.25">
      <c r="A693" s="328">
        <v>688</v>
      </c>
      <c r="B693" s="330"/>
      <c r="C693" s="330"/>
      <c r="D693" s="330"/>
      <c r="E693" s="330"/>
      <c r="F693" s="331"/>
      <c r="G693" s="331"/>
      <c r="H693" s="332"/>
      <c r="I693" s="330"/>
      <c r="J693" s="333"/>
      <c r="K693" s="333"/>
    </row>
    <row r="694" spans="1:11" x14ac:dyDescent="0.25">
      <c r="A694" s="328">
        <v>689</v>
      </c>
      <c r="B694" s="330"/>
      <c r="C694" s="330"/>
      <c r="D694" s="330"/>
      <c r="E694" s="330"/>
      <c r="F694" s="331"/>
      <c r="G694" s="331"/>
      <c r="H694" s="332"/>
      <c r="I694" s="330"/>
      <c r="J694" s="333"/>
      <c r="K694" s="333"/>
    </row>
    <row r="695" spans="1:11" x14ac:dyDescent="0.25">
      <c r="A695" s="328">
        <v>690</v>
      </c>
      <c r="B695" s="330"/>
      <c r="C695" s="330"/>
      <c r="D695" s="330"/>
      <c r="E695" s="330"/>
      <c r="F695" s="331"/>
      <c r="G695" s="331"/>
      <c r="H695" s="332"/>
      <c r="I695" s="330"/>
      <c r="J695" s="333"/>
      <c r="K695" s="333"/>
    </row>
    <row r="696" spans="1:11" x14ac:dyDescent="0.25">
      <c r="A696" s="328">
        <v>691</v>
      </c>
      <c r="B696" s="330"/>
      <c r="C696" s="330"/>
      <c r="D696" s="330"/>
      <c r="E696" s="330"/>
      <c r="F696" s="331"/>
      <c r="G696" s="331"/>
      <c r="H696" s="332"/>
      <c r="I696" s="330"/>
      <c r="J696" s="333"/>
      <c r="K696" s="333"/>
    </row>
    <row r="697" spans="1:11" x14ac:dyDescent="0.25">
      <c r="A697" s="328">
        <v>692</v>
      </c>
      <c r="B697" s="330"/>
      <c r="C697" s="330"/>
      <c r="D697" s="330"/>
      <c r="E697" s="330"/>
      <c r="F697" s="331"/>
      <c r="G697" s="331"/>
      <c r="H697" s="332"/>
      <c r="I697" s="330"/>
      <c r="J697" s="333"/>
      <c r="K697" s="333"/>
    </row>
    <row r="698" spans="1:11" x14ac:dyDescent="0.25">
      <c r="A698" s="328">
        <v>693</v>
      </c>
      <c r="B698" s="330"/>
      <c r="C698" s="330"/>
      <c r="D698" s="330"/>
      <c r="E698" s="330"/>
      <c r="F698" s="331"/>
      <c r="G698" s="331"/>
      <c r="H698" s="332"/>
      <c r="I698" s="330"/>
      <c r="J698" s="333"/>
      <c r="K698" s="333"/>
    </row>
    <row r="699" spans="1:11" x14ac:dyDescent="0.25">
      <c r="A699" s="328">
        <v>694</v>
      </c>
      <c r="B699" s="330"/>
      <c r="C699" s="330"/>
      <c r="D699" s="330"/>
      <c r="E699" s="330"/>
      <c r="F699" s="331"/>
      <c r="G699" s="331"/>
      <c r="H699" s="332"/>
      <c r="I699" s="330"/>
      <c r="J699" s="333"/>
      <c r="K699" s="333"/>
    </row>
    <row r="700" spans="1:11" x14ac:dyDescent="0.25">
      <c r="A700" s="328">
        <v>695</v>
      </c>
      <c r="B700" s="330"/>
      <c r="C700" s="330"/>
      <c r="D700" s="330"/>
      <c r="E700" s="330"/>
      <c r="F700" s="331"/>
      <c r="G700" s="331"/>
      <c r="H700" s="332"/>
      <c r="I700" s="330"/>
      <c r="J700" s="333"/>
      <c r="K700" s="333"/>
    </row>
    <row r="701" spans="1:11" x14ac:dyDescent="0.25">
      <c r="A701" s="328">
        <v>696</v>
      </c>
      <c r="B701" s="330"/>
      <c r="C701" s="330"/>
      <c r="D701" s="330"/>
      <c r="E701" s="330"/>
      <c r="F701" s="331"/>
      <c r="G701" s="331"/>
      <c r="H701" s="332"/>
      <c r="I701" s="330"/>
      <c r="J701" s="333"/>
      <c r="K701" s="333"/>
    </row>
    <row r="702" spans="1:11" x14ac:dyDescent="0.25">
      <c r="A702" s="328">
        <v>697</v>
      </c>
      <c r="B702" s="330"/>
      <c r="C702" s="330"/>
      <c r="D702" s="330"/>
      <c r="E702" s="330"/>
      <c r="F702" s="331"/>
      <c r="G702" s="331"/>
      <c r="H702" s="332"/>
      <c r="I702" s="330"/>
      <c r="J702" s="333"/>
      <c r="K702" s="333"/>
    </row>
    <row r="703" spans="1:11" x14ac:dyDescent="0.25">
      <c r="A703" s="328">
        <v>698</v>
      </c>
      <c r="B703" s="330"/>
      <c r="C703" s="330"/>
      <c r="D703" s="330"/>
      <c r="E703" s="330"/>
      <c r="F703" s="331"/>
      <c r="G703" s="331"/>
      <c r="H703" s="332"/>
      <c r="I703" s="330"/>
      <c r="J703" s="333"/>
      <c r="K703" s="333"/>
    </row>
    <row r="704" spans="1:11" x14ac:dyDescent="0.25">
      <c r="A704" s="328">
        <v>699</v>
      </c>
      <c r="B704" s="330"/>
      <c r="C704" s="330"/>
      <c r="D704" s="330"/>
      <c r="E704" s="330"/>
      <c r="F704" s="331"/>
      <c r="G704" s="331"/>
      <c r="H704" s="332"/>
      <c r="I704" s="330"/>
      <c r="J704" s="333"/>
      <c r="K704" s="333"/>
    </row>
    <row r="705" spans="1:11" x14ac:dyDescent="0.25">
      <c r="A705" s="328">
        <v>700</v>
      </c>
      <c r="B705" s="330"/>
      <c r="C705" s="330"/>
      <c r="D705" s="330"/>
      <c r="E705" s="330"/>
      <c r="F705" s="331"/>
      <c r="G705" s="331"/>
      <c r="H705" s="332"/>
      <c r="I705" s="330"/>
      <c r="J705" s="333"/>
      <c r="K705" s="333"/>
    </row>
    <row r="706" spans="1:11" x14ac:dyDescent="0.25">
      <c r="A706" s="328">
        <v>701</v>
      </c>
      <c r="B706" s="330"/>
      <c r="C706" s="330"/>
      <c r="D706" s="330"/>
      <c r="E706" s="330"/>
      <c r="F706" s="331"/>
      <c r="G706" s="331"/>
      <c r="H706" s="332"/>
      <c r="I706" s="330"/>
      <c r="J706" s="333"/>
      <c r="K706" s="333"/>
    </row>
    <row r="707" spans="1:11" x14ac:dyDescent="0.25">
      <c r="A707" s="328">
        <v>702</v>
      </c>
      <c r="B707" s="330"/>
      <c r="C707" s="330"/>
      <c r="D707" s="330"/>
      <c r="E707" s="330"/>
      <c r="F707" s="331"/>
      <c r="G707" s="331"/>
      <c r="H707" s="332"/>
      <c r="I707" s="330"/>
      <c r="J707" s="333"/>
      <c r="K707" s="333"/>
    </row>
    <row r="708" spans="1:11" x14ac:dyDescent="0.25">
      <c r="A708" s="328">
        <v>703</v>
      </c>
      <c r="B708" s="330"/>
      <c r="C708" s="330"/>
      <c r="D708" s="330"/>
      <c r="E708" s="330"/>
      <c r="F708" s="331"/>
      <c r="G708" s="331"/>
      <c r="H708" s="332"/>
      <c r="I708" s="330"/>
      <c r="J708" s="333"/>
      <c r="K708" s="333"/>
    </row>
    <row r="709" spans="1:11" x14ac:dyDescent="0.25">
      <c r="A709" s="328">
        <v>704</v>
      </c>
      <c r="B709" s="330"/>
      <c r="C709" s="330"/>
      <c r="D709" s="330"/>
      <c r="E709" s="330"/>
      <c r="F709" s="331"/>
      <c r="G709" s="331"/>
      <c r="H709" s="332"/>
      <c r="I709" s="330"/>
      <c r="J709" s="333"/>
      <c r="K709" s="333"/>
    </row>
    <row r="710" spans="1:11" x14ac:dyDescent="0.25">
      <c r="A710" s="328">
        <v>705</v>
      </c>
      <c r="B710" s="330"/>
      <c r="C710" s="330"/>
      <c r="D710" s="330"/>
      <c r="E710" s="330"/>
      <c r="F710" s="331"/>
      <c r="G710" s="331"/>
      <c r="H710" s="332"/>
      <c r="I710" s="330"/>
      <c r="J710" s="333"/>
      <c r="K710" s="333"/>
    </row>
    <row r="711" spans="1:11" x14ac:dyDescent="0.25">
      <c r="A711" s="328">
        <v>706</v>
      </c>
      <c r="B711" s="330"/>
      <c r="C711" s="330"/>
      <c r="D711" s="330"/>
      <c r="E711" s="330"/>
      <c r="F711" s="331"/>
      <c r="G711" s="331"/>
      <c r="H711" s="332"/>
      <c r="I711" s="330"/>
      <c r="J711" s="333"/>
      <c r="K711" s="333"/>
    </row>
    <row r="712" spans="1:11" x14ac:dyDescent="0.25">
      <c r="A712" s="328">
        <v>707</v>
      </c>
      <c r="B712" s="330"/>
      <c r="C712" s="330"/>
      <c r="D712" s="330"/>
      <c r="E712" s="330"/>
      <c r="F712" s="331"/>
      <c r="G712" s="331"/>
      <c r="H712" s="332"/>
      <c r="I712" s="330"/>
      <c r="J712" s="333"/>
      <c r="K712" s="333"/>
    </row>
    <row r="713" spans="1:11" x14ac:dyDescent="0.25">
      <c r="A713" s="328">
        <v>708</v>
      </c>
      <c r="B713" s="330"/>
      <c r="C713" s="330"/>
      <c r="D713" s="330"/>
      <c r="E713" s="330"/>
      <c r="F713" s="331"/>
      <c r="G713" s="331"/>
      <c r="H713" s="332"/>
      <c r="I713" s="330"/>
      <c r="J713" s="333"/>
      <c r="K713" s="333"/>
    </row>
    <row r="714" spans="1:11" x14ac:dyDescent="0.25">
      <c r="A714" s="328">
        <v>709</v>
      </c>
      <c r="B714" s="330"/>
      <c r="C714" s="330"/>
      <c r="D714" s="330"/>
      <c r="E714" s="330"/>
      <c r="F714" s="331"/>
      <c r="G714" s="331"/>
      <c r="H714" s="332"/>
      <c r="I714" s="330"/>
      <c r="J714" s="333"/>
      <c r="K714" s="333"/>
    </row>
    <row r="715" spans="1:11" x14ac:dyDescent="0.25">
      <c r="A715" s="328">
        <v>710</v>
      </c>
      <c r="B715" s="330"/>
      <c r="C715" s="330"/>
      <c r="D715" s="330"/>
      <c r="E715" s="330"/>
      <c r="F715" s="331"/>
      <c r="G715" s="331"/>
      <c r="H715" s="332"/>
      <c r="I715" s="330"/>
      <c r="J715" s="333"/>
      <c r="K715" s="333"/>
    </row>
    <row r="716" spans="1:11" x14ac:dyDescent="0.25">
      <c r="A716" s="328">
        <v>711</v>
      </c>
      <c r="B716" s="330"/>
      <c r="C716" s="330"/>
      <c r="D716" s="330"/>
      <c r="E716" s="330"/>
      <c r="F716" s="331"/>
      <c r="G716" s="331"/>
      <c r="H716" s="332"/>
      <c r="I716" s="330"/>
      <c r="J716" s="333"/>
      <c r="K716" s="333"/>
    </row>
    <row r="717" spans="1:11" x14ac:dyDescent="0.25">
      <c r="A717" s="328">
        <v>712</v>
      </c>
      <c r="B717" s="330"/>
      <c r="C717" s="330"/>
      <c r="D717" s="330"/>
      <c r="E717" s="330"/>
      <c r="F717" s="331"/>
      <c r="G717" s="331"/>
      <c r="H717" s="332"/>
      <c r="I717" s="330"/>
      <c r="J717" s="333"/>
      <c r="K717" s="333"/>
    </row>
    <row r="718" spans="1:11" x14ac:dyDescent="0.25">
      <c r="A718" s="328">
        <v>713</v>
      </c>
      <c r="B718" s="330"/>
      <c r="C718" s="330"/>
      <c r="D718" s="330"/>
      <c r="E718" s="330"/>
      <c r="F718" s="331"/>
      <c r="G718" s="331"/>
      <c r="H718" s="332"/>
      <c r="I718" s="330"/>
      <c r="J718" s="333"/>
      <c r="K718" s="333"/>
    </row>
    <row r="719" spans="1:11" x14ac:dyDescent="0.25">
      <c r="A719" s="328">
        <v>714</v>
      </c>
      <c r="B719" s="330"/>
      <c r="C719" s="330"/>
      <c r="D719" s="330"/>
      <c r="E719" s="330"/>
      <c r="F719" s="331"/>
      <c r="G719" s="331"/>
      <c r="H719" s="332"/>
      <c r="I719" s="330"/>
      <c r="J719" s="333"/>
      <c r="K719" s="333"/>
    </row>
    <row r="720" spans="1:11" x14ac:dyDescent="0.25">
      <c r="A720" s="328">
        <v>715</v>
      </c>
      <c r="B720" s="330"/>
      <c r="C720" s="330"/>
      <c r="D720" s="330"/>
      <c r="E720" s="330"/>
      <c r="F720" s="331"/>
      <c r="G720" s="331"/>
      <c r="H720" s="332"/>
      <c r="I720" s="330"/>
      <c r="J720" s="333"/>
      <c r="K720" s="333"/>
    </row>
    <row r="721" spans="1:11" x14ac:dyDescent="0.25">
      <c r="A721" s="328">
        <v>716</v>
      </c>
      <c r="B721" s="330"/>
      <c r="C721" s="330"/>
      <c r="D721" s="330"/>
      <c r="E721" s="330"/>
      <c r="F721" s="331"/>
      <c r="G721" s="331"/>
      <c r="H721" s="332"/>
      <c r="I721" s="330"/>
      <c r="J721" s="333"/>
      <c r="K721" s="333"/>
    </row>
    <row r="722" spans="1:11" x14ac:dyDescent="0.25">
      <c r="A722" s="328">
        <v>717</v>
      </c>
      <c r="B722" s="330"/>
      <c r="C722" s="330"/>
      <c r="D722" s="330"/>
      <c r="E722" s="330"/>
      <c r="F722" s="331"/>
      <c r="G722" s="331"/>
      <c r="H722" s="332"/>
      <c r="I722" s="330"/>
      <c r="J722" s="333"/>
      <c r="K722" s="333"/>
    </row>
    <row r="723" spans="1:11" x14ac:dyDescent="0.25">
      <c r="A723" s="328">
        <v>718</v>
      </c>
      <c r="B723" s="330"/>
      <c r="C723" s="330"/>
      <c r="D723" s="330"/>
      <c r="E723" s="330"/>
      <c r="F723" s="331"/>
      <c r="G723" s="331"/>
      <c r="H723" s="332"/>
      <c r="I723" s="330"/>
      <c r="J723" s="333"/>
      <c r="K723" s="333"/>
    </row>
    <row r="724" spans="1:11" x14ac:dyDescent="0.25">
      <c r="A724" s="328">
        <v>719</v>
      </c>
      <c r="B724" s="330"/>
      <c r="C724" s="330"/>
      <c r="D724" s="330"/>
      <c r="E724" s="330"/>
      <c r="F724" s="331"/>
      <c r="G724" s="331"/>
      <c r="H724" s="332"/>
      <c r="I724" s="330"/>
      <c r="J724" s="333"/>
      <c r="K724" s="333"/>
    </row>
    <row r="725" spans="1:11" x14ac:dyDescent="0.25">
      <c r="A725" s="328">
        <v>720</v>
      </c>
      <c r="B725" s="330"/>
      <c r="C725" s="330"/>
      <c r="D725" s="330"/>
      <c r="E725" s="330"/>
      <c r="F725" s="331"/>
      <c r="G725" s="331"/>
      <c r="H725" s="332"/>
      <c r="I725" s="330"/>
      <c r="J725" s="333"/>
      <c r="K725" s="333"/>
    </row>
    <row r="726" spans="1:11" x14ac:dyDescent="0.25">
      <c r="A726" s="328">
        <v>721</v>
      </c>
      <c r="B726" s="330"/>
      <c r="C726" s="330"/>
      <c r="D726" s="330"/>
      <c r="E726" s="330"/>
      <c r="F726" s="331"/>
      <c r="G726" s="331"/>
      <c r="H726" s="332"/>
      <c r="I726" s="330"/>
      <c r="J726" s="333"/>
      <c r="K726" s="333"/>
    </row>
    <row r="727" spans="1:11" x14ac:dyDescent="0.25">
      <c r="A727" s="328">
        <v>722</v>
      </c>
      <c r="B727" s="330"/>
      <c r="C727" s="330"/>
      <c r="D727" s="330"/>
      <c r="E727" s="330"/>
      <c r="F727" s="331"/>
      <c r="G727" s="331"/>
      <c r="H727" s="332"/>
      <c r="I727" s="330"/>
      <c r="J727" s="333"/>
      <c r="K727" s="333"/>
    </row>
    <row r="728" spans="1:11" x14ac:dyDescent="0.25">
      <c r="A728" s="328">
        <v>723</v>
      </c>
      <c r="B728" s="330"/>
      <c r="C728" s="330"/>
      <c r="D728" s="330"/>
      <c r="E728" s="330"/>
      <c r="F728" s="331"/>
      <c r="G728" s="331"/>
      <c r="H728" s="332"/>
      <c r="I728" s="330"/>
      <c r="J728" s="333"/>
      <c r="K728" s="333"/>
    </row>
    <row r="729" spans="1:11" x14ac:dyDescent="0.25">
      <c r="A729" s="328">
        <v>724</v>
      </c>
      <c r="B729" s="330"/>
      <c r="C729" s="330"/>
      <c r="D729" s="330"/>
      <c r="E729" s="330"/>
      <c r="F729" s="331"/>
      <c r="G729" s="331"/>
      <c r="H729" s="332"/>
      <c r="I729" s="330"/>
      <c r="J729" s="333"/>
      <c r="K729" s="333"/>
    </row>
    <row r="730" spans="1:11" x14ac:dyDescent="0.25">
      <c r="A730" s="328">
        <v>725</v>
      </c>
      <c r="B730" s="330"/>
      <c r="C730" s="330"/>
      <c r="D730" s="330"/>
      <c r="E730" s="330"/>
      <c r="F730" s="331"/>
      <c r="G730" s="331"/>
      <c r="H730" s="332"/>
      <c r="I730" s="330"/>
      <c r="J730" s="333"/>
      <c r="K730" s="333"/>
    </row>
    <row r="731" spans="1:11" x14ac:dyDescent="0.25">
      <c r="A731" s="328">
        <v>726</v>
      </c>
      <c r="B731" s="330"/>
      <c r="C731" s="330"/>
      <c r="D731" s="330"/>
      <c r="E731" s="330"/>
      <c r="F731" s="331"/>
      <c r="G731" s="331"/>
      <c r="H731" s="332"/>
      <c r="I731" s="330"/>
      <c r="J731" s="333"/>
      <c r="K731" s="333"/>
    </row>
    <row r="732" spans="1:11" x14ac:dyDescent="0.25">
      <c r="A732" s="328">
        <v>727</v>
      </c>
      <c r="B732" s="330"/>
      <c r="C732" s="330"/>
      <c r="D732" s="330"/>
      <c r="E732" s="330"/>
      <c r="F732" s="331"/>
      <c r="G732" s="331"/>
      <c r="H732" s="332"/>
      <c r="I732" s="330"/>
      <c r="J732" s="333"/>
      <c r="K732" s="333"/>
    </row>
    <row r="733" spans="1:11" x14ac:dyDescent="0.25">
      <c r="A733" s="328">
        <v>728</v>
      </c>
      <c r="B733" s="330"/>
      <c r="C733" s="330"/>
      <c r="D733" s="330"/>
      <c r="E733" s="330"/>
      <c r="F733" s="331"/>
      <c r="G733" s="331"/>
      <c r="H733" s="332"/>
      <c r="I733" s="330"/>
      <c r="J733" s="333"/>
      <c r="K733" s="333"/>
    </row>
    <row r="734" spans="1:11" x14ac:dyDescent="0.25">
      <c r="A734" s="328">
        <v>729</v>
      </c>
      <c r="B734" s="330"/>
      <c r="C734" s="330"/>
      <c r="D734" s="330"/>
      <c r="E734" s="330"/>
      <c r="F734" s="331"/>
      <c r="G734" s="331"/>
      <c r="H734" s="332"/>
      <c r="I734" s="330"/>
      <c r="J734" s="333"/>
      <c r="K734" s="333"/>
    </row>
    <row r="735" spans="1:11" x14ac:dyDescent="0.25">
      <c r="A735" s="328">
        <v>730</v>
      </c>
      <c r="B735" s="330"/>
      <c r="C735" s="330"/>
      <c r="D735" s="330"/>
      <c r="E735" s="330"/>
      <c r="F735" s="331"/>
      <c r="G735" s="331"/>
      <c r="H735" s="332"/>
      <c r="I735" s="330"/>
      <c r="J735" s="333"/>
      <c r="K735" s="333"/>
    </row>
    <row r="736" spans="1:11" x14ac:dyDescent="0.25">
      <c r="A736" s="328">
        <v>731</v>
      </c>
      <c r="B736" s="330"/>
      <c r="C736" s="330"/>
      <c r="D736" s="330"/>
      <c r="E736" s="330"/>
      <c r="F736" s="331"/>
      <c r="G736" s="331"/>
      <c r="H736" s="332"/>
      <c r="I736" s="330"/>
      <c r="J736" s="333"/>
      <c r="K736" s="333"/>
    </row>
    <row r="737" spans="1:11" x14ac:dyDescent="0.25">
      <c r="A737" s="328">
        <v>732</v>
      </c>
      <c r="B737" s="330"/>
      <c r="C737" s="330"/>
      <c r="D737" s="330"/>
      <c r="E737" s="330"/>
      <c r="F737" s="331"/>
      <c r="G737" s="331"/>
      <c r="H737" s="332"/>
      <c r="I737" s="330"/>
      <c r="J737" s="333"/>
      <c r="K737" s="333"/>
    </row>
    <row r="738" spans="1:11" x14ac:dyDescent="0.25">
      <c r="A738" s="328">
        <v>733</v>
      </c>
      <c r="B738" s="330"/>
      <c r="C738" s="330"/>
      <c r="D738" s="330"/>
      <c r="E738" s="330"/>
      <c r="F738" s="331"/>
      <c r="G738" s="331"/>
      <c r="H738" s="332"/>
      <c r="I738" s="330"/>
      <c r="J738" s="333"/>
      <c r="K738" s="333"/>
    </row>
    <row r="739" spans="1:11" x14ac:dyDescent="0.25">
      <c r="A739" s="328">
        <v>734</v>
      </c>
      <c r="B739" s="330"/>
      <c r="C739" s="330"/>
      <c r="D739" s="330"/>
      <c r="E739" s="330"/>
      <c r="F739" s="331"/>
      <c r="G739" s="331"/>
      <c r="H739" s="332"/>
      <c r="I739" s="330"/>
      <c r="J739" s="333"/>
      <c r="K739" s="333"/>
    </row>
    <row r="740" spans="1:11" x14ac:dyDescent="0.25">
      <c r="A740" s="328">
        <v>735</v>
      </c>
      <c r="B740" s="330"/>
      <c r="C740" s="330"/>
      <c r="D740" s="330"/>
      <c r="E740" s="330"/>
      <c r="F740" s="331"/>
      <c r="G740" s="331"/>
      <c r="H740" s="332"/>
      <c r="I740" s="330"/>
      <c r="J740" s="333"/>
      <c r="K740" s="333"/>
    </row>
    <row r="741" spans="1:11" x14ac:dyDescent="0.25">
      <c r="A741" s="328">
        <v>736</v>
      </c>
      <c r="B741" s="330"/>
      <c r="C741" s="330"/>
      <c r="D741" s="330"/>
      <c r="E741" s="330"/>
      <c r="F741" s="331"/>
      <c r="G741" s="331"/>
      <c r="H741" s="332"/>
      <c r="I741" s="330"/>
      <c r="J741" s="333"/>
      <c r="K741" s="333"/>
    </row>
    <row r="742" spans="1:11" x14ac:dyDescent="0.25">
      <c r="A742" s="328">
        <v>737</v>
      </c>
      <c r="B742" s="330"/>
      <c r="C742" s="330"/>
      <c r="D742" s="330"/>
      <c r="E742" s="330"/>
      <c r="F742" s="331"/>
      <c r="G742" s="331"/>
      <c r="H742" s="332"/>
      <c r="I742" s="330"/>
      <c r="J742" s="333"/>
      <c r="K742" s="333"/>
    </row>
    <row r="743" spans="1:11" x14ac:dyDescent="0.25">
      <c r="A743" s="328">
        <v>738</v>
      </c>
      <c r="B743" s="330"/>
      <c r="C743" s="330"/>
      <c r="D743" s="330"/>
      <c r="E743" s="330"/>
      <c r="F743" s="331"/>
      <c r="G743" s="331"/>
      <c r="H743" s="332"/>
      <c r="I743" s="330"/>
      <c r="J743" s="333"/>
      <c r="K743" s="333"/>
    </row>
    <row r="744" spans="1:11" x14ac:dyDescent="0.25">
      <c r="A744" s="328">
        <v>739</v>
      </c>
      <c r="B744" s="330"/>
      <c r="C744" s="330"/>
      <c r="D744" s="330"/>
      <c r="E744" s="330"/>
      <c r="F744" s="331"/>
      <c r="G744" s="331"/>
      <c r="H744" s="332"/>
      <c r="I744" s="330"/>
      <c r="J744" s="333"/>
      <c r="K744" s="333"/>
    </row>
    <row r="745" spans="1:11" x14ac:dyDescent="0.25">
      <c r="A745" s="328">
        <v>740</v>
      </c>
      <c r="B745" s="330"/>
      <c r="C745" s="330"/>
      <c r="D745" s="330"/>
      <c r="E745" s="330"/>
      <c r="F745" s="331"/>
      <c r="G745" s="331"/>
      <c r="H745" s="332"/>
      <c r="I745" s="330"/>
      <c r="J745" s="333"/>
      <c r="K745" s="333"/>
    </row>
    <row r="746" spans="1:11" x14ac:dyDescent="0.25">
      <c r="A746" s="328">
        <v>741</v>
      </c>
      <c r="B746" s="330"/>
      <c r="C746" s="330"/>
      <c r="D746" s="330"/>
      <c r="E746" s="330"/>
      <c r="F746" s="331"/>
      <c r="G746" s="331"/>
      <c r="H746" s="332"/>
      <c r="I746" s="330"/>
      <c r="J746" s="333"/>
      <c r="K746" s="333"/>
    </row>
    <row r="747" spans="1:11" x14ac:dyDescent="0.25">
      <c r="A747" s="328">
        <v>742</v>
      </c>
      <c r="B747" s="330"/>
      <c r="C747" s="330"/>
      <c r="D747" s="330"/>
      <c r="E747" s="330"/>
      <c r="F747" s="331"/>
      <c r="G747" s="331"/>
      <c r="H747" s="332"/>
      <c r="I747" s="330"/>
      <c r="J747" s="333"/>
      <c r="K747" s="333"/>
    </row>
    <row r="748" spans="1:11" x14ac:dyDescent="0.25">
      <c r="A748" s="328">
        <v>743</v>
      </c>
      <c r="B748" s="330"/>
      <c r="C748" s="330"/>
      <c r="D748" s="330"/>
      <c r="E748" s="330"/>
      <c r="F748" s="331"/>
      <c r="G748" s="331"/>
      <c r="H748" s="332"/>
      <c r="I748" s="330"/>
      <c r="J748" s="333"/>
      <c r="K748" s="333"/>
    </row>
    <row r="749" spans="1:11" x14ac:dyDescent="0.25">
      <c r="A749" s="328">
        <v>744</v>
      </c>
      <c r="B749" s="330"/>
      <c r="C749" s="330"/>
      <c r="D749" s="330"/>
      <c r="E749" s="330"/>
      <c r="F749" s="331"/>
      <c r="G749" s="331"/>
      <c r="H749" s="332"/>
      <c r="I749" s="330"/>
      <c r="J749" s="333"/>
      <c r="K749" s="333"/>
    </row>
    <row r="750" spans="1:11" x14ac:dyDescent="0.25">
      <c r="A750" s="328">
        <v>745</v>
      </c>
      <c r="B750" s="330"/>
      <c r="C750" s="330"/>
      <c r="D750" s="330"/>
      <c r="E750" s="330"/>
      <c r="F750" s="331"/>
      <c r="G750" s="331"/>
      <c r="H750" s="332"/>
      <c r="I750" s="330"/>
      <c r="J750" s="333"/>
      <c r="K750" s="333"/>
    </row>
    <row r="751" spans="1:11" x14ac:dyDescent="0.25">
      <c r="A751" s="328">
        <v>746</v>
      </c>
      <c r="B751" s="330"/>
      <c r="C751" s="330"/>
      <c r="D751" s="330"/>
      <c r="E751" s="330"/>
      <c r="F751" s="331"/>
      <c r="G751" s="331"/>
      <c r="H751" s="332"/>
      <c r="I751" s="330"/>
      <c r="J751" s="333"/>
      <c r="K751" s="333"/>
    </row>
    <row r="752" spans="1:11" x14ac:dyDescent="0.25">
      <c r="A752" s="328">
        <v>747</v>
      </c>
      <c r="B752" s="330"/>
      <c r="C752" s="330"/>
      <c r="D752" s="330"/>
      <c r="E752" s="330"/>
      <c r="F752" s="331"/>
      <c r="G752" s="331"/>
      <c r="H752" s="332"/>
      <c r="I752" s="330"/>
      <c r="J752" s="333"/>
      <c r="K752" s="333"/>
    </row>
    <row r="753" spans="1:11" x14ac:dyDescent="0.25">
      <c r="A753" s="328">
        <v>748</v>
      </c>
      <c r="B753" s="330"/>
      <c r="C753" s="330"/>
      <c r="D753" s="330"/>
      <c r="E753" s="330"/>
      <c r="F753" s="331"/>
      <c r="G753" s="331"/>
      <c r="H753" s="332"/>
      <c r="I753" s="330"/>
      <c r="J753" s="333"/>
      <c r="K753" s="333"/>
    </row>
    <row r="754" spans="1:11" x14ac:dyDescent="0.25">
      <c r="A754" s="328">
        <v>749</v>
      </c>
      <c r="B754" s="330"/>
      <c r="C754" s="330"/>
      <c r="D754" s="330"/>
      <c r="E754" s="330"/>
      <c r="F754" s="331"/>
      <c r="G754" s="331"/>
      <c r="H754" s="332"/>
      <c r="I754" s="330"/>
      <c r="J754" s="333"/>
      <c r="K754" s="333"/>
    </row>
    <row r="755" spans="1:11" x14ac:dyDescent="0.25">
      <c r="A755" s="328">
        <v>750</v>
      </c>
      <c r="B755" s="330"/>
      <c r="C755" s="330"/>
      <c r="D755" s="330"/>
      <c r="E755" s="330"/>
      <c r="F755" s="331"/>
      <c r="G755" s="331"/>
      <c r="H755" s="332"/>
      <c r="I755" s="330"/>
      <c r="J755" s="333"/>
      <c r="K755" s="333"/>
    </row>
    <row r="756" spans="1:11" x14ac:dyDescent="0.25">
      <c r="A756" s="328">
        <v>751</v>
      </c>
      <c r="B756" s="330"/>
      <c r="C756" s="330"/>
      <c r="D756" s="330"/>
      <c r="E756" s="330"/>
      <c r="F756" s="331"/>
      <c r="G756" s="331"/>
      <c r="H756" s="332"/>
      <c r="I756" s="330"/>
      <c r="J756" s="333"/>
      <c r="K756" s="333"/>
    </row>
    <row r="757" spans="1:11" x14ac:dyDescent="0.25">
      <c r="A757" s="328">
        <v>752</v>
      </c>
      <c r="B757" s="330"/>
      <c r="C757" s="330"/>
      <c r="D757" s="330"/>
      <c r="E757" s="330"/>
      <c r="F757" s="331"/>
      <c r="G757" s="331"/>
      <c r="H757" s="332"/>
      <c r="I757" s="330"/>
      <c r="J757" s="333"/>
      <c r="K757" s="333"/>
    </row>
    <row r="758" spans="1:11" x14ac:dyDescent="0.25">
      <c r="A758" s="328">
        <v>753</v>
      </c>
      <c r="B758" s="330"/>
      <c r="C758" s="330"/>
      <c r="D758" s="330"/>
      <c r="E758" s="330"/>
      <c r="F758" s="331"/>
      <c r="G758" s="331"/>
      <c r="H758" s="332"/>
      <c r="I758" s="330"/>
      <c r="J758" s="333"/>
      <c r="K758" s="333"/>
    </row>
    <row r="759" spans="1:11" x14ac:dyDescent="0.25">
      <c r="A759" s="328">
        <v>754</v>
      </c>
      <c r="B759" s="330"/>
      <c r="C759" s="330"/>
      <c r="D759" s="330"/>
      <c r="E759" s="330"/>
      <c r="F759" s="331"/>
      <c r="G759" s="331"/>
      <c r="H759" s="332"/>
      <c r="I759" s="330"/>
      <c r="J759" s="333"/>
      <c r="K759" s="333"/>
    </row>
    <row r="760" spans="1:11" x14ac:dyDescent="0.25">
      <c r="A760" s="328">
        <v>755</v>
      </c>
      <c r="B760" s="330"/>
      <c r="C760" s="330"/>
      <c r="D760" s="330"/>
      <c r="E760" s="330"/>
      <c r="F760" s="331"/>
      <c r="G760" s="331"/>
      <c r="H760" s="332"/>
      <c r="I760" s="330"/>
      <c r="J760" s="333"/>
      <c r="K760" s="333"/>
    </row>
    <row r="761" spans="1:11" x14ac:dyDescent="0.25">
      <c r="A761" s="328">
        <v>756</v>
      </c>
      <c r="B761" s="330"/>
      <c r="C761" s="330"/>
      <c r="D761" s="330"/>
      <c r="E761" s="330"/>
      <c r="F761" s="331"/>
      <c r="G761" s="331"/>
      <c r="H761" s="332"/>
      <c r="I761" s="330"/>
      <c r="J761" s="333"/>
      <c r="K761" s="333"/>
    </row>
    <row r="762" spans="1:11" x14ac:dyDescent="0.25">
      <c r="A762" s="328">
        <v>757</v>
      </c>
      <c r="B762" s="330"/>
      <c r="C762" s="330"/>
      <c r="D762" s="330"/>
      <c r="E762" s="330"/>
      <c r="F762" s="331"/>
      <c r="G762" s="331"/>
      <c r="H762" s="332"/>
      <c r="I762" s="330"/>
      <c r="J762" s="333"/>
      <c r="K762" s="333"/>
    </row>
    <row r="763" spans="1:11" x14ac:dyDescent="0.25">
      <c r="A763" s="328">
        <v>758</v>
      </c>
      <c r="B763" s="330"/>
      <c r="C763" s="330"/>
      <c r="D763" s="330"/>
      <c r="E763" s="330"/>
      <c r="F763" s="331"/>
      <c r="G763" s="331"/>
      <c r="H763" s="332"/>
      <c r="I763" s="330"/>
      <c r="J763" s="333"/>
      <c r="K763" s="333"/>
    </row>
    <row r="764" spans="1:11" x14ac:dyDescent="0.25">
      <c r="A764" s="328">
        <v>759</v>
      </c>
      <c r="B764" s="330"/>
      <c r="C764" s="330"/>
      <c r="D764" s="330"/>
      <c r="E764" s="330"/>
      <c r="F764" s="331"/>
      <c r="G764" s="331"/>
      <c r="H764" s="332"/>
      <c r="I764" s="330"/>
      <c r="J764" s="333"/>
      <c r="K764" s="333"/>
    </row>
    <row r="765" spans="1:11" x14ac:dyDescent="0.25">
      <c r="A765" s="328">
        <v>760</v>
      </c>
      <c r="B765" s="330"/>
      <c r="C765" s="330"/>
      <c r="D765" s="330"/>
      <c r="E765" s="330"/>
      <c r="F765" s="331"/>
      <c r="G765" s="331"/>
      <c r="H765" s="332"/>
      <c r="I765" s="330"/>
      <c r="J765" s="333"/>
      <c r="K765" s="333"/>
    </row>
    <row r="766" spans="1:11" x14ac:dyDescent="0.25">
      <c r="A766" s="328">
        <v>761</v>
      </c>
      <c r="B766" s="330"/>
      <c r="C766" s="330"/>
      <c r="D766" s="330"/>
      <c r="E766" s="330"/>
      <c r="F766" s="331"/>
      <c r="G766" s="331"/>
      <c r="H766" s="332"/>
      <c r="I766" s="330"/>
      <c r="J766" s="333"/>
      <c r="K766" s="333"/>
    </row>
    <row r="767" spans="1:11" x14ac:dyDescent="0.25">
      <c r="A767" s="328">
        <v>762</v>
      </c>
      <c r="B767" s="330"/>
      <c r="C767" s="330"/>
      <c r="D767" s="330"/>
      <c r="E767" s="330"/>
      <c r="F767" s="331"/>
      <c r="G767" s="331"/>
      <c r="H767" s="332"/>
      <c r="I767" s="330"/>
      <c r="J767" s="333"/>
      <c r="K767" s="333"/>
    </row>
    <row r="768" spans="1:11" x14ac:dyDescent="0.25">
      <c r="A768" s="328">
        <v>763</v>
      </c>
      <c r="B768" s="330"/>
      <c r="C768" s="330"/>
      <c r="D768" s="330"/>
      <c r="E768" s="330"/>
      <c r="F768" s="331"/>
      <c r="G768" s="331"/>
      <c r="H768" s="332"/>
      <c r="I768" s="330"/>
      <c r="J768" s="333"/>
      <c r="K768" s="333"/>
    </row>
    <row r="769" spans="1:11" x14ac:dyDescent="0.25">
      <c r="A769" s="328">
        <v>764</v>
      </c>
      <c r="B769" s="330"/>
      <c r="C769" s="330"/>
      <c r="D769" s="330"/>
      <c r="E769" s="330"/>
      <c r="F769" s="331"/>
      <c r="G769" s="331"/>
      <c r="H769" s="332"/>
      <c r="I769" s="330"/>
      <c r="J769" s="333"/>
      <c r="K769" s="333"/>
    </row>
    <row r="770" spans="1:11" x14ac:dyDescent="0.25">
      <c r="A770" s="328">
        <v>765</v>
      </c>
      <c r="B770" s="330"/>
      <c r="C770" s="330"/>
      <c r="D770" s="330"/>
      <c r="E770" s="330"/>
      <c r="F770" s="331"/>
      <c r="G770" s="331"/>
      <c r="H770" s="332"/>
      <c r="I770" s="330"/>
      <c r="J770" s="333"/>
      <c r="K770" s="333"/>
    </row>
    <row r="771" spans="1:11" x14ac:dyDescent="0.25">
      <c r="A771" s="328">
        <v>766</v>
      </c>
      <c r="B771" s="330"/>
      <c r="C771" s="330"/>
      <c r="D771" s="330"/>
      <c r="E771" s="330"/>
      <c r="F771" s="331"/>
      <c r="G771" s="331"/>
      <c r="H771" s="332"/>
      <c r="I771" s="330"/>
      <c r="J771" s="333"/>
      <c r="K771" s="333"/>
    </row>
    <row r="772" spans="1:11" x14ac:dyDescent="0.25">
      <c r="A772" s="328">
        <v>767</v>
      </c>
      <c r="B772" s="330"/>
      <c r="C772" s="330"/>
      <c r="D772" s="330"/>
      <c r="E772" s="330"/>
      <c r="F772" s="331"/>
      <c r="G772" s="331"/>
      <c r="H772" s="332"/>
      <c r="I772" s="330"/>
      <c r="J772" s="333"/>
      <c r="K772" s="333"/>
    </row>
    <row r="773" spans="1:11" x14ac:dyDescent="0.25">
      <c r="A773" s="328">
        <v>768</v>
      </c>
      <c r="B773" s="330"/>
      <c r="C773" s="330"/>
      <c r="D773" s="330"/>
      <c r="E773" s="330"/>
      <c r="F773" s="331"/>
      <c r="G773" s="331"/>
      <c r="H773" s="332"/>
      <c r="I773" s="330"/>
      <c r="J773" s="333"/>
      <c r="K773" s="333"/>
    </row>
    <row r="774" spans="1:11" x14ac:dyDescent="0.25">
      <c r="A774" s="328">
        <v>769</v>
      </c>
      <c r="B774" s="330"/>
      <c r="C774" s="330"/>
      <c r="D774" s="330"/>
      <c r="E774" s="330"/>
      <c r="F774" s="331"/>
      <c r="G774" s="331"/>
      <c r="H774" s="332"/>
      <c r="I774" s="330"/>
      <c r="J774" s="333"/>
      <c r="K774" s="333"/>
    </row>
    <row r="775" spans="1:11" x14ac:dyDescent="0.25">
      <c r="A775" s="328">
        <v>770</v>
      </c>
      <c r="B775" s="330"/>
      <c r="C775" s="330"/>
      <c r="D775" s="330"/>
      <c r="E775" s="330"/>
      <c r="F775" s="331"/>
      <c r="G775" s="331"/>
      <c r="H775" s="332"/>
      <c r="I775" s="330"/>
      <c r="J775" s="333"/>
      <c r="K775" s="333"/>
    </row>
    <row r="776" spans="1:11" x14ac:dyDescent="0.25">
      <c r="A776" s="328">
        <v>771</v>
      </c>
      <c r="B776" s="330"/>
      <c r="C776" s="330"/>
      <c r="D776" s="330"/>
      <c r="E776" s="330"/>
      <c r="F776" s="331"/>
      <c r="G776" s="331"/>
      <c r="H776" s="332"/>
      <c r="I776" s="330"/>
      <c r="J776" s="333"/>
      <c r="K776" s="333"/>
    </row>
    <row r="777" spans="1:11" x14ac:dyDescent="0.25">
      <c r="A777" s="328">
        <v>772</v>
      </c>
      <c r="B777" s="330"/>
      <c r="C777" s="330"/>
      <c r="D777" s="330"/>
      <c r="E777" s="330"/>
      <c r="F777" s="331"/>
      <c r="G777" s="331"/>
      <c r="H777" s="332"/>
      <c r="I777" s="330"/>
      <c r="J777" s="333"/>
      <c r="K777" s="333"/>
    </row>
    <row r="778" spans="1:11" x14ac:dyDescent="0.25">
      <c r="A778" s="328">
        <v>773</v>
      </c>
      <c r="B778" s="330"/>
      <c r="C778" s="330"/>
      <c r="D778" s="330"/>
      <c r="E778" s="330"/>
      <c r="F778" s="331"/>
      <c r="G778" s="331"/>
      <c r="H778" s="332"/>
      <c r="I778" s="330"/>
      <c r="J778" s="333"/>
      <c r="K778" s="333"/>
    </row>
    <row r="779" spans="1:11" x14ac:dyDescent="0.25">
      <c r="A779" s="328">
        <v>774</v>
      </c>
      <c r="B779" s="330"/>
      <c r="C779" s="330"/>
      <c r="D779" s="330"/>
      <c r="E779" s="330"/>
      <c r="F779" s="331"/>
      <c r="G779" s="331"/>
      <c r="H779" s="332"/>
      <c r="I779" s="330"/>
      <c r="J779" s="333"/>
      <c r="K779" s="333"/>
    </row>
    <row r="780" spans="1:11" x14ac:dyDescent="0.25">
      <c r="A780" s="328">
        <v>775</v>
      </c>
      <c r="B780" s="330"/>
      <c r="C780" s="330"/>
      <c r="D780" s="330"/>
      <c r="E780" s="330"/>
      <c r="F780" s="331"/>
      <c r="G780" s="331"/>
      <c r="H780" s="332"/>
      <c r="I780" s="330"/>
      <c r="J780" s="333"/>
      <c r="K780" s="333"/>
    </row>
    <row r="781" spans="1:11" x14ac:dyDescent="0.25">
      <c r="A781" s="328">
        <v>776</v>
      </c>
      <c r="B781" s="330"/>
      <c r="C781" s="330"/>
      <c r="D781" s="330"/>
      <c r="E781" s="330"/>
      <c r="F781" s="331"/>
      <c r="G781" s="331"/>
      <c r="H781" s="332"/>
      <c r="I781" s="330"/>
      <c r="J781" s="333"/>
      <c r="K781" s="333"/>
    </row>
    <row r="782" spans="1:11" x14ac:dyDescent="0.25">
      <c r="A782" s="328">
        <v>777</v>
      </c>
      <c r="B782" s="330"/>
      <c r="C782" s="330"/>
      <c r="D782" s="330"/>
      <c r="E782" s="330"/>
      <c r="F782" s="331"/>
      <c r="G782" s="331"/>
      <c r="H782" s="332"/>
      <c r="I782" s="330"/>
      <c r="J782" s="333"/>
      <c r="K782" s="333"/>
    </row>
    <row r="783" spans="1:11" x14ac:dyDescent="0.25">
      <c r="A783" s="328">
        <v>778</v>
      </c>
      <c r="B783" s="330"/>
      <c r="C783" s="330"/>
      <c r="D783" s="330"/>
      <c r="E783" s="330"/>
      <c r="F783" s="331"/>
      <c r="G783" s="331"/>
      <c r="H783" s="332"/>
      <c r="I783" s="330"/>
      <c r="J783" s="333"/>
      <c r="K783" s="333"/>
    </row>
    <row r="784" spans="1:11" x14ac:dyDescent="0.25">
      <c r="A784" s="328">
        <v>779</v>
      </c>
      <c r="B784" s="330"/>
      <c r="C784" s="330"/>
      <c r="D784" s="330"/>
      <c r="E784" s="330"/>
      <c r="F784" s="331"/>
      <c r="G784" s="331"/>
      <c r="H784" s="332"/>
      <c r="I784" s="330"/>
      <c r="J784" s="333"/>
      <c r="K784" s="333"/>
    </row>
    <row r="785" spans="1:11" x14ac:dyDescent="0.25">
      <c r="A785" s="328">
        <v>780</v>
      </c>
      <c r="B785" s="330"/>
      <c r="C785" s="330"/>
      <c r="D785" s="330"/>
      <c r="E785" s="330"/>
      <c r="F785" s="331"/>
      <c r="G785" s="331"/>
      <c r="H785" s="332"/>
      <c r="I785" s="330"/>
      <c r="J785" s="333"/>
      <c r="K785" s="333"/>
    </row>
    <row r="786" spans="1:11" x14ac:dyDescent="0.25">
      <c r="A786" s="328">
        <v>781</v>
      </c>
      <c r="B786" s="330"/>
      <c r="C786" s="330"/>
      <c r="D786" s="330"/>
      <c r="E786" s="330"/>
      <c r="F786" s="331"/>
      <c r="G786" s="331"/>
      <c r="H786" s="332"/>
      <c r="I786" s="330"/>
      <c r="J786" s="333"/>
      <c r="K786" s="333"/>
    </row>
    <row r="787" spans="1:11" x14ac:dyDescent="0.25">
      <c r="A787" s="328">
        <v>782</v>
      </c>
      <c r="B787" s="330"/>
      <c r="C787" s="330"/>
      <c r="D787" s="330"/>
      <c r="E787" s="330"/>
      <c r="F787" s="331"/>
      <c r="G787" s="331"/>
      <c r="H787" s="332"/>
      <c r="I787" s="330"/>
      <c r="J787" s="333"/>
      <c r="K787" s="333"/>
    </row>
    <row r="788" spans="1:11" x14ac:dyDescent="0.25">
      <c r="A788" s="328">
        <v>783</v>
      </c>
      <c r="B788" s="330"/>
      <c r="C788" s="330"/>
      <c r="D788" s="330"/>
      <c r="E788" s="330"/>
      <c r="F788" s="331"/>
      <c r="G788" s="331"/>
      <c r="H788" s="332"/>
      <c r="I788" s="330"/>
      <c r="J788" s="333"/>
      <c r="K788" s="333"/>
    </row>
    <row r="789" spans="1:11" x14ac:dyDescent="0.25">
      <c r="A789" s="328">
        <v>784</v>
      </c>
      <c r="B789" s="330"/>
      <c r="C789" s="330"/>
      <c r="D789" s="330"/>
      <c r="E789" s="330"/>
      <c r="F789" s="331"/>
      <c r="G789" s="331"/>
      <c r="H789" s="332"/>
      <c r="I789" s="330"/>
      <c r="J789" s="333"/>
      <c r="K789" s="333"/>
    </row>
    <row r="790" spans="1:11" x14ac:dyDescent="0.25">
      <c r="A790" s="328">
        <v>785</v>
      </c>
      <c r="B790" s="330"/>
      <c r="C790" s="330"/>
      <c r="D790" s="330"/>
      <c r="E790" s="330"/>
      <c r="F790" s="331"/>
      <c r="G790" s="331"/>
      <c r="H790" s="332"/>
      <c r="I790" s="330"/>
      <c r="J790" s="333"/>
      <c r="K790" s="333"/>
    </row>
    <row r="791" spans="1:11" x14ac:dyDescent="0.25">
      <c r="A791" s="328">
        <v>786</v>
      </c>
      <c r="B791" s="330"/>
      <c r="C791" s="330"/>
      <c r="D791" s="330"/>
      <c r="E791" s="330"/>
      <c r="F791" s="331"/>
      <c r="G791" s="331"/>
      <c r="H791" s="332"/>
      <c r="I791" s="330"/>
      <c r="J791" s="333"/>
      <c r="K791" s="333"/>
    </row>
    <row r="792" spans="1:11" x14ac:dyDescent="0.25">
      <c r="A792" s="328">
        <v>787</v>
      </c>
      <c r="B792" s="330"/>
      <c r="C792" s="330"/>
      <c r="D792" s="330"/>
      <c r="E792" s="330"/>
      <c r="F792" s="331"/>
      <c r="G792" s="331"/>
      <c r="H792" s="332"/>
      <c r="I792" s="330"/>
      <c r="J792" s="333"/>
      <c r="K792" s="333"/>
    </row>
    <row r="793" spans="1:11" x14ac:dyDescent="0.25">
      <c r="A793" s="328">
        <v>788</v>
      </c>
      <c r="B793" s="330"/>
      <c r="C793" s="330"/>
      <c r="D793" s="330"/>
      <c r="E793" s="330"/>
      <c r="F793" s="331"/>
      <c r="G793" s="331"/>
      <c r="H793" s="332"/>
      <c r="I793" s="330"/>
      <c r="J793" s="333"/>
      <c r="K793" s="333"/>
    </row>
    <row r="794" spans="1:11" x14ac:dyDescent="0.25">
      <c r="A794" s="328">
        <v>789</v>
      </c>
      <c r="B794" s="330"/>
      <c r="C794" s="330"/>
      <c r="D794" s="330"/>
      <c r="E794" s="330"/>
      <c r="F794" s="331"/>
      <c r="G794" s="331"/>
      <c r="H794" s="332"/>
      <c r="I794" s="330"/>
      <c r="J794" s="333"/>
      <c r="K794" s="333"/>
    </row>
    <row r="795" spans="1:11" x14ac:dyDescent="0.25">
      <c r="A795" s="328">
        <v>790</v>
      </c>
      <c r="B795" s="330"/>
      <c r="C795" s="330"/>
      <c r="D795" s="330"/>
      <c r="E795" s="330"/>
      <c r="F795" s="331"/>
      <c r="G795" s="331"/>
      <c r="H795" s="332"/>
      <c r="I795" s="330"/>
      <c r="J795" s="333"/>
      <c r="K795" s="333"/>
    </row>
    <row r="796" spans="1:11" x14ac:dyDescent="0.25">
      <c r="A796" s="328">
        <v>791</v>
      </c>
      <c r="B796" s="330"/>
      <c r="C796" s="330"/>
      <c r="D796" s="330"/>
      <c r="E796" s="330"/>
      <c r="F796" s="331"/>
      <c r="G796" s="331"/>
      <c r="H796" s="332"/>
      <c r="I796" s="330"/>
      <c r="J796" s="333"/>
      <c r="K796" s="333"/>
    </row>
    <row r="797" spans="1:11" x14ac:dyDescent="0.25">
      <c r="A797" s="328">
        <v>792</v>
      </c>
      <c r="B797" s="330"/>
      <c r="C797" s="330"/>
      <c r="D797" s="330"/>
      <c r="E797" s="330"/>
      <c r="F797" s="331"/>
      <c r="G797" s="331"/>
      <c r="H797" s="332"/>
      <c r="I797" s="330"/>
      <c r="J797" s="333"/>
      <c r="K797" s="333"/>
    </row>
    <row r="798" spans="1:11" x14ac:dyDescent="0.25">
      <c r="A798" s="328">
        <v>793</v>
      </c>
      <c r="B798" s="330"/>
      <c r="C798" s="330"/>
      <c r="D798" s="330"/>
      <c r="E798" s="330"/>
      <c r="F798" s="331"/>
      <c r="G798" s="331"/>
      <c r="H798" s="332"/>
      <c r="I798" s="330"/>
      <c r="J798" s="333"/>
      <c r="K798" s="333"/>
    </row>
    <row r="799" spans="1:11" x14ac:dyDescent="0.25">
      <c r="A799" s="328">
        <v>794</v>
      </c>
      <c r="B799" s="330"/>
      <c r="C799" s="330"/>
      <c r="D799" s="330"/>
      <c r="E799" s="330"/>
      <c r="F799" s="331"/>
      <c r="G799" s="331"/>
      <c r="H799" s="332"/>
      <c r="I799" s="330"/>
      <c r="J799" s="333"/>
      <c r="K799" s="333"/>
    </row>
    <row r="800" spans="1:11" x14ac:dyDescent="0.25">
      <c r="A800" s="328">
        <v>795</v>
      </c>
      <c r="B800" s="330"/>
      <c r="C800" s="330"/>
      <c r="D800" s="330"/>
      <c r="E800" s="330"/>
      <c r="F800" s="331"/>
      <c r="G800" s="331"/>
      <c r="H800" s="332"/>
      <c r="I800" s="330"/>
      <c r="J800" s="333"/>
      <c r="K800" s="333"/>
    </row>
    <row r="801" spans="1:11" x14ac:dyDescent="0.25">
      <c r="A801" s="328">
        <v>796</v>
      </c>
      <c r="B801" s="330"/>
      <c r="C801" s="330"/>
      <c r="D801" s="330"/>
      <c r="E801" s="330"/>
      <c r="F801" s="331"/>
      <c r="G801" s="331"/>
      <c r="H801" s="332"/>
      <c r="I801" s="330"/>
      <c r="J801" s="333"/>
      <c r="K801" s="333"/>
    </row>
    <row r="802" spans="1:11" x14ac:dyDescent="0.25">
      <c r="A802" s="328">
        <v>797</v>
      </c>
      <c r="B802" s="330"/>
      <c r="C802" s="330"/>
      <c r="D802" s="330"/>
      <c r="E802" s="330"/>
      <c r="F802" s="331"/>
      <c r="G802" s="331"/>
      <c r="H802" s="332"/>
      <c r="I802" s="330"/>
      <c r="J802" s="333"/>
      <c r="K802" s="333"/>
    </row>
    <row r="803" spans="1:11" x14ac:dyDescent="0.25">
      <c r="A803" s="328">
        <v>798</v>
      </c>
      <c r="B803" s="330"/>
      <c r="C803" s="330"/>
      <c r="D803" s="330"/>
      <c r="E803" s="330"/>
      <c r="F803" s="331"/>
      <c r="G803" s="331"/>
      <c r="H803" s="332"/>
      <c r="I803" s="330"/>
      <c r="J803" s="333"/>
      <c r="K803" s="333"/>
    </row>
    <row r="804" spans="1:11" x14ac:dyDescent="0.25">
      <c r="A804" s="328">
        <v>799</v>
      </c>
      <c r="B804" s="330"/>
      <c r="C804" s="330"/>
      <c r="D804" s="330"/>
      <c r="E804" s="330"/>
      <c r="F804" s="331"/>
      <c r="G804" s="331"/>
      <c r="H804" s="332"/>
      <c r="I804" s="330"/>
      <c r="J804" s="333"/>
      <c r="K804" s="333"/>
    </row>
    <row r="805" spans="1:11" x14ac:dyDescent="0.25">
      <c r="A805" s="328">
        <v>800</v>
      </c>
      <c r="B805" s="330"/>
      <c r="C805" s="330"/>
      <c r="D805" s="330"/>
      <c r="E805" s="330"/>
      <c r="F805" s="331"/>
      <c r="G805" s="331"/>
      <c r="H805" s="332"/>
      <c r="I805" s="330"/>
      <c r="J805" s="333"/>
      <c r="K805" s="333"/>
    </row>
    <row r="806" spans="1:11" x14ac:dyDescent="0.25">
      <c r="A806" s="328">
        <v>801</v>
      </c>
      <c r="B806" s="330"/>
      <c r="C806" s="330"/>
      <c r="D806" s="330"/>
      <c r="E806" s="330"/>
      <c r="F806" s="331"/>
      <c r="G806" s="331"/>
      <c r="H806" s="332"/>
      <c r="I806" s="330"/>
      <c r="J806" s="333"/>
      <c r="K806" s="333"/>
    </row>
    <row r="807" spans="1:11" x14ac:dyDescent="0.25">
      <c r="A807" s="328">
        <v>802</v>
      </c>
      <c r="B807" s="330"/>
      <c r="C807" s="330"/>
      <c r="D807" s="330"/>
      <c r="E807" s="330"/>
      <c r="F807" s="331"/>
      <c r="G807" s="331"/>
      <c r="H807" s="332"/>
      <c r="I807" s="330"/>
      <c r="J807" s="333"/>
      <c r="K807" s="333"/>
    </row>
    <row r="808" spans="1:11" x14ac:dyDescent="0.25">
      <c r="A808" s="328">
        <v>803</v>
      </c>
      <c r="B808" s="330"/>
      <c r="C808" s="330"/>
      <c r="D808" s="330"/>
      <c r="E808" s="330"/>
      <c r="F808" s="331"/>
      <c r="G808" s="331"/>
      <c r="H808" s="332"/>
      <c r="I808" s="330"/>
      <c r="J808" s="333"/>
      <c r="K808" s="333"/>
    </row>
    <row r="809" spans="1:11" x14ac:dyDescent="0.25">
      <c r="A809" s="328">
        <v>804</v>
      </c>
      <c r="B809" s="330"/>
      <c r="C809" s="330"/>
      <c r="D809" s="330"/>
      <c r="E809" s="330"/>
      <c r="F809" s="331"/>
      <c r="G809" s="331"/>
      <c r="H809" s="332"/>
      <c r="I809" s="330"/>
      <c r="J809" s="333"/>
      <c r="K809" s="333"/>
    </row>
    <row r="810" spans="1:11" x14ac:dyDescent="0.25">
      <c r="A810" s="328">
        <v>805</v>
      </c>
      <c r="B810" s="330"/>
      <c r="C810" s="330"/>
      <c r="D810" s="330"/>
      <c r="E810" s="330"/>
      <c r="F810" s="331"/>
      <c r="G810" s="331"/>
      <c r="H810" s="332"/>
      <c r="I810" s="330"/>
      <c r="J810" s="333"/>
      <c r="K810" s="333"/>
    </row>
    <row r="811" spans="1:11" x14ac:dyDescent="0.25">
      <c r="A811" s="328">
        <v>806</v>
      </c>
      <c r="B811" s="330"/>
      <c r="C811" s="330"/>
      <c r="D811" s="330"/>
      <c r="E811" s="330"/>
      <c r="F811" s="331"/>
      <c r="G811" s="331"/>
      <c r="H811" s="332"/>
      <c r="I811" s="330"/>
      <c r="J811" s="333"/>
      <c r="K811" s="333"/>
    </row>
    <row r="812" spans="1:11" x14ac:dyDescent="0.25">
      <c r="A812" s="328">
        <v>807</v>
      </c>
      <c r="B812" s="330"/>
      <c r="C812" s="330"/>
      <c r="D812" s="330"/>
      <c r="E812" s="330"/>
      <c r="F812" s="331"/>
      <c r="G812" s="331"/>
      <c r="H812" s="332"/>
      <c r="I812" s="330"/>
      <c r="J812" s="333"/>
      <c r="K812" s="333"/>
    </row>
    <row r="813" spans="1:11" x14ac:dyDescent="0.25">
      <c r="A813" s="328">
        <v>808</v>
      </c>
      <c r="B813" s="330"/>
      <c r="C813" s="330"/>
      <c r="D813" s="330"/>
      <c r="E813" s="330"/>
      <c r="F813" s="331"/>
      <c r="G813" s="331"/>
      <c r="H813" s="332"/>
      <c r="I813" s="330"/>
      <c r="J813" s="333"/>
      <c r="K813" s="333"/>
    </row>
    <row r="814" spans="1:11" x14ac:dyDescent="0.25">
      <c r="A814" s="328">
        <v>809</v>
      </c>
      <c r="B814" s="330"/>
      <c r="C814" s="330"/>
      <c r="D814" s="330"/>
      <c r="E814" s="330"/>
      <c r="F814" s="331"/>
      <c r="G814" s="331"/>
      <c r="H814" s="332"/>
      <c r="I814" s="330"/>
      <c r="J814" s="333"/>
      <c r="K814" s="333"/>
    </row>
    <row r="815" spans="1:11" x14ac:dyDescent="0.25">
      <c r="A815" s="328">
        <v>810</v>
      </c>
      <c r="B815" s="330"/>
      <c r="C815" s="330"/>
      <c r="D815" s="330"/>
      <c r="E815" s="330"/>
      <c r="F815" s="331"/>
      <c r="G815" s="331"/>
      <c r="H815" s="332"/>
      <c r="I815" s="330"/>
      <c r="J815" s="333"/>
      <c r="K815" s="333"/>
    </row>
    <row r="816" spans="1:11" x14ac:dyDescent="0.25">
      <c r="A816" s="328">
        <v>811</v>
      </c>
      <c r="B816" s="330"/>
      <c r="C816" s="330"/>
      <c r="D816" s="330"/>
      <c r="E816" s="330"/>
      <c r="F816" s="331"/>
      <c r="G816" s="331"/>
      <c r="H816" s="332"/>
      <c r="I816" s="330"/>
      <c r="J816" s="333"/>
      <c r="K816" s="333"/>
    </row>
    <row r="817" spans="1:11" x14ac:dyDescent="0.25">
      <c r="A817" s="328">
        <v>812</v>
      </c>
      <c r="B817" s="330"/>
      <c r="C817" s="330"/>
      <c r="D817" s="330"/>
      <c r="E817" s="330"/>
      <c r="F817" s="331"/>
      <c r="G817" s="331"/>
      <c r="H817" s="332"/>
      <c r="I817" s="330"/>
      <c r="J817" s="333"/>
      <c r="K817" s="333"/>
    </row>
    <row r="818" spans="1:11" x14ac:dyDescent="0.25">
      <c r="A818" s="328">
        <v>813</v>
      </c>
      <c r="B818" s="330"/>
      <c r="C818" s="330"/>
      <c r="D818" s="330"/>
      <c r="E818" s="330"/>
      <c r="F818" s="331"/>
      <c r="G818" s="331"/>
      <c r="H818" s="332"/>
      <c r="I818" s="330"/>
      <c r="J818" s="333"/>
      <c r="K818" s="333"/>
    </row>
    <row r="819" spans="1:11" x14ac:dyDescent="0.25">
      <c r="A819" s="328">
        <v>814</v>
      </c>
      <c r="B819" s="330"/>
      <c r="C819" s="330"/>
      <c r="D819" s="330"/>
      <c r="E819" s="330"/>
      <c r="F819" s="331"/>
      <c r="G819" s="331"/>
      <c r="H819" s="332"/>
      <c r="I819" s="330"/>
      <c r="J819" s="333"/>
      <c r="K819" s="333"/>
    </row>
    <row r="820" spans="1:11" x14ac:dyDescent="0.25">
      <c r="A820" s="328">
        <v>815</v>
      </c>
      <c r="B820" s="330"/>
      <c r="C820" s="330"/>
      <c r="D820" s="330"/>
      <c r="E820" s="330"/>
      <c r="F820" s="331"/>
      <c r="G820" s="331"/>
      <c r="H820" s="332"/>
      <c r="I820" s="330"/>
      <c r="J820" s="333"/>
      <c r="K820" s="333"/>
    </row>
    <row r="821" spans="1:11" x14ac:dyDescent="0.25">
      <c r="A821" s="328">
        <v>816</v>
      </c>
      <c r="B821" s="330"/>
      <c r="C821" s="330"/>
      <c r="D821" s="330"/>
      <c r="E821" s="330"/>
      <c r="F821" s="331"/>
      <c r="G821" s="331"/>
      <c r="H821" s="332"/>
      <c r="I821" s="330"/>
      <c r="J821" s="333"/>
      <c r="K821" s="333"/>
    </row>
    <row r="822" spans="1:11" x14ac:dyDescent="0.25">
      <c r="A822" s="328">
        <v>817</v>
      </c>
      <c r="B822" s="330"/>
      <c r="C822" s="330"/>
      <c r="D822" s="330"/>
      <c r="E822" s="330"/>
      <c r="F822" s="331"/>
      <c r="G822" s="331"/>
      <c r="H822" s="332"/>
      <c r="I822" s="330"/>
      <c r="J822" s="333"/>
      <c r="K822" s="333"/>
    </row>
    <row r="823" spans="1:11" x14ac:dyDescent="0.25">
      <c r="A823" s="328">
        <v>818</v>
      </c>
      <c r="B823" s="330"/>
      <c r="C823" s="330"/>
      <c r="D823" s="330"/>
      <c r="E823" s="330"/>
      <c r="F823" s="331"/>
      <c r="G823" s="331"/>
      <c r="H823" s="332"/>
      <c r="I823" s="330"/>
      <c r="J823" s="333"/>
      <c r="K823" s="333"/>
    </row>
    <row r="824" spans="1:11" x14ac:dyDescent="0.25">
      <c r="A824" s="328">
        <v>819</v>
      </c>
      <c r="B824" s="330"/>
      <c r="C824" s="330"/>
      <c r="D824" s="330"/>
      <c r="E824" s="330"/>
      <c r="F824" s="331"/>
      <c r="G824" s="331"/>
      <c r="H824" s="332"/>
      <c r="I824" s="330"/>
      <c r="J824" s="333"/>
      <c r="K824" s="333"/>
    </row>
    <row r="825" spans="1:11" x14ac:dyDescent="0.25">
      <c r="A825" s="328">
        <v>820</v>
      </c>
      <c r="B825" s="330"/>
      <c r="C825" s="330"/>
      <c r="D825" s="330"/>
      <c r="E825" s="330"/>
      <c r="F825" s="331"/>
      <c r="G825" s="331"/>
      <c r="H825" s="332"/>
      <c r="I825" s="330"/>
      <c r="J825" s="333"/>
      <c r="K825" s="333"/>
    </row>
    <row r="826" spans="1:11" x14ac:dyDescent="0.25">
      <c r="A826" s="328">
        <v>821</v>
      </c>
      <c r="B826" s="330"/>
      <c r="C826" s="330"/>
      <c r="D826" s="330"/>
      <c r="E826" s="330"/>
      <c r="F826" s="331"/>
      <c r="G826" s="331"/>
      <c r="H826" s="332"/>
      <c r="I826" s="330"/>
      <c r="J826" s="333"/>
      <c r="K826" s="333"/>
    </row>
    <row r="827" spans="1:11" x14ac:dyDescent="0.25">
      <c r="A827" s="328">
        <v>822</v>
      </c>
      <c r="B827" s="330"/>
      <c r="C827" s="330"/>
      <c r="D827" s="330"/>
      <c r="E827" s="330"/>
      <c r="F827" s="331"/>
      <c r="G827" s="331"/>
      <c r="H827" s="332"/>
      <c r="I827" s="330"/>
      <c r="J827" s="333"/>
      <c r="K827" s="333"/>
    </row>
    <row r="828" spans="1:11" x14ac:dyDescent="0.25">
      <c r="A828" s="328">
        <v>823</v>
      </c>
      <c r="B828" s="330"/>
      <c r="C828" s="330"/>
      <c r="D828" s="330"/>
      <c r="E828" s="330"/>
      <c r="F828" s="331"/>
      <c r="G828" s="331"/>
      <c r="H828" s="332"/>
      <c r="I828" s="330"/>
      <c r="J828" s="333"/>
      <c r="K828" s="333"/>
    </row>
    <row r="829" spans="1:11" x14ac:dyDescent="0.25">
      <c r="A829" s="328">
        <v>824</v>
      </c>
      <c r="B829" s="330"/>
      <c r="C829" s="330"/>
      <c r="D829" s="330"/>
      <c r="E829" s="330"/>
      <c r="F829" s="331"/>
      <c r="G829" s="331"/>
      <c r="H829" s="332"/>
      <c r="I829" s="330"/>
      <c r="J829" s="333"/>
      <c r="K829" s="333"/>
    </row>
    <row r="830" spans="1:11" x14ac:dyDescent="0.25">
      <c r="A830" s="328">
        <v>825</v>
      </c>
      <c r="B830" s="330"/>
      <c r="C830" s="330"/>
      <c r="D830" s="330"/>
      <c r="E830" s="330"/>
      <c r="F830" s="331"/>
      <c r="G830" s="331"/>
      <c r="H830" s="332"/>
      <c r="I830" s="330"/>
      <c r="J830" s="333"/>
      <c r="K830" s="333"/>
    </row>
    <row r="831" spans="1:11" x14ac:dyDescent="0.25">
      <c r="A831" s="328">
        <v>826</v>
      </c>
      <c r="B831" s="330"/>
      <c r="C831" s="330"/>
      <c r="D831" s="330"/>
      <c r="E831" s="330"/>
      <c r="F831" s="331"/>
      <c r="G831" s="331"/>
      <c r="H831" s="332"/>
      <c r="I831" s="330"/>
      <c r="J831" s="333"/>
      <c r="K831" s="333"/>
    </row>
    <row r="832" spans="1:11" x14ac:dyDescent="0.25">
      <c r="A832" s="328">
        <v>827</v>
      </c>
      <c r="B832" s="330"/>
      <c r="C832" s="330"/>
      <c r="D832" s="330"/>
      <c r="E832" s="330"/>
      <c r="F832" s="331"/>
      <c r="G832" s="331"/>
      <c r="H832" s="332"/>
      <c r="I832" s="330"/>
      <c r="J832" s="333"/>
      <c r="K832" s="333"/>
    </row>
    <row r="833" spans="1:11" x14ac:dyDescent="0.25">
      <c r="A833" s="328">
        <v>828</v>
      </c>
      <c r="B833" s="330"/>
      <c r="C833" s="330"/>
      <c r="D833" s="330"/>
      <c r="E833" s="330"/>
      <c r="F833" s="331"/>
      <c r="G833" s="331"/>
      <c r="H833" s="332"/>
      <c r="I833" s="330"/>
      <c r="J833" s="333"/>
      <c r="K833" s="333"/>
    </row>
    <row r="834" spans="1:11" x14ac:dyDescent="0.25">
      <c r="A834" s="328">
        <v>829</v>
      </c>
      <c r="B834" s="330"/>
      <c r="C834" s="330"/>
      <c r="D834" s="330"/>
      <c r="E834" s="330"/>
      <c r="F834" s="331"/>
      <c r="G834" s="331"/>
      <c r="H834" s="332"/>
      <c r="I834" s="330"/>
      <c r="J834" s="333"/>
      <c r="K834" s="333"/>
    </row>
    <row r="835" spans="1:11" x14ac:dyDescent="0.25">
      <c r="A835" s="328">
        <v>830</v>
      </c>
      <c r="B835" s="330"/>
      <c r="C835" s="330"/>
      <c r="D835" s="330"/>
      <c r="E835" s="330"/>
      <c r="F835" s="331"/>
      <c r="G835" s="331"/>
      <c r="H835" s="332"/>
      <c r="I835" s="330"/>
      <c r="J835" s="333"/>
      <c r="K835" s="333"/>
    </row>
    <row r="836" spans="1:11" x14ac:dyDescent="0.25">
      <c r="A836" s="328">
        <v>831</v>
      </c>
      <c r="B836" s="330"/>
      <c r="C836" s="330"/>
      <c r="D836" s="330"/>
      <c r="E836" s="330"/>
      <c r="F836" s="331"/>
      <c r="G836" s="331"/>
      <c r="H836" s="332"/>
      <c r="I836" s="330"/>
      <c r="J836" s="333"/>
      <c r="K836" s="333"/>
    </row>
    <row r="837" spans="1:11" x14ac:dyDescent="0.25">
      <c r="A837" s="328">
        <v>832</v>
      </c>
      <c r="B837" s="330"/>
      <c r="C837" s="330"/>
      <c r="D837" s="330"/>
      <c r="E837" s="330"/>
      <c r="F837" s="331"/>
      <c r="G837" s="331"/>
      <c r="H837" s="332"/>
      <c r="I837" s="330"/>
      <c r="J837" s="333"/>
      <c r="K837" s="333"/>
    </row>
    <row r="838" spans="1:11" x14ac:dyDescent="0.25">
      <c r="A838" s="328">
        <v>833</v>
      </c>
      <c r="B838" s="330"/>
      <c r="C838" s="330"/>
      <c r="D838" s="330"/>
      <c r="E838" s="330"/>
      <c r="F838" s="331"/>
      <c r="G838" s="331"/>
      <c r="H838" s="332"/>
      <c r="I838" s="330"/>
      <c r="J838" s="333"/>
      <c r="K838" s="333"/>
    </row>
    <row r="839" spans="1:11" x14ac:dyDescent="0.25">
      <c r="A839" s="328">
        <v>834</v>
      </c>
      <c r="B839" s="330"/>
      <c r="C839" s="330"/>
      <c r="D839" s="330"/>
      <c r="E839" s="330"/>
      <c r="F839" s="331"/>
      <c r="G839" s="331"/>
      <c r="H839" s="332"/>
      <c r="I839" s="330"/>
      <c r="J839" s="333"/>
      <c r="K839" s="333"/>
    </row>
    <row r="840" spans="1:11" x14ac:dyDescent="0.25">
      <c r="A840" s="328">
        <v>835</v>
      </c>
      <c r="B840" s="330"/>
      <c r="C840" s="330"/>
      <c r="D840" s="330"/>
      <c r="E840" s="330"/>
      <c r="F840" s="331"/>
      <c r="G840" s="331"/>
      <c r="H840" s="332"/>
      <c r="I840" s="330"/>
      <c r="J840" s="333"/>
      <c r="K840" s="333"/>
    </row>
    <row r="841" spans="1:11" x14ac:dyDescent="0.25">
      <c r="A841" s="328">
        <v>836</v>
      </c>
      <c r="B841" s="330"/>
      <c r="C841" s="330"/>
      <c r="D841" s="330"/>
      <c r="E841" s="330"/>
      <c r="F841" s="331"/>
      <c r="G841" s="331"/>
      <c r="H841" s="332"/>
      <c r="I841" s="330"/>
      <c r="J841" s="333"/>
      <c r="K841" s="333"/>
    </row>
    <row r="842" spans="1:11" x14ac:dyDescent="0.25">
      <c r="A842" s="328">
        <v>837</v>
      </c>
      <c r="B842" s="330"/>
      <c r="C842" s="330"/>
      <c r="D842" s="330"/>
      <c r="E842" s="330"/>
      <c r="F842" s="331"/>
      <c r="G842" s="331"/>
      <c r="H842" s="332"/>
      <c r="I842" s="330"/>
      <c r="J842" s="333"/>
      <c r="K842" s="333"/>
    </row>
    <row r="843" spans="1:11" x14ac:dyDescent="0.25">
      <c r="A843" s="328">
        <v>838</v>
      </c>
      <c r="B843" s="330"/>
      <c r="C843" s="330"/>
      <c r="D843" s="330"/>
      <c r="E843" s="330"/>
      <c r="F843" s="331"/>
      <c r="G843" s="331"/>
      <c r="H843" s="332"/>
      <c r="I843" s="330"/>
      <c r="J843" s="333"/>
      <c r="K843" s="333"/>
    </row>
    <row r="844" spans="1:11" x14ac:dyDescent="0.25">
      <c r="A844" s="328">
        <v>839</v>
      </c>
      <c r="B844" s="330"/>
      <c r="C844" s="330"/>
      <c r="D844" s="330"/>
      <c r="E844" s="330"/>
      <c r="F844" s="331"/>
      <c r="G844" s="331"/>
      <c r="H844" s="332"/>
      <c r="I844" s="330"/>
      <c r="J844" s="333"/>
      <c r="K844" s="333"/>
    </row>
    <row r="845" spans="1:11" x14ac:dyDescent="0.25">
      <c r="A845" s="328">
        <v>840</v>
      </c>
      <c r="B845" s="330"/>
      <c r="C845" s="330"/>
      <c r="D845" s="330"/>
      <c r="E845" s="330"/>
      <c r="F845" s="331"/>
      <c r="G845" s="331"/>
      <c r="H845" s="332"/>
      <c r="I845" s="330"/>
      <c r="J845" s="333"/>
      <c r="K845" s="333"/>
    </row>
    <row r="846" spans="1:11" x14ac:dyDescent="0.25">
      <c r="A846" s="328">
        <v>841</v>
      </c>
      <c r="B846" s="330"/>
      <c r="C846" s="330"/>
      <c r="D846" s="330"/>
      <c r="E846" s="330"/>
      <c r="F846" s="331"/>
      <c r="G846" s="331"/>
      <c r="H846" s="332"/>
      <c r="I846" s="330"/>
      <c r="J846" s="333"/>
      <c r="K846" s="333"/>
    </row>
    <row r="847" spans="1:11" x14ac:dyDescent="0.25">
      <c r="A847" s="328">
        <v>842</v>
      </c>
      <c r="B847" s="330"/>
      <c r="C847" s="330"/>
      <c r="D847" s="330"/>
      <c r="E847" s="330"/>
      <c r="F847" s="331"/>
      <c r="G847" s="331"/>
      <c r="H847" s="332"/>
      <c r="I847" s="330"/>
      <c r="J847" s="333"/>
      <c r="K847" s="333"/>
    </row>
    <row r="848" spans="1:11" x14ac:dyDescent="0.25">
      <c r="A848" s="328">
        <v>843</v>
      </c>
      <c r="B848" s="330"/>
      <c r="C848" s="330"/>
      <c r="D848" s="330"/>
      <c r="E848" s="330"/>
      <c r="F848" s="331"/>
      <c r="G848" s="331"/>
      <c r="H848" s="332"/>
      <c r="I848" s="330"/>
      <c r="J848" s="333"/>
      <c r="K848" s="333"/>
    </row>
    <row r="849" spans="1:11" x14ac:dyDescent="0.25">
      <c r="A849" s="328">
        <v>844</v>
      </c>
      <c r="B849" s="330"/>
      <c r="C849" s="330"/>
      <c r="D849" s="330"/>
      <c r="E849" s="330"/>
      <c r="F849" s="331"/>
      <c r="G849" s="331"/>
      <c r="H849" s="332"/>
      <c r="I849" s="330"/>
      <c r="J849" s="333"/>
      <c r="K849" s="333"/>
    </row>
    <row r="850" spans="1:11" x14ac:dyDescent="0.25">
      <c r="A850" s="328">
        <v>845</v>
      </c>
      <c r="B850" s="330"/>
      <c r="C850" s="330"/>
      <c r="D850" s="330"/>
      <c r="E850" s="330"/>
      <c r="F850" s="331"/>
      <c r="G850" s="331"/>
      <c r="H850" s="332"/>
      <c r="I850" s="330"/>
      <c r="J850" s="333"/>
      <c r="K850" s="333"/>
    </row>
    <row r="851" spans="1:11" x14ac:dyDescent="0.25">
      <c r="A851" s="328">
        <v>846</v>
      </c>
      <c r="B851" s="330"/>
      <c r="C851" s="330"/>
      <c r="D851" s="330"/>
      <c r="E851" s="330"/>
      <c r="F851" s="331"/>
      <c r="G851" s="331"/>
      <c r="H851" s="332"/>
      <c r="I851" s="330"/>
      <c r="J851" s="333"/>
      <c r="K851" s="333"/>
    </row>
    <row r="852" spans="1:11" x14ac:dyDescent="0.25">
      <c r="A852" s="328">
        <v>847</v>
      </c>
      <c r="B852" s="330"/>
      <c r="C852" s="330"/>
      <c r="D852" s="330"/>
      <c r="E852" s="330"/>
      <c r="F852" s="331"/>
      <c r="G852" s="331"/>
      <c r="H852" s="332"/>
      <c r="I852" s="330"/>
      <c r="J852" s="333"/>
      <c r="K852" s="333"/>
    </row>
    <row r="853" spans="1:11" x14ac:dyDescent="0.25">
      <c r="A853" s="328">
        <v>848</v>
      </c>
      <c r="B853" s="330"/>
      <c r="C853" s="330"/>
      <c r="D853" s="330"/>
      <c r="E853" s="330"/>
      <c r="F853" s="331"/>
      <c r="G853" s="331"/>
      <c r="H853" s="332"/>
      <c r="I853" s="330"/>
      <c r="J853" s="333"/>
      <c r="K853" s="333"/>
    </row>
    <row r="854" spans="1:11" x14ac:dyDescent="0.25">
      <c r="A854" s="328">
        <v>849</v>
      </c>
      <c r="B854" s="330"/>
      <c r="C854" s="330"/>
      <c r="D854" s="330"/>
      <c r="E854" s="330"/>
      <c r="F854" s="331"/>
      <c r="G854" s="331"/>
      <c r="H854" s="332"/>
      <c r="I854" s="330"/>
      <c r="J854" s="333"/>
      <c r="K854" s="333"/>
    </row>
    <row r="855" spans="1:11" x14ac:dyDescent="0.25">
      <c r="A855" s="328">
        <v>850</v>
      </c>
      <c r="B855" s="330"/>
      <c r="C855" s="330"/>
      <c r="D855" s="330"/>
      <c r="E855" s="330"/>
      <c r="F855" s="331"/>
      <c r="G855" s="331"/>
      <c r="H855" s="332"/>
      <c r="I855" s="330"/>
      <c r="J855" s="333"/>
      <c r="K855" s="333"/>
    </row>
    <row r="856" spans="1:11" x14ac:dyDescent="0.25">
      <c r="A856" s="328">
        <v>851</v>
      </c>
      <c r="B856" s="330"/>
      <c r="C856" s="330"/>
      <c r="D856" s="330"/>
      <c r="E856" s="330"/>
      <c r="F856" s="331"/>
      <c r="G856" s="331"/>
      <c r="H856" s="332"/>
      <c r="I856" s="330"/>
      <c r="J856" s="333"/>
      <c r="K856" s="333"/>
    </row>
    <row r="857" spans="1:11" x14ac:dyDescent="0.25">
      <c r="A857" s="328">
        <v>852</v>
      </c>
      <c r="B857" s="330"/>
      <c r="C857" s="330"/>
      <c r="D857" s="330"/>
      <c r="E857" s="330"/>
      <c r="F857" s="331"/>
      <c r="G857" s="331"/>
      <c r="H857" s="332"/>
      <c r="I857" s="330"/>
      <c r="J857" s="333"/>
      <c r="K857" s="333"/>
    </row>
    <row r="858" spans="1:11" x14ac:dyDescent="0.25">
      <c r="A858" s="328">
        <v>853</v>
      </c>
      <c r="B858" s="330"/>
      <c r="C858" s="330"/>
      <c r="D858" s="330"/>
      <c r="E858" s="330"/>
      <c r="F858" s="331"/>
      <c r="G858" s="331"/>
      <c r="H858" s="332"/>
      <c r="I858" s="330"/>
      <c r="J858" s="333"/>
      <c r="K858" s="333"/>
    </row>
    <row r="859" spans="1:11" x14ac:dyDescent="0.25">
      <c r="A859" s="328">
        <v>854</v>
      </c>
      <c r="B859" s="330"/>
      <c r="C859" s="330"/>
      <c r="D859" s="330"/>
      <c r="E859" s="330"/>
      <c r="F859" s="331"/>
      <c r="G859" s="331"/>
      <c r="H859" s="332"/>
      <c r="I859" s="330"/>
      <c r="J859" s="333"/>
      <c r="K859" s="333"/>
    </row>
    <row r="860" spans="1:11" x14ac:dyDescent="0.25">
      <c r="A860" s="328">
        <v>855</v>
      </c>
      <c r="B860" s="330"/>
      <c r="C860" s="330"/>
      <c r="D860" s="330"/>
      <c r="E860" s="330"/>
      <c r="F860" s="331"/>
      <c r="G860" s="331"/>
      <c r="H860" s="332"/>
      <c r="I860" s="330"/>
      <c r="J860" s="333"/>
      <c r="K860" s="333"/>
    </row>
    <row r="861" spans="1:11" x14ac:dyDescent="0.25">
      <c r="A861" s="328">
        <v>856</v>
      </c>
      <c r="B861" s="330"/>
      <c r="C861" s="330"/>
      <c r="D861" s="330"/>
      <c r="E861" s="330"/>
      <c r="F861" s="331"/>
      <c r="G861" s="331"/>
      <c r="H861" s="332"/>
      <c r="I861" s="330"/>
      <c r="J861" s="333"/>
      <c r="K861" s="333"/>
    </row>
    <row r="862" spans="1:11" x14ac:dyDescent="0.25">
      <c r="A862" s="328">
        <v>857</v>
      </c>
      <c r="B862" s="330"/>
      <c r="C862" s="330"/>
      <c r="D862" s="330"/>
      <c r="E862" s="330"/>
      <c r="F862" s="331"/>
      <c r="G862" s="331"/>
      <c r="H862" s="332"/>
      <c r="I862" s="330"/>
      <c r="J862" s="333"/>
      <c r="K862" s="333"/>
    </row>
    <row r="863" spans="1:11" x14ac:dyDescent="0.25">
      <c r="A863" s="328">
        <v>858</v>
      </c>
      <c r="B863" s="330"/>
      <c r="C863" s="330"/>
      <c r="D863" s="330"/>
      <c r="E863" s="330"/>
      <c r="F863" s="331"/>
      <c r="G863" s="331"/>
      <c r="H863" s="332"/>
      <c r="I863" s="330"/>
      <c r="J863" s="333"/>
      <c r="K863" s="333"/>
    </row>
    <row r="864" spans="1:11" x14ac:dyDescent="0.25">
      <c r="A864" s="328">
        <v>859</v>
      </c>
      <c r="B864" s="330"/>
      <c r="C864" s="330"/>
      <c r="D864" s="330"/>
      <c r="E864" s="330"/>
      <c r="F864" s="331"/>
      <c r="G864" s="331"/>
      <c r="H864" s="332"/>
      <c r="I864" s="330"/>
      <c r="J864" s="333"/>
      <c r="K864" s="333"/>
    </row>
    <row r="865" spans="1:11" x14ac:dyDescent="0.25">
      <c r="A865" s="328">
        <v>860</v>
      </c>
      <c r="B865" s="330"/>
      <c r="C865" s="330"/>
      <c r="D865" s="330"/>
      <c r="E865" s="330"/>
      <c r="F865" s="331"/>
      <c r="G865" s="331"/>
      <c r="H865" s="332"/>
      <c r="I865" s="330"/>
      <c r="J865" s="333"/>
      <c r="K865" s="333"/>
    </row>
    <row r="866" spans="1:11" x14ac:dyDescent="0.25">
      <c r="A866" s="328">
        <v>861</v>
      </c>
      <c r="B866" s="330"/>
      <c r="C866" s="330"/>
      <c r="D866" s="330"/>
      <c r="E866" s="330"/>
      <c r="F866" s="331"/>
      <c r="G866" s="331"/>
      <c r="H866" s="332"/>
      <c r="I866" s="330"/>
      <c r="J866" s="333"/>
      <c r="K866" s="333"/>
    </row>
    <row r="867" spans="1:11" x14ac:dyDescent="0.25">
      <c r="A867" s="328">
        <v>862</v>
      </c>
      <c r="B867" s="330"/>
      <c r="C867" s="330"/>
      <c r="D867" s="330"/>
      <c r="E867" s="330"/>
      <c r="F867" s="331"/>
      <c r="G867" s="331"/>
      <c r="H867" s="332"/>
      <c r="I867" s="330"/>
      <c r="J867" s="333"/>
      <c r="K867" s="333"/>
    </row>
    <row r="868" spans="1:11" x14ac:dyDescent="0.25">
      <c r="A868" s="328">
        <v>863</v>
      </c>
      <c r="B868" s="330"/>
      <c r="C868" s="330"/>
      <c r="D868" s="330"/>
      <c r="E868" s="330"/>
      <c r="F868" s="331"/>
      <c r="G868" s="331"/>
      <c r="H868" s="332"/>
      <c r="I868" s="330"/>
      <c r="J868" s="333"/>
      <c r="K868" s="333"/>
    </row>
    <row r="869" spans="1:11" x14ac:dyDescent="0.25">
      <c r="A869" s="328">
        <v>864</v>
      </c>
      <c r="B869" s="330"/>
      <c r="C869" s="330"/>
      <c r="D869" s="330"/>
      <c r="E869" s="330"/>
      <c r="F869" s="331"/>
      <c r="G869" s="331"/>
      <c r="H869" s="332"/>
      <c r="I869" s="330"/>
      <c r="J869" s="333"/>
      <c r="K869" s="333"/>
    </row>
    <row r="870" spans="1:11" x14ac:dyDescent="0.25">
      <c r="A870" s="328">
        <v>865</v>
      </c>
      <c r="B870" s="330"/>
      <c r="C870" s="330"/>
      <c r="D870" s="330"/>
      <c r="E870" s="330"/>
      <c r="F870" s="331"/>
      <c r="G870" s="331"/>
      <c r="H870" s="332"/>
      <c r="I870" s="330"/>
      <c r="J870" s="333"/>
      <c r="K870" s="333"/>
    </row>
    <row r="871" spans="1:11" x14ac:dyDescent="0.25">
      <c r="A871" s="328">
        <v>866</v>
      </c>
      <c r="B871" s="330"/>
      <c r="C871" s="330"/>
      <c r="D871" s="330"/>
      <c r="E871" s="330"/>
      <c r="F871" s="331"/>
      <c r="G871" s="331"/>
      <c r="H871" s="332"/>
      <c r="I871" s="330"/>
      <c r="J871" s="333"/>
      <c r="K871" s="333"/>
    </row>
    <row r="872" spans="1:11" x14ac:dyDescent="0.25">
      <c r="A872" s="328">
        <v>867</v>
      </c>
      <c r="B872" s="330"/>
      <c r="C872" s="330"/>
      <c r="D872" s="330"/>
      <c r="E872" s="330"/>
      <c r="F872" s="331"/>
      <c r="G872" s="331"/>
      <c r="H872" s="332"/>
      <c r="I872" s="330"/>
      <c r="J872" s="333"/>
      <c r="K872" s="333"/>
    </row>
    <row r="873" spans="1:11" x14ac:dyDescent="0.25">
      <c r="A873" s="328">
        <v>868</v>
      </c>
      <c r="B873" s="330"/>
      <c r="C873" s="330"/>
      <c r="D873" s="330"/>
      <c r="E873" s="330"/>
      <c r="F873" s="331"/>
      <c r="G873" s="331"/>
      <c r="H873" s="332"/>
      <c r="I873" s="330"/>
      <c r="J873" s="333"/>
      <c r="K873" s="333"/>
    </row>
    <row r="874" spans="1:11" x14ac:dyDescent="0.25">
      <c r="A874" s="328">
        <v>869</v>
      </c>
      <c r="B874" s="330"/>
      <c r="C874" s="330"/>
      <c r="D874" s="330"/>
      <c r="E874" s="330"/>
      <c r="F874" s="331"/>
      <c r="G874" s="331"/>
      <c r="H874" s="332"/>
      <c r="I874" s="330"/>
      <c r="J874" s="333"/>
      <c r="K874" s="333"/>
    </row>
    <row r="875" spans="1:11" x14ac:dyDescent="0.25">
      <c r="A875" s="328">
        <v>870</v>
      </c>
      <c r="B875" s="330"/>
      <c r="C875" s="330"/>
      <c r="D875" s="330"/>
      <c r="E875" s="330"/>
      <c r="F875" s="331"/>
      <c r="G875" s="331"/>
      <c r="H875" s="332"/>
      <c r="I875" s="330"/>
      <c r="J875" s="333"/>
      <c r="K875" s="333"/>
    </row>
    <row r="876" spans="1:11" x14ac:dyDescent="0.25">
      <c r="A876" s="328">
        <v>871</v>
      </c>
      <c r="B876" s="330"/>
      <c r="C876" s="330"/>
      <c r="D876" s="330"/>
      <c r="E876" s="330"/>
      <c r="F876" s="331"/>
      <c r="G876" s="331"/>
      <c r="H876" s="332"/>
      <c r="I876" s="330"/>
      <c r="J876" s="333"/>
      <c r="K876" s="333"/>
    </row>
    <row r="877" spans="1:11" x14ac:dyDescent="0.25">
      <c r="A877" s="328">
        <v>872</v>
      </c>
      <c r="B877" s="330"/>
      <c r="C877" s="330"/>
      <c r="D877" s="330"/>
      <c r="E877" s="330"/>
      <c r="F877" s="331"/>
      <c r="G877" s="331"/>
      <c r="H877" s="332"/>
      <c r="I877" s="330"/>
      <c r="J877" s="333"/>
      <c r="K877" s="333"/>
    </row>
    <row r="878" spans="1:11" x14ac:dyDescent="0.25">
      <c r="A878" s="328">
        <v>873</v>
      </c>
      <c r="B878" s="330"/>
      <c r="C878" s="330"/>
      <c r="D878" s="330"/>
      <c r="E878" s="330"/>
      <c r="F878" s="331"/>
      <c r="G878" s="331"/>
      <c r="H878" s="332"/>
      <c r="I878" s="330"/>
      <c r="J878" s="333"/>
      <c r="K878" s="333"/>
    </row>
    <row r="879" spans="1:11" x14ac:dyDescent="0.25">
      <c r="A879" s="328">
        <v>874</v>
      </c>
      <c r="B879" s="330"/>
      <c r="C879" s="330"/>
      <c r="D879" s="330"/>
      <c r="E879" s="330"/>
      <c r="F879" s="331"/>
      <c r="G879" s="331"/>
      <c r="H879" s="332"/>
      <c r="I879" s="330"/>
      <c r="J879" s="333"/>
      <c r="K879" s="333"/>
    </row>
    <row r="880" spans="1:11" x14ac:dyDescent="0.25">
      <c r="A880" s="328">
        <v>875</v>
      </c>
      <c r="B880" s="330"/>
      <c r="C880" s="330"/>
      <c r="D880" s="330"/>
      <c r="E880" s="330"/>
      <c r="F880" s="331"/>
      <c r="G880" s="331"/>
      <c r="H880" s="332"/>
      <c r="I880" s="330"/>
      <c r="J880" s="333"/>
      <c r="K880" s="333"/>
    </row>
    <row r="881" spans="1:11" x14ac:dyDescent="0.25">
      <c r="A881" s="328">
        <v>876</v>
      </c>
      <c r="B881" s="330"/>
      <c r="C881" s="330"/>
      <c r="D881" s="330"/>
      <c r="E881" s="330"/>
      <c r="F881" s="331"/>
      <c r="G881" s="331"/>
      <c r="H881" s="332"/>
      <c r="I881" s="330"/>
      <c r="J881" s="333"/>
      <c r="K881" s="333"/>
    </row>
    <row r="882" spans="1:11" x14ac:dyDescent="0.25">
      <c r="A882" s="328">
        <v>877</v>
      </c>
      <c r="B882" s="330"/>
      <c r="C882" s="330"/>
      <c r="D882" s="330"/>
      <c r="E882" s="330"/>
      <c r="F882" s="331"/>
      <c r="G882" s="331"/>
      <c r="H882" s="332"/>
      <c r="I882" s="330"/>
      <c r="J882" s="333"/>
      <c r="K882" s="333"/>
    </row>
    <row r="883" spans="1:11" x14ac:dyDescent="0.25">
      <c r="A883" s="328">
        <v>878</v>
      </c>
      <c r="B883" s="330"/>
      <c r="C883" s="330"/>
      <c r="D883" s="330"/>
      <c r="E883" s="330"/>
      <c r="F883" s="331"/>
      <c r="G883" s="331"/>
      <c r="H883" s="332"/>
      <c r="I883" s="330"/>
      <c r="J883" s="333"/>
      <c r="K883" s="333"/>
    </row>
    <row r="884" spans="1:11" x14ac:dyDescent="0.25">
      <c r="A884" s="328">
        <v>879</v>
      </c>
      <c r="B884" s="330"/>
      <c r="C884" s="330"/>
      <c r="D884" s="330"/>
      <c r="E884" s="330"/>
      <c r="F884" s="331"/>
      <c r="G884" s="331"/>
      <c r="H884" s="332"/>
      <c r="I884" s="330"/>
      <c r="J884" s="333"/>
      <c r="K884" s="333"/>
    </row>
    <row r="885" spans="1:11" x14ac:dyDescent="0.25">
      <c r="A885" s="328">
        <v>880</v>
      </c>
      <c r="B885" s="330"/>
      <c r="C885" s="330"/>
      <c r="D885" s="330"/>
      <c r="E885" s="330"/>
      <c r="F885" s="331"/>
      <c r="G885" s="331"/>
      <c r="H885" s="332"/>
      <c r="I885" s="330"/>
      <c r="J885" s="333"/>
      <c r="K885" s="333"/>
    </row>
    <row r="886" spans="1:11" x14ac:dyDescent="0.25">
      <c r="A886" s="328">
        <v>881</v>
      </c>
      <c r="B886" s="330"/>
      <c r="C886" s="330"/>
      <c r="D886" s="330"/>
      <c r="E886" s="330"/>
      <c r="F886" s="331"/>
      <c r="G886" s="331"/>
      <c r="H886" s="332"/>
      <c r="I886" s="330"/>
      <c r="J886" s="333"/>
      <c r="K886" s="333"/>
    </row>
    <row r="887" spans="1:11" x14ac:dyDescent="0.25">
      <c r="A887" s="328">
        <v>882</v>
      </c>
      <c r="B887" s="330"/>
      <c r="C887" s="330"/>
      <c r="D887" s="330"/>
      <c r="E887" s="330"/>
      <c r="F887" s="331"/>
      <c r="G887" s="331"/>
      <c r="H887" s="332"/>
      <c r="I887" s="330"/>
      <c r="J887" s="333"/>
      <c r="K887" s="333"/>
    </row>
    <row r="888" spans="1:11" x14ac:dyDescent="0.25">
      <c r="A888" s="328">
        <v>883</v>
      </c>
      <c r="B888" s="330"/>
      <c r="C888" s="330"/>
      <c r="D888" s="330"/>
      <c r="E888" s="330"/>
      <c r="F888" s="331"/>
      <c r="G888" s="331"/>
      <c r="H888" s="332"/>
      <c r="I888" s="330"/>
      <c r="J888" s="333"/>
      <c r="K888" s="333"/>
    </row>
    <row r="889" spans="1:11" x14ac:dyDescent="0.25">
      <c r="A889" s="328">
        <v>884</v>
      </c>
      <c r="B889" s="330"/>
      <c r="C889" s="330"/>
      <c r="D889" s="330"/>
      <c r="E889" s="330"/>
      <c r="F889" s="331"/>
      <c r="G889" s="331"/>
      <c r="H889" s="332"/>
      <c r="I889" s="330"/>
      <c r="J889" s="333"/>
      <c r="K889" s="333"/>
    </row>
    <row r="890" spans="1:11" x14ac:dyDescent="0.25">
      <c r="A890" s="328">
        <v>885</v>
      </c>
      <c r="B890" s="330"/>
      <c r="C890" s="330"/>
      <c r="D890" s="330"/>
      <c r="E890" s="330"/>
      <c r="F890" s="331"/>
      <c r="G890" s="331"/>
      <c r="H890" s="332"/>
      <c r="I890" s="330"/>
      <c r="J890" s="333"/>
      <c r="K890" s="333"/>
    </row>
    <row r="891" spans="1:11" x14ac:dyDescent="0.25">
      <c r="A891" s="328">
        <v>886</v>
      </c>
      <c r="B891" s="330"/>
      <c r="C891" s="330"/>
      <c r="D891" s="330"/>
      <c r="E891" s="330"/>
      <c r="F891" s="331"/>
      <c r="G891" s="331"/>
      <c r="H891" s="332"/>
      <c r="I891" s="330"/>
      <c r="J891" s="333"/>
      <c r="K891" s="333"/>
    </row>
    <row r="892" spans="1:11" x14ac:dyDescent="0.25">
      <c r="A892" s="328">
        <v>887</v>
      </c>
      <c r="B892" s="330"/>
      <c r="C892" s="330"/>
      <c r="D892" s="330"/>
      <c r="E892" s="330"/>
      <c r="F892" s="331"/>
      <c r="G892" s="331"/>
      <c r="H892" s="332"/>
      <c r="I892" s="330"/>
      <c r="J892" s="333"/>
      <c r="K892" s="333"/>
    </row>
    <row r="893" spans="1:11" x14ac:dyDescent="0.25">
      <c r="A893" s="328">
        <v>888</v>
      </c>
      <c r="B893" s="330"/>
      <c r="C893" s="330"/>
      <c r="D893" s="330"/>
      <c r="E893" s="330"/>
      <c r="F893" s="331"/>
      <c r="G893" s="331"/>
      <c r="H893" s="332"/>
      <c r="I893" s="330"/>
      <c r="J893" s="333"/>
      <c r="K893" s="333"/>
    </row>
    <row r="894" spans="1:11" x14ac:dyDescent="0.25">
      <c r="A894" s="328">
        <v>889</v>
      </c>
      <c r="B894" s="330"/>
      <c r="C894" s="330"/>
      <c r="D894" s="330"/>
      <c r="E894" s="330"/>
      <c r="F894" s="331"/>
      <c r="G894" s="331"/>
      <c r="H894" s="332"/>
      <c r="I894" s="330"/>
      <c r="J894" s="333"/>
      <c r="K894" s="333"/>
    </row>
    <row r="895" spans="1:11" x14ac:dyDescent="0.25">
      <c r="A895" s="328">
        <v>890</v>
      </c>
      <c r="B895" s="330"/>
      <c r="C895" s="330"/>
      <c r="D895" s="330"/>
      <c r="E895" s="330"/>
      <c r="F895" s="331"/>
      <c r="G895" s="331"/>
      <c r="H895" s="332"/>
      <c r="I895" s="330"/>
      <c r="J895" s="333"/>
      <c r="K895" s="333"/>
    </row>
    <row r="896" spans="1:11" x14ac:dyDescent="0.25">
      <c r="A896" s="328">
        <v>891</v>
      </c>
      <c r="B896" s="330"/>
      <c r="C896" s="330"/>
      <c r="D896" s="330"/>
      <c r="E896" s="330"/>
      <c r="F896" s="331"/>
      <c r="G896" s="331"/>
      <c r="H896" s="332"/>
      <c r="I896" s="330"/>
      <c r="J896" s="333"/>
      <c r="K896" s="333"/>
    </row>
    <row r="897" spans="1:11" x14ac:dyDescent="0.25">
      <c r="A897" s="328">
        <v>892</v>
      </c>
      <c r="B897" s="330"/>
      <c r="C897" s="330"/>
      <c r="D897" s="330"/>
      <c r="E897" s="330"/>
      <c r="F897" s="331"/>
      <c r="G897" s="331"/>
      <c r="H897" s="332"/>
      <c r="I897" s="330"/>
      <c r="J897" s="333"/>
      <c r="K897" s="333"/>
    </row>
    <row r="898" spans="1:11" x14ac:dyDescent="0.25">
      <c r="A898" s="328">
        <v>893</v>
      </c>
      <c r="B898" s="330"/>
      <c r="C898" s="330"/>
      <c r="D898" s="330"/>
      <c r="E898" s="330"/>
      <c r="F898" s="331"/>
      <c r="G898" s="331"/>
      <c r="H898" s="332"/>
      <c r="I898" s="330"/>
      <c r="J898" s="333"/>
      <c r="K898" s="333"/>
    </row>
    <row r="899" spans="1:11" x14ac:dyDescent="0.25">
      <c r="A899" s="328">
        <v>894</v>
      </c>
      <c r="B899" s="330"/>
      <c r="C899" s="330"/>
      <c r="D899" s="330"/>
      <c r="E899" s="330"/>
      <c r="F899" s="331"/>
      <c r="G899" s="331"/>
      <c r="H899" s="332"/>
      <c r="I899" s="330"/>
      <c r="J899" s="333"/>
      <c r="K899" s="333"/>
    </row>
    <row r="900" spans="1:11" x14ac:dyDescent="0.25">
      <c r="A900" s="328">
        <v>895</v>
      </c>
      <c r="B900" s="330"/>
      <c r="C900" s="330"/>
      <c r="D900" s="330"/>
      <c r="E900" s="330"/>
      <c r="F900" s="331"/>
      <c r="G900" s="331"/>
      <c r="H900" s="332"/>
      <c r="I900" s="330"/>
      <c r="J900" s="333"/>
      <c r="K900" s="333"/>
    </row>
    <row r="901" spans="1:11" x14ac:dyDescent="0.25">
      <c r="A901" s="328">
        <v>896</v>
      </c>
      <c r="B901" s="330"/>
      <c r="C901" s="330"/>
      <c r="D901" s="330"/>
      <c r="E901" s="330"/>
      <c r="F901" s="331"/>
      <c r="G901" s="331"/>
      <c r="H901" s="332"/>
      <c r="I901" s="330"/>
      <c r="J901" s="333"/>
      <c r="K901" s="333"/>
    </row>
    <row r="902" spans="1:11" x14ac:dyDescent="0.25">
      <c r="A902" s="328">
        <v>897</v>
      </c>
      <c r="B902" s="330"/>
      <c r="C902" s="330"/>
      <c r="D902" s="330"/>
      <c r="E902" s="330"/>
      <c r="F902" s="331"/>
      <c r="G902" s="331"/>
      <c r="H902" s="332"/>
      <c r="I902" s="330"/>
      <c r="J902" s="333"/>
      <c r="K902" s="333"/>
    </row>
    <row r="903" spans="1:11" x14ac:dyDescent="0.25">
      <c r="A903" s="328">
        <v>898</v>
      </c>
      <c r="B903" s="330"/>
      <c r="C903" s="330"/>
      <c r="D903" s="330"/>
      <c r="E903" s="330"/>
      <c r="F903" s="331"/>
      <c r="G903" s="331"/>
      <c r="H903" s="332"/>
      <c r="I903" s="330"/>
      <c r="J903" s="333"/>
      <c r="K903" s="333"/>
    </row>
    <row r="904" spans="1:11" x14ac:dyDescent="0.25">
      <c r="A904" s="328">
        <v>899</v>
      </c>
      <c r="B904" s="330"/>
      <c r="C904" s="330"/>
      <c r="D904" s="330"/>
      <c r="E904" s="330"/>
      <c r="F904" s="331"/>
      <c r="G904" s="331"/>
      <c r="H904" s="332"/>
      <c r="I904" s="330"/>
      <c r="J904" s="333"/>
      <c r="K904" s="333"/>
    </row>
    <row r="905" spans="1:11" x14ac:dyDescent="0.25">
      <c r="A905" s="328">
        <v>900</v>
      </c>
      <c r="B905" s="330"/>
      <c r="C905" s="330"/>
      <c r="D905" s="330"/>
      <c r="E905" s="330"/>
      <c r="F905" s="331"/>
      <c r="G905" s="331"/>
      <c r="H905" s="332"/>
      <c r="I905" s="330"/>
      <c r="J905" s="333"/>
      <c r="K905" s="333"/>
    </row>
    <row r="906" spans="1:11" x14ac:dyDescent="0.25">
      <c r="A906" s="328">
        <v>901</v>
      </c>
      <c r="B906" s="330"/>
      <c r="C906" s="330"/>
      <c r="D906" s="330"/>
      <c r="E906" s="330"/>
      <c r="F906" s="331"/>
      <c r="G906" s="331"/>
      <c r="H906" s="332"/>
      <c r="I906" s="330"/>
      <c r="J906" s="333"/>
      <c r="K906" s="333"/>
    </row>
    <row r="907" spans="1:11" x14ac:dyDescent="0.25">
      <c r="A907" s="328">
        <v>902</v>
      </c>
      <c r="B907" s="330"/>
      <c r="C907" s="330"/>
      <c r="D907" s="330"/>
      <c r="E907" s="330"/>
      <c r="F907" s="331"/>
      <c r="G907" s="331"/>
      <c r="H907" s="332"/>
      <c r="I907" s="330"/>
      <c r="J907" s="333"/>
      <c r="K907" s="333"/>
    </row>
    <row r="908" spans="1:11" x14ac:dyDescent="0.25">
      <c r="A908" s="328">
        <v>903</v>
      </c>
      <c r="B908" s="330"/>
      <c r="C908" s="330"/>
      <c r="D908" s="330"/>
      <c r="E908" s="330"/>
      <c r="F908" s="331"/>
      <c r="G908" s="331"/>
      <c r="H908" s="332"/>
      <c r="I908" s="330"/>
      <c r="J908" s="333"/>
      <c r="K908" s="333"/>
    </row>
    <row r="909" spans="1:11" x14ac:dyDescent="0.25">
      <c r="A909" s="328">
        <v>904</v>
      </c>
      <c r="B909" s="330"/>
      <c r="C909" s="330"/>
      <c r="D909" s="330"/>
      <c r="E909" s="330"/>
      <c r="F909" s="331"/>
      <c r="G909" s="331"/>
      <c r="H909" s="332"/>
      <c r="I909" s="330"/>
      <c r="J909" s="333"/>
      <c r="K909" s="333"/>
    </row>
    <row r="910" spans="1:11" x14ac:dyDescent="0.25">
      <c r="A910" s="328">
        <v>905</v>
      </c>
      <c r="B910" s="330"/>
      <c r="C910" s="330"/>
      <c r="D910" s="330"/>
      <c r="E910" s="330"/>
      <c r="F910" s="331"/>
      <c r="G910" s="331"/>
      <c r="H910" s="332"/>
      <c r="I910" s="330"/>
      <c r="J910" s="333"/>
      <c r="K910" s="333"/>
    </row>
    <row r="911" spans="1:11" x14ac:dyDescent="0.25">
      <c r="A911" s="328">
        <v>906</v>
      </c>
      <c r="B911" s="330"/>
      <c r="C911" s="330"/>
      <c r="D911" s="330"/>
      <c r="E911" s="330"/>
      <c r="F911" s="331"/>
      <c r="G911" s="331"/>
      <c r="H911" s="332"/>
      <c r="I911" s="330"/>
      <c r="J911" s="333"/>
      <c r="K911" s="333"/>
    </row>
    <row r="912" spans="1:11" x14ac:dyDescent="0.25">
      <c r="A912" s="328">
        <v>907</v>
      </c>
      <c r="B912" s="330"/>
      <c r="C912" s="330"/>
      <c r="D912" s="330"/>
      <c r="E912" s="330"/>
      <c r="F912" s="331"/>
      <c r="G912" s="331"/>
      <c r="H912" s="332"/>
      <c r="I912" s="330"/>
      <c r="J912" s="333"/>
      <c r="K912" s="333"/>
    </row>
    <row r="913" spans="1:11" x14ac:dyDescent="0.25">
      <c r="A913" s="328">
        <v>908</v>
      </c>
      <c r="B913" s="330"/>
      <c r="C913" s="330"/>
      <c r="D913" s="330"/>
      <c r="E913" s="330"/>
      <c r="F913" s="331"/>
      <c r="G913" s="331"/>
      <c r="H913" s="332"/>
      <c r="I913" s="330"/>
      <c r="J913" s="333"/>
      <c r="K913" s="333"/>
    </row>
    <row r="914" spans="1:11" x14ac:dyDescent="0.25">
      <c r="A914" s="328">
        <v>909</v>
      </c>
      <c r="B914" s="330"/>
      <c r="C914" s="330"/>
      <c r="D914" s="330"/>
      <c r="E914" s="330"/>
      <c r="F914" s="331"/>
      <c r="G914" s="331"/>
      <c r="H914" s="332"/>
      <c r="I914" s="330"/>
      <c r="J914" s="333"/>
      <c r="K914" s="333"/>
    </row>
    <row r="915" spans="1:11" x14ac:dyDescent="0.25">
      <c r="A915" s="328">
        <v>910</v>
      </c>
      <c r="B915" s="330"/>
      <c r="C915" s="330"/>
      <c r="D915" s="330"/>
      <c r="E915" s="330"/>
      <c r="F915" s="331"/>
      <c r="G915" s="331"/>
      <c r="H915" s="332"/>
      <c r="I915" s="330"/>
      <c r="J915" s="333"/>
      <c r="K915" s="333"/>
    </row>
    <row r="916" spans="1:11" x14ac:dyDescent="0.25">
      <c r="A916" s="328">
        <v>911</v>
      </c>
      <c r="B916" s="330"/>
      <c r="C916" s="330"/>
      <c r="D916" s="330"/>
      <c r="E916" s="330"/>
      <c r="F916" s="331"/>
      <c r="G916" s="331"/>
      <c r="H916" s="332"/>
      <c r="I916" s="330"/>
      <c r="J916" s="333"/>
      <c r="K916" s="333"/>
    </row>
    <row r="917" spans="1:11" x14ac:dyDescent="0.25">
      <c r="A917" s="328">
        <v>912</v>
      </c>
      <c r="B917" s="330"/>
      <c r="C917" s="330"/>
      <c r="D917" s="330"/>
      <c r="E917" s="330"/>
      <c r="F917" s="331"/>
      <c r="G917" s="331"/>
      <c r="H917" s="332"/>
      <c r="I917" s="330"/>
      <c r="J917" s="333"/>
      <c r="K917" s="333"/>
    </row>
    <row r="918" spans="1:11" x14ac:dyDescent="0.25">
      <c r="A918" s="328">
        <v>913</v>
      </c>
      <c r="B918" s="330"/>
      <c r="C918" s="330"/>
      <c r="D918" s="330"/>
      <c r="E918" s="330"/>
      <c r="F918" s="331"/>
      <c r="G918" s="331"/>
      <c r="H918" s="332"/>
      <c r="I918" s="330"/>
      <c r="J918" s="333"/>
      <c r="K918" s="333"/>
    </row>
    <row r="919" spans="1:11" x14ac:dyDescent="0.25">
      <c r="A919" s="328">
        <v>914</v>
      </c>
      <c r="B919" s="330"/>
      <c r="C919" s="330"/>
      <c r="D919" s="330"/>
      <c r="E919" s="330"/>
      <c r="F919" s="331"/>
      <c r="G919" s="331"/>
      <c r="H919" s="332"/>
      <c r="I919" s="330"/>
      <c r="J919" s="333"/>
      <c r="K919" s="333"/>
    </row>
    <row r="920" spans="1:11" x14ac:dyDescent="0.25">
      <c r="A920" s="328">
        <v>915</v>
      </c>
      <c r="B920" s="330"/>
      <c r="C920" s="330"/>
      <c r="D920" s="330"/>
      <c r="E920" s="330"/>
      <c r="F920" s="331"/>
      <c r="G920" s="331"/>
      <c r="H920" s="332"/>
      <c r="I920" s="330"/>
      <c r="J920" s="333"/>
      <c r="K920" s="333"/>
    </row>
    <row r="921" spans="1:11" x14ac:dyDescent="0.25">
      <c r="A921" s="328">
        <v>916</v>
      </c>
      <c r="B921" s="330"/>
      <c r="C921" s="330"/>
      <c r="D921" s="330"/>
      <c r="E921" s="330"/>
      <c r="F921" s="331"/>
      <c r="G921" s="331"/>
      <c r="H921" s="332"/>
      <c r="I921" s="330"/>
      <c r="J921" s="333"/>
      <c r="K921" s="333"/>
    </row>
    <row r="922" spans="1:11" x14ac:dyDescent="0.25">
      <c r="A922" s="328">
        <v>917</v>
      </c>
      <c r="B922" s="330"/>
      <c r="C922" s="330"/>
      <c r="D922" s="330"/>
      <c r="E922" s="330"/>
      <c r="F922" s="331"/>
      <c r="G922" s="331"/>
      <c r="H922" s="332"/>
      <c r="I922" s="330"/>
      <c r="J922" s="333"/>
      <c r="K922" s="333"/>
    </row>
    <row r="923" spans="1:11" x14ac:dyDescent="0.25">
      <c r="A923" s="328">
        <v>918</v>
      </c>
      <c r="B923" s="330"/>
      <c r="C923" s="330"/>
      <c r="D923" s="330"/>
      <c r="E923" s="330"/>
      <c r="F923" s="331"/>
      <c r="G923" s="331"/>
      <c r="H923" s="332"/>
      <c r="I923" s="330"/>
      <c r="J923" s="333"/>
      <c r="K923" s="333"/>
    </row>
    <row r="924" spans="1:11" x14ac:dyDescent="0.25">
      <c r="A924" s="328">
        <v>919</v>
      </c>
      <c r="B924" s="330"/>
      <c r="C924" s="330"/>
      <c r="D924" s="330"/>
      <c r="E924" s="330"/>
      <c r="F924" s="331"/>
      <c r="G924" s="331"/>
      <c r="H924" s="332"/>
      <c r="I924" s="330"/>
      <c r="J924" s="333"/>
      <c r="K924" s="333"/>
    </row>
    <row r="925" spans="1:11" x14ac:dyDescent="0.25">
      <c r="A925" s="328">
        <v>920</v>
      </c>
      <c r="B925" s="330"/>
      <c r="C925" s="330"/>
      <c r="D925" s="330"/>
      <c r="E925" s="330"/>
      <c r="F925" s="331"/>
      <c r="G925" s="331"/>
      <c r="H925" s="332"/>
      <c r="I925" s="330"/>
      <c r="J925" s="333"/>
      <c r="K925" s="333"/>
    </row>
    <row r="926" spans="1:11" x14ac:dyDescent="0.25">
      <c r="A926" s="328">
        <v>921</v>
      </c>
      <c r="B926" s="330"/>
      <c r="C926" s="330"/>
      <c r="D926" s="330"/>
      <c r="E926" s="330"/>
      <c r="F926" s="331"/>
      <c r="G926" s="331"/>
      <c r="H926" s="332"/>
      <c r="I926" s="330"/>
      <c r="J926" s="333"/>
      <c r="K926" s="333"/>
    </row>
    <row r="927" spans="1:11" x14ac:dyDescent="0.25">
      <c r="A927" s="328">
        <v>922</v>
      </c>
      <c r="B927" s="330"/>
      <c r="C927" s="330"/>
      <c r="D927" s="330"/>
      <c r="E927" s="330"/>
      <c r="F927" s="331"/>
      <c r="G927" s="331"/>
      <c r="H927" s="332"/>
      <c r="I927" s="330"/>
      <c r="J927" s="333"/>
      <c r="K927" s="333"/>
    </row>
    <row r="928" spans="1:11" x14ac:dyDescent="0.25">
      <c r="A928" s="328">
        <v>923</v>
      </c>
      <c r="B928" s="330"/>
      <c r="C928" s="330"/>
      <c r="D928" s="330"/>
      <c r="E928" s="330"/>
      <c r="F928" s="331"/>
      <c r="G928" s="331"/>
      <c r="H928" s="332"/>
      <c r="I928" s="330"/>
      <c r="J928" s="333"/>
      <c r="K928" s="333"/>
    </row>
    <row r="929" spans="1:11" x14ac:dyDescent="0.25">
      <c r="A929" s="328">
        <v>924</v>
      </c>
      <c r="B929" s="330"/>
      <c r="C929" s="330"/>
      <c r="D929" s="330"/>
      <c r="E929" s="330"/>
      <c r="F929" s="331"/>
      <c r="G929" s="331"/>
      <c r="H929" s="332"/>
      <c r="I929" s="330"/>
      <c r="J929" s="333"/>
      <c r="K929" s="333"/>
    </row>
    <row r="930" spans="1:11" x14ac:dyDescent="0.25">
      <c r="A930" s="328">
        <v>925</v>
      </c>
      <c r="B930" s="330"/>
      <c r="C930" s="330"/>
      <c r="D930" s="330"/>
      <c r="E930" s="330"/>
      <c r="F930" s="331"/>
      <c r="G930" s="331"/>
      <c r="H930" s="332"/>
      <c r="I930" s="330"/>
      <c r="J930" s="333"/>
      <c r="K930" s="333"/>
    </row>
    <row r="931" spans="1:11" x14ac:dyDescent="0.25">
      <c r="A931" s="328">
        <v>926</v>
      </c>
      <c r="B931" s="330"/>
      <c r="C931" s="330"/>
      <c r="D931" s="330"/>
      <c r="E931" s="330"/>
      <c r="F931" s="331"/>
      <c r="G931" s="331"/>
      <c r="H931" s="332"/>
      <c r="I931" s="330"/>
      <c r="J931" s="333"/>
      <c r="K931" s="333"/>
    </row>
    <row r="932" spans="1:11" x14ac:dyDescent="0.25">
      <c r="A932" s="328">
        <v>927</v>
      </c>
      <c r="B932" s="330"/>
      <c r="C932" s="330"/>
      <c r="D932" s="330"/>
      <c r="E932" s="330"/>
      <c r="F932" s="331"/>
      <c r="G932" s="331"/>
      <c r="H932" s="332"/>
      <c r="I932" s="330"/>
      <c r="J932" s="333"/>
      <c r="K932" s="333"/>
    </row>
    <row r="933" spans="1:11" x14ac:dyDescent="0.25">
      <c r="A933" s="328">
        <v>928</v>
      </c>
      <c r="B933" s="330"/>
      <c r="C933" s="330"/>
      <c r="D933" s="330"/>
      <c r="E933" s="330"/>
      <c r="F933" s="331"/>
      <c r="G933" s="331"/>
      <c r="H933" s="332"/>
      <c r="I933" s="330"/>
      <c r="J933" s="333"/>
      <c r="K933" s="333"/>
    </row>
    <row r="934" spans="1:11" x14ac:dyDescent="0.25">
      <c r="A934" s="328">
        <v>929</v>
      </c>
      <c r="B934" s="330"/>
      <c r="C934" s="330"/>
      <c r="D934" s="330"/>
      <c r="E934" s="330"/>
      <c r="F934" s="331"/>
      <c r="G934" s="331"/>
      <c r="H934" s="332"/>
      <c r="I934" s="330"/>
      <c r="J934" s="333"/>
      <c r="K934" s="333"/>
    </row>
    <row r="935" spans="1:11" x14ac:dyDescent="0.25">
      <c r="A935" s="328">
        <v>930</v>
      </c>
      <c r="B935" s="330"/>
      <c r="C935" s="330"/>
      <c r="D935" s="330"/>
      <c r="E935" s="330"/>
      <c r="F935" s="331"/>
      <c r="G935" s="331"/>
      <c r="H935" s="332"/>
      <c r="I935" s="330"/>
      <c r="J935" s="333"/>
      <c r="K935" s="333"/>
    </row>
    <row r="936" spans="1:11" x14ac:dyDescent="0.25">
      <c r="A936" s="328">
        <v>931</v>
      </c>
      <c r="B936" s="330"/>
      <c r="C936" s="330"/>
      <c r="D936" s="330"/>
      <c r="E936" s="330"/>
      <c r="F936" s="331"/>
      <c r="G936" s="331"/>
      <c r="H936" s="332"/>
      <c r="I936" s="330"/>
      <c r="J936" s="333"/>
      <c r="K936" s="333"/>
    </row>
    <row r="937" spans="1:11" x14ac:dyDescent="0.25">
      <c r="A937" s="328">
        <v>932</v>
      </c>
      <c r="B937" s="330"/>
      <c r="C937" s="330"/>
      <c r="D937" s="330"/>
      <c r="E937" s="330"/>
      <c r="F937" s="331"/>
      <c r="G937" s="331"/>
      <c r="H937" s="332"/>
      <c r="I937" s="330"/>
      <c r="J937" s="333"/>
      <c r="K937" s="333"/>
    </row>
    <row r="938" spans="1:11" x14ac:dyDescent="0.25">
      <c r="A938" s="328">
        <v>933</v>
      </c>
      <c r="B938" s="330"/>
      <c r="C938" s="330"/>
      <c r="D938" s="330"/>
      <c r="E938" s="330"/>
      <c r="F938" s="331"/>
      <c r="G938" s="331"/>
      <c r="H938" s="332"/>
      <c r="I938" s="330"/>
      <c r="J938" s="333"/>
      <c r="K938" s="333"/>
    </row>
    <row r="939" spans="1:11" x14ac:dyDescent="0.25">
      <c r="A939" s="328">
        <v>934</v>
      </c>
      <c r="B939" s="330"/>
      <c r="C939" s="330"/>
      <c r="D939" s="330"/>
      <c r="E939" s="330"/>
      <c r="F939" s="331"/>
      <c r="G939" s="331"/>
      <c r="H939" s="332"/>
      <c r="I939" s="330"/>
      <c r="J939" s="333"/>
      <c r="K939" s="333"/>
    </row>
    <row r="940" spans="1:11" x14ac:dyDescent="0.25">
      <c r="A940" s="328">
        <v>935</v>
      </c>
      <c r="B940" s="330"/>
      <c r="C940" s="330"/>
      <c r="D940" s="330"/>
      <c r="E940" s="330"/>
      <c r="F940" s="331"/>
      <c r="G940" s="331"/>
      <c r="H940" s="332"/>
      <c r="I940" s="330"/>
      <c r="J940" s="333"/>
      <c r="K940" s="333"/>
    </row>
    <row r="941" spans="1:11" x14ac:dyDescent="0.25">
      <c r="A941" s="328">
        <v>936</v>
      </c>
      <c r="B941" s="330"/>
      <c r="C941" s="330"/>
      <c r="D941" s="330"/>
      <c r="E941" s="330"/>
      <c r="F941" s="331"/>
      <c r="G941" s="331"/>
      <c r="H941" s="332"/>
      <c r="I941" s="330"/>
      <c r="J941" s="333"/>
      <c r="K941" s="333"/>
    </row>
    <row r="942" spans="1:11" x14ac:dyDescent="0.25">
      <c r="A942" s="328">
        <v>937</v>
      </c>
      <c r="B942" s="330"/>
      <c r="C942" s="330"/>
      <c r="D942" s="330"/>
      <c r="E942" s="330"/>
      <c r="F942" s="331"/>
      <c r="G942" s="331"/>
      <c r="H942" s="332"/>
      <c r="I942" s="330"/>
      <c r="J942" s="333"/>
      <c r="K942" s="333"/>
    </row>
    <row r="943" spans="1:11" x14ac:dyDescent="0.25">
      <c r="A943" s="328">
        <v>938</v>
      </c>
      <c r="B943" s="330"/>
      <c r="C943" s="330"/>
      <c r="D943" s="330"/>
      <c r="E943" s="330"/>
      <c r="F943" s="331"/>
      <c r="G943" s="331"/>
      <c r="H943" s="332"/>
      <c r="I943" s="330"/>
      <c r="J943" s="333"/>
      <c r="K943" s="333"/>
    </row>
    <row r="944" spans="1:11" x14ac:dyDescent="0.25">
      <c r="A944" s="328">
        <v>939</v>
      </c>
      <c r="B944" s="330"/>
      <c r="C944" s="330"/>
      <c r="D944" s="330"/>
      <c r="E944" s="330"/>
      <c r="F944" s="331"/>
      <c r="G944" s="331"/>
      <c r="H944" s="332"/>
      <c r="I944" s="330"/>
      <c r="J944" s="333"/>
      <c r="K944" s="333"/>
    </row>
    <row r="945" spans="1:11" x14ac:dyDescent="0.25">
      <c r="A945" s="328">
        <v>940</v>
      </c>
      <c r="B945" s="330"/>
      <c r="C945" s="330"/>
      <c r="D945" s="330"/>
      <c r="E945" s="330"/>
      <c r="F945" s="331"/>
      <c r="G945" s="331"/>
      <c r="H945" s="332"/>
      <c r="I945" s="330"/>
      <c r="J945" s="333"/>
      <c r="K945" s="333"/>
    </row>
    <row r="946" spans="1:11" x14ac:dyDescent="0.25">
      <c r="A946" s="328">
        <v>941</v>
      </c>
      <c r="B946" s="330"/>
      <c r="C946" s="330"/>
      <c r="D946" s="330"/>
      <c r="E946" s="330"/>
      <c r="F946" s="331"/>
      <c r="G946" s="331"/>
      <c r="H946" s="332"/>
      <c r="I946" s="330"/>
      <c r="J946" s="333"/>
      <c r="K946" s="333"/>
    </row>
    <row r="947" spans="1:11" x14ac:dyDescent="0.25">
      <c r="A947" s="328">
        <v>942</v>
      </c>
      <c r="B947" s="330"/>
      <c r="C947" s="330"/>
      <c r="D947" s="330"/>
      <c r="E947" s="330"/>
      <c r="F947" s="331"/>
      <c r="G947" s="331"/>
      <c r="H947" s="332"/>
      <c r="I947" s="330"/>
      <c r="J947" s="333"/>
      <c r="K947" s="333"/>
    </row>
    <row r="948" spans="1:11" x14ac:dyDescent="0.25">
      <c r="A948" s="328">
        <v>943</v>
      </c>
      <c r="B948" s="330"/>
      <c r="C948" s="330"/>
      <c r="D948" s="330"/>
      <c r="E948" s="330"/>
      <c r="F948" s="331"/>
      <c r="G948" s="331"/>
      <c r="H948" s="332"/>
      <c r="I948" s="330"/>
      <c r="J948" s="333"/>
      <c r="K948" s="333"/>
    </row>
    <row r="949" spans="1:11" x14ac:dyDescent="0.25">
      <c r="A949" s="328">
        <v>944</v>
      </c>
      <c r="B949" s="330"/>
      <c r="C949" s="330"/>
      <c r="D949" s="330"/>
      <c r="E949" s="330"/>
      <c r="F949" s="331"/>
      <c r="G949" s="331"/>
      <c r="H949" s="332"/>
      <c r="I949" s="330"/>
      <c r="J949" s="333"/>
      <c r="K949" s="333"/>
    </row>
    <row r="950" spans="1:11" x14ac:dyDescent="0.25">
      <c r="A950" s="328">
        <v>945</v>
      </c>
      <c r="B950" s="330"/>
      <c r="C950" s="330"/>
      <c r="D950" s="330"/>
      <c r="E950" s="330"/>
      <c r="F950" s="331"/>
      <c r="G950" s="331"/>
      <c r="H950" s="332"/>
      <c r="I950" s="330"/>
      <c r="J950" s="333"/>
      <c r="K950" s="333"/>
    </row>
    <row r="951" spans="1:11" x14ac:dyDescent="0.25">
      <c r="A951" s="328">
        <v>946</v>
      </c>
      <c r="B951" s="330"/>
      <c r="C951" s="330"/>
      <c r="D951" s="330"/>
      <c r="E951" s="330"/>
      <c r="F951" s="331"/>
      <c r="G951" s="331"/>
      <c r="H951" s="332"/>
      <c r="I951" s="330"/>
      <c r="J951" s="333"/>
      <c r="K951" s="333"/>
    </row>
    <row r="952" spans="1:11" x14ac:dyDescent="0.25">
      <c r="A952" s="328">
        <v>947</v>
      </c>
      <c r="B952" s="330"/>
      <c r="C952" s="330"/>
      <c r="D952" s="330"/>
      <c r="E952" s="330"/>
      <c r="F952" s="331"/>
      <c r="G952" s="331"/>
      <c r="H952" s="332"/>
      <c r="I952" s="330"/>
      <c r="J952" s="333"/>
      <c r="K952" s="333"/>
    </row>
    <row r="953" spans="1:11" x14ac:dyDescent="0.25">
      <c r="A953" s="328">
        <v>948</v>
      </c>
      <c r="B953" s="330"/>
      <c r="C953" s="330"/>
      <c r="D953" s="330"/>
      <c r="E953" s="330"/>
      <c r="F953" s="331"/>
      <c r="G953" s="331"/>
      <c r="H953" s="332"/>
      <c r="I953" s="330"/>
      <c r="J953" s="333"/>
      <c r="K953" s="333"/>
    </row>
    <row r="954" spans="1:11" x14ac:dyDescent="0.25">
      <c r="A954" s="328">
        <v>949</v>
      </c>
      <c r="B954" s="330"/>
      <c r="C954" s="330"/>
      <c r="D954" s="330"/>
      <c r="E954" s="330"/>
      <c r="F954" s="331"/>
      <c r="G954" s="331"/>
      <c r="H954" s="332"/>
      <c r="I954" s="330"/>
      <c r="J954" s="333"/>
      <c r="K954" s="333"/>
    </row>
    <row r="955" spans="1:11" x14ac:dyDescent="0.25">
      <c r="A955" s="328">
        <v>950</v>
      </c>
      <c r="B955" s="330"/>
      <c r="C955" s="330"/>
      <c r="D955" s="330"/>
      <c r="E955" s="330"/>
      <c r="F955" s="331"/>
      <c r="G955" s="331"/>
      <c r="H955" s="332"/>
      <c r="I955" s="330"/>
      <c r="J955" s="333"/>
      <c r="K955" s="333"/>
    </row>
    <row r="956" spans="1:11" x14ac:dyDescent="0.25">
      <c r="A956" s="328">
        <v>951</v>
      </c>
      <c r="B956" s="330"/>
      <c r="C956" s="330"/>
      <c r="D956" s="330"/>
      <c r="E956" s="330"/>
      <c r="F956" s="331"/>
      <c r="G956" s="331"/>
      <c r="H956" s="332"/>
      <c r="I956" s="330"/>
      <c r="J956" s="333"/>
      <c r="K956" s="333"/>
    </row>
    <row r="957" spans="1:11" x14ac:dyDescent="0.25">
      <c r="A957" s="328">
        <v>952</v>
      </c>
      <c r="B957" s="330"/>
      <c r="C957" s="330"/>
      <c r="D957" s="330"/>
      <c r="E957" s="330"/>
      <c r="F957" s="331"/>
      <c r="G957" s="331"/>
      <c r="H957" s="332"/>
      <c r="I957" s="330"/>
      <c r="J957" s="333"/>
      <c r="K957" s="333"/>
    </row>
    <row r="958" spans="1:11" x14ac:dyDescent="0.25">
      <c r="A958" s="328">
        <v>953</v>
      </c>
      <c r="B958" s="330"/>
      <c r="C958" s="330"/>
      <c r="D958" s="330"/>
      <c r="E958" s="330"/>
      <c r="F958" s="331"/>
      <c r="G958" s="331"/>
      <c r="H958" s="332"/>
      <c r="I958" s="330"/>
      <c r="J958" s="333"/>
      <c r="K958" s="333"/>
    </row>
    <row r="959" spans="1:11" x14ac:dyDescent="0.25">
      <c r="A959" s="328">
        <v>954</v>
      </c>
      <c r="B959" s="330"/>
      <c r="C959" s="330"/>
      <c r="D959" s="330"/>
      <c r="E959" s="330"/>
      <c r="F959" s="331"/>
      <c r="G959" s="331"/>
      <c r="H959" s="332"/>
      <c r="I959" s="330"/>
      <c r="J959" s="333"/>
      <c r="K959" s="333"/>
    </row>
    <row r="960" spans="1:11" x14ac:dyDescent="0.25">
      <c r="A960" s="328">
        <v>955</v>
      </c>
      <c r="B960" s="330"/>
      <c r="C960" s="330"/>
      <c r="D960" s="330"/>
      <c r="E960" s="330"/>
      <c r="F960" s="331"/>
      <c r="G960" s="331"/>
      <c r="H960" s="332"/>
      <c r="I960" s="330"/>
      <c r="J960" s="333"/>
      <c r="K960" s="333"/>
    </row>
    <row r="961" spans="1:11" x14ac:dyDescent="0.25">
      <c r="A961" s="328">
        <v>956</v>
      </c>
      <c r="B961" s="330"/>
      <c r="C961" s="330"/>
      <c r="D961" s="330"/>
      <c r="E961" s="330"/>
      <c r="F961" s="331"/>
      <c r="G961" s="331"/>
      <c r="H961" s="332"/>
      <c r="I961" s="330"/>
      <c r="J961" s="333"/>
      <c r="K961" s="333"/>
    </row>
    <row r="962" spans="1:11" x14ac:dyDescent="0.25">
      <c r="A962" s="328">
        <v>957</v>
      </c>
      <c r="B962" s="330"/>
      <c r="C962" s="330"/>
      <c r="D962" s="330"/>
      <c r="E962" s="330"/>
      <c r="F962" s="331"/>
      <c r="G962" s="331"/>
      <c r="H962" s="332"/>
      <c r="I962" s="330"/>
      <c r="J962" s="333"/>
      <c r="K962" s="333"/>
    </row>
    <row r="963" spans="1:11" x14ac:dyDescent="0.25">
      <c r="A963" s="328">
        <v>958</v>
      </c>
      <c r="B963" s="330"/>
      <c r="C963" s="330"/>
      <c r="D963" s="330"/>
      <c r="E963" s="330"/>
      <c r="F963" s="331"/>
      <c r="G963" s="331"/>
      <c r="H963" s="332"/>
      <c r="I963" s="330"/>
      <c r="J963" s="333"/>
      <c r="K963" s="333"/>
    </row>
    <row r="964" spans="1:11" x14ac:dyDescent="0.25">
      <c r="A964" s="328">
        <v>959</v>
      </c>
      <c r="B964" s="330"/>
      <c r="C964" s="330"/>
      <c r="D964" s="330"/>
      <c r="E964" s="330"/>
      <c r="F964" s="331"/>
      <c r="G964" s="331"/>
      <c r="H964" s="332"/>
      <c r="I964" s="330"/>
      <c r="J964" s="333"/>
      <c r="K964" s="333"/>
    </row>
    <row r="965" spans="1:11" x14ac:dyDescent="0.25">
      <c r="A965" s="328">
        <v>960</v>
      </c>
      <c r="B965" s="330"/>
      <c r="C965" s="330"/>
      <c r="D965" s="330"/>
      <c r="E965" s="330"/>
      <c r="F965" s="331"/>
      <c r="G965" s="331"/>
      <c r="H965" s="332"/>
      <c r="I965" s="330"/>
      <c r="J965" s="333"/>
      <c r="K965" s="333"/>
    </row>
    <row r="966" spans="1:11" x14ac:dyDescent="0.25">
      <c r="A966" s="328">
        <v>961</v>
      </c>
      <c r="B966" s="330"/>
      <c r="C966" s="330"/>
      <c r="D966" s="330"/>
      <c r="E966" s="330"/>
      <c r="F966" s="331"/>
      <c r="G966" s="331"/>
      <c r="H966" s="332"/>
      <c r="I966" s="330"/>
      <c r="J966" s="333"/>
      <c r="K966" s="333"/>
    </row>
    <row r="967" spans="1:11" x14ac:dyDescent="0.25">
      <c r="A967" s="328">
        <v>962</v>
      </c>
      <c r="B967" s="330"/>
      <c r="C967" s="330"/>
      <c r="D967" s="330"/>
      <c r="E967" s="330"/>
      <c r="F967" s="331"/>
      <c r="G967" s="331"/>
      <c r="H967" s="332"/>
      <c r="I967" s="330"/>
      <c r="J967" s="333"/>
      <c r="K967" s="333"/>
    </row>
    <row r="968" spans="1:11" x14ac:dyDescent="0.25">
      <c r="A968" s="328">
        <v>963</v>
      </c>
      <c r="B968" s="330"/>
      <c r="C968" s="330"/>
      <c r="D968" s="330"/>
      <c r="E968" s="330"/>
      <c r="F968" s="331"/>
      <c r="G968" s="331"/>
      <c r="H968" s="332"/>
      <c r="I968" s="330"/>
      <c r="J968" s="333"/>
      <c r="K968" s="333"/>
    </row>
    <row r="969" spans="1:11" x14ac:dyDescent="0.25">
      <c r="A969" s="328">
        <v>964</v>
      </c>
      <c r="B969" s="330"/>
      <c r="C969" s="330"/>
      <c r="D969" s="330"/>
      <c r="E969" s="330"/>
      <c r="F969" s="331"/>
      <c r="G969" s="331"/>
      <c r="H969" s="332"/>
      <c r="I969" s="330"/>
      <c r="J969" s="333"/>
      <c r="K969" s="333"/>
    </row>
    <row r="970" spans="1:11" x14ac:dyDescent="0.25">
      <c r="A970" s="328">
        <v>965</v>
      </c>
      <c r="B970" s="330"/>
      <c r="C970" s="330"/>
      <c r="D970" s="330"/>
      <c r="E970" s="330"/>
      <c r="F970" s="331"/>
      <c r="G970" s="331"/>
      <c r="H970" s="332"/>
      <c r="I970" s="330"/>
      <c r="J970" s="333"/>
      <c r="K970" s="333"/>
    </row>
    <row r="971" spans="1:11" x14ac:dyDescent="0.25">
      <c r="A971" s="328">
        <v>966</v>
      </c>
      <c r="B971" s="330"/>
      <c r="C971" s="330"/>
      <c r="D971" s="330"/>
      <c r="E971" s="330"/>
      <c r="F971" s="331"/>
      <c r="G971" s="331"/>
      <c r="H971" s="332"/>
      <c r="I971" s="330"/>
      <c r="J971" s="333"/>
      <c r="K971" s="333"/>
    </row>
    <row r="972" spans="1:11" x14ac:dyDescent="0.25">
      <c r="A972" s="328">
        <v>967</v>
      </c>
      <c r="B972" s="330"/>
      <c r="C972" s="330"/>
      <c r="D972" s="330"/>
      <c r="E972" s="330"/>
      <c r="F972" s="331"/>
      <c r="G972" s="331"/>
      <c r="H972" s="332"/>
      <c r="I972" s="330"/>
      <c r="J972" s="333"/>
      <c r="K972" s="333"/>
    </row>
    <row r="973" spans="1:11" x14ac:dyDescent="0.25">
      <c r="A973" s="328">
        <v>968</v>
      </c>
      <c r="B973" s="330"/>
      <c r="C973" s="330"/>
      <c r="D973" s="330"/>
      <c r="E973" s="330"/>
      <c r="F973" s="331"/>
      <c r="G973" s="331"/>
      <c r="H973" s="332"/>
      <c r="I973" s="330"/>
      <c r="J973" s="333"/>
      <c r="K973" s="333"/>
    </row>
    <row r="974" spans="1:11" x14ac:dyDescent="0.25">
      <c r="A974" s="328">
        <v>969</v>
      </c>
      <c r="B974" s="330"/>
      <c r="C974" s="330"/>
      <c r="D974" s="330"/>
      <c r="E974" s="330"/>
      <c r="F974" s="331"/>
      <c r="G974" s="331"/>
      <c r="H974" s="332"/>
      <c r="I974" s="330"/>
      <c r="J974" s="333"/>
      <c r="K974" s="333"/>
    </row>
    <row r="975" spans="1:11" x14ac:dyDescent="0.25">
      <c r="A975" s="328">
        <v>970</v>
      </c>
      <c r="B975" s="330"/>
      <c r="C975" s="330"/>
      <c r="D975" s="330"/>
      <c r="E975" s="330"/>
      <c r="F975" s="331"/>
      <c r="G975" s="331"/>
      <c r="H975" s="332"/>
      <c r="I975" s="330"/>
      <c r="J975" s="333"/>
      <c r="K975" s="333"/>
    </row>
    <row r="976" spans="1:11" x14ac:dyDescent="0.25">
      <c r="A976" s="328">
        <v>971</v>
      </c>
      <c r="B976" s="330"/>
      <c r="C976" s="330"/>
      <c r="D976" s="330"/>
      <c r="E976" s="330"/>
      <c r="F976" s="331"/>
      <c r="G976" s="331"/>
      <c r="H976" s="332"/>
      <c r="I976" s="330"/>
      <c r="J976" s="333"/>
      <c r="K976" s="333"/>
    </row>
    <row r="977" spans="1:11" x14ac:dyDescent="0.25">
      <c r="A977" s="328">
        <v>972</v>
      </c>
      <c r="B977" s="330"/>
      <c r="C977" s="330"/>
      <c r="D977" s="330"/>
      <c r="E977" s="330"/>
      <c r="F977" s="331"/>
      <c r="G977" s="331"/>
      <c r="H977" s="332"/>
      <c r="I977" s="330"/>
      <c r="J977" s="333"/>
      <c r="K977" s="333"/>
    </row>
    <row r="978" spans="1:11" x14ac:dyDescent="0.25">
      <c r="A978" s="328">
        <v>973</v>
      </c>
      <c r="B978" s="330"/>
      <c r="C978" s="330"/>
      <c r="D978" s="330"/>
      <c r="E978" s="330"/>
      <c r="F978" s="331"/>
      <c r="G978" s="331"/>
      <c r="H978" s="332"/>
      <c r="I978" s="330"/>
      <c r="J978" s="333"/>
      <c r="K978" s="333"/>
    </row>
    <row r="979" spans="1:11" x14ac:dyDescent="0.25">
      <c r="A979" s="328">
        <v>974</v>
      </c>
      <c r="B979" s="330"/>
      <c r="C979" s="330"/>
      <c r="D979" s="330"/>
      <c r="E979" s="330"/>
      <c r="F979" s="331"/>
      <c r="G979" s="331"/>
      <c r="H979" s="332"/>
      <c r="I979" s="330"/>
      <c r="J979" s="333"/>
      <c r="K979" s="333"/>
    </row>
    <row r="980" spans="1:11" x14ac:dyDescent="0.25">
      <c r="A980" s="328">
        <v>975</v>
      </c>
      <c r="B980" s="330"/>
      <c r="C980" s="330"/>
      <c r="D980" s="330"/>
      <c r="E980" s="330"/>
      <c r="F980" s="331"/>
      <c r="G980" s="331"/>
      <c r="H980" s="332"/>
      <c r="I980" s="330"/>
      <c r="J980" s="333"/>
      <c r="K980" s="333"/>
    </row>
    <row r="981" spans="1:11" x14ac:dyDescent="0.25">
      <c r="A981" s="328">
        <v>976</v>
      </c>
      <c r="B981" s="330"/>
      <c r="C981" s="330"/>
      <c r="D981" s="330"/>
      <c r="E981" s="330"/>
      <c r="F981" s="331"/>
      <c r="G981" s="331"/>
      <c r="H981" s="332"/>
      <c r="I981" s="330"/>
      <c r="J981" s="333"/>
      <c r="K981" s="333"/>
    </row>
    <row r="982" spans="1:11" x14ac:dyDescent="0.25">
      <c r="A982" s="328">
        <v>977</v>
      </c>
      <c r="B982" s="330"/>
      <c r="C982" s="330"/>
      <c r="D982" s="330"/>
      <c r="E982" s="330"/>
      <c r="F982" s="331"/>
      <c r="G982" s="331"/>
      <c r="H982" s="332"/>
      <c r="I982" s="330"/>
      <c r="J982" s="333"/>
      <c r="K982" s="333"/>
    </row>
    <row r="983" spans="1:11" x14ac:dyDescent="0.25">
      <c r="A983" s="328">
        <v>978</v>
      </c>
      <c r="B983" s="330"/>
      <c r="C983" s="330"/>
      <c r="D983" s="330"/>
      <c r="E983" s="330"/>
      <c r="F983" s="331"/>
      <c r="G983" s="331"/>
      <c r="H983" s="332"/>
      <c r="I983" s="330"/>
      <c r="J983" s="333"/>
      <c r="K983" s="333"/>
    </row>
    <row r="984" spans="1:11" x14ac:dyDescent="0.25">
      <c r="A984" s="328">
        <v>979</v>
      </c>
      <c r="B984" s="330"/>
      <c r="C984" s="330"/>
      <c r="D984" s="330"/>
      <c r="E984" s="330"/>
      <c r="F984" s="331"/>
      <c r="G984" s="331"/>
      <c r="H984" s="332"/>
      <c r="I984" s="330"/>
      <c r="J984" s="333"/>
      <c r="K984" s="333"/>
    </row>
    <row r="985" spans="1:11" x14ac:dyDescent="0.25">
      <c r="A985" s="328">
        <v>980</v>
      </c>
      <c r="B985" s="330"/>
      <c r="C985" s="330"/>
      <c r="D985" s="330"/>
      <c r="E985" s="330"/>
      <c r="F985" s="331"/>
      <c r="G985" s="331"/>
      <c r="H985" s="332"/>
      <c r="I985" s="330"/>
      <c r="J985" s="333"/>
      <c r="K985" s="333"/>
    </row>
    <row r="986" spans="1:11" x14ac:dyDescent="0.25">
      <c r="A986" s="328">
        <v>981</v>
      </c>
      <c r="B986" s="330"/>
      <c r="C986" s="330"/>
      <c r="D986" s="330"/>
      <c r="E986" s="330"/>
      <c r="F986" s="331"/>
      <c r="G986" s="331"/>
      <c r="H986" s="332"/>
      <c r="I986" s="330"/>
      <c r="J986" s="333"/>
      <c r="K986" s="333"/>
    </row>
    <row r="987" spans="1:11" x14ac:dyDescent="0.25">
      <c r="A987" s="328">
        <v>982</v>
      </c>
      <c r="B987" s="330"/>
      <c r="C987" s="330"/>
      <c r="D987" s="330"/>
      <c r="E987" s="330"/>
      <c r="F987" s="331"/>
      <c r="G987" s="331"/>
      <c r="H987" s="332"/>
      <c r="I987" s="330"/>
      <c r="J987" s="333"/>
      <c r="K987" s="333"/>
    </row>
    <row r="988" spans="1:11" x14ac:dyDescent="0.25">
      <c r="A988" s="328">
        <v>983</v>
      </c>
      <c r="B988" s="330"/>
      <c r="C988" s="330"/>
      <c r="D988" s="330"/>
      <c r="E988" s="330"/>
      <c r="F988" s="331"/>
      <c r="G988" s="331"/>
      <c r="H988" s="332"/>
      <c r="I988" s="330"/>
      <c r="J988" s="333"/>
      <c r="K988" s="333"/>
    </row>
    <row r="989" spans="1:11" x14ac:dyDescent="0.25">
      <c r="A989" s="328">
        <v>984</v>
      </c>
      <c r="B989" s="330"/>
      <c r="C989" s="330"/>
      <c r="D989" s="330"/>
      <c r="E989" s="330"/>
      <c r="F989" s="331"/>
      <c r="G989" s="331"/>
      <c r="H989" s="332"/>
      <c r="I989" s="330"/>
      <c r="J989" s="333"/>
      <c r="K989" s="333"/>
    </row>
    <row r="990" spans="1:11" x14ac:dyDescent="0.25">
      <c r="A990" s="328">
        <v>985</v>
      </c>
      <c r="B990" s="330"/>
      <c r="C990" s="330"/>
      <c r="D990" s="330"/>
      <c r="E990" s="330"/>
      <c r="F990" s="331"/>
      <c r="G990" s="331"/>
      <c r="H990" s="332"/>
      <c r="I990" s="330"/>
      <c r="J990" s="333"/>
      <c r="K990" s="333"/>
    </row>
    <row r="991" spans="1:11" x14ac:dyDescent="0.25">
      <c r="A991" s="328">
        <v>986</v>
      </c>
      <c r="B991" s="330"/>
      <c r="C991" s="330"/>
      <c r="D991" s="330"/>
      <c r="E991" s="330"/>
      <c r="F991" s="331"/>
      <c r="G991" s="331"/>
      <c r="H991" s="332"/>
      <c r="I991" s="330"/>
      <c r="J991" s="333"/>
      <c r="K991" s="333"/>
    </row>
    <row r="992" spans="1:11" x14ac:dyDescent="0.25">
      <c r="A992" s="328">
        <v>987</v>
      </c>
      <c r="B992" s="330"/>
      <c r="C992" s="330"/>
      <c r="D992" s="330"/>
      <c r="E992" s="330"/>
      <c r="F992" s="331"/>
      <c r="G992" s="331"/>
      <c r="H992" s="332"/>
      <c r="I992" s="330"/>
      <c r="J992" s="333"/>
      <c r="K992" s="333"/>
    </row>
    <row r="993" spans="1:11" x14ac:dyDescent="0.25">
      <c r="A993" s="328">
        <v>988</v>
      </c>
      <c r="B993" s="330"/>
      <c r="C993" s="330"/>
      <c r="D993" s="330"/>
      <c r="E993" s="330"/>
      <c r="F993" s="331"/>
      <c r="G993" s="331"/>
      <c r="H993" s="332"/>
      <c r="I993" s="330"/>
      <c r="J993" s="333"/>
      <c r="K993" s="333"/>
    </row>
    <row r="994" spans="1:11" x14ac:dyDescent="0.25">
      <c r="A994" s="328">
        <v>989</v>
      </c>
      <c r="B994" s="330"/>
      <c r="C994" s="330"/>
      <c r="D994" s="330"/>
      <c r="E994" s="330"/>
      <c r="F994" s="331"/>
      <c r="G994" s="331"/>
      <c r="H994" s="332"/>
      <c r="I994" s="330"/>
      <c r="J994" s="333"/>
      <c r="K994" s="333"/>
    </row>
    <row r="995" spans="1:11" x14ac:dyDescent="0.25">
      <c r="A995" s="328">
        <v>990</v>
      </c>
      <c r="B995" s="330"/>
      <c r="C995" s="330"/>
      <c r="D995" s="330"/>
      <c r="E995" s="330"/>
      <c r="F995" s="331"/>
      <c r="G995" s="331"/>
      <c r="H995" s="332"/>
      <c r="I995" s="330"/>
      <c r="J995" s="333"/>
      <c r="K995" s="333"/>
    </row>
    <row r="996" spans="1:11" x14ac:dyDescent="0.25">
      <c r="A996" s="328">
        <v>991</v>
      </c>
      <c r="B996" s="330"/>
      <c r="C996" s="330"/>
      <c r="D996" s="330"/>
      <c r="E996" s="330"/>
      <c r="F996" s="331"/>
      <c r="G996" s="331"/>
      <c r="H996" s="332"/>
      <c r="I996" s="330"/>
      <c r="J996" s="333"/>
      <c r="K996" s="333"/>
    </row>
    <row r="997" spans="1:11" x14ac:dyDescent="0.25">
      <c r="A997" s="328">
        <v>992</v>
      </c>
      <c r="B997" s="330"/>
      <c r="C997" s="330"/>
      <c r="D997" s="330"/>
      <c r="E997" s="330"/>
      <c r="F997" s="331"/>
      <c r="G997" s="331"/>
      <c r="H997" s="332"/>
      <c r="I997" s="330"/>
      <c r="J997" s="333"/>
      <c r="K997" s="333"/>
    </row>
    <row r="998" spans="1:11" x14ac:dyDescent="0.25">
      <c r="A998" s="328">
        <v>993</v>
      </c>
      <c r="B998" s="330"/>
      <c r="C998" s="330"/>
      <c r="D998" s="330"/>
      <c r="E998" s="330"/>
      <c r="F998" s="331"/>
      <c r="G998" s="331"/>
      <c r="H998" s="332"/>
      <c r="I998" s="330"/>
      <c r="J998" s="333"/>
      <c r="K998" s="333"/>
    </row>
    <row r="999" spans="1:11" x14ac:dyDescent="0.25">
      <c r="A999" s="328">
        <v>994</v>
      </c>
      <c r="B999" s="330"/>
      <c r="C999" s="330"/>
      <c r="D999" s="330"/>
      <c r="E999" s="330"/>
      <c r="F999" s="331"/>
      <c r="G999" s="331"/>
      <c r="H999" s="332"/>
      <c r="I999" s="330"/>
      <c r="J999" s="333"/>
      <c r="K999" s="333"/>
    </row>
  </sheetData>
  <mergeCells count="4">
    <mergeCell ref="A2:K2"/>
    <mergeCell ref="A3:K3"/>
    <mergeCell ref="A4:K4"/>
    <mergeCell ref="A1:K1"/>
  </mergeCells>
  <dataValidations count="2">
    <dataValidation type="list" allowBlank="1" showInputMessage="1" showErrorMessage="1" sqref="E64:E999" xr:uid="{00000000-0002-0000-0F00-000000000000}">
      <formula1>$N$4:$O$4</formula1>
    </dataValidation>
    <dataValidation type="list" allowBlank="1" showErrorMessage="1" sqref="E6:E63" xr:uid="{00000000-0002-0000-0F00-000001000000}">
      <formula1>$N$4:$O$4</formula1>
    </dataValidation>
  </dataValidations>
  <pageMargins left="0.511811024" right="0.511811024" top="0.78740157499999996" bottom="0.78740157499999996" header="0.31496062000000002" footer="0.31496062000000002"/>
  <pageSetup paperSize="9" scale="53" fitToHeight="0"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12"/>
  <sheetViews>
    <sheetView showGridLines="0" zoomScaleSheetLayoutView="100" workbookViewId="0">
      <selection activeCell="A10" sqref="A10"/>
    </sheetView>
  </sheetViews>
  <sheetFormatPr defaultRowHeight="12.75" x14ac:dyDescent="0.2"/>
  <cols>
    <col min="1" max="1" width="135.28515625" customWidth="1"/>
  </cols>
  <sheetData>
    <row r="1" spans="1:1" s="1" customFormat="1" ht="18" x14ac:dyDescent="0.2">
      <c r="A1" s="38" t="s">
        <v>334</v>
      </c>
    </row>
    <row r="2" spans="1:1" s="1" customFormat="1" ht="39" customHeight="1" x14ac:dyDescent="0.2">
      <c r="A2" s="4"/>
    </row>
    <row r="3" spans="1:1" s="1" customFormat="1" ht="28.5" x14ac:dyDescent="0.2">
      <c r="A3" s="277" t="str">
        <f>"Declaro, para todos os fins, que são verídicas todas as informações contidas neste relatório do "&amp;Capa!A1</f>
        <v>Declaro, para todos os fins, que são verídicas todas as informações contidas neste relatório do Contrato de Gestão nº. 05/20 celebrado entre a Fundação Clóvis Salgado e a Associação Pró-Cultura e Promoção das Artes</v>
      </c>
    </row>
    <row r="4" spans="1:1" s="1" customFormat="1" ht="71.25" customHeight="1" x14ac:dyDescent="0.2">
      <c r="A4" s="53" t="s">
        <v>21</v>
      </c>
    </row>
    <row r="5" spans="1:1" s="1" customFormat="1" ht="14.25" x14ac:dyDescent="0.2">
      <c r="A5" s="531" t="s">
        <v>941</v>
      </c>
    </row>
    <row r="6" spans="1:1" s="1" customFormat="1" ht="14.25" x14ac:dyDescent="0.2">
      <c r="A6" s="531" t="s">
        <v>3243</v>
      </c>
    </row>
    <row r="7" spans="1:1" s="1" customFormat="1" ht="14.25" x14ac:dyDescent="0.2">
      <c r="A7" s="531" t="s">
        <v>3244</v>
      </c>
    </row>
    <row r="8" spans="1:1" s="1" customFormat="1" ht="14.25" x14ac:dyDescent="0.2">
      <c r="A8" s="276"/>
    </row>
    <row r="9" spans="1:1" s="1" customFormat="1" ht="14.25" x14ac:dyDescent="0.2">
      <c r="A9" s="53" t="s">
        <v>9236</v>
      </c>
    </row>
    <row r="10" spans="1:1" s="1" customFormat="1" ht="48.75" customHeight="1" x14ac:dyDescent="0.2">
      <c r="A10" s="6"/>
    </row>
    <row r="11" spans="1:1" s="1" customFormat="1" x14ac:dyDescent="0.2">
      <c r="A11" s="2"/>
    </row>
    <row r="12" spans="1:1" s="1" customFormat="1" ht="9.75" customHeight="1" x14ac:dyDescent="0.2">
      <c r="A12" s="2"/>
    </row>
  </sheetData>
  <sheetProtection formatCells="0" formatRows="0"/>
  <pageMargins left="0.511811024" right="0.511811024" top="0.78740157499999996" bottom="0.78740157499999996" header="0.31496062000000002" footer="0.31496062000000002"/>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tint="4.9989318521683403E-2"/>
    <pageSetUpPr fitToPage="1"/>
  </sheetPr>
  <dimension ref="A1:T91"/>
  <sheetViews>
    <sheetView zoomScaleSheetLayoutView="100" workbookViewId="0">
      <selection activeCell="E8" sqref="E8"/>
    </sheetView>
  </sheetViews>
  <sheetFormatPr defaultColWidth="9.140625" defaultRowHeight="12.75" x14ac:dyDescent="0.2"/>
  <cols>
    <col min="1" max="1" width="47.85546875" style="197" customWidth="1"/>
    <col min="2" max="2" width="26.28515625" style="197" customWidth="1"/>
    <col min="3" max="3" width="29.5703125" style="197" customWidth="1"/>
    <col min="4" max="4" width="31.42578125" style="197" customWidth="1"/>
    <col min="5" max="7" width="31" style="197" customWidth="1"/>
    <col min="8" max="8" width="3.85546875" style="197" customWidth="1"/>
    <col min="9" max="9" width="10.140625" style="197" customWidth="1"/>
    <col min="10" max="10" width="15.140625" style="197" customWidth="1"/>
    <col min="11" max="11" width="2.7109375" style="197" customWidth="1"/>
    <col min="12" max="12" width="9.140625" style="197"/>
    <col min="13" max="15" width="13.28515625" style="197" customWidth="1"/>
    <col min="16" max="16" width="0.7109375" style="197" customWidth="1"/>
    <col min="17" max="17" width="10.28515625" style="197" bestFit="1" customWidth="1"/>
    <col min="18" max="18" width="13.28515625" style="197" customWidth="1"/>
    <col min="19" max="19" width="5.85546875" style="197" customWidth="1"/>
    <col min="20" max="20" width="9.140625" style="197"/>
    <col min="21" max="23" width="13.28515625" style="197" customWidth="1"/>
    <col min="24" max="24" width="1.85546875" style="197" customWidth="1"/>
    <col min="25" max="25" width="9.140625" style="197"/>
    <col min="26" max="26" width="13.28515625" style="197" customWidth="1"/>
    <col min="27" max="16384" width="9.140625" style="197"/>
  </cols>
  <sheetData>
    <row r="1" spans="1:20" s="196" customFormat="1" ht="35.25" customHeight="1" x14ac:dyDescent="0.2">
      <c r="A1" s="191" t="s">
        <v>34</v>
      </c>
      <c r="B1" s="191" t="s">
        <v>295</v>
      </c>
      <c r="C1" s="191" t="s">
        <v>182</v>
      </c>
      <c r="D1" s="191" t="s">
        <v>271</v>
      </c>
      <c r="E1" s="191" t="s">
        <v>144</v>
      </c>
      <c r="F1" s="191" t="s">
        <v>315</v>
      </c>
      <c r="G1" s="403" t="s">
        <v>468</v>
      </c>
      <c r="I1" s="197"/>
      <c r="J1" s="197"/>
      <c r="L1" s="197"/>
      <c r="M1" s="197"/>
      <c r="N1" s="197"/>
      <c r="O1" s="197"/>
      <c r="P1" s="197"/>
      <c r="Q1" s="197"/>
      <c r="R1" s="197"/>
      <c r="S1" s="197"/>
      <c r="T1" s="197"/>
    </row>
    <row r="2" spans="1:20" ht="42.75" x14ac:dyDescent="0.2">
      <c r="A2" s="192" t="s">
        <v>330</v>
      </c>
      <c r="B2" s="198"/>
      <c r="C2" s="192" t="s">
        <v>1</v>
      </c>
      <c r="D2" s="193" t="s">
        <v>2</v>
      </c>
      <c r="E2" s="192" t="s">
        <v>231</v>
      </c>
      <c r="F2" s="192" t="s">
        <v>324</v>
      </c>
      <c r="G2" s="404" t="s">
        <v>468</v>
      </c>
    </row>
    <row r="3" spans="1:20" ht="28.5" x14ac:dyDescent="0.2">
      <c r="A3" s="192" t="s">
        <v>331</v>
      </c>
      <c r="B3" s="198"/>
      <c r="C3" s="192" t="s">
        <v>169</v>
      </c>
      <c r="D3" s="193" t="s">
        <v>155</v>
      </c>
      <c r="E3" s="192" t="s">
        <v>225</v>
      </c>
      <c r="F3" s="192" t="s">
        <v>320</v>
      </c>
      <c r="G3" s="405"/>
    </row>
    <row r="4" spans="1:20" ht="14.25" x14ac:dyDescent="0.2">
      <c r="A4" s="192" t="s">
        <v>167</v>
      </c>
      <c r="B4" s="198"/>
      <c r="C4" s="192" t="s">
        <v>173</v>
      </c>
      <c r="D4" s="193" t="s">
        <v>3</v>
      </c>
      <c r="E4" s="192" t="s">
        <v>226</v>
      </c>
      <c r="G4" s="405"/>
    </row>
    <row r="5" spans="1:20" ht="28.5" customHeight="1" x14ac:dyDescent="0.2">
      <c r="A5" s="198"/>
      <c r="C5" s="192" t="s">
        <v>174</v>
      </c>
      <c r="D5" s="193" t="s">
        <v>65</v>
      </c>
      <c r="E5" s="192" t="s">
        <v>228</v>
      </c>
      <c r="F5" s="266"/>
      <c r="G5" s="405"/>
    </row>
    <row r="6" spans="1:20" ht="42.75" x14ac:dyDescent="0.2">
      <c r="A6" s="198"/>
      <c r="B6" s="198"/>
      <c r="C6" s="192" t="s">
        <v>94</v>
      </c>
      <c r="D6" s="193" t="s">
        <v>85</v>
      </c>
      <c r="E6" s="192" t="s">
        <v>230</v>
      </c>
      <c r="F6" s="266"/>
      <c r="G6" s="266"/>
    </row>
    <row r="7" spans="1:20" ht="14.25" x14ac:dyDescent="0.2">
      <c r="A7" s="198"/>
      <c r="B7" s="198"/>
      <c r="C7" s="192" t="s">
        <v>249</v>
      </c>
      <c r="D7" s="193" t="s">
        <v>84</v>
      </c>
      <c r="E7" s="192" t="s">
        <v>233</v>
      </c>
      <c r="F7" s="266"/>
      <c r="G7" s="266"/>
    </row>
    <row r="8" spans="1:20" ht="14.25" x14ac:dyDescent="0.2">
      <c r="A8" s="198"/>
      <c r="B8" s="198"/>
      <c r="C8" s="192" t="s">
        <v>251</v>
      </c>
      <c r="D8" s="193" t="s">
        <v>163</v>
      </c>
      <c r="E8" s="192" t="s">
        <v>234</v>
      </c>
      <c r="F8" s="266"/>
      <c r="G8" s="266"/>
    </row>
    <row r="9" spans="1:20" ht="14.25" x14ac:dyDescent="0.2">
      <c r="A9" s="198"/>
      <c r="B9" s="198"/>
      <c r="C9" s="192" t="s">
        <v>252</v>
      </c>
      <c r="D9" s="193" t="s">
        <v>164</v>
      </c>
      <c r="E9" s="192" t="s">
        <v>72</v>
      </c>
      <c r="F9" s="266"/>
      <c r="G9" s="266"/>
    </row>
    <row r="10" spans="1:20" ht="28.5" x14ac:dyDescent="0.2">
      <c r="A10" s="198"/>
      <c r="B10" s="198"/>
      <c r="C10" s="192" t="s">
        <v>267</v>
      </c>
      <c r="D10" s="193" t="s">
        <v>183</v>
      </c>
      <c r="E10" s="192" t="s">
        <v>224</v>
      </c>
      <c r="F10" s="266"/>
      <c r="G10" s="266"/>
    </row>
    <row r="11" spans="1:20" ht="42.75" x14ac:dyDescent="0.2">
      <c r="A11" s="198"/>
      <c r="B11" s="198"/>
      <c r="C11" s="192" t="s">
        <v>4</v>
      </c>
      <c r="D11" s="193" t="s">
        <v>180</v>
      </c>
      <c r="E11" s="192" t="s">
        <v>229</v>
      </c>
      <c r="F11" s="266"/>
      <c r="G11" s="266"/>
    </row>
    <row r="12" spans="1:20" ht="28.5" x14ac:dyDescent="0.2">
      <c r="A12" s="198"/>
      <c r="B12" s="198"/>
      <c r="C12" s="192" t="s">
        <v>10</v>
      </c>
      <c r="D12" s="193" t="s">
        <v>59</v>
      </c>
      <c r="E12" s="192" t="s">
        <v>227</v>
      </c>
      <c r="F12" s="266"/>
      <c r="G12" s="266"/>
    </row>
    <row r="13" spans="1:20" ht="14.25" x14ac:dyDescent="0.2">
      <c r="A13" s="198"/>
      <c r="B13" s="198"/>
      <c r="C13" s="192" t="s">
        <v>268</v>
      </c>
      <c r="D13" s="193" t="s">
        <v>9</v>
      </c>
      <c r="E13" s="192" t="s">
        <v>232</v>
      </c>
      <c r="F13" s="266"/>
      <c r="G13" s="266"/>
    </row>
    <row r="14" spans="1:20" ht="14.25" x14ac:dyDescent="0.2">
      <c r="A14" s="198"/>
      <c r="B14" s="198"/>
      <c r="C14" s="192" t="s">
        <v>287</v>
      </c>
      <c r="D14" s="193" t="s">
        <v>326</v>
      </c>
      <c r="E14" s="192" t="s">
        <v>235</v>
      </c>
      <c r="F14" s="266"/>
      <c r="G14" s="266"/>
    </row>
    <row r="15" spans="1:20" ht="14.25" x14ac:dyDescent="0.2">
      <c r="A15" s="198"/>
      <c r="B15" s="198"/>
      <c r="C15" s="192" t="s">
        <v>269</v>
      </c>
      <c r="D15" s="193" t="s">
        <v>177</v>
      </c>
      <c r="E15" s="198"/>
      <c r="F15" s="266"/>
      <c r="G15" s="266"/>
    </row>
    <row r="16" spans="1:20" ht="28.5" x14ac:dyDescent="0.2">
      <c r="A16" s="198"/>
      <c r="B16" s="198"/>
      <c r="C16" s="192" t="s">
        <v>175</v>
      </c>
      <c r="D16" s="193" t="s">
        <v>184</v>
      </c>
      <c r="E16" s="198"/>
      <c r="F16" s="198"/>
      <c r="G16" s="198"/>
    </row>
    <row r="17" spans="1:7" ht="28.5" x14ac:dyDescent="0.2">
      <c r="A17" s="198"/>
      <c r="B17" s="198"/>
      <c r="C17" s="192" t="s">
        <v>179</v>
      </c>
      <c r="D17" s="194" t="s">
        <v>222</v>
      </c>
      <c r="E17" s="198"/>
      <c r="F17" s="198"/>
      <c r="G17" s="198"/>
    </row>
    <row r="18" spans="1:7" ht="28.5" x14ac:dyDescent="0.2">
      <c r="A18" s="198"/>
      <c r="B18" s="198"/>
      <c r="C18" s="192" t="s">
        <v>286</v>
      </c>
      <c r="D18" s="193" t="s">
        <v>66</v>
      </c>
      <c r="E18" s="198"/>
      <c r="F18" s="198"/>
      <c r="G18" s="198"/>
    </row>
    <row r="19" spans="1:7" ht="28.5" x14ac:dyDescent="0.2">
      <c r="A19" s="198"/>
      <c r="B19" s="198"/>
      <c r="C19" s="192" t="s">
        <v>176</v>
      </c>
      <c r="D19" s="193" t="s">
        <v>185</v>
      </c>
      <c r="E19" s="198"/>
      <c r="F19" s="198"/>
      <c r="G19" s="198"/>
    </row>
    <row r="20" spans="1:7" ht="28.5" x14ac:dyDescent="0.2">
      <c r="A20" s="198"/>
      <c r="B20" s="198"/>
      <c r="C20" s="192" t="s">
        <v>296</v>
      </c>
      <c r="D20" s="193" t="s">
        <v>186</v>
      </c>
      <c r="E20" s="198"/>
      <c r="F20" s="198"/>
      <c r="G20" s="198"/>
    </row>
    <row r="21" spans="1:7" ht="28.5" x14ac:dyDescent="0.2">
      <c r="A21" s="198"/>
      <c r="B21" s="198"/>
      <c r="C21" s="192" t="s">
        <v>161</v>
      </c>
      <c r="D21" s="194" t="s">
        <v>187</v>
      </c>
      <c r="E21" s="198"/>
      <c r="F21" s="198"/>
      <c r="G21" s="198"/>
    </row>
    <row r="22" spans="1:7" ht="42.75" x14ac:dyDescent="0.2">
      <c r="A22" s="198"/>
      <c r="B22" s="198"/>
      <c r="C22" s="192" t="s">
        <v>6</v>
      </c>
      <c r="D22" s="194" t="s">
        <v>188</v>
      </c>
      <c r="E22" s="198"/>
      <c r="F22" s="198"/>
      <c r="G22" s="198"/>
    </row>
    <row r="23" spans="1:7" ht="28.5" x14ac:dyDescent="0.2">
      <c r="A23" s="198"/>
      <c r="B23" s="198"/>
      <c r="C23" s="192" t="s">
        <v>325</v>
      </c>
      <c r="D23" s="194" t="s">
        <v>189</v>
      </c>
      <c r="E23" s="198"/>
      <c r="F23" s="198"/>
      <c r="G23" s="198"/>
    </row>
    <row r="24" spans="1:7" ht="28.5" x14ac:dyDescent="0.2">
      <c r="A24" s="198"/>
      <c r="B24" s="198"/>
      <c r="C24" s="192" t="s">
        <v>8</v>
      </c>
      <c r="D24" s="194" t="s">
        <v>253</v>
      </c>
      <c r="E24" s="198"/>
      <c r="F24" s="198"/>
      <c r="G24" s="198"/>
    </row>
    <row r="25" spans="1:7" ht="28.5" x14ac:dyDescent="0.2">
      <c r="A25" s="198"/>
      <c r="B25" s="198"/>
      <c r="C25" s="192" t="s">
        <v>57</v>
      </c>
      <c r="D25" s="194" t="s">
        <v>92</v>
      </c>
      <c r="E25" s="198"/>
      <c r="F25" s="198"/>
      <c r="G25" s="198"/>
    </row>
    <row r="26" spans="1:7" ht="28.5" x14ac:dyDescent="0.2">
      <c r="A26" s="198"/>
      <c r="B26" s="198"/>
      <c r="C26" s="192" t="s">
        <v>58</v>
      </c>
      <c r="D26" s="194" t="s">
        <v>327</v>
      </c>
      <c r="E26" s="198"/>
      <c r="F26" s="198"/>
      <c r="G26" s="198"/>
    </row>
    <row r="27" spans="1:7" ht="14.25" x14ac:dyDescent="0.2">
      <c r="A27" s="198"/>
      <c r="B27" s="198"/>
      <c r="C27" s="192" t="s">
        <v>338</v>
      </c>
      <c r="D27" s="194" t="s">
        <v>82</v>
      </c>
      <c r="E27" s="198"/>
      <c r="F27" s="198"/>
      <c r="G27" s="198"/>
    </row>
    <row r="28" spans="1:7" ht="28.5" x14ac:dyDescent="0.2">
      <c r="A28" s="198"/>
      <c r="B28" s="198"/>
      <c r="C28" s="192" t="s">
        <v>77</v>
      </c>
      <c r="D28" s="194" t="s">
        <v>190</v>
      </c>
      <c r="E28" s="198"/>
      <c r="F28" s="198"/>
      <c r="G28" s="198"/>
    </row>
    <row r="29" spans="1:7" ht="28.5" x14ac:dyDescent="0.2">
      <c r="A29" s="198"/>
      <c r="B29" s="198"/>
      <c r="C29" s="198"/>
      <c r="D29" s="194" t="s">
        <v>90</v>
      </c>
      <c r="E29" s="198"/>
      <c r="F29" s="198"/>
      <c r="G29" s="198"/>
    </row>
    <row r="30" spans="1:7" ht="14.25" x14ac:dyDescent="0.2">
      <c r="A30" s="198"/>
      <c r="B30" s="198"/>
      <c r="C30" s="198"/>
      <c r="D30" s="194" t="s">
        <v>86</v>
      </c>
      <c r="E30" s="198"/>
      <c r="F30" s="198"/>
      <c r="G30" s="198"/>
    </row>
    <row r="31" spans="1:7" ht="14.25" x14ac:dyDescent="0.2">
      <c r="A31" s="198"/>
      <c r="B31" s="198"/>
      <c r="C31" s="198"/>
      <c r="D31" s="194" t="s">
        <v>178</v>
      </c>
      <c r="E31" s="198"/>
      <c r="F31" s="198"/>
      <c r="G31" s="198"/>
    </row>
    <row r="32" spans="1:7" ht="14.25" x14ac:dyDescent="0.2">
      <c r="A32" s="198"/>
      <c r="B32" s="198"/>
      <c r="C32" s="198"/>
      <c r="D32" s="194" t="s">
        <v>61</v>
      </c>
      <c r="E32" s="198"/>
      <c r="F32" s="198"/>
      <c r="G32" s="198"/>
    </row>
    <row r="33" spans="1:7" ht="14.25" x14ac:dyDescent="0.2">
      <c r="A33" s="198"/>
      <c r="B33" s="198"/>
      <c r="C33" s="198"/>
      <c r="D33" s="194" t="s">
        <v>60</v>
      </c>
      <c r="E33" s="198"/>
      <c r="F33" s="198"/>
      <c r="G33" s="198"/>
    </row>
    <row r="34" spans="1:7" ht="14.25" x14ac:dyDescent="0.2">
      <c r="A34" s="198"/>
      <c r="B34" s="198"/>
      <c r="C34" s="198"/>
      <c r="D34" s="194" t="s">
        <v>71</v>
      </c>
      <c r="E34" s="198"/>
      <c r="F34" s="198"/>
      <c r="G34" s="198"/>
    </row>
    <row r="35" spans="1:7" ht="14.25" x14ac:dyDescent="0.2">
      <c r="A35" s="198"/>
      <c r="B35" s="198"/>
      <c r="C35" s="198"/>
      <c r="D35" s="194" t="s">
        <v>69</v>
      </c>
      <c r="E35" s="198"/>
      <c r="F35" s="198"/>
      <c r="G35" s="198"/>
    </row>
    <row r="36" spans="1:7" ht="28.5" x14ac:dyDescent="0.2">
      <c r="A36" s="198"/>
      <c r="B36" s="198"/>
      <c r="C36" s="198"/>
      <c r="D36" s="194" t="s">
        <v>67</v>
      </c>
      <c r="E36" s="198"/>
      <c r="F36" s="198"/>
      <c r="G36" s="198"/>
    </row>
    <row r="37" spans="1:7" ht="14.25" x14ac:dyDescent="0.2">
      <c r="A37" s="198"/>
      <c r="B37" s="198"/>
      <c r="C37" s="198"/>
      <c r="D37" s="194" t="s">
        <v>68</v>
      </c>
      <c r="E37" s="198"/>
      <c r="F37" s="198"/>
      <c r="G37" s="198"/>
    </row>
    <row r="38" spans="1:7" ht="14.25" x14ac:dyDescent="0.2">
      <c r="A38" s="198"/>
      <c r="B38" s="198"/>
      <c r="C38" s="198"/>
      <c r="D38" s="194" t="s">
        <v>78</v>
      </c>
      <c r="E38" s="198"/>
      <c r="F38" s="198"/>
      <c r="G38" s="198"/>
    </row>
    <row r="39" spans="1:7" ht="14.25" x14ac:dyDescent="0.2">
      <c r="A39" s="198"/>
      <c r="B39" s="198"/>
      <c r="C39" s="198"/>
      <c r="D39" s="194" t="s">
        <v>70</v>
      </c>
      <c r="E39" s="198"/>
      <c r="F39" s="198"/>
      <c r="G39" s="198"/>
    </row>
    <row r="40" spans="1:7" ht="14.25" x14ac:dyDescent="0.2">
      <c r="A40" s="198"/>
      <c r="B40" s="198"/>
      <c r="C40" s="198"/>
      <c r="D40" s="194" t="s">
        <v>141</v>
      </c>
      <c r="E40" s="198"/>
      <c r="F40" s="198"/>
      <c r="G40" s="198"/>
    </row>
    <row r="41" spans="1:7" ht="14.25" x14ac:dyDescent="0.2">
      <c r="A41" s="198"/>
      <c r="B41" s="198"/>
      <c r="C41" s="198"/>
      <c r="D41" s="194" t="s">
        <v>139</v>
      </c>
      <c r="E41" s="198"/>
      <c r="F41" s="198"/>
      <c r="G41" s="198"/>
    </row>
    <row r="42" spans="1:7" ht="14.25" x14ac:dyDescent="0.2">
      <c r="A42" s="198"/>
      <c r="B42" s="198"/>
      <c r="C42" s="198"/>
      <c r="D42" s="194" t="s">
        <v>62</v>
      </c>
      <c r="E42" s="198"/>
      <c r="F42" s="198"/>
      <c r="G42" s="198"/>
    </row>
    <row r="43" spans="1:7" ht="14.25" x14ac:dyDescent="0.2">
      <c r="A43" s="198"/>
      <c r="B43" s="198"/>
      <c r="C43" s="198"/>
      <c r="D43" s="194" t="s">
        <v>88</v>
      </c>
      <c r="E43" s="198"/>
      <c r="F43" s="198"/>
      <c r="G43" s="198"/>
    </row>
    <row r="44" spans="1:7" ht="14.25" x14ac:dyDescent="0.2">
      <c r="A44" s="198"/>
      <c r="B44" s="198"/>
      <c r="C44" s="198"/>
      <c r="D44" s="194" t="s">
        <v>254</v>
      </c>
      <c r="E44" s="198"/>
      <c r="F44" s="198"/>
      <c r="G44" s="198"/>
    </row>
    <row r="45" spans="1:7" ht="14.25" x14ac:dyDescent="0.2">
      <c r="A45" s="198"/>
      <c r="B45" s="198"/>
      <c r="C45" s="198"/>
      <c r="D45" s="194" t="s">
        <v>0</v>
      </c>
      <c r="E45" s="198"/>
      <c r="F45" s="198"/>
      <c r="G45" s="198"/>
    </row>
    <row r="46" spans="1:7" ht="14.25" x14ac:dyDescent="0.2">
      <c r="A46" s="198"/>
      <c r="B46" s="198"/>
      <c r="C46" s="198"/>
      <c r="D46" s="194" t="s">
        <v>89</v>
      </c>
      <c r="E46" s="198"/>
      <c r="F46" s="198"/>
      <c r="G46" s="198"/>
    </row>
    <row r="47" spans="1:7" ht="14.25" x14ac:dyDescent="0.2">
      <c r="A47" s="198"/>
      <c r="B47" s="198"/>
      <c r="C47" s="198"/>
      <c r="D47" s="195" t="s">
        <v>223</v>
      </c>
      <c r="E47" s="198"/>
      <c r="F47" s="198"/>
      <c r="G47" s="198"/>
    </row>
    <row r="48" spans="1:7" ht="14.25" x14ac:dyDescent="0.2">
      <c r="A48" s="198"/>
      <c r="B48" s="198"/>
      <c r="C48" s="198"/>
      <c r="D48" s="194" t="s">
        <v>264</v>
      </c>
      <c r="E48" s="198"/>
      <c r="F48" s="198"/>
      <c r="G48" s="198"/>
    </row>
    <row r="49" spans="1:7" ht="14.25" x14ac:dyDescent="0.2">
      <c r="A49" s="198"/>
      <c r="B49" s="198"/>
      <c r="C49" s="198"/>
      <c r="D49" s="194" t="s">
        <v>98</v>
      </c>
      <c r="E49" s="198"/>
      <c r="F49" s="198"/>
      <c r="G49" s="198"/>
    </row>
    <row r="50" spans="1:7" ht="14.25" x14ac:dyDescent="0.2">
      <c r="A50" s="198"/>
      <c r="B50" s="198"/>
      <c r="C50" s="198"/>
      <c r="D50" s="194" t="s">
        <v>99</v>
      </c>
      <c r="E50" s="198"/>
      <c r="F50" s="198"/>
      <c r="G50" s="198"/>
    </row>
    <row r="51" spans="1:7" ht="14.25" x14ac:dyDescent="0.2">
      <c r="A51" s="198"/>
      <c r="B51" s="198"/>
      <c r="C51" s="198"/>
      <c r="D51" s="194" t="s">
        <v>64</v>
      </c>
      <c r="E51" s="198"/>
      <c r="F51" s="198"/>
      <c r="G51" s="198"/>
    </row>
    <row r="52" spans="1:7" ht="14.25" x14ac:dyDescent="0.2">
      <c r="A52" s="198"/>
      <c r="B52" s="198"/>
      <c r="C52" s="198"/>
      <c r="D52" s="194" t="s">
        <v>87</v>
      </c>
      <c r="E52" s="198"/>
      <c r="F52" s="198"/>
      <c r="G52" s="198"/>
    </row>
    <row r="53" spans="1:7" ht="28.5" x14ac:dyDescent="0.2">
      <c r="A53" s="198"/>
      <c r="B53" s="198"/>
      <c r="C53" s="198"/>
      <c r="D53" s="194" t="s">
        <v>205</v>
      </c>
      <c r="E53" s="198"/>
      <c r="F53" s="198"/>
      <c r="G53" s="198"/>
    </row>
    <row r="54" spans="1:7" ht="14.25" x14ac:dyDescent="0.2">
      <c r="A54" s="198"/>
      <c r="B54" s="198"/>
      <c r="C54" s="198"/>
      <c r="D54" s="194" t="s">
        <v>91</v>
      </c>
      <c r="E54" s="198"/>
      <c r="F54" s="198"/>
      <c r="G54" s="198"/>
    </row>
    <row r="55" spans="1:7" ht="14.25" x14ac:dyDescent="0.2">
      <c r="A55" s="198"/>
      <c r="B55" s="198"/>
      <c r="C55" s="198"/>
      <c r="D55" s="194" t="s">
        <v>83</v>
      </c>
      <c r="E55" s="198"/>
      <c r="F55" s="198"/>
      <c r="G55" s="198"/>
    </row>
    <row r="56" spans="1:7" ht="14.25" x14ac:dyDescent="0.2">
      <c r="A56" s="198"/>
      <c r="B56" s="198"/>
      <c r="C56" s="198"/>
      <c r="D56" s="194" t="s">
        <v>63</v>
      </c>
      <c r="E56" s="198"/>
      <c r="F56" s="198"/>
      <c r="G56" s="198"/>
    </row>
    <row r="57" spans="1:7" ht="28.5" x14ac:dyDescent="0.2">
      <c r="A57" s="198"/>
      <c r="B57" s="198"/>
      <c r="C57" s="198"/>
      <c r="D57" s="194" t="s">
        <v>210</v>
      </c>
      <c r="E57" s="198"/>
      <c r="F57" s="198"/>
      <c r="G57" s="198"/>
    </row>
    <row r="58" spans="1:7" ht="14.25" x14ac:dyDescent="0.2">
      <c r="A58" s="198"/>
      <c r="B58" s="198"/>
      <c r="C58" s="198"/>
      <c r="D58" s="194" t="s">
        <v>212</v>
      </c>
      <c r="E58" s="198"/>
      <c r="F58" s="198"/>
      <c r="G58" s="198"/>
    </row>
    <row r="59" spans="1:7" ht="14.25" x14ac:dyDescent="0.2">
      <c r="A59" s="198"/>
      <c r="B59" s="198"/>
      <c r="C59" s="198"/>
      <c r="D59" s="194" t="s">
        <v>214</v>
      </c>
      <c r="E59" s="198"/>
      <c r="F59" s="198"/>
      <c r="G59" s="198"/>
    </row>
    <row r="60" spans="1:7" ht="28.5" x14ac:dyDescent="0.2">
      <c r="A60" s="198"/>
      <c r="B60" s="198"/>
      <c r="C60" s="198"/>
      <c r="D60" s="194" t="s">
        <v>328</v>
      </c>
      <c r="E60" s="198"/>
      <c r="F60" s="198"/>
      <c r="G60" s="198"/>
    </row>
    <row r="61" spans="1:7" ht="28.5" x14ac:dyDescent="0.2">
      <c r="A61" s="198"/>
      <c r="B61" s="198"/>
      <c r="C61" s="198"/>
      <c r="D61" s="194" t="s">
        <v>217</v>
      </c>
      <c r="E61" s="198"/>
      <c r="F61" s="198"/>
      <c r="G61" s="198"/>
    </row>
    <row r="62" spans="1:7" ht="14.25" x14ac:dyDescent="0.2">
      <c r="A62" s="198"/>
      <c r="B62" s="198"/>
      <c r="C62" s="198"/>
      <c r="D62" s="194" t="s">
        <v>300</v>
      </c>
      <c r="E62" s="198"/>
      <c r="F62" s="198"/>
      <c r="G62" s="198"/>
    </row>
    <row r="63" spans="1:7" ht="14.25" x14ac:dyDescent="0.2">
      <c r="A63" s="198"/>
      <c r="B63" s="198"/>
      <c r="C63" s="198"/>
      <c r="D63" s="194" t="s">
        <v>297</v>
      </c>
      <c r="E63" s="198"/>
      <c r="F63" s="198"/>
      <c r="G63" s="198"/>
    </row>
    <row r="64" spans="1:7" ht="14.25" x14ac:dyDescent="0.2">
      <c r="A64" s="198"/>
      <c r="B64" s="198"/>
      <c r="C64" s="198"/>
      <c r="D64" s="194" t="s">
        <v>440</v>
      </c>
      <c r="E64" s="198"/>
      <c r="F64" s="198"/>
      <c r="G64" s="198"/>
    </row>
    <row r="65" spans="1:7" ht="14.25" x14ac:dyDescent="0.2">
      <c r="A65" s="198"/>
      <c r="B65" s="198"/>
      <c r="C65" s="198"/>
      <c r="D65" s="194" t="s">
        <v>441</v>
      </c>
      <c r="E65" s="198"/>
      <c r="F65" s="198"/>
      <c r="G65" s="198"/>
    </row>
    <row r="66" spans="1:7" ht="28.5" x14ac:dyDescent="0.2">
      <c r="A66" s="198"/>
      <c r="B66" s="198"/>
      <c r="C66" s="198"/>
      <c r="D66" s="194" t="s">
        <v>442</v>
      </c>
      <c r="E66" s="198"/>
      <c r="F66" s="198"/>
      <c r="G66" s="198"/>
    </row>
    <row r="67" spans="1:7" ht="14.25" x14ac:dyDescent="0.2">
      <c r="A67" s="198"/>
      <c r="B67" s="198"/>
      <c r="C67" s="198"/>
      <c r="D67" s="194" t="s">
        <v>443</v>
      </c>
      <c r="E67" s="198"/>
      <c r="F67" s="198"/>
      <c r="G67" s="198"/>
    </row>
    <row r="68" spans="1:7" ht="14.25" x14ac:dyDescent="0.2">
      <c r="A68" s="198"/>
      <c r="B68" s="198"/>
      <c r="C68" s="198"/>
      <c r="D68" s="194" t="s">
        <v>444</v>
      </c>
      <c r="E68" s="198"/>
      <c r="F68" s="198"/>
      <c r="G68" s="198"/>
    </row>
    <row r="69" spans="1:7" ht="14.25" x14ac:dyDescent="0.2">
      <c r="A69" s="198"/>
      <c r="B69" s="198"/>
      <c r="C69" s="198"/>
      <c r="D69" s="194" t="s">
        <v>445</v>
      </c>
      <c r="E69" s="198"/>
      <c r="F69" s="198"/>
      <c r="G69" s="198"/>
    </row>
    <row r="70" spans="1:7" ht="28.5" x14ac:dyDescent="0.2">
      <c r="A70" s="198"/>
      <c r="B70" s="198"/>
      <c r="C70" s="198"/>
      <c r="D70" s="194" t="s">
        <v>446</v>
      </c>
      <c r="E70" s="198"/>
      <c r="F70" s="198"/>
      <c r="G70" s="198"/>
    </row>
    <row r="71" spans="1:7" ht="28.5" x14ac:dyDescent="0.2">
      <c r="A71" s="198"/>
      <c r="B71" s="198"/>
      <c r="C71" s="198"/>
      <c r="D71" s="194" t="s">
        <v>447</v>
      </c>
      <c r="E71" s="198"/>
      <c r="F71" s="198"/>
      <c r="G71" s="198"/>
    </row>
    <row r="72" spans="1:7" ht="14.25" x14ac:dyDescent="0.2">
      <c r="A72" s="198"/>
      <c r="B72" s="198"/>
      <c r="C72" s="198"/>
      <c r="D72" s="194" t="s">
        <v>448</v>
      </c>
      <c r="E72" s="198"/>
      <c r="F72" s="198"/>
      <c r="G72" s="198"/>
    </row>
    <row r="73" spans="1:7" ht="14.25" x14ac:dyDescent="0.2">
      <c r="A73" s="198"/>
      <c r="B73" s="198"/>
      <c r="C73" s="198"/>
      <c r="D73" s="194" t="s">
        <v>449</v>
      </c>
      <c r="E73" s="198"/>
      <c r="F73" s="198"/>
      <c r="G73" s="198"/>
    </row>
    <row r="74" spans="1:7" ht="28.5" x14ac:dyDescent="0.2">
      <c r="A74" s="198"/>
      <c r="B74" s="198"/>
      <c r="C74" s="198"/>
      <c r="D74" s="194" t="s">
        <v>450</v>
      </c>
      <c r="E74" s="198"/>
      <c r="F74" s="198"/>
      <c r="G74" s="198"/>
    </row>
    <row r="75" spans="1:7" ht="14.25" x14ac:dyDescent="0.2">
      <c r="A75" s="198"/>
      <c r="B75" s="198"/>
      <c r="C75" s="198"/>
      <c r="D75" s="194" t="s">
        <v>451</v>
      </c>
      <c r="E75" s="198"/>
      <c r="F75" s="198"/>
      <c r="G75" s="198"/>
    </row>
    <row r="76" spans="1:7" ht="14.25" x14ac:dyDescent="0.2">
      <c r="A76" s="198"/>
      <c r="B76" s="198"/>
      <c r="C76" s="198"/>
      <c r="D76" s="194" t="s">
        <v>452</v>
      </c>
      <c r="E76" s="198"/>
      <c r="F76" s="198"/>
      <c r="G76" s="198"/>
    </row>
    <row r="77" spans="1:7" ht="28.5" x14ac:dyDescent="0.2">
      <c r="A77" s="198"/>
      <c r="B77" s="198"/>
      <c r="C77" s="198"/>
      <c r="D77" s="194" t="s">
        <v>453</v>
      </c>
      <c r="E77" s="198"/>
      <c r="F77" s="198"/>
      <c r="G77" s="198"/>
    </row>
    <row r="78" spans="1:7" ht="28.5" x14ac:dyDescent="0.2">
      <c r="A78" s="198"/>
      <c r="B78" s="198"/>
      <c r="C78" s="198"/>
      <c r="D78" s="194" t="s">
        <v>454</v>
      </c>
      <c r="E78" s="198"/>
      <c r="F78" s="198"/>
      <c r="G78" s="198"/>
    </row>
    <row r="79" spans="1:7" ht="14.25" x14ac:dyDescent="0.2">
      <c r="A79" s="198"/>
      <c r="B79" s="198"/>
      <c r="C79" s="198"/>
      <c r="D79" s="194" t="s">
        <v>455</v>
      </c>
      <c r="E79" s="198"/>
      <c r="F79" s="198"/>
      <c r="G79" s="198"/>
    </row>
    <row r="80" spans="1:7" ht="28.5" x14ac:dyDescent="0.2">
      <c r="A80" s="198"/>
      <c r="B80" s="198"/>
      <c r="C80" s="198"/>
      <c r="D80" s="194" t="s">
        <v>456</v>
      </c>
      <c r="E80" s="198"/>
      <c r="F80" s="198"/>
      <c r="G80" s="198"/>
    </row>
    <row r="81" spans="1:7" ht="28.5" x14ac:dyDescent="0.2">
      <c r="A81" s="198"/>
      <c r="B81" s="198"/>
      <c r="C81" s="198"/>
      <c r="D81" s="194" t="s">
        <v>457</v>
      </c>
      <c r="E81" s="198"/>
      <c r="F81" s="198"/>
      <c r="G81" s="198"/>
    </row>
    <row r="82" spans="1:7" ht="14.25" x14ac:dyDescent="0.2">
      <c r="A82" s="198"/>
      <c r="B82" s="198"/>
      <c r="C82" s="198"/>
      <c r="D82" s="194" t="s">
        <v>458</v>
      </c>
      <c r="E82" s="198"/>
      <c r="F82" s="198"/>
      <c r="G82" s="198"/>
    </row>
    <row r="83" spans="1:7" ht="14.25" x14ac:dyDescent="0.2">
      <c r="A83" s="198"/>
      <c r="B83" s="198"/>
      <c r="C83" s="198"/>
      <c r="D83" s="194" t="s">
        <v>459</v>
      </c>
      <c r="E83" s="198"/>
      <c r="F83" s="198"/>
      <c r="G83" s="198"/>
    </row>
    <row r="84" spans="1:7" ht="28.5" x14ac:dyDescent="0.2">
      <c r="A84" s="198"/>
      <c r="B84" s="198"/>
      <c r="C84" s="198"/>
      <c r="D84" s="194" t="s">
        <v>460</v>
      </c>
      <c r="E84" s="198"/>
      <c r="F84" s="198"/>
      <c r="G84" s="198"/>
    </row>
    <row r="85" spans="1:7" ht="42.75" x14ac:dyDescent="0.2">
      <c r="A85" s="198"/>
      <c r="B85" s="198"/>
      <c r="C85" s="198"/>
      <c r="D85" s="194" t="s">
        <v>461</v>
      </c>
      <c r="E85" s="198"/>
      <c r="F85" s="198"/>
      <c r="G85" s="198"/>
    </row>
    <row r="86" spans="1:7" ht="28.5" x14ac:dyDescent="0.2">
      <c r="A86" s="198"/>
      <c r="B86" s="198"/>
      <c r="C86" s="198"/>
      <c r="D86" s="194" t="s">
        <v>462</v>
      </c>
      <c r="E86" s="198"/>
      <c r="F86" s="198"/>
      <c r="G86" s="198"/>
    </row>
    <row r="87" spans="1:7" ht="42.75" x14ac:dyDescent="0.2">
      <c r="A87" s="198"/>
      <c r="B87" s="198"/>
      <c r="C87" s="198"/>
      <c r="D87" s="194" t="s">
        <v>463</v>
      </c>
      <c r="E87" s="198"/>
      <c r="F87" s="198"/>
      <c r="G87" s="198"/>
    </row>
    <row r="88" spans="1:7" ht="28.5" x14ac:dyDescent="0.2">
      <c r="A88" s="198"/>
      <c r="B88" s="198"/>
      <c r="C88" s="198"/>
      <c r="D88" s="194" t="s">
        <v>464</v>
      </c>
      <c r="E88" s="198"/>
      <c r="F88" s="198"/>
      <c r="G88" s="198"/>
    </row>
    <row r="89" spans="1:7" ht="28.5" x14ac:dyDescent="0.2">
      <c r="A89" s="198"/>
      <c r="B89" s="198"/>
      <c r="C89" s="198"/>
      <c r="D89" s="194" t="s">
        <v>465</v>
      </c>
      <c r="E89" s="198"/>
      <c r="F89" s="198"/>
      <c r="G89" s="198"/>
    </row>
    <row r="90" spans="1:7" ht="28.5" x14ac:dyDescent="0.2">
      <c r="A90" s="198"/>
      <c r="B90" s="198"/>
      <c r="C90" s="198"/>
      <c r="D90" s="194" t="s">
        <v>466</v>
      </c>
      <c r="E90" s="198"/>
      <c r="F90" s="198"/>
      <c r="G90" s="198"/>
    </row>
    <row r="91" spans="1:7" ht="14.25" x14ac:dyDescent="0.2">
      <c r="A91" s="198"/>
      <c r="B91" s="198"/>
      <c r="C91" s="198"/>
      <c r="D91" s="194" t="s">
        <v>467</v>
      </c>
      <c r="E91" s="198"/>
      <c r="F91" s="198"/>
      <c r="G91" s="198"/>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3"/>
  <sheetViews>
    <sheetView showWhiteSpace="0" view="pageLayout" workbookViewId="0">
      <selection activeCell="A2" sqref="A2"/>
    </sheetView>
  </sheetViews>
  <sheetFormatPr defaultColWidth="0" defaultRowHeight="12.75" x14ac:dyDescent="0.2"/>
  <cols>
    <col min="1" max="1" width="95.28515625" style="275" customWidth="1"/>
    <col min="2" max="2" width="18.28515625" hidden="1" customWidth="1"/>
    <col min="3" max="16384" width="9.140625" hidden="1"/>
  </cols>
  <sheetData>
    <row r="1" spans="1:8" s="1" customFormat="1" ht="31.5" x14ac:dyDescent="0.2">
      <c r="A1" s="272" t="str">
        <f>Capa!A1</f>
        <v>Contrato de Gestão nº. 05/20 celebrado entre a Fundação Clóvis Salgado e a Associação Pró-Cultura e Promoção das Artes</v>
      </c>
      <c r="B1" s="767" t="str">
        <f>Capa!A1</f>
        <v>Contrato de Gestão nº. 05/20 celebrado entre a Fundação Clóvis Salgado e a Associação Pró-Cultura e Promoção das Artes</v>
      </c>
      <c r="C1" s="767"/>
      <c r="D1" s="767"/>
      <c r="E1" s="767"/>
      <c r="F1" s="767"/>
      <c r="G1" s="767"/>
      <c r="H1" s="767"/>
    </row>
    <row r="2" spans="1:8" s="1" customFormat="1" ht="15.75" x14ac:dyDescent="0.2">
      <c r="A2" s="273"/>
      <c r="B2" s="768">
        <f>Capa!A3</f>
        <v>0</v>
      </c>
      <c r="C2" s="768"/>
      <c r="D2" s="768"/>
      <c r="E2" s="768"/>
      <c r="F2" s="768"/>
      <c r="G2" s="768"/>
      <c r="H2" s="768"/>
    </row>
    <row r="3" spans="1:8" s="1" customFormat="1" ht="15.75" x14ac:dyDescent="0.2">
      <c r="A3" s="273" t="s">
        <v>389</v>
      </c>
      <c r="B3" s="273"/>
      <c r="C3" s="273"/>
      <c r="D3" s="273"/>
      <c r="E3" s="273"/>
      <c r="F3" s="273"/>
      <c r="G3" s="273"/>
      <c r="H3" s="273"/>
    </row>
    <row r="4" spans="1:8" ht="308.25" customHeight="1" x14ac:dyDescent="0.2">
      <c r="A4" s="274" t="s">
        <v>9238</v>
      </c>
    </row>
    <row r="5" spans="1:8" ht="125.25" customHeight="1" x14ac:dyDescent="0.2">
      <c r="A5" s="274" t="s">
        <v>9237</v>
      </c>
    </row>
    <row r="6" spans="1:8" ht="46.5" hidden="1" customHeight="1" x14ac:dyDescent="0.2">
      <c r="A6" s="274"/>
    </row>
    <row r="7" spans="1:8" ht="85.5" customHeight="1" x14ac:dyDescent="0.2">
      <c r="A7" s="274"/>
    </row>
    <row r="8" spans="1:8" ht="163.5" customHeight="1" x14ac:dyDescent="0.2">
      <c r="A8" s="274"/>
    </row>
    <row r="9" spans="1:8" ht="21" customHeight="1" x14ac:dyDescent="0.2">
      <c r="A9" s="274"/>
    </row>
    <row r="10" spans="1:8" ht="87.75" customHeight="1" x14ac:dyDescent="0.2">
      <c r="A10" s="274"/>
    </row>
    <row r="11" spans="1:8" ht="0.75" customHeight="1" x14ac:dyDescent="0.2">
      <c r="A11" s="274"/>
    </row>
    <row r="12" spans="1:8" ht="117" customHeight="1" x14ac:dyDescent="0.2">
      <c r="A12" s="274"/>
    </row>
    <row r="13" spans="1:8" ht="131.25" customHeight="1" x14ac:dyDescent="0.2">
      <c r="A13" s="274"/>
    </row>
    <row r="14" spans="1:8" ht="75" customHeight="1" x14ac:dyDescent="0.2">
      <c r="A14" s="274"/>
    </row>
    <row r="15" spans="1:8" ht="189" customHeight="1" x14ac:dyDescent="0.2">
      <c r="A15" s="274"/>
    </row>
    <row r="16" spans="1:8" ht="81.75" customHeight="1" x14ac:dyDescent="0.2">
      <c r="A16" s="274"/>
    </row>
    <row r="17" spans="1:1" ht="84" customHeight="1" x14ac:dyDescent="0.2">
      <c r="A17" s="274"/>
    </row>
    <row r="18" spans="1:1" ht="48.75" customHeight="1" x14ac:dyDescent="0.2">
      <c r="A18" s="274"/>
    </row>
    <row r="19" spans="1:1" ht="102.75" customHeight="1" x14ac:dyDescent="0.2">
      <c r="A19" s="274"/>
    </row>
    <row r="20" spans="1:1" ht="129" customHeight="1" x14ac:dyDescent="0.2">
      <c r="A20" s="274"/>
    </row>
    <row r="21" spans="1:1" ht="101.25" customHeight="1" x14ac:dyDescent="0.2">
      <c r="A21" s="274"/>
    </row>
    <row r="22" spans="1:1" ht="91.5" customHeight="1" x14ac:dyDescent="0.2">
      <c r="A22" s="274"/>
    </row>
    <row r="23" spans="1:1" ht="0.75" customHeight="1" x14ac:dyDescent="0.2">
      <c r="A23" s="274"/>
    </row>
    <row r="24" spans="1:1" ht="81.75" customHeight="1" x14ac:dyDescent="0.2">
      <c r="A24" s="274"/>
    </row>
    <row r="25" spans="1:1" ht="83.25" customHeight="1" x14ac:dyDescent="0.2">
      <c r="A25" s="274"/>
    </row>
    <row r="26" spans="1:1" ht="77.25" customHeight="1" x14ac:dyDescent="0.2">
      <c r="A26" s="274"/>
    </row>
    <row r="27" spans="1:1" ht="34.5" customHeight="1" x14ac:dyDescent="0.2">
      <c r="A27" s="274"/>
    </row>
    <row r="28" spans="1:1" ht="109.5" customHeight="1" x14ac:dyDescent="0.2">
      <c r="A28" s="274"/>
    </row>
    <row r="29" spans="1:1" ht="61.5" customHeight="1" x14ac:dyDescent="0.2">
      <c r="A29" s="320"/>
    </row>
    <row r="30" spans="1:1" ht="49.5" customHeight="1" x14ac:dyDescent="0.2">
      <c r="A30" s="320"/>
    </row>
    <row r="31" spans="1:1" ht="320.25" customHeight="1" x14ac:dyDescent="0.2">
      <c r="A31" s="274"/>
    </row>
    <row r="32" spans="1:1" ht="115.5" customHeight="1" x14ac:dyDescent="0.2">
      <c r="A32" s="274"/>
    </row>
    <row r="33" spans="1:1" ht="72" hidden="1" customHeight="1" x14ac:dyDescent="0.2">
      <c r="A33" s="274"/>
    </row>
    <row r="34" spans="1:1" ht="87" customHeight="1" x14ac:dyDescent="0.2">
      <c r="A34" s="274"/>
    </row>
    <row r="35" spans="1:1" ht="129.75" customHeight="1" x14ac:dyDescent="0.2">
      <c r="A35" s="274"/>
    </row>
    <row r="36" spans="1:1" ht="105.75" hidden="1" customHeight="1" x14ac:dyDescent="0.2">
      <c r="A36" s="274"/>
    </row>
    <row r="37" spans="1:1" ht="117.75" customHeight="1" x14ac:dyDescent="0.2">
      <c r="A37" s="274"/>
    </row>
    <row r="38" spans="1:1" ht="1.5" customHeight="1" x14ac:dyDescent="0.2">
      <c r="A38" s="274"/>
    </row>
    <row r="39" spans="1:1" ht="131.25" customHeight="1" x14ac:dyDescent="0.2">
      <c r="A39" s="274"/>
    </row>
    <row r="40" spans="1:1" ht="99" customHeight="1" x14ac:dyDescent="0.2">
      <c r="A40" s="274"/>
    </row>
    <row r="41" spans="1:1" ht="79.5" hidden="1" customHeight="1" x14ac:dyDescent="0.2">
      <c r="A41" s="274"/>
    </row>
    <row r="42" spans="1:1" ht="100.5" customHeight="1" x14ac:dyDescent="0.2">
      <c r="A42" s="274"/>
    </row>
    <row r="43" spans="1:1" ht="154.5" customHeight="1" x14ac:dyDescent="0.2">
      <c r="A43" s="274"/>
    </row>
    <row r="44" spans="1:1" ht="135" customHeight="1" x14ac:dyDescent="0.2">
      <c r="A44" s="274"/>
    </row>
    <row r="45" spans="1:1" ht="139.5" customHeight="1" x14ac:dyDescent="0.2">
      <c r="A45" s="274"/>
    </row>
    <row r="46" spans="1:1" ht="105.75" customHeight="1" x14ac:dyDescent="0.2">
      <c r="A46" s="274"/>
    </row>
    <row r="47" spans="1:1" ht="172.5" customHeight="1" x14ac:dyDescent="0.2">
      <c r="A47" s="274"/>
    </row>
    <row r="48" spans="1:1" ht="123" customHeight="1" x14ac:dyDescent="0.2">
      <c r="A48" s="274"/>
    </row>
    <row r="49" spans="1:1" ht="121.5" customHeight="1" x14ac:dyDescent="0.2">
      <c r="A49" s="274"/>
    </row>
    <row r="50" spans="1:1" ht="83.25" customHeight="1" x14ac:dyDescent="0.2">
      <c r="A50" s="274"/>
    </row>
    <row r="51" spans="1:1" ht="84.75" customHeight="1" x14ac:dyDescent="0.2">
      <c r="A51" s="274"/>
    </row>
    <row r="52" spans="1:1" ht="94.5" customHeight="1" x14ac:dyDescent="0.2">
      <c r="A52" s="274"/>
    </row>
    <row r="53" spans="1:1" ht="106.5" customHeight="1" x14ac:dyDescent="0.2">
      <c r="A53" s="274"/>
    </row>
    <row r="54" spans="1:1" ht="82.5" customHeight="1" x14ac:dyDescent="0.2">
      <c r="A54" s="274"/>
    </row>
    <row r="55" spans="1:1" ht="96" customHeight="1" x14ac:dyDescent="0.2">
      <c r="A55" s="274"/>
    </row>
    <row r="56" spans="1:1" ht="81.75" customHeight="1" x14ac:dyDescent="0.2">
      <c r="A56" s="274"/>
    </row>
    <row r="57" spans="1:1" ht="90.75" customHeight="1" x14ac:dyDescent="0.2">
      <c r="A57" s="274"/>
    </row>
    <row r="58" spans="1:1" ht="99" customHeight="1" x14ac:dyDescent="0.2">
      <c r="A58" s="274"/>
    </row>
    <row r="59" spans="1:1" ht="81.75" customHeight="1" x14ac:dyDescent="0.2">
      <c r="A59" s="274"/>
    </row>
    <row r="60" spans="1:1" ht="115.5" customHeight="1" x14ac:dyDescent="0.2">
      <c r="A60" s="274"/>
    </row>
    <row r="61" spans="1:1" ht="66.75" customHeight="1" x14ac:dyDescent="0.2">
      <c r="A61" s="274"/>
    </row>
    <row r="62" spans="1:1" ht="81" customHeight="1" x14ac:dyDescent="0.2">
      <c r="A62" s="274"/>
    </row>
    <row r="63" spans="1:1" ht="60.75" customHeight="1" x14ac:dyDescent="0.2">
      <c r="A63" s="274"/>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pageSetUpPr fitToPage="1"/>
  </sheetPr>
  <dimension ref="A1:O76"/>
  <sheetViews>
    <sheetView view="pageBreakPreview" zoomScale="85" zoomScaleNormal="85" zoomScaleSheetLayoutView="85" workbookViewId="0">
      <selection activeCell="C19" sqref="C19"/>
    </sheetView>
  </sheetViews>
  <sheetFormatPr defaultColWidth="9.140625" defaultRowHeight="12.75" x14ac:dyDescent="0.2"/>
  <cols>
    <col min="1" max="1" width="4.7109375" style="1" customWidth="1"/>
    <col min="2" max="2" width="89.7109375" style="1" customWidth="1"/>
    <col min="3" max="3" width="18" style="1" customWidth="1"/>
    <col min="4" max="14" width="15.42578125" style="1" customWidth="1"/>
    <col min="15" max="15" width="4" style="1" customWidth="1"/>
    <col min="16" max="16384" width="9.140625" style="1"/>
  </cols>
  <sheetData>
    <row r="1" spans="1:14" ht="32.25" customHeight="1" x14ac:dyDescent="0.2">
      <c r="A1" s="767" t="str">
        <f>Capa!A1</f>
        <v>Contrato de Gestão nº. 05/20 celebrado entre a Fundação Clóvis Salgado e a Associação Pró-Cultura e Promoção das Artes</v>
      </c>
      <c r="B1" s="767"/>
      <c r="C1" s="767"/>
      <c r="D1" s="767"/>
      <c r="E1" s="767"/>
      <c r="F1" s="767"/>
      <c r="G1" s="767"/>
      <c r="H1" s="767"/>
      <c r="I1" s="767"/>
      <c r="J1" s="767"/>
      <c r="K1" s="767"/>
      <c r="L1" s="767"/>
      <c r="M1" s="767"/>
      <c r="N1" s="767"/>
    </row>
    <row r="2" spans="1:14" ht="24" customHeight="1" x14ac:dyDescent="0.2">
      <c r="A2" s="768">
        <f>Capa!A3</f>
        <v>0</v>
      </c>
      <c r="B2" s="768"/>
      <c r="C2" s="768"/>
      <c r="D2" s="768"/>
      <c r="E2" s="768"/>
      <c r="F2" s="768"/>
      <c r="G2" s="768"/>
      <c r="H2" s="768"/>
      <c r="I2" s="768"/>
      <c r="J2" s="768"/>
      <c r="K2" s="768"/>
      <c r="L2" s="768"/>
      <c r="M2" s="768"/>
      <c r="N2" s="768"/>
    </row>
    <row r="3" spans="1:14" ht="25.5" customHeight="1" thickBot="1" x14ac:dyDescent="0.25">
      <c r="A3" s="775" t="s">
        <v>290</v>
      </c>
      <c r="B3" s="775"/>
      <c r="C3" s="775"/>
      <c r="D3" s="775"/>
      <c r="E3" s="775"/>
      <c r="F3" s="775"/>
      <c r="G3" s="775"/>
      <c r="H3" s="775"/>
      <c r="I3" s="775"/>
      <c r="J3" s="775"/>
      <c r="K3" s="775"/>
      <c r="L3" s="775"/>
      <c r="M3" s="775"/>
      <c r="N3" s="775"/>
    </row>
    <row r="4" spans="1:14" ht="24" customHeight="1" thickTop="1" x14ac:dyDescent="0.2">
      <c r="A4" s="5"/>
      <c r="B4" s="774"/>
      <c r="C4" s="339" t="str">
        <f>VLOOKUP(MONTH(C5),Capa!$C$16:$D$27,2,FALSE)</f>
        <v>Janeiro</v>
      </c>
      <c r="D4" s="339" t="str">
        <f>VLOOKUP(MONTH(D5),Capa!$C$16:$D$27,2,FALSE)</f>
        <v>Fevereiro</v>
      </c>
      <c r="E4" s="339" t="str">
        <f>VLOOKUP(MONTH(E5),Capa!$C$16:$D$27,2,FALSE)</f>
        <v>Março</v>
      </c>
      <c r="F4" s="339" t="str">
        <f>VLOOKUP(MONTH(F5),Capa!$C$16:$D$27,2,FALSE)</f>
        <v>Abril</v>
      </c>
      <c r="G4" s="339" t="str">
        <f>VLOOKUP(MONTH(G5),Capa!$C$16:$D$27,2,FALSE)</f>
        <v>Maio</v>
      </c>
      <c r="H4" s="339" t="str">
        <f>VLOOKUP(MONTH(H5),Capa!$C$16:$D$27,2,FALSE)</f>
        <v>Junho</v>
      </c>
      <c r="I4" s="339" t="str">
        <f>VLOOKUP(MONTH(I5),Capa!$C$16:$D$27,2,FALSE)</f>
        <v>Julho</v>
      </c>
      <c r="J4" s="339" t="str">
        <f>VLOOKUP(MONTH(J5),Capa!$C$16:$D$27,2,FALSE)</f>
        <v>Agosto</v>
      </c>
      <c r="K4" s="339" t="str">
        <f>VLOOKUP(MONTH(K5),Capa!$C$16:$D$27,2,FALSE)</f>
        <v>Setembro</v>
      </c>
      <c r="L4" s="339" t="str">
        <f>VLOOKUP(MONTH(L5),Capa!$C$16:$D$27,2,FALSE)</f>
        <v>Outubro</v>
      </c>
      <c r="M4" s="339" t="str">
        <f>VLOOKUP(MONTH(M5),Capa!$C$16:$D$27,2,FALSE)</f>
        <v>Novembro</v>
      </c>
      <c r="N4" s="339" t="str">
        <f>VLOOKUP(MONTH(N5),Capa!$C$16:$D$27,2,FALSE)</f>
        <v>Dezembro</v>
      </c>
    </row>
    <row r="5" spans="1:14" ht="15" x14ac:dyDescent="0.2">
      <c r="A5" s="5"/>
      <c r="B5" s="775"/>
      <c r="C5" s="286">
        <v>44562</v>
      </c>
      <c r="D5" s="340">
        <f>DATE(YEAR(C5),MONTH(C5)+1,1)</f>
        <v>44593</v>
      </c>
      <c r="E5" s="340">
        <f t="shared" ref="E5:N5" si="0">DATE(YEAR(D5),MONTH(D5)+1,1)</f>
        <v>44621</v>
      </c>
      <c r="F5" s="340">
        <f t="shared" si="0"/>
        <v>44652</v>
      </c>
      <c r="G5" s="340">
        <f t="shared" si="0"/>
        <v>44682</v>
      </c>
      <c r="H5" s="340">
        <f t="shared" si="0"/>
        <v>44713</v>
      </c>
      <c r="I5" s="340">
        <f t="shared" si="0"/>
        <v>44743</v>
      </c>
      <c r="J5" s="340">
        <f t="shared" si="0"/>
        <v>44774</v>
      </c>
      <c r="K5" s="340">
        <f t="shared" si="0"/>
        <v>44805</v>
      </c>
      <c r="L5" s="340">
        <f t="shared" si="0"/>
        <v>44835</v>
      </c>
      <c r="M5" s="340">
        <f t="shared" si="0"/>
        <v>44866</v>
      </c>
      <c r="N5" s="340">
        <f t="shared" si="0"/>
        <v>44896</v>
      </c>
    </row>
    <row r="6" spans="1:14" ht="15" x14ac:dyDescent="0.2">
      <c r="A6" s="5"/>
      <c r="B6" s="775"/>
      <c r="C6" s="297" t="s">
        <v>335</v>
      </c>
      <c r="D6" s="297" t="s">
        <v>335</v>
      </c>
      <c r="E6" s="297" t="s">
        <v>335</v>
      </c>
      <c r="F6" s="297" t="s">
        <v>335</v>
      </c>
      <c r="G6" s="297" t="s">
        <v>335</v>
      </c>
      <c r="H6" s="297" t="s">
        <v>335</v>
      </c>
      <c r="I6" s="297" t="s">
        <v>335</v>
      </c>
      <c r="J6" s="297" t="s">
        <v>335</v>
      </c>
      <c r="K6" s="297" t="s">
        <v>335</v>
      </c>
      <c r="L6" s="297" t="s">
        <v>335</v>
      </c>
      <c r="M6" s="297" t="s">
        <v>335</v>
      </c>
      <c r="N6" s="297" t="s">
        <v>335</v>
      </c>
    </row>
    <row r="7" spans="1:14" ht="15.75" thickBot="1" x14ac:dyDescent="0.25">
      <c r="A7" s="5"/>
      <c r="B7" s="773"/>
      <c r="C7" s="338">
        <f>EOMONTH(C5,0)</f>
        <v>44592</v>
      </c>
      <c r="D7" s="338">
        <f t="shared" ref="D7:N7" si="1">EOMONTH(D5,0)</f>
        <v>44620</v>
      </c>
      <c r="E7" s="338">
        <f t="shared" si="1"/>
        <v>44651</v>
      </c>
      <c r="F7" s="338">
        <f t="shared" si="1"/>
        <v>44681</v>
      </c>
      <c r="G7" s="338">
        <f t="shared" si="1"/>
        <v>44712</v>
      </c>
      <c r="H7" s="338">
        <f t="shared" si="1"/>
        <v>44742</v>
      </c>
      <c r="I7" s="338">
        <f t="shared" si="1"/>
        <v>44773</v>
      </c>
      <c r="J7" s="338">
        <f t="shared" si="1"/>
        <v>44804</v>
      </c>
      <c r="K7" s="338">
        <f t="shared" si="1"/>
        <v>44834</v>
      </c>
      <c r="L7" s="338">
        <f t="shared" si="1"/>
        <v>44865</v>
      </c>
      <c r="M7" s="338">
        <f t="shared" si="1"/>
        <v>44895</v>
      </c>
      <c r="N7" s="338">
        <f t="shared" si="1"/>
        <v>44926</v>
      </c>
    </row>
    <row r="8" spans="1:14" ht="24" customHeight="1" thickTop="1" thickBot="1" x14ac:dyDescent="0.25">
      <c r="A8" s="11" t="s">
        <v>48</v>
      </c>
      <c r="B8" s="84" t="s">
        <v>166</v>
      </c>
      <c r="C8" s="78">
        <v>6776491.0300000003</v>
      </c>
      <c r="D8" s="74">
        <f>'Analítico Cx.'!D10</f>
        <v>5840798.8799999999</v>
      </c>
      <c r="E8" s="74">
        <f>'Analítico Cx.'!E10</f>
        <v>5681243.1699999999</v>
      </c>
      <c r="F8" s="74">
        <f>'Analítico Cx.'!F10</f>
        <v>6705711.9500000002</v>
      </c>
      <c r="G8" s="74">
        <f>'Analítico Cx.'!G10</f>
        <v>6025283.54</v>
      </c>
      <c r="H8" s="74">
        <f>'Analítico Cx.'!H10</f>
        <v>6015623.0999999996</v>
      </c>
      <c r="I8" s="74">
        <f>'Analítico Cx.'!I10</f>
        <v>4975917.1499999994</v>
      </c>
      <c r="J8" s="74">
        <f>'Analítico Cx.'!J10</f>
        <v>5002469.8099999996</v>
      </c>
      <c r="K8" s="74">
        <f>'Analítico Cx.'!K10</f>
        <v>6032069.2299999995</v>
      </c>
      <c r="L8" s="74">
        <f>'Analítico Cx.'!L10</f>
        <v>5310416.919999999</v>
      </c>
      <c r="M8" s="74">
        <f>'Analítico Cx.'!M10</f>
        <v>4320036.7999999989</v>
      </c>
      <c r="N8" s="74">
        <f>'Analítico Cx.'!N10</f>
        <v>4007878.209999999</v>
      </c>
    </row>
    <row r="9" spans="1:14" ht="16.5" thickTop="1" thickBot="1" x14ac:dyDescent="0.25">
      <c r="A9" s="11"/>
      <c r="B9" s="85"/>
      <c r="C9" s="75"/>
      <c r="D9" s="75"/>
      <c r="E9" s="75"/>
      <c r="F9" s="75"/>
      <c r="G9" s="75"/>
      <c r="H9" s="75"/>
      <c r="I9" s="75"/>
      <c r="J9" s="75"/>
      <c r="K9" s="75"/>
      <c r="L9" s="75"/>
      <c r="M9" s="75"/>
      <c r="N9" s="75"/>
    </row>
    <row r="10" spans="1:14" ht="24" customHeight="1" thickTop="1" x14ac:dyDescent="0.2">
      <c r="A10" s="11" t="s">
        <v>50</v>
      </c>
      <c r="B10" s="86" t="s">
        <v>298</v>
      </c>
      <c r="C10" s="76">
        <f>'Analítico Cx.'!C18</f>
        <v>7684.84</v>
      </c>
      <c r="D10" s="76">
        <f>'Analítico Cx.'!D18</f>
        <v>656342.27</v>
      </c>
      <c r="E10" s="76">
        <f>'Analítico Cx.'!E18</f>
        <v>1984403.28</v>
      </c>
      <c r="F10" s="76">
        <f>'Analítico Cx.'!F18</f>
        <v>314405.65999999997</v>
      </c>
      <c r="G10" s="76">
        <f>'Analítico Cx.'!G18</f>
        <v>2152857.4699999997</v>
      </c>
      <c r="H10" s="76">
        <f>'Analítico Cx.'!H18</f>
        <v>108994.35</v>
      </c>
      <c r="I10" s="76">
        <f>'Analítico Cx.'!I18</f>
        <v>965785.32</v>
      </c>
      <c r="J10" s="76">
        <f>'Analítico Cx.'!J18</f>
        <v>1959291.33</v>
      </c>
      <c r="K10" s="76">
        <f>'Analítico Cx.'!K18</f>
        <v>58451.72</v>
      </c>
      <c r="L10" s="76">
        <f>'Analítico Cx.'!L18</f>
        <v>31091.96</v>
      </c>
      <c r="M10" s="76">
        <f>'Analítico Cx.'!M18</f>
        <v>637017.86</v>
      </c>
      <c r="N10" s="76">
        <f>'Analítico Cx.'!N18</f>
        <v>6328378.7499999991</v>
      </c>
    </row>
    <row r="11" spans="1:14" ht="24" customHeight="1" thickBot="1" x14ac:dyDescent="0.25">
      <c r="A11" s="11" t="s">
        <v>236</v>
      </c>
      <c r="B11" s="87" t="s">
        <v>299</v>
      </c>
      <c r="C11" s="77">
        <f>'Analítico Cx.'!C167</f>
        <v>943376.99</v>
      </c>
      <c r="D11" s="77">
        <f>'Analítico Cx.'!D167</f>
        <v>815897.98</v>
      </c>
      <c r="E11" s="77">
        <f>'Analítico Cx.'!E167</f>
        <v>959934.5</v>
      </c>
      <c r="F11" s="77">
        <f>'Analítico Cx.'!F167</f>
        <v>994834.07000000053</v>
      </c>
      <c r="G11" s="77">
        <f>'Analítico Cx.'!G167</f>
        <v>2162517.9099999997</v>
      </c>
      <c r="H11" s="77">
        <f>'Analítico Cx.'!H167</f>
        <v>1148700.2999999998</v>
      </c>
      <c r="I11" s="77">
        <f>'Analítico Cx.'!I167</f>
        <v>939232.66000000015</v>
      </c>
      <c r="J11" s="77">
        <f>'Analítico Cx.'!J167</f>
        <v>929691.91000000038</v>
      </c>
      <c r="K11" s="77">
        <f>'Analítico Cx.'!K167</f>
        <v>780104.03000000026</v>
      </c>
      <c r="L11" s="77">
        <f>'Analítico Cx.'!L167</f>
        <v>1021472.0800000003</v>
      </c>
      <c r="M11" s="77">
        <f>'Analítico Cx.'!M167</f>
        <v>949176.45</v>
      </c>
      <c r="N11" s="77">
        <f>'Analítico Cx.'!N167</f>
        <v>1051048.31</v>
      </c>
    </row>
    <row r="12" spans="1:14" ht="16.5" thickTop="1" thickBot="1" x14ac:dyDescent="0.25">
      <c r="A12" s="11"/>
      <c r="B12" s="3"/>
      <c r="C12" s="10"/>
      <c r="D12" s="10"/>
      <c r="E12" s="10"/>
      <c r="F12" s="10"/>
      <c r="G12" s="10"/>
      <c r="H12" s="10"/>
      <c r="I12" s="10"/>
      <c r="J12" s="10"/>
      <c r="K12" s="10"/>
      <c r="L12" s="10"/>
      <c r="M12" s="10"/>
      <c r="N12" s="10"/>
    </row>
    <row r="13" spans="1:14" ht="24" customHeight="1" thickTop="1" thickBot="1" x14ac:dyDescent="0.25">
      <c r="A13" s="11" t="s">
        <v>237</v>
      </c>
      <c r="B13" s="84" t="s">
        <v>257</v>
      </c>
      <c r="C13" s="74">
        <f t="shared" ref="C13:H13" si="2">C8+C10-C11</f>
        <v>5840798.8799999999</v>
      </c>
      <c r="D13" s="74">
        <f t="shared" si="2"/>
        <v>5681243.1699999999</v>
      </c>
      <c r="E13" s="74">
        <f t="shared" si="2"/>
        <v>6705711.9500000002</v>
      </c>
      <c r="F13" s="74">
        <f t="shared" si="2"/>
        <v>6025283.54</v>
      </c>
      <c r="G13" s="74">
        <f t="shared" si="2"/>
        <v>6015623.0999999996</v>
      </c>
      <c r="H13" s="74">
        <f t="shared" si="2"/>
        <v>4975917.1499999994</v>
      </c>
      <c r="I13" s="74">
        <f t="shared" ref="I13:N13" si="3">I8+I10-I11</f>
        <v>5002469.8099999996</v>
      </c>
      <c r="J13" s="74">
        <f t="shared" si="3"/>
        <v>6032069.2299999995</v>
      </c>
      <c r="K13" s="74">
        <f t="shared" si="3"/>
        <v>5310416.919999999</v>
      </c>
      <c r="L13" s="74">
        <f t="shared" si="3"/>
        <v>4320036.7999999989</v>
      </c>
      <c r="M13" s="74">
        <f t="shared" si="3"/>
        <v>4007878.209999999</v>
      </c>
      <c r="N13" s="74">
        <f t="shared" si="3"/>
        <v>9285208.6499999966</v>
      </c>
    </row>
    <row r="14" spans="1:14" ht="16.5" thickTop="1" thickBot="1" x14ac:dyDescent="0.25">
      <c r="A14" s="11"/>
      <c r="B14" s="3"/>
      <c r="C14" s="10"/>
      <c r="D14" s="10"/>
      <c r="E14" s="10"/>
      <c r="F14" s="10"/>
      <c r="G14" s="10"/>
      <c r="H14" s="10"/>
    </row>
    <row r="15" spans="1:14" ht="24" customHeight="1" thickTop="1" thickBot="1" x14ac:dyDescent="0.25">
      <c r="A15" s="11" t="s">
        <v>49</v>
      </c>
      <c r="B15" s="84" t="s">
        <v>336</v>
      </c>
      <c r="C15" s="78">
        <v>0</v>
      </c>
      <c r="D15" s="10"/>
      <c r="E15" s="10"/>
      <c r="F15" s="10"/>
      <c r="G15" s="10"/>
      <c r="H15" s="10"/>
    </row>
    <row r="16" spans="1:14" ht="24" customHeight="1" thickTop="1" thickBot="1" x14ac:dyDescent="0.25">
      <c r="A16" s="11" t="s">
        <v>279</v>
      </c>
      <c r="B16" s="84" t="s">
        <v>278</v>
      </c>
      <c r="C16" s="74">
        <f>'Prov. Pessoal'!N39</f>
        <v>771941.33736279409</v>
      </c>
      <c r="D16" s="10"/>
      <c r="E16" s="10"/>
      <c r="F16" s="10"/>
      <c r="G16" s="10"/>
      <c r="H16" s="10"/>
    </row>
    <row r="17" spans="1:8" ht="24" customHeight="1" thickTop="1" thickBot="1" x14ac:dyDescent="0.25">
      <c r="A17" s="11" t="s">
        <v>51</v>
      </c>
      <c r="B17" s="84" t="s">
        <v>260</v>
      </c>
      <c r="C17" s="74">
        <f>SUM('Comp.'!E5:E861)</f>
        <v>727263.08000000229</v>
      </c>
      <c r="D17" s="10"/>
      <c r="E17" s="10"/>
      <c r="F17" s="10"/>
      <c r="G17" s="10"/>
      <c r="H17" s="10"/>
    </row>
    <row r="18" spans="1:8" ht="24" customHeight="1" thickTop="1" thickBot="1" x14ac:dyDescent="0.25">
      <c r="A18" s="11" t="s">
        <v>393</v>
      </c>
      <c r="B18" s="371" t="s">
        <v>392</v>
      </c>
      <c r="C18" s="78">
        <v>657805.01</v>
      </c>
      <c r="D18" s="10"/>
      <c r="E18" s="10"/>
      <c r="F18" s="10"/>
      <c r="G18" s="10"/>
      <c r="H18" s="10"/>
    </row>
    <row r="19" spans="1:8" ht="24" customHeight="1" thickTop="1" thickBot="1" x14ac:dyDescent="0.25">
      <c r="A19" s="11" t="s">
        <v>238</v>
      </c>
      <c r="B19" s="84" t="s">
        <v>394</v>
      </c>
      <c r="C19" s="74">
        <f>N13-C15-C16-C17-C18</f>
        <v>7128199.2226372007</v>
      </c>
      <c r="D19" s="10"/>
      <c r="E19" s="10"/>
      <c r="F19" s="10"/>
      <c r="G19" s="10"/>
      <c r="H19" s="10"/>
    </row>
    <row r="20" spans="1:8" ht="15" thickTop="1" x14ac:dyDescent="0.2">
      <c r="A20" s="5"/>
      <c r="B20" s="7"/>
      <c r="C20" s="79"/>
      <c r="D20" s="79"/>
      <c r="E20" s="79"/>
      <c r="F20" s="79"/>
      <c r="G20" s="79"/>
      <c r="H20" s="79"/>
    </row>
    <row r="21" spans="1:8" x14ac:dyDescent="0.2">
      <c r="B21" s="7"/>
      <c r="C21" s="7"/>
      <c r="D21" s="7"/>
      <c r="E21" s="7"/>
      <c r="F21" s="7"/>
      <c r="G21" s="7"/>
      <c r="H21" s="7"/>
    </row>
    <row r="22" spans="1:8" ht="24" customHeight="1" x14ac:dyDescent="0.2">
      <c r="B22" s="775" t="s">
        <v>270</v>
      </c>
      <c r="C22" s="775"/>
      <c r="D22" s="775"/>
      <c r="E22" s="775"/>
      <c r="F22" s="775"/>
      <c r="G22" s="8"/>
      <c r="H22" s="8"/>
    </row>
    <row r="23" spans="1:8" ht="24" customHeight="1" x14ac:dyDescent="0.2">
      <c r="B23" s="11"/>
      <c r="C23" s="11" t="str">
        <f>LEFT(Capa!$A$14,1)+COLUMN()-3&amp;"º PA"</f>
        <v>1º PA</v>
      </c>
      <c r="D23" s="11" t="str">
        <f>LEFT(Capa!$A$14,1)+COLUMN()-3&amp;"º PA"</f>
        <v>2º PA</v>
      </c>
      <c r="E23" s="11" t="str">
        <f>LEFT(Capa!$A$14,1)+COLUMN()-3&amp;"º PA"</f>
        <v>3º PA</v>
      </c>
      <c r="F23" s="11" t="str">
        <f>LEFT(Capa!$A$14,1)+COLUMN()-3&amp;"º PA"</f>
        <v>4º PA</v>
      </c>
      <c r="G23" s="8"/>
      <c r="H23" s="8"/>
    </row>
    <row r="24" spans="1:8" ht="24" customHeight="1" x14ac:dyDescent="0.2">
      <c r="B24" s="82" t="s">
        <v>79</v>
      </c>
      <c r="C24" s="72">
        <f>D53</f>
        <v>6065260.2500000009</v>
      </c>
      <c r="D24" s="72">
        <f>G53</f>
        <v>4180407.2800000007</v>
      </c>
      <c r="E24" s="72">
        <f>J53</f>
        <v>4318106.0199999996</v>
      </c>
      <c r="F24" s="72">
        <f>M53</f>
        <v>8111308.7400000002</v>
      </c>
      <c r="G24" s="9"/>
      <c r="H24" s="9"/>
    </row>
    <row r="25" spans="1:8" ht="24" customHeight="1" x14ac:dyDescent="0.2">
      <c r="B25" s="82" t="s">
        <v>80</v>
      </c>
      <c r="C25" s="72">
        <f>E53</f>
        <v>640451.69999999995</v>
      </c>
      <c r="D25" s="72">
        <f>H53</f>
        <v>795509.87</v>
      </c>
      <c r="E25" s="72">
        <f>K53</f>
        <v>992310.89999999991</v>
      </c>
      <c r="F25" s="72">
        <f>N53</f>
        <v>1173899.9100000001</v>
      </c>
      <c r="G25" s="9"/>
      <c r="H25" s="9"/>
    </row>
    <row r="26" spans="1:8" ht="24" customHeight="1" x14ac:dyDescent="0.2">
      <c r="B26" s="82" t="s">
        <v>289</v>
      </c>
      <c r="C26" s="72">
        <v>0</v>
      </c>
      <c r="D26" s="72">
        <v>0</v>
      </c>
      <c r="E26" s="72">
        <v>0</v>
      </c>
      <c r="F26" s="72">
        <v>0</v>
      </c>
      <c r="G26" s="9"/>
      <c r="H26" s="9"/>
    </row>
    <row r="27" spans="1:8" ht="24" customHeight="1" thickBot="1" x14ac:dyDescent="0.25">
      <c r="A27" s="11" t="s">
        <v>258</v>
      </c>
      <c r="B27" s="83" t="s">
        <v>81</v>
      </c>
      <c r="C27" s="73">
        <f>SUM(C24:C26)</f>
        <v>6705711.9500000011</v>
      </c>
      <c r="D27" s="73">
        <f>SUM(D24:D26)</f>
        <v>4975917.1500000004</v>
      </c>
      <c r="E27" s="73">
        <f>SUM(E24:E26)</f>
        <v>5310416.92</v>
      </c>
      <c r="F27" s="73">
        <f>SUM(F24:F26)</f>
        <v>9285208.6500000004</v>
      </c>
      <c r="G27" s="9"/>
      <c r="H27" s="9"/>
    </row>
    <row r="28" spans="1:8" ht="13.5" thickTop="1" x14ac:dyDescent="0.2">
      <c r="B28" s="3"/>
      <c r="C28" s="80"/>
      <c r="D28" s="80"/>
      <c r="E28" s="80"/>
      <c r="F28" s="80"/>
      <c r="G28" s="9"/>
      <c r="H28" s="9"/>
    </row>
    <row r="29" spans="1:8" ht="24" customHeight="1" thickBot="1" x14ac:dyDescent="0.25">
      <c r="A29" s="11" t="s">
        <v>96</v>
      </c>
      <c r="B29" s="83" t="s">
        <v>259</v>
      </c>
      <c r="C29" s="81">
        <f>E13-C27</f>
        <v>0</v>
      </c>
      <c r="D29" s="81">
        <f>H13-D27</f>
        <v>0</v>
      </c>
      <c r="E29" s="81">
        <f>K13-E27</f>
        <v>0</v>
      </c>
      <c r="F29" s="81">
        <f>N13-F27</f>
        <v>0</v>
      </c>
      <c r="G29" s="9"/>
      <c r="H29" s="9"/>
    </row>
    <row r="30" spans="1:8" ht="13.5" thickTop="1" x14ac:dyDescent="0.2"/>
    <row r="32" spans="1:8" ht="24.75" customHeight="1" thickBot="1" x14ac:dyDescent="0.25">
      <c r="B32" s="773" t="s">
        <v>322</v>
      </c>
      <c r="C32" s="773"/>
    </row>
    <row r="33" spans="1:15" ht="24.75" customHeight="1" thickTop="1" x14ac:dyDescent="0.2">
      <c r="B33" s="86" t="s">
        <v>323</v>
      </c>
      <c r="C33" s="268">
        <v>43213.440000000002</v>
      </c>
    </row>
    <row r="34" spans="1:15" ht="24.75" customHeight="1" x14ac:dyDescent="0.2">
      <c r="B34" s="267" t="s">
        <v>315</v>
      </c>
      <c r="C34" s="269">
        <f>SUMPRODUCT(-(Reserva!$C$4:$C$1004=Resumo!$B34),-(Reserva!$D$4:$D$1004))</f>
        <v>90438.889999999985</v>
      </c>
    </row>
    <row r="35" spans="1:15" x14ac:dyDescent="0.2">
      <c r="B35" s="271" t="s">
        <v>324</v>
      </c>
      <c r="C35" s="269">
        <f>SUMPRODUCT(-(Reserva!$C$4:$C$1004=Resumo!$B35),-(Reserva!$D$4:$D$1004))</f>
        <v>119361.59</v>
      </c>
    </row>
    <row r="36" spans="1:15" ht="24.75" customHeight="1" x14ac:dyDescent="0.2">
      <c r="B36" s="267" t="s">
        <v>320</v>
      </c>
      <c r="C36" s="269">
        <f>SUMPRODUCT(-(Reserva!$C$4:$C$1004=Resumo!$B36),-(Reserva!$D$4:$D$1004))</f>
        <v>1836</v>
      </c>
    </row>
    <row r="37" spans="1:15" ht="24.75" customHeight="1" thickBot="1" x14ac:dyDescent="0.25">
      <c r="B37" s="87" t="s">
        <v>321</v>
      </c>
      <c r="C37" s="270">
        <f>C33+C34+C35-C36</f>
        <v>251177.91999999998</v>
      </c>
    </row>
    <row r="38" spans="1:15" ht="27" customHeight="1" thickTop="1" x14ac:dyDescent="0.2"/>
    <row r="39" spans="1:15" ht="15" x14ac:dyDescent="0.2">
      <c r="A39" s="48"/>
      <c r="B39" s="769" t="s">
        <v>395</v>
      </c>
      <c r="C39" s="770"/>
      <c r="D39" s="770"/>
      <c r="E39" s="770"/>
      <c r="F39" s="770"/>
      <c r="G39" s="770"/>
      <c r="H39" s="770"/>
      <c r="I39" s="770"/>
      <c r="J39" s="770"/>
      <c r="K39" s="770"/>
      <c r="L39" s="770"/>
      <c r="M39" s="770"/>
      <c r="N39" s="770"/>
      <c r="O39" s="770"/>
    </row>
    <row r="40" spans="1:15" ht="15.75" thickBot="1" x14ac:dyDescent="0.25">
      <c r="A40" s="48"/>
      <c r="B40" s="373"/>
      <c r="C40" s="771" t="str">
        <f>C23</f>
        <v>1º PA</v>
      </c>
      <c r="D40" s="772"/>
      <c r="E40" s="772"/>
      <c r="F40" s="771" t="str">
        <f>D23</f>
        <v>2º PA</v>
      </c>
      <c r="G40" s="772"/>
      <c r="H40" s="772"/>
      <c r="I40" s="771" t="str">
        <f>E23</f>
        <v>3º PA</v>
      </c>
      <c r="J40" s="772"/>
      <c r="K40" s="772"/>
      <c r="L40" s="771" t="str">
        <f>F23</f>
        <v>4º PA</v>
      </c>
      <c r="M40" s="772"/>
      <c r="N40" s="772"/>
      <c r="O40" s="374"/>
    </row>
    <row r="41" spans="1:15" ht="18" customHeight="1" thickTop="1" thickBot="1" x14ac:dyDescent="0.25">
      <c r="A41" s="48"/>
      <c r="B41" s="375" t="s">
        <v>396</v>
      </c>
      <c r="C41" s="376" t="s">
        <v>397</v>
      </c>
      <c r="D41" s="377" t="s">
        <v>398</v>
      </c>
      <c r="E41" s="377" t="s">
        <v>399</v>
      </c>
      <c r="F41" s="377" t="s">
        <v>397</v>
      </c>
      <c r="G41" s="377" t="s">
        <v>398</v>
      </c>
      <c r="H41" s="377" t="s">
        <v>399</v>
      </c>
      <c r="I41" s="377" t="s">
        <v>397</v>
      </c>
      <c r="J41" s="377" t="s">
        <v>398</v>
      </c>
      <c r="K41" s="377" t="s">
        <v>399</v>
      </c>
      <c r="L41" s="376" t="s">
        <v>397</v>
      </c>
      <c r="M41" s="377" t="s">
        <v>398</v>
      </c>
      <c r="N41" s="378" t="s">
        <v>399</v>
      </c>
      <c r="O41" s="374"/>
    </row>
    <row r="42" spans="1:15" ht="18" customHeight="1" thickTop="1" x14ac:dyDescent="0.2">
      <c r="A42" s="48"/>
      <c r="B42" s="379" t="s">
        <v>400</v>
      </c>
      <c r="C42" s="372">
        <v>0</v>
      </c>
      <c r="D42" s="372">
        <f>1755109.04</f>
        <v>1755109.04</v>
      </c>
      <c r="E42" s="380">
        <f>610305.76+30145.94</f>
        <v>640451.69999999995</v>
      </c>
      <c r="F42" s="372">
        <v>0</v>
      </c>
      <c r="G42" s="372">
        <f>1721867.55</f>
        <v>1721867.55</v>
      </c>
      <c r="H42" s="380">
        <f>620580.24+174929.63</f>
        <v>795509.87</v>
      </c>
      <c r="I42" s="381">
        <v>0</v>
      </c>
      <c r="J42" s="372">
        <f>1738970.07</f>
        <v>1738970.07</v>
      </c>
      <c r="K42" s="380">
        <f>639151.83+353159.07</f>
        <v>992310.89999999991</v>
      </c>
      <c r="L42" s="381">
        <v>0</v>
      </c>
      <c r="M42" s="372">
        <f>180856.44</f>
        <v>180856.44</v>
      </c>
      <c r="N42" s="380">
        <f>650306.41+523593.5</f>
        <v>1173899.9100000001</v>
      </c>
      <c r="O42" s="374"/>
    </row>
    <row r="43" spans="1:15" ht="18" customHeight="1" x14ac:dyDescent="0.2">
      <c r="A43" s="48"/>
      <c r="B43" s="382" t="s">
        <v>401</v>
      </c>
      <c r="C43" s="372">
        <v>0</v>
      </c>
      <c r="D43" s="372">
        <f>356000-47533.15-25254.11-18939.8-3555.62-8470.57-6389.9-2785.81-4172.74-1507.84-15450-82159.92-3920-2537.55-5389.45-2000-2000-19404-1260-2075.92-2075.92-10.45-10.45-10.45-2253.77-10.45-2850-5389.45-596-75-75-125-125-110-46.23-150-80-59-110.55-55.27-120-10.45-10.45-10.45-2694.72-153-3634-10.45-465-930-775-775-186-60-57.45-24.08-24.08-46.27-5000-4900-5550+4271.18-41641.94-7947+13230-22442.97-9714.61+477+2306+13.53</f>
        <v>90.420000000057627</v>
      </c>
      <c r="E43" s="380"/>
      <c r="F43" s="372">
        <v>0</v>
      </c>
      <c r="G43" s="372">
        <f>356000-47533.15-25254.11-18939.8-3555.62-8470.57-6389.9-2785.81-4172.74-1507.84-15450-82159.92-3920-2537.55-5389.45-2000-2000-19404-1260-2075.92-2075.92-10.45-10.45-10.45-2253.77-10.45-2850-5389.45-596-75-75-125-125-110-46.23-150-80-59-110.55-55.27-120-10.45-10.45-10.45-2694.72-153-3634-10.45-465-930-775-775-186-60-57.45-24.08-24.08-46.27-5000-4900-5550+4271.18-41641.94-7947+13230-22442.97-9714.61+477+2306+13.53</f>
        <v>90.420000000057627</v>
      </c>
      <c r="H43" s="380"/>
      <c r="I43" s="381">
        <v>0</v>
      </c>
      <c r="J43" s="372">
        <f>356000-47533.15-25254.11-18939.8-3555.62-8470.57-6389.9-2785.81-4172.74-1507.84-15450-82159.92-3920-2537.55-5389.45-2000-2000-19404-1260-2075.92-2075.92-10.45-10.45-10.45-2253.77-10.45-2850-5389.45-596-75-75-125-125-110-46.23-150-80-59-110.55-55.27-120-10.45-10.45-10.45-2694.72-153-3634-10.45-465-930-775-775-186-60-57.45-24.08-24.08-46.27-5000-4900-5550+4271.18-41641.94-7947+13230-22442.97-9714.61+477+2306+13.53-90.42</f>
        <v>5.7625015870144125E-11</v>
      </c>
      <c r="K43" s="380"/>
      <c r="L43" s="381">
        <v>0</v>
      </c>
      <c r="M43" s="372">
        <f>356000-47533.15-25254.11-18939.8-3555.62-8470.57-6389.9-2785.81-4172.74-1507.84-15450-82159.92-3920-2537.55-5389.45-2000-2000-19404-1260-2075.92-2075.92-10.45-10.45-10.45-2253.77-10.45-2850-5389.45-596-75-75-125-125-110-46.23-150-80-59-110.55-55.27-120-10.45-10.45-10.45-2694.72-153-3634-10.45-465-930-775-775-186-60-57.45-24.08-24.08-46.27-5000-4900-5550+4271.18-41641.94-7947+13230-22442.97-9714.61+477+2306+13.53-90.42</f>
        <v>5.7625015870144125E-11</v>
      </c>
      <c r="N43" s="380"/>
      <c r="O43" s="374"/>
    </row>
    <row r="44" spans="1:15" ht="18" customHeight="1" x14ac:dyDescent="0.2">
      <c r="A44" s="48"/>
      <c r="B44" s="382" t="s">
        <v>402</v>
      </c>
      <c r="C44" s="372">
        <v>0</v>
      </c>
      <c r="D44" s="372">
        <f>314769.97-3634-6594.18-68282.75-2830.25-23536.9-2572.42-7849.65-31365.64-19404-21004.27-5559.9-5140.03-6339.17-1423.45-58131.45-18311.27-1256.33-1112.56-26625.14+134000-4998.58-4053.7-153-1444.95-12502.68-2497.53-92.78-13850-7844.34-3668-8215.11-69426.85+594000-130562.2-21601.14-1145.82-2742.7-13850+8841.65-2387.35-13850+400-28664-3985.87-18344.36-47591.77-3922.23-42412.16-19948.06+3.38</f>
        <v>261286.46000000002</v>
      </c>
      <c r="E44" s="380"/>
      <c r="F44" s="372">
        <v>0</v>
      </c>
      <c r="G44" s="372">
        <f>314769.97-3634-6594.18-68282.75-2830.25-23536.9-2572.42-7849.65-31365.64-19404-21004.27-5559.9-5140.03-6339.17-1423.45-58131.45-18311.27-1256.33-1112.56-26625.14+134000-4998.58-4053.7-153-1444.95-12502.68-2497.53-92.78-13850-7844.34-3668-8215.11-69426.85+594000-130562.2-21601.14-1145.82-2742.7-13850+8841.65-2387.35-13850+400-28664-3985.87-18344.36-47591.77-3922.23-42412.16-19948.06+3.38-53717.96-118.76-29568.95-14530.57-9973.03-7716.47-2511-17525.66-8022.55-9920-8819.1-1473.13-3413.8-2500-2548.55-50148.77-4287.36-1272-14927.91</f>
        <v>18290.889999999981</v>
      </c>
      <c r="H44" s="380"/>
      <c r="I44" s="381">
        <v>0</v>
      </c>
      <c r="J44" s="372">
        <f>314769.97-3634-6594.18-68282.75-2830.25-23536.9-2572.42-7849.65-31365.64-19404-21004.27-5559.9-5140.03-6339.17-1423.45-58131.45-18311.27-1256.33-1112.56-26625.14+134000-4998.58-4053.7-153-1444.95-12502.68-2497.53-92.78-13850-7844.34-3668-8215.11-69426.85+594000-130562.2-21601.14-1145.82-2742.7-13850+8841.65-2387.35-13850+400-28664-3985.87-18344.36-47591.77-3922.23-42412.16-19948.06+3.38-53717.96-118.76-29568.95-14530.57-9973.03-7716.47-2511-17525.66-8022.55-9920-8819.1-1473.13-3413.8-2500-2548.55-50148.77-4287.36-1272-14927.91-17842.49-39.56-217.58-153-38.02-0.24</f>
        <v>-2.039057811487055E-11</v>
      </c>
      <c r="K44" s="380"/>
      <c r="L44" s="381">
        <v>0</v>
      </c>
      <c r="M44" s="372">
        <f>314769.97-3634-6594.18-68282.75-2830.25-23536.9-2572.42-7849.65-31365.64-19404-21004.27-5559.9-5140.03-6339.17-1423.45-58131.45-18311.27-1256.33-1112.56-26625.14+134000-4998.58-4053.7-153-1444.95-12502.68-2497.53-92.78-13850-7844.34-3668-8215.11-69426.85+594000-130562.2-21601.14-1145.82-2742.7-13850+8841.65-2387.35-13850+400-28664-3985.87-18344.36-47591.77-3922.23-42412.16-19948.06+3.38-53717.96-118.76-29568.95-14530.57-9973.03-7716.47-2511-17525.66-8022.55-9920-8819.1-1473.13-3413.8-2500-2548.55-50148.77-4287.36-1272-14927.91-17842.49-39.56-217.58-153-38.02-0.24</f>
        <v>-2.039057811487055E-11</v>
      </c>
      <c r="N44" s="380"/>
      <c r="O44" s="374"/>
    </row>
    <row r="45" spans="1:15" ht="18" customHeight="1" x14ac:dyDescent="0.2">
      <c r="A45" s="48"/>
      <c r="B45" s="383" t="s">
        <v>403</v>
      </c>
      <c r="C45" s="372">
        <v>0</v>
      </c>
      <c r="D45" s="372">
        <f>368986.63-122983.03-2300-4435.37-2500-28604-16075.92-22098.11-40240-2300-4600-5501-4600-2300-3616.97-28604-20026.76-2300-5420.97-7622.84-2397.24-6701.84-200-1598.16-2125.92-1798.16-3000-3000-5669.23-1567.84-5702.74-1744.37</f>
        <v>7352.1600000000153</v>
      </c>
      <c r="E45" s="380">
        <v>0</v>
      </c>
      <c r="F45" s="372">
        <v>0</v>
      </c>
      <c r="G45" s="372">
        <f>368986.63-122983.03-2300-4435.37-2500-28604-16075.92-22098.11-40240-2300-4600-5501-4600-2300-3616.97-28604-20026.76-2300-5420.97-7622.84-2397.24-6701.84-200-1598.16-2125.92-1798.16-3000-3000-5669.23-1567.84-5702.74-1744.37-4159.8-68.8</f>
        <v>3123.560000000015</v>
      </c>
      <c r="H45" s="380">
        <v>0</v>
      </c>
      <c r="I45" s="381">
        <v>0</v>
      </c>
      <c r="J45" s="372">
        <f>368986.63-122983.03-2300-4435.37-2500-28604-16075.92-22098.11-40240-2300-4600-5501-4600-2300-3616.97-28604-20026.76-2300-5420.97-7622.84-2397.24-6701.84-200-1598.16-2125.92-1798.16-3000-3000-5669.23-1567.84-5702.74-1744.37-4159.8-68.8</f>
        <v>3123.560000000015</v>
      </c>
      <c r="K45" s="380">
        <v>0</v>
      </c>
      <c r="L45" s="381">
        <v>0</v>
      </c>
      <c r="M45" s="372">
        <f>368986.63-122983.03-2300-4435.37-2500-28604-16075.92-22098.11-40240-2300-4600-5501-4600-2300-3616.97-28604-20026.76-2300-5420.97-7622.84-2397.24-6701.84-200-1598.16-2125.92-1798.16-3000-3000-5669.23-1567.84-5702.74-1744.37-4159.8-68.8-3123.56</f>
        <v>1.5006662579253316E-11</v>
      </c>
      <c r="N45" s="380">
        <v>0</v>
      </c>
      <c r="O45" s="374"/>
    </row>
    <row r="46" spans="1:15" ht="18" customHeight="1" x14ac:dyDescent="0.2">
      <c r="A46" s="48"/>
      <c r="B46" s="383" t="s">
        <v>404</v>
      </c>
      <c r="C46" s="372">
        <v>0</v>
      </c>
      <c r="D46" s="372">
        <f>63706.74-5930.83-2115.78-7390.4-2200.92-915.08-21737.83-269.16-12509.8-6239.18+1075.2+2000+116+25.04-7614-2552.62+1000000+2733.45+300000-47246.9-10338.49-49194.21</f>
        <v>1193401.2300000002</v>
      </c>
      <c r="E46" s="380">
        <v>0</v>
      </c>
      <c r="F46" s="372">
        <v>0</v>
      </c>
      <c r="G46" s="372">
        <f>63706.74-5930.83-2115.78-7390.4-2200.92-915.08-21737.83-269.16-12509.8-6239.18+1075.2+2000+116+25.04-7614-2552.62+1000000+2733.45+300000-47246.9-10338.49-49194.21-50667.54-3190.26-955.5-15070.38-19999.69-643.26</f>
        <v>1102874.6000000003</v>
      </c>
      <c r="H46" s="380">
        <v>0</v>
      </c>
      <c r="I46" s="381">
        <v>0</v>
      </c>
      <c r="J46" s="372">
        <f>1102874.6-402931.86</f>
        <v>699942.74000000011</v>
      </c>
      <c r="K46" s="380">
        <v>0</v>
      </c>
      <c r="L46" s="381">
        <v>0</v>
      </c>
      <c r="M46" s="372">
        <f>1102874.6-402931.86-86208.88-10599.75-376.68-360-27110.71-17186.9-3895.8-11974.55-9993-7546-317.12-20000-9134-24505.51-283.8-567.6-447.3-7519.71-12281.86-20000</f>
        <v>429633.57</v>
      </c>
      <c r="N46" s="380">
        <v>0</v>
      </c>
      <c r="O46" s="374"/>
    </row>
    <row r="47" spans="1:15" ht="18" customHeight="1" x14ac:dyDescent="0.2">
      <c r="A47" s="48"/>
      <c r="B47" s="383" t="s">
        <v>405</v>
      </c>
      <c r="C47" s="372">
        <v>0</v>
      </c>
      <c r="D47" s="372">
        <f>215235.35-17075.92-4494.36-840-5571.25-10175.92-175-336-336-6543.32-672-1614.72-2788.59-6120.87-1574.08-13.37+4000-14585.86-12435.66-18249.17-1464-379.21-11504.22-32596.47+852596.4+247461-939.3-9592.32-15077.24-856.27-20499.75-40754.47</f>
        <v>1082027.4099999999</v>
      </c>
      <c r="E47" s="380">
        <v>0</v>
      </c>
      <c r="F47" s="372">
        <v>0</v>
      </c>
      <c r="G47" s="372">
        <f>215235.35-17075.92-4494.36-840-5571.25-10175.92-175-336-336-6543.32-672-1614.72-2788.59-6120.87-1574.08-13.37+4000-14585.86-12435.66-18249.17-1464-379.21-11504.22-32596.47+852596.4+247461-939.3-9592.32-15077.24-856.27-20499.75-40754.47-12864.18-1308.7-37165.93-6173.9-34780.46-5000-25218.28</f>
        <v>959515.96</v>
      </c>
      <c r="H47" s="380">
        <v>0</v>
      </c>
      <c r="I47" s="381">
        <v>0</v>
      </c>
      <c r="J47" s="372">
        <f>959515.96-224424.43</f>
        <v>735091.53</v>
      </c>
      <c r="K47" s="380">
        <v>0</v>
      </c>
      <c r="L47" s="381">
        <v>0</v>
      </c>
      <c r="M47" s="372">
        <f>959515.96-224424.43-117565.49-8285.71-24541.68-22786-16187.5-31270.63-30799.4-3729.87-20708.29-7214.91-10053.05-272.87-10000-4211.4-8964.94-2181.48-3832.85-23732.09-20000</f>
        <v>368753.37000000005</v>
      </c>
      <c r="N47" s="380">
        <v>0</v>
      </c>
      <c r="O47" s="374"/>
    </row>
    <row r="48" spans="1:15" ht="18" customHeight="1" x14ac:dyDescent="0.2">
      <c r="A48" s="48"/>
      <c r="B48" s="383" t="s">
        <v>3762</v>
      </c>
      <c r="C48" s="372">
        <v>0</v>
      </c>
      <c r="D48" s="372">
        <v>0</v>
      </c>
      <c r="E48" s="372">
        <v>0</v>
      </c>
      <c r="F48" s="372">
        <v>0</v>
      </c>
      <c r="G48" s="372">
        <f>300000-153-55599.7-2549.25-435-505.68-969.24-783-11+110561.54-75193.7-18750-4406.5-5580.92-9296.8-18817.73+83000</f>
        <v>300510.01999999996</v>
      </c>
      <c r="H48" s="380"/>
      <c r="I48" s="381">
        <v>0</v>
      </c>
      <c r="J48" s="372">
        <f>300000-153-55599.7-2549.25-435-505.68-969.24-783-11+110561.54-75193.7-18750-4406.5-5580.92-9296.8-18817.73+83000-65423.22+194615.38-65406.06+182.08-1663.5+61823.08-14956.68-2637.6-18750-2103-1762.51-3422.74-6983.67-46204.13-3071.86+243.1-4628.53-497.67-8011-18750-153+750000+28400.2</f>
        <v>1071348.69</v>
      </c>
      <c r="K48" s="380"/>
      <c r="L48" s="381">
        <v>0</v>
      </c>
      <c r="M48" s="372">
        <f>1071348.69-81827.99-12038.2-22660.02-0.08-6546.55-18750+8558.32-26050.23-21712.89-8545.65-1121-609.7-126-18880.65+1116.09-153-23186.79-25330.06-11171.45-6589.82-25232.75-3644.15-5133+8313.73-0.1</f>
        <v>770026.74999999988</v>
      </c>
      <c r="N48" s="380"/>
      <c r="O48" s="374"/>
    </row>
    <row r="49" spans="1:15" ht="18" customHeight="1" x14ac:dyDescent="0.2">
      <c r="A49" s="48"/>
      <c r="B49" s="383" t="s">
        <v>407</v>
      </c>
      <c r="C49" s="372">
        <v>0</v>
      </c>
      <c r="D49" s="372">
        <f>1493000+1000000-5125.92-13414.42-73012.08-9370.55-23457.55+100000-38595.87-49857.59-136016.17-81638.16-49204.64-20000-56745.62-31289.13-262345.33</f>
        <v>1742926.9700000002</v>
      </c>
      <c r="E49" s="380">
        <v>0</v>
      </c>
      <c r="F49" s="372">
        <v>0</v>
      </c>
      <c r="G49" s="372">
        <f>1742926.97-1736818.14</f>
        <v>6108.8300000000745</v>
      </c>
      <c r="H49" s="380">
        <v>0</v>
      </c>
      <c r="I49" s="381">
        <v>0</v>
      </c>
      <c r="J49" s="372">
        <f>1742926.97-1736818.14-5125.4-705.25-145.66-5.64-18.7-107.44-0.74</f>
        <v>7.4871886468486082E-11</v>
      </c>
      <c r="K49" s="380">
        <v>0</v>
      </c>
      <c r="L49" s="381">
        <v>0</v>
      </c>
      <c r="M49" s="372">
        <f>1742926.97-1736818.14-5125.4-705.25-145.66-5.64-18.7-107.44-0.74</f>
        <v>7.4871886468486082E-11</v>
      </c>
      <c r="N49" s="380">
        <v>0</v>
      </c>
      <c r="O49" s="374"/>
    </row>
    <row r="50" spans="1:15" ht="18" customHeight="1" x14ac:dyDescent="0.2">
      <c r="A50" s="48"/>
      <c r="B50" s="383" t="s">
        <v>9125</v>
      </c>
      <c r="C50" s="372">
        <v>0</v>
      </c>
      <c r="D50" s="372"/>
      <c r="E50" s="380"/>
      <c r="F50" s="372"/>
      <c r="G50" s="372"/>
      <c r="H50" s="380"/>
      <c r="I50" s="381"/>
      <c r="J50" s="372"/>
      <c r="K50" s="380"/>
      <c r="L50" s="381"/>
      <c r="M50" s="372">
        <f>4050517.24+1650220.62</f>
        <v>5700737.8600000003</v>
      </c>
      <c r="N50" s="380"/>
      <c r="O50" s="374"/>
    </row>
    <row r="51" spans="1:15" ht="18" customHeight="1" x14ac:dyDescent="0.2">
      <c r="A51" s="48"/>
      <c r="B51" s="383" t="s">
        <v>9221</v>
      </c>
      <c r="C51" s="372">
        <v>0</v>
      </c>
      <c r="D51" s="372"/>
      <c r="E51" s="380"/>
      <c r="F51" s="372"/>
      <c r="G51" s="372"/>
      <c r="H51" s="380"/>
      <c r="I51" s="381"/>
      <c r="J51" s="372"/>
      <c r="K51" s="380"/>
      <c r="L51" s="381"/>
      <c r="M51" s="372">
        <v>600000</v>
      </c>
      <c r="N51" s="380"/>
      <c r="O51" s="374"/>
    </row>
    <row r="52" spans="1:15" ht="18" customHeight="1" thickBot="1" x14ac:dyDescent="0.25">
      <c r="A52" s="48"/>
      <c r="B52" s="383" t="s">
        <v>408</v>
      </c>
      <c r="C52" s="372">
        <v>0</v>
      </c>
      <c r="D52" s="372">
        <f>20073.28-22558.74+15000-153-620-405.92-10.45+8100-8817.44-437.18-1928.28-2815.56-2360-2815.56-153-141.57+39300-164.43-13568.74-14377.3+49300-42872.74-10031.84-7359.7+20000-2163.45-3440.1-3147.03+29300-27021.14-5665.25-2510.45-4404.03+20000-18200.18+29300-5066.46+230.33-19554.74+20000+25850+162.11-51762.27+20000-153-19499.86-43496.3+56850+31500-24223.45</f>
        <v>23066.560000000001</v>
      </c>
      <c r="E52" s="380">
        <v>0</v>
      </c>
      <c r="F52" s="372">
        <v>0</v>
      </c>
      <c r="G52" s="372">
        <f>20073.28-22558.74-4843+15000-153-620-405.92-10.45+8100-8817.44-437.18-1928.28-2815.56-2360-2815.56-153-141.57+39300-164.43-13568.74-14377.3+49300-42872.74-10031.84-7359.7+20000-2163.45-3440.1-3147.03+29300-27021.14-5665.25-2510.45-4404.03+20000-18200.18+29300-5066.46+230.33-19554.74+20000+25850+162.11-51762.27+20000-153-19499.86-43496.3+56850+31500-24223.45+55850-60203.8+4843-17902.8+31500-30478.83+33850-6514.64-1228.94-1511-2761-11024.25-3191.8-143+10000-8113.34+12000-2170+60250-23784.11-12764.54-5154.13-10576.93-5596.43-3406.65-3191.8+72600-5596.43-66-15710.69</f>
        <v>68025.449999999983</v>
      </c>
      <c r="H52" s="380">
        <v>0</v>
      </c>
      <c r="I52" s="381">
        <v>0</v>
      </c>
      <c r="J52" s="372">
        <f>20073.28- 4843 -15710.69-22558.74+15000-153-620-405.92-10.45+8100-8817.44-437.18-1928.28-2815.56-2360-2815.56-153-141.57+39300-164.43-13568.74-14377.3+49300-42872.74-10031.84-7359.7+20000-2163.45-3440.1-3147.03+29300-27021.14-5665.25-2510.45-4404.03+20000-18200.18+29300-5066.46+230.33-19554.74+20000+25850+162.11-51762.27+20000-153-19499.86-43496.3+56850+31500-24223.45+55850-60203.8+4843-17902.8+31500-30478.83+33850-6514.64-1228.94-1511-2761-11024.25-3191.8-143+10000-8113.34+12000-2170+60250-23784.11-12764.54-5154.13-10576.93-5596.43-3406.65-3191.8+72600-5596.43-66-100839.34+66550.76-20426.31-1796.32-23782.52+12000+69150-32927.33-632.02-3511-1653-7921.44-4180+50750+822.5</f>
        <v>69629.429999999978</v>
      </c>
      <c r="K52" s="380">
        <v>0</v>
      </c>
      <c r="L52" s="381">
        <v>0</v>
      </c>
      <c r="M52" s="372">
        <f>69629.43-55799.78-2611-11114.44+59750+42.67-30881.56-3938.17-24503.51+5000-2184.9-1000+48750-598.94+31.99-17838.8-3754.34-153-17232.08-2197.45+58750-6935.79+90.42</f>
        <v>61300.749999999978</v>
      </c>
      <c r="N52" s="380">
        <v>0</v>
      </c>
      <c r="O52" s="374"/>
    </row>
    <row r="53" spans="1:15" ht="18" customHeight="1" thickTop="1" thickBot="1" x14ac:dyDescent="0.25">
      <c r="A53" s="48"/>
      <c r="B53" s="384" t="s">
        <v>273</v>
      </c>
      <c r="C53" s="385">
        <f t="shared" ref="C53:N53" si="4">SUM(C42:C52)</f>
        <v>0</v>
      </c>
      <c r="D53" s="385">
        <f>SUM(D42:D52)</f>
        <v>6065260.2500000009</v>
      </c>
      <c r="E53" s="385">
        <f>SUM(E42:E52)</f>
        <v>640451.69999999995</v>
      </c>
      <c r="F53" s="385">
        <f t="shared" si="4"/>
        <v>0</v>
      </c>
      <c r="G53" s="385">
        <f t="shared" si="4"/>
        <v>4180407.2800000007</v>
      </c>
      <c r="H53" s="385">
        <f t="shared" si="4"/>
        <v>795509.87</v>
      </c>
      <c r="I53" s="385">
        <f t="shared" si="4"/>
        <v>0</v>
      </c>
      <c r="J53" s="385">
        <f>SUM(J42:J52)</f>
        <v>4318106.0199999996</v>
      </c>
      <c r="K53" s="385">
        <f>SUM(K42:K52)</f>
        <v>992310.89999999991</v>
      </c>
      <c r="L53" s="385">
        <f t="shared" si="4"/>
        <v>0</v>
      </c>
      <c r="M53" s="385">
        <f>SUM(M42:M52)</f>
        <v>8111308.7400000002</v>
      </c>
      <c r="N53" s="385">
        <f t="shared" si="4"/>
        <v>1173899.9100000001</v>
      </c>
      <c r="O53" s="374"/>
    </row>
    <row r="54" spans="1:15" ht="23.25" customHeight="1" thickTop="1" x14ac:dyDescent="0.2">
      <c r="A54" s="48"/>
      <c r="B54" s="48"/>
      <c r="C54" s="48"/>
      <c r="D54" s="48"/>
      <c r="E54" s="48"/>
      <c r="F54" s="48"/>
      <c r="G54" s="48"/>
      <c r="H54" s="48"/>
      <c r="I54" s="48"/>
      <c r="J54" s="48"/>
      <c r="K54" s="48"/>
      <c r="L54" s="48"/>
      <c r="M54" s="48"/>
      <c r="N54" s="48"/>
      <c r="O54" s="48"/>
    </row>
    <row r="55" spans="1:15" ht="23.25" customHeight="1" thickBot="1" x14ac:dyDescent="0.25">
      <c r="A55" s="48"/>
      <c r="B55" s="48"/>
      <c r="C55" s="48"/>
      <c r="D55" s="48"/>
      <c r="E55" s="48"/>
      <c r="F55" s="48"/>
      <c r="G55" s="48"/>
      <c r="H55" s="48"/>
      <c r="I55" s="48"/>
      <c r="J55" s="48"/>
      <c r="K55" s="48"/>
      <c r="L55" s="48"/>
      <c r="M55" s="48"/>
      <c r="N55" s="48"/>
      <c r="O55" s="48"/>
    </row>
    <row r="56" spans="1:15" ht="30" customHeight="1" thickTop="1" thickBot="1" x14ac:dyDescent="0.25">
      <c r="A56" s="48"/>
      <c r="B56" s="377" t="s">
        <v>396</v>
      </c>
      <c r="C56" s="377" t="s">
        <v>398</v>
      </c>
      <c r="D56" s="377" t="s">
        <v>410</v>
      </c>
      <c r="E56" s="386" t="s">
        <v>411</v>
      </c>
      <c r="F56" s="48"/>
      <c r="G56" s="48"/>
      <c r="H56" s="48"/>
      <c r="I56" s="48"/>
      <c r="J56" s="48"/>
      <c r="K56" s="48"/>
      <c r="L56" s="48"/>
      <c r="M56" s="48"/>
      <c r="N56" s="48"/>
      <c r="O56" s="48"/>
    </row>
    <row r="57" spans="1:15" ht="18" customHeight="1" thickTop="1" x14ac:dyDescent="0.2">
      <c r="A57" s="48"/>
      <c r="B57" s="379" t="s">
        <v>400</v>
      </c>
      <c r="C57" s="372">
        <f>M42</f>
        <v>180856.44</v>
      </c>
      <c r="D57" s="372">
        <f>SUMIF('Comp.'!$L$5:$L$665,B57,'Comp.'!$E$5:$E$665)</f>
        <v>426438.47000000061</v>
      </c>
      <c r="E57" s="372">
        <f>C57-D57</f>
        <v>-245582.03000000061</v>
      </c>
      <c r="F57" s="48"/>
      <c r="G57" s="48"/>
      <c r="H57" s="48"/>
      <c r="I57" s="48"/>
      <c r="J57" s="48"/>
      <c r="K57" s="48"/>
      <c r="L57" s="48"/>
      <c r="M57" s="48"/>
      <c r="N57" s="48"/>
      <c r="O57" s="48"/>
    </row>
    <row r="58" spans="1:15" ht="18" customHeight="1" x14ac:dyDescent="0.2">
      <c r="A58" s="48"/>
      <c r="B58" s="382" t="s">
        <v>401</v>
      </c>
      <c r="C58" s="372">
        <f t="shared" ref="C58:C67" si="5">M43</f>
        <v>5.7625015870144125E-11</v>
      </c>
      <c r="D58" s="372">
        <f>SUMIF('Comp.'!$L$5:$L$665,B58,'Comp.'!$E$5:$E$665)</f>
        <v>0</v>
      </c>
      <c r="E58" s="372">
        <f>C58-D58</f>
        <v>5.7625015870144125E-11</v>
      </c>
      <c r="F58" s="48"/>
      <c r="G58" s="48"/>
      <c r="H58" s="48"/>
      <c r="I58" s="48"/>
      <c r="J58" s="48"/>
      <c r="K58" s="48"/>
      <c r="L58" s="48"/>
      <c r="M58" s="48"/>
      <c r="N58" s="48"/>
      <c r="O58" s="48"/>
    </row>
    <row r="59" spans="1:15" ht="18" customHeight="1" x14ac:dyDescent="0.2">
      <c r="A59" s="48"/>
      <c r="B59" s="382" t="s">
        <v>402</v>
      </c>
      <c r="C59" s="372">
        <f t="shared" si="5"/>
        <v>-2.039057811487055E-11</v>
      </c>
      <c r="D59" s="372">
        <f>SUMIF('Comp.'!$L$5:$L$665,B59,'Comp.'!$E$5:$E$665)</f>
        <v>0</v>
      </c>
      <c r="E59" s="372">
        <f t="shared" ref="E59:E64" si="6">C59-D59</f>
        <v>-2.039057811487055E-11</v>
      </c>
      <c r="F59" s="48"/>
      <c r="G59" s="48"/>
      <c r="H59" s="48"/>
      <c r="I59" s="48"/>
      <c r="J59" s="48"/>
      <c r="K59" s="48"/>
      <c r="L59" s="48"/>
      <c r="M59" s="48"/>
      <c r="N59" s="48"/>
      <c r="O59" s="48"/>
    </row>
    <row r="60" spans="1:15" ht="18" customHeight="1" x14ac:dyDescent="0.2">
      <c r="A60" s="48"/>
      <c r="B60" s="383" t="s">
        <v>403</v>
      </c>
      <c r="C60" s="372">
        <f t="shared" si="5"/>
        <v>1.5006662579253316E-11</v>
      </c>
      <c r="D60" s="372">
        <f>SUMIF('Comp.'!$L$5:$L$665,B60,'Comp.'!$E$5:$E$665)</f>
        <v>0</v>
      </c>
      <c r="E60" s="372">
        <f t="shared" si="6"/>
        <v>1.5006662579253316E-11</v>
      </c>
      <c r="F60" s="48"/>
      <c r="G60" s="48"/>
      <c r="H60" s="48"/>
      <c r="I60" s="48"/>
      <c r="J60" s="48"/>
      <c r="K60" s="48"/>
      <c r="L60" s="48"/>
      <c r="M60" s="48"/>
      <c r="N60" s="48"/>
      <c r="O60" s="48"/>
    </row>
    <row r="61" spans="1:15" ht="18" customHeight="1" x14ac:dyDescent="0.2">
      <c r="A61" s="48"/>
      <c r="B61" s="383" t="s">
        <v>404</v>
      </c>
      <c r="C61" s="372">
        <f t="shared" si="5"/>
        <v>429633.57</v>
      </c>
      <c r="D61" s="372">
        <f>SUMIF('Comp.'!$L$5:$L$665,B61,'Comp.'!$E$5:$E$665)</f>
        <v>73909.490000000005</v>
      </c>
      <c r="E61" s="372">
        <f t="shared" si="6"/>
        <v>355724.08</v>
      </c>
      <c r="F61" s="48"/>
      <c r="G61" s="48"/>
      <c r="H61" s="48"/>
      <c r="I61" s="48"/>
      <c r="J61" s="48"/>
      <c r="K61" s="48"/>
      <c r="L61" s="48"/>
      <c r="M61" s="48"/>
      <c r="N61" s="48"/>
      <c r="O61" s="48"/>
    </row>
    <row r="62" spans="1:15" ht="18" customHeight="1" x14ac:dyDescent="0.2">
      <c r="A62" s="48"/>
      <c r="B62" s="383" t="s">
        <v>405</v>
      </c>
      <c r="C62" s="372">
        <f t="shared" si="5"/>
        <v>368753.37000000005</v>
      </c>
      <c r="D62" s="372">
        <f>SUMIF('Comp.'!$L$5:$L$665,B62,'Comp.'!$E$5:$E$665)</f>
        <v>63775.970000000008</v>
      </c>
      <c r="E62" s="372">
        <f t="shared" si="6"/>
        <v>304977.40000000002</v>
      </c>
      <c r="F62" s="48"/>
      <c r="G62" s="48"/>
      <c r="H62" s="48"/>
      <c r="I62" s="48"/>
      <c r="J62" s="48"/>
      <c r="K62" s="48"/>
      <c r="L62" s="48"/>
      <c r="M62" s="48"/>
      <c r="N62" s="48"/>
      <c r="O62" s="48"/>
    </row>
    <row r="63" spans="1:15" ht="18" customHeight="1" x14ac:dyDescent="0.2">
      <c r="A63" s="48"/>
      <c r="B63" s="383" t="s">
        <v>406</v>
      </c>
      <c r="C63" s="372">
        <f t="shared" si="5"/>
        <v>770026.74999999988</v>
      </c>
      <c r="D63" s="372">
        <f>SUMIF('Comp.'!$L$5:$L$665,B63,'Comp.'!$E$5:$E$665)</f>
        <v>0</v>
      </c>
      <c r="E63" s="372">
        <f t="shared" si="6"/>
        <v>770026.74999999988</v>
      </c>
      <c r="F63" s="48"/>
      <c r="G63" s="48"/>
      <c r="H63" s="48"/>
      <c r="I63" s="48"/>
      <c r="J63" s="48"/>
      <c r="K63" s="48"/>
      <c r="L63" s="48"/>
      <c r="M63" s="48"/>
      <c r="N63" s="48"/>
      <c r="O63" s="48"/>
    </row>
    <row r="64" spans="1:15" ht="18" customHeight="1" x14ac:dyDescent="0.2">
      <c r="A64" s="48"/>
      <c r="B64" s="383" t="s">
        <v>407</v>
      </c>
      <c r="C64" s="372">
        <f t="shared" si="5"/>
        <v>7.4871886468486082E-11</v>
      </c>
      <c r="D64" s="372">
        <f>SUMIF('Comp.'!$L$5:$L$665,B64,'Comp.'!$E$5:$E$665)</f>
        <v>0</v>
      </c>
      <c r="E64" s="372">
        <f t="shared" si="6"/>
        <v>7.4871886468486082E-11</v>
      </c>
      <c r="F64" s="48"/>
      <c r="G64" s="48"/>
      <c r="H64" s="48"/>
      <c r="I64" s="48"/>
      <c r="J64" s="48"/>
      <c r="K64" s="48"/>
      <c r="L64" s="48"/>
      <c r="M64" s="48"/>
      <c r="N64" s="48"/>
      <c r="O64" s="48"/>
    </row>
    <row r="65" spans="1:15" ht="18" customHeight="1" x14ac:dyDescent="0.2">
      <c r="A65" s="48"/>
      <c r="B65" s="383" t="s">
        <v>9125</v>
      </c>
      <c r="C65" s="372">
        <f t="shared" si="5"/>
        <v>5700737.8600000003</v>
      </c>
      <c r="D65" s="372">
        <f>SUMIF('Comp.'!$L$5:$L$665,B65,'Comp.'!$E$5:$E$665)</f>
        <v>0</v>
      </c>
      <c r="E65" s="372"/>
      <c r="F65" s="48"/>
      <c r="G65" s="48"/>
      <c r="H65" s="48"/>
      <c r="I65" s="48"/>
      <c r="J65" s="48"/>
      <c r="K65" s="48"/>
      <c r="L65" s="48"/>
      <c r="M65" s="48"/>
      <c r="N65" s="48"/>
      <c r="O65" s="48"/>
    </row>
    <row r="66" spans="1:15" ht="18" customHeight="1" x14ac:dyDescent="0.2">
      <c r="A66" s="48"/>
      <c r="B66" s="383" t="s">
        <v>9221</v>
      </c>
      <c r="C66" s="372">
        <f t="shared" si="5"/>
        <v>600000</v>
      </c>
      <c r="D66" s="372">
        <f>SUMIF('Comp.'!$L$5:$L$665,B66,'Comp.'!$E$5:$E$665)</f>
        <v>0</v>
      </c>
      <c r="E66" s="372"/>
      <c r="F66" s="48"/>
      <c r="G66" s="48"/>
      <c r="H66" s="48"/>
      <c r="I66" s="48"/>
      <c r="J66" s="48"/>
      <c r="K66" s="48"/>
      <c r="L66" s="48"/>
      <c r="M66" s="48"/>
      <c r="N66" s="48"/>
      <c r="O66" s="48"/>
    </row>
    <row r="67" spans="1:15" ht="18" customHeight="1" thickBot="1" x14ac:dyDescent="0.25">
      <c r="A67" s="48"/>
      <c r="B67" s="383" t="s">
        <v>408</v>
      </c>
      <c r="C67" s="372">
        <f t="shared" si="5"/>
        <v>61300.749999999978</v>
      </c>
      <c r="D67" s="372">
        <f>SUMIF('Comp.'!$L$5:$L$665,B67,'Comp.'!$E$5:$E$665)</f>
        <v>82961.3</v>
      </c>
      <c r="E67" s="372">
        <f>C67-D67</f>
        <v>-21660.550000000025</v>
      </c>
      <c r="F67" s="48"/>
      <c r="G67" s="48"/>
      <c r="H67" s="48"/>
      <c r="I67" s="48"/>
      <c r="J67" s="48"/>
      <c r="K67" s="48"/>
      <c r="L67" s="48"/>
      <c r="M67" s="48"/>
      <c r="N67" s="48"/>
      <c r="O67" s="48"/>
    </row>
    <row r="68" spans="1:15" ht="18" customHeight="1" thickTop="1" thickBot="1" x14ac:dyDescent="0.25">
      <c r="A68" s="48"/>
      <c r="B68" s="384" t="s">
        <v>273</v>
      </c>
      <c r="C68" s="385">
        <f>SUM(C57:C67)</f>
        <v>8111308.7400000002</v>
      </c>
      <c r="D68" s="385">
        <f>SUM(D57:D67)</f>
        <v>647085.23000000068</v>
      </c>
      <c r="E68" s="385">
        <f>SUM(E57:E67)</f>
        <v>1163485.6499999992</v>
      </c>
      <c r="F68" s="48"/>
      <c r="G68" s="48"/>
      <c r="H68" s="48"/>
      <c r="I68" s="48"/>
      <c r="J68" s="48"/>
      <c r="K68" s="48"/>
      <c r="L68" s="48"/>
      <c r="M68" s="48"/>
      <c r="N68" s="48"/>
      <c r="O68" s="48"/>
    </row>
    <row r="69" spans="1:15" ht="13.5" thickTop="1" x14ac:dyDescent="0.2">
      <c r="A69" s="48"/>
      <c r="B69" s="48"/>
      <c r="C69" s="48"/>
      <c r="D69" s="48"/>
      <c r="E69" s="48"/>
      <c r="F69" s="48"/>
      <c r="G69" s="48"/>
      <c r="H69" s="48"/>
      <c r="I69" s="48"/>
      <c r="J69" s="48"/>
      <c r="K69" s="48"/>
      <c r="L69" s="48"/>
      <c r="M69" s="48"/>
      <c r="N69" s="48"/>
      <c r="O69" s="48"/>
    </row>
    <row r="70" spans="1:15" x14ac:dyDescent="0.2">
      <c r="A70" s="48"/>
      <c r="B70" s="48"/>
      <c r="C70" s="48"/>
      <c r="D70" s="48"/>
      <c r="E70" s="48"/>
      <c r="F70" s="48"/>
      <c r="G70" s="48"/>
      <c r="H70" s="48"/>
      <c r="I70" s="48"/>
      <c r="J70" s="48"/>
      <c r="K70" s="48"/>
      <c r="L70" s="48"/>
      <c r="M70" s="48"/>
      <c r="N70" s="48"/>
      <c r="O70" s="48"/>
    </row>
    <row r="71" spans="1:15" x14ac:dyDescent="0.2">
      <c r="A71" s="48"/>
      <c r="B71" s="48"/>
      <c r="C71" s="48"/>
      <c r="D71" s="48"/>
      <c r="E71" s="48"/>
      <c r="F71" s="48"/>
      <c r="G71" s="48"/>
      <c r="H71" s="48"/>
      <c r="I71" s="48"/>
      <c r="J71" s="48"/>
      <c r="K71" s="48"/>
      <c r="L71" s="48"/>
      <c r="M71" s="48"/>
      <c r="N71" s="48"/>
      <c r="O71" s="48"/>
    </row>
    <row r="72" spans="1:15" x14ac:dyDescent="0.2">
      <c r="A72" s="48"/>
      <c r="B72" s="48"/>
      <c r="C72" s="48"/>
      <c r="D72" s="48"/>
      <c r="E72" s="48"/>
      <c r="F72" s="48"/>
      <c r="G72" s="48"/>
      <c r="H72" s="48"/>
      <c r="I72" s="48"/>
      <c r="J72" s="48"/>
      <c r="K72" s="48"/>
      <c r="L72" s="48"/>
      <c r="M72" s="48"/>
      <c r="N72" s="48"/>
      <c r="O72" s="48"/>
    </row>
    <row r="73" spans="1:15" x14ac:dyDescent="0.2">
      <c r="A73" s="48"/>
      <c r="B73" s="48"/>
      <c r="C73" s="48"/>
      <c r="D73" s="48"/>
      <c r="E73" s="48"/>
      <c r="F73" s="48"/>
      <c r="G73" s="48"/>
      <c r="H73" s="48"/>
      <c r="I73" s="48"/>
      <c r="J73" s="48"/>
      <c r="K73" s="48"/>
      <c r="L73" s="48"/>
      <c r="M73" s="48"/>
      <c r="N73" s="48"/>
      <c r="O73" s="48"/>
    </row>
    <row r="74" spans="1:15" x14ac:dyDescent="0.2">
      <c r="A74" s="48"/>
      <c r="B74" s="48"/>
      <c r="C74" s="48"/>
      <c r="D74" s="48"/>
      <c r="E74" s="48"/>
      <c r="F74" s="48"/>
      <c r="G74" s="48"/>
      <c r="H74" s="48"/>
      <c r="I74" s="48"/>
      <c r="J74" s="48"/>
      <c r="K74" s="48"/>
      <c r="L74" s="48"/>
      <c r="M74" s="48"/>
      <c r="N74" s="48"/>
      <c r="O74" s="48"/>
    </row>
    <row r="75" spans="1:15" x14ac:dyDescent="0.2">
      <c r="A75" s="48"/>
      <c r="B75" s="48"/>
      <c r="C75" s="48"/>
      <c r="D75" s="48"/>
      <c r="E75" s="48"/>
      <c r="F75" s="48"/>
      <c r="G75" s="48"/>
      <c r="H75" s="48"/>
      <c r="I75" s="48"/>
      <c r="J75" s="48"/>
      <c r="K75" s="48"/>
      <c r="L75" s="48"/>
      <c r="M75" s="48"/>
      <c r="N75" s="48"/>
      <c r="O75" s="48"/>
    </row>
    <row r="76" spans="1:15" x14ac:dyDescent="0.2">
      <c r="A76" s="48"/>
      <c r="B76" s="48"/>
      <c r="C76" s="48"/>
      <c r="D76" s="48"/>
      <c r="E76" s="48"/>
      <c r="F76" s="48"/>
      <c r="G76" s="48"/>
      <c r="H76" s="48"/>
      <c r="I76" s="48"/>
      <c r="J76" s="48"/>
      <c r="K76" s="48"/>
      <c r="L76" s="48"/>
      <c r="M76" s="48"/>
      <c r="N76" s="48"/>
      <c r="O76" s="48"/>
    </row>
  </sheetData>
  <sheetProtection algorithmName="SHA-512" hashValue="+IMyIhaYVrvoGTiJZ8pALkscaSqmq2goJ8mj8hhEyw1riMBXB7h3W+8GnGE7BeyIXaGjMoENGpshIyL+5f2xww==" saltValue="wyX23Ip7JwTPnAmfhawOUg==" spinCount="100000" sheet="1" objects="1" scenarios="1" formatColumns="0" formatRows="0" insertRows="0" deleteRows="0"/>
  <mergeCells count="11">
    <mergeCell ref="B32:C32"/>
    <mergeCell ref="B4:B7"/>
    <mergeCell ref="A3:N3"/>
    <mergeCell ref="A1:N1"/>
    <mergeCell ref="A2:N2"/>
    <mergeCell ref="B22:F22"/>
    <mergeCell ref="B39:O39"/>
    <mergeCell ref="C40:E40"/>
    <mergeCell ref="F40:H40"/>
    <mergeCell ref="I40:K40"/>
    <mergeCell ref="L40:N40"/>
  </mergeCells>
  <phoneticPr fontId="0" type="noConversion"/>
  <printOptions horizontalCentered="1"/>
  <pageMargins left="0.19685039370078741" right="0.19685039370078741" top="0.59055118110236227" bottom="0.59055118110236227" header="0" footer="0"/>
  <pageSetup paperSize="9" scale="46"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59"/>
  <sheetViews>
    <sheetView showGridLines="0" zoomScale="95" zoomScaleNormal="95" zoomScaleSheetLayoutView="100" workbookViewId="0">
      <selection activeCell="M10" sqref="M10"/>
    </sheetView>
  </sheetViews>
  <sheetFormatPr defaultColWidth="17" defaultRowHeight="30" customHeight="1" x14ac:dyDescent="0.2"/>
  <cols>
    <col min="1" max="1" width="3.42578125" style="242" customWidth="1"/>
    <col min="2" max="2" width="15" style="242" customWidth="1"/>
    <col min="3" max="3" width="12.5703125" style="242" customWidth="1"/>
    <col min="4" max="4" width="13.140625" style="242" customWidth="1"/>
    <col min="5" max="5" width="13.85546875" style="242" customWidth="1"/>
    <col min="6" max="6" width="15" style="242" customWidth="1"/>
    <col min="7" max="7" width="14.42578125" style="242" customWidth="1"/>
    <col min="8" max="8" width="15.42578125" style="242" customWidth="1"/>
    <col min="9" max="9" width="13.85546875" style="242" customWidth="1"/>
    <col min="10" max="10" width="14.7109375" style="242" customWidth="1"/>
    <col min="11" max="13" width="12.5703125" style="242" customWidth="1"/>
    <col min="14" max="14" width="14.140625" style="242" customWidth="1"/>
    <col min="15" max="15" width="14.5703125" style="247" customWidth="1"/>
    <col min="16" max="16" width="2.42578125" style="247" customWidth="1"/>
    <col min="17" max="17" width="12.5703125" style="242" customWidth="1"/>
    <col min="18" max="18" width="14.140625" style="242" bestFit="1" customWidth="1"/>
    <col min="19" max="19" width="12.5703125" style="242" customWidth="1"/>
    <col min="20" max="20" width="12.5703125" style="248" customWidth="1"/>
    <col min="21" max="22" width="12.5703125" style="242" customWidth="1"/>
    <col min="23" max="23" width="12" style="242" customWidth="1"/>
    <col min="24" max="24" width="2.28515625" style="242" customWidth="1"/>
    <col min="25" max="25" width="10.7109375" style="242" customWidth="1"/>
    <col min="26" max="26" width="13" style="242" bestFit="1" customWidth="1"/>
    <col min="27" max="16384" width="17" style="242"/>
  </cols>
  <sheetData>
    <row r="1" spans="1:26" s="244" customFormat="1" ht="30.75" customHeight="1" x14ac:dyDescent="0.2">
      <c r="A1" s="776" t="str">
        <f>Capa!A1</f>
        <v>Contrato de Gestão nº. 05/20 celebrado entre a Fundação Clóvis Salgado e a Associação Pró-Cultura e Promoção das Artes</v>
      </c>
      <c r="B1" s="776"/>
      <c r="C1" s="776"/>
      <c r="D1" s="776"/>
      <c r="E1" s="776"/>
      <c r="F1" s="776"/>
      <c r="G1" s="776"/>
      <c r="H1" s="776"/>
      <c r="I1" s="776"/>
      <c r="J1" s="776"/>
      <c r="K1" s="776"/>
      <c r="L1" s="776"/>
      <c r="M1" s="776"/>
      <c r="N1" s="776"/>
      <c r="O1" s="776"/>
      <c r="P1" s="282"/>
      <c r="Q1" s="282"/>
      <c r="R1" s="282"/>
      <c r="S1" s="282"/>
      <c r="T1" s="282"/>
      <c r="U1" s="282"/>
      <c r="V1" s="282"/>
      <c r="W1" s="282"/>
      <c r="X1" s="282"/>
      <c r="Y1" s="282"/>
      <c r="Z1" s="282"/>
    </row>
    <row r="2" spans="1:26" s="244" customFormat="1" ht="18" customHeight="1" x14ac:dyDescent="0.2">
      <c r="A2" s="776">
        <f>Capa!A3</f>
        <v>0</v>
      </c>
      <c r="B2" s="776"/>
      <c r="C2" s="776"/>
      <c r="D2" s="776"/>
      <c r="E2" s="776"/>
      <c r="F2" s="776"/>
      <c r="G2" s="776"/>
      <c r="H2" s="776"/>
      <c r="I2" s="776"/>
      <c r="J2" s="776"/>
      <c r="K2" s="776"/>
      <c r="L2" s="776"/>
      <c r="M2" s="776"/>
      <c r="N2" s="776"/>
      <c r="O2" s="776"/>
      <c r="P2" s="282"/>
      <c r="Q2" s="282"/>
      <c r="R2" s="282"/>
      <c r="S2" s="282"/>
      <c r="T2" s="282"/>
      <c r="U2" s="282"/>
      <c r="V2" s="282"/>
      <c r="W2" s="282"/>
      <c r="X2" s="282"/>
      <c r="Y2" s="282"/>
      <c r="Z2" s="282"/>
    </row>
    <row r="3" spans="1:26" s="244" customFormat="1" ht="18" customHeight="1" thickBot="1" x14ac:dyDescent="0.25">
      <c r="A3" s="782" t="s">
        <v>294</v>
      </c>
      <c r="B3" s="782"/>
      <c r="C3" s="782"/>
      <c r="D3" s="782"/>
      <c r="E3" s="782"/>
      <c r="F3" s="782"/>
      <c r="G3" s="782"/>
      <c r="H3" s="782"/>
      <c r="I3" s="782"/>
      <c r="J3" s="782"/>
      <c r="K3" s="782"/>
      <c r="L3" s="782"/>
      <c r="M3" s="782"/>
      <c r="N3" s="782"/>
      <c r="O3" s="782"/>
      <c r="P3" s="283"/>
      <c r="Q3" s="283"/>
      <c r="R3" s="283"/>
      <c r="S3" s="283"/>
      <c r="T3" s="283"/>
      <c r="U3" s="283"/>
      <c r="V3" s="283"/>
      <c r="W3" s="283"/>
      <c r="X3" s="283"/>
      <c r="Y3" s="283"/>
      <c r="Z3" s="283"/>
    </row>
    <row r="4" spans="1:26" s="244" customFormat="1" ht="16.5" customHeight="1" thickBot="1" x14ac:dyDescent="0.25">
      <c r="A4" s="107"/>
      <c r="B4" s="107"/>
      <c r="C4" s="792" t="s">
        <v>159</v>
      </c>
      <c r="D4" s="792"/>
      <c r="E4" s="792"/>
      <c r="F4" s="792"/>
      <c r="G4" s="792"/>
      <c r="H4" s="792"/>
      <c r="I4" s="792"/>
      <c r="J4" s="792"/>
      <c r="K4" s="792"/>
      <c r="L4" s="792"/>
      <c r="M4" s="792"/>
      <c r="N4" s="792"/>
      <c r="O4" s="792"/>
    </row>
    <row r="5" spans="1:26" s="244" customFormat="1" ht="11.25" x14ac:dyDescent="0.2">
      <c r="A5" s="783">
        <v>1</v>
      </c>
      <c r="B5" s="785" t="s">
        <v>156</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790" t="s">
        <v>5</v>
      </c>
    </row>
    <row r="6" spans="1:26" s="244" customFormat="1" ht="11.25" x14ac:dyDescent="0.2">
      <c r="A6" s="783"/>
      <c r="B6" s="786"/>
      <c r="C6" s="287">
        <f>Resumo!C5</f>
        <v>44562</v>
      </c>
      <c r="D6" s="287">
        <f>Resumo!D5</f>
        <v>44593</v>
      </c>
      <c r="E6" s="287">
        <f>Resumo!E5</f>
        <v>44621</v>
      </c>
      <c r="F6" s="287">
        <f>Resumo!F5</f>
        <v>44652</v>
      </c>
      <c r="G6" s="287">
        <f>Resumo!G5</f>
        <v>44682</v>
      </c>
      <c r="H6" s="287">
        <f>Resumo!H5</f>
        <v>44713</v>
      </c>
      <c r="I6" s="287">
        <f>Resumo!I5</f>
        <v>44743</v>
      </c>
      <c r="J6" s="287">
        <f>Resumo!J5</f>
        <v>44774</v>
      </c>
      <c r="K6" s="287">
        <f>Resumo!K5</f>
        <v>44805</v>
      </c>
      <c r="L6" s="287">
        <f>Resumo!L5</f>
        <v>44835</v>
      </c>
      <c r="M6" s="287">
        <f>Resumo!M5</f>
        <v>44866</v>
      </c>
      <c r="N6" s="287">
        <f>Resumo!N5</f>
        <v>44896</v>
      </c>
      <c r="O6" s="790"/>
    </row>
    <row r="7" spans="1:26" s="244" customFormat="1" ht="11.25" x14ac:dyDescent="0.2">
      <c r="A7" s="783"/>
      <c r="B7" s="786"/>
      <c r="C7" s="292" t="str">
        <f>Resumo!C6</f>
        <v>a</v>
      </c>
      <c r="D7" s="292" t="str">
        <f>Resumo!D6</f>
        <v>a</v>
      </c>
      <c r="E7" s="292" t="str">
        <f>Resumo!E6</f>
        <v>a</v>
      </c>
      <c r="F7" s="292" t="str">
        <f>Resumo!F6</f>
        <v>a</v>
      </c>
      <c r="G7" s="292" t="str">
        <f>Resumo!G6</f>
        <v>a</v>
      </c>
      <c r="H7" s="292" t="str">
        <f>Resumo!H6</f>
        <v>a</v>
      </c>
      <c r="I7" s="292" t="str">
        <f>Resumo!I6</f>
        <v>a</v>
      </c>
      <c r="J7" s="292" t="str">
        <f>Resumo!J6</f>
        <v>a</v>
      </c>
      <c r="K7" s="292" t="str">
        <f>Resumo!K6</f>
        <v>a</v>
      </c>
      <c r="L7" s="292" t="str">
        <f>Resumo!L6</f>
        <v>a</v>
      </c>
      <c r="M7" s="292" t="str">
        <f>Resumo!M6</f>
        <v>a</v>
      </c>
      <c r="N7" s="292" t="str">
        <f>Resumo!N6</f>
        <v>a</v>
      </c>
      <c r="O7" s="790"/>
    </row>
    <row r="8" spans="1:26" ht="12" thickBot="1" x14ac:dyDescent="0.25">
      <c r="A8" s="784"/>
      <c r="B8" s="787"/>
      <c r="C8" s="288">
        <f>Resumo!C7</f>
        <v>44592</v>
      </c>
      <c r="D8" s="288">
        <f>Resumo!D7</f>
        <v>44620</v>
      </c>
      <c r="E8" s="288">
        <f>Resumo!E7</f>
        <v>44651</v>
      </c>
      <c r="F8" s="288">
        <f>Resumo!F7</f>
        <v>44681</v>
      </c>
      <c r="G8" s="288">
        <f>Resumo!G7</f>
        <v>44712</v>
      </c>
      <c r="H8" s="288">
        <f>Resumo!H7</f>
        <v>44742</v>
      </c>
      <c r="I8" s="288">
        <f>Resumo!I7</f>
        <v>44773</v>
      </c>
      <c r="J8" s="288">
        <f>Resumo!J7</f>
        <v>44804</v>
      </c>
      <c r="K8" s="288">
        <f>Resumo!K7</f>
        <v>44834</v>
      </c>
      <c r="L8" s="288">
        <f>Resumo!L7</f>
        <v>44865</v>
      </c>
      <c r="M8" s="288">
        <f>Resumo!M7</f>
        <v>44895</v>
      </c>
      <c r="N8" s="288">
        <f>Resumo!N7</f>
        <v>44926</v>
      </c>
      <c r="O8" s="791"/>
    </row>
    <row r="9" spans="1:26" ht="11.25" x14ac:dyDescent="0.2">
      <c r="A9" s="112" t="s">
        <v>15</v>
      </c>
      <c r="B9" s="113" t="s">
        <v>34</v>
      </c>
      <c r="C9" s="114"/>
      <c r="D9" s="114"/>
      <c r="E9" s="114"/>
      <c r="F9" s="114"/>
      <c r="G9" s="114"/>
      <c r="H9" s="114"/>
      <c r="I9" s="114"/>
      <c r="J9" s="114"/>
      <c r="K9" s="114"/>
      <c r="L9" s="114"/>
      <c r="M9" s="114"/>
      <c r="N9" s="114"/>
      <c r="O9" s="109"/>
    </row>
    <row r="10" spans="1:26" ht="22.5" x14ac:dyDescent="0.2">
      <c r="A10" s="115" t="s">
        <v>42</v>
      </c>
      <c r="B10" s="60" t="s">
        <v>330</v>
      </c>
      <c r="C10" s="390">
        <v>0</v>
      </c>
      <c r="D10" s="390">
        <v>2620189.0700294939</v>
      </c>
      <c r="E10" s="390">
        <v>0</v>
      </c>
      <c r="F10" s="390">
        <v>0</v>
      </c>
      <c r="G10" s="390">
        <v>2015796.9251796668</v>
      </c>
      <c r="H10" s="390">
        <v>0</v>
      </c>
      <c r="I10" s="390">
        <v>0</v>
      </c>
      <c r="J10" s="390">
        <v>1868252.4857741487</v>
      </c>
      <c r="K10" s="390">
        <v>0</v>
      </c>
      <c r="L10" s="390">
        <v>0</v>
      </c>
      <c r="M10" s="390">
        <v>1135621.2572182615</v>
      </c>
      <c r="N10" s="390"/>
      <c r="O10" s="116">
        <f>SUM(C10:N10)</f>
        <v>7639859.7382015707</v>
      </c>
    </row>
    <row r="11" spans="1:26" ht="22.5" x14ac:dyDescent="0.2">
      <c r="A11" s="115" t="s">
        <v>43</v>
      </c>
      <c r="B11" s="60" t="s">
        <v>331</v>
      </c>
      <c r="C11" s="390"/>
      <c r="D11" s="390"/>
      <c r="E11" s="390"/>
      <c r="F11" s="390"/>
      <c r="G11" s="390"/>
      <c r="H11" s="390"/>
      <c r="I11" s="390"/>
      <c r="J11" s="390"/>
      <c r="K11" s="390"/>
      <c r="L11" s="390"/>
      <c r="M11" s="390"/>
      <c r="N11" s="390">
        <v>5000000</v>
      </c>
      <c r="O11" s="116">
        <f>SUM(C11:N11)</f>
        <v>5000000</v>
      </c>
    </row>
    <row r="12" spans="1:26" ht="11.25" x14ac:dyDescent="0.2">
      <c r="A12" s="115" t="s">
        <v>45</v>
      </c>
      <c r="B12" s="60" t="s">
        <v>167</v>
      </c>
      <c r="C12" s="391">
        <v>0</v>
      </c>
      <c r="D12" s="391">
        <v>0</v>
      </c>
      <c r="E12" s="391">
        <v>0</v>
      </c>
      <c r="F12" s="391">
        <v>0</v>
      </c>
      <c r="G12" s="391">
        <v>0</v>
      </c>
      <c r="H12" s="391">
        <v>0</v>
      </c>
      <c r="I12" s="391">
        <v>0</v>
      </c>
      <c r="J12" s="391">
        <v>0</v>
      </c>
      <c r="K12" s="391">
        <v>0</v>
      </c>
      <c r="L12" s="391">
        <v>0</v>
      </c>
      <c r="M12" s="391">
        <v>0</v>
      </c>
      <c r="N12" s="391">
        <v>0</v>
      </c>
      <c r="O12" s="116">
        <f>SUM(C12:N12)</f>
        <v>0</v>
      </c>
    </row>
    <row r="13" spans="1:26" ht="23.25" thickBot="1" x14ac:dyDescent="0.25">
      <c r="A13" s="256" t="s">
        <v>39</v>
      </c>
      <c r="B13" s="257" t="s">
        <v>295</v>
      </c>
      <c r="C13" s="130">
        <v>0</v>
      </c>
      <c r="D13" s="130">
        <v>0</v>
      </c>
      <c r="E13" s="130">
        <v>0</v>
      </c>
      <c r="F13" s="130">
        <v>0</v>
      </c>
      <c r="G13" s="130">
        <v>0</v>
      </c>
      <c r="H13" s="130">
        <v>0</v>
      </c>
      <c r="I13" s="130">
        <v>0</v>
      </c>
      <c r="J13" s="130">
        <v>0</v>
      </c>
      <c r="K13" s="130">
        <v>0</v>
      </c>
      <c r="L13" s="130">
        <v>0</v>
      </c>
      <c r="M13" s="130">
        <v>0</v>
      </c>
      <c r="N13" s="130">
        <v>0</v>
      </c>
      <c r="O13" s="255">
        <f>SUM(C13:N13)</f>
        <v>0</v>
      </c>
    </row>
    <row r="14" spans="1:26" ht="12" thickBot="1" x14ac:dyDescent="0.25">
      <c r="A14" s="780" t="s">
        <v>256</v>
      </c>
      <c r="B14" s="780"/>
      <c r="C14" s="118">
        <f t="shared" ref="C14:H14" si="0">SUM(C10:C13)</f>
        <v>0</v>
      </c>
      <c r="D14" s="118">
        <f t="shared" si="0"/>
        <v>2620189.0700294939</v>
      </c>
      <c r="E14" s="118">
        <f t="shared" si="0"/>
        <v>0</v>
      </c>
      <c r="F14" s="118">
        <f t="shared" si="0"/>
        <v>0</v>
      </c>
      <c r="G14" s="118">
        <f t="shared" si="0"/>
        <v>2015796.9251796668</v>
      </c>
      <c r="H14" s="118">
        <f t="shared" si="0"/>
        <v>0</v>
      </c>
      <c r="I14" s="118">
        <f t="shared" ref="I14:N14" si="1">SUM(I10:I13)</f>
        <v>0</v>
      </c>
      <c r="J14" s="118">
        <f t="shared" si="1"/>
        <v>1868252.4857741487</v>
      </c>
      <c r="K14" s="118">
        <f t="shared" si="1"/>
        <v>0</v>
      </c>
      <c r="L14" s="118">
        <f t="shared" si="1"/>
        <v>0</v>
      </c>
      <c r="M14" s="118">
        <f t="shared" si="1"/>
        <v>1135621.2572182615</v>
      </c>
      <c r="N14" s="118">
        <f t="shared" si="1"/>
        <v>5000000</v>
      </c>
      <c r="O14" s="116">
        <f>SUM(C14:N14)</f>
        <v>12639859.73820157</v>
      </c>
    </row>
    <row r="15" spans="1:26" s="244" customFormat="1" ht="12" customHeight="1" thickBot="1" x14ac:dyDescent="0.25">
      <c r="A15" s="119"/>
      <c r="B15" s="120"/>
      <c r="C15" s="175"/>
      <c r="D15" s="175"/>
      <c r="E15" s="175"/>
      <c r="F15" s="175"/>
      <c r="G15" s="175"/>
      <c r="H15" s="175"/>
      <c r="I15" s="175"/>
      <c r="J15" s="175"/>
      <c r="K15" s="175"/>
      <c r="L15" s="175"/>
      <c r="M15" s="175"/>
      <c r="N15" s="175"/>
      <c r="O15" s="175"/>
    </row>
    <row r="16" spans="1:26" ht="24" customHeight="1" thickBot="1" x14ac:dyDescent="0.25">
      <c r="A16" s="110">
        <v>2</v>
      </c>
      <c r="B16" s="111" t="s">
        <v>157</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x14ac:dyDescent="0.2">
      <c r="A17" s="112" t="s">
        <v>39</v>
      </c>
      <c r="B17" s="113" t="s">
        <v>182</v>
      </c>
      <c r="C17" s="176"/>
      <c r="D17" s="176"/>
      <c r="E17" s="176"/>
      <c r="F17" s="176"/>
      <c r="G17" s="176"/>
      <c r="H17" s="176"/>
      <c r="I17" s="176"/>
      <c r="J17" s="176"/>
      <c r="K17" s="176"/>
      <c r="L17" s="176"/>
      <c r="M17" s="176"/>
      <c r="N17" s="176"/>
      <c r="O17" s="176"/>
    </row>
    <row r="18" spans="1:26" ht="11.25" x14ac:dyDescent="0.2">
      <c r="A18" s="125" t="s">
        <v>11</v>
      </c>
      <c r="B18" s="113" t="s">
        <v>1</v>
      </c>
      <c r="C18" s="392">
        <f>247392.3807-26400</f>
        <v>220992.38070000001</v>
      </c>
      <c r="D18" s="392">
        <f>247392.3807-26400</f>
        <v>220992.38070000001</v>
      </c>
      <c r="E18" s="392">
        <f>247392.3807-19800</f>
        <v>227592.38070000001</v>
      </c>
      <c r="F18" s="392">
        <f>247392.3807-19800</f>
        <v>227592.38070000001</v>
      </c>
      <c r="G18" s="392">
        <f t="shared" ref="G18:N18" si="4">254814.152121-20394</f>
        <v>234420.15212099999</v>
      </c>
      <c r="H18" s="392">
        <f t="shared" si="4"/>
        <v>234420.15212099999</v>
      </c>
      <c r="I18" s="392">
        <f t="shared" si="4"/>
        <v>234420.15212099999</v>
      </c>
      <c r="J18" s="392">
        <f t="shared" si="4"/>
        <v>234420.15212099999</v>
      </c>
      <c r="K18" s="392">
        <f t="shared" si="4"/>
        <v>234420.15212099999</v>
      </c>
      <c r="L18" s="392">
        <f t="shared" si="4"/>
        <v>234420.15212099999</v>
      </c>
      <c r="M18" s="392">
        <f t="shared" si="4"/>
        <v>234420.15212099999</v>
      </c>
      <c r="N18" s="392">
        <f t="shared" si="4"/>
        <v>234420.15212099999</v>
      </c>
      <c r="O18" s="116">
        <f>SUM(C18:N18)</f>
        <v>2772530.7397679999</v>
      </c>
    </row>
    <row r="19" spans="1:26" ht="11.25" x14ac:dyDescent="0.2">
      <c r="A19" s="125" t="s">
        <v>12</v>
      </c>
      <c r="B19" s="113" t="s">
        <v>7</v>
      </c>
      <c r="C19" s="392">
        <v>0</v>
      </c>
      <c r="D19" s="392">
        <v>0</v>
      </c>
      <c r="E19" s="392">
        <v>0</v>
      </c>
      <c r="F19" s="392">
        <v>0</v>
      </c>
      <c r="G19" s="392">
        <v>0</v>
      </c>
      <c r="H19" s="392">
        <v>0</v>
      </c>
      <c r="I19" s="392">
        <v>0</v>
      </c>
      <c r="J19" s="392">
        <v>0</v>
      </c>
      <c r="K19" s="392">
        <v>0</v>
      </c>
      <c r="L19" s="392">
        <v>0</v>
      </c>
      <c r="M19" s="392">
        <v>0</v>
      </c>
      <c r="N19" s="392">
        <v>0</v>
      </c>
      <c r="O19" s="116">
        <f t="shared" ref="O19:O27" si="5">SUM(C19:N19)</f>
        <v>0</v>
      </c>
    </row>
    <row r="20" spans="1:26" ht="11.25" x14ac:dyDescent="0.2">
      <c r="A20" s="125" t="s">
        <v>13</v>
      </c>
      <c r="B20" s="113" t="s">
        <v>37</v>
      </c>
      <c r="C20" s="392">
        <f>164825.173641375-17589</f>
        <v>147236.173641375</v>
      </c>
      <c r="D20" s="392">
        <f>164825.173641375-17589</f>
        <v>147236.173641375</v>
      </c>
      <c r="E20" s="392">
        <f>164825.173641375-13191.75</f>
        <v>151633.423641375</v>
      </c>
      <c r="F20" s="392">
        <f>189564.411711375-15171.75</f>
        <v>174392.661711375</v>
      </c>
      <c r="G20" s="392">
        <f>161805.2495072-13587.5</f>
        <v>148217.7495072</v>
      </c>
      <c r="H20" s="392">
        <f>158449.166173866-13587.5</f>
        <v>144861.66617386599</v>
      </c>
      <c r="I20" s="392">
        <f>157865.4995072-13587.5</f>
        <v>144277.9995072</v>
      </c>
      <c r="J20" s="392">
        <f>155299.082840533-13587.5</f>
        <v>141711.582840533</v>
      </c>
      <c r="K20" s="392">
        <f>150200.582840533-13587.5</f>
        <v>136613.082840533</v>
      </c>
      <c r="L20" s="392">
        <f>150200.58-13587.5</f>
        <v>136613.07999999999</v>
      </c>
      <c r="M20" s="392">
        <f>150200.582840533-13587.5</f>
        <v>136613.082840533</v>
      </c>
      <c r="N20" s="392">
        <f>150200.582840533-13587.5</f>
        <v>136613.082840533</v>
      </c>
      <c r="O20" s="116">
        <f t="shared" si="5"/>
        <v>1746019.7591858981</v>
      </c>
    </row>
    <row r="21" spans="1:26" ht="11.25" x14ac:dyDescent="0.2">
      <c r="A21" s="125" t="s">
        <v>14</v>
      </c>
      <c r="B21" s="113" t="s">
        <v>38</v>
      </c>
      <c r="C21" s="392">
        <f>75106.3654-9342.37</f>
        <v>65763.9954</v>
      </c>
      <c r="D21" s="392">
        <f>75106.3654-9342.37</f>
        <v>65763.9954</v>
      </c>
      <c r="E21" s="392">
        <f>75106.3654-7006.78</f>
        <v>68099.585399999996</v>
      </c>
      <c r="F21" s="392">
        <f>75106.3654-7006.78</f>
        <v>68099.585399999996</v>
      </c>
      <c r="G21" s="392">
        <f t="shared" ref="G21:N21" si="6">78308.3654-7307.78</f>
        <v>71000.585399999996</v>
      </c>
      <c r="H21" s="392">
        <f t="shared" si="6"/>
        <v>71000.585399999996</v>
      </c>
      <c r="I21" s="392">
        <f t="shared" si="6"/>
        <v>71000.585399999996</v>
      </c>
      <c r="J21" s="392">
        <f t="shared" si="6"/>
        <v>71000.585399999996</v>
      </c>
      <c r="K21" s="392">
        <f t="shared" si="6"/>
        <v>71000.585399999996</v>
      </c>
      <c r="L21" s="392">
        <f t="shared" si="6"/>
        <v>71000.585399999996</v>
      </c>
      <c r="M21" s="392">
        <f t="shared" si="6"/>
        <v>71000.585399999996</v>
      </c>
      <c r="N21" s="392">
        <f t="shared" si="6"/>
        <v>71000.585399999996</v>
      </c>
      <c r="O21" s="116">
        <f t="shared" si="5"/>
        <v>835731.84479999985</v>
      </c>
    </row>
    <row r="22" spans="1:26" ht="12.75" customHeight="1" x14ac:dyDescent="0.2">
      <c r="A22" s="781" t="s">
        <v>53</v>
      </c>
      <c r="B22" s="781"/>
      <c r="C22" s="126">
        <f t="shared" ref="C22:H22" si="7">SUM(C18:C21)</f>
        <v>433992.54974137503</v>
      </c>
      <c r="D22" s="126">
        <f t="shared" si="7"/>
        <v>433992.54974137503</v>
      </c>
      <c r="E22" s="126">
        <f t="shared" si="7"/>
        <v>447325.38974137499</v>
      </c>
      <c r="F22" s="126">
        <f t="shared" si="7"/>
        <v>470084.62781137496</v>
      </c>
      <c r="G22" s="126">
        <f t="shared" si="7"/>
        <v>453638.48702819995</v>
      </c>
      <c r="H22" s="126">
        <f t="shared" si="7"/>
        <v>450282.40369486599</v>
      </c>
      <c r="I22" s="126">
        <f t="shared" ref="I22:N22" si="8">SUM(I18:I21)</f>
        <v>449698.73702819995</v>
      </c>
      <c r="J22" s="126">
        <f t="shared" si="8"/>
        <v>447132.32036153297</v>
      </c>
      <c r="K22" s="126">
        <f t="shared" si="8"/>
        <v>442033.82036153297</v>
      </c>
      <c r="L22" s="126">
        <f t="shared" si="8"/>
        <v>442033.81752099993</v>
      </c>
      <c r="M22" s="126">
        <f t="shared" si="8"/>
        <v>442033.82036153297</v>
      </c>
      <c r="N22" s="126">
        <f t="shared" si="8"/>
        <v>442033.82036153297</v>
      </c>
      <c r="O22" s="126">
        <f t="shared" si="5"/>
        <v>5354282.3437538994</v>
      </c>
      <c r="R22" s="656"/>
    </row>
    <row r="23" spans="1:26" ht="11.25" x14ac:dyDescent="0.2">
      <c r="A23" s="112" t="s">
        <v>40</v>
      </c>
      <c r="B23" s="113" t="s">
        <v>271</v>
      </c>
      <c r="C23" s="392">
        <f>145281.474304704+65000</f>
        <v>210281.474304704</v>
      </c>
      <c r="D23" s="392">
        <f>159781.474304704+65000</f>
        <v>224781.474304704</v>
      </c>
      <c r="E23" s="392">
        <f>162181.474304704+65000</f>
        <v>227181.474304704</v>
      </c>
      <c r="F23" s="392">
        <f>178909.730079882+65000</f>
        <v>243909.73007988199</v>
      </c>
      <c r="G23" s="392">
        <f>164938.882476134+55000</f>
        <v>219938.88247613399</v>
      </c>
      <c r="H23" s="392">
        <f>207538.882476134+35000</f>
        <v>242538.88247613399</v>
      </c>
      <c r="I23" s="392">
        <v>165831.69247613408</v>
      </c>
      <c r="J23" s="392">
        <v>126898.35844315878</v>
      </c>
      <c r="K23" s="392">
        <v>162943.16312319593</v>
      </c>
      <c r="L23" s="392">
        <v>123343.16312319592</v>
      </c>
      <c r="M23" s="392">
        <v>114093.16312319592</v>
      </c>
      <c r="N23" s="392">
        <v>54881.893371999984</v>
      </c>
      <c r="O23" s="116">
        <f t="shared" si="5"/>
        <v>2116623.3516071429</v>
      </c>
    </row>
    <row r="24" spans="1:26" ht="22.5" x14ac:dyDescent="0.2">
      <c r="A24" s="112" t="s">
        <v>41</v>
      </c>
      <c r="B24" s="113" t="s">
        <v>144</v>
      </c>
      <c r="C24" s="54">
        <v>0</v>
      </c>
      <c r="D24" s="54">
        <v>0</v>
      </c>
      <c r="E24" s="54">
        <v>0</v>
      </c>
      <c r="F24" s="54">
        <v>0</v>
      </c>
      <c r="G24" s="54">
        <v>0</v>
      </c>
      <c r="H24" s="54">
        <v>0</v>
      </c>
      <c r="I24" s="54">
        <v>0</v>
      </c>
      <c r="J24" s="54">
        <v>0</v>
      </c>
      <c r="K24" s="54">
        <v>0</v>
      </c>
      <c r="L24" s="54">
        <v>0</v>
      </c>
      <c r="M24" s="54">
        <v>0</v>
      </c>
      <c r="N24" s="54">
        <v>0</v>
      </c>
      <c r="O24" s="116">
        <f t="shared" si="5"/>
        <v>0</v>
      </c>
    </row>
    <row r="25" spans="1:26" ht="33.75" x14ac:dyDescent="0.2">
      <c r="A25" s="445" t="s">
        <v>318</v>
      </c>
      <c r="B25" s="446" t="s">
        <v>315</v>
      </c>
      <c r="C25" s="447">
        <v>0</v>
      </c>
      <c r="D25" s="447">
        <v>0</v>
      </c>
      <c r="E25" s="447">
        <v>0</v>
      </c>
      <c r="F25" s="447">
        <v>0</v>
      </c>
      <c r="G25" s="447">
        <v>0</v>
      </c>
      <c r="H25" s="447">
        <v>0</v>
      </c>
      <c r="I25" s="447">
        <v>0</v>
      </c>
      <c r="J25" s="447">
        <v>0</v>
      </c>
      <c r="K25" s="447">
        <v>0</v>
      </c>
      <c r="L25" s="447">
        <v>0</v>
      </c>
      <c r="M25" s="447">
        <v>0</v>
      </c>
      <c r="N25" s="447">
        <v>0</v>
      </c>
      <c r="O25" s="126">
        <f>SUM(C25:N25)</f>
        <v>0</v>
      </c>
    </row>
    <row r="26" spans="1:26" ht="23.25" thickBot="1" x14ac:dyDescent="0.25">
      <c r="A26" s="441" t="s">
        <v>1295</v>
      </c>
      <c r="B26" s="442" t="s">
        <v>468</v>
      </c>
      <c r="C26" s="443"/>
      <c r="D26" s="443"/>
      <c r="E26" s="443"/>
      <c r="F26" s="443"/>
      <c r="G26" s="443"/>
      <c r="H26" s="443"/>
      <c r="I26" s="443"/>
      <c r="J26" s="443"/>
      <c r="K26" s="443"/>
      <c r="L26" s="443"/>
      <c r="M26" s="443"/>
      <c r="N26" s="443">
        <v>5000000</v>
      </c>
      <c r="O26" s="444">
        <f t="shared" si="5"/>
        <v>5000000</v>
      </c>
    </row>
    <row r="27" spans="1:26" ht="12" thickBot="1" x14ac:dyDescent="0.25">
      <c r="A27" s="128" t="s">
        <v>255</v>
      </c>
      <c r="B27" s="129"/>
      <c r="C27" s="118">
        <f t="shared" ref="C27:H27" si="9">SUM(C22:C26)</f>
        <v>644274.02404607902</v>
      </c>
      <c r="D27" s="118">
        <f t="shared" si="9"/>
        <v>658774.02404607902</v>
      </c>
      <c r="E27" s="118">
        <f t="shared" si="9"/>
        <v>674506.86404607899</v>
      </c>
      <c r="F27" s="118">
        <f t="shared" si="9"/>
        <v>713994.35789125692</v>
      </c>
      <c r="G27" s="118">
        <f t="shared" si="9"/>
        <v>673577.36950433394</v>
      </c>
      <c r="H27" s="118">
        <f t="shared" si="9"/>
        <v>692821.28617099999</v>
      </c>
      <c r="I27" s="118">
        <f t="shared" ref="I27:N27" si="10">SUM(I22:I26)</f>
        <v>615530.429504334</v>
      </c>
      <c r="J27" s="118">
        <f t="shared" si="10"/>
        <v>574030.67880469176</v>
      </c>
      <c r="K27" s="118">
        <f t="shared" si="10"/>
        <v>604976.98348472896</v>
      </c>
      <c r="L27" s="118">
        <f t="shared" si="10"/>
        <v>565376.98064419581</v>
      </c>
      <c r="M27" s="118">
        <f t="shared" si="10"/>
        <v>556126.98348472884</v>
      </c>
      <c r="N27" s="118">
        <f t="shared" si="10"/>
        <v>5496915.7137335334</v>
      </c>
      <c r="O27" s="118">
        <f t="shared" si="5"/>
        <v>12470905.695361041</v>
      </c>
    </row>
    <row r="28" spans="1:26" ht="12.75" customHeight="1" thickBot="1" x14ac:dyDescent="0.25">
      <c r="A28" s="239"/>
      <c r="B28" s="240"/>
      <c r="C28" s="225"/>
      <c r="D28" s="225"/>
      <c r="E28" s="225"/>
      <c r="F28" s="225"/>
      <c r="G28" s="225"/>
      <c r="H28" s="225"/>
      <c r="I28" s="225"/>
      <c r="J28" s="225"/>
      <c r="K28" s="225"/>
      <c r="L28" s="225"/>
      <c r="M28" s="225"/>
      <c r="N28" s="225"/>
      <c r="O28" s="225"/>
      <c r="P28" s="225"/>
      <c r="Q28" s="225"/>
      <c r="R28" s="225"/>
      <c r="S28" s="225"/>
      <c r="T28" s="225"/>
      <c r="U28" s="225"/>
      <c r="V28" s="225"/>
      <c r="W28" s="225"/>
      <c r="X28" s="225"/>
      <c r="Y28" s="241"/>
      <c r="Z28" s="225"/>
    </row>
    <row r="29" spans="1:26" ht="12.75" customHeight="1" thickBot="1" x14ac:dyDescent="0.25">
      <c r="A29" s="239"/>
      <c r="B29" s="240"/>
      <c r="C29" s="792" t="s">
        <v>160</v>
      </c>
      <c r="D29" s="792"/>
      <c r="E29" s="792"/>
      <c r="F29" s="792"/>
      <c r="G29" s="792"/>
      <c r="H29" s="792"/>
      <c r="I29" s="792"/>
      <c r="J29" s="792"/>
      <c r="K29" s="792"/>
      <c r="L29" s="792"/>
      <c r="M29" s="792"/>
      <c r="N29" s="792"/>
      <c r="O29" s="792"/>
      <c r="P29" s="132"/>
      <c r="Q29" s="789" t="s">
        <v>292</v>
      </c>
      <c r="R29" s="789" t="s">
        <v>158</v>
      </c>
      <c r="S29" s="225"/>
      <c r="T29" s="225"/>
      <c r="U29" s="225"/>
      <c r="V29" s="225"/>
      <c r="W29" s="225"/>
      <c r="X29" s="225"/>
      <c r="Y29" s="241"/>
      <c r="Z29" s="225"/>
    </row>
    <row r="30" spans="1:26" ht="12.75" customHeight="1" x14ac:dyDescent="0.2">
      <c r="A30" s="788">
        <v>1</v>
      </c>
      <c r="B30" s="777" t="s">
        <v>156</v>
      </c>
      <c r="C30" s="108" t="str">
        <f>Resumo!C4</f>
        <v>Janeiro</v>
      </c>
      <c r="D30" s="108" t="str">
        <f>Resumo!D4</f>
        <v>Fevereiro</v>
      </c>
      <c r="E30" s="108" t="str">
        <f>Resumo!E4</f>
        <v>Março</v>
      </c>
      <c r="F30" s="108" t="str">
        <f>Resumo!F4</f>
        <v>Abril</v>
      </c>
      <c r="G30" s="108" t="str">
        <f>Resumo!G4</f>
        <v>Maio</v>
      </c>
      <c r="H30" s="108" t="str">
        <f>Resumo!H4</f>
        <v>Junho</v>
      </c>
      <c r="I30" s="108" t="str">
        <f>Resumo!I4</f>
        <v>Julho</v>
      </c>
      <c r="J30" s="108" t="str">
        <f>Resumo!J4</f>
        <v>Agosto</v>
      </c>
      <c r="K30" s="108" t="str">
        <f>Resumo!K4</f>
        <v>Setembro</v>
      </c>
      <c r="L30" s="108" t="str">
        <f>Resumo!L4</f>
        <v>Outubro</v>
      </c>
      <c r="M30" s="108" t="str">
        <f>Resumo!M4</f>
        <v>Novembro</v>
      </c>
      <c r="N30" s="108" t="str">
        <f>Resumo!N4</f>
        <v>Dezembro</v>
      </c>
      <c r="O30" s="790" t="s">
        <v>5</v>
      </c>
      <c r="P30" s="109"/>
      <c r="Q30" s="790"/>
      <c r="R30" s="790"/>
      <c r="T30" s="242"/>
    </row>
    <row r="31" spans="1:26" ht="12.75" customHeight="1" x14ac:dyDescent="0.2">
      <c r="A31" s="783"/>
      <c r="B31" s="778"/>
      <c r="C31" s="287">
        <f>Resumo!C5</f>
        <v>44562</v>
      </c>
      <c r="D31" s="287">
        <f>Resumo!D5</f>
        <v>44593</v>
      </c>
      <c r="E31" s="287">
        <f>Resumo!E5</f>
        <v>44621</v>
      </c>
      <c r="F31" s="287">
        <f>Resumo!F5</f>
        <v>44652</v>
      </c>
      <c r="G31" s="287">
        <f>Resumo!G5</f>
        <v>44682</v>
      </c>
      <c r="H31" s="287">
        <f>Resumo!H5</f>
        <v>44713</v>
      </c>
      <c r="I31" s="287">
        <f>Resumo!I5</f>
        <v>44743</v>
      </c>
      <c r="J31" s="287">
        <f>Resumo!J5</f>
        <v>44774</v>
      </c>
      <c r="K31" s="287">
        <f>Resumo!K5</f>
        <v>44805</v>
      </c>
      <c r="L31" s="287">
        <f>Resumo!L5</f>
        <v>44835</v>
      </c>
      <c r="M31" s="287">
        <f>Resumo!M5</f>
        <v>44866</v>
      </c>
      <c r="N31" s="287">
        <f>Resumo!N5</f>
        <v>44896</v>
      </c>
      <c r="O31" s="790"/>
      <c r="P31" s="109"/>
      <c r="Q31" s="790"/>
      <c r="R31" s="790"/>
      <c r="T31" s="242"/>
    </row>
    <row r="32" spans="1:26" ht="12.75" customHeight="1" x14ac:dyDescent="0.2">
      <c r="A32" s="783"/>
      <c r="B32" s="778"/>
      <c r="C32" s="292" t="str">
        <f>Resumo!C6</f>
        <v>a</v>
      </c>
      <c r="D32" s="292" t="str">
        <f>Resumo!D6</f>
        <v>a</v>
      </c>
      <c r="E32" s="292" t="str">
        <f>Resumo!E6</f>
        <v>a</v>
      </c>
      <c r="F32" s="292" t="str">
        <f>Resumo!F6</f>
        <v>a</v>
      </c>
      <c r="G32" s="292" t="str">
        <f>Resumo!G6</f>
        <v>a</v>
      </c>
      <c r="H32" s="292" t="str">
        <f>Resumo!H6</f>
        <v>a</v>
      </c>
      <c r="I32" s="292" t="str">
        <f>Resumo!I6</f>
        <v>a</v>
      </c>
      <c r="J32" s="292" t="str">
        <f>Resumo!J6</f>
        <v>a</v>
      </c>
      <c r="K32" s="292" t="str">
        <f>Resumo!K6</f>
        <v>a</v>
      </c>
      <c r="L32" s="292" t="str">
        <f>Resumo!L6</f>
        <v>a</v>
      </c>
      <c r="M32" s="292" t="str">
        <f>Resumo!M6</f>
        <v>a</v>
      </c>
      <c r="N32" s="292" t="str">
        <f>Resumo!N6</f>
        <v>a</v>
      </c>
      <c r="O32" s="790"/>
      <c r="P32" s="109"/>
      <c r="Q32" s="790"/>
      <c r="R32" s="790"/>
      <c r="T32" s="242"/>
    </row>
    <row r="33" spans="1:20" s="244" customFormat="1" ht="15.75" thickBot="1" x14ac:dyDescent="0.25">
      <c r="A33" s="784"/>
      <c r="B33" s="779"/>
      <c r="C33" s="288">
        <f>Resumo!C7</f>
        <v>44592</v>
      </c>
      <c r="D33" s="288">
        <f>Resumo!D7</f>
        <v>44620</v>
      </c>
      <c r="E33" s="288">
        <f>Resumo!E7</f>
        <v>44651</v>
      </c>
      <c r="F33" s="288">
        <f>Resumo!F7</f>
        <v>44681</v>
      </c>
      <c r="G33" s="288">
        <f>Resumo!G7</f>
        <v>44712</v>
      </c>
      <c r="H33" s="288">
        <f>Resumo!H7</f>
        <v>44742</v>
      </c>
      <c r="I33" s="288">
        <f>Resumo!I7</f>
        <v>44773</v>
      </c>
      <c r="J33" s="288">
        <f>Resumo!J7</f>
        <v>44804</v>
      </c>
      <c r="K33" s="288">
        <f>Resumo!K7</f>
        <v>44834</v>
      </c>
      <c r="L33" s="288">
        <f>Resumo!L7</f>
        <v>44865</v>
      </c>
      <c r="M33" s="288">
        <f>Resumo!M7</f>
        <v>44895</v>
      </c>
      <c r="N33" s="288">
        <f>Resumo!N7</f>
        <v>44926</v>
      </c>
      <c r="O33" s="791"/>
      <c r="P33" s="109"/>
      <c r="Q33" s="791"/>
      <c r="R33" s="791"/>
      <c r="S33" s="245"/>
      <c r="T33" s="246"/>
    </row>
    <row r="34" spans="1:20" ht="39" customHeight="1" x14ac:dyDescent="0.2">
      <c r="A34" s="112" t="s">
        <v>15</v>
      </c>
      <c r="B34" s="113" t="s">
        <v>34</v>
      </c>
      <c r="C34" s="114"/>
      <c r="D34" s="114"/>
      <c r="E34" s="114"/>
      <c r="F34" s="114"/>
      <c r="G34" s="114"/>
      <c r="H34" s="114"/>
      <c r="I34" s="114"/>
      <c r="J34" s="114"/>
      <c r="K34" s="114"/>
      <c r="L34" s="114"/>
      <c r="M34" s="114"/>
      <c r="N34" s="114"/>
      <c r="O34" s="114"/>
      <c r="P34" s="114"/>
      <c r="Q34" s="109"/>
      <c r="R34" s="109"/>
    </row>
    <row r="35" spans="1:20" ht="22.5" x14ac:dyDescent="0.2">
      <c r="A35" s="115" t="s">
        <v>42</v>
      </c>
      <c r="B35" s="60" t="s">
        <v>330</v>
      </c>
      <c r="C35" s="114">
        <f>'Analítico Cp.'!C11</f>
        <v>0</v>
      </c>
      <c r="D35" s="114">
        <f>'Analítico Cp.'!D11</f>
        <v>2620189.0700000003</v>
      </c>
      <c r="E35" s="114">
        <f>'Analítico Cp.'!E11</f>
        <v>0</v>
      </c>
      <c r="F35" s="114">
        <f>'Analítico Cp.'!F11</f>
        <v>0</v>
      </c>
      <c r="G35" s="114">
        <f>'Analítico Cp.'!G11</f>
        <v>2015796.93</v>
      </c>
      <c r="H35" s="114">
        <f>'Analítico Cp.'!H11</f>
        <v>0</v>
      </c>
      <c r="I35" s="114">
        <f>'Analítico Cp.'!I11</f>
        <v>0</v>
      </c>
      <c r="J35" s="114">
        <f>'Analítico Cp.'!J11</f>
        <v>1868252.49</v>
      </c>
      <c r="K35" s="114">
        <f>'Analítico Cp.'!K11</f>
        <v>0</v>
      </c>
      <c r="L35" s="114">
        <f>'Analítico Cp.'!L11</f>
        <v>0</v>
      </c>
      <c r="M35" s="114">
        <f>'Analítico Cp.'!M11</f>
        <v>616667.24</v>
      </c>
      <c r="N35" s="114">
        <f>'Analítico Cp.'!N11</f>
        <v>0</v>
      </c>
      <c r="O35" s="116">
        <f>SUM(C35:N35)</f>
        <v>7120905.7300000004</v>
      </c>
      <c r="P35" s="114"/>
      <c r="Q35" s="142">
        <f>IF(O10=0,"-",O35/O10)</f>
        <v>0.9320728356298682</v>
      </c>
      <c r="R35" s="114">
        <f>O10-O35</f>
        <v>518954.00820157025</v>
      </c>
      <c r="S35" s="249"/>
    </row>
    <row r="36" spans="1:20" ht="22.5" x14ac:dyDescent="0.2">
      <c r="A36" s="115" t="s">
        <v>43</v>
      </c>
      <c r="B36" s="60" t="s">
        <v>331</v>
      </c>
      <c r="C36" s="114">
        <f>'Analítico Cp.'!C12</f>
        <v>0</v>
      </c>
      <c r="D36" s="114">
        <f>'Analítico Cp.'!D12</f>
        <v>0</v>
      </c>
      <c r="E36" s="114">
        <f>'Analítico Cp.'!E12</f>
        <v>0</v>
      </c>
      <c r="F36" s="114">
        <f>'Analítico Cp.'!F12</f>
        <v>300000</v>
      </c>
      <c r="G36" s="114">
        <f>'Analítico Cp.'!G12</f>
        <v>110561.54</v>
      </c>
      <c r="H36" s="114">
        <f>'Analítico Cp.'!H12</f>
        <v>83000</v>
      </c>
      <c r="I36" s="114">
        <f>'Analítico Cp.'!I12</f>
        <v>944615.38</v>
      </c>
      <c r="J36" s="114">
        <f>'Analítico Cp.'!J12</f>
        <v>61823.08</v>
      </c>
      <c r="K36" s="114">
        <f>'Analítico Cp.'!K12</f>
        <v>0</v>
      </c>
      <c r="L36" s="114">
        <f>'Analítico Cp.'!L12</f>
        <v>0</v>
      </c>
      <c r="M36" s="114">
        <f>'Analítico Cp.'!M12</f>
        <v>0</v>
      </c>
      <c r="N36" s="114">
        <f>'Analítico Cp.'!N12</f>
        <v>0</v>
      </c>
      <c r="O36" s="116">
        <f>SUM(C36:N36)</f>
        <v>1500000</v>
      </c>
      <c r="P36" s="114"/>
      <c r="Q36" s="142">
        <f>IF(O11=0,"-",O36/O11)</f>
        <v>0.3</v>
      </c>
      <c r="R36" s="114">
        <f>O11-O36</f>
        <v>3500000</v>
      </c>
      <c r="S36" s="249"/>
    </row>
    <row r="37" spans="1:20" ht="11.25" x14ac:dyDescent="0.2">
      <c r="A37" s="115" t="s">
        <v>45</v>
      </c>
      <c r="B37" s="60" t="s">
        <v>167</v>
      </c>
      <c r="C37" s="117">
        <f>'Analítico Cp.'!C13</f>
        <v>1030</v>
      </c>
      <c r="D37" s="117">
        <f>'Analítico Cp.'!D13</f>
        <v>0</v>
      </c>
      <c r="E37" s="117">
        <f>'Analítico Cp.'!E13</f>
        <v>1820</v>
      </c>
      <c r="F37" s="117">
        <f>'Analítico Cp.'!F13</f>
        <v>0</v>
      </c>
      <c r="G37" s="117">
        <f>'Analítico Cp.'!G13</f>
        <v>5260</v>
      </c>
      <c r="H37" s="117">
        <f>'Analítico Cp.'!H13</f>
        <v>702</v>
      </c>
      <c r="I37" s="117">
        <f>'Analítico Cp.'!I13</f>
        <v>570</v>
      </c>
      <c r="J37" s="117">
        <f>'Analítico Cp.'!J13</f>
        <v>340</v>
      </c>
      <c r="K37" s="117">
        <f>'Analítico Cp.'!K13</f>
        <v>500</v>
      </c>
      <c r="L37" s="117">
        <f>'Analítico Cp.'!L13</f>
        <v>630</v>
      </c>
      <c r="M37" s="117">
        <f>'Analítico Cp.'!M13</f>
        <v>835</v>
      </c>
      <c r="N37" s="117">
        <f>'Analítico Cp.'!N13</f>
        <v>6301542.8599999994</v>
      </c>
      <c r="O37" s="160">
        <f>SUM(C37:N37)</f>
        <v>6313229.8599999994</v>
      </c>
      <c r="P37" s="114"/>
      <c r="Q37" s="143" t="str">
        <f>IF(O12=0,"-",O37/O12)</f>
        <v>-</v>
      </c>
      <c r="R37" s="117">
        <f>O12-O37</f>
        <v>-6313229.8599999994</v>
      </c>
    </row>
    <row r="38" spans="1:20" ht="23.25" thickBot="1" x14ac:dyDescent="0.25">
      <c r="A38" s="256" t="s">
        <v>39</v>
      </c>
      <c r="B38" s="257" t="s">
        <v>295</v>
      </c>
      <c r="C38" s="114">
        <f>'Analítico Cp.'!C14</f>
        <v>6654.84</v>
      </c>
      <c r="D38" s="114">
        <f>'Analítico Cp.'!D14</f>
        <v>6342.27</v>
      </c>
      <c r="E38" s="114">
        <f>'Analítico Cp.'!E14</f>
        <v>26799.87</v>
      </c>
      <c r="F38" s="114">
        <f>'Analítico Cp.'!F14</f>
        <v>0</v>
      </c>
      <c r="G38" s="114">
        <f>'Analítico Cp.'!G14</f>
        <v>21239</v>
      </c>
      <c r="H38" s="114">
        <f>'Analítico Cp.'!H14</f>
        <v>25292.35</v>
      </c>
      <c r="I38" s="114">
        <f>'Analítico Cp.'!I14</f>
        <v>20599.939999999999</v>
      </c>
      <c r="J38" s="114">
        <f>'Analítico Cp.'!J14</f>
        <v>28875.759999999998</v>
      </c>
      <c r="K38" s="114">
        <f>'Analítico Cp.'!K14</f>
        <v>57951.72</v>
      </c>
      <c r="L38" s="114">
        <f>'Analítico Cp.'!L14</f>
        <v>31011.96</v>
      </c>
      <c r="M38" s="114">
        <f>'Analítico Cp.'!M14</f>
        <v>19465.620000000003</v>
      </c>
      <c r="N38" s="114">
        <f>'Analítico Cp.'!N14</f>
        <v>26335.89</v>
      </c>
      <c r="O38" s="116">
        <f>SUM(C38:N38)</f>
        <v>270569.21999999997</v>
      </c>
      <c r="P38" s="114"/>
      <c r="Q38" s="142" t="str">
        <f>IF(O13=0,"-",O38/O13)</f>
        <v>-</v>
      </c>
      <c r="R38" s="114">
        <f>O13-O38</f>
        <v>-270569.21999999997</v>
      </c>
    </row>
    <row r="39" spans="1:20" ht="12" thickBot="1" x14ac:dyDescent="0.25">
      <c r="A39" s="780" t="s">
        <v>256</v>
      </c>
      <c r="B39" s="780"/>
      <c r="C39" s="118">
        <f t="shared" ref="C39:H39" si="11">SUM(C35:C38)</f>
        <v>7684.84</v>
      </c>
      <c r="D39" s="118">
        <f t="shared" si="11"/>
        <v>2626531.3400000003</v>
      </c>
      <c r="E39" s="118">
        <f t="shared" si="11"/>
        <v>28619.87</v>
      </c>
      <c r="F39" s="118">
        <f t="shared" si="11"/>
        <v>300000</v>
      </c>
      <c r="G39" s="118">
        <f t="shared" si="11"/>
        <v>2152857.4699999997</v>
      </c>
      <c r="H39" s="118">
        <f t="shared" si="11"/>
        <v>108994.35</v>
      </c>
      <c r="I39" s="118">
        <f t="shared" ref="I39:N39" si="12">SUM(I35:I38)</f>
        <v>965785.32</v>
      </c>
      <c r="J39" s="118">
        <f t="shared" si="12"/>
        <v>1959291.33</v>
      </c>
      <c r="K39" s="118">
        <f t="shared" si="12"/>
        <v>58451.72</v>
      </c>
      <c r="L39" s="118">
        <f t="shared" si="12"/>
        <v>31641.96</v>
      </c>
      <c r="M39" s="118">
        <f t="shared" si="12"/>
        <v>636967.86</v>
      </c>
      <c r="N39" s="118">
        <f t="shared" si="12"/>
        <v>6327878.7499999991</v>
      </c>
      <c r="O39" s="118">
        <f>SUM(C39:N39)</f>
        <v>15204704.809999999</v>
      </c>
      <c r="P39" s="116"/>
      <c r="Q39" s="141">
        <f>IF(O14=0,"-",O39/O14)</f>
        <v>1.202917209915445</v>
      </c>
      <c r="R39" s="118">
        <f>O14-O39</f>
        <v>-2564845.0717984289</v>
      </c>
    </row>
    <row r="40" spans="1:20" ht="12" customHeight="1" thickBot="1" x14ac:dyDescent="0.25">
      <c r="A40" s="119"/>
      <c r="B40" s="120"/>
      <c r="C40" s="121"/>
      <c r="D40" s="121"/>
      <c r="E40" s="121"/>
      <c r="F40" s="121"/>
      <c r="G40" s="121"/>
      <c r="H40" s="121"/>
      <c r="I40" s="121"/>
      <c r="J40" s="121"/>
      <c r="K40" s="121"/>
      <c r="L40" s="121"/>
      <c r="M40" s="121"/>
      <c r="N40" s="121"/>
      <c r="O40" s="121"/>
      <c r="P40" s="133"/>
      <c r="Q40" s="121"/>
      <c r="R40" s="121"/>
    </row>
    <row r="41" spans="1:20" s="244" customFormat="1" ht="23.25" thickBot="1" x14ac:dyDescent="0.25">
      <c r="A41" s="110">
        <v>2</v>
      </c>
      <c r="B41" s="111" t="s">
        <v>157</v>
      </c>
      <c r="C41" s="122" t="str">
        <f t="shared" ref="C41:H41" si="13">C30</f>
        <v>Janeiro</v>
      </c>
      <c r="D41" s="122" t="str">
        <f t="shared" si="13"/>
        <v>Fevereiro</v>
      </c>
      <c r="E41" s="122" t="str">
        <f t="shared" si="13"/>
        <v>Março</v>
      </c>
      <c r="F41" s="122" t="str">
        <f t="shared" si="13"/>
        <v>Abril</v>
      </c>
      <c r="G41" s="122" t="str">
        <f t="shared" si="13"/>
        <v>Maio</v>
      </c>
      <c r="H41" s="122" t="str">
        <f t="shared" si="13"/>
        <v>Junho</v>
      </c>
      <c r="I41" s="122" t="str">
        <f t="shared" ref="I41:N41" si="14">I30</f>
        <v>Julho</v>
      </c>
      <c r="J41" s="122" t="str">
        <f t="shared" si="14"/>
        <v>Agosto</v>
      </c>
      <c r="K41" s="122" t="str">
        <f t="shared" si="14"/>
        <v>Setembro</v>
      </c>
      <c r="L41" s="122" t="str">
        <f t="shared" si="14"/>
        <v>Outubro</v>
      </c>
      <c r="M41" s="122" t="str">
        <f t="shared" si="14"/>
        <v>Novembro</v>
      </c>
      <c r="N41" s="122" t="str">
        <f t="shared" si="14"/>
        <v>Dezembro</v>
      </c>
      <c r="O41" s="122" t="str">
        <f>O30</f>
        <v>TOTAL</v>
      </c>
      <c r="P41" s="108"/>
      <c r="Q41" s="123" t="str">
        <f>Q29</f>
        <v>Realizado
(/) Previsto</v>
      </c>
      <c r="R41" s="123" t="str">
        <f>R29</f>
        <v>Previsto
(-) Realizado</v>
      </c>
      <c r="T41" s="250"/>
    </row>
    <row r="42" spans="1:20" ht="21" customHeight="1" x14ac:dyDescent="0.2">
      <c r="A42" s="112" t="s">
        <v>39</v>
      </c>
      <c r="B42" s="113" t="s">
        <v>182</v>
      </c>
      <c r="C42" s="124"/>
      <c r="D42" s="124"/>
      <c r="E42" s="124"/>
      <c r="F42" s="124"/>
      <c r="G42" s="124"/>
      <c r="H42" s="124"/>
      <c r="I42" s="124"/>
      <c r="J42" s="124"/>
      <c r="K42" s="124"/>
      <c r="L42" s="124"/>
      <c r="M42" s="124"/>
      <c r="N42" s="124"/>
      <c r="O42" s="124"/>
      <c r="P42" s="124"/>
      <c r="Q42" s="124"/>
      <c r="R42" s="124"/>
    </row>
    <row r="43" spans="1:20" ht="11.25" x14ac:dyDescent="0.2">
      <c r="A43" s="125" t="s">
        <v>11</v>
      </c>
      <c r="B43" s="113" t="s">
        <v>1</v>
      </c>
      <c r="C43" s="114">
        <f>'Analítico Cp.'!C25</f>
        <v>173251.23</v>
      </c>
      <c r="D43" s="114">
        <f>'Analítico Cp.'!D25</f>
        <v>190400.47</v>
      </c>
      <c r="E43" s="114">
        <f>'Analítico Cp.'!E25</f>
        <v>197828.64000000013</v>
      </c>
      <c r="F43" s="114">
        <f>'Analítico Cp.'!F25</f>
        <v>181640.3600000001</v>
      </c>
      <c r="G43" s="114">
        <f>'Analítico Cp.'!G25</f>
        <v>199826.01</v>
      </c>
      <c r="H43" s="114">
        <f>'Analítico Cp.'!H25</f>
        <v>192313.08000000002</v>
      </c>
      <c r="I43" s="114">
        <f>'Analítico Cp.'!I25</f>
        <v>242016.80000000008</v>
      </c>
      <c r="J43" s="114">
        <f>'Analítico Cp.'!J25</f>
        <v>216617.96000000008</v>
      </c>
      <c r="K43" s="114">
        <f>'Analítico Cp.'!K25</f>
        <v>256653.25000000006</v>
      </c>
      <c r="L43" s="114">
        <f>'Analítico Cp.'!L25</f>
        <v>223091.97000000009</v>
      </c>
      <c r="M43" s="114">
        <f>'Analítico Cp.'!M25</f>
        <v>227056.55</v>
      </c>
      <c r="N43" s="114">
        <f>'Analítico Cp.'!N25</f>
        <v>223975.3</v>
      </c>
      <c r="O43" s="116">
        <f>SUM(C43:N43)</f>
        <v>2524671.62</v>
      </c>
      <c r="P43" s="114"/>
      <c r="Q43" s="144">
        <f t="shared" ref="Q43:Q52" si="15">IF(O18=0,"-",O43/O18)</f>
        <v>0.91060184970618574</v>
      </c>
      <c r="R43" s="114">
        <f t="shared" ref="R43:R52" si="16">O18-O43</f>
        <v>247859.11976799974</v>
      </c>
    </row>
    <row r="44" spans="1:20" ht="11.25" x14ac:dyDescent="0.2">
      <c r="A44" s="125" t="s">
        <v>12</v>
      </c>
      <c r="B44" s="113" t="s">
        <v>7</v>
      </c>
      <c r="C44" s="114">
        <f>'Analítico Cp.'!C29</f>
        <v>0</v>
      </c>
      <c r="D44" s="114">
        <f>'Analítico Cp.'!D29</f>
        <v>0</v>
      </c>
      <c r="E44" s="114">
        <f>'Analítico Cp.'!E29</f>
        <v>0</v>
      </c>
      <c r="F44" s="114">
        <f>'Analítico Cp.'!F29</f>
        <v>0</v>
      </c>
      <c r="G44" s="114">
        <f>'Analítico Cp.'!G29</f>
        <v>0</v>
      </c>
      <c r="H44" s="114">
        <f>'Analítico Cp.'!H29</f>
        <v>0</v>
      </c>
      <c r="I44" s="114">
        <f>'Analítico Cp.'!I29</f>
        <v>0</v>
      </c>
      <c r="J44" s="114">
        <f>'Analítico Cp.'!J29</f>
        <v>0</v>
      </c>
      <c r="K44" s="114">
        <f>'Analítico Cp.'!K29</f>
        <v>0</v>
      </c>
      <c r="L44" s="114">
        <f>'Analítico Cp.'!L29</f>
        <v>0</v>
      </c>
      <c r="M44" s="114">
        <f>'Analítico Cp.'!M29</f>
        <v>0</v>
      </c>
      <c r="N44" s="114">
        <f>'Analítico Cp.'!N29</f>
        <v>0</v>
      </c>
      <c r="O44" s="116">
        <f t="shared" ref="O44:O51" si="17">SUM(C44:N44)</f>
        <v>0</v>
      </c>
      <c r="P44" s="114"/>
      <c r="Q44" s="144" t="str">
        <f t="shared" si="15"/>
        <v>-</v>
      </c>
      <c r="R44" s="114">
        <f t="shared" si="16"/>
        <v>0</v>
      </c>
    </row>
    <row r="45" spans="1:20" ht="11.25" x14ac:dyDescent="0.2">
      <c r="A45" s="125" t="s">
        <v>13</v>
      </c>
      <c r="B45" s="113" t="s">
        <v>37</v>
      </c>
      <c r="C45" s="114">
        <f>'Analítico Cp.'!C43</f>
        <v>130770.36550000001</v>
      </c>
      <c r="D45" s="114">
        <f>'Analítico Cp.'!D43</f>
        <v>124073.49196038856</v>
      </c>
      <c r="E45" s="114">
        <f>'Analítico Cp.'!E43</f>
        <v>131655.38418587338</v>
      </c>
      <c r="F45" s="114">
        <f>'Analítico Cp.'!F43</f>
        <v>119404.5218458734</v>
      </c>
      <c r="G45" s="114">
        <f>'Analítico Cp.'!G43</f>
        <v>137441.42814305567</v>
      </c>
      <c r="H45" s="114">
        <f>'Analítico Cp.'!H43</f>
        <v>145199.6371826994</v>
      </c>
      <c r="I45" s="114">
        <f>'Analítico Cp.'!I43</f>
        <v>178193.57099499475</v>
      </c>
      <c r="J45" s="114">
        <f>'Analítico Cp.'!J43</f>
        <v>152008.58703200732</v>
      </c>
      <c r="K45" s="114">
        <f>'Analítico Cp.'!K43</f>
        <v>161430.16949445213</v>
      </c>
      <c r="L45" s="114">
        <f>'Analítico Cp.'!L43</f>
        <v>167606.10307205215</v>
      </c>
      <c r="M45" s="114">
        <f>'Analítico Cp.'!M43</f>
        <v>146655.84132592432</v>
      </c>
      <c r="N45" s="114">
        <f>'Analítico Cp.'!N43</f>
        <v>148498.28662547239</v>
      </c>
      <c r="O45" s="116">
        <f t="shared" si="17"/>
        <v>1742937.3873627933</v>
      </c>
      <c r="P45" s="114"/>
      <c r="Q45" s="144">
        <f t="shared" si="15"/>
        <v>0.99823462947261143</v>
      </c>
      <c r="R45" s="114">
        <f t="shared" si="16"/>
        <v>3082.3718231047969</v>
      </c>
    </row>
    <row r="46" spans="1:20" ht="11.25" x14ac:dyDescent="0.2">
      <c r="A46" s="125" t="s">
        <v>14</v>
      </c>
      <c r="B46" s="113" t="s">
        <v>38</v>
      </c>
      <c r="C46" s="114">
        <f>'Analítico Cp.'!C53</f>
        <v>46045.77</v>
      </c>
      <c r="D46" s="114">
        <f>'Analítico Cp.'!D53</f>
        <v>48526.750000000007</v>
      </c>
      <c r="E46" s="114">
        <f>'Analítico Cp.'!E53</f>
        <v>57340.32</v>
      </c>
      <c r="F46" s="114">
        <f>'Analítico Cp.'!F53</f>
        <v>70018.06</v>
      </c>
      <c r="G46" s="114">
        <f>'Analítico Cp.'!G53</f>
        <v>51448.37</v>
      </c>
      <c r="H46" s="114">
        <f>'Analítico Cp.'!H53</f>
        <v>56893.729999999996</v>
      </c>
      <c r="I46" s="114">
        <f>'Analítico Cp.'!I53</f>
        <v>60262.07</v>
      </c>
      <c r="J46" s="114">
        <f>'Analítico Cp.'!J53</f>
        <v>54929.109999999993</v>
      </c>
      <c r="K46" s="114">
        <f>'Analítico Cp.'!K53</f>
        <v>76018.009999999995</v>
      </c>
      <c r="L46" s="114">
        <f>'Analítico Cp.'!L53</f>
        <v>60408.460000000006</v>
      </c>
      <c r="M46" s="114">
        <f>'Analítico Cp.'!M53</f>
        <v>58886.710000000006</v>
      </c>
      <c r="N46" s="114">
        <f>'Analítico Cp.'!N53</f>
        <v>42422.159999999996</v>
      </c>
      <c r="O46" s="116">
        <f t="shared" si="17"/>
        <v>683199.52</v>
      </c>
      <c r="P46" s="114"/>
      <c r="Q46" s="144">
        <f t="shared" si="15"/>
        <v>0.81748652304076963</v>
      </c>
      <c r="R46" s="114">
        <f t="shared" si="16"/>
        <v>152532.32479999983</v>
      </c>
    </row>
    <row r="47" spans="1:20" ht="11.25" x14ac:dyDescent="0.2">
      <c r="A47" s="781" t="s">
        <v>53</v>
      </c>
      <c r="B47" s="781"/>
      <c r="C47" s="126">
        <f t="shared" ref="C47:H47" si="18">SUM(C43:C46)</f>
        <v>350067.36550000007</v>
      </c>
      <c r="D47" s="126">
        <f t="shared" si="18"/>
        <v>363000.71196038858</v>
      </c>
      <c r="E47" s="126">
        <f t="shared" si="18"/>
        <v>386824.34418587352</v>
      </c>
      <c r="F47" s="126">
        <f t="shared" si="18"/>
        <v>371062.94184587349</v>
      </c>
      <c r="G47" s="126">
        <f t="shared" si="18"/>
        <v>388715.80814305565</v>
      </c>
      <c r="H47" s="126">
        <f t="shared" si="18"/>
        <v>394406.4471826994</v>
      </c>
      <c r="I47" s="126">
        <f t="shared" ref="I47:N47" si="19">SUM(I43:I46)</f>
        <v>480472.44099499483</v>
      </c>
      <c r="J47" s="126">
        <f t="shared" si="19"/>
        <v>423555.65703200735</v>
      </c>
      <c r="K47" s="126">
        <f t="shared" si="19"/>
        <v>494101.4294944522</v>
      </c>
      <c r="L47" s="126">
        <f t="shared" si="19"/>
        <v>451106.53307205223</v>
      </c>
      <c r="M47" s="126">
        <f t="shared" si="19"/>
        <v>432599.10132592433</v>
      </c>
      <c r="N47" s="126">
        <f t="shared" si="19"/>
        <v>414895.74662547238</v>
      </c>
      <c r="O47" s="126">
        <f t="shared" si="17"/>
        <v>4950808.5273627937</v>
      </c>
      <c r="P47" s="116"/>
      <c r="Q47" s="140">
        <f t="shared" si="15"/>
        <v>0.92464465067633517</v>
      </c>
      <c r="R47" s="127">
        <f t="shared" si="16"/>
        <v>403473.81639110576</v>
      </c>
    </row>
    <row r="48" spans="1:20" ht="11.25" x14ac:dyDescent="0.2">
      <c r="A48" s="112" t="s">
        <v>40</v>
      </c>
      <c r="B48" s="113" t="s">
        <v>271</v>
      </c>
      <c r="C48" s="114">
        <f>'Analítico Cp.'!C146</f>
        <v>200759.92</v>
      </c>
      <c r="D48" s="114">
        <f>'Analítico Cp.'!D146</f>
        <v>202953.12000000005</v>
      </c>
      <c r="E48" s="114">
        <f>'Analítico Cp.'!E146</f>
        <v>297018.53999999998</v>
      </c>
      <c r="F48" s="114">
        <f>'Analítico Cp.'!F146</f>
        <v>450695.5400000001</v>
      </c>
      <c r="G48" s="114">
        <f>'Analítico Cp.'!G146</f>
        <v>144864.6</v>
      </c>
      <c r="H48" s="114">
        <f>'Analítico Cp.'!H146</f>
        <v>268524.68</v>
      </c>
      <c r="I48" s="114">
        <f>'Analítico Cp.'!I146</f>
        <v>183030.62</v>
      </c>
      <c r="J48" s="114">
        <f>'Analítico Cp.'!J146</f>
        <v>129807.89</v>
      </c>
      <c r="K48" s="114">
        <f>'Analítico Cp.'!K146</f>
        <v>93524.82</v>
      </c>
      <c r="L48" s="114">
        <f>'Analítico Cp.'!L146</f>
        <v>147415.44999999998</v>
      </c>
      <c r="M48" s="114">
        <f>'Analítico Cp.'!M146</f>
        <v>135991.35999999999</v>
      </c>
      <c r="N48" s="114">
        <f>'Analítico Cp.'!N146</f>
        <v>65120.460000000006</v>
      </c>
      <c r="O48" s="116">
        <f t="shared" si="17"/>
        <v>2319707</v>
      </c>
      <c r="P48" s="114"/>
      <c r="Q48" s="144">
        <f t="shared" si="15"/>
        <v>1.0959469941776163</v>
      </c>
      <c r="R48" s="114">
        <f t="shared" si="16"/>
        <v>-203083.64839285705</v>
      </c>
    </row>
    <row r="49" spans="1:20" ht="22.5" x14ac:dyDescent="0.2">
      <c r="A49" s="112" t="s">
        <v>41</v>
      </c>
      <c r="B49" s="113" t="s">
        <v>144</v>
      </c>
      <c r="C49" s="254">
        <f>'Analítico Cp.'!C161</f>
        <v>0</v>
      </c>
      <c r="D49" s="254">
        <f>'Analítico Cp.'!D161</f>
        <v>0</v>
      </c>
      <c r="E49" s="254">
        <f>'Analítico Cp.'!E161</f>
        <v>0</v>
      </c>
      <c r="F49" s="254">
        <f>'Analítico Cp.'!F161</f>
        <v>0</v>
      </c>
      <c r="G49" s="254">
        <f>'Analítico Cp.'!G161</f>
        <v>0</v>
      </c>
      <c r="H49" s="254">
        <f>'Analítico Cp.'!H161</f>
        <v>0</v>
      </c>
      <c r="I49" s="254">
        <f>'Analítico Cp.'!I161</f>
        <v>1150.07</v>
      </c>
      <c r="J49" s="254">
        <f>'Analítico Cp.'!J161</f>
        <v>566.24</v>
      </c>
      <c r="K49" s="254">
        <f>'Analítico Cp.'!K161</f>
        <v>0</v>
      </c>
      <c r="L49" s="254">
        <f>'Analítico Cp.'!L161</f>
        <v>0</v>
      </c>
      <c r="M49" s="254">
        <f>'Analítico Cp.'!M161</f>
        <v>0</v>
      </c>
      <c r="N49" s="254">
        <f>'Analítico Cp.'!N161</f>
        <v>0</v>
      </c>
      <c r="O49" s="116">
        <f t="shared" si="17"/>
        <v>1716.31</v>
      </c>
      <c r="P49" s="114"/>
      <c r="Q49" s="144" t="str">
        <f t="shared" si="15"/>
        <v>-</v>
      </c>
      <c r="R49" s="114">
        <f t="shared" si="16"/>
        <v>-1716.31</v>
      </c>
    </row>
    <row r="50" spans="1:20" ht="33.75" x14ac:dyDescent="0.2">
      <c r="A50" s="445" t="s">
        <v>318</v>
      </c>
      <c r="B50" s="446" t="s">
        <v>315</v>
      </c>
      <c r="C50" s="453">
        <f>'Analítico Cp.'!C162</f>
        <v>5090.76</v>
      </c>
      <c r="D50" s="453">
        <f>'Analítico Cp.'!D162</f>
        <v>5030.43</v>
      </c>
      <c r="E50" s="453">
        <f>'Analítico Cp.'!E162</f>
        <v>10906.71</v>
      </c>
      <c r="F50" s="453">
        <f>'Analítico Cp.'!F162</f>
        <v>12450.42</v>
      </c>
      <c r="G50" s="453">
        <f>'Analítico Cp.'!G162</f>
        <v>10415.200000000001</v>
      </c>
      <c r="H50" s="453">
        <f>'Analítico Cp.'!H162</f>
        <v>23304.6</v>
      </c>
      <c r="I50" s="453">
        <f>'Analítico Cp.'!I162</f>
        <v>17635.68</v>
      </c>
      <c r="J50" s="453">
        <f>'Analítico Cp.'!J162</f>
        <v>23363.33</v>
      </c>
      <c r="K50" s="453">
        <f>'Analítico Cp.'!K162</f>
        <v>23865.72</v>
      </c>
      <c r="L50" s="453">
        <f>'Analítico Cp.'!L162</f>
        <v>18556.169999999998</v>
      </c>
      <c r="M50" s="453">
        <f>'Analítico Cp.'!M162</f>
        <v>758.08</v>
      </c>
      <c r="N50" s="453">
        <f>'Analítico Cp.'!N162</f>
        <v>0</v>
      </c>
      <c r="O50" s="126">
        <f>SUM(C50:N50)</f>
        <v>151377.09999999995</v>
      </c>
      <c r="P50" s="114"/>
      <c r="Q50" s="451" t="str">
        <f t="shared" si="15"/>
        <v>-</v>
      </c>
      <c r="R50" s="452">
        <f t="shared" si="16"/>
        <v>-151377.09999999995</v>
      </c>
    </row>
    <row r="51" spans="1:20" ht="23.25" thickBot="1" x14ac:dyDescent="0.25">
      <c r="A51" s="441" t="s">
        <v>1295</v>
      </c>
      <c r="B51" s="442" t="s">
        <v>468</v>
      </c>
      <c r="C51" s="450">
        <f>'Analítico Cp.'!C163</f>
        <v>297279.94</v>
      </c>
      <c r="D51" s="450">
        <f>'Analítico Cp.'!D163</f>
        <v>216759.40999999995</v>
      </c>
      <c r="E51" s="450">
        <f>'Analítico Cp.'!E163</f>
        <v>840436.27000000072</v>
      </c>
      <c r="F51" s="450">
        <f>'Analítico Cp.'!F163</f>
        <v>1009067.2400000002</v>
      </c>
      <c r="G51" s="450">
        <f>'Analítico Cp.'!G163</f>
        <v>550693.67999999982</v>
      </c>
      <c r="H51" s="450">
        <f>'Analítico Cp.'!H163</f>
        <v>430289.06000000011</v>
      </c>
      <c r="I51" s="450">
        <f>'Analítico Cp.'!I163</f>
        <v>502925.61999999976</v>
      </c>
      <c r="J51" s="450">
        <f>'Analítico Cp.'!J163</f>
        <v>138327.89999999997</v>
      </c>
      <c r="K51" s="450">
        <f>'Analítico Cp.'!K163</f>
        <v>202691.55</v>
      </c>
      <c r="L51" s="450">
        <f>'Analítico Cp.'!L163</f>
        <v>351898.38000000006</v>
      </c>
      <c r="M51" s="450">
        <f>'Analítico Cp.'!M163</f>
        <v>179908.99000000011</v>
      </c>
      <c r="N51" s="450">
        <f>'Analítico Cp.'!N163</f>
        <v>94721.760000000009</v>
      </c>
      <c r="O51" s="444">
        <f t="shared" si="17"/>
        <v>4814999.8</v>
      </c>
      <c r="P51" s="114"/>
      <c r="Q51" s="448">
        <f t="shared" si="15"/>
        <v>0.96299995999999999</v>
      </c>
      <c r="R51" s="449">
        <f t="shared" si="16"/>
        <v>185000.20000000019</v>
      </c>
      <c r="T51" s="242"/>
    </row>
    <row r="52" spans="1:20" ht="12" thickBot="1" x14ac:dyDescent="0.25">
      <c r="A52" s="128" t="s">
        <v>255</v>
      </c>
      <c r="B52" s="129"/>
      <c r="C52" s="118">
        <f t="shared" ref="C52:H52" si="20">SUM(C47:C51)</f>
        <v>853197.98550000018</v>
      </c>
      <c r="D52" s="118">
        <f t="shared" si="20"/>
        <v>787743.67196038866</v>
      </c>
      <c r="E52" s="118">
        <f t="shared" si="20"/>
        <v>1535185.8641858741</v>
      </c>
      <c r="F52" s="118">
        <f t="shared" si="20"/>
        <v>1843276.141845874</v>
      </c>
      <c r="G52" s="118">
        <f t="shared" si="20"/>
        <v>1094689.2881430555</v>
      </c>
      <c r="H52" s="118">
        <f t="shared" si="20"/>
        <v>1116524.7871826994</v>
      </c>
      <c r="I52" s="118">
        <f t="shared" ref="I52:N52" si="21">SUM(I47:I51)</f>
        <v>1185214.4309949945</v>
      </c>
      <c r="J52" s="118">
        <f t="shared" si="21"/>
        <v>715621.01703200722</v>
      </c>
      <c r="K52" s="118">
        <f t="shared" si="21"/>
        <v>814183.51949445228</v>
      </c>
      <c r="L52" s="118">
        <f t="shared" si="21"/>
        <v>968976.53307205229</v>
      </c>
      <c r="M52" s="118">
        <f t="shared" si="21"/>
        <v>749257.53132592444</v>
      </c>
      <c r="N52" s="118">
        <f t="shared" si="21"/>
        <v>574737.96662547241</v>
      </c>
      <c r="O52" s="118">
        <f>SUM(C52:N52)</f>
        <v>12238608.737362796</v>
      </c>
      <c r="P52" s="116"/>
      <c r="Q52" s="141">
        <f t="shared" si="15"/>
        <v>0.98137288793029243</v>
      </c>
      <c r="R52" s="118">
        <f t="shared" si="16"/>
        <v>232296.95799824409</v>
      </c>
      <c r="T52" s="242"/>
    </row>
    <row r="53" spans="1:20" ht="15.75" x14ac:dyDescent="0.2">
      <c r="A53" s="251"/>
      <c r="B53" s="251"/>
      <c r="C53" s="251"/>
      <c r="D53" s="251"/>
      <c r="E53" s="251"/>
      <c r="F53" s="251"/>
      <c r="G53" s="251"/>
      <c r="H53" s="251"/>
      <c r="I53" s="251"/>
      <c r="J53" s="251"/>
      <c r="K53" s="251"/>
      <c r="L53" s="251"/>
      <c r="M53" s="251"/>
      <c r="N53" s="251"/>
      <c r="O53" s="243"/>
      <c r="P53" s="243"/>
      <c r="T53" s="242"/>
    </row>
    <row r="54" spans="1:20" ht="63.75" customHeight="1" x14ac:dyDescent="0.2">
      <c r="A54" s="251"/>
      <c r="B54" s="251"/>
      <c r="C54" s="251"/>
      <c r="D54" s="251"/>
      <c r="E54" s="251"/>
      <c r="F54" s="251"/>
      <c r="G54" s="251"/>
      <c r="H54" s="251"/>
      <c r="I54" s="251"/>
      <c r="J54" s="251"/>
      <c r="K54" s="251"/>
      <c r="L54" s="251"/>
      <c r="M54" s="251"/>
      <c r="N54" s="251"/>
      <c r="O54" s="251"/>
      <c r="P54" s="251"/>
      <c r="T54" s="242"/>
    </row>
    <row r="55" spans="1:20" ht="30" customHeight="1" x14ac:dyDescent="0.2">
      <c r="A55" s="251"/>
      <c r="B55" s="251"/>
      <c r="C55" s="251"/>
      <c r="D55" s="251"/>
      <c r="E55" s="251"/>
      <c r="F55" s="251"/>
      <c r="G55" s="251"/>
      <c r="H55" s="251"/>
      <c r="I55" s="251"/>
      <c r="J55" s="251"/>
      <c r="K55" s="251"/>
      <c r="L55" s="251"/>
      <c r="M55" s="251"/>
      <c r="N55" s="251"/>
      <c r="O55" s="251"/>
      <c r="P55" s="251"/>
      <c r="T55" s="242"/>
    </row>
    <row r="56" spans="1:20" ht="46.5" customHeight="1" x14ac:dyDescent="0.2">
      <c r="A56" s="251"/>
      <c r="B56" s="251"/>
      <c r="C56" s="251"/>
      <c r="D56" s="251"/>
      <c r="E56" s="251"/>
      <c r="F56" s="251"/>
      <c r="G56" s="251"/>
      <c r="H56" s="251"/>
      <c r="I56" s="251"/>
      <c r="J56" s="251"/>
      <c r="K56" s="251"/>
      <c r="L56" s="251"/>
      <c r="M56" s="251"/>
      <c r="N56" s="251"/>
      <c r="O56" s="251"/>
      <c r="P56" s="251"/>
      <c r="T56" s="242"/>
    </row>
    <row r="57" spans="1:20" ht="30" customHeight="1" x14ac:dyDescent="0.2">
      <c r="A57" s="251"/>
      <c r="B57" s="251"/>
      <c r="C57" s="251"/>
      <c r="D57" s="251"/>
      <c r="E57" s="251"/>
      <c r="F57" s="251"/>
      <c r="G57" s="251"/>
      <c r="H57" s="251"/>
      <c r="I57" s="251"/>
      <c r="J57" s="251"/>
      <c r="K57" s="251"/>
      <c r="L57" s="251"/>
      <c r="M57" s="251"/>
      <c r="N57" s="251"/>
      <c r="O57" s="251"/>
      <c r="P57" s="251"/>
      <c r="T57" s="242"/>
    </row>
    <row r="58" spans="1:20" ht="30" customHeight="1" x14ac:dyDescent="0.2">
      <c r="A58" s="251"/>
      <c r="B58" s="251"/>
      <c r="C58" s="251"/>
      <c r="D58" s="251"/>
      <c r="E58" s="251"/>
      <c r="F58" s="251"/>
      <c r="G58" s="251"/>
      <c r="H58" s="251"/>
      <c r="I58" s="251"/>
      <c r="J58" s="251"/>
      <c r="K58" s="251"/>
      <c r="L58" s="251"/>
      <c r="M58" s="251"/>
      <c r="N58" s="251"/>
      <c r="O58" s="251"/>
      <c r="P58" s="251"/>
      <c r="T58" s="242"/>
    </row>
    <row r="59" spans="1:20" ht="30" customHeight="1" x14ac:dyDescent="0.2">
      <c r="O59" s="251"/>
      <c r="P59" s="251"/>
      <c r="T59" s="242"/>
    </row>
  </sheetData>
  <sheetProtection sheet="1" formatColumns="0"/>
  <mergeCells count="17">
    <mergeCell ref="R29:R33"/>
    <mergeCell ref="C4:O4"/>
    <mergeCell ref="C29:O29"/>
    <mergeCell ref="O5:O8"/>
    <mergeCell ref="O30:O33"/>
    <mergeCell ref="Q29:Q33"/>
    <mergeCell ref="A1:O1"/>
    <mergeCell ref="B30:B33"/>
    <mergeCell ref="A39:B39"/>
    <mergeCell ref="A47:B47"/>
    <mergeCell ref="A3:O3"/>
    <mergeCell ref="A2:O2"/>
    <mergeCell ref="A22:B22"/>
    <mergeCell ref="A5:A8"/>
    <mergeCell ref="B5:B8"/>
    <mergeCell ref="A14:B14"/>
    <mergeCell ref="A30:A33"/>
  </mergeCells>
  <phoneticPr fontId="0" type="noConversion"/>
  <printOptions horizontalCentered="1"/>
  <pageMargins left="0.19685039370078741" right="0.19685039370078741" top="0.59055118110236227" bottom="0.59055118110236227" header="0" footer="0"/>
  <pageSetup paperSize="9" scale="59" pageOrder="overThenDown" orientation="landscape" r:id="rId1"/>
  <headerFooter>
    <oddFooter>Página &amp;P de &amp;N</oddFooter>
  </headerFooter>
  <rowBreaks count="1" manualBreakCount="1">
    <brk id="29" max="1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46"/>
  <sheetViews>
    <sheetView view="pageBreakPreview" zoomScaleSheetLayoutView="100" workbookViewId="0">
      <pane xSplit="1" ySplit="5" topLeftCell="B16" activePane="bottomRight" state="frozen"/>
      <selection activeCell="G29" sqref="G29"/>
      <selection pane="topRight" activeCell="G29" sqref="G29"/>
      <selection pane="bottomLeft" activeCell="G29" sqref="G29"/>
      <selection pane="bottomRight" activeCell="D6" sqref="D6:D27"/>
    </sheetView>
  </sheetViews>
  <sheetFormatPr defaultColWidth="9.140625" defaultRowHeight="12.75" x14ac:dyDescent="0.2"/>
  <cols>
    <col min="1" max="1" width="4.7109375" style="209" customWidth="1"/>
    <col min="2" max="2" width="49.42578125" style="209" customWidth="1"/>
    <col min="3" max="5" width="14.85546875" style="209" customWidth="1"/>
    <col min="6" max="6" width="10.28515625" style="209" bestFit="1" customWidth="1"/>
    <col min="7" max="16384" width="9.140625" style="209"/>
  </cols>
  <sheetData>
    <row r="1" spans="1:6" ht="27" customHeight="1" x14ac:dyDescent="0.2">
      <c r="A1" s="794" t="str">
        <f>Capa!A1</f>
        <v>Contrato de Gestão nº. 05/20 celebrado entre a Fundação Clóvis Salgado e a Associação Pró-Cultura e Promoção das Artes</v>
      </c>
      <c r="B1" s="794"/>
      <c r="C1" s="794"/>
      <c r="D1" s="794"/>
      <c r="E1" s="794"/>
    </row>
    <row r="2" spans="1:6" ht="15" customHeight="1" x14ac:dyDescent="0.2">
      <c r="A2" s="794">
        <f>Capa!A3</f>
        <v>0</v>
      </c>
      <c r="B2" s="794"/>
      <c r="C2" s="794"/>
      <c r="D2" s="794"/>
      <c r="E2" s="794"/>
    </row>
    <row r="3" spans="1:6" ht="17.25" customHeight="1" thickBot="1" x14ac:dyDescent="0.25">
      <c r="A3" s="794" t="s">
        <v>332</v>
      </c>
      <c r="B3" s="794"/>
      <c r="C3" s="794"/>
      <c r="D3" s="794"/>
      <c r="E3" s="794"/>
    </row>
    <row r="4" spans="1:6" ht="33" customHeight="1" thickBot="1" x14ac:dyDescent="0.25">
      <c r="A4" s="358" t="s">
        <v>308</v>
      </c>
      <c r="B4" s="359" t="s">
        <v>333</v>
      </c>
      <c r="C4" s="337" t="s">
        <v>159</v>
      </c>
      <c r="D4" s="362" t="s">
        <v>160</v>
      </c>
      <c r="E4" s="370" t="s">
        <v>391</v>
      </c>
    </row>
    <row r="5" spans="1:6" ht="13.5" hidden="1" thickBot="1" x14ac:dyDescent="0.25">
      <c r="A5" s="358"/>
      <c r="B5" s="360" t="s">
        <v>310</v>
      </c>
      <c r="C5" s="210"/>
      <c r="D5" s="363"/>
      <c r="E5" s="364"/>
    </row>
    <row r="6" spans="1:6" ht="24" customHeight="1" x14ac:dyDescent="0.2">
      <c r="A6" s="229">
        <v>1</v>
      </c>
      <c r="B6" s="252" t="s">
        <v>309</v>
      </c>
      <c r="C6" s="301">
        <v>438721.24</v>
      </c>
      <c r="D6" s="365">
        <f t="array" ref="D6">SUMPRODUCT(-('Diário 1º PA'!$H$4:$H$2633='Gasto das Atividades'!B6),-('Diário 1º PA'!$Q$4:$Q$2633&gt;=1),('Diário 1º PA'!$F$4:$F$2633))+SUMPRODUCT(-('Diário 2º PA'!$H$4:$H$3040='Gasto das Atividades'!B6),-('Diário 2º PA'!$Q$4:$Q$3040&gt;=1),('Diário 2º PA'!$F$4:$F$3040))+SUMPRODUCT(-('Diário 3º PA'!$H$4:$H$2731='Gasto das Atividades'!B6),-('Diário 3º PA'!$Q$4:$Q$2731&gt;=1),('Diário 3º PA'!$F$4:$F$2731))+SUMPRODUCT(-('Diário 4º PA'!$H$4:$H$2564='Gasto das Atividades'!B6),-('Diário 4º PA'!$Q$4:$Q$2564&gt;=1),('Diário 4º PA'!$F$4:$F$2564))+SUMPRODUCT(-('Comp.'!$F$5:$F$497='Gasto das Atividades'!B6),-('Comp.'!$K$5:'Comp.'!$K$497&gt;=1),('Comp.'!$E$5:$E$497))</f>
        <v>438489.68</v>
      </c>
      <c r="E6" s="366">
        <f t="shared" ref="E6:E35" si="0">IF(OR(D6=0,C6=0),"-",D6/C6)</f>
        <v>0.99947219332257542</v>
      </c>
      <c r="F6" s="750">
        <f>C6-D6</f>
        <v>231.55999999999767</v>
      </c>
    </row>
    <row r="7" spans="1:6" ht="24" customHeight="1" x14ac:dyDescent="0.2">
      <c r="A7" s="230">
        <v>2</v>
      </c>
      <c r="B7" s="388" t="s">
        <v>755</v>
      </c>
      <c r="C7" s="302">
        <v>41800</v>
      </c>
      <c r="D7" s="367">
        <f t="array" ref="D7">SUMPRODUCT(-('Diário 1º PA'!$H$4:$H$2633='Gasto das Atividades'!B7),-('Diário 1º PA'!$Q$4:$Q$2633&gt;=1),('Diário 1º PA'!$F$4:$F$2633))+SUMPRODUCT(-('Diário 2º PA'!$H$4:$H$3040='Gasto das Atividades'!B7),-('Diário 2º PA'!$Q$4:$Q$3040&gt;=1),('Diário 2º PA'!$F$4:$F$3040))+SUMPRODUCT(-('Diário 3º PA'!$H$4:$H$2731='Gasto das Atividades'!B7),-('Diário 3º PA'!$Q$4:$Q$2731&gt;=1),('Diário 3º PA'!$F$4:$F$2731))+SUMPRODUCT(-('Diário 4º PA'!$H$4:$H$2564='Gasto das Atividades'!B7),-('Diário 4º PA'!$Q$4:$Q$2564&gt;=1),('Diário 4º PA'!$F$4:$F$2564))+SUMPRODUCT(-('Comp.'!$F$5:$F$497='Gasto das Atividades'!B7),-('Comp.'!$K$5:'Comp.'!$K$497&gt;=1),('Comp.'!$E$5:$E$497))</f>
        <v>142222.76999999999</v>
      </c>
      <c r="E7" s="368">
        <f t="shared" si="0"/>
        <v>3.4024586124401912</v>
      </c>
    </row>
    <row r="8" spans="1:6" ht="24" customHeight="1" x14ac:dyDescent="0.2">
      <c r="A8" s="230">
        <v>3</v>
      </c>
      <c r="B8" s="388" t="s">
        <v>790</v>
      </c>
      <c r="C8" s="302">
        <v>36300</v>
      </c>
      <c r="D8" s="367">
        <f t="array" ref="D8">SUMPRODUCT(-('Diário 1º PA'!$H$4:$H$2633='Gasto das Atividades'!B8),-('Diário 1º PA'!$Q$4:$Q$2633&gt;=1),('Diário 1º PA'!$F$4:$F$2633))+SUMPRODUCT(-('Diário 2º PA'!$H$4:$H$3040='Gasto das Atividades'!B8),-('Diário 2º PA'!$Q$4:$Q$3040&gt;=1),('Diário 2º PA'!$F$4:$F$3040))+SUMPRODUCT(-('Diário 3º PA'!$H$4:$H$2731='Gasto das Atividades'!B8),-('Diário 3º PA'!$Q$4:$Q$2731&gt;=1),('Diário 3º PA'!$F$4:$F$2731))+SUMPRODUCT(-('Diário 4º PA'!$H$4:$H$2564='Gasto das Atividades'!B8),-('Diário 4º PA'!$Q$4:$Q$2564&gt;=1),('Diário 4º PA'!$F$4:$F$2564))+SUMPRODUCT(-('Comp.'!$F$5:$F$497='Gasto das Atividades'!B8),-('Comp.'!$K$5:'Comp.'!$K$497&gt;=1),('Comp.'!$E$5:$E$497))</f>
        <v>31929.769999999997</v>
      </c>
      <c r="E8" s="368">
        <f t="shared" si="0"/>
        <v>0.87960798898071613</v>
      </c>
    </row>
    <row r="9" spans="1:6" ht="24" customHeight="1" x14ac:dyDescent="0.2">
      <c r="A9" s="230">
        <v>4</v>
      </c>
      <c r="B9" s="388" t="s">
        <v>757</v>
      </c>
      <c r="C9" s="302">
        <v>50600</v>
      </c>
      <c r="D9" s="367">
        <f t="array" ref="D9">SUMPRODUCT(-('Diário 1º PA'!$H$4:$H$2633='Gasto das Atividades'!B9),-('Diário 1º PA'!$Q$4:$Q$2633&gt;=1),('Diário 1º PA'!$F$4:$F$2633))+SUMPRODUCT(-('Diário 2º PA'!$H$4:$H$3040='Gasto das Atividades'!B9),-('Diário 2º PA'!$Q$4:$Q$3040&gt;=1),('Diário 2º PA'!$F$4:$F$3040))+SUMPRODUCT(-('Diário 3º PA'!$H$4:$H$2731='Gasto das Atividades'!B9),-('Diário 3º PA'!$Q$4:$Q$2731&gt;=1),('Diário 3º PA'!$F$4:$F$2731))+SUMPRODUCT(-('Diário 4º PA'!$H$4:$H$2564='Gasto das Atividades'!B9),-('Diário 4º PA'!$Q$4:$Q$2564&gt;=1),('Diário 4º PA'!$F$4:$F$2564))+SUMPRODUCT(-('Comp.'!$F$5:$F$497='Gasto das Atividades'!B9),-('Comp.'!$K$5:'Comp.'!$K$497&gt;=1),('Comp.'!$E$5:$E$497))</f>
        <v>73175.7</v>
      </c>
      <c r="E9" s="368">
        <f t="shared" si="0"/>
        <v>1.4461600790513833</v>
      </c>
    </row>
    <row r="10" spans="1:6" ht="24" customHeight="1" x14ac:dyDescent="0.2">
      <c r="A10" s="230">
        <v>5</v>
      </c>
      <c r="B10" s="388" t="s">
        <v>791</v>
      </c>
      <c r="C10" s="302">
        <v>19200</v>
      </c>
      <c r="D10" s="367">
        <f t="array" ref="D10">SUMPRODUCT(-('Diário 1º PA'!$H$4:$H$2633='Gasto das Atividades'!B10),-('Diário 1º PA'!$Q$4:$Q$2633&gt;=1),('Diário 1º PA'!$F$4:$F$2633))+SUMPRODUCT(-('Diário 2º PA'!$H$4:$H$3040='Gasto das Atividades'!B10),-('Diário 2º PA'!$Q$4:$Q$3040&gt;=1),('Diário 2º PA'!$F$4:$F$3040))+SUMPRODUCT(-('Diário 3º PA'!$H$4:$H$2731='Gasto das Atividades'!B10),-('Diário 3º PA'!$Q$4:$Q$2731&gt;=1),('Diário 3º PA'!$F$4:$F$2731))+SUMPRODUCT(-('Diário 4º PA'!$H$4:$H$2564='Gasto das Atividades'!B10),-('Diário 4º PA'!$Q$4:$Q$2564&gt;=1),('Diário 4º PA'!$F$4:$F$2564))+SUMPRODUCT(-('Comp.'!$F$5:$F$497='Gasto das Atividades'!B10),-('Comp.'!$K$5:'Comp.'!$K$497&gt;=1),('Comp.'!$E$5:$E$497))</f>
        <v>0</v>
      </c>
      <c r="E10" s="368" t="str">
        <f t="shared" si="0"/>
        <v>-</v>
      </c>
    </row>
    <row r="11" spans="1:6" ht="24" customHeight="1" x14ac:dyDescent="0.2">
      <c r="A11" s="230">
        <v>6</v>
      </c>
      <c r="B11" s="388" t="s">
        <v>792</v>
      </c>
      <c r="C11" s="302">
        <f>63000+230000</f>
        <v>293000</v>
      </c>
      <c r="D11" s="367">
        <f t="array" ref="D11">SUMPRODUCT(-('Diário 1º PA'!$H$4:$H$2633='Gasto das Atividades'!B11),-('Diário 1º PA'!$Q$4:$Q$2633&gt;=1),('Diário 1º PA'!$F$4:$F$2633))+SUMPRODUCT(-('Diário 2º PA'!$H$4:$H$3040='Gasto das Atividades'!B11),-('Diário 2º PA'!$Q$4:$Q$3040&gt;=1),('Diário 2º PA'!$F$4:$F$3040))+SUMPRODUCT(-('Diário 3º PA'!$H$4:$H$2731='Gasto das Atividades'!B11),-('Diário 3º PA'!$Q$4:$Q$2731&gt;=1),('Diário 3º PA'!$F$4:$F$2731))+SUMPRODUCT(-('Diário 4º PA'!$H$4:$H$2564='Gasto das Atividades'!B11),-('Diário 4º PA'!$Q$4:$Q$2564&gt;=1),('Diário 4º PA'!$F$4:$F$2564))+SUMPRODUCT(-('Comp.'!$F$5:$F$497='Gasto das Atividades'!B11),-('Comp.'!$K$5:'Comp.'!$K$497&gt;=1),('Comp.'!$E$5:$E$497))</f>
        <v>275168.5</v>
      </c>
      <c r="E11" s="368">
        <f t="shared" si="0"/>
        <v>0.93914163822525598</v>
      </c>
    </row>
    <row r="12" spans="1:6" ht="24" customHeight="1" x14ac:dyDescent="0.2">
      <c r="A12" s="230">
        <v>7</v>
      </c>
      <c r="B12" s="389" t="s">
        <v>793</v>
      </c>
      <c r="C12" s="302">
        <v>96659.08</v>
      </c>
      <c r="D12" s="367">
        <f t="array" ref="D12">SUMPRODUCT(-('Diário 1º PA'!$H$4:$H$2633='Gasto das Atividades'!B12),-('Diário 1º PA'!$Q$4:$Q$2633&gt;=1),('Diário 1º PA'!$F$4:$F$2633))+SUMPRODUCT(-('Diário 2º PA'!$H$4:$H$3040='Gasto das Atividades'!B12),-('Diário 2º PA'!$Q$4:$Q$3040&gt;=1),('Diário 2º PA'!$F$4:$F$3040))+SUMPRODUCT(-('Diário 3º PA'!$H$4:$H$2731='Gasto das Atividades'!B12),-('Diário 3º PA'!$Q$4:$Q$2731&gt;=1),('Diário 3º PA'!$F$4:$F$2731))+SUMPRODUCT(-('Diário 4º PA'!$H$4:$H$2564='Gasto das Atividades'!B12),-('Diário 4º PA'!$Q$4:$Q$2564&gt;=1),('Diário 4º PA'!$F$4:$F$2564))+SUMPRODUCT(-('Comp.'!$F$5:$F$497='Gasto das Atividades'!B12),-('Comp.'!$K$5:'Comp.'!$K$497&gt;=1),('Comp.'!$E$5:$E$497))</f>
        <v>43612.3</v>
      </c>
      <c r="E12" s="368">
        <f t="shared" si="0"/>
        <v>0.4511971353337938</v>
      </c>
    </row>
    <row r="13" spans="1:6" ht="24" customHeight="1" x14ac:dyDescent="0.2">
      <c r="A13" s="230">
        <v>8</v>
      </c>
      <c r="B13" s="388" t="s">
        <v>760</v>
      </c>
      <c r="C13" s="302">
        <v>23000</v>
      </c>
      <c r="D13" s="367">
        <f t="array" ref="D13">SUMPRODUCT(-('Diário 1º PA'!$H$4:$H$2633='Gasto das Atividades'!B13),-('Diário 1º PA'!$Q$4:$Q$2633&gt;=1),('Diário 1º PA'!$F$4:$F$2633))+SUMPRODUCT(-('Diário 2º PA'!$H$4:$H$3040='Gasto das Atividades'!B13),-('Diário 2º PA'!$Q$4:$Q$3040&gt;=1),('Diário 2º PA'!$F$4:$F$3040))+SUMPRODUCT(-('Diário 3º PA'!$H$4:$H$2731='Gasto das Atividades'!B13),-('Diário 3º PA'!$Q$4:$Q$2731&gt;=1),('Diário 3º PA'!$F$4:$F$2731))+SUMPRODUCT(-('Diário 4º PA'!$H$4:$H$2564='Gasto das Atividades'!B13),-('Diário 4º PA'!$Q$4:$Q$2564&gt;=1),('Diário 4º PA'!$F$4:$F$2564))+SUMPRODUCT(-('Comp.'!$F$5:$F$497='Gasto das Atividades'!B13),-('Comp.'!$K$5:'Comp.'!$K$497&gt;=1),('Comp.'!$E$5:$E$497))</f>
        <v>102478.63</v>
      </c>
      <c r="E13" s="368">
        <f t="shared" si="0"/>
        <v>4.4555926086956523</v>
      </c>
    </row>
    <row r="14" spans="1:6" ht="24" customHeight="1" x14ac:dyDescent="0.2">
      <c r="A14" s="230">
        <v>9</v>
      </c>
      <c r="B14" s="388" t="s">
        <v>748</v>
      </c>
      <c r="C14" s="302">
        <v>30000</v>
      </c>
      <c r="D14" s="367">
        <f t="array" ref="D14">SUMPRODUCT(-('Diário 1º PA'!$H$4:$H$2633='Gasto das Atividades'!B14),-('Diário 1º PA'!$Q$4:$Q$2633&gt;=1),('Diário 1º PA'!$F$4:$F$2633))+SUMPRODUCT(-('Diário 2º PA'!$H$4:$H$3040='Gasto das Atividades'!B14),-('Diário 2º PA'!$Q$4:$Q$3040&gt;=1),('Diário 2º PA'!$F$4:$F$3040))+SUMPRODUCT(-('Diário 3º PA'!$H$4:$H$2731='Gasto das Atividades'!B14),-('Diário 3º PA'!$Q$4:$Q$2731&gt;=1),('Diário 3º PA'!$F$4:$F$2731))+SUMPRODUCT(-('Diário 4º PA'!$H$4:$H$2564='Gasto das Atividades'!B14),-('Diário 4º PA'!$Q$4:$Q$2564&gt;=1),('Diário 4º PA'!$F$4:$F$2564))+SUMPRODUCT(-('Comp.'!$F$5:$F$497='Gasto das Atividades'!B14),-('Comp.'!$K$5:'Comp.'!$K$497&gt;=1),('Comp.'!$E$5:$E$497))</f>
        <v>83201.12999999999</v>
      </c>
      <c r="E14" s="368">
        <f t="shared" si="0"/>
        <v>2.7733709999999996</v>
      </c>
    </row>
    <row r="15" spans="1:6" ht="24" customHeight="1" x14ac:dyDescent="0.2">
      <c r="A15" s="230">
        <v>10</v>
      </c>
      <c r="B15" s="388" t="s">
        <v>749</v>
      </c>
      <c r="C15" s="302">
        <v>28200</v>
      </c>
      <c r="D15" s="367">
        <f t="array" ref="D15">SUMPRODUCT(-('Diário 1º PA'!$H$4:$H$2633='Gasto das Atividades'!B15),-('Diário 1º PA'!$Q$4:$Q$2633&gt;=1),('Diário 1º PA'!$F$4:$F$2633))+SUMPRODUCT(-('Diário 2º PA'!$H$4:$H$3040='Gasto das Atividades'!B15),-('Diário 2º PA'!$Q$4:$Q$3040&gt;=1),('Diário 2º PA'!$F$4:$F$3040))+SUMPRODUCT(-('Diário 3º PA'!$H$4:$H$2731='Gasto das Atividades'!B15),-('Diário 3º PA'!$Q$4:$Q$2731&gt;=1),('Diário 3º PA'!$F$4:$F$2731))+SUMPRODUCT(-('Diário 4º PA'!$H$4:$H$2564='Gasto das Atividades'!B15),-('Diário 4º PA'!$Q$4:$Q$2564&gt;=1),('Diário 4º PA'!$F$4:$F$2564))+SUMPRODUCT(-('Comp.'!$F$5:$F$497='Gasto das Atividades'!B15),-('Comp.'!$K$5:'Comp.'!$K$497&gt;=1),('Comp.'!$E$5:$E$497))</f>
        <v>20204.899999999998</v>
      </c>
      <c r="E15" s="368">
        <f t="shared" si="0"/>
        <v>0.71648581560283675</v>
      </c>
    </row>
    <row r="16" spans="1:6" ht="24" customHeight="1" x14ac:dyDescent="0.2">
      <c r="A16" s="230">
        <v>11</v>
      </c>
      <c r="B16" s="388" t="s">
        <v>758</v>
      </c>
      <c r="C16" s="302">
        <f>40000+120000</f>
        <v>160000</v>
      </c>
      <c r="D16" s="367">
        <f t="array" ref="D16">SUMPRODUCT(-('Diário 1º PA'!$H$4:$H$2633='Gasto das Atividades'!B16),-('Diário 1º PA'!$Q$4:$Q$2633&gt;=1),('Diário 1º PA'!$F$4:$F$2633))+SUMPRODUCT(-('Diário 2º PA'!$H$4:$H$3040='Gasto das Atividades'!B16),-('Diário 2º PA'!$Q$4:$Q$3040&gt;=1),('Diário 2º PA'!$F$4:$F$3040))+SUMPRODUCT(-('Diário 3º PA'!$H$4:$H$2731='Gasto das Atividades'!B16),-('Diário 3º PA'!$Q$4:$Q$2731&gt;=1),('Diário 3º PA'!$F$4:$F$2731))+SUMPRODUCT(-('Diário 4º PA'!$H$4:$H$2564='Gasto das Atividades'!B16),-('Diário 4º PA'!$Q$4:$Q$2564&gt;=1),('Diário 4º PA'!$F$4:$F$2564))+SUMPRODUCT(-('Comp.'!$F$5:$F$497='Gasto das Atividades'!B16),-('Comp.'!$K$5:'Comp.'!$K$497&gt;=1),('Comp.'!$E$5:$E$497))</f>
        <v>227516.37</v>
      </c>
      <c r="E16" s="368">
        <f t="shared" si="0"/>
        <v>1.4219773124999999</v>
      </c>
    </row>
    <row r="17" spans="1:5" ht="24" customHeight="1" x14ac:dyDescent="0.2">
      <c r="A17" s="230">
        <v>12</v>
      </c>
      <c r="B17" s="388" t="s">
        <v>754</v>
      </c>
      <c r="C17" s="232">
        <v>34000</v>
      </c>
      <c r="D17" s="367">
        <f t="array" ref="D17">SUMPRODUCT(-('Diário 1º PA'!$H$4:$H$2633='Gasto das Atividades'!B17),-('Diário 1º PA'!$Q$4:$Q$2633&gt;=1),('Diário 1º PA'!$F$4:$F$2633))+SUMPRODUCT(-('Diário 2º PA'!$H$4:$H$3040='Gasto das Atividades'!B17),-('Diário 2º PA'!$Q$4:$Q$3040&gt;=1),('Diário 2º PA'!$F$4:$F$3040))+SUMPRODUCT(-('Diário 3º PA'!$H$4:$H$2731='Gasto das Atividades'!B17),-('Diário 3º PA'!$Q$4:$Q$2731&gt;=1),('Diário 3º PA'!$F$4:$F$2731))+SUMPRODUCT(-('Diário 4º PA'!$H$4:$H$2564='Gasto das Atividades'!B17),-('Diário 4º PA'!$Q$4:$Q$2564&gt;=1),('Diário 4º PA'!$F$4:$F$2564))+SUMPRODUCT(-('Comp.'!$F$5:$F$497='Gasto das Atividades'!B17),-('Comp.'!$K$5:'Comp.'!$K$497&gt;=1),('Comp.'!$E$5:$E$497))</f>
        <v>40040.579999999994</v>
      </c>
      <c r="E17" s="368">
        <f t="shared" si="0"/>
        <v>1.1776641176470586</v>
      </c>
    </row>
    <row r="18" spans="1:5" ht="24" customHeight="1" x14ac:dyDescent="0.2">
      <c r="A18" s="230">
        <v>13</v>
      </c>
      <c r="B18" s="388" t="s">
        <v>759</v>
      </c>
      <c r="C18" s="232">
        <v>19000</v>
      </c>
      <c r="D18" s="367">
        <f t="array" ref="D18">SUMPRODUCT(-('Diário 1º PA'!$H$4:$H$2633='Gasto das Atividades'!B18),-('Diário 1º PA'!$Q$4:$Q$2633&gt;=1),('Diário 1º PA'!$F$4:$F$2633))+SUMPRODUCT(-('Diário 2º PA'!$H$4:$H$3040='Gasto das Atividades'!B18),-('Diário 2º PA'!$Q$4:$Q$3040&gt;=1),('Diário 2º PA'!$F$4:$F$3040))+SUMPRODUCT(-('Diário 3º PA'!$H$4:$H$2731='Gasto das Atividades'!B18),-('Diário 3º PA'!$Q$4:$Q$2731&gt;=1),('Diário 3º PA'!$F$4:$F$2731))+SUMPRODUCT(-('Diário 4º PA'!$H$4:$H$2564='Gasto das Atividades'!B18),-('Diário 4º PA'!$Q$4:$Q$2564&gt;=1),('Diário 4º PA'!$F$4:$F$2564))+SUMPRODUCT(-('Comp.'!$F$5:$F$497='Gasto das Atividades'!B18),-('Comp.'!$K$5:'Comp.'!$K$497&gt;=1),('Comp.'!$E$5:$E$497))</f>
        <v>4471.71</v>
      </c>
      <c r="E18" s="368">
        <f t="shared" si="0"/>
        <v>0.23535315789473685</v>
      </c>
    </row>
    <row r="19" spans="1:5" ht="24" customHeight="1" x14ac:dyDescent="0.2">
      <c r="A19" s="230">
        <v>14</v>
      </c>
      <c r="B19" s="388" t="s">
        <v>751</v>
      </c>
      <c r="C19" s="232">
        <v>32600</v>
      </c>
      <c r="D19" s="367">
        <f t="array" ref="D19">SUMPRODUCT(-('Diário 1º PA'!$H$4:$H$2633='Gasto das Atividades'!B19),-('Diário 1º PA'!$Q$4:$Q$2633&gt;=1),('Diário 1º PA'!$F$4:$F$2633))+SUMPRODUCT(-('Diário 2º PA'!$H$4:$H$3040='Gasto das Atividades'!B19),-('Diário 2º PA'!$Q$4:$Q$3040&gt;=1),('Diário 2º PA'!$F$4:$F$3040))+SUMPRODUCT(-('Diário 3º PA'!$H$4:$H$2731='Gasto das Atividades'!B19),-('Diário 3º PA'!$Q$4:$Q$2731&gt;=1),('Diário 3º PA'!$F$4:$F$2731))+SUMPRODUCT(-('Diário 4º PA'!$H$4:$H$2564='Gasto das Atividades'!B19),-('Diário 4º PA'!$Q$4:$Q$2564&gt;=1),('Diário 4º PA'!$F$4:$F$2564))+SUMPRODUCT(-('Comp.'!$F$5:$F$497='Gasto das Atividades'!B19),-('Comp.'!$K$5:'Comp.'!$K$497&gt;=1),('Comp.'!$E$5:$E$497))</f>
        <v>76318.060000000012</v>
      </c>
      <c r="E19" s="368">
        <f t="shared" si="0"/>
        <v>2.3410447852760741</v>
      </c>
    </row>
    <row r="20" spans="1:5" ht="24" customHeight="1" x14ac:dyDescent="0.2">
      <c r="A20" s="230">
        <v>15</v>
      </c>
      <c r="B20" s="388" t="s">
        <v>750</v>
      </c>
      <c r="C20" s="232">
        <v>219861.48</v>
      </c>
      <c r="D20" s="367">
        <f t="array" ref="D20">SUMPRODUCT(-('Diário 1º PA'!$H$4:$H$2633='Gasto das Atividades'!B20),-('Diário 1º PA'!$Q$4:$Q$2633&gt;=1),('Diário 1º PA'!$F$4:$F$2633))+SUMPRODUCT(-('Diário 2º PA'!$H$4:$H$3040='Gasto das Atividades'!B20),-('Diário 2º PA'!$Q$4:$Q$3040&gt;=1),('Diário 2º PA'!$F$4:$F$3040))+SUMPRODUCT(-('Diário 3º PA'!$H$4:$H$2731='Gasto das Atividades'!B20),-('Diário 3º PA'!$Q$4:$Q$2731&gt;=1),('Diário 3º PA'!$F$4:$F$2731))+SUMPRODUCT(-('Diário 4º PA'!$H$4:$H$2564='Gasto das Atividades'!B20),-('Diário 4º PA'!$Q$4:$Q$2564&gt;=1),('Diário 4º PA'!$F$4:$F$2564))+SUMPRODUCT(-('Comp.'!$F$5:$F$497='Gasto das Atividades'!B20),-('Comp.'!$K$5:'Comp.'!$K$497&gt;=1),('Comp.'!$E$5:$E$497))</f>
        <v>353953.16</v>
      </c>
      <c r="E20" s="368">
        <f t="shared" si="0"/>
        <v>1.6098916463220385</v>
      </c>
    </row>
    <row r="21" spans="1:5" ht="24" customHeight="1" x14ac:dyDescent="0.2">
      <c r="A21" s="230">
        <v>16</v>
      </c>
      <c r="B21" s="388" t="s">
        <v>753</v>
      </c>
      <c r="C21" s="232">
        <v>50000</v>
      </c>
      <c r="D21" s="367">
        <f t="array" ref="D21">SUMPRODUCT(-('Diário 1º PA'!$H$4:$H$2633='Gasto das Atividades'!B21),-('Diário 1º PA'!$Q$4:$Q$2633&gt;=1),('Diário 1º PA'!$F$4:$F$2633))+SUMPRODUCT(-('Diário 2º PA'!$H$4:$H$3040='Gasto das Atividades'!B21),-('Diário 2º PA'!$Q$4:$Q$3040&gt;=1),('Diário 2º PA'!$F$4:$F$3040))+SUMPRODUCT(-('Diário 3º PA'!$H$4:$H$2731='Gasto das Atividades'!B21),-('Diário 3º PA'!$Q$4:$Q$2731&gt;=1),('Diário 3º PA'!$F$4:$F$2731))+SUMPRODUCT(-('Diário 4º PA'!$H$4:$H$2564='Gasto das Atividades'!B21),-('Diário 4º PA'!$Q$4:$Q$2564&gt;=1),('Diário 4º PA'!$F$4:$F$2564))+SUMPRODUCT(-('Comp.'!$F$5:$F$497='Gasto das Atividades'!B21),-('Comp.'!$K$5:'Comp.'!$K$497&gt;=1),('Comp.'!$E$5:$E$497))</f>
        <v>25531.4</v>
      </c>
      <c r="E21" s="368">
        <f t="shared" si="0"/>
        <v>0.51062800000000008</v>
      </c>
    </row>
    <row r="22" spans="1:5" ht="24" customHeight="1" x14ac:dyDescent="0.2">
      <c r="A22" s="230">
        <v>17</v>
      </c>
      <c r="B22" s="388" t="s">
        <v>752</v>
      </c>
      <c r="C22" s="232">
        <v>309384.59000000003</v>
      </c>
      <c r="D22" s="367">
        <f t="array" ref="D22">SUMPRODUCT(-('Diário 1º PA'!$H$4:$H$2633='Gasto das Atividades'!B22),-('Diário 1º PA'!$Q$4:$Q$2633&gt;=1),('Diário 1º PA'!$F$4:$F$2633))+SUMPRODUCT(-('Diário 2º PA'!$H$4:$H$3040='Gasto das Atividades'!B22),-('Diário 2º PA'!$Q$4:$Q$3040&gt;=1),('Diário 2º PA'!$F$4:$F$3040))+SUMPRODUCT(-('Diário 3º PA'!$H$4:$H$2731='Gasto das Atividades'!B22),-('Diário 3º PA'!$Q$4:$Q$2731&gt;=1),('Diário 3º PA'!$F$4:$F$2731))+SUMPRODUCT(-('Diário 4º PA'!$H$4:$H$2564='Gasto das Atividades'!B22),-('Diário 4º PA'!$Q$4:$Q$2564&gt;=1),('Diário 4º PA'!$F$4:$F$2564))+SUMPRODUCT(-('Comp.'!$F$5:$F$497='Gasto das Atividades'!B22),-('Comp.'!$K$5:'Comp.'!$K$497&gt;=1),('Comp.'!$E$5:$E$497))</f>
        <v>313884.19000000006</v>
      </c>
      <c r="E22" s="368">
        <f t="shared" si="0"/>
        <v>1.0145437107905084</v>
      </c>
    </row>
    <row r="23" spans="1:5" ht="24" customHeight="1" x14ac:dyDescent="0.2">
      <c r="A23" s="230">
        <v>18</v>
      </c>
      <c r="B23" s="388" t="s">
        <v>756</v>
      </c>
      <c r="C23" s="232">
        <v>222927.71</v>
      </c>
      <c r="D23" s="367">
        <f t="array" ref="D23">SUMPRODUCT(-('Diário 1º PA'!$H$4:$H$2633='Gasto das Atividades'!B23),-('Diário 1º PA'!$Q$4:$Q$2633&gt;=1),('Diário 1º PA'!$F$4:$F$2633))+SUMPRODUCT(-('Diário 2º PA'!$H$4:$H$3040='Gasto das Atividades'!B23),-('Diário 2º PA'!$Q$4:$Q$3040&gt;=1),('Diário 2º PA'!$F$4:$F$3040))+SUMPRODUCT(-('Diário 3º PA'!$H$4:$H$2731='Gasto das Atividades'!B23),-('Diário 3º PA'!$Q$4:$Q$2731&gt;=1),('Diário 3º PA'!$F$4:$F$2731))+SUMPRODUCT(-('Diário 4º PA'!$H$4:$H$2564='Gasto das Atividades'!B23),-('Diário 4º PA'!$Q$4:$Q$2564&gt;=1),('Diário 4º PA'!$F$4:$F$2564))+SUMPRODUCT(-('Comp.'!$F$5:$F$497='Gasto das Atividades'!B23),-('Comp.'!$K$5:'Comp.'!$K$497&gt;=1),('Comp.'!$E$5:$E$497))</f>
        <v>35094.67</v>
      </c>
      <c r="E23" s="368">
        <f t="shared" si="0"/>
        <v>0.15742623471976633</v>
      </c>
    </row>
    <row r="24" spans="1:5" ht="24" customHeight="1" x14ac:dyDescent="0.2">
      <c r="A24" s="230">
        <v>19</v>
      </c>
      <c r="B24" s="388" t="s">
        <v>761</v>
      </c>
      <c r="C24" s="232">
        <v>11369.25</v>
      </c>
      <c r="D24" s="367">
        <f t="array" ref="D24">SUMPRODUCT(-('Diário 1º PA'!$H$4:$H$2633='Gasto das Atividades'!B24),-('Diário 1º PA'!$Q$4:$Q$2633&gt;=1),('Diário 1º PA'!$F$4:$F$2633))+SUMPRODUCT(-('Diário 2º PA'!$H$4:$H$3040='Gasto das Atividades'!B24),-('Diário 2º PA'!$Q$4:$Q$3040&gt;=1),('Diário 2º PA'!$F$4:$F$3040))+SUMPRODUCT(-('Diário 3º PA'!$H$4:$H$2731='Gasto das Atividades'!B24),-('Diário 3º PA'!$Q$4:$Q$2731&gt;=1),('Diário 3º PA'!$F$4:$F$2731))+SUMPRODUCT(-('Diário 4º PA'!$H$4:$H$2564='Gasto das Atividades'!B24),-('Diário 4º PA'!$Q$4:$Q$2564&gt;=1),('Diário 4º PA'!$F$4:$F$2564))+SUMPRODUCT(-('Comp.'!$F$5:$F$497='Gasto das Atividades'!B24),-('Comp.'!$K$5:'Comp.'!$K$497&gt;=1),('Comp.'!$E$5:$E$497))</f>
        <v>8499</v>
      </c>
      <c r="E24" s="368">
        <f t="shared" si="0"/>
        <v>0.74754271389933369</v>
      </c>
    </row>
    <row r="25" spans="1:5" ht="24" customHeight="1" x14ac:dyDescent="0.2">
      <c r="A25" s="230">
        <v>20</v>
      </c>
      <c r="B25" s="388" t="s">
        <v>468</v>
      </c>
      <c r="C25" s="232">
        <v>4900000</v>
      </c>
      <c r="D25" s="367">
        <f t="array" ref="D25">SUMPRODUCT(-('Diário 1º PA'!$H$4:$H$2633='Gasto das Atividades'!B25),-('Diário 1º PA'!$Q$4:$Q$2633&gt;=1),('Diário 1º PA'!$F$4:$F$2633))+SUMPRODUCT(-('Diário 2º PA'!$H$4:$H$3040='Gasto das Atividades'!B25),-('Diário 2º PA'!$Q$4:$Q$3040&gt;=1),('Diário 2º PA'!$F$4:$F$3040))+SUMPRODUCT(-('Diário 3º PA'!$H$4:$H$2731='Gasto das Atividades'!B25),-('Diário 3º PA'!$Q$4:$Q$2731&gt;=1),('Diário 3º PA'!$F$4:$F$2731))+SUMPRODUCT(-('Diário 4º PA'!$H$4:$H$2564='Gasto das Atividades'!B25),-('Diário 4º PA'!$Q$4:$Q$2564&gt;=1),('Diário 4º PA'!$F$4:$F$2564))+SUMPRODUCT(-('Comp.'!$F$5:$F$497='Gasto das Atividades'!B25),-('Comp.'!$K$5:'Comp.'!$K$497&gt;=1),('Comp.'!$E$5:$E$497))</f>
        <v>5032909.6100000013</v>
      </c>
      <c r="E25" s="368">
        <f t="shared" si="0"/>
        <v>1.027124410204082</v>
      </c>
    </row>
    <row r="26" spans="1:5" ht="24" customHeight="1" x14ac:dyDescent="0.2">
      <c r="A26" s="230">
        <v>21</v>
      </c>
      <c r="B26" s="388" t="s">
        <v>762</v>
      </c>
      <c r="C26" s="232">
        <v>100000</v>
      </c>
      <c r="D26" s="367">
        <f t="array" ref="D26">SUMPRODUCT(-('Diário 1º PA'!$H$4:$H$2633='Gasto das Atividades'!B26),-('Diário 1º PA'!$Q$4:$Q$2633&gt;=1),('Diário 1º PA'!$F$4:$F$2633))+SUMPRODUCT(-('Diário 2º PA'!$H$4:$H$3040='Gasto das Atividades'!B26),-('Diário 2º PA'!$Q$4:$Q$3040&gt;=1),('Diário 2º PA'!$F$4:$F$3040))+SUMPRODUCT(-('Diário 3º PA'!$H$4:$H$2731='Gasto das Atividades'!B26),-('Diário 3º PA'!$Q$4:$Q$2731&gt;=1),('Diário 3º PA'!$F$4:$F$2731))+SUMPRODUCT(-('Diário 4º PA'!$H$4:$H$2564='Gasto das Atividades'!B26),-('Diário 4º PA'!$Q$4:$Q$2564&gt;=1),('Diário 4º PA'!$F$4:$F$2564))+SUMPRODUCT(-('Comp.'!$F$5:$F$497='Gasto das Atividades'!B26),-('Comp.'!$K$5:'Comp.'!$K$497&gt;=1),('Comp.'!$E$5:$E$497))</f>
        <v>15022</v>
      </c>
      <c r="E26" s="368">
        <f t="shared" si="0"/>
        <v>0.15021999999999999</v>
      </c>
    </row>
    <row r="27" spans="1:5" ht="13.5" thickBot="1" x14ac:dyDescent="0.25">
      <c r="A27" s="230">
        <v>22</v>
      </c>
      <c r="B27" s="253" t="s">
        <v>8113</v>
      </c>
      <c r="C27" s="232">
        <v>0</v>
      </c>
      <c r="D27" s="367">
        <f t="array" ref="D27">SUMPRODUCT(-('Diário 1º PA'!$H$4:$H$2633='Gasto das Atividades'!B27),-('Diário 1º PA'!$Q$4:$Q$2633&gt;=1),('Diário 1º PA'!$F$4:$F$2633))+SUMPRODUCT(-('Diário 2º PA'!$H$4:$H$3040='Gasto das Atividades'!B27),-('Diário 2º PA'!$Q$4:$Q$3040&gt;=1),('Diário 2º PA'!$F$4:$F$3040))+SUMPRODUCT(-('Diário 3º PA'!$H$4:$H$2731='Gasto das Atividades'!B27),-('Diário 3º PA'!$Q$4:$Q$2731&gt;=1),('Diário 3º PA'!$F$4:$F$2731))+SUMPRODUCT(-('Diário 4º PA'!$H$4:$H$2564='Gasto das Atividades'!B27),-('Diário 4º PA'!$Q$4:$Q$2564&gt;=1),('Diário 4º PA'!$F$4:$F$2564))+SUMPRODUCT(-('Comp.'!$F$5:$F$497='Gasto das Atividades'!B27),-('Comp.'!$K$5:'Comp.'!$K$497&gt;=1),('Comp.'!$E$5:$E$497))</f>
        <v>29313.5</v>
      </c>
      <c r="E27" s="368" t="str">
        <f t="shared" si="0"/>
        <v>-</v>
      </c>
    </row>
    <row r="28" spans="1:5" hidden="1" x14ac:dyDescent="0.2">
      <c r="A28" s="230">
        <v>23</v>
      </c>
      <c r="B28" s="253"/>
      <c r="C28" s="232">
        <v>0</v>
      </c>
      <c r="D28" s="367">
        <f t="array" ref="D28">SUMPRODUCT(-('Diário 1º PA'!$H$4:$H$2633='Gasto das Atividades'!B28),-('Diário 1º PA'!$Q$4:$Q$2633&gt;=1),('Diário 1º PA'!$F$4:$F$2633))+SUMPRODUCT(-('Diário 2º PA'!$H$4:$H$3040='Gasto das Atividades'!B28),-('Diário 2º PA'!$Q$4:$Q$3040&gt;=1),('Diário 2º PA'!$F$4:$F$3040))+SUMPRODUCT(-('Diário 3º PA'!$H$4:$H$2731='Gasto das Atividades'!B28),-('Diário 3º PA'!$Q$4:$Q$2731&gt;=1),('Diário 3º PA'!$F$4:$F$2731))+SUMPRODUCT(-('Diário 4º PA'!$H$4:$H$2564='Gasto das Atividades'!B28),-('Diário 4º PA'!$Q$4:$Q$2564&gt;=1),('Diário 4º PA'!$F$4:$F$2564))+SUMPRODUCT(-('Comp.'!$F$5:$F$497='Gasto das Atividades'!B28),-('Comp.'!$K$5:'Comp.'!$K$497&gt;=1),('Comp.'!$E$5:$E$497))</f>
        <v>0</v>
      </c>
      <c r="E28" s="368" t="str">
        <f t="shared" si="0"/>
        <v>-</v>
      </c>
    </row>
    <row r="29" spans="1:5" hidden="1" x14ac:dyDescent="0.2">
      <c r="A29" s="230">
        <v>24</v>
      </c>
      <c r="B29" s="253"/>
      <c r="C29" s="232">
        <v>0</v>
      </c>
      <c r="D29" s="367">
        <f t="array" ref="D29">SUMPRODUCT(-('Diário 1º PA'!$H$4:$H$2633='Gasto das Atividades'!B29),-('Diário 1º PA'!$Q$4:$Q$2633&gt;=1),('Diário 1º PA'!$F$4:$F$2633))+SUMPRODUCT(-('Diário 2º PA'!$H$4:$H$3040='Gasto das Atividades'!B29),-('Diário 2º PA'!$Q$4:$Q$3040&gt;=1),('Diário 2º PA'!$F$4:$F$3040))+SUMPRODUCT(-('Diário 3º PA'!$H$4:$H$2731='Gasto das Atividades'!B29),-('Diário 3º PA'!$Q$4:$Q$2731&gt;=1),('Diário 3º PA'!$F$4:$F$2731))+SUMPRODUCT(-('Diário 4º PA'!$H$4:$H$2564='Gasto das Atividades'!B29),-('Diário 4º PA'!$Q$4:$Q$2564&gt;=1),('Diário 4º PA'!$F$4:$F$2564))+SUMPRODUCT(-('Comp.'!$F$5:$F$497='Gasto das Atividades'!B29),-('Comp.'!$K$5:'Comp.'!$K$497&gt;=1),('Comp.'!$E$5:$E$497))</f>
        <v>0</v>
      </c>
      <c r="E29" s="368" t="str">
        <f t="shared" si="0"/>
        <v>-</v>
      </c>
    </row>
    <row r="30" spans="1:5" hidden="1" x14ac:dyDescent="0.2">
      <c r="A30" s="230">
        <v>25</v>
      </c>
      <c r="B30" s="253"/>
      <c r="C30" s="232">
        <v>0</v>
      </c>
      <c r="D30" s="367">
        <f t="array" ref="D30">SUMPRODUCT(-('Diário 1º PA'!$H$4:$H$2633='Gasto das Atividades'!B30),-('Diário 1º PA'!$Q$4:$Q$2633&gt;=1),('Diário 1º PA'!$F$4:$F$2633))+SUMPRODUCT(-('Diário 2º PA'!$H$4:$H$3040='Gasto das Atividades'!B30),-('Diário 2º PA'!$Q$4:$Q$3040&gt;=1),('Diário 2º PA'!$F$4:$F$3040))+SUMPRODUCT(-('Diário 3º PA'!$H$4:$H$2731='Gasto das Atividades'!B30),-('Diário 3º PA'!$Q$4:$Q$2731&gt;=1),('Diário 3º PA'!$F$4:$F$2731))+SUMPRODUCT(-('Diário 4º PA'!$H$4:$H$2564='Gasto das Atividades'!B30),-('Diário 4º PA'!$Q$4:$Q$2564&gt;=1),('Diário 4º PA'!$F$4:$F$2564))+SUMPRODUCT(-('Comp.'!$F$5:$F$497='Gasto das Atividades'!B30),-('Comp.'!$K$5:'Comp.'!$K$497&gt;=1),('Comp.'!$E$5:$E$497))</f>
        <v>0</v>
      </c>
      <c r="E30" s="368" t="str">
        <f t="shared" si="0"/>
        <v>-</v>
      </c>
    </row>
    <row r="31" spans="1:5" hidden="1" x14ac:dyDescent="0.2">
      <c r="A31" s="230">
        <v>26</v>
      </c>
      <c r="B31" s="253"/>
      <c r="C31" s="232">
        <v>0</v>
      </c>
      <c r="D31" s="367">
        <f t="array" ref="D31">SUMPRODUCT(-('Diário 1º PA'!$H$4:$H$2633='Gasto das Atividades'!B31),-('Diário 1º PA'!$Q$4:$Q$2633&gt;=1),('Diário 1º PA'!$F$4:$F$2633))+SUMPRODUCT(-('Diário 2º PA'!$H$4:$H$3040='Gasto das Atividades'!B31),-('Diário 2º PA'!$Q$4:$Q$3040&gt;=1),('Diário 2º PA'!$F$4:$F$3040))+SUMPRODUCT(-('Diário 3º PA'!$H$4:$H$2731='Gasto das Atividades'!B31),-('Diário 3º PA'!$Q$4:$Q$2731&gt;=1),('Diário 3º PA'!$F$4:$F$2731))+SUMPRODUCT(-('Diário 4º PA'!$H$4:$H$2564='Gasto das Atividades'!B31),-('Diário 4º PA'!$Q$4:$Q$2564&gt;=1),('Diário 4º PA'!$F$4:$F$2564))+SUMPRODUCT(-('Comp.'!$F$5:$F$497='Gasto das Atividades'!B31),-('Comp.'!$K$5:'Comp.'!$K$497&gt;=1),('Comp.'!$E$5:$E$497))</f>
        <v>0</v>
      </c>
      <c r="E31" s="368" t="str">
        <f t="shared" si="0"/>
        <v>-</v>
      </c>
    </row>
    <row r="32" spans="1:5" hidden="1" x14ac:dyDescent="0.2">
      <c r="A32" s="230">
        <v>27</v>
      </c>
      <c r="B32" s="253"/>
      <c r="C32" s="232">
        <v>0</v>
      </c>
      <c r="D32" s="367">
        <f t="array" ref="D32">SUMPRODUCT(-('Diário 1º PA'!$H$4:$H$2633='Gasto das Atividades'!B32),-('Diário 1º PA'!$Q$4:$Q$2633&gt;=1),('Diário 1º PA'!$F$4:$F$2633))+SUMPRODUCT(-('Diário 2º PA'!$H$4:$H$3040='Gasto das Atividades'!B32),-('Diário 2º PA'!$Q$4:$Q$3040&gt;=1),('Diário 2º PA'!$F$4:$F$3040))+SUMPRODUCT(-('Diário 3º PA'!$H$4:$H$2731='Gasto das Atividades'!B32),-('Diário 3º PA'!$Q$4:$Q$2731&gt;=1),('Diário 3º PA'!$F$4:$F$2731))+SUMPRODUCT(-('Diário 4º PA'!$H$4:$H$2564='Gasto das Atividades'!B32),-('Diário 4º PA'!$Q$4:$Q$2564&gt;=1),('Diário 4º PA'!$F$4:$F$2564))+SUMPRODUCT(-('Comp.'!$F$5:$F$497='Gasto das Atividades'!B32),-('Comp.'!$K$5:'Comp.'!$K$497&gt;=1),('Comp.'!$E$5:$E$497))</f>
        <v>0</v>
      </c>
      <c r="E32" s="368" t="str">
        <f t="shared" si="0"/>
        <v>-</v>
      </c>
    </row>
    <row r="33" spans="1:5" hidden="1" x14ac:dyDescent="0.2">
      <c r="A33" s="230">
        <v>28</v>
      </c>
      <c r="B33" s="253"/>
      <c r="C33" s="232">
        <v>0</v>
      </c>
      <c r="D33" s="367">
        <f t="array" ref="D33">SUMPRODUCT(-('Diário 1º PA'!$H$4:$H$2633='Gasto das Atividades'!B33),-('Diário 1º PA'!$Q$4:$Q$2633&gt;=1),('Diário 1º PA'!$F$4:$F$2633))+SUMPRODUCT(-('Diário 2º PA'!$H$4:$H$3040='Gasto das Atividades'!B33),-('Diário 2º PA'!$Q$4:$Q$3040&gt;=1),('Diário 2º PA'!$F$4:$F$3040))+SUMPRODUCT(-('Diário 3º PA'!$H$4:$H$2731='Gasto das Atividades'!B33),-('Diário 3º PA'!$Q$4:$Q$2731&gt;=1),('Diário 3º PA'!$F$4:$F$2731))+SUMPRODUCT(-('Diário 4º PA'!$H$4:$H$2564='Gasto das Atividades'!B33),-('Diário 4º PA'!$Q$4:$Q$2564&gt;=1),('Diário 4º PA'!$F$4:$F$2564))+SUMPRODUCT(-('Comp.'!$F$5:$F$497='Gasto das Atividades'!B33),-('Comp.'!$K$5:'Comp.'!$K$497&gt;=1),('Comp.'!$E$5:$E$497))</f>
        <v>0</v>
      </c>
      <c r="E33" s="368" t="str">
        <f t="shared" si="0"/>
        <v>-</v>
      </c>
    </row>
    <row r="34" spans="1:5" hidden="1" x14ac:dyDescent="0.2">
      <c r="A34" s="230">
        <v>29</v>
      </c>
      <c r="B34" s="253"/>
      <c r="C34" s="232">
        <v>0</v>
      </c>
      <c r="D34" s="367">
        <f t="array" ref="D34">SUMPRODUCT(-('Diário 1º PA'!$H$4:$H$2633='Gasto das Atividades'!B34),-('Diário 1º PA'!$Q$4:$Q$2633&gt;=1),('Diário 1º PA'!$F$4:$F$2633))+SUMPRODUCT(-('Diário 2º PA'!$H$4:$H$3040='Gasto das Atividades'!B34),-('Diário 2º PA'!$Q$4:$Q$3040&gt;=1),('Diário 2º PA'!$F$4:$F$3040))+SUMPRODUCT(-('Diário 3º PA'!$H$4:$H$2731='Gasto das Atividades'!B34),-('Diário 3º PA'!$Q$4:$Q$2731&gt;=1),('Diário 3º PA'!$F$4:$F$2731))+SUMPRODUCT(-('Diário 4º PA'!$H$4:$H$2564='Gasto das Atividades'!B34),-('Diário 4º PA'!$Q$4:$Q$2564&gt;=1),('Diário 4º PA'!$F$4:$F$2564))+SUMPRODUCT(-('Comp.'!$F$5:$F$497='Gasto das Atividades'!B34),-('Comp.'!$K$5:'Comp.'!$K$497&gt;=1),('Comp.'!$E$5:$E$497))</f>
        <v>0</v>
      </c>
      <c r="E34" s="368" t="str">
        <f t="shared" si="0"/>
        <v>-</v>
      </c>
    </row>
    <row r="35" spans="1:5" ht="13.5" hidden="1" thickBot="1" x14ac:dyDescent="0.25">
      <c r="A35" s="231">
        <v>30</v>
      </c>
      <c r="B35" s="253"/>
      <c r="C35" s="233">
        <v>0</v>
      </c>
      <c r="D35" s="367">
        <f t="array" ref="D35">SUMPRODUCT(-('Diário 1º PA'!$H$4:$H$2633='Gasto das Atividades'!B35),-('Diário 1º PA'!$Q$4:$Q$2633&gt;=1),('Diário 1º PA'!$F$4:$F$2633))+SUMPRODUCT(-('Diário 2º PA'!$H$4:$H$3040='Gasto das Atividades'!B35),-('Diário 2º PA'!$Q$4:$Q$3040&gt;=1),('Diário 2º PA'!$F$4:$F$3040))+SUMPRODUCT(-('Diário 3º PA'!$H$4:$H$2731='Gasto das Atividades'!B35),-('Diário 3º PA'!$Q$4:$Q$2731&gt;=1),('Diário 3º PA'!$F$4:$F$2731))+SUMPRODUCT(-('Diário 4º PA'!$H$4:$H$2564='Gasto das Atividades'!B35),-('Diário 4º PA'!$Q$4:$Q$2564&gt;=1),('Diário 4º PA'!$F$4:$F$2564))+SUMPRODUCT(-('Comp.'!$F$5:$F$497='Gasto das Atividades'!B35),-('Comp.'!$K$5:'Comp.'!$K$497&gt;=1),('Comp.'!$E$5:$E$497))</f>
        <v>0</v>
      </c>
      <c r="E35" s="369" t="str">
        <f t="shared" si="0"/>
        <v>-</v>
      </c>
    </row>
    <row r="36" spans="1:5" ht="13.5" thickBot="1" x14ac:dyDescent="0.25">
      <c r="A36" s="278"/>
      <c r="B36" s="280" t="s">
        <v>273</v>
      </c>
      <c r="C36" s="281">
        <f>SUM(C6:C35)</f>
        <v>7116623.3499999996</v>
      </c>
      <c r="D36" s="279">
        <f>SUM(D6:D35)</f>
        <v>7373037.6300000008</v>
      </c>
      <c r="E36" s="199"/>
    </row>
    <row r="37" spans="1:5" x14ac:dyDescent="0.2">
      <c r="A37" s="234"/>
      <c r="B37" s="234"/>
      <c r="C37" s="199"/>
      <c r="D37" s="199"/>
      <c r="E37" s="199"/>
    </row>
    <row r="38" spans="1:5" ht="13.5" customHeight="1" thickBot="1" x14ac:dyDescent="0.3">
      <c r="A38" s="199"/>
      <c r="B38" s="793" t="s">
        <v>313</v>
      </c>
      <c r="C38" s="793"/>
      <c r="D38" s="199"/>
      <c r="E38" s="199"/>
    </row>
    <row r="39" spans="1:5" x14ac:dyDescent="0.2">
      <c r="A39" s="199"/>
      <c r="B39" s="226" t="s">
        <v>312</v>
      </c>
      <c r="C39" s="235" t="s">
        <v>314</v>
      </c>
      <c r="D39" s="199"/>
      <c r="E39" s="199"/>
    </row>
    <row r="40" spans="1:5" x14ac:dyDescent="0.2">
      <c r="A40" s="199"/>
      <c r="B40" s="236" t="s">
        <v>307</v>
      </c>
      <c r="C40" s="227">
        <v>9.9500000000000005E-2</v>
      </c>
      <c r="D40" s="199"/>
      <c r="E40" s="199"/>
    </row>
    <row r="41" spans="1:5" ht="13.5" customHeight="1" thickBot="1" x14ac:dyDescent="0.25">
      <c r="A41" s="199"/>
      <c r="B41" s="238" t="s">
        <v>306</v>
      </c>
      <c r="C41" s="228">
        <v>0.90049999999999997</v>
      </c>
      <c r="D41" s="199"/>
      <c r="E41" s="199"/>
    </row>
    <row r="42" spans="1:5" ht="12.75" customHeight="1" x14ac:dyDescent="0.2">
      <c r="A42" s="199"/>
      <c r="B42" s="199"/>
      <c r="C42" s="199"/>
      <c r="D42" s="199"/>
      <c r="E42" s="199"/>
    </row>
    <row r="43" spans="1:5" ht="15.75" thickBot="1" x14ac:dyDescent="0.3">
      <c r="A43" s="199"/>
      <c r="B43" s="793" t="s">
        <v>311</v>
      </c>
      <c r="C43" s="793"/>
      <c r="D43" s="199"/>
      <c r="E43" s="199"/>
    </row>
    <row r="44" spans="1:5" x14ac:dyDescent="0.2">
      <c r="A44" s="199"/>
      <c r="B44" s="226" t="s">
        <v>312</v>
      </c>
      <c r="C44" s="235" t="s">
        <v>162</v>
      </c>
      <c r="D44" s="199"/>
      <c r="E44" s="199"/>
    </row>
    <row r="45" spans="1:5" x14ac:dyDescent="0.2">
      <c r="A45" s="199"/>
      <c r="B45" s="236" t="s">
        <v>307</v>
      </c>
      <c r="C45" s="237">
        <f>D6</f>
        <v>438489.68</v>
      </c>
      <c r="D45" s="199"/>
      <c r="E45" s="199"/>
    </row>
    <row r="46" spans="1:5" ht="13.5" thickBot="1" x14ac:dyDescent="0.25">
      <c r="A46" s="199"/>
      <c r="B46" s="238" t="s">
        <v>306</v>
      </c>
      <c r="C46" s="411">
        <f>SUM(D7:D35)</f>
        <v>6934547.9500000011</v>
      </c>
      <c r="D46" s="199"/>
      <c r="E46" s="199"/>
    </row>
  </sheetData>
  <sheetProtection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portrait"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pageSetUpPr fitToPage="1"/>
  </sheetPr>
  <dimension ref="A1:P168"/>
  <sheetViews>
    <sheetView showGridLines="0" topLeftCell="A2" zoomScaleSheetLayoutView="85" workbookViewId="0">
      <pane xSplit="2" ySplit="7" topLeftCell="C72" activePane="bottomRight" state="frozen"/>
      <selection activeCell="G29" sqref="G29"/>
      <selection pane="topRight" activeCell="G29" sqref="G29"/>
      <selection pane="bottomLeft" activeCell="G29" sqref="G29"/>
      <selection pane="bottomRight" activeCell="A142" sqref="A142"/>
    </sheetView>
  </sheetViews>
  <sheetFormatPr defaultColWidth="9.140625" defaultRowHeight="12.75" x14ac:dyDescent="0.2"/>
  <cols>
    <col min="1" max="1" width="7.28515625" style="19" customWidth="1"/>
    <col min="2" max="2" width="25" style="19" bestFit="1" customWidth="1"/>
    <col min="3" max="11" width="12.42578125" style="19" bestFit="1" customWidth="1"/>
    <col min="12" max="14" width="12.42578125" style="19" customWidth="1"/>
    <col min="15" max="16" width="12" style="19" bestFit="1" customWidth="1"/>
    <col min="17" max="16384" width="9.140625" style="19"/>
  </cols>
  <sheetData>
    <row r="1" spans="1:16" ht="15.75" hidden="1" x14ac:dyDescent="0.2">
      <c r="A1" s="39"/>
      <c r="B1" s="40" t="s">
        <v>145</v>
      </c>
      <c r="C1" s="41">
        <v>1</v>
      </c>
      <c r="D1" s="41">
        <v>2</v>
      </c>
      <c r="E1" s="41">
        <v>3</v>
      </c>
      <c r="F1" s="41">
        <v>4</v>
      </c>
      <c r="G1" s="41">
        <v>5</v>
      </c>
      <c r="H1" s="41">
        <v>6</v>
      </c>
      <c r="I1" s="41">
        <v>7</v>
      </c>
      <c r="J1" s="41">
        <v>8</v>
      </c>
      <c r="K1" s="41">
        <v>9</v>
      </c>
      <c r="L1" s="41">
        <v>10</v>
      </c>
      <c r="M1" s="41">
        <v>11</v>
      </c>
      <c r="N1" s="41">
        <v>12</v>
      </c>
      <c r="O1" s="39"/>
    </row>
    <row r="2" spans="1:16" ht="27.75" customHeight="1" x14ac:dyDescent="0.2">
      <c r="A2" s="767" t="str">
        <f>Capa!A1</f>
        <v>Contrato de Gestão nº. 05/20 celebrado entre a Fundação Clóvis Salgado e a Associação Pró-Cultura e Promoção das Artes</v>
      </c>
      <c r="B2" s="767"/>
      <c r="C2" s="767"/>
      <c r="D2" s="767"/>
      <c r="E2" s="767"/>
      <c r="F2" s="767"/>
      <c r="G2" s="767"/>
      <c r="H2" s="767"/>
      <c r="I2" s="767"/>
      <c r="J2" s="767"/>
      <c r="K2" s="767"/>
      <c r="L2" s="767"/>
      <c r="M2" s="767"/>
      <c r="N2" s="767"/>
      <c r="O2" s="767"/>
      <c r="P2" s="767"/>
    </row>
    <row r="3" spans="1:16" ht="19.5" customHeight="1" x14ac:dyDescent="0.2">
      <c r="A3" s="767">
        <f>Capa!A3</f>
        <v>0</v>
      </c>
      <c r="B3" s="767"/>
      <c r="C3" s="767"/>
      <c r="D3" s="767"/>
      <c r="E3" s="767"/>
      <c r="F3" s="767"/>
      <c r="G3" s="767"/>
      <c r="H3" s="767"/>
      <c r="I3" s="767"/>
      <c r="J3" s="767"/>
      <c r="K3" s="767"/>
      <c r="L3" s="767"/>
      <c r="M3" s="767"/>
      <c r="N3" s="767"/>
      <c r="O3" s="767"/>
      <c r="P3" s="767"/>
    </row>
    <row r="4" spans="1:16" ht="19.5" customHeight="1" thickBot="1" x14ac:dyDescent="0.25">
      <c r="A4" s="801" t="s">
        <v>316</v>
      </c>
      <c r="B4" s="801"/>
      <c r="C4" s="801"/>
      <c r="D4" s="801"/>
      <c r="E4" s="801"/>
      <c r="F4" s="801"/>
      <c r="G4" s="801"/>
      <c r="H4" s="801"/>
      <c r="I4" s="801"/>
      <c r="J4" s="801"/>
      <c r="K4" s="801"/>
      <c r="L4" s="801"/>
      <c r="M4" s="801"/>
      <c r="N4" s="801"/>
      <c r="O4" s="801"/>
      <c r="P4" s="801"/>
    </row>
    <row r="5" spans="1:16" ht="15" x14ac:dyDescent="0.2">
      <c r="A5" s="43"/>
      <c r="B5" s="43"/>
      <c r="C5" s="44" t="str">
        <f>Resumo!C4</f>
        <v>Janeiro</v>
      </c>
      <c r="D5" s="44" t="str">
        <f>Resumo!D4</f>
        <v>Fevereiro</v>
      </c>
      <c r="E5" s="44" t="str">
        <f>Resumo!E4</f>
        <v>Março</v>
      </c>
      <c r="F5" s="44" t="str">
        <f>Resumo!F4</f>
        <v>Abril</v>
      </c>
      <c r="G5" s="44" t="str">
        <f>Resumo!G4</f>
        <v>Maio</v>
      </c>
      <c r="H5" s="44" t="str">
        <f>Resumo!H4</f>
        <v>Junho</v>
      </c>
      <c r="I5" s="44" t="str">
        <f>Resumo!I4</f>
        <v>Julho</v>
      </c>
      <c r="J5" s="44" t="str">
        <f>Resumo!J4</f>
        <v>Agosto</v>
      </c>
      <c r="K5" s="44" t="str">
        <f>Resumo!K4</f>
        <v>Setembro</v>
      </c>
      <c r="L5" s="44" t="str">
        <f>Resumo!L4</f>
        <v>Outubro</v>
      </c>
      <c r="M5" s="44" t="str">
        <f>Resumo!M4</f>
        <v>Novembro</v>
      </c>
      <c r="N5" s="44" t="str">
        <f>Resumo!N4</f>
        <v>Dezembro</v>
      </c>
      <c r="O5" s="795" t="s">
        <v>5</v>
      </c>
      <c r="P5" s="798" t="s">
        <v>293</v>
      </c>
    </row>
    <row r="6" spans="1:16" ht="15" x14ac:dyDescent="0.2">
      <c r="A6" s="11"/>
      <c r="B6" s="11"/>
      <c r="C6" s="289">
        <f>Resumo!C5</f>
        <v>44562</v>
      </c>
      <c r="D6" s="289">
        <f>Resumo!D5</f>
        <v>44593</v>
      </c>
      <c r="E6" s="289">
        <f>Resumo!E5</f>
        <v>44621</v>
      </c>
      <c r="F6" s="289">
        <f>Resumo!F5</f>
        <v>44652</v>
      </c>
      <c r="G6" s="289">
        <f>Resumo!G5</f>
        <v>44682</v>
      </c>
      <c r="H6" s="289">
        <f>Resumo!H5</f>
        <v>44713</v>
      </c>
      <c r="I6" s="289">
        <f>Resumo!I5</f>
        <v>44743</v>
      </c>
      <c r="J6" s="289">
        <f>Resumo!J5</f>
        <v>44774</v>
      </c>
      <c r="K6" s="289">
        <f>Resumo!K5</f>
        <v>44805</v>
      </c>
      <c r="L6" s="289">
        <f>Resumo!L5</f>
        <v>44835</v>
      </c>
      <c r="M6" s="289">
        <f>Resumo!M5</f>
        <v>44866</v>
      </c>
      <c r="N6" s="289">
        <f>Resumo!N5</f>
        <v>44896</v>
      </c>
      <c r="O6" s="796"/>
      <c r="P6" s="799"/>
    </row>
    <row r="7" spans="1:16" ht="15" x14ac:dyDescent="0.2">
      <c r="A7" s="11"/>
      <c r="B7" s="11"/>
      <c r="C7" s="291" t="str">
        <f>Resumo!C6</f>
        <v>a</v>
      </c>
      <c r="D7" s="291" t="str">
        <f>Resumo!D6</f>
        <v>a</v>
      </c>
      <c r="E7" s="291" t="str">
        <f>Resumo!E6</f>
        <v>a</v>
      </c>
      <c r="F7" s="291" t="str">
        <f>Resumo!F6</f>
        <v>a</v>
      </c>
      <c r="G7" s="291" t="str">
        <f>Resumo!G6</f>
        <v>a</v>
      </c>
      <c r="H7" s="291" t="str">
        <f>Resumo!H6</f>
        <v>a</v>
      </c>
      <c r="I7" s="291" t="str">
        <f>Resumo!I6</f>
        <v>a</v>
      </c>
      <c r="J7" s="291" t="str">
        <f>Resumo!J6</f>
        <v>a</v>
      </c>
      <c r="K7" s="291" t="str">
        <f>Resumo!K6</f>
        <v>a</v>
      </c>
      <c r="L7" s="291" t="str">
        <f>Resumo!L6</f>
        <v>a</v>
      </c>
      <c r="M7" s="291" t="str">
        <f>Resumo!M6</f>
        <v>a</v>
      </c>
      <c r="N7" s="291" t="str">
        <f>Resumo!N6</f>
        <v>a</v>
      </c>
      <c r="O7" s="796"/>
      <c r="P7" s="799"/>
    </row>
    <row r="8" spans="1:16" ht="15.75" thickBot="1" x14ac:dyDescent="0.25">
      <c r="A8" s="42"/>
      <c r="B8" s="42"/>
      <c r="C8" s="290">
        <f>Resumo!C7</f>
        <v>44592</v>
      </c>
      <c r="D8" s="290">
        <f>Resumo!D7</f>
        <v>44620</v>
      </c>
      <c r="E8" s="290">
        <f>Resumo!E7</f>
        <v>44651</v>
      </c>
      <c r="F8" s="290">
        <f>Resumo!F7</f>
        <v>44681</v>
      </c>
      <c r="G8" s="290">
        <f>Resumo!G7</f>
        <v>44712</v>
      </c>
      <c r="H8" s="290">
        <f>Resumo!H7</f>
        <v>44742</v>
      </c>
      <c r="I8" s="290">
        <f>Resumo!I7</f>
        <v>44773</v>
      </c>
      <c r="J8" s="290">
        <f>Resumo!J7</f>
        <v>44804</v>
      </c>
      <c r="K8" s="290">
        <f>Resumo!K7</f>
        <v>44834</v>
      </c>
      <c r="L8" s="290">
        <f>Resumo!L7</f>
        <v>44865</v>
      </c>
      <c r="M8" s="290">
        <f>Resumo!M7</f>
        <v>44895</v>
      </c>
      <c r="N8" s="290">
        <f>Resumo!N7</f>
        <v>44926</v>
      </c>
      <c r="O8" s="797"/>
      <c r="P8" s="800"/>
    </row>
    <row r="9" spans="1:16" ht="23.25" customHeight="1" thickBot="1" x14ac:dyDescent="0.25">
      <c r="A9" s="177"/>
      <c r="B9" s="27"/>
      <c r="C9" s="178"/>
      <c r="D9" s="178"/>
      <c r="E9" s="178"/>
      <c r="F9" s="178"/>
      <c r="G9" s="178"/>
      <c r="H9" s="178"/>
      <c r="I9" s="67"/>
      <c r="J9" s="67"/>
      <c r="K9" s="67"/>
      <c r="L9" s="67"/>
      <c r="M9" s="67"/>
      <c r="N9" s="67"/>
      <c r="O9" s="67"/>
    </row>
    <row r="10" spans="1:16" ht="23.25" customHeight="1" thickBot="1" x14ac:dyDescent="0.25">
      <c r="A10" s="128" t="s">
        <v>47</v>
      </c>
      <c r="B10" s="179" t="s">
        <v>291</v>
      </c>
      <c r="C10" s="161">
        <f>Resumo!C8</f>
        <v>6776491.0300000003</v>
      </c>
      <c r="D10" s="161">
        <f t="shared" ref="D10:N10" si="0">C10+C18-C167</f>
        <v>5840798.8799999999</v>
      </c>
      <c r="E10" s="161">
        <f t="shared" si="0"/>
        <v>5681243.1699999999</v>
      </c>
      <c r="F10" s="161">
        <f t="shared" si="0"/>
        <v>6705711.9500000002</v>
      </c>
      <c r="G10" s="161">
        <f t="shared" si="0"/>
        <v>6025283.54</v>
      </c>
      <c r="H10" s="161">
        <f t="shared" si="0"/>
        <v>6015623.0999999996</v>
      </c>
      <c r="I10" s="161">
        <f t="shared" si="0"/>
        <v>4975917.1499999994</v>
      </c>
      <c r="J10" s="161">
        <f t="shared" si="0"/>
        <v>5002469.8099999996</v>
      </c>
      <c r="K10" s="161">
        <f t="shared" si="0"/>
        <v>6032069.2299999995</v>
      </c>
      <c r="L10" s="161">
        <f t="shared" si="0"/>
        <v>5310416.919999999</v>
      </c>
      <c r="M10" s="161">
        <f t="shared" si="0"/>
        <v>4320036.7999999989</v>
      </c>
      <c r="N10" s="161">
        <f t="shared" si="0"/>
        <v>4007878.209999999</v>
      </c>
      <c r="O10" s="284">
        <f>SUM(C10:N10)</f>
        <v>66693939.789999992</v>
      </c>
      <c r="P10" s="285">
        <f>IF($O$18=0,0,O10/$O$18)</f>
        <v>4.3864014871328498</v>
      </c>
    </row>
    <row r="11" spans="1:16" ht="23.25" customHeight="1" thickBot="1" x14ac:dyDescent="0.25">
      <c r="A11" s="11"/>
      <c r="B11" s="11"/>
      <c r="C11" s="181"/>
      <c r="D11" s="181"/>
      <c r="E11" s="181"/>
      <c r="F11" s="181"/>
      <c r="G11" s="181"/>
      <c r="H11" s="181"/>
      <c r="I11" s="181"/>
      <c r="J11" s="181"/>
      <c r="K11" s="181"/>
      <c r="L11" s="181"/>
      <c r="M11" s="181"/>
      <c r="N11" s="181"/>
      <c r="O11" s="180"/>
    </row>
    <row r="12" spans="1:16" ht="23.25" customHeight="1" thickBot="1" x14ac:dyDescent="0.25">
      <c r="A12" s="37">
        <v>1</v>
      </c>
      <c r="B12" s="37" t="s">
        <v>156</v>
      </c>
      <c r="C12" s="68"/>
      <c r="D12" s="68"/>
      <c r="E12" s="68"/>
      <c r="F12" s="68"/>
      <c r="G12" s="68"/>
      <c r="H12" s="68"/>
      <c r="I12" s="68"/>
      <c r="J12" s="68"/>
      <c r="K12" s="68"/>
      <c r="L12" s="68"/>
      <c r="M12" s="68"/>
      <c r="N12" s="68"/>
      <c r="O12" s="68"/>
      <c r="P12" s="165"/>
    </row>
    <row r="13" spans="1:16" ht="23.25" customHeight="1" x14ac:dyDescent="0.2">
      <c r="A13" s="21" t="s">
        <v>15</v>
      </c>
      <c r="B13" s="21" t="s">
        <v>34</v>
      </c>
      <c r="C13" s="182"/>
      <c r="D13" s="182"/>
      <c r="E13" s="182"/>
      <c r="F13" s="182"/>
      <c r="G13" s="182"/>
      <c r="H13" s="182"/>
      <c r="I13" s="182"/>
      <c r="J13" s="182"/>
      <c r="K13" s="182"/>
      <c r="L13" s="182"/>
      <c r="M13" s="182"/>
      <c r="N13" s="182"/>
      <c r="O13" s="182"/>
      <c r="P13" s="166"/>
    </row>
    <row r="14" spans="1:16" ht="23.25" customHeight="1" x14ac:dyDescent="0.2">
      <c r="A14" s="22" t="s">
        <v>42</v>
      </c>
      <c r="B14" s="60" t="s">
        <v>330</v>
      </c>
      <c r="C14" s="183">
        <f>SUMPRODUCT(-('Diário 1º PA'!$E$4:$E$2635='Analítico Cx.'!$B14),-('Diário 1º PA'!$P$4:$P$2635=C$1),('Diário 1º PA'!$F$4:$F$2635))+SUMPRODUCT(-('Diário 2º PA'!$E$4:$E$3040='Analítico Cx.'!$B14),-('Diário 2º PA'!$P$4:$P$3040=C$1),('Diário 2º PA'!$F$4:$F$3040))+SUMPRODUCT(-('Diário 3º PA'!$E$4:$E$2731='Analítico Cx.'!$B14),-('Diário 3º PA'!$P$4:$P$2731=C$1),('Diário 3º PA'!$F$4:$F$2731))+SUMPRODUCT(-('Diário 4º PA'!$E$4:$E$2564='Analítico Cx.'!$B14),-('Diário 4º PA'!$P$4:$P$2564=C$1),('Diário 4º PA'!$F$4:$F$2564))</f>
        <v>0</v>
      </c>
      <c r="D14" s="183">
        <f>SUMPRODUCT(-('Diário 1º PA'!$E$4:$E$2635='Analítico Cx.'!$B14),-('Diário 1º PA'!$P$4:$P$2635=D$1),('Diário 1º PA'!$F$4:$F$2635))+SUMPRODUCT(-('Diário 2º PA'!$E$4:$E$3040='Analítico Cx.'!$B14),-('Diário 2º PA'!$P$4:$P$3040=D$1),('Diário 2º PA'!$F$4:$F$3040))+SUMPRODUCT(-('Diário 3º PA'!$E$4:$E$2731='Analítico Cx.'!$B14),-('Diário 3º PA'!$P$4:$P$2731=D$1),('Diário 3º PA'!$F$4:$F$2731))+SUMPRODUCT(-('Diário 4º PA'!$E$4:$E$2564='Analítico Cx.'!$B14),-('Diário 4º PA'!$P$4:$P$2564=D$1),('Diário 4º PA'!$F$4:$F$2564))</f>
        <v>650000</v>
      </c>
      <c r="E14" s="183">
        <f>SUMPRODUCT(-('Diário 1º PA'!$E$4:$E$2635='Analítico Cx.'!$B14),-('Diário 1º PA'!$P$4:$P$2635=E$1),('Diário 1º PA'!$F$4:$F$2635))+SUMPRODUCT(-('Diário 2º PA'!$E$4:$E$3040='Analítico Cx.'!$B14),-('Diário 2º PA'!$P$4:$P$3040=E$1),('Diário 2º PA'!$F$4:$F$3040))+SUMPRODUCT(-('Diário 3º PA'!$E$4:$E$2731='Analítico Cx.'!$B14),-('Diário 3º PA'!$P$4:$P$2731=E$1),('Diário 3º PA'!$F$4:$F$2731))+SUMPRODUCT(-('Diário 4º PA'!$E$4:$E$2564='Analítico Cx.'!$B14),-('Diário 4º PA'!$P$4:$P$2564=E$1),('Diário 4º PA'!$F$4:$F$2564))</f>
        <v>1970189.07</v>
      </c>
      <c r="F14" s="183">
        <f>SUMPRODUCT(-('Diário 1º PA'!$E$4:$E$2635='Analítico Cx.'!$B14),-('Diário 1º PA'!$P$4:$P$2635=F$1),('Diário 1º PA'!$F$4:$F$2635))+SUMPRODUCT(-('Diário 2º PA'!$E$4:$E$3040='Analítico Cx.'!$B14),-('Diário 2º PA'!$P$4:$P$3040=F$1),('Diário 2º PA'!$F$4:$F$3040))+SUMPRODUCT(-('Diário 3º PA'!$E$4:$E$2731='Analítico Cx.'!$B14),-('Diário 3º PA'!$P$4:$P$2731=F$1),('Diário 3º PA'!$F$4:$F$2731))+SUMPRODUCT(-('Diário 4º PA'!$E$4:$E$2564='Analítico Cx.'!$B14),-('Diário 4º PA'!$P$4:$P$2564=F$1),('Diário 4º PA'!$F$4:$F$2564))</f>
        <v>0</v>
      </c>
      <c r="G14" s="183">
        <f>SUMPRODUCT(-('Diário 1º PA'!$E$4:$E$2635='Analítico Cx.'!$B14),-('Diário 1º PA'!$P$4:$P$2635=G$1),('Diário 1º PA'!$F$4:$F$2635))+SUMPRODUCT(-('Diário 2º PA'!$E$4:$E$3040='Analítico Cx.'!$B14),-('Diário 2º PA'!$P$4:$P$3040=G$1),('Diário 2º PA'!$F$4:$F$3040))+SUMPRODUCT(-('Diário 3º PA'!$E$4:$E$2731='Analítico Cx.'!$B14),-('Diário 3º PA'!$P$4:$P$2731=G$1),('Diário 3º PA'!$F$4:$F$2731))+SUMPRODUCT(-('Diário 4º PA'!$E$4:$E$2564='Analítico Cx.'!$B14),-('Diário 4º PA'!$P$4:$P$2564=G$1),('Diário 4º PA'!$F$4:$F$2564))</f>
        <v>2015796.93</v>
      </c>
      <c r="H14" s="183">
        <f>SUMPRODUCT(-('Diário 1º PA'!$E$4:$E$2635='Analítico Cx.'!$B14),-('Diário 1º PA'!$P$4:$P$2635=H$1),('Diário 1º PA'!$F$4:$F$2635))+SUMPRODUCT(-('Diário 2º PA'!$E$4:$E$3040='Analítico Cx.'!$B14),-('Diário 2º PA'!$P$4:$P$3040=H$1),('Diário 2º PA'!$F$4:$F$3040))+SUMPRODUCT(-('Diário 3º PA'!$E$4:$E$2731='Analítico Cx.'!$B14),-('Diário 3º PA'!$P$4:$P$2731=H$1),('Diário 3º PA'!$F$4:$F$2731))+SUMPRODUCT(-('Diário 4º PA'!$E$4:$E$2564='Analítico Cx.'!$B14),-('Diário 4º PA'!$P$4:$P$2564=H$1),('Diário 4º PA'!$F$4:$F$2564))</f>
        <v>0</v>
      </c>
      <c r="I14" s="183">
        <f>SUMPRODUCT(-('Diário 1º PA'!$E$4:$E$2635='Analítico Cx.'!$B14),-('Diário 1º PA'!$P$4:$P$2635=I$1),('Diário 1º PA'!$F$4:$F$2635))+SUMPRODUCT(-('Diário 2º PA'!$E$4:$E$3040='Analítico Cx.'!$B14),-('Diário 2º PA'!$P$4:$P$3040=I$1),('Diário 2º PA'!$F$4:$F$3040))+SUMPRODUCT(-('Diário 3º PA'!$E$4:$E$2731='Analítico Cx.'!$B14),-('Diário 3º PA'!$P$4:$P$2731=I$1),('Diário 3º PA'!$F$4:$F$2731))+SUMPRODUCT(-('Diário 4º PA'!$E$4:$E$2564='Analítico Cx.'!$B14),-('Diário 4º PA'!$P$4:$P$2564=I$1),('Diário 4º PA'!$F$4:$F$2564))</f>
        <v>0</v>
      </c>
      <c r="J14" s="183">
        <f>SUMPRODUCT(-('Diário 1º PA'!$E$4:$E$2635='Analítico Cx.'!$B14),-('Diário 1º PA'!$P$4:$P$2635=J$1),('Diário 1º PA'!$F$4:$F$2635))+SUMPRODUCT(-('Diário 2º PA'!$E$4:$E$3040='Analítico Cx.'!$B14),-('Diário 2º PA'!$P$4:$P$3040=J$1),('Diário 2º PA'!$F$4:$F$3040))+SUMPRODUCT(-('Diário 3º PA'!$E$4:$E$2731='Analítico Cx.'!$B14),-('Diário 3º PA'!$P$4:$P$2731=J$1),('Diário 3º PA'!$F$4:$F$2731))+SUMPRODUCT(-('Diário 4º PA'!$E$4:$E$2564='Analítico Cx.'!$B14),-('Diário 4º PA'!$P$4:$P$2564=J$1),('Diário 4º PA'!$F$4:$F$2564))</f>
        <v>1868252.49</v>
      </c>
      <c r="K14" s="183">
        <f>SUMPRODUCT(-('Diário 1º PA'!$E$4:$E$2635='Analítico Cx.'!$B14),-('Diário 1º PA'!$P$4:$P$2635=K$1),('Diário 1º PA'!$F$4:$F$2635))+SUMPRODUCT(-('Diário 2º PA'!$E$4:$E$3040='Analítico Cx.'!$B14),-('Diário 2º PA'!$P$4:$P$3040=K$1),('Diário 2º PA'!$F$4:$F$3040))+SUMPRODUCT(-('Diário 3º PA'!$E$4:$E$2731='Analítico Cx.'!$B14),-('Diário 3º PA'!$P$4:$P$2731=K$1),('Diário 3º PA'!$F$4:$F$2731))+SUMPRODUCT(-('Diário 4º PA'!$E$4:$E$2564='Analítico Cx.'!$B14),-('Diário 4º PA'!$P$4:$P$2564=K$1),('Diário 4º PA'!$F$4:$F$2564))</f>
        <v>0</v>
      </c>
      <c r="L14" s="183">
        <f>SUMPRODUCT(-('Diário 1º PA'!$E$4:$E$2635='Analítico Cx.'!$B14),-('Diário 1º PA'!$P$4:$P$2635=L$1),('Diário 1º PA'!$F$4:$F$2635))+SUMPRODUCT(-('Diário 2º PA'!$E$4:$E$3040='Analítico Cx.'!$B14),-('Diário 2º PA'!$P$4:$P$3040=L$1),('Diário 2º PA'!$F$4:$F$3040))+SUMPRODUCT(-('Diário 3º PA'!$E$4:$E$2731='Analítico Cx.'!$B14),-('Diário 3º PA'!$P$4:$P$2731=L$1),('Diário 3º PA'!$F$4:$F$2731))+SUMPRODUCT(-('Diário 4º PA'!$E$4:$E$2564='Analítico Cx.'!$B14),-('Diário 4º PA'!$P$4:$P$2564=L$1),('Diário 4º PA'!$F$4:$F$2564))</f>
        <v>0</v>
      </c>
      <c r="M14" s="183">
        <f>SUMPRODUCT(-('Diário 1º PA'!$E$4:$E$2635='Analítico Cx.'!$B14),-('Diário 1º PA'!$P$4:$P$2635=M$1),('Diário 1º PA'!$F$4:$F$2635))+SUMPRODUCT(-('Diário 2º PA'!$E$4:$E$3040='Analítico Cx.'!$B14),-('Diário 2º PA'!$P$4:$P$3040=M$1),('Diário 2º PA'!$F$4:$F$3040))+SUMPRODUCT(-('Diário 3º PA'!$E$4:$E$2731='Analítico Cx.'!$B14),-('Diário 3º PA'!$P$4:$P$2731=M$1),('Diário 3º PA'!$F$4:$F$2731))+SUMPRODUCT(-('Diário 4º PA'!$E$4:$E$2564='Analítico Cx.'!$B14),-('Diário 4º PA'!$P$4:$P$2564=M$1),('Diário 4º PA'!$F$4:$F$2564))</f>
        <v>616667.24</v>
      </c>
      <c r="N14" s="183">
        <f>SUMPRODUCT(-('Diário 1º PA'!$E$4:$E$2635='Analítico Cx.'!$B14),-('Diário 1º PA'!$P$4:$P$2635=N$1),('Diário 1º PA'!$F$4:$F$2635))+SUMPRODUCT(-('Diário 2º PA'!$E$4:$E$3040='Analítico Cx.'!$B14),-('Diário 2º PA'!$P$4:$P$3040=N$1),('Diário 2º PA'!$F$4:$F$3040))+SUMPRODUCT(-('Diário 3º PA'!$E$4:$E$2731='Analítico Cx.'!$B14),-('Diário 3º PA'!$P$4:$P$2731=N$1),('Diário 3º PA'!$F$4:$F$2731))+SUMPRODUCT(-('Diário 4º PA'!$E$4:$E$2564='Analítico Cx.'!$B14),-('Diário 4º PA'!$P$4:$P$2564=N$1),('Diário 4º PA'!$F$4:$F$2564))</f>
        <v>0</v>
      </c>
      <c r="O14" s="184">
        <f>SUM(C14:N14)</f>
        <v>7120905.7300000004</v>
      </c>
      <c r="P14" s="167">
        <f>IF($O$18=0,0,O14/$O$18)</f>
        <v>0.46833567760662104</v>
      </c>
    </row>
    <row r="15" spans="1:16" ht="23.25" customHeight="1" x14ac:dyDescent="0.2">
      <c r="A15" s="22" t="s">
        <v>43</v>
      </c>
      <c r="B15" s="60" t="s">
        <v>331</v>
      </c>
      <c r="C15" s="183">
        <f>SUMPRODUCT(-('Diário 1º PA'!$E$4:$E$2635='Analítico Cx.'!$B15),-('Diário 1º PA'!$P$4:$P$2635=C$1),('Diário 1º PA'!$F$4:$F$2635))+SUMPRODUCT(-('Diário 2º PA'!$E$4:$E$3040='Analítico Cx.'!$B15),-('Diário 2º PA'!$P$4:$P$3040=C$1),('Diário 2º PA'!$F$4:$F$3040))+SUMPRODUCT(-('Diário 3º PA'!$E$4:$E$2731='Analítico Cx.'!$B15),-('Diário 3º PA'!$P$4:$P$2731=C$1),('Diário 3º PA'!$F$4:$F$2731))+SUMPRODUCT(-('Diário 4º PA'!$E$4:$E$2564='Analítico Cx.'!$B15),-('Diário 4º PA'!$P$4:$P$2564=C$1),('Diário 4º PA'!$F$4:$F$2564))</f>
        <v>0</v>
      </c>
      <c r="D15" s="183">
        <f>SUMPRODUCT(-('Diário 1º PA'!$E$4:$E$2635='Analítico Cx.'!$B15),-('Diário 1º PA'!$P$4:$P$2635=D$1),('Diário 1º PA'!$F$4:$F$2635))+SUMPRODUCT(-('Diário 2º PA'!$E$4:$E$3040='Analítico Cx.'!$B15),-('Diário 2º PA'!$P$4:$P$3040=D$1),('Diário 2º PA'!$F$4:$F$3040))+SUMPRODUCT(-('Diário 3º PA'!$E$4:$E$2731='Analítico Cx.'!$B15),-('Diário 3º PA'!$P$4:$P$2731=D$1),('Diário 3º PA'!$F$4:$F$2731))+SUMPRODUCT(-('Diário 4º PA'!$E$4:$E$2564='Analítico Cx.'!$B15),-('Diário 4º PA'!$P$4:$P$2564=D$1),('Diário 4º PA'!$F$4:$F$2564))</f>
        <v>0</v>
      </c>
      <c r="E15" s="183">
        <f>SUMPRODUCT(-('Diário 1º PA'!$E$4:$E$2635='Analítico Cx.'!$B15),-('Diário 1º PA'!$P$4:$P$2635=E$1),('Diário 1º PA'!$F$4:$F$2635))+SUMPRODUCT(-('Diário 2º PA'!$E$4:$E$3040='Analítico Cx.'!$B15),-('Diário 2º PA'!$P$4:$P$3040=E$1),('Diário 2º PA'!$F$4:$F$3040))+SUMPRODUCT(-('Diário 3º PA'!$E$4:$E$2731='Analítico Cx.'!$B15),-('Diário 3º PA'!$P$4:$P$2731=E$1),('Diário 3º PA'!$F$4:$F$2731))+SUMPRODUCT(-('Diário 4º PA'!$E$4:$E$2564='Analítico Cx.'!$B15),-('Diário 4º PA'!$P$4:$P$2564=E$1),('Diário 4º PA'!$F$4:$F$2564))</f>
        <v>0</v>
      </c>
      <c r="F15" s="183">
        <f>SUMPRODUCT(-('Diário 1º PA'!$E$4:$E$2635='Analítico Cx.'!$B15),-('Diário 1º PA'!$P$4:$P$2635=F$1),('Diário 1º PA'!$F$4:$F$2635))+SUMPRODUCT(-('Diário 2º PA'!$E$4:$E$3040='Analítico Cx.'!$B15),-('Diário 2º PA'!$P$4:$P$3040=F$1),('Diário 2º PA'!$F$4:$F$3040))+SUMPRODUCT(-('Diário 3º PA'!$E$4:$E$2731='Analítico Cx.'!$B15),-('Diário 3º PA'!$P$4:$P$2731=F$1),('Diário 3º PA'!$F$4:$F$2731))+SUMPRODUCT(-('Diário 4º PA'!$E$4:$E$2564='Analítico Cx.'!$B15),-('Diário 4º PA'!$P$4:$P$2564=F$1),('Diário 4º PA'!$F$4:$F$2564))</f>
        <v>300000</v>
      </c>
      <c r="G15" s="183">
        <f>SUMPRODUCT(-('Diário 1º PA'!$E$4:$E$2635='Analítico Cx.'!$B15),-('Diário 1º PA'!$P$4:$P$2635=G$1),('Diário 1º PA'!$F$4:$F$2635))+SUMPRODUCT(-('Diário 2º PA'!$E$4:$E$3040='Analítico Cx.'!$B15),-('Diário 2º PA'!$P$4:$P$3040=G$1),('Diário 2º PA'!$F$4:$F$3040))+SUMPRODUCT(-('Diário 3º PA'!$E$4:$E$2731='Analítico Cx.'!$B15),-('Diário 3º PA'!$P$4:$P$2731=G$1),('Diário 3º PA'!$F$4:$F$2731))+SUMPRODUCT(-('Diário 4º PA'!$E$4:$E$2564='Analítico Cx.'!$B15),-('Diário 4º PA'!$P$4:$P$2564=G$1),('Diário 4º PA'!$F$4:$F$2564))</f>
        <v>110561.54</v>
      </c>
      <c r="H15" s="183">
        <f>SUMPRODUCT(-('Diário 1º PA'!$E$4:$E$2635='Analítico Cx.'!$B15),-('Diário 1º PA'!$P$4:$P$2635=H$1),('Diário 1º PA'!$F$4:$F$2635))+SUMPRODUCT(-('Diário 2º PA'!$E$4:$E$3040='Analítico Cx.'!$B15),-('Diário 2º PA'!$P$4:$P$3040=H$1),('Diário 2º PA'!$F$4:$F$3040))+SUMPRODUCT(-('Diário 3º PA'!$E$4:$E$2731='Analítico Cx.'!$B15),-('Diário 3º PA'!$P$4:$P$2731=H$1),('Diário 3º PA'!$F$4:$F$2731))+SUMPRODUCT(-('Diário 4º PA'!$E$4:$E$2564='Analítico Cx.'!$B15),-('Diário 4º PA'!$P$4:$P$2564=H$1),('Diário 4º PA'!$F$4:$F$2564))</f>
        <v>83000</v>
      </c>
      <c r="I15" s="183">
        <f>SUMPRODUCT(-('Diário 1º PA'!$E$4:$E$2635='Analítico Cx.'!$B15),-('Diário 1º PA'!$P$4:$P$2635=I$1),('Diário 1º PA'!$F$4:$F$2635))+SUMPRODUCT(-('Diário 2º PA'!$E$4:$E$3040='Analítico Cx.'!$B15),-('Diário 2º PA'!$P$4:$P$3040=I$1),('Diário 2º PA'!$F$4:$F$3040))+SUMPRODUCT(-('Diário 3º PA'!$E$4:$E$2731='Analítico Cx.'!$B15),-('Diário 3º PA'!$P$4:$P$2731=I$1),('Diário 3º PA'!$F$4:$F$2731))+SUMPRODUCT(-('Diário 4º PA'!$E$4:$E$2564='Analítico Cx.'!$B15),-('Diário 4º PA'!$P$4:$P$2564=I$1),('Diário 4º PA'!$F$4:$F$2564))</f>
        <v>944615.38</v>
      </c>
      <c r="J15" s="183">
        <f>SUMPRODUCT(-('Diário 1º PA'!$E$4:$E$2635='Analítico Cx.'!$B15),-('Diário 1º PA'!$P$4:$P$2635=J$1),('Diário 1º PA'!$F$4:$F$2635))+SUMPRODUCT(-('Diário 2º PA'!$E$4:$E$3040='Analítico Cx.'!$B15),-('Diário 2º PA'!$P$4:$P$3040=J$1),('Diário 2º PA'!$F$4:$F$3040))+SUMPRODUCT(-('Diário 3º PA'!$E$4:$E$2731='Analítico Cx.'!$B15),-('Diário 3º PA'!$P$4:$P$2731=J$1),('Diário 3º PA'!$F$4:$F$2731))+SUMPRODUCT(-('Diário 4º PA'!$E$4:$E$2564='Analítico Cx.'!$B15),-('Diário 4º PA'!$P$4:$P$2564=J$1),('Diário 4º PA'!$F$4:$F$2564))</f>
        <v>61823.08</v>
      </c>
      <c r="K15" s="183">
        <f>SUMPRODUCT(-('Diário 1º PA'!$E$4:$E$2635='Analítico Cx.'!$B15),-('Diário 1º PA'!$P$4:$P$2635=K$1),('Diário 1º PA'!$F$4:$F$2635))+SUMPRODUCT(-('Diário 2º PA'!$E$4:$E$3040='Analítico Cx.'!$B15),-('Diário 2º PA'!$P$4:$P$3040=K$1),('Diário 2º PA'!$F$4:$F$3040))+SUMPRODUCT(-('Diário 3º PA'!$E$4:$E$2731='Analítico Cx.'!$B15),-('Diário 3º PA'!$P$4:$P$2731=K$1),('Diário 3º PA'!$F$4:$F$2731))+SUMPRODUCT(-('Diário 4º PA'!$E$4:$E$2564='Analítico Cx.'!$B15),-('Diário 4º PA'!$P$4:$P$2564=K$1),('Diário 4º PA'!$F$4:$F$2564))</f>
        <v>0</v>
      </c>
      <c r="L15" s="183">
        <f>SUMPRODUCT(-('Diário 1º PA'!$E$4:$E$2635='Analítico Cx.'!$B15),-('Diário 1º PA'!$P$4:$P$2635=L$1),('Diário 1º PA'!$F$4:$F$2635))+SUMPRODUCT(-('Diário 2º PA'!$E$4:$E$3040='Analítico Cx.'!$B15),-('Diário 2º PA'!$P$4:$P$3040=L$1),('Diário 2º PA'!$F$4:$F$3040))+SUMPRODUCT(-('Diário 3º PA'!$E$4:$E$2731='Analítico Cx.'!$B15),-('Diário 3º PA'!$P$4:$P$2731=L$1),('Diário 3º PA'!$F$4:$F$2731))+SUMPRODUCT(-('Diário 4º PA'!$E$4:$E$2564='Analítico Cx.'!$B15),-('Diário 4º PA'!$P$4:$P$2564=L$1),('Diário 4º PA'!$F$4:$F$2564))</f>
        <v>0</v>
      </c>
      <c r="M15" s="183">
        <f>SUMPRODUCT(-('Diário 1º PA'!$E$4:$E$2635='Analítico Cx.'!$B15),-('Diário 1º PA'!$P$4:$P$2635=M$1),('Diário 1º PA'!$F$4:$F$2635))+SUMPRODUCT(-('Diário 2º PA'!$E$4:$E$3040='Analítico Cx.'!$B15),-('Diário 2º PA'!$P$4:$P$3040=M$1),('Diário 2º PA'!$F$4:$F$3040))+SUMPRODUCT(-('Diário 3º PA'!$E$4:$E$2731='Analítico Cx.'!$B15),-('Diário 3º PA'!$P$4:$P$2731=M$1),('Diário 3º PA'!$F$4:$F$2731))+SUMPRODUCT(-('Diário 4º PA'!$E$4:$E$2564='Analítico Cx.'!$B15),-('Diário 4º PA'!$P$4:$P$2564=M$1),('Diário 4º PA'!$F$4:$F$2564))</f>
        <v>0</v>
      </c>
      <c r="N15" s="183">
        <f>SUMPRODUCT(-('Diário 1º PA'!$E$4:$E$2635='Analítico Cx.'!$B15),-('Diário 1º PA'!$P$4:$P$2635=N$1),('Diário 1º PA'!$F$4:$F$2635))+SUMPRODUCT(-('Diário 2º PA'!$E$4:$E$3040='Analítico Cx.'!$B15),-('Diário 2º PA'!$P$4:$P$3040=N$1),('Diário 2º PA'!$F$4:$F$3040))+SUMPRODUCT(-('Diário 3º PA'!$E$4:$E$2731='Analítico Cx.'!$B15),-('Diário 3º PA'!$P$4:$P$2731=N$1),('Diário 3º PA'!$F$4:$F$2731))+SUMPRODUCT(-('Diário 4º PA'!$E$4:$E$2564='Analítico Cx.'!$B15),-('Diário 4º PA'!$P$4:$P$2564=N$1),('Diário 4º PA'!$F$4:$F$2564))</f>
        <v>0</v>
      </c>
      <c r="O15" s="184">
        <f>SUM(C15:N15)</f>
        <v>1500000</v>
      </c>
      <c r="P15" s="167">
        <f>IF($O$18=0,0,O15/$O$18)</f>
        <v>9.8653674552988568E-2</v>
      </c>
    </row>
    <row r="16" spans="1:16" ht="23.25" customHeight="1" x14ac:dyDescent="0.2">
      <c r="A16" s="22" t="s">
        <v>45</v>
      </c>
      <c r="B16" s="60" t="s">
        <v>167</v>
      </c>
      <c r="C16" s="183">
        <f>SUMPRODUCT(-('Diário 1º PA'!$E$4:$E$2635='Analítico Cx.'!$B16),-('Diário 1º PA'!$P$4:$P$2635=C$1),('Diário 1º PA'!$F$4:$F$2635))+SUMPRODUCT(-('Diário 2º PA'!$E$4:$E$3040='Analítico Cx.'!$B16),-('Diário 2º PA'!$P$4:$P$3040=C$1),('Diário 2º PA'!$F$4:$F$3040))+SUMPRODUCT(-('Diário 3º PA'!$E$4:$E$2731='Analítico Cx.'!$B16),-('Diário 3º PA'!$P$4:$P$2731=C$1),('Diário 3º PA'!$F$4:$F$2731))+SUMPRODUCT(-('Diário 4º PA'!$E$4:$E$2564='Analítico Cx.'!$B16),-('Diário 4º PA'!$P$4:$P$2564=C$1),('Diário 4º PA'!$F$4:$F$2564))</f>
        <v>1030</v>
      </c>
      <c r="D16" s="183">
        <f>SUMPRODUCT(-('Diário 1º PA'!$E$4:$E$2635='Analítico Cx.'!$B16),-('Diário 1º PA'!$P$4:$P$2635=D$1),('Diário 1º PA'!$F$4:$F$2635))+SUMPRODUCT(-('Diário 2º PA'!$E$4:$E$3040='Analítico Cx.'!$B16),-('Diário 2º PA'!$P$4:$P$3040=D$1),('Diário 2º PA'!$F$4:$F$3040))+SUMPRODUCT(-('Diário 3º PA'!$E$4:$E$2731='Analítico Cx.'!$B16),-('Diário 3º PA'!$P$4:$P$2731=D$1),('Diário 3º PA'!$F$4:$F$2731))+SUMPRODUCT(-('Diário 4º PA'!$E$4:$E$2564='Analítico Cx.'!$B16),-('Diário 4º PA'!$P$4:$P$2564=D$1),('Diário 4º PA'!$F$4:$F$2564))</f>
        <v>0</v>
      </c>
      <c r="E16" s="183">
        <f>SUMPRODUCT(-('Diário 1º PA'!$E$4:$E$2635='Analítico Cx.'!$B16),-('Diário 1º PA'!$P$4:$P$2635=E$1),('Diário 1º PA'!$F$4:$F$2635))+SUMPRODUCT(-('Diário 2º PA'!$E$4:$E$3040='Analítico Cx.'!$B16),-('Diário 2º PA'!$P$4:$P$3040=E$1),('Diário 2º PA'!$F$4:$F$3040))+SUMPRODUCT(-('Diário 3º PA'!$E$4:$E$2731='Analítico Cx.'!$B16),-('Diário 3º PA'!$P$4:$P$2731=E$1),('Diário 3º PA'!$F$4:$F$2731))+SUMPRODUCT(-('Diário 4º PA'!$E$4:$E$2564='Analítico Cx.'!$B16),-('Diário 4º PA'!$P$4:$P$2564=E$1),('Diário 4º PA'!$F$4:$F$2564))</f>
        <v>1820</v>
      </c>
      <c r="F16" s="183">
        <f>SUMPRODUCT(-('Diário 1º PA'!$E$4:$E$2635='Analítico Cx.'!$B16),-('Diário 1º PA'!$P$4:$P$2635=F$1),('Diário 1º PA'!$F$4:$F$2635))+SUMPRODUCT(-('Diário 2º PA'!$E$4:$E$3040='Analítico Cx.'!$B16),-('Diário 2º PA'!$P$4:$P$3040=F$1),('Diário 2º PA'!$F$4:$F$3040))+SUMPRODUCT(-('Diário 3º PA'!$E$4:$E$2731='Analítico Cx.'!$B16),-('Diário 3º PA'!$P$4:$P$2731=F$1),('Diário 3º PA'!$F$4:$F$2731))+SUMPRODUCT(-('Diário 4º PA'!$E$4:$E$2564='Analítico Cx.'!$B16),-('Diário 4º PA'!$P$4:$P$2564=F$1),('Diário 4º PA'!$F$4:$F$2564))</f>
        <v>0</v>
      </c>
      <c r="G16" s="183">
        <f>SUMPRODUCT(-('Diário 1º PA'!$E$4:$E$2635='Analítico Cx.'!$B16),-('Diário 1º PA'!$P$4:$P$2635=G$1),('Diário 1º PA'!$F$4:$F$2635))+SUMPRODUCT(-('Diário 2º PA'!$E$4:$E$3040='Analítico Cx.'!$B16),-('Diário 2º PA'!$P$4:$P$3040=G$1),('Diário 2º PA'!$F$4:$F$3040))+SUMPRODUCT(-('Diário 3º PA'!$E$4:$E$2731='Analítico Cx.'!$B16),-('Diário 3º PA'!$P$4:$P$2731=G$1),('Diário 3º PA'!$F$4:$F$2731))+SUMPRODUCT(-('Diário 4º PA'!$E$4:$E$2564='Analítico Cx.'!$B16),-('Diário 4º PA'!$P$4:$P$2564=G$1),('Diário 4º PA'!$F$4:$F$2564))</f>
        <v>5260</v>
      </c>
      <c r="H16" s="183">
        <f>SUMPRODUCT(-('Diário 1º PA'!$E$4:$E$2635='Analítico Cx.'!$B16),-('Diário 1º PA'!$P$4:$P$2635=H$1),('Diário 1º PA'!$F$4:$F$2635))+SUMPRODUCT(-('Diário 2º PA'!$E$4:$E$3040='Analítico Cx.'!$B16),-('Diário 2º PA'!$P$4:$P$3040=H$1),('Diário 2º PA'!$F$4:$F$3040))+SUMPRODUCT(-('Diário 3º PA'!$E$4:$E$2731='Analítico Cx.'!$B16),-('Diário 3º PA'!$P$4:$P$2731=H$1),('Diário 3º PA'!$F$4:$F$2731))+SUMPRODUCT(-('Diário 4º PA'!$E$4:$E$2564='Analítico Cx.'!$B16),-('Diário 4º PA'!$P$4:$P$2564=H$1),('Diário 4º PA'!$F$4:$F$2564))</f>
        <v>702</v>
      </c>
      <c r="I16" s="183">
        <f>SUMPRODUCT(-('Diário 1º PA'!$E$4:$E$2635='Analítico Cx.'!$B16),-('Diário 1º PA'!$P$4:$P$2635=I$1),('Diário 1º PA'!$F$4:$F$2635))+SUMPRODUCT(-('Diário 2º PA'!$E$4:$E$3040='Analítico Cx.'!$B16),-('Diário 2º PA'!$P$4:$P$3040=I$1),('Diário 2º PA'!$F$4:$F$3040))+SUMPRODUCT(-('Diário 3º PA'!$E$4:$E$2731='Analítico Cx.'!$B16),-('Diário 3º PA'!$P$4:$P$2731=I$1),('Diário 3º PA'!$F$4:$F$2731))+SUMPRODUCT(-('Diário 4º PA'!$E$4:$E$2564='Analítico Cx.'!$B16),-('Diário 4º PA'!$P$4:$P$2564=I$1),('Diário 4º PA'!$F$4:$F$2564))</f>
        <v>570</v>
      </c>
      <c r="J16" s="183">
        <f>SUMPRODUCT(-('Diário 1º PA'!$E$4:$E$2635='Analítico Cx.'!$B16),-('Diário 1º PA'!$P$4:$P$2635=J$1),('Diário 1º PA'!$F$4:$F$2635))+SUMPRODUCT(-('Diário 2º PA'!$E$4:$E$3040='Analítico Cx.'!$B16),-('Diário 2º PA'!$P$4:$P$3040=J$1),('Diário 2º PA'!$F$4:$F$3040))+SUMPRODUCT(-('Diário 3º PA'!$E$4:$E$2731='Analítico Cx.'!$B16),-('Diário 3º PA'!$P$4:$P$2731=J$1),('Diário 3º PA'!$F$4:$F$2731))+SUMPRODUCT(-('Diário 4º PA'!$E$4:$E$2564='Analítico Cx.'!$B16),-('Diário 4º PA'!$P$4:$P$2564=J$1),('Diário 4º PA'!$F$4:$F$2564))</f>
        <v>340</v>
      </c>
      <c r="K16" s="183">
        <f>SUMPRODUCT(-('Diário 1º PA'!$E$4:$E$2635='Analítico Cx.'!$B16),-('Diário 1º PA'!$P$4:$P$2635=K$1),('Diário 1º PA'!$F$4:$F$2635))+SUMPRODUCT(-('Diário 2º PA'!$E$4:$E$3040='Analítico Cx.'!$B16),-('Diário 2º PA'!$P$4:$P$3040=K$1),('Diário 2º PA'!$F$4:$F$3040))+SUMPRODUCT(-('Diário 3º PA'!$E$4:$E$2731='Analítico Cx.'!$B16),-('Diário 3º PA'!$P$4:$P$2731=K$1),('Diário 3º PA'!$F$4:$F$2731))+SUMPRODUCT(-('Diário 4º PA'!$E$4:$E$2564='Analítico Cx.'!$B16),-('Diário 4º PA'!$P$4:$P$2564=K$1),('Diário 4º PA'!$F$4:$F$2564))</f>
        <v>500</v>
      </c>
      <c r="L16" s="183">
        <f>SUMPRODUCT(-('Diário 1º PA'!$E$4:$E$2635='Analítico Cx.'!$B16),-('Diário 1º PA'!$P$4:$P$2635=L$1),('Diário 1º PA'!$F$4:$F$2635))+SUMPRODUCT(-('Diário 2º PA'!$E$4:$E$3040='Analítico Cx.'!$B16),-('Diário 2º PA'!$P$4:$P$3040=L$1),('Diário 2º PA'!$F$4:$F$3040))+SUMPRODUCT(-('Diário 3º PA'!$E$4:$E$2731='Analítico Cx.'!$B16),-('Diário 3º PA'!$P$4:$P$2731=L$1),('Diário 3º PA'!$F$4:$F$2731))+SUMPRODUCT(-('Diário 4º PA'!$E$4:$E$2564='Analítico Cx.'!$B16),-('Diário 4º PA'!$P$4:$P$2564=L$1),('Diário 4º PA'!$F$4:$F$2564))</f>
        <v>80</v>
      </c>
      <c r="M16" s="183">
        <f>SUMPRODUCT(-('Diário 1º PA'!$E$4:$E$2635='Analítico Cx.'!$B16),-('Diário 1º PA'!$P$4:$P$2635=M$1),('Diário 1º PA'!$F$4:$F$2635))+SUMPRODUCT(-('Diário 2º PA'!$E$4:$E$3040='Analítico Cx.'!$B16),-('Diário 2º PA'!$P$4:$P$3040=M$1),('Diário 2º PA'!$F$4:$F$3040))+SUMPRODUCT(-('Diário 3º PA'!$E$4:$E$2731='Analítico Cx.'!$B16),-('Diário 3º PA'!$P$4:$P$2731=M$1),('Diário 3º PA'!$F$4:$F$2731))+SUMPRODUCT(-('Diário 4º PA'!$E$4:$E$2564='Analítico Cx.'!$B16),-('Diário 4º PA'!$P$4:$P$2564=M$1),('Diário 4º PA'!$F$4:$F$2564))</f>
        <v>885</v>
      </c>
      <c r="N16" s="183">
        <f>SUMPRODUCT(-('Diário 1º PA'!$E$4:$E$2635='Analítico Cx.'!$B16),-('Diário 1º PA'!$P$4:$P$2635=N$1),('Diário 1º PA'!$F$4:$F$2635))+SUMPRODUCT(-('Diário 2º PA'!$E$4:$E$3040='Analítico Cx.'!$B16),-('Diário 2º PA'!$P$4:$P$3040=N$1),('Diário 2º PA'!$F$4:$F$3040))+SUMPRODUCT(-('Diário 3º PA'!$E$4:$E$2731='Analítico Cx.'!$B16),-('Diário 3º PA'!$P$4:$P$2731=N$1),('Diário 3º PA'!$F$4:$F$2731))+SUMPRODUCT(-('Diário 4º PA'!$E$4:$E$2564='Analítico Cx.'!$B16),-('Diário 4º PA'!$P$4:$P$2564=N$1),('Diário 4º PA'!$F$4:$F$2564))</f>
        <v>6302042.8599999994</v>
      </c>
      <c r="O16" s="184">
        <f>SUM(C16:N16)</f>
        <v>6313229.8599999994</v>
      </c>
      <c r="P16" s="167">
        <f>IF($O$18=0,0,O16/$O$18)</f>
        <v>0.41521554932443305</v>
      </c>
    </row>
    <row r="17" spans="1:16" ht="23.25" customHeight="1" thickBot="1" x14ac:dyDescent="0.25">
      <c r="A17" s="261" t="s">
        <v>319</v>
      </c>
      <c r="B17" s="262" t="s">
        <v>295</v>
      </c>
      <c r="C17" s="258">
        <f>SUMPRODUCT(-('Diário 1º PA'!$E$4:$E$2635='Analítico Cx.'!$B17),-('Diário 1º PA'!$P$4:$P$2635=C$1),('Diário 1º PA'!$F$4:$F$2635))+SUMPRODUCT(-('Diário 2º PA'!$E$4:$E$3040='Analítico Cx.'!$B17),-('Diário 2º PA'!$P$4:$P$3040=C$1),('Diário 2º PA'!$F$4:$F$3040))+SUMPRODUCT(-('Diário 3º PA'!$E$4:$E$2731='Analítico Cx.'!$B17),-('Diário 3º PA'!$P$4:$P$2731=C$1),('Diário 3º PA'!$F$4:$F$2731))+SUMPRODUCT(-('Diário 4º PA'!$E$4:$E$2564='Analítico Cx.'!$B17),-('Diário 4º PA'!$P$4:$P$2564=C$1),('Diário 4º PA'!$F$4:$F$2564))</f>
        <v>6654.84</v>
      </c>
      <c r="D17" s="258">
        <f>SUMPRODUCT(-('Diário 1º PA'!$E$4:$E$2635='Analítico Cx.'!$B17),-('Diário 1º PA'!$P$4:$P$2635=D$1),('Diário 1º PA'!$F$4:$F$2635))+SUMPRODUCT(-('Diário 2º PA'!$E$4:$E$3040='Analítico Cx.'!$B17),-('Diário 2º PA'!$P$4:$P$3040=D$1),('Diário 2º PA'!$F$4:$F$3040))+SUMPRODUCT(-('Diário 3º PA'!$E$4:$E$2731='Analítico Cx.'!$B17),-('Diário 3º PA'!$P$4:$P$2731=D$1),('Diário 3º PA'!$F$4:$F$2731))+SUMPRODUCT(-('Diário 4º PA'!$E$4:$E$2564='Analítico Cx.'!$B17),-('Diário 4º PA'!$P$4:$P$2564=D$1),('Diário 4º PA'!$F$4:$F$2564))</f>
        <v>6342.27</v>
      </c>
      <c r="E17" s="258">
        <f>SUMPRODUCT(-('Diário 1º PA'!$E$4:$E$2635='Analítico Cx.'!$B17),-('Diário 1º PA'!$P$4:$P$2635=E$1),('Diário 1º PA'!$F$4:$F$2635))+SUMPRODUCT(-('Diário 2º PA'!$E$4:$E$3040='Analítico Cx.'!$B17),-('Diário 2º PA'!$P$4:$P$3040=E$1),('Diário 2º PA'!$F$4:$F$3040))+SUMPRODUCT(-('Diário 3º PA'!$E$4:$E$2731='Analítico Cx.'!$B17),-('Diário 3º PA'!$P$4:$P$2731=E$1),('Diário 3º PA'!$F$4:$F$2731))+SUMPRODUCT(-('Diário 4º PA'!$E$4:$E$2564='Analítico Cx.'!$B17),-('Diário 4º PA'!$P$4:$P$2564=E$1),('Diário 4º PA'!$F$4:$F$2564))</f>
        <v>12394.21</v>
      </c>
      <c r="F17" s="258">
        <f>SUMPRODUCT(-('Diário 1º PA'!$E$4:$E$2635='Analítico Cx.'!$B17),-('Diário 1º PA'!$P$4:$P$2635=F$1),('Diário 1º PA'!$F$4:$F$2635))+SUMPRODUCT(-('Diário 2º PA'!$E$4:$E$3040='Analítico Cx.'!$B17),-('Diário 2º PA'!$P$4:$P$3040=F$1),('Diário 2º PA'!$F$4:$F$3040))+SUMPRODUCT(-('Diário 3º PA'!$E$4:$E$2731='Analítico Cx.'!$B17),-('Diário 3º PA'!$P$4:$P$2731=F$1),('Diário 3º PA'!$F$4:$F$2731))+SUMPRODUCT(-('Diário 4º PA'!$E$4:$E$2564='Analítico Cx.'!$B17),-('Diário 4º PA'!$P$4:$P$2564=F$1),('Diário 4º PA'!$F$4:$F$2564))</f>
        <v>14405.66</v>
      </c>
      <c r="G17" s="258">
        <f>SUMPRODUCT(-('Diário 1º PA'!$E$4:$E$2635='Analítico Cx.'!$B17),-('Diário 1º PA'!$P$4:$P$2635=G$1),('Diário 1º PA'!$F$4:$F$2635))+SUMPRODUCT(-('Diário 2º PA'!$E$4:$E$3040='Analítico Cx.'!$B17),-('Diário 2º PA'!$P$4:$P$3040=G$1),('Diário 2º PA'!$F$4:$F$3040))+SUMPRODUCT(-('Diário 3º PA'!$E$4:$E$2731='Analítico Cx.'!$B17),-('Diário 3º PA'!$P$4:$P$2731=G$1),('Diário 3º PA'!$F$4:$F$2731))+SUMPRODUCT(-('Diário 4º PA'!$E$4:$E$2564='Analítico Cx.'!$B17),-('Diário 4º PA'!$P$4:$P$2564=G$1),('Diário 4º PA'!$F$4:$F$2564))</f>
        <v>21239</v>
      </c>
      <c r="H17" s="258">
        <f>SUMPRODUCT(-('Diário 1º PA'!$E$4:$E$2635='Analítico Cx.'!$B17),-('Diário 1º PA'!$P$4:$P$2635=H$1),('Diário 1º PA'!$F$4:$F$2635))+SUMPRODUCT(-('Diário 2º PA'!$E$4:$E$3040='Analítico Cx.'!$B17),-('Diário 2º PA'!$P$4:$P$3040=H$1),('Diário 2º PA'!$F$4:$F$3040))+SUMPRODUCT(-('Diário 3º PA'!$E$4:$E$2731='Analítico Cx.'!$B17),-('Diário 3º PA'!$P$4:$P$2731=H$1),('Diário 3º PA'!$F$4:$F$2731))+SUMPRODUCT(-('Diário 4º PA'!$E$4:$E$2564='Analítico Cx.'!$B17),-('Diário 4º PA'!$P$4:$P$2564=H$1),('Diário 4º PA'!$F$4:$F$2564))</f>
        <v>25292.35</v>
      </c>
      <c r="I17" s="258">
        <f>SUMPRODUCT(-('Diário 1º PA'!$E$4:$E$2635='Analítico Cx.'!$B17),-('Diário 1º PA'!$P$4:$P$2635=I$1),('Diário 1º PA'!$F$4:$F$2635))+SUMPRODUCT(-('Diário 2º PA'!$E$4:$E$3040='Analítico Cx.'!$B17),-('Diário 2º PA'!$P$4:$P$3040=I$1),('Diário 2º PA'!$F$4:$F$3040))+SUMPRODUCT(-('Diário 3º PA'!$E$4:$E$2731='Analítico Cx.'!$B17),-('Diário 3º PA'!$P$4:$P$2731=I$1),('Diário 3º PA'!$F$4:$F$2731))+SUMPRODUCT(-('Diário 4º PA'!$E$4:$E$2564='Analítico Cx.'!$B17),-('Diário 4º PA'!$P$4:$P$2564=I$1),('Diário 4º PA'!$F$4:$F$2564))</f>
        <v>20599.939999999999</v>
      </c>
      <c r="J17" s="258">
        <f>SUMPRODUCT(-('Diário 1º PA'!$E$4:$E$2635='Analítico Cx.'!$B17),-('Diário 1º PA'!$P$4:$P$2635=J$1),('Diário 1º PA'!$F$4:$F$2635))+SUMPRODUCT(-('Diário 2º PA'!$E$4:$E$3040='Analítico Cx.'!$B17),-('Diário 2º PA'!$P$4:$P$3040=J$1),('Diário 2º PA'!$F$4:$F$3040))+SUMPRODUCT(-('Diário 3º PA'!$E$4:$E$2731='Analítico Cx.'!$B17),-('Diário 3º PA'!$P$4:$P$2731=J$1),('Diário 3º PA'!$F$4:$F$2731))+SUMPRODUCT(-('Diário 4º PA'!$E$4:$E$2564='Analítico Cx.'!$B17),-('Diário 4º PA'!$P$4:$P$2564=J$1),('Diário 4º PA'!$F$4:$F$2564))</f>
        <v>28875.759999999998</v>
      </c>
      <c r="K17" s="258">
        <f>SUMPRODUCT(-('Diário 1º PA'!$E$4:$E$2635='Analítico Cx.'!$B17),-('Diário 1º PA'!$P$4:$P$2635=K$1),('Diário 1º PA'!$F$4:$F$2635))+SUMPRODUCT(-('Diário 2º PA'!$E$4:$E$3040='Analítico Cx.'!$B17),-('Diário 2º PA'!$P$4:$P$3040=K$1),('Diário 2º PA'!$F$4:$F$3040))+SUMPRODUCT(-('Diário 3º PA'!$E$4:$E$2731='Analítico Cx.'!$B17),-('Diário 3º PA'!$P$4:$P$2731=K$1),('Diário 3º PA'!$F$4:$F$2731))+SUMPRODUCT(-('Diário 4º PA'!$E$4:$E$2564='Analítico Cx.'!$B17),-('Diário 4º PA'!$P$4:$P$2564=K$1),('Diário 4º PA'!$F$4:$F$2564))</f>
        <v>57951.72</v>
      </c>
      <c r="L17" s="258">
        <f>SUMPRODUCT(-('Diário 1º PA'!$E$4:$E$2635='Analítico Cx.'!$B17),-('Diário 1º PA'!$P$4:$P$2635=L$1),('Diário 1º PA'!$F$4:$F$2635))+SUMPRODUCT(-('Diário 2º PA'!$E$4:$E$3040='Analítico Cx.'!$B17),-('Diário 2º PA'!$P$4:$P$3040=L$1),('Diário 2º PA'!$F$4:$F$3040))+SUMPRODUCT(-('Diário 3º PA'!$E$4:$E$2731='Analítico Cx.'!$B17),-('Diário 3º PA'!$P$4:$P$2731=L$1),('Diário 3º PA'!$F$4:$F$2731))+SUMPRODUCT(-('Diário 4º PA'!$E$4:$E$2564='Analítico Cx.'!$B17),-('Diário 4º PA'!$P$4:$P$2564=L$1),('Diário 4º PA'!$F$4:$F$2564))</f>
        <v>31011.96</v>
      </c>
      <c r="M17" s="258">
        <f>SUMPRODUCT(-('Diário 1º PA'!$E$4:$E$2635='Analítico Cx.'!$B17),-('Diário 1º PA'!$P$4:$P$2635=M$1),('Diário 1º PA'!$F$4:$F$2635))+SUMPRODUCT(-('Diário 2º PA'!$E$4:$E$3040='Analítico Cx.'!$B17),-('Diário 2º PA'!$P$4:$P$3040=M$1),('Diário 2º PA'!$F$4:$F$3040))+SUMPRODUCT(-('Diário 3º PA'!$E$4:$E$2731='Analítico Cx.'!$B17),-('Diário 3º PA'!$P$4:$P$2731=M$1),('Diário 3º PA'!$F$4:$F$2731))+SUMPRODUCT(-('Diário 4º PA'!$E$4:$E$2564='Analítico Cx.'!$B17),-('Diário 4º PA'!$P$4:$P$2564=M$1),('Diário 4º PA'!$F$4:$F$2564))</f>
        <v>19465.620000000003</v>
      </c>
      <c r="N17" s="258">
        <f>SUMPRODUCT(-('Diário 1º PA'!$E$4:$E$2635='Analítico Cx.'!$B17),-('Diário 1º PA'!$P$4:$P$2635=N$1),('Diário 1º PA'!$F$4:$F$2635))+SUMPRODUCT(-('Diário 2º PA'!$E$4:$E$3040='Analítico Cx.'!$B17),-('Diário 2º PA'!$P$4:$P$3040=N$1),('Diário 2º PA'!$F$4:$F$3040))+SUMPRODUCT(-('Diário 3º PA'!$E$4:$E$2731='Analítico Cx.'!$B17),-('Diário 3º PA'!$P$4:$P$2731=N$1),('Diário 3º PA'!$F$4:$F$2731))+SUMPRODUCT(-('Diário 4º PA'!$E$4:$E$2564='Analítico Cx.'!$B17),-('Diário 4º PA'!$P$4:$P$2564=N$1),('Diário 4º PA'!$F$4:$F$2564))</f>
        <v>26335.89</v>
      </c>
      <c r="O17" s="190">
        <f>SUM(C17:N17)</f>
        <v>270569.21999999997</v>
      </c>
      <c r="P17" s="259">
        <f>IF($O$18=0,0,O17/$O$18)</f>
        <v>1.779509851595731E-2</v>
      </c>
    </row>
    <row r="18" spans="1:16" ht="23.25" customHeight="1" thickBot="1" x14ac:dyDescent="0.25">
      <c r="A18" s="27" t="s">
        <v>263</v>
      </c>
      <c r="B18" s="28"/>
      <c r="C18" s="185">
        <f>SUBTOTAL(109,C14:C17)</f>
        <v>7684.84</v>
      </c>
      <c r="D18" s="185">
        <f t="shared" ref="D18:O18" si="1">SUBTOTAL(109,D14:D17)</f>
        <v>656342.27</v>
      </c>
      <c r="E18" s="185">
        <f t="shared" si="1"/>
        <v>1984403.28</v>
      </c>
      <c r="F18" s="185">
        <f t="shared" si="1"/>
        <v>314405.65999999997</v>
      </c>
      <c r="G18" s="185">
        <f t="shared" si="1"/>
        <v>2152857.4699999997</v>
      </c>
      <c r="H18" s="185">
        <f t="shared" si="1"/>
        <v>108994.35</v>
      </c>
      <c r="I18" s="185">
        <f t="shared" ref="I18:N18" si="2">SUBTOTAL(109,I14:I17)</f>
        <v>965785.32</v>
      </c>
      <c r="J18" s="185">
        <f t="shared" si="2"/>
        <v>1959291.33</v>
      </c>
      <c r="K18" s="185">
        <f t="shared" si="2"/>
        <v>58451.72</v>
      </c>
      <c r="L18" s="185">
        <f t="shared" si="2"/>
        <v>31091.96</v>
      </c>
      <c r="M18" s="185">
        <f t="shared" si="2"/>
        <v>637017.86</v>
      </c>
      <c r="N18" s="185">
        <f t="shared" si="2"/>
        <v>6328378.7499999991</v>
      </c>
      <c r="O18" s="185">
        <f t="shared" si="1"/>
        <v>15204704.810000001</v>
      </c>
      <c r="P18" s="164">
        <f>IF($O$18=0,0,O18/$O$18)</f>
        <v>1</v>
      </c>
    </row>
    <row r="19" spans="1:16" ht="23.25" customHeight="1" thickBot="1" x14ac:dyDescent="0.25">
      <c r="A19" s="29"/>
      <c r="B19" s="20"/>
      <c r="C19" s="30"/>
      <c r="D19" s="30"/>
      <c r="E19" s="30"/>
      <c r="F19" s="30"/>
      <c r="G19" s="30"/>
      <c r="H19" s="30"/>
      <c r="I19" s="30"/>
      <c r="J19" s="30"/>
      <c r="K19" s="30"/>
      <c r="L19" s="30"/>
      <c r="M19" s="30"/>
      <c r="N19" s="30"/>
      <c r="O19" s="30"/>
    </row>
    <row r="20" spans="1:16" ht="23.25" customHeight="1" thickBot="1" x14ac:dyDescent="0.25">
      <c r="A20" s="31">
        <v>2</v>
      </c>
      <c r="B20" s="20" t="s">
        <v>157</v>
      </c>
      <c r="C20" s="68"/>
      <c r="D20" s="68"/>
      <c r="E20" s="68"/>
      <c r="F20" s="68"/>
      <c r="G20" s="68"/>
      <c r="H20" s="68"/>
      <c r="I20" s="68"/>
      <c r="J20" s="68"/>
      <c r="K20" s="68"/>
      <c r="L20" s="68"/>
      <c r="M20" s="68"/>
      <c r="N20" s="68"/>
      <c r="O20" s="68"/>
      <c r="P20" s="68"/>
    </row>
    <row r="21" spans="1:16" ht="23.25" customHeight="1" x14ac:dyDescent="0.2">
      <c r="A21" s="21" t="s">
        <v>39</v>
      </c>
      <c r="B21" s="101" t="s">
        <v>182</v>
      </c>
      <c r="C21" s="67"/>
      <c r="D21" s="67"/>
      <c r="E21" s="67"/>
      <c r="F21" s="67"/>
      <c r="G21" s="67"/>
      <c r="H21" s="67"/>
      <c r="I21" s="67"/>
      <c r="J21" s="67"/>
      <c r="K21" s="67"/>
      <c r="L21" s="67"/>
      <c r="M21" s="67"/>
      <c r="N21" s="67"/>
      <c r="O21" s="67"/>
      <c r="P21" s="169"/>
    </row>
    <row r="22" spans="1:16" ht="23.25" customHeight="1" x14ac:dyDescent="0.2">
      <c r="A22" s="32" t="s">
        <v>11</v>
      </c>
      <c r="B22" s="33" t="s">
        <v>93</v>
      </c>
      <c r="C22" s="182"/>
      <c r="D22" s="182"/>
      <c r="E22" s="182"/>
      <c r="F22" s="182"/>
      <c r="G22" s="182"/>
      <c r="H22" s="182"/>
      <c r="I22" s="182"/>
      <c r="J22" s="182"/>
      <c r="K22" s="182"/>
      <c r="L22" s="182"/>
      <c r="M22" s="182"/>
      <c r="N22" s="182"/>
      <c r="O22" s="182"/>
      <c r="P22" s="170"/>
    </row>
    <row r="23" spans="1:16" ht="23.25" customHeight="1" x14ac:dyDescent="0.2">
      <c r="A23" s="61" t="s">
        <v>100</v>
      </c>
      <c r="B23" s="60" t="s">
        <v>1</v>
      </c>
      <c r="C23" s="183">
        <f>SUMPRODUCT(-('Diário 1º PA'!$E$4:$E$2635='Analítico Cx.'!$B23),-('Diário 1º PA'!$P$4:$P$2635=C$1),('Diário 1º PA'!$F$4:$F$2635))+SUMPRODUCT(-('Diário 2º PA'!$E$4:$E$3040='Analítico Cx.'!$B23),-('Diário 2º PA'!$P$4:$P$3040=C$1),('Diário 2º PA'!$F$4:$F$3040))+SUMPRODUCT(-('Diário 3º PA'!$E$4:$E$2731='Analítico Cx.'!$B23),-('Diário 3º PA'!$P$4:$P$2731=C$1),('Diário 3º PA'!$F$4:$F$2731))+SUMPRODUCT(-('Diário 4º PA'!$E$4:$E$2564='Analítico Cx.'!$B23),-('Diário 4º PA'!$P$4:$P$2564=C$1),('Diário 4º PA'!$F$4:$F$2564))</f>
        <v>195767.93000000002</v>
      </c>
      <c r="D23" s="183">
        <f>SUMPRODUCT(-('Diário 1º PA'!$E$4:$E$2635='Analítico Cx.'!$B23),-('Diário 1º PA'!$P$4:$P$2635=D$1),('Diário 1º PA'!$F$4:$F$2635))+SUMPRODUCT(-('Diário 2º PA'!$E$4:$E$3040='Analítico Cx.'!$B23),-('Diário 2º PA'!$P$4:$P$3040=D$1),('Diário 2º PA'!$F$4:$F$3040))+SUMPRODUCT(-('Diário 3º PA'!$E$4:$E$2731='Analítico Cx.'!$B23),-('Diário 3º PA'!$P$4:$P$2731=D$1),('Diário 3º PA'!$F$4:$F$2731))+SUMPRODUCT(-('Diário 4º PA'!$E$4:$E$2564='Analítico Cx.'!$B23),-('Diário 4º PA'!$P$4:$P$2564=D$1),('Diário 4º PA'!$F$4:$F$2564))</f>
        <v>177722.46000000005</v>
      </c>
      <c r="E23" s="183">
        <f>SUMPRODUCT(-('Diário 1º PA'!$E$4:$E$2635='Analítico Cx.'!$B23),-('Diário 1º PA'!$P$4:$P$2635=E$1),('Diário 1º PA'!$F$4:$F$2635))+SUMPRODUCT(-('Diário 2º PA'!$E$4:$E$3040='Analítico Cx.'!$B23),-('Diário 2º PA'!$P$4:$P$3040=E$1),('Diário 2º PA'!$F$4:$F$3040))+SUMPRODUCT(-('Diário 3º PA'!$E$4:$E$2731='Analítico Cx.'!$B23),-('Diário 3º PA'!$P$4:$P$2731=E$1),('Diário 3º PA'!$F$4:$F$2731))+SUMPRODUCT(-('Diário 4º PA'!$E$4:$E$2564='Analítico Cx.'!$B23),-('Diário 4º PA'!$P$4:$P$2564=E$1),('Diário 4º PA'!$F$4:$F$2564))</f>
        <v>185178.21</v>
      </c>
      <c r="F23" s="183">
        <f>SUMPRODUCT(-('Diário 1º PA'!$E$4:$E$2635='Analítico Cx.'!$B23),-('Diário 1º PA'!$P$4:$P$2635=F$1),('Diário 1º PA'!$F$4:$F$2635))+SUMPRODUCT(-('Diário 2º PA'!$E$4:$E$3040='Analítico Cx.'!$B23),-('Diário 2º PA'!$P$4:$P$3040=F$1),('Diário 2º PA'!$F$4:$F$3040))+SUMPRODUCT(-('Diário 3º PA'!$E$4:$E$2731='Analítico Cx.'!$B23),-('Diário 3º PA'!$P$4:$P$2731=F$1),('Diário 3º PA'!$F$4:$F$2731))+SUMPRODUCT(-('Diário 4º PA'!$E$4:$E$2564='Analítico Cx.'!$B23),-('Diário 4º PA'!$P$4:$P$2564=F$1),('Diário 4º PA'!$F$4:$F$2564))</f>
        <v>197023.0500000001</v>
      </c>
      <c r="G23" s="183">
        <f>SUMPRODUCT(-('Diário 1º PA'!$E$4:$E$2635='Analítico Cx.'!$B23),-('Diário 1º PA'!$P$4:$P$2635=G$1),('Diário 1º PA'!$F$4:$F$2635))+SUMPRODUCT(-('Diário 2º PA'!$E$4:$E$3040='Analítico Cx.'!$B23),-('Diário 2º PA'!$P$4:$P$3040=G$1),('Diário 2º PA'!$F$4:$F$3040))+SUMPRODUCT(-('Diário 3º PA'!$E$4:$E$2731='Analítico Cx.'!$B23),-('Diário 3º PA'!$P$4:$P$2731=G$1),('Diário 3º PA'!$F$4:$F$2731))+SUMPRODUCT(-('Diário 4º PA'!$E$4:$E$2564='Analítico Cx.'!$B23),-('Diário 4º PA'!$P$4:$P$2564=G$1),('Diário 4º PA'!$F$4:$F$2564))</f>
        <v>188068.57000000012</v>
      </c>
      <c r="H23" s="183">
        <f>SUMPRODUCT(-('Diário 1º PA'!$E$4:$E$2635='Analítico Cx.'!$B23),-('Diário 1º PA'!$P$4:$P$2635=H$1),('Diário 1º PA'!$F$4:$F$2635))+SUMPRODUCT(-('Diário 2º PA'!$E$4:$E$3040='Analítico Cx.'!$B23),-('Diário 2º PA'!$P$4:$P$3040=H$1),('Diário 2º PA'!$F$4:$F$3040))+SUMPRODUCT(-('Diário 3º PA'!$E$4:$E$2731='Analítico Cx.'!$B23),-('Diário 3º PA'!$P$4:$P$2731=H$1),('Diário 3º PA'!$F$4:$F$2731))+SUMPRODUCT(-('Diário 4º PA'!$E$4:$E$2564='Analítico Cx.'!$B23),-('Diário 4º PA'!$P$4:$P$2564=H$1),('Diário 4º PA'!$F$4:$F$2564))</f>
        <v>193836.11000000002</v>
      </c>
      <c r="I23" s="183">
        <f>SUMPRODUCT(-('Diário 1º PA'!$E$4:$E$2635='Analítico Cx.'!$B23),-('Diário 1º PA'!$P$4:$P$2635=I$1),('Diário 1º PA'!$F$4:$F$2635))+SUMPRODUCT(-('Diário 2º PA'!$E$4:$E$3040='Analítico Cx.'!$B23),-('Diário 2º PA'!$P$4:$P$3040=I$1),('Diário 2º PA'!$F$4:$F$3040))+SUMPRODUCT(-('Diário 3º PA'!$E$4:$E$2731='Analítico Cx.'!$B23),-('Diário 3º PA'!$P$4:$P$2731=I$1),('Diário 3º PA'!$F$4:$F$2731))+SUMPRODUCT(-('Diário 4º PA'!$E$4:$E$2564='Analítico Cx.'!$B23),-('Diário 4º PA'!$P$4:$P$2564=I$1),('Diário 4º PA'!$F$4:$F$2564))</f>
        <v>194207.89000000004</v>
      </c>
      <c r="J23" s="183">
        <f>SUMPRODUCT(-('Diário 1º PA'!$E$4:$E$2635='Analítico Cx.'!$B23),-('Diário 1º PA'!$P$4:$P$2635=J$1),('Diário 1º PA'!$F$4:$F$2635))+SUMPRODUCT(-('Diário 2º PA'!$E$4:$E$3040='Analítico Cx.'!$B23),-('Diário 2º PA'!$P$4:$P$3040=J$1),('Diário 2º PA'!$F$4:$F$3040))+SUMPRODUCT(-('Diário 3º PA'!$E$4:$E$2731='Analítico Cx.'!$B23),-('Diário 3º PA'!$P$4:$P$2731=J$1),('Diário 3º PA'!$F$4:$F$2731))+SUMPRODUCT(-('Diário 4º PA'!$E$4:$E$2564='Analítico Cx.'!$B23),-('Diário 4º PA'!$P$4:$P$2564=J$1),('Diário 4º PA'!$F$4:$F$2564))</f>
        <v>233258.12000000005</v>
      </c>
      <c r="K23" s="183">
        <f>SUMPRODUCT(-('Diário 1º PA'!$E$4:$E$2635='Analítico Cx.'!$B23),-('Diário 1º PA'!$P$4:$P$2635=K$1),('Diário 1º PA'!$F$4:$F$2635))+SUMPRODUCT(-('Diário 2º PA'!$E$4:$E$3040='Analítico Cx.'!$B23),-('Diário 2º PA'!$P$4:$P$3040=K$1),('Diário 2º PA'!$F$4:$F$3040))+SUMPRODUCT(-('Diário 3º PA'!$E$4:$E$2731='Analítico Cx.'!$B23),-('Diário 3º PA'!$P$4:$P$2731=K$1),('Diário 3º PA'!$F$4:$F$2731))+SUMPRODUCT(-('Diário 4º PA'!$E$4:$E$2564='Analítico Cx.'!$B23),-('Diário 4º PA'!$P$4:$P$2564=K$1),('Diário 4º PA'!$F$4:$F$2564))</f>
        <v>222094.93000000008</v>
      </c>
      <c r="L23" s="183">
        <f>SUMPRODUCT(-('Diário 1º PA'!$E$4:$E$2635='Analítico Cx.'!$B23),-('Diário 1º PA'!$P$4:$P$2635=L$1),('Diário 1º PA'!$F$4:$F$2635))+SUMPRODUCT(-('Diário 2º PA'!$E$4:$E$3040='Analítico Cx.'!$B23),-('Diário 2º PA'!$P$4:$P$3040=L$1),('Diário 2º PA'!$F$4:$F$3040))+SUMPRODUCT(-('Diário 3º PA'!$E$4:$E$2731='Analítico Cx.'!$B23),-('Diário 3º PA'!$P$4:$P$2731=L$1),('Diário 3º PA'!$F$4:$F$2731))+SUMPRODUCT(-('Diário 4º PA'!$E$4:$E$2564='Analítico Cx.'!$B23),-('Diário 4º PA'!$P$4:$P$2564=L$1),('Diário 4º PA'!$F$4:$F$2564))</f>
        <v>254844.34000000005</v>
      </c>
      <c r="M23" s="183">
        <f>SUMPRODUCT(-('Diário 1º PA'!$E$4:$E$2635='Analítico Cx.'!$B23),-('Diário 1º PA'!$P$4:$P$2635=M$1),('Diário 1º PA'!$F$4:$F$2635))+SUMPRODUCT(-('Diário 2º PA'!$E$4:$E$3040='Analítico Cx.'!$B23),-('Diário 2º PA'!$P$4:$P$3040=M$1),('Diário 2º PA'!$F$4:$F$3040))+SUMPRODUCT(-('Diário 3º PA'!$E$4:$E$2731='Analítico Cx.'!$B23),-('Diário 3º PA'!$P$4:$P$2731=M$1),('Diário 3º PA'!$F$4:$F$2731))+SUMPRODUCT(-('Diário 4º PA'!$E$4:$E$2564='Analítico Cx.'!$B23),-('Diário 4º PA'!$P$4:$P$2564=M$1),('Diário 4º PA'!$F$4:$F$2564))</f>
        <v>224864.8600000001</v>
      </c>
      <c r="N23" s="183">
        <f>SUMPRODUCT(-('Diário 1º PA'!$E$4:$E$2635='Analítico Cx.'!$B23),-('Diário 1º PA'!$P$4:$P$2635=N$1),('Diário 1º PA'!$F$4:$F$2635))+SUMPRODUCT(-('Diário 2º PA'!$E$4:$E$3040='Analítico Cx.'!$B23),-('Diário 2º PA'!$P$4:$P$3040=N$1),('Diário 2º PA'!$F$4:$F$3040))+SUMPRODUCT(-('Diário 3º PA'!$E$4:$E$2731='Analítico Cx.'!$B23),-('Diário 3º PA'!$P$4:$P$2731=N$1),('Diário 3º PA'!$F$4:$F$2731))+SUMPRODUCT(-('Diário 4º PA'!$E$4:$E$2564='Analítico Cx.'!$B23),-('Diário 4º PA'!$P$4:$P$2564=N$1),('Diário 4º PA'!$F$4:$F$2564))</f>
        <v>227879.96</v>
      </c>
      <c r="O23" s="184">
        <f>SUM(C23:N23)</f>
        <v>2494746.4300000006</v>
      </c>
      <c r="P23" s="167">
        <f t="shared" ref="P23:P28" si="3">IF($O$167=0,0,O23/$O$167)</f>
        <v>0.19649881436277675</v>
      </c>
    </row>
    <row r="24" spans="1:16" ht="23.25" customHeight="1" x14ac:dyDescent="0.2">
      <c r="A24" s="61" t="s">
        <v>101</v>
      </c>
      <c r="B24" s="59" t="s">
        <v>169</v>
      </c>
      <c r="C24" s="183">
        <f>SUMPRODUCT(-('Diário 1º PA'!$E$4:$E$2635='Analítico Cx.'!$B24),-('Diário 1º PA'!$P$4:$P$2635=C$1),('Diário 1º PA'!$F$4:$F$2635))+SUMPRODUCT(-('Diário 2º PA'!$E$4:$E$3040='Analítico Cx.'!$B24),-('Diário 2º PA'!$P$4:$P$3040=C$1),('Diário 2º PA'!$F$4:$F$3040))+SUMPRODUCT(-('Diário 3º PA'!$E$4:$E$2731='Analítico Cx.'!$B24),-('Diário 3º PA'!$P$4:$P$2731=C$1),('Diário 3º PA'!$F$4:$F$2731))+SUMPRODUCT(-('Diário 4º PA'!$E$4:$E$2564='Analítico Cx.'!$B24),-('Diário 4º PA'!$P$4:$P$2564=C$1),('Diário 4º PA'!$F$4:$F$2564))</f>
        <v>0</v>
      </c>
      <c r="D24" s="183">
        <f>SUMPRODUCT(-('Diário 1º PA'!$E$4:$E$2635='Analítico Cx.'!$B24),-('Diário 1º PA'!$P$4:$P$2635=D$1),('Diário 1º PA'!$F$4:$F$2635))+SUMPRODUCT(-('Diário 2º PA'!$E$4:$E$3040='Analítico Cx.'!$B24),-('Diário 2º PA'!$P$4:$P$3040=D$1),('Diário 2º PA'!$F$4:$F$3040))+SUMPRODUCT(-('Diário 3º PA'!$E$4:$E$2731='Analítico Cx.'!$B24),-('Diário 3º PA'!$P$4:$P$2731=D$1),('Diário 3º PA'!$F$4:$F$2731))+SUMPRODUCT(-('Diário 4º PA'!$E$4:$E$2564='Analítico Cx.'!$B24),-('Diário 4º PA'!$P$4:$P$2564=D$1),('Diário 4º PA'!$F$4:$F$2564))</f>
        <v>0</v>
      </c>
      <c r="E24" s="183">
        <f>SUMPRODUCT(-('Diário 1º PA'!$E$4:$E$2635='Analítico Cx.'!$B24),-('Diário 1º PA'!$P$4:$P$2635=E$1),('Diário 1º PA'!$F$4:$F$2635))+SUMPRODUCT(-('Diário 2º PA'!$E$4:$E$3040='Analítico Cx.'!$B24),-('Diário 2º PA'!$P$4:$P$3040=E$1),('Diário 2º PA'!$F$4:$F$3040))+SUMPRODUCT(-('Diário 3º PA'!$E$4:$E$2731='Analítico Cx.'!$B24),-('Diário 3º PA'!$P$4:$P$2731=E$1),('Diário 3º PA'!$F$4:$F$2731))+SUMPRODUCT(-('Diário 4º PA'!$E$4:$E$2564='Analítico Cx.'!$B24),-('Diário 4º PA'!$P$4:$P$2564=E$1),('Diário 4º PA'!$F$4:$F$2564))</f>
        <v>0</v>
      </c>
      <c r="F24" s="183">
        <f>SUMPRODUCT(-('Diário 1º PA'!$E$4:$E$2635='Analítico Cx.'!$B24),-('Diário 1º PA'!$P$4:$P$2635=F$1),('Diário 1º PA'!$F$4:$F$2635))+SUMPRODUCT(-('Diário 2º PA'!$E$4:$E$3040='Analítico Cx.'!$B24),-('Diário 2º PA'!$P$4:$P$3040=F$1),('Diário 2º PA'!$F$4:$F$3040))+SUMPRODUCT(-('Diário 3º PA'!$E$4:$E$2731='Analítico Cx.'!$B24),-('Diário 3º PA'!$P$4:$P$2731=F$1),('Diário 3º PA'!$F$4:$F$2731))+SUMPRODUCT(-('Diário 4º PA'!$E$4:$E$2564='Analítico Cx.'!$B24),-('Diário 4º PA'!$P$4:$P$2564=F$1),('Diário 4º PA'!$F$4:$F$2564))</f>
        <v>0</v>
      </c>
      <c r="G24" s="183">
        <f>SUMPRODUCT(-('Diário 1º PA'!$E$4:$E$2635='Analítico Cx.'!$B24),-('Diário 1º PA'!$P$4:$P$2635=G$1),('Diário 1º PA'!$F$4:$F$2635))+SUMPRODUCT(-('Diário 2º PA'!$E$4:$E$3040='Analítico Cx.'!$B24),-('Diário 2º PA'!$P$4:$P$3040=G$1),('Diário 2º PA'!$F$4:$F$3040))+SUMPRODUCT(-('Diário 3º PA'!$E$4:$E$2731='Analítico Cx.'!$B24),-('Diário 3º PA'!$P$4:$P$2731=G$1),('Diário 3º PA'!$F$4:$F$2731))+SUMPRODUCT(-('Diário 4º PA'!$E$4:$E$2564='Analítico Cx.'!$B24),-('Diário 4º PA'!$P$4:$P$2564=G$1),('Diário 4º PA'!$F$4:$F$2564))</f>
        <v>0</v>
      </c>
      <c r="H24" s="183">
        <f>SUMPRODUCT(-('Diário 1º PA'!$E$4:$E$2635='Analítico Cx.'!$B24),-('Diário 1º PA'!$P$4:$P$2635=H$1),('Diário 1º PA'!$F$4:$F$2635))+SUMPRODUCT(-('Diário 2º PA'!$E$4:$E$3040='Analítico Cx.'!$B24),-('Diário 2º PA'!$P$4:$P$3040=H$1),('Diário 2º PA'!$F$4:$F$3040))+SUMPRODUCT(-('Diário 3º PA'!$E$4:$E$2731='Analítico Cx.'!$B24),-('Diário 3º PA'!$P$4:$P$2731=H$1),('Diário 3º PA'!$F$4:$F$2731))+SUMPRODUCT(-('Diário 4º PA'!$E$4:$E$2564='Analítico Cx.'!$B24),-('Diário 4º PA'!$P$4:$P$2564=H$1),('Diário 4º PA'!$F$4:$F$2564))</f>
        <v>0</v>
      </c>
      <c r="I24" s="183">
        <f>SUMPRODUCT(-('Diário 1º PA'!$E$4:$E$2635='Analítico Cx.'!$B24),-('Diário 1º PA'!$P$4:$P$2635=I$1),('Diário 1º PA'!$F$4:$F$2635))+SUMPRODUCT(-('Diário 2º PA'!$E$4:$E$3040='Analítico Cx.'!$B24),-('Diário 2º PA'!$P$4:$P$3040=I$1),('Diário 2º PA'!$F$4:$F$3040))+SUMPRODUCT(-('Diário 3º PA'!$E$4:$E$2731='Analítico Cx.'!$B24),-('Diário 3º PA'!$P$4:$P$2731=I$1),('Diário 3º PA'!$F$4:$F$2731))+SUMPRODUCT(-('Diário 4º PA'!$E$4:$E$2564='Analítico Cx.'!$B24),-('Diário 4º PA'!$P$4:$P$2564=I$1),('Diário 4º PA'!$F$4:$F$2564))</f>
        <v>0</v>
      </c>
      <c r="J24" s="183">
        <f>SUMPRODUCT(-('Diário 1º PA'!$E$4:$E$2635='Analítico Cx.'!$B24),-('Diário 1º PA'!$P$4:$P$2635=J$1),('Diário 1º PA'!$F$4:$F$2635))+SUMPRODUCT(-('Diário 2º PA'!$E$4:$E$3040='Analítico Cx.'!$B24),-('Diário 2º PA'!$P$4:$P$3040=J$1),('Diário 2º PA'!$F$4:$F$3040))+SUMPRODUCT(-('Diário 3º PA'!$E$4:$E$2731='Analítico Cx.'!$B24),-('Diário 3º PA'!$P$4:$P$2731=J$1),('Diário 3º PA'!$F$4:$F$2731))+SUMPRODUCT(-('Diário 4º PA'!$E$4:$E$2564='Analítico Cx.'!$B24),-('Diário 4º PA'!$P$4:$P$2564=J$1),('Diário 4º PA'!$F$4:$F$2564))</f>
        <v>0</v>
      </c>
      <c r="K24" s="183">
        <f>SUMPRODUCT(-('Diário 1º PA'!$E$4:$E$2635='Analítico Cx.'!$B24),-('Diário 1º PA'!$P$4:$P$2635=K$1),('Diário 1º PA'!$F$4:$F$2635))+SUMPRODUCT(-('Diário 2º PA'!$E$4:$E$3040='Analítico Cx.'!$B24),-('Diário 2º PA'!$P$4:$P$3040=K$1),('Diário 2º PA'!$F$4:$F$3040))+SUMPRODUCT(-('Diário 3º PA'!$E$4:$E$2731='Analítico Cx.'!$B24),-('Diário 3º PA'!$P$4:$P$2731=K$1),('Diário 3º PA'!$F$4:$F$2731))+SUMPRODUCT(-('Diário 4º PA'!$E$4:$E$2564='Analítico Cx.'!$B24),-('Diário 4º PA'!$P$4:$P$2564=K$1),('Diário 4º PA'!$F$4:$F$2564))</f>
        <v>0</v>
      </c>
      <c r="L24" s="183">
        <f>SUMPRODUCT(-('Diário 1º PA'!$E$4:$E$2635='Analítico Cx.'!$B24),-('Diário 1º PA'!$P$4:$P$2635=L$1),('Diário 1º PA'!$F$4:$F$2635))+SUMPRODUCT(-('Diário 2º PA'!$E$4:$E$3040='Analítico Cx.'!$B24),-('Diário 2º PA'!$P$4:$P$3040=L$1),('Diário 2º PA'!$F$4:$F$3040))+SUMPRODUCT(-('Diário 3º PA'!$E$4:$E$2731='Analítico Cx.'!$B24),-('Diário 3º PA'!$P$4:$P$2731=L$1),('Diário 3º PA'!$F$4:$F$2731))+SUMPRODUCT(-('Diário 4º PA'!$E$4:$E$2564='Analítico Cx.'!$B24),-('Diário 4º PA'!$P$4:$P$2564=L$1),('Diário 4º PA'!$F$4:$F$2564))</f>
        <v>0</v>
      </c>
      <c r="M24" s="183">
        <f>SUMPRODUCT(-('Diário 1º PA'!$E$4:$E$2635='Analítico Cx.'!$B24),-('Diário 1º PA'!$P$4:$P$2635=M$1),('Diário 1º PA'!$F$4:$F$2635))+SUMPRODUCT(-('Diário 2º PA'!$E$4:$E$3040='Analítico Cx.'!$B24),-('Diário 2º PA'!$P$4:$P$3040=M$1),('Diário 2º PA'!$F$4:$F$3040))+SUMPRODUCT(-('Diário 3º PA'!$E$4:$E$2731='Analítico Cx.'!$B24),-('Diário 3º PA'!$P$4:$P$2731=M$1),('Diário 3º PA'!$F$4:$F$2731))+SUMPRODUCT(-('Diário 4º PA'!$E$4:$E$2564='Analítico Cx.'!$B24),-('Diário 4º PA'!$P$4:$P$2564=M$1),('Diário 4º PA'!$F$4:$F$2564))</f>
        <v>0</v>
      </c>
      <c r="N24" s="183">
        <f>SUMPRODUCT(-('Diário 1º PA'!$E$4:$E$2635='Analítico Cx.'!$B24),-('Diário 1º PA'!$P$4:$P$2635=N$1),('Diário 1º PA'!$F$4:$F$2635))+SUMPRODUCT(-('Diário 2º PA'!$E$4:$E$3040='Analítico Cx.'!$B24),-('Diário 2º PA'!$P$4:$P$3040=N$1),('Diário 2º PA'!$F$4:$F$3040))+SUMPRODUCT(-('Diário 3º PA'!$E$4:$E$2731='Analítico Cx.'!$B24),-('Diário 3º PA'!$P$4:$P$2731=N$1),('Diário 3º PA'!$F$4:$F$2731))+SUMPRODUCT(-('Diário 4º PA'!$E$4:$E$2564='Analítico Cx.'!$B24),-('Diário 4º PA'!$P$4:$P$2564=N$1),('Diário 4º PA'!$F$4:$F$2564))</f>
        <v>0</v>
      </c>
      <c r="O24" s="184">
        <f>SUM(C24:N24)</f>
        <v>0</v>
      </c>
      <c r="P24" s="167">
        <f t="shared" si="3"/>
        <v>0</v>
      </c>
    </row>
    <row r="25" spans="1:16" ht="23.25" customHeight="1" x14ac:dyDescent="0.2">
      <c r="A25" s="61" t="s">
        <v>102</v>
      </c>
      <c r="B25" s="59" t="s">
        <v>173</v>
      </c>
      <c r="C25" s="183">
        <f>SUMPRODUCT(-('Diário 1º PA'!$E$4:$E$2635='Analítico Cx.'!$B25),-('Diário 1º PA'!$P$4:$P$2635=C$1),('Diário 1º PA'!$F$4:$F$2635))+SUMPRODUCT(-('Diário 2º PA'!$E$4:$E$3040='Analítico Cx.'!$B25),-('Diário 2º PA'!$P$4:$P$3040=C$1),('Diário 2º PA'!$F$4:$F$3040))+SUMPRODUCT(-('Diário 3º PA'!$E$4:$E$2731='Analítico Cx.'!$B25),-('Diário 3º PA'!$P$4:$P$2731=C$1),('Diário 3º PA'!$F$4:$F$2731))+SUMPRODUCT(-('Diário 4º PA'!$E$4:$E$2564='Analítico Cx.'!$B25),-('Diário 4º PA'!$P$4:$P$2564=C$1),('Diário 4º PA'!$F$4:$F$2564))</f>
        <v>0</v>
      </c>
      <c r="D25" s="183">
        <f>SUMPRODUCT(-('Diário 1º PA'!$E$4:$E$2635='Analítico Cx.'!$B25),-('Diário 1º PA'!$P$4:$P$2635=D$1),('Diário 1º PA'!$F$4:$F$2635))+SUMPRODUCT(-('Diário 2º PA'!$E$4:$E$3040='Analítico Cx.'!$B25),-('Diário 2º PA'!$P$4:$P$3040=D$1),('Diário 2º PA'!$F$4:$F$3040))+SUMPRODUCT(-('Diário 3º PA'!$E$4:$E$2731='Analítico Cx.'!$B25),-('Diário 3º PA'!$P$4:$P$2731=D$1),('Diário 3º PA'!$F$4:$F$2731))+SUMPRODUCT(-('Diário 4º PA'!$E$4:$E$2564='Analítico Cx.'!$B25),-('Diário 4º PA'!$P$4:$P$2564=D$1),('Diário 4º PA'!$F$4:$F$2564))</f>
        <v>0</v>
      </c>
      <c r="E25" s="183">
        <f>SUMPRODUCT(-('Diário 1º PA'!$E$4:$E$2635='Analítico Cx.'!$B25),-('Diário 1º PA'!$P$4:$P$2635=E$1),('Diário 1º PA'!$F$4:$F$2635))+SUMPRODUCT(-('Diário 2º PA'!$E$4:$E$3040='Analítico Cx.'!$B25),-('Diário 2º PA'!$P$4:$P$3040=E$1),('Diário 2º PA'!$F$4:$F$3040))+SUMPRODUCT(-('Diário 3º PA'!$E$4:$E$2731='Analítico Cx.'!$B25),-('Diário 3º PA'!$P$4:$P$2731=E$1),('Diário 3º PA'!$F$4:$F$2731))+SUMPRODUCT(-('Diário 4º PA'!$E$4:$E$2564='Analítico Cx.'!$B25),-('Diário 4º PA'!$P$4:$P$2564=E$1),('Diário 4º PA'!$F$4:$F$2564))</f>
        <v>0</v>
      </c>
      <c r="F25" s="183">
        <f>SUMPRODUCT(-('Diário 1º PA'!$E$4:$E$2635='Analítico Cx.'!$B25),-('Diário 1º PA'!$P$4:$P$2635=F$1),('Diário 1º PA'!$F$4:$F$2635))+SUMPRODUCT(-('Diário 2º PA'!$E$4:$E$3040='Analítico Cx.'!$B25),-('Diário 2º PA'!$P$4:$P$3040=F$1),('Diário 2º PA'!$F$4:$F$3040))+SUMPRODUCT(-('Diário 3º PA'!$E$4:$E$2731='Analítico Cx.'!$B25),-('Diário 3º PA'!$P$4:$P$2731=F$1),('Diário 3º PA'!$F$4:$F$2731))+SUMPRODUCT(-('Diário 4º PA'!$E$4:$E$2564='Analítico Cx.'!$B25),-('Diário 4º PA'!$P$4:$P$2564=F$1),('Diário 4º PA'!$F$4:$F$2564))</f>
        <v>0</v>
      </c>
      <c r="G25" s="183">
        <f>SUMPRODUCT(-('Diário 1º PA'!$E$4:$E$2635='Analítico Cx.'!$B25),-('Diário 1º PA'!$P$4:$P$2635=G$1),('Diário 1º PA'!$F$4:$F$2635))+SUMPRODUCT(-('Diário 2º PA'!$E$4:$E$3040='Analítico Cx.'!$B25),-('Diário 2º PA'!$P$4:$P$3040=G$1),('Diário 2º PA'!$F$4:$F$3040))+SUMPRODUCT(-('Diário 3º PA'!$E$4:$E$2731='Analítico Cx.'!$B25),-('Diário 3º PA'!$P$4:$P$2731=G$1),('Diário 3º PA'!$F$4:$F$2731))+SUMPRODUCT(-('Diário 4º PA'!$E$4:$E$2564='Analítico Cx.'!$B25),-('Diário 4º PA'!$P$4:$P$2564=G$1),('Diário 4º PA'!$F$4:$F$2564))</f>
        <v>0</v>
      </c>
      <c r="H25" s="183">
        <f>SUMPRODUCT(-('Diário 1º PA'!$E$4:$E$2635='Analítico Cx.'!$B25),-('Diário 1º PA'!$P$4:$P$2635=H$1),('Diário 1º PA'!$F$4:$F$2635))+SUMPRODUCT(-('Diário 2º PA'!$E$4:$E$3040='Analítico Cx.'!$B25),-('Diário 2º PA'!$P$4:$P$3040=H$1),('Diário 2º PA'!$F$4:$F$3040))+SUMPRODUCT(-('Diário 3º PA'!$E$4:$E$2731='Analítico Cx.'!$B25),-('Diário 3º PA'!$P$4:$P$2731=H$1),('Diário 3º PA'!$F$4:$F$2731))+SUMPRODUCT(-('Diário 4º PA'!$E$4:$E$2564='Analítico Cx.'!$B25),-('Diário 4º PA'!$P$4:$P$2564=H$1),('Diário 4º PA'!$F$4:$F$2564))</f>
        <v>0</v>
      </c>
      <c r="I25" s="183">
        <f>SUMPRODUCT(-('Diário 1º PA'!$E$4:$E$2635='Analítico Cx.'!$B25),-('Diário 1º PA'!$P$4:$P$2635=I$1),('Diário 1º PA'!$F$4:$F$2635))+SUMPRODUCT(-('Diário 2º PA'!$E$4:$E$3040='Analítico Cx.'!$B25),-('Diário 2º PA'!$P$4:$P$3040=I$1),('Diário 2º PA'!$F$4:$F$3040))+SUMPRODUCT(-('Diário 3º PA'!$E$4:$E$2731='Analítico Cx.'!$B25),-('Diário 3º PA'!$P$4:$P$2731=I$1),('Diário 3º PA'!$F$4:$F$2731))+SUMPRODUCT(-('Diário 4º PA'!$E$4:$E$2564='Analítico Cx.'!$B25),-('Diário 4º PA'!$P$4:$P$2564=I$1),('Diário 4º PA'!$F$4:$F$2564))</f>
        <v>0</v>
      </c>
      <c r="J25" s="183">
        <f>SUMPRODUCT(-('Diário 1º PA'!$E$4:$E$2635='Analítico Cx.'!$B25),-('Diário 1º PA'!$P$4:$P$2635=J$1),('Diário 1º PA'!$F$4:$F$2635))+SUMPRODUCT(-('Diário 2º PA'!$E$4:$E$3040='Analítico Cx.'!$B25),-('Diário 2º PA'!$P$4:$P$3040=J$1),('Diário 2º PA'!$F$4:$F$3040))+SUMPRODUCT(-('Diário 3º PA'!$E$4:$E$2731='Analítico Cx.'!$B25),-('Diário 3º PA'!$P$4:$P$2731=J$1),('Diário 3º PA'!$F$4:$F$2731))+SUMPRODUCT(-('Diário 4º PA'!$E$4:$E$2564='Analítico Cx.'!$B25),-('Diário 4º PA'!$P$4:$P$2564=J$1),('Diário 4º PA'!$F$4:$F$2564))</f>
        <v>0</v>
      </c>
      <c r="K25" s="183">
        <f>SUMPRODUCT(-('Diário 1º PA'!$E$4:$E$2635='Analítico Cx.'!$B25),-('Diário 1º PA'!$P$4:$P$2635=K$1),('Diário 1º PA'!$F$4:$F$2635))+SUMPRODUCT(-('Diário 2º PA'!$E$4:$E$3040='Analítico Cx.'!$B25),-('Diário 2º PA'!$P$4:$P$3040=K$1),('Diário 2º PA'!$F$4:$F$3040))+SUMPRODUCT(-('Diário 3º PA'!$E$4:$E$2731='Analítico Cx.'!$B25),-('Diário 3º PA'!$P$4:$P$2731=K$1),('Diário 3º PA'!$F$4:$F$2731))+SUMPRODUCT(-('Diário 4º PA'!$E$4:$E$2564='Analítico Cx.'!$B25),-('Diário 4º PA'!$P$4:$P$2564=K$1),('Diário 4º PA'!$F$4:$F$2564))</f>
        <v>0</v>
      </c>
      <c r="L25" s="183">
        <f>SUMPRODUCT(-('Diário 1º PA'!$E$4:$E$2635='Analítico Cx.'!$B25),-('Diário 1º PA'!$P$4:$P$2635=L$1),('Diário 1º PA'!$F$4:$F$2635))+SUMPRODUCT(-('Diário 2º PA'!$E$4:$E$3040='Analítico Cx.'!$B25),-('Diário 2º PA'!$P$4:$P$3040=L$1),('Diário 2º PA'!$F$4:$F$3040))+SUMPRODUCT(-('Diário 3º PA'!$E$4:$E$2731='Analítico Cx.'!$B25),-('Diário 3º PA'!$P$4:$P$2731=L$1),('Diário 3º PA'!$F$4:$F$2731))+SUMPRODUCT(-('Diário 4º PA'!$E$4:$E$2564='Analítico Cx.'!$B25),-('Diário 4º PA'!$P$4:$P$2564=L$1),('Diário 4º PA'!$F$4:$F$2564))</f>
        <v>0</v>
      </c>
      <c r="M25" s="183">
        <f>SUMPRODUCT(-('Diário 1º PA'!$E$4:$E$2635='Analítico Cx.'!$B25),-('Diário 1º PA'!$P$4:$P$2635=M$1),('Diário 1º PA'!$F$4:$F$2635))+SUMPRODUCT(-('Diário 2º PA'!$E$4:$E$3040='Analítico Cx.'!$B25),-('Diário 2º PA'!$P$4:$P$3040=M$1),('Diário 2º PA'!$F$4:$F$3040))+SUMPRODUCT(-('Diário 3º PA'!$E$4:$E$2731='Analítico Cx.'!$B25),-('Diário 3º PA'!$P$4:$P$2731=M$1),('Diário 3º PA'!$F$4:$F$2731))+SUMPRODUCT(-('Diário 4º PA'!$E$4:$E$2564='Analítico Cx.'!$B25),-('Diário 4º PA'!$P$4:$P$2564=M$1),('Diário 4º PA'!$F$4:$F$2564))</f>
        <v>0</v>
      </c>
      <c r="N25" s="183">
        <f>SUMPRODUCT(-('Diário 1º PA'!$E$4:$E$2635='Analítico Cx.'!$B25),-('Diário 1º PA'!$P$4:$P$2635=N$1),('Diário 1º PA'!$F$4:$F$2635))+SUMPRODUCT(-('Diário 2º PA'!$E$4:$E$3040='Analítico Cx.'!$B25),-('Diário 2º PA'!$P$4:$P$3040=N$1),('Diário 2º PA'!$F$4:$F$3040))+SUMPRODUCT(-('Diário 3º PA'!$E$4:$E$2731='Analítico Cx.'!$B25),-('Diário 3º PA'!$P$4:$P$2731=N$1),('Diário 3º PA'!$F$4:$F$2731))+SUMPRODUCT(-('Diário 4º PA'!$E$4:$E$2564='Analítico Cx.'!$B25),-('Diário 4º PA'!$P$4:$P$2564=N$1),('Diário 4º PA'!$F$4:$F$2564))</f>
        <v>0</v>
      </c>
      <c r="O25" s="184">
        <f>SUM(C25:N25)</f>
        <v>0</v>
      </c>
      <c r="P25" s="167">
        <f t="shared" si="3"/>
        <v>0</v>
      </c>
    </row>
    <row r="26" spans="1:16" ht="23.25" customHeight="1" x14ac:dyDescent="0.2">
      <c r="A26" s="61" t="s">
        <v>103</v>
      </c>
      <c r="B26" s="59" t="s">
        <v>174</v>
      </c>
      <c r="C26" s="183">
        <f>SUMPRODUCT(-('Diário 1º PA'!$E$4:$E$2635='Analítico Cx.'!$B26),-('Diário 1º PA'!$P$4:$P$2635=C$1),('Diário 1º PA'!$F$4:$F$2635))+SUMPRODUCT(-('Diário 2º PA'!$E$4:$E$3040='Analítico Cx.'!$B26),-('Diário 2º PA'!$P$4:$P$3040=C$1),('Diário 2º PA'!$F$4:$F$3040))+SUMPRODUCT(-('Diário 3º PA'!$E$4:$E$2731='Analítico Cx.'!$B26),-('Diário 3º PA'!$P$4:$P$2731=C$1),('Diário 3º PA'!$F$4:$F$2731))+SUMPRODUCT(-('Diário 4º PA'!$E$4:$E$2564='Analítico Cx.'!$B26),-('Diário 4º PA'!$P$4:$P$2564=C$1),('Diário 4º PA'!$F$4:$F$2564))</f>
        <v>0</v>
      </c>
      <c r="D26" s="183">
        <f>SUMPRODUCT(-('Diário 1º PA'!$E$4:$E$2635='Analítico Cx.'!$B26),-('Diário 1º PA'!$P$4:$P$2635=D$1),('Diário 1º PA'!$F$4:$F$2635))+SUMPRODUCT(-('Diário 2º PA'!$E$4:$E$3040='Analítico Cx.'!$B26),-('Diário 2º PA'!$P$4:$P$3040=D$1),('Diário 2º PA'!$F$4:$F$3040))+SUMPRODUCT(-('Diário 3º PA'!$E$4:$E$2731='Analítico Cx.'!$B26),-('Diário 3º PA'!$P$4:$P$2731=D$1),('Diário 3º PA'!$F$4:$F$2731))+SUMPRODUCT(-('Diário 4º PA'!$E$4:$E$2564='Analítico Cx.'!$B26),-('Diário 4º PA'!$P$4:$P$2564=D$1),('Diário 4º PA'!$F$4:$F$2564))</f>
        <v>0</v>
      </c>
      <c r="E26" s="183">
        <f>SUMPRODUCT(-('Diário 1º PA'!$E$4:$E$2635='Analítico Cx.'!$B26),-('Diário 1º PA'!$P$4:$P$2635=E$1),('Diário 1º PA'!$F$4:$F$2635))+SUMPRODUCT(-('Diário 2º PA'!$E$4:$E$3040='Analítico Cx.'!$B26),-('Diário 2º PA'!$P$4:$P$3040=E$1),('Diário 2º PA'!$F$4:$F$3040))+SUMPRODUCT(-('Diário 3º PA'!$E$4:$E$2731='Analítico Cx.'!$B26),-('Diário 3º PA'!$P$4:$P$2731=E$1),('Diário 3º PA'!$F$4:$F$2731))+SUMPRODUCT(-('Diário 4º PA'!$E$4:$E$2564='Analítico Cx.'!$B26),-('Diário 4º PA'!$P$4:$P$2564=E$1),('Diário 4º PA'!$F$4:$F$2564))</f>
        <v>0</v>
      </c>
      <c r="F26" s="183">
        <f>SUMPRODUCT(-('Diário 1º PA'!$E$4:$E$2635='Analítico Cx.'!$B26),-('Diário 1º PA'!$P$4:$P$2635=F$1),('Diário 1º PA'!$F$4:$F$2635))+SUMPRODUCT(-('Diário 2º PA'!$E$4:$E$3040='Analítico Cx.'!$B26),-('Diário 2º PA'!$P$4:$P$3040=F$1),('Diário 2º PA'!$F$4:$F$3040))+SUMPRODUCT(-('Diário 3º PA'!$E$4:$E$2731='Analítico Cx.'!$B26),-('Diário 3º PA'!$P$4:$P$2731=F$1),('Diário 3º PA'!$F$4:$F$2731))+SUMPRODUCT(-('Diário 4º PA'!$E$4:$E$2564='Analítico Cx.'!$B26),-('Diário 4º PA'!$P$4:$P$2564=F$1),('Diário 4º PA'!$F$4:$F$2564))</f>
        <v>0</v>
      </c>
      <c r="G26" s="183">
        <f>SUMPRODUCT(-('Diário 1º PA'!$E$4:$E$2635='Analítico Cx.'!$B26),-('Diário 1º PA'!$P$4:$P$2635=G$1),('Diário 1º PA'!$F$4:$F$2635))+SUMPRODUCT(-('Diário 2º PA'!$E$4:$E$3040='Analítico Cx.'!$B26),-('Diário 2º PA'!$P$4:$P$3040=G$1),('Diário 2º PA'!$F$4:$F$3040))+SUMPRODUCT(-('Diário 3º PA'!$E$4:$E$2731='Analítico Cx.'!$B26),-('Diário 3º PA'!$P$4:$P$2731=G$1),('Diário 3º PA'!$F$4:$F$2731))+SUMPRODUCT(-('Diário 4º PA'!$E$4:$E$2564='Analítico Cx.'!$B26),-('Diário 4º PA'!$P$4:$P$2564=G$1),('Diário 4º PA'!$F$4:$F$2564))</f>
        <v>0</v>
      </c>
      <c r="H26" s="183">
        <f>SUMPRODUCT(-('Diário 1º PA'!$E$4:$E$2635='Analítico Cx.'!$B26),-('Diário 1º PA'!$P$4:$P$2635=H$1),('Diário 1º PA'!$F$4:$F$2635))+SUMPRODUCT(-('Diário 2º PA'!$E$4:$E$3040='Analítico Cx.'!$B26),-('Diário 2º PA'!$P$4:$P$3040=H$1),('Diário 2º PA'!$F$4:$F$3040))+SUMPRODUCT(-('Diário 3º PA'!$E$4:$E$2731='Analítico Cx.'!$B26),-('Diário 3º PA'!$P$4:$P$2731=H$1),('Diário 3º PA'!$F$4:$F$2731))+SUMPRODUCT(-('Diário 4º PA'!$E$4:$E$2564='Analítico Cx.'!$B26),-('Diário 4º PA'!$P$4:$P$2564=H$1),('Diário 4º PA'!$F$4:$F$2564))</f>
        <v>0</v>
      </c>
      <c r="I26" s="183">
        <f>SUMPRODUCT(-('Diário 1º PA'!$E$4:$E$2635='Analítico Cx.'!$B26),-('Diário 1º PA'!$P$4:$P$2635=I$1),('Diário 1º PA'!$F$4:$F$2635))+SUMPRODUCT(-('Diário 2º PA'!$E$4:$E$3040='Analítico Cx.'!$B26),-('Diário 2º PA'!$P$4:$P$3040=I$1),('Diário 2º PA'!$F$4:$F$3040))+SUMPRODUCT(-('Diário 3º PA'!$E$4:$E$2731='Analítico Cx.'!$B26),-('Diário 3º PA'!$P$4:$P$2731=I$1),('Diário 3º PA'!$F$4:$F$2731))+SUMPRODUCT(-('Diário 4º PA'!$E$4:$E$2564='Analítico Cx.'!$B26),-('Diário 4º PA'!$P$4:$P$2564=I$1),('Diário 4º PA'!$F$4:$F$2564))</f>
        <v>0</v>
      </c>
      <c r="J26" s="183">
        <f>SUMPRODUCT(-('Diário 1º PA'!$E$4:$E$2635='Analítico Cx.'!$B26),-('Diário 1º PA'!$P$4:$P$2635=J$1),('Diário 1º PA'!$F$4:$F$2635))+SUMPRODUCT(-('Diário 2º PA'!$E$4:$E$3040='Analítico Cx.'!$B26),-('Diário 2º PA'!$P$4:$P$3040=J$1),('Diário 2º PA'!$F$4:$F$3040))+SUMPRODUCT(-('Diário 3º PA'!$E$4:$E$2731='Analítico Cx.'!$B26),-('Diário 3º PA'!$P$4:$P$2731=J$1),('Diário 3º PA'!$F$4:$F$2731))+SUMPRODUCT(-('Diário 4º PA'!$E$4:$E$2564='Analítico Cx.'!$B26),-('Diário 4º PA'!$P$4:$P$2564=J$1),('Diário 4º PA'!$F$4:$F$2564))</f>
        <v>0</v>
      </c>
      <c r="K26" s="183">
        <f>SUMPRODUCT(-('Diário 1º PA'!$E$4:$E$2635='Analítico Cx.'!$B26),-('Diário 1º PA'!$P$4:$P$2635=K$1),('Diário 1º PA'!$F$4:$F$2635))+SUMPRODUCT(-('Diário 2º PA'!$E$4:$E$3040='Analítico Cx.'!$B26),-('Diário 2º PA'!$P$4:$P$3040=K$1),('Diário 2º PA'!$F$4:$F$3040))+SUMPRODUCT(-('Diário 3º PA'!$E$4:$E$2731='Analítico Cx.'!$B26),-('Diário 3º PA'!$P$4:$P$2731=K$1),('Diário 3º PA'!$F$4:$F$2731))+SUMPRODUCT(-('Diário 4º PA'!$E$4:$E$2564='Analítico Cx.'!$B26),-('Diário 4º PA'!$P$4:$P$2564=K$1),('Diário 4º PA'!$F$4:$F$2564))</f>
        <v>0</v>
      </c>
      <c r="L26" s="183">
        <f>SUMPRODUCT(-('Diário 1º PA'!$E$4:$E$2635='Analítico Cx.'!$B26),-('Diário 1º PA'!$P$4:$P$2635=L$1),('Diário 1º PA'!$F$4:$F$2635))+SUMPRODUCT(-('Diário 2º PA'!$E$4:$E$3040='Analítico Cx.'!$B26),-('Diário 2º PA'!$P$4:$P$3040=L$1),('Diário 2º PA'!$F$4:$F$3040))+SUMPRODUCT(-('Diário 3º PA'!$E$4:$E$2731='Analítico Cx.'!$B26),-('Diário 3º PA'!$P$4:$P$2731=L$1),('Diário 3º PA'!$F$4:$F$2731))+SUMPRODUCT(-('Diário 4º PA'!$E$4:$E$2564='Analítico Cx.'!$B26),-('Diário 4º PA'!$P$4:$P$2564=L$1),('Diário 4º PA'!$F$4:$F$2564))</f>
        <v>0</v>
      </c>
      <c r="M26" s="183">
        <f>SUMPRODUCT(-('Diário 1º PA'!$E$4:$E$2635='Analítico Cx.'!$B26),-('Diário 1º PA'!$P$4:$P$2635=M$1),('Diário 1º PA'!$F$4:$F$2635))+SUMPRODUCT(-('Diário 2º PA'!$E$4:$E$3040='Analítico Cx.'!$B26),-('Diário 2º PA'!$P$4:$P$3040=M$1),('Diário 2º PA'!$F$4:$F$3040))+SUMPRODUCT(-('Diário 3º PA'!$E$4:$E$2731='Analítico Cx.'!$B26),-('Diário 3º PA'!$P$4:$P$2731=M$1),('Diário 3º PA'!$F$4:$F$2731))+SUMPRODUCT(-('Diário 4º PA'!$E$4:$E$2564='Analítico Cx.'!$B26),-('Diário 4º PA'!$P$4:$P$2564=M$1),('Diário 4º PA'!$F$4:$F$2564))</f>
        <v>0</v>
      </c>
      <c r="N26" s="183">
        <f>SUMPRODUCT(-('Diário 1º PA'!$E$4:$E$2635='Analítico Cx.'!$B26),-('Diário 1º PA'!$P$4:$P$2635=N$1),('Diário 1º PA'!$F$4:$F$2635))+SUMPRODUCT(-('Diário 2º PA'!$E$4:$E$3040='Analítico Cx.'!$B26),-('Diário 2º PA'!$P$4:$P$3040=N$1),('Diário 2º PA'!$F$4:$F$3040))+SUMPRODUCT(-('Diário 3º PA'!$E$4:$E$2731='Analítico Cx.'!$B26),-('Diário 3º PA'!$P$4:$P$2731=N$1),('Diário 3º PA'!$F$4:$F$2731))+SUMPRODUCT(-('Diário 4º PA'!$E$4:$E$2564='Analítico Cx.'!$B26),-('Diário 4º PA'!$P$4:$P$2564=N$1),('Diário 4º PA'!$F$4:$F$2564))</f>
        <v>0</v>
      </c>
      <c r="O26" s="184">
        <f>SUM(C26:N26)</f>
        <v>0</v>
      </c>
      <c r="P26" s="167">
        <f t="shared" si="3"/>
        <v>0</v>
      </c>
    </row>
    <row r="27" spans="1:16" ht="23.25" customHeight="1" x14ac:dyDescent="0.2">
      <c r="A27" s="61" t="s">
        <v>104</v>
      </c>
      <c r="B27" s="59" t="s">
        <v>94</v>
      </c>
      <c r="C27" s="183">
        <f>SUMPRODUCT(-('Diário 1º PA'!$E$4:$E$2635='Analítico Cx.'!$B27),-('Diário 1º PA'!$P$4:$P$2635=C$1),('Diário 1º PA'!$F$4:$F$2635))+SUMPRODUCT(-('Diário 2º PA'!$E$4:$E$3040='Analítico Cx.'!$B27),-('Diário 2º PA'!$P$4:$P$3040=C$1),('Diário 2º PA'!$F$4:$F$3040))+SUMPRODUCT(-('Diário 3º PA'!$E$4:$E$2731='Analítico Cx.'!$B27),-('Diário 3º PA'!$P$4:$P$2731=C$1),('Diário 3º PA'!$F$4:$F$2731))+SUMPRODUCT(-('Diário 4º PA'!$E$4:$E$2564='Analítico Cx.'!$B27),-('Diário 4º PA'!$P$4:$P$2564=C$1),('Diário 4º PA'!$F$4:$F$2564))</f>
        <v>0</v>
      </c>
      <c r="D27" s="183">
        <f>SUMPRODUCT(-('Diário 1º PA'!$E$4:$E$2635='Analítico Cx.'!$B27),-('Diário 1º PA'!$P$4:$P$2635=D$1),('Diário 1º PA'!$F$4:$F$2635))+SUMPRODUCT(-('Diário 2º PA'!$E$4:$E$3040='Analítico Cx.'!$B27),-('Diário 2º PA'!$P$4:$P$3040=D$1),('Diário 2º PA'!$F$4:$F$3040))+SUMPRODUCT(-('Diário 3º PA'!$E$4:$E$2731='Analítico Cx.'!$B27),-('Diário 3º PA'!$P$4:$P$2731=D$1),('Diário 3º PA'!$F$4:$F$2731))+SUMPRODUCT(-('Diário 4º PA'!$E$4:$E$2564='Analítico Cx.'!$B27),-('Diário 4º PA'!$P$4:$P$2564=D$1),('Diário 4º PA'!$F$4:$F$2564))</f>
        <v>0</v>
      </c>
      <c r="E27" s="183">
        <f>SUMPRODUCT(-('Diário 1º PA'!$E$4:$E$2635='Analítico Cx.'!$B27),-('Diário 1º PA'!$P$4:$P$2635=E$1),('Diário 1º PA'!$F$4:$F$2635))+SUMPRODUCT(-('Diário 2º PA'!$E$4:$E$3040='Analítico Cx.'!$B27),-('Diário 2º PA'!$P$4:$P$3040=E$1),('Diário 2º PA'!$F$4:$F$3040))+SUMPRODUCT(-('Diário 3º PA'!$E$4:$E$2731='Analítico Cx.'!$B27),-('Diário 3º PA'!$P$4:$P$2731=E$1),('Diário 3º PA'!$F$4:$F$2731))+SUMPRODUCT(-('Diário 4º PA'!$E$4:$E$2564='Analítico Cx.'!$B27),-('Diário 4º PA'!$P$4:$P$2564=E$1),('Diário 4º PA'!$F$4:$F$2564))</f>
        <v>0</v>
      </c>
      <c r="F27" s="183">
        <f>SUMPRODUCT(-('Diário 1º PA'!$E$4:$E$2635='Analítico Cx.'!$B27),-('Diário 1º PA'!$P$4:$P$2635=F$1),('Diário 1º PA'!$F$4:$F$2635))+SUMPRODUCT(-('Diário 2º PA'!$E$4:$E$3040='Analítico Cx.'!$B27),-('Diário 2º PA'!$P$4:$P$3040=F$1),('Diário 2º PA'!$F$4:$F$3040))+SUMPRODUCT(-('Diário 3º PA'!$E$4:$E$2731='Analítico Cx.'!$B27),-('Diário 3º PA'!$P$4:$P$2731=F$1),('Diário 3º PA'!$F$4:$F$2731))+SUMPRODUCT(-('Diário 4º PA'!$E$4:$E$2564='Analítico Cx.'!$B27),-('Diário 4º PA'!$P$4:$P$2564=F$1),('Diário 4º PA'!$F$4:$F$2564))</f>
        <v>0</v>
      </c>
      <c r="G27" s="183">
        <f>SUMPRODUCT(-('Diário 1º PA'!$E$4:$E$2635='Analítico Cx.'!$B27),-('Diário 1º PA'!$P$4:$P$2635=G$1),('Diário 1º PA'!$F$4:$F$2635))+SUMPRODUCT(-('Diário 2º PA'!$E$4:$E$3040='Analítico Cx.'!$B27),-('Diário 2º PA'!$P$4:$P$3040=G$1),('Diário 2º PA'!$F$4:$F$3040))+SUMPRODUCT(-('Diário 3º PA'!$E$4:$E$2731='Analítico Cx.'!$B27),-('Diário 3º PA'!$P$4:$P$2731=G$1),('Diário 3º PA'!$F$4:$F$2731))+SUMPRODUCT(-('Diário 4º PA'!$E$4:$E$2564='Analítico Cx.'!$B27),-('Diário 4º PA'!$P$4:$P$2564=G$1),('Diário 4º PA'!$F$4:$F$2564))</f>
        <v>0</v>
      </c>
      <c r="H27" s="183">
        <f>SUMPRODUCT(-('Diário 1º PA'!$E$4:$E$2635='Analítico Cx.'!$B27),-('Diário 1º PA'!$P$4:$P$2635=H$1),('Diário 1º PA'!$F$4:$F$2635))+SUMPRODUCT(-('Diário 2º PA'!$E$4:$E$3040='Analítico Cx.'!$B27),-('Diário 2º PA'!$P$4:$P$3040=H$1),('Diário 2º PA'!$F$4:$F$3040))+SUMPRODUCT(-('Diário 3º PA'!$E$4:$E$2731='Analítico Cx.'!$B27),-('Diário 3º PA'!$P$4:$P$2731=H$1),('Diário 3º PA'!$F$4:$F$2731))+SUMPRODUCT(-('Diário 4º PA'!$E$4:$E$2564='Analítico Cx.'!$B27),-('Diário 4º PA'!$P$4:$P$2564=H$1),('Diário 4º PA'!$F$4:$F$2564))</f>
        <v>0</v>
      </c>
      <c r="I27" s="183">
        <f>SUMPRODUCT(-('Diário 1º PA'!$E$4:$E$2635='Analítico Cx.'!$B27),-('Diário 1º PA'!$P$4:$P$2635=I$1),('Diário 1º PA'!$F$4:$F$2635))+SUMPRODUCT(-('Diário 2º PA'!$E$4:$E$3040='Analítico Cx.'!$B27),-('Diário 2º PA'!$P$4:$P$3040=I$1),('Diário 2º PA'!$F$4:$F$3040))+SUMPRODUCT(-('Diário 3º PA'!$E$4:$E$2731='Analítico Cx.'!$B27),-('Diário 3º PA'!$P$4:$P$2731=I$1),('Diário 3º PA'!$F$4:$F$2731))+SUMPRODUCT(-('Diário 4º PA'!$E$4:$E$2564='Analítico Cx.'!$B27),-('Diário 4º PA'!$P$4:$P$2564=I$1),('Diário 4º PA'!$F$4:$F$2564))</f>
        <v>0</v>
      </c>
      <c r="J27" s="183">
        <f>SUMPRODUCT(-('Diário 1º PA'!$E$4:$E$2635='Analítico Cx.'!$B27),-('Diário 1º PA'!$P$4:$P$2635=J$1),('Diário 1º PA'!$F$4:$F$2635))+SUMPRODUCT(-('Diário 2º PA'!$E$4:$E$3040='Analítico Cx.'!$B27),-('Diário 2º PA'!$P$4:$P$3040=J$1),('Diário 2º PA'!$F$4:$F$3040))+SUMPRODUCT(-('Diário 3º PA'!$E$4:$E$2731='Analítico Cx.'!$B27),-('Diário 3º PA'!$P$4:$P$2731=J$1),('Diário 3º PA'!$F$4:$F$2731))+SUMPRODUCT(-('Diário 4º PA'!$E$4:$E$2564='Analítico Cx.'!$B27),-('Diário 4º PA'!$P$4:$P$2564=J$1),('Diário 4º PA'!$F$4:$F$2564))</f>
        <v>0</v>
      </c>
      <c r="K27" s="183">
        <f>SUMPRODUCT(-('Diário 1º PA'!$E$4:$E$2635='Analítico Cx.'!$B27),-('Diário 1º PA'!$P$4:$P$2635=K$1),('Diário 1º PA'!$F$4:$F$2635))+SUMPRODUCT(-('Diário 2º PA'!$E$4:$E$3040='Analítico Cx.'!$B27),-('Diário 2º PA'!$P$4:$P$3040=K$1),('Diário 2º PA'!$F$4:$F$3040))+SUMPRODUCT(-('Diário 3º PA'!$E$4:$E$2731='Analítico Cx.'!$B27),-('Diário 3º PA'!$P$4:$P$2731=K$1),('Diário 3º PA'!$F$4:$F$2731))+SUMPRODUCT(-('Diário 4º PA'!$E$4:$E$2564='Analítico Cx.'!$B27),-('Diário 4º PA'!$P$4:$P$2564=K$1),('Diário 4º PA'!$F$4:$F$2564))</f>
        <v>0</v>
      </c>
      <c r="L27" s="183">
        <f>SUMPRODUCT(-('Diário 1º PA'!$E$4:$E$2635='Analítico Cx.'!$B27),-('Diário 1º PA'!$P$4:$P$2635=L$1),('Diário 1º PA'!$F$4:$F$2635))+SUMPRODUCT(-('Diário 2º PA'!$E$4:$E$3040='Analítico Cx.'!$B27),-('Diário 2º PA'!$P$4:$P$3040=L$1),('Diário 2º PA'!$F$4:$F$3040))+SUMPRODUCT(-('Diário 3º PA'!$E$4:$E$2731='Analítico Cx.'!$B27),-('Diário 3º PA'!$P$4:$P$2731=L$1),('Diário 3º PA'!$F$4:$F$2731))+SUMPRODUCT(-('Diário 4º PA'!$E$4:$E$2564='Analítico Cx.'!$B27),-('Diário 4º PA'!$P$4:$P$2564=L$1),('Diário 4º PA'!$F$4:$F$2564))</f>
        <v>0</v>
      </c>
      <c r="M27" s="183">
        <f>SUMPRODUCT(-('Diário 1º PA'!$E$4:$E$2635='Analítico Cx.'!$B27),-('Diário 1º PA'!$P$4:$P$2635=M$1),('Diário 1º PA'!$F$4:$F$2635))+SUMPRODUCT(-('Diário 2º PA'!$E$4:$E$3040='Analítico Cx.'!$B27),-('Diário 2º PA'!$P$4:$P$3040=M$1),('Diário 2º PA'!$F$4:$F$3040))+SUMPRODUCT(-('Diário 3º PA'!$E$4:$E$2731='Analítico Cx.'!$B27),-('Diário 3º PA'!$P$4:$P$2731=M$1),('Diário 3º PA'!$F$4:$F$2731))+SUMPRODUCT(-('Diário 4º PA'!$E$4:$E$2564='Analítico Cx.'!$B27),-('Diário 4º PA'!$P$4:$P$2564=M$1),('Diário 4º PA'!$F$4:$F$2564))</f>
        <v>0</v>
      </c>
      <c r="N27" s="183">
        <f>SUMPRODUCT(-('Diário 1º PA'!$E$4:$E$2635='Analítico Cx.'!$B27),-('Diário 1º PA'!$P$4:$P$2635=N$1),('Diário 1º PA'!$F$4:$F$2635))+SUMPRODUCT(-('Diário 2º PA'!$E$4:$E$3040='Analítico Cx.'!$B27),-('Diário 2º PA'!$P$4:$P$3040=N$1),('Diário 2º PA'!$F$4:$F$3040))+SUMPRODUCT(-('Diário 3º PA'!$E$4:$E$2731='Analítico Cx.'!$B27),-('Diário 3º PA'!$P$4:$P$2731=N$1),('Diário 3º PA'!$F$4:$F$2731))+SUMPRODUCT(-('Diário 4º PA'!$E$4:$E$2564='Analítico Cx.'!$B27),-('Diário 4º PA'!$P$4:$P$2564=N$1),('Diário 4º PA'!$F$4:$F$2564))</f>
        <v>0</v>
      </c>
      <c r="O27" s="184">
        <f>SUM(C27:N27)</f>
        <v>0</v>
      </c>
      <c r="P27" s="167">
        <f t="shared" si="3"/>
        <v>0</v>
      </c>
    </row>
    <row r="28" spans="1:16" ht="23.25" customHeight="1" x14ac:dyDescent="0.2">
      <c r="A28" s="23"/>
      <c r="B28" s="24" t="s">
        <v>105</v>
      </c>
      <c r="C28" s="186">
        <f t="shared" ref="C28:O28" si="4">SUBTOTAL(109,C23:C27)</f>
        <v>195767.93000000002</v>
      </c>
      <c r="D28" s="186">
        <f t="shared" si="4"/>
        <v>177722.46000000005</v>
      </c>
      <c r="E28" s="186">
        <f t="shared" si="4"/>
        <v>185178.21</v>
      </c>
      <c r="F28" s="186">
        <f t="shared" si="4"/>
        <v>197023.0500000001</v>
      </c>
      <c r="G28" s="186">
        <f t="shared" si="4"/>
        <v>188068.57000000012</v>
      </c>
      <c r="H28" s="186">
        <f t="shared" si="4"/>
        <v>193836.11000000002</v>
      </c>
      <c r="I28" s="186">
        <f t="shared" si="4"/>
        <v>194207.89000000004</v>
      </c>
      <c r="J28" s="186">
        <f t="shared" si="4"/>
        <v>233258.12000000005</v>
      </c>
      <c r="K28" s="186">
        <f t="shared" si="4"/>
        <v>222094.93000000008</v>
      </c>
      <c r="L28" s="186">
        <f t="shared" si="4"/>
        <v>254844.34000000005</v>
      </c>
      <c r="M28" s="186">
        <f t="shared" si="4"/>
        <v>224864.8600000001</v>
      </c>
      <c r="N28" s="186">
        <f t="shared" si="4"/>
        <v>227879.96</v>
      </c>
      <c r="O28" s="186">
        <f t="shared" si="4"/>
        <v>2494746.4300000006</v>
      </c>
      <c r="P28" s="171">
        <f t="shared" si="3"/>
        <v>0.19649881436277675</v>
      </c>
    </row>
    <row r="29" spans="1:16" s="34" customFormat="1" ht="23.25" customHeight="1" x14ac:dyDescent="0.2">
      <c r="A29" s="99" t="s">
        <v>12</v>
      </c>
      <c r="B29" s="100" t="s">
        <v>7</v>
      </c>
      <c r="C29" s="187"/>
      <c r="D29" s="187"/>
      <c r="E29" s="187"/>
      <c r="F29" s="187"/>
      <c r="G29" s="187"/>
      <c r="H29" s="187"/>
      <c r="I29" s="187"/>
      <c r="J29" s="187"/>
      <c r="K29" s="187"/>
      <c r="L29" s="187"/>
      <c r="M29" s="187"/>
      <c r="N29" s="187"/>
      <c r="O29" s="187"/>
      <c r="P29" s="172"/>
    </row>
    <row r="30" spans="1:16" ht="23.25" customHeight="1" x14ac:dyDescent="0.2">
      <c r="A30" s="61" t="s">
        <v>106</v>
      </c>
      <c r="B30" s="60" t="s">
        <v>249</v>
      </c>
      <c r="C30" s="183">
        <f>SUMPRODUCT(-('Diário 1º PA'!$E$4:$E$2635='Analítico Cx.'!$B30),-('Diário 1º PA'!$P$4:$P$2635=C$1),('Diário 1º PA'!$F$4:$F$2635))+SUMPRODUCT(-('Diário 2º PA'!$E$4:$E$3040='Analítico Cx.'!$B30),-('Diário 2º PA'!$P$4:$P$3040=C$1),('Diário 2º PA'!$F$4:$F$3040))+SUMPRODUCT(-('Diário 3º PA'!$E$4:$E$2731='Analítico Cx.'!$B30),-('Diário 3º PA'!$P$4:$P$2731=C$1),('Diário 3º PA'!$F$4:$F$2731))+SUMPRODUCT(-('Diário 4º PA'!$E$4:$E$2564='Analítico Cx.'!$B30),-('Diário 4º PA'!$P$4:$P$2564=C$1),('Diário 4º PA'!$F$4:$F$2564))</f>
        <v>0</v>
      </c>
      <c r="D30" s="183">
        <f>SUMPRODUCT(-('Diário 1º PA'!$E$4:$E$2635='Analítico Cx.'!$B30),-('Diário 1º PA'!$P$4:$P$2635=D$1),('Diário 1º PA'!$F$4:$F$2635))+SUMPRODUCT(-('Diário 2º PA'!$E$4:$E$3040='Analítico Cx.'!$B30),-('Diário 2º PA'!$P$4:$P$3040=D$1),('Diário 2º PA'!$F$4:$F$3040))+SUMPRODUCT(-('Diário 3º PA'!$E$4:$E$2731='Analítico Cx.'!$B30),-('Diário 3º PA'!$P$4:$P$2731=D$1),('Diário 3º PA'!$F$4:$F$2731))+SUMPRODUCT(-('Diário 4º PA'!$E$4:$E$2564='Analítico Cx.'!$B30),-('Diário 4º PA'!$P$4:$P$2564=D$1),('Diário 4º PA'!$F$4:$F$2564))</f>
        <v>0</v>
      </c>
      <c r="E30" s="183">
        <f>SUMPRODUCT(-('Diário 1º PA'!$E$4:$E$2635='Analítico Cx.'!$B30),-('Diário 1º PA'!$P$4:$P$2635=E$1),('Diário 1º PA'!$F$4:$F$2635))+SUMPRODUCT(-('Diário 2º PA'!$E$4:$E$3040='Analítico Cx.'!$B30),-('Diário 2º PA'!$P$4:$P$3040=E$1),('Diário 2º PA'!$F$4:$F$3040))+SUMPRODUCT(-('Diário 3º PA'!$E$4:$E$2731='Analítico Cx.'!$B30),-('Diário 3º PA'!$P$4:$P$2731=E$1),('Diário 3º PA'!$F$4:$F$2731))+SUMPRODUCT(-('Diário 4º PA'!$E$4:$E$2564='Analítico Cx.'!$B30),-('Diário 4º PA'!$P$4:$P$2564=E$1),('Diário 4º PA'!$F$4:$F$2564))</f>
        <v>0</v>
      </c>
      <c r="F30" s="183">
        <f>SUMPRODUCT(-('Diário 1º PA'!$E$4:$E$2635='Analítico Cx.'!$B30),-('Diário 1º PA'!$P$4:$P$2635=F$1),('Diário 1º PA'!$F$4:$F$2635))+SUMPRODUCT(-('Diário 2º PA'!$E$4:$E$3040='Analítico Cx.'!$B30),-('Diário 2º PA'!$P$4:$P$3040=F$1),('Diário 2º PA'!$F$4:$F$3040))+SUMPRODUCT(-('Diário 3º PA'!$E$4:$E$2731='Analítico Cx.'!$B30),-('Diário 3º PA'!$P$4:$P$2731=F$1),('Diário 3º PA'!$F$4:$F$2731))+SUMPRODUCT(-('Diário 4º PA'!$E$4:$E$2564='Analítico Cx.'!$B30),-('Diário 4º PA'!$P$4:$P$2564=F$1),('Diário 4º PA'!$F$4:$F$2564))</f>
        <v>0</v>
      </c>
      <c r="G30" s="183">
        <f>SUMPRODUCT(-('Diário 1º PA'!$E$4:$E$2635='Analítico Cx.'!$B30),-('Diário 1º PA'!$P$4:$P$2635=G$1),('Diário 1º PA'!$F$4:$F$2635))+SUMPRODUCT(-('Diário 2º PA'!$E$4:$E$3040='Analítico Cx.'!$B30),-('Diário 2º PA'!$P$4:$P$3040=G$1),('Diário 2º PA'!$F$4:$F$3040))+SUMPRODUCT(-('Diário 3º PA'!$E$4:$E$2731='Analítico Cx.'!$B30),-('Diário 3º PA'!$P$4:$P$2731=G$1),('Diário 3º PA'!$F$4:$F$2731))+SUMPRODUCT(-('Diário 4º PA'!$E$4:$E$2564='Analítico Cx.'!$B30),-('Diário 4º PA'!$P$4:$P$2564=G$1),('Diário 4º PA'!$F$4:$F$2564))</f>
        <v>0</v>
      </c>
      <c r="H30" s="183">
        <f>SUMPRODUCT(-('Diário 1º PA'!$E$4:$E$2635='Analítico Cx.'!$B30),-('Diário 1º PA'!$P$4:$P$2635=H$1),('Diário 1º PA'!$F$4:$F$2635))+SUMPRODUCT(-('Diário 2º PA'!$E$4:$E$3040='Analítico Cx.'!$B30),-('Diário 2º PA'!$P$4:$P$3040=H$1),('Diário 2º PA'!$F$4:$F$3040))+SUMPRODUCT(-('Diário 3º PA'!$E$4:$E$2731='Analítico Cx.'!$B30),-('Diário 3º PA'!$P$4:$P$2731=H$1),('Diário 3º PA'!$F$4:$F$2731))+SUMPRODUCT(-('Diário 4º PA'!$E$4:$E$2564='Analítico Cx.'!$B30),-('Diário 4º PA'!$P$4:$P$2564=H$1),('Diário 4º PA'!$F$4:$F$2564))</f>
        <v>0</v>
      </c>
      <c r="I30" s="183">
        <f>SUMPRODUCT(-('Diário 1º PA'!$E$4:$E$2635='Analítico Cx.'!$B30),-('Diário 1º PA'!$P$4:$P$2635=I$1),('Diário 1º PA'!$F$4:$F$2635))+SUMPRODUCT(-('Diário 2º PA'!$E$4:$E$3040='Analítico Cx.'!$B30),-('Diário 2º PA'!$P$4:$P$3040=I$1),('Diário 2º PA'!$F$4:$F$3040))+SUMPRODUCT(-('Diário 3º PA'!$E$4:$E$2731='Analítico Cx.'!$B30),-('Diário 3º PA'!$P$4:$P$2731=I$1),('Diário 3º PA'!$F$4:$F$2731))+SUMPRODUCT(-('Diário 4º PA'!$E$4:$E$2564='Analítico Cx.'!$B30),-('Diário 4º PA'!$P$4:$P$2564=I$1),('Diário 4º PA'!$F$4:$F$2564))</f>
        <v>0</v>
      </c>
      <c r="J30" s="183">
        <f>SUMPRODUCT(-('Diário 1º PA'!$E$4:$E$2635='Analítico Cx.'!$B30),-('Diário 1º PA'!$P$4:$P$2635=J$1),('Diário 1º PA'!$F$4:$F$2635))+SUMPRODUCT(-('Diário 2º PA'!$E$4:$E$3040='Analítico Cx.'!$B30),-('Diário 2º PA'!$P$4:$P$3040=J$1),('Diário 2º PA'!$F$4:$F$3040))+SUMPRODUCT(-('Diário 3º PA'!$E$4:$E$2731='Analítico Cx.'!$B30),-('Diário 3º PA'!$P$4:$P$2731=J$1),('Diário 3º PA'!$F$4:$F$2731))+SUMPRODUCT(-('Diário 4º PA'!$E$4:$E$2564='Analítico Cx.'!$B30),-('Diário 4º PA'!$P$4:$P$2564=J$1),('Diário 4º PA'!$F$4:$F$2564))</f>
        <v>0</v>
      </c>
      <c r="K30" s="183">
        <f>SUMPRODUCT(-('Diário 1º PA'!$E$4:$E$2635='Analítico Cx.'!$B30),-('Diário 1º PA'!$P$4:$P$2635=K$1),('Diário 1º PA'!$F$4:$F$2635))+SUMPRODUCT(-('Diário 2º PA'!$E$4:$E$3040='Analítico Cx.'!$B30),-('Diário 2º PA'!$P$4:$P$3040=K$1),('Diário 2º PA'!$F$4:$F$3040))+SUMPRODUCT(-('Diário 3º PA'!$E$4:$E$2731='Analítico Cx.'!$B30),-('Diário 3º PA'!$P$4:$P$2731=K$1),('Diário 3º PA'!$F$4:$F$2731))+SUMPRODUCT(-('Diário 4º PA'!$E$4:$E$2564='Analítico Cx.'!$B30),-('Diário 4º PA'!$P$4:$P$2564=K$1),('Diário 4º PA'!$F$4:$F$2564))</f>
        <v>0</v>
      </c>
      <c r="L30" s="183">
        <f>SUMPRODUCT(-('Diário 1º PA'!$E$4:$E$2635='Analítico Cx.'!$B30),-('Diário 1º PA'!$P$4:$P$2635=L$1),('Diário 1º PA'!$F$4:$F$2635))+SUMPRODUCT(-('Diário 2º PA'!$E$4:$E$3040='Analítico Cx.'!$B30),-('Diário 2º PA'!$P$4:$P$3040=L$1),('Diário 2º PA'!$F$4:$F$3040))+SUMPRODUCT(-('Diário 3º PA'!$E$4:$E$2731='Analítico Cx.'!$B30),-('Diário 3º PA'!$P$4:$P$2731=L$1),('Diário 3º PA'!$F$4:$F$2731))+SUMPRODUCT(-('Diário 4º PA'!$E$4:$E$2564='Analítico Cx.'!$B30),-('Diário 4º PA'!$P$4:$P$2564=L$1),('Diário 4º PA'!$F$4:$F$2564))</f>
        <v>0</v>
      </c>
      <c r="M30" s="183">
        <f>SUMPRODUCT(-('Diário 1º PA'!$E$4:$E$2635='Analítico Cx.'!$B30),-('Diário 1º PA'!$P$4:$P$2635=M$1),('Diário 1º PA'!$F$4:$F$2635))+SUMPRODUCT(-('Diário 2º PA'!$E$4:$E$3040='Analítico Cx.'!$B30),-('Diário 2º PA'!$P$4:$P$3040=M$1),('Diário 2º PA'!$F$4:$F$3040))+SUMPRODUCT(-('Diário 3º PA'!$E$4:$E$2731='Analítico Cx.'!$B30),-('Diário 3º PA'!$P$4:$P$2731=M$1),('Diário 3º PA'!$F$4:$F$2731))+SUMPRODUCT(-('Diário 4º PA'!$E$4:$E$2564='Analítico Cx.'!$B30),-('Diário 4º PA'!$P$4:$P$2564=M$1),('Diário 4º PA'!$F$4:$F$2564))</f>
        <v>0</v>
      </c>
      <c r="N30" s="183">
        <f>SUMPRODUCT(-('Diário 1º PA'!$E$4:$E$2635='Analítico Cx.'!$B30),-('Diário 1º PA'!$P$4:$P$2635=N$1),('Diário 1º PA'!$F$4:$F$2635))+SUMPRODUCT(-('Diário 2º PA'!$E$4:$E$3040='Analítico Cx.'!$B30),-('Diário 2º PA'!$P$4:$P$3040=N$1),('Diário 2º PA'!$F$4:$F$3040))+SUMPRODUCT(-('Diário 3º PA'!$E$4:$E$2731='Analítico Cx.'!$B30),-('Diário 3º PA'!$P$4:$P$2731=N$1),('Diário 3º PA'!$F$4:$F$2731))+SUMPRODUCT(-('Diário 4º PA'!$E$4:$E$2564='Analítico Cx.'!$B30),-('Diário 4º PA'!$P$4:$P$2564=N$1),('Diário 4º PA'!$F$4:$F$2564))</f>
        <v>0</v>
      </c>
      <c r="O30" s="184">
        <f>SUM(C30:N30)</f>
        <v>0</v>
      </c>
      <c r="P30" s="167">
        <f>IF($O$167=0,0,O30/$O$167)</f>
        <v>0</v>
      </c>
    </row>
    <row r="31" spans="1:16" ht="23.25" customHeight="1" x14ac:dyDescent="0.2">
      <c r="A31" s="61" t="s">
        <v>250</v>
      </c>
      <c r="B31" s="60" t="s">
        <v>251</v>
      </c>
      <c r="C31" s="183">
        <f>SUMPRODUCT(-('Diário 1º PA'!$E$4:$E$2635='Analítico Cx.'!$B31),-('Diário 1º PA'!$P$4:$P$2635=C$1),('Diário 1º PA'!$F$4:$F$2635))+SUMPRODUCT(-('Diário 2º PA'!$E$4:$E$3040='Analítico Cx.'!$B31),-('Diário 2º PA'!$P$4:$P$3040=C$1),('Diário 2º PA'!$F$4:$F$3040))+SUMPRODUCT(-('Diário 3º PA'!$E$4:$E$2731='Analítico Cx.'!$B31),-('Diário 3º PA'!$P$4:$P$2731=C$1),('Diário 3º PA'!$F$4:$F$2731))+SUMPRODUCT(-('Diário 4º PA'!$E$4:$E$2564='Analítico Cx.'!$B31),-('Diário 4º PA'!$P$4:$P$2564=C$1),('Diário 4º PA'!$F$4:$F$2564))</f>
        <v>0</v>
      </c>
      <c r="D31" s="183">
        <f>SUMPRODUCT(-('Diário 1º PA'!$E$4:$E$2635='Analítico Cx.'!$B31),-('Diário 1º PA'!$P$4:$P$2635=D$1),('Diário 1º PA'!$F$4:$F$2635))+SUMPRODUCT(-('Diário 2º PA'!$E$4:$E$3040='Analítico Cx.'!$B31),-('Diário 2º PA'!$P$4:$P$3040=D$1),('Diário 2º PA'!$F$4:$F$3040))+SUMPRODUCT(-('Diário 3º PA'!$E$4:$E$2731='Analítico Cx.'!$B31),-('Diário 3º PA'!$P$4:$P$2731=D$1),('Diário 3º PA'!$F$4:$F$2731))+SUMPRODUCT(-('Diário 4º PA'!$E$4:$E$2564='Analítico Cx.'!$B31),-('Diário 4º PA'!$P$4:$P$2564=D$1),('Diário 4º PA'!$F$4:$F$2564))</f>
        <v>0</v>
      </c>
      <c r="E31" s="183">
        <f>SUMPRODUCT(-('Diário 1º PA'!$E$4:$E$2635='Analítico Cx.'!$B31),-('Diário 1º PA'!$P$4:$P$2635=E$1),('Diário 1º PA'!$F$4:$F$2635))+SUMPRODUCT(-('Diário 2º PA'!$E$4:$E$3040='Analítico Cx.'!$B31),-('Diário 2º PA'!$P$4:$P$3040=E$1),('Diário 2º PA'!$F$4:$F$3040))+SUMPRODUCT(-('Diário 3º PA'!$E$4:$E$2731='Analítico Cx.'!$B31),-('Diário 3º PA'!$P$4:$P$2731=E$1),('Diário 3º PA'!$F$4:$F$2731))+SUMPRODUCT(-('Diário 4º PA'!$E$4:$E$2564='Analítico Cx.'!$B31),-('Diário 4º PA'!$P$4:$P$2564=E$1),('Diário 4º PA'!$F$4:$F$2564))</f>
        <v>0</v>
      </c>
      <c r="F31" s="183">
        <f>SUMPRODUCT(-('Diário 1º PA'!$E$4:$E$2635='Analítico Cx.'!$B31),-('Diário 1º PA'!$P$4:$P$2635=F$1),('Diário 1º PA'!$F$4:$F$2635))+SUMPRODUCT(-('Diário 2º PA'!$E$4:$E$3040='Analítico Cx.'!$B31),-('Diário 2º PA'!$P$4:$P$3040=F$1),('Diário 2º PA'!$F$4:$F$3040))+SUMPRODUCT(-('Diário 3º PA'!$E$4:$E$2731='Analítico Cx.'!$B31),-('Diário 3º PA'!$P$4:$P$2731=F$1),('Diário 3º PA'!$F$4:$F$2731))+SUMPRODUCT(-('Diário 4º PA'!$E$4:$E$2564='Analítico Cx.'!$B31),-('Diário 4º PA'!$P$4:$P$2564=F$1),('Diário 4º PA'!$F$4:$F$2564))</f>
        <v>0</v>
      </c>
      <c r="G31" s="183">
        <f>SUMPRODUCT(-('Diário 1º PA'!$E$4:$E$2635='Analítico Cx.'!$B31),-('Diário 1º PA'!$P$4:$P$2635=G$1),('Diário 1º PA'!$F$4:$F$2635))+SUMPRODUCT(-('Diário 2º PA'!$E$4:$E$3040='Analítico Cx.'!$B31),-('Diário 2º PA'!$P$4:$P$3040=G$1),('Diário 2º PA'!$F$4:$F$3040))+SUMPRODUCT(-('Diário 3º PA'!$E$4:$E$2731='Analítico Cx.'!$B31),-('Diário 3º PA'!$P$4:$P$2731=G$1),('Diário 3º PA'!$F$4:$F$2731))+SUMPRODUCT(-('Diário 4º PA'!$E$4:$E$2564='Analítico Cx.'!$B31),-('Diário 4º PA'!$P$4:$P$2564=G$1),('Diário 4º PA'!$F$4:$F$2564))</f>
        <v>0</v>
      </c>
      <c r="H31" s="183">
        <f>SUMPRODUCT(-('Diário 1º PA'!$E$4:$E$2635='Analítico Cx.'!$B31),-('Diário 1º PA'!$P$4:$P$2635=H$1),('Diário 1º PA'!$F$4:$F$2635))+SUMPRODUCT(-('Diário 2º PA'!$E$4:$E$3040='Analítico Cx.'!$B31),-('Diário 2º PA'!$P$4:$P$3040=H$1),('Diário 2º PA'!$F$4:$F$3040))+SUMPRODUCT(-('Diário 3º PA'!$E$4:$E$2731='Analítico Cx.'!$B31),-('Diário 3º PA'!$P$4:$P$2731=H$1),('Diário 3º PA'!$F$4:$F$2731))+SUMPRODUCT(-('Diário 4º PA'!$E$4:$E$2564='Analítico Cx.'!$B31),-('Diário 4º PA'!$P$4:$P$2564=H$1),('Diário 4º PA'!$F$4:$F$2564))</f>
        <v>0</v>
      </c>
      <c r="I31" s="183">
        <f>SUMPRODUCT(-('Diário 1º PA'!$E$4:$E$2635='Analítico Cx.'!$B31),-('Diário 1º PA'!$P$4:$P$2635=I$1),('Diário 1º PA'!$F$4:$F$2635))+SUMPRODUCT(-('Diário 2º PA'!$E$4:$E$3040='Analítico Cx.'!$B31),-('Diário 2º PA'!$P$4:$P$3040=I$1),('Diário 2º PA'!$F$4:$F$3040))+SUMPRODUCT(-('Diário 3º PA'!$E$4:$E$2731='Analítico Cx.'!$B31),-('Diário 3º PA'!$P$4:$P$2731=I$1),('Diário 3º PA'!$F$4:$F$2731))+SUMPRODUCT(-('Diário 4º PA'!$E$4:$E$2564='Analítico Cx.'!$B31),-('Diário 4º PA'!$P$4:$P$2564=I$1),('Diário 4º PA'!$F$4:$F$2564))</f>
        <v>0</v>
      </c>
      <c r="J31" s="183">
        <f>SUMPRODUCT(-('Diário 1º PA'!$E$4:$E$2635='Analítico Cx.'!$B31),-('Diário 1º PA'!$P$4:$P$2635=J$1),('Diário 1º PA'!$F$4:$F$2635))+SUMPRODUCT(-('Diário 2º PA'!$E$4:$E$3040='Analítico Cx.'!$B31),-('Diário 2º PA'!$P$4:$P$3040=J$1),('Diário 2º PA'!$F$4:$F$3040))+SUMPRODUCT(-('Diário 3º PA'!$E$4:$E$2731='Analítico Cx.'!$B31),-('Diário 3º PA'!$P$4:$P$2731=J$1),('Diário 3º PA'!$F$4:$F$2731))+SUMPRODUCT(-('Diário 4º PA'!$E$4:$E$2564='Analítico Cx.'!$B31),-('Diário 4º PA'!$P$4:$P$2564=J$1),('Diário 4º PA'!$F$4:$F$2564))</f>
        <v>0</v>
      </c>
      <c r="K31" s="183">
        <f>SUMPRODUCT(-('Diário 1º PA'!$E$4:$E$2635='Analítico Cx.'!$B31),-('Diário 1º PA'!$P$4:$P$2635=K$1),('Diário 1º PA'!$F$4:$F$2635))+SUMPRODUCT(-('Diário 2º PA'!$E$4:$E$3040='Analítico Cx.'!$B31),-('Diário 2º PA'!$P$4:$P$3040=K$1),('Diário 2º PA'!$F$4:$F$3040))+SUMPRODUCT(-('Diário 3º PA'!$E$4:$E$2731='Analítico Cx.'!$B31),-('Diário 3º PA'!$P$4:$P$2731=K$1),('Diário 3º PA'!$F$4:$F$2731))+SUMPRODUCT(-('Diário 4º PA'!$E$4:$E$2564='Analítico Cx.'!$B31),-('Diário 4º PA'!$P$4:$P$2564=K$1),('Diário 4º PA'!$F$4:$F$2564))</f>
        <v>0</v>
      </c>
      <c r="L31" s="183">
        <f>SUMPRODUCT(-('Diário 1º PA'!$E$4:$E$2635='Analítico Cx.'!$B31),-('Diário 1º PA'!$P$4:$P$2635=L$1),('Diário 1º PA'!$F$4:$F$2635))+SUMPRODUCT(-('Diário 2º PA'!$E$4:$E$3040='Analítico Cx.'!$B31),-('Diário 2º PA'!$P$4:$P$3040=L$1),('Diário 2º PA'!$F$4:$F$3040))+SUMPRODUCT(-('Diário 3º PA'!$E$4:$E$2731='Analítico Cx.'!$B31),-('Diário 3º PA'!$P$4:$P$2731=L$1),('Diário 3º PA'!$F$4:$F$2731))+SUMPRODUCT(-('Diário 4º PA'!$E$4:$E$2564='Analítico Cx.'!$B31),-('Diário 4º PA'!$P$4:$P$2564=L$1),('Diário 4º PA'!$F$4:$F$2564))</f>
        <v>0</v>
      </c>
      <c r="M31" s="183">
        <f>SUMPRODUCT(-('Diário 1º PA'!$E$4:$E$2635='Analítico Cx.'!$B31),-('Diário 1º PA'!$P$4:$P$2635=M$1),('Diário 1º PA'!$F$4:$F$2635))+SUMPRODUCT(-('Diário 2º PA'!$E$4:$E$3040='Analítico Cx.'!$B31),-('Diário 2º PA'!$P$4:$P$3040=M$1),('Diário 2º PA'!$F$4:$F$3040))+SUMPRODUCT(-('Diário 3º PA'!$E$4:$E$2731='Analítico Cx.'!$B31),-('Diário 3º PA'!$P$4:$P$2731=M$1),('Diário 3º PA'!$F$4:$F$2731))+SUMPRODUCT(-('Diário 4º PA'!$E$4:$E$2564='Analítico Cx.'!$B31),-('Diário 4º PA'!$P$4:$P$2564=M$1),('Diário 4º PA'!$F$4:$F$2564))</f>
        <v>0</v>
      </c>
      <c r="N31" s="183">
        <f>SUMPRODUCT(-('Diário 1º PA'!$E$4:$E$2635='Analítico Cx.'!$B31),-('Diário 1º PA'!$P$4:$P$2635=N$1),('Diário 1º PA'!$F$4:$F$2635))+SUMPRODUCT(-('Diário 2º PA'!$E$4:$E$3040='Analítico Cx.'!$B31),-('Diário 2º PA'!$P$4:$P$3040=N$1),('Diário 2º PA'!$F$4:$F$3040))+SUMPRODUCT(-('Diário 3º PA'!$E$4:$E$2731='Analítico Cx.'!$B31),-('Diário 3º PA'!$P$4:$P$2731=N$1),('Diário 3º PA'!$F$4:$F$2731))+SUMPRODUCT(-('Diário 4º PA'!$E$4:$E$2564='Analítico Cx.'!$B31),-('Diário 4º PA'!$P$4:$P$2564=N$1),('Diário 4º PA'!$F$4:$F$2564))</f>
        <v>0</v>
      </c>
      <c r="O31" s="184">
        <f>SUM(C31:N31)</f>
        <v>0</v>
      </c>
      <c r="P31" s="167">
        <f>IF($O$167=0,0,O31/$O$167)</f>
        <v>0</v>
      </c>
    </row>
    <row r="32" spans="1:16" ht="23.25" customHeight="1" x14ac:dyDescent="0.2">
      <c r="A32" s="23"/>
      <c r="B32" s="24" t="s">
        <v>107</v>
      </c>
      <c r="C32" s="186">
        <f>SUBTOTAL(109,C30:C31)</f>
        <v>0</v>
      </c>
      <c r="D32" s="186">
        <f t="shared" ref="D32:O32" si="5">SUBTOTAL(109,D30:D31)</f>
        <v>0</v>
      </c>
      <c r="E32" s="186">
        <f t="shared" si="5"/>
        <v>0</v>
      </c>
      <c r="F32" s="186">
        <f t="shared" si="5"/>
        <v>0</v>
      </c>
      <c r="G32" s="186">
        <f t="shared" si="5"/>
        <v>0</v>
      </c>
      <c r="H32" s="186">
        <f t="shared" si="5"/>
        <v>0</v>
      </c>
      <c r="I32" s="186">
        <f t="shared" ref="I32:N32" si="6">SUBTOTAL(109,I30:I31)</f>
        <v>0</v>
      </c>
      <c r="J32" s="186">
        <f t="shared" si="6"/>
        <v>0</v>
      </c>
      <c r="K32" s="186">
        <f t="shared" si="6"/>
        <v>0</v>
      </c>
      <c r="L32" s="186">
        <f t="shared" si="6"/>
        <v>0</v>
      </c>
      <c r="M32" s="186">
        <f t="shared" si="6"/>
        <v>0</v>
      </c>
      <c r="N32" s="186">
        <f t="shared" si="6"/>
        <v>0</v>
      </c>
      <c r="O32" s="186">
        <f t="shared" si="5"/>
        <v>0</v>
      </c>
      <c r="P32" s="171">
        <f>IF($O$167=0,0,O32/$O$167)</f>
        <v>0</v>
      </c>
    </row>
    <row r="33" spans="1:16" ht="23.25" customHeight="1" x14ac:dyDescent="0.2">
      <c r="A33" s="21" t="s">
        <v>13</v>
      </c>
      <c r="B33" s="33" t="s">
        <v>37</v>
      </c>
      <c r="C33" s="187"/>
      <c r="D33" s="187"/>
      <c r="E33" s="187"/>
      <c r="F33" s="187"/>
      <c r="G33" s="187"/>
      <c r="H33" s="187"/>
      <c r="I33" s="187"/>
      <c r="J33" s="187"/>
      <c r="K33" s="187"/>
      <c r="L33" s="187"/>
      <c r="M33" s="187"/>
      <c r="N33" s="187"/>
      <c r="O33" s="187"/>
      <c r="P33" s="172"/>
    </row>
    <row r="34" spans="1:16" ht="23.25" customHeight="1" x14ac:dyDescent="0.2">
      <c r="A34" s="61" t="s">
        <v>108</v>
      </c>
      <c r="B34" s="60" t="s">
        <v>252</v>
      </c>
      <c r="C34" s="183">
        <f>SUMPRODUCT(-('Diário 1º PA'!$E$4:$E$2635='Analítico Cx.'!$B34),-('Diário 1º PA'!$P$4:$P$2635=C$1),('Diário 1º PA'!$F$4:$F$2635))+SUMPRODUCT(-('Diário 2º PA'!$E$4:$E$3040='Analítico Cx.'!$B34),-('Diário 2º PA'!$P$4:$P$3040=C$1),('Diário 2º PA'!$F$4:$F$3040))+SUMPRODUCT(-('Diário 3º PA'!$E$4:$E$2731='Analítico Cx.'!$B34),-('Diário 3º PA'!$P$4:$P$2731=C$1),('Diário 3º PA'!$F$4:$F$2731))+SUMPRODUCT(-('Diário 4º PA'!$E$4:$E$2564='Analítico Cx.'!$B34),-('Diário 4º PA'!$P$4:$P$2564=C$1),('Diário 4º PA'!$F$4:$F$2564))</f>
        <v>49914.73</v>
      </c>
      <c r="D34" s="183">
        <f>SUMPRODUCT(-('Diário 1º PA'!$E$4:$E$2635='Analítico Cx.'!$B34),-('Diário 1º PA'!$P$4:$P$2635=D$1),('Diário 1º PA'!$F$4:$F$2635))+SUMPRODUCT(-('Diário 2º PA'!$E$4:$E$3040='Analítico Cx.'!$B34),-('Diário 2º PA'!$P$4:$P$3040=D$1),('Diário 2º PA'!$F$4:$F$3040))+SUMPRODUCT(-('Diário 3º PA'!$E$4:$E$2731='Analítico Cx.'!$B34),-('Diário 3º PA'!$P$4:$P$2731=D$1),('Diário 3º PA'!$F$4:$F$2731))+SUMPRODUCT(-('Diário 4º PA'!$E$4:$E$2564='Analítico Cx.'!$B34),-('Diário 4º PA'!$P$4:$P$2564=D$1),('Diário 4º PA'!$F$4:$F$2564))</f>
        <v>51916.51</v>
      </c>
      <c r="E34" s="183">
        <f>SUMPRODUCT(-('Diário 1º PA'!$E$4:$E$2635='Analítico Cx.'!$B34),-('Diário 1º PA'!$P$4:$P$2635=E$1),('Diário 1º PA'!$F$4:$F$2635))+SUMPRODUCT(-('Diário 2º PA'!$E$4:$E$3040='Analítico Cx.'!$B34),-('Diário 2º PA'!$P$4:$P$3040=E$1),('Diário 2º PA'!$F$4:$F$3040))+SUMPRODUCT(-('Diário 3º PA'!$E$4:$E$2731='Analítico Cx.'!$B34),-('Diário 3º PA'!$P$4:$P$2731=E$1),('Diário 3º PA'!$F$4:$F$2731))+SUMPRODUCT(-('Diário 4º PA'!$E$4:$E$2564='Analítico Cx.'!$B34),-('Diário 4º PA'!$P$4:$P$2564=E$1),('Diário 4º PA'!$F$4:$F$2564))</f>
        <v>50454.01</v>
      </c>
      <c r="F34" s="183">
        <f>SUMPRODUCT(-('Diário 1º PA'!$E$4:$E$2635='Analítico Cx.'!$B34),-('Diário 1º PA'!$P$4:$P$2635=F$1),('Diário 1º PA'!$F$4:$F$2635))+SUMPRODUCT(-('Diário 2º PA'!$E$4:$E$3040='Analítico Cx.'!$B34),-('Diário 2º PA'!$P$4:$P$3040=F$1),('Diário 2º PA'!$F$4:$F$3040))+SUMPRODUCT(-('Diário 3º PA'!$E$4:$E$2731='Analítico Cx.'!$B34),-('Diário 3º PA'!$P$4:$P$2731=F$1),('Diário 3º PA'!$F$4:$F$2731))+SUMPRODUCT(-('Diário 4º PA'!$E$4:$E$2564='Analítico Cx.'!$B34),-('Diário 4º PA'!$P$4:$P$2564=F$1),('Diário 4º PA'!$F$4:$F$2564))</f>
        <v>51553.61</v>
      </c>
      <c r="G34" s="183">
        <f>SUMPRODUCT(-('Diário 1º PA'!$E$4:$E$2635='Analítico Cx.'!$B34),-('Diário 1º PA'!$P$4:$P$2635=G$1),('Diário 1º PA'!$F$4:$F$2635))+SUMPRODUCT(-('Diário 2º PA'!$E$4:$E$3040='Analítico Cx.'!$B34),-('Diário 2º PA'!$P$4:$P$3040=G$1),('Diário 2º PA'!$F$4:$F$3040))+SUMPRODUCT(-('Diário 3º PA'!$E$4:$E$2731='Analítico Cx.'!$B34),-('Diário 3º PA'!$P$4:$P$2731=G$1),('Diário 3º PA'!$F$4:$F$2731))+SUMPRODUCT(-('Diário 4º PA'!$E$4:$E$2564='Analítico Cx.'!$B34),-('Diário 4º PA'!$P$4:$P$2564=G$1),('Diário 4º PA'!$F$4:$F$2564))</f>
        <v>54628.67</v>
      </c>
      <c r="H34" s="183">
        <f>SUMPRODUCT(-('Diário 1º PA'!$E$4:$E$2635='Analítico Cx.'!$B34),-('Diário 1º PA'!$P$4:$P$2635=H$1),('Diário 1º PA'!$F$4:$F$2635))+SUMPRODUCT(-('Diário 2º PA'!$E$4:$E$3040='Analítico Cx.'!$B34),-('Diário 2º PA'!$P$4:$P$3040=H$1),('Diário 2º PA'!$F$4:$F$3040))+SUMPRODUCT(-('Diário 3º PA'!$E$4:$E$2731='Analítico Cx.'!$B34),-('Diário 3º PA'!$P$4:$P$2731=H$1),('Diário 3º PA'!$F$4:$F$2731))+SUMPRODUCT(-('Diário 4º PA'!$E$4:$E$2564='Analítico Cx.'!$B34),-('Diário 4º PA'!$P$4:$P$2564=H$1),('Diário 4º PA'!$F$4:$F$2564))</f>
        <v>52102.89</v>
      </c>
      <c r="I34" s="183">
        <f>SUMPRODUCT(-('Diário 1º PA'!$E$4:$E$2635='Analítico Cx.'!$B34),-('Diário 1º PA'!$P$4:$P$2635=I$1),('Diário 1º PA'!$F$4:$F$2635))+SUMPRODUCT(-('Diário 2º PA'!$E$4:$E$3040='Analítico Cx.'!$B34),-('Diário 2º PA'!$P$4:$P$3040=I$1),('Diário 2º PA'!$F$4:$F$3040))+SUMPRODUCT(-('Diário 3º PA'!$E$4:$E$2731='Analítico Cx.'!$B34),-('Diário 3º PA'!$P$4:$P$2731=I$1),('Diário 3º PA'!$F$4:$F$2731))+SUMPRODUCT(-('Diário 4º PA'!$E$4:$E$2564='Analítico Cx.'!$B34),-('Diário 4º PA'!$P$4:$P$2564=I$1),('Diário 4º PA'!$F$4:$F$2564))</f>
        <v>51817.17</v>
      </c>
      <c r="J34" s="183">
        <f>SUMPRODUCT(-('Diário 1º PA'!$E$4:$E$2635='Analítico Cx.'!$B34),-('Diário 1º PA'!$P$4:$P$2635=J$1),('Diário 1º PA'!$F$4:$F$2635))+SUMPRODUCT(-('Diário 2º PA'!$E$4:$E$3040='Analítico Cx.'!$B34),-('Diário 2º PA'!$P$4:$P$3040=J$1),('Diário 2º PA'!$F$4:$F$3040))+SUMPRODUCT(-('Diário 3º PA'!$E$4:$E$2731='Analítico Cx.'!$B34),-('Diário 3º PA'!$P$4:$P$2731=J$1),('Diário 3º PA'!$F$4:$F$2731))+SUMPRODUCT(-('Diário 4º PA'!$E$4:$E$2564='Analítico Cx.'!$B34),-('Diário 4º PA'!$P$4:$P$2564=J$1),('Diário 4º PA'!$F$4:$F$2564))</f>
        <v>63498.74</v>
      </c>
      <c r="K34" s="183">
        <f>SUMPRODUCT(-('Diário 1º PA'!$E$4:$E$2635='Analítico Cx.'!$B34),-('Diário 1º PA'!$P$4:$P$2635=K$1),('Diário 1º PA'!$F$4:$F$2635))+SUMPRODUCT(-('Diário 2º PA'!$E$4:$E$3040='Analítico Cx.'!$B34),-('Diário 2º PA'!$P$4:$P$3040=K$1),('Diário 2º PA'!$F$4:$F$3040))+SUMPRODUCT(-('Diário 3º PA'!$E$4:$E$2731='Analítico Cx.'!$B34),-('Diário 3º PA'!$P$4:$P$2731=K$1),('Diário 3º PA'!$F$4:$F$2731))+SUMPRODUCT(-('Diário 4º PA'!$E$4:$E$2564='Analítico Cx.'!$B34),-('Diário 4º PA'!$P$4:$P$2564=K$1),('Diário 4º PA'!$F$4:$F$2564))</f>
        <v>57979.08</v>
      </c>
      <c r="L34" s="183">
        <f>SUMPRODUCT(-('Diário 1º PA'!$E$4:$E$2635='Analítico Cx.'!$B34),-('Diário 1º PA'!$P$4:$P$2635=L$1),('Diário 1º PA'!$F$4:$F$2635))+SUMPRODUCT(-('Diário 2º PA'!$E$4:$E$3040='Analítico Cx.'!$B34),-('Diário 2º PA'!$P$4:$P$3040=L$1),('Diário 2º PA'!$F$4:$F$3040))+SUMPRODUCT(-('Diário 3º PA'!$E$4:$E$2731='Analítico Cx.'!$B34),-('Diário 3º PA'!$P$4:$P$2731=L$1),('Diário 3º PA'!$F$4:$F$2731))+SUMPRODUCT(-('Diário 4º PA'!$E$4:$E$2564='Analítico Cx.'!$B34),-('Diário 4º PA'!$P$4:$P$2564=L$1),('Diário 4º PA'!$F$4:$F$2564))</f>
        <v>66517.97</v>
      </c>
      <c r="M34" s="183">
        <f>SUMPRODUCT(-('Diário 1º PA'!$E$4:$E$2635='Analítico Cx.'!$B34),-('Diário 1º PA'!$P$4:$P$2635=M$1),('Diário 1º PA'!$F$4:$F$2635))+SUMPRODUCT(-('Diário 2º PA'!$E$4:$E$3040='Analítico Cx.'!$B34),-('Diário 2º PA'!$P$4:$P$3040=M$1),('Diário 2º PA'!$F$4:$F$3040))+SUMPRODUCT(-('Diário 3º PA'!$E$4:$E$2731='Analítico Cx.'!$B34),-('Diário 3º PA'!$P$4:$P$2731=M$1),('Diário 3º PA'!$F$4:$F$2731))+SUMPRODUCT(-('Diário 4º PA'!$E$4:$E$2564='Analítico Cx.'!$B34),-('Diário 4º PA'!$P$4:$P$2564=M$1),('Diário 4º PA'!$F$4:$F$2564))</f>
        <v>59900.02</v>
      </c>
      <c r="N34" s="183">
        <f>SUMPRODUCT(-('Diário 1º PA'!$E$4:$E$2635='Analítico Cx.'!$B34),-('Diário 1º PA'!$P$4:$P$2635=N$1),('Diário 1º PA'!$F$4:$F$2635))+SUMPRODUCT(-('Diário 2º PA'!$E$4:$E$3040='Analítico Cx.'!$B34),-('Diário 2º PA'!$P$4:$P$3040=N$1),('Diário 2º PA'!$F$4:$F$3040))+SUMPRODUCT(-('Diário 3º PA'!$E$4:$E$2731='Analítico Cx.'!$B34),-('Diário 3º PA'!$P$4:$P$2731=N$1),('Diário 3º PA'!$F$4:$F$2731))+SUMPRODUCT(-('Diário 4º PA'!$E$4:$E$2564='Analítico Cx.'!$B34),-('Diário 4º PA'!$P$4:$P$2564=N$1),('Diário 4º PA'!$F$4:$F$2564))</f>
        <v>60227.29</v>
      </c>
      <c r="O34" s="184">
        <f>SUM(C34:N34)</f>
        <v>670510.69000000006</v>
      </c>
      <c r="P34" s="167">
        <f t="shared" ref="P34:P57" si="7">IF($O$167=0,0,O34/$O$167)</f>
        <v>5.2812804547261068E-2</v>
      </c>
    </row>
    <row r="35" spans="1:16" ht="23.25" customHeight="1" x14ac:dyDescent="0.2">
      <c r="A35" s="61" t="s">
        <v>172</v>
      </c>
      <c r="B35" s="60" t="s">
        <v>267</v>
      </c>
      <c r="C35" s="183">
        <f>SUMPRODUCT(-('Diário 1º PA'!$E$4:$E$2635='Analítico Cx.'!$B35),-('Diário 1º PA'!$P$4:$P$2635=C$1),('Diário 1º PA'!$F$4:$F$2635))+SUMPRODUCT(-('Diário 2º PA'!$E$4:$E$3040='Analítico Cx.'!$B35),-('Diário 2º PA'!$P$4:$P$3040=C$1),('Diário 2º PA'!$F$4:$F$3040))+SUMPRODUCT(-('Diário 3º PA'!$E$4:$E$2731='Analítico Cx.'!$B35),-('Diário 3º PA'!$P$4:$P$2731=C$1),('Diário 3º PA'!$F$4:$F$2731))+SUMPRODUCT(-('Diário 4º PA'!$E$4:$E$2564='Analítico Cx.'!$B35),-('Diário 4º PA'!$P$4:$P$2564=C$1),('Diário 4º PA'!$F$4:$F$2564))</f>
        <v>1959.45</v>
      </c>
      <c r="D35" s="183">
        <f>SUMPRODUCT(-('Diário 1º PA'!$E$4:$E$2635='Analítico Cx.'!$B35),-('Diário 1º PA'!$P$4:$P$2635=D$1),('Diário 1º PA'!$F$4:$F$2635))+SUMPRODUCT(-('Diário 2º PA'!$E$4:$E$3040='Analítico Cx.'!$B35),-('Diário 2º PA'!$P$4:$P$3040=D$1),('Diário 2º PA'!$F$4:$F$3040))+SUMPRODUCT(-('Diário 3º PA'!$E$4:$E$2731='Analítico Cx.'!$B35),-('Diário 3º PA'!$P$4:$P$2731=D$1),('Diário 3º PA'!$F$4:$F$2731))+SUMPRODUCT(-('Diário 4º PA'!$E$4:$E$2564='Analítico Cx.'!$B35),-('Diário 4º PA'!$P$4:$P$2564=D$1),('Diário 4º PA'!$F$4:$F$2564))</f>
        <v>2038.16</v>
      </c>
      <c r="E35" s="183">
        <f>SUMPRODUCT(-('Diário 1º PA'!$E$4:$E$2635='Analítico Cx.'!$B35),-('Diário 1º PA'!$P$4:$P$2635=E$1),('Diário 1º PA'!$F$4:$F$2635))+SUMPRODUCT(-('Diário 2º PA'!$E$4:$E$3040='Analítico Cx.'!$B35),-('Diário 2º PA'!$P$4:$P$3040=E$1),('Diário 2º PA'!$F$4:$F$3040))+SUMPRODUCT(-('Diário 3º PA'!$E$4:$E$2731='Analítico Cx.'!$B35),-('Diário 3º PA'!$P$4:$P$2731=E$1),('Diário 3º PA'!$F$4:$F$2731))+SUMPRODUCT(-('Diário 4º PA'!$E$4:$E$2564='Analítico Cx.'!$B35),-('Diário 4º PA'!$P$4:$P$2564=E$1),('Diário 4º PA'!$F$4:$F$2564))</f>
        <v>1980.8</v>
      </c>
      <c r="F35" s="183">
        <f>SUMPRODUCT(-('Diário 1º PA'!$E$4:$E$2635='Analítico Cx.'!$B35),-('Diário 1º PA'!$P$4:$P$2635=F$1),('Diário 1º PA'!$F$4:$F$2635))+SUMPRODUCT(-('Diário 2º PA'!$E$4:$E$3040='Analítico Cx.'!$B35),-('Diário 2º PA'!$P$4:$P$3040=F$1),('Diário 2º PA'!$F$4:$F$3040))+SUMPRODUCT(-('Diário 3º PA'!$E$4:$E$2731='Analítico Cx.'!$B35),-('Diário 3º PA'!$P$4:$P$2731=F$1),('Diário 3º PA'!$F$4:$F$2731))+SUMPRODUCT(-('Diário 4º PA'!$E$4:$E$2564='Analítico Cx.'!$B35),-('Diário 4º PA'!$P$4:$P$2564=F$1),('Diário 4º PA'!$F$4:$F$2564))</f>
        <v>2023.93</v>
      </c>
      <c r="G35" s="183">
        <f>SUMPRODUCT(-('Diário 1º PA'!$E$4:$E$2635='Analítico Cx.'!$B35),-('Diário 1º PA'!$P$4:$P$2635=G$1),('Diário 1º PA'!$F$4:$F$2635))+SUMPRODUCT(-('Diário 2º PA'!$E$4:$E$3040='Analítico Cx.'!$B35),-('Diário 2º PA'!$P$4:$P$3040=G$1),('Diário 2º PA'!$F$4:$F$3040))+SUMPRODUCT(-('Diário 3º PA'!$E$4:$E$2731='Analítico Cx.'!$B35),-('Diário 3º PA'!$P$4:$P$2731=G$1),('Diário 3º PA'!$F$4:$F$2731))+SUMPRODUCT(-('Diário 4º PA'!$E$4:$E$2564='Analítico Cx.'!$B35),-('Diário 4º PA'!$P$4:$P$2564=G$1),('Diário 4º PA'!$F$4:$F$2564))</f>
        <v>2144.52</v>
      </c>
      <c r="H35" s="183">
        <f>SUMPRODUCT(-('Diário 1º PA'!$E$4:$E$2635='Analítico Cx.'!$B35),-('Diário 1º PA'!$P$4:$P$2635=H$1),('Diário 1º PA'!$F$4:$F$2635))+SUMPRODUCT(-('Diário 2º PA'!$E$4:$E$3040='Analítico Cx.'!$B35),-('Diário 2º PA'!$P$4:$P$3040=H$1),('Diário 2º PA'!$F$4:$F$3040))+SUMPRODUCT(-('Diário 3º PA'!$E$4:$E$2731='Analítico Cx.'!$B35),-('Diário 3º PA'!$P$4:$P$2731=H$1),('Diário 3º PA'!$F$4:$F$2731))+SUMPRODUCT(-('Diário 4º PA'!$E$4:$E$2564='Analítico Cx.'!$B35),-('Diário 4º PA'!$P$4:$P$2564=H$1),('Diário 4º PA'!$F$4:$F$2564))</f>
        <v>2045.46</v>
      </c>
      <c r="I35" s="183">
        <f>SUMPRODUCT(-('Diário 1º PA'!$E$4:$E$2635='Analítico Cx.'!$B35),-('Diário 1º PA'!$P$4:$P$2635=I$1),('Diário 1º PA'!$F$4:$F$2635))+SUMPRODUCT(-('Diário 2º PA'!$E$4:$E$3040='Analítico Cx.'!$B35),-('Diário 2º PA'!$P$4:$P$3040=I$1),('Diário 2º PA'!$F$4:$F$3040))+SUMPRODUCT(-('Diário 3º PA'!$E$4:$E$2731='Analítico Cx.'!$B35),-('Diário 3º PA'!$P$4:$P$2731=I$1),('Diário 3º PA'!$F$4:$F$2731))+SUMPRODUCT(-('Diário 4º PA'!$E$4:$E$2564='Analítico Cx.'!$B35),-('Diário 4º PA'!$P$4:$P$2564=I$1),('Diário 4º PA'!$F$4:$F$2564))</f>
        <v>2034.26</v>
      </c>
      <c r="J35" s="183">
        <f>SUMPRODUCT(-('Diário 1º PA'!$E$4:$E$2635='Analítico Cx.'!$B35),-('Diário 1º PA'!$P$4:$P$2635=J$1),('Diário 1º PA'!$F$4:$F$2635))+SUMPRODUCT(-('Diário 2º PA'!$E$4:$E$3040='Analítico Cx.'!$B35),-('Diário 2º PA'!$P$4:$P$3040=J$1),('Diário 2º PA'!$F$4:$F$3040))+SUMPRODUCT(-('Diário 3º PA'!$E$4:$E$2731='Analítico Cx.'!$B35),-('Diário 3º PA'!$P$4:$P$2731=J$1),('Diário 3º PA'!$F$4:$F$2731))+SUMPRODUCT(-('Diário 4º PA'!$E$4:$E$2564='Analítico Cx.'!$B35),-('Diário 4º PA'!$P$4:$P$2564=J$1),('Diário 4º PA'!$F$4:$F$2564))</f>
        <v>2490.15</v>
      </c>
      <c r="K35" s="183">
        <f>SUMPRODUCT(-('Diário 1º PA'!$E$4:$E$2635='Analítico Cx.'!$B35),-('Diário 1º PA'!$P$4:$P$2635=K$1),('Diário 1º PA'!$F$4:$F$2635))+SUMPRODUCT(-('Diário 2º PA'!$E$4:$E$3040='Analítico Cx.'!$B35),-('Diário 2º PA'!$P$4:$P$3040=K$1),('Diário 2º PA'!$F$4:$F$3040))+SUMPRODUCT(-('Diário 3º PA'!$E$4:$E$2731='Analítico Cx.'!$B35),-('Diário 3º PA'!$P$4:$P$2731=K$1),('Diário 3º PA'!$F$4:$F$2731))+SUMPRODUCT(-('Diário 4º PA'!$E$4:$E$2564='Analítico Cx.'!$B35),-('Diário 4º PA'!$P$4:$P$2564=K$1),('Diário 4º PA'!$F$4:$F$2564))</f>
        <v>2268.2600000000002</v>
      </c>
      <c r="L35" s="183">
        <f>SUMPRODUCT(-('Diário 1º PA'!$E$4:$E$2635='Analítico Cx.'!$B35),-('Diário 1º PA'!$P$4:$P$2635=L$1),('Diário 1º PA'!$F$4:$F$2635))+SUMPRODUCT(-('Diário 2º PA'!$E$4:$E$3040='Analítico Cx.'!$B35),-('Diário 2º PA'!$P$4:$P$3040=L$1),('Diário 2º PA'!$F$4:$F$3040))+SUMPRODUCT(-('Diário 3º PA'!$E$4:$E$2731='Analítico Cx.'!$B35),-('Diário 3º PA'!$P$4:$P$2731=L$1),('Diário 3º PA'!$F$4:$F$2731))+SUMPRODUCT(-('Diário 4º PA'!$E$4:$E$2564='Analítico Cx.'!$B35),-('Diário 4º PA'!$P$4:$P$2564=L$1),('Diário 4º PA'!$F$4:$F$2564))</f>
        <v>2599.87</v>
      </c>
      <c r="M35" s="183">
        <f>SUMPRODUCT(-('Diário 1º PA'!$E$4:$E$2635='Analítico Cx.'!$B35),-('Diário 1º PA'!$P$4:$P$2635=M$1),('Diário 1º PA'!$F$4:$F$2635))+SUMPRODUCT(-('Diário 2º PA'!$E$4:$E$3040='Analítico Cx.'!$B35),-('Diário 2º PA'!$P$4:$P$3040=M$1),('Diário 2º PA'!$F$4:$F$3040))+SUMPRODUCT(-('Diário 3º PA'!$E$4:$E$2731='Analítico Cx.'!$B35),-('Diário 3º PA'!$P$4:$P$2731=M$1),('Diário 3º PA'!$F$4:$F$2731))+SUMPRODUCT(-('Diário 4º PA'!$E$4:$E$2564='Analítico Cx.'!$B35),-('Diário 4º PA'!$P$4:$P$2564=M$1),('Diário 4º PA'!$F$4:$F$2564))</f>
        <v>2351.2399999999998</v>
      </c>
      <c r="N35" s="183">
        <f>SUMPRODUCT(-('Diário 1º PA'!$E$4:$E$2635='Analítico Cx.'!$B35),-('Diário 1º PA'!$P$4:$P$2635=N$1),('Diário 1º PA'!$F$4:$F$2635))+SUMPRODUCT(-('Diário 2º PA'!$E$4:$E$3040='Analítico Cx.'!$B35),-('Diário 2º PA'!$P$4:$P$3040=N$1),('Diário 2º PA'!$F$4:$F$3040))+SUMPRODUCT(-('Diário 3º PA'!$E$4:$E$2731='Analítico Cx.'!$B35),-('Diário 3º PA'!$P$4:$P$2731=N$1),('Diário 3º PA'!$F$4:$F$2731))+SUMPRODUCT(-('Diário 4º PA'!$E$4:$E$2564='Analítico Cx.'!$B35),-('Diário 4º PA'!$P$4:$P$2564=N$1),('Diário 4º PA'!$F$4:$F$2564))</f>
        <v>2364.0700000000002</v>
      </c>
      <c r="O35" s="184">
        <f t="shared" ref="O35:O45" si="8">SUM(C35:N35)</f>
        <v>26300.17</v>
      </c>
      <c r="P35" s="167">
        <f t="shared" si="7"/>
        <v>2.0715340687107301E-3</v>
      </c>
    </row>
    <row r="36" spans="1:16" ht="23.25" customHeight="1" x14ac:dyDescent="0.2">
      <c r="A36" s="61" t="s">
        <v>239</v>
      </c>
      <c r="B36" s="60" t="s">
        <v>4</v>
      </c>
      <c r="C36" s="183">
        <f>SUMPRODUCT(-('Diário 1º PA'!$E$4:$E$2635='Analítico Cx.'!$B36),-('Diário 1º PA'!$P$4:$P$2635=C$1),('Diário 1º PA'!$F$4:$F$2635))+SUMPRODUCT(-('Diário 2º PA'!$E$4:$E$3040='Analítico Cx.'!$B36),-('Diário 2º PA'!$P$4:$P$3040=C$1),('Diário 2º PA'!$F$4:$F$3040))+SUMPRODUCT(-('Diário 3º PA'!$E$4:$E$2731='Analítico Cx.'!$B36),-('Diário 3º PA'!$P$4:$P$2731=C$1),('Diário 3º PA'!$F$4:$F$2731))+SUMPRODUCT(-('Diário 4º PA'!$E$4:$E$2564='Analítico Cx.'!$B36),-('Diário 4º PA'!$P$4:$P$2564=C$1),('Diário 4º PA'!$F$4:$F$2564))</f>
        <v>15675.609999999999</v>
      </c>
      <c r="D36" s="183">
        <f>SUMPRODUCT(-('Diário 1º PA'!$E$4:$E$2635='Analítico Cx.'!$B36),-('Diário 1º PA'!$P$4:$P$2635=D$1),('Diário 1º PA'!$F$4:$F$2635))+SUMPRODUCT(-('Diário 2º PA'!$E$4:$E$3040='Analítico Cx.'!$B36),-('Diário 2º PA'!$P$4:$P$3040=D$1),('Diário 2º PA'!$F$4:$F$3040))+SUMPRODUCT(-('Diário 3º PA'!$E$4:$E$2731='Analítico Cx.'!$B36),-('Diário 3º PA'!$P$4:$P$2731=D$1),('Diário 3º PA'!$F$4:$F$2731))+SUMPRODUCT(-('Diário 4º PA'!$E$4:$E$2564='Analítico Cx.'!$B36),-('Diário 4º PA'!$P$4:$P$2564=D$1),('Diário 4º PA'!$F$4:$F$2564))</f>
        <v>16305.25</v>
      </c>
      <c r="E36" s="183">
        <f>SUMPRODUCT(-('Diário 1º PA'!$E$4:$E$2635='Analítico Cx.'!$B36),-('Diário 1º PA'!$P$4:$P$2635=E$1),('Diário 1º PA'!$F$4:$F$2635))+SUMPRODUCT(-('Diário 2º PA'!$E$4:$E$3040='Analítico Cx.'!$B36),-('Diário 2º PA'!$P$4:$P$3040=E$1),('Diário 2º PA'!$F$4:$F$3040))+SUMPRODUCT(-('Diário 3º PA'!$E$4:$E$2731='Analítico Cx.'!$B36),-('Diário 3º PA'!$P$4:$P$2731=E$1),('Diário 3º PA'!$F$4:$F$2731))+SUMPRODUCT(-('Diário 4º PA'!$E$4:$E$2564='Analítico Cx.'!$B36),-('Diário 4º PA'!$P$4:$P$2564=E$1),('Diário 4º PA'!$F$4:$F$2564))</f>
        <v>15846.41</v>
      </c>
      <c r="F36" s="183">
        <f>SUMPRODUCT(-('Diário 1º PA'!$E$4:$E$2635='Analítico Cx.'!$B36),-('Diário 1º PA'!$P$4:$P$2635=F$1),('Diário 1º PA'!$F$4:$F$2635))+SUMPRODUCT(-('Diário 2º PA'!$E$4:$E$3040='Analítico Cx.'!$B36),-('Diário 2º PA'!$P$4:$P$3040=F$1),('Diário 2º PA'!$F$4:$F$3040))+SUMPRODUCT(-('Diário 3º PA'!$E$4:$E$2731='Analítico Cx.'!$B36),-('Diário 3º PA'!$P$4:$P$2731=F$1),('Diário 3º PA'!$F$4:$F$2731))+SUMPRODUCT(-('Diário 4º PA'!$E$4:$E$2564='Analítico Cx.'!$B36),-('Diário 4º PA'!$P$4:$P$2564=F$1),('Diário 4º PA'!$F$4:$F$2564))</f>
        <v>16191.4</v>
      </c>
      <c r="G36" s="183">
        <f>SUMPRODUCT(-('Diário 1º PA'!$E$4:$E$2635='Analítico Cx.'!$B36),-('Diário 1º PA'!$P$4:$P$2635=G$1),('Diário 1º PA'!$F$4:$F$2635))+SUMPRODUCT(-('Diário 2º PA'!$E$4:$E$3040='Analítico Cx.'!$B36),-('Diário 2º PA'!$P$4:$P$3040=G$1),('Diário 2º PA'!$F$4:$F$3040))+SUMPRODUCT(-('Diário 3º PA'!$E$4:$E$2731='Analítico Cx.'!$B36),-('Diário 3º PA'!$P$4:$P$2731=G$1),('Diário 3º PA'!$F$4:$F$2731))+SUMPRODUCT(-('Diário 4º PA'!$E$4:$E$2564='Analítico Cx.'!$B36),-('Diário 4º PA'!$P$4:$P$2564=G$1),('Diário 4º PA'!$F$4:$F$2564))</f>
        <v>17156.13</v>
      </c>
      <c r="H36" s="183">
        <f>SUMPRODUCT(-('Diário 1º PA'!$E$4:$E$2635='Analítico Cx.'!$B36),-('Diário 1º PA'!$P$4:$P$2635=H$1),('Diário 1º PA'!$F$4:$F$2635))+SUMPRODUCT(-('Diário 2º PA'!$E$4:$E$3040='Analítico Cx.'!$B36),-('Diário 2º PA'!$P$4:$P$3040=H$1),('Diário 2º PA'!$F$4:$F$3040))+SUMPRODUCT(-('Diário 3º PA'!$E$4:$E$2731='Analítico Cx.'!$B36),-('Diário 3º PA'!$P$4:$P$2731=H$1),('Diário 3º PA'!$F$4:$F$2731))+SUMPRODUCT(-('Diário 4º PA'!$E$4:$E$2564='Analítico Cx.'!$B36),-('Diário 4º PA'!$P$4:$P$2564=H$1),('Diário 4º PA'!$F$4:$F$2564))</f>
        <v>16237.96</v>
      </c>
      <c r="I36" s="183">
        <f>SUMPRODUCT(-('Diário 1º PA'!$E$4:$E$2635='Analítico Cx.'!$B36),-('Diário 1º PA'!$P$4:$P$2635=I$1),('Diário 1º PA'!$F$4:$F$2635))+SUMPRODUCT(-('Diário 2º PA'!$E$4:$E$3040='Analítico Cx.'!$B36),-('Diário 2º PA'!$P$4:$P$3040=I$1),('Diário 2º PA'!$F$4:$F$3040))+SUMPRODUCT(-('Diário 3º PA'!$E$4:$E$2731='Analítico Cx.'!$B36),-('Diário 3º PA'!$P$4:$P$2731=I$1),('Diário 3º PA'!$F$4:$F$2731))+SUMPRODUCT(-('Diário 4º PA'!$E$4:$E$2564='Analítico Cx.'!$B36),-('Diário 4º PA'!$P$4:$P$2564=I$1),('Diário 4º PA'!$F$4:$F$2564))</f>
        <v>16274.089999999998</v>
      </c>
      <c r="J36" s="183">
        <f>SUMPRODUCT(-('Diário 1º PA'!$E$4:$E$2635='Analítico Cx.'!$B36),-('Diário 1º PA'!$P$4:$P$2635=J$1),('Diário 1º PA'!$F$4:$F$2635))+SUMPRODUCT(-('Diário 2º PA'!$E$4:$E$3040='Analítico Cx.'!$B36),-('Diário 2º PA'!$P$4:$P$3040=J$1),('Diário 2º PA'!$F$4:$F$3040))+SUMPRODUCT(-('Diário 3º PA'!$E$4:$E$2731='Analítico Cx.'!$B36),-('Diário 3º PA'!$P$4:$P$2731=J$1),('Diário 3º PA'!$F$4:$F$2731))+SUMPRODUCT(-('Diário 4º PA'!$E$4:$E$2564='Analítico Cx.'!$B36),-('Diário 4º PA'!$P$4:$P$2564=J$1),('Diário 4º PA'!$F$4:$F$2564))</f>
        <v>19921.169999999998</v>
      </c>
      <c r="K36" s="183">
        <f>SUMPRODUCT(-('Diário 1º PA'!$E$4:$E$2635='Analítico Cx.'!$B36),-('Diário 1º PA'!$P$4:$P$2635=K$1),('Diário 1º PA'!$F$4:$F$2635))+SUMPRODUCT(-('Diário 2º PA'!$E$4:$E$3040='Analítico Cx.'!$B36),-('Diário 2º PA'!$P$4:$P$3040=K$1),('Diário 2º PA'!$F$4:$F$3040))+SUMPRODUCT(-('Diário 3º PA'!$E$4:$E$2731='Analítico Cx.'!$B36),-('Diário 3º PA'!$P$4:$P$2731=K$1),('Diário 3º PA'!$F$4:$F$2731))+SUMPRODUCT(-('Diário 4º PA'!$E$4:$E$2564='Analítico Cx.'!$B36),-('Diário 4º PA'!$P$4:$P$2564=K$1),('Diário 4º PA'!$F$4:$F$2564))</f>
        <v>18299.599999999999</v>
      </c>
      <c r="L36" s="183">
        <f>SUMPRODUCT(-('Diário 1º PA'!$E$4:$E$2635='Analítico Cx.'!$B36),-('Diário 1º PA'!$P$4:$P$2635=L$1),('Diário 1º PA'!$F$4:$F$2635))+SUMPRODUCT(-('Diário 2º PA'!$E$4:$E$3040='Analítico Cx.'!$B36),-('Diário 2º PA'!$P$4:$P$3040=L$1),('Diário 2º PA'!$F$4:$F$3040))+SUMPRODUCT(-('Diário 3º PA'!$E$4:$E$2731='Analítico Cx.'!$B36),-('Diário 3º PA'!$P$4:$P$2731=L$1),('Diário 3º PA'!$F$4:$F$2731))+SUMPRODUCT(-('Diário 4º PA'!$E$4:$E$2564='Analítico Cx.'!$B36),-('Diário 4º PA'!$P$4:$P$2564=L$1),('Diário 4º PA'!$F$4:$F$2564))</f>
        <v>21060.33</v>
      </c>
      <c r="M36" s="183">
        <f>SUMPRODUCT(-('Diário 1º PA'!$E$4:$E$2635='Analítico Cx.'!$B36),-('Diário 1º PA'!$P$4:$P$2635=M$1),('Diário 1º PA'!$F$4:$F$2635))+SUMPRODUCT(-('Diário 2º PA'!$E$4:$E$3040='Analítico Cx.'!$B36),-('Diário 2º PA'!$P$4:$P$3040=M$1),('Diário 2º PA'!$F$4:$F$3040))+SUMPRODUCT(-('Diário 3º PA'!$E$4:$E$2731='Analítico Cx.'!$B36),-('Diário 3º PA'!$P$4:$P$2731=M$1),('Diário 3º PA'!$F$4:$F$2731))+SUMPRODUCT(-('Diário 4º PA'!$E$4:$E$2564='Analítico Cx.'!$B36),-('Diário 4º PA'!$P$4:$P$2564=M$1),('Diário 4º PA'!$F$4:$F$2564))</f>
        <v>19100.239999999998</v>
      </c>
      <c r="N36" s="183">
        <f>SUMPRODUCT(-('Diário 1º PA'!$E$4:$E$2635='Analítico Cx.'!$B36),-('Diário 1º PA'!$P$4:$P$2635=N$1),('Diário 1º PA'!$F$4:$F$2635))+SUMPRODUCT(-('Diário 2º PA'!$E$4:$E$3040='Analítico Cx.'!$B36),-('Diário 2º PA'!$P$4:$P$3040=N$1),('Diário 2º PA'!$F$4:$F$3040))+SUMPRODUCT(-('Diário 3º PA'!$E$4:$E$2731='Analítico Cx.'!$B36),-('Diário 3º PA'!$P$4:$P$2731=N$1),('Diário 3º PA'!$F$4:$F$2731))+SUMPRODUCT(-('Diário 4º PA'!$E$4:$E$2564='Analítico Cx.'!$B36),-('Diário 4º PA'!$P$4:$P$2564=N$1),('Diário 4º PA'!$F$4:$F$2564))</f>
        <v>18775.400000000001</v>
      </c>
      <c r="O36" s="184">
        <f t="shared" si="8"/>
        <v>210843.59</v>
      </c>
      <c r="P36" s="167">
        <f t="shared" si="7"/>
        <v>1.6607104815454691E-2</v>
      </c>
    </row>
    <row r="37" spans="1:16" ht="23.25" customHeight="1" x14ac:dyDescent="0.2">
      <c r="A37" s="61" t="s">
        <v>240</v>
      </c>
      <c r="B37" s="60" t="s">
        <v>10</v>
      </c>
      <c r="C37" s="183">
        <f>SUMPRODUCT(-('Diário 1º PA'!$E$4:$E$2635='Analítico Cx.'!$B37),-('Diário 1º PA'!$P$4:$P$2635=C$1),('Diário 1º PA'!$F$4:$F$2635))+SUMPRODUCT(-('Diário 2º PA'!$E$4:$E$3040='Analítico Cx.'!$B37),-('Diário 2º PA'!$P$4:$P$3040=C$1),('Diário 2º PA'!$F$4:$F$3040))+SUMPRODUCT(-('Diário 3º PA'!$E$4:$E$2731='Analítico Cx.'!$B37),-('Diário 3º PA'!$P$4:$P$2731=C$1),('Diário 3º PA'!$F$4:$F$2731))+SUMPRODUCT(-('Diário 4º PA'!$E$4:$E$2564='Analítico Cx.'!$B37),-('Diário 4º PA'!$P$4:$P$2564=C$1),('Diário 4º PA'!$F$4:$F$2564))</f>
        <v>0</v>
      </c>
      <c r="D37" s="183">
        <f>SUMPRODUCT(-('Diário 1º PA'!$E$4:$E$2635='Analítico Cx.'!$B37),-('Diário 1º PA'!$P$4:$P$2635=D$1),('Diário 1º PA'!$F$4:$F$2635))+SUMPRODUCT(-('Diário 2º PA'!$E$4:$E$3040='Analítico Cx.'!$B37),-('Diário 2º PA'!$P$4:$P$3040=D$1),('Diário 2º PA'!$F$4:$F$3040))+SUMPRODUCT(-('Diário 3º PA'!$E$4:$E$2731='Analítico Cx.'!$B37),-('Diário 3º PA'!$P$4:$P$2731=D$1),('Diário 3º PA'!$F$4:$F$2731))+SUMPRODUCT(-('Diário 4º PA'!$E$4:$E$2564='Analítico Cx.'!$B37),-('Diário 4º PA'!$P$4:$P$2564=D$1),('Diário 4º PA'!$F$4:$F$2564))</f>
        <v>0</v>
      </c>
      <c r="E37" s="183">
        <f>SUMPRODUCT(-('Diário 1º PA'!$E$4:$E$2635='Analítico Cx.'!$B37),-('Diário 1º PA'!$P$4:$P$2635=E$1),('Diário 1º PA'!$F$4:$F$2635))+SUMPRODUCT(-('Diário 2º PA'!$E$4:$E$3040='Analítico Cx.'!$B37),-('Diário 2º PA'!$P$4:$P$3040=E$1),('Diário 2º PA'!$F$4:$F$3040))+SUMPRODUCT(-('Diário 3º PA'!$E$4:$E$2731='Analítico Cx.'!$B37),-('Diário 3º PA'!$P$4:$P$2731=E$1),('Diário 3º PA'!$F$4:$F$2731))+SUMPRODUCT(-('Diário 4º PA'!$E$4:$E$2564='Analítico Cx.'!$B37),-('Diário 4º PA'!$P$4:$P$2564=E$1),('Diário 4º PA'!$F$4:$F$2564))</f>
        <v>0</v>
      </c>
      <c r="F37" s="183">
        <f>SUMPRODUCT(-('Diário 1º PA'!$E$4:$E$2635='Analítico Cx.'!$B37),-('Diário 1º PA'!$P$4:$P$2635=F$1),('Diário 1º PA'!$F$4:$F$2635))+SUMPRODUCT(-('Diário 2º PA'!$E$4:$E$3040='Analítico Cx.'!$B37),-('Diário 2º PA'!$P$4:$P$3040=F$1),('Diário 2º PA'!$F$4:$F$3040))+SUMPRODUCT(-('Diário 3º PA'!$E$4:$E$2731='Analítico Cx.'!$B37),-('Diário 3º PA'!$P$4:$P$2731=F$1),('Diário 3º PA'!$F$4:$F$2731))+SUMPRODUCT(-('Diário 4º PA'!$E$4:$E$2564='Analítico Cx.'!$B37),-('Diário 4º PA'!$P$4:$P$2564=F$1),('Diário 4º PA'!$F$4:$F$2564))</f>
        <v>0</v>
      </c>
      <c r="G37" s="183">
        <f>SUMPRODUCT(-('Diário 1º PA'!$E$4:$E$2635='Analítico Cx.'!$B37),-('Diário 1º PA'!$P$4:$P$2635=G$1),('Diário 1º PA'!$F$4:$F$2635))+SUMPRODUCT(-('Diário 2º PA'!$E$4:$E$3040='Analítico Cx.'!$B37),-('Diário 2º PA'!$P$4:$P$3040=G$1),('Diário 2º PA'!$F$4:$F$3040))+SUMPRODUCT(-('Diário 3º PA'!$E$4:$E$2731='Analítico Cx.'!$B37),-('Diário 3º PA'!$P$4:$P$2731=G$1),('Diário 3º PA'!$F$4:$F$2731))+SUMPRODUCT(-('Diário 4º PA'!$E$4:$E$2564='Analítico Cx.'!$B37),-('Diário 4º PA'!$P$4:$P$2564=G$1),('Diário 4º PA'!$F$4:$F$2564))</f>
        <v>1061.74</v>
      </c>
      <c r="H37" s="183">
        <f>SUMPRODUCT(-('Diário 1º PA'!$E$4:$E$2635='Analítico Cx.'!$B37),-('Diário 1º PA'!$P$4:$P$2635=H$1),('Diário 1º PA'!$F$4:$F$2635))+SUMPRODUCT(-('Diário 2º PA'!$E$4:$E$3040='Analítico Cx.'!$B37),-('Diário 2º PA'!$P$4:$P$3040=H$1),('Diário 2º PA'!$F$4:$F$3040))+SUMPRODUCT(-('Diário 3º PA'!$E$4:$E$2731='Analítico Cx.'!$B37),-('Diário 3º PA'!$P$4:$P$2731=H$1),('Diário 3º PA'!$F$4:$F$2731))+SUMPRODUCT(-('Diário 4º PA'!$E$4:$E$2564='Analítico Cx.'!$B37),-('Diário 4º PA'!$P$4:$P$2564=H$1),('Diário 4º PA'!$F$4:$F$2564))</f>
        <v>0</v>
      </c>
      <c r="I37" s="183">
        <f>SUMPRODUCT(-('Diário 1º PA'!$E$4:$E$2635='Analítico Cx.'!$B37),-('Diário 1º PA'!$P$4:$P$2635=I$1),('Diário 1º PA'!$F$4:$F$2635))+SUMPRODUCT(-('Diário 2º PA'!$E$4:$E$3040='Analítico Cx.'!$B37),-('Diário 2º PA'!$P$4:$P$3040=I$1),('Diário 2º PA'!$F$4:$F$3040))+SUMPRODUCT(-('Diário 3º PA'!$E$4:$E$2731='Analítico Cx.'!$B37),-('Diário 3º PA'!$P$4:$P$2731=I$1),('Diário 3º PA'!$F$4:$F$2731))+SUMPRODUCT(-('Diário 4º PA'!$E$4:$E$2564='Analítico Cx.'!$B37),-('Diário 4º PA'!$P$4:$P$2564=I$1),('Diário 4º PA'!$F$4:$F$2564))</f>
        <v>0</v>
      </c>
      <c r="J37" s="183">
        <f>SUMPRODUCT(-('Diário 1º PA'!$E$4:$E$2635='Analítico Cx.'!$B37),-('Diário 1º PA'!$P$4:$P$2635=J$1),('Diário 1º PA'!$F$4:$F$2635))+SUMPRODUCT(-('Diário 2º PA'!$E$4:$E$3040='Analítico Cx.'!$B37),-('Diário 2º PA'!$P$4:$P$3040=J$1),('Diário 2º PA'!$F$4:$F$3040))+SUMPRODUCT(-('Diário 3º PA'!$E$4:$E$2731='Analítico Cx.'!$B37),-('Diário 3º PA'!$P$4:$P$2731=J$1),('Diário 3º PA'!$F$4:$F$2731))+SUMPRODUCT(-('Diário 4º PA'!$E$4:$E$2564='Analítico Cx.'!$B37),-('Diário 4º PA'!$P$4:$P$2564=J$1),('Diário 4º PA'!$F$4:$F$2564))</f>
        <v>0</v>
      </c>
      <c r="K37" s="183">
        <f>SUMPRODUCT(-('Diário 1º PA'!$E$4:$E$2635='Analítico Cx.'!$B37),-('Diário 1º PA'!$P$4:$P$2635=K$1),('Diário 1º PA'!$F$4:$F$2635))+SUMPRODUCT(-('Diário 2º PA'!$E$4:$E$3040='Analítico Cx.'!$B37),-('Diário 2º PA'!$P$4:$P$3040=K$1),('Diário 2º PA'!$F$4:$F$3040))+SUMPRODUCT(-('Diário 3º PA'!$E$4:$E$2731='Analítico Cx.'!$B37),-('Diário 3º PA'!$P$4:$P$2731=K$1),('Diário 3º PA'!$F$4:$F$2731))+SUMPRODUCT(-('Diário 4º PA'!$E$4:$E$2564='Analítico Cx.'!$B37),-('Diário 4º PA'!$P$4:$P$2564=K$1),('Diário 4º PA'!$F$4:$F$2564))</f>
        <v>0</v>
      </c>
      <c r="L37" s="183">
        <f>SUMPRODUCT(-('Diário 1º PA'!$E$4:$E$2635='Analítico Cx.'!$B37),-('Diário 1º PA'!$P$4:$P$2635=L$1),('Diário 1º PA'!$F$4:$F$2635))+SUMPRODUCT(-('Diário 2º PA'!$E$4:$E$3040='Analítico Cx.'!$B37),-('Diário 2º PA'!$P$4:$P$3040=L$1),('Diário 2º PA'!$F$4:$F$3040))+SUMPRODUCT(-('Diário 3º PA'!$E$4:$E$2731='Analítico Cx.'!$B37),-('Diário 3º PA'!$P$4:$P$2731=L$1),('Diário 3º PA'!$F$4:$F$2731))+SUMPRODUCT(-('Diário 4º PA'!$E$4:$E$2564='Analítico Cx.'!$B37),-('Diário 4º PA'!$P$4:$P$2564=L$1),('Diário 4º PA'!$F$4:$F$2564))</f>
        <v>0</v>
      </c>
      <c r="M37" s="183">
        <f>SUMPRODUCT(-('Diário 1º PA'!$E$4:$E$2635='Analítico Cx.'!$B37),-('Diário 1º PA'!$P$4:$P$2635=M$1),('Diário 1º PA'!$F$4:$F$2635))+SUMPRODUCT(-('Diário 2º PA'!$E$4:$E$3040='Analítico Cx.'!$B37),-('Diário 2º PA'!$P$4:$P$3040=M$1),('Diário 2º PA'!$F$4:$F$3040))+SUMPRODUCT(-('Diário 3º PA'!$E$4:$E$2731='Analítico Cx.'!$B37),-('Diário 3º PA'!$P$4:$P$2731=M$1),('Diário 3º PA'!$F$4:$F$2731))+SUMPRODUCT(-('Diário 4º PA'!$E$4:$E$2564='Analítico Cx.'!$B37),-('Diário 4º PA'!$P$4:$P$2564=M$1),('Diário 4º PA'!$F$4:$F$2564))</f>
        <v>4784.16</v>
      </c>
      <c r="N37" s="183">
        <f>SUMPRODUCT(-('Diário 1º PA'!$E$4:$E$2635='Analítico Cx.'!$B37),-('Diário 1º PA'!$P$4:$P$2635=N$1),('Diário 1º PA'!$F$4:$F$2635))+SUMPRODUCT(-('Diário 2º PA'!$E$4:$E$3040='Analítico Cx.'!$B37),-('Diário 2º PA'!$P$4:$P$3040=N$1),('Diário 2º PA'!$F$4:$F$3040))+SUMPRODUCT(-('Diário 3º PA'!$E$4:$E$2731='Analítico Cx.'!$B37),-('Diário 3º PA'!$P$4:$P$2731=N$1),('Diário 3º PA'!$F$4:$F$2731))+SUMPRODUCT(-('Diário 4º PA'!$E$4:$E$2564='Analítico Cx.'!$B37),-('Diário 4º PA'!$P$4:$P$2564=N$1),('Diário 4º PA'!$F$4:$F$2564))</f>
        <v>0</v>
      </c>
      <c r="O37" s="184">
        <f t="shared" si="8"/>
        <v>5845.9</v>
      </c>
      <c r="P37" s="167">
        <f t="shared" si="7"/>
        <v>4.6045257548814539E-4</v>
      </c>
    </row>
    <row r="38" spans="1:16" ht="23.25" customHeight="1" x14ac:dyDescent="0.2">
      <c r="A38" s="61" t="s">
        <v>241</v>
      </c>
      <c r="B38" s="60" t="s">
        <v>268</v>
      </c>
      <c r="C38" s="183">
        <f>SUMPRODUCT(-('Diário 1º PA'!$E$4:$E$2635='Analítico Cx.'!$B38),-('Diário 1º PA'!$P$4:$P$2635=C$1),('Diário 1º PA'!$F$4:$F$2635))+SUMPRODUCT(-('Diário 2º PA'!$E$4:$E$3040='Analítico Cx.'!$B38),-('Diário 2º PA'!$P$4:$P$3040=C$1),('Diário 2º PA'!$F$4:$F$3040))+SUMPRODUCT(-('Diário 3º PA'!$E$4:$E$2731='Analítico Cx.'!$B38),-('Diário 3º PA'!$P$4:$P$2731=C$1),('Diário 3º PA'!$F$4:$F$2731))+SUMPRODUCT(-('Diário 4º PA'!$E$4:$E$2564='Analítico Cx.'!$B38),-('Diário 4º PA'!$P$4:$P$2564=C$1),('Diário 4º PA'!$F$4:$F$2564))</f>
        <v>17075.289999999997</v>
      </c>
      <c r="D38" s="183">
        <f>SUMPRODUCT(-('Diário 1º PA'!$E$4:$E$2635='Analítico Cx.'!$B38),-('Diário 1º PA'!$P$4:$P$2635=D$1),('Diário 1º PA'!$F$4:$F$2635))+SUMPRODUCT(-('Diário 2º PA'!$E$4:$E$3040='Analítico Cx.'!$B38),-('Diário 2º PA'!$P$4:$P$3040=D$1),('Diário 2º PA'!$F$4:$F$3040))+SUMPRODUCT(-('Diário 3º PA'!$E$4:$E$2731='Analítico Cx.'!$B38),-('Diário 3º PA'!$P$4:$P$2731=D$1),('Diário 3º PA'!$F$4:$F$2731))+SUMPRODUCT(-('Diário 4º PA'!$E$4:$E$2564='Analítico Cx.'!$B38),-('Diário 4º PA'!$P$4:$P$2564=D$1),('Diário 4º PA'!$F$4:$F$2564))</f>
        <v>0</v>
      </c>
      <c r="E38" s="183">
        <f>SUMPRODUCT(-('Diário 1º PA'!$E$4:$E$2635='Analítico Cx.'!$B38),-('Diário 1º PA'!$P$4:$P$2635=E$1),('Diário 1º PA'!$F$4:$F$2635))+SUMPRODUCT(-('Diário 2º PA'!$E$4:$E$3040='Analítico Cx.'!$B38),-('Diário 2º PA'!$P$4:$P$3040=E$1),('Diário 2º PA'!$F$4:$F$3040))+SUMPRODUCT(-('Diário 3º PA'!$E$4:$E$2731='Analítico Cx.'!$B38),-('Diário 3º PA'!$P$4:$P$2731=E$1),('Diário 3º PA'!$F$4:$F$2731))+SUMPRODUCT(-('Diário 4º PA'!$E$4:$E$2564='Analítico Cx.'!$B38),-('Diário 4º PA'!$P$4:$P$2564=E$1),('Diário 4º PA'!$F$4:$F$2564))</f>
        <v>0</v>
      </c>
      <c r="F38" s="183">
        <f>SUMPRODUCT(-('Diário 1º PA'!$E$4:$E$2635='Analítico Cx.'!$B38),-('Diário 1º PA'!$P$4:$P$2635=F$1),('Diário 1º PA'!$F$4:$F$2635))+SUMPRODUCT(-('Diário 2º PA'!$E$4:$E$3040='Analítico Cx.'!$B38),-('Diário 2º PA'!$P$4:$P$3040=F$1),('Diário 2º PA'!$F$4:$F$3040))+SUMPRODUCT(-('Diário 3º PA'!$E$4:$E$2731='Analítico Cx.'!$B38),-('Diário 3º PA'!$P$4:$P$2731=F$1),('Diário 3º PA'!$F$4:$F$2731))+SUMPRODUCT(-('Diário 4º PA'!$E$4:$E$2564='Analítico Cx.'!$B38),-('Diário 4º PA'!$P$4:$P$2564=F$1),('Diário 4º PA'!$F$4:$F$2564))</f>
        <v>0</v>
      </c>
      <c r="G38" s="183">
        <f>SUMPRODUCT(-('Diário 1º PA'!$E$4:$E$2635='Analítico Cx.'!$B38),-('Diário 1º PA'!$P$4:$P$2635=G$1),('Diário 1º PA'!$F$4:$F$2635))+SUMPRODUCT(-('Diário 2º PA'!$E$4:$E$3040='Analítico Cx.'!$B38),-('Diário 2º PA'!$P$4:$P$3040=G$1),('Diário 2º PA'!$F$4:$F$3040))+SUMPRODUCT(-('Diário 3º PA'!$E$4:$E$2731='Analítico Cx.'!$B38),-('Diário 3º PA'!$P$4:$P$2731=G$1),('Diário 3º PA'!$F$4:$F$2731))+SUMPRODUCT(-('Diário 4º PA'!$E$4:$E$2564='Analítico Cx.'!$B38),-('Diário 4º PA'!$P$4:$P$2564=G$1),('Diário 4º PA'!$F$4:$F$2564))</f>
        <v>0</v>
      </c>
      <c r="H38" s="183">
        <f>SUMPRODUCT(-('Diário 1º PA'!$E$4:$E$2635='Analítico Cx.'!$B38),-('Diário 1º PA'!$P$4:$P$2635=H$1),('Diário 1º PA'!$F$4:$F$2635))+SUMPRODUCT(-('Diário 2º PA'!$E$4:$E$3040='Analítico Cx.'!$B38),-('Diário 2º PA'!$P$4:$P$3040=H$1),('Diário 2º PA'!$F$4:$F$3040))+SUMPRODUCT(-('Diário 3º PA'!$E$4:$E$2731='Analítico Cx.'!$B38),-('Diário 3º PA'!$P$4:$P$2731=H$1),('Diário 3º PA'!$F$4:$F$2731))+SUMPRODUCT(-('Diário 4º PA'!$E$4:$E$2564='Analítico Cx.'!$B38),-('Diário 4º PA'!$P$4:$P$2564=H$1),('Diário 4º PA'!$F$4:$F$2564))</f>
        <v>0</v>
      </c>
      <c r="I38" s="183">
        <f>SUMPRODUCT(-('Diário 1º PA'!$E$4:$E$2635='Analítico Cx.'!$B38),-('Diário 1º PA'!$P$4:$P$2635=I$1),('Diário 1º PA'!$F$4:$F$2635))+SUMPRODUCT(-('Diário 2º PA'!$E$4:$E$3040='Analítico Cx.'!$B38),-('Diário 2º PA'!$P$4:$P$3040=I$1),('Diário 2º PA'!$F$4:$F$3040))+SUMPRODUCT(-('Diário 3º PA'!$E$4:$E$2731='Analítico Cx.'!$B38),-('Diário 3º PA'!$P$4:$P$2731=I$1),('Diário 3º PA'!$F$4:$F$2731))+SUMPRODUCT(-('Diário 4º PA'!$E$4:$E$2564='Analítico Cx.'!$B38),-('Diário 4º PA'!$P$4:$P$2564=I$1),('Diário 4º PA'!$F$4:$F$2564))</f>
        <v>0</v>
      </c>
      <c r="J38" s="183">
        <f>SUMPRODUCT(-('Diário 1º PA'!$E$4:$E$2635='Analítico Cx.'!$B38),-('Diário 1º PA'!$P$4:$P$2635=J$1),('Diário 1º PA'!$F$4:$F$2635))+SUMPRODUCT(-('Diário 2º PA'!$E$4:$E$3040='Analítico Cx.'!$B38),-('Diário 2º PA'!$P$4:$P$3040=J$1),('Diário 2º PA'!$F$4:$F$3040))+SUMPRODUCT(-('Diário 3º PA'!$E$4:$E$2731='Analítico Cx.'!$B38),-('Diário 3º PA'!$P$4:$P$2731=J$1),('Diário 3º PA'!$F$4:$F$2731))+SUMPRODUCT(-('Diário 4º PA'!$E$4:$E$2564='Analítico Cx.'!$B38),-('Diário 4º PA'!$P$4:$P$2564=J$1),('Diário 4º PA'!$F$4:$F$2564))</f>
        <v>0</v>
      </c>
      <c r="K38" s="183">
        <f>SUMPRODUCT(-('Diário 1º PA'!$E$4:$E$2635='Analítico Cx.'!$B38),-('Diário 1º PA'!$P$4:$P$2635=K$1),('Diário 1º PA'!$F$4:$F$2635))+SUMPRODUCT(-('Diário 2º PA'!$E$4:$E$3040='Analítico Cx.'!$B38),-('Diário 2º PA'!$P$4:$P$3040=K$1),('Diário 2º PA'!$F$4:$F$3040))+SUMPRODUCT(-('Diário 3º PA'!$E$4:$E$2731='Analítico Cx.'!$B38),-('Diário 3º PA'!$P$4:$P$2731=K$1),('Diário 3º PA'!$F$4:$F$2731))+SUMPRODUCT(-('Diário 4º PA'!$E$4:$E$2564='Analítico Cx.'!$B38),-('Diário 4º PA'!$P$4:$P$2564=K$1),('Diário 4º PA'!$F$4:$F$2564))</f>
        <v>0</v>
      </c>
      <c r="L38" s="183">
        <f>SUMPRODUCT(-('Diário 1º PA'!$E$4:$E$2635='Analítico Cx.'!$B38),-('Diário 1º PA'!$P$4:$P$2635=L$1),('Diário 1º PA'!$F$4:$F$2635))+SUMPRODUCT(-('Diário 2º PA'!$E$4:$E$3040='Analítico Cx.'!$B38),-('Diário 2º PA'!$P$4:$P$3040=L$1),('Diário 2º PA'!$F$4:$F$3040))+SUMPRODUCT(-('Diário 3º PA'!$E$4:$E$2731='Analítico Cx.'!$B38),-('Diário 3º PA'!$P$4:$P$2731=L$1),('Diário 3º PA'!$F$4:$F$2731))+SUMPRODUCT(-('Diário 4º PA'!$E$4:$E$2564='Analítico Cx.'!$B38),-('Diário 4º PA'!$P$4:$P$2564=L$1),('Diário 4º PA'!$F$4:$F$2564))</f>
        <v>0</v>
      </c>
      <c r="M38" s="183">
        <f>SUMPRODUCT(-('Diário 1º PA'!$E$4:$E$2635='Analítico Cx.'!$B38),-('Diário 1º PA'!$P$4:$P$2635=M$1),('Diário 1º PA'!$F$4:$F$2635))+SUMPRODUCT(-('Diário 2º PA'!$E$4:$E$3040='Analítico Cx.'!$B38),-('Diário 2º PA'!$P$4:$P$3040=M$1),('Diário 2º PA'!$F$4:$F$3040))+SUMPRODUCT(-('Diário 3º PA'!$E$4:$E$2731='Analítico Cx.'!$B38),-('Diário 3º PA'!$P$4:$P$2731=M$1),('Diário 3º PA'!$F$4:$F$2731))+SUMPRODUCT(-('Diário 4º PA'!$E$4:$E$2564='Analítico Cx.'!$B38),-('Diário 4º PA'!$P$4:$P$2564=M$1),('Diário 4º PA'!$F$4:$F$2564))</f>
        <v>109393.55</v>
      </c>
      <c r="N38" s="183">
        <f>SUMPRODUCT(-('Diário 1º PA'!$E$4:$E$2635='Analítico Cx.'!$B38),-('Diário 1º PA'!$P$4:$P$2635=N$1),('Diário 1º PA'!$F$4:$F$2635))+SUMPRODUCT(-('Diário 2º PA'!$E$4:$E$3040='Analítico Cx.'!$B38),-('Diário 2º PA'!$P$4:$P$3040=N$1),('Diário 2º PA'!$F$4:$F$3040))+SUMPRODUCT(-('Diário 3º PA'!$E$4:$E$2731='Analítico Cx.'!$B38),-('Diário 3º PA'!$P$4:$P$2731=N$1),('Diário 3º PA'!$F$4:$F$2731))+SUMPRODUCT(-('Diário 4º PA'!$E$4:$E$2564='Analítico Cx.'!$B38),-('Diário 4º PA'!$P$4:$P$2564=N$1),('Diário 4º PA'!$F$4:$F$2564))</f>
        <v>158741.28999999989</v>
      </c>
      <c r="O38" s="184">
        <f t="shared" si="8"/>
        <v>285210.12999999989</v>
      </c>
      <c r="P38" s="167">
        <f t="shared" si="7"/>
        <v>2.2464588671343797E-2</v>
      </c>
    </row>
    <row r="39" spans="1:16" ht="23.25" customHeight="1" x14ac:dyDescent="0.2">
      <c r="A39" s="61" t="s">
        <v>242</v>
      </c>
      <c r="B39" s="60" t="s">
        <v>287</v>
      </c>
      <c r="C39" s="183">
        <f>SUMPRODUCT(-('Diário 1º PA'!$E$4:$E$2635='Analítico Cx.'!$B39),-('Diário 1º PA'!$P$4:$P$2635=C$1),('Diário 1º PA'!$F$4:$F$2635))+SUMPRODUCT(-('Diário 2º PA'!$E$4:$E$3040='Analítico Cx.'!$B39),-('Diário 2º PA'!$P$4:$P$3040=C$1),('Diário 2º PA'!$F$4:$F$3040))+SUMPRODUCT(-('Diário 3º PA'!$E$4:$E$2731='Analítico Cx.'!$B39),-('Diário 3º PA'!$P$4:$P$2731=C$1),('Diário 3º PA'!$F$4:$F$2731))+SUMPRODUCT(-('Diário 4º PA'!$E$4:$E$2564='Analítico Cx.'!$B39),-('Diário 4º PA'!$P$4:$P$2564=C$1),('Diário 4º PA'!$F$4:$F$2564))</f>
        <v>19913.919999999998</v>
      </c>
      <c r="D39" s="183">
        <f>SUMPRODUCT(-('Diário 1º PA'!$E$4:$E$2635='Analítico Cx.'!$B39),-('Diário 1º PA'!$P$4:$P$2635=D$1),('Diário 1º PA'!$F$4:$F$2635))+SUMPRODUCT(-('Diário 2º PA'!$E$4:$E$3040='Analítico Cx.'!$B39),-('Diário 2º PA'!$P$4:$P$3040=D$1),('Diário 2º PA'!$F$4:$F$3040))+SUMPRODUCT(-('Diário 3º PA'!$E$4:$E$2731='Analítico Cx.'!$B39),-('Diário 3º PA'!$P$4:$P$2731=D$1),('Diário 3º PA'!$F$4:$F$2731))+SUMPRODUCT(-('Diário 4º PA'!$E$4:$E$2564='Analítico Cx.'!$B39),-('Diário 4º PA'!$P$4:$P$2564=D$1),('Diário 4º PA'!$F$4:$F$2564))</f>
        <v>3114.73</v>
      </c>
      <c r="E39" s="183">
        <f>SUMPRODUCT(-('Diário 1º PA'!$E$4:$E$2635='Analítico Cx.'!$B39),-('Diário 1º PA'!$P$4:$P$2635=E$1),('Diário 1º PA'!$F$4:$F$2635))+SUMPRODUCT(-('Diário 2º PA'!$E$4:$E$3040='Analítico Cx.'!$B39),-('Diário 2º PA'!$P$4:$P$3040=E$1),('Diário 2º PA'!$F$4:$F$3040))+SUMPRODUCT(-('Diário 3º PA'!$E$4:$E$2731='Analítico Cx.'!$B39),-('Diário 3º PA'!$P$4:$P$2731=E$1),('Diário 3º PA'!$F$4:$F$2731))+SUMPRODUCT(-('Diário 4º PA'!$E$4:$E$2564='Analítico Cx.'!$B39),-('Diário 4º PA'!$P$4:$P$2564=E$1),('Diário 4º PA'!$F$4:$F$2564))</f>
        <v>13.72</v>
      </c>
      <c r="F39" s="183">
        <f>SUMPRODUCT(-('Diário 1º PA'!$E$4:$E$2635='Analítico Cx.'!$B39),-('Diário 1º PA'!$P$4:$P$2635=F$1),('Diário 1º PA'!$F$4:$F$2635))+SUMPRODUCT(-('Diário 2º PA'!$E$4:$E$3040='Analítico Cx.'!$B39),-('Diário 2º PA'!$P$4:$P$3040=F$1),('Diário 2º PA'!$F$4:$F$3040))+SUMPRODUCT(-('Diário 3º PA'!$E$4:$E$2731='Analítico Cx.'!$B39),-('Diário 3º PA'!$P$4:$P$2731=F$1),('Diário 3º PA'!$F$4:$F$2731))+SUMPRODUCT(-('Diário 4º PA'!$E$4:$E$2564='Analítico Cx.'!$B39),-('Diário 4º PA'!$P$4:$P$2564=F$1),('Diário 4º PA'!$F$4:$F$2564))</f>
        <v>24634.68</v>
      </c>
      <c r="G39" s="183">
        <f>SUMPRODUCT(-('Diário 1º PA'!$E$4:$E$2635='Analítico Cx.'!$B39),-('Diário 1º PA'!$P$4:$P$2635=G$1),('Diário 1º PA'!$F$4:$F$2635))+SUMPRODUCT(-('Diário 2º PA'!$E$4:$E$3040='Analítico Cx.'!$B39),-('Diário 2º PA'!$P$4:$P$3040=G$1),('Diário 2º PA'!$F$4:$F$3040))+SUMPRODUCT(-('Diário 3º PA'!$E$4:$E$2731='Analítico Cx.'!$B39),-('Diário 3º PA'!$P$4:$P$2731=G$1),('Diário 3º PA'!$F$4:$F$2731))+SUMPRODUCT(-('Diário 4º PA'!$E$4:$E$2564='Analítico Cx.'!$B39),-('Diário 4º PA'!$P$4:$P$2564=G$1),('Diário 4º PA'!$F$4:$F$2564))</f>
        <v>4067.8</v>
      </c>
      <c r="H39" s="183">
        <f>SUMPRODUCT(-('Diário 1º PA'!$E$4:$E$2635='Analítico Cx.'!$B39),-('Diário 1º PA'!$P$4:$P$2635=H$1),('Diário 1º PA'!$F$4:$F$2635))+SUMPRODUCT(-('Diário 2º PA'!$E$4:$E$3040='Analítico Cx.'!$B39),-('Diário 2º PA'!$P$4:$P$3040=H$1),('Diário 2º PA'!$F$4:$F$3040))+SUMPRODUCT(-('Diário 3º PA'!$E$4:$E$2731='Analítico Cx.'!$B39),-('Diário 3º PA'!$P$4:$P$2731=H$1),('Diário 3º PA'!$F$4:$F$2731))+SUMPRODUCT(-('Diário 4º PA'!$E$4:$E$2564='Analítico Cx.'!$B39),-('Diário 4º PA'!$P$4:$P$2564=H$1),('Diário 4º PA'!$F$4:$F$2564))</f>
        <v>5664.22</v>
      </c>
      <c r="I39" s="183">
        <f>SUMPRODUCT(-('Diário 1º PA'!$E$4:$E$2635='Analítico Cx.'!$B39),-('Diário 1º PA'!$P$4:$P$2635=I$1),('Diário 1º PA'!$F$4:$F$2635))+SUMPRODUCT(-('Diário 2º PA'!$E$4:$E$3040='Analítico Cx.'!$B39),-('Diário 2º PA'!$P$4:$P$3040=I$1),('Diário 2º PA'!$F$4:$F$3040))+SUMPRODUCT(-('Diário 3º PA'!$E$4:$E$2731='Analítico Cx.'!$B39),-('Diário 3º PA'!$P$4:$P$2731=I$1),('Diário 3º PA'!$F$4:$F$2731))+SUMPRODUCT(-('Diário 4º PA'!$E$4:$E$2564='Analítico Cx.'!$B39),-('Diário 4º PA'!$P$4:$P$2564=I$1),('Diário 4º PA'!$F$4:$F$2564))</f>
        <v>5026.2399999999989</v>
      </c>
      <c r="J39" s="183">
        <f>SUMPRODUCT(-('Diário 1º PA'!$E$4:$E$2635='Analítico Cx.'!$B39),-('Diário 1º PA'!$P$4:$P$2635=J$1),('Diário 1º PA'!$F$4:$F$2635))+SUMPRODUCT(-('Diário 2º PA'!$E$4:$E$3040='Analítico Cx.'!$B39),-('Diário 2º PA'!$P$4:$P$3040=J$1),('Diário 2º PA'!$F$4:$F$3040))+SUMPRODUCT(-('Diário 3º PA'!$E$4:$E$2731='Analítico Cx.'!$B39),-('Diário 3º PA'!$P$4:$P$2731=J$1),('Diário 3º PA'!$F$4:$F$2731))+SUMPRODUCT(-('Diário 4º PA'!$E$4:$E$2564='Analítico Cx.'!$B39),-('Diário 4º PA'!$P$4:$P$2564=J$1),('Diário 4º PA'!$F$4:$F$2564))</f>
        <v>3467.76</v>
      </c>
      <c r="K39" s="183">
        <f>SUMPRODUCT(-('Diário 1º PA'!$E$4:$E$2635='Analítico Cx.'!$B39),-('Diário 1º PA'!$P$4:$P$2635=K$1),('Diário 1º PA'!$F$4:$F$2635))+SUMPRODUCT(-('Diário 2º PA'!$E$4:$E$3040='Analítico Cx.'!$B39),-('Diário 2º PA'!$P$4:$P$3040=K$1),('Diário 2º PA'!$F$4:$F$3040))+SUMPRODUCT(-('Diário 3º PA'!$E$4:$E$2731='Analítico Cx.'!$B39),-('Diário 3º PA'!$P$4:$P$2731=K$1),('Diário 3º PA'!$F$4:$F$2731))+SUMPRODUCT(-('Diário 4º PA'!$E$4:$E$2564='Analítico Cx.'!$B39),-('Diário 4º PA'!$P$4:$P$2564=K$1),('Diário 4º PA'!$F$4:$F$2564))</f>
        <v>6087.74</v>
      </c>
      <c r="L39" s="183">
        <f>SUMPRODUCT(-('Diário 1º PA'!$E$4:$E$2635='Analítico Cx.'!$B39),-('Diário 1º PA'!$P$4:$P$2635=L$1),('Diário 1º PA'!$F$4:$F$2635))+SUMPRODUCT(-('Diário 2º PA'!$E$4:$E$3040='Analítico Cx.'!$B39),-('Diário 2º PA'!$P$4:$P$3040=L$1),('Diário 2º PA'!$F$4:$F$3040))+SUMPRODUCT(-('Diário 3º PA'!$E$4:$E$2731='Analítico Cx.'!$B39),-('Diário 3º PA'!$P$4:$P$2731=L$1),('Diário 3º PA'!$F$4:$F$2731))+SUMPRODUCT(-('Diário 4º PA'!$E$4:$E$2564='Analítico Cx.'!$B39),-('Diário 4º PA'!$P$4:$P$2564=L$1),('Diário 4º PA'!$F$4:$F$2564))</f>
        <v>3235.2000000000003</v>
      </c>
      <c r="M39" s="183">
        <f>SUMPRODUCT(-('Diário 1º PA'!$E$4:$E$2635='Analítico Cx.'!$B39),-('Diário 1º PA'!$P$4:$P$2635=M$1),('Diário 1º PA'!$F$4:$F$2635))+SUMPRODUCT(-('Diário 2º PA'!$E$4:$E$3040='Analítico Cx.'!$B39),-('Diário 2º PA'!$P$4:$P$3040=M$1),('Diário 2º PA'!$F$4:$F$3040))+SUMPRODUCT(-('Diário 3º PA'!$E$4:$E$2731='Analítico Cx.'!$B39),-('Diário 3º PA'!$P$4:$P$2731=M$1),('Diário 3º PA'!$F$4:$F$2731))+SUMPRODUCT(-('Diário 4º PA'!$E$4:$E$2564='Analítico Cx.'!$B39),-('Diário 4º PA'!$P$4:$P$2564=M$1),('Diário 4º PA'!$F$4:$F$2564))</f>
        <v>2707.19</v>
      </c>
      <c r="N39" s="183">
        <f>SUMPRODUCT(-('Diário 1º PA'!$E$4:$E$2635='Analítico Cx.'!$B39),-('Diário 1º PA'!$P$4:$P$2635=N$1),('Diário 1º PA'!$F$4:$F$2635))+SUMPRODUCT(-('Diário 2º PA'!$E$4:$E$3040='Analítico Cx.'!$B39),-('Diário 2º PA'!$P$4:$P$3040=N$1),('Diário 2º PA'!$F$4:$F$3040))+SUMPRODUCT(-('Diário 3º PA'!$E$4:$E$2731='Analítico Cx.'!$B39),-('Diário 3º PA'!$P$4:$P$2731=N$1),('Diário 3º PA'!$F$4:$F$2731))+SUMPRODUCT(-('Diário 4º PA'!$E$4:$E$2564='Analítico Cx.'!$B39),-('Diário 4º PA'!$P$4:$P$2564=N$1),('Diário 4º PA'!$F$4:$F$2564))</f>
        <v>154450.65</v>
      </c>
      <c r="O39" s="184">
        <f t="shared" si="8"/>
        <v>232383.85</v>
      </c>
      <c r="P39" s="167">
        <f t="shared" si="7"/>
        <v>1.8303724359696686E-2</v>
      </c>
    </row>
    <row r="40" spans="1:16" ht="23.25" customHeight="1" x14ac:dyDescent="0.2">
      <c r="A40" s="61" t="s">
        <v>243</v>
      </c>
      <c r="B40" s="60" t="s">
        <v>269</v>
      </c>
      <c r="C40" s="183">
        <f>SUMPRODUCT(-('Diário 1º PA'!$E$4:$E$2635='Analítico Cx.'!$B40),-('Diário 1º PA'!$P$4:$P$2635=C$1),('Diário 1º PA'!$F$4:$F$2635))+SUMPRODUCT(-('Diário 2º PA'!$E$4:$E$3040='Analítico Cx.'!$B40),-('Diário 2º PA'!$P$4:$P$3040=C$1),('Diário 2º PA'!$F$4:$F$3040))+SUMPRODUCT(-('Diário 3º PA'!$E$4:$E$2731='Analítico Cx.'!$B40),-('Diário 3º PA'!$P$4:$P$2731=C$1),('Diário 3º PA'!$F$4:$F$2731))+SUMPRODUCT(-('Diário 4º PA'!$E$4:$E$2564='Analítico Cx.'!$B40),-('Diário 4º PA'!$P$4:$P$2564=C$1),('Diário 4º PA'!$F$4:$F$2564))</f>
        <v>0</v>
      </c>
      <c r="D40" s="183">
        <f>SUMPRODUCT(-('Diário 1º PA'!$E$4:$E$2635='Analítico Cx.'!$B40),-('Diário 1º PA'!$P$4:$P$2635=D$1),('Diário 1º PA'!$F$4:$F$2635))+SUMPRODUCT(-('Diário 2º PA'!$E$4:$E$3040='Analítico Cx.'!$B40),-('Diário 2º PA'!$P$4:$P$3040=D$1),('Diário 2º PA'!$F$4:$F$3040))+SUMPRODUCT(-('Diário 3º PA'!$E$4:$E$2731='Analítico Cx.'!$B40),-('Diário 3º PA'!$P$4:$P$2731=D$1),('Diário 3º PA'!$F$4:$F$2731))+SUMPRODUCT(-('Diário 4º PA'!$E$4:$E$2564='Analítico Cx.'!$B40),-('Diário 4º PA'!$P$4:$P$2564=D$1),('Diário 4º PA'!$F$4:$F$2564))</f>
        <v>0</v>
      </c>
      <c r="E40" s="183">
        <f>SUMPRODUCT(-('Diário 1º PA'!$E$4:$E$2635='Analítico Cx.'!$B40),-('Diário 1º PA'!$P$4:$P$2635=E$1),('Diário 1º PA'!$F$4:$F$2635))+SUMPRODUCT(-('Diário 2º PA'!$E$4:$E$3040='Analítico Cx.'!$B40),-('Diário 2º PA'!$P$4:$P$3040=E$1),('Diário 2º PA'!$F$4:$F$3040))+SUMPRODUCT(-('Diário 3º PA'!$E$4:$E$2731='Analítico Cx.'!$B40),-('Diário 3º PA'!$P$4:$P$2731=E$1),('Diário 3º PA'!$F$4:$F$2731))+SUMPRODUCT(-('Diário 4º PA'!$E$4:$E$2564='Analítico Cx.'!$B40),-('Diário 4º PA'!$P$4:$P$2564=E$1),('Diário 4º PA'!$F$4:$F$2564))</f>
        <v>0</v>
      </c>
      <c r="F40" s="183">
        <f>SUMPRODUCT(-('Diário 1º PA'!$E$4:$E$2635='Analítico Cx.'!$B40),-('Diário 1º PA'!$P$4:$P$2635=F$1),('Diário 1º PA'!$F$4:$F$2635))+SUMPRODUCT(-('Diário 2º PA'!$E$4:$E$3040='Analítico Cx.'!$B40),-('Diário 2º PA'!$P$4:$P$3040=F$1),('Diário 2º PA'!$F$4:$F$3040))+SUMPRODUCT(-('Diário 3º PA'!$E$4:$E$2731='Analítico Cx.'!$B40),-('Diário 3º PA'!$P$4:$P$2731=F$1),('Diário 3º PA'!$F$4:$F$2731))+SUMPRODUCT(-('Diário 4º PA'!$E$4:$E$2564='Analítico Cx.'!$B40),-('Diário 4º PA'!$P$4:$P$2564=F$1),('Diário 4º PA'!$F$4:$F$2564))</f>
        <v>0</v>
      </c>
      <c r="G40" s="183">
        <f>SUMPRODUCT(-('Diário 1º PA'!$E$4:$E$2635='Analítico Cx.'!$B40),-('Diário 1º PA'!$P$4:$P$2635=G$1),('Diário 1º PA'!$F$4:$F$2635))+SUMPRODUCT(-('Diário 2º PA'!$E$4:$E$3040='Analítico Cx.'!$B40),-('Diário 2º PA'!$P$4:$P$3040=G$1),('Diário 2º PA'!$F$4:$F$3040))+SUMPRODUCT(-('Diário 3º PA'!$E$4:$E$2731='Analítico Cx.'!$B40),-('Diário 3º PA'!$P$4:$P$2731=G$1),('Diário 3º PA'!$F$4:$F$2731))+SUMPRODUCT(-('Diário 4º PA'!$E$4:$E$2564='Analítico Cx.'!$B40),-('Diário 4º PA'!$P$4:$P$2564=G$1),('Diário 4º PA'!$F$4:$F$2564))</f>
        <v>0</v>
      </c>
      <c r="H40" s="183">
        <f>SUMPRODUCT(-('Diário 1º PA'!$E$4:$E$2635='Analítico Cx.'!$B40),-('Diário 1º PA'!$P$4:$P$2635=H$1),('Diário 1º PA'!$F$4:$F$2635))+SUMPRODUCT(-('Diário 2º PA'!$E$4:$E$3040='Analítico Cx.'!$B40),-('Diário 2º PA'!$P$4:$P$3040=H$1),('Diário 2º PA'!$F$4:$F$3040))+SUMPRODUCT(-('Diário 3º PA'!$E$4:$E$2731='Analítico Cx.'!$B40),-('Diário 3º PA'!$P$4:$P$2731=H$1),('Diário 3º PA'!$F$4:$F$2731))+SUMPRODUCT(-('Diário 4º PA'!$E$4:$E$2564='Analítico Cx.'!$B40),-('Diário 4º PA'!$P$4:$P$2564=H$1),('Diário 4º PA'!$F$4:$F$2564))</f>
        <v>0</v>
      </c>
      <c r="I40" s="183">
        <f>SUMPRODUCT(-('Diário 1º PA'!$E$4:$E$2635='Analítico Cx.'!$B40),-('Diário 1º PA'!$P$4:$P$2635=I$1),('Diário 1º PA'!$F$4:$F$2635))+SUMPRODUCT(-('Diário 2º PA'!$E$4:$E$3040='Analítico Cx.'!$B40),-('Diário 2º PA'!$P$4:$P$3040=I$1),('Diário 2º PA'!$F$4:$F$3040))+SUMPRODUCT(-('Diário 3º PA'!$E$4:$E$2731='Analítico Cx.'!$B40),-('Diário 3º PA'!$P$4:$P$2731=I$1),('Diário 3º PA'!$F$4:$F$2731))+SUMPRODUCT(-('Diário 4º PA'!$E$4:$E$2564='Analítico Cx.'!$B40),-('Diário 4º PA'!$P$4:$P$2564=I$1),('Diário 4º PA'!$F$4:$F$2564))</f>
        <v>0</v>
      </c>
      <c r="J40" s="183">
        <f>SUMPRODUCT(-('Diário 1º PA'!$E$4:$E$2635='Analítico Cx.'!$B40),-('Diário 1º PA'!$P$4:$P$2635=J$1),('Diário 1º PA'!$F$4:$F$2635))+SUMPRODUCT(-('Diário 2º PA'!$E$4:$E$3040='Analítico Cx.'!$B40),-('Diário 2º PA'!$P$4:$P$3040=J$1),('Diário 2º PA'!$F$4:$F$3040))+SUMPRODUCT(-('Diário 3º PA'!$E$4:$E$2731='Analítico Cx.'!$B40),-('Diário 3º PA'!$P$4:$P$2731=J$1),('Diário 3º PA'!$F$4:$F$2731))+SUMPRODUCT(-('Diário 4º PA'!$E$4:$E$2564='Analítico Cx.'!$B40),-('Diário 4º PA'!$P$4:$P$2564=J$1),('Diário 4º PA'!$F$4:$F$2564))</f>
        <v>0</v>
      </c>
      <c r="K40" s="183">
        <f>SUMPRODUCT(-('Diário 1º PA'!$E$4:$E$2635='Analítico Cx.'!$B40),-('Diário 1º PA'!$P$4:$P$2635=K$1),('Diário 1º PA'!$F$4:$F$2635))+SUMPRODUCT(-('Diário 2º PA'!$E$4:$E$3040='Analítico Cx.'!$B40),-('Diário 2º PA'!$P$4:$P$3040=K$1),('Diário 2º PA'!$F$4:$F$3040))+SUMPRODUCT(-('Diário 3º PA'!$E$4:$E$2731='Analítico Cx.'!$B40),-('Diário 3º PA'!$P$4:$P$2731=K$1),('Diário 3º PA'!$F$4:$F$2731))+SUMPRODUCT(-('Diário 4º PA'!$E$4:$E$2564='Analítico Cx.'!$B40),-('Diário 4º PA'!$P$4:$P$2564=K$1),('Diário 4º PA'!$F$4:$F$2564))</f>
        <v>0</v>
      </c>
      <c r="L40" s="183">
        <f>SUMPRODUCT(-('Diário 1º PA'!$E$4:$E$2635='Analítico Cx.'!$B40),-('Diário 1º PA'!$P$4:$P$2635=L$1),('Diário 1º PA'!$F$4:$F$2635))+SUMPRODUCT(-('Diário 2º PA'!$E$4:$E$3040='Analítico Cx.'!$B40),-('Diário 2º PA'!$P$4:$P$3040=L$1),('Diário 2º PA'!$F$4:$F$3040))+SUMPRODUCT(-('Diário 3º PA'!$E$4:$E$2731='Analítico Cx.'!$B40),-('Diário 3º PA'!$P$4:$P$2731=L$1),('Diário 3º PA'!$F$4:$F$2731))+SUMPRODUCT(-('Diário 4º PA'!$E$4:$E$2564='Analítico Cx.'!$B40),-('Diário 4º PA'!$P$4:$P$2564=L$1),('Diário 4º PA'!$F$4:$F$2564))</f>
        <v>0</v>
      </c>
      <c r="M40" s="183">
        <f>SUMPRODUCT(-('Diário 1º PA'!$E$4:$E$2635='Analítico Cx.'!$B40),-('Diário 1º PA'!$P$4:$P$2635=M$1),('Diário 1º PA'!$F$4:$F$2635))+SUMPRODUCT(-('Diário 2º PA'!$E$4:$E$3040='Analítico Cx.'!$B40),-('Diário 2º PA'!$P$4:$P$3040=M$1),('Diário 2º PA'!$F$4:$F$3040))+SUMPRODUCT(-('Diário 3º PA'!$E$4:$E$2731='Analítico Cx.'!$B40),-('Diário 3º PA'!$P$4:$P$2731=M$1),('Diário 3º PA'!$F$4:$F$2731))+SUMPRODUCT(-('Diário 4º PA'!$E$4:$E$2564='Analítico Cx.'!$B40),-('Diário 4º PA'!$P$4:$P$2564=M$1),('Diário 4º PA'!$F$4:$F$2564))</f>
        <v>0</v>
      </c>
      <c r="N40" s="183">
        <f>SUMPRODUCT(-('Diário 1º PA'!$E$4:$E$2635='Analítico Cx.'!$B40),-('Diário 1º PA'!$P$4:$P$2635=N$1),('Diário 1º PA'!$F$4:$F$2635))+SUMPRODUCT(-('Diário 2º PA'!$E$4:$E$3040='Analítico Cx.'!$B40),-('Diário 2º PA'!$P$4:$P$3040=N$1),('Diário 2º PA'!$F$4:$F$3040))+SUMPRODUCT(-('Diário 3º PA'!$E$4:$E$2731='Analítico Cx.'!$B40),-('Diário 3º PA'!$P$4:$P$2731=N$1),('Diário 3º PA'!$F$4:$F$2731))+SUMPRODUCT(-('Diário 4º PA'!$E$4:$E$2564='Analítico Cx.'!$B40),-('Diário 4º PA'!$P$4:$P$2564=N$1),('Diário 4º PA'!$F$4:$F$2564))</f>
        <v>0</v>
      </c>
      <c r="O40" s="184">
        <f t="shared" si="8"/>
        <v>0</v>
      </c>
      <c r="P40" s="167">
        <f t="shared" si="7"/>
        <v>0</v>
      </c>
    </row>
    <row r="41" spans="1:16" ht="23.25" customHeight="1" x14ac:dyDescent="0.2">
      <c r="A41" s="61" t="s">
        <v>244</v>
      </c>
      <c r="B41" s="60" t="s">
        <v>175</v>
      </c>
      <c r="C41" s="183">
        <f>SUMPRODUCT(-('Diário 1º PA'!$E$4:$E$2635='Analítico Cx.'!$B41),-('Diário 1º PA'!$P$4:$P$2635=C$1),('Diário 1º PA'!$F$4:$F$2635))+SUMPRODUCT(-('Diário 2º PA'!$E$4:$E$3040='Analítico Cx.'!$B41),-('Diário 2º PA'!$P$4:$P$3040=C$1),('Diário 2º PA'!$F$4:$F$3040))+SUMPRODUCT(-('Diário 3º PA'!$E$4:$E$2731='Analítico Cx.'!$B41),-('Diário 3º PA'!$P$4:$P$2731=C$1),('Diário 3º PA'!$F$4:$F$2731))+SUMPRODUCT(-('Diário 4º PA'!$E$4:$E$2564='Analítico Cx.'!$B41),-('Diário 4º PA'!$P$4:$P$2564=C$1),('Diário 4º PA'!$F$4:$F$2564))</f>
        <v>0</v>
      </c>
      <c r="D41" s="183">
        <f>SUMPRODUCT(-('Diário 1º PA'!$E$4:$E$2635='Analítico Cx.'!$B41),-('Diário 1º PA'!$P$4:$P$2635=D$1),('Diário 1º PA'!$F$4:$F$2635))+SUMPRODUCT(-('Diário 2º PA'!$E$4:$E$3040='Analítico Cx.'!$B41),-('Diário 2º PA'!$P$4:$P$3040=D$1),('Diário 2º PA'!$F$4:$F$3040))+SUMPRODUCT(-('Diário 3º PA'!$E$4:$E$2731='Analítico Cx.'!$B41),-('Diário 3º PA'!$P$4:$P$2731=D$1),('Diário 3º PA'!$F$4:$F$2731))+SUMPRODUCT(-('Diário 4º PA'!$E$4:$E$2564='Analítico Cx.'!$B41),-('Diário 4º PA'!$P$4:$P$2564=D$1),('Diário 4º PA'!$F$4:$F$2564))</f>
        <v>0</v>
      </c>
      <c r="E41" s="183">
        <f>SUMPRODUCT(-('Diário 1º PA'!$E$4:$E$2635='Analítico Cx.'!$B41),-('Diário 1º PA'!$P$4:$P$2635=E$1),('Diário 1º PA'!$F$4:$F$2635))+SUMPRODUCT(-('Diário 2º PA'!$E$4:$E$3040='Analítico Cx.'!$B41),-('Diário 2º PA'!$P$4:$P$3040=E$1),('Diário 2º PA'!$F$4:$F$3040))+SUMPRODUCT(-('Diário 3º PA'!$E$4:$E$2731='Analítico Cx.'!$B41),-('Diário 3º PA'!$P$4:$P$2731=E$1),('Diário 3º PA'!$F$4:$F$2731))+SUMPRODUCT(-('Diário 4º PA'!$E$4:$E$2564='Analítico Cx.'!$B41),-('Diário 4º PA'!$P$4:$P$2564=E$1),('Diário 4º PA'!$F$4:$F$2564))</f>
        <v>0</v>
      </c>
      <c r="F41" s="183">
        <f>SUMPRODUCT(-('Diário 1º PA'!$E$4:$E$2635='Analítico Cx.'!$B41),-('Diário 1º PA'!$P$4:$P$2635=F$1),('Diário 1º PA'!$F$4:$F$2635))+SUMPRODUCT(-('Diário 2º PA'!$E$4:$E$3040='Analítico Cx.'!$B41),-('Diário 2º PA'!$P$4:$P$3040=F$1),('Diário 2º PA'!$F$4:$F$3040))+SUMPRODUCT(-('Diário 3º PA'!$E$4:$E$2731='Analítico Cx.'!$B41),-('Diário 3º PA'!$P$4:$P$2731=F$1),('Diário 3º PA'!$F$4:$F$2731))+SUMPRODUCT(-('Diário 4º PA'!$E$4:$E$2564='Analítico Cx.'!$B41),-('Diário 4º PA'!$P$4:$P$2564=F$1),('Diário 4º PA'!$F$4:$F$2564))</f>
        <v>0</v>
      </c>
      <c r="G41" s="183">
        <f>SUMPRODUCT(-('Diário 1º PA'!$E$4:$E$2635='Analítico Cx.'!$B41),-('Diário 1º PA'!$P$4:$P$2635=G$1),('Diário 1º PA'!$F$4:$F$2635))+SUMPRODUCT(-('Diário 2º PA'!$E$4:$E$3040='Analítico Cx.'!$B41),-('Diário 2º PA'!$P$4:$P$3040=G$1),('Diário 2º PA'!$F$4:$F$3040))+SUMPRODUCT(-('Diário 3º PA'!$E$4:$E$2731='Analítico Cx.'!$B41),-('Diário 3º PA'!$P$4:$P$2731=G$1),('Diário 3º PA'!$F$4:$F$2731))+SUMPRODUCT(-('Diário 4º PA'!$E$4:$E$2564='Analítico Cx.'!$B41),-('Diário 4º PA'!$P$4:$P$2564=G$1),('Diário 4º PA'!$F$4:$F$2564))</f>
        <v>4793.28</v>
      </c>
      <c r="H41" s="183">
        <f>SUMPRODUCT(-('Diário 1º PA'!$E$4:$E$2635='Analítico Cx.'!$B41),-('Diário 1º PA'!$P$4:$P$2635=H$1),('Diário 1º PA'!$F$4:$F$2635))+SUMPRODUCT(-('Diário 2º PA'!$E$4:$E$3040='Analítico Cx.'!$B41),-('Diário 2º PA'!$P$4:$P$3040=H$1),('Diário 2º PA'!$F$4:$F$3040))+SUMPRODUCT(-('Diário 3º PA'!$E$4:$E$2731='Analítico Cx.'!$B41),-('Diário 3º PA'!$P$4:$P$2731=H$1),('Diário 3º PA'!$F$4:$F$2731))+SUMPRODUCT(-('Diário 4º PA'!$E$4:$E$2564='Analítico Cx.'!$B41),-('Diário 4º PA'!$P$4:$P$2564=H$1),('Diário 4º PA'!$F$4:$F$2564))</f>
        <v>1664.25</v>
      </c>
      <c r="I41" s="183">
        <f>SUMPRODUCT(-('Diário 1º PA'!$E$4:$E$2635='Analítico Cx.'!$B41),-('Diário 1º PA'!$P$4:$P$2635=I$1),('Diário 1º PA'!$F$4:$F$2635))+SUMPRODUCT(-('Diário 2º PA'!$E$4:$E$3040='Analítico Cx.'!$B41),-('Diário 2º PA'!$P$4:$P$3040=I$1),('Diário 2º PA'!$F$4:$F$3040))+SUMPRODUCT(-('Diário 3º PA'!$E$4:$E$2731='Analítico Cx.'!$B41),-('Diário 3º PA'!$P$4:$P$2731=I$1),('Diário 3º PA'!$F$4:$F$2731))+SUMPRODUCT(-('Diário 4º PA'!$E$4:$E$2564='Analítico Cx.'!$B41),-('Diário 4º PA'!$P$4:$P$2564=I$1),('Diário 4º PA'!$F$4:$F$2564))</f>
        <v>0</v>
      </c>
      <c r="J41" s="183">
        <f>SUMPRODUCT(-('Diário 1º PA'!$E$4:$E$2635='Analítico Cx.'!$B41),-('Diário 1º PA'!$P$4:$P$2635=J$1),('Diário 1º PA'!$F$4:$F$2635))+SUMPRODUCT(-('Diário 2º PA'!$E$4:$E$3040='Analítico Cx.'!$B41),-('Diário 2º PA'!$P$4:$P$3040=J$1),('Diário 2º PA'!$F$4:$F$3040))+SUMPRODUCT(-('Diário 3º PA'!$E$4:$E$2731='Analítico Cx.'!$B41),-('Diário 3º PA'!$P$4:$P$2731=J$1),('Diário 3º PA'!$F$4:$F$2731))+SUMPRODUCT(-('Diário 4º PA'!$E$4:$E$2564='Analítico Cx.'!$B41),-('Diário 4º PA'!$P$4:$P$2564=J$1),('Diário 4º PA'!$F$4:$F$2564))</f>
        <v>5668.5</v>
      </c>
      <c r="K41" s="183">
        <f>SUMPRODUCT(-('Diário 1º PA'!$E$4:$E$2635='Analítico Cx.'!$B41),-('Diário 1º PA'!$P$4:$P$2635=K$1),('Diário 1º PA'!$F$4:$F$2635))+SUMPRODUCT(-('Diário 2º PA'!$E$4:$E$3040='Analítico Cx.'!$B41),-('Diário 2º PA'!$P$4:$P$3040=K$1),('Diário 2º PA'!$F$4:$F$3040))+SUMPRODUCT(-('Diário 3º PA'!$E$4:$E$2731='Analítico Cx.'!$B41),-('Diário 3º PA'!$P$4:$P$2731=K$1),('Diário 3º PA'!$F$4:$F$2731))+SUMPRODUCT(-('Diário 4º PA'!$E$4:$E$2564='Analítico Cx.'!$B41),-('Diário 4º PA'!$P$4:$P$2564=K$1),('Diário 4º PA'!$F$4:$F$2564))</f>
        <v>0</v>
      </c>
      <c r="L41" s="183">
        <f>SUMPRODUCT(-('Diário 1º PA'!$E$4:$E$2635='Analítico Cx.'!$B41),-('Diário 1º PA'!$P$4:$P$2635=L$1),('Diário 1º PA'!$F$4:$F$2635))+SUMPRODUCT(-('Diário 2º PA'!$E$4:$E$3040='Analítico Cx.'!$B41),-('Diário 2º PA'!$P$4:$P$3040=L$1),('Diário 2º PA'!$F$4:$F$3040))+SUMPRODUCT(-('Diário 3º PA'!$E$4:$E$2731='Analítico Cx.'!$B41),-('Diário 3º PA'!$P$4:$P$2731=L$1),('Diário 3º PA'!$F$4:$F$2731))+SUMPRODUCT(-('Diário 4º PA'!$E$4:$E$2564='Analítico Cx.'!$B41),-('Diário 4º PA'!$P$4:$P$2564=L$1),('Diário 4º PA'!$F$4:$F$2564))</f>
        <v>0</v>
      </c>
      <c r="M41" s="183">
        <f>SUMPRODUCT(-('Diário 1º PA'!$E$4:$E$2635='Analítico Cx.'!$B41),-('Diário 1º PA'!$P$4:$P$2635=M$1),('Diário 1º PA'!$F$4:$F$2635))+SUMPRODUCT(-('Diário 2º PA'!$E$4:$E$3040='Analítico Cx.'!$B41),-('Diário 2º PA'!$P$4:$P$3040=M$1),('Diário 2º PA'!$F$4:$F$3040))+SUMPRODUCT(-('Diário 3º PA'!$E$4:$E$2731='Analítico Cx.'!$B41),-('Diário 3º PA'!$P$4:$P$2731=M$1),('Diário 3º PA'!$F$4:$F$2731))+SUMPRODUCT(-('Diário 4º PA'!$E$4:$E$2564='Analítico Cx.'!$B41),-('Diário 4º PA'!$P$4:$P$2564=M$1),('Diário 4º PA'!$F$4:$F$2564))</f>
        <v>13862.98</v>
      </c>
      <c r="N41" s="183">
        <f>SUMPRODUCT(-('Diário 1º PA'!$E$4:$E$2635='Analítico Cx.'!$B41),-('Diário 1º PA'!$P$4:$P$2635=N$1),('Diário 1º PA'!$F$4:$F$2635))+SUMPRODUCT(-('Diário 2º PA'!$E$4:$E$3040='Analítico Cx.'!$B41),-('Diário 2º PA'!$P$4:$P$3040=N$1),('Diário 2º PA'!$F$4:$F$3040))+SUMPRODUCT(-('Diário 3º PA'!$E$4:$E$2731='Analítico Cx.'!$B41),-('Diário 3º PA'!$P$4:$P$2731=N$1),('Diário 3º PA'!$F$4:$F$2731))+SUMPRODUCT(-('Diário 4º PA'!$E$4:$E$2564='Analítico Cx.'!$B41),-('Diário 4º PA'!$P$4:$P$2564=N$1),('Diário 4º PA'!$F$4:$F$2564))</f>
        <v>525.32000000000005</v>
      </c>
      <c r="O41" s="184">
        <f t="shared" si="8"/>
        <v>26514.329999999998</v>
      </c>
      <c r="P41" s="167">
        <f t="shared" si="7"/>
        <v>2.0884023907084617E-3</v>
      </c>
    </row>
    <row r="42" spans="1:16" ht="23.25" customHeight="1" x14ac:dyDescent="0.2">
      <c r="A42" s="61" t="s">
        <v>245</v>
      </c>
      <c r="B42" s="60" t="s">
        <v>179</v>
      </c>
      <c r="C42" s="183">
        <f>SUMPRODUCT(-('Diário 1º PA'!$E$4:$E$2635='Analítico Cx.'!$B42),-('Diário 1º PA'!$P$4:$P$2635=C$1),('Diário 1º PA'!$F$4:$F$2635))+SUMPRODUCT(-('Diário 2º PA'!$E$4:$E$3040='Analítico Cx.'!$B42),-('Diário 2º PA'!$P$4:$P$3040=C$1),('Diário 2º PA'!$F$4:$F$3040))+SUMPRODUCT(-('Diário 3º PA'!$E$4:$E$2731='Analítico Cx.'!$B42),-('Diário 3º PA'!$P$4:$P$2731=C$1),('Diário 3º PA'!$F$4:$F$2731))+SUMPRODUCT(-('Diário 4º PA'!$E$4:$E$2564='Analítico Cx.'!$B42),-('Diário 4º PA'!$P$4:$P$2564=C$1),('Diário 4º PA'!$F$4:$F$2564))</f>
        <v>997.03</v>
      </c>
      <c r="D42" s="183">
        <f>SUMPRODUCT(-('Diário 1º PA'!$E$4:$E$2635='Analítico Cx.'!$B42),-('Diário 1º PA'!$P$4:$P$2635=D$1),('Diário 1º PA'!$F$4:$F$2635))+SUMPRODUCT(-('Diário 2º PA'!$E$4:$E$3040='Analítico Cx.'!$B42),-('Diário 2º PA'!$P$4:$P$3040=D$1),('Diário 2º PA'!$F$4:$F$3040))+SUMPRODUCT(-('Diário 3º PA'!$E$4:$E$2731='Analítico Cx.'!$B42),-('Diário 3º PA'!$P$4:$P$2731=D$1),('Diário 3º PA'!$F$4:$F$2731))+SUMPRODUCT(-('Diário 4º PA'!$E$4:$E$2564='Analítico Cx.'!$B42),-('Diário 4º PA'!$P$4:$P$2564=D$1),('Diário 4º PA'!$F$4:$F$2564))</f>
        <v>910.88</v>
      </c>
      <c r="E42" s="183">
        <f>SUMPRODUCT(-('Diário 1º PA'!$E$4:$E$2635='Analítico Cx.'!$B42),-('Diário 1º PA'!$P$4:$P$2635=E$1),('Diário 1º PA'!$F$4:$F$2635))+SUMPRODUCT(-('Diário 2º PA'!$E$4:$E$3040='Analítico Cx.'!$B42),-('Diário 2º PA'!$P$4:$P$3040=E$1),('Diário 2º PA'!$F$4:$F$3040))+SUMPRODUCT(-('Diário 3º PA'!$E$4:$E$2731='Analítico Cx.'!$B42),-('Diário 3º PA'!$P$4:$P$2731=E$1),('Diário 3º PA'!$F$4:$F$2731))+SUMPRODUCT(-('Diário 4º PA'!$E$4:$E$2564='Analítico Cx.'!$B42),-('Diário 4º PA'!$P$4:$P$2564=E$1),('Diário 4º PA'!$F$4:$F$2564))</f>
        <v>879.06999999999994</v>
      </c>
      <c r="F42" s="183">
        <f>SUMPRODUCT(-('Diário 1º PA'!$E$4:$E$2635='Analítico Cx.'!$B42),-('Diário 1º PA'!$P$4:$P$2635=F$1),('Diário 1º PA'!$F$4:$F$2635))+SUMPRODUCT(-('Diário 2º PA'!$E$4:$E$3040='Analítico Cx.'!$B42),-('Diário 2º PA'!$P$4:$P$3040=F$1),('Diário 2º PA'!$F$4:$F$3040))+SUMPRODUCT(-('Diário 3º PA'!$E$4:$E$2731='Analítico Cx.'!$B42),-('Diário 3º PA'!$P$4:$P$2731=F$1),('Diário 3º PA'!$F$4:$F$2731))+SUMPRODUCT(-('Diário 4º PA'!$E$4:$E$2564='Analítico Cx.'!$B42),-('Diário 4º PA'!$P$4:$P$2564=F$1),('Diário 4º PA'!$F$4:$F$2564))</f>
        <v>929.19</v>
      </c>
      <c r="G42" s="183">
        <f>SUMPRODUCT(-('Diário 1º PA'!$E$4:$E$2635='Analítico Cx.'!$B42),-('Diário 1º PA'!$P$4:$P$2635=G$1),('Diário 1º PA'!$F$4:$F$2635))+SUMPRODUCT(-('Diário 2º PA'!$E$4:$E$3040='Analítico Cx.'!$B42),-('Diário 2º PA'!$P$4:$P$3040=G$1),('Diário 2º PA'!$F$4:$F$3040))+SUMPRODUCT(-('Diário 3º PA'!$E$4:$E$2731='Analítico Cx.'!$B42),-('Diário 3º PA'!$P$4:$P$2731=G$1),('Diário 3º PA'!$F$4:$F$2731))+SUMPRODUCT(-('Diário 4º PA'!$E$4:$E$2564='Analítico Cx.'!$B42),-('Diário 4º PA'!$P$4:$P$2564=G$1),('Diário 4º PA'!$F$4:$F$2564))</f>
        <v>937.43999999999994</v>
      </c>
      <c r="H42" s="183">
        <f>SUMPRODUCT(-('Diário 1º PA'!$E$4:$E$2635='Analítico Cx.'!$B42),-('Diário 1º PA'!$P$4:$P$2635=H$1),('Diário 1º PA'!$F$4:$F$2635))+SUMPRODUCT(-('Diário 2º PA'!$E$4:$E$3040='Analítico Cx.'!$B42),-('Diário 2º PA'!$P$4:$P$3040=H$1),('Diário 2º PA'!$F$4:$F$3040))+SUMPRODUCT(-('Diário 3º PA'!$E$4:$E$2731='Analítico Cx.'!$B42),-('Diário 3º PA'!$P$4:$P$2731=H$1),('Diário 3º PA'!$F$4:$F$2731))+SUMPRODUCT(-('Diário 4º PA'!$E$4:$E$2564='Analítico Cx.'!$B42),-('Diário 4º PA'!$P$4:$P$2564=H$1),('Diário 4º PA'!$F$4:$F$2564))</f>
        <v>923.02999999999986</v>
      </c>
      <c r="I42" s="183">
        <f>SUMPRODUCT(-('Diário 1º PA'!$E$4:$E$2635='Analítico Cx.'!$B42),-('Diário 1º PA'!$P$4:$P$2635=I$1),('Diário 1º PA'!$F$4:$F$2635))+SUMPRODUCT(-('Diário 2º PA'!$E$4:$E$3040='Analítico Cx.'!$B42),-('Diário 2º PA'!$P$4:$P$3040=I$1),('Diário 2º PA'!$F$4:$F$3040))+SUMPRODUCT(-('Diário 3º PA'!$E$4:$E$2731='Analítico Cx.'!$B42),-('Diário 3º PA'!$P$4:$P$2731=I$1),('Diário 3º PA'!$F$4:$F$2731))+SUMPRODUCT(-('Diário 4º PA'!$E$4:$E$2564='Analítico Cx.'!$B42),-('Diário 4º PA'!$P$4:$P$2564=I$1),('Diário 4º PA'!$F$4:$F$2564))</f>
        <v>922.31999999999994</v>
      </c>
      <c r="J42" s="183">
        <f>SUMPRODUCT(-('Diário 1º PA'!$E$4:$E$2635='Analítico Cx.'!$B42),-('Diário 1º PA'!$P$4:$P$2635=J$1),('Diário 1º PA'!$F$4:$F$2635))+SUMPRODUCT(-('Diário 2º PA'!$E$4:$E$3040='Analítico Cx.'!$B42),-('Diário 2º PA'!$P$4:$P$3040=J$1),('Diário 2º PA'!$F$4:$F$3040))+SUMPRODUCT(-('Diário 3º PA'!$E$4:$E$2731='Analítico Cx.'!$B42),-('Diário 3º PA'!$P$4:$P$2731=J$1),('Diário 3º PA'!$F$4:$F$2731))+SUMPRODUCT(-('Diário 4º PA'!$E$4:$E$2564='Analítico Cx.'!$B42),-('Diário 4º PA'!$P$4:$P$2564=J$1),('Diário 4º PA'!$F$4:$F$2564))</f>
        <v>922.31999999999994</v>
      </c>
      <c r="K42" s="183">
        <f>SUMPRODUCT(-('Diário 1º PA'!$E$4:$E$2635='Analítico Cx.'!$B42),-('Diário 1º PA'!$P$4:$P$2635=K$1),('Diário 1º PA'!$F$4:$F$2635))+SUMPRODUCT(-('Diário 2º PA'!$E$4:$E$3040='Analítico Cx.'!$B42),-('Diário 2º PA'!$P$4:$P$3040=K$1),('Diário 2º PA'!$F$4:$F$3040))+SUMPRODUCT(-('Diário 3º PA'!$E$4:$E$2731='Analítico Cx.'!$B42),-('Diário 3º PA'!$P$4:$P$2731=K$1),('Diário 3º PA'!$F$4:$F$2731))+SUMPRODUCT(-('Diário 4º PA'!$E$4:$E$2564='Analítico Cx.'!$B42),-('Diário 4º PA'!$P$4:$P$2564=K$1),('Diário 4º PA'!$F$4:$F$2564))</f>
        <v>965.56999999999994</v>
      </c>
      <c r="L42" s="183">
        <f>SUMPRODUCT(-('Diário 1º PA'!$E$4:$E$2635='Analítico Cx.'!$B42),-('Diário 1º PA'!$P$4:$P$2635=L$1),('Diário 1º PA'!$F$4:$F$2635))+SUMPRODUCT(-('Diário 2º PA'!$E$4:$E$3040='Analítico Cx.'!$B42),-('Diário 2º PA'!$P$4:$P$3040=L$1),('Diário 2º PA'!$F$4:$F$3040))+SUMPRODUCT(-('Diário 3º PA'!$E$4:$E$2731='Analítico Cx.'!$B42),-('Diário 3º PA'!$P$4:$P$2731=L$1),('Diário 3º PA'!$F$4:$F$2731))+SUMPRODUCT(-('Diário 4º PA'!$E$4:$E$2564='Analítico Cx.'!$B42),-('Diário 4º PA'!$P$4:$P$2564=L$1),('Diário 4º PA'!$F$4:$F$2564))</f>
        <v>981.39</v>
      </c>
      <c r="M42" s="183">
        <f>SUMPRODUCT(-('Diário 1º PA'!$E$4:$E$2635='Analítico Cx.'!$B42),-('Diário 1º PA'!$P$4:$P$2635=M$1),('Diário 1º PA'!$F$4:$F$2635))+SUMPRODUCT(-('Diário 2º PA'!$E$4:$E$3040='Analítico Cx.'!$B42),-('Diário 2º PA'!$P$4:$P$3040=M$1),('Diário 2º PA'!$F$4:$F$3040))+SUMPRODUCT(-('Diário 3º PA'!$E$4:$E$2731='Analítico Cx.'!$B42),-('Diário 3º PA'!$P$4:$P$2731=M$1),('Diário 3º PA'!$F$4:$F$2731))+SUMPRODUCT(-('Diário 4º PA'!$E$4:$E$2564='Analítico Cx.'!$B42),-('Diário 4º PA'!$P$4:$P$2564=M$1),('Diário 4º PA'!$F$4:$F$2564))</f>
        <v>982.1</v>
      </c>
      <c r="N42" s="183">
        <f>SUMPRODUCT(-('Diário 1º PA'!$E$4:$E$2635='Analítico Cx.'!$B42),-('Diário 1º PA'!$P$4:$P$2635=N$1),('Diário 1º PA'!$F$4:$F$2635))+SUMPRODUCT(-('Diário 2º PA'!$E$4:$E$3040='Analítico Cx.'!$B42),-('Diário 2º PA'!$P$4:$P$3040=N$1),('Diário 2º PA'!$F$4:$F$3040))+SUMPRODUCT(-('Diário 3º PA'!$E$4:$E$2731='Analítico Cx.'!$B42),-('Diário 3º PA'!$P$4:$P$2731=N$1),('Diário 3º PA'!$F$4:$F$2731))+SUMPRODUCT(-('Diário 4º PA'!$E$4:$E$2564='Analítico Cx.'!$B42),-('Diário 4º PA'!$P$4:$P$2564=N$1),('Diário 4º PA'!$F$4:$F$2564))</f>
        <v>984.20999999999992</v>
      </c>
      <c r="O42" s="184">
        <f t="shared" si="8"/>
        <v>11334.549999999997</v>
      </c>
      <c r="P42" s="167">
        <f t="shared" si="7"/>
        <v>8.9276633871587904E-4</v>
      </c>
    </row>
    <row r="43" spans="1:16" ht="23.25" customHeight="1" x14ac:dyDescent="0.2">
      <c r="A43" s="61" t="s">
        <v>246</v>
      </c>
      <c r="B43" s="60" t="s">
        <v>286</v>
      </c>
      <c r="C43" s="183">
        <f>SUMPRODUCT(-('Diário 1º PA'!$E$4:$E$2635='Analítico Cx.'!$B43),-('Diário 1º PA'!$P$4:$P$2635=C$1),('Diário 1º PA'!$F$4:$F$2635))+SUMPRODUCT(-('Diário 2º PA'!$E$4:$E$3040='Analítico Cx.'!$B43),-('Diário 2º PA'!$P$4:$P$3040=C$1),('Diário 2º PA'!$F$4:$F$3040))+SUMPRODUCT(-('Diário 3º PA'!$E$4:$E$2731='Analítico Cx.'!$B43),-('Diário 3º PA'!$P$4:$P$2731=C$1),('Diário 3º PA'!$F$4:$F$2731))+SUMPRODUCT(-('Diário 4º PA'!$E$4:$E$2564='Analítico Cx.'!$B43),-('Diário 4º PA'!$P$4:$P$2564=C$1),('Diário 4º PA'!$F$4:$F$2564))</f>
        <v>0</v>
      </c>
      <c r="D43" s="183">
        <f>SUMPRODUCT(-('Diário 1º PA'!$E$4:$E$2635='Analítico Cx.'!$B43),-('Diário 1º PA'!$P$4:$P$2635=D$1),('Diário 1º PA'!$F$4:$F$2635))+SUMPRODUCT(-('Diário 2º PA'!$E$4:$E$3040='Analítico Cx.'!$B43),-('Diário 2º PA'!$P$4:$P$3040=D$1),('Diário 2º PA'!$F$4:$F$3040))+SUMPRODUCT(-('Diário 3º PA'!$E$4:$E$2731='Analítico Cx.'!$B43),-('Diário 3º PA'!$P$4:$P$2731=D$1),('Diário 3º PA'!$F$4:$F$2731))+SUMPRODUCT(-('Diário 4º PA'!$E$4:$E$2564='Analítico Cx.'!$B43),-('Diário 4º PA'!$P$4:$P$2564=D$1),('Diário 4º PA'!$F$4:$F$2564))</f>
        <v>0</v>
      </c>
      <c r="E43" s="183">
        <f>SUMPRODUCT(-('Diário 1º PA'!$E$4:$E$2635='Analítico Cx.'!$B43),-('Diário 1º PA'!$P$4:$P$2635=E$1),('Diário 1º PA'!$F$4:$F$2635))+SUMPRODUCT(-('Diário 2º PA'!$E$4:$E$3040='Analítico Cx.'!$B43),-('Diário 2º PA'!$P$4:$P$3040=E$1),('Diário 2º PA'!$F$4:$F$3040))+SUMPRODUCT(-('Diário 3º PA'!$E$4:$E$2731='Analítico Cx.'!$B43),-('Diário 3º PA'!$P$4:$P$2731=E$1),('Diário 3º PA'!$F$4:$F$2731))+SUMPRODUCT(-('Diário 4º PA'!$E$4:$E$2564='Analítico Cx.'!$B43),-('Diário 4º PA'!$P$4:$P$2564=E$1),('Diário 4º PA'!$F$4:$F$2564))</f>
        <v>0</v>
      </c>
      <c r="F43" s="183">
        <f>SUMPRODUCT(-('Diário 1º PA'!$E$4:$E$2635='Analítico Cx.'!$B43),-('Diário 1º PA'!$P$4:$P$2635=F$1),('Diário 1º PA'!$F$4:$F$2635))+SUMPRODUCT(-('Diário 2º PA'!$E$4:$E$3040='Analítico Cx.'!$B43),-('Diário 2º PA'!$P$4:$P$3040=F$1),('Diário 2º PA'!$F$4:$F$3040))+SUMPRODUCT(-('Diário 3º PA'!$E$4:$E$2731='Analítico Cx.'!$B43),-('Diário 3º PA'!$P$4:$P$2731=F$1),('Diário 3º PA'!$F$4:$F$2731))+SUMPRODUCT(-('Diário 4º PA'!$E$4:$E$2564='Analítico Cx.'!$B43),-('Diário 4º PA'!$P$4:$P$2564=F$1),('Diário 4º PA'!$F$4:$F$2564))</f>
        <v>0</v>
      </c>
      <c r="G43" s="183">
        <f>SUMPRODUCT(-('Diário 1º PA'!$E$4:$E$2635='Analítico Cx.'!$B43),-('Diário 1º PA'!$P$4:$P$2635=G$1),('Diário 1º PA'!$F$4:$F$2635))+SUMPRODUCT(-('Diário 2º PA'!$E$4:$E$3040='Analítico Cx.'!$B43),-('Diário 2º PA'!$P$4:$P$3040=G$1),('Diário 2º PA'!$F$4:$F$3040))+SUMPRODUCT(-('Diário 3º PA'!$E$4:$E$2731='Analítico Cx.'!$B43),-('Diário 3º PA'!$P$4:$P$2731=G$1),('Diário 3º PA'!$F$4:$F$2731))+SUMPRODUCT(-('Diário 4º PA'!$E$4:$E$2564='Analítico Cx.'!$B43),-('Diário 4º PA'!$P$4:$P$2564=G$1),('Diário 4º PA'!$F$4:$F$2564))</f>
        <v>0</v>
      </c>
      <c r="H43" s="183">
        <f>SUMPRODUCT(-('Diário 1º PA'!$E$4:$E$2635='Analítico Cx.'!$B43),-('Diário 1º PA'!$P$4:$P$2635=H$1),('Diário 1º PA'!$F$4:$F$2635))+SUMPRODUCT(-('Diário 2º PA'!$E$4:$E$3040='Analítico Cx.'!$B43),-('Diário 2º PA'!$P$4:$P$3040=H$1),('Diário 2º PA'!$F$4:$F$3040))+SUMPRODUCT(-('Diário 3º PA'!$E$4:$E$2731='Analítico Cx.'!$B43),-('Diário 3º PA'!$P$4:$P$2731=H$1),('Diário 3º PA'!$F$4:$F$2731))+SUMPRODUCT(-('Diário 4º PA'!$E$4:$E$2564='Analítico Cx.'!$B43),-('Diário 4º PA'!$P$4:$P$2564=H$1),('Diário 4º PA'!$F$4:$F$2564))</f>
        <v>0</v>
      </c>
      <c r="I43" s="183">
        <f>SUMPRODUCT(-('Diário 1º PA'!$E$4:$E$2635='Analítico Cx.'!$B43),-('Diário 1º PA'!$P$4:$P$2635=I$1),('Diário 1º PA'!$F$4:$F$2635))+SUMPRODUCT(-('Diário 2º PA'!$E$4:$E$3040='Analítico Cx.'!$B43),-('Diário 2º PA'!$P$4:$P$3040=I$1),('Diário 2º PA'!$F$4:$F$3040))+SUMPRODUCT(-('Diário 3º PA'!$E$4:$E$2731='Analítico Cx.'!$B43),-('Diário 3º PA'!$P$4:$P$2731=I$1),('Diário 3º PA'!$F$4:$F$2731))+SUMPRODUCT(-('Diário 4º PA'!$E$4:$E$2564='Analítico Cx.'!$B43),-('Diário 4º PA'!$P$4:$P$2564=I$1),('Diário 4º PA'!$F$4:$F$2564))</f>
        <v>0</v>
      </c>
      <c r="J43" s="183">
        <f>SUMPRODUCT(-('Diário 1º PA'!$E$4:$E$2635='Analítico Cx.'!$B43),-('Diário 1º PA'!$P$4:$P$2635=J$1),('Diário 1º PA'!$F$4:$F$2635))+SUMPRODUCT(-('Diário 2º PA'!$E$4:$E$3040='Analítico Cx.'!$B43),-('Diário 2º PA'!$P$4:$P$3040=J$1),('Diário 2º PA'!$F$4:$F$3040))+SUMPRODUCT(-('Diário 3º PA'!$E$4:$E$2731='Analítico Cx.'!$B43),-('Diário 3º PA'!$P$4:$P$2731=J$1),('Diário 3º PA'!$F$4:$F$2731))+SUMPRODUCT(-('Diário 4º PA'!$E$4:$E$2564='Analítico Cx.'!$B43),-('Diário 4º PA'!$P$4:$P$2564=J$1),('Diário 4º PA'!$F$4:$F$2564))</f>
        <v>0</v>
      </c>
      <c r="K43" s="183">
        <f>SUMPRODUCT(-('Diário 1º PA'!$E$4:$E$2635='Analítico Cx.'!$B43),-('Diário 1º PA'!$P$4:$P$2635=K$1),('Diário 1º PA'!$F$4:$F$2635))+SUMPRODUCT(-('Diário 2º PA'!$E$4:$E$3040='Analítico Cx.'!$B43),-('Diário 2º PA'!$P$4:$P$3040=K$1),('Diário 2º PA'!$F$4:$F$3040))+SUMPRODUCT(-('Diário 3º PA'!$E$4:$E$2731='Analítico Cx.'!$B43),-('Diário 3º PA'!$P$4:$P$2731=K$1),('Diário 3º PA'!$F$4:$F$2731))+SUMPRODUCT(-('Diário 4º PA'!$E$4:$E$2564='Analítico Cx.'!$B43),-('Diário 4º PA'!$P$4:$P$2564=K$1),('Diário 4º PA'!$F$4:$F$2564))</f>
        <v>0</v>
      </c>
      <c r="L43" s="183">
        <f>SUMPRODUCT(-('Diário 1º PA'!$E$4:$E$2635='Analítico Cx.'!$B43),-('Diário 1º PA'!$P$4:$P$2635=L$1),('Diário 1º PA'!$F$4:$F$2635))+SUMPRODUCT(-('Diário 2º PA'!$E$4:$E$3040='Analítico Cx.'!$B43),-('Diário 2º PA'!$P$4:$P$3040=L$1),('Diário 2º PA'!$F$4:$F$3040))+SUMPRODUCT(-('Diário 3º PA'!$E$4:$E$2731='Analítico Cx.'!$B43),-('Diário 3º PA'!$P$4:$P$2731=L$1),('Diário 3º PA'!$F$4:$F$2731))+SUMPRODUCT(-('Diário 4º PA'!$E$4:$E$2564='Analítico Cx.'!$B43),-('Diário 4º PA'!$P$4:$P$2564=L$1),('Diário 4º PA'!$F$4:$F$2564))</f>
        <v>0</v>
      </c>
      <c r="M43" s="183">
        <f>SUMPRODUCT(-('Diário 1º PA'!$E$4:$E$2635='Analítico Cx.'!$B43),-('Diário 1º PA'!$P$4:$P$2635=M$1),('Diário 1º PA'!$F$4:$F$2635))+SUMPRODUCT(-('Diário 2º PA'!$E$4:$E$3040='Analítico Cx.'!$B43),-('Diário 2º PA'!$P$4:$P$3040=M$1),('Diário 2º PA'!$F$4:$F$3040))+SUMPRODUCT(-('Diário 3º PA'!$E$4:$E$2731='Analítico Cx.'!$B43),-('Diário 3º PA'!$P$4:$P$2731=M$1),('Diário 3º PA'!$F$4:$F$2731))+SUMPRODUCT(-('Diário 4º PA'!$E$4:$E$2564='Analítico Cx.'!$B43),-('Diário 4º PA'!$P$4:$P$2564=M$1),('Diário 4º PA'!$F$4:$F$2564))</f>
        <v>0</v>
      </c>
      <c r="N43" s="183">
        <f>SUMPRODUCT(-('Diário 1º PA'!$E$4:$E$2635='Analítico Cx.'!$B43),-('Diário 1º PA'!$P$4:$P$2635=N$1),('Diário 1º PA'!$F$4:$F$2635))+SUMPRODUCT(-('Diário 2º PA'!$E$4:$E$3040='Analítico Cx.'!$B43),-('Diário 2º PA'!$P$4:$P$3040=N$1),('Diário 2º PA'!$F$4:$F$3040))+SUMPRODUCT(-('Diário 3º PA'!$E$4:$E$2731='Analítico Cx.'!$B43),-('Diário 3º PA'!$P$4:$P$2731=N$1),('Diário 3º PA'!$F$4:$F$2731))+SUMPRODUCT(-('Diário 4º PA'!$E$4:$E$2564='Analítico Cx.'!$B43),-('Diário 4º PA'!$P$4:$P$2564=N$1),('Diário 4º PA'!$F$4:$F$2564))</f>
        <v>0</v>
      </c>
      <c r="O43" s="184">
        <f t="shared" si="8"/>
        <v>0</v>
      </c>
      <c r="P43" s="167">
        <f t="shared" si="7"/>
        <v>0</v>
      </c>
    </row>
    <row r="44" spans="1:16" ht="23.25" customHeight="1" x14ac:dyDescent="0.2">
      <c r="A44" s="61" t="s">
        <v>247</v>
      </c>
      <c r="B44" s="60" t="s">
        <v>176</v>
      </c>
      <c r="C44" s="183">
        <f>SUMPRODUCT(-('Diário 1º PA'!$E$4:$E$2635='Analítico Cx.'!$B44),-('Diário 1º PA'!$P$4:$P$2635=C$1),('Diário 1º PA'!$F$4:$F$2635))+SUMPRODUCT(-('Diário 2º PA'!$E$4:$E$3040='Analítico Cx.'!$B44),-('Diário 2º PA'!$P$4:$P$3040=C$1),('Diário 2º PA'!$F$4:$F$3040))+SUMPRODUCT(-('Diário 3º PA'!$E$4:$E$2731='Analítico Cx.'!$B44),-('Diário 3º PA'!$P$4:$P$2731=C$1),('Diário 3º PA'!$F$4:$F$2731))+SUMPRODUCT(-('Diário 4º PA'!$E$4:$E$2564='Analítico Cx.'!$B44),-('Diário 4º PA'!$P$4:$P$2564=C$1),('Diário 4º PA'!$F$4:$F$2564))</f>
        <v>0</v>
      </c>
      <c r="D44" s="183">
        <f>SUMPRODUCT(-('Diário 1º PA'!$E$4:$E$2635='Analítico Cx.'!$B44),-('Diário 1º PA'!$P$4:$P$2635=D$1),('Diário 1º PA'!$F$4:$F$2635))+SUMPRODUCT(-('Diário 2º PA'!$E$4:$E$3040='Analítico Cx.'!$B44),-('Diário 2º PA'!$P$4:$P$3040=D$1),('Diário 2º PA'!$F$4:$F$3040))+SUMPRODUCT(-('Diário 3º PA'!$E$4:$E$2731='Analítico Cx.'!$B44),-('Diário 3º PA'!$P$4:$P$2731=D$1),('Diário 3º PA'!$F$4:$F$2731))+SUMPRODUCT(-('Diário 4º PA'!$E$4:$E$2564='Analítico Cx.'!$B44),-('Diário 4º PA'!$P$4:$P$2564=D$1),('Diário 4º PA'!$F$4:$F$2564))</f>
        <v>0</v>
      </c>
      <c r="E44" s="183">
        <f>SUMPRODUCT(-('Diário 1º PA'!$E$4:$E$2635='Analítico Cx.'!$B44),-('Diário 1º PA'!$P$4:$P$2635=E$1),('Diário 1º PA'!$F$4:$F$2635))+SUMPRODUCT(-('Diário 2º PA'!$E$4:$E$3040='Analítico Cx.'!$B44),-('Diário 2º PA'!$P$4:$P$3040=E$1),('Diário 2º PA'!$F$4:$F$3040))+SUMPRODUCT(-('Diário 3º PA'!$E$4:$E$2731='Analítico Cx.'!$B44),-('Diário 3º PA'!$P$4:$P$2731=E$1),('Diário 3º PA'!$F$4:$F$2731))+SUMPRODUCT(-('Diário 4º PA'!$E$4:$E$2564='Analítico Cx.'!$B44),-('Diário 4º PA'!$P$4:$P$2564=E$1),('Diário 4º PA'!$F$4:$F$2564))</f>
        <v>0</v>
      </c>
      <c r="F44" s="183">
        <f>SUMPRODUCT(-('Diário 1º PA'!$E$4:$E$2635='Analítico Cx.'!$B44),-('Diário 1º PA'!$P$4:$P$2635=F$1),('Diário 1º PA'!$F$4:$F$2635))+SUMPRODUCT(-('Diário 2º PA'!$E$4:$E$3040='Analítico Cx.'!$B44),-('Diário 2º PA'!$P$4:$P$3040=F$1),('Diário 2º PA'!$F$4:$F$3040))+SUMPRODUCT(-('Diário 3º PA'!$E$4:$E$2731='Analítico Cx.'!$B44),-('Diário 3º PA'!$P$4:$P$2731=F$1),('Diário 3º PA'!$F$4:$F$2731))+SUMPRODUCT(-('Diário 4º PA'!$E$4:$E$2564='Analítico Cx.'!$B44),-('Diário 4º PA'!$P$4:$P$2564=F$1),('Diário 4º PA'!$F$4:$F$2564))</f>
        <v>0</v>
      </c>
      <c r="G44" s="183">
        <f>SUMPRODUCT(-('Diário 1º PA'!$E$4:$E$2635='Analítico Cx.'!$B44),-('Diário 1º PA'!$P$4:$P$2635=G$1),('Diário 1º PA'!$F$4:$F$2635))+SUMPRODUCT(-('Diário 2º PA'!$E$4:$E$3040='Analítico Cx.'!$B44),-('Diário 2º PA'!$P$4:$P$3040=G$1),('Diário 2º PA'!$F$4:$F$3040))+SUMPRODUCT(-('Diário 3º PA'!$E$4:$E$2731='Analítico Cx.'!$B44),-('Diário 3º PA'!$P$4:$P$2731=G$1),('Diário 3º PA'!$F$4:$F$2731))+SUMPRODUCT(-('Diário 4º PA'!$E$4:$E$2564='Analítico Cx.'!$B44),-('Diário 4º PA'!$P$4:$P$2564=G$1),('Diário 4º PA'!$F$4:$F$2564))</f>
        <v>0</v>
      </c>
      <c r="H44" s="183">
        <f>SUMPRODUCT(-('Diário 1º PA'!$E$4:$E$2635='Analítico Cx.'!$B44),-('Diário 1º PA'!$P$4:$P$2635=H$1),('Diário 1º PA'!$F$4:$F$2635))+SUMPRODUCT(-('Diário 2º PA'!$E$4:$E$3040='Analítico Cx.'!$B44),-('Diário 2º PA'!$P$4:$P$3040=H$1),('Diário 2º PA'!$F$4:$F$3040))+SUMPRODUCT(-('Diário 3º PA'!$E$4:$E$2731='Analítico Cx.'!$B44),-('Diário 3º PA'!$P$4:$P$2731=H$1),('Diário 3º PA'!$F$4:$F$2731))+SUMPRODUCT(-('Diário 4º PA'!$E$4:$E$2564='Analítico Cx.'!$B44),-('Diário 4º PA'!$P$4:$P$2564=H$1),('Diário 4º PA'!$F$4:$F$2564))</f>
        <v>0</v>
      </c>
      <c r="I44" s="183">
        <f>SUMPRODUCT(-('Diário 1º PA'!$E$4:$E$2635='Analítico Cx.'!$B44),-('Diário 1º PA'!$P$4:$P$2635=I$1),('Diário 1º PA'!$F$4:$F$2635))+SUMPRODUCT(-('Diário 2º PA'!$E$4:$E$3040='Analítico Cx.'!$B44),-('Diário 2º PA'!$P$4:$P$3040=I$1),('Diário 2º PA'!$F$4:$F$3040))+SUMPRODUCT(-('Diário 3º PA'!$E$4:$E$2731='Analítico Cx.'!$B44),-('Diário 3º PA'!$P$4:$P$2731=I$1),('Diário 3º PA'!$F$4:$F$2731))+SUMPRODUCT(-('Diário 4º PA'!$E$4:$E$2564='Analítico Cx.'!$B44),-('Diário 4º PA'!$P$4:$P$2564=I$1),('Diário 4º PA'!$F$4:$F$2564))</f>
        <v>0</v>
      </c>
      <c r="J44" s="183">
        <f>SUMPRODUCT(-('Diário 1º PA'!$E$4:$E$2635='Analítico Cx.'!$B44),-('Diário 1º PA'!$P$4:$P$2635=J$1),('Diário 1º PA'!$F$4:$F$2635))+SUMPRODUCT(-('Diário 2º PA'!$E$4:$E$3040='Analítico Cx.'!$B44),-('Diário 2º PA'!$P$4:$P$3040=J$1),('Diário 2º PA'!$F$4:$F$3040))+SUMPRODUCT(-('Diário 3º PA'!$E$4:$E$2731='Analítico Cx.'!$B44),-('Diário 3º PA'!$P$4:$P$2731=J$1),('Diário 3º PA'!$F$4:$F$2731))+SUMPRODUCT(-('Diário 4º PA'!$E$4:$E$2564='Analítico Cx.'!$B44),-('Diário 4º PA'!$P$4:$P$2564=J$1),('Diário 4º PA'!$F$4:$F$2564))</f>
        <v>0</v>
      </c>
      <c r="K44" s="183">
        <f>SUMPRODUCT(-('Diário 1º PA'!$E$4:$E$2635='Analítico Cx.'!$B44),-('Diário 1º PA'!$P$4:$P$2635=K$1),('Diário 1º PA'!$F$4:$F$2635))+SUMPRODUCT(-('Diário 2º PA'!$E$4:$E$3040='Analítico Cx.'!$B44),-('Diário 2º PA'!$P$4:$P$3040=K$1),('Diário 2º PA'!$F$4:$F$3040))+SUMPRODUCT(-('Diário 3º PA'!$E$4:$E$2731='Analítico Cx.'!$B44),-('Diário 3º PA'!$P$4:$P$2731=K$1),('Diário 3º PA'!$F$4:$F$2731))+SUMPRODUCT(-('Diário 4º PA'!$E$4:$E$2564='Analítico Cx.'!$B44),-('Diário 4º PA'!$P$4:$P$2564=K$1),('Diário 4º PA'!$F$4:$F$2564))</f>
        <v>0</v>
      </c>
      <c r="L44" s="183">
        <f>SUMPRODUCT(-('Diário 1º PA'!$E$4:$E$2635='Analítico Cx.'!$B44),-('Diário 1º PA'!$P$4:$P$2635=L$1),('Diário 1º PA'!$F$4:$F$2635))+SUMPRODUCT(-('Diário 2º PA'!$E$4:$E$3040='Analítico Cx.'!$B44),-('Diário 2º PA'!$P$4:$P$3040=L$1),('Diário 2º PA'!$F$4:$F$3040))+SUMPRODUCT(-('Diário 3º PA'!$E$4:$E$2731='Analítico Cx.'!$B44),-('Diário 3º PA'!$P$4:$P$2731=L$1),('Diário 3º PA'!$F$4:$F$2731))+SUMPRODUCT(-('Diário 4º PA'!$E$4:$E$2564='Analítico Cx.'!$B44),-('Diário 4º PA'!$P$4:$P$2564=L$1),('Diário 4º PA'!$F$4:$F$2564))</f>
        <v>0</v>
      </c>
      <c r="M44" s="183">
        <f>SUMPRODUCT(-('Diário 1º PA'!$E$4:$E$2635='Analítico Cx.'!$B44),-('Diário 1º PA'!$P$4:$P$2635=M$1),('Diário 1º PA'!$F$4:$F$2635))+SUMPRODUCT(-('Diário 2º PA'!$E$4:$E$3040='Analítico Cx.'!$B44),-('Diário 2º PA'!$P$4:$P$3040=M$1),('Diário 2º PA'!$F$4:$F$3040))+SUMPRODUCT(-('Diário 3º PA'!$E$4:$E$2731='Analítico Cx.'!$B44),-('Diário 3º PA'!$P$4:$P$2731=M$1),('Diário 3º PA'!$F$4:$F$2731))+SUMPRODUCT(-('Diário 4º PA'!$E$4:$E$2564='Analítico Cx.'!$B44),-('Diário 4º PA'!$P$4:$P$2564=M$1),('Diário 4º PA'!$F$4:$F$2564))</f>
        <v>0</v>
      </c>
      <c r="N44" s="183">
        <f>SUMPRODUCT(-('Diário 1º PA'!$E$4:$E$2635='Analítico Cx.'!$B44),-('Diário 1º PA'!$P$4:$P$2635=N$1),('Diário 1º PA'!$F$4:$F$2635))+SUMPRODUCT(-('Diário 2º PA'!$E$4:$E$3040='Analítico Cx.'!$B44),-('Diário 2º PA'!$P$4:$P$3040=N$1),('Diário 2º PA'!$F$4:$F$3040))+SUMPRODUCT(-('Diário 3º PA'!$E$4:$E$2731='Analítico Cx.'!$B44),-('Diário 3º PA'!$P$4:$P$2731=N$1),('Diário 3º PA'!$F$4:$F$2731))+SUMPRODUCT(-('Diário 4º PA'!$E$4:$E$2564='Analítico Cx.'!$B44),-('Diário 4º PA'!$P$4:$P$2564=N$1),('Diário 4º PA'!$F$4:$F$2564))</f>
        <v>0</v>
      </c>
      <c r="O44" s="184">
        <f t="shared" si="8"/>
        <v>0</v>
      </c>
      <c r="P44" s="167">
        <f t="shared" si="7"/>
        <v>0</v>
      </c>
    </row>
    <row r="45" spans="1:16" s="34" customFormat="1" ht="23.25" customHeight="1" x14ac:dyDescent="0.2">
      <c r="A45" s="61" t="s">
        <v>248</v>
      </c>
      <c r="B45" s="59" t="s">
        <v>296</v>
      </c>
      <c r="C45" s="183">
        <f>SUMPRODUCT(-('Diário 1º PA'!$E$4:$E$2635='Analítico Cx.'!$B45),-('Diário 1º PA'!$P$4:$P$2635=C$1),('Diário 1º PA'!$F$4:$F$2635))+SUMPRODUCT(-('Diário 2º PA'!$E$4:$E$3040='Analítico Cx.'!$B45),-('Diário 2º PA'!$P$4:$P$3040=C$1),('Diário 2º PA'!$F$4:$F$3040))+SUMPRODUCT(-('Diário 3º PA'!$E$4:$E$2731='Analítico Cx.'!$B45),-('Diário 3º PA'!$P$4:$P$2731=C$1),('Diário 3º PA'!$F$4:$F$2731))+SUMPRODUCT(-('Diário 4º PA'!$E$4:$E$2564='Analítico Cx.'!$B45),-('Diário 4º PA'!$P$4:$P$2564=C$1),('Diário 4º PA'!$F$4:$F$2564))</f>
        <v>0</v>
      </c>
      <c r="D45" s="183">
        <f>SUMPRODUCT(-('Diário 1º PA'!$E$4:$E$2635='Analítico Cx.'!$B45),-('Diário 1º PA'!$P$4:$P$2635=D$1),('Diário 1º PA'!$F$4:$F$2635))+SUMPRODUCT(-('Diário 2º PA'!$E$4:$E$3040='Analítico Cx.'!$B45),-('Diário 2º PA'!$P$4:$P$3040=D$1),('Diário 2º PA'!$F$4:$F$3040))+SUMPRODUCT(-('Diário 3º PA'!$E$4:$E$2731='Analítico Cx.'!$B45),-('Diário 3º PA'!$P$4:$P$2731=D$1),('Diário 3º PA'!$F$4:$F$2731))+SUMPRODUCT(-('Diário 4º PA'!$E$4:$E$2564='Analítico Cx.'!$B45),-('Diário 4º PA'!$P$4:$P$2564=D$1),('Diário 4º PA'!$F$4:$F$2564))</f>
        <v>0</v>
      </c>
      <c r="E45" s="183">
        <f>SUMPRODUCT(-('Diário 1º PA'!$E$4:$E$2635='Analítico Cx.'!$B45),-('Diário 1º PA'!$P$4:$P$2635=E$1),('Diário 1º PA'!$F$4:$F$2635))+SUMPRODUCT(-('Diário 2º PA'!$E$4:$E$3040='Analítico Cx.'!$B45),-('Diário 2º PA'!$P$4:$P$3040=E$1),('Diário 2º PA'!$F$4:$F$3040))+SUMPRODUCT(-('Diário 3º PA'!$E$4:$E$2731='Analítico Cx.'!$B45),-('Diário 3º PA'!$P$4:$P$2731=E$1),('Diário 3º PA'!$F$4:$F$2731))+SUMPRODUCT(-('Diário 4º PA'!$E$4:$E$2564='Analítico Cx.'!$B45),-('Diário 4º PA'!$P$4:$P$2564=E$1),('Diário 4º PA'!$F$4:$F$2564))</f>
        <v>0</v>
      </c>
      <c r="F45" s="183">
        <f>SUMPRODUCT(-('Diário 1º PA'!$E$4:$E$2635='Analítico Cx.'!$B45),-('Diário 1º PA'!$P$4:$P$2635=F$1),('Diário 1º PA'!$F$4:$F$2635))+SUMPRODUCT(-('Diário 2º PA'!$E$4:$E$3040='Analítico Cx.'!$B45),-('Diário 2º PA'!$P$4:$P$3040=F$1),('Diário 2º PA'!$F$4:$F$3040))+SUMPRODUCT(-('Diário 3º PA'!$E$4:$E$2731='Analítico Cx.'!$B45),-('Diário 3º PA'!$P$4:$P$2731=F$1),('Diário 3º PA'!$F$4:$F$2731))+SUMPRODUCT(-('Diário 4º PA'!$E$4:$E$2564='Analítico Cx.'!$B45),-('Diário 4º PA'!$P$4:$P$2564=F$1),('Diário 4º PA'!$F$4:$F$2564))</f>
        <v>0</v>
      </c>
      <c r="G45" s="183">
        <f>SUMPRODUCT(-('Diário 1º PA'!$E$4:$E$2635='Analítico Cx.'!$B45),-('Diário 1º PA'!$P$4:$P$2635=G$1),('Diário 1º PA'!$F$4:$F$2635))+SUMPRODUCT(-('Diário 2º PA'!$E$4:$E$3040='Analítico Cx.'!$B45),-('Diário 2º PA'!$P$4:$P$3040=G$1),('Diário 2º PA'!$F$4:$F$3040))+SUMPRODUCT(-('Diário 3º PA'!$E$4:$E$2731='Analítico Cx.'!$B45),-('Diário 3º PA'!$P$4:$P$2731=G$1),('Diário 3º PA'!$F$4:$F$2731))+SUMPRODUCT(-('Diário 4º PA'!$E$4:$E$2564='Analítico Cx.'!$B45),-('Diário 4º PA'!$P$4:$P$2564=G$1),('Diário 4º PA'!$F$4:$F$2564))</f>
        <v>0</v>
      </c>
      <c r="H45" s="183">
        <f>SUMPRODUCT(-('Diário 1º PA'!$E$4:$E$2635='Analítico Cx.'!$B45),-('Diário 1º PA'!$P$4:$P$2635=H$1),('Diário 1º PA'!$F$4:$F$2635))+SUMPRODUCT(-('Diário 2º PA'!$E$4:$E$3040='Analítico Cx.'!$B45),-('Diário 2º PA'!$P$4:$P$3040=H$1),('Diário 2º PA'!$F$4:$F$3040))+SUMPRODUCT(-('Diário 3º PA'!$E$4:$E$2731='Analítico Cx.'!$B45),-('Diário 3º PA'!$P$4:$P$2731=H$1),('Diário 3º PA'!$F$4:$F$2731))+SUMPRODUCT(-('Diário 4º PA'!$E$4:$E$2564='Analítico Cx.'!$B45),-('Diário 4º PA'!$P$4:$P$2564=H$1),('Diário 4º PA'!$F$4:$F$2564))</f>
        <v>0</v>
      </c>
      <c r="I45" s="183">
        <f>SUMPRODUCT(-('Diário 1º PA'!$E$4:$E$2635='Analítico Cx.'!$B45),-('Diário 1º PA'!$P$4:$P$2635=I$1),('Diário 1º PA'!$F$4:$F$2635))+SUMPRODUCT(-('Diário 2º PA'!$E$4:$E$3040='Analítico Cx.'!$B45),-('Diário 2º PA'!$P$4:$P$3040=I$1),('Diário 2º PA'!$F$4:$F$3040))+SUMPRODUCT(-('Diário 3º PA'!$E$4:$E$2731='Analítico Cx.'!$B45),-('Diário 3º PA'!$P$4:$P$2731=I$1),('Diário 3º PA'!$F$4:$F$2731))+SUMPRODUCT(-('Diário 4º PA'!$E$4:$E$2564='Analítico Cx.'!$B45),-('Diário 4º PA'!$P$4:$P$2564=I$1),('Diário 4º PA'!$F$4:$F$2564))</f>
        <v>0</v>
      </c>
      <c r="J45" s="183">
        <f>SUMPRODUCT(-('Diário 1º PA'!$E$4:$E$2635='Analítico Cx.'!$B45),-('Diário 1º PA'!$P$4:$P$2635=J$1),('Diário 1º PA'!$F$4:$F$2635))+SUMPRODUCT(-('Diário 2º PA'!$E$4:$E$3040='Analítico Cx.'!$B45),-('Diário 2º PA'!$P$4:$P$3040=J$1),('Diário 2º PA'!$F$4:$F$3040))+SUMPRODUCT(-('Diário 3º PA'!$E$4:$E$2731='Analítico Cx.'!$B45),-('Diário 3º PA'!$P$4:$P$2731=J$1),('Diário 3º PA'!$F$4:$F$2731))+SUMPRODUCT(-('Diário 4º PA'!$E$4:$E$2564='Analítico Cx.'!$B45),-('Diário 4º PA'!$P$4:$P$2564=J$1),('Diário 4º PA'!$F$4:$F$2564))</f>
        <v>0</v>
      </c>
      <c r="K45" s="183">
        <f>SUMPRODUCT(-('Diário 1º PA'!$E$4:$E$2635='Analítico Cx.'!$B45),-('Diário 1º PA'!$P$4:$P$2635=K$1),('Diário 1º PA'!$F$4:$F$2635))+SUMPRODUCT(-('Diário 2º PA'!$E$4:$E$3040='Analítico Cx.'!$B45),-('Diário 2º PA'!$P$4:$P$3040=K$1),('Diário 2º PA'!$F$4:$F$3040))+SUMPRODUCT(-('Diário 3º PA'!$E$4:$E$2731='Analítico Cx.'!$B45),-('Diário 3º PA'!$P$4:$P$2731=K$1),('Diário 3º PA'!$F$4:$F$2731))+SUMPRODUCT(-('Diário 4º PA'!$E$4:$E$2564='Analítico Cx.'!$B45),-('Diário 4º PA'!$P$4:$P$2564=K$1),('Diário 4º PA'!$F$4:$F$2564))</f>
        <v>0</v>
      </c>
      <c r="L45" s="183">
        <f>SUMPRODUCT(-('Diário 1º PA'!$E$4:$E$2635='Analítico Cx.'!$B45),-('Diário 1º PA'!$P$4:$P$2635=L$1),('Diário 1º PA'!$F$4:$F$2635))+SUMPRODUCT(-('Diário 2º PA'!$E$4:$E$3040='Analítico Cx.'!$B45),-('Diário 2º PA'!$P$4:$P$3040=L$1),('Diário 2º PA'!$F$4:$F$3040))+SUMPRODUCT(-('Diário 3º PA'!$E$4:$E$2731='Analítico Cx.'!$B45),-('Diário 3º PA'!$P$4:$P$2731=L$1),('Diário 3º PA'!$F$4:$F$2731))+SUMPRODUCT(-('Diário 4º PA'!$E$4:$E$2564='Analítico Cx.'!$B45),-('Diário 4º PA'!$P$4:$P$2564=L$1),('Diário 4º PA'!$F$4:$F$2564))</f>
        <v>0</v>
      </c>
      <c r="M45" s="183">
        <f>SUMPRODUCT(-('Diário 1º PA'!$E$4:$E$2635='Analítico Cx.'!$B45),-('Diário 1º PA'!$P$4:$P$2635=M$1),('Diário 1º PA'!$F$4:$F$2635))+SUMPRODUCT(-('Diário 2º PA'!$E$4:$E$3040='Analítico Cx.'!$B45),-('Diário 2º PA'!$P$4:$P$3040=M$1),('Diário 2º PA'!$F$4:$F$3040))+SUMPRODUCT(-('Diário 3º PA'!$E$4:$E$2731='Analítico Cx.'!$B45),-('Diário 3º PA'!$P$4:$P$2731=M$1),('Diário 3º PA'!$F$4:$F$2731))+SUMPRODUCT(-('Diário 4º PA'!$E$4:$E$2564='Analítico Cx.'!$B45),-('Diário 4º PA'!$P$4:$P$2564=M$1),('Diário 4º PA'!$F$4:$F$2564))</f>
        <v>0</v>
      </c>
      <c r="N45" s="183">
        <f>SUMPRODUCT(-('Diário 1º PA'!$E$4:$E$2635='Analítico Cx.'!$B45),-('Diário 1º PA'!$P$4:$P$2635=N$1),('Diário 1º PA'!$F$4:$F$2635))+SUMPRODUCT(-('Diário 2º PA'!$E$4:$E$3040='Analítico Cx.'!$B45),-('Diário 2º PA'!$P$4:$P$3040=N$1),('Diário 2º PA'!$F$4:$F$3040))+SUMPRODUCT(-('Diário 3º PA'!$E$4:$E$2731='Analítico Cx.'!$B45),-('Diário 3º PA'!$P$4:$P$2731=N$1),('Diário 3º PA'!$F$4:$F$2731))+SUMPRODUCT(-('Diário 4º PA'!$E$4:$E$2564='Analítico Cx.'!$B45),-('Diário 4º PA'!$P$4:$P$2564=N$1),('Diário 4º PA'!$F$4:$F$2564))</f>
        <v>0</v>
      </c>
      <c r="O45" s="184">
        <f t="shared" si="8"/>
        <v>0</v>
      </c>
      <c r="P45" s="167">
        <f t="shared" si="7"/>
        <v>0</v>
      </c>
    </row>
    <row r="46" spans="1:16" ht="23.25" customHeight="1" x14ac:dyDescent="0.2">
      <c r="A46" s="23"/>
      <c r="B46" s="24" t="s">
        <v>114</v>
      </c>
      <c r="C46" s="186">
        <f t="shared" ref="C46:O46" si="9">SUBTOTAL(109,C34:C45)</f>
        <v>105536.02999999998</v>
      </c>
      <c r="D46" s="186">
        <f t="shared" si="9"/>
        <v>74285.530000000013</v>
      </c>
      <c r="E46" s="186">
        <f t="shared" si="9"/>
        <v>69174.010000000009</v>
      </c>
      <c r="F46" s="186">
        <f t="shared" si="9"/>
        <v>95332.81</v>
      </c>
      <c r="G46" s="186">
        <f t="shared" si="9"/>
        <v>84789.58</v>
      </c>
      <c r="H46" s="186">
        <f t="shared" si="9"/>
        <v>78637.81</v>
      </c>
      <c r="I46" s="186">
        <f t="shared" ref="I46:N46" si="10">SUBTOTAL(109,I34:I45)</f>
        <v>76074.080000000016</v>
      </c>
      <c r="J46" s="186">
        <f t="shared" si="10"/>
        <v>95968.639999999999</v>
      </c>
      <c r="K46" s="186">
        <f t="shared" si="10"/>
        <v>85600.250000000015</v>
      </c>
      <c r="L46" s="186">
        <f t="shared" si="10"/>
        <v>94394.76</v>
      </c>
      <c r="M46" s="186">
        <f t="shared" si="10"/>
        <v>213081.48000000004</v>
      </c>
      <c r="N46" s="186">
        <f t="shared" si="10"/>
        <v>396068.22999999992</v>
      </c>
      <c r="O46" s="186">
        <f t="shared" si="9"/>
        <v>1468943.2100000002</v>
      </c>
      <c r="P46" s="173">
        <f t="shared" si="7"/>
        <v>0.11570137776737949</v>
      </c>
    </row>
    <row r="47" spans="1:16" ht="23.25" customHeight="1" x14ac:dyDescent="0.2">
      <c r="A47" s="21" t="s">
        <v>14</v>
      </c>
      <c r="B47" s="33" t="s">
        <v>38</v>
      </c>
      <c r="C47" s="187"/>
      <c r="D47" s="187"/>
      <c r="E47" s="187"/>
      <c r="F47" s="187"/>
      <c r="G47" s="187"/>
      <c r="H47" s="187"/>
      <c r="I47" s="187"/>
      <c r="J47" s="187"/>
      <c r="K47" s="187"/>
      <c r="L47" s="187"/>
      <c r="M47" s="187"/>
      <c r="N47" s="187"/>
      <c r="O47" s="187"/>
      <c r="P47" s="167">
        <f t="shared" si="7"/>
        <v>0</v>
      </c>
    </row>
    <row r="48" spans="1:16" ht="23.25" customHeight="1" x14ac:dyDescent="0.2">
      <c r="A48" s="62" t="s">
        <v>109</v>
      </c>
      <c r="B48" s="60" t="s">
        <v>161</v>
      </c>
      <c r="C48" s="183">
        <f>SUMPRODUCT(-('Diário 1º PA'!$E$4:$E$2635='Analítico Cx.'!$B48),-('Diário 1º PA'!$P$4:$P$2635=C$1),('Diário 1º PA'!$F$4:$F$2635))+SUMPRODUCT(-('Diário 2º PA'!$E$4:$E$3040='Analítico Cx.'!$B48),-('Diário 2º PA'!$P$4:$P$3040=C$1),('Diário 2º PA'!$F$4:$F$3040))+SUMPRODUCT(-('Diário 3º PA'!$E$4:$E$2731='Analítico Cx.'!$B48),-('Diário 3º PA'!$P$4:$P$2731=C$1),('Diário 3º PA'!$F$4:$F$2731))+SUMPRODUCT(-('Diário 4º PA'!$E$4:$E$2564='Analítico Cx.'!$B48),-('Diário 4º PA'!$P$4:$P$2564=C$1),('Diário 4º PA'!$F$4:$F$2564))</f>
        <v>238.6</v>
      </c>
      <c r="D48" s="183">
        <f>SUMPRODUCT(-('Diário 1º PA'!$E$4:$E$2635='Analítico Cx.'!$B48),-('Diário 1º PA'!$P$4:$P$2635=D$1),('Diário 1º PA'!$F$4:$F$2635))+SUMPRODUCT(-('Diário 2º PA'!$E$4:$E$3040='Analítico Cx.'!$B48),-('Diário 2º PA'!$P$4:$P$3040=D$1),('Diário 2º PA'!$F$4:$F$3040))+SUMPRODUCT(-('Diário 3º PA'!$E$4:$E$2731='Analítico Cx.'!$B48),-('Diário 3º PA'!$P$4:$P$2731=D$1),('Diário 3º PA'!$F$4:$F$2731))+SUMPRODUCT(-('Diário 4º PA'!$E$4:$E$2564='Analítico Cx.'!$B48),-('Diário 4º PA'!$P$4:$P$2564=D$1),('Diário 4º PA'!$F$4:$F$2564))</f>
        <v>14.51</v>
      </c>
      <c r="E48" s="183">
        <f>SUMPRODUCT(-('Diário 1º PA'!$E$4:$E$2635='Analítico Cx.'!$B48),-('Diário 1º PA'!$P$4:$P$2635=E$1),('Diário 1º PA'!$F$4:$F$2635))+SUMPRODUCT(-('Diário 2º PA'!$E$4:$E$3040='Analítico Cx.'!$B48),-('Diário 2º PA'!$P$4:$P$3040=E$1),('Diário 2º PA'!$F$4:$F$3040))+SUMPRODUCT(-('Diário 3º PA'!$E$4:$E$2731='Analítico Cx.'!$B48),-('Diário 3º PA'!$P$4:$P$2731=E$1),('Diário 3º PA'!$F$4:$F$2731))+SUMPRODUCT(-('Diário 4º PA'!$E$4:$E$2564='Analítico Cx.'!$B48),-('Diário 4º PA'!$P$4:$P$2564=E$1),('Diário 4º PA'!$F$4:$F$2564))</f>
        <v>5463.11</v>
      </c>
      <c r="F48" s="183">
        <f>SUMPRODUCT(-('Diário 1º PA'!$E$4:$E$2635='Analítico Cx.'!$B48),-('Diário 1º PA'!$P$4:$P$2635=F$1),('Diário 1º PA'!$F$4:$F$2635))+SUMPRODUCT(-('Diário 2º PA'!$E$4:$E$3040='Analítico Cx.'!$B48),-('Diário 2º PA'!$P$4:$P$3040=F$1),('Diário 2º PA'!$F$4:$F$3040))+SUMPRODUCT(-('Diário 3º PA'!$E$4:$E$2731='Analítico Cx.'!$B48),-('Diário 3º PA'!$P$4:$P$2731=F$1),('Diário 3º PA'!$F$4:$F$2731))+SUMPRODUCT(-('Diário 4º PA'!$E$4:$E$2564='Analítico Cx.'!$B48),-('Diário 4º PA'!$P$4:$P$2564=F$1),('Diário 4º PA'!$F$4:$F$2564))</f>
        <v>3859.84</v>
      </c>
      <c r="G48" s="183">
        <f>SUMPRODUCT(-('Diário 1º PA'!$E$4:$E$2635='Analítico Cx.'!$B48),-('Diário 1º PA'!$P$4:$P$2635=G$1),('Diário 1º PA'!$F$4:$F$2635))+SUMPRODUCT(-('Diário 2º PA'!$E$4:$E$3040='Analítico Cx.'!$B48),-('Diário 2º PA'!$P$4:$P$3040=G$1),('Diário 2º PA'!$F$4:$F$3040))+SUMPRODUCT(-('Diário 3º PA'!$E$4:$E$2731='Analítico Cx.'!$B48),-('Diário 3º PA'!$P$4:$P$2731=G$1),('Diário 3º PA'!$F$4:$F$2731))+SUMPRODUCT(-('Diário 4º PA'!$E$4:$E$2564='Analítico Cx.'!$B48),-('Diário 4º PA'!$P$4:$P$2564=G$1),('Diário 4º PA'!$F$4:$F$2564))</f>
        <v>2656.89</v>
      </c>
      <c r="H48" s="183">
        <f>SUMPRODUCT(-('Diário 1º PA'!$E$4:$E$2635='Analítico Cx.'!$B48),-('Diário 1º PA'!$P$4:$P$2635=H$1),('Diário 1º PA'!$F$4:$F$2635))+SUMPRODUCT(-('Diário 2º PA'!$E$4:$E$3040='Analítico Cx.'!$B48),-('Diário 2º PA'!$P$4:$P$3040=H$1),('Diário 2º PA'!$F$4:$F$3040))+SUMPRODUCT(-('Diário 3º PA'!$E$4:$E$2731='Analítico Cx.'!$B48),-('Diário 3º PA'!$P$4:$P$2731=H$1),('Diário 3º PA'!$F$4:$F$2731))+SUMPRODUCT(-('Diário 4º PA'!$E$4:$E$2564='Analítico Cx.'!$B48),-('Diário 4º PA'!$P$4:$P$2564=H$1),('Diário 4º PA'!$F$4:$F$2564))</f>
        <v>3408.5800000000004</v>
      </c>
      <c r="I48" s="183">
        <f>SUMPRODUCT(-('Diário 1º PA'!$E$4:$E$2635='Analítico Cx.'!$B48),-('Diário 1º PA'!$P$4:$P$2635=I$1),('Diário 1º PA'!$F$4:$F$2635))+SUMPRODUCT(-('Diário 2º PA'!$E$4:$E$3040='Analítico Cx.'!$B48),-('Diário 2º PA'!$P$4:$P$3040=I$1),('Diário 2º PA'!$F$4:$F$3040))+SUMPRODUCT(-('Diário 3º PA'!$E$4:$E$2731='Analítico Cx.'!$B48),-('Diário 3º PA'!$P$4:$P$2731=I$1),('Diário 3º PA'!$F$4:$F$2731))+SUMPRODUCT(-('Diário 4º PA'!$E$4:$E$2564='Analítico Cx.'!$B48),-('Diário 4º PA'!$P$4:$P$2564=I$1),('Diário 4º PA'!$F$4:$F$2564))</f>
        <v>3618.53</v>
      </c>
      <c r="J48" s="183">
        <f>SUMPRODUCT(-('Diário 1º PA'!$E$4:$E$2635='Analítico Cx.'!$B48),-('Diário 1º PA'!$P$4:$P$2635=J$1),('Diário 1º PA'!$F$4:$F$2635))+SUMPRODUCT(-('Diário 2º PA'!$E$4:$E$3040='Analítico Cx.'!$B48),-('Diário 2º PA'!$P$4:$P$3040=J$1),('Diário 2º PA'!$F$4:$F$3040))+SUMPRODUCT(-('Diário 3º PA'!$E$4:$E$2731='Analítico Cx.'!$B48),-('Diário 3º PA'!$P$4:$P$2731=J$1),('Diário 3º PA'!$F$4:$F$2731))+SUMPRODUCT(-('Diário 4º PA'!$E$4:$E$2564='Analítico Cx.'!$B48),-('Diário 4º PA'!$P$4:$P$2564=J$1),('Diário 4º PA'!$F$4:$F$2564))</f>
        <v>4180.0599999999995</v>
      </c>
      <c r="K48" s="183">
        <f>SUMPRODUCT(-('Diário 1º PA'!$E$4:$E$2635='Analítico Cx.'!$B48),-('Diário 1º PA'!$P$4:$P$2635=K$1),('Diário 1º PA'!$F$4:$F$2635))+SUMPRODUCT(-('Diário 2º PA'!$E$4:$E$3040='Analítico Cx.'!$B48),-('Diário 2º PA'!$P$4:$P$3040=K$1),('Diário 2º PA'!$F$4:$F$3040))+SUMPRODUCT(-('Diário 3º PA'!$E$4:$E$2731='Analítico Cx.'!$B48),-('Diário 3º PA'!$P$4:$P$2731=K$1),('Diário 3º PA'!$F$4:$F$2731))+SUMPRODUCT(-('Diário 4º PA'!$E$4:$E$2564='Analítico Cx.'!$B48),-('Diário 4º PA'!$P$4:$P$2564=K$1),('Diário 4º PA'!$F$4:$F$2564))</f>
        <v>3755.1400000000003</v>
      </c>
      <c r="L48" s="183">
        <f>SUMPRODUCT(-('Diário 1º PA'!$E$4:$E$2635='Analítico Cx.'!$B48),-('Diário 1º PA'!$P$4:$P$2635=L$1),('Diário 1º PA'!$F$4:$F$2635))+SUMPRODUCT(-('Diário 2º PA'!$E$4:$E$3040='Analítico Cx.'!$B48),-('Diário 2º PA'!$P$4:$P$3040=L$1),('Diário 2º PA'!$F$4:$F$3040))+SUMPRODUCT(-('Diário 3º PA'!$E$4:$E$2731='Analítico Cx.'!$B48),-('Diário 3º PA'!$P$4:$P$2731=L$1),('Diário 3º PA'!$F$4:$F$2731))+SUMPRODUCT(-('Diário 4º PA'!$E$4:$E$2564='Analítico Cx.'!$B48),-('Diário 4º PA'!$P$4:$P$2564=L$1),('Diário 4º PA'!$F$4:$F$2564))</f>
        <v>3326.38</v>
      </c>
      <c r="M48" s="183">
        <f>SUMPRODUCT(-('Diário 1º PA'!$E$4:$E$2635='Analítico Cx.'!$B48),-('Diário 1º PA'!$P$4:$P$2635=M$1),('Diário 1º PA'!$F$4:$F$2635))+SUMPRODUCT(-('Diário 2º PA'!$E$4:$E$3040='Analítico Cx.'!$B48),-('Diário 2º PA'!$P$4:$P$3040=M$1),('Diário 2º PA'!$F$4:$F$3040))+SUMPRODUCT(-('Diário 3º PA'!$E$4:$E$2731='Analítico Cx.'!$B48),-('Diário 3º PA'!$P$4:$P$2731=M$1),('Diário 3º PA'!$F$4:$F$2731))+SUMPRODUCT(-('Diário 4º PA'!$E$4:$E$2564='Analítico Cx.'!$B48),-('Diário 4º PA'!$P$4:$P$2564=M$1),('Diário 4º PA'!$F$4:$F$2564))</f>
        <v>2883.92</v>
      </c>
      <c r="N48" s="183">
        <f>SUMPRODUCT(-('Diário 1º PA'!$E$4:$E$2635='Analítico Cx.'!$B48),-('Diário 1º PA'!$P$4:$P$2635=N$1),('Diário 1º PA'!$F$4:$F$2635))+SUMPRODUCT(-('Diário 2º PA'!$E$4:$E$3040='Analítico Cx.'!$B48),-('Diário 2º PA'!$P$4:$P$3040=N$1),('Diário 2º PA'!$F$4:$F$3040))+SUMPRODUCT(-('Diário 3º PA'!$E$4:$E$2731='Analítico Cx.'!$B48),-('Diário 3º PA'!$P$4:$P$2731=N$1),('Diário 3º PA'!$F$4:$F$2731))+SUMPRODUCT(-('Diário 4º PA'!$E$4:$E$2564='Analítico Cx.'!$B48),-('Diário 4º PA'!$P$4:$P$2564=N$1),('Diário 4º PA'!$F$4:$F$2564))</f>
        <v>1.48</v>
      </c>
      <c r="O48" s="184">
        <f>SUM(C48:N48)</f>
        <v>33407.040000000001</v>
      </c>
      <c r="P48" s="167">
        <f t="shared" si="7"/>
        <v>2.6313070027601383E-3</v>
      </c>
    </row>
    <row r="49" spans="1:16" ht="23.25" customHeight="1" x14ac:dyDescent="0.2">
      <c r="A49" s="62" t="s">
        <v>110</v>
      </c>
      <c r="B49" s="60" t="s">
        <v>6</v>
      </c>
      <c r="C49" s="183">
        <f>SUMPRODUCT(-('Diário 1º PA'!$E$4:$E$2635='Analítico Cx.'!$B49),-('Diário 1º PA'!$P$4:$P$2635=C$1),('Diário 1º PA'!$F$4:$F$2635))+SUMPRODUCT(-('Diário 2º PA'!$E$4:$E$3040='Analítico Cx.'!$B49),-('Diário 2º PA'!$P$4:$P$3040=C$1),('Diário 2º PA'!$F$4:$F$3040))+SUMPRODUCT(-('Diário 3º PA'!$E$4:$E$2731='Analítico Cx.'!$B49),-('Diário 3º PA'!$P$4:$P$2731=C$1),('Diário 3º PA'!$F$4:$F$2731))+SUMPRODUCT(-('Diário 4º PA'!$E$4:$E$2564='Analítico Cx.'!$B49),-('Diário 4º PA'!$P$4:$P$2564=C$1),('Diário 4º PA'!$F$4:$F$2564))</f>
        <v>23068.629999999997</v>
      </c>
      <c r="D49" s="183">
        <f>SUMPRODUCT(-('Diário 1º PA'!$E$4:$E$2635='Analítico Cx.'!$B49),-('Diário 1º PA'!$P$4:$P$2635=D$1),('Diário 1º PA'!$F$4:$F$2635))+SUMPRODUCT(-('Diário 2º PA'!$E$4:$E$3040='Analítico Cx.'!$B49),-('Diário 2º PA'!$P$4:$P$3040=D$1),('Diário 2º PA'!$F$4:$F$3040))+SUMPRODUCT(-('Diário 3º PA'!$E$4:$E$2731='Analítico Cx.'!$B49),-('Diário 3º PA'!$P$4:$P$2731=D$1),('Diário 3º PA'!$F$4:$F$2731))+SUMPRODUCT(-('Diário 4º PA'!$E$4:$E$2564='Analítico Cx.'!$B49),-('Diário 4º PA'!$P$4:$P$2564=D$1),('Diário 4º PA'!$F$4:$F$2564))</f>
        <v>29816.260000000002</v>
      </c>
      <c r="E49" s="183">
        <f>SUMPRODUCT(-('Diário 1º PA'!$E$4:$E$2635='Analítico Cx.'!$B49),-('Diário 1º PA'!$P$4:$P$2635=E$1),('Diário 1º PA'!$F$4:$F$2635))+SUMPRODUCT(-('Diário 2º PA'!$E$4:$E$3040='Analítico Cx.'!$B49),-('Diário 2º PA'!$P$4:$P$3040=E$1),('Diário 2º PA'!$F$4:$F$3040))+SUMPRODUCT(-('Diário 3º PA'!$E$4:$E$2731='Analítico Cx.'!$B49),-('Diário 3º PA'!$P$4:$P$2731=E$1),('Diário 3º PA'!$F$4:$F$2731))+SUMPRODUCT(-('Diário 4º PA'!$E$4:$E$2564='Analítico Cx.'!$B49),-('Diário 4º PA'!$P$4:$P$2564=E$1),('Diário 4º PA'!$F$4:$F$2564))</f>
        <v>29410.260000000002</v>
      </c>
      <c r="F49" s="183">
        <f>SUMPRODUCT(-('Diário 1º PA'!$E$4:$E$2635='Analítico Cx.'!$B49),-('Diário 1º PA'!$P$4:$P$2635=F$1),('Diário 1º PA'!$F$4:$F$2635))+SUMPRODUCT(-('Diário 2º PA'!$E$4:$E$3040='Analítico Cx.'!$B49),-('Diário 2º PA'!$P$4:$P$3040=F$1),('Diário 2º PA'!$F$4:$F$3040))+SUMPRODUCT(-('Diário 3º PA'!$E$4:$E$2731='Analítico Cx.'!$B49),-('Diário 3º PA'!$P$4:$P$2731=F$1),('Diário 3º PA'!$F$4:$F$2731))+SUMPRODUCT(-('Diário 4º PA'!$E$4:$E$2564='Analítico Cx.'!$B49),-('Diário 4º PA'!$P$4:$P$2564=F$1),('Diário 4º PA'!$F$4:$F$2564))</f>
        <v>44451.41</v>
      </c>
      <c r="G49" s="183">
        <f>SUMPRODUCT(-('Diário 1º PA'!$E$4:$E$2635='Analítico Cx.'!$B49),-('Diário 1º PA'!$P$4:$P$2635=G$1),('Diário 1º PA'!$F$4:$F$2635))+SUMPRODUCT(-('Diário 2º PA'!$E$4:$E$3040='Analítico Cx.'!$B49),-('Diário 2º PA'!$P$4:$P$3040=G$1),('Diário 2º PA'!$F$4:$F$3040))+SUMPRODUCT(-('Diário 3º PA'!$E$4:$E$2731='Analítico Cx.'!$B49),-('Diário 3º PA'!$P$4:$P$2731=G$1),('Diário 3º PA'!$F$4:$F$2731))+SUMPRODUCT(-('Diário 4º PA'!$E$4:$E$2564='Analítico Cx.'!$B49),-('Diário 4º PA'!$P$4:$P$2564=G$1),('Diário 4º PA'!$F$4:$F$2564))</f>
        <v>26031.59</v>
      </c>
      <c r="H49" s="183">
        <f>SUMPRODUCT(-('Diário 1º PA'!$E$4:$E$2635='Analítico Cx.'!$B49),-('Diário 1º PA'!$P$4:$P$2635=H$1),('Diário 1º PA'!$F$4:$F$2635))+SUMPRODUCT(-('Diário 2º PA'!$E$4:$E$3040='Analítico Cx.'!$B49),-('Diário 2º PA'!$P$4:$P$3040=H$1),('Diário 2º PA'!$F$4:$F$3040))+SUMPRODUCT(-('Diário 3º PA'!$E$4:$E$2731='Analítico Cx.'!$B49),-('Diário 3º PA'!$P$4:$P$2731=H$1),('Diário 3º PA'!$F$4:$F$2731))+SUMPRODUCT(-('Diário 4º PA'!$E$4:$E$2564='Analítico Cx.'!$B49),-('Diário 4º PA'!$P$4:$P$2564=H$1),('Diário 4º PA'!$F$4:$F$2564))</f>
        <v>27177.34</v>
      </c>
      <c r="I49" s="183">
        <f>SUMPRODUCT(-('Diário 1º PA'!$E$4:$E$2635='Analítico Cx.'!$B49),-('Diário 1º PA'!$P$4:$P$2635=I$1),('Diário 1º PA'!$F$4:$F$2635))+SUMPRODUCT(-('Diário 2º PA'!$E$4:$E$3040='Analítico Cx.'!$B49),-('Diário 2º PA'!$P$4:$P$3040=I$1),('Diário 2º PA'!$F$4:$F$3040))+SUMPRODUCT(-('Diário 3º PA'!$E$4:$E$2731='Analítico Cx.'!$B49),-('Diário 3º PA'!$P$4:$P$2731=I$1),('Diário 3º PA'!$F$4:$F$2731))+SUMPRODUCT(-('Diário 4º PA'!$E$4:$E$2564='Analítico Cx.'!$B49),-('Diário 4º PA'!$P$4:$P$2564=I$1),('Diário 4º PA'!$F$4:$F$2564))</f>
        <v>35286.869999999995</v>
      </c>
      <c r="J49" s="183">
        <f>SUMPRODUCT(-('Diário 1º PA'!$E$4:$E$2635='Analítico Cx.'!$B49),-('Diário 1º PA'!$P$4:$P$2635=J$1),('Diário 1º PA'!$F$4:$F$2635))+SUMPRODUCT(-('Diário 2º PA'!$E$4:$E$3040='Analítico Cx.'!$B49),-('Diário 2º PA'!$P$4:$P$3040=J$1),('Diário 2º PA'!$F$4:$F$3040))+SUMPRODUCT(-('Diário 3º PA'!$E$4:$E$2731='Analítico Cx.'!$B49),-('Diário 3º PA'!$P$4:$P$2731=J$1),('Diário 3º PA'!$F$4:$F$2731))+SUMPRODUCT(-('Diário 4º PA'!$E$4:$E$2564='Analítico Cx.'!$B49),-('Diário 4º PA'!$P$4:$P$2564=J$1),('Diário 4º PA'!$F$4:$F$2564))</f>
        <v>31902.489999999998</v>
      </c>
      <c r="K49" s="183">
        <f>SUMPRODUCT(-('Diário 1º PA'!$E$4:$E$2635='Analítico Cx.'!$B49),-('Diário 1º PA'!$P$4:$P$2635=K$1),('Diário 1º PA'!$F$4:$F$2635))+SUMPRODUCT(-('Diário 2º PA'!$E$4:$E$3040='Analítico Cx.'!$B49),-('Diário 2º PA'!$P$4:$P$3040=K$1),('Diário 2º PA'!$F$4:$F$3040))+SUMPRODUCT(-('Diário 3º PA'!$E$4:$E$2731='Analítico Cx.'!$B49),-('Diário 3º PA'!$P$4:$P$2731=K$1),('Diário 3º PA'!$F$4:$F$2731))+SUMPRODUCT(-('Diário 4º PA'!$E$4:$E$2564='Analítico Cx.'!$B49),-('Diário 4º PA'!$P$4:$P$2564=K$1),('Diário 4º PA'!$F$4:$F$2564))</f>
        <v>43970.149999999994</v>
      </c>
      <c r="L49" s="183">
        <f>SUMPRODUCT(-('Diário 1º PA'!$E$4:$E$2635='Analítico Cx.'!$B49),-('Diário 1º PA'!$P$4:$P$2635=L$1),('Diário 1º PA'!$F$4:$F$2635))+SUMPRODUCT(-('Diário 2º PA'!$E$4:$E$3040='Analítico Cx.'!$B49),-('Diário 2º PA'!$P$4:$P$3040=L$1),('Diário 2º PA'!$F$4:$F$3040))+SUMPRODUCT(-('Diário 3º PA'!$E$4:$E$2731='Analítico Cx.'!$B49),-('Diário 3º PA'!$P$4:$P$2731=L$1),('Diário 3º PA'!$F$4:$F$2731))+SUMPRODUCT(-('Diário 4º PA'!$E$4:$E$2564='Analítico Cx.'!$B49),-('Diário 4º PA'!$P$4:$P$2564=L$1),('Diário 4º PA'!$F$4:$F$2564))</f>
        <v>32560.99</v>
      </c>
      <c r="M49" s="183">
        <f>SUMPRODUCT(-('Diário 1º PA'!$E$4:$E$2635='Analítico Cx.'!$B49),-('Diário 1º PA'!$P$4:$P$2635=M$1),('Diário 1º PA'!$F$4:$F$2635))+SUMPRODUCT(-('Diário 2º PA'!$E$4:$E$3040='Analítico Cx.'!$B49),-('Diário 2º PA'!$P$4:$P$3040=M$1),('Diário 2º PA'!$F$4:$F$3040))+SUMPRODUCT(-('Diário 3º PA'!$E$4:$E$2731='Analítico Cx.'!$B49),-('Diário 3º PA'!$P$4:$P$2731=M$1),('Diário 3º PA'!$F$4:$F$2731))+SUMPRODUCT(-('Diário 4º PA'!$E$4:$E$2564='Analítico Cx.'!$B49),-('Diário 4º PA'!$P$4:$P$2564=M$1),('Diário 4º PA'!$F$4:$F$2564))</f>
        <v>31853.940000000002</v>
      </c>
      <c r="N49" s="183">
        <f>SUMPRODUCT(-('Diário 1º PA'!$E$4:$E$2635='Analítico Cx.'!$B49),-('Diário 1º PA'!$P$4:$P$2635=N$1),('Diário 1º PA'!$F$4:$F$2635))+SUMPRODUCT(-('Diário 2º PA'!$E$4:$E$3040='Analítico Cx.'!$B49),-('Diário 2º PA'!$P$4:$P$3040=N$1),('Diário 2º PA'!$F$4:$F$3040))+SUMPRODUCT(-('Diário 3º PA'!$E$4:$E$2731='Analítico Cx.'!$B49),-('Diário 3º PA'!$P$4:$P$2731=N$1),('Diário 3º PA'!$F$4:$F$2731))+SUMPRODUCT(-('Diário 4º PA'!$E$4:$E$2564='Analítico Cx.'!$B49),-('Diário 4º PA'!$P$4:$P$2564=N$1),('Diário 4º PA'!$F$4:$F$2564))</f>
        <v>11906.33</v>
      </c>
      <c r="O49" s="184">
        <f t="shared" ref="O49:O55" si="11">SUM(C49:N49)</f>
        <v>367436.26</v>
      </c>
      <c r="P49" s="167">
        <f t="shared" si="7"/>
        <v>2.8941133485816013E-2</v>
      </c>
    </row>
    <row r="50" spans="1:16" ht="23.25" customHeight="1" x14ac:dyDescent="0.2">
      <c r="A50" s="62" t="s">
        <v>111</v>
      </c>
      <c r="B50" s="60" t="s">
        <v>325</v>
      </c>
      <c r="C50" s="183">
        <f>SUMPRODUCT(-('Diário 1º PA'!$E$4:$E$2635='Analítico Cx.'!$B50),-('Diário 1º PA'!$P$4:$P$2635=C$1),('Diário 1º PA'!$F$4:$F$2635))+SUMPRODUCT(-('Diário 2º PA'!$E$4:$E$3040='Analítico Cx.'!$B50),-('Diário 2º PA'!$P$4:$P$3040=C$1),('Diário 2º PA'!$F$4:$F$3040))+SUMPRODUCT(-('Diário 3º PA'!$E$4:$E$2731='Analítico Cx.'!$B50),-('Diário 3º PA'!$P$4:$P$2731=C$1),('Diário 3º PA'!$F$4:$F$2731))+SUMPRODUCT(-('Diário 4º PA'!$E$4:$E$2564='Analítico Cx.'!$B50),-('Diário 4º PA'!$P$4:$P$2564=C$1),('Diário 4º PA'!$F$4:$F$2564))</f>
        <v>19084.39</v>
      </c>
      <c r="D50" s="183">
        <f>SUMPRODUCT(-('Diário 1º PA'!$E$4:$E$2635='Analítico Cx.'!$B50),-('Diário 1º PA'!$P$4:$P$2635=D$1),('Diário 1º PA'!$F$4:$F$2635))+SUMPRODUCT(-('Diário 2º PA'!$E$4:$E$3040='Analítico Cx.'!$B50),-('Diário 2º PA'!$P$4:$P$3040=D$1),('Diário 2º PA'!$F$4:$F$3040))+SUMPRODUCT(-('Diário 3º PA'!$E$4:$E$2731='Analítico Cx.'!$B50),-('Diário 3º PA'!$P$4:$P$2731=D$1),('Diário 3º PA'!$F$4:$F$2731))+SUMPRODUCT(-('Diário 4º PA'!$E$4:$E$2564='Analítico Cx.'!$B50),-('Diário 4º PA'!$P$4:$P$2564=D$1),('Diário 4º PA'!$F$4:$F$2564))</f>
        <v>19613.91</v>
      </c>
      <c r="E50" s="183">
        <f>SUMPRODUCT(-('Diário 1º PA'!$E$4:$E$2635='Analítico Cx.'!$B50),-('Diário 1º PA'!$P$4:$P$2635=E$1),('Diário 1º PA'!$F$4:$F$2635))+SUMPRODUCT(-('Diário 2º PA'!$E$4:$E$3040='Analítico Cx.'!$B50),-('Diário 2º PA'!$P$4:$P$3040=E$1),('Diário 2º PA'!$F$4:$F$3040))+SUMPRODUCT(-('Diário 3º PA'!$E$4:$E$2731='Analítico Cx.'!$B50),-('Diário 3º PA'!$P$4:$P$2731=E$1),('Diário 3º PA'!$F$4:$F$2731))+SUMPRODUCT(-('Diário 4º PA'!$E$4:$E$2564='Analítico Cx.'!$B50),-('Diário 4º PA'!$P$4:$P$2564=E$1),('Diário 4º PA'!$F$4:$F$2564))</f>
        <v>21072.79</v>
      </c>
      <c r="F50" s="183">
        <f>SUMPRODUCT(-('Diário 1º PA'!$E$4:$E$2635='Analítico Cx.'!$B50),-('Diário 1º PA'!$P$4:$P$2635=F$1),('Diário 1º PA'!$F$4:$F$2635))+SUMPRODUCT(-('Diário 2º PA'!$E$4:$E$3040='Analítico Cx.'!$B50),-('Diário 2º PA'!$P$4:$P$3040=F$1),('Diário 2º PA'!$F$4:$F$3040))+SUMPRODUCT(-('Diário 3º PA'!$E$4:$E$2731='Analítico Cx.'!$B50),-('Diário 3º PA'!$P$4:$P$2731=F$1),('Diário 3º PA'!$F$4:$F$2731))+SUMPRODUCT(-('Diário 4º PA'!$E$4:$E$2564='Analítico Cx.'!$B50),-('Diário 4º PA'!$P$4:$P$2564=F$1),('Diário 4º PA'!$F$4:$F$2564))</f>
        <v>20749.670000000002</v>
      </c>
      <c r="G50" s="183">
        <f>SUMPRODUCT(-('Diário 1º PA'!$E$4:$E$2635='Analítico Cx.'!$B50),-('Diário 1º PA'!$P$4:$P$2635=G$1),('Diário 1º PA'!$F$4:$F$2635))+SUMPRODUCT(-('Diário 2º PA'!$E$4:$E$3040='Analítico Cx.'!$B50),-('Diário 2º PA'!$P$4:$P$3040=G$1),('Diário 2º PA'!$F$4:$F$3040))+SUMPRODUCT(-('Diário 3º PA'!$E$4:$E$2731='Analítico Cx.'!$B50),-('Diário 3º PA'!$P$4:$P$2731=G$1),('Diário 3º PA'!$F$4:$F$2731))+SUMPRODUCT(-('Diário 4º PA'!$E$4:$E$2564='Analítico Cx.'!$B50),-('Diário 4º PA'!$P$4:$P$2564=G$1),('Diário 4º PA'!$F$4:$F$2564))</f>
        <v>21322.120000000003</v>
      </c>
      <c r="H50" s="183">
        <f>SUMPRODUCT(-('Diário 1º PA'!$E$4:$E$2635='Analítico Cx.'!$B50),-('Diário 1º PA'!$P$4:$P$2635=H$1),('Diário 1º PA'!$F$4:$F$2635))+SUMPRODUCT(-('Diário 2º PA'!$E$4:$E$3040='Analítico Cx.'!$B50),-('Diário 2º PA'!$P$4:$P$3040=H$1),('Diário 2º PA'!$F$4:$F$3040))+SUMPRODUCT(-('Diário 3º PA'!$E$4:$E$2731='Analítico Cx.'!$B50),-('Diário 3º PA'!$P$4:$P$2731=H$1),('Diário 3º PA'!$F$4:$F$2731))+SUMPRODUCT(-('Diário 4º PA'!$E$4:$E$2564='Analítico Cx.'!$B50),-('Diário 4º PA'!$P$4:$P$2564=H$1),('Diário 4º PA'!$F$4:$F$2564))</f>
        <v>22487.149999999998</v>
      </c>
      <c r="I50" s="183">
        <f>SUMPRODUCT(-('Diário 1º PA'!$E$4:$E$2635='Analítico Cx.'!$B50),-('Diário 1º PA'!$P$4:$P$2635=I$1),('Diário 1º PA'!$F$4:$F$2635))+SUMPRODUCT(-('Diário 2º PA'!$E$4:$E$3040='Analítico Cx.'!$B50),-('Diário 2º PA'!$P$4:$P$3040=I$1),('Diário 2º PA'!$F$4:$F$3040))+SUMPRODUCT(-('Diário 3º PA'!$E$4:$E$2731='Analítico Cx.'!$B50),-('Diário 3º PA'!$P$4:$P$2731=I$1),('Diário 3º PA'!$F$4:$F$2731))+SUMPRODUCT(-('Diário 4º PA'!$E$4:$E$2564='Analítico Cx.'!$B50),-('Diário 4º PA'!$P$4:$P$2564=I$1),('Diário 4º PA'!$F$4:$F$2564))</f>
        <v>20546.740000000002</v>
      </c>
      <c r="J50" s="183">
        <f>SUMPRODUCT(-('Diário 1º PA'!$E$4:$E$2635='Analítico Cx.'!$B50),-('Diário 1º PA'!$P$4:$P$2635=J$1),('Diário 1º PA'!$F$4:$F$2635))+SUMPRODUCT(-('Diário 2º PA'!$E$4:$E$3040='Analítico Cx.'!$B50),-('Diário 2º PA'!$P$4:$P$3040=J$1),('Diário 2º PA'!$F$4:$F$3040))+SUMPRODUCT(-('Diário 3º PA'!$E$4:$E$2731='Analítico Cx.'!$B50),-('Diário 3º PA'!$P$4:$P$2731=J$1),('Diário 3º PA'!$F$4:$F$2731))+SUMPRODUCT(-('Diário 4º PA'!$E$4:$E$2564='Analítico Cx.'!$B50),-('Diário 4º PA'!$P$4:$P$2564=J$1),('Diário 4º PA'!$F$4:$F$2564))</f>
        <v>17428.149999999998</v>
      </c>
      <c r="K50" s="183">
        <f>SUMPRODUCT(-('Diário 1º PA'!$E$4:$E$2635='Analítico Cx.'!$B50),-('Diário 1º PA'!$P$4:$P$2635=K$1),('Diário 1º PA'!$F$4:$F$2635))+SUMPRODUCT(-('Diário 2º PA'!$E$4:$E$3040='Analítico Cx.'!$B50),-('Diário 2º PA'!$P$4:$P$3040=K$1),('Diário 2º PA'!$F$4:$F$3040))+SUMPRODUCT(-('Diário 3º PA'!$E$4:$E$2731='Analítico Cx.'!$B50),-('Diário 3º PA'!$P$4:$P$2731=K$1),('Diário 3º PA'!$F$4:$F$2731))+SUMPRODUCT(-('Diário 4º PA'!$E$4:$E$2564='Analítico Cx.'!$B50),-('Diário 4º PA'!$P$4:$P$2564=K$1),('Diário 4º PA'!$F$4:$F$2564))</f>
        <v>27624.59</v>
      </c>
      <c r="L50" s="183">
        <f>SUMPRODUCT(-('Diário 1º PA'!$E$4:$E$2635='Analítico Cx.'!$B50),-('Diário 1º PA'!$P$4:$P$2635=L$1),('Diário 1º PA'!$F$4:$F$2635))+SUMPRODUCT(-('Diário 2º PA'!$E$4:$E$3040='Analítico Cx.'!$B50),-('Diário 2º PA'!$P$4:$P$3040=L$1),('Diário 2º PA'!$F$4:$F$3040))+SUMPRODUCT(-('Diário 3º PA'!$E$4:$E$2731='Analítico Cx.'!$B50),-('Diário 3º PA'!$P$4:$P$2731=L$1),('Diário 3º PA'!$F$4:$F$2731))+SUMPRODUCT(-('Diário 4º PA'!$E$4:$E$2564='Analítico Cx.'!$B50),-('Diário 4º PA'!$P$4:$P$2564=L$1),('Diário 4º PA'!$F$4:$F$2564))</f>
        <v>22601.63</v>
      </c>
      <c r="M50" s="183">
        <f>SUMPRODUCT(-('Diário 1º PA'!$E$4:$E$2635='Analítico Cx.'!$B50),-('Diário 1º PA'!$P$4:$P$2635=M$1),('Diário 1º PA'!$F$4:$F$2635))+SUMPRODUCT(-('Diário 2º PA'!$E$4:$E$3040='Analítico Cx.'!$B50),-('Diário 2º PA'!$P$4:$P$3040=M$1),('Diário 2º PA'!$F$4:$F$3040))+SUMPRODUCT(-('Diário 3º PA'!$E$4:$E$2731='Analítico Cx.'!$B50),-('Diário 3º PA'!$P$4:$P$2731=M$1),('Diário 3º PA'!$F$4:$F$2731))+SUMPRODUCT(-('Diário 4º PA'!$E$4:$E$2564='Analítico Cx.'!$B50),-('Diário 4º PA'!$P$4:$P$2564=M$1),('Diário 4º PA'!$F$4:$F$2564))</f>
        <v>23285.980000000003</v>
      </c>
      <c r="N50" s="183">
        <f>SUMPRODUCT(-('Diário 1º PA'!$E$4:$E$2635='Analítico Cx.'!$B50),-('Diário 1º PA'!$P$4:$P$2635=N$1),('Diário 1º PA'!$F$4:$F$2635))+SUMPRODUCT(-('Diário 2º PA'!$E$4:$E$3040='Analítico Cx.'!$B50),-('Diário 2º PA'!$P$4:$P$3040=N$1),('Diário 2º PA'!$F$4:$F$3040))+SUMPRODUCT(-('Diário 3º PA'!$E$4:$E$2731='Analítico Cx.'!$B50),-('Diário 3º PA'!$P$4:$P$2731=N$1),('Diário 3º PA'!$F$4:$F$2731))+SUMPRODUCT(-('Diário 4º PA'!$E$4:$E$2564='Analítico Cx.'!$B50),-('Diário 4º PA'!$P$4:$P$2564=N$1),('Diário 4º PA'!$F$4:$F$2564))</f>
        <v>51503.83</v>
      </c>
      <c r="O50" s="184">
        <f t="shared" si="11"/>
        <v>287320.95</v>
      </c>
      <c r="P50" s="167">
        <f t="shared" si="7"/>
        <v>2.2630847503241701E-2</v>
      </c>
    </row>
    <row r="51" spans="1:16" ht="23.25" customHeight="1" x14ac:dyDescent="0.2">
      <c r="A51" s="62" t="s">
        <v>112</v>
      </c>
      <c r="B51" s="60" t="s">
        <v>8</v>
      </c>
      <c r="C51" s="183">
        <f>SUMPRODUCT(-('Diário 1º PA'!$E$4:$E$2635='Analítico Cx.'!$B51),-('Diário 1º PA'!$P$4:$P$2635=C$1),('Diário 1º PA'!$F$4:$F$2635))+SUMPRODUCT(-('Diário 2º PA'!$E$4:$E$3040='Analítico Cx.'!$B51),-('Diário 2º PA'!$P$4:$P$3040=C$1),('Diário 2º PA'!$F$4:$F$3040))+SUMPRODUCT(-('Diário 3º PA'!$E$4:$E$2731='Analítico Cx.'!$B51),-('Diário 3º PA'!$P$4:$P$2731=C$1),('Diário 3º PA'!$F$4:$F$2731))+SUMPRODUCT(-('Diário 4º PA'!$E$4:$E$2564='Analítico Cx.'!$B51),-('Diário 4º PA'!$P$4:$P$2564=C$1),('Diário 4º PA'!$F$4:$F$2564))</f>
        <v>1368.7900000000002</v>
      </c>
      <c r="D51" s="183">
        <f>SUMPRODUCT(-('Diário 1º PA'!$E$4:$E$2635='Analítico Cx.'!$B51),-('Diário 1º PA'!$P$4:$P$2635=D$1),('Diário 1º PA'!$F$4:$F$2635))+SUMPRODUCT(-('Diário 2º PA'!$E$4:$E$3040='Analítico Cx.'!$B51),-('Diário 2º PA'!$P$4:$P$3040=D$1),('Diário 2º PA'!$F$4:$F$3040))+SUMPRODUCT(-('Diário 3º PA'!$E$4:$E$2731='Analítico Cx.'!$B51),-('Diário 3º PA'!$P$4:$P$2731=D$1),('Diário 3º PA'!$F$4:$F$2731))+SUMPRODUCT(-('Diário 4º PA'!$E$4:$E$2564='Analítico Cx.'!$B51),-('Diário 4º PA'!$P$4:$P$2564=D$1),('Diário 4º PA'!$F$4:$F$2564))</f>
        <v>1368.7900000000002</v>
      </c>
      <c r="E51" s="183">
        <f>SUMPRODUCT(-('Diário 1º PA'!$E$4:$E$2635='Analítico Cx.'!$B51),-('Diário 1º PA'!$P$4:$P$2635=E$1),('Diário 1º PA'!$F$4:$F$2635))+SUMPRODUCT(-('Diário 2º PA'!$E$4:$E$3040='Analítico Cx.'!$B51),-('Diário 2º PA'!$P$4:$P$3040=E$1),('Diário 2º PA'!$F$4:$F$3040))+SUMPRODUCT(-('Diário 3º PA'!$E$4:$E$2731='Analítico Cx.'!$B51),-('Diário 3º PA'!$P$4:$P$2731=E$1),('Diário 3º PA'!$F$4:$F$2731))+SUMPRODUCT(-('Diário 4º PA'!$E$4:$E$2564='Analítico Cx.'!$B51),-('Diário 4º PA'!$P$4:$P$2564=E$1),('Diário 4º PA'!$F$4:$F$2564))</f>
        <v>1368.7900000000002</v>
      </c>
      <c r="F51" s="183">
        <f>SUMPRODUCT(-('Diário 1º PA'!$E$4:$E$2635='Analítico Cx.'!$B51),-('Diário 1º PA'!$P$4:$P$2635=F$1),('Diário 1º PA'!$F$4:$F$2635))+SUMPRODUCT(-('Diário 2º PA'!$E$4:$E$3040='Analítico Cx.'!$B51),-('Diário 2º PA'!$P$4:$P$3040=F$1),('Diário 2º PA'!$F$4:$F$3040))+SUMPRODUCT(-('Diário 3º PA'!$E$4:$E$2731='Analítico Cx.'!$B51),-('Diário 3º PA'!$P$4:$P$2731=F$1),('Diário 3º PA'!$F$4:$F$2731))+SUMPRODUCT(-('Diário 4º PA'!$E$4:$E$2564='Analítico Cx.'!$B51),-('Diário 4º PA'!$P$4:$P$2564=F$1),('Diário 4º PA'!$F$4:$F$2564))</f>
        <v>1391.99</v>
      </c>
      <c r="G51" s="183">
        <f>SUMPRODUCT(-('Diário 1º PA'!$E$4:$E$2635='Analítico Cx.'!$B51),-('Diário 1º PA'!$P$4:$P$2635=G$1),('Diário 1º PA'!$F$4:$F$2635))+SUMPRODUCT(-('Diário 2º PA'!$E$4:$E$3040='Analítico Cx.'!$B51),-('Diário 2º PA'!$P$4:$P$3040=G$1),('Diário 2º PA'!$F$4:$F$3040))+SUMPRODUCT(-('Diário 3º PA'!$E$4:$E$2731='Analítico Cx.'!$B51),-('Diário 3º PA'!$P$4:$P$2731=G$1),('Diário 3º PA'!$F$4:$F$2731))+SUMPRODUCT(-('Diário 4º PA'!$E$4:$E$2564='Analítico Cx.'!$B51),-('Diário 4º PA'!$P$4:$P$2564=G$1),('Diário 4º PA'!$F$4:$F$2564))</f>
        <v>1438.39</v>
      </c>
      <c r="H51" s="183">
        <f>SUMPRODUCT(-('Diário 1º PA'!$E$4:$E$2635='Analítico Cx.'!$B51),-('Diário 1º PA'!$P$4:$P$2635=H$1),('Diário 1º PA'!$F$4:$F$2635))+SUMPRODUCT(-('Diário 2º PA'!$E$4:$E$3040='Analítico Cx.'!$B51),-('Diário 2º PA'!$P$4:$P$3040=H$1),('Diário 2º PA'!$F$4:$F$3040))+SUMPRODUCT(-('Diário 3º PA'!$E$4:$E$2731='Analítico Cx.'!$B51),-('Diário 3º PA'!$P$4:$P$2731=H$1),('Diário 3º PA'!$F$4:$F$2731))+SUMPRODUCT(-('Diário 4º PA'!$E$4:$E$2564='Analítico Cx.'!$B51),-('Diário 4º PA'!$P$4:$P$2564=H$1),('Diário 4º PA'!$F$4:$F$2564))</f>
        <v>1438.39</v>
      </c>
      <c r="I51" s="183">
        <f>SUMPRODUCT(-('Diário 1º PA'!$E$4:$E$2635='Analítico Cx.'!$B51),-('Diário 1º PA'!$P$4:$P$2635=I$1),('Diário 1º PA'!$F$4:$F$2635))+SUMPRODUCT(-('Diário 2º PA'!$E$4:$E$3040='Analítico Cx.'!$B51),-('Diário 2º PA'!$P$4:$P$3040=I$1),('Diário 2º PA'!$F$4:$F$3040))+SUMPRODUCT(-('Diário 3º PA'!$E$4:$E$2731='Analítico Cx.'!$B51),-('Diário 3º PA'!$P$4:$P$2731=I$1),('Diário 3º PA'!$F$4:$F$2731))+SUMPRODUCT(-('Diário 4º PA'!$E$4:$E$2564='Analítico Cx.'!$B51),-('Diário 4º PA'!$P$4:$P$2564=I$1),('Diário 4º PA'!$F$4:$F$2564))</f>
        <v>1415.19</v>
      </c>
      <c r="J51" s="183">
        <f>SUMPRODUCT(-('Diário 1º PA'!$E$4:$E$2635='Analítico Cx.'!$B51),-('Diário 1º PA'!$P$4:$P$2635=J$1),('Diário 1º PA'!$F$4:$F$2635))+SUMPRODUCT(-('Diário 2º PA'!$E$4:$E$3040='Analítico Cx.'!$B51),-('Diário 2º PA'!$P$4:$P$3040=J$1),('Diário 2º PA'!$F$4:$F$3040))+SUMPRODUCT(-('Diário 3º PA'!$E$4:$E$2731='Analítico Cx.'!$B51),-('Diário 3º PA'!$P$4:$P$2731=J$1),('Diário 3º PA'!$F$4:$F$2731))+SUMPRODUCT(-('Diário 4º PA'!$E$4:$E$2564='Analítico Cx.'!$B51),-('Diário 4º PA'!$P$4:$P$2564=J$1),('Diário 4º PA'!$F$4:$F$2564))</f>
        <v>1300.6199999999999</v>
      </c>
      <c r="K51" s="183">
        <f>SUMPRODUCT(-('Diário 1º PA'!$E$4:$E$2635='Analítico Cx.'!$B51),-('Diário 1º PA'!$P$4:$P$2635=K$1),('Diário 1º PA'!$F$4:$F$2635))+SUMPRODUCT(-('Diário 2º PA'!$E$4:$E$3040='Analítico Cx.'!$B51),-('Diário 2º PA'!$P$4:$P$3040=K$1),('Diário 2º PA'!$F$4:$F$3040))+SUMPRODUCT(-('Diário 3º PA'!$E$4:$E$2731='Analítico Cx.'!$B51),-('Diário 3º PA'!$P$4:$P$2731=K$1),('Diário 3º PA'!$F$4:$F$2731))+SUMPRODUCT(-('Diário 4º PA'!$E$4:$E$2564='Analítico Cx.'!$B51),-('Diário 4º PA'!$P$4:$P$2564=K$1),('Diário 4º PA'!$F$4:$F$2564))</f>
        <v>1892.24</v>
      </c>
      <c r="L51" s="183">
        <f>SUMPRODUCT(-('Diário 1º PA'!$E$4:$E$2635='Analítico Cx.'!$B51),-('Diário 1º PA'!$P$4:$P$2635=L$1),('Diário 1º PA'!$F$4:$F$2635))+SUMPRODUCT(-('Diário 2º PA'!$E$4:$E$3040='Analítico Cx.'!$B51),-('Diário 2º PA'!$P$4:$P$3040=L$1),('Diário 2º PA'!$F$4:$F$3040))+SUMPRODUCT(-('Diário 3º PA'!$E$4:$E$2731='Analítico Cx.'!$B51),-('Diário 3º PA'!$P$4:$P$2731=L$1),('Diário 3º PA'!$F$4:$F$2731))+SUMPRODUCT(-('Diário 4º PA'!$E$4:$E$2564='Analítico Cx.'!$B51),-('Diário 4º PA'!$P$4:$P$2564=L$1),('Diário 4º PA'!$F$4:$F$2564))</f>
        <v>1658.95</v>
      </c>
      <c r="M51" s="183">
        <f>SUMPRODUCT(-('Diário 1º PA'!$E$4:$E$2635='Analítico Cx.'!$B51),-('Diário 1º PA'!$P$4:$P$2635=M$1),('Diário 1º PA'!$F$4:$F$2635))+SUMPRODUCT(-('Diário 2º PA'!$E$4:$E$3040='Analítico Cx.'!$B51),-('Diário 2º PA'!$P$4:$P$3040=M$1),('Diário 2º PA'!$F$4:$F$3040))+SUMPRODUCT(-('Diário 3º PA'!$E$4:$E$2731='Analítico Cx.'!$B51),-('Diário 3º PA'!$P$4:$P$2731=M$1),('Diário 3º PA'!$F$4:$F$2731))+SUMPRODUCT(-('Diário 4º PA'!$E$4:$E$2564='Analítico Cx.'!$B51),-('Diário 4º PA'!$P$4:$P$2564=M$1),('Diário 4º PA'!$F$4:$F$2564))</f>
        <v>1658.95</v>
      </c>
      <c r="N51" s="183">
        <f>SUMPRODUCT(-('Diário 1º PA'!$E$4:$E$2635='Analítico Cx.'!$B51),-('Diário 1º PA'!$P$4:$P$2635=N$1),('Diário 1º PA'!$F$4:$F$2635))+SUMPRODUCT(-('Diário 2º PA'!$E$4:$E$3040='Analítico Cx.'!$B51),-('Diário 2º PA'!$P$4:$P$3040=N$1),('Diário 2º PA'!$F$4:$F$3040))+SUMPRODUCT(-('Diário 3º PA'!$E$4:$E$2731='Analítico Cx.'!$B51),-('Diário 3º PA'!$P$4:$P$2731=N$1),('Diário 3º PA'!$F$4:$F$2731))+SUMPRODUCT(-('Diário 4º PA'!$E$4:$E$2564='Analítico Cx.'!$B51),-('Diário 4º PA'!$P$4:$P$2564=N$1),('Diário 4º PA'!$F$4:$F$2564))</f>
        <v>1633.03</v>
      </c>
      <c r="O51" s="184">
        <f t="shared" si="11"/>
        <v>17934.120000000003</v>
      </c>
      <c r="P51" s="167">
        <f t="shared" si="7"/>
        <v>1.4125817655302791E-3</v>
      </c>
    </row>
    <row r="52" spans="1:16" ht="23.25" customHeight="1" x14ac:dyDescent="0.2">
      <c r="A52" s="62" t="s">
        <v>113</v>
      </c>
      <c r="B52" s="60" t="s">
        <v>57</v>
      </c>
      <c r="C52" s="183">
        <f>SUMPRODUCT(-('Diário 1º PA'!$E$4:$E$2635='Analítico Cx.'!$B52),-('Diário 1º PA'!$P$4:$P$2635=C$1),('Diário 1º PA'!$F$4:$F$2635))+SUMPRODUCT(-('Diário 2º PA'!$E$4:$E$3040='Analítico Cx.'!$B52),-('Diário 2º PA'!$P$4:$P$3040=C$1),('Diário 2º PA'!$F$4:$F$3040))+SUMPRODUCT(-('Diário 3º PA'!$E$4:$E$2731='Analítico Cx.'!$B52),-('Diário 3º PA'!$P$4:$P$2731=C$1),('Diário 3º PA'!$F$4:$F$2731))+SUMPRODUCT(-('Diário 4º PA'!$E$4:$E$2564='Analítico Cx.'!$B52),-('Diário 4º PA'!$P$4:$P$2564=C$1),('Diário 4º PA'!$F$4:$F$2564))</f>
        <v>0</v>
      </c>
      <c r="D52" s="183">
        <f>SUMPRODUCT(-('Diário 1º PA'!$E$4:$E$2635='Analítico Cx.'!$B52),-('Diário 1º PA'!$P$4:$P$2635=D$1),('Diário 1º PA'!$F$4:$F$2635))+SUMPRODUCT(-('Diário 2º PA'!$E$4:$E$3040='Analítico Cx.'!$B52),-('Diário 2º PA'!$P$4:$P$3040=D$1),('Diário 2º PA'!$F$4:$F$3040))+SUMPRODUCT(-('Diário 3º PA'!$E$4:$E$2731='Analítico Cx.'!$B52),-('Diário 3º PA'!$P$4:$P$2731=D$1),('Diário 3º PA'!$F$4:$F$2731))+SUMPRODUCT(-('Diário 4º PA'!$E$4:$E$2564='Analítico Cx.'!$B52),-('Diário 4º PA'!$P$4:$P$2564=D$1),('Diário 4º PA'!$F$4:$F$2564))</f>
        <v>0</v>
      </c>
      <c r="E52" s="183">
        <f>SUMPRODUCT(-('Diário 1º PA'!$E$4:$E$2635='Analítico Cx.'!$B52),-('Diário 1º PA'!$P$4:$P$2635=E$1),('Diário 1º PA'!$F$4:$F$2635))+SUMPRODUCT(-('Diário 2º PA'!$E$4:$E$3040='Analítico Cx.'!$B52),-('Diário 2º PA'!$P$4:$P$3040=E$1),('Diário 2º PA'!$F$4:$F$3040))+SUMPRODUCT(-('Diário 3º PA'!$E$4:$E$2731='Analítico Cx.'!$B52),-('Diário 3º PA'!$P$4:$P$2731=E$1),('Diário 3º PA'!$F$4:$F$2731))+SUMPRODUCT(-('Diário 4º PA'!$E$4:$E$2564='Analítico Cx.'!$B52),-('Diário 4º PA'!$P$4:$P$2564=E$1),('Diário 4º PA'!$F$4:$F$2564))</f>
        <v>0</v>
      </c>
      <c r="F52" s="183">
        <f>SUMPRODUCT(-('Diário 1º PA'!$E$4:$E$2635='Analítico Cx.'!$B52),-('Diário 1º PA'!$P$4:$P$2635=F$1),('Diário 1º PA'!$F$4:$F$2635))+SUMPRODUCT(-('Diário 2º PA'!$E$4:$E$3040='Analítico Cx.'!$B52),-('Diário 2º PA'!$P$4:$P$3040=F$1),('Diário 2º PA'!$F$4:$F$3040))+SUMPRODUCT(-('Diário 3º PA'!$E$4:$E$2731='Analítico Cx.'!$B52),-('Diário 3º PA'!$P$4:$P$2731=F$1),('Diário 3º PA'!$F$4:$F$2731))+SUMPRODUCT(-('Diário 4º PA'!$E$4:$E$2564='Analítico Cx.'!$B52),-('Diário 4º PA'!$P$4:$P$2564=F$1),('Diário 4º PA'!$F$4:$F$2564))</f>
        <v>0</v>
      </c>
      <c r="G52" s="183">
        <f>SUMPRODUCT(-('Diário 1º PA'!$E$4:$E$2635='Analítico Cx.'!$B52),-('Diário 1º PA'!$P$4:$P$2635=G$1),('Diário 1º PA'!$F$4:$F$2635))+SUMPRODUCT(-('Diário 2º PA'!$E$4:$E$3040='Analítico Cx.'!$B52),-('Diário 2º PA'!$P$4:$P$3040=G$1),('Diário 2º PA'!$F$4:$F$3040))+SUMPRODUCT(-('Diário 3º PA'!$E$4:$E$2731='Analítico Cx.'!$B52),-('Diário 3º PA'!$P$4:$P$2731=G$1),('Diário 3º PA'!$F$4:$F$2731))+SUMPRODUCT(-('Diário 4º PA'!$E$4:$E$2564='Analítico Cx.'!$B52),-('Diário 4º PA'!$P$4:$P$2564=G$1),('Diário 4º PA'!$F$4:$F$2564))</f>
        <v>0</v>
      </c>
      <c r="H52" s="183">
        <f>SUMPRODUCT(-('Diário 1º PA'!$E$4:$E$2635='Analítico Cx.'!$B52),-('Diário 1º PA'!$P$4:$P$2635=H$1),('Diário 1º PA'!$F$4:$F$2635))+SUMPRODUCT(-('Diário 2º PA'!$E$4:$E$3040='Analítico Cx.'!$B52),-('Diário 2º PA'!$P$4:$P$3040=H$1),('Diário 2º PA'!$F$4:$F$3040))+SUMPRODUCT(-('Diário 3º PA'!$E$4:$E$2731='Analítico Cx.'!$B52),-('Diário 3º PA'!$P$4:$P$2731=H$1),('Diário 3º PA'!$F$4:$F$2731))+SUMPRODUCT(-('Diário 4º PA'!$E$4:$E$2564='Analítico Cx.'!$B52),-('Diário 4º PA'!$P$4:$P$2564=H$1),('Diário 4º PA'!$F$4:$F$2564))</f>
        <v>0</v>
      </c>
      <c r="I52" s="183">
        <f>SUMPRODUCT(-('Diário 1º PA'!$E$4:$E$2635='Analítico Cx.'!$B52),-('Diário 1º PA'!$P$4:$P$2635=I$1),('Diário 1º PA'!$F$4:$F$2635))+SUMPRODUCT(-('Diário 2º PA'!$E$4:$E$3040='Analítico Cx.'!$B52),-('Diário 2º PA'!$P$4:$P$3040=I$1),('Diário 2º PA'!$F$4:$F$3040))+SUMPRODUCT(-('Diário 3º PA'!$E$4:$E$2731='Analítico Cx.'!$B52),-('Diário 3º PA'!$P$4:$P$2731=I$1),('Diário 3º PA'!$F$4:$F$2731))+SUMPRODUCT(-('Diário 4º PA'!$E$4:$E$2564='Analítico Cx.'!$B52),-('Diário 4º PA'!$P$4:$P$2564=I$1),('Diário 4º PA'!$F$4:$F$2564))</f>
        <v>0</v>
      </c>
      <c r="J52" s="183">
        <f>SUMPRODUCT(-('Diário 1º PA'!$E$4:$E$2635='Analítico Cx.'!$B52),-('Diário 1º PA'!$P$4:$P$2635=J$1),('Diário 1º PA'!$F$4:$F$2635))+SUMPRODUCT(-('Diário 2º PA'!$E$4:$E$3040='Analítico Cx.'!$B52),-('Diário 2º PA'!$P$4:$P$3040=J$1),('Diário 2º PA'!$F$4:$F$3040))+SUMPRODUCT(-('Diário 3º PA'!$E$4:$E$2731='Analítico Cx.'!$B52),-('Diário 3º PA'!$P$4:$P$2731=J$1),('Diário 3º PA'!$F$4:$F$2731))+SUMPRODUCT(-('Diário 4º PA'!$E$4:$E$2564='Analítico Cx.'!$B52),-('Diário 4º PA'!$P$4:$P$2564=J$1),('Diário 4º PA'!$F$4:$F$2564))</f>
        <v>0</v>
      </c>
      <c r="K52" s="183">
        <f>SUMPRODUCT(-('Diário 1º PA'!$E$4:$E$2635='Analítico Cx.'!$B52),-('Diário 1º PA'!$P$4:$P$2635=K$1),('Diário 1º PA'!$F$4:$F$2635))+SUMPRODUCT(-('Diário 2º PA'!$E$4:$E$3040='Analítico Cx.'!$B52),-('Diário 2º PA'!$P$4:$P$3040=K$1),('Diário 2º PA'!$F$4:$F$3040))+SUMPRODUCT(-('Diário 3º PA'!$E$4:$E$2731='Analítico Cx.'!$B52),-('Diário 3º PA'!$P$4:$P$2731=K$1),('Diário 3º PA'!$F$4:$F$2731))+SUMPRODUCT(-('Diário 4º PA'!$E$4:$E$2564='Analítico Cx.'!$B52),-('Diário 4º PA'!$P$4:$P$2564=K$1),('Diário 4º PA'!$F$4:$F$2564))</f>
        <v>0</v>
      </c>
      <c r="L52" s="183">
        <f>SUMPRODUCT(-('Diário 1º PA'!$E$4:$E$2635='Analítico Cx.'!$B52),-('Diário 1º PA'!$P$4:$P$2635=L$1),('Diário 1º PA'!$F$4:$F$2635))+SUMPRODUCT(-('Diário 2º PA'!$E$4:$E$3040='Analítico Cx.'!$B52),-('Diário 2º PA'!$P$4:$P$3040=L$1),('Diário 2º PA'!$F$4:$F$3040))+SUMPRODUCT(-('Diário 3º PA'!$E$4:$E$2731='Analítico Cx.'!$B52),-('Diário 3º PA'!$P$4:$P$2731=L$1),('Diário 3º PA'!$F$4:$F$2731))+SUMPRODUCT(-('Diário 4º PA'!$E$4:$E$2564='Analítico Cx.'!$B52),-('Diário 4º PA'!$P$4:$P$2564=L$1),('Diário 4º PA'!$F$4:$F$2564))</f>
        <v>0</v>
      </c>
      <c r="M52" s="183">
        <f>SUMPRODUCT(-('Diário 1º PA'!$E$4:$E$2635='Analítico Cx.'!$B52),-('Diário 1º PA'!$P$4:$P$2635=M$1),('Diário 1º PA'!$F$4:$F$2635))+SUMPRODUCT(-('Diário 2º PA'!$E$4:$E$3040='Analítico Cx.'!$B52),-('Diário 2º PA'!$P$4:$P$3040=M$1),('Diário 2º PA'!$F$4:$F$3040))+SUMPRODUCT(-('Diário 3º PA'!$E$4:$E$2731='Analítico Cx.'!$B52),-('Diário 3º PA'!$P$4:$P$2731=M$1),('Diário 3º PA'!$F$4:$F$2731))+SUMPRODUCT(-('Diário 4º PA'!$E$4:$E$2564='Analítico Cx.'!$B52),-('Diário 4º PA'!$P$4:$P$2564=M$1),('Diário 4º PA'!$F$4:$F$2564))</f>
        <v>0</v>
      </c>
      <c r="N52" s="183">
        <f>SUMPRODUCT(-('Diário 1º PA'!$E$4:$E$2635='Analítico Cx.'!$B52),-('Diário 1º PA'!$P$4:$P$2635=N$1),('Diário 1º PA'!$F$4:$F$2635))+SUMPRODUCT(-('Diário 2º PA'!$E$4:$E$3040='Analítico Cx.'!$B52),-('Diário 2º PA'!$P$4:$P$3040=N$1),('Diário 2º PA'!$F$4:$F$3040))+SUMPRODUCT(-('Diário 3º PA'!$E$4:$E$2731='Analítico Cx.'!$B52),-('Diário 3º PA'!$P$4:$P$2731=N$1),('Diário 3º PA'!$F$4:$F$2731))+SUMPRODUCT(-('Diário 4º PA'!$E$4:$E$2564='Analítico Cx.'!$B52),-('Diário 4º PA'!$P$4:$P$2564=N$1),('Diário 4º PA'!$F$4:$F$2564))</f>
        <v>0</v>
      </c>
      <c r="O52" s="184">
        <f t="shared" si="11"/>
        <v>0</v>
      </c>
      <c r="P52" s="167">
        <f t="shared" si="7"/>
        <v>0</v>
      </c>
    </row>
    <row r="53" spans="1:16" ht="23.25" customHeight="1" x14ac:dyDescent="0.2">
      <c r="A53" s="62" t="s">
        <v>170</v>
      </c>
      <c r="B53" s="60" t="s">
        <v>58</v>
      </c>
      <c r="C53" s="183">
        <f>SUMPRODUCT(-('Diário 1º PA'!$E$4:$E$2635='Analítico Cx.'!$B53),-('Diário 1º PA'!$P$4:$P$2635=C$1),('Diário 1º PA'!$F$4:$F$2635))+SUMPRODUCT(-('Diário 2º PA'!$E$4:$E$3040='Analítico Cx.'!$B53),-('Diário 2º PA'!$P$4:$P$3040=C$1),('Diário 2º PA'!$F$4:$F$3040))+SUMPRODUCT(-('Diário 3º PA'!$E$4:$E$2731='Analítico Cx.'!$B53),-('Diário 3º PA'!$P$4:$P$2731=C$1),('Diário 3º PA'!$F$4:$F$2731))+SUMPRODUCT(-('Diário 4º PA'!$E$4:$E$2564='Analítico Cx.'!$B53),-('Diário 4º PA'!$P$4:$P$2564=C$1),('Diário 4º PA'!$F$4:$F$2564))</f>
        <v>0</v>
      </c>
      <c r="D53" s="183">
        <f>SUMPRODUCT(-('Diário 1º PA'!$E$4:$E$2635='Analítico Cx.'!$B53),-('Diário 1º PA'!$P$4:$P$2635=D$1),('Diário 1º PA'!$F$4:$F$2635))+SUMPRODUCT(-('Diário 2º PA'!$E$4:$E$3040='Analítico Cx.'!$B53),-('Diário 2º PA'!$P$4:$P$3040=D$1),('Diário 2º PA'!$F$4:$F$3040))+SUMPRODUCT(-('Diário 3º PA'!$E$4:$E$2731='Analítico Cx.'!$B53),-('Diário 3º PA'!$P$4:$P$2731=D$1),('Diário 3º PA'!$F$4:$F$2731))+SUMPRODUCT(-('Diário 4º PA'!$E$4:$E$2564='Analítico Cx.'!$B53),-('Diário 4º PA'!$P$4:$P$2564=D$1),('Diário 4º PA'!$F$4:$F$2564))</f>
        <v>0</v>
      </c>
      <c r="E53" s="183">
        <f>SUMPRODUCT(-('Diário 1º PA'!$E$4:$E$2635='Analítico Cx.'!$B53),-('Diário 1º PA'!$P$4:$P$2635=E$1),('Diário 1º PA'!$F$4:$F$2635))+SUMPRODUCT(-('Diário 2º PA'!$E$4:$E$3040='Analítico Cx.'!$B53),-('Diário 2º PA'!$P$4:$P$3040=E$1),('Diário 2º PA'!$F$4:$F$3040))+SUMPRODUCT(-('Diário 3º PA'!$E$4:$E$2731='Analítico Cx.'!$B53),-('Diário 3º PA'!$P$4:$P$2731=E$1),('Diário 3º PA'!$F$4:$F$2731))+SUMPRODUCT(-('Diário 4º PA'!$E$4:$E$2564='Analítico Cx.'!$B53),-('Diário 4º PA'!$P$4:$P$2564=E$1),('Diário 4º PA'!$F$4:$F$2564))</f>
        <v>0</v>
      </c>
      <c r="F53" s="183">
        <f>SUMPRODUCT(-('Diário 1º PA'!$E$4:$E$2635='Analítico Cx.'!$B53),-('Diário 1º PA'!$P$4:$P$2635=F$1),('Diário 1º PA'!$F$4:$F$2635))+SUMPRODUCT(-('Diário 2º PA'!$E$4:$E$3040='Analítico Cx.'!$B53),-('Diário 2º PA'!$P$4:$P$3040=F$1),('Diário 2º PA'!$F$4:$F$3040))+SUMPRODUCT(-('Diário 3º PA'!$E$4:$E$2731='Analítico Cx.'!$B53),-('Diário 3º PA'!$P$4:$P$2731=F$1),('Diário 3º PA'!$F$4:$F$2731))+SUMPRODUCT(-('Diário 4º PA'!$E$4:$E$2564='Analítico Cx.'!$B53),-('Diário 4º PA'!$P$4:$P$2564=F$1),('Diário 4º PA'!$F$4:$F$2564))</f>
        <v>0</v>
      </c>
      <c r="G53" s="183">
        <f>SUMPRODUCT(-('Diário 1º PA'!$E$4:$E$2635='Analítico Cx.'!$B53),-('Diário 1º PA'!$P$4:$P$2635=G$1),('Diário 1º PA'!$F$4:$F$2635))+SUMPRODUCT(-('Diário 2º PA'!$E$4:$E$3040='Analítico Cx.'!$B53),-('Diário 2º PA'!$P$4:$P$3040=G$1),('Diário 2º PA'!$F$4:$F$3040))+SUMPRODUCT(-('Diário 3º PA'!$E$4:$E$2731='Analítico Cx.'!$B53),-('Diário 3º PA'!$P$4:$P$2731=G$1),('Diário 3º PA'!$F$4:$F$2731))+SUMPRODUCT(-('Diário 4º PA'!$E$4:$E$2564='Analítico Cx.'!$B53),-('Diário 4º PA'!$P$4:$P$2564=G$1),('Diário 4º PA'!$F$4:$F$2564))</f>
        <v>0</v>
      </c>
      <c r="H53" s="183">
        <f>SUMPRODUCT(-('Diário 1º PA'!$E$4:$E$2635='Analítico Cx.'!$B53),-('Diário 1º PA'!$P$4:$P$2635=H$1),('Diário 1º PA'!$F$4:$F$2635))+SUMPRODUCT(-('Diário 2º PA'!$E$4:$E$3040='Analítico Cx.'!$B53),-('Diário 2º PA'!$P$4:$P$3040=H$1),('Diário 2º PA'!$F$4:$F$3040))+SUMPRODUCT(-('Diário 3º PA'!$E$4:$E$2731='Analítico Cx.'!$B53),-('Diário 3º PA'!$P$4:$P$2731=H$1),('Diário 3º PA'!$F$4:$F$2731))+SUMPRODUCT(-('Diário 4º PA'!$E$4:$E$2564='Analítico Cx.'!$B53),-('Diário 4º PA'!$P$4:$P$2564=H$1),('Diário 4º PA'!$F$4:$F$2564))</f>
        <v>0</v>
      </c>
      <c r="I53" s="183">
        <f>SUMPRODUCT(-('Diário 1º PA'!$E$4:$E$2635='Analítico Cx.'!$B53),-('Diário 1º PA'!$P$4:$P$2635=I$1),('Diário 1º PA'!$F$4:$F$2635))+SUMPRODUCT(-('Diário 2º PA'!$E$4:$E$3040='Analítico Cx.'!$B53),-('Diário 2º PA'!$P$4:$P$3040=I$1),('Diário 2º PA'!$F$4:$F$3040))+SUMPRODUCT(-('Diário 3º PA'!$E$4:$E$2731='Analítico Cx.'!$B53),-('Diário 3º PA'!$P$4:$P$2731=I$1),('Diário 3º PA'!$F$4:$F$2731))+SUMPRODUCT(-('Diário 4º PA'!$E$4:$E$2564='Analítico Cx.'!$B53),-('Diário 4º PA'!$P$4:$P$2564=I$1),('Diário 4º PA'!$F$4:$F$2564))</f>
        <v>0</v>
      </c>
      <c r="J53" s="183">
        <f>SUMPRODUCT(-('Diário 1º PA'!$E$4:$E$2635='Analítico Cx.'!$B53),-('Diário 1º PA'!$P$4:$P$2635=J$1),('Diário 1º PA'!$F$4:$F$2635))+SUMPRODUCT(-('Diário 2º PA'!$E$4:$E$3040='Analítico Cx.'!$B53),-('Diário 2º PA'!$P$4:$P$3040=J$1),('Diário 2º PA'!$F$4:$F$3040))+SUMPRODUCT(-('Diário 3º PA'!$E$4:$E$2731='Analítico Cx.'!$B53),-('Diário 3º PA'!$P$4:$P$2731=J$1),('Diário 3º PA'!$F$4:$F$2731))+SUMPRODUCT(-('Diário 4º PA'!$E$4:$E$2564='Analítico Cx.'!$B53),-('Diário 4º PA'!$P$4:$P$2564=J$1),('Diário 4º PA'!$F$4:$F$2564))</f>
        <v>0</v>
      </c>
      <c r="K53" s="183">
        <f>SUMPRODUCT(-('Diário 1º PA'!$E$4:$E$2635='Analítico Cx.'!$B53),-('Diário 1º PA'!$P$4:$P$2635=K$1),('Diário 1º PA'!$F$4:$F$2635))+SUMPRODUCT(-('Diário 2º PA'!$E$4:$E$3040='Analítico Cx.'!$B53),-('Diário 2º PA'!$P$4:$P$3040=K$1),('Diário 2º PA'!$F$4:$F$3040))+SUMPRODUCT(-('Diário 3º PA'!$E$4:$E$2731='Analítico Cx.'!$B53),-('Diário 3º PA'!$P$4:$P$2731=K$1),('Diário 3º PA'!$F$4:$F$2731))+SUMPRODUCT(-('Diário 4º PA'!$E$4:$E$2564='Analítico Cx.'!$B53),-('Diário 4º PA'!$P$4:$P$2564=K$1),('Diário 4º PA'!$F$4:$F$2564))</f>
        <v>0</v>
      </c>
      <c r="L53" s="183">
        <f>SUMPRODUCT(-('Diário 1º PA'!$E$4:$E$2635='Analítico Cx.'!$B53),-('Diário 1º PA'!$P$4:$P$2635=L$1),('Diário 1º PA'!$F$4:$F$2635))+SUMPRODUCT(-('Diário 2º PA'!$E$4:$E$3040='Analítico Cx.'!$B53),-('Diário 2º PA'!$P$4:$P$3040=L$1),('Diário 2º PA'!$F$4:$F$3040))+SUMPRODUCT(-('Diário 3º PA'!$E$4:$E$2731='Analítico Cx.'!$B53),-('Diário 3º PA'!$P$4:$P$2731=L$1),('Diário 3º PA'!$F$4:$F$2731))+SUMPRODUCT(-('Diário 4º PA'!$E$4:$E$2564='Analítico Cx.'!$B53),-('Diário 4º PA'!$P$4:$P$2564=L$1),('Diário 4º PA'!$F$4:$F$2564))</f>
        <v>0</v>
      </c>
      <c r="M53" s="183">
        <f>SUMPRODUCT(-('Diário 1º PA'!$E$4:$E$2635='Analítico Cx.'!$B53),-('Diário 1º PA'!$P$4:$P$2635=M$1),('Diário 1º PA'!$F$4:$F$2635))+SUMPRODUCT(-('Diário 2º PA'!$E$4:$E$3040='Analítico Cx.'!$B53),-('Diário 2º PA'!$P$4:$P$3040=M$1),('Diário 2º PA'!$F$4:$F$3040))+SUMPRODUCT(-('Diário 3º PA'!$E$4:$E$2731='Analítico Cx.'!$B53),-('Diário 3º PA'!$P$4:$P$2731=M$1),('Diário 3º PA'!$F$4:$F$2731))+SUMPRODUCT(-('Diário 4º PA'!$E$4:$E$2564='Analítico Cx.'!$B53),-('Diário 4º PA'!$P$4:$P$2564=M$1),('Diário 4º PA'!$F$4:$F$2564))</f>
        <v>0</v>
      </c>
      <c r="N53" s="183">
        <f>SUMPRODUCT(-('Diário 1º PA'!$E$4:$E$2635='Analítico Cx.'!$B53),-('Diário 1º PA'!$P$4:$P$2635=N$1),('Diário 1º PA'!$F$4:$F$2635))+SUMPRODUCT(-('Diário 2º PA'!$E$4:$E$3040='Analítico Cx.'!$B53),-('Diário 2º PA'!$P$4:$P$3040=N$1),('Diário 2º PA'!$F$4:$F$3040))+SUMPRODUCT(-('Diário 3º PA'!$E$4:$E$2731='Analítico Cx.'!$B53),-('Diário 3º PA'!$P$4:$P$2731=N$1),('Diário 3º PA'!$F$4:$F$2731))+SUMPRODUCT(-('Diário 4º PA'!$E$4:$E$2564='Analítico Cx.'!$B53),-('Diário 4º PA'!$P$4:$P$2564=N$1),('Diário 4º PA'!$F$4:$F$2564))</f>
        <v>0</v>
      </c>
      <c r="O53" s="184">
        <f t="shared" si="11"/>
        <v>0</v>
      </c>
      <c r="P53" s="167">
        <f t="shared" si="7"/>
        <v>0</v>
      </c>
    </row>
    <row r="54" spans="1:16" ht="23.25" customHeight="1" x14ac:dyDescent="0.2">
      <c r="A54" s="62" t="s">
        <v>171</v>
      </c>
      <c r="B54" s="60" t="s">
        <v>338</v>
      </c>
      <c r="C54" s="183">
        <f>SUMPRODUCT(-('Diário 1º PA'!$E$4:$E$2635='Analítico Cx.'!$B54),-('Diário 1º PA'!$P$4:$P$2635=C$1),('Diário 1º PA'!$F$4:$F$2635))+SUMPRODUCT(-('Diário 2º PA'!$E$4:$E$3040='Analítico Cx.'!$B54),-('Diário 2º PA'!$P$4:$P$3040=C$1),('Diário 2º PA'!$F$4:$F$3040))+SUMPRODUCT(-('Diário 3º PA'!$E$4:$E$2731='Analítico Cx.'!$B54),-('Diário 3º PA'!$P$4:$P$2731=C$1),('Diário 3º PA'!$F$4:$F$2731))+SUMPRODUCT(-('Diário 4º PA'!$E$4:$E$2564='Analítico Cx.'!$B54),-('Diário 4º PA'!$P$4:$P$2564=C$1),('Diário 4º PA'!$F$4:$F$2564))</f>
        <v>0</v>
      </c>
      <c r="D54" s="183">
        <f>SUMPRODUCT(-('Diário 1º PA'!$E$4:$E$2635='Analítico Cx.'!$B54),-('Diário 1º PA'!$P$4:$P$2635=D$1),('Diário 1º PA'!$F$4:$F$2635))+SUMPRODUCT(-('Diário 2º PA'!$E$4:$E$3040='Analítico Cx.'!$B54),-('Diário 2º PA'!$P$4:$P$3040=D$1),('Diário 2º PA'!$F$4:$F$3040))+SUMPRODUCT(-('Diário 3º PA'!$E$4:$E$2731='Analítico Cx.'!$B54),-('Diário 3º PA'!$P$4:$P$2731=D$1),('Diário 3º PA'!$F$4:$F$2731))+SUMPRODUCT(-('Diário 4º PA'!$E$4:$E$2564='Analítico Cx.'!$B54),-('Diário 4º PA'!$P$4:$P$2564=D$1),('Diário 4º PA'!$F$4:$F$2564))</f>
        <v>0</v>
      </c>
      <c r="E54" s="183">
        <f>SUMPRODUCT(-('Diário 1º PA'!$E$4:$E$2635='Analítico Cx.'!$B54),-('Diário 1º PA'!$P$4:$P$2635=E$1),('Diário 1º PA'!$F$4:$F$2635))+SUMPRODUCT(-('Diário 2º PA'!$E$4:$E$3040='Analítico Cx.'!$B54),-('Diário 2º PA'!$P$4:$P$3040=E$1),('Diário 2º PA'!$F$4:$F$3040))+SUMPRODUCT(-('Diário 3º PA'!$E$4:$E$2731='Analítico Cx.'!$B54),-('Diário 3º PA'!$P$4:$P$2731=E$1),('Diário 3º PA'!$F$4:$F$2731))+SUMPRODUCT(-('Diário 4º PA'!$E$4:$E$2564='Analítico Cx.'!$B54),-('Diário 4º PA'!$P$4:$P$2564=E$1),('Diário 4º PA'!$F$4:$F$2564))</f>
        <v>0</v>
      </c>
      <c r="F54" s="183">
        <f>SUMPRODUCT(-('Diário 1º PA'!$E$4:$E$2635='Analítico Cx.'!$B54),-('Diário 1º PA'!$P$4:$P$2635=F$1),('Diário 1º PA'!$F$4:$F$2635))+SUMPRODUCT(-('Diário 2º PA'!$E$4:$E$3040='Analítico Cx.'!$B54),-('Diário 2º PA'!$P$4:$P$3040=F$1),('Diário 2º PA'!$F$4:$F$3040))+SUMPRODUCT(-('Diário 3º PA'!$E$4:$E$2731='Analítico Cx.'!$B54),-('Diário 3º PA'!$P$4:$P$2731=F$1),('Diário 3º PA'!$F$4:$F$2731))+SUMPRODUCT(-('Diário 4º PA'!$E$4:$E$2564='Analítico Cx.'!$B54),-('Diário 4º PA'!$P$4:$P$2564=F$1),('Diário 4º PA'!$F$4:$F$2564))</f>
        <v>0</v>
      </c>
      <c r="G54" s="183">
        <f>SUMPRODUCT(-('Diário 1º PA'!$E$4:$E$2635='Analítico Cx.'!$B54),-('Diário 1º PA'!$P$4:$P$2635=G$1),('Diário 1º PA'!$F$4:$F$2635))+SUMPRODUCT(-('Diário 2º PA'!$E$4:$E$3040='Analítico Cx.'!$B54),-('Diário 2º PA'!$P$4:$P$3040=G$1),('Diário 2º PA'!$F$4:$F$3040))+SUMPRODUCT(-('Diário 3º PA'!$E$4:$E$2731='Analítico Cx.'!$B54),-('Diário 3º PA'!$P$4:$P$2731=G$1),('Diário 3º PA'!$F$4:$F$2731))+SUMPRODUCT(-('Diário 4º PA'!$E$4:$E$2564='Analítico Cx.'!$B54),-('Diário 4º PA'!$P$4:$P$2564=G$1),('Diário 4º PA'!$F$4:$F$2564))</f>
        <v>0</v>
      </c>
      <c r="H54" s="183">
        <f>SUMPRODUCT(-('Diário 1º PA'!$E$4:$E$2635='Analítico Cx.'!$B54),-('Diário 1º PA'!$P$4:$P$2635=H$1),('Diário 1º PA'!$F$4:$F$2635))+SUMPRODUCT(-('Diário 2º PA'!$E$4:$E$3040='Analítico Cx.'!$B54),-('Diário 2º PA'!$P$4:$P$3040=H$1),('Diário 2º PA'!$F$4:$F$3040))+SUMPRODUCT(-('Diário 3º PA'!$E$4:$E$2731='Analítico Cx.'!$B54),-('Diário 3º PA'!$P$4:$P$2731=H$1),('Diário 3º PA'!$F$4:$F$2731))+SUMPRODUCT(-('Diário 4º PA'!$E$4:$E$2564='Analítico Cx.'!$B54),-('Diário 4º PA'!$P$4:$P$2564=H$1),('Diário 4º PA'!$F$4:$F$2564))</f>
        <v>0</v>
      </c>
      <c r="I54" s="183">
        <f>SUMPRODUCT(-('Diário 1º PA'!$E$4:$E$2635='Analítico Cx.'!$B54),-('Diário 1º PA'!$P$4:$P$2635=I$1),('Diário 1º PA'!$F$4:$F$2635))+SUMPRODUCT(-('Diário 2º PA'!$E$4:$E$3040='Analítico Cx.'!$B54),-('Diário 2º PA'!$P$4:$P$3040=I$1),('Diário 2º PA'!$F$4:$F$3040))+SUMPRODUCT(-('Diário 3º PA'!$E$4:$E$2731='Analítico Cx.'!$B54),-('Diário 3º PA'!$P$4:$P$2731=I$1),('Diário 3º PA'!$F$4:$F$2731))+SUMPRODUCT(-('Diário 4º PA'!$E$4:$E$2564='Analítico Cx.'!$B54),-('Diário 4º PA'!$P$4:$P$2564=I$1),('Diário 4º PA'!$F$4:$F$2564))</f>
        <v>0</v>
      </c>
      <c r="J54" s="183">
        <f>SUMPRODUCT(-('Diário 1º PA'!$E$4:$E$2635='Analítico Cx.'!$B54),-('Diário 1º PA'!$P$4:$P$2635=J$1),('Diário 1º PA'!$F$4:$F$2635))+SUMPRODUCT(-('Diário 2º PA'!$E$4:$E$3040='Analítico Cx.'!$B54),-('Diário 2º PA'!$P$4:$P$3040=J$1),('Diário 2º PA'!$F$4:$F$3040))+SUMPRODUCT(-('Diário 3º PA'!$E$4:$E$2731='Analítico Cx.'!$B54),-('Diário 3º PA'!$P$4:$P$2731=J$1),('Diário 3º PA'!$F$4:$F$2731))+SUMPRODUCT(-('Diário 4º PA'!$E$4:$E$2564='Analítico Cx.'!$B54),-('Diário 4º PA'!$P$4:$P$2564=J$1),('Diário 4º PA'!$F$4:$F$2564))</f>
        <v>0</v>
      </c>
      <c r="K54" s="183">
        <f>SUMPRODUCT(-('Diário 1º PA'!$E$4:$E$2635='Analítico Cx.'!$B54),-('Diário 1º PA'!$P$4:$P$2635=K$1),('Diário 1º PA'!$F$4:$F$2635))+SUMPRODUCT(-('Diário 2º PA'!$E$4:$E$3040='Analítico Cx.'!$B54),-('Diário 2º PA'!$P$4:$P$3040=K$1),('Diário 2º PA'!$F$4:$F$3040))+SUMPRODUCT(-('Diário 3º PA'!$E$4:$E$2731='Analítico Cx.'!$B54),-('Diário 3º PA'!$P$4:$P$2731=K$1),('Diário 3º PA'!$F$4:$F$2731))+SUMPRODUCT(-('Diário 4º PA'!$E$4:$E$2564='Analítico Cx.'!$B54),-('Diário 4º PA'!$P$4:$P$2564=K$1),('Diário 4º PA'!$F$4:$F$2564))</f>
        <v>0</v>
      </c>
      <c r="L54" s="183">
        <f>SUMPRODUCT(-('Diário 1º PA'!$E$4:$E$2635='Analítico Cx.'!$B54),-('Diário 1º PA'!$P$4:$P$2635=L$1),('Diário 1º PA'!$F$4:$F$2635))+SUMPRODUCT(-('Diário 2º PA'!$E$4:$E$3040='Analítico Cx.'!$B54),-('Diário 2º PA'!$P$4:$P$3040=L$1),('Diário 2º PA'!$F$4:$F$3040))+SUMPRODUCT(-('Diário 3º PA'!$E$4:$E$2731='Analítico Cx.'!$B54),-('Diário 3º PA'!$P$4:$P$2731=L$1),('Diário 3º PA'!$F$4:$F$2731))+SUMPRODUCT(-('Diário 4º PA'!$E$4:$E$2564='Analítico Cx.'!$B54),-('Diário 4º PA'!$P$4:$P$2564=L$1),('Diário 4º PA'!$F$4:$F$2564))</f>
        <v>0</v>
      </c>
      <c r="M54" s="183">
        <f>SUMPRODUCT(-('Diário 1º PA'!$E$4:$E$2635='Analítico Cx.'!$B54),-('Diário 1º PA'!$P$4:$P$2635=M$1),('Diário 1º PA'!$F$4:$F$2635))+SUMPRODUCT(-('Diário 2º PA'!$E$4:$E$3040='Analítico Cx.'!$B54),-('Diário 2º PA'!$P$4:$P$3040=M$1),('Diário 2º PA'!$F$4:$F$3040))+SUMPRODUCT(-('Diário 3º PA'!$E$4:$E$2731='Analítico Cx.'!$B54),-('Diário 3º PA'!$P$4:$P$2731=M$1),('Diário 3º PA'!$F$4:$F$2731))+SUMPRODUCT(-('Diário 4º PA'!$E$4:$E$2564='Analítico Cx.'!$B54),-('Diário 4º PA'!$P$4:$P$2564=M$1),('Diário 4º PA'!$F$4:$F$2564))</f>
        <v>0</v>
      </c>
      <c r="N54" s="183">
        <f>SUMPRODUCT(-('Diário 1º PA'!$E$4:$E$2635='Analítico Cx.'!$B54),-('Diário 1º PA'!$P$4:$P$2635=N$1),('Diário 1º PA'!$F$4:$F$2635))+SUMPRODUCT(-('Diário 2º PA'!$E$4:$E$3040='Analítico Cx.'!$B54),-('Diário 2º PA'!$P$4:$P$3040=N$1),('Diário 2º PA'!$F$4:$F$3040))+SUMPRODUCT(-('Diário 3º PA'!$E$4:$E$2731='Analítico Cx.'!$B54),-('Diário 3º PA'!$P$4:$P$2731=N$1),('Diário 3º PA'!$F$4:$F$2731))+SUMPRODUCT(-('Diário 4º PA'!$E$4:$E$2564='Analítico Cx.'!$B54),-('Diário 4º PA'!$P$4:$P$2564=N$1),('Diário 4º PA'!$F$4:$F$2564))</f>
        <v>0</v>
      </c>
      <c r="O54" s="184">
        <f>SUM(C54:N54)</f>
        <v>0</v>
      </c>
      <c r="P54" s="167">
        <f t="shared" si="7"/>
        <v>0</v>
      </c>
    </row>
    <row r="55" spans="1:16" ht="23.25" customHeight="1" x14ac:dyDescent="0.2">
      <c r="A55" s="62" t="s">
        <v>337</v>
      </c>
      <c r="B55" s="63" t="s">
        <v>77</v>
      </c>
      <c r="C55" s="183">
        <f>SUMPRODUCT(-('Diário 1º PA'!$E$4:$E$2635='Analítico Cx.'!$B55),-('Diário 1º PA'!$P$4:$P$2635=C$1),('Diário 1º PA'!$F$4:$F$2635))+SUMPRODUCT(-('Diário 2º PA'!$E$4:$E$3040='Analítico Cx.'!$B55),-('Diário 2º PA'!$P$4:$P$3040=C$1),('Diário 2º PA'!$F$4:$F$3040))+SUMPRODUCT(-('Diário 3º PA'!$E$4:$E$2731='Analítico Cx.'!$B55),-('Diário 3º PA'!$P$4:$P$2731=C$1),('Diário 3º PA'!$F$4:$F$2731))+SUMPRODUCT(-('Diário 4º PA'!$E$4:$E$2564='Analítico Cx.'!$B55),-('Diário 4º PA'!$P$4:$P$2564=C$1),('Diário 4º PA'!$F$4:$F$2564))</f>
        <v>0</v>
      </c>
      <c r="D55" s="183">
        <f>SUMPRODUCT(-('Diário 1º PA'!$E$4:$E$2635='Analítico Cx.'!$B55),-('Diário 1º PA'!$P$4:$P$2635=D$1),('Diário 1º PA'!$F$4:$F$2635))+SUMPRODUCT(-('Diário 2º PA'!$E$4:$E$3040='Analítico Cx.'!$B55),-('Diário 2º PA'!$P$4:$P$3040=D$1),('Diário 2º PA'!$F$4:$F$3040))+SUMPRODUCT(-('Diário 3º PA'!$E$4:$E$2731='Analítico Cx.'!$B55),-('Diário 3º PA'!$P$4:$P$2731=D$1),('Diário 3º PA'!$F$4:$F$2731))+SUMPRODUCT(-('Diário 4º PA'!$E$4:$E$2564='Analítico Cx.'!$B55),-('Diário 4º PA'!$P$4:$P$2564=D$1),('Diário 4º PA'!$F$4:$F$2564))</f>
        <v>0</v>
      </c>
      <c r="E55" s="183">
        <f>SUMPRODUCT(-('Diário 1º PA'!$E$4:$E$2635='Analítico Cx.'!$B55),-('Diário 1º PA'!$P$4:$P$2635=E$1),('Diário 1º PA'!$F$4:$F$2635))+SUMPRODUCT(-('Diário 2º PA'!$E$4:$E$3040='Analítico Cx.'!$B55),-('Diário 2º PA'!$P$4:$P$3040=E$1),('Diário 2º PA'!$F$4:$F$3040))+SUMPRODUCT(-('Diário 3º PA'!$E$4:$E$2731='Analítico Cx.'!$B55),-('Diário 3º PA'!$P$4:$P$2731=E$1),('Diário 3º PA'!$F$4:$F$2731))+SUMPRODUCT(-('Diário 4º PA'!$E$4:$E$2564='Analítico Cx.'!$B55),-('Diário 4º PA'!$P$4:$P$2564=E$1),('Diário 4º PA'!$F$4:$F$2564))</f>
        <v>0</v>
      </c>
      <c r="F55" s="183">
        <f>SUMPRODUCT(-('Diário 1º PA'!$E$4:$E$2635='Analítico Cx.'!$B55),-('Diário 1º PA'!$P$4:$P$2635=F$1),('Diário 1º PA'!$F$4:$F$2635))+SUMPRODUCT(-('Diário 2º PA'!$E$4:$E$3040='Analítico Cx.'!$B55),-('Diário 2º PA'!$P$4:$P$3040=F$1),('Diário 2º PA'!$F$4:$F$3040))+SUMPRODUCT(-('Diário 3º PA'!$E$4:$E$2731='Analítico Cx.'!$B55),-('Diário 3º PA'!$P$4:$P$2731=F$1),('Diário 3º PA'!$F$4:$F$2731))+SUMPRODUCT(-('Diário 4º PA'!$E$4:$E$2564='Analítico Cx.'!$B55),-('Diário 4º PA'!$P$4:$P$2564=F$1),('Diário 4º PA'!$F$4:$F$2564))</f>
        <v>0</v>
      </c>
      <c r="G55" s="183">
        <f>SUMPRODUCT(-('Diário 1º PA'!$E$4:$E$2635='Analítico Cx.'!$B55),-('Diário 1º PA'!$P$4:$P$2635=G$1),('Diário 1º PA'!$F$4:$F$2635))+SUMPRODUCT(-('Diário 2º PA'!$E$4:$E$3040='Analítico Cx.'!$B55),-('Diário 2º PA'!$P$4:$P$3040=G$1),('Diário 2º PA'!$F$4:$F$3040))+SUMPRODUCT(-('Diário 3º PA'!$E$4:$E$2731='Analítico Cx.'!$B55),-('Diário 3º PA'!$P$4:$P$2731=G$1),('Diário 3º PA'!$F$4:$F$2731))+SUMPRODUCT(-('Diário 4º PA'!$E$4:$E$2564='Analítico Cx.'!$B55),-('Diário 4º PA'!$P$4:$P$2564=G$1),('Diário 4º PA'!$F$4:$F$2564))</f>
        <v>0</v>
      </c>
      <c r="H55" s="183">
        <f>SUMPRODUCT(-('Diário 1º PA'!$E$4:$E$2635='Analítico Cx.'!$B55),-('Diário 1º PA'!$P$4:$P$2635=H$1),('Diário 1º PA'!$F$4:$F$2635))+SUMPRODUCT(-('Diário 2º PA'!$E$4:$E$3040='Analítico Cx.'!$B55),-('Diário 2º PA'!$P$4:$P$3040=H$1),('Diário 2º PA'!$F$4:$F$3040))+SUMPRODUCT(-('Diário 3º PA'!$E$4:$E$2731='Analítico Cx.'!$B55),-('Diário 3º PA'!$P$4:$P$2731=H$1),('Diário 3º PA'!$F$4:$F$2731))+SUMPRODUCT(-('Diário 4º PA'!$E$4:$E$2564='Analítico Cx.'!$B55),-('Diário 4º PA'!$P$4:$P$2564=H$1),('Diário 4º PA'!$F$4:$F$2564))</f>
        <v>0</v>
      </c>
      <c r="I55" s="183">
        <f>SUMPRODUCT(-('Diário 1º PA'!$E$4:$E$2635='Analítico Cx.'!$B55),-('Diário 1º PA'!$P$4:$P$2635=I$1),('Diário 1º PA'!$F$4:$F$2635))+SUMPRODUCT(-('Diário 2º PA'!$E$4:$E$3040='Analítico Cx.'!$B55),-('Diário 2º PA'!$P$4:$P$3040=I$1),('Diário 2º PA'!$F$4:$F$3040))+SUMPRODUCT(-('Diário 3º PA'!$E$4:$E$2731='Analítico Cx.'!$B55),-('Diário 3º PA'!$P$4:$P$2731=I$1),('Diário 3º PA'!$F$4:$F$2731))+SUMPRODUCT(-('Diário 4º PA'!$E$4:$E$2564='Analítico Cx.'!$B55),-('Diário 4º PA'!$P$4:$P$2564=I$1),('Diário 4º PA'!$F$4:$F$2564))</f>
        <v>0</v>
      </c>
      <c r="J55" s="183">
        <f>SUMPRODUCT(-('Diário 1º PA'!$E$4:$E$2635='Analítico Cx.'!$B55),-('Diário 1º PA'!$P$4:$P$2635=J$1),('Diário 1º PA'!$F$4:$F$2635))+SUMPRODUCT(-('Diário 2º PA'!$E$4:$E$3040='Analítico Cx.'!$B55),-('Diário 2º PA'!$P$4:$P$3040=J$1),('Diário 2º PA'!$F$4:$F$3040))+SUMPRODUCT(-('Diário 3º PA'!$E$4:$E$2731='Analítico Cx.'!$B55),-('Diário 3º PA'!$P$4:$P$2731=J$1),('Diário 3º PA'!$F$4:$F$2731))+SUMPRODUCT(-('Diário 4º PA'!$E$4:$E$2564='Analítico Cx.'!$B55),-('Diário 4º PA'!$P$4:$P$2564=J$1),('Diário 4º PA'!$F$4:$F$2564))</f>
        <v>0</v>
      </c>
      <c r="K55" s="183">
        <f>SUMPRODUCT(-('Diário 1º PA'!$E$4:$E$2635='Analítico Cx.'!$B55),-('Diário 1º PA'!$P$4:$P$2635=K$1),('Diário 1º PA'!$F$4:$F$2635))+SUMPRODUCT(-('Diário 2º PA'!$E$4:$E$3040='Analítico Cx.'!$B55),-('Diário 2º PA'!$P$4:$P$3040=K$1),('Diário 2º PA'!$F$4:$F$3040))+SUMPRODUCT(-('Diário 3º PA'!$E$4:$E$2731='Analítico Cx.'!$B55),-('Diário 3º PA'!$P$4:$P$2731=K$1),('Diário 3º PA'!$F$4:$F$2731))+SUMPRODUCT(-('Diário 4º PA'!$E$4:$E$2564='Analítico Cx.'!$B55),-('Diário 4º PA'!$P$4:$P$2564=K$1),('Diário 4º PA'!$F$4:$F$2564))</f>
        <v>0</v>
      </c>
      <c r="L55" s="183">
        <f>SUMPRODUCT(-('Diário 1º PA'!$E$4:$E$2635='Analítico Cx.'!$B55),-('Diário 1º PA'!$P$4:$P$2635=L$1),('Diário 1º PA'!$F$4:$F$2635))+SUMPRODUCT(-('Diário 2º PA'!$E$4:$E$3040='Analítico Cx.'!$B55),-('Diário 2º PA'!$P$4:$P$3040=L$1),('Diário 2º PA'!$F$4:$F$3040))+SUMPRODUCT(-('Diário 3º PA'!$E$4:$E$2731='Analítico Cx.'!$B55),-('Diário 3º PA'!$P$4:$P$2731=L$1),('Diário 3º PA'!$F$4:$F$2731))+SUMPRODUCT(-('Diário 4º PA'!$E$4:$E$2564='Analítico Cx.'!$B55),-('Diário 4º PA'!$P$4:$P$2564=L$1),('Diário 4º PA'!$F$4:$F$2564))</f>
        <v>0</v>
      </c>
      <c r="M55" s="183">
        <f>SUMPRODUCT(-('Diário 1º PA'!$E$4:$E$2635='Analítico Cx.'!$B55),-('Diário 1º PA'!$P$4:$P$2635=M$1),('Diário 1º PA'!$F$4:$F$2635))+SUMPRODUCT(-('Diário 2º PA'!$E$4:$E$3040='Analítico Cx.'!$B55),-('Diário 2º PA'!$P$4:$P$3040=M$1),('Diário 2º PA'!$F$4:$F$3040))+SUMPRODUCT(-('Diário 3º PA'!$E$4:$E$2731='Analítico Cx.'!$B55),-('Diário 3º PA'!$P$4:$P$2731=M$1),('Diário 3º PA'!$F$4:$F$2731))+SUMPRODUCT(-('Diário 4º PA'!$E$4:$E$2564='Analítico Cx.'!$B55),-('Diário 4º PA'!$P$4:$P$2564=M$1),('Diário 4º PA'!$F$4:$F$2564))</f>
        <v>0</v>
      </c>
      <c r="N55" s="183">
        <f>SUMPRODUCT(-('Diário 1º PA'!$E$4:$E$2635='Analítico Cx.'!$B55),-('Diário 1º PA'!$P$4:$P$2635=N$1),('Diário 1º PA'!$F$4:$F$2635))+SUMPRODUCT(-('Diário 2º PA'!$E$4:$E$3040='Analítico Cx.'!$B55),-('Diário 2º PA'!$P$4:$P$3040=N$1),('Diário 2º PA'!$F$4:$F$3040))+SUMPRODUCT(-('Diário 3º PA'!$E$4:$E$2731='Analítico Cx.'!$B55),-('Diário 3º PA'!$P$4:$P$2731=N$1),('Diário 3º PA'!$F$4:$F$2731))+SUMPRODUCT(-('Diário 4º PA'!$E$4:$E$2564='Analítico Cx.'!$B55),-('Diário 4º PA'!$P$4:$P$2564=N$1),('Diário 4º PA'!$F$4:$F$2564))</f>
        <v>0</v>
      </c>
      <c r="O55" s="184">
        <f t="shared" si="11"/>
        <v>0</v>
      </c>
      <c r="P55" s="167">
        <f t="shared" si="7"/>
        <v>0</v>
      </c>
    </row>
    <row r="56" spans="1:16" ht="23.25" customHeight="1" x14ac:dyDescent="0.2">
      <c r="A56" s="23"/>
      <c r="B56" s="24" t="s">
        <v>115</v>
      </c>
      <c r="C56" s="186">
        <f t="shared" ref="C56:O56" si="12">SUBTOTAL(109,C48:C55)</f>
        <v>43760.409999999996</v>
      </c>
      <c r="D56" s="186">
        <f t="shared" si="12"/>
        <v>50813.47</v>
      </c>
      <c r="E56" s="186">
        <f t="shared" si="12"/>
        <v>57314.950000000004</v>
      </c>
      <c r="F56" s="186">
        <f t="shared" si="12"/>
        <v>70452.91</v>
      </c>
      <c r="G56" s="186">
        <f t="shared" si="12"/>
        <v>51448.990000000005</v>
      </c>
      <c r="H56" s="186">
        <f t="shared" si="12"/>
        <v>54511.46</v>
      </c>
      <c r="I56" s="186">
        <f t="shared" ref="I56:N56" si="13">SUBTOTAL(109,I48:I55)</f>
        <v>60867.33</v>
      </c>
      <c r="J56" s="186">
        <f t="shared" si="13"/>
        <v>54811.32</v>
      </c>
      <c r="K56" s="186">
        <f t="shared" si="13"/>
        <v>77242.12</v>
      </c>
      <c r="L56" s="186">
        <f t="shared" si="13"/>
        <v>60147.95</v>
      </c>
      <c r="M56" s="186">
        <f t="shared" si="13"/>
        <v>59682.79</v>
      </c>
      <c r="N56" s="186">
        <f t="shared" si="13"/>
        <v>65044.67</v>
      </c>
      <c r="O56" s="186">
        <f t="shared" si="12"/>
        <v>706098.37</v>
      </c>
      <c r="P56" s="171">
        <f t="shared" si="7"/>
        <v>5.5615869757348127E-2</v>
      </c>
    </row>
    <row r="57" spans="1:16" ht="23.25" customHeight="1" thickBot="1" x14ac:dyDescent="0.25">
      <c r="A57" s="29"/>
      <c r="B57" s="35" t="s">
        <v>262</v>
      </c>
      <c r="C57" s="188">
        <f t="shared" ref="C57:O57" si="14">SUBTOTAL(109,C23:C56)</f>
        <v>345064.37</v>
      </c>
      <c r="D57" s="188">
        <f t="shared" si="14"/>
        <v>302821.46000000002</v>
      </c>
      <c r="E57" s="188">
        <f t="shared" si="14"/>
        <v>311667.16999999993</v>
      </c>
      <c r="F57" s="188">
        <f t="shared" si="14"/>
        <v>362808.77000000008</v>
      </c>
      <c r="G57" s="188">
        <f t="shared" si="14"/>
        <v>324307.14000000019</v>
      </c>
      <c r="H57" s="188">
        <f t="shared" si="14"/>
        <v>326985.38000000006</v>
      </c>
      <c r="I57" s="188">
        <f t="shared" si="14"/>
        <v>331149.3000000001</v>
      </c>
      <c r="J57" s="188">
        <f t="shared" si="14"/>
        <v>384038.08000000007</v>
      </c>
      <c r="K57" s="188">
        <f t="shared" si="14"/>
        <v>384937.3000000001</v>
      </c>
      <c r="L57" s="188">
        <f t="shared" si="14"/>
        <v>409387.0500000001</v>
      </c>
      <c r="M57" s="188">
        <f t="shared" si="14"/>
        <v>497629.13</v>
      </c>
      <c r="N57" s="188">
        <f t="shared" si="14"/>
        <v>688992.85999999975</v>
      </c>
      <c r="O57" s="188">
        <f t="shared" si="14"/>
        <v>4669788.0100000007</v>
      </c>
      <c r="P57" s="168">
        <f t="shared" si="7"/>
        <v>0.36781606188750432</v>
      </c>
    </row>
    <row r="58" spans="1:16" ht="23.25" customHeight="1" thickBot="1" x14ac:dyDescent="0.25">
      <c r="A58" s="70" t="s">
        <v>40</v>
      </c>
      <c r="B58" s="131" t="s">
        <v>271</v>
      </c>
      <c r="C58" s="189"/>
      <c r="D58" s="189"/>
      <c r="E58" s="189"/>
      <c r="F58" s="189"/>
      <c r="G58" s="189"/>
      <c r="H58" s="189"/>
      <c r="I58" s="189"/>
      <c r="J58" s="189"/>
      <c r="K58" s="189"/>
      <c r="L58" s="189"/>
      <c r="M58" s="189"/>
      <c r="N58" s="189"/>
      <c r="O58" s="189"/>
      <c r="P58" s="165"/>
    </row>
    <row r="59" spans="1:16" ht="23.25" customHeight="1" x14ac:dyDescent="0.2">
      <c r="A59" s="61" t="s">
        <v>16</v>
      </c>
      <c r="B59" s="102" t="s">
        <v>2</v>
      </c>
      <c r="C59" s="183">
        <f>SUMPRODUCT(-('Diário 1º PA'!$E$4:$E$2635='Analítico Cx.'!$B59),-('Diário 1º PA'!$P$4:$P$2635=C$1),('Diário 1º PA'!$F$4:$F$2635))+SUMPRODUCT(-('Diário 2º PA'!$E$4:$E$3040='Analítico Cx.'!$B59),-('Diário 2º PA'!$P$4:$P$3040=C$1),('Diário 2º PA'!$F$4:$F$3040))+SUMPRODUCT(-('Diário 3º PA'!$E$4:$E$2731='Analítico Cx.'!$B59),-('Diário 3º PA'!$P$4:$P$2731=C$1),('Diário 3º PA'!$F$4:$F$2731))+SUMPRODUCT(-('Diário 4º PA'!$E$4:$E$2564='Analítico Cx.'!$B59),-('Diário 4º PA'!$P$4:$P$2564=C$1),('Diário 4º PA'!$F$4:$F$2564))</f>
        <v>7862.9500000000007</v>
      </c>
      <c r="D59" s="183">
        <f>SUMPRODUCT(-('Diário 1º PA'!$E$4:$E$2635='Analítico Cx.'!$B59),-('Diário 1º PA'!$P$4:$P$2635=D$1),('Diário 1º PA'!$F$4:$F$2635))+SUMPRODUCT(-('Diário 2º PA'!$E$4:$E$3040='Analítico Cx.'!$B59),-('Diário 2º PA'!$P$4:$P$3040=D$1),('Diário 2º PA'!$F$4:$F$3040))+SUMPRODUCT(-('Diário 3º PA'!$E$4:$E$2731='Analítico Cx.'!$B59),-('Diário 3º PA'!$P$4:$P$2731=D$1),('Diário 3º PA'!$F$4:$F$2731))+SUMPRODUCT(-('Diário 4º PA'!$E$4:$E$2564='Analítico Cx.'!$B59),-('Diário 4º PA'!$P$4:$P$2564=D$1),('Diário 4º PA'!$F$4:$F$2564))</f>
        <v>7366.18</v>
      </c>
      <c r="E59" s="183">
        <f>SUMPRODUCT(-('Diário 1º PA'!$E$4:$E$2635='Analítico Cx.'!$B59),-('Diário 1º PA'!$P$4:$P$2635=E$1),('Diário 1º PA'!$F$4:$F$2635))+SUMPRODUCT(-('Diário 2º PA'!$E$4:$E$3040='Analítico Cx.'!$B59),-('Diário 2º PA'!$P$4:$P$3040=E$1),('Diário 2º PA'!$F$4:$F$3040))+SUMPRODUCT(-('Diário 3º PA'!$E$4:$E$2731='Analítico Cx.'!$B59),-('Diário 3º PA'!$P$4:$P$2731=E$1),('Diário 3º PA'!$F$4:$F$2731))+SUMPRODUCT(-('Diário 4º PA'!$E$4:$E$2564='Analítico Cx.'!$B59),-('Diário 4º PA'!$P$4:$P$2564=E$1),('Diário 4º PA'!$F$4:$F$2564))</f>
        <v>7366.18</v>
      </c>
      <c r="F59" s="183">
        <f>SUMPRODUCT(-('Diário 1º PA'!$E$4:$E$2635='Analítico Cx.'!$B59),-('Diário 1º PA'!$P$4:$P$2635=F$1),('Diário 1º PA'!$F$4:$F$2635))+SUMPRODUCT(-('Diário 2º PA'!$E$4:$E$3040='Analítico Cx.'!$B59),-('Diário 2º PA'!$P$4:$P$3040=F$1),('Diário 2º PA'!$F$4:$F$3040))+SUMPRODUCT(-('Diário 3º PA'!$E$4:$E$2731='Analítico Cx.'!$B59),-('Diário 3º PA'!$P$4:$P$2731=F$1),('Diário 3º PA'!$F$4:$F$2731))+SUMPRODUCT(-('Diário 4º PA'!$E$4:$E$2564='Analítico Cx.'!$B59),-('Diário 4º PA'!$P$4:$P$2564=F$1),('Diário 4º PA'!$F$4:$F$2564))</f>
        <v>7127.72</v>
      </c>
      <c r="G59" s="183">
        <f>SUMPRODUCT(-('Diário 1º PA'!$E$4:$E$2635='Analítico Cx.'!$B59),-('Diário 1º PA'!$P$4:$P$2635=G$1),('Diário 1º PA'!$F$4:$F$2635))+SUMPRODUCT(-('Diário 2º PA'!$E$4:$E$3040='Analítico Cx.'!$B59),-('Diário 2º PA'!$P$4:$P$3040=G$1),('Diário 2º PA'!$F$4:$F$3040))+SUMPRODUCT(-('Diário 3º PA'!$E$4:$E$2731='Analítico Cx.'!$B59),-('Diário 3º PA'!$P$4:$P$2731=G$1),('Diário 3º PA'!$F$4:$F$2731))+SUMPRODUCT(-('Diário 4º PA'!$E$4:$E$2564='Analítico Cx.'!$B59),-('Diário 4º PA'!$P$4:$P$2564=G$1),('Diário 4º PA'!$F$4:$F$2564))</f>
        <v>7366.18</v>
      </c>
      <c r="H59" s="183">
        <f>SUMPRODUCT(-('Diário 1º PA'!$E$4:$E$2635='Analítico Cx.'!$B59),-('Diário 1º PA'!$P$4:$P$2635=H$1),('Diário 1º PA'!$F$4:$F$2635))+SUMPRODUCT(-('Diário 2º PA'!$E$4:$E$3040='Analítico Cx.'!$B59),-('Diário 2º PA'!$P$4:$P$3040=H$1),('Diário 2º PA'!$F$4:$F$3040))+SUMPRODUCT(-('Diário 3º PA'!$E$4:$E$2731='Analítico Cx.'!$B59),-('Diário 3º PA'!$P$4:$P$2731=H$1),('Diário 3º PA'!$F$4:$F$2731))+SUMPRODUCT(-('Diário 4º PA'!$E$4:$E$2564='Analítico Cx.'!$B59),-('Diário 4º PA'!$P$4:$P$2564=H$1),('Diário 4º PA'!$F$4:$F$2564))</f>
        <v>1881</v>
      </c>
      <c r="I59" s="183">
        <f>SUMPRODUCT(-('Diário 1º PA'!$E$4:$E$2635='Analítico Cx.'!$B59),-('Diário 1º PA'!$P$4:$P$2635=I$1),('Diário 1º PA'!$F$4:$F$2635))+SUMPRODUCT(-('Diário 2º PA'!$E$4:$E$3040='Analítico Cx.'!$B59),-('Diário 2º PA'!$P$4:$P$3040=I$1),('Diário 2º PA'!$F$4:$F$3040))+SUMPRODUCT(-('Diário 3º PA'!$E$4:$E$2731='Analítico Cx.'!$B59),-('Diário 3º PA'!$P$4:$P$2731=I$1),('Diário 3º PA'!$F$4:$F$2731))+SUMPRODUCT(-('Diário 4º PA'!$E$4:$E$2564='Analítico Cx.'!$B59),-('Diário 4º PA'!$P$4:$P$2564=I$1),('Diário 4º PA'!$F$4:$F$2564))</f>
        <v>5646.0399999999991</v>
      </c>
      <c r="J59" s="183">
        <f>SUMPRODUCT(-('Diário 1º PA'!$E$4:$E$2635='Analítico Cx.'!$B59),-('Diário 1º PA'!$P$4:$P$2635=J$1),('Diário 1º PA'!$F$4:$F$2635))+SUMPRODUCT(-('Diário 2º PA'!$E$4:$E$3040='Analítico Cx.'!$B59),-('Diário 2º PA'!$P$4:$P$3040=J$1),('Diário 2º PA'!$F$4:$F$3040))+SUMPRODUCT(-('Diário 3º PA'!$E$4:$E$2731='Analítico Cx.'!$B59),-('Diário 3º PA'!$P$4:$P$2731=J$1),('Diário 3º PA'!$F$4:$F$2731))+SUMPRODUCT(-('Diário 4º PA'!$E$4:$E$2564='Analítico Cx.'!$B59),-('Diário 4º PA'!$P$4:$P$2564=J$1),('Diário 4º PA'!$F$4:$F$2564))</f>
        <v>7259.75</v>
      </c>
      <c r="K59" s="183">
        <f>SUMPRODUCT(-('Diário 1º PA'!$E$4:$E$2635='Analítico Cx.'!$B59),-('Diário 1º PA'!$P$4:$P$2635=K$1),('Diário 1º PA'!$F$4:$F$2635))+SUMPRODUCT(-('Diário 2º PA'!$E$4:$E$3040='Analítico Cx.'!$B59),-('Diário 2º PA'!$P$4:$P$3040=K$1),('Diário 2º PA'!$F$4:$F$3040))+SUMPRODUCT(-('Diário 3º PA'!$E$4:$E$2731='Analítico Cx.'!$B59),-('Diário 3º PA'!$P$4:$P$2731=K$1),('Diário 3º PA'!$F$4:$F$2731))+SUMPRODUCT(-('Diário 4º PA'!$E$4:$E$2564='Analítico Cx.'!$B59),-('Diário 4º PA'!$P$4:$P$2564=K$1),('Diário 4º PA'!$F$4:$F$2564))</f>
        <v>7259.75</v>
      </c>
      <c r="L59" s="183">
        <f>SUMPRODUCT(-('Diário 1º PA'!$E$4:$E$2635='Analítico Cx.'!$B59),-('Diário 1º PA'!$P$4:$P$2635=L$1),('Diário 1º PA'!$F$4:$F$2635))+SUMPRODUCT(-('Diário 2º PA'!$E$4:$E$3040='Analítico Cx.'!$B59),-('Diário 2º PA'!$P$4:$P$3040=L$1),('Diário 2º PA'!$F$4:$F$3040))+SUMPRODUCT(-('Diário 3º PA'!$E$4:$E$2731='Analítico Cx.'!$B59),-('Diário 3º PA'!$P$4:$P$2731=L$1),('Diário 3º PA'!$F$4:$F$2731))+SUMPRODUCT(-('Diário 4º PA'!$E$4:$E$2564='Analítico Cx.'!$B59),-('Diário 4º PA'!$P$4:$P$2564=L$1),('Diário 4º PA'!$F$4:$F$2564))</f>
        <v>7259.75</v>
      </c>
      <c r="M59" s="183">
        <f>SUMPRODUCT(-('Diário 1º PA'!$E$4:$E$2635='Analítico Cx.'!$B59),-('Diário 1º PA'!$P$4:$P$2635=M$1),('Diário 1º PA'!$F$4:$F$2635))+SUMPRODUCT(-('Diário 2º PA'!$E$4:$E$3040='Analítico Cx.'!$B59),-('Diário 2º PA'!$P$4:$P$3040=M$1),('Diário 2º PA'!$F$4:$F$3040))+SUMPRODUCT(-('Diário 3º PA'!$E$4:$E$2731='Analítico Cx.'!$B59),-('Diário 3º PA'!$P$4:$P$2731=M$1),('Diário 3º PA'!$F$4:$F$2731))+SUMPRODUCT(-('Diário 4º PA'!$E$4:$E$2564='Analítico Cx.'!$B59),-('Diário 4º PA'!$P$4:$P$2564=M$1),('Diário 4º PA'!$F$4:$F$2564))</f>
        <v>18649.02</v>
      </c>
      <c r="N59" s="183">
        <f>SUMPRODUCT(-('Diário 1º PA'!$E$4:$E$2635='Analítico Cx.'!$B59),-('Diário 1º PA'!$P$4:$P$2635=N$1),('Diário 1º PA'!$F$4:$F$2635))+SUMPRODUCT(-('Diário 2º PA'!$E$4:$E$3040='Analítico Cx.'!$B59),-('Diário 2º PA'!$P$4:$P$3040=N$1),('Diário 2º PA'!$F$4:$F$3040))+SUMPRODUCT(-('Diário 3º PA'!$E$4:$E$2731='Analítico Cx.'!$B59),-('Diário 3º PA'!$P$4:$P$2731=N$1),('Diário 3º PA'!$F$4:$F$2731))+SUMPRODUCT(-('Diário 4º PA'!$E$4:$E$2564='Analítico Cx.'!$B59),-('Diário 4º PA'!$P$4:$P$2564=N$1),('Diário 4º PA'!$F$4:$F$2564))</f>
        <v>14790.29</v>
      </c>
      <c r="O59" s="184">
        <f>SUM(C59:N59)</f>
        <v>99834.81</v>
      </c>
      <c r="P59" s="167">
        <f t="shared" ref="P59:P90" si="15">IF($O$167=0,0,O59/$O$167)</f>
        <v>7.8634932838176595E-3</v>
      </c>
    </row>
    <row r="60" spans="1:16" ht="23.25" customHeight="1" x14ac:dyDescent="0.2">
      <c r="A60" s="61" t="s">
        <v>17</v>
      </c>
      <c r="B60" s="102" t="s">
        <v>155</v>
      </c>
      <c r="C60" s="183">
        <f>SUMPRODUCT(-('Diário 1º PA'!$E$4:$E$2635='Analítico Cx.'!$B60),-('Diário 1º PA'!$P$4:$P$2635=C$1),('Diário 1º PA'!$F$4:$F$2635))+SUMPRODUCT(-('Diário 2º PA'!$E$4:$E$3040='Analítico Cx.'!$B60),-('Diário 2º PA'!$P$4:$P$3040=C$1),('Diário 2º PA'!$F$4:$F$3040))+SUMPRODUCT(-('Diário 3º PA'!$E$4:$E$2731='Analítico Cx.'!$B60),-('Diário 3º PA'!$P$4:$P$2731=C$1),('Diário 3º PA'!$F$4:$F$2731))+SUMPRODUCT(-('Diário 4º PA'!$E$4:$E$2564='Analítico Cx.'!$B60),-('Diário 4º PA'!$P$4:$P$2564=C$1),('Diário 4º PA'!$F$4:$F$2564))</f>
        <v>0</v>
      </c>
      <c r="D60" s="183">
        <f>SUMPRODUCT(-('Diário 1º PA'!$E$4:$E$2635='Analítico Cx.'!$B60),-('Diário 1º PA'!$P$4:$P$2635=D$1),('Diário 1º PA'!$F$4:$F$2635))+SUMPRODUCT(-('Diário 2º PA'!$E$4:$E$3040='Analítico Cx.'!$B60),-('Diário 2º PA'!$P$4:$P$3040=D$1),('Diário 2º PA'!$F$4:$F$3040))+SUMPRODUCT(-('Diário 3º PA'!$E$4:$E$2731='Analítico Cx.'!$B60),-('Diário 3º PA'!$P$4:$P$2731=D$1),('Diário 3º PA'!$F$4:$F$2731))+SUMPRODUCT(-('Diário 4º PA'!$E$4:$E$2564='Analítico Cx.'!$B60),-('Diário 4º PA'!$P$4:$P$2564=D$1),('Diário 4º PA'!$F$4:$F$2564))</f>
        <v>0</v>
      </c>
      <c r="E60" s="183">
        <f>SUMPRODUCT(-('Diário 1º PA'!$E$4:$E$2635='Analítico Cx.'!$B60),-('Diário 1º PA'!$P$4:$P$2635=E$1),('Diário 1º PA'!$F$4:$F$2635))+SUMPRODUCT(-('Diário 2º PA'!$E$4:$E$3040='Analítico Cx.'!$B60),-('Diário 2º PA'!$P$4:$P$3040=E$1),('Diário 2º PA'!$F$4:$F$3040))+SUMPRODUCT(-('Diário 3º PA'!$E$4:$E$2731='Analítico Cx.'!$B60),-('Diário 3º PA'!$P$4:$P$2731=E$1),('Diário 3º PA'!$F$4:$F$2731))+SUMPRODUCT(-('Diário 4º PA'!$E$4:$E$2564='Analítico Cx.'!$B60),-('Diário 4º PA'!$P$4:$P$2564=E$1),('Diário 4º PA'!$F$4:$F$2564))</f>
        <v>0</v>
      </c>
      <c r="F60" s="183">
        <f>SUMPRODUCT(-('Diário 1º PA'!$E$4:$E$2635='Analítico Cx.'!$B60),-('Diário 1º PA'!$P$4:$P$2635=F$1),('Diário 1º PA'!$F$4:$F$2635))+SUMPRODUCT(-('Diário 2º PA'!$E$4:$E$3040='Analítico Cx.'!$B60),-('Diário 2º PA'!$P$4:$P$3040=F$1),('Diário 2º PA'!$F$4:$F$3040))+SUMPRODUCT(-('Diário 3º PA'!$E$4:$E$2731='Analítico Cx.'!$B60),-('Diário 3º PA'!$P$4:$P$2731=F$1),('Diário 3º PA'!$F$4:$F$2731))+SUMPRODUCT(-('Diário 4º PA'!$E$4:$E$2564='Analítico Cx.'!$B60),-('Diário 4º PA'!$P$4:$P$2564=F$1),('Diário 4º PA'!$F$4:$F$2564))</f>
        <v>0</v>
      </c>
      <c r="G60" s="183">
        <f>SUMPRODUCT(-('Diário 1º PA'!$E$4:$E$2635='Analítico Cx.'!$B60),-('Diário 1º PA'!$P$4:$P$2635=G$1),('Diário 1º PA'!$F$4:$F$2635))+SUMPRODUCT(-('Diário 2º PA'!$E$4:$E$3040='Analítico Cx.'!$B60),-('Diário 2º PA'!$P$4:$P$3040=G$1),('Diário 2º PA'!$F$4:$F$3040))+SUMPRODUCT(-('Diário 3º PA'!$E$4:$E$2731='Analítico Cx.'!$B60),-('Diário 3º PA'!$P$4:$P$2731=G$1),('Diário 3º PA'!$F$4:$F$2731))+SUMPRODUCT(-('Diário 4º PA'!$E$4:$E$2564='Analítico Cx.'!$B60),-('Diário 4º PA'!$P$4:$P$2564=G$1),('Diário 4º PA'!$F$4:$F$2564))</f>
        <v>0</v>
      </c>
      <c r="H60" s="183">
        <f>SUMPRODUCT(-('Diário 1º PA'!$E$4:$E$2635='Analítico Cx.'!$B60),-('Diário 1º PA'!$P$4:$P$2635=H$1),('Diário 1º PA'!$F$4:$F$2635))+SUMPRODUCT(-('Diário 2º PA'!$E$4:$E$3040='Analítico Cx.'!$B60),-('Diário 2º PA'!$P$4:$P$3040=H$1),('Diário 2º PA'!$F$4:$F$3040))+SUMPRODUCT(-('Diário 3º PA'!$E$4:$E$2731='Analítico Cx.'!$B60),-('Diário 3º PA'!$P$4:$P$2731=H$1),('Diário 3º PA'!$F$4:$F$2731))+SUMPRODUCT(-('Diário 4º PA'!$E$4:$E$2564='Analítico Cx.'!$B60),-('Diário 4º PA'!$P$4:$P$2564=H$1),('Diário 4º PA'!$F$4:$F$2564))</f>
        <v>0</v>
      </c>
      <c r="I60" s="183">
        <f>SUMPRODUCT(-('Diário 1º PA'!$E$4:$E$2635='Analítico Cx.'!$B60),-('Diário 1º PA'!$P$4:$P$2635=I$1),('Diário 1º PA'!$F$4:$F$2635))+SUMPRODUCT(-('Diário 2º PA'!$E$4:$E$3040='Analítico Cx.'!$B60),-('Diário 2º PA'!$P$4:$P$3040=I$1),('Diário 2º PA'!$F$4:$F$3040))+SUMPRODUCT(-('Diário 3º PA'!$E$4:$E$2731='Analítico Cx.'!$B60),-('Diário 3º PA'!$P$4:$P$2731=I$1),('Diário 3º PA'!$F$4:$F$2731))+SUMPRODUCT(-('Diário 4º PA'!$E$4:$E$2564='Analítico Cx.'!$B60),-('Diário 4º PA'!$P$4:$P$2564=I$1),('Diário 4º PA'!$F$4:$F$2564))</f>
        <v>0</v>
      </c>
      <c r="J60" s="183">
        <f>SUMPRODUCT(-('Diário 1º PA'!$E$4:$E$2635='Analítico Cx.'!$B60),-('Diário 1º PA'!$P$4:$P$2635=J$1),('Diário 1º PA'!$F$4:$F$2635))+SUMPRODUCT(-('Diário 2º PA'!$E$4:$E$3040='Analítico Cx.'!$B60),-('Diário 2º PA'!$P$4:$P$3040=J$1),('Diário 2º PA'!$F$4:$F$3040))+SUMPRODUCT(-('Diário 3º PA'!$E$4:$E$2731='Analítico Cx.'!$B60),-('Diário 3º PA'!$P$4:$P$2731=J$1),('Diário 3º PA'!$F$4:$F$2731))+SUMPRODUCT(-('Diário 4º PA'!$E$4:$E$2564='Analítico Cx.'!$B60),-('Diário 4º PA'!$P$4:$P$2564=J$1),('Diário 4º PA'!$F$4:$F$2564))</f>
        <v>0</v>
      </c>
      <c r="K60" s="183">
        <f>SUMPRODUCT(-('Diário 1º PA'!$E$4:$E$2635='Analítico Cx.'!$B60),-('Diário 1º PA'!$P$4:$P$2635=K$1),('Diário 1º PA'!$F$4:$F$2635))+SUMPRODUCT(-('Diário 2º PA'!$E$4:$E$3040='Analítico Cx.'!$B60),-('Diário 2º PA'!$P$4:$P$3040=K$1),('Diário 2º PA'!$F$4:$F$3040))+SUMPRODUCT(-('Diário 3º PA'!$E$4:$E$2731='Analítico Cx.'!$B60),-('Diário 3º PA'!$P$4:$P$2731=K$1),('Diário 3º PA'!$F$4:$F$2731))+SUMPRODUCT(-('Diário 4º PA'!$E$4:$E$2564='Analítico Cx.'!$B60),-('Diário 4º PA'!$P$4:$P$2564=K$1),('Diário 4º PA'!$F$4:$F$2564))</f>
        <v>0</v>
      </c>
      <c r="L60" s="183">
        <f>SUMPRODUCT(-('Diário 1º PA'!$E$4:$E$2635='Analítico Cx.'!$B60),-('Diário 1º PA'!$P$4:$P$2635=L$1),('Diário 1º PA'!$F$4:$F$2635))+SUMPRODUCT(-('Diário 2º PA'!$E$4:$E$3040='Analítico Cx.'!$B60),-('Diário 2º PA'!$P$4:$P$3040=L$1),('Diário 2º PA'!$F$4:$F$3040))+SUMPRODUCT(-('Diário 3º PA'!$E$4:$E$2731='Analítico Cx.'!$B60),-('Diário 3º PA'!$P$4:$P$2731=L$1),('Diário 3º PA'!$F$4:$F$2731))+SUMPRODUCT(-('Diário 4º PA'!$E$4:$E$2564='Analítico Cx.'!$B60),-('Diário 4º PA'!$P$4:$P$2564=L$1),('Diário 4º PA'!$F$4:$F$2564))</f>
        <v>0</v>
      </c>
      <c r="M60" s="183">
        <f>SUMPRODUCT(-('Diário 1º PA'!$E$4:$E$2635='Analítico Cx.'!$B60),-('Diário 1º PA'!$P$4:$P$2635=M$1),('Diário 1º PA'!$F$4:$F$2635))+SUMPRODUCT(-('Diário 2º PA'!$E$4:$E$3040='Analítico Cx.'!$B60),-('Diário 2º PA'!$P$4:$P$3040=M$1),('Diário 2º PA'!$F$4:$F$3040))+SUMPRODUCT(-('Diário 3º PA'!$E$4:$E$2731='Analítico Cx.'!$B60),-('Diário 3º PA'!$P$4:$P$2731=M$1),('Diário 3º PA'!$F$4:$F$2731))+SUMPRODUCT(-('Diário 4º PA'!$E$4:$E$2564='Analítico Cx.'!$B60),-('Diário 4º PA'!$P$4:$P$2564=M$1),('Diário 4º PA'!$F$4:$F$2564))</f>
        <v>0</v>
      </c>
      <c r="N60" s="183">
        <f>SUMPRODUCT(-('Diário 1º PA'!$E$4:$E$2635='Analítico Cx.'!$B60),-('Diário 1º PA'!$P$4:$P$2635=N$1),('Diário 1º PA'!$F$4:$F$2635))+SUMPRODUCT(-('Diário 2º PA'!$E$4:$E$3040='Analítico Cx.'!$B60),-('Diário 2º PA'!$P$4:$P$3040=N$1),('Diário 2º PA'!$F$4:$F$3040))+SUMPRODUCT(-('Diário 3º PA'!$E$4:$E$2731='Analítico Cx.'!$B60),-('Diário 3º PA'!$P$4:$P$2731=N$1),('Diário 3º PA'!$F$4:$F$2731))+SUMPRODUCT(-('Diário 4º PA'!$E$4:$E$2564='Analítico Cx.'!$B60),-('Diário 4º PA'!$P$4:$P$2564=N$1),('Diário 4º PA'!$F$4:$F$2564))</f>
        <v>0</v>
      </c>
      <c r="O60" s="184">
        <f t="shared" ref="O60:O119" si="16">SUM(C60:N60)</f>
        <v>0</v>
      </c>
      <c r="P60" s="167">
        <f t="shared" si="15"/>
        <v>0</v>
      </c>
    </row>
    <row r="61" spans="1:16" ht="23.25" customHeight="1" x14ac:dyDescent="0.2">
      <c r="A61" s="61" t="s">
        <v>18</v>
      </c>
      <c r="B61" s="102" t="s">
        <v>3</v>
      </c>
      <c r="C61" s="183">
        <f>SUMPRODUCT(-('Diário 1º PA'!$E$4:$E$2635='Analítico Cx.'!$B61),-('Diário 1º PA'!$P$4:$P$2635=C$1),('Diário 1º PA'!$F$4:$F$2635))+SUMPRODUCT(-('Diário 2º PA'!$E$4:$E$3040='Analítico Cx.'!$B61),-('Diário 2º PA'!$P$4:$P$3040=C$1),('Diário 2º PA'!$F$4:$F$3040))+SUMPRODUCT(-('Diário 3º PA'!$E$4:$E$2731='Analítico Cx.'!$B61),-('Diário 3º PA'!$P$4:$P$2731=C$1),('Diário 3º PA'!$F$4:$F$2731))+SUMPRODUCT(-('Diário 4º PA'!$E$4:$E$2564='Analítico Cx.'!$B61),-('Diário 4º PA'!$P$4:$P$2564=C$1),('Diário 4º PA'!$F$4:$F$2564))</f>
        <v>0</v>
      </c>
      <c r="D61" s="183">
        <f>SUMPRODUCT(-('Diário 1º PA'!$E$4:$E$2635='Analítico Cx.'!$B61),-('Diário 1º PA'!$P$4:$P$2635=D$1),('Diário 1º PA'!$F$4:$F$2635))+SUMPRODUCT(-('Diário 2º PA'!$E$4:$E$3040='Analítico Cx.'!$B61),-('Diário 2º PA'!$P$4:$P$3040=D$1),('Diário 2º PA'!$F$4:$F$3040))+SUMPRODUCT(-('Diário 3º PA'!$E$4:$E$2731='Analítico Cx.'!$B61),-('Diário 3º PA'!$P$4:$P$2731=D$1),('Diário 3º PA'!$F$4:$F$2731))+SUMPRODUCT(-('Diário 4º PA'!$E$4:$E$2564='Analítico Cx.'!$B61),-('Diário 4º PA'!$P$4:$P$2564=D$1),('Diário 4º PA'!$F$4:$F$2564))</f>
        <v>1257.44</v>
      </c>
      <c r="E61" s="183">
        <f>SUMPRODUCT(-('Diário 1º PA'!$E$4:$E$2635='Analítico Cx.'!$B61),-('Diário 1º PA'!$P$4:$P$2635=E$1),('Diário 1º PA'!$F$4:$F$2635))+SUMPRODUCT(-('Diário 2º PA'!$E$4:$E$3040='Analítico Cx.'!$B61),-('Diário 2º PA'!$P$4:$P$3040=E$1),('Diário 2º PA'!$F$4:$F$3040))+SUMPRODUCT(-('Diário 3º PA'!$E$4:$E$2731='Analítico Cx.'!$B61),-('Diário 3º PA'!$P$4:$P$2731=E$1),('Diário 3º PA'!$F$4:$F$2731))+SUMPRODUCT(-('Diário 4º PA'!$E$4:$E$2564='Analítico Cx.'!$B61),-('Diário 4º PA'!$P$4:$P$2564=E$1),('Diário 4º PA'!$F$4:$F$2564))</f>
        <v>1257.44</v>
      </c>
      <c r="F61" s="183">
        <f>SUMPRODUCT(-('Diário 1º PA'!$E$4:$E$2635='Analítico Cx.'!$B61),-('Diário 1º PA'!$P$4:$P$2635=F$1),('Diário 1º PA'!$F$4:$F$2635))+SUMPRODUCT(-('Diário 2º PA'!$E$4:$E$3040='Analítico Cx.'!$B61),-('Diário 2º PA'!$P$4:$P$3040=F$1),('Diário 2º PA'!$F$4:$F$3040))+SUMPRODUCT(-('Diário 3º PA'!$E$4:$E$2731='Analítico Cx.'!$B61),-('Diário 3º PA'!$P$4:$P$2731=F$1),('Diário 3º PA'!$F$4:$F$2731))+SUMPRODUCT(-('Diário 4º PA'!$E$4:$E$2564='Analítico Cx.'!$B61),-('Diário 4º PA'!$P$4:$P$2564=F$1),('Diário 4º PA'!$F$4:$F$2564))</f>
        <v>1257.44</v>
      </c>
      <c r="G61" s="183">
        <f>SUMPRODUCT(-('Diário 1º PA'!$E$4:$E$2635='Analítico Cx.'!$B61),-('Diário 1º PA'!$P$4:$P$2635=G$1),('Diário 1º PA'!$F$4:$F$2635))+SUMPRODUCT(-('Diário 2º PA'!$E$4:$E$3040='Analítico Cx.'!$B61),-('Diário 2º PA'!$P$4:$P$3040=G$1),('Diário 2º PA'!$F$4:$F$3040))+SUMPRODUCT(-('Diário 3º PA'!$E$4:$E$2731='Analítico Cx.'!$B61),-('Diário 3º PA'!$P$4:$P$2731=G$1),('Diário 3º PA'!$F$4:$F$2731))+SUMPRODUCT(-('Diário 4º PA'!$E$4:$E$2564='Analítico Cx.'!$B61),-('Diário 4º PA'!$P$4:$P$2564=G$1),('Diário 4º PA'!$F$4:$F$2564))</f>
        <v>1257.44</v>
      </c>
      <c r="H61" s="183">
        <f>SUMPRODUCT(-('Diário 1º PA'!$E$4:$E$2635='Analítico Cx.'!$B61),-('Diário 1º PA'!$P$4:$P$2635=H$1),('Diário 1º PA'!$F$4:$F$2635))+SUMPRODUCT(-('Diário 2º PA'!$E$4:$E$3040='Analítico Cx.'!$B61),-('Diário 2º PA'!$P$4:$P$3040=H$1),('Diário 2º PA'!$F$4:$F$3040))+SUMPRODUCT(-('Diário 3º PA'!$E$4:$E$2731='Analítico Cx.'!$B61),-('Diário 3º PA'!$P$4:$P$2731=H$1),('Diário 3º PA'!$F$4:$F$2731))+SUMPRODUCT(-('Diário 4º PA'!$E$4:$E$2564='Analítico Cx.'!$B61),-('Diário 4º PA'!$P$4:$P$2564=H$1),('Diário 4º PA'!$F$4:$F$2564))</f>
        <v>0</v>
      </c>
      <c r="I61" s="183">
        <f>SUMPRODUCT(-('Diário 1º PA'!$E$4:$E$2635='Analítico Cx.'!$B61),-('Diário 1º PA'!$P$4:$P$2635=I$1),('Diário 1º PA'!$F$4:$F$2635))+SUMPRODUCT(-('Diário 2º PA'!$E$4:$E$3040='Analítico Cx.'!$B61),-('Diário 2º PA'!$P$4:$P$3040=I$1),('Diário 2º PA'!$F$4:$F$3040))+SUMPRODUCT(-('Diário 3º PA'!$E$4:$E$2731='Analítico Cx.'!$B61),-('Diário 3º PA'!$P$4:$P$2731=I$1),('Diário 3º PA'!$F$4:$F$2731))+SUMPRODUCT(-('Diário 4º PA'!$E$4:$E$2564='Analítico Cx.'!$B61),-('Diário 4º PA'!$P$4:$P$2564=I$1),('Diário 4º PA'!$F$4:$F$2564))</f>
        <v>1257.44</v>
      </c>
      <c r="J61" s="183">
        <f>SUMPRODUCT(-('Diário 1º PA'!$E$4:$E$2635='Analítico Cx.'!$B61),-('Diário 1º PA'!$P$4:$P$2635=J$1),('Diário 1º PA'!$F$4:$F$2635))+SUMPRODUCT(-('Diário 2º PA'!$E$4:$E$3040='Analítico Cx.'!$B61),-('Diário 2º PA'!$P$4:$P$3040=J$1),('Diário 2º PA'!$F$4:$F$3040))+SUMPRODUCT(-('Diário 3º PA'!$E$4:$E$2731='Analítico Cx.'!$B61),-('Diário 3º PA'!$P$4:$P$2731=J$1),('Diário 3º PA'!$F$4:$F$2731))+SUMPRODUCT(-('Diário 4º PA'!$E$4:$E$2564='Analítico Cx.'!$B61),-('Diário 4º PA'!$P$4:$P$2564=J$1),('Diário 4º PA'!$F$4:$F$2564))</f>
        <v>1257.44</v>
      </c>
      <c r="K61" s="183">
        <f>SUMPRODUCT(-('Diário 1º PA'!$E$4:$E$2635='Analítico Cx.'!$B61),-('Diário 1º PA'!$P$4:$P$2635=K$1),('Diário 1º PA'!$F$4:$F$2635))+SUMPRODUCT(-('Diário 2º PA'!$E$4:$E$3040='Analítico Cx.'!$B61),-('Diário 2º PA'!$P$4:$P$3040=K$1),('Diário 2º PA'!$F$4:$F$3040))+SUMPRODUCT(-('Diário 3º PA'!$E$4:$E$2731='Analítico Cx.'!$B61),-('Diário 3º PA'!$P$4:$P$2731=K$1),('Diário 3º PA'!$F$4:$F$2731))+SUMPRODUCT(-('Diário 4º PA'!$E$4:$E$2564='Analítico Cx.'!$B61),-('Diário 4º PA'!$P$4:$P$2564=K$1),('Diário 4º PA'!$F$4:$F$2564))</f>
        <v>1257.44</v>
      </c>
      <c r="L61" s="183">
        <f>SUMPRODUCT(-('Diário 1º PA'!$E$4:$E$2635='Analítico Cx.'!$B61),-('Diário 1º PA'!$P$4:$P$2635=L$1),('Diário 1º PA'!$F$4:$F$2635))+SUMPRODUCT(-('Diário 2º PA'!$E$4:$E$3040='Analítico Cx.'!$B61),-('Diário 2º PA'!$P$4:$P$3040=L$1),('Diário 2º PA'!$F$4:$F$3040))+SUMPRODUCT(-('Diário 3º PA'!$E$4:$E$2731='Analítico Cx.'!$B61),-('Diário 3º PA'!$P$4:$P$2731=L$1),('Diário 3º PA'!$F$4:$F$2731))+SUMPRODUCT(-('Diário 4º PA'!$E$4:$E$2564='Analítico Cx.'!$B61),-('Diário 4º PA'!$P$4:$P$2564=L$1),('Diário 4º PA'!$F$4:$F$2564))</f>
        <v>1257.44</v>
      </c>
      <c r="M61" s="183">
        <f>SUMPRODUCT(-('Diário 1º PA'!$E$4:$E$2635='Analítico Cx.'!$B61),-('Diário 1º PA'!$P$4:$P$2635=M$1),('Diário 1º PA'!$F$4:$F$2635))+SUMPRODUCT(-('Diário 2º PA'!$E$4:$E$3040='Analítico Cx.'!$B61),-('Diário 2º PA'!$P$4:$P$3040=M$1),('Diário 2º PA'!$F$4:$F$3040))+SUMPRODUCT(-('Diário 3º PA'!$E$4:$E$2731='Analítico Cx.'!$B61),-('Diário 3º PA'!$P$4:$P$2731=M$1),('Diário 3º PA'!$F$4:$F$2731))+SUMPRODUCT(-('Diário 4º PA'!$E$4:$E$2564='Analítico Cx.'!$B61),-('Diário 4º PA'!$P$4:$P$2564=M$1),('Diário 4º PA'!$F$4:$F$2564))</f>
        <v>0</v>
      </c>
      <c r="N61" s="183">
        <f>SUMPRODUCT(-('Diário 1º PA'!$E$4:$E$2635='Analítico Cx.'!$B61),-('Diário 1º PA'!$P$4:$P$2635=N$1),('Diário 1º PA'!$F$4:$F$2635))+SUMPRODUCT(-('Diário 2º PA'!$E$4:$E$3040='Analítico Cx.'!$B61),-('Diário 2º PA'!$P$4:$P$3040=N$1),('Diário 2º PA'!$F$4:$F$3040))+SUMPRODUCT(-('Diário 3º PA'!$E$4:$E$2731='Analítico Cx.'!$B61),-('Diário 3º PA'!$P$4:$P$2731=N$1),('Diário 3º PA'!$F$4:$F$2731))+SUMPRODUCT(-('Diário 4º PA'!$E$4:$E$2564='Analítico Cx.'!$B61),-('Diário 4º PA'!$P$4:$P$2564=N$1),('Diário 4º PA'!$F$4:$F$2564))</f>
        <v>0</v>
      </c>
      <c r="O61" s="184">
        <f t="shared" si="16"/>
        <v>10059.520000000002</v>
      </c>
      <c r="P61" s="167">
        <f t="shared" si="15"/>
        <v>7.9233854362450768E-4</v>
      </c>
    </row>
    <row r="62" spans="1:16" ht="23.25" customHeight="1" x14ac:dyDescent="0.2">
      <c r="A62" s="61" t="s">
        <v>19</v>
      </c>
      <c r="B62" s="102" t="s">
        <v>65</v>
      </c>
      <c r="C62" s="183">
        <f>SUMPRODUCT(-('Diário 1º PA'!$E$4:$E$2635='Analítico Cx.'!$B62),-('Diário 1º PA'!$P$4:$P$2635=C$1),('Diário 1º PA'!$F$4:$F$2635))+SUMPRODUCT(-('Diário 2º PA'!$E$4:$E$3040='Analítico Cx.'!$B62),-('Diário 2º PA'!$P$4:$P$3040=C$1),('Diário 2º PA'!$F$4:$F$3040))+SUMPRODUCT(-('Diário 3º PA'!$E$4:$E$2731='Analítico Cx.'!$B62),-('Diário 3º PA'!$P$4:$P$2731=C$1),('Diário 3º PA'!$F$4:$F$2731))+SUMPRODUCT(-('Diário 4º PA'!$E$4:$E$2564='Analítico Cx.'!$B62),-('Diário 4º PA'!$P$4:$P$2564=C$1),('Diário 4º PA'!$F$4:$F$2564))</f>
        <v>0</v>
      </c>
      <c r="D62" s="183">
        <f>SUMPRODUCT(-('Diário 1º PA'!$E$4:$E$2635='Analítico Cx.'!$B62),-('Diário 1º PA'!$P$4:$P$2635=D$1),('Diário 1º PA'!$F$4:$F$2635))+SUMPRODUCT(-('Diário 2º PA'!$E$4:$E$3040='Analítico Cx.'!$B62),-('Diário 2º PA'!$P$4:$P$3040=D$1),('Diário 2º PA'!$F$4:$F$3040))+SUMPRODUCT(-('Diário 3º PA'!$E$4:$E$2731='Analítico Cx.'!$B62),-('Diário 3º PA'!$P$4:$P$2731=D$1),('Diário 3º PA'!$F$4:$F$2731))+SUMPRODUCT(-('Diário 4º PA'!$E$4:$E$2564='Analítico Cx.'!$B62),-('Diário 4º PA'!$P$4:$P$2564=D$1),('Diário 4º PA'!$F$4:$F$2564))</f>
        <v>0</v>
      </c>
      <c r="E62" s="183">
        <f>SUMPRODUCT(-('Diário 1º PA'!$E$4:$E$2635='Analítico Cx.'!$B62),-('Diário 1º PA'!$P$4:$P$2635=E$1),('Diário 1º PA'!$F$4:$F$2635))+SUMPRODUCT(-('Diário 2º PA'!$E$4:$E$3040='Analítico Cx.'!$B62),-('Diário 2º PA'!$P$4:$P$3040=E$1),('Diário 2º PA'!$F$4:$F$3040))+SUMPRODUCT(-('Diário 3º PA'!$E$4:$E$2731='Analítico Cx.'!$B62),-('Diário 3º PA'!$P$4:$P$2731=E$1),('Diário 3º PA'!$F$4:$F$2731))+SUMPRODUCT(-('Diário 4º PA'!$E$4:$E$2564='Analítico Cx.'!$B62),-('Diário 4º PA'!$P$4:$P$2564=E$1),('Diário 4º PA'!$F$4:$F$2564))</f>
        <v>0</v>
      </c>
      <c r="F62" s="183">
        <f>SUMPRODUCT(-('Diário 1º PA'!$E$4:$E$2635='Analítico Cx.'!$B62),-('Diário 1º PA'!$P$4:$P$2635=F$1),('Diário 1º PA'!$F$4:$F$2635))+SUMPRODUCT(-('Diário 2º PA'!$E$4:$E$3040='Analítico Cx.'!$B62),-('Diário 2º PA'!$P$4:$P$3040=F$1),('Diário 2º PA'!$F$4:$F$3040))+SUMPRODUCT(-('Diário 3º PA'!$E$4:$E$2731='Analítico Cx.'!$B62),-('Diário 3º PA'!$P$4:$P$2731=F$1),('Diário 3º PA'!$F$4:$F$2731))+SUMPRODUCT(-('Diário 4º PA'!$E$4:$E$2564='Analítico Cx.'!$B62),-('Diário 4º PA'!$P$4:$P$2564=F$1),('Diário 4º PA'!$F$4:$F$2564))</f>
        <v>0</v>
      </c>
      <c r="G62" s="183">
        <f>SUMPRODUCT(-('Diário 1º PA'!$E$4:$E$2635='Analítico Cx.'!$B62),-('Diário 1º PA'!$P$4:$P$2635=G$1),('Diário 1º PA'!$F$4:$F$2635))+SUMPRODUCT(-('Diário 2º PA'!$E$4:$E$3040='Analítico Cx.'!$B62),-('Diário 2º PA'!$P$4:$P$3040=G$1),('Diário 2º PA'!$F$4:$F$3040))+SUMPRODUCT(-('Diário 3º PA'!$E$4:$E$2731='Analítico Cx.'!$B62),-('Diário 3º PA'!$P$4:$P$2731=G$1),('Diário 3º PA'!$F$4:$F$2731))+SUMPRODUCT(-('Diário 4º PA'!$E$4:$E$2564='Analítico Cx.'!$B62),-('Diário 4º PA'!$P$4:$P$2564=G$1),('Diário 4º PA'!$F$4:$F$2564))</f>
        <v>0</v>
      </c>
      <c r="H62" s="183">
        <f>SUMPRODUCT(-('Diário 1º PA'!$E$4:$E$2635='Analítico Cx.'!$B62),-('Diário 1º PA'!$P$4:$P$2635=H$1),('Diário 1º PA'!$F$4:$F$2635))+SUMPRODUCT(-('Diário 2º PA'!$E$4:$E$3040='Analítico Cx.'!$B62),-('Diário 2º PA'!$P$4:$P$3040=H$1),('Diário 2º PA'!$F$4:$F$3040))+SUMPRODUCT(-('Diário 3º PA'!$E$4:$E$2731='Analítico Cx.'!$B62),-('Diário 3º PA'!$P$4:$P$2731=H$1),('Diário 3º PA'!$F$4:$F$2731))+SUMPRODUCT(-('Diário 4º PA'!$E$4:$E$2564='Analítico Cx.'!$B62),-('Diário 4º PA'!$P$4:$P$2564=H$1),('Diário 4º PA'!$F$4:$F$2564))</f>
        <v>0</v>
      </c>
      <c r="I62" s="183">
        <f>SUMPRODUCT(-('Diário 1º PA'!$E$4:$E$2635='Analítico Cx.'!$B62),-('Diário 1º PA'!$P$4:$P$2635=I$1),('Diário 1º PA'!$F$4:$F$2635))+SUMPRODUCT(-('Diário 2º PA'!$E$4:$E$3040='Analítico Cx.'!$B62),-('Diário 2º PA'!$P$4:$P$3040=I$1),('Diário 2º PA'!$F$4:$F$3040))+SUMPRODUCT(-('Diário 3º PA'!$E$4:$E$2731='Analítico Cx.'!$B62),-('Diário 3º PA'!$P$4:$P$2731=I$1),('Diário 3º PA'!$F$4:$F$2731))+SUMPRODUCT(-('Diário 4º PA'!$E$4:$E$2564='Analítico Cx.'!$B62),-('Diário 4º PA'!$P$4:$P$2564=I$1),('Diário 4º PA'!$F$4:$F$2564))</f>
        <v>0</v>
      </c>
      <c r="J62" s="183">
        <f>SUMPRODUCT(-('Diário 1º PA'!$E$4:$E$2635='Analítico Cx.'!$B62),-('Diário 1º PA'!$P$4:$P$2635=J$1),('Diário 1º PA'!$F$4:$F$2635))+SUMPRODUCT(-('Diário 2º PA'!$E$4:$E$3040='Analítico Cx.'!$B62),-('Diário 2º PA'!$P$4:$P$3040=J$1),('Diário 2º PA'!$F$4:$F$3040))+SUMPRODUCT(-('Diário 3º PA'!$E$4:$E$2731='Analítico Cx.'!$B62),-('Diário 3º PA'!$P$4:$P$2731=J$1),('Diário 3º PA'!$F$4:$F$2731))+SUMPRODUCT(-('Diário 4º PA'!$E$4:$E$2564='Analítico Cx.'!$B62),-('Diário 4º PA'!$P$4:$P$2564=J$1),('Diário 4º PA'!$F$4:$F$2564))</f>
        <v>0</v>
      </c>
      <c r="K62" s="183">
        <f>SUMPRODUCT(-('Diário 1º PA'!$E$4:$E$2635='Analítico Cx.'!$B62),-('Diário 1º PA'!$P$4:$P$2635=K$1),('Diário 1º PA'!$F$4:$F$2635))+SUMPRODUCT(-('Diário 2º PA'!$E$4:$E$3040='Analítico Cx.'!$B62),-('Diário 2º PA'!$P$4:$P$3040=K$1),('Diário 2º PA'!$F$4:$F$3040))+SUMPRODUCT(-('Diário 3º PA'!$E$4:$E$2731='Analítico Cx.'!$B62),-('Diário 3º PA'!$P$4:$P$2731=K$1),('Diário 3º PA'!$F$4:$F$2731))+SUMPRODUCT(-('Diário 4º PA'!$E$4:$E$2564='Analítico Cx.'!$B62),-('Diário 4º PA'!$P$4:$P$2564=K$1),('Diário 4º PA'!$F$4:$F$2564))</f>
        <v>0</v>
      </c>
      <c r="L62" s="183">
        <f>SUMPRODUCT(-('Diário 1º PA'!$E$4:$E$2635='Analítico Cx.'!$B62),-('Diário 1º PA'!$P$4:$P$2635=L$1),('Diário 1º PA'!$F$4:$F$2635))+SUMPRODUCT(-('Diário 2º PA'!$E$4:$E$3040='Analítico Cx.'!$B62),-('Diário 2º PA'!$P$4:$P$3040=L$1),('Diário 2º PA'!$F$4:$F$3040))+SUMPRODUCT(-('Diário 3º PA'!$E$4:$E$2731='Analítico Cx.'!$B62),-('Diário 3º PA'!$P$4:$P$2731=L$1),('Diário 3º PA'!$F$4:$F$2731))+SUMPRODUCT(-('Diário 4º PA'!$E$4:$E$2564='Analítico Cx.'!$B62),-('Diário 4º PA'!$P$4:$P$2564=L$1),('Diário 4º PA'!$F$4:$F$2564))</f>
        <v>0</v>
      </c>
      <c r="M62" s="183">
        <f>SUMPRODUCT(-('Diário 1º PA'!$E$4:$E$2635='Analítico Cx.'!$B62),-('Diário 1º PA'!$P$4:$P$2635=M$1),('Diário 1º PA'!$F$4:$F$2635))+SUMPRODUCT(-('Diário 2º PA'!$E$4:$E$3040='Analítico Cx.'!$B62),-('Diário 2º PA'!$P$4:$P$3040=M$1),('Diário 2º PA'!$F$4:$F$3040))+SUMPRODUCT(-('Diário 3º PA'!$E$4:$E$2731='Analítico Cx.'!$B62),-('Diário 3º PA'!$P$4:$P$2731=M$1),('Diário 3º PA'!$F$4:$F$2731))+SUMPRODUCT(-('Diário 4º PA'!$E$4:$E$2564='Analítico Cx.'!$B62),-('Diário 4º PA'!$P$4:$P$2564=M$1),('Diário 4º PA'!$F$4:$F$2564))</f>
        <v>0</v>
      </c>
      <c r="N62" s="183">
        <f>SUMPRODUCT(-('Diário 1º PA'!$E$4:$E$2635='Analítico Cx.'!$B62),-('Diário 1º PA'!$P$4:$P$2635=N$1),('Diário 1º PA'!$F$4:$F$2635))+SUMPRODUCT(-('Diário 2º PA'!$E$4:$E$3040='Analítico Cx.'!$B62),-('Diário 2º PA'!$P$4:$P$3040=N$1),('Diário 2º PA'!$F$4:$F$3040))+SUMPRODUCT(-('Diário 3º PA'!$E$4:$E$2731='Analítico Cx.'!$B62),-('Diário 3º PA'!$P$4:$P$2731=N$1),('Diário 3º PA'!$F$4:$F$2731))+SUMPRODUCT(-('Diário 4º PA'!$E$4:$E$2564='Analítico Cx.'!$B62),-('Diário 4º PA'!$P$4:$P$2564=N$1),('Diário 4º PA'!$F$4:$F$2564))</f>
        <v>0</v>
      </c>
      <c r="O62" s="184">
        <f t="shared" si="16"/>
        <v>0</v>
      </c>
      <c r="P62" s="167">
        <f t="shared" si="15"/>
        <v>0</v>
      </c>
    </row>
    <row r="63" spans="1:16" ht="23.25" customHeight="1" x14ac:dyDescent="0.2">
      <c r="A63" s="61" t="s">
        <v>20</v>
      </c>
      <c r="B63" s="102" t="s">
        <v>85</v>
      </c>
      <c r="C63" s="183">
        <f>SUMPRODUCT(-('Diário 1º PA'!$E$4:$E$2635='Analítico Cx.'!$B63),-('Diário 1º PA'!$P$4:$P$2635=C$1),('Diário 1º PA'!$F$4:$F$2635))+SUMPRODUCT(-('Diário 2º PA'!$E$4:$E$3040='Analítico Cx.'!$B63),-('Diário 2º PA'!$P$4:$P$3040=C$1),('Diário 2º PA'!$F$4:$F$3040))+SUMPRODUCT(-('Diário 3º PA'!$E$4:$E$2731='Analítico Cx.'!$B63),-('Diário 3º PA'!$P$4:$P$2731=C$1),('Diário 3º PA'!$F$4:$F$2731))+SUMPRODUCT(-('Diário 4º PA'!$E$4:$E$2564='Analítico Cx.'!$B63),-('Diário 4º PA'!$P$4:$P$2564=C$1),('Diário 4º PA'!$F$4:$F$2564))</f>
        <v>411.30999999999995</v>
      </c>
      <c r="D63" s="183">
        <f>SUMPRODUCT(-('Diário 1º PA'!$E$4:$E$2635='Analítico Cx.'!$B63),-('Diário 1º PA'!$P$4:$P$2635=D$1),('Diário 1º PA'!$F$4:$F$2635))+SUMPRODUCT(-('Diário 2º PA'!$E$4:$E$3040='Analítico Cx.'!$B63),-('Diário 2º PA'!$P$4:$P$3040=D$1),('Diário 2º PA'!$F$4:$F$3040))+SUMPRODUCT(-('Diário 3º PA'!$E$4:$E$2731='Analítico Cx.'!$B63),-('Diário 3º PA'!$P$4:$P$2731=D$1),('Diário 3º PA'!$F$4:$F$2731))+SUMPRODUCT(-('Diário 4º PA'!$E$4:$E$2564='Analítico Cx.'!$B63),-('Diário 4º PA'!$P$4:$P$2564=D$1),('Diário 4º PA'!$F$4:$F$2564))</f>
        <v>318.36</v>
      </c>
      <c r="E63" s="183">
        <f>SUMPRODUCT(-('Diário 1º PA'!$E$4:$E$2635='Analítico Cx.'!$B63),-('Diário 1º PA'!$P$4:$P$2635=E$1),('Diário 1º PA'!$F$4:$F$2635))+SUMPRODUCT(-('Diário 2º PA'!$E$4:$E$3040='Analítico Cx.'!$B63),-('Diário 2º PA'!$P$4:$P$3040=E$1),('Diário 2º PA'!$F$4:$F$3040))+SUMPRODUCT(-('Diário 3º PA'!$E$4:$E$2731='Analítico Cx.'!$B63),-('Diário 3º PA'!$P$4:$P$2731=E$1),('Diário 3º PA'!$F$4:$F$2731))+SUMPRODUCT(-('Diário 4º PA'!$E$4:$E$2564='Analítico Cx.'!$B63),-('Diário 4º PA'!$P$4:$P$2564=E$1),('Diário 4º PA'!$F$4:$F$2564))</f>
        <v>340.08000000000004</v>
      </c>
      <c r="F63" s="183">
        <f>SUMPRODUCT(-('Diário 1º PA'!$E$4:$E$2635='Analítico Cx.'!$B63),-('Diário 1º PA'!$P$4:$P$2635=F$1),('Diário 1º PA'!$F$4:$F$2635))+SUMPRODUCT(-('Diário 2º PA'!$E$4:$E$3040='Analítico Cx.'!$B63),-('Diário 2º PA'!$P$4:$P$3040=F$1),('Diário 2º PA'!$F$4:$F$3040))+SUMPRODUCT(-('Diário 3º PA'!$E$4:$E$2731='Analítico Cx.'!$B63),-('Diário 3º PA'!$P$4:$P$2731=F$1),('Diário 3º PA'!$F$4:$F$2731))+SUMPRODUCT(-('Diário 4º PA'!$E$4:$E$2564='Analítico Cx.'!$B63),-('Diário 4º PA'!$P$4:$P$2564=F$1),('Diário 4º PA'!$F$4:$F$2564))</f>
        <v>552.4799999999999</v>
      </c>
      <c r="G63" s="183">
        <f>SUMPRODUCT(-('Diário 1º PA'!$E$4:$E$2635='Analítico Cx.'!$B63),-('Diário 1º PA'!$P$4:$P$2635=G$1),('Diário 1º PA'!$F$4:$F$2635))+SUMPRODUCT(-('Diário 2º PA'!$E$4:$E$3040='Analítico Cx.'!$B63),-('Diário 2º PA'!$P$4:$P$3040=G$1),('Diário 2º PA'!$F$4:$F$3040))+SUMPRODUCT(-('Diário 3º PA'!$E$4:$E$2731='Analítico Cx.'!$B63),-('Diário 3º PA'!$P$4:$P$2731=G$1),('Diário 3º PA'!$F$4:$F$2731))+SUMPRODUCT(-('Diário 4º PA'!$E$4:$E$2564='Analítico Cx.'!$B63),-('Diário 4º PA'!$P$4:$P$2564=G$1),('Diário 4º PA'!$F$4:$F$2564))</f>
        <v>456.06</v>
      </c>
      <c r="H63" s="183">
        <f>SUMPRODUCT(-('Diário 1º PA'!$E$4:$E$2635='Analítico Cx.'!$B63),-('Diário 1º PA'!$P$4:$P$2635=H$1),('Diário 1º PA'!$F$4:$F$2635))+SUMPRODUCT(-('Diário 2º PA'!$E$4:$E$3040='Analítico Cx.'!$B63),-('Diário 2º PA'!$P$4:$P$3040=H$1),('Diário 2º PA'!$F$4:$F$3040))+SUMPRODUCT(-('Diário 3º PA'!$E$4:$E$2731='Analítico Cx.'!$B63),-('Diário 3º PA'!$P$4:$P$2731=H$1),('Diário 3º PA'!$F$4:$F$2731))+SUMPRODUCT(-('Diário 4º PA'!$E$4:$E$2564='Analítico Cx.'!$B63),-('Diário 4º PA'!$P$4:$P$2564=H$1),('Diário 4º PA'!$F$4:$F$2564))</f>
        <v>89.19</v>
      </c>
      <c r="I63" s="183">
        <f>SUMPRODUCT(-('Diário 1º PA'!$E$4:$E$2635='Analítico Cx.'!$B63),-('Diário 1º PA'!$P$4:$P$2635=I$1),('Diário 1º PA'!$F$4:$F$2635))+SUMPRODUCT(-('Diário 2º PA'!$E$4:$E$3040='Analítico Cx.'!$B63),-('Diário 2º PA'!$P$4:$P$3040=I$1),('Diário 2º PA'!$F$4:$F$3040))+SUMPRODUCT(-('Diário 3º PA'!$E$4:$E$2731='Analítico Cx.'!$B63),-('Diário 3º PA'!$P$4:$P$2731=I$1),('Diário 3º PA'!$F$4:$F$2731))+SUMPRODUCT(-('Diário 4º PA'!$E$4:$E$2564='Analítico Cx.'!$B63),-('Diário 4º PA'!$P$4:$P$2564=I$1),('Diário 4º PA'!$F$4:$F$2564))</f>
        <v>645.41000000000008</v>
      </c>
      <c r="J63" s="183">
        <f>SUMPRODUCT(-('Diário 1º PA'!$E$4:$E$2635='Analítico Cx.'!$B63),-('Diário 1º PA'!$P$4:$P$2635=J$1),('Diário 1º PA'!$F$4:$F$2635))+SUMPRODUCT(-('Diário 2º PA'!$E$4:$E$3040='Analítico Cx.'!$B63),-('Diário 2º PA'!$P$4:$P$3040=J$1),('Diário 2º PA'!$F$4:$F$3040))+SUMPRODUCT(-('Diário 3º PA'!$E$4:$E$2731='Analítico Cx.'!$B63),-('Diário 3º PA'!$P$4:$P$2731=J$1),('Diário 3º PA'!$F$4:$F$2731))+SUMPRODUCT(-('Diário 4º PA'!$E$4:$E$2564='Analítico Cx.'!$B63),-('Diário 4º PA'!$P$4:$P$2564=J$1),('Diário 4º PA'!$F$4:$F$2564))</f>
        <v>374.58000000000004</v>
      </c>
      <c r="K63" s="183">
        <f>SUMPRODUCT(-('Diário 1º PA'!$E$4:$E$2635='Analítico Cx.'!$B63),-('Diário 1º PA'!$P$4:$P$2635=K$1),('Diário 1º PA'!$F$4:$F$2635))+SUMPRODUCT(-('Diário 2º PA'!$E$4:$E$3040='Analítico Cx.'!$B63),-('Diário 2º PA'!$P$4:$P$3040=K$1),('Diário 2º PA'!$F$4:$F$3040))+SUMPRODUCT(-('Diário 3º PA'!$E$4:$E$2731='Analítico Cx.'!$B63),-('Diário 3º PA'!$P$4:$P$2731=K$1),('Diário 3º PA'!$F$4:$F$2731))+SUMPRODUCT(-('Diário 4º PA'!$E$4:$E$2564='Analítico Cx.'!$B63),-('Diário 4º PA'!$P$4:$P$2564=K$1),('Diário 4º PA'!$F$4:$F$2564))</f>
        <v>275.14</v>
      </c>
      <c r="L63" s="183">
        <f>SUMPRODUCT(-('Diário 1º PA'!$E$4:$E$2635='Analítico Cx.'!$B63),-('Diário 1º PA'!$P$4:$P$2635=L$1),('Diário 1º PA'!$F$4:$F$2635))+SUMPRODUCT(-('Diário 2º PA'!$E$4:$E$3040='Analítico Cx.'!$B63),-('Diário 2º PA'!$P$4:$P$3040=L$1),('Diário 2º PA'!$F$4:$F$3040))+SUMPRODUCT(-('Diário 3º PA'!$E$4:$E$2731='Analítico Cx.'!$B63),-('Diário 3º PA'!$P$4:$P$2731=L$1),('Diário 3º PA'!$F$4:$F$2731))+SUMPRODUCT(-('Diário 4º PA'!$E$4:$E$2564='Analítico Cx.'!$B63),-('Diário 4º PA'!$P$4:$P$2564=L$1),('Diário 4º PA'!$F$4:$F$2564))</f>
        <v>283.94</v>
      </c>
      <c r="M63" s="183">
        <f>SUMPRODUCT(-('Diário 1º PA'!$E$4:$E$2635='Analítico Cx.'!$B63),-('Diário 1º PA'!$P$4:$P$2635=M$1),('Diário 1º PA'!$F$4:$F$2635))+SUMPRODUCT(-('Diário 2º PA'!$E$4:$E$3040='Analítico Cx.'!$B63),-('Diário 2º PA'!$P$4:$P$3040=M$1),('Diário 2º PA'!$F$4:$F$3040))+SUMPRODUCT(-('Diário 3º PA'!$E$4:$E$2731='Analítico Cx.'!$B63),-('Diário 3º PA'!$P$4:$P$2731=M$1),('Diário 3º PA'!$F$4:$F$2731))+SUMPRODUCT(-('Diário 4º PA'!$E$4:$E$2564='Analítico Cx.'!$B63),-('Diário 4º PA'!$P$4:$P$2564=M$1),('Diário 4º PA'!$F$4:$F$2564))</f>
        <v>85.13</v>
      </c>
      <c r="N63" s="183">
        <f>SUMPRODUCT(-('Diário 1º PA'!$E$4:$E$2635='Analítico Cx.'!$B63),-('Diário 1º PA'!$P$4:$P$2635=N$1),('Diário 1º PA'!$F$4:$F$2635))+SUMPRODUCT(-('Diário 2º PA'!$E$4:$E$3040='Analítico Cx.'!$B63),-('Diário 2º PA'!$P$4:$P$3040=N$1),('Diário 2º PA'!$F$4:$F$3040))+SUMPRODUCT(-('Diário 3º PA'!$E$4:$E$2731='Analítico Cx.'!$B63),-('Diário 3º PA'!$P$4:$P$2731=N$1),('Diário 3º PA'!$F$4:$F$2731))+SUMPRODUCT(-('Diário 4º PA'!$E$4:$E$2564='Analítico Cx.'!$B63),-('Diário 4º PA'!$P$4:$P$2564=N$1),('Diário 4º PA'!$F$4:$F$2564))</f>
        <v>169.94</v>
      </c>
      <c r="O63" s="184">
        <f t="shared" si="16"/>
        <v>4001.6200000000003</v>
      </c>
      <c r="P63" s="167">
        <f t="shared" si="15"/>
        <v>3.1518777863543209E-4</v>
      </c>
    </row>
    <row r="64" spans="1:16" ht="23.25" customHeight="1" x14ac:dyDescent="0.2">
      <c r="A64" s="61" t="s">
        <v>116</v>
      </c>
      <c r="B64" s="102" t="s">
        <v>84</v>
      </c>
      <c r="C64" s="183">
        <f>SUMPRODUCT(-('Diário 1º PA'!$E$4:$E$2635='Analítico Cx.'!$B64),-('Diário 1º PA'!$P$4:$P$2635=C$1),('Diário 1º PA'!$F$4:$F$2635))+SUMPRODUCT(-('Diário 2º PA'!$E$4:$E$3040='Analítico Cx.'!$B64),-('Diário 2º PA'!$P$4:$P$3040=C$1),('Diário 2º PA'!$F$4:$F$3040))+SUMPRODUCT(-('Diário 3º PA'!$E$4:$E$2731='Analítico Cx.'!$B64),-('Diário 3º PA'!$P$4:$P$2731=C$1),('Diário 3º PA'!$F$4:$F$2731))+SUMPRODUCT(-('Diário 4º PA'!$E$4:$E$2564='Analítico Cx.'!$B64),-('Diário 4º PA'!$P$4:$P$2564=C$1),('Diário 4º PA'!$F$4:$F$2564))</f>
        <v>345.80000000000007</v>
      </c>
      <c r="D64" s="183">
        <f>SUMPRODUCT(-('Diário 1º PA'!$E$4:$E$2635='Analítico Cx.'!$B64),-('Diário 1º PA'!$P$4:$P$2635=D$1),('Diário 1º PA'!$F$4:$F$2635))+SUMPRODUCT(-('Diário 2º PA'!$E$4:$E$3040='Analítico Cx.'!$B64),-('Diário 2º PA'!$P$4:$P$3040=D$1),('Diário 2º PA'!$F$4:$F$3040))+SUMPRODUCT(-('Diário 3º PA'!$E$4:$E$2731='Analítico Cx.'!$B64),-('Diário 3º PA'!$P$4:$P$2731=D$1),('Diário 3º PA'!$F$4:$F$2731))+SUMPRODUCT(-('Diário 4º PA'!$E$4:$E$2564='Analítico Cx.'!$B64),-('Diário 4º PA'!$P$4:$P$2564=D$1),('Diário 4º PA'!$F$4:$F$2564))</f>
        <v>117.42</v>
      </c>
      <c r="E64" s="183">
        <f>SUMPRODUCT(-('Diário 1º PA'!$E$4:$E$2635='Analítico Cx.'!$B64),-('Diário 1º PA'!$P$4:$P$2635=E$1),('Diário 1º PA'!$F$4:$F$2635))+SUMPRODUCT(-('Diário 2º PA'!$E$4:$E$3040='Analítico Cx.'!$B64),-('Diário 2º PA'!$P$4:$P$3040=E$1),('Diário 2º PA'!$F$4:$F$3040))+SUMPRODUCT(-('Diário 3º PA'!$E$4:$E$2731='Analítico Cx.'!$B64),-('Diário 3º PA'!$P$4:$P$2731=E$1),('Diário 3º PA'!$F$4:$F$2731))+SUMPRODUCT(-('Diário 4º PA'!$E$4:$E$2564='Analítico Cx.'!$B64),-('Diário 4º PA'!$P$4:$P$2564=E$1),('Diário 4º PA'!$F$4:$F$2564))</f>
        <v>171.44</v>
      </c>
      <c r="F64" s="183">
        <f>SUMPRODUCT(-('Diário 1º PA'!$E$4:$E$2635='Analítico Cx.'!$B64),-('Diário 1º PA'!$P$4:$P$2635=F$1),('Diário 1º PA'!$F$4:$F$2635))+SUMPRODUCT(-('Diário 2º PA'!$E$4:$E$3040='Analítico Cx.'!$B64),-('Diário 2º PA'!$P$4:$P$3040=F$1),('Diário 2º PA'!$F$4:$F$3040))+SUMPRODUCT(-('Diário 3º PA'!$E$4:$E$2731='Analítico Cx.'!$B64),-('Diário 3º PA'!$P$4:$P$2731=F$1),('Diário 3º PA'!$F$4:$F$2731))+SUMPRODUCT(-('Diário 4º PA'!$E$4:$E$2564='Analítico Cx.'!$B64),-('Diário 4º PA'!$P$4:$P$2564=F$1),('Diário 4º PA'!$F$4:$F$2564))</f>
        <v>83.59</v>
      </c>
      <c r="G64" s="183">
        <f>SUMPRODUCT(-('Diário 1º PA'!$E$4:$E$2635='Analítico Cx.'!$B64),-('Diário 1º PA'!$P$4:$P$2635=G$1),('Diário 1º PA'!$F$4:$F$2635))+SUMPRODUCT(-('Diário 2º PA'!$E$4:$E$3040='Analítico Cx.'!$B64),-('Diário 2º PA'!$P$4:$P$3040=G$1),('Diário 2º PA'!$F$4:$F$3040))+SUMPRODUCT(-('Diário 3º PA'!$E$4:$E$2731='Analítico Cx.'!$B64),-('Diário 3º PA'!$P$4:$P$2731=G$1),('Diário 3º PA'!$F$4:$F$2731))+SUMPRODUCT(-('Diário 4º PA'!$E$4:$E$2564='Analítico Cx.'!$B64),-('Diário 4º PA'!$P$4:$P$2564=G$1),('Diário 4º PA'!$F$4:$F$2564))</f>
        <v>183.64999999999998</v>
      </c>
      <c r="H64" s="183">
        <f>SUMPRODUCT(-('Diário 1º PA'!$E$4:$E$2635='Analítico Cx.'!$B64),-('Diário 1º PA'!$P$4:$P$2635=H$1),('Diário 1º PA'!$F$4:$F$2635))+SUMPRODUCT(-('Diário 2º PA'!$E$4:$E$3040='Analítico Cx.'!$B64),-('Diário 2º PA'!$P$4:$P$3040=H$1),('Diário 2º PA'!$F$4:$F$3040))+SUMPRODUCT(-('Diário 3º PA'!$E$4:$E$2731='Analítico Cx.'!$B64),-('Diário 3º PA'!$P$4:$P$2731=H$1),('Diário 3º PA'!$F$4:$F$2731))+SUMPRODUCT(-('Diário 4º PA'!$E$4:$E$2564='Analítico Cx.'!$B64),-('Diário 4º PA'!$P$4:$P$2564=H$1),('Diário 4º PA'!$F$4:$F$2564))</f>
        <v>146.54</v>
      </c>
      <c r="I64" s="183">
        <f>SUMPRODUCT(-('Diário 1º PA'!$E$4:$E$2635='Analítico Cx.'!$B64),-('Diário 1º PA'!$P$4:$P$2635=I$1),('Diário 1º PA'!$F$4:$F$2635))+SUMPRODUCT(-('Diário 2º PA'!$E$4:$E$3040='Analítico Cx.'!$B64),-('Diário 2º PA'!$P$4:$P$3040=I$1),('Diário 2º PA'!$F$4:$F$3040))+SUMPRODUCT(-('Diário 3º PA'!$E$4:$E$2731='Analítico Cx.'!$B64),-('Diário 3º PA'!$P$4:$P$2731=I$1),('Diário 3º PA'!$F$4:$F$2731))+SUMPRODUCT(-('Diário 4º PA'!$E$4:$E$2564='Analítico Cx.'!$B64),-('Diário 4º PA'!$P$4:$P$2564=I$1),('Diário 4º PA'!$F$4:$F$2564))</f>
        <v>101.02</v>
      </c>
      <c r="J64" s="183">
        <f>SUMPRODUCT(-('Diário 1º PA'!$E$4:$E$2635='Analítico Cx.'!$B64),-('Diário 1º PA'!$P$4:$P$2635=J$1),('Diário 1º PA'!$F$4:$F$2635))+SUMPRODUCT(-('Diário 2º PA'!$E$4:$E$3040='Analítico Cx.'!$B64),-('Diário 2º PA'!$P$4:$P$3040=J$1),('Diário 2º PA'!$F$4:$F$3040))+SUMPRODUCT(-('Diário 3º PA'!$E$4:$E$2731='Analítico Cx.'!$B64),-('Diário 3º PA'!$P$4:$P$2731=J$1),('Diário 3º PA'!$F$4:$F$2731))+SUMPRODUCT(-('Diário 4º PA'!$E$4:$E$2564='Analítico Cx.'!$B64),-('Diário 4º PA'!$P$4:$P$2564=J$1),('Diário 4º PA'!$F$4:$F$2564))</f>
        <v>109.72</v>
      </c>
      <c r="K64" s="183">
        <f>SUMPRODUCT(-('Diário 1º PA'!$E$4:$E$2635='Analítico Cx.'!$B64),-('Diário 1º PA'!$P$4:$P$2635=K$1),('Diário 1º PA'!$F$4:$F$2635))+SUMPRODUCT(-('Diário 2º PA'!$E$4:$E$3040='Analítico Cx.'!$B64),-('Diário 2º PA'!$P$4:$P$3040=K$1),('Diário 2º PA'!$F$4:$F$3040))+SUMPRODUCT(-('Diário 3º PA'!$E$4:$E$2731='Analítico Cx.'!$B64),-('Diário 3º PA'!$P$4:$P$2731=K$1),('Diário 3º PA'!$F$4:$F$2731))+SUMPRODUCT(-('Diário 4º PA'!$E$4:$E$2564='Analítico Cx.'!$B64),-('Diário 4º PA'!$P$4:$P$2564=K$1),('Diário 4º PA'!$F$4:$F$2564))</f>
        <v>107.82</v>
      </c>
      <c r="L64" s="183">
        <f>SUMPRODUCT(-('Diário 1º PA'!$E$4:$E$2635='Analítico Cx.'!$B64),-('Diário 1º PA'!$P$4:$P$2635=L$1),('Diário 1º PA'!$F$4:$F$2635))+SUMPRODUCT(-('Diário 2º PA'!$E$4:$E$3040='Analítico Cx.'!$B64),-('Diário 2º PA'!$P$4:$P$3040=L$1),('Diário 2º PA'!$F$4:$F$3040))+SUMPRODUCT(-('Diário 3º PA'!$E$4:$E$2731='Analítico Cx.'!$B64),-('Diário 3º PA'!$P$4:$P$2731=L$1),('Diário 3º PA'!$F$4:$F$2731))+SUMPRODUCT(-('Diário 4º PA'!$E$4:$E$2564='Analítico Cx.'!$B64),-('Diário 4º PA'!$P$4:$P$2564=L$1),('Diário 4º PA'!$F$4:$F$2564))</f>
        <v>69.509999999999991</v>
      </c>
      <c r="M64" s="183">
        <f>SUMPRODUCT(-('Diário 1º PA'!$E$4:$E$2635='Analítico Cx.'!$B64),-('Diário 1º PA'!$P$4:$P$2635=M$1),('Diário 1º PA'!$F$4:$F$2635))+SUMPRODUCT(-('Diário 2º PA'!$E$4:$E$3040='Analítico Cx.'!$B64),-('Diário 2º PA'!$P$4:$P$3040=M$1),('Diário 2º PA'!$F$4:$F$3040))+SUMPRODUCT(-('Diário 3º PA'!$E$4:$E$2731='Analítico Cx.'!$B64),-('Diário 3º PA'!$P$4:$P$2731=M$1),('Diário 3º PA'!$F$4:$F$2731))+SUMPRODUCT(-('Diário 4º PA'!$E$4:$E$2564='Analítico Cx.'!$B64),-('Diário 4º PA'!$P$4:$P$2564=M$1),('Diário 4º PA'!$F$4:$F$2564))</f>
        <v>249.39000000000001</v>
      </c>
      <c r="N64" s="183">
        <f>SUMPRODUCT(-('Diário 1º PA'!$E$4:$E$2635='Analítico Cx.'!$B64),-('Diário 1º PA'!$P$4:$P$2635=N$1),('Diário 1º PA'!$F$4:$F$2635))+SUMPRODUCT(-('Diário 2º PA'!$E$4:$E$3040='Analítico Cx.'!$B64),-('Diário 2º PA'!$P$4:$P$3040=N$1),('Diário 2º PA'!$F$4:$F$3040))+SUMPRODUCT(-('Diário 3º PA'!$E$4:$E$2731='Analítico Cx.'!$B64),-('Diário 3º PA'!$P$4:$P$2731=N$1),('Diário 3º PA'!$F$4:$F$2731))+SUMPRODUCT(-('Diário 4º PA'!$E$4:$E$2564='Analítico Cx.'!$B64),-('Diário 4º PA'!$P$4:$P$2564=N$1),('Diário 4º PA'!$F$4:$F$2564))</f>
        <v>0</v>
      </c>
      <c r="O64" s="184">
        <f t="shared" si="16"/>
        <v>1685.9</v>
      </c>
      <c r="P64" s="167">
        <f t="shared" si="15"/>
        <v>1.3278998905480154E-4</v>
      </c>
    </row>
    <row r="65" spans="1:16" ht="23.25" customHeight="1" x14ac:dyDescent="0.2">
      <c r="A65" s="61" t="s">
        <v>117</v>
      </c>
      <c r="B65" s="102" t="s">
        <v>163</v>
      </c>
      <c r="C65" s="183">
        <f>SUMPRODUCT(-('Diário 1º PA'!$E$4:$E$2635='Analítico Cx.'!$B65),-('Diário 1º PA'!$P$4:$P$2635=C$1),('Diário 1º PA'!$F$4:$F$2635))+SUMPRODUCT(-('Diário 2º PA'!$E$4:$E$3040='Analítico Cx.'!$B65),-('Diário 2º PA'!$P$4:$P$3040=C$1),('Diário 2º PA'!$F$4:$F$3040))+SUMPRODUCT(-('Diário 3º PA'!$E$4:$E$2731='Analítico Cx.'!$B65),-('Diário 3º PA'!$P$4:$P$2731=C$1),('Diário 3º PA'!$F$4:$F$2731))+SUMPRODUCT(-('Diário 4º PA'!$E$4:$E$2564='Analítico Cx.'!$B65),-('Diário 4º PA'!$P$4:$P$2564=C$1),('Diário 4º PA'!$F$4:$F$2564))</f>
        <v>189.34000000000003</v>
      </c>
      <c r="D65" s="183">
        <f>SUMPRODUCT(-('Diário 1º PA'!$E$4:$E$2635='Analítico Cx.'!$B65),-('Diário 1º PA'!$P$4:$P$2635=D$1),('Diário 1º PA'!$F$4:$F$2635))+SUMPRODUCT(-('Diário 2º PA'!$E$4:$E$3040='Analítico Cx.'!$B65),-('Diário 2º PA'!$P$4:$P$3040=D$1),('Diário 2º PA'!$F$4:$F$3040))+SUMPRODUCT(-('Diário 3º PA'!$E$4:$E$2731='Analítico Cx.'!$B65),-('Diário 3º PA'!$P$4:$P$2731=D$1),('Diário 3º PA'!$F$4:$F$2731))+SUMPRODUCT(-('Diário 4º PA'!$E$4:$E$2564='Analítico Cx.'!$B65),-('Diário 4º PA'!$P$4:$P$2564=D$1),('Diário 4º PA'!$F$4:$F$2564))</f>
        <v>210.43</v>
      </c>
      <c r="E65" s="183">
        <f>SUMPRODUCT(-('Diário 1º PA'!$E$4:$E$2635='Analítico Cx.'!$B65),-('Diário 1º PA'!$P$4:$P$2635=E$1),('Diário 1º PA'!$F$4:$F$2635))+SUMPRODUCT(-('Diário 2º PA'!$E$4:$E$3040='Analítico Cx.'!$B65),-('Diário 2º PA'!$P$4:$P$3040=E$1),('Diário 2º PA'!$F$4:$F$3040))+SUMPRODUCT(-('Diário 3º PA'!$E$4:$E$2731='Analítico Cx.'!$B65),-('Diário 3º PA'!$P$4:$P$2731=E$1),('Diário 3º PA'!$F$4:$F$2731))+SUMPRODUCT(-('Diário 4º PA'!$E$4:$E$2564='Analítico Cx.'!$B65),-('Diário 4º PA'!$P$4:$P$2564=E$1),('Diário 4º PA'!$F$4:$F$2564))</f>
        <v>210.43</v>
      </c>
      <c r="F65" s="183">
        <f>SUMPRODUCT(-('Diário 1º PA'!$E$4:$E$2635='Analítico Cx.'!$B65),-('Diário 1º PA'!$P$4:$P$2635=F$1),('Diário 1º PA'!$F$4:$F$2635))+SUMPRODUCT(-('Diário 2º PA'!$E$4:$E$3040='Analítico Cx.'!$B65),-('Diário 2º PA'!$P$4:$P$3040=F$1),('Diário 2º PA'!$F$4:$F$3040))+SUMPRODUCT(-('Diário 3º PA'!$E$4:$E$2731='Analítico Cx.'!$B65),-('Diário 3º PA'!$P$4:$P$2731=F$1),('Diário 3º PA'!$F$4:$F$2731))+SUMPRODUCT(-('Diário 4º PA'!$E$4:$E$2564='Analítico Cx.'!$B65),-('Diário 4º PA'!$P$4:$P$2564=F$1),('Diário 4º PA'!$F$4:$F$2564))</f>
        <v>212.66000000000003</v>
      </c>
      <c r="G65" s="183">
        <f>SUMPRODUCT(-('Diário 1º PA'!$E$4:$E$2635='Analítico Cx.'!$B65),-('Diário 1º PA'!$P$4:$P$2635=G$1),('Diário 1º PA'!$F$4:$F$2635))+SUMPRODUCT(-('Diário 2º PA'!$E$4:$E$3040='Analítico Cx.'!$B65),-('Diário 2º PA'!$P$4:$P$3040=G$1),('Diário 2º PA'!$F$4:$F$3040))+SUMPRODUCT(-('Diário 3º PA'!$E$4:$E$2731='Analítico Cx.'!$B65),-('Diário 3º PA'!$P$4:$P$2731=G$1),('Diário 3º PA'!$F$4:$F$2731))+SUMPRODUCT(-('Diário 4º PA'!$E$4:$E$2564='Analítico Cx.'!$B65),-('Diário 4º PA'!$P$4:$P$2564=G$1),('Diário 4º PA'!$F$4:$F$2564))</f>
        <v>210.43</v>
      </c>
      <c r="H65" s="183">
        <f>SUMPRODUCT(-('Diário 1º PA'!$E$4:$E$2635='Analítico Cx.'!$B65),-('Diário 1º PA'!$P$4:$P$2635=H$1),('Diário 1º PA'!$F$4:$F$2635))+SUMPRODUCT(-('Diário 2º PA'!$E$4:$E$3040='Analítico Cx.'!$B65),-('Diário 2º PA'!$P$4:$P$3040=H$1),('Diário 2º PA'!$F$4:$F$3040))+SUMPRODUCT(-('Diário 3º PA'!$E$4:$E$2731='Analítico Cx.'!$B65),-('Diário 3º PA'!$P$4:$P$2731=H$1),('Diário 3º PA'!$F$4:$F$2731))+SUMPRODUCT(-('Diário 4º PA'!$E$4:$E$2564='Analítico Cx.'!$B65),-('Diário 4º PA'!$P$4:$P$2564=H$1),('Diário 4º PA'!$F$4:$F$2564))</f>
        <v>0</v>
      </c>
      <c r="I65" s="183">
        <f>SUMPRODUCT(-('Diário 1º PA'!$E$4:$E$2635='Analítico Cx.'!$B65),-('Diário 1º PA'!$P$4:$P$2635=I$1),('Diário 1º PA'!$F$4:$F$2635))+SUMPRODUCT(-('Diário 2º PA'!$E$4:$E$3040='Analítico Cx.'!$B65),-('Diário 2º PA'!$P$4:$P$3040=I$1),('Diário 2º PA'!$F$4:$F$3040))+SUMPRODUCT(-('Diário 3º PA'!$E$4:$E$2731='Analítico Cx.'!$B65),-('Diário 3º PA'!$P$4:$P$2731=I$1),('Diário 3º PA'!$F$4:$F$2731))+SUMPRODUCT(-('Diário 4º PA'!$E$4:$E$2564='Analítico Cx.'!$B65),-('Diário 4º PA'!$P$4:$P$2564=I$1),('Diário 4º PA'!$F$4:$F$2564))</f>
        <v>212.76</v>
      </c>
      <c r="J65" s="183">
        <f>SUMPRODUCT(-('Diário 1º PA'!$E$4:$E$2635='Analítico Cx.'!$B65),-('Diário 1º PA'!$P$4:$P$2635=J$1),('Diário 1º PA'!$F$4:$F$2635))+SUMPRODUCT(-('Diário 2º PA'!$E$4:$E$3040='Analítico Cx.'!$B65),-('Diário 2º PA'!$P$4:$P$3040=J$1),('Diário 2º PA'!$F$4:$F$3040))+SUMPRODUCT(-('Diário 3º PA'!$E$4:$E$2731='Analítico Cx.'!$B65),-('Diário 3º PA'!$P$4:$P$2731=J$1),('Diário 3º PA'!$F$4:$F$2731))+SUMPRODUCT(-('Diário 4º PA'!$E$4:$E$2564='Analítico Cx.'!$B65),-('Diário 4º PA'!$P$4:$P$2564=J$1),('Diário 4º PA'!$F$4:$F$2564))</f>
        <v>175.36</v>
      </c>
      <c r="K65" s="183">
        <f>SUMPRODUCT(-('Diário 1º PA'!$E$4:$E$2635='Analítico Cx.'!$B65),-('Diário 1º PA'!$P$4:$P$2635=K$1),('Diário 1º PA'!$F$4:$F$2635))+SUMPRODUCT(-('Diário 2º PA'!$E$4:$E$3040='Analítico Cx.'!$B65),-('Diário 2º PA'!$P$4:$P$3040=K$1),('Diário 2º PA'!$F$4:$F$3040))+SUMPRODUCT(-('Diário 3º PA'!$E$4:$E$2731='Analítico Cx.'!$B65),-('Diário 3º PA'!$P$4:$P$2731=K$1),('Diário 3º PA'!$F$4:$F$2731))+SUMPRODUCT(-('Diário 4º PA'!$E$4:$E$2564='Analítico Cx.'!$B65),-('Diário 4º PA'!$P$4:$P$2564=K$1),('Diário 4º PA'!$F$4:$F$2564))</f>
        <v>169.25</v>
      </c>
      <c r="L65" s="183">
        <f>SUMPRODUCT(-('Diário 1º PA'!$E$4:$E$2635='Analítico Cx.'!$B65),-('Diário 1º PA'!$P$4:$P$2635=L$1),('Diário 1º PA'!$F$4:$F$2635))+SUMPRODUCT(-('Diário 2º PA'!$E$4:$E$3040='Analítico Cx.'!$B65),-('Diário 2º PA'!$P$4:$P$3040=L$1),('Diário 2º PA'!$F$4:$F$3040))+SUMPRODUCT(-('Diário 3º PA'!$E$4:$E$2731='Analítico Cx.'!$B65),-('Diário 3º PA'!$P$4:$P$2731=L$1),('Diário 3º PA'!$F$4:$F$2731))+SUMPRODUCT(-('Diário 4º PA'!$E$4:$E$2564='Analítico Cx.'!$B65),-('Diário 4º PA'!$P$4:$P$2564=L$1),('Diário 4º PA'!$F$4:$F$2564))</f>
        <v>164.5</v>
      </c>
      <c r="M65" s="183">
        <f>SUMPRODUCT(-('Diário 1º PA'!$E$4:$E$2635='Analítico Cx.'!$B65),-('Diário 1º PA'!$P$4:$P$2635=M$1),('Diário 1º PA'!$F$4:$F$2635))+SUMPRODUCT(-('Diário 2º PA'!$E$4:$E$3040='Analítico Cx.'!$B65),-('Diário 2º PA'!$P$4:$P$3040=M$1),('Diário 2º PA'!$F$4:$F$3040))+SUMPRODUCT(-('Diário 3º PA'!$E$4:$E$2731='Analítico Cx.'!$B65),-('Diário 3º PA'!$P$4:$P$2731=M$1),('Diário 3º PA'!$F$4:$F$2731))+SUMPRODUCT(-('Diário 4º PA'!$E$4:$E$2564='Analítico Cx.'!$B65),-('Diário 4º PA'!$P$4:$P$2564=M$1),('Diário 4º PA'!$F$4:$F$2564))</f>
        <v>160.66</v>
      </c>
      <c r="N65" s="183">
        <f>SUMPRODUCT(-('Diário 1º PA'!$E$4:$E$2635='Analítico Cx.'!$B65),-('Diário 1º PA'!$P$4:$P$2635=N$1),('Diário 1º PA'!$F$4:$F$2635))+SUMPRODUCT(-('Diário 2º PA'!$E$4:$E$3040='Analítico Cx.'!$B65),-('Diário 2º PA'!$P$4:$P$3040=N$1),('Diário 2º PA'!$F$4:$F$3040))+SUMPRODUCT(-('Diário 3º PA'!$E$4:$E$2731='Analítico Cx.'!$B65),-('Diário 3º PA'!$P$4:$P$2731=N$1),('Diário 3º PA'!$F$4:$F$2731))+SUMPRODUCT(-('Diário 4º PA'!$E$4:$E$2564='Analítico Cx.'!$B65),-('Diário 4º PA'!$P$4:$P$2564=N$1),('Diário 4º PA'!$F$4:$F$2564))</f>
        <v>149.24</v>
      </c>
      <c r="O65" s="184">
        <f t="shared" si="16"/>
        <v>2065.0600000000004</v>
      </c>
      <c r="P65" s="167">
        <f t="shared" si="15"/>
        <v>1.6265454344712528E-4</v>
      </c>
    </row>
    <row r="66" spans="1:16" ht="23.25" customHeight="1" x14ac:dyDescent="0.2">
      <c r="A66" s="61" t="s">
        <v>118</v>
      </c>
      <c r="B66" s="102" t="s">
        <v>164</v>
      </c>
      <c r="C66" s="183">
        <f>SUMPRODUCT(-('Diário 1º PA'!$E$4:$E$2635='Analítico Cx.'!$B66),-('Diário 1º PA'!$P$4:$P$2635=C$1),('Diário 1º PA'!$F$4:$F$2635))+SUMPRODUCT(-('Diário 2º PA'!$E$4:$E$3040='Analítico Cx.'!$B66),-('Diário 2º PA'!$P$4:$P$3040=C$1),('Diário 2º PA'!$F$4:$F$3040))+SUMPRODUCT(-('Diário 3º PA'!$E$4:$E$2731='Analítico Cx.'!$B66),-('Diário 3º PA'!$P$4:$P$2731=C$1),('Diário 3º PA'!$F$4:$F$2731))+SUMPRODUCT(-('Diário 4º PA'!$E$4:$E$2564='Analítico Cx.'!$B66),-('Diário 4º PA'!$P$4:$P$2564=C$1),('Diário 4º PA'!$F$4:$F$2564))</f>
        <v>1060.3499999999999</v>
      </c>
      <c r="D66" s="183">
        <f>SUMPRODUCT(-('Diário 1º PA'!$E$4:$E$2635='Analítico Cx.'!$B66),-('Diário 1º PA'!$P$4:$P$2635=D$1),('Diário 1º PA'!$F$4:$F$2635))+SUMPRODUCT(-('Diário 2º PA'!$E$4:$E$3040='Analítico Cx.'!$B66),-('Diário 2º PA'!$P$4:$P$3040=D$1),('Diário 2º PA'!$F$4:$F$3040))+SUMPRODUCT(-('Diário 3º PA'!$E$4:$E$2731='Analítico Cx.'!$B66),-('Diário 3º PA'!$P$4:$P$2731=D$1),('Diário 3º PA'!$F$4:$F$2731))+SUMPRODUCT(-('Diário 4º PA'!$E$4:$E$2564='Analítico Cx.'!$B66),-('Diário 4º PA'!$P$4:$P$2564=D$1),('Diário 4º PA'!$F$4:$F$2564))</f>
        <v>490.76</v>
      </c>
      <c r="E66" s="183">
        <f>SUMPRODUCT(-('Diário 1º PA'!$E$4:$E$2635='Analítico Cx.'!$B66),-('Diário 1º PA'!$P$4:$P$2635=E$1),('Diário 1º PA'!$F$4:$F$2635))+SUMPRODUCT(-('Diário 2º PA'!$E$4:$E$3040='Analítico Cx.'!$B66),-('Diário 2º PA'!$P$4:$P$3040=E$1),('Diário 2º PA'!$F$4:$F$3040))+SUMPRODUCT(-('Diário 3º PA'!$E$4:$E$2731='Analítico Cx.'!$B66),-('Diário 3º PA'!$P$4:$P$2731=E$1),('Diário 3º PA'!$F$4:$F$2731))+SUMPRODUCT(-('Diário 4º PA'!$E$4:$E$2564='Analítico Cx.'!$B66),-('Diário 4º PA'!$P$4:$P$2564=E$1),('Diário 4º PA'!$F$4:$F$2564))</f>
        <v>1603.9599999999998</v>
      </c>
      <c r="F66" s="183">
        <f>SUMPRODUCT(-('Diário 1º PA'!$E$4:$E$2635='Analítico Cx.'!$B66),-('Diário 1º PA'!$P$4:$P$2635=F$1),('Diário 1º PA'!$F$4:$F$2635))+SUMPRODUCT(-('Diário 2º PA'!$E$4:$E$3040='Analítico Cx.'!$B66),-('Diário 2º PA'!$P$4:$P$3040=F$1),('Diário 2º PA'!$F$4:$F$3040))+SUMPRODUCT(-('Diário 3º PA'!$E$4:$E$2731='Analítico Cx.'!$B66),-('Diário 3º PA'!$P$4:$P$2731=F$1),('Diário 3º PA'!$F$4:$F$2731))+SUMPRODUCT(-('Diário 4º PA'!$E$4:$E$2564='Analítico Cx.'!$B66),-('Diário 4º PA'!$P$4:$P$2564=F$1),('Diário 4º PA'!$F$4:$F$2564))</f>
        <v>977.91</v>
      </c>
      <c r="G66" s="183">
        <f>SUMPRODUCT(-('Diário 1º PA'!$E$4:$E$2635='Analítico Cx.'!$B66),-('Diário 1º PA'!$P$4:$P$2635=G$1),('Diário 1º PA'!$F$4:$F$2635))+SUMPRODUCT(-('Diário 2º PA'!$E$4:$E$3040='Analítico Cx.'!$B66),-('Diário 2º PA'!$P$4:$P$3040=G$1),('Diário 2º PA'!$F$4:$F$3040))+SUMPRODUCT(-('Diário 3º PA'!$E$4:$E$2731='Analítico Cx.'!$B66),-('Diário 3º PA'!$P$4:$P$2731=G$1),('Diário 3º PA'!$F$4:$F$2731))+SUMPRODUCT(-('Diário 4º PA'!$E$4:$E$2564='Analítico Cx.'!$B66),-('Diário 4º PA'!$P$4:$P$2564=G$1),('Diário 4º PA'!$F$4:$F$2564))</f>
        <v>974.83</v>
      </c>
      <c r="H66" s="183">
        <f>SUMPRODUCT(-('Diário 1º PA'!$E$4:$E$2635='Analítico Cx.'!$B66),-('Diário 1º PA'!$P$4:$P$2635=H$1),('Diário 1º PA'!$F$4:$F$2635))+SUMPRODUCT(-('Diário 2º PA'!$E$4:$E$3040='Analítico Cx.'!$B66),-('Diário 2º PA'!$P$4:$P$3040=H$1),('Diário 2º PA'!$F$4:$F$3040))+SUMPRODUCT(-('Diário 3º PA'!$E$4:$E$2731='Analítico Cx.'!$B66),-('Diário 3º PA'!$P$4:$P$2731=H$1),('Diário 3º PA'!$F$4:$F$2731))+SUMPRODUCT(-('Diário 4º PA'!$E$4:$E$2564='Analítico Cx.'!$B66),-('Diário 4º PA'!$P$4:$P$2564=H$1),('Diário 4º PA'!$F$4:$F$2564))</f>
        <v>0</v>
      </c>
      <c r="I66" s="183">
        <f>SUMPRODUCT(-('Diário 1º PA'!$E$4:$E$2635='Analítico Cx.'!$B66),-('Diário 1º PA'!$P$4:$P$2635=I$1),('Diário 1º PA'!$F$4:$F$2635))+SUMPRODUCT(-('Diário 2º PA'!$E$4:$E$3040='Analítico Cx.'!$B66),-('Diário 2º PA'!$P$4:$P$3040=I$1),('Diário 2º PA'!$F$4:$F$3040))+SUMPRODUCT(-('Diário 3º PA'!$E$4:$E$2731='Analítico Cx.'!$B66),-('Diário 3º PA'!$P$4:$P$2731=I$1),('Diário 3º PA'!$F$4:$F$2731))+SUMPRODUCT(-('Diário 4º PA'!$E$4:$E$2564='Analítico Cx.'!$B66),-('Diário 4º PA'!$P$4:$P$2564=I$1),('Diário 4º PA'!$F$4:$F$2564))</f>
        <v>1142.98</v>
      </c>
      <c r="J66" s="183">
        <f>SUMPRODUCT(-('Diário 1º PA'!$E$4:$E$2635='Analítico Cx.'!$B66),-('Diário 1º PA'!$P$4:$P$2635=J$1),('Diário 1º PA'!$F$4:$F$2635))+SUMPRODUCT(-('Diário 2º PA'!$E$4:$E$3040='Analítico Cx.'!$B66),-('Diário 2º PA'!$P$4:$P$3040=J$1),('Diário 2º PA'!$F$4:$F$3040))+SUMPRODUCT(-('Diário 3º PA'!$E$4:$E$2731='Analítico Cx.'!$B66),-('Diário 3º PA'!$P$4:$P$2731=J$1),('Diário 3º PA'!$F$4:$F$2731))+SUMPRODUCT(-('Diário 4º PA'!$E$4:$E$2564='Analítico Cx.'!$B66),-('Diário 4º PA'!$P$4:$P$2564=J$1),('Diário 4º PA'!$F$4:$F$2564))</f>
        <v>1025.56</v>
      </c>
      <c r="K66" s="183">
        <f>SUMPRODUCT(-('Diário 1º PA'!$E$4:$E$2635='Analítico Cx.'!$B66),-('Diário 1º PA'!$P$4:$P$2635=K$1),('Diário 1º PA'!$F$4:$F$2635))+SUMPRODUCT(-('Diário 2º PA'!$E$4:$E$3040='Analítico Cx.'!$B66),-('Diário 2º PA'!$P$4:$P$3040=K$1),('Diário 2º PA'!$F$4:$F$3040))+SUMPRODUCT(-('Diário 3º PA'!$E$4:$E$2731='Analítico Cx.'!$B66),-('Diário 3º PA'!$P$4:$P$2731=K$1),('Diário 3º PA'!$F$4:$F$2731))+SUMPRODUCT(-('Diário 4º PA'!$E$4:$E$2564='Analítico Cx.'!$B66),-('Diário 4º PA'!$P$4:$P$2564=K$1),('Diário 4º PA'!$F$4:$F$2564))</f>
        <v>966.41</v>
      </c>
      <c r="L66" s="183">
        <f>SUMPRODUCT(-('Diário 1º PA'!$E$4:$E$2635='Analítico Cx.'!$B66),-('Diário 1º PA'!$P$4:$P$2635=L$1),('Diário 1º PA'!$F$4:$F$2635))+SUMPRODUCT(-('Diário 2º PA'!$E$4:$E$3040='Analítico Cx.'!$B66),-('Diário 2º PA'!$P$4:$P$3040=L$1),('Diário 2º PA'!$F$4:$F$3040))+SUMPRODUCT(-('Diário 3º PA'!$E$4:$E$2731='Analítico Cx.'!$B66),-('Diário 3º PA'!$P$4:$P$2731=L$1),('Diário 3º PA'!$F$4:$F$2731))+SUMPRODUCT(-('Diário 4º PA'!$E$4:$E$2564='Analítico Cx.'!$B66),-('Diário 4º PA'!$P$4:$P$2564=L$1),('Diário 4º PA'!$F$4:$F$2564))</f>
        <v>945.24</v>
      </c>
      <c r="M66" s="183">
        <f>SUMPRODUCT(-('Diário 1º PA'!$E$4:$E$2635='Analítico Cx.'!$B66),-('Diário 1º PA'!$P$4:$P$2635=M$1),('Diário 1º PA'!$F$4:$F$2635))+SUMPRODUCT(-('Diário 2º PA'!$E$4:$E$3040='Analítico Cx.'!$B66),-('Diário 2º PA'!$P$4:$P$3040=M$1),('Diário 2º PA'!$F$4:$F$3040))+SUMPRODUCT(-('Diário 3º PA'!$E$4:$E$2731='Analítico Cx.'!$B66),-('Diário 3º PA'!$P$4:$P$2731=M$1),('Diário 3º PA'!$F$4:$F$2731))+SUMPRODUCT(-('Diário 4º PA'!$E$4:$E$2564='Analítico Cx.'!$B66),-('Diário 4º PA'!$P$4:$P$2564=M$1),('Diário 4º PA'!$F$4:$F$2564))</f>
        <v>944.82999999999993</v>
      </c>
      <c r="N66" s="183">
        <f>SUMPRODUCT(-('Diário 1º PA'!$E$4:$E$2635='Analítico Cx.'!$B66),-('Diário 1º PA'!$P$4:$P$2635=N$1),('Diário 1º PA'!$F$4:$F$2635))+SUMPRODUCT(-('Diário 2º PA'!$E$4:$E$3040='Analítico Cx.'!$B66),-('Diário 2º PA'!$P$4:$P$3040=N$1),('Diário 2º PA'!$F$4:$F$3040))+SUMPRODUCT(-('Diário 3º PA'!$E$4:$E$2731='Analítico Cx.'!$B66),-('Diário 3º PA'!$P$4:$P$2731=N$1),('Diário 3º PA'!$F$4:$F$2731))+SUMPRODUCT(-('Diário 4º PA'!$E$4:$E$2564='Analítico Cx.'!$B66),-('Diário 4º PA'!$P$4:$P$2564=N$1),('Diário 4º PA'!$F$4:$F$2564))</f>
        <v>1152.3499999999999</v>
      </c>
      <c r="O66" s="184">
        <f t="shared" si="16"/>
        <v>11285.179999999998</v>
      </c>
      <c r="P66" s="167">
        <f t="shared" si="15"/>
        <v>8.8887770845332763E-4</v>
      </c>
    </row>
    <row r="67" spans="1:16" ht="23.25" customHeight="1" x14ac:dyDescent="0.2">
      <c r="A67" s="61" t="s">
        <v>119</v>
      </c>
      <c r="B67" s="102" t="s">
        <v>183</v>
      </c>
      <c r="C67" s="183">
        <f>SUMPRODUCT(-('Diário 1º PA'!$E$4:$E$2635='Analítico Cx.'!$B67),-('Diário 1º PA'!$P$4:$P$2635=C$1),('Diário 1º PA'!$F$4:$F$2635))+SUMPRODUCT(-('Diário 2º PA'!$E$4:$E$3040='Analítico Cx.'!$B67),-('Diário 2º PA'!$P$4:$P$3040=C$1),('Diário 2º PA'!$F$4:$F$3040))+SUMPRODUCT(-('Diário 3º PA'!$E$4:$E$2731='Analítico Cx.'!$B67),-('Diário 3º PA'!$P$4:$P$2731=C$1),('Diário 3º PA'!$F$4:$F$2731))+SUMPRODUCT(-('Diário 4º PA'!$E$4:$E$2564='Analítico Cx.'!$B67),-('Diário 4º PA'!$P$4:$P$2564=C$1),('Diário 4º PA'!$F$4:$F$2564))</f>
        <v>1424.58</v>
      </c>
      <c r="D67" s="183">
        <f>SUMPRODUCT(-('Diário 1º PA'!$E$4:$E$2635='Analítico Cx.'!$B67),-('Diário 1º PA'!$P$4:$P$2635=D$1),('Diário 1º PA'!$F$4:$F$2635))+SUMPRODUCT(-('Diário 2º PA'!$E$4:$E$3040='Analítico Cx.'!$B67),-('Diário 2º PA'!$P$4:$P$3040=D$1),('Diário 2º PA'!$F$4:$F$3040))+SUMPRODUCT(-('Diário 3º PA'!$E$4:$E$2731='Analítico Cx.'!$B67),-('Diário 3º PA'!$P$4:$P$2731=D$1),('Diário 3º PA'!$F$4:$F$2731))+SUMPRODUCT(-('Diário 4º PA'!$E$4:$E$2564='Analítico Cx.'!$B67),-('Diário 4º PA'!$P$4:$P$2564=D$1),('Diário 4º PA'!$F$4:$F$2564))</f>
        <v>1454.29</v>
      </c>
      <c r="E67" s="183">
        <f>SUMPRODUCT(-('Diário 1º PA'!$E$4:$E$2635='Analítico Cx.'!$B67),-('Diário 1º PA'!$P$4:$P$2635=E$1),('Diário 1º PA'!$F$4:$F$2635))+SUMPRODUCT(-('Diário 2º PA'!$E$4:$E$3040='Analítico Cx.'!$B67),-('Diário 2º PA'!$P$4:$P$3040=E$1),('Diário 2º PA'!$F$4:$F$3040))+SUMPRODUCT(-('Diário 3º PA'!$E$4:$E$2731='Analítico Cx.'!$B67),-('Diário 3º PA'!$P$4:$P$2731=E$1),('Diário 3º PA'!$F$4:$F$2731))+SUMPRODUCT(-('Diário 4º PA'!$E$4:$E$2564='Analítico Cx.'!$B67),-('Diário 4º PA'!$P$4:$P$2564=E$1),('Diário 4º PA'!$F$4:$F$2564))</f>
        <v>7174.06</v>
      </c>
      <c r="F67" s="183">
        <f>SUMPRODUCT(-('Diário 1º PA'!$E$4:$E$2635='Analítico Cx.'!$B67),-('Diário 1º PA'!$P$4:$P$2635=F$1),('Diário 1º PA'!$F$4:$F$2635))+SUMPRODUCT(-('Diário 2º PA'!$E$4:$E$3040='Analítico Cx.'!$B67),-('Diário 2º PA'!$P$4:$P$3040=F$1),('Diário 2º PA'!$F$4:$F$3040))+SUMPRODUCT(-('Diário 3º PA'!$E$4:$E$2731='Analítico Cx.'!$B67),-('Diário 3º PA'!$P$4:$P$2731=F$1),('Diário 3º PA'!$F$4:$F$2731))+SUMPRODUCT(-('Diário 4º PA'!$E$4:$E$2564='Analítico Cx.'!$B67),-('Diário 4º PA'!$P$4:$P$2564=F$1),('Diário 4º PA'!$F$4:$F$2564))</f>
        <v>600.51</v>
      </c>
      <c r="G67" s="183">
        <f>SUMPRODUCT(-('Diário 1º PA'!$E$4:$E$2635='Analítico Cx.'!$B67),-('Diário 1º PA'!$P$4:$P$2635=G$1),('Diário 1º PA'!$F$4:$F$2635))+SUMPRODUCT(-('Diário 2º PA'!$E$4:$E$3040='Analítico Cx.'!$B67),-('Diário 2º PA'!$P$4:$P$3040=G$1),('Diário 2º PA'!$F$4:$F$3040))+SUMPRODUCT(-('Diário 3º PA'!$E$4:$E$2731='Analítico Cx.'!$B67),-('Diário 3º PA'!$P$4:$P$2731=G$1),('Diário 3º PA'!$F$4:$F$2731))+SUMPRODUCT(-('Diário 4º PA'!$E$4:$E$2564='Analítico Cx.'!$B67),-('Diário 4º PA'!$P$4:$P$2564=G$1),('Diário 4º PA'!$F$4:$F$2564))</f>
        <v>700.38</v>
      </c>
      <c r="H67" s="183">
        <f>SUMPRODUCT(-('Diário 1º PA'!$E$4:$E$2635='Analítico Cx.'!$B67),-('Diário 1º PA'!$P$4:$P$2635=H$1),('Diário 1º PA'!$F$4:$F$2635))+SUMPRODUCT(-('Diário 2º PA'!$E$4:$E$3040='Analítico Cx.'!$B67),-('Diário 2º PA'!$P$4:$P$3040=H$1),('Diário 2º PA'!$F$4:$F$3040))+SUMPRODUCT(-('Diário 3º PA'!$E$4:$E$2731='Analítico Cx.'!$B67),-('Diário 3º PA'!$P$4:$P$2731=H$1),('Diário 3º PA'!$F$4:$F$2731))+SUMPRODUCT(-('Diário 4º PA'!$E$4:$E$2564='Analítico Cx.'!$B67),-('Diário 4º PA'!$P$4:$P$2564=H$1),('Diário 4º PA'!$F$4:$F$2564))</f>
        <v>591.77</v>
      </c>
      <c r="I67" s="183">
        <f>SUMPRODUCT(-('Diário 1º PA'!$E$4:$E$2635='Analítico Cx.'!$B67),-('Diário 1º PA'!$P$4:$P$2635=I$1),('Diário 1º PA'!$F$4:$F$2635))+SUMPRODUCT(-('Diário 2º PA'!$E$4:$E$3040='Analítico Cx.'!$B67),-('Diário 2º PA'!$P$4:$P$3040=I$1),('Diário 2º PA'!$F$4:$F$3040))+SUMPRODUCT(-('Diário 3º PA'!$E$4:$E$2731='Analítico Cx.'!$B67),-('Diário 3º PA'!$P$4:$P$2731=I$1),('Diário 3º PA'!$F$4:$F$2731))+SUMPRODUCT(-('Diário 4º PA'!$E$4:$E$2564='Analítico Cx.'!$B67),-('Diário 4º PA'!$P$4:$P$2564=I$1),('Diário 4º PA'!$F$4:$F$2564))</f>
        <v>400.96</v>
      </c>
      <c r="J67" s="183">
        <f>SUMPRODUCT(-('Diário 1º PA'!$E$4:$E$2635='Analítico Cx.'!$B67),-('Diário 1º PA'!$P$4:$P$2635=J$1),('Diário 1º PA'!$F$4:$F$2635))+SUMPRODUCT(-('Diário 2º PA'!$E$4:$E$3040='Analítico Cx.'!$B67),-('Diário 2º PA'!$P$4:$P$3040=J$1),('Diário 2º PA'!$F$4:$F$3040))+SUMPRODUCT(-('Diário 3º PA'!$E$4:$E$2731='Analítico Cx.'!$B67),-('Diário 3º PA'!$P$4:$P$2731=J$1),('Diário 3º PA'!$F$4:$F$2731))+SUMPRODUCT(-('Diário 4º PA'!$E$4:$E$2564='Analítico Cx.'!$B67),-('Diário 4º PA'!$P$4:$P$2564=J$1),('Diário 4º PA'!$F$4:$F$2564))</f>
        <v>350.38</v>
      </c>
      <c r="K67" s="183">
        <f>SUMPRODUCT(-('Diário 1º PA'!$E$4:$E$2635='Analítico Cx.'!$B67),-('Diário 1º PA'!$P$4:$P$2635=K$1),('Diário 1º PA'!$F$4:$F$2635))+SUMPRODUCT(-('Diário 2º PA'!$E$4:$E$3040='Analítico Cx.'!$B67),-('Diário 2º PA'!$P$4:$P$3040=K$1),('Diário 2º PA'!$F$4:$F$3040))+SUMPRODUCT(-('Diário 3º PA'!$E$4:$E$2731='Analítico Cx.'!$B67),-('Diário 3º PA'!$P$4:$P$2731=K$1),('Diário 3º PA'!$F$4:$F$2731))+SUMPRODUCT(-('Diário 4º PA'!$E$4:$E$2564='Analítico Cx.'!$B67),-('Diário 4º PA'!$P$4:$P$2564=K$1),('Diário 4º PA'!$F$4:$F$2564))</f>
        <v>955.46</v>
      </c>
      <c r="L67" s="183">
        <f>SUMPRODUCT(-('Diário 1º PA'!$E$4:$E$2635='Analítico Cx.'!$B67),-('Diário 1º PA'!$P$4:$P$2635=L$1),('Diário 1º PA'!$F$4:$F$2635))+SUMPRODUCT(-('Diário 2º PA'!$E$4:$E$3040='Analítico Cx.'!$B67),-('Diário 2º PA'!$P$4:$P$3040=L$1),('Diário 2º PA'!$F$4:$F$3040))+SUMPRODUCT(-('Diário 3º PA'!$E$4:$E$2731='Analítico Cx.'!$B67),-('Diário 3º PA'!$P$4:$P$2731=L$1),('Diário 3º PA'!$F$4:$F$2731))+SUMPRODUCT(-('Diário 4º PA'!$E$4:$E$2564='Analítico Cx.'!$B67),-('Diário 4º PA'!$P$4:$P$2564=L$1),('Diário 4º PA'!$F$4:$F$2564))</f>
        <v>321.08</v>
      </c>
      <c r="M67" s="183">
        <f>SUMPRODUCT(-('Diário 1º PA'!$E$4:$E$2635='Analítico Cx.'!$B67),-('Diário 1º PA'!$P$4:$P$2635=M$1),('Diário 1º PA'!$F$4:$F$2635))+SUMPRODUCT(-('Diário 2º PA'!$E$4:$E$3040='Analítico Cx.'!$B67),-('Diário 2º PA'!$P$4:$P$3040=M$1),('Diário 2º PA'!$F$4:$F$3040))+SUMPRODUCT(-('Diário 3º PA'!$E$4:$E$2731='Analítico Cx.'!$B67),-('Diário 3º PA'!$P$4:$P$2731=M$1),('Diário 3º PA'!$F$4:$F$2731))+SUMPRODUCT(-('Diário 4º PA'!$E$4:$E$2564='Analítico Cx.'!$B67),-('Diário 4º PA'!$P$4:$P$2564=M$1),('Diário 4º PA'!$F$4:$F$2564))</f>
        <v>128.77000000000001</v>
      </c>
      <c r="N67" s="183">
        <f>SUMPRODUCT(-('Diário 1º PA'!$E$4:$E$2635='Analítico Cx.'!$B67),-('Diário 1º PA'!$P$4:$P$2635=N$1),('Diário 1º PA'!$F$4:$F$2635))+SUMPRODUCT(-('Diário 2º PA'!$E$4:$E$3040='Analítico Cx.'!$B67),-('Diário 2º PA'!$P$4:$P$3040=N$1),('Diário 2º PA'!$F$4:$F$3040))+SUMPRODUCT(-('Diário 3º PA'!$E$4:$E$2731='Analítico Cx.'!$B67),-('Diário 3º PA'!$P$4:$P$2731=N$1),('Diário 3º PA'!$F$4:$F$2731))+SUMPRODUCT(-('Diário 4º PA'!$E$4:$E$2564='Analítico Cx.'!$B67),-('Diário 4º PA'!$P$4:$P$2564=N$1),('Diário 4º PA'!$F$4:$F$2564))</f>
        <v>445.69</v>
      </c>
      <c r="O67" s="184">
        <f t="shared" si="16"/>
        <v>14547.93</v>
      </c>
      <c r="P67" s="167">
        <f t="shared" si="15"/>
        <v>1.145868358425778E-3</v>
      </c>
    </row>
    <row r="68" spans="1:16" ht="23.25" customHeight="1" x14ac:dyDescent="0.2">
      <c r="A68" s="61" t="s">
        <v>120</v>
      </c>
      <c r="B68" s="102" t="s">
        <v>180</v>
      </c>
      <c r="C68" s="183">
        <f>SUMPRODUCT(-('Diário 1º PA'!$E$4:$E$2635='Analítico Cx.'!$B68),-('Diário 1º PA'!$P$4:$P$2635=C$1),('Diário 1º PA'!$F$4:$F$2635))+SUMPRODUCT(-('Diário 2º PA'!$E$4:$E$3040='Analítico Cx.'!$B68),-('Diário 2º PA'!$P$4:$P$3040=C$1),('Diário 2º PA'!$F$4:$F$3040))+SUMPRODUCT(-('Diário 3º PA'!$E$4:$E$2731='Analítico Cx.'!$B68),-('Diário 3º PA'!$P$4:$P$2731=C$1),('Diário 3º PA'!$F$4:$F$2731))+SUMPRODUCT(-('Diário 4º PA'!$E$4:$E$2564='Analítico Cx.'!$B68),-('Diário 4º PA'!$P$4:$P$2564=C$1),('Diário 4º PA'!$F$4:$F$2564))</f>
        <v>0</v>
      </c>
      <c r="D68" s="183">
        <f>SUMPRODUCT(-('Diário 1º PA'!$E$4:$E$2635='Analítico Cx.'!$B68),-('Diário 1º PA'!$P$4:$P$2635=D$1),('Diário 1º PA'!$F$4:$F$2635))+SUMPRODUCT(-('Diário 2º PA'!$E$4:$E$3040='Analítico Cx.'!$B68),-('Diário 2º PA'!$P$4:$P$3040=D$1),('Diário 2º PA'!$F$4:$F$3040))+SUMPRODUCT(-('Diário 3º PA'!$E$4:$E$2731='Analítico Cx.'!$B68),-('Diário 3º PA'!$P$4:$P$2731=D$1),('Diário 3º PA'!$F$4:$F$2731))+SUMPRODUCT(-('Diário 4º PA'!$E$4:$E$2564='Analítico Cx.'!$B68),-('Diário 4º PA'!$P$4:$P$2564=D$1),('Diário 4º PA'!$F$4:$F$2564))</f>
        <v>0</v>
      </c>
      <c r="E68" s="183">
        <f>SUMPRODUCT(-('Diário 1º PA'!$E$4:$E$2635='Analítico Cx.'!$B68),-('Diário 1º PA'!$P$4:$P$2635=E$1),('Diário 1º PA'!$F$4:$F$2635))+SUMPRODUCT(-('Diário 2º PA'!$E$4:$E$3040='Analítico Cx.'!$B68),-('Diário 2º PA'!$P$4:$P$3040=E$1),('Diário 2º PA'!$F$4:$F$3040))+SUMPRODUCT(-('Diário 3º PA'!$E$4:$E$2731='Analítico Cx.'!$B68),-('Diário 3º PA'!$P$4:$P$2731=E$1),('Diário 3º PA'!$F$4:$F$2731))+SUMPRODUCT(-('Diário 4º PA'!$E$4:$E$2564='Analítico Cx.'!$B68),-('Diário 4º PA'!$P$4:$P$2564=E$1),('Diário 4º PA'!$F$4:$F$2564))</f>
        <v>0</v>
      </c>
      <c r="F68" s="183">
        <f>SUMPRODUCT(-('Diário 1º PA'!$E$4:$E$2635='Analítico Cx.'!$B68),-('Diário 1º PA'!$P$4:$P$2635=F$1),('Diário 1º PA'!$F$4:$F$2635))+SUMPRODUCT(-('Diário 2º PA'!$E$4:$E$3040='Analítico Cx.'!$B68),-('Diário 2º PA'!$P$4:$P$3040=F$1),('Diário 2º PA'!$F$4:$F$3040))+SUMPRODUCT(-('Diário 3º PA'!$E$4:$E$2731='Analítico Cx.'!$B68),-('Diário 3º PA'!$P$4:$P$2731=F$1),('Diário 3º PA'!$F$4:$F$2731))+SUMPRODUCT(-('Diário 4º PA'!$E$4:$E$2564='Analítico Cx.'!$B68),-('Diário 4º PA'!$P$4:$P$2564=F$1),('Diário 4º PA'!$F$4:$F$2564))</f>
        <v>0</v>
      </c>
      <c r="G68" s="183">
        <f>SUMPRODUCT(-('Diário 1º PA'!$E$4:$E$2635='Analítico Cx.'!$B68),-('Diário 1º PA'!$P$4:$P$2635=G$1),('Diário 1º PA'!$F$4:$F$2635))+SUMPRODUCT(-('Diário 2º PA'!$E$4:$E$3040='Analítico Cx.'!$B68),-('Diário 2º PA'!$P$4:$P$3040=G$1),('Diário 2º PA'!$F$4:$F$3040))+SUMPRODUCT(-('Diário 3º PA'!$E$4:$E$2731='Analítico Cx.'!$B68),-('Diário 3º PA'!$P$4:$P$2731=G$1),('Diário 3º PA'!$F$4:$F$2731))+SUMPRODUCT(-('Diário 4º PA'!$E$4:$E$2564='Analítico Cx.'!$B68),-('Diário 4º PA'!$P$4:$P$2564=G$1),('Diário 4º PA'!$F$4:$F$2564))</f>
        <v>0</v>
      </c>
      <c r="H68" s="183">
        <f>SUMPRODUCT(-('Diário 1º PA'!$E$4:$E$2635='Analítico Cx.'!$B68),-('Diário 1º PA'!$P$4:$P$2635=H$1),('Diário 1º PA'!$F$4:$F$2635))+SUMPRODUCT(-('Diário 2º PA'!$E$4:$E$3040='Analítico Cx.'!$B68),-('Diário 2º PA'!$P$4:$P$3040=H$1),('Diário 2º PA'!$F$4:$F$3040))+SUMPRODUCT(-('Diário 3º PA'!$E$4:$E$2731='Analítico Cx.'!$B68),-('Diário 3º PA'!$P$4:$P$2731=H$1),('Diário 3º PA'!$F$4:$F$2731))+SUMPRODUCT(-('Diário 4º PA'!$E$4:$E$2564='Analítico Cx.'!$B68),-('Diário 4º PA'!$P$4:$P$2564=H$1),('Diário 4º PA'!$F$4:$F$2564))</f>
        <v>0</v>
      </c>
      <c r="I68" s="183">
        <f>SUMPRODUCT(-('Diário 1º PA'!$E$4:$E$2635='Analítico Cx.'!$B68),-('Diário 1º PA'!$P$4:$P$2635=I$1),('Diário 1º PA'!$F$4:$F$2635))+SUMPRODUCT(-('Diário 2º PA'!$E$4:$E$3040='Analítico Cx.'!$B68),-('Diário 2º PA'!$P$4:$P$3040=I$1),('Diário 2º PA'!$F$4:$F$3040))+SUMPRODUCT(-('Diário 3º PA'!$E$4:$E$2731='Analítico Cx.'!$B68),-('Diário 3º PA'!$P$4:$P$2731=I$1),('Diário 3º PA'!$F$4:$F$2731))+SUMPRODUCT(-('Diário 4º PA'!$E$4:$E$2564='Analítico Cx.'!$B68),-('Diário 4º PA'!$P$4:$P$2564=I$1),('Diário 4º PA'!$F$4:$F$2564))</f>
        <v>0</v>
      </c>
      <c r="J68" s="183">
        <f>SUMPRODUCT(-('Diário 1º PA'!$E$4:$E$2635='Analítico Cx.'!$B68),-('Diário 1º PA'!$P$4:$P$2635=J$1),('Diário 1º PA'!$F$4:$F$2635))+SUMPRODUCT(-('Diário 2º PA'!$E$4:$E$3040='Analítico Cx.'!$B68),-('Diário 2º PA'!$P$4:$P$3040=J$1),('Diário 2º PA'!$F$4:$F$3040))+SUMPRODUCT(-('Diário 3º PA'!$E$4:$E$2731='Analítico Cx.'!$B68),-('Diário 3º PA'!$P$4:$P$2731=J$1),('Diário 3º PA'!$F$4:$F$2731))+SUMPRODUCT(-('Diário 4º PA'!$E$4:$E$2564='Analítico Cx.'!$B68),-('Diário 4º PA'!$P$4:$P$2564=J$1),('Diário 4º PA'!$F$4:$F$2564))</f>
        <v>0</v>
      </c>
      <c r="K68" s="183">
        <f>SUMPRODUCT(-('Diário 1º PA'!$E$4:$E$2635='Analítico Cx.'!$B68),-('Diário 1º PA'!$P$4:$P$2635=K$1),('Diário 1º PA'!$F$4:$F$2635))+SUMPRODUCT(-('Diário 2º PA'!$E$4:$E$3040='Analítico Cx.'!$B68),-('Diário 2º PA'!$P$4:$P$3040=K$1),('Diário 2º PA'!$F$4:$F$3040))+SUMPRODUCT(-('Diário 3º PA'!$E$4:$E$2731='Analítico Cx.'!$B68),-('Diário 3º PA'!$P$4:$P$2731=K$1),('Diário 3º PA'!$F$4:$F$2731))+SUMPRODUCT(-('Diário 4º PA'!$E$4:$E$2564='Analítico Cx.'!$B68),-('Diário 4º PA'!$P$4:$P$2564=K$1),('Diário 4º PA'!$F$4:$F$2564))</f>
        <v>0</v>
      </c>
      <c r="L68" s="183">
        <f>SUMPRODUCT(-('Diário 1º PA'!$E$4:$E$2635='Analítico Cx.'!$B68),-('Diário 1º PA'!$P$4:$P$2635=L$1),('Diário 1º PA'!$F$4:$F$2635))+SUMPRODUCT(-('Diário 2º PA'!$E$4:$E$3040='Analítico Cx.'!$B68),-('Diário 2º PA'!$P$4:$P$3040=L$1),('Diário 2º PA'!$F$4:$F$3040))+SUMPRODUCT(-('Diário 3º PA'!$E$4:$E$2731='Analítico Cx.'!$B68),-('Diário 3º PA'!$P$4:$P$2731=L$1),('Diário 3º PA'!$F$4:$F$2731))+SUMPRODUCT(-('Diário 4º PA'!$E$4:$E$2564='Analítico Cx.'!$B68),-('Diário 4º PA'!$P$4:$P$2564=L$1),('Diário 4º PA'!$F$4:$F$2564))</f>
        <v>0</v>
      </c>
      <c r="M68" s="183">
        <f>SUMPRODUCT(-('Diário 1º PA'!$E$4:$E$2635='Analítico Cx.'!$B68),-('Diário 1º PA'!$P$4:$P$2635=M$1),('Diário 1º PA'!$F$4:$F$2635))+SUMPRODUCT(-('Diário 2º PA'!$E$4:$E$3040='Analítico Cx.'!$B68),-('Diário 2º PA'!$P$4:$P$3040=M$1),('Diário 2º PA'!$F$4:$F$3040))+SUMPRODUCT(-('Diário 3º PA'!$E$4:$E$2731='Analítico Cx.'!$B68),-('Diário 3º PA'!$P$4:$P$2731=M$1),('Diário 3º PA'!$F$4:$F$2731))+SUMPRODUCT(-('Diário 4º PA'!$E$4:$E$2564='Analítico Cx.'!$B68),-('Diário 4º PA'!$P$4:$P$2564=M$1),('Diário 4º PA'!$F$4:$F$2564))</f>
        <v>80</v>
      </c>
      <c r="N68" s="183">
        <f>SUMPRODUCT(-('Diário 1º PA'!$E$4:$E$2635='Analítico Cx.'!$B68),-('Diário 1º PA'!$P$4:$P$2635=N$1),('Diário 1º PA'!$F$4:$F$2635))+SUMPRODUCT(-('Diário 2º PA'!$E$4:$E$3040='Analítico Cx.'!$B68),-('Diário 2º PA'!$P$4:$P$3040=N$1),('Diário 2º PA'!$F$4:$F$3040))+SUMPRODUCT(-('Diário 3º PA'!$E$4:$E$2731='Analítico Cx.'!$B68),-('Diário 3º PA'!$P$4:$P$2731=N$1),('Diário 3º PA'!$F$4:$F$2731))+SUMPRODUCT(-('Diário 4º PA'!$E$4:$E$2564='Analítico Cx.'!$B68),-('Diário 4º PA'!$P$4:$P$2564=N$1),('Diário 4º PA'!$F$4:$F$2564))</f>
        <v>374.98999999999995</v>
      </c>
      <c r="O68" s="184">
        <f t="shared" si="16"/>
        <v>454.98999999999995</v>
      </c>
      <c r="P68" s="167">
        <f t="shared" si="15"/>
        <v>3.5837307740698826E-5</v>
      </c>
    </row>
    <row r="69" spans="1:16" ht="23.25" customHeight="1" x14ac:dyDescent="0.2">
      <c r="A69" s="61" t="s">
        <v>121</v>
      </c>
      <c r="B69" s="102" t="s">
        <v>59</v>
      </c>
      <c r="C69" s="183">
        <f>SUMPRODUCT(-('Diário 1º PA'!$E$4:$E$2635='Analítico Cx.'!$B69),-('Diário 1º PA'!$P$4:$P$2635=C$1),('Diário 1º PA'!$F$4:$F$2635))+SUMPRODUCT(-('Diário 2º PA'!$E$4:$E$3040='Analítico Cx.'!$B69),-('Diário 2º PA'!$P$4:$P$3040=C$1),('Diário 2º PA'!$F$4:$F$3040))+SUMPRODUCT(-('Diário 3º PA'!$E$4:$E$2731='Analítico Cx.'!$B69),-('Diário 3º PA'!$P$4:$P$2731=C$1),('Diário 3º PA'!$F$4:$F$2731))+SUMPRODUCT(-('Diário 4º PA'!$E$4:$E$2564='Analítico Cx.'!$B69),-('Diário 4º PA'!$P$4:$P$2564=C$1),('Diário 4º PA'!$F$4:$F$2564))</f>
        <v>3447</v>
      </c>
      <c r="D69" s="183">
        <f>SUMPRODUCT(-('Diário 1º PA'!$E$4:$E$2635='Analítico Cx.'!$B69),-('Diário 1º PA'!$P$4:$P$2635=D$1),('Diário 1º PA'!$F$4:$F$2635))+SUMPRODUCT(-('Diário 2º PA'!$E$4:$E$3040='Analítico Cx.'!$B69),-('Diário 2º PA'!$P$4:$P$3040=D$1),('Diário 2º PA'!$F$4:$F$3040))+SUMPRODUCT(-('Diário 3º PA'!$E$4:$E$2731='Analítico Cx.'!$B69),-('Diário 3º PA'!$P$4:$P$2731=D$1),('Diário 3º PA'!$F$4:$F$2731))+SUMPRODUCT(-('Diário 4º PA'!$E$4:$E$2564='Analítico Cx.'!$B69),-('Diário 4º PA'!$P$4:$P$2564=D$1),('Diário 4º PA'!$F$4:$F$2564))</f>
        <v>6092.4</v>
      </c>
      <c r="E69" s="183">
        <f>SUMPRODUCT(-('Diário 1º PA'!$E$4:$E$2635='Analítico Cx.'!$B69),-('Diário 1º PA'!$P$4:$P$2635=E$1),('Diário 1º PA'!$F$4:$F$2635))+SUMPRODUCT(-('Diário 2º PA'!$E$4:$E$3040='Analítico Cx.'!$B69),-('Diário 2º PA'!$P$4:$P$3040=E$1),('Diário 2º PA'!$F$4:$F$3040))+SUMPRODUCT(-('Diário 3º PA'!$E$4:$E$2731='Analítico Cx.'!$B69),-('Diário 3º PA'!$P$4:$P$2731=E$1),('Diário 3º PA'!$F$4:$F$2731))+SUMPRODUCT(-('Diário 4º PA'!$E$4:$E$2564='Analítico Cx.'!$B69),-('Diário 4º PA'!$P$4:$P$2564=E$1),('Diário 4º PA'!$F$4:$F$2564))</f>
        <v>6255.15</v>
      </c>
      <c r="F69" s="183">
        <f>SUMPRODUCT(-('Diário 1º PA'!$E$4:$E$2635='Analítico Cx.'!$B69),-('Diário 1º PA'!$P$4:$P$2635=F$1),('Diário 1º PA'!$F$4:$F$2635))+SUMPRODUCT(-('Diário 2º PA'!$E$4:$E$3040='Analítico Cx.'!$B69),-('Diário 2º PA'!$P$4:$P$3040=F$1),('Diário 2º PA'!$F$4:$F$3040))+SUMPRODUCT(-('Diário 3º PA'!$E$4:$E$2731='Analítico Cx.'!$B69),-('Diário 3º PA'!$P$4:$P$2731=F$1),('Diário 3º PA'!$F$4:$F$2731))+SUMPRODUCT(-('Diário 4º PA'!$E$4:$E$2564='Analítico Cx.'!$B69),-('Diário 4º PA'!$P$4:$P$2564=F$1),('Diário 4º PA'!$F$4:$F$2564))</f>
        <v>6255.15</v>
      </c>
      <c r="G69" s="183">
        <f>SUMPRODUCT(-('Diário 1º PA'!$E$4:$E$2635='Analítico Cx.'!$B69),-('Diário 1º PA'!$P$4:$P$2635=G$1),('Diário 1º PA'!$F$4:$F$2635))+SUMPRODUCT(-('Diário 2º PA'!$E$4:$E$3040='Analítico Cx.'!$B69),-('Diário 2º PA'!$P$4:$P$3040=G$1),('Diário 2º PA'!$F$4:$F$3040))+SUMPRODUCT(-('Diário 3º PA'!$E$4:$E$2731='Analítico Cx.'!$B69),-('Diário 3º PA'!$P$4:$P$2731=G$1),('Diário 3º PA'!$F$4:$F$2731))+SUMPRODUCT(-('Diário 4º PA'!$E$4:$E$2564='Analítico Cx.'!$B69),-('Diário 4º PA'!$P$4:$P$2564=G$1),('Diário 4º PA'!$F$4:$F$2564))</f>
        <v>6255.15</v>
      </c>
      <c r="H69" s="183">
        <f>SUMPRODUCT(-('Diário 1º PA'!$E$4:$E$2635='Analítico Cx.'!$B69),-('Diário 1º PA'!$P$4:$P$2635=H$1),('Diário 1º PA'!$F$4:$F$2635))+SUMPRODUCT(-('Diário 2º PA'!$E$4:$E$3040='Analítico Cx.'!$B69),-('Diário 2º PA'!$P$4:$P$3040=H$1),('Diário 2º PA'!$F$4:$F$3040))+SUMPRODUCT(-('Diário 3º PA'!$E$4:$E$2731='Analítico Cx.'!$B69),-('Diário 3º PA'!$P$4:$P$2731=H$1),('Diário 3º PA'!$F$4:$F$2731))+SUMPRODUCT(-('Diário 4º PA'!$E$4:$E$2564='Analítico Cx.'!$B69),-('Diário 4º PA'!$P$4:$P$2564=H$1),('Diário 4º PA'!$F$4:$F$2564))</f>
        <v>395.25</v>
      </c>
      <c r="I69" s="183">
        <f>SUMPRODUCT(-('Diário 1º PA'!$E$4:$E$2635='Analítico Cx.'!$B69),-('Diário 1º PA'!$P$4:$P$2635=I$1),('Diário 1º PA'!$F$4:$F$2635))+SUMPRODUCT(-('Diário 2º PA'!$E$4:$E$3040='Analítico Cx.'!$B69),-('Diário 2º PA'!$P$4:$P$3040=I$1),('Diário 2º PA'!$F$4:$F$3040))+SUMPRODUCT(-('Diário 3º PA'!$E$4:$E$2731='Analítico Cx.'!$B69),-('Diário 3º PA'!$P$4:$P$2731=I$1),('Diário 3º PA'!$F$4:$F$2731))+SUMPRODUCT(-('Diário 4º PA'!$E$4:$E$2564='Analítico Cx.'!$B69),-('Diário 4º PA'!$P$4:$P$2564=I$1),('Diário 4º PA'!$F$4:$F$2564))</f>
        <v>5859.9</v>
      </c>
      <c r="J69" s="183">
        <f>SUMPRODUCT(-('Diário 1º PA'!$E$4:$E$2635='Analítico Cx.'!$B69),-('Diário 1º PA'!$P$4:$P$2635=J$1),('Diário 1º PA'!$F$4:$F$2635))+SUMPRODUCT(-('Diário 2º PA'!$E$4:$E$3040='Analítico Cx.'!$B69),-('Diário 2º PA'!$P$4:$P$3040=J$1),('Diário 2º PA'!$F$4:$F$3040))+SUMPRODUCT(-('Diário 3º PA'!$E$4:$E$2731='Analítico Cx.'!$B69),-('Diário 3º PA'!$P$4:$P$2731=J$1),('Diário 3º PA'!$F$4:$F$2731))+SUMPRODUCT(-('Diário 4º PA'!$E$4:$E$2564='Analítico Cx.'!$B69),-('Diário 4º PA'!$P$4:$P$2564=J$1),('Diário 4º PA'!$F$4:$F$2564))</f>
        <v>395.25</v>
      </c>
      <c r="K69" s="183">
        <f>SUMPRODUCT(-('Diário 1º PA'!$E$4:$E$2635='Analítico Cx.'!$B69),-('Diário 1º PA'!$P$4:$P$2635=K$1),('Diário 1º PA'!$F$4:$F$2635))+SUMPRODUCT(-('Diário 2º PA'!$E$4:$E$3040='Analítico Cx.'!$B69),-('Diário 2º PA'!$P$4:$P$3040=K$1),('Diário 2º PA'!$F$4:$F$3040))+SUMPRODUCT(-('Diário 3º PA'!$E$4:$E$2731='Analítico Cx.'!$B69),-('Diário 3º PA'!$P$4:$P$2731=K$1),('Diário 3º PA'!$F$4:$F$2731))+SUMPRODUCT(-('Diário 4º PA'!$E$4:$E$2564='Analítico Cx.'!$B69),-('Diário 4º PA'!$P$4:$P$2564=K$1),('Diário 4º PA'!$F$4:$F$2564))</f>
        <v>5859.9</v>
      </c>
      <c r="L69" s="183">
        <f>SUMPRODUCT(-('Diário 1º PA'!$E$4:$E$2635='Analítico Cx.'!$B69),-('Diário 1º PA'!$P$4:$P$2635=L$1),('Diário 1º PA'!$F$4:$F$2635))+SUMPRODUCT(-('Diário 2º PA'!$E$4:$E$3040='Analítico Cx.'!$B69),-('Diário 2º PA'!$P$4:$P$3040=L$1),('Diário 2º PA'!$F$4:$F$3040))+SUMPRODUCT(-('Diário 3º PA'!$E$4:$E$2731='Analítico Cx.'!$B69),-('Diário 3º PA'!$P$4:$P$2731=L$1),('Diário 3º PA'!$F$4:$F$2731))+SUMPRODUCT(-('Diário 4º PA'!$E$4:$E$2564='Analítico Cx.'!$B69),-('Diário 4º PA'!$P$4:$P$2564=L$1),('Diário 4º PA'!$F$4:$F$2564))</f>
        <v>6255.15</v>
      </c>
      <c r="M69" s="183">
        <f>SUMPRODUCT(-('Diário 1º PA'!$E$4:$E$2635='Analítico Cx.'!$B69),-('Diário 1º PA'!$P$4:$P$2635=M$1),('Diário 1º PA'!$F$4:$F$2635))+SUMPRODUCT(-('Diário 2º PA'!$E$4:$E$3040='Analítico Cx.'!$B69),-('Diário 2º PA'!$P$4:$P$3040=M$1),('Diário 2º PA'!$F$4:$F$3040))+SUMPRODUCT(-('Diário 3º PA'!$E$4:$E$2731='Analítico Cx.'!$B69),-('Diário 3º PA'!$P$4:$P$2731=M$1),('Diário 3º PA'!$F$4:$F$2731))+SUMPRODUCT(-('Diário 4º PA'!$E$4:$E$2564='Analítico Cx.'!$B69),-('Diário 4º PA'!$P$4:$P$2564=M$1),('Diário 4º PA'!$F$4:$F$2564))</f>
        <v>395.25</v>
      </c>
      <c r="N69" s="183">
        <f>SUMPRODUCT(-('Diário 1º PA'!$E$4:$E$2635='Analítico Cx.'!$B69),-('Diário 1º PA'!$P$4:$P$2635=N$1),('Diário 1º PA'!$F$4:$F$2635))+SUMPRODUCT(-('Diário 2º PA'!$E$4:$E$3040='Analítico Cx.'!$B69),-('Diário 2º PA'!$P$4:$P$3040=N$1),('Diário 2º PA'!$F$4:$F$3040))+SUMPRODUCT(-('Diário 3º PA'!$E$4:$E$2731='Analítico Cx.'!$B69),-('Diário 3º PA'!$P$4:$P$2731=N$1),('Diário 3º PA'!$F$4:$F$2731))+SUMPRODUCT(-('Diário 4º PA'!$E$4:$E$2564='Analítico Cx.'!$B69),-('Diário 4º PA'!$P$4:$P$2564=N$1),('Diário 4º PA'!$F$4:$F$2564))</f>
        <v>0</v>
      </c>
      <c r="O69" s="184">
        <f t="shared" si="16"/>
        <v>47465.55</v>
      </c>
      <c r="P69" s="167">
        <f t="shared" si="15"/>
        <v>3.738626172952213E-3</v>
      </c>
    </row>
    <row r="70" spans="1:16" ht="23.25" customHeight="1" x14ac:dyDescent="0.2">
      <c r="A70" s="61" t="s">
        <v>122</v>
      </c>
      <c r="B70" s="102" t="s">
        <v>9</v>
      </c>
      <c r="C70" s="183">
        <f>SUMPRODUCT(-('Diário 1º PA'!$E$4:$E$2635='Analítico Cx.'!$B70),-('Diário 1º PA'!$P$4:$P$2635=C$1),('Diário 1º PA'!$F$4:$F$2635))+SUMPRODUCT(-('Diário 2º PA'!$E$4:$E$3040='Analítico Cx.'!$B70),-('Diário 2º PA'!$P$4:$P$3040=C$1),('Diário 2º PA'!$F$4:$F$3040))+SUMPRODUCT(-('Diário 3º PA'!$E$4:$E$2731='Analítico Cx.'!$B70),-('Diário 3º PA'!$P$4:$P$2731=C$1),('Diário 3º PA'!$F$4:$F$2731))+SUMPRODUCT(-('Diário 4º PA'!$E$4:$E$2564='Analítico Cx.'!$B70),-('Diário 4º PA'!$P$4:$P$2564=C$1),('Diário 4º PA'!$F$4:$F$2564))</f>
        <v>1517.7199999999998</v>
      </c>
      <c r="D70" s="183">
        <f>SUMPRODUCT(-('Diário 1º PA'!$E$4:$E$2635='Analítico Cx.'!$B70),-('Diário 1º PA'!$P$4:$P$2635=D$1),('Diário 1º PA'!$F$4:$F$2635))+SUMPRODUCT(-('Diário 2º PA'!$E$4:$E$3040='Analítico Cx.'!$B70),-('Diário 2º PA'!$P$4:$P$3040=D$1),('Diário 2º PA'!$F$4:$F$3040))+SUMPRODUCT(-('Diário 3º PA'!$E$4:$E$2731='Analítico Cx.'!$B70),-('Diário 3º PA'!$P$4:$P$2731=D$1),('Diário 3º PA'!$F$4:$F$2731))+SUMPRODUCT(-('Diário 4º PA'!$E$4:$E$2564='Analítico Cx.'!$B70),-('Diário 4º PA'!$P$4:$P$2564=D$1),('Diário 4º PA'!$F$4:$F$2564))</f>
        <v>4666.6100000000006</v>
      </c>
      <c r="E70" s="183">
        <f>SUMPRODUCT(-('Diário 1º PA'!$E$4:$E$2635='Analítico Cx.'!$B70),-('Diário 1º PA'!$P$4:$P$2635=E$1),('Diário 1º PA'!$F$4:$F$2635))+SUMPRODUCT(-('Diário 2º PA'!$E$4:$E$3040='Analítico Cx.'!$B70),-('Diário 2º PA'!$P$4:$P$3040=E$1),('Diário 2º PA'!$F$4:$F$3040))+SUMPRODUCT(-('Diário 3º PA'!$E$4:$E$2731='Analítico Cx.'!$B70),-('Diário 3º PA'!$P$4:$P$2731=E$1),('Diário 3º PA'!$F$4:$F$2731))+SUMPRODUCT(-('Diário 4º PA'!$E$4:$E$2564='Analítico Cx.'!$B70),-('Diário 4º PA'!$P$4:$P$2564=E$1),('Diário 4º PA'!$F$4:$F$2564))</f>
        <v>4845.91</v>
      </c>
      <c r="F70" s="183">
        <f>SUMPRODUCT(-('Diário 1º PA'!$E$4:$E$2635='Analítico Cx.'!$B70),-('Diário 1º PA'!$P$4:$P$2635=F$1),('Diário 1º PA'!$F$4:$F$2635))+SUMPRODUCT(-('Diário 2º PA'!$E$4:$E$3040='Analítico Cx.'!$B70),-('Diário 2º PA'!$P$4:$P$3040=F$1),('Diário 2º PA'!$F$4:$F$3040))+SUMPRODUCT(-('Diário 3º PA'!$E$4:$E$2731='Analítico Cx.'!$B70),-('Diário 3º PA'!$P$4:$P$2731=F$1),('Diário 3º PA'!$F$4:$F$2731))+SUMPRODUCT(-('Diário 4º PA'!$E$4:$E$2564='Analítico Cx.'!$B70),-('Diário 4º PA'!$P$4:$P$2564=F$1),('Diário 4º PA'!$F$4:$F$2564))</f>
        <v>4853.83</v>
      </c>
      <c r="G70" s="183">
        <f>SUMPRODUCT(-('Diário 1º PA'!$E$4:$E$2635='Analítico Cx.'!$B70),-('Diário 1º PA'!$P$4:$P$2635=G$1),('Diário 1º PA'!$F$4:$F$2635))+SUMPRODUCT(-('Diário 2º PA'!$E$4:$E$3040='Analítico Cx.'!$B70),-('Diário 2º PA'!$P$4:$P$3040=G$1),('Diário 2º PA'!$F$4:$F$3040))+SUMPRODUCT(-('Diário 3º PA'!$E$4:$E$2731='Analítico Cx.'!$B70),-('Diário 3º PA'!$P$4:$P$2731=G$1),('Diário 3º PA'!$F$4:$F$2731))+SUMPRODUCT(-('Diário 4º PA'!$E$4:$E$2564='Analítico Cx.'!$B70),-('Diário 4º PA'!$P$4:$P$2564=G$1),('Diário 4º PA'!$F$4:$F$2564))</f>
        <v>286.88</v>
      </c>
      <c r="H70" s="183">
        <f>SUMPRODUCT(-('Diário 1º PA'!$E$4:$E$2635='Analítico Cx.'!$B70),-('Diário 1º PA'!$P$4:$P$2635=H$1),('Diário 1º PA'!$F$4:$F$2635))+SUMPRODUCT(-('Diário 2º PA'!$E$4:$E$3040='Analítico Cx.'!$B70),-('Diário 2º PA'!$P$4:$P$3040=H$1),('Diário 2º PA'!$F$4:$F$3040))+SUMPRODUCT(-('Diário 3º PA'!$E$4:$E$2731='Analítico Cx.'!$B70),-('Diário 3º PA'!$P$4:$P$2731=H$1),('Diário 3º PA'!$F$4:$F$2731))+SUMPRODUCT(-('Diário 4º PA'!$E$4:$E$2564='Analítico Cx.'!$B70),-('Diário 4º PA'!$P$4:$P$2564=H$1),('Diário 4º PA'!$F$4:$F$2564))</f>
        <v>0</v>
      </c>
      <c r="I70" s="183">
        <f>SUMPRODUCT(-('Diário 1º PA'!$E$4:$E$2635='Analítico Cx.'!$B70),-('Diário 1º PA'!$P$4:$P$2635=I$1),('Diário 1º PA'!$F$4:$F$2635))+SUMPRODUCT(-('Diário 2º PA'!$E$4:$E$3040='Analítico Cx.'!$B70),-('Diário 2º PA'!$P$4:$P$3040=I$1),('Diário 2º PA'!$F$4:$F$3040))+SUMPRODUCT(-('Diário 3º PA'!$E$4:$E$2731='Analítico Cx.'!$B70),-('Diário 3º PA'!$P$4:$P$2731=I$1),('Diário 3º PA'!$F$4:$F$2731))+SUMPRODUCT(-('Diário 4º PA'!$E$4:$E$2564='Analítico Cx.'!$B70),-('Diário 4º PA'!$P$4:$P$2564=I$1),('Diário 4º PA'!$F$4:$F$2564))</f>
        <v>4567.6099999999997</v>
      </c>
      <c r="J70" s="183">
        <f>SUMPRODUCT(-('Diário 1º PA'!$E$4:$E$2635='Analítico Cx.'!$B70),-('Diário 1º PA'!$P$4:$P$2635=J$1),('Diário 1º PA'!$F$4:$F$2635))+SUMPRODUCT(-('Diário 2º PA'!$E$4:$E$3040='Analítico Cx.'!$B70),-('Diário 2º PA'!$P$4:$P$3040=J$1),('Diário 2º PA'!$F$4:$F$3040))+SUMPRODUCT(-('Diário 3º PA'!$E$4:$E$2731='Analítico Cx.'!$B70),-('Diário 3º PA'!$P$4:$P$2731=J$1),('Diário 3º PA'!$F$4:$F$2731))+SUMPRODUCT(-('Diário 4º PA'!$E$4:$E$2564='Analítico Cx.'!$B70),-('Diário 4º PA'!$P$4:$P$2564=J$1),('Diário 4º PA'!$F$4:$F$2564))</f>
        <v>4851.1900000000005</v>
      </c>
      <c r="K70" s="183">
        <f>SUMPRODUCT(-('Diário 1º PA'!$E$4:$E$2635='Analítico Cx.'!$B70),-('Diário 1º PA'!$P$4:$P$2635=K$1),('Diário 1º PA'!$F$4:$F$2635))+SUMPRODUCT(-('Diário 2º PA'!$E$4:$E$3040='Analítico Cx.'!$B70),-('Diário 2º PA'!$P$4:$P$3040=K$1),('Diário 2º PA'!$F$4:$F$3040))+SUMPRODUCT(-('Diário 3º PA'!$E$4:$E$2731='Analítico Cx.'!$B70),-('Diário 3º PA'!$P$4:$P$2731=K$1),('Diário 3º PA'!$F$4:$F$2731))+SUMPRODUCT(-('Diário 4º PA'!$E$4:$E$2564='Analítico Cx.'!$B70),-('Diário 4º PA'!$P$4:$P$2564=K$1),('Diário 4º PA'!$F$4:$F$2564))</f>
        <v>4855.1499999999996</v>
      </c>
      <c r="L70" s="183">
        <f>SUMPRODUCT(-('Diário 1º PA'!$E$4:$E$2635='Analítico Cx.'!$B70),-('Diário 1º PA'!$P$4:$P$2635=L$1),('Diário 1º PA'!$F$4:$F$2635))+SUMPRODUCT(-('Diário 2º PA'!$E$4:$E$3040='Analítico Cx.'!$B70),-('Diário 2º PA'!$P$4:$P$3040=L$1),('Diário 2º PA'!$F$4:$F$3040))+SUMPRODUCT(-('Diário 3º PA'!$E$4:$E$2731='Analítico Cx.'!$B70),-('Diário 3º PA'!$P$4:$P$2731=L$1),('Diário 3º PA'!$F$4:$F$2731))+SUMPRODUCT(-('Diário 4º PA'!$E$4:$E$2564='Analítico Cx.'!$B70),-('Diário 4º PA'!$P$4:$P$2564=L$1),('Diário 4º PA'!$F$4:$F$2564))</f>
        <v>4847.2400000000007</v>
      </c>
      <c r="M70" s="183">
        <f>SUMPRODUCT(-('Diário 1º PA'!$E$4:$E$2635='Analítico Cx.'!$B70),-('Diário 1º PA'!$P$4:$P$2635=M$1),('Diário 1º PA'!$F$4:$F$2635))+SUMPRODUCT(-('Diário 2º PA'!$E$4:$E$3040='Analítico Cx.'!$B70),-('Diário 2º PA'!$P$4:$P$3040=M$1),('Diário 2º PA'!$F$4:$F$3040))+SUMPRODUCT(-('Diário 3º PA'!$E$4:$E$2731='Analítico Cx.'!$B70),-('Diário 3º PA'!$P$4:$P$2731=M$1),('Diário 3º PA'!$F$4:$F$2731))+SUMPRODUCT(-('Diário 4º PA'!$E$4:$E$2564='Analítico Cx.'!$B70),-('Diário 4º PA'!$P$4:$P$2564=M$1),('Diário 4º PA'!$F$4:$F$2564))</f>
        <v>4851.8499999999995</v>
      </c>
      <c r="N70" s="183">
        <f>SUMPRODUCT(-('Diário 1º PA'!$E$4:$E$2635='Analítico Cx.'!$B70),-('Diário 1º PA'!$P$4:$P$2635=N$1),('Diário 1º PA'!$F$4:$F$2635))+SUMPRODUCT(-('Diário 2º PA'!$E$4:$E$3040='Analítico Cx.'!$B70),-('Diário 2º PA'!$P$4:$P$3040=N$1),('Diário 2º PA'!$F$4:$F$3040))+SUMPRODUCT(-('Diário 3º PA'!$E$4:$E$2731='Analítico Cx.'!$B70),-('Diário 3º PA'!$P$4:$P$2731=N$1),('Diário 3º PA'!$F$4:$F$2731))+SUMPRODUCT(-('Diário 4º PA'!$E$4:$E$2564='Analítico Cx.'!$B70),-('Diário 4º PA'!$P$4:$P$2564=N$1),('Diário 4º PA'!$F$4:$F$2564))</f>
        <v>6593.56</v>
      </c>
      <c r="O70" s="184">
        <f t="shared" si="16"/>
        <v>46737.549999999996</v>
      </c>
      <c r="P70" s="167">
        <f t="shared" si="15"/>
        <v>3.6812852203263772E-3</v>
      </c>
    </row>
    <row r="71" spans="1:16" ht="23.25" customHeight="1" x14ac:dyDescent="0.2">
      <c r="A71" s="61" t="s">
        <v>123</v>
      </c>
      <c r="B71" s="102" t="s">
        <v>326</v>
      </c>
      <c r="C71" s="183">
        <f>SUMPRODUCT(-('Diário 1º PA'!$E$4:$E$2635='Analítico Cx.'!$B71),-('Diário 1º PA'!$P$4:$P$2635=C$1),('Diário 1º PA'!$F$4:$F$2635))+SUMPRODUCT(-('Diário 2º PA'!$E$4:$E$3040='Analítico Cx.'!$B71),-('Diário 2º PA'!$P$4:$P$3040=C$1),('Diário 2º PA'!$F$4:$F$3040))+SUMPRODUCT(-('Diário 3º PA'!$E$4:$E$2731='Analítico Cx.'!$B71),-('Diário 3º PA'!$P$4:$P$2731=C$1),('Diário 3º PA'!$F$4:$F$2731))+SUMPRODUCT(-('Diário 4º PA'!$E$4:$E$2564='Analítico Cx.'!$B71),-('Diário 4º PA'!$P$4:$P$2564=C$1),('Diário 4º PA'!$F$4:$F$2564))</f>
        <v>0</v>
      </c>
      <c r="D71" s="183">
        <f>SUMPRODUCT(-('Diário 1º PA'!$E$4:$E$2635='Analítico Cx.'!$B71),-('Diário 1º PA'!$P$4:$P$2635=D$1),('Diário 1º PA'!$F$4:$F$2635))+SUMPRODUCT(-('Diário 2º PA'!$E$4:$E$3040='Analítico Cx.'!$B71),-('Diário 2º PA'!$P$4:$P$3040=D$1),('Diário 2º PA'!$F$4:$F$3040))+SUMPRODUCT(-('Diário 3º PA'!$E$4:$E$2731='Analítico Cx.'!$B71),-('Diário 3º PA'!$P$4:$P$2731=D$1),('Diário 3º PA'!$F$4:$F$2731))+SUMPRODUCT(-('Diário 4º PA'!$E$4:$E$2564='Analítico Cx.'!$B71),-('Diário 4º PA'!$P$4:$P$2564=D$1),('Diário 4º PA'!$F$4:$F$2564))</f>
        <v>0</v>
      </c>
      <c r="E71" s="183">
        <f>SUMPRODUCT(-('Diário 1º PA'!$E$4:$E$2635='Analítico Cx.'!$B71),-('Diário 1º PA'!$P$4:$P$2635=E$1),('Diário 1º PA'!$F$4:$F$2635))+SUMPRODUCT(-('Diário 2º PA'!$E$4:$E$3040='Analítico Cx.'!$B71),-('Diário 2º PA'!$P$4:$P$3040=E$1),('Diário 2º PA'!$F$4:$F$3040))+SUMPRODUCT(-('Diário 3º PA'!$E$4:$E$2731='Analítico Cx.'!$B71),-('Diário 3º PA'!$P$4:$P$2731=E$1),('Diário 3º PA'!$F$4:$F$2731))+SUMPRODUCT(-('Diário 4º PA'!$E$4:$E$2564='Analítico Cx.'!$B71),-('Diário 4º PA'!$P$4:$P$2564=E$1),('Diário 4º PA'!$F$4:$F$2564))</f>
        <v>0</v>
      </c>
      <c r="F71" s="183">
        <f>SUMPRODUCT(-('Diário 1º PA'!$E$4:$E$2635='Analítico Cx.'!$B71),-('Diário 1º PA'!$P$4:$P$2635=F$1),('Diário 1º PA'!$F$4:$F$2635))+SUMPRODUCT(-('Diário 2º PA'!$E$4:$E$3040='Analítico Cx.'!$B71),-('Diário 2º PA'!$P$4:$P$3040=F$1),('Diário 2º PA'!$F$4:$F$3040))+SUMPRODUCT(-('Diário 3º PA'!$E$4:$E$2731='Analítico Cx.'!$B71),-('Diário 3º PA'!$P$4:$P$2731=F$1),('Diário 3º PA'!$F$4:$F$2731))+SUMPRODUCT(-('Diário 4º PA'!$E$4:$E$2564='Analítico Cx.'!$B71),-('Diário 4º PA'!$P$4:$P$2564=F$1),('Diário 4º PA'!$F$4:$F$2564))</f>
        <v>9689.4</v>
      </c>
      <c r="G71" s="183">
        <f>SUMPRODUCT(-('Diário 1º PA'!$E$4:$E$2635='Analítico Cx.'!$B71),-('Diário 1º PA'!$P$4:$P$2635=G$1),('Diário 1º PA'!$F$4:$F$2635))+SUMPRODUCT(-('Diário 2º PA'!$E$4:$E$3040='Analítico Cx.'!$B71),-('Diário 2º PA'!$P$4:$P$3040=G$1),('Diário 2º PA'!$F$4:$F$3040))+SUMPRODUCT(-('Diário 3º PA'!$E$4:$E$2731='Analítico Cx.'!$B71),-('Diário 3º PA'!$P$4:$P$2731=G$1),('Diário 3º PA'!$F$4:$F$2731))+SUMPRODUCT(-('Diário 4º PA'!$E$4:$E$2564='Analítico Cx.'!$B71),-('Diário 4º PA'!$P$4:$P$2564=G$1),('Diário 4º PA'!$F$4:$F$2564))</f>
        <v>613.20000000000005</v>
      </c>
      <c r="H71" s="183">
        <f>SUMPRODUCT(-('Diário 1º PA'!$E$4:$E$2635='Analítico Cx.'!$B71),-('Diário 1º PA'!$P$4:$P$2635=H$1),('Diário 1º PA'!$F$4:$F$2635))+SUMPRODUCT(-('Diário 2º PA'!$E$4:$E$3040='Analítico Cx.'!$B71),-('Diário 2º PA'!$P$4:$P$3040=H$1),('Diário 2º PA'!$F$4:$F$3040))+SUMPRODUCT(-('Diário 3º PA'!$E$4:$E$2731='Analítico Cx.'!$B71),-('Diário 3º PA'!$P$4:$P$2731=H$1),('Diário 3º PA'!$F$4:$F$2731))+SUMPRODUCT(-('Diário 4º PA'!$E$4:$E$2564='Analítico Cx.'!$B71),-('Diário 4º PA'!$P$4:$P$2564=H$1),('Diário 4º PA'!$F$4:$F$2564))</f>
        <v>1038.1500000000001</v>
      </c>
      <c r="I71" s="183">
        <f>SUMPRODUCT(-('Diário 1º PA'!$E$4:$E$2635='Analítico Cx.'!$B71),-('Diário 1º PA'!$P$4:$P$2635=I$1),('Diário 1º PA'!$F$4:$F$2635))+SUMPRODUCT(-('Diário 2º PA'!$E$4:$E$3040='Analítico Cx.'!$B71),-('Diário 2º PA'!$P$4:$P$3040=I$1),('Diário 2º PA'!$F$4:$F$3040))+SUMPRODUCT(-('Diário 3º PA'!$E$4:$E$2731='Analítico Cx.'!$B71),-('Diário 3º PA'!$P$4:$P$2731=I$1),('Diário 3º PA'!$F$4:$F$2731))+SUMPRODUCT(-('Diário 4º PA'!$E$4:$E$2564='Analítico Cx.'!$B71),-('Diário 4º PA'!$P$4:$P$2564=I$1),('Diário 4º PA'!$F$4:$F$2564))</f>
        <v>1103.8499999999999</v>
      </c>
      <c r="J71" s="183">
        <f>SUMPRODUCT(-('Diário 1º PA'!$E$4:$E$2635='Analítico Cx.'!$B71),-('Diário 1º PA'!$P$4:$P$2635=J$1),('Diário 1º PA'!$F$4:$F$2635))+SUMPRODUCT(-('Diário 2º PA'!$E$4:$E$3040='Analítico Cx.'!$B71),-('Diário 2º PA'!$P$4:$P$3040=J$1),('Diário 2º PA'!$F$4:$F$3040))+SUMPRODUCT(-('Diário 3º PA'!$E$4:$E$2731='Analítico Cx.'!$B71),-('Diário 3º PA'!$P$4:$P$2731=J$1),('Diário 3º PA'!$F$4:$F$2731))+SUMPRODUCT(-('Diário 4º PA'!$E$4:$E$2564='Analítico Cx.'!$B71),-('Diário 4º PA'!$P$4:$P$2564=J$1),('Diário 4º PA'!$F$4:$F$2564))</f>
        <v>1103.8499999999999</v>
      </c>
      <c r="K71" s="183">
        <f>SUMPRODUCT(-('Diário 1º PA'!$E$4:$E$2635='Analítico Cx.'!$B71),-('Diário 1º PA'!$P$4:$P$2635=K$1),('Diário 1º PA'!$F$4:$F$2635))+SUMPRODUCT(-('Diário 2º PA'!$E$4:$E$3040='Analítico Cx.'!$B71),-('Diário 2º PA'!$P$4:$P$3040=K$1),('Diário 2º PA'!$F$4:$F$3040))+SUMPRODUCT(-('Diário 3º PA'!$E$4:$E$2731='Analítico Cx.'!$B71),-('Diário 3º PA'!$P$4:$P$2731=K$1),('Diário 3º PA'!$F$4:$F$2731))+SUMPRODUCT(-('Diário 4º PA'!$E$4:$E$2564='Analítico Cx.'!$B71),-('Diário 4º PA'!$P$4:$P$2564=K$1),('Diário 4º PA'!$F$4:$F$2564))</f>
        <v>1104</v>
      </c>
      <c r="L71" s="183">
        <f>SUMPRODUCT(-('Diário 1º PA'!$E$4:$E$2635='Analítico Cx.'!$B71),-('Diário 1º PA'!$P$4:$P$2635=L$1),('Diário 1º PA'!$F$4:$F$2635))+SUMPRODUCT(-('Diário 2º PA'!$E$4:$E$3040='Analítico Cx.'!$B71),-('Diário 2º PA'!$P$4:$P$3040=L$1),('Diário 2º PA'!$F$4:$F$3040))+SUMPRODUCT(-('Diário 3º PA'!$E$4:$E$2731='Analítico Cx.'!$B71),-('Diário 3º PA'!$P$4:$P$2731=L$1),('Diário 3º PA'!$F$4:$F$2731))+SUMPRODUCT(-('Diário 4º PA'!$E$4:$E$2564='Analítico Cx.'!$B71),-('Diário 4º PA'!$P$4:$P$2564=L$1),('Diário 4º PA'!$F$4:$F$2564))</f>
        <v>1103.8499999999999</v>
      </c>
      <c r="M71" s="183">
        <f>SUMPRODUCT(-('Diário 1º PA'!$E$4:$E$2635='Analítico Cx.'!$B71),-('Diário 1º PA'!$P$4:$P$2635=M$1),('Diário 1º PA'!$F$4:$F$2635))+SUMPRODUCT(-('Diário 2º PA'!$E$4:$E$3040='Analítico Cx.'!$B71),-('Diário 2º PA'!$P$4:$P$3040=M$1),('Diário 2º PA'!$F$4:$F$3040))+SUMPRODUCT(-('Diário 3º PA'!$E$4:$E$2731='Analítico Cx.'!$B71),-('Diário 3º PA'!$P$4:$P$2731=M$1),('Diário 3º PA'!$F$4:$F$2731))+SUMPRODUCT(-('Diário 4º PA'!$E$4:$E$2564='Analítico Cx.'!$B71),-('Diário 4º PA'!$P$4:$P$2564=M$1),('Diário 4º PA'!$F$4:$F$2564))</f>
        <v>1103.8500000000001</v>
      </c>
      <c r="N71" s="183">
        <f>SUMPRODUCT(-('Diário 1º PA'!$E$4:$E$2635='Analítico Cx.'!$B71),-('Diário 1º PA'!$P$4:$P$2635=N$1),('Diário 1º PA'!$F$4:$F$2635))+SUMPRODUCT(-('Diário 2º PA'!$E$4:$E$3040='Analítico Cx.'!$B71),-('Diário 2º PA'!$P$4:$P$3040=N$1),('Diário 2º PA'!$F$4:$F$3040))+SUMPRODUCT(-('Diário 3º PA'!$E$4:$E$2731='Analítico Cx.'!$B71),-('Diário 3º PA'!$P$4:$P$2731=N$1),('Diário 3º PA'!$F$4:$F$2731))+SUMPRODUCT(-('Diário 4º PA'!$E$4:$E$2564='Analítico Cx.'!$B71),-('Diário 4º PA'!$P$4:$P$2564=N$1),('Diário 4º PA'!$F$4:$F$2564))</f>
        <v>1103.8499999999999</v>
      </c>
      <c r="O71" s="184">
        <f t="shared" si="16"/>
        <v>17964</v>
      </c>
      <c r="P71" s="167">
        <f t="shared" si="15"/>
        <v>1.4149352650693725E-3</v>
      </c>
    </row>
    <row r="72" spans="1:16" ht="23.25" customHeight="1" x14ac:dyDescent="0.2">
      <c r="A72" s="61" t="s">
        <v>124</v>
      </c>
      <c r="B72" s="102" t="s">
        <v>177</v>
      </c>
      <c r="C72" s="183">
        <f>SUMPRODUCT(-('Diário 1º PA'!$E$4:$E$2635='Analítico Cx.'!$B72),-('Diário 1º PA'!$P$4:$P$2635=C$1),('Diário 1º PA'!$F$4:$F$2635))+SUMPRODUCT(-('Diário 2º PA'!$E$4:$E$3040='Analítico Cx.'!$B72),-('Diário 2º PA'!$P$4:$P$3040=C$1),('Diário 2º PA'!$F$4:$F$3040))+SUMPRODUCT(-('Diário 3º PA'!$E$4:$E$2731='Analítico Cx.'!$B72),-('Diário 3º PA'!$P$4:$P$2731=C$1),('Diário 3º PA'!$F$4:$F$2731))+SUMPRODUCT(-('Diário 4º PA'!$E$4:$E$2564='Analítico Cx.'!$B72),-('Diário 4º PA'!$P$4:$P$2564=C$1),('Diário 4º PA'!$F$4:$F$2564))</f>
        <v>0</v>
      </c>
      <c r="D72" s="183">
        <f>SUMPRODUCT(-('Diário 1º PA'!$E$4:$E$2635='Analítico Cx.'!$B72),-('Diário 1º PA'!$P$4:$P$2635=D$1),('Diário 1º PA'!$F$4:$F$2635))+SUMPRODUCT(-('Diário 2º PA'!$E$4:$E$3040='Analítico Cx.'!$B72),-('Diário 2º PA'!$P$4:$P$3040=D$1),('Diário 2º PA'!$F$4:$F$3040))+SUMPRODUCT(-('Diário 3º PA'!$E$4:$E$2731='Analítico Cx.'!$B72),-('Diário 3º PA'!$P$4:$P$2731=D$1),('Diário 3º PA'!$F$4:$F$2731))+SUMPRODUCT(-('Diário 4º PA'!$E$4:$E$2564='Analítico Cx.'!$B72),-('Diário 4º PA'!$P$4:$P$2564=D$1),('Diário 4º PA'!$F$4:$F$2564))</f>
        <v>0</v>
      </c>
      <c r="E72" s="183">
        <f>SUMPRODUCT(-('Diário 1º PA'!$E$4:$E$2635='Analítico Cx.'!$B72),-('Diário 1º PA'!$P$4:$P$2635=E$1),('Diário 1º PA'!$F$4:$F$2635))+SUMPRODUCT(-('Diário 2º PA'!$E$4:$E$3040='Analítico Cx.'!$B72),-('Diário 2º PA'!$P$4:$P$3040=E$1),('Diário 2º PA'!$F$4:$F$3040))+SUMPRODUCT(-('Diário 3º PA'!$E$4:$E$2731='Analítico Cx.'!$B72),-('Diário 3º PA'!$P$4:$P$2731=E$1),('Diário 3º PA'!$F$4:$F$2731))+SUMPRODUCT(-('Diário 4º PA'!$E$4:$E$2564='Analítico Cx.'!$B72),-('Diário 4º PA'!$P$4:$P$2564=E$1),('Diário 4º PA'!$F$4:$F$2564))</f>
        <v>0</v>
      </c>
      <c r="F72" s="183">
        <f>SUMPRODUCT(-('Diário 1º PA'!$E$4:$E$2635='Analítico Cx.'!$B72),-('Diário 1º PA'!$P$4:$P$2635=F$1),('Diário 1º PA'!$F$4:$F$2635))+SUMPRODUCT(-('Diário 2º PA'!$E$4:$E$3040='Analítico Cx.'!$B72),-('Diário 2º PA'!$P$4:$P$3040=F$1),('Diário 2º PA'!$F$4:$F$3040))+SUMPRODUCT(-('Diário 3º PA'!$E$4:$E$2731='Analítico Cx.'!$B72),-('Diário 3º PA'!$P$4:$P$2731=F$1),('Diário 3º PA'!$F$4:$F$2731))+SUMPRODUCT(-('Diário 4º PA'!$E$4:$E$2564='Analítico Cx.'!$B72),-('Diário 4º PA'!$P$4:$P$2564=F$1),('Diário 4º PA'!$F$4:$F$2564))</f>
        <v>0</v>
      </c>
      <c r="G72" s="183">
        <f>SUMPRODUCT(-('Diário 1º PA'!$E$4:$E$2635='Analítico Cx.'!$B72),-('Diário 1º PA'!$P$4:$P$2635=G$1),('Diário 1º PA'!$F$4:$F$2635))+SUMPRODUCT(-('Diário 2º PA'!$E$4:$E$3040='Analítico Cx.'!$B72),-('Diário 2º PA'!$P$4:$P$3040=G$1),('Diário 2º PA'!$F$4:$F$3040))+SUMPRODUCT(-('Diário 3º PA'!$E$4:$E$2731='Analítico Cx.'!$B72),-('Diário 3º PA'!$P$4:$P$2731=G$1),('Diário 3º PA'!$F$4:$F$2731))+SUMPRODUCT(-('Diário 4º PA'!$E$4:$E$2564='Analítico Cx.'!$B72),-('Diário 4º PA'!$P$4:$P$2564=G$1),('Diário 4º PA'!$F$4:$F$2564))</f>
        <v>0</v>
      </c>
      <c r="H72" s="183">
        <f>SUMPRODUCT(-('Diário 1º PA'!$E$4:$E$2635='Analítico Cx.'!$B72),-('Diário 1º PA'!$P$4:$P$2635=H$1),('Diário 1º PA'!$F$4:$F$2635))+SUMPRODUCT(-('Diário 2º PA'!$E$4:$E$3040='Analítico Cx.'!$B72),-('Diário 2º PA'!$P$4:$P$3040=H$1),('Diário 2º PA'!$F$4:$F$3040))+SUMPRODUCT(-('Diário 3º PA'!$E$4:$E$2731='Analítico Cx.'!$B72),-('Diário 3º PA'!$P$4:$P$2731=H$1),('Diário 3º PA'!$F$4:$F$2731))+SUMPRODUCT(-('Diário 4º PA'!$E$4:$E$2564='Analítico Cx.'!$B72),-('Diário 4º PA'!$P$4:$P$2564=H$1),('Diário 4º PA'!$F$4:$F$2564))</f>
        <v>0</v>
      </c>
      <c r="I72" s="183">
        <f>SUMPRODUCT(-('Diário 1º PA'!$E$4:$E$2635='Analítico Cx.'!$B72),-('Diário 1º PA'!$P$4:$P$2635=I$1),('Diário 1º PA'!$F$4:$F$2635))+SUMPRODUCT(-('Diário 2º PA'!$E$4:$E$3040='Analítico Cx.'!$B72),-('Diário 2º PA'!$P$4:$P$3040=I$1),('Diário 2º PA'!$F$4:$F$3040))+SUMPRODUCT(-('Diário 3º PA'!$E$4:$E$2731='Analítico Cx.'!$B72),-('Diário 3º PA'!$P$4:$P$2731=I$1),('Diário 3º PA'!$F$4:$F$2731))+SUMPRODUCT(-('Diário 4º PA'!$E$4:$E$2564='Analítico Cx.'!$B72),-('Diário 4º PA'!$P$4:$P$2564=I$1),('Diário 4º PA'!$F$4:$F$2564))</f>
        <v>0</v>
      </c>
      <c r="J72" s="183">
        <f>SUMPRODUCT(-('Diário 1º PA'!$E$4:$E$2635='Analítico Cx.'!$B72),-('Diário 1º PA'!$P$4:$P$2635=J$1),('Diário 1º PA'!$F$4:$F$2635))+SUMPRODUCT(-('Diário 2º PA'!$E$4:$E$3040='Analítico Cx.'!$B72),-('Diário 2º PA'!$P$4:$P$3040=J$1),('Diário 2º PA'!$F$4:$F$3040))+SUMPRODUCT(-('Diário 3º PA'!$E$4:$E$2731='Analítico Cx.'!$B72),-('Diário 3º PA'!$P$4:$P$2731=J$1),('Diário 3º PA'!$F$4:$F$2731))+SUMPRODUCT(-('Diário 4º PA'!$E$4:$E$2564='Analítico Cx.'!$B72),-('Diário 4º PA'!$P$4:$P$2564=J$1),('Diário 4º PA'!$F$4:$F$2564))</f>
        <v>0</v>
      </c>
      <c r="K72" s="183">
        <f>SUMPRODUCT(-('Diário 1º PA'!$E$4:$E$2635='Analítico Cx.'!$B72),-('Diário 1º PA'!$P$4:$P$2635=K$1),('Diário 1º PA'!$F$4:$F$2635))+SUMPRODUCT(-('Diário 2º PA'!$E$4:$E$3040='Analítico Cx.'!$B72),-('Diário 2º PA'!$P$4:$P$3040=K$1),('Diário 2º PA'!$F$4:$F$3040))+SUMPRODUCT(-('Diário 3º PA'!$E$4:$E$2731='Analítico Cx.'!$B72),-('Diário 3º PA'!$P$4:$P$2731=K$1),('Diário 3º PA'!$F$4:$F$2731))+SUMPRODUCT(-('Diário 4º PA'!$E$4:$E$2564='Analítico Cx.'!$B72),-('Diário 4º PA'!$P$4:$P$2564=K$1),('Diário 4º PA'!$F$4:$F$2564))</f>
        <v>0</v>
      </c>
      <c r="L72" s="183">
        <f>SUMPRODUCT(-('Diário 1º PA'!$E$4:$E$2635='Analítico Cx.'!$B72),-('Diário 1º PA'!$P$4:$P$2635=L$1),('Diário 1º PA'!$F$4:$F$2635))+SUMPRODUCT(-('Diário 2º PA'!$E$4:$E$3040='Analítico Cx.'!$B72),-('Diário 2º PA'!$P$4:$P$3040=L$1),('Diário 2º PA'!$F$4:$F$3040))+SUMPRODUCT(-('Diário 3º PA'!$E$4:$E$2731='Analítico Cx.'!$B72),-('Diário 3º PA'!$P$4:$P$2731=L$1),('Diário 3º PA'!$F$4:$F$2731))+SUMPRODUCT(-('Diário 4º PA'!$E$4:$E$2564='Analítico Cx.'!$B72),-('Diário 4º PA'!$P$4:$P$2564=L$1),('Diário 4º PA'!$F$4:$F$2564))</f>
        <v>0</v>
      </c>
      <c r="M72" s="183">
        <f>SUMPRODUCT(-('Diário 1º PA'!$E$4:$E$2635='Analítico Cx.'!$B72),-('Diário 1º PA'!$P$4:$P$2635=M$1),('Diário 1º PA'!$F$4:$F$2635))+SUMPRODUCT(-('Diário 2º PA'!$E$4:$E$3040='Analítico Cx.'!$B72),-('Diário 2º PA'!$P$4:$P$3040=M$1),('Diário 2º PA'!$F$4:$F$3040))+SUMPRODUCT(-('Diário 3º PA'!$E$4:$E$2731='Analítico Cx.'!$B72),-('Diário 3º PA'!$P$4:$P$2731=M$1),('Diário 3º PA'!$F$4:$F$2731))+SUMPRODUCT(-('Diário 4º PA'!$E$4:$E$2564='Analítico Cx.'!$B72),-('Diário 4º PA'!$P$4:$P$2564=M$1),('Diário 4º PA'!$F$4:$F$2564))</f>
        <v>0</v>
      </c>
      <c r="N72" s="183">
        <f>SUMPRODUCT(-('Diário 1º PA'!$E$4:$E$2635='Analítico Cx.'!$B72),-('Diário 1º PA'!$P$4:$P$2635=N$1),('Diário 1º PA'!$F$4:$F$2635))+SUMPRODUCT(-('Diário 2º PA'!$E$4:$E$3040='Analítico Cx.'!$B72),-('Diário 2º PA'!$P$4:$P$3040=N$1),('Diário 2º PA'!$F$4:$F$3040))+SUMPRODUCT(-('Diário 3º PA'!$E$4:$E$2731='Analítico Cx.'!$B72),-('Diário 3º PA'!$P$4:$P$2731=N$1),('Diário 3º PA'!$F$4:$F$2731))+SUMPRODUCT(-('Diário 4º PA'!$E$4:$E$2564='Analítico Cx.'!$B72),-('Diário 4º PA'!$P$4:$P$2564=N$1),('Diário 4º PA'!$F$4:$F$2564))</f>
        <v>0</v>
      </c>
      <c r="O72" s="184">
        <f t="shared" si="16"/>
        <v>0</v>
      </c>
      <c r="P72" s="167">
        <f t="shared" si="15"/>
        <v>0</v>
      </c>
    </row>
    <row r="73" spans="1:16" ht="23.25" customHeight="1" x14ac:dyDescent="0.2">
      <c r="A73" s="61" t="s">
        <v>125</v>
      </c>
      <c r="B73" s="102" t="s">
        <v>184</v>
      </c>
      <c r="C73" s="183">
        <f>SUMPRODUCT(-('Diário 1º PA'!$E$4:$E$2635='Analítico Cx.'!$B73),-('Diário 1º PA'!$P$4:$P$2635=C$1),('Diário 1º PA'!$F$4:$F$2635))+SUMPRODUCT(-('Diário 2º PA'!$E$4:$E$3040='Analítico Cx.'!$B73),-('Diário 2º PA'!$P$4:$P$3040=C$1),('Diário 2º PA'!$F$4:$F$3040))+SUMPRODUCT(-('Diário 3º PA'!$E$4:$E$2731='Analítico Cx.'!$B73),-('Diário 3º PA'!$P$4:$P$2731=C$1),('Diário 3º PA'!$F$4:$F$2731))+SUMPRODUCT(-('Diário 4º PA'!$E$4:$E$2564='Analítico Cx.'!$B73),-('Diário 4º PA'!$P$4:$P$2564=C$1),('Diário 4º PA'!$F$4:$F$2564))</f>
        <v>0</v>
      </c>
      <c r="D73" s="183">
        <f>SUMPRODUCT(-('Diário 1º PA'!$E$4:$E$2635='Analítico Cx.'!$B73),-('Diário 1º PA'!$P$4:$P$2635=D$1),('Diário 1º PA'!$F$4:$F$2635))+SUMPRODUCT(-('Diário 2º PA'!$E$4:$E$3040='Analítico Cx.'!$B73),-('Diário 2º PA'!$P$4:$P$3040=D$1),('Diário 2º PA'!$F$4:$F$3040))+SUMPRODUCT(-('Diário 3º PA'!$E$4:$E$2731='Analítico Cx.'!$B73),-('Diário 3º PA'!$P$4:$P$2731=D$1),('Diário 3º PA'!$F$4:$F$2731))+SUMPRODUCT(-('Diário 4º PA'!$E$4:$E$2564='Analítico Cx.'!$B73),-('Diário 4º PA'!$P$4:$P$2564=D$1),('Diário 4º PA'!$F$4:$F$2564))</f>
        <v>0</v>
      </c>
      <c r="E73" s="183">
        <f>SUMPRODUCT(-('Diário 1º PA'!$E$4:$E$2635='Analítico Cx.'!$B73),-('Diário 1º PA'!$P$4:$P$2635=E$1),('Diário 1º PA'!$F$4:$F$2635))+SUMPRODUCT(-('Diário 2º PA'!$E$4:$E$3040='Analítico Cx.'!$B73),-('Diário 2º PA'!$P$4:$P$3040=E$1),('Diário 2º PA'!$F$4:$F$3040))+SUMPRODUCT(-('Diário 3º PA'!$E$4:$E$2731='Analítico Cx.'!$B73),-('Diário 3º PA'!$P$4:$P$2731=E$1),('Diário 3º PA'!$F$4:$F$2731))+SUMPRODUCT(-('Diário 4º PA'!$E$4:$E$2564='Analítico Cx.'!$B73),-('Diário 4º PA'!$P$4:$P$2564=E$1),('Diário 4º PA'!$F$4:$F$2564))</f>
        <v>0</v>
      </c>
      <c r="F73" s="183">
        <f>SUMPRODUCT(-('Diário 1º PA'!$E$4:$E$2635='Analítico Cx.'!$B73),-('Diário 1º PA'!$P$4:$P$2635=F$1),('Diário 1º PA'!$F$4:$F$2635))+SUMPRODUCT(-('Diário 2º PA'!$E$4:$E$3040='Analítico Cx.'!$B73),-('Diário 2º PA'!$P$4:$P$3040=F$1),('Diário 2º PA'!$F$4:$F$3040))+SUMPRODUCT(-('Diário 3º PA'!$E$4:$E$2731='Analítico Cx.'!$B73),-('Diário 3º PA'!$P$4:$P$2731=F$1),('Diário 3º PA'!$F$4:$F$2731))+SUMPRODUCT(-('Diário 4º PA'!$E$4:$E$2564='Analítico Cx.'!$B73),-('Diário 4º PA'!$P$4:$P$2564=F$1),('Diário 4º PA'!$F$4:$F$2564))</f>
        <v>0</v>
      </c>
      <c r="G73" s="183">
        <f>SUMPRODUCT(-('Diário 1º PA'!$E$4:$E$2635='Analítico Cx.'!$B73),-('Diário 1º PA'!$P$4:$P$2635=G$1),('Diário 1º PA'!$F$4:$F$2635))+SUMPRODUCT(-('Diário 2º PA'!$E$4:$E$3040='Analítico Cx.'!$B73),-('Diário 2º PA'!$P$4:$P$3040=G$1),('Diário 2º PA'!$F$4:$F$3040))+SUMPRODUCT(-('Diário 3º PA'!$E$4:$E$2731='Analítico Cx.'!$B73),-('Diário 3º PA'!$P$4:$P$2731=G$1),('Diário 3º PA'!$F$4:$F$2731))+SUMPRODUCT(-('Diário 4º PA'!$E$4:$E$2564='Analítico Cx.'!$B73),-('Diário 4º PA'!$P$4:$P$2564=G$1),('Diário 4º PA'!$F$4:$F$2564))</f>
        <v>0</v>
      </c>
      <c r="H73" s="183">
        <f>SUMPRODUCT(-('Diário 1º PA'!$E$4:$E$2635='Analítico Cx.'!$B73),-('Diário 1º PA'!$P$4:$P$2635=H$1),('Diário 1º PA'!$F$4:$F$2635))+SUMPRODUCT(-('Diário 2º PA'!$E$4:$E$3040='Analítico Cx.'!$B73),-('Diário 2º PA'!$P$4:$P$3040=H$1),('Diário 2º PA'!$F$4:$F$3040))+SUMPRODUCT(-('Diário 3º PA'!$E$4:$E$2731='Analítico Cx.'!$B73),-('Diário 3º PA'!$P$4:$P$2731=H$1),('Diário 3º PA'!$F$4:$F$2731))+SUMPRODUCT(-('Diário 4º PA'!$E$4:$E$2564='Analítico Cx.'!$B73),-('Diário 4º PA'!$P$4:$P$2564=H$1),('Diário 4º PA'!$F$4:$F$2564))</f>
        <v>0</v>
      </c>
      <c r="I73" s="183">
        <f>SUMPRODUCT(-('Diário 1º PA'!$E$4:$E$2635='Analítico Cx.'!$B73),-('Diário 1º PA'!$P$4:$P$2635=I$1),('Diário 1º PA'!$F$4:$F$2635))+SUMPRODUCT(-('Diário 2º PA'!$E$4:$E$3040='Analítico Cx.'!$B73),-('Diário 2º PA'!$P$4:$P$3040=I$1),('Diário 2º PA'!$F$4:$F$3040))+SUMPRODUCT(-('Diário 3º PA'!$E$4:$E$2731='Analítico Cx.'!$B73),-('Diário 3º PA'!$P$4:$P$2731=I$1),('Diário 3º PA'!$F$4:$F$2731))+SUMPRODUCT(-('Diário 4º PA'!$E$4:$E$2564='Analítico Cx.'!$B73),-('Diário 4º PA'!$P$4:$P$2564=I$1),('Diário 4º PA'!$F$4:$F$2564))</f>
        <v>0</v>
      </c>
      <c r="J73" s="183">
        <f>SUMPRODUCT(-('Diário 1º PA'!$E$4:$E$2635='Analítico Cx.'!$B73),-('Diário 1º PA'!$P$4:$P$2635=J$1),('Diário 1º PA'!$F$4:$F$2635))+SUMPRODUCT(-('Diário 2º PA'!$E$4:$E$3040='Analítico Cx.'!$B73),-('Diário 2º PA'!$P$4:$P$3040=J$1),('Diário 2º PA'!$F$4:$F$3040))+SUMPRODUCT(-('Diário 3º PA'!$E$4:$E$2731='Analítico Cx.'!$B73),-('Diário 3º PA'!$P$4:$P$2731=J$1),('Diário 3º PA'!$F$4:$F$2731))+SUMPRODUCT(-('Diário 4º PA'!$E$4:$E$2564='Analítico Cx.'!$B73),-('Diário 4º PA'!$P$4:$P$2564=J$1),('Diário 4º PA'!$F$4:$F$2564))</f>
        <v>0</v>
      </c>
      <c r="K73" s="183">
        <f>SUMPRODUCT(-('Diário 1º PA'!$E$4:$E$2635='Analítico Cx.'!$B73),-('Diário 1º PA'!$P$4:$P$2635=K$1),('Diário 1º PA'!$F$4:$F$2635))+SUMPRODUCT(-('Diário 2º PA'!$E$4:$E$3040='Analítico Cx.'!$B73),-('Diário 2º PA'!$P$4:$P$3040=K$1),('Diário 2º PA'!$F$4:$F$3040))+SUMPRODUCT(-('Diário 3º PA'!$E$4:$E$2731='Analítico Cx.'!$B73),-('Diário 3º PA'!$P$4:$P$2731=K$1),('Diário 3º PA'!$F$4:$F$2731))+SUMPRODUCT(-('Diário 4º PA'!$E$4:$E$2564='Analítico Cx.'!$B73),-('Diário 4º PA'!$P$4:$P$2564=K$1),('Diário 4º PA'!$F$4:$F$2564))</f>
        <v>0</v>
      </c>
      <c r="L73" s="183">
        <f>SUMPRODUCT(-('Diário 1º PA'!$E$4:$E$2635='Analítico Cx.'!$B73),-('Diário 1º PA'!$P$4:$P$2635=L$1),('Diário 1º PA'!$F$4:$F$2635))+SUMPRODUCT(-('Diário 2º PA'!$E$4:$E$3040='Analítico Cx.'!$B73),-('Diário 2º PA'!$P$4:$P$3040=L$1),('Diário 2º PA'!$F$4:$F$3040))+SUMPRODUCT(-('Diário 3º PA'!$E$4:$E$2731='Analítico Cx.'!$B73),-('Diário 3º PA'!$P$4:$P$2731=L$1),('Diário 3º PA'!$F$4:$F$2731))+SUMPRODUCT(-('Diário 4º PA'!$E$4:$E$2564='Analítico Cx.'!$B73),-('Diário 4º PA'!$P$4:$P$2564=L$1),('Diário 4º PA'!$F$4:$F$2564))</f>
        <v>0</v>
      </c>
      <c r="M73" s="183">
        <f>SUMPRODUCT(-('Diário 1º PA'!$E$4:$E$2635='Analítico Cx.'!$B73),-('Diário 1º PA'!$P$4:$P$2635=M$1),('Diário 1º PA'!$F$4:$F$2635))+SUMPRODUCT(-('Diário 2º PA'!$E$4:$E$3040='Analítico Cx.'!$B73),-('Diário 2º PA'!$P$4:$P$3040=M$1),('Diário 2º PA'!$F$4:$F$3040))+SUMPRODUCT(-('Diário 3º PA'!$E$4:$E$2731='Analítico Cx.'!$B73),-('Diário 3º PA'!$P$4:$P$2731=M$1),('Diário 3º PA'!$F$4:$F$2731))+SUMPRODUCT(-('Diário 4º PA'!$E$4:$E$2564='Analítico Cx.'!$B73),-('Diário 4º PA'!$P$4:$P$2564=M$1),('Diário 4º PA'!$F$4:$F$2564))</f>
        <v>0</v>
      </c>
      <c r="N73" s="183">
        <f>SUMPRODUCT(-('Diário 1º PA'!$E$4:$E$2635='Analítico Cx.'!$B73),-('Diário 1º PA'!$P$4:$P$2635=N$1),('Diário 1º PA'!$F$4:$F$2635))+SUMPRODUCT(-('Diário 2º PA'!$E$4:$E$3040='Analítico Cx.'!$B73),-('Diário 2º PA'!$P$4:$P$3040=N$1),('Diário 2º PA'!$F$4:$F$3040))+SUMPRODUCT(-('Diário 3º PA'!$E$4:$E$2731='Analítico Cx.'!$B73),-('Diário 3º PA'!$P$4:$P$2731=N$1),('Diário 3º PA'!$F$4:$F$2731))+SUMPRODUCT(-('Diário 4º PA'!$E$4:$E$2564='Analítico Cx.'!$B73),-('Diário 4º PA'!$P$4:$P$2564=N$1),('Diário 4º PA'!$F$4:$F$2564))</f>
        <v>600</v>
      </c>
      <c r="O73" s="184">
        <f t="shared" si="16"/>
        <v>600</v>
      </c>
      <c r="P73" s="167">
        <f t="shared" si="15"/>
        <v>4.7259026889424595E-5</v>
      </c>
    </row>
    <row r="74" spans="1:16" ht="23.25" customHeight="1" x14ac:dyDescent="0.2">
      <c r="A74" s="61" t="s">
        <v>126</v>
      </c>
      <c r="B74" s="104" t="s">
        <v>222</v>
      </c>
      <c r="C74" s="183">
        <f>SUMPRODUCT(-('Diário 1º PA'!$E$4:$E$2635='Analítico Cx.'!$B74),-('Diário 1º PA'!$P$4:$P$2635=C$1),('Diário 1º PA'!$F$4:$F$2635))+SUMPRODUCT(-('Diário 2º PA'!$E$4:$E$3040='Analítico Cx.'!$B74),-('Diário 2º PA'!$P$4:$P$3040=C$1),('Diário 2º PA'!$F$4:$F$3040))+SUMPRODUCT(-('Diário 3º PA'!$E$4:$E$2731='Analítico Cx.'!$B74),-('Diário 3º PA'!$P$4:$P$2731=C$1),('Diário 3º PA'!$F$4:$F$2731))+SUMPRODUCT(-('Diário 4º PA'!$E$4:$E$2564='Analítico Cx.'!$B74),-('Diário 4º PA'!$P$4:$P$2564=C$1),('Diário 4º PA'!$F$4:$F$2564))</f>
        <v>0</v>
      </c>
      <c r="D74" s="183">
        <f>SUMPRODUCT(-('Diário 1º PA'!$E$4:$E$2635='Analítico Cx.'!$B74),-('Diário 1º PA'!$P$4:$P$2635=D$1),('Diário 1º PA'!$F$4:$F$2635))+SUMPRODUCT(-('Diário 2º PA'!$E$4:$E$3040='Analítico Cx.'!$B74),-('Diário 2º PA'!$P$4:$P$3040=D$1),('Diário 2º PA'!$F$4:$F$3040))+SUMPRODUCT(-('Diário 3º PA'!$E$4:$E$2731='Analítico Cx.'!$B74),-('Diário 3º PA'!$P$4:$P$2731=D$1),('Diário 3º PA'!$F$4:$F$2731))+SUMPRODUCT(-('Diário 4º PA'!$E$4:$E$2564='Analítico Cx.'!$B74),-('Diário 4º PA'!$P$4:$P$2564=D$1),('Diário 4º PA'!$F$4:$F$2564))</f>
        <v>0</v>
      </c>
      <c r="E74" s="183">
        <f>SUMPRODUCT(-('Diário 1º PA'!$E$4:$E$2635='Analítico Cx.'!$B74),-('Diário 1º PA'!$P$4:$P$2635=E$1),('Diário 1º PA'!$F$4:$F$2635))+SUMPRODUCT(-('Diário 2º PA'!$E$4:$E$3040='Analítico Cx.'!$B74),-('Diário 2º PA'!$P$4:$P$3040=E$1),('Diário 2º PA'!$F$4:$F$3040))+SUMPRODUCT(-('Diário 3º PA'!$E$4:$E$2731='Analítico Cx.'!$B74),-('Diário 3º PA'!$P$4:$P$2731=E$1),('Diário 3º PA'!$F$4:$F$2731))+SUMPRODUCT(-('Diário 4º PA'!$E$4:$E$2564='Analítico Cx.'!$B74),-('Diário 4º PA'!$P$4:$P$2564=E$1),('Diário 4º PA'!$F$4:$F$2564))</f>
        <v>0</v>
      </c>
      <c r="F74" s="183">
        <f>SUMPRODUCT(-('Diário 1º PA'!$E$4:$E$2635='Analítico Cx.'!$B74),-('Diário 1º PA'!$P$4:$P$2635=F$1),('Diário 1º PA'!$F$4:$F$2635))+SUMPRODUCT(-('Diário 2º PA'!$E$4:$E$3040='Analítico Cx.'!$B74),-('Diário 2º PA'!$P$4:$P$3040=F$1),('Diário 2º PA'!$F$4:$F$3040))+SUMPRODUCT(-('Diário 3º PA'!$E$4:$E$2731='Analítico Cx.'!$B74),-('Diário 3º PA'!$P$4:$P$2731=F$1),('Diário 3º PA'!$F$4:$F$2731))+SUMPRODUCT(-('Diário 4º PA'!$E$4:$E$2564='Analítico Cx.'!$B74),-('Diário 4º PA'!$P$4:$P$2564=F$1),('Diário 4º PA'!$F$4:$F$2564))</f>
        <v>0</v>
      </c>
      <c r="G74" s="183">
        <f>SUMPRODUCT(-('Diário 1º PA'!$E$4:$E$2635='Analítico Cx.'!$B74),-('Diário 1º PA'!$P$4:$P$2635=G$1),('Diário 1º PA'!$F$4:$F$2635))+SUMPRODUCT(-('Diário 2º PA'!$E$4:$E$3040='Analítico Cx.'!$B74),-('Diário 2º PA'!$P$4:$P$3040=G$1),('Diário 2º PA'!$F$4:$F$3040))+SUMPRODUCT(-('Diário 3º PA'!$E$4:$E$2731='Analítico Cx.'!$B74),-('Diário 3º PA'!$P$4:$P$2731=G$1),('Diário 3º PA'!$F$4:$F$2731))+SUMPRODUCT(-('Diário 4º PA'!$E$4:$E$2564='Analítico Cx.'!$B74),-('Diário 4º PA'!$P$4:$P$2564=G$1),('Diário 4º PA'!$F$4:$F$2564))</f>
        <v>0</v>
      </c>
      <c r="H74" s="183">
        <f>SUMPRODUCT(-('Diário 1º PA'!$E$4:$E$2635='Analítico Cx.'!$B74),-('Diário 1º PA'!$P$4:$P$2635=H$1),('Diário 1º PA'!$F$4:$F$2635))+SUMPRODUCT(-('Diário 2º PA'!$E$4:$E$3040='Analítico Cx.'!$B74),-('Diário 2º PA'!$P$4:$P$3040=H$1),('Diário 2º PA'!$F$4:$F$3040))+SUMPRODUCT(-('Diário 3º PA'!$E$4:$E$2731='Analítico Cx.'!$B74),-('Diário 3º PA'!$P$4:$P$2731=H$1),('Diário 3º PA'!$F$4:$F$2731))+SUMPRODUCT(-('Diário 4º PA'!$E$4:$E$2564='Analítico Cx.'!$B74),-('Diário 4º PA'!$P$4:$P$2564=H$1),('Diário 4º PA'!$F$4:$F$2564))</f>
        <v>0</v>
      </c>
      <c r="I74" s="183">
        <f>SUMPRODUCT(-('Diário 1º PA'!$E$4:$E$2635='Analítico Cx.'!$B74),-('Diário 1º PA'!$P$4:$P$2635=I$1),('Diário 1º PA'!$F$4:$F$2635))+SUMPRODUCT(-('Diário 2º PA'!$E$4:$E$3040='Analítico Cx.'!$B74),-('Diário 2º PA'!$P$4:$P$3040=I$1),('Diário 2º PA'!$F$4:$F$3040))+SUMPRODUCT(-('Diário 3º PA'!$E$4:$E$2731='Analítico Cx.'!$B74),-('Diário 3º PA'!$P$4:$P$2731=I$1),('Diário 3º PA'!$F$4:$F$2731))+SUMPRODUCT(-('Diário 4º PA'!$E$4:$E$2564='Analítico Cx.'!$B74),-('Diário 4º PA'!$P$4:$P$2564=I$1),('Diário 4º PA'!$F$4:$F$2564))</f>
        <v>0</v>
      </c>
      <c r="J74" s="183">
        <f>SUMPRODUCT(-('Diário 1º PA'!$E$4:$E$2635='Analítico Cx.'!$B74),-('Diário 1º PA'!$P$4:$P$2635=J$1),('Diário 1º PA'!$F$4:$F$2635))+SUMPRODUCT(-('Diário 2º PA'!$E$4:$E$3040='Analítico Cx.'!$B74),-('Diário 2º PA'!$P$4:$P$3040=J$1),('Diário 2º PA'!$F$4:$F$3040))+SUMPRODUCT(-('Diário 3º PA'!$E$4:$E$2731='Analítico Cx.'!$B74),-('Diário 3º PA'!$P$4:$P$2731=J$1),('Diário 3º PA'!$F$4:$F$2731))+SUMPRODUCT(-('Diário 4º PA'!$E$4:$E$2564='Analítico Cx.'!$B74),-('Diário 4º PA'!$P$4:$P$2564=J$1),('Diário 4º PA'!$F$4:$F$2564))</f>
        <v>0</v>
      </c>
      <c r="K74" s="183">
        <f>SUMPRODUCT(-('Diário 1º PA'!$E$4:$E$2635='Analítico Cx.'!$B74),-('Diário 1º PA'!$P$4:$P$2635=K$1),('Diário 1º PA'!$F$4:$F$2635))+SUMPRODUCT(-('Diário 2º PA'!$E$4:$E$3040='Analítico Cx.'!$B74),-('Diário 2º PA'!$P$4:$P$3040=K$1),('Diário 2º PA'!$F$4:$F$3040))+SUMPRODUCT(-('Diário 3º PA'!$E$4:$E$2731='Analítico Cx.'!$B74),-('Diário 3º PA'!$P$4:$P$2731=K$1),('Diário 3º PA'!$F$4:$F$2731))+SUMPRODUCT(-('Diário 4º PA'!$E$4:$E$2564='Analítico Cx.'!$B74),-('Diário 4º PA'!$P$4:$P$2564=K$1),('Diário 4º PA'!$F$4:$F$2564))</f>
        <v>0</v>
      </c>
      <c r="L74" s="183">
        <f>SUMPRODUCT(-('Diário 1º PA'!$E$4:$E$2635='Analítico Cx.'!$B74),-('Diário 1º PA'!$P$4:$P$2635=L$1),('Diário 1º PA'!$F$4:$F$2635))+SUMPRODUCT(-('Diário 2º PA'!$E$4:$E$3040='Analítico Cx.'!$B74),-('Diário 2º PA'!$P$4:$P$3040=L$1),('Diário 2º PA'!$F$4:$F$3040))+SUMPRODUCT(-('Diário 3º PA'!$E$4:$E$2731='Analítico Cx.'!$B74),-('Diário 3º PA'!$P$4:$P$2731=L$1),('Diário 3º PA'!$F$4:$F$2731))+SUMPRODUCT(-('Diário 4º PA'!$E$4:$E$2564='Analítico Cx.'!$B74),-('Diário 4º PA'!$P$4:$P$2564=L$1),('Diário 4º PA'!$F$4:$F$2564))</f>
        <v>0</v>
      </c>
      <c r="M74" s="183">
        <f>SUMPRODUCT(-('Diário 1º PA'!$E$4:$E$2635='Analítico Cx.'!$B74),-('Diário 1º PA'!$P$4:$P$2635=M$1),('Diário 1º PA'!$F$4:$F$2635))+SUMPRODUCT(-('Diário 2º PA'!$E$4:$E$3040='Analítico Cx.'!$B74),-('Diário 2º PA'!$P$4:$P$3040=M$1),('Diário 2º PA'!$F$4:$F$3040))+SUMPRODUCT(-('Diário 3º PA'!$E$4:$E$2731='Analítico Cx.'!$B74),-('Diário 3º PA'!$P$4:$P$2731=M$1),('Diário 3º PA'!$F$4:$F$2731))+SUMPRODUCT(-('Diário 4º PA'!$E$4:$E$2564='Analítico Cx.'!$B74),-('Diário 4º PA'!$P$4:$P$2564=M$1),('Diário 4º PA'!$F$4:$F$2564))</f>
        <v>0</v>
      </c>
      <c r="N74" s="183">
        <f>SUMPRODUCT(-('Diário 1º PA'!$E$4:$E$2635='Analítico Cx.'!$B74),-('Diário 1º PA'!$P$4:$P$2635=N$1),('Diário 1º PA'!$F$4:$F$2635))+SUMPRODUCT(-('Diário 2º PA'!$E$4:$E$3040='Analítico Cx.'!$B74),-('Diário 2º PA'!$P$4:$P$3040=N$1),('Diário 2º PA'!$F$4:$F$3040))+SUMPRODUCT(-('Diário 3º PA'!$E$4:$E$2731='Analítico Cx.'!$B74),-('Diário 3º PA'!$P$4:$P$2731=N$1),('Diário 3º PA'!$F$4:$F$2731))+SUMPRODUCT(-('Diário 4º PA'!$E$4:$E$2564='Analítico Cx.'!$B74),-('Diário 4º PA'!$P$4:$P$2564=N$1),('Diário 4º PA'!$F$4:$F$2564))</f>
        <v>0</v>
      </c>
      <c r="O74" s="184">
        <f t="shared" si="16"/>
        <v>0</v>
      </c>
      <c r="P74" s="167">
        <f t="shared" si="15"/>
        <v>0</v>
      </c>
    </row>
    <row r="75" spans="1:16" ht="23.25" customHeight="1" x14ac:dyDescent="0.2">
      <c r="A75" s="61" t="s">
        <v>127</v>
      </c>
      <c r="B75" s="102" t="s">
        <v>66</v>
      </c>
      <c r="C75" s="183">
        <f>SUMPRODUCT(-('Diário 1º PA'!$E$4:$E$2635='Analítico Cx.'!$B75),-('Diário 1º PA'!$P$4:$P$2635=C$1),('Diário 1º PA'!$F$4:$F$2635))+SUMPRODUCT(-('Diário 2º PA'!$E$4:$E$3040='Analítico Cx.'!$B75),-('Diário 2º PA'!$P$4:$P$3040=C$1),('Diário 2º PA'!$F$4:$F$3040))+SUMPRODUCT(-('Diário 3º PA'!$E$4:$E$2731='Analítico Cx.'!$B75),-('Diário 3º PA'!$P$4:$P$2731=C$1),('Diário 3º PA'!$F$4:$F$2731))+SUMPRODUCT(-('Diário 4º PA'!$E$4:$E$2564='Analítico Cx.'!$B75),-('Diário 4º PA'!$P$4:$P$2564=C$1),('Diário 4º PA'!$F$4:$F$2564))</f>
        <v>0</v>
      </c>
      <c r="D75" s="183">
        <f>SUMPRODUCT(-('Diário 1º PA'!$E$4:$E$2635='Analítico Cx.'!$B75),-('Diário 1º PA'!$P$4:$P$2635=D$1),('Diário 1º PA'!$F$4:$F$2635))+SUMPRODUCT(-('Diário 2º PA'!$E$4:$E$3040='Analítico Cx.'!$B75),-('Diário 2º PA'!$P$4:$P$3040=D$1),('Diário 2º PA'!$F$4:$F$3040))+SUMPRODUCT(-('Diário 3º PA'!$E$4:$E$2731='Analítico Cx.'!$B75),-('Diário 3º PA'!$P$4:$P$2731=D$1),('Diário 3º PA'!$F$4:$F$2731))+SUMPRODUCT(-('Diário 4º PA'!$E$4:$E$2564='Analítico Cx.'!$B75),-('Diário 4º PA'!$P$4:$P$2564=D$1),('Diário 4º PA'!$F$4:$F$2564))</f>
        <v>0</v>
      </c>
      <c r="E75" s="183">
        <f>SUMPRODUCT(-('Diário 1º PA'!$E$4:$E$2635='Analítico Cx.'!$B75),-('Diário 1º PA'!$P$4:$P$2635=E$1),('Diário 1º PA'!$F$4:$F$2635))+SUMPRODUCT(-('Diário 2º PA'!$E$4:$E$3040='Analítico Cx.'!$B75),-('Diário 2º PA'!$P$4:$P$3040=E$1),('Diário 2º PA'!$F$4:$F$3040))+SUMPRODUCT(-('Diário 3º PA'!$E$4:$E$2731='Analítico Cx.'!$B75),-('Diário 3º PA'!$P$4:$P$2731=E$1),('Diário 3º PA'!$F$4:$F$2731))+SUMPRODUCT(-('Diário 4º PA'!$E$4:$E$2564='Analítico Cx.'!$B75),-('Diário 4º PA'!$P$4:$P$2564=E$1),('Diário 4º PA'!$F$4:$F$2564))</f>
        <v>0</v>
      </c>
      <c r="F75" s="183">
        <f>SUMPRODUCT(-('Diário 1º PA'!$E$4:$E$2635='Analítico Cx.'!$B75),-('Diário 1º PA'!$P$4:$P$2635=F$1),('Diário 1º PA'!$F$4:$F$2635))+SUMPRODUCT(-('Diário 2º PA'!$E$4:$E$3040='Analítico Cx.'!$B75),-('Diário 2º PA'!$P$4:$P$3040=F$1),('Diário 2º PA'!$F$4:$F$3040))+SUMPRODUCT(-('Diário 3º PA'!$E$4:$E$2731='Analítico Cx.'!$B75),-('Diário 3º PA'!$P$4:$P$2731=F$1),('Diário 3º PA'!$F$4:$F$2731))+SUMPRODUCT(-('Diário 4º PA'!$E$4:$E$2564='Analítico Cx.'!$B75),-('Diário 4º PA'!$P$4:$P$2564=F$1),('Diário 4º PA'!$F$4:$F$2564))</f>
        <v>0</v>
      </c>
      <c r="G75" s="183">
        <f>SUMPRODUCT(-('Diário 1º PA'!$E$4:$E$2635='Analítico Cx.'!$B75),-('Diário 1º PA'!$P$4:$P$2635=G$1),('Diário 1º PA'!$F$4:$F$2635))+SUMPRODUCT(-('Diário 2º PA'!$E$4:$E$3040='Analítico Cx.'!$B75),-('Diário 2º PA'!$P$4:$P$3040=G$1),('Diário 2º PA'!$F$4:$F$3040))+SUMPRODUCT(-('Diário 3º PA'!$E$4:$E$2731='Analítico Cx.'!$B75),-('Diário 3º PA'!$P$4:$P$2731=G$1),('Diário 3º PA'!$F$4:$F$2731))+SUMPRODUCT(-('Diário 4º PA'!$E$4:$E$2564='Analítico Cx.'!$B75),-('Diário 4º PA'!$P$4:$P$2564=G$1),('Diário 4º PA'!$F$4:$F$2564))</f>
        <v>0</v>
      </c>
      <c r="H75" s="183">
        <f>SUMPRODUCT(-('Diário 1º PA'!$E$4:$E$2635='Analítico Cx.'!$B75),-('Diário 1º PA'!$P$4:$P$2635=H$1),('Diário 1º PA'!$F$4:$F$2635))+SUMPRODUCT(-('Diário 2º PA'!$E$4:$E$3040='Analítico Cx.'!$B75),-('Diário 2º PA'!$P$4:$P$3040=H$1),('Diário 2º PA'!$F$4:$F$3040))+SUMPRODUCT(-('Diário 3º PA'!$E$4:$E$2731='Analítico Cx.'!$B75),-('Diário 3º PA'!$P$4:$P$2731=H$1),('Diário 3º PA'!$F$4:$F$2731))+SUMPRODUCT(-('Diário 4º PA'!$E$4:$E$2564='Analítico Cx.'!$B75),-('Diário 4º PA'!$P$4:$P$2564=H$1),('Diário 4º PA'!$F$4:$F$2564))</f>
        <v>0</v>
      </c>
      <c r="I75" s="183">
        <f>SUMPRODUCT(-('Diário 1º PA'!$E$4:$E$2635='Analítico Cx.'!$B75),-('Diário 1º PA'!$P$4:$P$2635=I$1),('Diário 1º PA'!$F$4:$F$2635))+SUMPRODUCT(-('Diário 2º PA'!$E$4:$E$3040='Analítico Cx.'!$B75),-('Diário 2º PA'!$P$4:$P$3040=I$1),('Diário 2º PA'!$F$4:$F$3040))+SUMPRODUCT(-('Diário 3º PA'!$E$4:$E$2731='Analítico Cx.'!$B75),-('Diário 3º PA'!$P$4:$P$2731=I$1),('Diário 3º PA'!$F$4:$F$2731))+SUMPRODUCT(-('Diário 4º PA'!$E$4:$E$2564='Analítico Cx.'!$B75),-('Diário 4º PA'!$P$4:$P$2564=I$1),('Diário 4º PA'!$F$4:$F$2564))</f>
        <v>0</v>
      </c>
      <c r="J75" s="183">
        <f>SUMPRODUCT(-('Diário 1º PA'!$E$4:$E$2635='Analítico Cx.'!$B75),-('Diário 1º PA'!$P$4:$P$2635=J$1),('Diário 1º PA'!$F$4:$F$2635))+SUMPRODUCT(-('Diário 2º PA'!$E$4:$E$3040='Analítico Cx.'!$B75),-('Diário 2º PA'!$P$4:$P$3040=J$1),('Diário 2º PA'!$F$4:$F$3040))+SUMPRODUCT(-('Diário 3º PA'!$E$4:$E$2731='Analítico Cx.'!$B75),-('Diário 3º PA'!$P$4:$P$2731=J$1),('Diário 3º PA'!$F$4:$F$2731))+SUMPRODUCT(-('Diário 4º PA'!$E$4:$E$2564='Analítico Cx.'!$B75),-('Diário 4º PA'!$P$4:$P$2564=J$1),('Diário 4º PA'!$F$4:$F$2564))</f>
        <v>0</v>
      </c>
      <c r="K75" s="183">
        <f>SUMPRODUCT(-('Diário 1º PA'!$E$4:$E$2635='Analítico Cx.'!$B75),-('Diário 1º PA'!$P$4:$P$2635=K$1),('Diário 1º PA'!$F$4:$F$2635))+SUMPRODUCT(-('Diário 2º PA'!$E$4:$E$3040='Analítico Cx.'!$B75),-('Diário 2º PA'!$P$4:$P$3040=K$1),('Diário 2º PA'!$F$4:$F$3040))+SUMPRODUCT(-('Diário 3º PA'!$E$4:$E$2731='Analítico Cx.'!$B75),-('Diário 3º PA'!$P$4:$P$2731=K$1),('Diário 3º PA'!$F$4:$F$2731))+SUMPRODUCT(-('Diário 4º PA'!$E$4:$E$2564='Analítico Cx.'!$B75),-('Diário 4º PA'!$P$4:$P$2564=K$1),('Diário 4º PA'!$F$4:$F$2564))</f>
        <v>0</v>
      </c>
      <c r="L75" s="183">
        <f>SUMPRODUCT(-('Diário 1º PA'!$E$4:$E$2635='Analítico Cx.'!$B75),-('Diário 1º PA'!$P$4:$P$2635=L$1),('Diário 1º PA'!$F$4:$F$2635))+SUMPRODUCT(-('Diário 2º PA'!$E$4:$E$3040='Analítico Cx.'!$B75),-('Diário 2º PA'!$P$4:$P$3040=L$1),('Diário 2º PA'!$F$4:$F$3040))+SUMPRODUCT(-('Diário 3º PA'!$E$4:$E$2731='Analítico Cx.'!$B75),-('Diário 3º PA'!$P$4:$P$2731=L$1),('Diário 3º PA'!$F$4:$F$2731))+SUMPRODUCT(-('Diário 4º PA'!$E$4:$E$2564='Analítico Cx.'!$B75),-('Diário 4º PA'!$P$4:$P$2564=L$1),('Diário 4º PA'!$F$4:$F$2564))</f>
        <v>0</v>
      </c>
      <c r="M75" s="183">
        <f>SUMPRODUCT(-('Diário 1º PA'!$E$4:$E$2635='Analítico Cx.'!$B75),-('Diário 1º PA'!$P$4:$P$2635=M$1),('Diário 1º PA'!$F$4:$F$2635))+SUMPRODUCT(-('Diário 2º PA'!$E$4:$E$3040='Analítico Cx.'!$B75),-('Diário 2º PA'!$P$4:$P$3040=M$1),('Diário 2º PA'!$F$4:$F$3040))+SUMPRODUCT(-('Diário 3º PA'!$E$4:$E$2731='Analítico Cx.'!$B75),-('Diário 3º PA'!$P$4:$P$2731=M$1),('Diário 3º PA'!$F$4:$F$2731))+SUMPRODUCT(-('Diário 4º PA'!$E$4:$E$2564='Analítico Cx.'!$B75),-('Diário 4º PA'!$P$4:$P$2564=M$1),('Diário 4º PA'!$F$4:$F$2564))</f>
        <v>0</v>
      </c>
      <c r="N75" s="183">
        <f>SUMPRODUCT(-('Diário 1º PA'!$E$4:$E$2635='Analítico Cx.'!$B75),-('Diário 1º PA'!$P$4:$P$2635=N$1),('Diário 1º PA'!$F$4:$F$2635))+SUMPRODUCT(-('Diário 2º PA'!$E$4:$E$3040='Analítico Cx.'!$B75),-('Diário 2º PA'!$P$4:$P$3040=N$1),('Diário 2º PA'!$F$4:$F$3040))+SUMPRODUCT(-('Diário 3º PA'!$E$4:$E$2731='Analítico Cx.'!$B75),-('Diário 3º PA'!$P$4:$P$2731=N$1),('Diário 3º PA'!$F$4:$F$2731))+SUMPRODUCT(-('Diário 4º PA'!$E$4:$E$2564='Analítico Cx.'!$B75),-('Diário 4º PA'!$P$4:$P$2564=N$1),('Diário 4º PA'!$F$4:$F$2564))</f>
        <v>0</v>
      </c>
      <c r="O75" s="184">
        <f t="shared" si="16"/>
        <v>0</v>
      </c>
      <c r="P75" s="167">
        <f t="shared" si="15"/>
        <v>0</v>
      </c>
    </row>
    <row r="76" spans="1:16" ht="23.25" customHeight="1" x14ac:dyDescent="0.2">
      <c r="A76" s="61" t="s">
        <v>128</v>
      </c>
      <c r="B76" s="102" t="s">
        <v>185</v>
      </c>
      <c r="C76" s="183">
        <f>SUMPRODUCT(-('Diário 1º PA'!$E$4:$E$2635='Analítico Cx.'!$B76),-('Diário 1º PA'!$P$4:$P$2635=C$1),('Diário 1º PA'!$F$4:$F$2635))+SUMPRODUCT(-('Diário 2º PA'!$E$4:$E$3040='Analítico Cx.'!$B76),-('Diário 2º PA'!$P$4:$P$3040=C$1),('Diário 2º PA'!$F$4:$F$3040))+SUMPRODUCT(-('Diário 3º PA'!$E$4:$E$2731='Analítico Cx.'!$B76),-('Diário 3º PA'!$P$4:$P$2731=C$1),('Diário 3º PA'!$F$4:$F$2731))+SUMPRODUCT(-('Diário 4º PA'!$E$4:$E$2564='Analítico Cx.'!$B76),-('Diário 4º PA'!$P$4:$P$2564=C$1),('Diário 4º PA'!$F$4:$F$2564))</f>
        <v>0</v>
      </c>
      <c r="D76" s="183">
        <f>SUMPRODUCT(-('Diário 1º PA'!$E$4:$E$2635='Analítico Cx.'!$B76),-('Diário 1º PA'!$P$4:$P$2635=D$1),('Diário 1º PA'!$F$4:$F$2635))+SUMPRODUCT(-('Diário 2º PA'!$E$4:$E$3040='Analítico Cx.'!$B76),-('Diário 2º PA'!$P$4:$P$3040=D$1),('Diário 2º PA'!$F$4:$F$3040))+SUMPRODUCT(-('Diário 3º PA'!$E$4:$E$2731='Analítico Cx.'!$B76),-('Diário 3º PA'!$P$4:$P$2731=D$1),('Diário 3º PA'!$F$4:$F$2731))+SUMPRODUCT(-('Diário 4º PA'!$E$4:$E$2564='Analítico Cx.'!$B76),-('Diário 4º PA'!$P$4:$P$2564=D$1),('Diário 4º PA'!$F$4:$F$2564))</f>
        <v>0</v>
      </c>
      <c r="E76" s="183">
        <f>SUMPRODUCT(-('Diário 1º PA'!$E$4:$E$2635='Analítico Cx.'!$B76),-('Diário 1º PA'!$P$4:$P$2635=E$1),('Diário 1º PA'!$F$4:$F$2635))+SUMPRODUCT(-('Diário 2º PA'!$E$4:$E$3040='Analítico Cx.'!$B76),-('Diário 2º PA'!$P$4:$P$3040=E$1),('Diário 2º PA'!$F$4:$F$3040))+SUMPRODUCT(-('Diário 3º PA'!$E$4:$E$2731='Analítico Cx.'!$B76),-('Diário 3º PA'!$P$4:$P$2731=E$1),('Diário 3º PA'!$F$4:$F$2731))+SUMPRODUCT(-('Diário 4º PA'!$E$4:$E$2564='Analítico Cx.'!$B76),-('Diário 4º PA'!$P$4:$P$2564=E$1),('Diário 4º PA'!$F$4:$F$2564))</f>
        <v>0</v>
      </c>
      <c r="F76" s="183">
        <f>SUMPRODUCT(-('Diário 1º PA'!$E$4:$E$2635='Analítico Cx.'!$B76),-('Diário 1º PA'!$P$4:$P$2635=F$1),('Diário 1º PA'!$F$4:$F$2635))+SUMPRODUCT(-('Diário 2º PA'!$E$4:$E$3040='Analítico Cx.'!$B76),-('Diário 2º PA'!$P$4:$P$3040=F$1),('Diário 2º PA'!$F$4:$F$3040))+SUMPRODUCT(-('Diário 3º PA'!$E$4:$E$2731='Analítico Cx.'!$B76),-('Diário 3º PA'!$P$4:$P$2731=F$1),('Diário 3º PA'!$F$4:$F$2731))+SUMPRODUCT(-('Diário 4º PA'!$E$4:$E$2564='Analítico Cx.'!$B76),-('Diário 4º PA'!$P$4:$P$2564=F$1),('Diário 4º PA'!$F$4:$F$2564))</f>
        <v>0</v>
      </c>
      <c r="G76" s="183">
        <f>SUMPRODUCT(-('Diário 1º PA'!$E$4:$E$2635='Analítico Cx.'!$B76),-('Diário 1º PA'!$P$4:$P$2635=G$1),('Diário 1º PA'!$F$4:$F$2635))+SUMPRODUCT(-('Diário 2º PA'!$E$4:$E$3040='Analítico Cx.'!$B76),-('Diário 2º PA'!$P$4:$P$3040=G$1),('Diário 2º PA'!$F$4:$F$3040))+SUMPRODUCT(-('Diário 3º PA'!$E$4:$E$2731='Analítico Cx.'!$B76),-('Diário 3º PA'!$P$4:$P$2731=G$1),('Diário 3º PA'!$F$4:$F$2731))+SUMPRODUCT(-('Diário 4º PA'!$E$4:$E$2564='Analítico Cx.'!$B76),-('Diário 4º PA'!$P$4:$P$2564=G$1),('Diário 4º PA'!$F$4:$F$2564))</f>
        <v>0</v>
      </c>
      <c r="H76" s="183">
        <f>SUMPRODUCT(-('Diário 1º PA'!$E$4:$E$2635='Analítico Cx.'!$B76),-('Diário 1º PA'!$P$4:$P$2635=H$1),('Diário 1º PA'!$F$4:$F$2635))+SUMPRODUCT(-('Diário 2º PA'!$E$4:$E$3040='Analítico Cx.'!$B76),-('Diário 2º PA'!$P$4:$P$3040=H$1),('Diário 2º PA'!$F$4:$F$3040))+SUMPRODUCT(-('Diário 3º PA'!$E$4:$E$2731='Analítico Cx.'!$B76),-('Diário 3º PA'!$P$4:$P$2731=H$1),('Diário 3º PA'!$F$4:$F$2731))+SUMPRODUCT(-('Diário 4º PA'!$E$4:$E$2564='Analítico Cx.'!$B76),-('Diário 4º PA'!$P$4:$P$2564=H$1),('Diário 4º PA'!$F$4:$F$2564))</f>
        <v>0</v>
      </c>
      <c r="I76" s="183">
        <f>SUMPRODUCT(-('Diário 1º PA'!$E$4:$E$2635='Analítico Cx.'!$B76),-('Diário 1º PA'!$P$4:$P$2635=I$1),('Diário 1º PA'!$F$4:$F$2635))+SUMPRODUCT(-('Diário 2º PA'!$E$4:$E$3040='Analítico Cx.'!$B76),-('Diário 2º PA'!$P$4:$P$3040=I$1),('Diário 2º PA'!$F$4:$F$3040))+SUMPRODUCT(-('Diário 3º PA'!$E$4:$E$2731='Analítico Cx.'!$B76),-('Diário 3º PA'!$P$4:$P$2731=I$1),('Diário 3º PA'!$F$4:$F$2731))+SUMPRODUCT(-('Diário 4º PA'!$E$4:$E$2564='Analítico Cx.'!$B76),-('Diário 4º PA'!$P$4:$P$2564=I$1),('Diário 4º PA'!$F$4:$F$2564))</f>
        <v>0</v>
      </c>
      <c r="J76" s="183">
        <f>SUMPRODUCT(-('Diário 1º PA'!$E$4:$E$2635='Analítico Cx.'!$B76),-('Diário 1º PA'!$P$4:$P$2635=J$1),('Diário 1º PA'!$F$4:$F$2635))+SUMPRODUCT(-('Diário 2º PA'!$E$4:$E$3040='Analítico Cx.'!$B76),-('Diário 2º PA'!$P$4:$P$3040=J$1),('Diário 2º PA'!$F$4:$F$3040))+SUMPRODUCT(-('Diário 3º PA'!$E$4:$E$2731='Analítico Cx.'!$B76),-('Diário 3º PA'!$P$4:$P$2731=J$1),('Diário 3º PA'!$F$4:$F$2731))+SUMPRODUCT(-('Diário 4º PA'!$E$4:$E$2564='Analítico Cx.'!$B76),-('Diário 4º PA'!$P$4:$P$2564=J$1),('Diário 4º PA'!$F$4:$F$2564))</f>
        <v>0</v>
      </c>
      <c r="K76" s="183">
        <f>SUMPRODUCT(-('Diário 1º PA'!$E$4:$E$2635='Analítico Cx.'!$B76),-('Diário 1º PA'!$P$4:$P$2635=K$1),('Diário 1º PA'!$F$4:$F$2635))+SUMPRODUCT(-('Diário 2º PA'!$E$4:$E$3040='Analítico Cx.'!$B76),-('Diário 2º PA'!$P$4:$P$3040=K$1),('Diário 2º PA'!$F$4:$F$3040))+SUMPRODUCT(-('Diário 3º PA'!$E$4:$E$2731='Analítico Cx.'!$B76),-('Diário 3º PA'!$P$4:$P$2731=K$1),('Diário 3º PA'!$F$4:$F$2731))+SUMPRODUCT(-('Diário 4º PA'!$E$4:$E$2564='Analítico Cx.'!$B76),-('Diário 4º PA'!$P$4:$P$2564=K$1),('Diário 4º PA'!$F$4:$F$2564))</f>
        <v>0</v>
      </c>
      <c r="L76" s="183">
        <f>SUMPRODUCT(-('Diário 1º PA'!$E$4:$E$2635='Analítico Cx.'!$B76),-('Diário 1º PA'!$P$4:$P$2635=L$1),('Diário 1º PA'!$F$4:$F$2635))+SUMPRODUCT(-('Diário 2º PA'!$E$4:$E$3040='Analítico Cx.'!$B76),-('Diário 2º PA'!$P$4:$P$3040=L$1),('Diário 2º PA'!$F$4:$F$3040))+SUMPRODUCT(-('Diário 3º PA'!$E$4:$E$2731='Analítico Cx.'!$B76),-('Diário 3º PA'!$P$4:$P$2731=L$1),('Diário 3º PA'!$F$4:$F$2731))+SUMPRODUCT(-('Diário 4º PA'!$E$4:$E$2564='Analítico Cx.'!$B76),-('Diário 4º PA'!$P$4:$P$2564=L$1),('Diário 4º PA'!$F$4:$F$2564))</f>
        <v>0</v>
      </c>
      <c r="M76" s="183">
        <f>SUMPRODUCT(-('Diário 1º PA'!$E$4:$E$2635='Analítico Cx.'!$B76),-('Diário 1º PA'!$P$4:$P$2635=M$1),('Diário 1º PA'!$F$4:$F$2635))+SUMPRODUCT(-('Diário 2º PA'!$E$4:$E$3040='Analítico Cx.'!$B76),-('Diário 2º PA'!$P$4:$P$3040=M$1),('Diário 2º PA'!$F$4:$F$3040))+SUMPRODUCT(-('Diário 3º PA'!$E$4:$E$2731='Analítico Cx.'!$B76),-('Diário 3º PA'!$P$4:$P$2731=M$1),('Diário 3º PA'!$F$4:$F$2731))+SUMPRODUCT(-('Diário 4º PA'!$E$4:$E$2564='Analítico Cx.'!$B76),-('Diário 4º PA'!$P$4:$P$2564=M$1),('Diário 4º PA'!$F$4:$F$2564))</f>
        <v>0</v>
      </c>
      <c r="N76" s="183">
        <f>SUMPRODUCT(-('Diário 1º PA'!$E$4:$E$2635='Analítico Cx.'!$B76),-('Diário 1º PA'!$P$4:$P$2635=N$1),('Diário 1º PA'!$F$4:$F$2635))+SUMPRODUCT(-('Diário 2º PA'!$E$4:$E$3040='Analítico Cx.'!$B76),-('Diário 2º PA'!$P$4:$P$3040=N$1),('Diário 2º PA'!$F$4:$F$3040))+SUMPRODUCT(-('Diário 3º PA'!$E$4:$E$2731='Analítico Cx.'!$B76),-('Diário 3º PA'!$P$4:$P$2731=N$1),('Diário 3º PA'!$F$4:$F$2731))+SUMPRODUCT(-('Diário 4º PA'!$E$4:$E$2564='Analítico Cx.'!$B76),-('Diário 4º PA'!$P$4:$P$2564=N$1),('Diário 4º PA'!$F$4:$F$2564))</f>
        <v>0</v>
      </c>
      <c r="O76" s="184">
        <f t="shared" si="16"/>
        <v>0</v>
      </c>
      <c r="P76" s="167">
        <f t="shared" si="15"/>
        <v>0</v>
      </c>
    </row>
    <row r="77" spans="1:16" ht="23.25" customHeight="1" x14ac:dyDescent="0.2">
      <c r="A77" s="61" t="s">
        <v>129</v>
      </c>
      <c r="B77" s="102" t="s">
        <v>186</v>
      </c>
      <c r="C77" s="183">
        <f>SUMPRODUCT(-('Diário 1º PA'!$E$4:$E$2635='Analítico Cx.'!$B77),-('Diário 1º PA'!$P$4:$P$2635=C$1),('Diário 1º PA'!$F$4:$F$2635))+SUMPRODUCT(-('Diário 2º PA'!$E$4:$E$3040='Analítico Cx.'!$B77),-('Diário 2º PA'!$P$4:$P$3040=C$1),('Diário 2º PA'!$F$4:$F$3040))+SUMPRODUCT(-('Diário 3º PA'!$E$4:$E$2731='Analítico Cx.'!$B77),-('Diário 3º PA'!$P$4:$P$2731=C$1),('Diário 3º PA'!$F$4:$F$2731))+SUMPRODUCT(-('Diário 4º PA'!$E$4:$E$2564='Analítico Cx.'!$B77),-('Diário 4º PA'!$P$4:$P$2564=C$1),('Diário 4º PA'!$F$4:$F$2564))</f>
        <v>3954.3100000000004</v>
      </c>
      <c r="D77" s="183">
        <f>SUMPRODUCT(-('Diário 1º PA'!$E$4:$E$2635='Analítico Cx.'!$B77),-('Diário 1º PA'!$P$4:$P$2635=D$1),('Diário 1º PA'!$F$4:$F$2635))+SUMPRODUCT(-('Diário 2º PA'!$E$4:$E$3040='Analítico Cx.'!$B77),-('Diário 2º PA'!$P$4:$P$3040=D$1),('Diário 2º PA'!$F$4:$F$3040))+SUMPRODUCT(-('Diário 3º PA'!$E$4:$E$2731='Analítico Cx.'!$B77),-('Diário 3º PA'!$P$4:$P$2731=D$1),('Diário 3º PA'!$F$4:$F$2731))+SUMPRODUCT(-('Diário 4º PA'!$E$4:$E$2564='Analítico Cx.'!$B77),-('Diário 4º PA'!$P$4:$P$2564=D$1),('Diário 4º PA'!$F$4:$F$2564))</f>
        <v>3981.4</v>
      </c>
      <c r="E77" s="183">
        <f>SUMPRODUCT(-('Diário 1º PA'!$E$4:$E$2635='Analítico Cx.'!$B77),-('Diário 1º PA'!$P$4:$P$2635=E$1),('Diário 1º PA'!$F$4:$F$2635))+SUMPRODUCT(-('Diário 2º PA'!$E$4:$E$3040='Analítico Cx.'!$B77),-('Diário 2º PA'!$P$4:$P$3040=E$1),('Diário 2º PA'!$F$4:$F$3040))+SUMPRODUCT(-('Diário 3º PA'!$E$4:$E$2731='Analítico Cx.'!$B77),-('Diário 3º PA'!$P$4:$P$2731=E$1),('Diário 3º PA'!$F$4:$F$2731))+SUMPRODUCT(-('Diário 4º PA'!$E$4:$E$2564='Analítico Cx.'!$B77),-('Diário 4º PA'!$P$4:$P$2564=E$1),('Diário 4º PA'!$F$4:$F$2564))</f>
        <v>4008.5200000000004</v>
      </c>
      <c r="F77" s="183">
        <f>SUMPRODUCT(-('Diário 1º PA'!$E$4:$E$2635='Analítico Cx.'!$B77),-('Diário 1º PA'!$P$4:$P$2635=F$1),('Diário 1º PA'!$F$4:$F$2635))+SUMPRODUCT(-('Diário 2º PA'!$E$4:$E$3040='Analítico Cx.'!$B77),-('Diário 2º PA'!$P$4:$P$3040=F$1),('Diário 2º PA'!$F$4:$F$3040))+SUMPRODUCT(-('Diário 3º PA'!$E$4:$E$2731='Analítico Cx.'!$B77),-('Diário 3º PA'!$P$4:$P$2731=F$1),('Diário 3º PA'!$F$4:$F$2731))+SUMPRODUCT(-('Diário 4º PA'!$E$4:$E$2564='Analítico Cx.'!$B77),-('Diário 4º PA'!$P$4:$P$2564=F$1),('Diário 4º PA'!$F$4:$F$2564))</f>
        <v>10691.01</v>
      </c>
      <c r="G77" s="183">
        <f>SUMPRODUCT(-('Diário 1º PA'!$E$4:$E$2635='Analítico Cx.'!$B77),-('Diário 1º PA'!$P$4:$P$2635=G$1),('Diário 1º PA'!$F$4:$F$2635))+SUMPRODUCT(-('Diário 2º PA'!$E$4:$E$3040='Analítico Cx.'!$B77),-('Diário 2º PA'!$P$4:$P$3040=G$1),('Diário 2º PA'!$F$4:$F$3040))+SUMPRODUCT(-('Diário 3º PA'!$E$4:$E$2731='Analítico Cx.'!$B77),-('Diário 3º PA'!$P$4:$P$2731=G$1),('Diário 3º PA'!$F$4:$F$2731))+SUMPRODUCT(-('Diário 4º PA'!$E$4:$E$2564='Analítico Cx.'!$B77),-('Diário 4º PA'!$P$4:$P$2564=G$1),('Diário 4º PA'!$F$4:$F$2564))</f>
        <v>8483.52</v>
      </c>
      <c r="H77" s="183">
        <f>SUMPRODUCT(-('Diário 1º PA'!$E$4:$E$2635='Analítico Cx.'!$B77),-('Diário 1º PA'!$P$4:$P$2635=H$1),('Diário 1º PA'!$F$4:$F$2635))+SUMPRODUCT(-('Diário 2º PA'!$E$4:$E$3040='Analítico Cx.'!$B77),-('Diário 2º PA'!$P$4:$P$3040=H$1),('Diário 2º PA'!$F$4:$F$3040))+SUMPRODUCT(-('Diário 3º PA'!$E$4:$E$2731='Analítico Cx.'!$B77),-('Diário 3º PA'!$P$4:$P$2731=H$1),('Diário 3º PA'!$F$4:$F$2731))+SUMPRODUCT(-('Diário 4º PA'!$E$4:$E$2564='Analítico Cx.'!$B77),-('Diário 4º PA'!$P$4:$P$2564=H$1),('Diário 4º PA'!$F$4:$F$2564))</f>
        <v>5374.1799999999994</v>
      </c>
      <c r="I77" s="183">
        <f>SUMPRODUCT(-('Diário 1º PA'!$E$4:$E$2635='Analítico Cx.'!$B77),-('Diário 1º PA'!$P$4:$P$2635=I$1),('Diário 1º PA'!$F$4:$F$2635))+SUMPRODUCT(-('Diário 2º PA'!$E$4:$E$3040='Analítico Cx.'!$B77),-('Diário 2º PA'!$P$4:$P$3040=I$1),('Diário 2º PA'!$F$4:$F$3040))+SUMPRODUCT(-('Diário 3º PA'!$E$4:$E$2731='Analítico Cx.'!$B77),-('Diário 3º PA'!$P$4:$P$2731=I$1),('Diário 3º PA'!$F$4:$F$2731))+SUMPRODUCT(-('Diário 4º PA'!$E$4:$E$2564='Analítico Cx.'!$B77),-('Diário 4º PA'!$P$4:$P$2564=I$1),('Diário 4º PA'!$F$4:$F$2564))</f>
        <v>11279.12</v>
      </c>
      <c r="J77" s="183">
        <f>SUMPRODUCT(-('Diário 1º PA'!$E$4:$E$2635='Analítico Cx.'!$B77),-('Diário 1º PA'!$P$4:$P$2635=J$1),('Diário 1º PA'!$F$4:$F$2635))+SUMPRODUCT(-('Diário 2º PA'!$E$4:$E$3040='Analítico Cx.'!$B77),-('Diário 2º PA'!$P$4:$P$3040=J$1),('Diário 2º PA'!$F$4:$F$3040))+SUMPRODUCT(-('Diário 3º PA'!$E$4:$E$2731='Analítico Cx.'!$B77),-('Diário 3º PA'!$P$4:$P$2731=J$1),('Diário 3º PA'!$F$4:$F$2731))+SUMPRODUCT(-('Diário 4º PA'!$E$4:$E$2564='Analítico Cx.'!$B77),-('Diário 4º PA'!$P$4:$P$2564=J$1),('Diário 4º PA'!$F$4:$F$2564))</f>
        <v>8326.65</v>
      </c>
      <c r="K77" s="183">
        <f>SUMPRODUCT(-('Diário 1º PA'!$E$4:$E$2635='Analítico Cx.'!$B77),-('Diário 1º PA'!$P$4:$P$2635=K$1),('Diário 1º PA'!$F$4:$F$2635))+SUMPRODUCT(-('Diário 2º PA'!$E$4:$E$3040='Analítico Cx.'!$B77),-('Diário 2º PA'!$P$4:$P$3040=K$1),('Diário 2º PA'!$F$4:$F$3040))+SUMPRODUCT(-('Diário 3º PA'!$E$4:$E$2731='Analítico Cx.'!$B77),-('Diário 3º PA'!$P$4:$P$2731=K$1),('Diário 3º PA'!$F$4:$F$2731))+SUMPRODUCT(-('Diário 4º PA'!$E$4:$E$2564='Analítico Cx.'!$B77),-('Diário 4º PA'!$P$4:$P$2564=K$1),('Diário 4º PA'!$F$4:$F$2564))</f>
        <v>8326.65</v>
      </c>
      <c r="L77" s="183">
        <f>SUMPRODUCT(-('Diário 1º PA'!$E$4:$E$2635='Analítico Cx.'!$B77),-('Diário 1º PA'!$P$4:$P$2635=L$1),('Diário 1º PA'!$F$4:$F$2635))+SUMPRODUCT(-('Diário 2º PA'!$E$4:$E$3040='Analítico Cx.'!$B77),-('Diário 2º PA'!$P$4:$P$3040=L$1),('Diário 2º PA'!$F$4:$F$3040))+SUMPRODUCT(-('Diário 3º PA'!$E$4:$E$2731='Analítico Cx.'!$B77),-('Diário 3º PA'!$P$4:$P$2731=L$1),('Diário 3º PA'!$F$4:$F$2731))+SUMPRODUCT(-('Diário 4º PA'!$E$4:$E$2564='Analítico Cx.'!$B77),-('Diário 4º PA'!$P$4:$P$2564=L$1),('Diário 4º PA'!$F$4:$F$2564))</f>
        <v>3028.1699999999996</v>
      </c>
      <c r="M77" s="183">
        <f>SUMPRODUCT(-('Diário 1º PA'!$E$4:$E$2635='Analítico Cx.'!$B77),-('Diário 1º PA'!$P$4:$P$2635=M$1),('Diário 1º PA'!$F$4:$F$2635))+SUMPRODUCT(-('Diário 2º PA'!$E$4:$E$3040='Analítico Cx.'!$B77),-('Diário 2º PA'!$P$4:$P$3040=M$1),('Diário 2º PA'!$F$4:$F$3040))+SUMPRODUCT(-('Diário 3º PA'!$E$4:$E$2731='Analítico Cx.'!$B77),-('Diário 3º PA'!$P$4:$P$2731=M$1),('Diário 3º PA'!$F$4:$F$2731))+SUMPRODUCT(-('Diário 4º PA'!$E$4:$E$2564='Analítico Cx.'!$B77),-('Diário 4º PA'!$P$4:$P$2564=M$1),('Diário 4º PA'!$F$4:$F$2564))</f>
        <v>3028.1699999999996</v>
      </c>
      <c r="N77" s="183">
        <f>SUMPRODUCT(-('Diário 1º PA'!$E$4:$E$2635='Analítico Cx.'!$B77),-('Diário 1º PA'!$P$4:$P$2635=N$1),('Diário 1º PA'!$F$4:$F$2635))+SUMPRODUCT(-('Diário 2º PA'!$E$4:$E$3040='Analítico Cx.'!$B77),-('Diário 2º PA'!$P$4:$P$3040=N$1),('Diário 2º PA'!$F$4:$F$3040))+SUMPRODUCT(-('Diário 3º PA'!$E$4:$E$2731='Analítico Cx.'!$B77),-('Diário 3º PA'!$P$4:$P$2731=N$1),('Diário 3º PA'!$F$4:$F$2731))+SUMPRODUCT(-('Diário 4º PA'!$E$4:$E$2564='Analítico Cx.'!$B77),-('Diário 4º PA'!$P$4:$P$2564=N$1),('Diário 4º PA'!$F$4:$F$2564))</f>
        <v>10228.17</v>
      </c>
      <c r="O77" s="184">
        <f t="shared" si="16"/>
        <v>80709.87000000001</v>
      </c>
      <c r="P77" s="167">
        <f t="shared" si="15"/>
        <v>6.3571165276199394E-3</v>
      </c>
    </row>
    <row r="78" spans="1:16" ht="23.25" customHeight="1" x14ac:dyDescent="0.2">
      <c r="A78" s="61" t="s">
        <v>130</v>
      </c>
      <c r="B78" s="103" t="s">
        <v>187</v>
      </c>
      <c r="C78" s="183">
        <f>SUMPRODUCT(-('Diário 1º PA'!$E$4:$E$2635='Analítico Cx.'!$B78),-('Diário 1º PA'!$P$4:$P$2635=C$1),('Diário 1º PA'!$F$4:$F$2635))+SUMPRODUCT(-('Diário 2º PA'!$E$4:$E$3040='Analítico Cx.'!$B78),-('Diário 2º PA'!$P$4:$P$3040=C$1),('Diário 2º PA'!$F$4:$F$3040))+SUMPRODUCT(-('Diário 3º PA'!$E$4:$E$2731='Analítico Cx.'!$B78),-('Diário 3º PA'!$P$4:$P$2731=C$1),('Diário 3º PA'!$F$4:$F$2731))+SUMPRODUCT(-('Diário 4º PA'!$E$4:$E$2564='Analítico Cx.'!$B78),-('Diário 4º PA'!$P$4:$P$2564=C$1),('Diário 4º PA'!$F$4:$F$2564))</f>
        <v>441.53999999999996</v>
      </c>
      <c r="D78" s="183">
        <f>SUMPRODUCT(-('Diário 1º PA'!$E$4:$E$2635='Analítico Cx.'!$B78),-('Diário 1º PA'!$P$4:$P$2635=D$1),('Diário 1º PA'!$F$4:$F$2635))+SUMPRODUCT(-('Diário 2º PA'!$E$4:$E$3040='Analítico Cx.'!$B78),-('Diário 2º PA'!$P$4:$P$3040=D$1),('Diário 2º PA'!$F$4:$F$3040))+SUMPRODUCT(-('Diário 3º PA'!$E$4:$E$2731='Analítico Cx.'!$B78),-('Diário 3º PA'!$P$4:$P$2731=D$1),('Diário 3º PA'!$F$4:$F$2731))+SUMPRODUCT(-('Diário 4º PA'!$E$4:$E$2564='Analítico Cx.'!$B78),-('Diário 4º PA'!$P$4:$P$2564=D$1),('Diário 4º PA'!$F$4:$F$2564))</f>
        <v>515.13</v>
      </c>
      <c r="E78" s="183">
        <f>SUMPRODUCT(-('Diário 1º PA'!$E$4:$E$2635='Analítico Cx.'!$B78),-('Diário 1º PA'!$P$4:$P$2635=E$1),('Diário 1º PA'!$F$4:$F$2635))+SUMPRODUCT(-('Diário 2º PA'!$E$4:$E$3040='Analítico Cx.'!$B78),-('Diário 2º PA'!$P$4:$P$3040=E$1),('Diário 2º PA'!$F$4:$F$3040))+SUMPRODUCT(-('Diário 3º PA'!$E$4:$E$2731='Analítico Cx.'!$B78),-('Diário 3º PA'!$P$4:$P$2731=E$1),('Diário 3º PA'!$F$4:$F$2731))+SUMPRODUCT(-('Diário 4º PA'!$E$4:$E$2564='Analítico Cx.'!$B78),-('Diário 4º PA'!$P$4:$P$2564=E$1),('Diário 4º PA'!$F$4:$F$2564))</f>
        <v>515.13</v>
      </c>
      <c r="F78" s="183">
        <f>SUMPRODUCT(-('Diário 1º PA'!$E$4:$E$2635='Analítico Cx.'!$B78),-('Diário 1º PA'!$P$4:$P$2635=F$1),('Diário 1º PA'!$F$4:$F$2635))+SUMPRODUCT(-('Diário 2º PA'!$E$4:$E$3040='Analítico Cx.'!$B78),-('Diário 2º PA'!$P$4:$P$3040=F$1),('Diário 2º PA'!$F$4:$F$3040))+SUMPRODUCT(-('Diário 3º PA'!$E$4:$E$2731='Analítico Cx.'!$B78),-('Diário 3º PA'!$P$4:$P$2731=F$1),('Diário 3º PA'!$F$4:$F$2731))+SUMPRODUCT(-('Diário 4º PA'!$E$4:$E$2564='Analítico Cx.'!$B78),-('Diário 4º PA'!$P$4:$P$2564=F$1),('Diário 4º PA'!$F$4:$F$2564))</f>
        <v>515.13</v>
      </c>
      <c r="G78" s="183">
        <f>SUMPRODUCT(-('Diário 1º PA'!$E$4:$E$2635='Analítico Cx.'!$B78),-('Diário 1º PA'!$P$4:$P$2635=G$1),('Diário 1º PA'!$F$4:$F$2635))+SUMPRODUCT(-('Diário 2º PA'!$E$4:$E$3040='Analítico Cx.'!$B78),-('Diário 2º PA'!$P$4:$P$3040=G$1),('Diário 2º PA'!$F$4:$F$3040))+SUMPRODUCT(-('Diário 3º PA'!$E$4:$E$2731='Analítico Cx.'!$B78),-('Diário 3º PA'!$P$4:$P$2731=G$1),('Diário 3º PA'!$F$4:$F$2731))+SUMPRODUCT(-('Diário 4º PA'!$E$4:$E$2564='Analítico Cx.'!$B78),-('Diário 4º PA'!$P$4:$P$2564=G$1),('Diário 4º PA'!$F$4:$F$2564))</f>
        <v>515.13</v>
      </c>
      <c r="H78" s="183">
        <f>SUMPRODUCT(-('Diário 1º PA'!$E$4:$E$2635='Analítico Cx.'!$B78),-('Diário 1º PA'!$P$4:$P$2635=H$1),('Diário 1º PA'!$F$4:$F$2635))+SUMPRODUCT(-('Diário 2º PA'!$E$4:$E$3040='Analítico Cx.'!$B78),-('Diário 2º PA'!$P$4:$P$3040=H$1),('Diário 2º PA'!$F$4:$F$3040))+SUMPRODUCT(-('Diário 3º PA'!$E$4:$E$2731='Analítico Cx.'!$B78),-('Diário 3º PA'!$P$4:$P$2731=H$1),('Diário 3º PA'!$F$4:$F$2731))+SUMPRODUCT(-('Diário 4º PA'!$E$4:$E$2564='Analítico Cx.'!$B78),-('Diário 4º PA'!$P$4:$P$2564=H$1),('Diário 4º PA'!$F$4:$F$2564))</f>
        <v>0</v>
      </c>
      <c r="I78" s="183">
        <f>SUMPRODUCT(-('Diário 1º PA'!$E$4:$E$2635='Analítico Cx.'!$B78),-('Diário 1º PA'!$P$4:$P$2635=I$1),('Diário 1º PA'!$F$4:$F$2635))+SUMPRODUCT(-('Diário 2º PA'!$E$4:$E$3040='Analítico Cx.'!$B78),-('Diário 2º PA'!$P$4:$P$3040=I$1),('Diário 2º PA'!$F$4:$F$3040))+SUMPRODUCT(-('Diário 3º PA'!$E$4:$E$2731='Analítico Cx.'!$B78),-('Diário 3º PA'!$P$4:$P$2731=I$1),('Diário 3º PA'!$F$4:$F$2731))+SUMPRODUCT(-('Diário 4º PA'!$E$4:$E$2564='Analítico Cx.'!$B78),-('Diário 4º PA'!$P$4:$P$2564=I$1),('Diário 4º PA'!$F$4:$F$2564))</f>
        <v>515.13</v>
      </c>
      <c r="J78" s="183">
        <f>SUMPRODUCT(-('Diário 1º PA'!$E$4:$E$2635='Analítico Cx.'!$B78),-('Diário 1º PA'!$P$4:$P$2635=J$1),('Diário 1º PA'!$F$4:$F$2635))+SUMPRODUCT(-('Diário 2º PA'!$E$4:$E$3040='Analítico Cx.'!$B78),-('Diário 2º PA'!$P$4:$P$3040=J$1),('Diário 2º PA'!$F$4:$F$3040))+SUMPRODUCT(-('Diário 3º PA'!$E$4:$E$2731='Analítico Cx.'!$B78),-('Diário 3º PA'!$P$4:$P$2731=J$1),('Diário 3º PA'!$F$4:$F$2731))+SUMPRODUCT(-('Diário 4º PA'!$E$4:$E$2564='Analítico Cx.'!$B78),-('Diário 4º PA'!$P$4:$P$2564=J$1),('Diário 4º PA'!$F$4:$F$2564))</f>
        <v>515.13</v>
      </c>
      <c r="K78" s="183">
        <f>SUMPRODUCT(-('Diário 1º PA'!$E$4:$E$2635='Analítico Cx.'!$B78),-('Diário 1º PA'!$P$4:$P$2635=K$1),('Diário 1º PA'!$F$4:$F$2635))+SUMPRODUCT(-('Diário 2º PA'!$E$4:$E$3040='Analítico Cx.'!$B78),-('Diário 2º PA'!$P$4:$P$3040=K$1),('Diário 2º PA'!$F$4:$F$3040))+SUMPRODUCT(-('Diário 3º PA'!$E$4:$E$2731='Analítico Cx.'!$B78),-('Diário 3º PA'!$P$4:$P$2731=K$1),('Diário 3º PA'!$F$4:$F$2731))+SUMPRODUCT(-('Diário 4º PA'!$E$4:$E$2564='Analítico Cx.'!$B78),-('Diário 4º PA'!$P$4:$P$2564=K$1),('Diário 4º PA'!$F$4:$F$2564))</f>
        <v>515.13</v>
      </c>
      <c r="L78" s="183">
        <f>SUMPRODUCT(-('Diário 1º PA'!$E$4:$E$2635='Analítico Cx.'!$B78),-('Diário 1º PA'!$P$4:$P$2635=L$1),('Diário 1º PA'!$F$4:$F$2635))+SUMPRODUCT(-('Diário 2º PA'!$E$4:$E$3040='Analítico Cx.'!$B78),-('Diário 2º PA'!$P$4:$P$3040=L$1),('Diário 2º PA'!$F$4:$F$3040))+SUMPRODUCT(-('Diário 3º PA'!$E$4:$E$2731='Analítico Cx.'!$B78),-('Diário 3º PA'!$P$4:$P$2731=L$1),('Diário 3º PA'!$F$4:$F$2731))+SUMPRODUCT(-('Diário 4º PA'!$E$4:$E$2564='Analítico Cx.'!$B78),-('Diário 4º PA'!$P$4:$P$2564=L$1),('Diário 4º PA'!$F$4:$F$2564))</f>
        <v>515.13</v>
      </c>
      <c r="M78" s="183">
        <f>SUMPRODUCT(-('Diário 1º PA'!$E$4:$E$2635='Analítico Cx.'!$B78),-('Diário 1º PA'!$P$4:$P$2635=M$1),('Diário 1º PA'!$F$4:$F$2635))+SUMPRODUCT(-('Diário 2º PA'!$E$4:$E$3040='Analítico Cx.'!$B78),-('Diário 2º PA'!$P$4:$P$3040=M$1),('Diário 2º PA'!$F$4:$F$3040))+SUMPRODUCT(-('Diário 3º PA'!$E$4:$E$2731='Analítico Cx.'!$B78),-('Diário 3º PA'!$P$4:$P$2731=M$1),('Diário 3º PA'!$F$4:$F$2731))+SUMPRODUCT(-('Diário 4º PA'!$E$4:$E$2564='Analítico Cx.'!$B78),-('Diário 4º PA'!$P$4:$P$2564=M$1),('Diário 4º PA'!$F$4:$F$2564))</f>
        <v>515.13</v>
      </c>
      <c r="N78" s="183">
        <f>SUMPRODUCT(-('Diário 1º PA'!$E$4:$E$2635='Analítico Cx.'!$B78),-('Diário 1º PA'!$P$4:$P$2635=N$1),('Diário 1º PA'!$F$4:$F$2635))+SUMPRODUCT(-('Diário 2º PA'!$E$4:$E$3040='Analítico Cx.'!$B78),-('Diário 2º PA'!$P$4:$P$3040=N$1),('Diário 2º PA'!$F$4:$F$3040))+SUMPRODUCT(-('Diário 3º PA'!$E$4:$E$2731='Analítico Cx.'!$B78),-('Diário 3º PA'!$P$4:$P$2731=N$1),('Diário 3º PA'!$F$4:$F$2731))+SUMPRODUCT(-('Diário 4º PA'!$E$4:$E$2564='Analítico Cx.'!$B78),-('Diário 4º PA'!$P$4:$P$2564=N$1),('Diário 4º PA'!$F$4:$F$2564))</f>
        <v>515.13</v>
      </c>
      <c r="O78" s="184">
        <f t="shared" si="16"/>
        <v>5592.84</v>
      </c>
      <c r="P78" s="167">
        <f t="shared" si="15"/>
        <v>4.4052029324708245E-4</v>
      </c>
    </row>
    <row r="79" spans="1:16" ht="23.25" customHeight="1" x14ac:dyDescent="0.2">
      <c r="A79" s="61" t="s">
        <v>131</v>
      </c>
      <c r="B79" s="103" t="s">
        <v>188</v>
      </c>
      <c r="C79" s="183">
        <f>SUMPRODUCT(-('Diário 1º PA'!$E$4:$E$2635='Analítico Cx.'!$B79),-('Diário 1º PA'!$P$4:$P$2635=C$1),('Diário 1º PA'!$F$4:$F$2635))+SUMPRODUCT(-('Diário 2º PA'!$E$4:$E$3040='Analítico Cx.'!$B79),-('Diário 2º PA'!$P$4:$P$3040=C$1),('Diário 2º PA'!$F$4:$F$3040))+SUMPRODUCT(-('Diário 3º PA'!$E$4:$E$2731='Analítico Cx.'!$B79),-('Diário 3º PA'!$P$4:$P$2731=C$1),('Diário 3º PA'!$F$4:$F$2731))+SUMPRODUCT(-('Diário 4º PA'!$E$4:$E$2564='Analítico Cx.'!$B79),-('Diário 4º PA'!$P$4:$P$2564=C$1),('Diário 4º PA'!$F$4:$F$2564))</f>
        <v>0</v>
      </c>
      <c r="D79" s="183">
        <f>SUMPRODUCT(-('Diário 1º PA'!$E$4:$E$2635='Analítico Cx.'!$B79),-('Diário 1º PA'!$P$4:$P$2635=D$1),('Diário 1º PA'!$F$4:$F$2635))+SUMPRODUCT(-('Diário 2º PA'!$E$4:$E$3040='Analítico Cx.'!$B79),-('Diário 2º PA'!$P$4:$P$3040=D$1),('Diário 2º PA'!$F$4:$F$3040))+SUMPRODUCT(-('Diário 3º PA'!$E$4:$E$2731='Analítico Cx.'!$B79),-('Diário 3º PA'!$P$4:$P$2731=D$1),('Diário 3º PA'!$F$4:$F$2731))+SUMPRODUCT(-('Diário 4º PA'!$E$4:$E$2564='Analítico Cx.'!$B79),-('Diário 4º PA'!$P$4:$P$2564=D$1),('Diário 4º PA'!$F$4:$F$2564))</f>
        <v>0</v>
      </c>
      <c r="E79" s="183">
        <f>SUMPRODUCT(-('Diário 1º PA'!$E$4:$E$2635='Analítico Cx.'!$B79),-('Diário 1º PA'!$P$4:$P$2635=E$1),('Diário 1º PA'!$F$4:$F$2635))+SUMPRODUCT(-('Diário 2º PA'!$E$4:$E$3040='Analítico Cx.'!$B79),-('Diário 2º PA'!$P$4:$P$3040=E$1),('Diário 2º PA'!$F$4:$F$3040))+SUMPRODUCT(-('Diário 3º PA'!$E$4:$E$2731='Analítico Cx.'!$B79),-('Diário 3º PA'!$P$4:$P$2731=E$1),('Diário 3º PA'!$F$4:$F$2731))+SUMPRODUCT(-('Diário 4º PA'!$E$4:$E$2564='Analítico Cx.'!$B79),-('Diário 4º PA'!$P$4:$P$2564=E$1),('Diário 4º PA'!$F$4:$F$2564))</f>
        <v>0</v>
      </c>
      <c r="F79" s="183">
        <f>SUMPRODUCT(-('Diário 1º PA'!$E$4:$E$2635='Analítico Cx.'!$B79),-('Diário 1º PA'!$P$4:$P$2635=F$1),('Diário 1º PA'!$F$4:$F$2635))+SUMPRODUCT(-('Diário 2º PA'!$E$4:$E$3040='Analítico Cx.'!$B79),-('Diário 2º PA'!$P$4:$P$3040=F$1),('Diário 2º PA'!$F$4:$F$3040))+SUMPRODUCT(-('Diário 3º PA'!$E$4:$E$2731='Analítico Cx.'!$B79),-('Diário 3º PA'!$P$4:$P$2731=F$1),('Diário 3º PA'!$F$4:$F$2731))+SUMPRODUCT(-('Diário 4º PA'!$E$4:$E$2564='Analítico Cx.'!$B79),-('Diário 4º PA'!$P$4:$P$2564=F$1),('Diário 4º PA'!$F$4:$F$2564))</f>
        <v>0</v>
      </c>
      <c r="G79" s="183">
        <f>SUMPRODUCT(-('Diário 1º PA'!$E$4:$E$2635='Analítico Cx.'!$B79),-('Diário 1º PA'!$P$4:$P$2635=G$1),('Diário 1º PA'!$F$4:$F$2635))+SUMPRODUCT(-('Diário 2º PA'!$E$4:$E$3040='Analítico Cx.'!$B79),-('Diário 2º PA'!$P$4:$P$3040=G$1),('Diário 2º PA'!$F$4:$F$3040))+SUMPRODUCT(-('Diário 3º PA'!$E$4:$E$2731='Analítico Cx.'!$B79),-('Diário 3º PA'!$P$4:$P$2731=G$1),('Diário 3º PA'!$F$4:$F$2731))+SUMPRODUCT(-('Diário 4º PA'!$E$4:$E$2564='Analítico Cx.'!$B79),-('Diário 4º PA'!$P$4:$P$2564=G$1),('Diário 4º PA'!$F$4:$F$2564))</f>
        <v>0</v>
      </c>
      <c r="H79" s="183">
        <f>SUMPRODUCT(-('Diário 1º PA'!$E$4:$E$2635='Analítico Cx.'!$B79),-('Diário 1º PA'!$P$4:$P$2635=H$1),('Diário 1º PA'!$F$4:$F$2635))+SUMPRODUCT(-('Diário 2º PA'!$E$4:$E$3040='Analítico Cx.'!$B79),-('Diário 2º PA'!$P$4:$P$3040=H$1),('Diário 2º PA'!$F$4:$F$3040))+SUMPRODUCT(-('Diário 3º PA'!$E$4:$E$2731='Analítico Cx.'!$B79),-('Diário 3º PA'!$P$4:$P$2731=H$1),('Diário 3º PA'!$F$4:$F$2731))+SUMPRODUCT(-('Diário 4º PA'!$E$4:$E$2564='Analítico Cx.'!$B79),-('Diário 4º PA'!$P$4:$P$2564=H$1),('Diário 4º PA'!$F$4:$F$2564))</f>
        <v>0</v>
      </c>
      <c r="I79" s="183">
        <f>SUMPRODUCT(-('Diário 1º PA'!$E$4:$E$2635='Analítico Cx.'!$B79),-('Diário 1º PA'!$P$4:$P$2635=I$1),('Diário 1º PA'!$F$4:$F$2635))+SUMPRODUCT(-('Diário 2º PA'!$E$4:$E$3040='Analítico Cx.'!$B79),-('Diário 2º PA'!$P$4:$P$3040=I$1),('Diário 2º PA'!$F$4:$F$3040))+SUMPRODUCT(-('Diário 3º PA'!$E$4:$E$2731='Analítico Cx.'!$B79),-('Diário 3º PA'!$P$4:$P$2731=I$1),('Diário 3º PA'!$F$4:$F$2731))+SUMPRODUCT(-('Diário 4º PA'!$E$4:$E$2564='Analítico Cx.'!$B79),-('Diário 4º PA'!$P$4:$P$2564=I$1),('Diário 4º PA'!$F$4:$F$2564))</f>
        <v>0</v>
      </c>
      <c r="J79" s="183">
        <f>SUMPRODUCT(-('Diário 1º PA'!$E$4:$E$2635='Analítico Cx.'!$B79),-('Diário 1º PA'!$P$4:$P$2635=J$1),('Diário 1º PA'!$F$4:$F$2635))+SUMPRODUCT(-('Diário 2º PA'!$E$4:$E$3040='Analítico Cx.'!$B79),-('Diário 2º PA'!$P$4:$P$3040=J$1),('Diário 2º PA'!$F$4:$F$3040))+SUMPRODUCT(-('Diário 3º PA'!$E$4:$E$2731='Analítico Cx.'!$B79),-('Diário 3º PA'!$P$4:$P$2731=J$1),('Diário 3º PA'!$F$4:$F$2731))+SUMPRODUCT(-('Diário 4º PA'!$E$4:$E$2564='Analítico Cx.'!$B79),-('Diário 4º PA'!$P$4:$P$2564=J$1),('Diário 4º PA'!$F$4:$F$2564))</f>
        <v>0</v>
      </c>
      <c r="K79" s="183">
        <f>SUMPRODUCT(-('Diário 1º PA'!$E$4:$E$2635='Analítico Cx.'!$B79),-('Diário 1º PA'!$P$4:$P$2635=K$1),('Diário 1º PA'!$F$4:$F$2635))+SUMPRODUCT(-('Diário 2º PA'!$E$4:$E$3040='Analítico Cx.'!$B79),-('Diário 2º PA'!$P$4:$P$3040=K$1),('Diário 2º PA'!$F$4:$F$3040))+SUMPRODUCT(-('Diário 3º PA'!$E$4:$E$2731='Analítico Cx.'!$B79),-('Diário 3º PA'!$P$4:$P$2731=K$1),('Diário 3º PA'!$F$4:$F$2731))+SUMPRODUCT(-('Diário 4º PA'!$E$4:$E$2564='Analítico Cx.'!$B79),-('Diário 4º PA'!$P$4:$P$2564=K$1),('Diário 4º PA'!$F$4:$F$2564))</f>
        <v>0</v>
      </c>
      <c r="L79" s="183">
        <f>SUMPRODUCT(-('Diário 1º PA'!$E$4:$E$2635='Analítico Cx.'!$B79),-('Diário 1º PA'!$P$4:$P$2635=L$1),('Diário 1º PA'!$F$4:$F$2635))+SUMPRODUCT(-('Diário 2º PA'!$E$4:$E$3040='Analítico Cx.'!$B79),-('Diário 2º PA'!$P$4:$P$3040=L$1),('Diário 2º PA'!$F$4:$F$3040))+SUMPRODUCT(-('Diário 3º PA'!$E$4:$E$2731='Analítico Cx.'!$B79),-('Diário 3º PA'!$P$4:$P$2731=L$1),('Diário 3º PA'!$F$4:$F$2731))+SUMPRODUCT(-('Diário 4º PA'!$E$4:$E$2564='Analítico Cx.'!$B79),-('Diário 4º PA'!$P$4:$P$2564=L$1),('Diário 4º PA'!$F$4:$F$2564))</f>
        <v>0</v>
      </c>
      <c r="M79" s="183">
        <f>SUMPRODUCT(-('Diário 1º PA'!$E$4:$E$2635='Analítico Cx.'!$B79),-('Diário 1º PA'!$P$4:$P$2635=M$1),('Diário 1º PA'!$F$4:$F$2635))+SUMPRODUCT(-('Diário 2º PA'!$E$4:$E$3040='Analítico Cx.'!$B79),-('Diário 2º PA'!$P$4:$P$3040=M$1),('Diário 2º PA'!$F$4:$F$3040))+SUMPRODUCT(-('Diário 3º PA'!$E$4:$E$2731='Analítico Cx.'!$B79),-('Diário 3º PA'!$P$4:$P$2731=M$1),('Diário 3º PA'!$F$4:$F$2731))+SUMPRODUCT(-('Diário 4º PA'!$E$4:$E$2564='Analítico Cx.'!$B79),-('Diário 4º PA'!$P$4:$P$2564=M$1),('Diário 4º PA'!$F$4:$F$2564))</f>
        <v>0</v>
      </c>
      <c r="N79" s="183">
        <f>SUMPRODUCT(-('Diário 1º PA'!$E$4:$E$2635='Analítico Cx.'!$B79),-('Diário 1º PA'!$P$4:$P$2635=N$1),('Diário 1º PA'!$F$4:$F$2635))+SUMPRODUCT(-('Diário 2º PA'!$E$4:$E$3040='Analítico Cx.'!$B79),-('Diário 2º PA'!$P$4:$P$3040=N$1),('Diário 2º PA'!$F$4:$F$3040))+SUMPRODUCT(-('Diário 3º PA'!$E$4:$E$2731='Analítico Cx.'!$B79),-('Diário 3º PA'!$P$4:$P$2731=N$1),('Diário 3º PA'!$F$4:$F$2731))+SUMPRODUCT(-('Diário 4º PA'!$E$4:$E$2564='Analítico Cx.'!$B79),-('Diário 4º PA'!$P$4:$P$2564=N$1),('Diário 4º PA'!$F$4:$F$2564))</f>
        <v>0</v>
      </c>
      <c r="O79" s="184">
        <f t="shared" si="16"/>
        <v>0</v>
      </c>
      <c r="P79" s="167">
        <f t="shared" si="15"/>
        <v>0</v>
      </c>
    </row>
    <row r="80" spans="1:16" ht="23.25" customHeight="1" x14ac:dyDescent="0.2">
      <c r="A80" s="61" t="s">
        <v>132</v>
      </c>
      <c r="B80" s="103" t="s">
        <v>189</v>
      </c>
      <c r="C80" s="183">
        <f>SUMPRODUCT(-('Diário 1º PA'!$E$4:$E$2635='Analítico Cx.'!$B80),-('Diário 1º PA'!$P$4:$P$2635=C$1),('Diário 1º PA'!$F$4:$F$2635))+SUMPRODUCT(-('Diário 2º PA'!$E$4:$E$3040='Analítico Cx.'!$B80),-('Diário 2º PA'!$P$4:$P$3040=C$1),('Diário 2º PA'!$F$4:$F$3040))+SUMPRODUCT(-('Diário 3º PA'!$E$4:$E$2731='Analítico Cx.'!$B80),-('Diário 3º PA'!$P$4:$P$2731=C$1),('Diário 3º PA'!$F$4:$F$2731))+SUMPRODUCT(-('Diário 4º PA'!$E$4:$E$2564='Analítico Cx.'!$B80),-('Diário 4º PA'!$P$4:$P$2564=C$1),('Diário 4º PA'!$F$4:$F$2564))</f>
        <v>0</v>
      </c>
      <c r="D80" s="183">
        <f>SUMPRODUCT(-('Diário 1º PA'!$E$4:$E$2635='Analítico Cx.'!$B80),-('Diário 1º PA'!$P$4:$P$2635=D$1),('Diário 1º PA'!$F$4:$F$2635))+SUMPRODUCT(-('Diário 2º PA'!$E$4:$E$3040='Analítico Cx.'!$B80),-('Diário 2º PA'!$P$4:$P$3040=D$1),('Diário 2º PA'!$F$4:$F$3040))+SUMPRODUCT(-('Diário 3º PA'!$E$4:$E$2731='Analítico Cx.'!$B80),-('Diário 3º PA'!$P$4:$P$2731=D$1),('Diário 3º PA'!$F$4:$F$2731))+SUMPRODUCT(-('Diário 4º PA'!$E$4:$E$2564='Analítico Cx.'!$B80),-('Diário 4º PA'!$P$4:$P$2564=D$1),('Diário 4º PA'!$F$4:$F$2564))</f>
        <v>0</v>
      </c>
      <c r="E80" s="183">
        <f>SUMPRODUCT(-('Diário 1º PA'!$E$4:$E$2635='Analítico Cx.'!$B80),-('Diário 1º PA'!$P$4:$P$2635=E$1),('Diário 1º PA'!$F$4:$F$2635))+SUMPRODUCT(-('Diário 2º PA'!$E$4:$E$3040='Analítico Cx.'!$B80),-('Diário 2º PA'!$P$4:$P$3040=E$1),('Diário 2º PA'!$F$4:$F$3040))+SUMPRODUCT(-('Diário 3º PA'!$E$4:$E$2731='Analítico Cx.'!$B80),-('Diário 3º PA'!$P$4:$P$2731=E$1),('Diário 3º PA'!$F$4:$F$2731))+SUMPRODUCT(-('Diário 4º PA'!$E$4:$E$2564='Analítico Cx.'!$B80),-('Diário 4º PA'!$P$4:$P$2564=E$1),('Diário 4º PA'!$F$4:$F$2564))</f>
        <v>0</v>
      </c>
      <c r="F80" s="183">
        <f>SUMPRODUCT(-('Diário 1º PA'!$E$4:$E$2635='Analítico Cx.'!$B80),-('Diário 1º PA'!$P$4:$P$2635=F$1),('Diário 1º PA'!$F$4:$F$2635))+SUMPRODUCT(-('Diário 2º PA'!$E$4:$E$3040='Analítico Cx.'!$B80),-('Diário 2º PA'!$P$4:$P$3040=F$1),('Diário 2º PA'!$F$4:$F$3040))+SUMPRODUCT(-('Diário 3º PA'!$E$4:$E$2731='Analítico Cx.'!$B80),-('Diário 3º PA'!$P$4:$P$2731=F$1),('Diário 3º PA'!$F$4:$F$2731))+SUMPRODUCT(-('Diário 4º PA'!$E$4:$E$2564='Analítico Cx.'!$B80),-('Diário 4º PA'!$P$4:$P$2564=F$1),('Diário 4º PA'!$F$4:$F$2564))</f>
        <v>0</v>
      </c>
      <c r="G80" s="183">
        <f>SUMPRODUCT(-('Diário 1º PA'!$E$4:$E$2635='Analítico Cx.'!$B80),-('Diário 1º PA'!$P$4:$P$2635=G$1),('Diário 1º PA'!$F$4:$F$2635))+SUMPRODUCT(-('Diário 2º PA'!$E$4:$E$3040='Analítico Cx.'!$B80),-('Diário 2º PA'!$P$4:$P$3040=G$1),('Diário 2º PA'!$F$4:$F$3040))+SUMPRODUCT(-('Diário 3º PA'!$E$4:$E$2731='Analítico Cx.'!$B80),-('Diário 3º PA'!$P$4:$P$2731=G$1),('Diário 3º PA'!$F$4:$F$2731))+SUMPRODUCT(-('Diário 4º PA'!$E$4:$E$2564='Analítico Cx.'!$B80),-('Diário 4º PA'!$P$4:$P$2564=G$1),('Diário 4º PA'!$F$4:$F$2564))</f>
        <v>0</v>
      </c>
      <c r="H80" s="183">
        <f>SUMPRODUCT(-('Diário 1º PA'!$E$4:$E$2635='Analítico Cx.'!$B80),-('Diário 1º PA'!$P$4:$P$2635=H$1),('Diário 1º PA'!$F$4:$F$2635))+SUMPRODUCT(-('Diário 2º PA'!$E$4:$E$3040='Analítico Cx.'!$B80),-('Diário 2º PA'!$P$4:$P$3040=H$1),('Diário 2º PA'!$F$4:$F$3040))+SUMPRODUCT(-('Diário 3º PA'!$E$4:$E$2731='Analítico Cx.'!$B80),-('Diário 3º PA'!$P$4:$P$2731=H$1),('Diário 3º PA'!$F$4:$F$2731))+SUMPRODUCT(-('Diário 4º PA'!$E$4:$E$2564='Analítico Cx.'!$B80),-('Diário 4º PA'!$P$4:$P$2564=H$1),('Diário 4º PA'!$F$4:$F$2564))</f>
        <v>0</v>
      </c>
      <c r="I80" s="183">
        <f>SUMPRODUCT(-('Diário 1º PA'!$E$4:$E$2635='Analítico Cx.'!$B80),-('Diário 1º PA'!$P$4:$P$2635=I$1),('Diário 1º PA'!$F$4:$F$2635))+SUMPRODUCT(-('Diário 2º PA'!$E$4:$E$3040='Analítico Cx.'!$B80),-('Diário 2º PA'!$P$4:$P$3040=I$1),('Diário 2º PA'!$F$4:$F$3040))+SUMPRODUCT(-('Diário 3º PA'!$E$4:$E$2731='Analítico Cx.'!$B80),-('Diário 3º PA'!$P$4:$P$2731=I$1),('Diário 3º PA'!$F$4:$F$2731))+SUMPRODUCT(-('Diário 4º PA'!$E$4:$E$2564='Analítico Cx.'!$B80),-('Diário 4º PA'!$P$4:$P$2564=I$1),('Diário 4º PA'!$F$4:$F$2564))</f>
        <v>0</v>
      </c>
      <c r="J80" s="183">
        <f>SUMPRODUCT(-('Diário 1º PA'!$E$4:$E$2635='Analítico Cx.'!$B80),-('Diário 1º PA'!$P$4:$P$2635=J$1),('Diário 1º PA'!$F$4:$F$2635))+SUMPRODUCT(-('Diário 2º PA'!$E$4:$E$3040='Analítico Cx.'!$B80),-('Diário 2º PA'!$P$4:$P$3040=J$1),('Diário 2º PA'!$F$4:$F$3040))+SUMPRODUCT(-('Diário 3º PA'!$E$4:$E$2731='Analítico Cx.'!$B80),-('Diário 3º PA'!$P$4:$P$2731=J$1),('Diário 3º PA'!$F$4:$F$2731))+SUMPRODUCT(-('Diário 4º PA'!$E$4:$E$2564='Analítico Cx.'!$B80),-('Diário 4º PA'!$P$4:$P$2564=J$1),('Diário 4º PA'!$F$4:$F$2564))</f>
        <v>0</v>
      </c>
      <c r="K80" s="183">
        <f>SUMPRODUCT(-('Diário 1º PA'!$E$4:$E$2635='Analítico Cx.'!$B80),-('Diário 1º PA'!$P$4:$P$2635=K$1),('Diário 1º PA'!$F$4:$F$2635))+SUMPRODUCT(-('Diário 2º PA'!$E$4:$E$3040='Analítico Cx.'!$B80),-('Diário 2º PA'!$P$4:$P$3040=K$1),('Diário 2º PA'!$F$4:$F$3040))+SUMPRODUCT(-('Diário 3º PA'!$E$4:$E$2731='Analítico Cx.'!$B80),-('Diário 3º PA'!$P$4:$P$2731=K$1),('Diário 3º PA'!$F$4:$F$2731))+SUMPRODUCT(-('Diário 4º PA'!$E$4:$E$2564='Analítico Cx.'!$B80),-('Diário 4º PA'!$P$4:$P$2564=K$1),('Diário 4º PA'!$F$4:$F$2564))</f>
        <v>0</v>
      </c>
      <c r="L80" s="183">
        <f>SUMPRODUCT(-('Diário 1º PA'!$E$4:$E$2635='Analítico Cx.'!$B80),-('Diário 1º PA'!$P$4:$P$2635=L$1),('Diário 1º PA'!$F$4:$F$2635))+SUMPRODUCT(-('Diário 2º PA'!$E$4:$E$3040='Analítico Cx.'!$B80),-('Diário 2º PA'!$P$4:$P$3040=L$1),('Diário 2º PA'!$F$4:$F$3040))+SUMPRODUCT(-('Diário 3º PA'!$E$4:$E$2731='Analítico Cx.'!$B80),-('Diário 3º PA'!$P$4:$P$2731=L$1),('Diário 3º PA'!$F$4:$F$2731))+SUMPRODUCT(-('Diário 4º PA'!$E$4:$E$2564='Analítico Cx.'!$B80),-('Diário 4º PA'!$P$4:$P$2564=L$1),('Diário 4º PA'!$F$4:$F$2564))</f>
        <v>0</v>
      </c>
      <c r="M80" s="183">
        <f>SUMPRODUCT(-('Diário 1º PA'!$E$4:$E$2635='Analítico Cx.'!$B80),-('Diário 1º PA'!$P$4:$P$2635=M$1),('Diário 1º PA'!$F$4:$F$2635))+SUMPRODUCT(-('Diário 2º PA'!$E$4:$E$3040='Analítico Cx.'!$B80),-('Diário 2º PA'!$P$4:$P$3040=M$1),('Diário 2º PA'!$F$4:$F$3040))+SUMPRODUCT(-('Diário 3º PA'!$E$4:$E$2731='Analítico Cx.'!$B80),-('Diário 3º PA'!$P$4:$P$2731=M$1),('Diário 3º PA'!$F$4:$F$2731))+SUMPRODUCT(-('Diário 4º PA'!$E$4:$E$2564='Analítico Cx.'!$B80),-('Diário 4º PA'!$P$4:$P$2564=M$1),('Diário 4º PA'!$F$4:$F$2564))</f>
        <v>0</v>
      </c>
      <c r="N80" s="183">
        <f>SUMPRODUCT(-('Diário 1º PA'!$E$4:$E$2635='Analítico Cx.'!$B80),-('Diário 1º PA'!$P$4:$P$2635=N$1),('Diário 1º PA'!$F$4:$F$2635))+SUMPRODUCT(-('Diário 2º PA'!$E$4:$E$3040='Analítico Cx.'!$B80),-('Diário 2º PA'!$P$4:$P$3040=N$1),('Diário 2º PA'!$F$4:$F$3040))+SUMPRODUCT(-('Diário 3º PA'!$E$4:$E$2731='Analítico Cx.'!$B80),-('Diário 3º PA'!$P$4:$P$2731=N$1),('Diário 3º PA'!$F$4:$F$2731))+SUMPRODUCT(-('Diário 4º PA'!$E$4:$E$2564='Analítico Cx.'!$B80),-('Diário 4º PA'!$P$4:$P$2564=N$1),('Diário 4º PA'!$F$4:$F$2564))</f>
        <v>0</v>
      </c>
      <c r="O80" s="184">
        <f t="shared" si="16"/>
        <v>0</v>
      </c>
      <c r="P80" s="167">
        <f t="shared" si="15"/>
        <v>0</v>
      </c>
    </row>
    <row r="81" spans="1:16" ht="23.25" customHeight="1" x14ac:dyDescent="0.2">
      <c r="A81" s="61" t="s">
        <v>133</v>
      </c>
      <c r="B81" s="103" t="s">
        <v>253</v>
      </c>
      <c r="C81" s="183">
        <f>SUMPRODUCT(-('Diário 1º PA'!$E$4:$E$2635='Analítico Cx.'!$B81),-('Diário 1º PA'!$P$4:$P$2635=C$1),('Diário 1º PA'!$F$4:$F$2635))+SUMPRODUCT(-('Diário 2º PA'!$E$4:$E$3040='Analítico Cx.'!$B81),-('Diário 2º PA'!$P$4:$P$3040=C$1),('Diário 2º PA'!$F$4:$F$3040))+SUMPRODUCT(-('Diário 3º PA'!$E$4:$E$2731='Analítico Cx.'!$B81),-('Diário 3º PA'!$P$4:$P$2731=C$1),('Diário 3º PA'!$F$4:$F$2731))+SUMPRODUCT(-('Diário 4º PA'!$E$4:$E$2564='Analítico Cx.'!$B81),-('Diário 4º PA'!$P$4:$P$2564=C$1),('Diário 4º PA'!$F$4:$F$2564))</f>
        <v>0</v>
      </c>
      <c r="D81" s="183">
        <f>SUMPRODUCT(-('Diário 1º PA'!$E$4:$E$2635='Analítico Cx.'!$B81),-('Diário 1º PA'!$P$4:$P$2635=D$1),('Diário 1º PA'!$F$4:$F$2635))+SUMPRODUCT(-('Diário 2º PA'!$E$4:$E$3040='Analítico Cx.'!$B81),-('Diário 2º PA'!$P$4:$P$3040=D$1),('Diário 2º PA'!$F$4:$F$3040))+SUMPRODUCT(-('Diário 3º PA'!$E$4:$E$2731='Analítico Cx.'!$B81),-('Diário 3º PA'!$P$4:$P$2731=D$1),('Diário 3º PA'!$F$4:$F$2731))+SUMPRODUCT(-('Diário 4º PA'!$E$4:$E$2564='Analítico Cx.'!$B81),-('Diário 4º PA'!$P$4:$P$2564=D$1),('Diário 4º PA'!$F$4:$F$2564))</f>
        <v>0</v>
      </c>
      <c r="E81" s="183">
        <f>SUMPRODUCT(-('Diário 1º PA'!$E$4:$E$2635='Analítico Cx.'!$B81),-('Diário 1º PA'!$P$4:$P$2635=E$1),('Diário 1º PA'!$F$4:$F$2635))+SUMPRODUCT(-('Diário 2º PA'!$E$4:$E$3040='Analítico Cx.'!$B81),-('Diário 2º PA'!$P$4:$P$3040=E$1),('Diário 2º PA'!$F$4:$F$3040))+SUMPRODUCT(-('Diário 3º PA'!$E$4:$E$2731='Analítico Cx.'!$B81),-('Diário 3º PA'!$P$4:$P$2731=E$1),('Diário 3º PA'!$F$4:$F$2731))+SUMPRODUCT(-('Diário 4º PA'!$E$4:$E$2564='Analítico Cx.'!$B81),-('Diário 4º PA'!$P$4:$P$2564=E$1),('Diário 4º PA'!$F$4:$F$2564))</f>
        <v>0</v>
      </c>
      <c r="F81" s="183">
        <f>SUMPRODUCT(-('Diário 1º PA'!$E$4:$E$2635='Analítico Cx.'!$B81),-('Diário 1º PA'!$P$4:$P$2635=F$1),('Diário 1º PA'!$F$4:$F$2635))+SUMPRODUCT(-('Diário 2º PA'!$E$4:$E$3040='Analítico Cx.'!$B81),-('Diário 2º PA'!$P$4:$P$3040=F$1),('Diário 2º PA'!$F$4:$F$3040))+SUMPRODUCT(-('Diário 3º PA'!$E$4:$E$2731='Analítico Cx.'!$B81),-('Diário 3º PA'!$P$4:$P$2731=F$1),('Diário 3º PA'!$F$4:$F$2731))+SUMPRODUCT(-('Diário 4º PA'!$E$4:$E$2564='Analítico Cx.'!$B81),-('Diário 4º PA'!$P$4:$P$2564=F$1),('Diário 4º PA'!$F$4:$F$2564))</f>
        <v>322.32</v>
      </c>
      <c r="G81" s="183">
        <f>SUMPRODUCT(-('Diário 1º PA'!$E$4:$E$2635='Analítico Cx.'!$B81),-('Diário 1º PA'!$P$4:$P$2635=G$1),('Diário 1º PA'!$F$4:$F$2635))+SUMPRODUCT(-('Diário 2º PA'!$E$4:$E$3040='Analítico Cx.'!$B81),-('Diário 2º PA'!$P$4:$P$3040=G$1),('Diário 2º PA'!$F$4:$F$3040))+SUMPRODUCT(-('Diário 3º PA'!$E$4:$E$2731='Analítico Cx.'!$B81),-('Diário 3º PA'!$P$4:$P$2731=G$1),('Diário 3º PA'!$F$4:$F$2731))+SUMPRODUCT(-('Diário 4º PA'!$E$4:$E$2564='Analítico Cx.'!$B81),-('Diário 4º PA'!$P$4:$P$2564=G$1),('Diário 4º PA'!$F$4:$F$2564))</f>
        <v>0</v>
      </c>
      <c r="H81" s="183">
        <f>SUMPRODUCT(-('Diário 1º PA'!$E$4:$E$2635='Analítico Cx.'!$B81),-('Diário 1º PA'!$P$4:$P$2635=H$1),('Diário 1º PA'!$F$4:$F$2635))+SUMPRODUCT(-('Diário 2º PA'!$E$4:$E$3040='Analítico Cx.'!$B81),-('Diário 2º PA'!$P$4:$P$3040=H$1),('Diário 2º PA'!$F$4:$F$3040))+SUMPRODUCT(-('Diário 3º PA'!$E$4:$E$2731='Analítico Cx.'!$B81),-('Diário 3º PA'!$P$4:$P$2731=H$1),('Diário 3º PA'!$F$4:$F$2731))+SUMPRODUCT(-('Diário 4º PA'!$E$4:$E$2564='Analítico Cx.'!$B81),-('Diário 4º PA'!$P$4:$P$2564=H$1),('Diário 4º PA'!$F$4:$F$2564))</f>
        <v>0</v>
      </c>
      <c r="I81" s="183">
        <f>SUMPRODUCT(-('Diário 1º PA'!$E$4:$E$2635='Analítico Cx.'!$B81),-('Diário 1º PA'!$P$4:$P$2635=I$1),('Diário 1º PA'!$F$4:$F$2635))+SUMPRODUCT(-('Diário 2º PA'!$E$4:$E$3040='Analítico Cx.'!$B81),-('Diário 2º PA'!$P$4:$P$3040=I$1),('Diário 2º PA'!$F$4:$F$3040))+SUMPRODUCT(-('Diário 3º PA'!$E$4:$E$2731='Analítico Cx.'!$B81),-('Diário 3º PA'!$P$4:$P$2731=I$1),('Diário 3º PA'!$F$4:$F$2731))+SUMPRODUCT(-('Diário 4º PA'!$E$4:$E$2564='Analítico Cx.'!$B81),-('Diário 4º PA'!$P$4:$P$2564=I$1),('Diário 4º PA'!$F$4:$F$2564))</f>
        <v>0</v>
      </c>
      <c r="J81" s="183">
        <f>SUMPRODUCT(-('Diário 1º PA'!$E$4:$E$2635='Analítico Cx.'!$B81),-('Diário 1º PA'!$P$4:$P$2635=J$1),('Diário 1º PA'!$F$4:$F$2635))+SUMPRODUCT(-('Diário 2º PA'!$E$4:$E$3040='Analítico Cx.'!$B81),-('Diário 2º PA'!$P$4:$P$3040=J$1),('Diário 2º PA'!$F$4:$F$3040))+SUMPRODUCT(-('Diário 3º PA'!$E$4:$E$2731='Analítico Cx.'!$B81),-('Diário 3º PA'!$P$4:$P$2731=J$1),('Diário 3º PA'!$F$4:$F$2731))+SUMPRODUCT(-('Diário 4º PA'!$E$4:$E$2564='Analítico Cx.'!$B81),-('Diário 4º PA'!$P$4:$P$2564=J$1),('Diário 4º PA'!$F$4:$F$2564))</f>
        <v>0</v>
      </c>
      <c r="K81" s="183">
        <f>SUMPRODUCT(-('Diário 1º PA'!$E$4:$E$2635='Analítico Cx.'!$B81),-('Diário 1º PA'!$P$4:$P$2635=K$1),('Diário 1º PA'!$F$4:$F$2635))+SUMPRODUCT(-('Diário 2º PA'!$E$4:$E$3040='Analítico Cx.'!$B81),-('Diário 2º PA'!$P$4:$P$3040=K$1),('Diário 2º PA'!$F$4:$F$3040))+SUMPRODUCT(-('Diário 3º PA'!$E$4:$E$2731='Analítico Cx.'!$B81),-('Diário 3º PA'!$P$4:$P$2731=K$1),('Diário 3º PA'!$F$4:$F$2731))+SUMPRODUCT(-('Diário 4º PA'!$E$4:$E$2564='Analítico Cx.'!$B81),-('Diário 4º PA'!$P$4:$P$2564=K$1),('Diário 4º PA'!$F$4:$F$2564))</f>
        <v>0</v>
      </c>
      <c r="L81" s="183">
        <f>SUMPRODUCT(-('Diário 1º PA'!$E$4:$E$2635='Analítico Cx.'!$B81),-('Diário 1º PA'!$P$4:$P$2635=L$1),('Diário 1º PA'!$F$4:$F$2635))+SUMPRODUCT(-('Diário 2º PA'!$E$4:$E$3040='Analítico Cx.'!$B81),-('Diário 2º PA'!$P$4:$P$3040=L$1),('Diário 2º PA'!$F$4:$F$3040))+SUMPRODUCT(-('Diário 3º PA'!$E$4:$E$2731='Analítico Cx.'!$B81),-('Diário 3º PA'!$P$4:$P$2731=L$1),('Diário 3º PA'!$F$4:$F$2731))+SUMPRODUCT(-('Diário 4º PA'!$E$4:$E$2564='Analítico Cx.'!$B81),-('Diário 4º PA'!$P$4:$P$2564=L$1),('Diário 4º PA'!$F$4:$F$2564))</f>
        <v>0</v>
      </c>
      <c r="M81" s="183">
        <f>SUMPRODUCT(-('Diário 1º PA'!$E$4:$E$2635='Analítico Cx.'!$B81),-('Diário 1º PA'!$P$4:$P$2635=M$1),('Diário 1º PA'!$F$4:$F$2635))+SUMPRODUCT(-('Diário 2º PA'!$E$4:$E$3040='Analítico Cx.'!$B81),-('Diário 2º PA'!$P$4:$P$3040=M$1),('Diário 2º PA'!$F$4:$F$3040))+SUMPRODUCT(-('Diário 3º PA'!$E$4:$E$2731='Analítico Cx.'!$B81),-('Diário 3º PA'!$P$4:$P$2731=M$1),('Diário 3º PA'!$F$4:$F$2731))+SUMPRODUCT(-('Diário 4º PA'!$E$4:$E$2564='Analítico Cx.'!$B81),-('Diário 4º PA'!$P$4:$P$2564=M$1),('Diário 4º PA'!$F$4:$F$2564))</f>
        <v>0</v>
      </c>
      <c r="N81" s="183">
        <f>SUMPRODUCT(-('Diário 1º PA'!$E$4:$E$2635='Analítico Cx.'!$B81),-('Diário 1º PA'!$P$4:$P$2635=N$1),('Diário 1º PA'!$F$4:$F$2635))+SUMPRODUCT(-('Diário 2º PA'!$E$4:$E$3040='Analítico Cx.'!$B81),-('Diário 2º PA'!$P$4:$P$3040=N$1),('Diário 2º PA'!$F$4:$F$3040))+SUMPRODUCT(-('Diário 3º PA'!$E$4:$E$2731='Analítico Cx.'!$B81),-('Diário 3º PA'!$P$4:$P$2731=N$1),('Diário 3º PA'!$F$4:$F$2731))+SUMPRODUCT(-('Diário 4º PA'!$E$4:$E$2564='Analítico Cx.'!$B81),-('Diário 4º PA'!$P$4:$P$2564=N$1),('Diário 4º PA'!$F$4:$F$2564))</f>
        <v>0</v>
      </c>
      <c r="O81" s="184">
        <f t="shared" si="16"/>
        <v>322.32</v>
      </c>
      <c r="P81" s="167">
        <f t="shared" si="15"/>
        <v>2.5387549244998891E-5</v>
      </c>
    </row>
    <row r="82" spans="1:16" ht="23.25" customHeight="1" x14ac:dyDescent="0.2">
      <c r="A82" s="61" t="s">
        <v>134</v>
      </c>
      <c r="B82" s="103" t="s">
        <v>92</v>
      </c>
      <c r="C82" s="183">
        <f>SUMPRODUCT(-('Diário 1º PA'!$E$4:$E$2635='Analítico Cx.'!$B82),-('Diário 1º PA'!$P$4:$P$2635=C$1),('Diário 1º PA'!$F$4:$F$2635))+SUMPRODUCT(-('Diário 2º PA'!$E$4:$E$3040='Analítico Cx.'!$B82),-('Diário 2º PA'!$P$4:$P$3040=C$1),('Diário 2º PA'!$F$4:$F$3040))+SUMPRODUCT(-('Diário 3º PA'!$E$4:$E$2731='Analítico Cx.'!$B82),-('Diário 3º PA'!$P$4:$P$2731=C$1),('Diário 3º PA'!$F$4:$F$2731))+SUMPRODUCT(-('Diário 4º PA'!$E$4:$E$2564='Analítico Cx.'!$B82),-('Diário 4º PA'!$P$4:$P$2564=C$1),('Diário 4º PA'!$F$4:$F$2564))</f>
        <v>938.07</v>
      </c>
      <c r="D82" s="183">
        <f>SUMPRODUCT(-('Diário 1º PA'!$E$4:$E$2635='Analítico Cx.'!$B82),-('Diário 1º PA'!$P$4:$P$2635=D$1),('Diário 1º PA'!$F$4:$F$2635))+SUMPRODUCT(-('Diário 2º PA'!$E$4:$E$3040='Analítico Cx.'!$B82),-('Diário 2º PA'!$P$4:$P$3040=D$1),('Diário 2º PA'!$F$4:$F$3040))+SUMPRODUCT(-('Diário 3º PA'!$E$4:$E$2731='Analítico Cx.'!$B82),-('Diário 3º PA'!$P$4:$P$2731=D$1),('Diário 3º PA'!$F$4:$F$2731))+SUMPRODUCT(-('Diário 4º PA'!$E$4:$E$2564='Analítico Cx.'!$B82),-('Diário 4º PA'!$P$4:$P$2564=D$1),('Diário 4º PA'!$F$4:$F$2564))</f>
        <v>617.95000000000005</v>
      </c>
      <c r="E82" s="183">
        <f>SUMPRODUCT(-('Diário 1º PA'!$E$4:$E$2635='Analítico Cx.'!$B82),-('Diário 1º PA'!$P$4:$P$2635=E$1),('Diário 1º PA'!$F$4:$F$2635))+SUMPRODUCT(-('Diário 2º PA'!$E$4:$E$3040='Analítico Cx.'!$B82),-('Diário 2º PA'!$P$4:$P$3040=E$1),('Diário 2º PA'!$F$4:$F$3040))+SUMPRODUCT(-('Diário 3º PA'!$E$4:$E$2731='Analítico Cx.'!$B82),-('Diário 3º PA'!$P$4:$P$2731=E$1),('Diário 3º PA'!$F$4:$F$2731))+SUMPRODUCT(-('Diário 4º PA'!$E$4:$E$2564='Analítico Cx.'!$B82),-('Diário 4º PA'!$P$4:$P$2564=E$1),('Diário 4º PA'!$F$4:$F$2564))</f>
        <v>1258.19</v>
      </c>
      <c r="F82" s="183">
        <f>SUMPRODUCT(-('Diário 1º PA'!$E$4:$E$2635='Analítico Cx.'!$B82),-('Diário 1º PA'!$P$4:$P$2635=F$1),('Diário 1º PA'!$F$4:$F$2635))+SUMPRODUCT(-('Diário 2º PA'!$E$4:$E$3040='Analítico Cx.'!$B82),-('Diário 2º PA'!$P$4:$P$3040=F$1),('Diário 2º PA'!$F$4:$F$3040))+SUMPRODUCT(-('Diário 3º PA'!$E$4:$E$2731='Analítico Cx.'!$B82),-('Diário 3º PA'!$P$4:$P$2731=F$1),('Diário 3º PA'!$F$4:$F$2731))+SUMPRODUCT(-('Diário 4º PA'!$E$4:$E$2564='Analítico Cx.'!$B82),-('Diário 4º PA'!$P$4:$P$2564=F$1),('Diário 4º PA'!$F$4:$F$2564))</f>
        <v>1096.4000000000001</v>
      </c>
      <c r="G82" s="183">
        <f>SUMPRODUCT(-('Diário 1º PA'!$E$4:$E$2635='Analítico Cx.'!$B82),-('Diário 1º PA'!$P$4:$P$2635=G$1),('Diário 1º PA'!$F$4:$F$2635))+SUMPRODUCT(-('Diário 2º PA'!$E$4:$E$3040='Analítico Cx.'!$B82),-('Diário 2º PA'!$P$4:$P$3040=G$1),('Diário 2º PA'!$F$4:$F$3040))+SUMPRODUCT(-('Diário 3º PA'!$E$4:$E$2731='Analítico Cx.'!$B82),-('Diário 3º PA'!$P$4:$P$2731=G$1),('Diário 3º PA'!$F$4:$F$2731))+SUMPRODUCT(-('Diário 4º PA'!$E$4:$E$2564='Analítico Cx.'!$B82),-('Diário 4º PA'!$P$4:$P$2564=G$1),('Diário 4º PA'!$F$4:$F$2564))</f>
        <v>1188.0700000000002</v>
      </c>
      <c r="H82" s="183">
        <f>SUMPRODUCT(-('Diário 1º PA'!$E$4:$E$2635='Analítico Cx.'!$B82),-('Diário 1º PA'!$P$4:$P$2635=H$1),('Diário 1º PA'!$F$4:$F$2635))+SUMPRODUCT(-('Diário 2º PA'!$E$4:$E$3040='Analítico Cx.'!$B82),-('Diário 2º PA'!$P$4:$P$3040=H$1),('Diário 2º PA'!$F$4:$F$3040))+SUMPRODUCT(-('Diário 3º PA'!$E$4:$E$2731='Analítico Cx.'!$B82),-('Diário 3º PA'!$P$4:$P$2731=H$1),('Diário 3º PA'!$F$4:$F$2731))+SUMPRODUCT(-('Diário 4º PA'!$E$4:$E$2564='Analítico Cx.'!$B82),-('Diário 4º PA'!$P$4:$P$2564=H$1),('Diário 4º PA'!$F$4:$F$2564))</f>
        <v>820.12</v>
      </c>
      <c r="I82" s="183">
        <f>SUMPRODUCT(-('Diário 1º PA'!$E$4:$E$2635='Analítico Cx.'!$B82),-('Diário 1º PA'!$P$4:$P$2635=I$1),('Diário 1º PA'!$F$4:$F$2635))+SUMPRODUCT(-('Diário 2º PA'!$E$4:$E$3040='Analítico Cx.'!$B82),-('Diário 2º PA'!$P$4:$P$3040=I$1),('Diário 2º PA'!$F$4:$F$3040))+SUMPRODUCT(-('Diário 3º PA'!$E$4:$E$2731='Analítico Cx.'!$B82),-('Diário 3º PA'!$P$4:$P$2731=I$1),('Diário 3º PA'!$F$4:$F$2731))+SUMPRODUCT(-('Diário 4º PA'!$E$4:$E$2564='Analítico Cx.'!$B82),-('Diário 4º PA'!$P$4:$P$2564=I$1),('Diário 4º PA'!$F$4:$F$2564))</f>
        <v>1188.0700000000002</v>
      </c>
      <c r="J82" s="183">
        <f>SUMPRODUCT(-('Diário 1º PA'!$E$4:$E$2635='Analítico Cx.'!$B82),-('Diário 1º PA'!$P$4:$P$2635=J$1),('Diário 1º PA'!$F$4:$F$2635))+SUMPRODUCT(-('Diário 2º PA'!$E$4:$E$3040='Analítico Cx.'!$B82),-('Diário 2º PA'!$P$4:$P$3040=J$1),('Diário 2º PA'!$F$4:$F$3040))+SUMPRODUCT(-('Diário 3º PA'!$E$4:$E$2731='Analítico Cx.'!$B82),-('Diário 3º PA'!$P$4:$P$2731=J$1),('Diário 3º PA'!$F$4:$F$2731))+SUMPRODUCT(-('Diário 4º PA'!$E$4:$E$2564='Analítico Cx.'!$B82),-('Diário 4º PA'!$P$4:$P$2564=J$1),('Diário 4º PA'!$F$4:$F$2564))</f>
        <v>1188.07</v>
      </c>
      <c r="K82" s="183">
        <f>SUMPRODUCT(-('Diário 1º PA'!$E$4:$E$2635='Analítico Cx.'!$B82),-('Diário 1º PA'!$P$4:$P$2635=K$1),('Diário 1º PA'!$F$4:$F$2635))+SUMPRODUCT(-('Diário 2º PA'!$E$4:$E$3040='Analítico Cx.'!$B82),-('Diário 2º PA'!$P$4:$P$3040=K$1),('Diário 2º PA'!$F$4:$F$3040))+SUMPRODUCT(-('Diário 3º PA'!$E$4:$E$2731='Analítico Cx.'!$B82),-('Diário 3º PA'!$P$4:$P$2731=K$1),('Diário 3º PA'!$F$4:$F$2731))+SUMPRODUCT(-('Diário 4º PA'!$E$4:$E$2564='Analítico Cx.'!$B82),-('Diário 4º PA'!$P$4:$P$2564=K$1),('Diário 4º PA'!$F$4:$F$2564))</f>
        <v>1188.0700000000002</v>
      </c>
      <c r="L82" s="183">
        <f>SUMPRODUCT(-('Diário 1º PA'!$E$4:$E$2635='Analítico Cx.'!$B82),-('Diário 1º PA'!$P$4:$P$2635=L$1),('Diário 1º PA'!$F$4:$F$2635))+SUMPRODUCT(-('Diário 2º PA'!$E$4:$E$3040='Analítico Cx.'!$B82),-('Diário 2º PA'!$P$4:$P$3040=L$1),('Diário 2º PA'!$F$4:$F$3040))+SUMPRODUCT(-('Diário 3º PA'!$E$4:$E$2731='Analítico Cx.'!$B82),-('Diário 3º PA'!$P$4:$P$2731=L$1),('Diário 3º PA'!$F$4:$F$2731))+SUMPRODUCT(-('Diário 4º PA'!$E$4:$E$2564='Analítico Cx.'!$B82),-('Diário 4º PA'!$P$4:$P$2564=L$1),('Diário 4º PA'!$F$4:$F$2564))</f>
        <v>867.95</v>
      </c>
      <c r="M82" s="183">
        <f>SUMPRODUCT(-('Diário 1º PA'!$E$4:$E$2635='Analítico Cx.'!$B82),-('Diário 1º PA'!$P$4:$P$2635=M$1),('Diário 1º PA'!$F$4:$F$2635))+SUMPRODUCT(-('Diário 2º PA'!$E$4:$E$3040='Analítico Cx.'!$B82),-('Diário 2º PA'!$P$4:$P$3040=M$1),('Diário 2º PA'!$F$4:$F$3040))+SUMPRODUCT(-('Diário 3º PA'!$E$4:$E$2731='Analítico Cx.'!$B82),-('Diário 3º PA'!$P$4:$P$2731=M$1),('Diário 3º PA'!$F$4:$F$2731))+SUMPRODUCT(-('Diário 4º PA'!$E$4:$E$2564='Analítico Cx.'!$B82),-('Diário 4º PA'!$P$4:$P$2564=M$1),('Diário 4º PA'!$F$4:$F$2564))</f>
        <v>867.95</v>
      </c>
      <c r="N82" s="183">
        <f>SUMPRODUCT(-('Diário 1º PA'!$E$4:$E$2635='Analítico Cx.'!$B82),-('Diário 1º PA'!$P$4:$P$2635=N$1),('Diário 1º PA'!$F$4:$F$2635))+SUMPRODUCT(-('Diário 2º PA'!$E$4:$E$3040='Analítico Cx.'!$B82),-('Diário 2º PA'!$P$4:$P$3040=N$1),('Diário 2º PA'!$F$4:$F$3040))+SUMPRODUCT(-('Diário 3º PA'!$E$4:$E$2731='Analítico Cx.'!$B82),-('Diário 3º PA'!$P$4:$P$2731=N$1),('Diário 3º PA'!$F$4:$F$2731))+SUMPRODUCT(-('Diário 4º PA'!$E$4:$E$2564='Analítico Cx.'!$B82),-('Diário 4º PA'!$P$4:$P$2564=N$1),('Diário 4º PA'!$F$4:$F$2564))</f>
        <v>1932.06</v>
      </c>
      <c r="O82" s="184">
        <f t="shared" si="16"/>
        <v>13150.970000000001</v>
      </c>
      <c r="P82" s="167">
        <f t="shared" si="15"/>
        <v>1.035836741420027E-3</v>
      </c>
    </row>
    <row r="83" spans="1:16" ht="23.25" customHeight="1" x14ac:dyDescent="0.2">
      <c r="A83" s="61" t="s">
        <v>135</v>
      </c>
      <c r="B83" s="103" t="s">
        <v>327</v>
      </c>
      <c r="C83" s="183">
        <f>SUMPRODUCT(-('Diário 1º PA'!$E$4:$E$2635='Analítico Cx.'!$B83),-('Diário 1º PA'!$P$4:$P$2635=C$1),('Diário 1º PA'!$F$4:$F$2635))+SUMPRODUCT(-('Diário 2º PA'!$E$4:$E$3040='Analítico Cx.'!$B83),-('Diário 2º PA'!$P$4:$P$3040=C$1),('Diário 2º PA'!$F$4:$F$3040))+SUMPRODUCT(-('Diário 3º PA'!$E$4:$E$2731='Analítico Cx.'!$B83),-('Diário 3º PA'!$P$4:$P$2731=C$1),('Diário 3º PA'!$F$4:$F$2731))+SUMPRODUCT(-('Diário 4º PA'!$E$4:$E$2564='Analítico Cx.'!$B83),-('Diário 4º PA'!$P$4:$P$2564=C$1),('Diário 4º PA'!$F$4:$F$2564))</f>
        <v>0</v>
      </c>
      <c r="D83" s="183">
        <f>SUMPRODUCT(-('Diário 1º PA'!$E$4:$E$2635='Analítico Cx.'!$B83),-('Diário 1º PA'!$P$4:$P$2635=D$1),('Diário 1º PA'!$F$4:$F$2635))+SUMPRODUCT(-('Diário 2º PA'!$E$4:$E$3040='Analítico Cx.'!$B83),-('Diário 2º PA'!$P$4:$P$3040=D$1),('Diário 2º PA'!$F$4:$F$3040))+SUMPRODUCT(-('Diário 3º PA'!$E$4:$E$2731='Analítico Cx.'!$B83),-('Diário 3º PA'!$P$4:$P$2731=D$1),('Diário 3º PA'!$F$4:$F$2731))+SUMPRODUCT(-('Diário 4º PA'!$E$4:$E$2564='Analítico Cx.'!$B83),-('Diário 4º PA'!$P$4:$P$2564=D$1),('Diário 4º PA'!$F$4:$F$2564))</f>
        <v>0</v>
      </c>
      <c r="E83" s="183">
        <f>SUMPRODUCT(-('Diário 1º PA'!$E$4:$E$2635='Analítico Cx.'!$B83),-('Diário 1º PA'!$P$4:$P$2635=E$1),('Diário 1º PA'!$F$4:$F$2635))+SUMPRODUCT(-('Diário 2º PA'!$E$4:$E$3040='Analítico Cx.'!$B83),-('Diário 2º PA'!$P$4:$P$3040=E$1),('Diário 2º PA'!$F$4:$F$3040))+SUMPRODUCT(-('Diário 3º PA'!$E$4:$E$2731='Analítico Cx.'!$B83),-('Diário 3º PA'!$P$4:$P$2731=E$1),('Diário 3º PA'!$F$4:$F$2731))+SUMPRODUCT(-('Diário 4º PA'!$E$4:$E$2564='Analítico Cx.'!$B83),-('Diário 4º PA'!$P$4:$P$2564=E$1),('Diário 4º PA'!$F$4:$F$2564))</f>
        <v>0</v>
      </c>
      <c r="F83" s="183">
        <f>SUMPRODUCT(-('Diário 1º PA'!$E$4:$E$2635='Analítico Cx.'!$B83),-('Diário 1º PA'!$P$4:$P$2635=F$1),('Diário 1º PA'!$F$4:$F$2635))+SUMPRODUCT(-('Diário 2º PA'!$E$4:$E$3040='Analítico Cx.'!$B83),-('Diário 2º PA'!$P$4:$P$3040=F$1),('Diário 2º PA'!$F$4:$F$3040))+SUMPRODUCT(-('Diário 3º PA'!$E$4:$E$2731='Analítico Cx.'!$B83),-('Diário 3º PA'!$P$4:$P$2731=F$1),('Diário 3º PA'!$F$4:$F$2731))+SUMPRODUCT(-('Diário 4º PA'!$E$4:$E$2564='Analítico Cx.'!$B83),-('Diário 4º PA'!$P$4:$P$2564=F$1),('Diário 4º PA'!$F$4:$F$2564))</f>
        <v>0</v>
      </c>
      <c r="G83" s="183">
        <f>SUMPRODUCT(-('Diário 1º PA'!$E$4:$E$2635='Analítico Cx.'!$B83),-('Diário 1º PA'!$P$4:$P$2635=G$1),('Diário 1º PA'!$F$4:$F$2635))+SUMPRODUCT(-('Diário 2º PA'!$E$4:$E$3040='Analítico Cx.'!$B83),-('Diário 2º PA'!$P$4:$P$3040=G$1),('Diário 2º PA'!$F$4:$F$3040))+SUMPRODUCT(-('Diário 3º PA'!$E$4:$E$2731='Analítico Cx.'!$B83),-('Diário 3º PA'!$P$4:$P$2731=G$1),('Diário 3º PA'!$F$4:$F$2731))+SUMPRODUCT(-('Diário 4º PA'!$E$4:$E$2564='Analítico Cx.'!$B83),-('Diário 4º PA'!$P$4:$P$2564=G$1),('Diário 4º PA'!$F$4:$F$2564))</f>
        <v>0</v>
      </c>
      <c r="H83" s="183">
        <f>SUMPRODUCT(-('Diário 1º PA'!$E$4:$E$2635='Analítico Cx.'!$B83),-('Diário 1º PA'!$P$4:$P$2635=H$1),('Diário 1º PA'!$F$4:$F$2635))+SUMPRODUCT(-('Diário 2º PA'!$E$4:$E$3040='Analítico Cx.'!$B83),-('Diário 2º PA'!$P$4:$P$3040=H$1),('Diário 2º PA'!$F$4:$F$3040))+SUMPRODUCT(-('Diário 3º PA'!$E$4:$E$2731='Analítico Cx.'!$B83),-('Diário 3º PA'!$P$4:$P$2731=H$1),('Diário 3º PA'!$F$4:$F$2731))+SUMPRODUCT(-('Diário 4º PA'!$E$4:$E$2564='Analítico Cx.'!$B83),-('Diário 4º PA'!$P$4:$P$2564=H$1),('Diário 4º PA'!$F$4:$F$2564))</f>
        <v>0</v>
      </c>
      <c r="I83" s="183">
        <f>SUMPRODUCT(-('Diário 1º PA'!$E$4:$E$2635='Analítico Cx.'!$B83),-('Diário 1º PA'!$P$4:$P$2635=I$1),('Diário 1º PA'!$F$4:$F$2635))+SUMPRODUCT(-('Diário 2º PA'!$E$4:$E$3040='Analítico Cx.'!$B83),-('Diário 2º PA'!$P$4:$P$3040=I$1),('Diário 2º PA'!$F$4:$F$3040))+SUMPRODUCT(-('Diário 3º PA'!$E$4:$E$2731='Analítico Cx.'!$B83),-('Diário 3º PA'!$P$4:$P$2731=I$1),('Diário 3º PA'!$F$4:$F$2731))+SUMPRODUCT(-('Diário 4º PA'!$E$4:$E$2564='Analítico Cx.'!$B83),-('Diário 4º PA'!$P$4:$P$2564=I$1),('Diário 4º PA'!$F$4:$F$2564))</f>
        <v>0</v>
      </c>
      <c r="J83" s="183">
        <f>SUMPRODUCT(-('Diário 1º PA'!$E$4:$E$2635='Analítico Cx.'!$B83),-('Diário 1º PA'!$P$4:$P$2635=J$1),('Diário 1º PA'!$F$4:$F$2635))+SUMPRODUCT(-('Diário 2º PA'!$E$4:$E$3040='Analítico Cx.'!$B83),-('Diário 2º PA'!$P$4:$P$3040=J$1),('Diário 2º PA'!$F$4:$F$3040))+SUMPRODUCT(-('Diário 3º PA'!$E$4:$E$2731='Analítico Cx.'!$B83),-('Diário 3º PA'!$P$4:$P$2731=J$1),('Diário 3º PA'!$F$4:$F$2731))+SUMPRODUCT(-('Diário 4º PA'!$E$4:$E$2564='Analítico Cx.'!$B83),-('Diário 4º PA'!$P$4:$P$2564=J$1),('Diário 4º PA'!$F$4:$F$2564))</f>
        <v>0</v>
      </c>
      <c r="K83" s="183">
        <f>SUMPRODUCT(-('Diário 1º PA'!$E$4:$E$2635='Analítico Cx.'!$B83),-('Diário 1º PA'!$P$4:$P$2635=K$1),('Diário 1º PA'!$F$4:$F$2635))+SUMPRODUCT(-('Diário 2º PA'!$E$4:$E$3040='Analítico Cx.'!$B83),-('Diário 2º PA'!$P$4:$P$3040=K$1),('Diário 2º PA'!$F$4:$F$3040))+SUMPRODUCT(-('Diário 3º PA'!$E$4:$E$2731='Analítico Cx.'!$B83),-('Diário 3º PA'!$P$4:$P$2731=K$1),('Diário 3º PA'!$F$4:$F$2731))+SUMPRODUCT(-('Diário 4º PA'!$E$4:$E$2564='Analítico Cx.'!$B83),-('Diário 4º PA'!$P$4:$P$2564=K$1),('Diário 4º PA'!$F$4:$F$2564))</f>
        <v>0</v>
      </c>
      <c r="L83" s="183">
        <f>SUMPRODUCT(-('Diário 1º PA'!$E$4:$E$2635='Analítico Cx.'!$B83),-('Diário 1º PA'!$P$4:$P$2635=L$1),('Diário 1º PA'!$F$4:$F$2635))+SUMPRODUCT(-('Diário 2º PA'!$E$4:$E$3040='Analítico Cx.'!$B83),-('Diário 2º PA'!$P$4:$P$3040=L$1),('Diário 2º PA'!$F$4:$F$3040))+SUMPRODUCT(-('Diário 3º PA'!$E$4:$E$2731='Analítico Cx.'!$B83),-('Diário 3º PA'!$P$4:$P$2731=L$1),('Diário 3º PA'!$F$4:$F$2731))+SUMPRODUCT(-('Diário 4º PA'!$E$4:$E$2564='Analítico Cx.'!$B83),-('Diário 4º PA'!$P$4:$P$2564=L$1),('Diário 4º PA'!$F$4:$F$2564))</f>
        <v>0</v>
      </c>
      <c r="M83" s="183">
        <f>SUMPRODUCT(-('Diário 1º PA'!$E$4:$E$2635='Analítico Cx.'!$B83),-('Diário 1º PA'!$P$4:$P$2635=M$1),('Diário 1º PA'!$F$4:$F$2635))+SUMPRODUCT(-('Diário 2º PA'!$E$4:$E$3040='Analítico Cx.'!$B83),-('Diário 2º PA'!$P$4:$P$3040=M$1),('Diário 2º PA'!$F$4:$F$3040))+SUMPRODUCT(-('Diário 3º PA'!$E$4:$E$2731='Analítico Cx.'!$B83),-('Diário 3º PA'!$P$4:$P$2731=M$1),('Diário 3º PA'!$F$4:$F$2731))+SUMPRODUCT(-('Diário 4º PA'!$E$4:$E$2564='Analítico Cx.'!$B83),-('Diário 4º PA'!$P$4:$P$2564=M$1),('Diário 4º PA'!$F$4:$F$2564))</f>
        <v>0</v>
      </c>
      <c r="N83" s="183">
        <f>SUMPRODUCT(-('Diário 1º PA'!$E$4:$E$2635='Analítico Cx.'!$B83),-('Diário 1º PA'!$P$4:$P$2635=N$1),('Diário 1º PA'!$F$4:$F$2635))+SUMPRODUCT(-('Diário 2º PA'!$E$4:$E$3040='Analítico Cx.'!$B83),-('Diário 2º PA'!$P$4:$P$3040=N$1),('Diário 2º PA'!$F$4:$F$3040))+SUMPRODUCT(-('Diário 3º PA'!$E$4:$E$2731='Analítico Cx.'!$B83),-('Diário 3º PA'!$P$4:$P$2731=N$1),('Diário 3º PA'!$F$4:$F$2731))+SUMPRODUCT(-('Diário 4º PA'!$E$4:$E$2564='Analítico Cx.'!$B83),-('Diário 4º PA'!$P$4:$P$2564=N$1),('Diário 4º PA'!$F$4:$F$2564))</f>
        <v>0</v>
      </c>
      <c r="O83" s="184">
        <f t="shared" si="16"/>
        <v>0</v>
      </c>
      <c r="P83" s="167">
        <f t="shared" si="15"/>
        <v>0</v>
      </c>
    </row>
    <row r="84" spans="1:16" ht="23.25" customHeight="1" x14ac:dyDescent="0.2">
      <c r="A84" s="61" t="s">
        <v>146</v>
      </c>
      <c r="B84" s="103" t="s">
        <v>82</v>
      </c>
      <c r="C84" s="183">
        <f>SUMPRODUCT(-('Diário 1º PA'!$E$4:$E$2635='Analítico Cx.'!$B84),-('Diário 1º PA'!$P$4:$P$2635=C$1),('Diário 1º PA'!$F$4:$F$2635))+SUMPRODUCT(-('Diário 2º PA'!$E$4:$E$3040='Analítico Cx.'!$B84),-('Diário 2º PA'!$P$4:$P$3040=C$1),('Diário 2º PA'!$F$4:$F$3040))+SUMPRODUCT(-('Diário 3º PA'!$E$4:$E$2731='Analítico Cx.'!$B84),-('Diário 3º PA'!$P$4:$P$2731=C$1),('Diário 3º PA'!$F$4:$F$2731))+SUMPRODUCT(-('Diário 4º PA'!$E$4:$E$2564='Analítico Cx.'!$B84),-('Diário 4º PA'!$P$4:$P$2564=C$1),('Diário 4º PA'!$F$4:$F$2564))</f>
        <v>0</v>
      </c>
      <c r="D84" s="183">
        <f>SUMPRODUCT(-('Diário 1º PA'!$E$4:$E$2635='Analítico Cx.'!$B84),-('Diário 1º PA'!$P$4:$P$2635=D$1),('Diário 1º PA'!$F$4:$F$2635))+SUMPRODUCT(-('Diário 2º PA'!$E$4:$E$3040='Analítico Cx.'!$B84),-('Diário 2º PA'!$P$4:$P$3040=D$1),('Diário 2º PA'!$F$4:$F$3040))+SUMPRODUCT(-('Diário 3º PA'!$E$4:$E$2731='Analítico Cx.'!$B84),-('Diário 3º PA'!$P$4:$P$2731=D$1),('Diário 3º PA'!$F$4:$F$2731))+SUMPRODUCT(-('Diário 4º PA'!$E$4:$E$2564='Analítico Cx.'!$B84),-('Diário 4º PA'!$P$4:$P$2564=D$1),('Diário 4º PA'!$F$4:$F$2564))</f>
        <v>0</v>
      </c>
      <c r="E84" s="183">
        <f>SUMPRODUCT(-('Diário 1º PA'!$E$4:$E$2635='Analítico Cx.'!$B84),-('Diário 1º PA'!$P$4:$P$2635=E$1),('Diário 1º PA'!$F$4:$F$2635))+SUMPRODUCT(-('Diário 2º PA'!$E$4:$E$3040='Analítico Cx.'!$B84),-('Diário 2º PA'!$P$4:$P$3040=E$1),('Diário 2º PA'!$F$4:$F$3040))+SUMPRODUCT(-('Diário 3º PA'!$E$4:$E$2731='Analítico Cx.'!$B84),-('Diário 3º PA'!$P$4:$P$2731=E$1),('Diário 3º PA'!$F$4:$F$2731))+SUMPRODUCT(-('Diário 4º PA'!$E$4:$E$2564='Analítico Cx.'!$B84),-('Diário 4º PA'!$P$4:$P$2564=E$1),('Diário 4º PA'!$F$4:$F$2564))</f>
        <v>436.3</v>
      </c>
      <c r="F84" s="183">
        <f>SUMPRODUCT(-('Diário 1º PA'!$E$4:$E$2635='Analítico Cx.'!$B84),-('Diário 1º PA'!$P$4:$P$2635=F$1),('Diário 1º PA'!$F$4:$F$2635))+SUMPRODUCT(-('Diário 2º PA'!$E$4:$E$3040='Analítico Cx.'!$B84),-('Diário 2º PA'!$P$4:$P$3040=F$1),('Diário 2º PA'!$F$4:$F$3040))+SUMPRODUCT(-('Diário 3º PA'!$E$4:$E$2731='Analítico Cx.'!$B84),-('Diário 3º PA'!$P$4:$P$2731=F$1),('Diário 3º PA'!$F$4:$F$2731))+SUMPRODUCT(-('Diário 4º PA'!$E$4:$E$2564='Analítico Cx.'!$B84),-('Diário 4º PA'!$P$4:$P$2564=F$1),('Diário 4º PA'!$F$4:$F$2564))</f>
        <v>-436.3</v>
      </c>
      <c r="G84" s="183">
        <f>SUMPRODUCT(-('Diário 1º PA'!$E$4:$E$2635='Analítico Cx.'!$B84),-('Diário 1º PA'!$P$4:$P$2635=G$1),('Diário 1º PA'!$F$4:$F$2635))+SUMPRODUCT(-('Diário 2º PA'!$E$4:$E$3040='Analítico Cx.'!$B84),-('Diário 2º PA'!$P$4:$P$3040=G$1),('Diário 2º PA'!$F$4:$F$3040))+SUMPRODUCT(-('Diário 3º PA'!$E$4:$E$2731='Analítico Cx.'!$B84),-('Diário 3º PA'!$P$4:$P$2731=G$1),('Diário 3º PA'!$F$4:$F$2731))+SUMPRODUCT(-('Diário 4º PA'!$E$4:$E$2564='Analítico Cx.'!$B84),-('Diário 4º PA'!$P$4:$P$2564=G$1),('Diário 4º PA'!$F$4:$F$2564))</f>
        <v>0</v>
      </c>
      <c r="H84" s="183">
        <f>SUMPRODUCT(-('Diário 1º PA'!$E$4:$E$2635='Analítico Cx.'!$B84),-('Diário 1º PA'!$P$4:$P$2635=H$1),('Diário 1º PA'!$F$4:$F$2635))+SUMPRODUCT(-('Diário 2º PA'!$E$4:$E$3040='Analítico Cx.'!$B84),-('Diário 2º PA'!$P$4:$P$3040=H$1),('Diário 2º PA'!$F$4:$F$3040))+SUMPRODUCT(-('Diário 3º PA'!$E$4:$E$2731='Analítico Cx.'!$B84),-('Diário 3º PA'!$P$4:$P$2731=H$1),('Diário 3º PA'!$F$4:$F$2731))+SUMPRODUCT(-('Diário 4º PA'!$E$4:$E$2564='Analítico Cx.'!$B84),-('Diário 4º PA'!$P$4:$P$2564=H$1),('Diário 4º PA'!$F$4:$F$2564))</f>
        <v>0</v>
      </c>
      <c r="I84" s="183">
        <f>SUMPRODUCT(-('Diário 1º PA'!$E$4:$E$2635='Analítico Cx.'!$B84),-('Diário 1º PA'!$P$4:$P$2635=I$1),('Diário 1º PA'!$F$4:$F$2635))+SUMPRODUCT(-('Diário 2º PA'!$E$4:$E$3040='Analítico Cx.'!$B84),-('Diário 2º PA'!$P$4:$P$3040=I$1),('Diário 2º PA'!$F$4:$F$3040))+SUMPRODUCT(-('Diário 3º PA'!$E$4:$E$2731='Analítico Cx.'!$B84),-('Diário 3º PA'!$P$4:$P$2731=I$1),('Diário 3º PA'!$F$4:$F$2731))+SUMPRODUCT(-('Diário 4º PA'!$E$4:$E$2564='Analítico Cx.'!$B84),-('Diário 4º PA'!$P$4:$P$2564=I$1),('Diário 4º PA'!$F$4:$F$2564))</f>
        <v>0</v>
      </c>
      <c r="J84" s="183">
        <f>SUMPRODUCT(-('Diário 1º PA'!$E$4:$E$2635='Analítico Cx.'!$B84),-('Diário 1º PA'!$P$4:$P$2635=J$1),('Diário 1º PA'!$F$4:$F$2635))+SUMPRODUCT(-('Diário 2º PA'!$E$4:$E$3040='Analítico Cx.'!$B84),-('Diário 2º PA'!$P$4:$P$3040=J$1),('Diário 2º PA'!$F$4:$F$3040))+SUMPRODUCT(-('Diário 3º PA'!$E$4:$E$2731='Analítico Cx.'!$B84),-('Diário 3º PA'!$P$4:$P$2731=J$1),('Diário 3º PA'!$F$4:$F$2731))+SUMPRODUCT(-('Diário 4º PA'!$E$4:$E$2564='Analítico Cx.'!$B84),-('Diário 4º PA'!$P$4:$P$2564=J$1),('Diário 4º PA'!$F$4:$F$2564))</f>
        <v>0</v>
      </c>
      <c r="K84" s="183">
        <f>SUMPRODUCT(-('Diário 1º PA'!$E$4:$E$2635='Analítico Cx.'!$B84),-('Diário 1º PA'!$P$4:$P$2635=K$1),('Diário 1º PA'!$F$4:$F$2635))+SUMPRODUCT(-('Diário 2º PA'!$E$4:$E$3040='Analítico Cx.'!$B84),-('Diário 2º PA'!$P$4:$P$3040=K$1),('Diário 2º PA'!$F$4:$F$3040))+SUMPRODUCT(-('Diário 3º PA'!$E$4:$E$2731='Analítico Cx.'!$B84),-('Diário 3º PA'!$P$4:$P$2731=K$1),('Diário 3º PA'!$F$4:$F$2731))+SUMPRODUCT(-('Diário 4º PA'!$E$4:$E$2564='Analítico Cx.'!$B84),-('Diário 4º PA'!$P$4:$P$2564=K$1),('Diário 4º PA'!$F$4:$F$2564))</f>
        <v>0</v>
      </c>
      <c r="L84" s="183">
        <f>SUMPRODUCT(-('Diário 1º PA'!$E$4:$E$2635='Analítico Cx.'!$B84),-('Diário 1º PA'!$P$4:$P$2635=L$1),('Diário 1º PA'!$F$4:$F$2635))+SUMPRODUCT(-('Diário 2º PA'!$E$4:$E$3040='Analítico Cx.'!$B84),-('Diário 2º PA'!$P$4:$P$3040=L$1),('Diário 2º PA'!$F$4:$F$3040))+SUMPRODUCT(-('Diário 3º PA'!$E$4:$E$2731='Analítico Cx.'!$B84),-('Diário 3º PA'!$P$4:$P$2731=L$1),('Diário 3º PA'!$F$4:$F$2731))+SUMPRODUCT(-('Diário 4º PA'!$E$4:$E$2564='Analítico Cx.'!$B84),-('Diário 4º PA'!$P$4:$P$2564=L$1),('Diário 4º PA'!$F$4:$F$2564))</f>
        <v>0</v>
      </c>
      <c r="M84" s="183">
        <f>SUMPRODUCT(-('Diário 1º PA'!$E$4:$E$2635='Analítico Cx.'!$B84),-('Diário 1º PA'!$P$4:$P$2635=M$1),('Diário 1º PA'!$F$4:$F$2635))+SUMPRODUCT(-('Diário 2º PA'!$E$4:$E$3040='Analítico Cx.'!$B84),-('Diário 2º PA'!$P$4:$P$3040=M$1),('Diário 2º PA'!$F$4:$F$3040))+SUMPRODUCT(-('Diário 3º PA'!$E$4:$E$2731='Analítico Cx.'!$B84),-('Diário 3º PA'!$P$4:$P$2731=M$1),('Diário 3º PA'!$F$4:$F$2731))+SUMPRODUCT(-('Diário 4º PA'!$E$4:$E$2564='Analítico Cx.'!$B84),-('Diário 4º PA'!$P$4:$P$2564=M$1),('Diário 4º PA'!$F$4:$F$2564))</f>
        <v>0</v>
      </c>
      <c r="N84" s="183">
        <f>SUMPRODUCT(-('Diário 1º PA'!$E$4:$E$2635='Analítico Cx.'!$B84),-('Diário 1º PA'!$P$4:$P$2635=N$1),('Diário 1º PA'!$F$4:$F$2635))+SUMPRODUCT(-('Diário 2º PA'!$E$4:$E$3040='Analítico Cx.'!$B84),-('Diário 2º PA'!$P$4:$P$3040=N$1),('Diário 2º PA'!$F$4:$F$3040))+SUMPRODUCT(-('Diário 3º PA'!$E$4:$E$2731='Analítico Cx.'!$B84),-('Diário 3º PA'!$P$4:$P$2731=N$1),('Diário 3º PA'!$F$4:$F$2731))+SUMPRODUCT(-('Diário 4º PA'!$E$4:$E$2564='Analítico Cx.'!$B84),-('Diário 4º PA'!$P$4:$P$2564=N$1),('Diário 4º PA'!$F$4:$F$2564))</f>
        <v>0</v>
      </c>
      <c r="O84" s="184">
        <f t="shared" si="16"/>
        <v>0</v>
      </c>
      <c r="P84" s="167">
        <f t="shared" si="15"/>
        <v>0</v>
      </c>
    </row>
    <row r="85" spans="1:16" ht="23.25" customHeight="1" x14ac:dyDescent="0.2">
      <c r="A85" s="61" t="s">
        <v>147</v>
      </c>
      <c r="B85" s="103" t="s">
        <v>190</v>
      </c>
      <c r="C85" s="183">
        <f>SUMPRODUCT(-('Diário 1º PA'!$E$4:$E$2635='Analítico Cx.'!$B85),-('Diário 1º PA'!$P$4:$P$2635=C$1),('Diário 1º PA'!$F$4:$F$2635))+SUMPRODUCT(-('Diário 2º PA'!$E$4:$E$3040='Analítico Cx.'!$B85),-('Diário 2º PA'!$P$4:$P$3040=C$1),('Diário 2º PA'!$F$4:$F$3040))+SUMPRODUCT(-('Diário 3º PA'!$E$4:$E$2731='Analítico Cx.'!$B85),-('Diário 3º PA'!$P$4:$P$2731=C$1),('Diário 3º PA'!$F$4:$F$2731))+SUMPRODUCT(-('Diário 4º PA'!$E$4:$E$2564='Analítico Cx.'!$B85),-('Diário 4º PA'!$P$4:$P$2564=C$1),('Diário 4º PA'!$F$4:$F$2564))</f>
        <v>0</v>
      </c>
      <c r="D85" s="183">
        <f>SUMPRODUCT(-('Diário 1º PA'!$E$4:$E$2635='Analítico Cx.'!$B85),-('Diário 1º PA'!$P$4:$P$2635=D$1),('Diário 1º PA'!$F$4:$F$2635))+SUMPRODUCT(-('Diário 2º PA'!$E$4:$E$3040='Analítico Cx.'!$B85),-('Diário 2º PA'!$P$4:$P$3040=D$1),('Diário 2º PA'!$F$4:$F$3040))+SUMPRODUCT(-('Diário 3º PA'!$E$4:$E$2731='Analítico Cx.'!$B85),-('Diário 3º PA'!$P$4:$P$2731=D$1),('Diário 3º PA'!$F$4:$F$2731))+SUMPRODUCT(-('Diário 4º PA'!$E$4:$E$2564='Analítico Cx.'!$B85),-('Diário 4º PA'!$P$4:$P$2564=D$1),('Diário 4º PA'!$F$4:$F$2564))</f>
        <v>0</v>
      </c>
      <c r="E85" s="183">
        <f>SUMPRODUCT(-('Diário 1º PA'!$E$4:$E$2635='Analítico Cx.'!$B85),-('Diário 1º PA'!$P$4:$P$2635=E$1),('Diário 1º PA'!$F$4:$F$2635))+SUMPRODUCT(-('Diário 2º PA'!$E$4:$E$3040='Analítico Cx.'!$B85),-('Diário 2º PA'!$P$4:$P$3040=E$1),('Diário 2º PA'!$F$4:$F$3040))+SUMPRODUCT(-('Diário 3º PA'!$E$4:$E$2731='Analítico Cx.'!$B85),-('Diário 3º PA'!$P$4:$P$2731=E$1),('Diário 3º PA'!$F$4:$F$2731))+SUMPRODUCT(-('Diário 4º PA'!$E$4:$E$2564='Analítico Cx.'!$B85),-('Diário 4º PA'!$P$4:$P$2564=E$1),('Diário 4º PA'!$F$4:$F$2564))</f>
        <v>0</v>
      </c>
      <c r="F85" s="183">
        <f>SUMPRODUCT(-('Diário 1º PA'!$E$4:$E$2635='Analítico Cx.'!$B85),-('Diário 1º PA'!$P$4:$P$2635=F$1),('Diário 1º PA'!$F$4:$F$2635))+SUMPRODUCT(-('Diário 2º PA'!$E$4:$E$3040='Analítico Cx.'!$B85),-('Diário 2º PA'!$P$4:$P$3040=F$1),('Diário 2º PA'!$F$4:$F$3040))+SUMPRODUCT(-('Diário 3º PA'!$E$4:$E$2731='Analítico Cx.'!$B85),-('Diário 3º PA'!$P$4:$P$2731=F$1),('Diário 3º PA'!$F$4:$F$2731))+SUMPRODUCT(-('Diário 4º PA'!$E$4:$E$2564='Analítico Cx.'!$B85),-('Diário 4º PA'!$P$4:$P$2564=F$1),('Diário 4º PA'!$F$4:$F$2564))</f>
        <v>0</v>
      </c>
      <c r="G85" s="183">
        <f>SUMPRODUCT(-('Diário 1º PA'!$E$4:$E$2635='Analítico Cx.'!$B85),-('Diário 1º PA'!$P$4:$P$2635=G$1),('Diário 1º PA'!$F$4:$F$2635))+SUMPRODUCT(-('Diário 2º PA'!$E$4:$E$3040='Analítico Cx.'!$B85),-('Diário 2º PA'!$P$4:$P$3040=G$1),('Diário 2º PA'!$F$4:$F$3040))+SUMPRODUCT(-('Diário 3º PA'!$E$4:$E$2731='Analítico Cx.'!$B85),-('Diário 3º PA'!$P$4:$P$2731=G$1),('Diário 3º PA'!$F$4:$F$2731))+SUMPRODUCT(-('Diário 4º PA'!$E$4:$E$2564='Analítico Cx.'!$B85),-('Diário 4º PA'!$P$4:$P$2564=G$1),('Diário 4º PA'!$F$4:$F$2564))</f>
        <v>0</v>
      </c>
      <c r="H85" s="183">
        <f>SUMPRODUCT(-('Diário 1º PA'!$E$4:$E$2635='Analítico Cx.'!$B85),-('Diário 1º PA'!$P$4:$P$2635=H$1),('Diário 1º PA'!$F$4:$F$2635))+SUMPRODUCT(-('Diário 2º PA'!$E$4:$E$3040='Analítico Cx.'!$B85),-('Diário 2º PA'!$P$4:$P$3040=H$1),('Diário 2º PA'!$F$4:$F$3040))+SUMPRODUCT(-('Diário 3º PA'!$E$4:$E$2731='Analítico Cx.'!$B85),-('Diário 3º PA'!$P$4:$P$2731=H$1),('Diário 3º PA'!$F$4:$F$2731))+SUMPRODUCT(-('Diário 4º PA'!$E$4:$E$2564='Analítico Cx.'!$B85),-('Diário 4º PA'!$P$4:$P$2564=H$1),('Diário 4º PA'!$F$4:$F$2564))</f>
        <v>0</v>
      </c>
      <c r="I85" s="183">
        <f>SUMPRODUCT(-('Diário 1º PA'!$E$4:$E$2635='Analítico Cx.'!$B85),-('Diário 1º PA'!$P$4:$P$2635=I$1),('Diário 1º PA'!$F$4:$F$2635))+SUMPRODUCT(-('Diário 2º PA'!$E$4:$E$3040='Analítico Cx.'!$B85),-('Diário 2º PA'!$P$4:$P$3040=I$1),('Diário 2º PA'!$F$4:$F$3040))+SUMPRODUCT(-('Diário 3º PA'!$E$4:$E$2731='Analítico Cx.'!$B85),-('Diário 3º PA'!$P$4:$P$2731=I$1),('Diário 3º PA'!$F$4:$F$2731))+SUMPRODUCT(-('Diário 4º PA'!$E$4:$E$2564='Analítico Cx.'!$B85),-('Diário 4º PA'!$P$4:$P$2564=I$1),('Diário 4º PA'!$F$4:$F$2564))</f>
        <v>0</v>
      </c>
      <c r="J85" s="183">
        <f>SUMPRODUCT(-('Diário 1º PA'!$E$4:$E$2635='Analítico Cx.'!$B85),-('Diário 1º PA'!$P$4:$P$2635=J$1),('Diário 1º PA'!$F$4:$F$2635))+SUMPRODUCT(-('Diário 2º PA'!$E$4:$E$3040='Analítico Cx.'!$B85),-('Diário 2º PA'!$P$4:$P$3040=J$1),('Diário 2º PA'!$F$4:$F$3040))+SUMPRODUCT(-('Diário 3º PA'!$E$4:$E$2731='Analítico Cx.'!$B85),-('Diário 3º PA'!$P$4:$P$2731=J$1),('Diário 3º PA'!$F$4:$F$2731))+SUMPRODUCT(-('Diário 4º PA'!$E$4:$E$2564='Analítico Cx.'!$B85),-('Diário 4º PA'!$P$4:$P$2564=J$1),('Diário 4º PA'!$F$4:$F$2564))</f>
        <v>0</v>
      </c>
      <c r="K85" s="183">
        <f>SUMPRODUCT(-('Diário 1º PA'!$E$4:$E$2635='Analítico Cx.'!$B85),-('Diário 1º PA'!$P$4:$P$2635=K$1),('Diário 1º PA'!$F$4:$F$2635))+SUMPRODUCT(-('Diário 2º PA'!$E$4:$E$3040='Analítico Cx.'!$B85),-('Diário 2º PA'!$P$4:$P$3040=K$1),('Diário 2º PA'!$F$4:$F$3040))+SUMPRODUCT(-('Diário 3º PA'!$E$4:$E$2731='Analítico Cx.'!$B85),-('Diário 3º PA'!$P$4:$P$2731=K$1),('Diário 3º PA'!$F$4:$F$2731))+SUMPRODUCT(-('Diário 4º PA'!$E$4:$E$2564='Analítico Cx.'!$B85),-('Diário 4º PA'!$P$4:$P$2564=K$1),('Diário 4º PA'!$F$4:$F$2564))</f>
        <v>0</v>
      </c>
      <c r="L85" s="183">
        <f>SUMPRODUCT(-('Diário 1º PA'!$E$4:$E$2635='Analítico Cx.'!$B85),-('Diário 1º PA'!$P$4:$P$2635=L$1),('Diário 1º PA'!$F$4:$F$2635))+SUMPRODUCT(-('Diário 2º PA'!$E$4:$E$3040='Analítico Cx.'!$B85),-('Diário 2º PA'!$P$4:$P$3040=L$1),('Diário 2º PA'!$F$4:$F$3040))+SUMPRODUCT(-('Diário 3º PA'!$E$4:$E$2731='Analítico Cx.'!$B85),-('Diário 3º PA'!$P$4:$P$2731=L$1),('Diário 3º PA'!$F$4:$F$2731))+SUMPRODUCT(-('Diário 4º PA'!$E$4:$E$2564='Analítico Cx.'!$B85),-('Diário 4º PA'!$P$4:$P$2564=L$1),('Diário 4º PA'!$F$4:$F$2564))</f>
        <v>0</v>
      </c>
      <c r="M85" s="183">
        <f>SUMPRODUCT(-('Diário 1º PA'!$E$4:$E$2635='Analítico Cx.'!$B85),-('Diário 1º PA'!$P$4:$P$2635=M$1),('Diário 1º PA'!$F$4:$F$2635))+SUMPRODUCT(-('Diário 2º PA'!$E$4:$E$3040='Analítico Cx.'!$B85),-('Diário 2º PA'!$P$4:$P$3040=M$1),('Diário 2º PA'!$F$4:$F$3040))+SUMPRODUCT(-('Diário 3º PA'!$E$4:$E$2731='Analítico Cx.'!$B85),-('Diário 3º PA'!$P$4:$P$2731=M$1),('Diário 3º PA'!$F$4:$F$2731))+SUMPRODUCT(-('Diário 4º PA'!$E$4:$E$2564='Analítico Cx.'!$B85),-('Diário 4º PA'!$P$4:$P$2564=M$1),('Diário 4º PA'!$F$4:$F$2564))</f>
        <v>0</v>
      </c>
      <c r="N85" s="183">
        <f>SUMPRODUCT(-('Diário 1º PA'!$E$4:$E$2635='Analítico Cx.'!$B85),-('Diário 1º PA'!$P$4:$P$2635=N$1),('Diário 1º PA'!$F$4:$F$2635))+SUMPRODUCT(-('Diário 2º PA'!$E$4:$E$3040='Analítico Cx.'!$B85),-('Diário 2º PA'!$P$4:$P$3040=N$1),('Diário 2º PA'!$F$4:$F$3040))+SUMPRODUCT(-('Diário 3º PA'!$E$4:$E$2731='Analítico Cx.'!$B85),-('Diário 3º PA'!$P$4:$P$2731=N$1),('Diário 3º PA'!$F$4:$F$2731))+SUMPRODUCT(-('Diário 4º PA'!$E$4:$E$2564='Analítico Cx.'!$B85),-('Diário 4º PA'!$P$4:$P$2564=N$1),('Diário 4º PA'!$F$4:$F$2564))</f>
        <v>0</v>
      </c>
      <c r="O85" s="184">
        <f t="shared" si="16"/>
        <v>0</v>
      </c>
      <c r="P85" s="167">
        <f t="shared" si="15"/>
        <v>0</v>
      </c>
    </row>
    <row r="86" spans="1:16" ht="23.25" customHeight="1" x14ac:dyDescent="0.2">
      <c r="A86" s="61" t="s">
        <v>148</v>
      </c>
      <c r="B86" s="103" t="s">
        <v>90</v>
      </c>
      <c r="C86" s="183">
        <f>SUMPRODUCT(-('Diário 1º PA'!$E$4:$E$2635='Analítico Cx.'!$B86),-('Diário 1º PA'!$P$4:$P$2635=C$1),('Diário 1º PA'!$F$4:$F$2635))+SUMPRODUCT(-('Diário 2º PA'!$E$4:$E$3040='Analítico Cx.'!$B86),-('Diário 2º PA'!$P$4:$P$3040=C$1),('Diário 2º PA'!$F$4:$F$3040))+SUMPRODUCT(-('Diário 3º PA'!$E$4:$E$2731='Analítico Cx.'!$B86),-('Diário 3º PA'!$P$4:$P$2731=C$1),('Diário 3º PA'!$F$4:$F$2731))+SUMPRODUCT(-('Diário 4º PA'!$E$4:$E$2564='Analítico Cx.'!$B86),-('Diário 4º PA'!$P$4:$P$2564=C$1),('Diário 4º PA'!$F$4:$F$2564))</f>
        <v>32908.269999999997</v>
      </c>
      <c r="D86" s="183">
        <f>SUMPRODUCT(-('Diário 1º PA'!$E$4:$E$2635='Analítico Cx.'!$B86),-('Diário 1º PA'!$P$4:$P$2635=D$1),('Diário 1º PA'!$F$4:$F$2635))+SUMPRODUCT(-('Diário 2º PA'!$E$4:$E$3040='Analítico Cx.'!$B86),-('Diário 2º PA'!$P$4:$P$3040=D$1),('Diário 2º PA'!$F$4:$F$3040))+SUMPRODUCT(-('Diário 3º PA'!$E$4:$E$2731='Analítico Cx.'!$B86),-('Diário 3º PA'!$P$4:$P$2731=D$1),('Diário 3º PA'!$F$4:$F$2731))+SUMPRODUCT(-('Diário 4º PA'!$E$4:$E$2564='Analítico Cx.'!$B86),-('Diário 4º PA'!$P$4:$P$2564=D$1),('Diário 4º PA'!$F$4:$F$2564))</f>
        <v>25069.190000000002</v>
      </c>
      <c r="E86" s="183">
        <f>SUMPRODUCT(-('Diário 1º PA'!$E$4:$E$2635='Analítico Cx.'!$B86),-('Diário 1º PA'!$P$4:$P$2635=E$1),('Diário 1º PA'!$F$4:$F$2635))+SUMPRODUCT(-('Diário 2º PA'!$E$4:$E$3040='Analítico Cx.'!$B86),-('Diário 2º PA'!$P$4:$P$3040=E$1),('Diário 2º PA'!$F$4:$F$3040))+SUMPRODUCT(-('Diário 3º PA'!$E$4:$E$2731='Analítico Cx.'!$B86),-('Diário 3º PA'!$P$4:$P$2731=E$1),('Diário 3º PA'!$F$4:$F$2731))+SUMPRODUCT(-('Diário 4º PA'!$E$4:$E$2564='Analítico Cx.'!$B86),-('Diário 4º PA'!$P$4:$P$2564=E$1),('Diário 4º PA'!$F$4:$F$2564))</f>
        <v>7065.9400000000005</v>
      </c>
      <c r="F86" s="183">
        <f>SUMPRODUCT(-('Diário 1º PA'!$E$4:$E$2635='Analítico Cx.'!$B86),-('Diário 1º PA'!$P$4:$P$2635=F$1),('Diário 1º PA'!$F$4:$F$2635))+SUMPRODUCT(-('Diário 2º PA'!$E$4:$E$3040='Analítico Cx.'!$B86),-('Diário 2º PA'!$P$4:$P$3040=F$1),('Diário 2º PA'!$F$4:$F$3040))+SUMPRODUCT(-('Diário 3º PA'!$E$4:$E$2731='Analítico Cx.'!$B86),-('Diário 3º PA'!$P$4:$P$2731=F$1),('Diário 3º PA'!$F$4:$F$2731))+SUMPRODUCT(-('Diário 4º PA'!$E$4:$E$2564='Analítico Cx.'!$B86),-('Diário 4º PA'!$P$4:$P$2564=F$1),('Diário 4º PA'!$F$4:$F$2564))</f>
        <v>37525.740000000005</v>
      </c>
      <c r="G86" s="183">
        <f>SUMPRODUCT(-('Diário 1º PA'!$E$4:$E$2635='Analítico Cx.'!$B86),-('Diário 1º PA'!$P$4:$P$2635=G$1),('Diário 1º PA'!$F$4:$F$2635))+SUMPRODUCT(-('Diário 2º PA'!$E$4:$E$3040='Analítico Cx.'!$B86),-('Diário 2º PA'!$P$4:$P$3040=G$1),('Diário 2º PA'!$F$4:$F$3040))+SUMPRODUCT(-('Diário 3º PA'!$E$4:$E$2731='Analítico Cx.'!$B86),-('Diário 3º PA'!$P$4:$P$2731=G$1),('Diário 3º PA'!$F$4:$F$2731))+SUMPRODUCT(-('Diário 4º PA'!$E$4:$E$2564='Analítico Cx.'!$B86),-('Diário 4º PA'!$P$4:$P$2564=G$1),('Diário 4º PA'!$F$4:$F$2564))</f>
        <v>12233.07</v>
      </c>
      <c r="H86" s="183">
        <f>SUMPRODUCT(-('Diário 1º PA'!$E$4:$E$2635='Analítico Cx.'!$B86),-('Diário 1º PA'!$P$4:$P$2635=H$1),('Diário 1º PA'!$F$4:$F$2635))+SUMPRODUCT(-('Diário 2º PA'!$E$4:$E$3040='Analítico Cx.'!$B86),-('Diário 2º PA'!$P$4:$P$3040=H$1),('Diário 2º PA'!$F$4:$F$3040))+SUMPRODUCT(-('Diário 3º PA'!$E$4:$E$2731='Analítico Cx.'!$B86),-('Diário 3º PA'!$P$4:$P$2731=H$1),('Diário 3º PA'!$F$4:$F$2731))+SUMPRODUCT(-('Diário 4º PA'!$E$4:$E$2564='Analítico Cx.'!$B86),-('Diário 4º PA'!$P$4:$P$2564=H$1),('Diário 4º PA'!$F$4:$F$2564))</f>
        <v>16633.259999999998</v>
      </c>
      <c r="I86" s="183">
        <f>SUMPRODUCT(-('Diário 1º PA'!$E$4:$E$2635='Analítico Cx.'!$B86),-('Diário 1º PA'!$P$4:$P$2635=I$1),('Diário 1º PA'!$F$4:$F$2635))+SUMPRODUCT(-('Diário 2º PA'!$E$4:$E$3040='Analítico Cx.'!$B86),-('Diário 2º PA'!$P$4:$P$3040=I$1),('Diário 2º PA'!$F$4:$F$3040))+SUMPRODUCT(-('Diário 3º PA'!$E$4:$E$2731='Analítico Cx.'!$B86),-('Diário 3º PA'!$P$4:$P$2731=I$1),('Diário 3º PA'!$F$4:$F$2731))+SUMPRODUCT(-('Diário 4º PA'!$E$4:$E$2564='Analítico Cx.'!$B86),-('Diário 4º PA'!$P$4:$P$2564=I$1),('Diário 4º PA'!$F$4:$F$2564))</f>
        <v>63068.189999999995</v>
      </c>
      <c r="J86" s="183">
        <f>SUMPRODUCT(-('Diário 1º PA'!$E$4:$E$2635='Analítico Cx.'!$B86),-('Diário 1º PA'!$P$4:$P$2635=J$1),('Diário 1º PA'!$F$4:$F$2635))+SUMPRODUCT(-('Diário 2º PA'!$E$4:$E$3040='Analítico Cx.'!$B86),-('Diário 2º PA'!$P$4:$P$3040=J$1),('Diário 2º PA'!$F$4:$F$3040))+SUMPRODUCT(-('Diário 3º PA'!$E$4:$E$2731='Analítico Cx.'!$B86),-('Diário 3º PA'!$P$4:$P$2731=J$1),('Diário 3º PA'!$F$4:$F$2731))+SUMPRODUCT(-('Diário 4º PA'!$E$4:$E$2564='Analítico Cx.'!$B86),-('Diário 4º PA'!$P$4:$P$2564=J$1),('Diário 4º PA'!$F$4:$F$2564))</f>
        <v>30884.230000000003</v>
      </c>
      <c r="K86" s="183">
        <f>SUMPRODUCT(-('Diário 1º PA'!$E$4:$E$2635='Analítico Cx.'!$B86),-('Diário 1º PA'!$P$4:$P$2635=K$1),('Diário 1º PA'!$F$4:$F$2635))+SUMPRODUCT(-('Diário 2º PA'!$E$4:$E$3040='Analítico Cx.'!$B86),-('Diário 2º PA'!$P$4:$P$3040=K$1),('Diário 2º PA'!$F$4:$F$3040))+SUMPRODUCT(-('Diário 3º PA'!$E$4:$E$2731='Analítico Cx.'!$B86),-('Diário 3º PA'!$P$4:$P$2731=K$1),('Diário 3º PA'!$F$4:$F$2731))+SUMPRODUCT(-('Diário 4º PA'!$E$4:$E$2564='Analítico Cx.'!$B86),-('Diário 4º PA'!$P$4:$P$2564=K$1),('Diário 4º PA'!$F$4:$F$2564))</f>
        <v>27084.44</v>
      </c>
      <c r="L86" s="183">
        <f>SUMPRODUCT(-('Diário 1º PA'!$E$4:$E$2635='Analítico Cx.'!$B86),-('Diário 1º PA'!$P$4:$P$2635=L$1),('Diário 1º PA'!$F$4:$F$2635))+SUMPRODUCT(-('Diário 2º PA'!$E$4:$E$3040='Analítico Cx.'!$B86),-('Diário 2º PA'!$P$4:$P$3040=L$1),('Diário 2º PA'!$F$4:$F$3040))+SUMPRODUCT(-('Diário 3º PA'!$E$4:$E$2731='Analítico Cx.'!$B86),-('Diário 3º PA'!$P$4:$P$2731=L$1),('Diário 3º PA'!$F$4:$F$2731))+SUMPRODUCT(-('Diário 4º PA'!$E$4:$E$2564='Analítico Cx.'!$B86),-('Diário 4º PA'!$P$4:$P$2564=L$1),('Diário 4º PA'!$F$4:$F$2564))</f>
        <v>26809.63</v>
      </c>
      <c r="M86" s="183">
        <f>SUMPRODUCT(-('Diário 1º PA'!$E$4:$E$2635='Analítico Cx.'!$B86),-('Diário 1º PA'!$P$4:$P$2635=M$1),('Diário 1º PA'!$F$4:$F$2635))+SUMPRODUCT(-('Diário 2º PA'!$E$4:$E$3040='Analítico Cx.'!$B86),-('Diário 2º PA'!$P$4:$P$3040=M$1),('Diário 2º PA'!$F$4:$F$3040))+SUMPRODUCT(-('Diário 3º PA'!$E$4:$E$2731='Analítico Cx.'!$B86),-('Diário 3º PA'!$P$4:$P$2731=M$1),('Diário 3º PA'!$F$4:$F$2731))+SUMPRODUCT(-('Diário 4º PA'!$E$4:$E$2564='Analítico Cx.'!$B86),-('Diário 4º PA'!$P$4:$P$2564=M$1),('Diário 4º PA'!$F$4:$F$2564))</f>
        <v>24015.13</v>
      </c>
      <c r="N86" s="183">
        <f>SUMPRODUCT(-('Diário 1º PA'!$E$4:$E$2635='Analítico Cx.'!$B86),-('Diário 1º PA'!$P$4:$P$2635=N$1),('Diário 1º PA'!$F$4:$F$2635))+SUMPRODUCT(-('Diário 2º PA'!$E$4:$E$3040='Analítico Cx.'!$B86),-('Diário 2º PA'!$P$4:$P$3040=N$1),('Diário 2º PA'!$F$4:$F$3040))+SUMPRODUCT(-('Diário 3º PA'!$E$4:$E$2731='Analítico Cx.'!$B86),-('Diário 3º PA'!$P$4:$P$2731=N$1),('Diário 3º PA'!$F$4:$F$2731))+SUMPRODUCT(-('Diário 4º PA'!$E$4:$E$2564='Analítico Cx.'!$B86),-('Diário 4º PA'!$P$4:$P$2564=N$1),('Diário 4º PA'!$F$4:$F$2564))</f>
        <v>27868.170000000002</v>
      </c>
      <c r="O86" s="184">
        <f t="shared" si="16"/>
        <v>331165.26</v>
      </c>
      <c r="P86" s="167">
        <f t="shared" si="15"/>
        <v>2.608424654530548E-2</v>
      </c>
    </row>
    <row r="87" spans="1:16" ht="23.25" customHeight="1" x14ac:dyDescent="0.2">
      <c r="A87" s="61" t="s">
        <v>149</v>
      </c>
      <c r="B87" s="103" t="s">
        <v>86</v>
      </c>
      <c r="C87" s="183">
        <f>SUMPRODUCT(-('Diário 1º PA'!$E$4:$E$2635='Analítico Cx.'!$B87),-('Diário 1º PA'!$P$4:$P$2635=C$1),('Diário 1º PA'!$F$4:$F$2635))+SUMPRODUCT(-('Diário 2º PA'!$E$4:$E$3040='Analítico Cx.'!$B87),-('Diário 2º PA'!$P$4:$P$3040=C$1),('Diário 2º PA'!$F$4:$F$3040))+SUMPRODUCT(-('Diário 3º PA'!$E$4:$E$2731='Analítico Cx.'!$B87),-('Diário 3º PA'!$P$4:$P$2731=C$1),('Diário 3º PA'!$F$4:$F$2731))+SUMPRODUCT(-('Diário 4º PA'!$E$4:$E$2564='Analítico Cx.'!$B87),-('Diário 4º PA'!$P$4:$P$2564=C$1),('Diário 4º PA'!$F$4:$F$2564))</f>
        <v>0</v>
      </c>
      <c r="D87" s="183">
        <f>SUMPRODUCT(-('Diário 1º PA'!$E$4:$E$2635='Analítico Cx.'!$B87),-('Diário 1º PA'!$P$4:$P$2635=D$1),('Diário 1º PA'!$F$4:$F$2635))+SUMPRODUCT(-('Diário 2º PA'!$E$4:$E$3040='Analítico Cx.'!$B87),-('Diário 2º PA'!$P$4:$P$3040=D$1),('Diário 2º PA'!$F$4:$F$3040))+SUMPRODUCT(-('Diário 3º PA'!$E$4:$E$2731='Analítico Cx.'!$B87),-('Diário 3º PA'!$P$4:$P$2731=D$1),('Diário 3º PA'!$F$4:$F$2731))+SUMPRODUCT(-('Diário 4º PA'!$E$4:$E$2564='Analítico Cx.'!$B87),-('Diário 4º PA'!$P$4:$P$2564=D$1),('Diário 4º PA'!$F$4:$F$2564))</f>
        <v>0</v>
      </c>
      <c r="E87" s="183">
        <f>SUMPRODUCT(-('Diário 1º PA'!$E$4:$E$2635='Analítico Cx.'!$B87),-('Diário 1º PA'!$P$4:$P$2635=E$1),('Diário 1º PA'!$F$4:$F$2635))+SUMPRODUCT(-('Diário 2º PA'!$E$4:$E$3040='Analítico Cx.'!$B87),-('Diário 2º PA'!$P$4:$P$3040=E$1),('Diário 2º PA'!$F$4:$F$3040))+SUMPRODUCT(-('Diário 3º PA'!$E$4:$E$2731='Analítico Cx.'!$B87),-('Diário 3º PA'!$P$4:$P$2731=E$1),('Diário 3º PA'!$F$4:$F$2731))+SUMPRODUCT(-('Diário 4º PA'!$E$4:$E$2564='Analítico Cx.'!$B87),-('Diário 4º PA'!$P$4:$P$2564=E$1),('Diário 4º PA'!$F$4:$F$2564))</f>
        <v>0</v>
      </c>
      <c r="F87" s="183">
        <f>SUMPRODUCT(-('Diário 1º PA'!$E$4:$E$2635='Analítico Cx.'!$B87),-('Diário 1º PA'!$P$4:$P$2635=F$1),('Diário 1º PA'!$F$4:$F$2635))+SUMPRODUCT(-('Diário 2º PA'!$E$4:$E$3040='Analítico Cx.'!$B87),-('Diário 2º PA'!$P$4:$P$3040=F$1),('Diário 2º PA'!$F$4:$F$3040))+SUMPRODUCT(-('Diário 3º PA'!$E$4:$E$2731='Analítico Cx.'!$B87),-('Diário 3º PA'!$P$4:$P$2731=F$1),('Diário 3º PA'!$F$4:$F$2731))+SUMPRODUCT(-('Diário 4º PA'!$E$4:$E$2564='Analítico Cx.'!$B87),-('Diário 4º PA'!$P$4:$P$2564=F$1),('Diário 4º PA'!$F$4:$F$2564))</f>
        <v>0</v>
      </c>
      <c r="G87" s="183">
        <f>SUMPRODUCT(-('Diário 1º PA'!$E$4:$E$2635='Analítico Cx.'!$B87),-('Diário 1º PA'!$P$4:$P$2635=G$1),('Diário 1º PA'!$F$4:$F$2635))+SUMPRODUCT(-('Diário 2º PA'!$E$4:$E$3040='Analítico Cx.'!$B87),-('Diário 2º PA'!$P$4:$P$3040=G$1),('Diário 2º PA'!$F$4:$F$3040))+SUMPRODUCT(-('Diário 3º PA'!$E$4:$E$2731='Analítico Cx.'!$B87),-('Diário 3º PA'!$P$4:$P$2731=G$1),('Diário 3º PA'!$F$4:$F$2731))+SUMPRODUCT(-('Diário 4º PA'!$E$4:$E$2564='Analítico Cx.'!$B87),-('Diário 4º PA'!$P$4:$P$2564=G$1),('Diário 4º PA'!$F$4:$F$2564))</f>
        <v>0</v>
      </c>
      <c r="H87" s="183">
        <f>SUMPRODUCT(-('Diário 1º PA'!$E$4:$E$2635='Analítico Cx.'!$B87),-('Diário 1º PA'!$P$4:$P$2635=H$1),('Diário 1º PA'!$F$4:$F$2635))+SUMPRODUCT(-('Diário 2º PA'!$E$4:$E$3040='Analítico Cx.'!$B87),-('Diário 2º PA'!$P$4:$P$3040=H$1),('Diário 2º PA'!$F$4:$F$3040))+SUMPRODUCT(-('Diário 3º PA'!$E$4:$E$2731='Analítico Cx.'!$B87),-('Diário 3º PA'!$P$4:$P$2731=H$1),('Diário 3º PA'!$F$4:$F$2731))+SUMPRODUCT(-('Diário 4º PA'!$E$4:$E$2564='Analítico Cx.'!$B87),-('Diário 4º PA'!$P$4:$P$2564=H$1),('Diário 4º PA'!$F$4:$F$2564))</f>
        <v>0</v>
      </c>
      <c r="I87" s="183">
        <f>SUMPRODUCT(-('Diário 1º PA'!$E$4:$E$2635='Analítico Cx.'!$B87),-('Diário 1º PA'!$P$4:$P$2635=I$1),('Diário 1º PA'!$F$4:$F$2635))+SUMPRODUCT(-('Diário 2º PA'!$E$4:$E$3040='Analítico Cx.'!$B87),-('Diário 2º PA'!$P$4:$P$3040=I$1),('Diário 2º PA'!$F$4:$F$3040))+SUMPRODUCT(-('Diário 3º PA'!$E$4:$E$2731='Analítico Cx.'!$B87),-('Diário 3º PA'!$P$4:$P$2731=I$1),('Diário 3º PA'!$F$4:$F$2731))+SUMPRODUCT(-('Diário 4º PA'!$E$4:$E$2564='Analítico Cx.'!$B87),-('Diário 4º PA'!$P$4:$P$2564=I$1),('Diário 4º PA'!$F$4:$F$2564))</f>
        <v>0</v>
      </c>
      <c r="J87" s="183">
        <f>SUMPRODUCT(-('Diário 1º PA'!$E$4:$E$2635='Analítico Cx.'!$B87),-('Diário 1º PA'!$P$4:$P$2635=J$1),('Diário 1º PA'!$F$4:$F$2635))+SUMPRODUCT(-('Diário 2º PA'!$E$4:$E$3040='Analítico Cx.'!$B87),-('Diário 2º PA'!$P$4:$P$3040=J$1),('Diário 2º PA'!$F$4:$F$3040))+SUMPRODUCT(-('Diário 3º PA'!$E$4:$E$2731='Analítico Cx.'!$B87),-('Diário 3º PA'!$P$4:$P$2731=J$1),('Diário 3º PA'!$F$4:$F$2731))+SUMPRODUCT(-('Diário 4º PA'!$E$4:$E$2564='Analítico Cx.'!$B87),-('Diário 4º PA'!$P$4:$P$2564=J$1),('Diário 4º PA'!$F$4:$F$2564))</f>
        <v>0</v>
      </c>
      <c r="K87" s="183">
        <f>SUMPRODUCT(-('Diário 1º PA'!$E$4:$E$2635='Analítico Cx.'!$B87),-('Diário 1º PA'!$P$4:$P$2635=K$1),('Diário 1º PA'!$F$4:$F$2635))+SUMPRODUCT(-('Diário 2º PA'!$E$4:$E$3040='Analítico Cx.'!$B87),-('Diário 2º PA'!$P$4:$P$3040=K$1),('Diário 2º PA'!$F$4:$F$3040))+SUMPRODUCT(-('Diário 3º PA'!$E$4:$E$2731='Analítico Cx.'!$B87),-('Diário 3º PA'!$P$4:$P$2731=K$1),('Diário 3º PA'!$F$4:$F$2731))+SUMPRODUCT(-('Diário 4º PA'!$E$4:$E$2564='Analítico Cx.'!$B87),-('Diário 4º PA'!$P$4:$P$2564=K$1),('Diário 4º PA'!$F$4:$F$2564))</f>
        <v>0</v>
      </c>
      <c r="L87" s="183">
        <f>SUMPRODUCT(-('Diário 1º PA'!$E$4:$E$2635='Analítico Cx.'!$B87),-('Diário 1º PA'!$P$4:$P$2635=L$1),('Diário 1º PA'!$F$4:$F$2635))+SUMPRODUCT(-('Diário 2º PA'!$E$4:$E$3040='Analítico Cx.'!$B87),-('Diário 2º PA'!$P$4:$P$3040=L$1),('Diário 2º PA'!$F$4:$F$3040))+SUMPRODUCT(-('Diário 3º PA'!$E$4:$E$2731='Analítico Cx.'!$B87),-('Diário 3º PA'!$P$4:$P$2731=L$1),('Diário 3º PA'!$F$4:$F$2731))+SUMPRODUCT(-('Diário 4º PA'!$E$4:$E$2564='Analítico Cx.'!$B87),-('Diário 4º PA'!$P$4:$P$2564=L$1),('Diário 4º PA'!$F$4:$F$2564))</f>
        <v>0</v>
      </c>
      <c r="M87" s="183">
        <f>SUMPRODUCT(-('Diário 1º PA'!$E$4:$E$2635='Analítico Cx.'!$B87),-('Diário 1º PA'!$P$4:$P$2635=M$1),('Diário 1º PA'!$F$4:$F$2635))+SUMPRODUCT(-('Diário 2º PA'!$E$4:$E$3040='Analítico Cx.'!$B87),-('Diário 2º PA'!$P$4:$P$3040=M$1),('Diário 2º PA'!$F$4:$F$3040))+SUMPRODUCT(-('Diário 3º PA'!$E$4:$E$2731='Analítico Cx.'!$B87),-('Diário 3º PA'!$P$4:$P$2731=M$1),('Diário 3º PA'!$F$4:$F$2731))+SUMPRODUCT(-('Diário 4º PA'!$E$4:$E$2564='Analítico Cx.'!$B87),-('Diário 4º PA'!$P$4:$P$2564=M$1),('Diário 4º PA'!$F$4:$F$2564))</f>
        <v>0</v>
      </c>
      <c r="N87" s="183">
        <f>SUMPRODUCT(-('Diário 1º PA'!$E$4:$E$2635='Analítico Cx.'!$B87),-('Diário 1º PA'!$P$4:$P$2635=N$1),('Diário 1º PA'!$F$4:$F$2635))+SUMPRODUCT(-('Diário 2º PA'!$E$4:$E$3040='Analítico Cx.'!$B87),-('Diário 2º PA'!$P$4:$P$3040=N$1),('Diário 2º PA'!$F$4:$F$3040))+SUMPRODUCT(-('Diário 3º PA'!$E$4:$E$2731='Analítico Cx.'!$B87),-('Diário 3º PA'!$P$4:$P$2731=N$1),('Diário 3º PA'!$F$4:$F$2731))+SUMPRODUCT(-('Diário 4º PA'!$E$4:$E$2564='Analítico Cx.'!$B87),-('Diário 4º PA'!$P$4:$P$2564=N$1),('Diário 4º PA'!$F$4:$F$2564))</f>
        <v>0</v>
      </c>
      <c r="O87" s="184">
        <f t="shared" si="16"/>
        <v>0</v>
      </c>
      <c r="P87" s="167">
        <f t="shared" si="15"/>
        <v>0</v>
      </c>
    </row>
    <row r="88" spans="1:16" ht="23.25" customHeight="1" x14ac:dyDescent="0.2">
      <c r="A88" s="61" t="s">
        <v>150</v>
      </c>
      <c r="B88" s="103" t="s">
        <v>178</v>
      </c>
      <c r="C88" s="183">
        <f>SUMPRODUCT(-('Diário 1º PA'!$E$4:$E$2635='Analítico Cx.'!$B88),-('Diário 1º PA'!$P$4:$P$2635=C$1),('Diário 1º PA'!$F$4:$F$2635))+SUMPRODUCT(-('Diário 2º PA'!$E$4:$E$3040='Analítico Cx.'!$B88),-('Diário 2º PA'!$P$4:$P$3040=C$1),('Diário 2º PA'!$F$4:$F$3040))+SUMPRODUCT(-('Diário 3º PA'!$E$4:$E$2731='Analítico Cx.'!$B88),-('Diário 3º PA'!$P$4:$P$2731=C$1),('Diário 3º PA'!$F$4:$F$2731))+SUMPRODUCT(-('Diário 4º PA'!$E$4:$E$2564='Analítico Cx.'!$B88),-('Diário 4º PA'!$P$4:$P$2564=C$1),('Diário 4º PA'!$F$4:$F$2564))</f>
        <v>1198.6600000000001</v>
      </c>
      <c r="D88" s="183">
        <f>SUMPRODUCT(-('Diário 1º PA'!$E$4:$E$2635='Analítico Cx.'!$B88),-('Diário 1º PA'!$P$4:$P$2635=D$1),('Diário 1º PA'!$F$4:$F$2635))+SUMPRODUCT(-('Diário 2º PA'!$E$4:$E$3040='Analítico Cx.'!$B88),-('Diário 2º PA'!$P$4:$P$3040=D$1),('Diário 2º PA'!$F$4:$F$3040))+SUMPRODUCT(-('Diário 3º PA'!$E$4:$E$2731='Analítico Cx.'!$B88),-('Diário 3º PA'!$P$4:$P$2731=D$1),('Diário 3º PA'!$F$4:$F$2731))+SUMPRODUCT(-('Diário 4º PA'!$E$4:$E$2564='Analítico Cx.'!$B88),-('Diário 4º PA'!$P$4:$P$2564=D$1),('Diário 4º PA'!$F$4:$F$2564))</f>
        <v>195.01000000000002</v>
      </c>
      <c r="E88" s="183">
        <f>SUMPRODUCT(-('Diário 1º PA'!$E$4:$E$2635='Analítico Cx.'!$B88),-('Diário 1º PA'!$P$4:$P$2635=E$1),('Diário 1º PA'!$F$4:$F$2635))+SUMPRODUCT(-('Diário 2º PA'!$E$4:$E$3040='Analítico Cx.'!$B88),-('Diário 2º PA'!$P$4:$P$3040=E$1),('Diário 2º PA'!$F$4:$F$3040))+SUMPRODUCT(-('Diário 3º PA'!$E$4:$E$2731='Analítico Cx.'!$B88),-('Diário 3º PA'!$P$4:$P$2731=E$1),('Diário 3º PA'!$F$4:$F$2731))+SUMPRODUCT(-('Diário 4º PA'!$E$4:$E$2564='Analítico Cx.'!$B88),-('Diário 4º PA'!$P$4:$P$2564=E$1),('Diário 4º PA'!$F$4:$F$2564))</f>
        <v>195.01000000000002</v>
      </c>
      <c r="F88" s="183">
        <f>SUMPRODUCT(-('Diário 1º PA'!$E$4:$E$2635='Analítico Cx.'!$B88),-('Diário 1º PA'!$P$4:$P$2635=F$1),('Diário 1º PA'!$F$4:$F$2635))+SUMPRODUCT(-('Diário 2º PA'!$E$4:$E$3040='Analítico Cx.'!$B88),-('Diário 2º PA'!$P$4:$P$3040=F$1),('Diário 2º PA'!$F$4:$F$3040))+SUMPRODUCT(-('Diário 3º PA'!$E$4:$E$2731='Analítico Cx.'!$B88),-('Diário 3º PA'!$P$4:$P$2731=F$1),('Diário 3º PA'!$F$4:$F$2731))+SUMPRODUCT(-('Diário 4º PA'!$E$4:$E$2564='Analítico Cx.'!$B88),-('Diário 4º PA'!$P$4:$P$2564=F$1),('Diário 4º PA'!$F$4:$F$2564))</f>
        <v>2038.39</v>
      </c>
      <c r="G88" s="183">
        <f>SUMPRODUCT(-('Diário 1º PA'!$E$4:$E$2635='Analítico Cx.'!$B88),-('Diário 1º PA'!$P$4:$P$2635=G$1),('Diário 1º PA'!$F$4:$F$2635))+SUMPRODUCT(-('Diário 2º PA'!$E$4:$E$3040='Analítico Cx.'!$B88),-('Diário 2º PA'!$P$4:$P$3040=G$1),('Diário 2º PA'!$F$4:$F$3040))+SUMPRODUCT(-('Diário 3º PA'!$E$4:$E$2731='Analítico Cx.'!$B88),-('Diário 3º PA'!$P$4:$P$2731=G$1),('Diário 3º PA'!$F$4:$F$2731))+SUMPRODUCT(-('Diário 4º PA'!$E$4:$E$2564='Analítico Cx.'!$B88),-('Diário 4º PA'!$P$4:$P$2564=G$1),('Diário 4º PA'!$F$4:$F$2564))</f>
        <v>546.11</v>
      </c>
      <c r="H88" s="183">
        <f>SUMPRODUCT(-('Diário 1º PA'!$E$4:$E$2635='Analítico Cx.'!$B88),-('Diário 1º PA'!$P$4:$P$2635=H$1),('Diário 1º PA'!$F$4:$F$2635))+SUMPRODUCT(-('Diário 2º PA'!$E$4:$E$3040='Analítico Cx.'!$B88),-('Diário 2º PA'!$P$4:$P$3040=H$1),('Diário 2º PA'!$F$4:$F$3040))+SUMPRODUCT(-('Diário 3º PA'!$E$4:$E$2731='Analítico Cx.'!$B88),-('Diário 3º PA'!$P$4:$P$2731=H$1),('Diário 3º PA'!$F$4:$F$2731))+SUMPRODUCT(-('Diário 4º PA'!$E$4:$E$2564='Analítico Cx.'!$B88),-('Diário 4º PA'!$P$4:$P$2564=H$1),('Diário 4º PA'!$F$4:$F$2564))</f>
        <v>195.01000000000002</v>
      </c>
      <c r="I88" s="183">
        <f>SUMPRODUCT(-('Diário 1º PA'!$E$4:$E$2635='Analítico Cx.'!$B88),-('Diário 1º PA'!$P$4:$P$2635=I$1),('Diário 1º PA'!$F$4:$F$2635))+SUMPRODUCT(-('Diário 2º PA'!$E$4:$E$3040='Analítico Cx.'!$B88),-('Diário 2º PA'!$P$4:$P$3040=I$1),('Diário 2º PA'!$F$4:$F$3040))+SUMPRODUCT(-('Diário 3º PA'!$E$4:$E$2731='Analítico Cx.'!$B88),-('Diário 3º PA'!$P$4:$P$2731=I$1),('Diário 3º PA'!$F$4:$F$2731))+SUMPRODUCT(-('Diário 4º PA'!$E$4:$E$2564='Analítico Cx.'!$B88),-('Diário 4º PA'!$P$4:$P$2564=I$1),('Diário 4º PA'!$F$4:$F$2564))</f>
        <v>195.01000000000002</v>
      </c>
      <c r="J88" s="183">
        <f>SUMPRODUCT(-('Diário 1º PA'!$E$4:$E$2635='Analítico Cx.'!$B88),-('Diário 1º PA'!$P$4:$P$2635=J$1),('Diário 1º PA'!$F$4:$F$2635))+SUMPRODUCT(-('Diário 2º PA'!$E$4:$E$3040='Analítico Cx.'!$B88),-('Diário 2º PA'!$P$4:$P$3040=J$1),('Diário 2º PA'!$F$4:$F$3040))+SUMPRODUCT(-('Diário 3º PA'!$E$4:$E$2731='Analítico Cx.'!$B88),-('Diário 3º PA'!$P$4:$P$2731=J$1),('Diário 3º PA'!$F$4:$F$2731))+SUMPRODUCT(-('Diário 4º PA'!$E$4:$E$2564='Analítico Cx.'!$B88),-('Diário 4º PA'!$P$4:$P$2564=J$1),('Diário 4º PA'!$F$4:$F$2564))</f>
        <v>195.01000000000002</v>
      </c>
      <c r="K88" s="183">
        <f>SUMPRODUCT(-('Diário 1º PA'!$E$4:$E$2635='Analítico Cx.'!$B88),-('Diário 1º PA'!$P$4:$P$2635=K$1),('Diário 1º PA'!$F$4:$F$2635))+SUMPRODUCT(-('Diário 2º PA'!$E$4:$E$3040='Analítico Cx.'!$B88),-('Diário 2º PA'!$P$4:$P$3040=K$1),('Diário 2º PA'!$F$4:$F$3040))+SUMPRODUCT(-('Diário 3º PA'!$E$4:$E$2731='Analítico Cx.'!$B88),-('Diário 3º PA'!$P$4:$P$2731=K$1),('Diário 3º PA'!$F$4:$F$2731))+SUMPRODUCT(-('Diário 4º PA'!$E$4:$E$2564='Analítico Cx.'!$B88),-('Diário 4º PA'!$P$4:$P$2564=K$1),('Diário 4º PA'!$F$4:$F$2564))</f>
        <v>1326.01</v>
      </c>
      <c r="L88" s="183">
        <f>SUMPRODUCT(-('Diário 1º PA'!$E$4:$E$2635='Analítico Cx.'!$B88),-('Diário 1º PA'!$P$4:$P$2635=L$1),('Diário 1º PA'!$F$4:$F$2635))+SUMPRODUCT(-('Diário 2º PA'!$E$4:$E$3040='Analítico Cx.'!$B88),-('Diário 2º PA'!$P$4:$P$3040=L$1),('Diário 2º PA'!$F$4:$F$3040))+SUMPRODUCT(-('Diário 3º PA'!$E$4:$E$2731='Analítico Cx.'!$B88),-('Diário 3º PA'!$P$4:$P$2731=L$1),('Diário 3º PA'!$F$4:$F$2731))+SUMPRODUCT(-('Diário 4º PA'!$E$4:$E$2564='Analítico Cx.'!$B88),-('Diário 4º PA'!$P$4:$P$2564=L$1),('Diário 4º PA'!$F$4:$F$2564))</f>
        <v>1469.26</v>
      </c>
      <c r="M88" s="183">
        <f>SUMPRODUCT(-('Diário 1º PA'!$E$4:$E$2635='Analítico Cx.'!$B88),-('Diário 1º PA'!$P$4:$P$2635=M$1),('Diário 1º PA'!$F$4:$F$2635))+SUMPRODUCT(-('Diário 2º PA'!$E$4:$E$3040='Analítico Cx.'!$B88),-('Diário 2º PA'!$P$4:$P$3040=M$1),('Diário 2º PA'!$F$4:$F$3040))+SUMPRODUCT(-('Diário 3º PA'!$E$4:$E$2731='Analítico Cx.'!$B88),-('Diário 3º PA'!$P$4:$P$2731=M$1),('Diário 3º PA'!$F$4:$F$2731))+SUMPRODUCT(-('Diário 4º PA'!$E$4:$E$2564='Analítico Cx.'!$B88),-('Diário 4º PA'!$P$4:$P$2564=M$1),('Diário 4º PA'!$F$4:$F$2564))</f>
        <v>169</v>
      </c>
      <c r="N88" s="183">
        <f>SUMPRODUCT(-('Diário 1º PA'!$E$4:$E$2635='Analítico Cx.'!$B88),-('Diário 1º PA'!$P$4:$P$2635=N$1),('Diário 1º PA'!$F$4:$F$2635))+SUMPRODUCT(-('Diário 2º PA'!$E$4:$E$3040='Analítico Cx.'!$B88),-('Diário 2º PA'!$P$4:$P$3040=N$1),('Diário 2º PA'!$F$4:$F$3040))+SUMPRODUCT(-('Diário 3º PA'!$E$4:$E$2731='Analítico Cx.'!$B88),-('Diário 3º PA'!$P$4:$P$2731=N$1),('Diário 3º PA'!$F$4:$F$2731))+SUMPRODUCT(-('Diário 4º PA'!$E$4:$E$2564='Analítico Cx.'!$B88),-('Diário 4º PA'!$P$4:$P$2564=N$1),('Diário 4º PA'!$F$4:$F$2564))</f>
        <v>0</v>
      </c>
      <c r="O88" s="184">
        <f t="shared" si="16"/>
        <v>7722.4800000000014</v>
      </c>
      <c r="P88" s="167">
        <f t="shared" si="15"/>
        <v>6.0826148328840617E-4</v>
      </c>
    </row>
    <row r="89" spans="1:16" ht="23.25" customHeight="1" x14ac:dyDescent="0.2">
      <c r="A89" s="61" t="s">
        <v>151</v>
      </c>
      <c r="B89" s="103" t="s">
        <v>61</v>
      </c>
      <c r="C89" s="183">
        <f>SUMPRODUCT(-('Diário 1º PA'!$E$4:$E$2635='Analítico Cx.'!$B89),-('Diário 1º PA'!$P$4:$P$2635=C$1),('Diário 1º PA'!$F$4:$F$2635))+SUMPRODUCT(-('Diário 2º PA'!$E$4:$E$3040='Analítico Cx.'!$B89),-('Diário 2º PA'!$P$4:$P$3040=C$1),('Diário 2º PA'!$F$4:$F$3040))+SUMPRODUCT(-('Diário 3º PA'!$E$4:$E$2731='Analítico Cx.'!$B89),-('Diário 3º PA'!$P$4:$P$2731=C$1),('Diário 3º PA'!$F$4:$F$2731))+SUMPRODUCT(-('Diário 4º PA'!$E$4:$E$2564='Analítico Cx.'!$B89),-('Diário 4º PA'!$P$4:$P$2564=C$1),('Diário 4º PA'!$F$4:$F$2564))</f>
        <v>0</v>
      </c>
      <c r="D89" s="183">
        <f>SUMPRODUCT(-('Diário 1º PA'!$E$4:$E$2635='Analítico Cx.'!$B89),-('Diário 1º PA'!$P$4:$P$2635=D$1),('Diário 1º PA'!$F$4:$F$2635))+SUMPRODUCT(-('Diário 2º PA'!$E$4:$E$3040='Analítico Cx.'!$B89),-('Diário 2º PA'!$P$4:$P$3040=D$1),('Diário 2º PA'!$F$4:$F$3040))+SUMPRODUCT(-('Diário 3º PA'!$E$4:$E$2731='Analítico Cx.'!$B89),-('Diário 3º PA'!$P$4:$P$2731=D$1),('Diário 3º PA'!$F$4:$F$2731))+SUMPRODUCT(-('Diário 4º PA'!$E$4:$E$2564='Analítico Cx.'!$B89),-('Diário 4º PA'!$P$4:$P$2564=D$1),('Diário 4º PA'!$F$4:$F$2564))</f>
        <v>0</v>
      </c>
      <c r="E89" s="183">
        <f>SUMPRODUCT(-('Diário 1º PA'!$E$4:$E$2635='Analítico Cx.'!$B89),-('Diário 1º PA'!$P$4:$P$2635=E$1),('Diário 1º PA'!$F$4:$F$2635))+SUMPRODUCT(-('Diário 2º PA'!$E$4:$E$3040='Analítico Cx.'!$B89),-('Diário 2º PA'!$P$4:$P$3040=E$1),('Diário 2º PA'!$F$4:$F$3040))+SUMPRODUCT(-('Diário 3º PA'!$E$4:$E$2731='Analítico Cx.'!$B89),-('Diário 3º PA'!$P$4:$P$2731=E$1),('Diário 3º PA'!$F$4:$F$2731))+SUMPRODUCT(-('Diário 4º PA'!$E$4:$E$2564='Analítico Cx.'!$B89),-('Diário 4º PA'!$P$4:$P$2564=E$1),('Diário 4º PA'!$F$4:$F$2564))</f>
        <v>0</v>
      </c>
      <c r="F89" s="183">
        <f>SUMPRODUCT(-('Diário 1º PA'!$E$4:$E$2635='Analítico Cx.'!$B89),-('Diário 1º PA'!$P$4:$P$2635=F$1),('Diário 1º PA'!$F$4:$F$2635))+SUMPRODUCT(-('Diário 2º PA'!$E$4:$E$3040='Analítico Cx.'!$B89),-('Diário 2º PA'!$P$4:$P$3040=F$1),('Diário 2º PA'!$F$4:$F$3040))+SUMPRODUCT(-('Diário 3º PA'!$E$4:$E$2731='Analítico Cx.'!$B89),-('Diário 3º PA'!$P$4:$P$2731=F$1),('Diário 3º PA'!$F$4:$F$2731))+SUMPRODUCT(-('Diário 4º PA'!$E$4:$E$2564='Analítico Cx.'!$B89),-('Diário 4º PA'!$P$4:$P$2564=F$1),('Diário 4º PA'!$F$4:$F$2564))</f>
        <v>0</v>
      </c>
      <c r="G89" s="183">
        <f>SUMPRODUCT(-('Diário 1º PA'!$E$4:$E$2635='Analítico Cx.'!$B89),-('Diário 1º PA'!$P$4:$P$2635=G$1),('Diário 1º PA'!$F$4:$F$2635))+SUMPRODUCT(-('Diário 2º PA'!$E$4:$E$3040='Analítico Cx.'!$B89),-('Diário 2º PA'!$P$4:$P$3040=G$1),('Diário 2º PA'!$F$4:$F$3040))+SUMPRODUCT(-('Diário 3º PA'!$E$4:$E$2731='Analítico Cx.'!$B89),-('Diário 3º PA'!$P$4:$P$2731=G$1),('Diário 3º PA'!$F$4:$F$2731))+SUMPRODUCT(-('Diário 4º PA'!$E$4:$E$2564='Analítico Cx.'!$B89),-('Diário 4º PA'!$P$4:$P$2564=G$1),('Diário 4º PA'!$F$4:$F$2564))</f>
        <v>0</v>
      </c>
      <c r="H89" s="183">
        <f>SUMPRODUCT(-('Diário 1º PA'!$E$4:$E$2635='Analítico Cx.'!$B89),-('Diário 1º PA'!$P$4:$P$2635=H$1),('Diário 1º PA'!$F$4:$F$2635))+SUMPRODUCT(-('Diário 2º PA'!$E$4:$E$3040='Analítico Cx.'!$B89),-('Diário 2º PA'!$P$4:$P$3040=H$1),('Diário 2º PA'!$F$4:$F$3040))+SUMPRODUCT(-('Diário 3º PA'!$E$4:$E$2731='Analítico Cx.'!$B89),-('Diário 3º PA'!$P$4:$P$2731=H$1),('Diário 3º PA'!$F$4:$F$2731))+SUMPRODUCT(-('Diário 4º PA'!$E$4:$E$2564='Analítico Cx.'!$B89),-('Diário 4º PA'!$P$4:$P$2564=H$1),('Diário 4º PA'!$F$4:$F$2564))</f>
        <v>0</v>
      </c>
      <c r="I89" s="183">
        <f>SUMPRODUCT(-('Diário 1º PA'!$E$4:$E$2635='Analítico Cx.'!$B89),-('Diário 1º PA'!$P$4:$P$2635=I$1),('Diário 1º PA'!$F$4:$F$2635))+SUMPRODUCT(-('Diário 2º PA'!$E$4:$E$3040='Analítico Cx.'!$B89),-('Diário 2º PA'!$P$4:$P$3040=I$1),('Diário 2º PA'!$F$4:$F$3040))+SUMPRODUCT(-('Diário 3º PA'!$E$4:$E$2731='Analítico Cx.'!$B89),-('Diário 3º PA'!$P$4:$P$2731=I$1),('Diário 3º PA'!$F$4:$F$2731))+SUMPRODUCT(-('Diário 4º PA'!$E$4:$E$2564='Analítico Cx.'!$B89),-('Diário 4º PA'!$P$4:$P$2564=I$1),('Diário 4º PA'!$F$4:$F$2564))</f>
        <v>0</v>
      </c>
      <c r="J89" s="183">
        <f>SUMPRODUCT(-('Diário 1º PA'!$E$4:$E$2635='Analítico Cx.'!$B89),-('Diário 1º PA'!$P$4:$P$2635=J$1),('Diário 1º PA'!$F$4:$F$2635))+SUMPRODUCT(-('Diário 2º PA'!$E$4:$E$3040='Analítico Cx.'!$B89),-('Diário 2º PA'!$P$4:$P$3040=J$1),('Diário 2º PA'!$F$4:$F$3040))+SUMPRODUCT(-('Diário 3º PA'!$E$4:$E$2731='Analítico Cx.'!$B89),-('Diário 3º PA'!$P$4:$P$2731=J$1),('Diário 3º PA'!$F$4:$F$2731))+SUMPRODUCT(-('Diário 4º PA'!$E$4:$E$2564='Analítico Cx.'!$B89),-('Diário 4º PA'!$P$4:$P$2564=J$1),('Diário 4º PA'!$F$4:$F$2564))</f>
        <v>0</v>
      </c>
      <c r="K89" s="183">
        <f>SUMPRODUCT(-('Diário 1º PA'!$E$4:$E$2635='Analítico Cx.'!$B89),-('Diário 1º PA'!$P$4:$P$2635=K$1),('Diário 1º PA'!$F$4:$F$2635))+SUMPRODUCT(-('Diário 2º PA'!$E$4:$E$3040='Analítico Cx.'!$B89),-('Diário 2º PA'!$P$4:$P$3040=K$1),('Diário 2º PA'!$F$4:$F$3040))+SUMPRODUCT(-('Diário 3º PA'!$E$4:$E$2731='Analítico Cx.'!$B89),-('Diário 3º PA'!$P$4:$P$2731=K$1),('Diário 3º PA'!$F$4:$F$2731))+SUMPRODUCT(-('Diário 4º PA'!$E$4:$E$2564='Analítico Cx.'!$B89),-('Diário 4º PA'!$P$4:$P$2564=K$1),('Diário 4º PA'!$F$4:$F$2564))</f>
        <v>0</v>
      </c>
      <c r="L89" s="183">
        <f>SUMPRODUCT(-('Diário 1º PA'!$E$4:$E$2635='Analítico Cx.'!$B89),-('Diário 1º PA'!$P$4:$P$2635=L$1),('Diário 1º PA'!$F$4:$F$2635))+SUMPRODUCT(-('Diário 2º PA'!$E$4:$E$3040='Analítico Cx.'!$B89),-('Diário 2º PA'!$P$4:$P$3040=L$1),('Diário 2º PA'!$F$4:$F$3040))+SUMPRODUCT(-('Diário 3º PA'!$E$4:$E$2731='Analítico Cx.'!$B89),-('Diário 3º PA'!$P$4:$P$2731=L$1),('Diário 3º PA'!$F$4:$F$2731))+SUMPRODUCT(-('Diário 4º PA'!$E$4:$E$2564='Analítico Cx.'!$B89),-('Diário 4º PA'!$P$4:$P$2564=L$1),('Diário 4º PA'!$F$4:$F$2564))</f>
        <v>0</v>
      </c>
      <c r="M89" s="183">
        <f>SUMPRODUCT(-('Diário 1º PA'!$E$4:$E$2635='Analítico Cx.'!$B89),-('Diário 1º PA'!$P$4:$P$2635=M$1),('Diário 1º PA'!$F$4:$F$2635))+SUMPRODUCT(-('Diário 2º PA'!$E$4:$E$3040='Analítico Cx.'!$B89),-('Diário 2º PA'!$P$4:$P$3040=M$1),('Diário 2º PA'!$F$4:$F$3040))+SUMPRODUCT(-('Diário 3º PA'!$E$4:$E$2731='Analítico Cx.'!$B89),-('Diário 3º PA'!$P$4:$P$2731=M$1),('Diário 3º PA'!$F$4:$F$2731))+SUMPRODUCT(-('Diário 4º PA'!$E$4:$E$2564='Analítico Cx.'!$B89),-('Diário 4º PA'!$P$4:$P$2564=M$1),('Diário 4º PA'!$F$4:$F$2564))</f>
        <v>0</v>
      </c>
      <c r="N89" s="183">
        <f>SUMPRODUCT(-('Diário 1º PA'!$E$4:$E$2635='Analítico Cx.'!$B89),-('Diário 1º PA'!$P$4:$P$2635=N$1),('Diário 1º PA'!$F$4:$F$2635))+SUMPRODUCT(-('Diário 2º PA'!$E$4:$E$3040='Analítico Cx.'!$B89),-('Diário 2º PA'!$P$4:$P$3040=N$1),('Diário 2º PA'!$F$4:$F$3040))+SUMPRODUCT(-('Diário 3º PA'!$E$4:$E$2731='Analítico Cx.'!$B89),-('Diário 3º PA'!$P$4:$P$2731=N$1),('Diário 3º PA'!$F$4:$F$2731))+SUMPRODUCT(-('Diário 4º PA'!$E$4:$E$2564='Analítico Cx.'!$B89),-('Diário 4º PA'!$P$4:$P$2564=N$1),('Diário 4º PA'!$F$4:$F$2564))</f>
        <v>0</v>
      </c>
      <c r="O89" s="184">
        <f t="shared" si="16"/>
        <v>0</v>
      </c>
      <c r="P89" s="167">
        <f t="shared" si="15"/>
        <v>0</v>
      </c>
    </row>
    <row r="90" spans="1:16" ht="23.25" customHeight="1" x14ac:dyDescent="0.2">
      <c r="A90" s="61" t="s">
        <v>152</v>
      </c>
      <c r="B90" s="103" t="s">
        <v>60</v>
      </c>
      <c r="C90" s="183">
        <f>SUMPRODUCT(-('Diário 1º PA'!$E$4:$E$2635='Analítico Cx.'!$B90),-('Diário 1º PA'!$P$4:$P$2635=C$1),('Diário 1º PA'!$F$4:$F$2635))+SUMPRODUCT(-('Diário 2º PA'!$E$4:$E$3040='Analítico Cx.'!$B90),-('Diário 2º PA'!$P$4:$P$3040=C$1),('Diário 2º PA'!$F$4:$F$3040))+SUMPRODUCT(-('Diário 3º PA'!$E$4:$E$2731='Analítico Cx.'!$B90),-('Diário 3º PA'!$P$4:$P$2731=C$1),('Diário 3º PA'!$F$4:$F$2731))+SUMPRODUCT(-('Diário 4º PA'!$E$4:$E$2564='Analítico Cx.'!$B90),-('Diário 4º PA'!$P$4:$P$2564=C$1),('Diário 4º PA'!$F$4:$F$2564))</f>
        <v>67.52</v>
      </c>
      <c r="D90" s="183">
        <f>SUMPRODUCT(-('Diário 1º PA'!$E$4:$E$2635='Analítico Cx.'!$B90),-('Diário 1º PA'!$P$4:$P$2635=D$1),('Diário 1º PA'!$F$4:$F$2635))+SUMPRODUCT(-('Diário 2º PA'!$E$4:$E$3040='Analítico Cx.'!$B90),-('Diário 2º PA'!$P$4:$P$3040=D$1),('Diário 2º PA'!$F$4:$F$3040))+SUMPRODUCT(-('Diário 3º PA'!$E$4:$E$2731='Analítico Cx.'!$B90),-('Diário 3º PA'!$P$4:$P$2731=D$1),('Diário 3º PA'!$F$4:$F$2731))+SUMPRODUCT(-('Diário 4º PA'!$E$4:$E$2564='Analítico Cx.'!$B90),-('Diário 4º PA'!$P$4:$P$2564=D$1),('Diário 4º PA'!$F$4:$F$2564))</f>
        <v>0</v>
      </c>
      <c r="E90" s="183">
        <f>SUMPRODUCT(-('Diário 1º PA'!$E$4:$E$2635='Analítico Cx.'!$B90),-('Diário 1º PA'!$P$4:$P$2635=E$1),('Diário 1º PA'!$F$4:$F$2635))+SUMPRODUCT(-('Diário 2º PA'!$E$4:$E$3040='Analítico Cx.'!$B90),-('Diário 2º PA'!$P$4:$P$3040=E$1),('Diário 2º PA'!$F$4:$F$3040))+SUMPRODUCT(-('Diário 3º PA'!$E$4:$E$2731='Analítico Cx.'!$B90),-('Diário 3º PA'!$P$4:$P$2731=E$1),('Diário 3º PA'!$F$4:$F$2731))+SUMPRODUCT(-('Diário 4º PA'!$E$4:$E$2564='Analítico Cx.'!$B90),-('Diário 4º PA'!$P$4:$P$2564=E$1),('Diário 4º PA'!$F$4:$F$2564))</f>
        <v>0</v>
      </c>
      <c r="F90" s="183">
        <f>SUMPRODUCT(-('Diário 1º PA'!$E$4:$E$2635='Analítico Cx.'!$B90),-('Diário 1º PA'!$P$4:$P$2635=F$1),('Diário 1º PA'!$F$4:$F$2635))+SUMPRODUCT(-('Diário 2º PA'!$E$4:$E$3040='Analítico Cx.'!$B90),-('Diário 2º PA'!$P$4:$P$3040=F$1),('Diário 2º PA'!$F$4:$F$3040))+SUMPRODUCT(-('Diário 3º PA'!$E$4:$E$2731='Analítico Cx.'!$B90),-('Diário 3º PA'!$P$4:$P$2731=F$1),('Diário 3º PA'!$F$4:$F$2731))+SUMPRODUCT(-('Diário 4º PA'!$E$4:$E$2564='Analítico Cx.'!$B90),-('Diário 4º PA'!$P$4:$P$2564=F$1),('Diário 4º PA'!$F$4:$F$2564))</f>
        <v>63.41</v>
      </c>
      <c r="G90" s="183">
        <f>SUMPRODUCT(-('Diário 1º PA'!$E$4:$E$2635='Analítico Cx.'!$B90),-('Diário 1º PA'!$P$4:$P$2635=G$1),('Diário 1º PA'!$F$4:$F$2635))+SUMPRODUCT(-('Diário 2º PA'!$E$4:$E$3040='Analítico Cx.'!$B90),-('Diário 2º PA'!$P$4:$P$3040=G$1),('Diário 2º PA'!$F$4:$F$3040))+SUMPRODUCT(-('Diário 3º PA'!$E$4:$E$2731='Analítico Cx.'!$B90),-('Diário 3º PA'!$P$4:$P$2731=G$1),('Diário 3º PA'!$F$4:$F$2731))+SUMPRODUCT(-('Diário 4º PA'!$E$4:$E$2564='Analítico Cx.'!$B90),-('Diário 4º PA'!$P$4:$P$2564=G$1),('Diário 4º PA'!$F$4:$F$2564))</f>
        <v>0</v>
      </c>
      <c r="H90" s="183">
        <f>SUMPRODUCT(-('Diário 1º PA'!$E$4:$E$2635='Analítico Cx.'!$B90),-('Diário 1º PA'!$P$4:$P$2635=H$1),('Diário 1º PA'!$F$4:$F$2635))+SUMPRODUCT(-('Diário 2º PA'!$E$4:$E$3040='Analítico Cx.'!$B90),-('Diário 2º PA'!$P$4:$P$3040=H$1),('Diário 2º PA'!$F$4:$F$3040))+SUMPRODUCT(-('Diário 3º PA'!$E$4:$E$2731='Analítico Cx.'!$B90),-('Diário 3º PA'!$P$4:$P$2731=H$1),('Diário 3º PA'!$F$4:$F$2731))+SUMPRODUCT(-('Diário 4º PA'!$E$4:$E$2564='Analítico Cx.'!$B90),-('Diário 4º PA'!$P$4:$P$2564=H$1),('Diário 4º PA'!$F$4:$F$2564))</f>
        <v>0</v>
      </c>
      <c r="I90" s="183">
        <f>SUMPRODUCT(-('Diário 1º PA'!$E$4:$E$2635='Analítico Cx.'!$B90),-('Diário 1º PA'!$P$4:$P$2635=I$1),('Diário 1º PA'!$F$4:$F$2635))+SUMPRODUCT(-('Diário 2º PA'!$E$4:$E$3040='Analítico Cx.'!$B90),-('Diário 2º PA'!$P$4:$P$3040=I$1),('Diário 2º PA'!$F$4:$F$3040))+SUMPRODUCT(-('Diário 3º PA'!$E$4:$E$2731='Analítico Cx.'!$B90),-('Diário 3º PA'!$P$4:$P$2731=I$1),('Diário 3º PA'!$F$4:$F$2731))+SUMPRODUCT(-('Diário 4º PA'!$E$4:$E$2564='Analítico Cx.'!$B90),-('Diário 4º PA'!$P$4:$P$2564=I$1),('Diário 4º PA'!$F$4:$F$2564))</f>
        <v>0</v>
      </c>
      <c r="J90" s="183">
        <f>SUMPRODUCT(-('Diário 1º PA'!$E$4:$E$2635='Analítico Cx.'!$B90),-('Diário 1º PA'!$P$4:$P$2635=J$1),('Diário 1º PA'!$F$4:$F$2635))+SUMPRODUCT(-('Diário 2º PA'!$E$4:$E$3040='Analítico Cx.'!$B90),-('Diário 2º PA'!$P$4:$P$3040=J$1),('Diário 2º PA'!$F$4:$F$3040))+SUMPRODUCT(-('Diário 3º PA'!$E$4:$E$2731='Analítico Cx.'!$B90),-('Diário 3º PA'!$P$4:$P$2731=J$1),('Diário 3º PA'!$F$4:$F$2731))+SUMPRODUCT(-('Diário 4º PA'!$E$4:$E$2564='Analítico Cx.'!$B90),-('Diário 4º PA'!$P$4:$P$2564=J$1),('Diário 4º PA'!$F$4:$F$2564))</f>
        <v>0</v>
      </c>
      <c r="K90" s="183">
        <f>SUMPRODUCT(-('Diário 1º PA'!$E$4:$E$2635='Analítico Cx.'!$B90),-('Diário 1º PA'!$P$4:$P$2635=K$1),('Diário 1º PA'!$F$4:$F$2635))+SUMPRODUCT(-('Diário 2º PA'!$E$4:$E$3040='Analítico Cx.'!$B90),-('Diário 2º PA'!$P$4:$P$3040=K$1),('Diário 2º PA'!$F$4:$F$3040))+SUMPRODUCT(-('Diário 3º PA'!$E$4:$E$2731='Analítico Cx.'!$B90),-('Diário 3º PA'!$P$4:$P$2731=K$1),('Diário 3º PA'!$F$4:$F$2731))+SUMPRODUCT(-('Diário 4º PA'!$E$4:$E$2564='Analítico Cx.'!$B90),-('Diário 4º PA'!$P$4:$P$2564=K$1),('Diário 4º PA'!$F$4:$F$2564))</f>
        <v>23.46</v>
      </c>
      <c r="L90" s="183">
        <f>SUMPRODUCT(-('Diário 1º PA'!$E$4:$E$2635='Analítico Cx.'!$B90),-('Diário 1º PA'!$P$4:$P$2635=L$1),('Diário 1º PA'!$F$4:$F$2635))+SUMPRODUCT(-('Diário 2º PA'!$E$4:$E$3040='Analítico Cx.'!$B90),-('Diário 2º PA'!$P$4:$P$3040=L$1),('Diário 2º PA'!$F$4:$F$3040))+SUMPRODUCT(-('Diário 3º PA'!$E$4:$E$2731='Analítico Cx.'!$B90),-('Diário 3º PA'!$P$4:$P$2731=L$1),('Diário 3º PA'!$F$4:$F$2731))+SUMPRODUCT(-('Diário 4º PA'!$E$4:$E$2564='Analítico Cx.'!$B90),-('Diário 4º PA'!$P$4:$P$2564=L$1),('Diário 4º PA'!$F$4:$F$2564))</f>
        <v>0</v>
      </c>
      <c r="M90" s="183">
        <f>SUMPRODUCT(-('Diário 1º PA'!$E$4:$E$2635='Analítico Cx.'!$B90),-('Diário 1º PA'!$P$4:$P$2635=M$1),('Diário 1º PA'!$F$4:$F$2635))+SUMPRODUCT(-('Diário 2º PA'!$E$4:$E$3040='Analítico Cx.'!$B90),-('Diário 2º PA'!$P$4:$P$3040=M$1),('Diário 2º PA'!$F$4:$F$3040))+SUMPRODUCT(-('Diário 3º PA'!$E$4:$E$2731='Analítico Cx.'!$B90),-('Diário 3º PA'!$P$4:$P$2731=M$1),('Diário 3º PA'!$F$4:$F$2731))+SUMPRODUCT(-('Diário 4º PA'!$E$4:$E$2564='Analítico Cx.'!$B90),-('Diário 4º PA'!$P$4:$P$2564=M$1),('Diário 4º PA'!$F$4:$F$2564))</f>
        <v>0</v>
      </c>
      <c r="N90" s="183">
        <f>SUMPRODUCT(-('Diário 1º PA'!$E$4:$E$2635='Analítico Cx.'!$B90),-('Diário 1º PA'!$P$4:$P$2635=N$1),('Diário 1º PA'!$F$4:$F$2635))+SUMPRODUCT(-('Diário 2º PA'!$E$4:$E$3040='Analítico Cx.'!$B90),-('Diário 2º PA'!$P$4:$P$3040=N$1),('Diário 2º PA'!$F$4:$F$3040))+SUMPRODUCT(-('Diário 3º PA'!$E$4:$E$2731='Analítico Cx.'!$B90),-('Diário 3º PA'!$P$4:$P$2731=N$1),('Diário 3º PA'!$F$4:$F$2731))+SUMPRODUCT(-('Diário 4º PA'!$E$4:$E$2564='Analítico Cx.'!$B90),-('Diário 4º PA'!$P$4:$P$2564=N$1),('Diário 4º PA'!$F$4:$F$2564))</f>
        <v>0</v>
      </c>
      <c r="O90" s="184">
        <f t="shared" si="16"/>
        <v>154.39000000000001</v>
      </c>
      <c r="P90" s="167">
        <f t="shared" si="15"/>
        <v>1.2160535269097106E-5</v>
      </c>
    </row>
    <row r="91" spans="1:16" ht="23.25" customHeight="1" x14ac:dyDescent="0.2">
      <c r="A91" s="61" t="s">
        <v>153</v>
      </c>
      <c r="B91" s="103" t="s">
        <v>71</v>
      </c>
      <c r="C91" s="183">
        <f>SUMPRODUCT(-('Diário 1º PA'!$E$4:$E$2635='Analítico Cx.'!$B91),-('Diário 1º PA'!$P$4:$P$2635=C$1),('Diário 1º PA'!$F$4:$F$2635))+SUMPRODUCT(-('Diário 2º PA'!$E$4:$E$3040='Analítico Cx.'!$B91),-('Diário 2º PA'!$P$4:$P$3040=C$1),('Diário 2º PA'!$F$4:$F$3040))+SUMPRODUCT(-('Diário 3º PA'!$E$4:$E$2731='Analítico Cx.'!$B91),-('Diário 3º PA'!$P$4:$P$2731=C$1),('Diário 3º PA'!$F$4:$F$2731))+SUMPRODUCT(-('Diário 4º PA'!$E$4:$E$2564='Analítico Cx.'!$B91),-('Diário 4º PA'!$P$4:$P$2564=C$1),('Diário 4º PA'!$F$4:$F$2564))</f>
        <v>957.65000000000157</v>
      </c>
      <c r="D91" s="183">
        <f>SUMPRODUCT(-('Diário 1º PA'!$E$4:$E$2635='Analítico Cx.'!$B91),-('Diário 1º PA'!$P$4:$P$2635=D$1),('Diário 1º PA'!$F$4:$F$2635))+SUMPRODUCT(-('Diário 2º PA'!$E$4:$E$3040='Analítico Cx.'!$B91),-('Diário 2º PA'!$P$4:$P$3040=D$1),('Diário 2º PA'!$F$4:$F$3040))+SUMPRODUCT(-('Diário 3º PA'!$E$4:$E$2731='Analítico Cx.'!$B91),-('Diário 3º PA'!$P$4:$P$2731=D$1),('Diário 3º PA'!$F$4:$F$2731))+SUMPRODUCT(-('Diário 4º PA'!$E$4:$E$2564='Analítico Cx.'!$B91),-('Diário 4º PA'!$P$4:$P$2564=D$1),('Diário 4º PA'!$F$4:$F$2564))</f>
        <v>947.20000000000152</v>
      </c>
      <c r="E91" s="183">
        <f>SUMPRODUCT(-('Diário 1º PA'!$E$4:$E$2635='Analítico Cx.'!$B91),-('Diário 1º PA'!$P$4:$P$2635=E$1),('Diário 1º PA'!$F$4:$F$2635))+SUMPRODUCT(-('Diário 2º PA'!$E$4:$E$3040='Analítico Cx.'!$B91),-('Diário 2º PA'!$P$4:$P$3040=E$1),('Diário 2º PA'!$F$4:$F$3040))+SUMPRODUCT(-('Diário 3º PA'!$E$4:$E$2731='Analítico Cx.'!$B91),-('Diário 3º PA'!$P$4:$P$2731=E$1),('Diário 3º PA'!$F$4:$F$2731))+SUMPRODUCT(-('Diário 4º PA'!$E$4:$E$2564='Analítico Cx.'!$B91),-('Diário 4º PA'!$P$4:$P$2564=E$1),('Diário 4º PA'!$F$4:$F$2564))</f>
        <v>1099</v>
      </c>
      <c r="F91" s="183">
        <f>SUMPRODUCT(-('Diário 1º PA'!$E$4:$E$2635='Analítico Cx.'!$B91),-('Diário 1º PA'!$P$4:$P$2635=F$1),('Diário 1º PA'!$F$4:$F$2635))+SUMPRODUCT(-('Diário 2º PA'!$E$4:$E$3040='Analítico Cx.'!$B91),-('Diário 2º PA'!$P$4:$P$3040=F$1),('Diário 2º PA'!$F$4:$F$3040))+SUMPRODUCT(-('Diário 3º PA'!$E$4:$E$2731='Analítico Cx.'!$B91),-('Diário 3º PA'!$P$4:$P$2731=F$1),('Diário 3º PA'!$F$4:$F$2731))+SUMPRODUCT(-('Diário 4º PA'!$E$4:$E$2564='Analítico Cx.'!$B91),-('Diário 4º PA'!$P$4:$P$2564=F$1),('Diário 4º PA'!$F$4:$F$2564))</f>
        <v>1407</v>
      </c>
      <c r="G91" s="183">
        <f>SUMPRODUCT(-('Diário 1º PA'!$E$4:$E$2635='Analítico Cx.'!$B91),-('Diário 1º PA'!$P$4:$P$2635=G$1),('Diário 1º PA'!$F$4:$F$2635))+SUMPRODUCT(-('Diário 2º PA'!$E$4:$E$3040='Analítico Cx.'!$B91),-('Diário 2º PA'!$P$4:$P$3040=G$1),('Diário 2º PA'!$F$4:$F$3040))+SUMPRODUCT(-('Diário 3º PA'!$E$4:$E$2731='Analítico Cx.'!$B91),-('Diário 3º PA'!$P$4:$P$2731=G$1),('Diário 3º PA'!$F$4:$F$2731))+SUMPRODUCT(-('Diário 4º PA'!$E$4:$E$2564='Analítico Cx.'!$B91),-('Diário 4º PA'!$P$4:$P$2564=G$1),('Diário 4º PA'!$F$4:$F$2564))</f>
        <v>1638</v>
      </c>
      <c r="H91" s="183">
        <f>SUMPRODUCT(-('Diário 1º PA'!$E$4:$E$2635='Analítico Cx.'!$B91),-('Diário 1º PA'!$P$4:$P$2635=H$1),('Diário 1º PA'!$F$4:$F$2635))+SUMPRODUCT(-('Diário 2º PA'!$E$4:$E$3040='Analítico Cx.'!$B91),-('Diário 2º PA'!$P$4:$P$3040=H$1),('Diário 2º PA'!$F$4:$F$3040))+SUMPRODUCT(-('Diário 3º PA'!$E$4:$E$2731='Analítico Cx.'!$B91),-('Diário 3º PA'!$P$4:$P$2731=H$1),('Diário 3º PA'!$F$4:$F$2731))+SUMPRODUCT(-('Diário 4º PA'!$E$4:$E$2564='Analítico Cx.'!$B91),-('Diário 4º PA'!$P$4:$P$2564=H$1),('Diário 4º PA'!$F$4:$F$2564))</f>
        <v>1154</v>
      </c>
      <c r="I91" s="183">
        <f>SUMPRODUCT(-('Diário 1º PA'!$E$4:$E$2635='Analítico Cx.'!$B91),-('Diário 1º PA'!$P$4:$P$2635=I$1),('Diário 1º PA'!$F$4:$F$2635))+SUMPRODUCT(-('Diário 2º PA'!$E$4:$E$3040='Analítico Cx.'!$B91),-('Diário 2º PA'!$P$4:$P$3040=I$1),('Diário 2º PA'!$F$4:$F$3040))+SUMPRODUCT(-('Diário 3º PA'!$E$4:$E$2731='Analítico Cx.'!$B91),-('Diário 3º PA'!$P$4:$P$2731=I$1),('Diário 3º PA'!$F$4:$F$2731))+SUMPRODUCT(-('Diário 4º PA'!$E$4:$E$2564='Analítico Cx.'!$B91),-('Diário 4º PA'!$P$4:$P$2564=I$1),('Diário 4º PA'!$F$4:$F$2564))</f>
        <v>1253</v>
      </c>
      <c r="J91" s="183">
        <f>SUMPRODUCT(-('Diário 1º PA'!$E$4:$E$2635='Analítico Cx.'!$B91),-('Diário 1º PA'!$P$4:$P$2635=J$1),('Diário 1º PA'!$F$4:$F$2635))+SUMPRODUCT(-('Diário 2º PA'!$E$4:$E$3040='Analítico Cx.'!$B91),-('Diário 2º PA'!$P$4:$P$3040=J$1),('Diário 2º PA'!$F$4:$F$3040))+SUMPRODUCT(-('Diário 3º PA'!$E$4:$E$2731='Analítico Cx.'!$B91),-('Diário 3º PA'!$P$4:$P$2731=J$1),('Diário 3º PA'!$F$4:$F$2731))+SUMPRODUCT(-('Diário 4º PA'!$E$4:$E$2564='Analítico Cx.'!$B91),-('Diário 4º PA'!$P$4:$P$2564=J$1),('Diário 4º PA'!$F$4:$F$2564))</f>
        <v>1264.3</v>
      </c>
      <c r="K91" s="183">
        <f>SUMPRODUCT(-('Diário 1º PA'!$E$4:$E$2635='Analítico Cx.'!$B91),-('Diário 1º PA'!$P$4:$P$2635=K$1),('Diário 1º PA'!$F$4:$F$2635))+SUMPRODUCT(-('Diário 2º PA'!$E$4:$E$3040='Analítico Cx.'!$B91),-('Diário 2º PA'!$P$4:$P$3040=K$1),('Diário 2º PA'!$F$4:$F$3040))+SUMPRODUCT(-('Diário 3º PA'!$E$4:$E$2731='Analítico Cx.'!$B91),-('Diário 3º PA'!$P$4:$P$2731=K$1),('Diário 3º PA'!$F$4:$F$2731))+SUMPRODUCT(-('Diário 4º PA'!$E$4:$E$2564='Analítico Cx.'!$B91),-('Diário 4º PA'!$P$4:$P$2564=K$1),('Diário 4º PA'!$F$4:$F$2564))</f>
        <v>1274</v>
      </c>
      <c r="L91" s="183">
        <f>SUMPRODUCT(-('Diário 1º PA'!$E$4:$E$2635='Analítico Cx.'!$B91),-('Diário 1º PA'!$P$4:$P$2635=L$1),('Diário 1º PA'!$F$4:$F$2635))+SUMPRODUCT(-('Diário 2º PA'!$E$4:$E$3040='Analítico Cx.'!$B91),-('Diário 2º PA'!$P$4:$P$3040=L$1),('Diário 2º PA'!$F$4:$F$3040))+SUMPRODUCT(-('Diário 3º PA'!$E$4:$E$2731='Analítico Cx.'!$B91),-('Diário 3º PA'!$P$4:$P$2731=L$1),('Diário 3º PA'!$F$4:$F$2731))+SUMPRODUCT(-('Diário 4º PA'!$E$4:$E$2564='Analítico Cx.'!$B91),-('Diário 4º PA'!$P$4:$P$2564=L$1),('Diário 4º PA'!$F$4:$F$2564))</f>
        <v>1016</v>
      </c>
      <c r="M91" s="183">
        <f>SUMPRODUCT(-('Diário 1º PA'!$E$4:$E$2635='Analítico Cx.'!$B91),-('Diário 1º PA'!$P$4:$P$2635=M$1),('Diário 1º PA'!$F$4:$F$2635))+SUMPRODUCT(-('Diário 2º PA'!$E$4:$E$3040='Analítico Cx.'!$B91),-('Diário 2º PA'!$P$4:$P$3040=M$1),('Diário 2º PA'!$F$4:$F$3040))+SUMPRODUCT(-('Diário 3º PA'!$E$4:$E$2731='Analítico Cx.'!$B91),-('Diário 3º PA'!$P$4:$P$2731=M$1),('Diário 3º PA'!$F$4:$F$2731))+SUMPRODUCT(-('Diário 4º PA'!$E$4:$E$2564='Analítico Cx.'!$B91),-('Diário 4º PA'!$P$4:$P$2564=M$1),('Diário 4º PA'!$F$4:$F$2564))</f>
        <v>1671</v>
      </c>
      <c r="N91" s="183">
        <f>SUMPRODUCT(-('Diário 1º PA'!$E$4:$E$2635='Analítico Cx.'!$B91),-('Diário 1º PA'!$P$4:$P$2635=N$1),('Diário 1º PA'!$F$4:$F$2635))+SUMPRODUCT(-('Diário 2º PA'!$E$4:$E$3040='Analítico Cx.'!$B91),-('Diário 2º PA'!$P$4:$P$3040=N$1),('Diário 2º PA'!$F$4:$F$3040))+SUMPRODUCT(-('Diário 3º PA'!$E$4:$E$2731='Analítico Cx.'!$B91),-('Diário 3º PA'!$P$4:$P$2731=N$1),('Diário 3º PA'!$F$4:$F$2731))+SUMPRODUCT(-('Diário 4º PA'!$E$4:$E$2564='Analítico Cx.'!$B91),-('Diário 4º PA'!$P$4:$P$2564=N$1),('Diário 4º PA'!$F$4:$F$2564))</f>
        <v>2077</v>
      </c>
      <c r="O91" s="184">
        <f t="shared" si="16"/>
        <v>15758.150000000001</v>
      </c>
      <c r="P91" s="167">
        <f t="shared" ref="P91:P122" si="17">IF($O$167=0,0,O91/$O$167)</f>
        <v>1.2411913909626438E-3</v>
      </c>
    </row>
    <row r="92" spans="1:16" ht="23.25" customHeight="1" x14ac:dyDescent="0.2">
      <c r="A92" s="61" t="s">
        <v>154</v>
      </c>
      <c r="B92" s="103" t="s">
        <v>69</v>
      </c>
      <c r="C92" s="183">
        <f>SUMPRODUCT(-('Diário 1º PA'!$E$4:$E$2635='Analítico Cx.'!$B92),-('Diário 1º PA'!$P$4:$P$2635=C$1),('Diário 1º PA'!$F$4:$F$2635))+SUMPRODUCT(-('Diário 2º PA'!$E$4:$E$3040='Analítico Cx.'!$B92),-('Diário 2º PA'!$P$4:$P$3040=C$1),('Diário 2º PA'!$F$4:$F$3040))+SUMPRODUCT(-('Diário 3º PA'!$E$4:$E$2731='Analítico Cx.'!$B92),-('Diário 3º PA'!$P$4:$P$2731=C$1),('Diário 3º PA'!$F$4:$F$2731))+SUMPRODUCT(-('Diário 4º PA'!$E$4:$E$2564='Analítico Cx.'!$B92),-('Diário 4º PA'!$P$4:$P$2564=C$1),('Diário 4º PA'!$F$4:$F$2564))</f>
        <v>0</v>
      </c>
      <c r="D92" s="183">
        <f>SUMPRODUCT(-('Diário 1º PA'!$E$4:$E$2635='Analítico Cx.'!$B92),-('Diário 1º PA'!$P$4:$P$2635=D$1),('Diário 1º PA'!$F$4:$F$2635))+SUMPRODUCT(-('Diário 2º PA'!$E$4:$E$3040='Analítico Cx.'!$B92),-('Diário 2º PA'!$P$4:$P$3040=D$1),('Diário 2º PA'!$F$4:$F$3040))+SUMPRODUCT(-('Diário 3º PA'!$E$4:$E$2731='Analítico Cx.'!$B92),-('Diário 3º PA'!$P$4:$P$2731=D$1),('Diário 3º PA'!$F$4:$F$2731))+SUMPRODUCT(-('Diário 4º PA'!$E$4:$E$2564='Analítico Cx.'!$B92),-('Diário 4º PA'!$P$4:$P$2564=D$1),('Diário 4º PA'!$F$4:$F$2564))</f>
        <v>0</v>
      </c>
      <c r="E92" s="183">
        <f>SUMPRODUCT(-('Diário 1º PA'!$E$4:$E$2635='Analítico Cx.'!$B92),-('Diário 1º PA'!$P$4:$P$2635=E$1),('Diário 1º PA'!$F$4:$F$2635))+SUMPRODUCT(-('Diário 2º PA'!$E$4:$E$3040='Analítico Cx.'!$B92),-('Diário 2º PA'!$P$4:$P$3040=E$1),('Diário 2º PA'!$F$4:$F$3040))+SUMPRODUCT(-('Diário 3º PA'!$E$4:$E$2731='Analítico Cx.'!$B92),-('Diário 3º PA'!$P$4:$P$2731=E$1),('Diário 3º PA'!$F$4:$F$2731))+SUMPRODUCT(-('Diário 4º PA'!$E$4:$E$2564='Analítico Cx.'!$B92),-('Diário 4º PA'!$P$4:$P$2564=E$1),('Diário 4º PA'!$F$4:$F$2564))</f>
        <v>0</v>
      </c>
      <c r="F92" s="183">
        <f>SUMPRODUCT(-('Diário 1º PA'!$E$4:$E$2635='Analítico Cx.'!$B92),-('Diário 1º PA'!$P$4:$P$2635=F$1),('Diário 1º PA'!$F$4:$F$2635))+SUMPRODUCT(-('Diário 2º PA'!$E$4:$E$3040='Analítico Cx.'!$B92),-('Diário 2º PA'!$P$4:$P$3040=F$1),('Diário 2º PA'!$F$4:$F$3040))+SUMPRODUCT(-('Diário 3º PA'!$E$4:$E$2731='Analítico Cx.'!$B92),-('Diário 3º PA'!$P$4:$P$2731=F$1),('Diário 3º PA'!$F$4:$F$2731))+SUMPRODUCT(-('Diário 4º PA'!$E$4:$E$2564='Analítico Cx.'!$B92),-('Diário 4º PA'!$P$4:$P$2564=F$1),('Diário 4º PA'!$F$4:$F$2564))</f>
        <v>0</v>
      </c>
      <c r="G92" s="183">
        <f>SUMPRODUCT(-('Diário 1º PA'!$E$4:$E$2635='Analítico Cx.'!$B92),-('Diário 1º PA'!$P$4:$P$2635=G$1),('Diário 1º PA'!$F$4:$F$2635))+SUMPRODUCT(-('Diário 2º PA'!$E$4:$E$3040='Analítico Cx.'!$B92),-('Diário 2º PA'!$P$4:$P$3040=G$1),('Diário 2º PA'!$F$4:$F$3040))+SUMPRODUCT(-('Diário 3º PA'!$E$4:$E$2731='Analítico Cx.'!$B92),-('Diário 3º PA'!$P$4:$P$2731=G$1),('Diário 3º PA'!$F$4:$F$2731))+SUMPRODUCT(-('Diário 4º PA'!$E$4:$E$2564='Analítico Cx.'!$B92),-('Diário 4º PA'!$P$4:$P$2564=G$1),('Diário 4º PA'!$F$4:$F$2564))</f>
        <v>0</v>
      </c>
      <c r="H92" s="183">
        <f>SUMPRODUCT(-('Diário 1º PA'!$E$4:$E$2635='Analítico Cx.'!$B92),-('Diário 1º PA'!$P$4:$P$2635=H$1),('Diário 1º PA'!$F$4:$F$2635))+SUMPRODUCT(-('Diário 2º PA'!$E$4:$E$3040='Analítico Cx.'!$B92),-('Diário 2º PA'!$P$4:$P$3040=H$1),('Diário 2º PA'!$F$4:$F$3040))+SUMPRODUCT(-('Diário 3º PA'!$E$4:$E$2731='Analítico Cx.'!$B92),-('Diário 3º PA'!$P$4:$P$2731=H$1),('Diário 3º PA'!$F$4:$F$2731))+SUMPRODUCT(-('Diário 4º PA'!$E$4:$E$2564='Analítico Cx.'!$B92),-('Diário 4º PA'!$P$4:$P$2564=H$1),('Diário 4º PA'!$F$4:$F$2564))</f>
        <v>0</v>
      </c>
      <c r="I92" s="183">
        <f>SUMPRODUCT(-('Diário 1º PA'!$E$4:$E$2635='Analítico Cx.'!$B92),-('Diário 1º PA'!$P$4:$P$2635=I$1),('Diário 1º PA'!$F$4:$F$2635))+SUMPRODUCT(-('Diário 2º PA'!$E$4:$E$3040='Analítico Cx.'!$B92),-('Diário 2º PA'!$P$4:$P$3040=I$1),('Diário 2º PA'!$F$4:$F$3040))+SUMPRODUCT(-('Diário 3º PA'!$E$4:$E$2731='Analítico Cx.'!$B92),-('Diário 3º PA'!$P$4:$P$2731=I$1),('Diário 3º PA'!$F$4:$F$2731))+SUMPRODUCT(-('Diário 4º PA'!$E$4:$E$2564='Analítico Cx.'!$B92),-('Diário 4º PA'!$P$4:$P$2564=I$1),('Diário 4º PA'!$F$4:$F$2564))</f>
        <v>0</v>
      </c>
      <c r="J92" s="183">
        <f>SUMPRODUCT(-('Diário 1º PA'!$E$4:$E$2635='Analítico Cx.'!$B92),-('Diário 1º PA'!$P$4:$P$2635=J$1),('Diário 1º PA'!$F$4:$F$2635))+SUMPRODUCT(-('Diário 2º PA'!$E$4:$E$3040='Analítico Cx.'!$B92),-('Diário 2º PA'!$P$4:$P$3040=J$1),('Diário 2º PA'!$F$4:$F$3040))+SUMPRODUCT(-('Diário 3º PA'!$E$4:$E$2731='Analítico Cx.'!$B92),-('Diário 3º PA'!$P$4:$P$2731=J$1),('Diário 3º PA'!$F$4:$F$2731))+SUMPRODUCT(-('Diário 4º PA'!$E$4:$E$2564='Analítico Cx.'!$B92),-('Diário 4º PA'!$P$4:$P$2564=J$1),('Diário 4º PA'!$F$4:$F$2564))</f>
        <v>0</v>
      </c>
      <c r="K92" s="183">
        <f>SUMPRODUCT(-('Diário 1º PA'!$E$4:$E$2635='Analítico Cx.'!$B92),-('Diário 1º PA'!$P$4:$P$2635=K$1),('Diário 1º PA'!$F$4:$F$2635))+SUMPRODUCT(-('Diário 2º PA'!$E$4:$E$3040='Analítico Cx.'!$B92),-('Diário 2º PA'!$P$4:$P$3040=K$1),('Diário 2º PA'!$F$4:$F$3040))+SUMPRODUCT(-('Diário 3º PA'!$E$4:$E$2731='Analítico Cx.'!$B92),-('Diário 3º PA'!$P$4:$P$2731=K$1),('Diário 3º PA'!$F$4:$F$2731))+SUMPRODUCT(-('Diário 4º PA'!$E$4:$E$2564='Analítico Cx.'!$B92),-('Diário 4º PA'!$P$4:$P$2564=K$1),('Diário 4º PA'!$F$4:$F$2564))</f>
        <v>0</v>
      </c>
      <c r="L92" s="183">
        <f>SUMPRODUCT(-('Diário 1º PA'!$E$4:$E$2635='Analítico Cx.'!$B92),-('Diário 1º PA'!$P$4:$P$2635=L$1),('Diário 1º PA'!$F$4:$F$2635))+SUMPRODUCT(-('Diário 2º PA'!$E$4:$E$3040='Analítico Cx.'!$B92),-('Diário 2º PA'!$P$4:$P$3040=L$1),('Diário 2º PA'!$F$4:$F$3040))+SUMPRODUCT(-('Diário 3º PA'!$E$4:$E$2731='Analítico Cx.'!$B92),-('Diário 3º PA'!$P$4:$P$2731=L$1),('Diário 3º PA'!$F$4:$F$2731))+SUMPRODUCT(-('Diário 4º PA'!$E$4:$E$2564='Analítico Cx.'!$B92),-('Diário 4º PA'!$P$4:$P$2564=L$1),('Diário 4º PA'!$F$4:$F$2564))</f>
        <v>0</v>
      </c>
      <c r="M92" s="183">
        <f>SUMPRODUCT(-('Diário 1º PA'!$E$4:$E$2635='Analítico Cx.'!$B92),-('Diário 1º PA'!$P$4:$P$2635=M$1),('Diário 1º PA'!$F$4:$F$2635))+SUMPRODUCT(-('Diário 2º PA'!$E$4:$E$3040='Analítico Cx.'!$B92),-('Diário 2º PA'!$P$4:$P$3040=M$1),('Diário 2º PA'!$F$4:$F$3040))+SUMPRODUCT(-('Diário 3º PA'!$E$4:$E$2731='Analítico Cx.'!$B92),-('Diário 3º PA'!$P$4:$P$2731=M$1),('Diário 3º PA'!$F$4:$F$2731))+SUMPRODUCT(-('Diário 4º PA'!$E$4:$E$2564='Analítico Cx.'!$B92),-('Diário 4º PA'!$P$4:$P$2564=M$1),('Diário 4º PA'!$F$4:$F$2564))</f>
        <v>0</v>
      </c>
      <c r="N92" s="183">
        <f>SUMPRODUCT(-('Diário 1º PA'!$E$4:$E$2635='Analítico Cx.'!$B92),-('Diário 1º PA'!$P$4:$P$2635=N$1),('Diário 1º PA'!$F$4:$F$2635))+SUMPRODUCT(-('Diário 2º PA'!$E$4:$E$3040='Analítico Cx.'!$B92),-('Diário 2º PA'!$P$4:$P$3040=N$1),('Diário 2º PA'!$F$4:$F$3040))+SUMPRODUCT(-('Diário 3º PA'!$E$4:$E$2731='Analítico Cx.'!$B92),-('Diário 3º PA'!$P$4:$P$2731=N$1),('Diário 3º PA'!$F$4:$F$2731))+SUMPRODUCT(-('Diário 4º PA'!$E$4:$E$2564='Analítico Cx.'!$B92),-('Diário 4º PA'!$P$4:$P$2564=N$1),('Diário 4º PA'!$F$4:$F$2564))</f>
        <v>0</v>
      </c>
      <c r="O92" s="184">
        <f t="shared" si="16"/>
        <v>0</v>
      </c>
      <c r="P92" s="167">
        <f t="shared" si="17"/>
        <v>0</v>
      </c>
    </row>
    <row r="93" spans="1:16" ht="23.25" customHeight="1" x14ac:dyDescent="0.2">
      <c r="A93" s="61" t="s">
        <v>191</v>
      </c>
      <c r="B93" s="103" t="s">
        <v>67</v>
      </c>
      <c r="C93" s="183">
        <f>SUMPRODUCT(-('Diário 1º PA'!$E$4:$E$2635='Analítico Cx.'!$B93),-('Diário 1º PA'!$P$4:$P$2635=C$1),('Diário 1º PA'!$F$4:$F$2635))+SUMPRODUCT(-('Diário 2º PA'!$E$4:$E$3040='Analítico Cx.'!$B93),-('Diário 2º PA'!$P$4:$P$3040=C$1),('Diário 2º PA'!$F$4:$F$3040))+SUMPRODUCT(-('Diário 3º PA'!$E$4:$E$2731='Analítico Cx.'!$B93),-('Diário 3º PA'!$P$4:$P$2731=C$1),('Diário 3º PA'!$F$4:$F$2731))+SUMPRODUCT(-('Diário 4º PA'!$E$4:$E$2564='Analítico Cx.'!$B93),-('Diário 4º PA'!$P$4:$P$2564=C$1),('Diário 4º PA'!$F$4:$F$2564))</f>
        <v>431</v>
      </c>
      <c r="D93" s="183">
        <f>SUMPRODUCT(-('Diário 1º PA'!$E$4:$E$2635='Analítico Cx.'!$B93),-('Diário 1º PA'!$P$4:$P$2635=D$1),('Diário 1º PA'!$F$4:$F$2635))+SUMPRODUCT(-('Diário 2º PA'!$E$4:$E$3040='Analítico Cx.'!$B93),-('Diário 2º PA'!$P$4:$P$3040=D$1),('Diário 2º PA'!$F$4:$F$3040))+SUMPRODUCT(-('Diário 3º PA'!$E$4:$E$2731='Analítico Cx.'!$B93),-('Diário 3º PA'!$P$4:$P$2731=D$1),('Diário 3º PA'!$F$4:$F$2731))+SUMPRODUCT(-('Diário 4º PA'!$E$4:$E$2564='Analítico Cx.'!$B93),-('Diário 4º PA'!$P$4:$P$2564=D$1),('Diário 4º PA'!$F$4:$F$2564))</f>
        <v>278.33</v>
      </c>
      <c r="E93" s="183">
        <f>SUMPRODUCT(-('Diário 1º PA'!$E$4:$E$2635='Analítico Cx.'!$B93),-('Diário 1º PA'!$P$4:$P$2635=E$1),('Diário 1º PA'!$F$4:$F$2635))+SUMPRODUCT(-('Diário 2º PA'!$E$4:$E$3040='Analítico Cx.'!$B93),-('Diário 2º PA'!$P$4:$P$3040=E$1),('Diário 2º PA'!$F$4:$F$3040))+SUMPRODUCT(-('Diário 3º PA'!$E$4:$E$2731='Analítico Cx.'!$B93),-('Diário 3º PA'!$P$4:$P$2731=E$1),('Diário 3º PA'!$F$4:$F$2731))+SUMPRODUCT(-('Diário 4º PA'!$E$4:$E$2564='Analítico Cx.'!$B93),-('Diário 4º PA'!$P$4:$P$2564=E$1),('Diário 4º PA'!$F$4:$F$2564))</f>
        <v>268.41000000000003</v>
      </c>
      <c r="F93" s="183">
        <f>SUMPRODUCT(-('Diário 1º PA'!$E$4:$E$2635='Analítico Cx.'!$B93),-('Diário 1º PA'!$P$4:$P$2635=F$1),('Diário 1º PA'!$F$4:$F$2635))+SUMPRODUCT(-('Diário 2º PA'!$E$4:$E$3040='Analítico Cx.'!$B93),-('Diário 2º PA'!$P$4:$P$3040=F$1),('Diário 2º PA'!$F$4:$F$3040))+SUMPRODUCT(-('Diário 3º PA'!$E$4:$E$2731='Analítico Cx.'!$B93),-('Diário 3º PA'!$P$4:$P$2731=F$1),('Diário 3º PA'!$F$4:$F$2731))+SUMPRODUCT(-('Diário 4º PA'!$E$4:$E$2564='Analítico Cx.'!$B93),-('Diário 4º PA'!$P$4:$P$2564=F$1),('Diário 4º PA'!$F$4:$F$2564))</f>
        <v>515.08000000000004</v>
      </c>
      <c r="G93" s="183">
        <f>SUMPRODUCT(-('Diário 1º PA'!$E$4:$E$2635='Analítico Cx.'!$B93),-('Diário 1º PA'!$P$4:$P$2635=G$1),('Diário 1º PA'!$F$4:$F$2635))+SUMPRODUCT(-('Diário 2º PA'!$E$4:$E$3040='Analítico Cx.'!$B93),-('Diário 2º PA'!$P$4:$P$3040=G$1),('Diário 2º PA'!$F$4:$F$3040))+SUMPRODUCT(-('Diário 3º PA'!$E$4:$E$2731='Analítico Cx.'!$B93),-('Diário 3º PA'!$P$4:$P$2731=G$1),('Diário 3º PA'!$F$4:$F$2731))+SUMPRODUCT(-('Diário 4º PA'!$E$4:$E$2564='Analítico Cx.'!$B93),-('Diário 4º PA'!$P$4:$P$2564=G$1),('Diário 4º PA'!$F$4:$F$2564))</f>
        <v>874.38</v>
      </c>
      <c r="H93" s="183">
        <f>SUMPRODUCT(-('Diário 1º PA'!$E$4:$E$2635='Analítico Cx.'!$B93),-('Diário 1º PA'!$P$4:$P$2635=H$1),('Diário 1º PA'!$F$4:$F$2635))+SUMPRODUCT(-('Diário 2º PA'!$E$4:$E$3040='Analítico Cx.'!$B93),-('Diário 2º PA'!$P$4:$P$3040=H$1),('Diário 2º PA'!$F$4:$F$3040))+SUMPRODUCT(-('Diário 3º PA'!$E$4:$E$2731='Analítico Cx.'!$B93),-('Diário 3º PA'!$P$4:$P$2731=H$1),('Diário 3º PA'!$F$4:$F$2731))+SUMPRODUCT(-('Diário 4º PA'!$E$4:$E$2564='Analítico Cx.'!$B93),-('Diário 4º PA'!$P$4:$P$2564=H$1),('Diário 4º PA'!$F$4:$F$2564))</f>
        <v>1160.24</v>
      </c>
      <c r="I93" s="183">
        <f>SUMPRODUCT(-('Diário 1º PA'!$E$4:$E$2635='Analítico Cx.'!$B93),-('Diário 1º PA'!$P$4:$P$2635=I$1),('Diário 1º PA'!$F$4:$F$2635))+SUMPRODUCT(-('Diário 2º PA'!$E$4:$E$3040='Analítico Cx.'!$B93),-('Diário 2º PA'!$P$4:$P$3040=I$1),('Diário 2º PA'!$F$4:$F$3040))+SUMPRODUCT(-('Diário 3º PA'!$E$4:$E$2731='Analítico Cx.'!$B93),-('Diário 3º PA'!$P$4:$P$2731=I$1),('Diário 3º PA'!$F$4:$F$2731))+SUMPRODUCT(-('Diário 4º PA'!$E$4:$E$2564='Analítico Cx.'!$B93),-('Diário 4º PA'!$P$4:$P$2564=I$1),('Diário 4º PA'!$F$4:$F$2564))</f>
        <v>1327.54</v>
      </c>
      <c r="J93" s="183">
        <f>SUMPRODUCT(-('Diário 1º PA'!$E$4:$E$2635='Analítico Cx.'!$B93),-('Diário 1º PA'!$P$4:$P$2635=J$1),('Diário 1º PA'!$F$4:$F$2635))+SUMPRODUCT(-('Diário 2º PA'!$E$4:$E$3040='Analítico Cx.'!$B93),-('Diário 2º PA'!$P$4:$P$3040=J$1),('Diário 2º PA'!$F$4:$F$3040))+SUMPRODUCT(-('Diário 3º PA'!$E$4:$E$2731='Analítico Cx.'!$B93),-('Diário 3º PA'!$P$4:$P$2731=J$1),('Diário 3º PA'!$F$4:$F$2731))+SUMPRODUCT(-('Diário 4º PA'!$E$4:$E$2564='Analítico Cx.'!$B93),-('Diário 4º PA'!$P$4:$P$2564=J$1),('Diário 4º PA'!$F$4:$F$2564))</f>
        <v>1143.22</v>
      </c>
      <c r="K93" s="183">
        <f>SUMPRODUCT(-('Diário 1º PA'!$E$4:$E$2635='Analítico Cx.'!$B93),-('Diário 1º PA'!$P$4:$P$2635=K$1),('Diário 1º PA'!$F$4:$F$2635))+SUMPRODUCT(-('Diário 2º PA'!$E$4:$E$3040='Analítico Cx.'!$B93),-('Diário 2º PA'!$P$4:$P$3040=K$1),('Diário 2º PA'!$F$4:$F$3040))+SUMPRODUCT(-('Diário 3º PA'!$E$4:$E$2731='Analítico Cx.'!$B93),-('Diário 3º PA'!$P$4:$P$2731=K$1),('Diário 3º PA'!$F$4:$F$2731))+SUMPRODUCT(-('Diário 4º PA'!$E$4:$E$2564='Analítico Cx.'!$B93),-('Diário 4º PA'!$P$4:$P$2564=K$1),('Diário 4º PA'!$F$4:$F$2564))</f>
        <v>1495.71</v>
      </c>
      <c r="L93" s="183">
        <f>SUMPRODUCT(-('Diário 1º PA'!$E$4:$E$2635='Analítico Cx.'!$B93),-('Diário 1º PA'!$P$4:$P$2635=L$1),('Diário 1º PA'!$F$4:$F$2635))+SUMPRODUCT(-('Diário 2º PA'!$E$4:$E$3040='Analítico Cx.'!$B93),-('Diário 2º PA'!$P$4:$P$3040=L$1),('Diário 2º PA'!$F$4:$F$3040))+SUMPRODUCT(-('Diário 3º PA'!$E$4:$E$2731='Analítico Cx.'!$B93),-('Diário 3º PA'!$P$4:$P$2731=L$1),('Diário 3º PA'!$F$4:$F$2731))+SUMPRODUCT(-('Diário 4º PA'!$E$4:$E$2564='Analítico Cx.'!$B93),-('Diário 4º PA'!$P$4:$P$2564=L$1),('Diário 4º PA'!$F$4:$F$2564))</f>
        <v>1495.4900000000002</v>
      </c>
      <c r="M93" s="183">
        <f>SUMPRODUCT(-('Diário 1º PA'!$E$4:$E$2635='Analítico Cx.'!$B93),-('Diário 1º PA'!$P$4:$P$2635=M$1),('Diário 1º PA'!$F$4:$F$2635))+SUMPRODUCT(-('Diário 2º PA'!$E$4:$E$3040='Analítico Cx.'!$B93),-('Diário 2º PA'!$P$4:$P$3040=M$1),('Diário 2º PA'!$F$4:$F$3040))+SUMPRODUCT(-('Diário 3º PA'!$E$4:$E$2731='Analítico Cx.'!$B93),-('Diário 3º PA'!$P$4:$P$2731=M$1),('Diário 3º PA'!$F$4:$F$2731))+SUMPRODUCT(-('Diário 4º PA'!$E$4:$E$2564='Analítico Cx.'!$B93),-('Diário 4º PA'!$P$4:$P$2564=M$1),('Diário 4º PA'!$F$4:$F$2564))</f>
        <v>1249.8800000000001</v>
      </c>
      <c r="N93" s="183">
        <f>SUMPRODUCT(-('Diário 1º PA'!$E$4:$E$2635='Analítico Cx.'!$B93),-('Diário 1º PA'!$P$4:$P$2635=N$1),('Diário 1º PA'!$F$4:$F$2635))+SUMPRODUCT(-('Diário 2º PA'!$E$4:$E$3040='Analítico Cx.'!$B93),-('Diário 2º PA'!$P$4:$P$3040=N$1),('Diário 2º PA'!$F$4:$F$3040))+SUMPRODUCT(-('Diário 3º PA'!$E$4:$E$2731='Analítico Cx.'!$B93),-('Diário 3º PA'!$P$4:$P$2731=N$1),('Diário 3º PA'!$F$4:$F$2731))+SUMPRODUCT(-('Diário 4º PA'!$E$4:$E$2564='Analítico Cx.'!$B93),-('Diário 4º PA'!$P$4:$P$2564=N$1),('Diário 4º PA'!$F$4:$F$2564))</f>
        <v>818.06</v>
      </c>
      <c r="O93" s="184">
        <f t="shared" si="16"/>
        <v>11057.340000000002</v>
      </c>
      <c r="P93" s="167">
        <f t="shared" si="17"/>
        <v>8.7093188064251705E-4</v>
      </c>
    </row>
    <row r="94" spans="1:16" ht="23.25" customHeight="1" x14ac:dyDescent="0.2">
      <c r="A94" s="61" t="s">
        <v>192</v>
      </c>
      <c r="B94" s="103" t="s">
        <v>68</v>
      </c>
      <c r="C94" s="183">
        <f>SUMPRODUCT(-('Diário 1º PA'!$E$4:$E$2635='Analítico Cx.'!$B94),-('Diário 1º PA'!$P$4:$P$2635=C$1),('Diário 1º PA'!$F$4:$F$2635))+SUMPRODUCT(-('Diário 2º PA'!$E$4:$E$3040='Analítico Cx.'!$B94),-('Diário 2º PA'!$P$4:$P$3040=C$1),('Diário 2º PA'!$F$4:$F$3040))+SUMPRODUCT(-('Diário 3º PA'!$E$4:$E$2731='Analítico Cx.'!$B94),-('Diário 3º PA'!$P$4:$P$2731=C$1),('Diário 3º PA'!$F$4:$F$2731))+SUMPRODUCT(-('Diário 4º PA'!$E$4:$E$2564='Analítico Cx.'!$B94),-('Diário 4º PA'!$P$4:$P$2564=C$1),('Diário 4º PA'!$F$4:$F$2564))</f>
        <v>0</v>
      </c>
      <c r="D94" s="183">
        <f>SUMPRODUCT(-('Diário 1º PA'!$E$4:$E$2635='Analítico Cx.'!$B94),-('Diário 1º PA'!$P$4:$P$2635=D$1),('Diário 1º PA'!$F$4:$F$2635))+SUMPRODUCT(-('Diário 2º PA'!$E$4:$E$3040='Analítico Cx.'!$B94),-('Diário 2º PA'!$P$4:$P$3040=D$1),('Diário 2º PA'!$F$4:$F$3040))+SUMPRODUCT(-('Diário 3º PA'!$E$4:$E$2731='Analítico Cx.'!$B94),-('Diário 3º PA'!$P$4:$P$2731=D$1),('Diário 3º PA'!$F$4:$F$2731))+SUMPRODUCT(-('Diário 4º PA'!$E$4:$E$2564='Analítico Cx.'!$B94),-('Diário 4º PA'!$P$4:$P$2564=D$1),('Diário 4º PA'!$F$4:$F$2564))</f>
        <v>318.18</v>
      </c>
      <c r="E94" s="183">
        <f>SUMPRODUCT(-('Diário 1º PA'!$E$4:$E$2635='Analítico Cx.'!$B94),-('Diário 1º PA'!$P$4:$P$2635=E$1),('Diário 1º PA'!$F$4:$F$2635))+SUMPRODUCT(-('Diário 2º PA'!$E$4:$E$3040='Analítico Cx.'!$B94),-('Diário 2º PA'!$P$4:$P$3040=E$1),('Diário 2º PA'!$F$4:$F$3040))+SUMPRODUCT(-('Diário 3º PA'!$E$4:$E$2731='Analítico Cx.'!$B94),-('Diário 3º PA'!$P$4:$P$2731=E$1),('Diário 3º PA'!$F$4:$F$2731))+SUMPRODUCT(-('Diário 4º PA'!$E$4:$E$2564='Analítico Cx.'!$B94),-('Diário 4º PA'!$P$4:$P$2564=E$1),('Diário 4º PA'!$F$4:$F$2564))</f>
        <v>400.98</v>
      </c>
      <c r="F94" s="183">
        <f>SUMPRODUCT(-('Diário 1º PA'!$E$4:$E$2635='Analítico Cx.'!$B94),-('Diário 1º PA'!$P$4:$P$2635=F$1),('Diário 1º PA'!$F$4:$F$2635))+SUMPRODUCT(-('Diário 2º PA'!$E$4:$E$3040='Analítico Cx.'!$B94),-('Diário 2º PA'!$P$4:$P$3040=F$1),('Diário 2º PA'!$F$4:$F$3040))+SUMPRODUCT(-('Diário 3º PA'!$E$4:$E$2731='Analítico Cx.'!$B94),-('Diário 3º PA'!$P$4:$P$2731=F$1),('Diário 3º PA'!$F$4:$F$2731))+SUMPRODUCT(-('Diário 4º PA'!$E$4:$E$2564='Analítico Cx.'!$B94),-('Diário 4º PA'!$P$4:$P$2564=F$1),('Diário 4º PA'!$F$4:$F$2564))</f>
        <v>173.77</v>
      </c>
      <c r="G94" s="183">
        <f>SUMPRODUCT(-('Diário 1º PA'!$E$4:$E$2635='Analítico Cx.'!$B94),-('Diário 1º PA'!$P$4:$P$2635=G$1),('Diário 1º PA'!$F$4:$F$2635))+SUMPRODUCT(-('Diário 2º PA'!$E$4:$E$3040='Analítico Cx.'!$B94),-('Diário 2º PA'!$P$4:$P$3040=G$1),('Diário 2º PA'!$F$4:$F$3040))+SUMPRODUCT(-('Diário 3º PA'!$E$4:$E$2731='Analítico Cx.'!$B94),-('Diário 3º PA'!$P$4:$P$2731=G$1),('Diário 3º PA'!$F$4:$F$2731))+SUMPRODUCT(-('Diário 4º PA'!$E$4:$E$2564='Analítico Cx.'!$B94),-('Diário 4º PA'!$P$4:$P$2564=G$1),('Diário 4º PA'!$F$4:$F$2564))</f>
        <v>0</v>
      </c>
      <c r="H94" s="183">
        <f>SUMPRODUCT(-('Diário 1º PA'!$E$4:$E$2635='Analítico Cx.'!$B94),-('Diário 1º PA'!$P$4:$P$2635=H$1),('Diário 1º PA'!$F$4:$F$2635))+SUMPRODUCT(-('Diário 2º PA'!$E$4:$E$3040='Analítico Cx.'!$B94),-('Diário 2º PA'!$P$4:$P$3040=H$1),('Diário 2º PA'!$F$4:$F$3040))+SUMPRODUCT(-('Diário 3º PA'!$E$4:$E$2731='Analítico Cx.'!$B94),-('Diário 3º PA'!$P$4:$P$2731=H$1),('Diário 3º PA'!$F$4:$F$2731))+SUMPRODUCT(-('Diário 4º PA'!$E$4:$E$2564='Analítico Cx.'!$B94),-('Diário 4º PA'!$P$4:$P$2564=H$1),('Diário 4º PA'!$F$4:$F$2564))</f>
        <v>111.41</v>
      </c>
      <c r="I94" s="183">
        <f>SUMPRODUCT(-('Diário 1º PA'!$E$4:$E$2635='Analítico Cx.'!$B94),-('Diário 1º PA'!$P$4:$P$2635=I$1),('Diário 1º PA'!$F$4:$F$2635))+SUMPRODUCT(-('Diário 2º PA'!$E$4:$E$3040='Analítico Cx.'!$B94),-('Diário 2º PA'!$P$4:$P$3040=I$1),('Diário 2º PA'!$F$4:$F$3040))+SUMPRODUCT(-('Diário 3º PA'!$E$4:$E$2731='Analítico Cx.'!$B94),-('Diário 3º PA'!$P$4:$P$2731=I$1),('Diário 3º PA'!$F$4:$F$2731))+SUMPRODUCT(-('Diário 4º PA'!$E$4:$E$2564='Analítico Cx.'!$B94),-('Diário 4º PA'!$P$4:$P$2564=I$1),('Diário 4º PA'!$F$4:$F$2564))</f>
        <v>0</v>
      </c>
      <c r="J94" s="183">
        <f>SUMPRODUCT(-('Diário 1º PA'!$E$4:$E$2635='Analítico Cx.'!$B94),-('Diário 1º PA'!$P$4:$P$2635=J$1),('Diário 1º PA'!$F$4:$F$2635))+SUMPRODUCT(-('Diário 2º PA'!$E$4:$E$3040='Analítico Cx.'!$B94),-('Diário 2º PA'!$P$4:$P$3040=J$1),('Diário 2º PA'!$F$4:$F$3040))+SUMPRODUCT(-('Diário 3º PA'!$E$4:$E$2731='Analítico Cx.'!$B94),-('Diário 3º PA'!$P$4:$P$2731=J$1),('Diário 3º PA'!$F$4:$F$2731))+SUMPRODUCT(-('Diário 4º PA'!$E$4:$E$2564='Analítico Cx.'!$B94),-('Diário 4º PA'!$P$4:$P$2564=J$1),('Diário 4º PA'!$F$4:$F$2564))</f>
        <v>0</v>
      </c>
      <c r="K94" s="183">
        <f>SUMPRODUCT(-('Diário 1º PA'!$E$4:$E$2635='Analítico Cx.'!$B94),-('Diário 1º PA'!$P$4:$P$2635=K$1),('Diário 1º PA'!$F$4:$F$2635))+SUMPRODUCT(-('Diário 2º PA'!$E$4:$E$3040='Analítico Cx.'!$B94),-('Diário 2º PA'!$P$4:$P$3040=K$1),('Diário 2º PA'!$F$4:$F$3040))+SUMPRODUCT(-('Diário 3º PA'!$E$4:$E$2731='Analítico Cx.'!$B94),-('Diário 3º PA'!$P$4:$P$2731=K$1),('Diário 3º PA'!$F$4:$F$2731))+SUMPRODUCT(-('Diário 4º PA'!$E$4:$E$2564='Analítico Cx.'!$B94),-('Diário 4º PA'!$P$4:$P$2564=K$1),('Diário 4º PA'!$F$4:$F$2564))</f>
        <v>0</v>
      </c>
      <c r="L94" s="183">
        <f>SUMPRODUCT(-('Diário 1º PA'!$E$4:$E$2635='Analítico Cx.'!$B94),-('Diário 1º PA'!$P$4:$P$2635=L$1),('Diário 1º PA'!$F$4:$F$2635))+SUMPRODUCT(-('Diário 2º PA'!$E$4:$E$3040='Analítico Cx.'!$B94),-('Diário 2º PA'!$P$4:$P$3040=L$1),('Diário 2º PA'!$F$4:$F$3040))+SUMPRODUCT(-('Diário 3º PA'!$E$4:$E$2731='Analítico Cx.'!$B94),-('Diário 3º PA'!$P$4:$P$2731=L$1),('Diário 3º PA'!$F$4:$F$2731))+SUMPRODUCT(-('Diário 4º PA'!$E$4:$E$2564='Analítico Cx.'!$B94),-('Diário 4º PA'!$P$4:$P$2564=L$1),('Diário 4º PA'!$F$4:$F$2564))</f>
        <v>0</v>
      </c>
      <c r="M94" s="183">
        <f>SUMPRODUCT(-('Diário 1º PA'!$E$4:$E$2635='Analítico Cx.'!$B94),-('Diário 1º PA'!$P$4:$P$2635=M$1),('Diário 1º PA'!$F$4:$F$2635))+SUMPRODUCT(-('Diário 2º PA'!$E$4:$E$3040='Analítico Cx.'!$B94),-('Diário 2º PA'!$P$4:$P$3040=M$1),('Diário 2º PA'!$F$4:$F$3040))+SUMPRODUCT(-('Diário 3º PA'!$E$4:$E$2731='Analítico Cx.'!$B94),-('Diário 3º PA'!$P$4:$P$2731=M$1),('Diário 3º PA'!$F$4:$F$2731))+SUMPRODUCT(-('Diário 4º PA'!$E$4:$E$2564='Analítico Cx.'!$B94),-('Diário 4º PA'!$P$4:$P$2564=M$1),('Diário 4º PA'!$F$4:$F$2564))</f>
        <v>0</v>
      </c>
      <c r="N94" s="183">
        <f>SUMPRODUCT(-('Diário 1º PA'!$E$4:$E$2635='Analítico Cx.'!$B94),-('Diário 1º PA'!$P$4:$P$2635=N$1),('Diário 1º PA'!$F$4:$F$2635))+SUMPRODUCT(-('Diário 2º PA'!$E$4:$E$3040='Analítico Cx.'!$B94),-('Diário 2º PA'!$P$4:$P$3040=N$1),('Diário 2º PA'!$F$4:$F$3040))+SUMPRODUCT(-('Diário 3º PA'!$E$4:$E$2731='Analítico Cx.'!$B94),-('Diário 3º PA'!$P$4:$P$2731=N$1),('Diário 3º PA'!$F$4:$F$2731))+SUMPRODUCT(-('Diário 4º PA'!$E$4:$E$2564='Analítico Cx.'!$B94),-('Diário 4º PA'!$P$4:$P$2564=N$1),('Diário 4º PA'!$F$4:$F$2564))</f>
        <v>200.26</v>
      </c>
      <c r="O94" s="184">
        <f t="shared" si="16"/>
        <v>1204.5999999999999</v>
      </c>
      <c r="P94" s="167">
        <f t="shared" si="17"/>
        <v>9.4880372985001432E-5</v>
      </c>
    </row>
    <row r="95" spans="1:16" ht="23.25" customHeight="1" x14ac:dyDescent="0.2">
      <c r="A95" s="61" t="s">
        <v>193</v>
      </c>
      <c r="B95" s="103" t="s">
        <v>78</v>
      </c>
      <c r="C95" s="183">
        <f>SUMPRODUCT(-('Diário 1º PA'!$E$4:$E$2635='Analítico Cx.'!$B95),-('Diário 1º PA'!$P$4:$P$2635=C$1),('Diário 1º PA'!$F$4:$F$2635))+SUMPRODUCT(-('Diário 2º PA'!$E$4:$E$3040='Analítico Cx.'!$B95),-('Diário 2º PA'!$P$4:$P$3040=C$1),('Diário 2º PA'!$F$4:$F$3040))+SUMPRODUCT(-('Diário 3º PA'!$E$4:$E$2731='Analítico Cx.'!$B95),-('Diário 3º PA'!$P$4:$P$2731=C$1),('Diário 3º PA'!$F$4:$F$2731))+SUMPRODUCT(-('Diário 4º PA'!$E$4:$E$2564='Analítico Cx.'!$B95),-('Diário 4º PA'!$P$4:$P$2564=C$1),('Diário 4º PA'!$F$4:$F$2564))</f>
        <v>1285.75</v>
      </c>
      <c r="D95" s="183">
        <f>SUMPRODUCT(-('Diário 1º PA'!$E$4:$E$2635='Analítico Cx.'!$B95),-('Diário 1º PA'!$P$4:$P$2635=D$1),('Diário 1º PA'!$F$4:$F$2635))+SUMPRODUCT(-('Diário 2º PA'!$E$4:$E$3040='Analítico Cx.'!$B95),-('Diário 2º PA'!$P$4:$P$3040=D$1),('Diário 2º PA'!$F$4:$F$3040))+SUMPRODUCT(-('Diário 3º PA'!$E$4:$E$2731='Analítico Cx.'!$B95),-('Diário 3º PA'!$P$4:$P$2731=D$1),('Diário 3º PA'!$F$4:$F$2731))+SUMPRODUCT(-('Diário 4º PA'!$E$4:$E$2564='Analítico Cx.'!$B95),-('Diário 4º PA'!$P$4:$P$2564=D$1),('Diário 4º PA'!$F$4:$F$2564))</f>
        <v>725.25</v>
      </c>
      <c r="E95" s="183">
        <f>SUMPRODUCT(-('Diário 1º PA'!$E$4:$E$2635='Analítico Cx.'!$B95),-('Diário 1º PA'!$P$4:$P$2635=E$1),('Diário 1º PA'!$F$4:$F$2635))+SUMPRODUCT(-('Diário 2º PA'!$E$4:$E$3040='Analítico Cx.'!$B95),-('Diário 2º PA'!$P$4:$P$3040=E$1),('Diário 2º PA'!$F$4:$F$3040))+SUMPRODUCT(-('Diário 3º PA'!$E$4:$E$2731='Analítico Cx.'!$B95),-('Diário 3º PA'!$P$4:$P$2731=E$1),('Diário 3º PA'!$F$4:$F$2731))+SUMPRODUCT(-('Diário 4º PA'!$E$4:$E$2564='Analítico Cx.'!$B95),-('Diário 4º PA'!$P$4:$P$2564=E$1),('Diário 4º PA'!$F$4:$F$2564))</f>
        <v>571.44000000000005</v>
      </c>
      <c r="F95" s="183">
        <f>SUMPRODUCT(-('Diário 1º PA'!$E$4:$E$2635='Analítico Cx.'!$B95),-('Diário 1º PA'!$P$4:$P$2635=F$1),('Diário 1º PA'!$F$4:$F$2635))+SUMPRODUCT(-('Diário 2º PA'!$E$4:$E$3040='Analítico Cx.'!$B95),-('Diário 2º PA'!$P$4:$P$3040=F$1),('Diário 2º PA'!$F$4:$F$3040))+SUMPRODUCT(-('Diário 3º PA'!$E$4:$E$2731='Analítico Cx.'!$B95),-('Diário 3º PA'!$P$4:$P$2731=F$1),('Diário 3º PA'!$F$4:$F$2731))+SUMPRODUCT(-('Diário 4º PA'!$E$4:$E$2564='Analítico Cx.'!$B95),-('Diário 4º PA'!$P$4:$P$2564=F$1),('Diário 4º PA'!$F$4:$F$2564))</f>
        <v>1185.49</v>
      </c>
      <c r="G95" s="183">
        <f>SUMPRODUCT(-('Diário 1º PA'!$E$4:$E$2635='Analítico Cx.'!$B95),-('Diário 1º PA'!$P$4:$P$2635=G$1),('Diário 1º PA'!$F$4:$F$2635))+SUMPRODUCT(-('Diário 2º PA'!$E$4:$E$3040='Analítico Cx.'!$B95),-('Diário 2º PA'!$P$4:$P$3040=G$1),('Diário 2º PA'!$F$4:$F$3040))+SUMPRODUCT(-('Diário 3º PA'!$E$4:$E$2731='Analítico Cx.'!$B95),-('Diário 3º PA'!$P$4:$P$2731=G$1),('Diário 3º PA'!$F$4:$F$2731))+SUMPRODUCT(-('Diário 4º PA'!$E$4:$E$2564='Analítico Cx.'!$B95),-('Diário 4º PA'!$P$4:$P$2564=G$1),('Diário 4º PA'!$F$4:$F$2564))</f>
        <v>9941.91</v>
      </c>
      <c r="H95" s="183">
        <f>SUMPRODUCT(-('Diário 1º PA'!$E$4:$E$2635='Analítico Cx.'!$B95),-('Diário 1º PA'!$P$4:$P$2635=H$1),('Diário 1º PA'!$F$4:$F$2635))+SUMPRODUCT(-('Diário 2º PA'!$E$4:$E$3040='Analítico Cx.'!$B95),-('Diário 2º PA'!$P$4:$P$3040=H$1),('Diário 2º PA'!$F$4:$F$3040))+SUMPRODUCT(-('Diário 3º PA'!$E$4:$E$2731='Analítico Cx.'!$B95),-('Diário 3º PA'!$P$4:$P$2731=H$1),('Diário 3º PA'!$F$4:$F$2731))+SUMPRODUCT(-('Diário 4º PA'!$E$4:$E$2564='Analítico Cx.'!$B95),-('Diário 4º PA'!$P$4:$P$2564=H$1),('Diário 4º PA'!$F$4:$F$2564))</f>
        <v>827.15</v>
      </c>
      <c r="I95" s="183">
        <f>SUMPRODUCT(-('Diário 1º PA'!$E$4:$E$2635='Analítico Cx.'!$B95),-('Diário 1º PA'!$P$4:$P$2635=I$1),('Diário 1º PA'!$F$4:$F$2635))+SUMPRODUCT(-('Diário 2º PA'!$E$4:$E$3040='Analítico Cx.'!$B95),-('Diário 2º PA'!$P$4:$P$3040=I$1),('Diário 2º PA'!$F$4:$F$3040))+SUMPRODUCT(-('Diário 3º PA'!$E$4:$E$2731='Analítico Cx.'!$B95),-('Diário 3º PA'!$P$4:$P$2731=I$1),('Diário 3º PA'!$F$4:$F$2731))+SUMPRODUCT(-('Diário 4º PA'!$E$4:$E$2564='Analítico Cx.'!$B95),-('Diário 4º PA'!$P$4:$P$2564=I$1),('Diário 4º PA'!$F$4:$F$2564))</f>
        <v>2099.39</v>
      </c>
      <c r="J95" s="183">
        <f>SUMPRODUCT(-('Diário 1º PA'!$E$4:$E$2635='Analítico Cx.'!$B95),-('Diário 1º PA'!$P$4:$P$2635=J$1),('Diário 1º PA'!$F$4:$F$2635))+SUMPRODUCT(-('Diário 2º PA'!$E$4:$E$3040='Analítico Cx.'!$B95),-('Diário 2º PA'!$P$4:$P$3040=J$1),('Diário 2º PA'!$F$4:$F$3040))+SUMPRODUCT(-('Diário 3º PA'!$E$4:$E$2731='Analítico Cx.'!$B95),-('Diário 3º PA'!$P$4:$P$2731=J$1),('Diário 3º PA'!$F$4:$F$2731))+SUMPRODUCT(-('Diário 4º PA'!$E$4:$E$2564='Analítico Cx.'!$B95),-('Diário 4º PA'!$P$4:$P$2564=J$1),('Diário 4º PA'!$F$4:$F$2564))</f>
        <v>4295.07</v>
      </c>
      <c r="K95" s="183">
        <f>SUMPRODUCT(-('Diário 1º PA'!$E$4:$E$2635='Analítico Cx.'!$B95),-('Diário 1º PA'!$P$4:$P$2635=K$1),('Diário 1º PA'!$F$4:$F$2635))+SUMPRODUCT(-('Diário 2º PA'!$E$4:$E$3040='Analítico Cx.'!$B95),-('Diário 2º PA'!$P$4:$P$3040=K$1),('Diário 2º PA'!$F$4:$F$3040))+SUMPRODUCT(-('Diário 3º PA'!$E$4:$E$2731='Analítico Cx.'!$B95),-('Diário 3º PA'!$P$4:$P$2731=K$1),('Diário 3º PA'!$F$4:$F$2731))+SUMPRODUCT(-('Diário 4º PA'!$E$4:$E$2564='Analítico Cx.'!$B95),-('Diário 4º PA'!$P$4:$P$2564=K$1),('Diário 4º PA'!$F$4:$F$2564))</f>
        <v>3646.16</v>
      </c>
      <c r="L95" s="183">
        <f>SUMPRODUCT(-('Diário 1º PA'!$E$4:$E$2635='Analítico Cx.'!$B95),-('Diário 1º PA'!$P$4:$P$2635=L$1),('Diário 1º PA'!$F$4:$F$2635))+SUMPRODUCT(-('Diário 2º PA'!$E$4:$E$3040='Analítico Cx.'!$B95),-('Diário 2º PA'!$P$4:$P$3040=L$1),('Diário 2º PA'!$F$4:$F$3040))+SUMPRODUCT(-('Diário 3º PA'!$E$4:$E$2731='Analítico Cx.'!$B95),-('Diário 3º PA'!$P$4:$P$2731=L$1),('Diário 3º PA'!$F$4:$F$2731))+SUMPRODUCT(-('Diário 4º PA'!$E$4:$E$2564='Analítico Cx.'!$B95),-('Diário 4º PA'!$P$4:$P$2564=L$1),('Diário 4º PA'!$F$4:$F$2564))</f>
        <v>2883.27</v>
      </c>
      <c r="M95" s="183">
        <f>SUMPRODUCT(-('Diário 1º PA'!$E$4:$E$2635='Analítico Cx.'!$B95),-('Diário 1º PA'!$P$4:$P$2635=M$1),('Diário 1º PA'!$F$4:$F$2635))+SUMPRODUCT(-('Diário 2º PA'!$E$4:$E$3040='Analítico Cx.'!$B95),-('Diário 2º PA'!$P$4:$P$3040=M$1),('Diário 2º PA'!$F$4:$F$3040))+SUMPRODUCT(-('Diário 3º PA'!$E$4:$E$2731='Analítico Cx.'!$B95),-('Diário 3º PA'!$P$4:$P$2731=M$1),('Diário 3º PA'!$F$4:$F$2731))+SUMPRODUCT(-('Diário 4º PA'!$E$4:$E$2564='Analítico Cx.'!$B95),-('Diário 4º PA'!$P$4:$P$2564=M$1),('Diário 4º PA'!$F$4:$F$2564))</f>
        <v>18037.740000000002</v>
      </c>
      <c r="N95" s="183">
        <f>SUMPRODUCT(-('Diário 1º PA'!$E$4:$E$2635='Analítico Cx.'!$B95),-('Diário 1º PA'!$P$4:$P$2635=N$1),('Diário 1º PA'!$F$4:$F$2635))+SUMPRODUCT(-('Diário 2º PA'!$E$4:$E$3040='Analítico Cx.'!$B95),-('Diário 2º PA'!$P$4:$P$3040=N$1),('Diário 2º PA'!$F$4:$F$3040))+SUMPRODUCT(-('Diário 3º PA'!$E$4:$E$2731='Analítico Cx.'!$B95),-('Diário 3º PA'!$P$4:$P$2731=N$1),('Diário 3º PA'!$F$4:$F$2731))+SUMPRODUCT(-('Diário 4º PA'!$E$4:$E$2564='Analítico Cx.'!$B95),-('Diário 4º PA'!$P$4:$P$2564=N$1),('Diário 4º PA'!$F$4:$F$2564))</f>
        <v>1502.19</v>
      </c>
      <c r="O95" s="184">
        <f t="shared" si="16"/>
        <v>47000.810000000005</v>
      </c>
      <c r="P95" s="167">
        <f t="shared" si="17"/>
        <v>3.7020209060245612E-3</v>
      </c>
    </row>
    <row r="96" spans="1:16" ht="23.25" customHeight="1" x14ac:dyDescent="0.2">
      <c r="A96" s="61" t="s">
        <v>194</v>
      </c>
      <c r="B96" s="103" t="s">
        <v>70</v>
      </c>
      <c r="C96" s="183">
        <f>SUMPRODUCT(-('Diário 1º PA'!$E$4:$E$2635='Analítico Cx.'!$B96),-('Diário 1º PA'!$P$4:$P$2635=C$1),('Diário 1º PA'!$F$4:$F$2635))+SUMPRODUCT(-('Diário 2º PA'!$E$4:$E$3040='Analítico Cx.'!$B96),-('Diário 2º PA'!$P$4:$P$3040=C$1),('Diário 2º PA'!$F$4:$F$3040))+SUMPRODUCT(-('Diário 3º PA'!$E$4:$E$2731='Analítico Cx.'!$B96),-('Diário 3º PA'!$P$4:$P$2731=C$1),('Diário 3º PA'!$F$4:$F$2731))+SUMPRODUCT(-('Diário 4º PA'!$E$4:$E$2564='Analítico Cx.'!$B96),-('Diário 4º PA'!$P$4:$P$2564=C$1),('Diário 4º PA'!$F$4:$F$2564))</f>
        <v>0</v>
      </c>
      <c r="D96" s="183">
        <f>SUMPRODUCT(-('Diário 1º PA'!$E$4:$E$2635='Analítico Cx.'!$B96),-('Diário 1º PA'!$P$4:$P$2635=D$1),('Diário 1º PA'!$F$4:$F$2635))+SUMPRODUCT(-('Diário 2º PA'!$E$4:$E$3040='Analítico Cx.'!$B96),-('Diário 2º PA'!$P$4:$P$3040=D$1),('Diário 2º PA'!$F$4:$F$3040))+SUMPRODUCT(-('Diário 3º PA'!$E$4:$E$2731='Analítico Cx.'!$B96),-('Diário 3º PA'!$P$4:$P$2731=D$1),('Diário 3º PA'!$F$4:$F$2731))+SUMPRODUCT(-('Diário 4º PA'!$E$4:$E$2564='Analítico Cx.'!$B96),-('Diário 4º PA'!$P$4:$P$2564=D$1),('Diário 4º PA'!$F$4:$F$2564))</f>
        <v>0</v>
      </c>
      <c r="E96" s="183">
        <f>SUMPRODUCT(-('Diário 1º PA'!$E$4:$E$2635='Analítico Cx.'!$B96),-('Diário 1º PA'!$P$4:$P$2635=E$1),('Diário 1º PA'!$F$4:$F$2635))+SUMPRODUCT(-('Diário 2º PA'!$E$4:$E$3040='Analítico Cx.'!$B96),-('Diário 2º PA'!$P$4:$P$3040=E$1),('Diário 2º PA'!$F$4:$F$3040))+SUMPRODUCT(-('Diário 3º PA'!$E$4:$E$2731='Analítico Cx.'!$B96),-('Diário 3º PA'!$P$4:$P$2731=E$1),('Diário 3º PA'!$F$4:$F$2731))+SUMPRODUCT(-('Diário 4º PA'!$E$4:$E$2564='Analítico Cx.'!$B96),-('Diário 4º PA'!$P$4:$P$2564=E$1),('Diário 4º PA'!$F$4:$F$2564))</f>
        <v>0</v>
      </c>
      <c r="F96" s="183">
        <f>SUMPRODUCT(-('Diário 1º PA'!$E$4:$E$2635='Analítico Cx.'!$B96),-('Diário 1º PA'!$P$4:$P$2635=F$1),('Diário 1º PA'!$F$4:$F$2635))+SUMPRODUCT(-('Diário 2º PA'!$E$4:$E$3040='Analítico Cx.'!$B96),-('Diário 2º PA'!$P$4:$P$3040=F$1),('Diário 2º PA'!$F$4:$F$3040))+SUMPRODUCT(-('Diário 3º PA'!$E$4:$E$2731='Analítico Cx.'!$B96),-('Diário 3º PA'!$P$4:$P$2731=F$1),('Diário 3º PA'!$F$4:$F$2731))+SUMPRODUCT(-('Diário 4º PA'!$E$4:$E$2564='Analítico Cx.'!$B96),-('Diário 4º PA'!$P$4:$P$2564=F$1),('Diário 4º PA'!$F$4:$F$2564))</f>
        <v>0</v>
      </c>
      <c r="G96" s="183">
        <f>SUMPRODUCT(-('Diário 1º PA'!$E$4:$E$2635='Analítico Cx.'!$B96),-('Diário 1º PA'!$P$4:$P$2635=G$1),('Diário 1º PA'!$F$4:$F$2635))+SUMPRODUCT(-('Diário 2º PA'!$E$4:$E$3040='Analítico Cx.'!$B96),-('Diário 2º PA'!$P$4:$P$3040=G$1),('Diário 2º PA'!$F$4:$F$3040))+SUMPRODUCT(-('Diário 3º PA'!$E$4:$E$2731='Analítico Cx.'!$B96),-('Diário 3º PA'!$P$4:$P$2731=G$1),('Diário 3º PA'!$F$4:$F$2731))+SUMPRODUCT(-('Diário 4º PA'!$E$4:$E$2564='Analítico Cx.'!$B96),-('Diário 4º PA'!$P$4:$P$2564=G$1),('Diário 4º PA'!$F$4:$F$2564))</f>
        <v>0</v>
      </c>
      <c r="H96" s="183">
        <f>SUMPRODUCT(-('Diário 1º PA'!$E$4:$E$2635='Analítico Cx.'!$B96),-('Diário 1º PA'!$P$4:$P$2635=H$1),('Diário 1º PA'!$F$4:$F$2635))+SUMPRODUCT(-('Diário 2º PA'!$E$4:$E$3040='Analítico Cx.'!$B96),-('Diário 2º PA'!$P$4:$P$3040=H$1),('Diário 2º PA'!$F$4:$F$3040))+SUMPRODUCT(-('Diário 3º PA'!$E$4:$E$2731='Analítico Cx.'!$B96),-('Diário 3º PA'!$P$4:$P$2731=H$1),('Diário 3º PA'!$F$4:$F$2731))+SUMPRODUCT(-('Diário 4º PA'!$E$4:$E$2564='Analítico Cx.'!$B96),-('Diário 4º PA'!$P$4:$P$2564=H$1),('Diário 4º PA'!$F$4:$F$2564))</f>
        <v>0</v>
      </c>
      <c r="I96" s="183">
        <f>SUMPRODUCT(-('Diário 1º PA'!$E$4:$E$2635='Analítico Cx.'!$B96),-('Diário 1º PA'!$P$4:$P$2635=I$1),('Diário 1º PA'!$F$4:$F$2635))+SUMPRODUCT(-('Diário 2º PA'!$E$4:$E$3040='Analítico Cx.'!$B96),-('Diário 2º PA'!$P$4:$P$3040=I$1),('Diário 2º PA'!$F$4:$F$3040))+SUMPRODUCT(-('Diário 3º PA'!$E$4:$E$2731='Analítico Cx.'!$B96),-('Diário 3º PA'!$P$4:$P$2731=I$1),('Diário 3º PA'!$F$4:$F$2731))+SUMPRODUCT(-('Diário 4º PA'!$E$4:$E$2564='Analítico Cx.'!$B96),-('Diário 4º PA'!$P$4:$P$2564=I$1),('Diário 4º PA'!$F$4:$F$2564))</f>
        <v>0</v>
      </c>
      <c r="J96" s="183">
        <f>SUMPRODUCT(-('Diário 1º PA'!$E$4:$E$2635='Analítico Cx.'!$B96),-('Diário 1º PA'!$P$4:$P$2635=J$1),('Diário 1º PA'!$F$4:$F$2635))+SUMPRODUCT(-('Diário 2º PA'!$E$4:$E$3040='Analítico Cx.'!$B96),-('Diário 2º PA'!$P$4:$P$3040=J$1),('Diário 2º PA'!$F$4:$F$3040))+SUMPRODUCT(-('Diário 3º PA'!$E$4:$E$2731='Analítico Cx.'!$B96),-('Diário 3º PA'!$P$4:$P$2731=J$1),('Diário 3º PA'!$F$4:$F$2731))+SUMPRODUCT(-('Diário 4º PA'!$E$4:$E$2564='Analítico Cx.'!$B96),-('Diário 4º PA'!$P$4:$P$2564=J$1),('Diário 4º PA'!$F$4:$F$2564))</f>
        <v>0</v>
      </c>
      <c r="K96" s="183">
        <f>SUMPRODUCT(-('Diário 1º PA'!$E$4:$E$2635='Analítico Cx.'!$B96),-('Diário 1º PA'!$P$4:$P$2635=K$1),('Diário 1º PA'!$F$4:$F$2635))+SUMPRODUCT(-('Diário 2º PA'!$E$4:$E$3040='Analítico Cx.'!$B96),-('Diário 2º PA'!$P$4:$P$3040=K$1),('Diário 2º PA'!$F$4:$F$3040))+SUMPRODUCT(-('Diário 3º PA'!$E$4:$E$2731='Analítico Cx.'!$B96),-('Diário 3º PA'!$P$4:$P$2731=K$1),('Diário 3º PA'!$F$4:$F$2731))+SUMPRODUCT(-('Diário 4º PA'!$E$4:$E$2564='Analítico Cx.'!$B96),-('Diário 4º PA'!$P$4:$P$2564=K$1),('Diário 4º PA'!$F$4:$F$2564))</f>
        <v>0</v>
      </c>
      <c r="L96" s="183">
        <f>SUMPRODUCT(-('Diário 1º PA'!$E$4:$E$2635='Analítico Cx.'!$B96),-('Diário 1º PA'!$P$4:$P$2635=L$1),('Diário 1º PA'!$F$4:$F$2635))+SUMPRODUCT(-('Diário 2º PA'!$E$4:$E$3040='Analítico Cx.'!$B96),-('Diário 2º PA'!$P$4:$P$3040=L$1),('Diário 2º PA'!$F$4:$F$3040))+SUMPRODUCT(-('Diário 3º PA'!$E$4:$E$2731='Analítico Cx.'!$B96),-('Diário 3º PA'!$P$4:$P$2731=L$1),('Diário 3º PA'!$F$4:$F$2731))+SUMPRODUCT(-('Diário 4º PA'!$E$4:$E$2564='Analítico Cx.'!$B96),-('Diário 4º PA'!$P$4:$P$2564=L$1),('Diário 4º PA'!$F$4:$F$2564))</f>
        <v>0</v>
      </c>
      <c r="M96" s="183">
        <f>SUMPRODUCT(-('Diário 1º PA'!$E$4:$E$2635='Analítico Cx.'!$B96),-('Diário 1º PA'!$P$4:$P$2635=M$1),('Diário 1º PA'!$F$4:$F$2635))+SUMPRODUCT(-('Diário 2º PA'!$E$4:$E$3040='Analítico Cx.'!$B96),-('Diário 2º PA'!$P$4:$P$3040=M$1),('Diário 2º PA'!$F$4:$F$3040))+SUMPRODUCT(-('Diário 3º PA'!$E$4:$E$2731='Analítico Cx.'!$B96),-('Diário 3º PA'!$P$4:$P$2731=M$1),('Diário 3º PA'!$F$4:$F$2731))+SUMPRODUCT(-('Diário 4º PA'!$E$4:$E$2564='Analítico Cx.'!$B96),-('Diário 4º PA'!$P$4:$P$2564=M$1),('Diário 4º PA'!$F$4:$F$2564))</f>
        <v>0</v>
      </c>
      <c r="N96" s="183">
        <f>SUMPRODUCT(-('Diário 1º PA'!$E$4:$E$2635='Analítico Cx.'!$B96),-('Diário 1º PA'!$P$4:$P$2635=N$1),('Diário 1º PA'!$F$4:$F$2635))+SUMPRODUCT(-('Diário 2º PA'!$E$4:$E$3040='Analítico Cx.'!$B96),-('Diário 2º PA'!$P$4:$P$3040=N$1),('Diário 2º PA'!$F$4:$F$3040))+SUMPRODUCT(-('Diário 3º PA'!$E$4:$E$2731='Analítico Cx.'!$B96),-('Diário 3º PA'!$P$4:$P$2731=N$1),('Diário 3º PA'!$F$4:$F$2731))+SUMPRODUCT(-('Diário 4º PA'!$E$4:$E$2564='Analítico Cx.'!$B96),-('Diário 4º PA'!$P$4:$P$2564=N$1),('Diário 4º PA'!$F$4:$F$2564))</f>
        <v>0</v>
      </c>
      <c r="O96" s="184">
        <f t="shared" si="16"/>
        <v>0</v>
      </c>
      <c r="P96" s="167">
        <f t="shared" si="17"/>
        <v>0</v>
      </c>
    </row>
    <row r="97" spans="1:16" ht="23.25" customHeight="1" x14ac:dyDescent="0.2">
      <c r="A97" s="61" t="s">
        <v>195</v>
      </c>
      <c r="B97" s="103" t="s">
        <v>141</v>
      </c>
      <c r="C97" s="183">
        <f>SUMPRODUCT(-('Diário 1º PA'!$E$4:$E$2635='Analítico Cx.'!$B97),-('Diário 1º PA'!$P$4:$P$2635=C$1),('Diário 1º PA'!$F$4:$F$2635))+SUMPRODUCT(-('Diário 2º PA'!$E$4:$E$3040='Analítico Cx.'!$B97),-('Diário 2º PA'!$P$4:$P$3040=C$1),('Diário 2º PA'!$F$4:$F$3040))+SUMPRODUCT(-('Diário 3º PA'!$E$4:$E$2731='Analítico Cx.'!$B97),-('Diário 3º PA'!$P$4:$P$2731=C$1),('Diário 3º PA'!$F$4:$F$2731))+SUMPRODUCT(-('Diário 4º PA'!$E$4:$E$2564='Analítico Cx.'!$B97),-('Diário 4º PA'!$P$4:$P$2564=C$1),('Diário 4º PA'!$F$4:$F$2564))</f>
        <v>255.2</v>
      </c>
      <c r="D97" s="183">
        <f>SUMPRODUCT(-('Diário 1º PA'!$E$4:$E$2635='Analítico Cx.'!$B97),-('Diário 1º PA'!$P$4:$P$2635=D$1),('Diário 1º PA'!$F$4:$F$2635))+SUMPRODUCT(-('Diário 2º PA'!$E$4:$E$3040='Analítico Cx.'!$B97),-('Diário 2º PA'!$P$4:$P$3040=D$1),('Diário 2º PA'!$F$4:$F$3040))+SUMPRODUCT(-('Diário 3º PA'!$E$4:$E$2731='Analítico Cx.'!$B97),-('Diário 3º PA'!$P$4:$P$2731=D$1),('Diário 3º PA'!$F$4:$F$2731))+SUMPRODUCT(-('Diário 4º PA'!$E$4:$E$2564='Analítico Cx.'!$B97),-('Diário 4º PA'!$P$4:$P$2564=D$1),('Diário 4º PA'!$F$4:$F$2564))</f>
        <v>584.1</v>
      </c>
      <c r="E97" s="183">
        <f>SUMPRODUCT(-('Diário 1º PA'!$E$4:$E$2635='Analítico Cx.'!$B97),-('Diário 1º PA'!$P$4:$P$2635=E$1),('Diário 1º PA'!$F$4:$F$2635))+SUMPRODUCT(-('Diário 2º PA'!$E$4:$E$3040='Analítico Cx.'!$B97),-('Diário 2º PA'!$P$4:$P$3040=E$1),('Diário 2º PA'!$F$4:$F$3040))+SUMPRODUCT(-('Diário 3º PA'!$E$4:$E$2731='Analítico Cx.'!$B97),-('Diário 3º PA'!$P$4:$P$2731=E$1),('Diário 3º PA'!$F$4:$F$2731))+SUMPRODUCT(-('Diário 4º PA'!$E$4:$E$2564='Analítico Cx.'!$B97),-('Diário 4º PA'!$P$4:$P$2564=E$1),('Diário 4º PA'!$F$4:$F$2564))</f>
        <v>972.25</v>
      </c>
      <c r="F97" s="183">
        <f>SUMPRODUCT(-('Diário 1º PA'!$E$4:$E$2635='Analítico Cx.'!$B97),-('Diário 1º PA'!$P$4:$P$2635=F$1),('Diário 1º PA'!$F$4:$F$2635))+SUMPRODUCT(-('Diário 2º PA'!$E$4:$E$3040='Analítico Cx.'!$B97),-('Diário 2º PA'!$P$4:$P$3040=F$1),('Diário 2º PA'!$F$4:$F$3040))+SUMPRODUCT(-('Diário 3º PA'!$E$4:$E$2731='Analítico Cx.'!$B97),-('Diário 3º PA'!$P$4:$P$2731=F$1),('Diário 3º PA'!$F$4:$F$2731))+SUMPRODUCT(-('Diário 4º PA'!$E$4:$E$2564='Analítico Cx.'!$B97),-('Diário 4º PA'!$P$4:$P$2564=F$1),('Diário 4º PA'!$F$4:$F$2564))</f>
        <v>0</v>
      </c>
      <c r="G97" s="183">
        <f>SUMPRODUCT(-('Diário 1º PA'!$E$4:$E$2635='Analítico Cx.'!$B97),-('Diário 1º PA'!$P$4:$P$2635=G$1),('Diário 1º PA'!$F$4:$F$2635))+SUMPRODUCT(-('Diário 2º PA'!$E$4:$E$3040='Analítico Cx.'!$B97),-('Diário 2º PA'!$P$4:$P$3040=G$1),('Diário 2º PA'!$F$4:$F$3040))+SUMPRODUCT(-('Diário 3º PA'!$E$4:$E$2731='Analítico Cx.'!$B97),-('Diário 3º PA'!$P$4:$P$2731=G$1),('Diário 3º PA'!$F$4:$F$2731))+SUMPRODUCT(-('Diário 4º PA'!$E$4:$E$2564='Analítico Cx.'!$B97),-('Diário 4º PA'!$P$4:$P$2564=G$1),('Diário 4º PA'!$F$4:$F$2564))</f>
        <v>1100</v>
      </c>
      <c r="H97" s="183">
        <f>SUMPRODUCT(-('Diário 1º PA'!$E$4:$E$2635='Analítico Cx.'!$B97),-('Diário 1º PA'!$P$4:$P$2635=H$1),('Diário 1º PA'!$F$4:$F$2635))+SUMPRODUCT(-('Diário 2º PA'!$E$4:$E$3040='Analítico Cx.'!$B97),-('Diário 2º PA'!$P$4:$P$3040=H$1),('Diário 2º PA'!$F$4:$F$3040))+SUMPRODUCT(-('Diário 3º PA'!$E$4:$E$2731='Analítico Cx.'!$B97),-('Diário 3º PA'!$P$4:$P$2731=H$1),('Diário 3º PA'!$F$4:$F$2731))+SUMPRODUCT(-('Diário 4º PA'!$E$4:$E$2564='Analítico Cx.'!$B97),-('Diário 4º PA'!$P$4:$P$2564=H$1),('Diário 4º PA'!$F$4:$F$2564))</f>
        <v>999.9</v>
      </c>
      <c r="I97" s="183">
        <f>SUMPRODUCT(-('Diário 1º PA'!$E$4:$E$2635='Analítico Cx.'!$B97),-('Diário 1º PA'!$P$4:$P$2635=I$1),('Diário 1º PA'!$F$4:$F$2635))+SUMPRODUCT(-('Diário 2º PA'!$E$4:$E$3040='Analítico Cx.'!$B97),-('Diário 2º PA'!$P$4:$P$3040=I$1),('Diário 2º PA'!$F$4:$F$3040))+SUMPRODUCT(-('Diário 3º PA'!$E$4:$E$2731='Analítico Cx.'!$B97),-('Diário 3º PA'!$P$4:$P$2731=I$1),('Diário 3º PA'!$F$4:$F$2731))+SUMPRODUCT(-('Diário 4º PA'!$E$4:$E$2564='Analítico Cx.'!$B97),-('Diário 4º PA'!$P$4:$P$2564=I$1),('Diário 4º PA'!$F$4:$F$2564))</f>
        <v>0</v>
      </c>
      <c r="J97" s="183">
        <f>SUMPRODUCT(-('Diário 1º PA'!$E$4:$E$2635='Analítico Cx.'!$B97),-('Diário 1º PA'!$P$4:$P$2635=J$1),('Diário 1º PA'!$F$4:$F$2635))+SUMPRODUCT(-('Diário 2º PA'!$E$4:$E$3040='Analítico Cx.'!$B97),-('Diário 2º PA'!$P$4:$P$3040=J$1),('Diário 2º PA'!$F$4:$F$3040))+SUMPRODUCT(-('Diário 3º PA'!$E$4:$E$2731='Analítico Cx.'!$B97),-('Diário 3º PA'!$P$4:$P$2731=J$1),('Diário 3º PA'!$F$4:$F$2731))+SUMPRODUCT(-('Diário 4º PA'!$E$4:$E$2564='Analítico Cx.'!$B97),-('Diário 4º PA'!$P$4:$P$2564=J$1),('Diário 4º PA'!$F$4:$F$2564))</f>
        <v>0</v>
      </c>
      <c r="K97" s="183">
        <f>SUMPRODUCT(-('Diário 1º PA'!$E$4:$E$2635='Analítico Cx.'!$B97),-('Diário 1º PA'!$P$4:$P$2635=K$1),('Diário 1º PA'!$F$4:$F$2635))+SUMPRODUCT(-('Diário 2º PA'!$E$4:$E$3040='Analítico Cx.'!$B97),-('Diário 2º PA'!$P$4:$P$3040=K$1),('Diário 2º PA'!$F$4:$F$3040))+SUMPRODUCT(-('Diário 3º PA'!$E$4:$E$2731='Analítico Cx.'!$B97),-('Diário 3º PA'!$P$4:$P$2731=K$1),('Diário 3º PA'!$F$4:$F$2731))+SUMPRODUCT(-('Diário 4º PA'!$E$4:$E$2564='Analítico Cx.'!$B97),-('Diário 4º PA'!$P$4:$P$2564=K$1),('Diário 4º PA'!$F$4:$F$2564))</f>
        <v>0</v>
      </c>
      <c r="L97" s="183">
        <f>SUMPRODUCT(-('Diário 1º PA'!$E$4:$E$2635='Analítico Cx.'!$B97),-('Diário 1º PA'!$P$4:$P$2635=L$1),('Diário 1º PA'!$F$4:$F$2635))+SUMPRODUCT(-('Diário 2º PA'!$E$4:$E$3040='Analítico Cx.'!$B97),-('Diário 2º PA'!$P$4:$P$3040=L$1),('Diário 2º PA'!$F$4:$F$3040))+SUMPRODUCT(-('Diário 3º PA'!$E$4:$E$2731='Analítico Cx.'!$B97),-('Diário 3º PA'!$P$4:$P$2731=L$1),('Diário 3º PA'!$F$4:$F$2731))+SUMPRODUCT(-('Diário 4º PA'!$E$4:$E$2564='Analítico Cx.'!$B97),-('Diário 4º PA'!$P$4:$P$2564=L$1),('Diário 4º PA'!$F$4:$F$2564))</f>
        <v>0</v>
      </c>
      <c r="M97" s="183">
        <f>SUMPRODUCT(-('Diário 1º PA'!$E$4:$E$2635='Analítico Cx.'!$B97),-('Diário 1º PA'!$P$4:$P$2635=M$1),('Diário 1º PA'!$F$4:$F$2635))+SUMPRODUCT(-('Diário 2º PA'!$E$4:$E$3040='Analítico Cx.'!$B97),-('Diário 2º PA'!$P$4:$P$3040=M$1),('Diário 2º PA'!$F$4:$F$3040))+SUMPRODUCT(-('Diário 3º PA'!$E$4:$E$2731='Analítico Cx.'!$B97),-('Diário 3º PA'!$P$4:$P$2731=M$1),('Diário 3º PA'!$F$4:$F$2731))+SUMPRODUCT(-('Diário 4º PA'!$E$4:$E$2564='Analítico Cx.'!$B97),-('Diário 4º PA'!$P$4:$P$2564=M$1),('Diário 4º PA'!$F$4:$F$2564))</f>
        <v>231.05</v>
      </c>
      <c r="N97" s="183">
        <f>SUMPRODUCT(-('Diário 1º PA'!$E$4:$E$2635='Analítico Cx.'!$B97),-('Diário 1º PA'!$P$4:$P$2635=N$1),('Diário 1º PA'!$F$4:$F$2635))+SUMPRODUCT(-('Diário 2º PA'!$E$4:$E$3040='Analítico Cx.'!$B97),-('Diário 2º PA'!$P$4:$P$3040=N$1),('Diário 2º PA'!$F$4:$F$3040))+SUMPRODUCT(-('Diário 3º PA'!$E$4:$E$2731='Analítico Cx.'!$B97),-('Diário 3º PA'!$P$4:$P$2731=N$1),('Diário 3º PA'!$F$4:$F$2731))+SUMPRODUCT(-('Diário 4º PA'!$E$4:$E$2564='Analítico Cx.'!$B97),-('Diário 4º PA'!$P$4:$P$2564=N$1),('Diário 4º PA'!$F$4:$F$2564))</f>
        <v>0</v>
      </c>
      <c r="O97" s="184">
        <f t="shared" si="16"/>
        <v>4142.5</v>
      </c>
      <c r="P97" s="167">
        <f t="shared" si="17"/>
        <v>3.2628419814906897E-4</v>
      </c>
    </row>
    <row r="98" spans="1:16" ht="23.25" customHeight="1" x14ac:dyDescent="0.2">
      <c r="A98" s="61" t="s">
        <v>196</v>
      </c>
      <c r="B98" s="103" t="s">
        <v>139</v>
      </c>
      <c r="C98" s="183">
        <f>SUMPRODUCT(-('Diário 1º PA'!$E$4:$E$2635='Analítico Cx.'!$B98),-('Diário 1º PA'!$P$4:$P$2635=C$1),('Diário 1º PA'!$F$4:$F$2635))+SUMPRODUCT(-('Diário 2º PA'!$E$4:$E$3040='Analítico Cx.'!$B98),-('Diário 2º PA'!$P$4:$P$3040=C$1),('Diário 2º PA'!$F$4:$F$3040))+SUMPRODUCT(-('Diário 3º PA'!$E$4:$E$2731='Analítico Cx.'!$B98),-('Diário 3º PA'!$P$4:$P$2731=C$1),('Diário 3º PA'!$F$4:$F$2731))+SUMPRODUCT(-('Diário 4º PA'!$E$4:$E$2564='Analítico Cx.'!$B98),-('Diário 4º PA'!$P$4:$P$2564=C$1),('Diário 4º PA'!$F$4:$F$2564))</f>
        <v>0</v>
      </c>
      <c r="D98" s="183">
        <f>SUMPRODUCT(-('Diário 1º PA'!$E$4:$E$2635='Analítico Cx.'!$B98),-('Diário 1º PA'!$P$4:$P$2635=D$1),('Diário 1º PA'!$F$4:$F$2635))+SUMPRODUCT(-('Diário 2º PA'!$E$4:$E$3040='Analítico Cx.'!$B98),-('Diário 2º PA'!$P$4:$P$3040=D$1),('Diário 2º PA'!$F$4:$F$3040))+SUMPRODUCT(-('Diário 3º PA'!$E$4:$E$2731='Analítico Cx.'!$B98),-('Diário 3º PA'!$P$4:$P$2731=D$1),('Diário 3º PA'!$F$4:$F$2731))+SUMPRODUCT(-('Diário 4º PA'!$E$4:$E$2564='Analítico Cx.'!$B98),-('Diário 4º PA'!$P$4:$P$2564=D$1),('Diário 4º PA'!$F$4:$F$2564))</f>
        <v>0</v>
      </c>
      <c r="E98" s="183">
        <f>SUMPRODUCT(-('Diário 1º PA'!$E$4:$E$2635='Analítico Cx.'!$B98),-('Diário 1º PA'!$P$4:$P$2635=E$1),('Diário 1º PA'!$F$4:$F$2635))+SUMPRODUCT(-('Diário 2º PA'!$E$4:$E$3040='Analítico Cx.'!$B98),-('Diário 2º PA'!$P$4:$P$3040=E$1),('Diário 2º PA'!$F$4:$F$3040))+SUMPRODUCT(-('Diário 3º PA'!$E$4:$E$2731='Analítico Cx.'!$B98),-('Diário 3º PA'!$P$4:$P$2731=E$1),('Diário 3º PA'!$F$4:$F$2731))+SUMPRODUCT(-('Diário 4º PA'!$E$4:$E$2564='Analítico Cx.'!$B98),-('Diário 4º PA'!$P$4:$P$2564=E$1),('Diário 4º PA'!$F$4:$F$2564))</f>
        <v>112</v>
      </c>
      <c r="F98" s="183">
        <f>SUMPRODUCT(-('Diário 1º PA'!$E$4:$E$2635='Analítico Cx.'!$B98),-('Diário 1º PA'!$P$4:$P$2635=F$1),('Diário 1º PA'!$F$4:$F$2635))+SUMPRODUCT(-('Diário 2º PA'!$E$4:$E$3040='Analítico Cx.'!$B98),-('Diário 2º PA'!$P$4:$P$3040=F$1),('Diário 2º PA'!$F$4:$F$3040))+SUMPRODUCT(-('Diário 3º PA'!$E$4:$E$2731='Analítico Cx.'!$B98),-('Diário 3º PA'!$P$4:$P$2731=F$1),('Diário 3º PA'!$F$4:$F$2731))+SUMPRODUCT(-('Diário 4º PA'!$E$4:$E$2564='Analítico Cx.'!$B98),-('Diário 4º PA'!$P$4:$P$2564=F$1),('Diário 4º PA'!$F$4:$F$2564))</f>
        <v>693.6</v>
      </c>
      <c r="G98" s="183">
        <f>SUMPRODUCT(-('Diário 1º PA'!$E$4:$E$2635='Analítico Cx.'!$B98),-('Diário 1º PA'!$P$4:$P$2635=G$1),('Diário 1º PA'!$F$4:$F$2635))+SUMPRODUCT(-('Diário 2º PA'!$E$4:$E$3040='Analítico Cx.'!$B98),-('Diário 2º PA'!$P$4:$P$3040=G$1),('Diário 2º PA'!$F$4:$F$3040))+SUMPRODUCT(-('Diário 3º PA'!$E$4:$E$2731='Analítico Cx.'!$B98),-('Diário 3º PA'!$P$4:$P$2731=G$1),('Diário 3º PA'!$F$4:$F$2731))+SUMPRODUCT(-('Diário 4º PA'!$E$4:$E$2564='Analítico Cx.'!$B98),-('Diário 4º PA'!$P$4:$P$2564=G$1),('Diário 4º PA'!$F$4:$F$2564))</f>
        <v>0</v>
      </c>
      <c r="H98" s="183">
        <f>SUMPRODUCT(-('Diário 1º PA'!$E$4:$E$2635='Analítico Cx.'!$B98),-('Diário 1º PA'!$P$4:$P$2635=H$1),('Diário 1º PA'!$F$4:$F$2635))+SUMPRODUCT(-('Diário 2º PA'!$E$4:$E$3040='Analítico Cx.'!$B98),-('Diário 2º PA'!$P$4:$P$3040=H$1),('Diário 2º PA'!$F$4:$F$3040))+SUMPRODUCT(-('Diário 3º PA'!$E$4:$E$2731='Analítico Cx.'!$B98),-('Diário 3º PA'!$P$4:$P$2731=H$1),('Diário 3º PA'!$F$4:$F$2731))+SUMPRODUCT(-('Diário 4º PA'!$E$4:$E$2564='Analítico Cx.'!$B98),-('Diário 4º PA'!$P$4:$P$2564=H$1),('Diário 4º PA'!$F$4:$F$2564))</f>
        <v>0</v>
      </c>
      <c r="I98" s="183">
        <f>SUMPRODUCT(-('Diário 1º PA'!$E$4:$E$2635='Analítico Cx.'!$B98),-('Diário 1º PA'!$P$4:$P$2635=I$1),('Diário 1º PA'!$F$4:$F$2635))+SUMPRODUCT(-('Diário 2º PA'!$E$4:$E$3040='Analítico Cx.'!$B98),-('Diário 2º PA'!$P$4:$P$3040=I$1),('Diário 2º PA'!$F$4:$F$3040))+SUMPRODUCT(-('Diário 3º PA'!$E$4:$E$2731='Analítico Cx.'!$B98),-('Diário 3º PA'!$P$4:$P$2731=I$1),('Diário 3º PA'!$F$4:$F$2731))+SUMPRODUCT(-('Diário 4º PA'!$E$4:$E$2564='Analítico Cx.'!$B98),-('Diário 4º PA'!$P$4:$P$2564=I$1),('Diário 4º PA'!$F$4:$F$2564))</f>
        <v>500.40999999999997</v>
      </c>
      <c r="J98" s="183">
        <f>SUMPRODUCT(-('Diário 1º PA'!$E$4:$E$2635='Analítico Cx.'!$B98),-('Diário 1º PA'!$P$4:$P$2635=J$1),('Diário 1º PA'!$F$4:$F$2635))+SUMPRODUCT(-('Diário 2º PA'!$E$4:$E$3040='Analítico Cx.'!$B98),-('Diário 2º PA'!$P$4:$P$3040=J$1),('Diário 2º PA'!$F$4:$F$3040))+SUMPRODUCT(-('Diário 3º PA'!$E$4:$E$2731='Analítico Cx.'!$B98),-('Diário 3º PA'!$P$4:$P$2731=J$1),('Diário 3º PA'!$F$4:$F$2731))+SUMPRODUCT(-('Diário 4º PA'!$E$4:$E$2564='Analítico Cx.'!$B98),-('Diário 4º PA'!$P$4:$P$2564=J$1),('Diário 4º PA'!$F$4:$F$2564))</f>
        <v>50.46</v>
      </c>
      <c r="K98" s="183">
        <f>SUMPRODUCT(-('Diário 1º PA'!$E$4:$E$2635='Analítico Cx.'!$B98),-('Diário 1º PA'!$P$4:$P$2635=K$1),('Diário 1º PA'!$F$4:$F$2635))+SUMPRODUCT(-('Diário 2º PA'!$E$4:$E$3040='Analítico Cx.'!$B98),-('Diário 2º PA'!$P$4:$P$3040=K$1),('Diário 2º PA'!$F$4:$F$3040))+SUMPRODUCT(-('Diário 3º PA'!$E$4:$E$2731='Analítico Cx.'!$B98),-('Diário 3º PA'!$P$4:$P$2731=K$1),('Diário 3º PA'!$F$4:$F$2731))+SUMPRODUCT(-('Diário 4º PA'!$E$4:$E$2564='Analítico Cx.'!$B98),-('Diário 4º PA'!$P$4:$P$2564=K$1),('Diário 4º PA'!$F$4:$F$2564))</f>
        <v>0</v>
      </c>
      <c r="L98" s="183">
        <f>SUMPRODUCT(-('Diário 1º PA'!$E$4:$E$2635='Analítico Cx.'!$B98),-('Diário 1º PA'!$P$4:$P$2635=L$1),('Diário 1º PA'!$F$4:$F$2635))+SUMPRODUCT(-('Diário 2º PA'!$E$4:$E$3040='Analítico Cx.'!$B98),-('Diário 2º PA'!$P$4:$P$3040=L$1),('Diário 2º PA'!$F$4:$F$3040))+SUMPRODUCT(-('Diário 3º PA'!$E$4:$E$2731='Analítico Cx.'!$B98),-('Diário 3º PA'!$P$4:$P$2731=L$1),('Diário 3º PA'!$F$4:$F$2731))+SUMPRODUCT(-('Diário 4º PA'!$E$4:$E$2564='Analítico Cx.'!$B98),-('Diário 4º PA'!$P$4:$P$2564=L$1),('Diário 4º PA'!$F$4:$F$2564))</f>
        <v>0</v>
      </c>
      <c r="M98" s="183">
        <f>SUMPRODUCT(-('Diário 1º PA'!$E$4:$E$2635='Analítico Cx.'!$B98),-('Diário 1º PA'!$P$4:$P$2635=M$1),('Diário 1º PA'!$F$4:$F$2635))+SUMPRODUCT(-('Diário 2º PA'!$E$4:$E$3040='Analítico Cx.'!$B98),-('Diário 2º PA'!$P$4:$P$3040=M$1),('Diário 2º PA'!$F$4:$F$3040))+SUMPRODUCT(-('Diário 3º PA'!$E$4:$E$2731='Analítico Cx.'!$B98),-('Diário 3º PA'!$P$4:$P$2731=M$1),('Diário 3º PA'!$F$4:$F$2731))+SUMPRODUCT(-('Diário 4º PA'!$E$4:$E$2564='Analítico Cx.'!$B98),-('Diário 4º PA'!$P$4:$P$2564=M$1),('Diário 4º PA'!$F$4:$F$2564))</f>
        <v>766.25</v>
      </c>
      <c r="N98" s="183">
        <f>SUMPRODUCT(-('Diário 1º PA'!$E$4:$E$2635='Analítico Cx.'!$B98),-('Diário 1º PA'!$P$4:$P$2635=N$1),('Diário 1º PA'!$F$4:$F$2635))+SUMPRODUCT(-('Diário 2º PA'!$E$4:$E$3040='Analítico Cx.'!$B98),-('Diário 2º PA'!$P$4:$P$3040=N$1),('Diário 2º PA'!$F$4:$F$3040))+SUMPRODUCT(-('Diário 3º PA'!$E$4:$E$2731='Analítico Cx.'!$B98),-('Diário 3º PA'!$P$4:$P$2731=N$1),('Diário 3º PA'!$F$4:$F$2731))+SUMPRODUCT(-('Diário 4º PA'!$E$4:$E$2564='Analítico Cx.'!$B98),-('Diário 4º PA'!$P$4:$P$2564=N$1),('Diário 4º PA'!$F$4:$F$2564))</f>
        <v>118.13</v>
      </c>
      <c r="O98" s="184">
        <f t="shared" si="16"/>
        <v>2240.8500000000004</v>
      </c>
      <c r="P98" s="167">
        <f t="shared" si="17"/>
        <v>1.7650065067527853E-4</v>
      </c>
    </row>
    <row r="99" spans="1:16" ht="23.25" customHeight="1" x14ac:dyDescent="0.2">
      <c r="A99" s="61" t="s">
        <v>197</v>
      </c>
      <c r="B99" s="103" t="s">
        <v>62</v>
      </c>
      <c r="C99" s="183">
        <f>SUMPRODUCT(-('Diário 1º PA'!$E$4:$E$2635='Analítico Cx.'!$B99),-('Diário 1º PA'!$P$4:$P$2635=C$1),('Diário 1º PA'!$F$4:$F$2635))+SUMPRODUCT(-('Diário 2º PA'!$E$4:$E$3040='Analítico Cx.'!$B99),-('Diário 2º PA'!$P$4:$P$3040=C$1),('Diário 2º PA'!$F$4:$F$3040))+SUMPRODUCT(-('Diário 3º PA'!$E$4:$E$2731='Analítico Cx.'!$B99),-('Diário 3º PA'!$P$4:$P$2731=C$1),('Diário 3º PA'!$F$4:$F$2731))+SUMPRODUCT(-('Diário 4º PA'!$E$4:$E$2564='Analítico Cx.'!$B99),-('Diário 4º PA'!$P$4:$P$2564=C$1),('Diário 4º PA'!$F$4:$F$2564))</f>
        <v>0</v>
      </c>
      <c r="D99" s="183">
        <f>SUMPRODUCT(-('Diário 1º PA'!$E$4:$E$2635='Analítico Cx.'!$B99),-('Diário 1º PA'!$P$4:$P$2635=D$1),('Diário 1º PA'!$F$4:$F$2635))+SUMPRODUCT(-('Diário 2º PA'!$E$4:$E$3040='Analítico Cx.'!$B99),-('Diário 2º PA'!$P$4:$P$3040=D$1),('Diário 2º PA'!$F$4:$F$3040))+SUMPRODUCT(-('Diário 3º PA'!$E$4:$E$2731='Analítico Cx.'!$B99),-('Diário 3º PA'!$P$4:$P$2731=D$1),('Diário 3º PA'!$F$4:$F$2731))+SUMPRODUCT(-('Diário 4º PA'!$E$4:$E$2564='Analítico Cx.'!$B99),-('Diário 4º PA'!$P$4:$P$2564=D$1),('Diário 4º PA'!$F$4:$F$2564))</f>
        <v>428.4</v>
      </c>
      <c r="E99" s="183">
        <f>SUMPRODUCT(-('Diário 1º PA'!$E$4:$E$2635='Analítico Cx.'!$B99),-('Diário 1º PA'!$P$4:$P$2635=E$1),('Diário 1º PA'!$F$4:$F$2635))+SUMPRODUCT(-('Diário 2º PA'!$E$4:$E$3040='Analítico Cx.'!$B99),-('Diário 2º PA'!$P$4:$P$3040=E$1),('Diário 2º PA'!$F$4:$F$3040))+SUMPRODUCT(-('Diário 3º PA'!$E$4:$E$2731='Analítico Cx.'!$B99),-('Diário 3º PA'!$P$4:$P$2731=E$1),('Diário 3º PA'!$F$4:$F$2731))+SUMPRODUCT(-('Diário 4º PA'!$E$4:$E$2564='Analítico Cx.'!$B99),-('Diário 4º PA'!$P$4:$P$2564=E$1),('Diário 4º PA'!$F$4:$F$2564))</f>
        <v>0</v>
      </c>
      <c r="F99" s="183">
        <f>SUMPRODUCT(-('Diário 1º PA'!$E$4:$E$2635='Analítico Cx.'!$B99),-('Diário 1º PA'!$P$4:$P$2635=F$1),('Diário 1º PA'!$F$4:$F$2635))+SUMPRODUCT(-('Diário 2º PA'!$E$4:$E$3040='Analítico Cx.'!$B99),-('Diário 2º PA'!$P$4:$P$3040=F$1),('Diário 2º PA'!$F$4:$F$3040))+SUMPRODUCT(-('Diário 3º PA'!$E$4:$E$2731='Analítico Cx.'!$B99),-('Diário 3º PA'!$P$4:$P$2731=F$1),('Diário 3º PA'!$F$4:$F$2731))+SUMPRODUCT(-('Diário 4º PA'!$E$4:$E$2564='Analítico Cx.'!$B99),-('Diário 4º PA'!$P$4:$P$2564=F$1),('Diário 4º PA'!$F$4:$F$2564))</f>
        <v>0</v>
      </c>
      <c r="G99" s="183">
        <f>SUMPRODUCT(-('Diário 1º PA'!$E$4:$E$2635='Analítico Cx.'!$B99),-('Diário 1º PA'!$P$4:$P$2635=G$1),('Diário 1º PA'!$F$4:$F$2635))+SUMPRODUCT(-('Diário 2º PA'!$E$4:$E$3040='Analítico Cx.'!$B99),-('Diário 2º PA'!$P$4:$P$3040=G$1),('Diário 2º PA'!$F$4:$F$3040))+SUMPRODUCT(-('Diário 3º PA'!$E$4:$E$2731='Analítico Cx.'!$B99),-('Diário 3º PA'!$P$4:$P$2731=G$1),('Diário 3º PA'!$F$4:$F$2731))+SUMPRODUCT(-('Diário 4º PA'!$E$4:$E$2564='Analítico Cx.'!$B99),-('Diário 4º PA'!$P$4:$P$2564=G$1),('Diário 4º PA'!$F$4:$F$2564))</f>
        <v>0</v>
      </c>
      <c r="H99" s="183">
        <f>SUMPRODUCT(-('Diário 1º PA'!$E$4:$E$2635='Analítico Cx.'!$B99),-('Diário 1º PA'!$P$4:$P$2635=H$1),('Diário 1º PA'!$F$4:$F$2635))+SUMPRODUCT(-('Diário 2º PA'!$E$4:$E$3040='Analítico Cx.'!$B99),-('Diário 2º PA'!$P$4:$P$3040=H$1),('Diário 2º PA'!$F$4:$F$3040))+SUMPRODUCT(-('Diário 3º PA'!$E$4:$E$2731='Analítico Cx.'!$B99),-('Diário 3º PA'!$P$4:$P$2731=H$1),('Diário 3º PA'!$F$4:$F$2731))+SUMPRODUCT(-('Diário 4º PA'!$E$4:$E$2564='Analítico Cx.'!$B99),-('Diário 4º PA'!$P$4:$P$2564=H$1),('Diário 4º PA'!$F$4:$F$2564))</f>
        <v>10463.200000000001</v>
      </c>
      <c r="I99" s="183">
        <f>SUMPRODUCT(-('Diário 1º PA'!$E$4:$E$2635='Analítico Cx.'!$B99),-('Diário 1º PA'!$P$4:$P$2635=I$1),('Diário 1º PA'!$F$4:$F$2635))+SUMPRODUCT(-('Diário 2º PA'!$E$4:$E$3040='Analítico Cx.'!$B99),-('Diário 2º PA'!$P$4:$P$3040=I$1),('Diário 2º PA'!$F$4:$F$3040))+SUMPRODUCT(-('Diário 3º PA'!$E$4:$E$2731='Analítico Cx.'!$B99),-('Diário 3º PA'!$P$4:$P$2731=I$1),('Diário 3º PA'!$F$4:$F$2731))+SUMPRODUCT(-('Diário 4º PA'!$E$4:$E$2564='Analítico Cx.'!$B99),-('Diário 4º PA'!$P$4:$P$2564=I$1),('Diário 4º PA'!$F$4:$F$2564))</f>
        <v>789.68</v>
      </c>
      <c r="J99" s="183">
        <f>SUMPRODUCT(-('Diário 1º PA'!$E$4:$E$2635='Analítico Cx.'!$B99),-('Diário 1º PA'!$P$4:$P$2635=J$1),('Diário 1º PA'!$F$4:$F$2635))+SUMPRODUCT(-('Diário 2º PA'!$E$4:$E$3040='Analítico Cx.'!$B99),-('Diário 2º PA'!$P$4:$P$3040=J$1),('Diário 2º PA'!$F$4:$F$3040))+SUMPRODUCT(-('Diário 3º PA'!$E$4:$E$2731='Analítico Cx.'!$B99),-('Diário 3º PA'!$P$4:$P$2731=J$1),('Diário 3º PA'!$F$4:$F$2731))+SUMPRODUCT(-('Diário 4º PA'!$E$4:$E$2564='Analítico Cx.'!$B99),-('Diário 4º PA'!$P$4:$P$2564=J$1),('Diário 4º PA'!$F$4:$F$2564))</f>
        <v>2294.39</v>
      </c>
      <c r="K99" s="183">
        <f>SUMPRODUCT(-('Diário 1º PA'!$E$4:$E$2635='Analítico Cx.'!$B99),-('Diário 1º PA'!$P$4:$P$2635=K$1),('Diário 1º PA'!$F$4:$F$2635))+SUMPRODUCT(-('Diário 2º PA'!$E$4:$E$3040='Analítico Cx.'!$B99),-('Diário 2º PA'!$P$4:$P$3040=K$1),('Diário 2º PA'!$F$4:$F$3040))+SUMPRODUCT(-('Diário 3º PA'!$E$4:$E$2731='Analítico Cx.'!$B99),-('Diário 3º PA'!$P$4:$P$2731=K$1),('Diário 3º PA'!$F$4:$F$2731))+SUMPRODUCT(-('Diário 4º PA'!$E$4:$E$2564='Analítico Cx.'!$B99),-('Diário 4º PA'!$P$4:$P$2564=K$1),('Diário 4º PA'!$F$4:$F$2564))</f>
        <v>46.73</v>
      </c>
      <c r="L99" s="183">
        <f>SUMPRODUCT(-('Diário 1º PA'!$E$4:$E$2635='Analítico Cx.'!$B99),-('Diário 1º PA'!$P$4:$P$2635=L$1),('Diário 1º PA'!$F$4:$F$2635))+SUMPRODUCT(-('Diário 2º PA'!$E$4:$E$3040='Analítico Cx.'!$B99),-('Diário 2º PA'!$P$4:$P$3040=L$1),('Diário 2º PA'!$F$4:$F$3040))+SUMPRODUCT(-('Diário 3º PA'!$E$4:$E$2731='Analítico Cx.'!$B99),-('Diário 3º PA'!$P$4:$P$2731=L$1),('Diário 3º PA'!$F$4:$F$2731))+SUMPRODUCT(-('Diário 4º PA'!$E$4:$E$2564='Analítico Cx.'!$B99),-('Diário 4º PA'!$P$4:$P$2564=L$1),('Diário 4º PA'!$F$4:$F$2564))</f>
        <v>0</v>
      </c>
      <c r="M99" s="183">
        <f>SUMPRODUCT(-('Diário 1º PA'!$E$4:$E$2635='Analítico Cx.'!$B99),-('Diário 1º PA'!$P$4:$P$2635=M$1),('Diário 1º PA'!$F$4:$F$2635))+SUMPRODUCT(-('Diário 2º PA'!$E$4:$E$3040='Analítico Cx.'!$B99),-('Diário 2º PA'!$P$4:$P$3040=M$1),('Diário 2º PA'!$F$4:$F$3040))+SUMPRODUCT(-('Diário 3º PA'!$E$4:$E$2731='Analítico Cx.'!$B99),-('Diário 3º PA'!$P$4:$P$2731=M$1),('Diário 3º PA'!$F$4:$F$2731))+SUMPRODUCT(-('Diário 4º PA'!$E$4:$E$2564='Analítico Cx.'!$B99),-('Diário 4º PA'!$P$4:$P$2564=M$1),('Diário 4º PA'!$F$4:$F$2564))</f>
        <v>200.2</v>
      </c>
      <c r="N99" s="183">
        <f>SUMPRODUCT(-('Diário 1º PA'!$E$4:$E$2635='Analítico Cx.'!$B99),-('Diário 1º PA'!$P$4:$P$2635=N$1),('Diário 1º PA'!$F$4:$F$2635))+SUMPRODUCT(-('Diário 2º PA'!$E$4:$E$3040='Analítico Cx.'!$B99),-('Diário 2º PA'!$P$4:$P$3040=N$1),('Diário 2º PA'!$F$4:$F$3040))+SUMPRODUCT(-('Diário 3º PA'!$E$4:$E$2731='Analítico Cx.'!$B99),-('Diário 3º PA'!$P$4:$P$2731=N$1),('Diário 3º PA'!$F$4:$F$2731))+SUMPRODUCT(-('Diário 4º PA'!$E$4:$E$2564='Analítico Cx.'!$B99),-('Diário 4º PA'!$P$4:$P$2564=N$1),('Diário 4º PA'!$F$4:$F$2564))</f>
        <v>1194.9000000000001</v>
      </c>
      <c r="O99" s="184">
        <f t="shared" si="16"/>
        <v>15417.5</v>
      </c>
      <c r="P99" s="167">
        <f t="shared" si="17"/>
        <v>1.2143600784461728E-3</v>
      </c>
    </row>
    <row r="100" spans="1:16" ht="23.25" customHeight="1" x14ac:dyDescent="0.2">
      <c r="A100" s="61" t="s">
        <v>198</v>
      </c>
      <c r="B100" s="103" t="s">
        <v>88</v>
      </c>
      <c r="C100" s="183">
        <f>SUMPRODUCT(-('Diário 1º PA'!$E$4:$E$2635='Analítico Cx.'!$B100),-('Diário 1º PA'!$P$4:$P$2635=C$1),('Diário 1º PA'!$F$4:$F$2635))+SUMPRODUCT(-('Diário 2º PA'!$E$4:$E$3040='Analítico Cx.'!$B100),-('Diário 2º PA'!$P$4:$P$3040=C$1),('Diário 2º PA'!$F$4:$F$3040))+SUMPRODUCT(-('Diário 3º PA'!$E$4:$E$2731='Analítico Cx.'!$B100),-('Diário 3º PA'!$P$4:$P$2731=C$1),('Diário 3º PA'!$F$4:$F$2731))+SUMPRODUCT(-('Diário 4º PA'!$E$4:$E$2564='Analítico Cx.'!$B100),-('Diário 4º PA'!$P$4:$P$2564=C$1),('Diário 4º PA'!$F$4:$F$2564))</f>
        <v>0</v>
      </c>
      <c r="D100" s="183">
        <f>SUMPRODUCT(-('Diário 1º PA'!$E$4:$E$2635='Analítico Cx.'!$B100),-('Diário 1º PA'!$P$4:$P$2635=D$1),('Diário 1º PA'!$F$4:$F$2635))+SUMPRODUCT(-('Diário 2º PA'!$E$4:$E$3040='Analítico Cx.'!$B100),-('Diário 2º PA'!$P$4:$P$3040=D$1),('Diário 2º PA'!$F$4:$F$3040))+SUMPRODUCT(-('Diário 3º PA'!$E$4:$E$2731='Analítico Cx.'!$B100),-('Diário 3º PA'!$P$4:$P$2731=D$1),('Diário 3º PA'!$F$4:$F$2731))+SUMPRODUCT(-('Diário 4º PA'!$E$4:$E$2564='Analítico Cx.'!$B100),-('Diário 4º PA'!$P$4:$P$2564=D$1),('Diário 4º PA'!$F$4:$F$2564))</f>
        <v>1097.51</v>
      </c>
      <c r="E100" s="183">
        <f>SUMPRODUCT(-('Diário 1º PA'!$E$4:$E$2635='Analítico Cx.'!$B100),-('Diário 1º PA'!$P$4:$P$2635=E$1),('Diário 1º PA'!$F$4:$F$2635))+SUMPRODUCT(-('Diário 2º PA'!$E$4:$E$3040='Analítico Cx.'!$B100),-('Diário 2º PA'!$P$4:$P$3040=E$1),('Diário 2º PA'!$F$4:$F$3040))+SUMPRODUCT(-('Diário 3º PA'!$E$4:$E$2731='Analítico Cx.'!$B100),-('Diário 3º PA'!$P$4:$P$2731=E$1),('Diário 3º PA'!$F$4:$F$2731))+SUMPRODUCT(-('Diário 4º PA'!$E$4:$E$2564='Analítico Cx.'!$B100),-('Diário 4º PA'!$P$4:$P$2564=E$1),('Diário 4º PA'!$F$4:$F$2564))</f>
        <v>2.69</v>
      </c>
      <c r="F100" s="183">
        <f>SUMPRODUCT(-('Diário 1º PA'!$E$4:$E$2635='Analítico Cx.'!$B100),-('Diário 1º PA'!$P$4:$P$2635=F$1),('Diário 1º PA'!$F$4:$F$2635))+SUMPRODUCT(-('Diário 2º PA'!$E$4:$E$3040='Analítico Cx.'!$B100),-('Diário 2º PA'!$P$4:$P$3040=F$1),('Diário 2º PA'!$F$4:$F$3040))+SUMPRODUCT(-('Diário 3º PA'!$E$4:$E$2731='Analítico Cx.'!$B100),-('Diário 3º PA'!$P$4:$P$2731=F$1),('Diário 3º PA'!$F$4:$F$2731))+SUMPRODUCT(-('Diário 4º PA'!$E$4:$E$2564='Analítico Cx.'!$B100),-('Diário 4º PA'!$P$4:$P$2564=F$1),('Diário 4º PA'!$F$4:$F$2564))</f>
        <v>0</v>
      </c>
      <c r="G100" s="183">
        <f>SUMPRODUCT(-('Diário 1º PA'!$E$4:$E$2635='Analítico Cx.'!$B100),-('Diário 1º PA'!$P$4:$P$2635=G$1),('Diário 1º PA'!$F$4:$F$2635))+SUMPRODUCT(-('Diário 2º PA'!$E$4:$E$3040='Analítico Cx.'!$B100),-('Diário 2º PA'!$P$4:$P$3040=G$1),('Diário 2º PA'!$F$4:$F$3040))+SUMPRODUCT(-('Diário 3º PA'!$E$4:$E$2731='Analítico Cx.'!$B100),-('Diário 3º PA'!$P$4:$P$2731=G$1),('Diário 3º PA'!$F$4:$F$2731))+SUMPRODUCT(-('Diário 4º PA'!$E$4:$E$2564='Analítico Cx.'!$B100),-('Diário 4º PA'!$P$4:$P$2564=G$1),('Diário 4º PA'!$F$4:$F$2564))</f>
        <v>0</v>
      </c>
      <c r="H100" s="183">
        <f>SUMPRODUCT(-('Diário 1º PA'!$E$4:$E$2635='Analítico Cx.'!$B100),-('Diário 1º PA'!$P$4:$P$2635=H$1),('Diário 1º PA'!$F$4:$F$2635))+SUMPRODUCT(-('Diário 2º PA'!$E$4:$E$3040='Analítico Cx.'!$B100),-('Diário 2º PA'!$P$4:$P$3040=H$1),('Diário 2º PA'!$F$4:$F$3040))+SUMPRODUCT(-('Diário 3º PA'!$E$4:$E$2731='Analítico Cx.'!$B100),-('Diário 3º PA'!$P$4:$P$2731=H$1),('Diário 3º PA'!$F$4:$F$2731))+SUMPRODUCT(-('Diário 4º PA'!$E$4:$E$2564='Analítico Cx.'!$B100),-('Diário 4º PA'!$P$4:$P$2564=H$1),('Diário 4º PA'!$F$4:$F$2564))</f>
        <v>0</v>
      </c>
      <c r="I100" s="183">
        <f>SUMPRODUCT(-('Diário 1º PA'!$E$4:$E$2635='Analítico Cx.'!$B100),-('Diário 1º PA'!$P$4:$P$2635=I$1),('Diário 1º PA'!$F$4:$F$2635))+SUMPRODUCT(-('Diário 2º PA'!$E$4:$E$3040='Analítico Cx.'!$B100),-('Diário 2º PA'!$P$4:$P$3040=I$1),('Diário 2º PA'!$F$4:$F$3040))+SUMPRODUCT(-('Diário 3º PA'!$E$4:$E$2731='Analítico Cx.'!$B100),-('Diário 3º PA'!$P$4:$P$2731=I$1),('Diário 3º PA'!$F$4:$F$2731))+SUMPRODUCT(-('Diário 4º PA'!$E$4:$E$2564='Analítico Cx.'!$B100),-('Diário 4º PA'!$P$4:$P$2564=I$1),('Diário 4º PA'!$F$4:$F$2564))</f>
        <v>0</v>
      </c>
      <c r="J100" s="183">
        <f>SUMPRODUCT(-('Diário 1º PA'!$E$4:$E$2635='Analítico Cx.'!$B100),-('Diário 1º PA'!$P$4:$P$2635=J$1),('Diário 1º PA'!$F$4:$F$2635))+SUMPRODUCT(-('Diário 2º PA'!$E$4:$E$3040='Analítico Cx.'!$B100),-('Diário 2º PA'!$P$4:$P$3040=J$1),('Diário 2º PA'!$F$4:$F$3040))+SUMPRODUCT(-('Diário 3º PA'!$E$4:$E$2731='Analítico Cx.'!$B100),-('Diário 3º PA'!$P$4:$P$2731=J$1),('Diário 3º PA'!$F$4:$F$2731))+SUMPRODUCT(-('Diário 4º PA'!$E$4:$E$2564='Analítico Cx.'!$B100),-('Diário 4º PA'!$P$4:$P$2564=J$1),('Diário 4º PA'!$F$4:$F$2564))</f>
        <v>0</v>
      </c>
      <c r="K100" s="183">
        <f>SUMPRODUCT(-('Diário 1º PA'!$E$4:$E$2635='Analítico Cx.'!$B100),-('Diário 1º PA'!$P$4:$P$2635=K$1),('Diário 1º PA'!$F$4:$F$2635))+SUMPRODUCT(-('Diário 2º PA'!$E$4:$E$3040='Analítico Cx.'!$B100),-('Diário 2º PA'!$P$4:$P$3040=K$1),('Diário 2º PA'!$F$4:$F$3040))+SUMPRODUCT(-('Diário 3º PA'!$E$4:$E$2731='Analítico Cx.'!$B100),-('Diário 3º PA'!$P$4:$P$2731=K$1),('Diário 3º PA'!$F$4:$F$2731))+SUMPRODUCT(-('Diário 4º PA'!$E$4:$E$2564='Analítico Cx.'!$B100),-('Diário 4º PA'!$P$4:$P$2564=K$1),('Diário 4º PA'!$F$4:$F$2564))</f>
        <v>0</v>
      </c>
      <c r="L100" s="183">
        <f>SUMPRODUCT(-('Diário 1º PA'!$E$4:$E$2635='Analítico Cx.'!$B100),-('Diário 1º PA'!$P$4:$P$2635=L$1),('Diário 1º PA'!$F$4:$F$2635))+SUMPRODUCT(-('Diário 2º PA'!$E$4:$E$3040='Analítico Cx.'!$B100),-('Diário 2º PA'!$P$4:$P$3040=L$1),('Diário 2º PA'!$F$4:$F$3040))+SUMPRODUCT(-('Diário 3º PA'!$E$4:$E$2731='Analítico Cx.'!$B100),-('Diário 3º PA'!$P$4:$P$2731=L$1),('Diário 3º PA'!$F$4:$F$2731))+SUMPRODUCT(-('Diário 4º PA'!$E$4:$E$2564='Analítico Cx.'!$B100),-('Diário 4º PA'!$P$4:$P$2564=L$1),('Diário 4º PA'!$F$4:$F$2564))</f>
        <v>0</v>
      </c>
      <c r="M100" s="183">
        <f>SUMPRODUCT(-('Diário 1º PA'!$E$4:$E$2635='Analítico Cx.'!$B100),-('Diário 1º PA'!$P$4:$P$2635=M$1),('Diário 1º PA'!$F$4:$F$2635))+SUMPRODUCT(-('Diário 2º PA'!$E$4:$E$3040='Analítico Cx.'!$B100),-('Diário 2º PA'!$P$4:$P$3040=M$1),('Diário 2º PA'!$F$4:$F$3040))+SUMPRODUCT(-('Diário 3º PA'!$E$4:$E$2731='Analítico Cx.'!$B100),-('Diário 3º PA'!$P$4:$P$2731=M$1),('Diário 3º PA'!$F$4:$F$2731))+SUMPRODUCT(-('Diário 4º PA'!$E$4:$E$2564='Analítico Cx.'!$B100),-('Diário 4º PA'!$P$4:$P$2564=M$1),('Diário 4º PA'!$F$4:$F$2564))</f>
        <v>0</v>
      </c>
      <c r="N100" s="183">
        <f>SUMPRODUCT(-('Diário 1º PA'!$E$4:$E$2635='Analítico Cx.'!$B100),-('Diário 1º PA'!$P$4:$P$2635=N$1),('Diário 1º PA'!$F$4:$F$2635))+SUMPRODUCT(-('Diário 2º PA'!$E$4:$E$3040='Analítico Cx.'!$B100),-('Diário 2º PA'!$P$4:$P$3040=N$1),('Diário 2º PA'!$F$4:$F$3040))+SUMPRODUCT(-('Diário 3º PA'!$E$4:$E$2731='Analítico Cx.'!$B100),-('Diário 3º PA'!$P$4:$P$2731=N$1),('Diário 3º PA'!$F$4:$F$2731))+SUMPRODUCT(-('Diário 4º PA'!$E$4:$E$2564='Analítico Cx.'!$B100),-('Diário 4º PA'!$P$4:$P$2564=N$1),('Diário 4º PA'!$F$4:$F$2564))</f>
        <v>0</v>
      </c>
      <c r="O100" s="184">
        <f t="shared" si="16"/>
        <v>1100.2</v>
      </c>
      <c r="P100" s="167">
        <f t="shared" si="17"/>
        <v>8.665730230624157E-5</v>
      </c>
    </row>
    <row r="101" spans="1:16" ht="23.25" customHeight="1" x14ac:dyDescent="0.2">
      <c r="A101" s="61" t="s">
        <v>199</v>
      </c>
      <c r="B101" s="103" t="s">
        <v>254</v>
      </c>
      <c r="C101" s="183">
        <f>SUMPRODUCT(-('Diário 1º PA'!$E$4:$E$2635='Analítico Cx.'!$B101),-('Diário 1º PA'!$P$4:$P$2635=C$1),('Diário 1º PA'!$F$4:$F$2635))+SUMPRODUCT(-('Diário 2º PA'!$E$4:$E$3040='Analítico Cx.'!$B101),-('Diário 2º PA'!$P$4:$P$3040=C$1),('Diário 2º PA'!$F$4:$F$3040))+SUMPRODUCT(-('Diário 3º PA'!$E$4:$E$2731='Analítico Cx.'!$B101),-('Diário 3º PA'!$P$4:$P$2731=C$1),('Diário 3º PA'!$F$4:$F$2731))+SUMPRODUCT(-('Diário 4º PA'!$E$4:$E$2564='Analítico Cx.'!$B101),-('Diário 4º PA'!$P$4:$P$2564=C$1),('Diário 4º PA'!$F$4:$F$2564))</f>
        <v>0</v>
      </c>
      <c r="D101" s="183">
        <f>SUMPRODUCT(-('Diário 1º PA'!$E$4:$E$2635='Analítico Cx.'!$B101),-('Diário 1º PA'!$P$4:$P$2635=D$1),('Diário 1º PA'!$F$4:$F$2635))+SUMPRODUCT(-('Diário 2º PA'!$E$4:$E$3040='Analítico Cx.'!$B101),-('Diário 2º PA'!$P$4:$P$3040=D$1),('Diário 2º PA'!$F$4:$F$3040))+SUMPRODUCT(-('Diário 3º PA'!$E$4:$E$2731='Analítico Cx.'!$B101),-('Diário 3º PA'!$P$4:$P$2731=D$1),('Diário 3º PA'!$F$4:$F$2731))+SUMPRODUCT(-('Diário 4º PA'!$E$4:$E$2564='Analítico Cx.'!$B101),-('Diário 4º PA'!$P$4:$P$2564=D$1),('Diário 4º PA'!$F$4:$F$2564))</f>
        <v>0</v>
      </c>
      <c r="E101" s="183">
        <f>SUMPRODUCT(-('Diário 1º PA'!$E$4:$E$2635='Analítico Cx.'!$B101),-('Diário 1º PA'!$P$4:$P$2635=E$1),('Diário 1º PA'!$F$4:$F$2635))+SUMPRODUCT(-('Diário 2º PA'!$E$4:$E$3040='Analítico Cx.'!$B101),-('Diário 2º PA'!$P$4:$P$3040=E$1),('Diário 2º PA'!$F$4:$F$3040))+SUMPRODUCT(-('Diário 3º PA'!$E$4:$E$2731='Analítico Cx.'!$B101),-('Diário 3º PA'!$P$4:$P$2731=E$1),('Diário 3º PA'!$F$4:$F$2731))+SUMPRODUCT(-('Diário 4º PA'!$E$4:$E$2564='Analítico Cx.'!$B101),-('Diário 4º PA'!$P$4:$P$2564=E$1),('Diário 4º PA'!$F$4:$F$2564))</f>
        <v>0</v>
      </c>
      <c r="F101" s="183">
        <f>SUMPRODUCT(-('Diário 1º PA'!$E$4:$E$2635='Analítico Cx.'!$B101),-('Diário 1º PA'!$P$4:$P$2635=F$1),('Diário 1º PA'!$F$4:$F$2635))+SUMPRODUCT(-('Diário 2º PA'!$E$4:$E$3040='Analítico Cx.'!$B101),-('Diário 2º PA'!$P$4:$P$3040=F$1),('Diário 2º PA'!$F$4:$F$3040))+SUMPRODUCT(-('Diário 3º PA'!$E$4:$E$2731='Analítico Cx.'!$B101),-('Diário 3º PA'!$P$4:$P$2731=F$1),('Diário 3º PA'!$F$4:$F$2731))+SUMPRODUCT(-('Diário 4º PA'!$E$4:$E$2564='Analítico Cx.'!$B101),-('Diário 4º PA'!$P$4:$P$2564=F$1),('Diário 4º PA'!$F$4:$F$2564))</f>
        <v>0</v>
      </c>
      <c r="G101" s="183">
        <f>SUMPRODUCT(-('Diário 1º PA'!$E$4:$E$2635='Analítico Cx.'!$B101),-('Diário 1º PA'!$P$4:$P$2635=G$1),('Diário 1º PA'!$F$4:$F$2635))+SUMPRODUCT(-('Diário 2º PA'!$E$4:$E$3040='Analítico Cx.'!$B101),-('Diário 2º PA'!$P$4:$P$3040=G$1),('Diário 2º PA'!$F$4:$F$3040))+SUMPRODUCT(-('Diário 3º PA'!$E$4:$E$2731='Analítico Cx.'!$B101),-('Diário 3º PA'!$P$4:$P$2731=G$1),('Diário 3º PA'!$F$4:$F$2731))+SUMPRODUCT(-('Diário 4º PA'!$E$4:$E$2564='Analítico Cx.'!$B101),-('Diário 4º PA'!$P$4:$P$2564=G$1),('Diário 4º PA'!$F$4:$F$2564))</f>
        <v>0</v>
      </c>
      <c r="H101" s="183">
        <f>SUMPRODUCT(-('Diário 1º PA'!$E$4:$E$2635='Analítico Cx.'!$B101),-('Diário 1º PA'!$P$4:$P$2635=H$1),('Diário 1º PA'!$F$4:$F$2635))+SUMPRODUCT(-('Diário 2º PA'!$E$4:$E$3040='Analítico Cx.'!$B101),-('Diário 2º PA'!$P$4:$P$3040=H$1),('Diário 2º PA'!$F$4:$F$3040))+SUMPRODUCT(-('Diário 3º PA'!$E$4:$E$2731='Analítico Cx.'!$B101),-('Diário 3º PA'!$P$4:$P$2731=H$1),('Diário 3º PA'!$F$4:$F$2731))+SUMPRODUCT(-('Diário 4º PA'!$E$4:$E$2564='Analítico Cx.'!$B101),-('Diário 4º PA'!$P$4:$P$2564=H$1),('Diário 4º PA'!$F$4:$F$2564))</f>
        <v>0</v>
      </c>
      <c r="I101" s="183">
        <f>SUMPRODUCT(-('Diário 1º PA'!$E$4:$E$2635='Analítico Cx.'!$B101),-('Diário 1º PA'!$P$4:$P$2635=I$1),('Diário 1º PA'!$F$4:$F$2635))+SUMPRODUCT(-('Diário 2º PA'!$E$4:$E$3040='Analítico Cx.'!$B101),-('Diário 2º PA'!$P$4:$P$3040=I$1),('Diário 2º PA'!$F$4:$F$3040))+SUMPRODUCT(-('Diário 3º PA'!$E$4:$E$2731='Analítico Cx.'!$B101),-('Diário 3º PA'!$P$4:$P$2731=I$1),('Diário 3º PA'!$F$4:$F$2731))+SUMPRODUCT(-('Diário 4º PA'!$E$4:$E$2564='Analítico Cx.'!$B101),-('Diário 4º PA'!$P$4:$P$2564=I$1),('Diário 4º PA'!$F$4:$F$2564))</f>
        <v>0</v>
      </c>
      <c r="J101" s="183">
        <f>SUMPRODUCT(-('Diário 1º PA'!$E$4:$E$2635='Analítico Cx.'!$B101),-('Diário 1º PA'!$P$4:$P$2635=J$1),('Diário 1º PA'!$F$4:$F$2635))+SUMPRODUCT(-('Diário 2º PA'!$E$4:$E$3040='Analítico Cx.'!$B101),-('Diário 2º PA'!$P$4:$P$3040=J$1),('Diário 2º PA'!$F$4:$F$3040))+SUMPRODUCT(-('Diário 3º PA'!$E$4:$E$2731='Analítico Cx.'!$B101),-('Diário 3º PA'!$P$4:$P$2731=J$1),('Diário 3º PA'!$F$4:$F$2731))+SUMPRODUCT(-('Diário 4º PA'!$E$4:$E$2564='Analítico Cx.'!$B101),-('Diário 4º PA'!$P$4:$P$2564=J$1),('Diário 4º PA'!$F$4:$F$2564))</f>
        <v>0</v>
      </c>
      <c r="K101" s="183">
        <f>SUMPRODUCT(-('Diário 1º PA'!$E$4:$E$2635='Analítico Cx.'!$B101),-('Diário 1º PA'!$P$4:$P$2635=K$1),('Diário 1º PA'!$F$4:$F$2635))+SUMPRODUCT(-('Diário 2º PA'!$E$4:$E$3040='Analítico Cx.'!$B101),-('Diário 2º PA'!$P$4:$P$3040=K$1),('Diário 2º PA'!$F$4:$F$3040))+SUMPRODUCT(-('Diário 3º PA'!$E$4:$E$2731='Analítico Cx.'!$B101),-('Diário 3º PA'!$P$4:$P$2731=K$1),('Diário 3º PA'!$F$4:$F$2731))+SUMPRODUCT(-('Diário 4º PA'!$E$4:$E$2564='Analítico Cx.'!$B101),-('Diário 4º PA'!$P$4:$P$2564=K$1),('Diário 4º PA'!$F$4:$F$2564))</f>
        <v>0</v>
      </c>
      <c r="L101" s="183">
        <f>SUMPRODUCT(-('Diário 1º PA'!$E$4:$E$2635='Analítico Cx.'!$B101),-('Diário 1º PA'!$P$4:$P$2635=L$1),('Diário 1º PA'!$F$4:$F$2635))+SUMPRODUCT(-('Diário 2º PA'!$E$4:$E$3040='Analítico Cx.'!$B101),-('Diário 2º PA'!$P$4:$P$3040=L$1),('Diário 2º PA'!$F$4:$F$3040))+SUMPRODUCT(-('Diário 3º PA'!$E$4:$E$2731='Analítico Cx.'!$B101),-('Diário 3º PA'!$P$4:$P$2731=L$1),('Diário 3º PA'!$F$4:$F$2731))+SUMPRODUCT(-('Diário 4º PA'!$E$4:$E$2564='Analítico Cx.'!$B101),-('Diário 4º PA'!$P$4:$P$2564=L$1),('Diário 4º PA'!$F$4:$F$2564))</f>
        <v>0</v>
      </c>
      <c r="M101" s="183">
        <f>SUMPRODUCT(-('Diário 1º PA'!$E$4:$E$2635='Analítico Cx.'!$B101),-('Diário 1º PA'!$P$4:$P$2635=M$1),('Diário 1º PA'!$F$4:$F$2635))+SUMPRODUCT(-('Diário 2º PA'!$E$4:$E$3040='Analítico Cx.'!$B101),-('Diário 2º PA'!$P$4:$P$3040=M$1),('Diário 2º PA'!$F$4:$F$3040))+SUMPRODUCT(-('Diário 3º PA'!$E$4:$E$2731='Analítico Cx.'!$B101),-('Diário 3º PA'!$P$4:$P$2731=M$1),('Diário 3º PA'!$F$4:$F$2731))+SUMPRODUCT(-('Diário 4º PA'!$E$4:$E$2564='Analítico Cx.'!$B101),-('Diário 4º PA'!$P$4:$P$2564=M$1),('Diário 4º PA'!$F$4:$F$2564))</f>
        <v>0</v>
      </c>
      <c r="N101" s="183">
        <f>SUMPRODUCT(-('Diário 1º PA'!$E$4:$E$2635='Analítico Cx.'!$B101),-('Diário 1º PA'!$P$4:$P$2635=N$1),('Diário 1º PA'!$F$4:$F$2635))+SUMPRODUCT(-('Diário 2º PA'!$E$4:$E$3040='Analítico Cx.'!$B101),-('Diário 2º PA'!$P$4:$P$3040=N$1),('Diário 2º PA'!$F$4:$F$3040))+SUMPRODUCT(-('Diário 3º PA'!$E$4:$E$2731='Analítico Cx.'!$B101),-('Diário 3º PA'!$P$4:$P$2731=N$1),('Diário 3º PA'!$F$4:$F$2731))+SUMPRODUCT(-('Diário 4º PA'!$E$4:$E$2564='Analítico Cx.'!$B101),-('Diário 4º PA'!$P$4:$P$2564=N$1),('Diário 4º PA'!$F$4:$F$2564))</f>
        <v>0</v>
      </c>
      <c r="O101" s="184">
        <f t="shared" si="16"/>
        <v>0</v>
      </c>
      <c r="P101" s="167">
        <f t="shared" si="17"/>
        <v>0</v>
      </c>
    </row>
    <row r="102" spans="1:16" ht="23.25" customHeight="1" x14ac:dyDescent="0.2">
      <c r="A102" s="61" t="s">
        <v>200</v>
      </c>
      <c r="B102" s="103" t="s">
        <v>0</v>
      </c>
      <c r="C102" s="183">
        <f>SUMPRODUCT(-('Diário 1º PA'!$E$4:$E$2635='Analítico Cx.'!$B102),-('Diário 1º PA'!$P$4:$P$2635=C$1),('Diário 1º PA'!$F$4:$F$2635))+SUMPRODUCT(-('Diário 2º PA'!$E$4:$E$3040='Analítico Cx.'!$B102),-('Diário 2º PA'!$P$4:$P$3040=C$1),('Diário 2º PA'!$F$4:$F$3040))+SUMPRODUCT(-('Diário 3º PA'!$E$4:$E$2731='Analítico Cx.'!$B102),-('Diário 3º PA'!$P$4:$P$2731=C$1),('Diário 3º PA'!$F$4:$F$2731))+SUMPRODUCT(-('Diário 4º PA'!$E$4:$E$2564='Analítico Cx.'!$B102),-('Diário 4º PA'!$P$4:$P$2564=C$1),('Diário 4º PA'!$F$4:$F$2564))</f>
        <v>0</v>
      </c>
      <c r="D102" s="183">
        <f>SUMPRODUCT(-('Diário 1º PA'!$E$4:$E$2635='Analítico Cx.'!$B102),-('Diário 1º PA'!$P$4:$P$2635=D$1),('Diário 1º PA'!$F$4:$F$2635))+SUMPRODUCT(-('Diário 2º PA'!$E$4:$E$3040='Analítico Cx.'!$B102),-('Diário 2º PA'!$P$4:$P$3040=D$1),('Diário 2º PA'!$F$4:$F$3040))+SUMPRODUCT(-('Diário 3º PA'!$E$4:$E$2731='Analítico Cx.'!$B102),-('Diário 3º PA'!$P$4:$P$2731=D$1),('Diário 3º PA'!$F$4:$F$2731))+SUMPRODUCT(-('Diário 4º PA'!$E$4:$E$2564='Analítico Cx.'!$B102),-('Diário 4º PA'!$P$4:$P$2564=D$1),('Diário 4º PA'!$F$4:$F$2564))</f>
        <v>0</v>
      </c>
      <c r="E102" s="183">
        <f>SUMPRODUCT(-('Diário 1º PA'!$E$4:$E$2635='Analítico Cx.'!$B102),-('Diário 1º PA'!$P$4:$P$2635=E$1),('Diário 1º PA'!$F$4:$F$2635))+SUMPRODUCT(-('Diário 2º PA'!$E$4:$E$3040='Analítico Cx.'!$B102),-('Diário 2º PA'!$P$4:$P$3040=E$1),('Diário 2º PA'!$F$4:$F$3040))+SUMPRODUCT(-('Diário 3º PA'!$E$4:$E$2731='Analítico Cx.'!$B102),-('Diário 3º PA'!$P$4:$P$2731=E$1),('Diário 3º PA'!$F$4:$F$2731))+SUMPRODUCT(-('Diário 4º PA'!$E$4:$E$2564='Analítico Cx.'!$B102),-('Diário 4º PA'!$P$4:$P$2564=E$1),('Diário 4º PA'!$F$4:$F$2564))</f>
        <v>0</v>
      </c>
      <c r="F102" s="183">
        <f>SUMPRODUCT(-('Diário 1º PA'!$E$4:$E$2635='Analítico Cx.'!$B102),-('Diário 1º PA'!$P$4:$P$2635=F$1),('Diário 1º PA'!$F$4:$F$2635))+SUMPRODUCT(-('Diário 2º PA'!$E$4:$E$3040='Analítico Cx.'!$B102),-('Diário 2º PA'!$P$4:$P$3040=F$1),('Diário 2º PA'!$F$4:$F$3040))+SUMPRODUCT(-('Diário 3º PA'!$E$4:$E$2731='Analítico Cx.'!$B102),-('Diário 3º PA'!$P$4:$P$2731=F$1),('Diário 3º PA'!$F$4:$F$2731))+SUMPRODUCT(-('Diário 4º PA'!$E$4:$E$2564='Analítico Cx.'!$B102),-('Diário 4º PA'!$P$4:$P$2564=F$1),('Diário 4º PA'!$F$4:$F$2564))</f>
        <v>1499.88</v>
      </c>
      <c r="G102" s="183">
        <f>SUMPRODUCT(-('Diário 1º PA'!$E$4:$E$2635='Analítico Cx.'!$B102),-('Diário 1º PA'!$P$4:$P$2635=G$1),('Diário 1º PA'!$F$4:$F$2635))+SUMPRODUCT(-('Diário 2º PA'!$E$4:$E$3040='Analítico Cx.'!$B102),-('Diário 2º PA'!$P$4:$P$3040=G$1),('Diário 2º PA'!$F$4:$F$3040))+SUMPRODUCT(-('Diário 3º PA'!$E$4:$E$2731='Analítico Cx.'!$B102),-('Diário 3º PA'!$P$4:$P$2731=G$1),('Diário 3º PA'!$F$4:$F$2731))+SUMPRODUCT(-('Diário 4º PA'!$E$4:$E$2564='Analítico Cx.'!$B102),-('Diário 4º PA'!$P$4:$P$2564=G$1),('Diário 4º PA'!$F$4:$F$2564))</f>
        <v>529.79999999999995</v>
      </c>
      <c r="H102" s="183">
        <f>SUMPRODUCT(-('Diário 1º PA'!$E$4:$E$2635='Analítico Cx.'!$B102),-('Diário 1º PA'!$P$4:$P$2635=H$1),('Diário 1º PA'!$F$4:$F$2635))+SUMPRODUCT(-('Diário 2º PA'!$E$4:$E$3040='Analítico Cx.'!$B102),-('Diário 2º PA'!$P$4:$P$3040=H$1),('Diário 2º PA'!$F$4:$F$3040))+SUMPRODUCT(-('Diário 3º PA'!$E$4:$E$2731='Analítico Cx.'!$B102),-('Diário 3º PA'!$P$4:$P$2731=H$1),('Diário 3º PA'!$F$4:$F$2731))+SUMPRODUCT(-('Diário 4º PA'!$E$4:$E$2564='Analítico Cx.'!$B102),-('Diário 4º PA'!$P$4:$P$2564=H$1),('Diário 4º PA'!$F$4:$F$2564))</f>
        <v>0</v>
      </c>
      <c r="I102" s="183">
        <f>SUMPRODUCT(-('Diário 1º PA'!$E$4:$E$2635='Analítico Cx.'!$B102),-('Diário 1º PA'!$P$4:$P$2635=I$1),('Diário 1º PA'!$F$4:$F$2635))+SUMPRODUCT(-('Diário 2º PA'!$E$4:$E$3040='Analítico Cx.'!$B102),-('Diário 2º PA'!$P$4:$P$3040=I$1),('Diário 2º PA'!$F$4:$F$3040))+SUMPRODUCT(-('Diário 3º PA'!$E$4:$E$2731='Analítico Cx.'!$B102),-('Diário 3º PA'!$P$4:$P$2731=I$1),('Diário 3º PA'!$F$4:$F$2731))+SUMPRODUCT(-('Diário 4º PA'!$E$4:$E$2564='Analítico Cx.'!$B102),-('Diário 4º PA'!$P$4:$P$2564=I$1),('Diário 4º PA'!$F$4:$F$2564))</f>
        <v>0</v>
      </c>
      <c r="J102" s="183">
        <f>SUMPRODUCT(-('Diário 1º PA'!$E$4:$E$2635='Analítico Cx.'!$B102),-('Diário 1º PA'!$P$4:$P$2635=J$1),('Diário 1º PA'!$F$4:$F$2635))+SUMPRODUCT(-('Diário 2º PA'!$E$4:$E$3040='Analítico Cx.'!$B102),-('Diário 2º PA'!$P$4:$P$3040=J$1),('Diário 2º PA'!$F$4:$F$3040))+SUMPRODUCT(-('Diário 3º PA'!$E$4:$E$2731='Analítico Cx.'!$B102),-('Diário 3º PA'!$P$4:$P$2731=J$1),('Diário 3º PA'!$F$4:$F$2731))+SUMPRODUCT(-('Diário 4º PA'!$E$4:$E$2564='Analítico Cx.'!$B102),-('Diário 4º PA'!$P$4:$P$2564=J$1),('Diário 4º PA'!$F$4:$F$2564))</f>
        <v>0</v>
      </c>
      <c r="K102" s="183">
        <f>SUMPRODUCT(-('Diário 1º PA'!$E$4:$E$2635='Analítico Cx.'!$B102),-('Diário 1º PA'!$P$4:$P$2635=K$1),('Diário 1º PA'!$F$4:$F$2635))+SUMPRODUCT(-('Diário 2º PA'!$E$4:$E$3040='Analítico Cx.'!$B102),-('Diário 2º PA'!$P$4:$P$3040=K$1),('Diário 2º PA'!$F$4:$F$3040))+SUMPRODUCT(-('Diário 3º PA'!$E$4:$E$2731='Analítico Cx.'!$B102),-('Diário 3º PA'!$P$4:$P$2731=K$1),('Diário 3º PA'!$F$4:$F$2731))+SUMPRODUCT(-('Diário 4º PA'!$E$4:$E$2564='Analítico Cx.'!$B102),-('Diário 4º PA'!$P$4:$P$2564=K$1),('Diário 4º PA'!$F$4:$F$2564))</f>
        <v>0</v>
      </c>
      <c r="L102" s="183">
        <f>SUMPRODUCT(-('Diário 1º PA'!$E$4:$E$2635='Analítico Cx.'!$B102),-('Diário 1º PA'!$P$4:$P$2635=L$1),('Diário 1º PA'!$F$4:$F$2635))+SUMPRODUCT(-('Diário 2º PA'!$E$4:$E$3040='Analítico Cx.'!$B102),-('Diário 2º PA'!$P$4:$P$3040=L$1),('Diário 2º PA'!$F$4:$F$3040))+SUMPRODUCT(-('Diário 3º PA'!$E$4:$E$2731='Analítico Cx.'!$B102),-('Diário 3º PA'!$P$4:$P$2731=L$1),('Diário 3º PA'!$F$4:$F$2731))+SUMPRODUCT(-('Diário 4º PA'!$E$4:$E$2564='Analítico Cx.'!$B102),-('Diário 4º PA'!$P$4:$P$2564=L$1),('Diário 4º PA'!$F$4:$F$2564))</f>
        <v>0</v>
      </c>
      <c r="M102" s="183">
        <f>SUMPRODUCT(-('Diário 1º PA'!$E$4:$E$2635='Analítico Cx.'!$B102),-('Diário 1º PA'!$P$4:$P$2635=M$1),('Diário 1º PA'!$F$4:$F$2635))+SUMPRODUCT(-('Diário 2º PA'!$E$4:$E$3040='Analítico Cx.'!$B102),-('Diário 2º PA'!$P$4:$P$3040=M$1),('Diário 2º PA'!$F$4:$F$3040))+SUMPRODUCT(-('Diário 3º PA'!$E$4:$E$2731='Analítico Cx.'!$B102),-('Diário 3º PA'!$P$4:$P$2731=M$1),('Diário 3º PA'!$F$4:$F$2731))+SUMPRODUCT(-('Diário 4º PA'!$E$4:$E$2564='Analítico Cx.'!$B102),-('Diário 4º PA'!$P$4:$P$2564=M$1),('Diário 4º PA'!$F$4:$F$2564))</f>
        <v>0</v>
      </c>
      <c r="N102" s="183">
        <f>SUMPRODUCT(-('Diário 1º PA'!$E$4:$E$2635='Analítico Cx.'!$B102),-('Diário 1º PA'!$P$4:$P$2635=N$1),('Diário 1º PA'!$F$4:$F$2635))+SUMPRODUCT(-('Diário 2º PA'!$E$4:$E$3040='Analítico Cx.'!$B102),-('Diário 2º PA'!$P$4:$P$3040=N$1),('Diário 2º PA'!$F$4:$F$3040))+SUMPRODUCT(-('Diário 3º PA'!$E$4:$E$2731='Analítico Cx.'!$B102),-('Diário 3º PA'!$P$4:$P$2731=N$1),('Diário 3º PA'!$F$4:$F$2731))+SUMPRODUCT(-('Diário 4º PA'!$E$4:$E$2564='Analítico Cx.'!$B102),-('Diário 4º PA'!$P$4:$P$2564=N$1),('Diário 4º PA'!$F$4:$F$2564))</f>
        <v>50</v>
      </c>
      <c r="O102" s="184">
        <f t="shared" si="16"/>
        <v>2079.6800000000003</v>
      </c>
      <c r="P102" s="167">
        <f t="shared" si="17"/>
        <v>1.6380608840233093E-4</v>
      </c>
    </row>
    <row r="103" spans="1:16" ht="23.25" customHeight="1" x14ac:dyDescent="0.2">
      <c r="A103" s="61" t="s">
        <v>201</v>
      </c>
      <c r="B103" s="104" t="s">
        <v>89</v>
      </c>
      <c r="C103" s="183">
        <f>SUMPRODUCT(-('Diário 1º PA'!$E$4:$E$2635='Analítico Cx.'!$B103),-('Diário 1º PA'!$P$4:$P$2635=C$1),('Diário 1º PA'!$F$4:$F$2635))+SUMPRODUCT(-('Diário 2º PA'!$E$4:$E$3040='Analítico Cx.'!$B103),-('Diário 2º PA'!$P$4:$P$3040=C$1),('Diário 2º PA'!$F$4:$F$3040))+SUMPRODUCT(-('Diário 3º PA'!$E$4:$E$2731='Analítico Cx.'!$B103),-('Diário 3º PA'!$P$4:$P$2731=C$1),('Diário 3º PA'!$F$4:$F$2731))+SUMPRODUCT(-('Diário 4º PA'!$E$4:$E$2564='Analítico Cx.'!$B103),-('Diário 4º PA'!$P$4:$P$2564=C$1),('Diário 4º PA'!$F$4:$F$2564))</f>
        <v>0</v>
      </c>
      <c r="D103" s="183">
        <f>SUMPRODUCT(-('Diário 1º PA'!$E$4:$E$2635='Analítico Cx.'!$B103),-('Diário 1º PA'!$P$4:$P$2635=D$1),('Diário 1º PA'!$F$4:$F$2635))+SUMPRODUCT(-('Diário 2º PA'!$E$4:$E$3040='Analítico Cx.'!$B103),-('Diário 2º PA'!$P$4:$P$3040=D$1),('Diário 2º PA'!$F$4:$F$3040))+SUMPRODUCT(-('Diário 3º PA'!$E$4:$E$2731='Analítico Cx.'!$B103),-('Diário 3º PA'!$P$4:$P$2731=D$1),('Diário 3º PA'!$F$4:$F$2731))+SUMPRODUCT(-('Diário 4º PA'!$E$4:$E$2564='Analítico Cx.'!$B103),-('Diário 4º PA'!$P$4:$P$2564=D$1),('Diário 4º PA'!$F$4:$F$2564))</f>
        <v>0</v>
      </c>
      <c r="E103" s="183">
        <f>SUMPRODUCT(-('Diário 1º PA'!$E$4:$E$2635='Analítico Cx.'!$B103),-('Diário 1º PA'!$P$4:$P$2635=E$1),('Diário 1º PA'!$F$4:$F$2635))+SUMPRODUCT(-('Diário 2º PA'!$E$4:$E$3040='Analítico Cx.'!$B103),-('Diário 2º PA'!$P$4:$P$3040=E$1),('Diário 2º PA'!$F$4:$F$3040))+SUMPRODUCT(-('Diário 3º PA'!$E$4:$E$2731='Analítico Cx.'!$B103),-('Diário 3º PA'!$P$4:$P$2731=E$1),('Diário 3º PA'!$F$4:$F$2731))+SUMPRODUCT(-('Diário 4º PA'!$E$4:$E$2564='Analítico Cx.'!$B103),-('Diário 4º PA'!$P$4:$P$2564=E$1),('Diário 4º PA'!$F$4:$F$2564))</f>
        <v>0</v>
      </c>
      <c r="F103" s="183">
        <f>SUMPRODUCT(-('Diário 1º PA'!$E$4:$E$2635='Analítico Cx.'!$B103),-('Diário 1º PA'!$P$4:$P$2635=F$1),('Diário 1º PA'!$F$4:$F$2635))+SUMPRODUCT(-('Diário 2º PA'!$E$4:$E$3040='Analítico Cx.'!$B103),-('Diário 2º PA'!$P$4:$P$3040=F$1),('Diário 2º PA'!$F$4:$F$3040))+SUMPRODUCT(-('Diário 3º PA'!$E$4:$E$2731='Analítico Cx.'!$B103),-('Diário 3º PA'!$P$4:$P$2731=F$1),('Diário 3º PA'!$F$4:$F$2731))+SUMPRODUCT(-('Diário 4º PA'!$E$4:$E$2564='Analítico Cx.'!$B103),-('Diário 4º PA'!$P$4:$P$2564=F$1),('Diário 4º PA'!$F$4:$F$2564))</f>
        <v>0</v>
      </c>
      <c r="G103" s="183">
        <f>SUMPRODUCT(-('Diário 1º PA'!$E$4:$E$2635='Analítico Cx.'!$B103),-('Diário 1º PA'!$P$4:$P$2635=G$1),('Diário 1º PA'!$F$4:$F$2635))+SUMPRODUCT(-('Diário 2º PA'!$E$4:$E$3040='Analítico Cx.'!$B103),-('Diário 2º PA'!$P$4:$P$3040=G$1),('Diário 2º PA'!$F$4:$F$3040))+SUMPRODUCT(-('Diário 3º PA'!$E$4:$E$2731='Analítico Cx.'!$B103),-('Diário 3º PA'!$P$4:$P$2731=G$1),('Diário 3º PA'!$F$4:$F$2731))+SUMPRODUCT(-('Diário 4º PA'!$E$4:$E$2564='Analítico Cx.'!$B103),-('Diário 4º PA'!$P$4:$P$2564=G$1),('Diário 4º PA'!$F$4:$F$2564))</f>
        <v>0</v>
      </c>
      <c r="H103" s="183">
        <f>SUMPRODUCT(-('Diário 1º PA'!$E$4:$E$2635='Analítico Cx.'!$B103),-('Diário 1º PA'!$P$4:$P$2635=H$1),('Diário 1º PA'!$F$4:$F$2635))+SUMPRODUCT(-('Diário 2º PA'!$E$4:$E$3040='Analítico Cx.'!$B103),-('Diário 2º PA'!$P$4:$P$3040=H$1),('Diário 2º PA'!$F$4:$F$3040))+SUMPRODUCT(-('Diário 3º PA'!$E$4:$E$2731='Analítico Cx.'!$B103),-('Diário 3º PA'!$P$4:$P$2731=H$1),('Diário 3º PA'!$F$4:$F$2731))+SUMPRODUCT(-('Diário 4º PA'!$E$4:$E$2564='Analítico Cx.'!$B103),-('Diário 4º PA'!$P$4:$P$2564=H$1),('Diário 4º PA'!$F$4:$F$2564))</f>
        <v>0</v>
      </c>
      <c r="I103" s="183">
        <f>SUMPRODUCT(-('Diário 1º PA'!$E$4:$E$2635='Analítico Cx.'!$B103),-('Diário 1º PA'!$P$4:$P$2635=I$1),('Diário 1º PA'!$F$4:$F$2635))+SUMPRODUCT(-('Diário 2º PA'!$E$4:$E$3040='Analítico Cx.'!$B103),-('Diário 2º PA'!$P$4:$P$3040=I$1),('Diário 2º PA'!$F$4:$F$3040))+SUMPRODUCT(-('Diário 3º PA'!$E$4:$E$2731='Analítico Cx.'!$B103),-('Diário 3º PA'!$P$4:$P$2731=I$1),('Diário 3º PA'!$F$4:$F$2731))+SUMPRODUCT(-('Diário 4º PA'!$E$4:$E$2564='Analítico Cx.'!$B103),-('Diário 4º PA'!$P$4:$P$2564=I$1),('Diário 4º PA'!$F$4:$F$2564))</f>
        <v>0</v>
      </c>
      <c r="J103" s="183">
        <f>SUMPRODUCT(-('Diário 1º PA'!$E$4:$E$2635='Analítico Cx.'!$B103),-('Diário 1º PA'!$P$4:$P$2635=J$1),('Diário 1º PA'!$F$4:$F$2635))+SUMPRODUCT(-('Diário 2º PA'!$E$4:$E$3040='Analítico Cx.'!$B103),-('Diário 2º PA'!$P$4:$P$3040=J$1),('Diário 2º PA'!$F$4:$F$3040))+SUMPRODUCT(-('Diário 3º PA'!$E$4:$E$2731='Analítico Cx.'!$B103),-('Diário 3º PA'!$P$4:$P$2731=J$1),('Diário 3º PA'!$F$4:$F$2731))+SUMPRODUCT(-('Diário 4º PA'!$E$4:$E$2564='Analítico Cx.'!$B103),-('Diário 4º PA'!$P$4:$P$2564=J$1),('Diário 4º PA'!$F$4:$F$2564))</f>
        <v>0</v>
      </c>
      <c r="K103" s="183">
        <f>SUMPRODUCT(-('Diário 1º PA'!$E$4:$E$2635='Analítico Cx.'!$B103),-('Diário 1º PA'!$P$4:$P$2635=K$1),('Diário 1º PA'!$F$4:$F$2635))+SUMPRODUCT(-('Diário 2º PA'!$E$4:$E$3040='Analítico Cx.'!$B103),-('Diário 2º PA'!$P$4:$P$3040=K$1),('Diário 2º PA'!$F$4:$F$3040))+SUMPRODUCT(-('Diário 3º PA'!$E$4:$E$2731='Analítico Cx.'!$B103),-('Diário 3º PA'!$P$4:$P$2731=K$1),('Diário 3º PA'!$F$4:$F$2731))+SUMPRODUCT(-('Diário 4º PA'!$E$4:$E$2564='Analítico Cx.'!$B103),-('Diário 4º PA'!$P$4:$P$2564=K$1),('Diário 4º PA'!$F$4:$F$2564))</f>
        <v>0</v>
      </c>
      <c r="L103" s="183">
        <f>SUMPRODUCT(-('Diário 1º PA'!$E$4:$E$2635='Analítico Cx.'!$B103),-('Diário 1º PA'!$P$4:$P$2635=L$1),('Diário 1º PA'!$F$4:$F$2635))+SUMPRODUCT(-('Diário 2º PA'!$E$4:$E$3040='Analítico Cx.'!$B103),-('Diário 2º PA'!$P$4:$P$3040=L$1),('Diário 2º PA'!$F$4:$F$3040))+SUMPRODUCT(-('Diário 3º PA'!$E$4:$E$2731='Analítico Cx.'!$B103),-('Diário 3º PA'!$P$4:$P$2731=L$1),('Diário 3º PA'!$F$4:$F$2731))+SUMPRODUCT(-('Diário 4º PA'!$E$4:$E$2564='Analítico Cx.'!$B103),-('Diário 4º PA'!$P$4:$P$2564=L$1),('Diário 4º PA'!$F$4:$F$2564))</f>
        <v>0</v>
      </c>
      <c r="M103" s="183">
        <f>SUMPRODUCT(-('Diário 1º PA'!$E$4:$E$2635='Analítico Cx.'!$B103),-('Diário 1º PA'!$P$4:$P$2635=M$1),('Diário 1º PA'!$F$4:$F$2635))+SUMPRODUCT(-('Diário 2º PA'!$E$4:$E$3040='Analítico Cx.'!$B103),-('Diário 2º PA'!$P$4:$P$3040=M$1),('Diário 2º PA'!$F$4:$F$3040))+SUMPRODUCT(-('Diário 3º PA'!$E$4:$E$2731='Analítico Cx.'!$B103),-('Diário 3º PA'!$P$4:$P$2731=M$1),('Diário 3º PA'!$F$4:$F$2731))+SUMPRODUCT(-('Diário 4º PA'!$E$4:$E$2564='Analítico Cx.'!$B103),-('Diário 4º PA'!$P$4:$P$2564=M$1),('Diário 4º PA'!$F$4:$F$2564))</f>
        <v>0</v>
      </c>
      <c r="N103" s="183">
        <f>SUMPRODUCT(-('Diário 1º PA'!$E$4:$E$2635='Analítico Cx.'!$B103),-('Diário 1º PA'!$P$4:$P$2635=N$1),('Diário 1º PA'!$F$4:$F$2635))+SUMPRODUCT(-('Diário 2º PA'!$E$4:$E$3040='Analítico Cx.'!$B103),-('Diário 2º PA'!$P$4:$P$3040=N$1),('Diário 2º PA'!$F$4:$F$3040))+SUMPRODUCT(-('Diário 3º PA'!$E$4:$E$2731='Analítico Cx.'!$B103),-('Diário 3º PA'!$P$4:$P$2731=N$1),('Diário 3º PA'!$F$4:$F$2731))+SUMPRODUCT(-('Diário 4º PA'!$E$4:$E$2564='Analítico Cx.'!$B103),-('Diário 4º PA'!$P$4:$P$2564=N$1),('Diário 4º PA'!$F$4:$F$2564))</f>
        <v>0</v>
      </c>
      <c r="O103" s="184">
        <f t="shared" si="16"/>
        <v>0</v>
      </c>
      <c r="P103" s="167">
        <f t="shared" si="17"/>
        <v>0</v>
      </c>
    </row>
    <row r="104" spans="1:16" ht="23.25" customHeight="1" x14ac:dyDescent="0.2">
      <c r="A104" s="61" t="s">
        <v>202</v>
      </c>
      <c r="B104" s="105" t="s">
        <v>223</v>
      </c>
      <c r="C104" s="183">
        <f>SUMPRODUCT(-('Diário 1º PA'!$E$4:$E$2635='Analítico Cx.'!$B104),-('Diário 1º PA'!$P$4:$P$2635=C$1),('Diário 1º PA'!$F$4:$F$2635))+SUMPRODUCT(-('Diário 2º PA'!$E$4:$E$3040='Analítico Cx.'!$B104),-('Diário 2º PA'!$P$4:$P$3040=C$1),('Diário 2º PA'!$F$4:$F$3040))+SUMPRODUCT(-('Diário 3º PA'!$E$4:$E$2731='Analítico Cx.'!$B104),-('Diário 3º PA'!$P$4:$P$2731=C$1),('Diário 3º PA'!$F$4:$F$2731))+SUMPRODUCT(-('Diário 4º PA'!$E$4:$E$2564='Analítico Cx.'!$B104),-('Diário 4º PA'!$P$4:$P$2564=C$1),('Diário 4º PA'!$F$4:$F$2564))</f>
        <v>0</v>
      </c>
      <c r="D104" s="183">
        <f>SUMPRODUCT(-('Diário 1º PA'!$E$4:$E$2635='Analítico Cx.'!$B104),-('Diário 1º PA'!$P$4:$P$2635=D$1),('Diário 1º PA'!$F$4:$F$2635))+SUMPRODUCT(-('Diário 2º PA'!$E$4:$E$3040='Analítico Cx.'!$B104),-('Diário 2º PA'!$P$4:$P$3040=D$1),('Diário 2º PA'!$F$4:$F$3040))+SUMPRODUCT(-('Diário 3º PA'!$E$4:$E$2731='Analítico Cx.'!$B104),-('Diário 3º PA'!$P$4:$P$2731=D$1),('Diário 3º PA'!$F$4:$F$2731))+SUMPRODUCT(-('Diário 4º PA'!$E$4:$E$2564='Analítico Cx.'!$B104),-('Diário 4º PA'!$P$4:$P$2564=D$1),('Diário 4º PA'!$F$4:$F$2564))</f>
        <v>0</v>
      </c>
      <c r="E104" s="183">
        <f>SUMPRODUCT(-('Diário 1º PA'!$E$4:$E$2635='Analítico Cx.'!$B104),-('Diário 1º PA'!$P$4:$P$2635=E$1),('Diário 1º PA'!$F$4:$F$2635))+SUMPRODUCT(-('Diário 2º PA'!$E$4:$E$3040='Analítico Cx.'!$B104),-('Diário 2º PA'!$P$4:$P$3040=E$1),('Diário 2º PA'!$F$4:$F$3040))+SUMPRODUCT(-('Diário 3º PA'!$E$4:$E$2731='Analítico Cx.'!$B104),-('Diário 3º PA'!$P$4:$P$2731=E$1),('Diário 3º PA'!$F$4:$F$2731))+SUMPRODUCT(-('Diário 4º PA'!$E$4:$E$2564='Analítico Cx.'!$B104),-('Diário 4º PA'!$P$4:$P$2564=E$1),('Diário 4º PA'!$F$4:$F$2564))</f>
        <v>0</v>
      </c>
      <c r="F104" s="183">
        <f>SUMPRODUCT(-('Diário 1º PA'!$E$4:$E$2635='Analítico Cx.'!$B104),-('Diário 1º PA'!$P$4:$P$2635=F$1),('Diário 1º PA'!$F$4:$F$2635))+SUMPRODUCT(-('Diário 2º PA'!$E$4:$E$3040='Analítico Cx.'!$B104),-('Diário 2º PA'!$P$4:$P$3040=F$1),('Diário 2º PA'!$F$4:$F$3040))+SUMPRODUCT(-('Diário 3º PA'!$E$4:$E$2731='Analítico Cx.'!$B104),-('Diário 3º PA'!$P$4:$P$2731=F$1),('Diário 3º PA'!$F$4:$F$2731))+SUMPRODUCT(-('Diário 4º PA'!$E$4:$E$2564='Analítico Cx.'!$B104),-('Diário 4º PA'!$P$4:$P$2564=F$1),('Diário 4º PA'!$F$4:$F$2564))</f>
        <v>0</v>
      </c>
      <c r="G104" s="183">
        <f>SUMPRODUCT(-('Diário 1º PA'!$E$4:$E$2635='Analítico Cx.'!$B104),-('Diário 1º PA'!$P$4:$P$2635=G$1),('Diário 1º PA'!$F$4:$F$2635))+SUMPRODUCT(-('Diário 2º PA'!$E$4:$E$3040='Analítico Cx.'!$B104),-('Diário 2º PA'!$P$4:$P$3040=G$1),('Diário 2º PA'!$F$4:$F$3040))+SUMPRODUCT(-('Diário 3º PA'!$E$4:$E$2731='Analítico Cx.'!$B104),-('Diário 3º PA'!$P$4:$P$2731=G$1),('Diário 3º PA'!$F$4:$F$2731))+SUMPRODUCT(-('Diário 4º PA'!$E$4:$E$2564='Analítico Cx.'!$B104),-('Diário 4º PA'!$P$4:$P$2564=G$1),('Diário 4º PA'!$F$4:$F$2564))</f>
        <v>0</v>
      </c>
      <c r="H104" s="183">
        <f>SUMPRODUCT(-('Diário 1º PA'!$E$4:$E$2635='Analítico Cx.'!$B104),-('Diário 1º PA'!$P$4:$P$2635=H$1),('Diário 1º PA'!$F$4:$F$2635))+SUMPRODUCT(-('Diário 2º PA'!$E$4:$E$3040='Analítico Cx.'!$B104),-('Diário 2º PA'!$P$4:$P$3040=H$1),('Diário 2º PA'!$F$4:$F$3040))+SUMPRODUCT(-('Diário 3º PA'!$E$4:$E$2731='Analítico Cx.'!$B104),-('Diário 3º PA'!$P$4:$P$2731=H$1),('Diário 3º PA'!$F$4:$F$2731))+SUMPRODUCT(-('Diário 4º PA'!$E$4:$E$2564='Analítico Cx.'!$B104),-('Diário 4º PA'!$P$4:$P$2564=H$1),('Diário 4º PA'!$F$4:$F$2564))</f>
        <v>0</v>
      </c>
      <c r="I104" s="183">
        <f>SUMPRODUCT(-('Diário 1º PA'!$E$4:$E$2635='Analítico Cx.'!$B104),-('Diário 1º PA'!$P$4:$P$2635=I$1),('Diário 1º PA'!$F$4:$F$2635))+SUMPRODUCT(-('Diário 2º PA'!$E$4:$E$3040='Analítico Cx.'!$B104),-('Diário 2º PA'!$P$4:$P$3040=I$1),('Diário 2º PA'!$F$4:$F$3040))+SUMPRODUCT(-('Diário 3º PA'!$E$4:$E$2731='Analítico Cx.'!$B104),-('Diário 3º PA'!$P$4:$P$2731=I$1),('Diário 3º PA'!$F$4:$F$2731))+SUMPRODUCT(-('Diário 4º PA'!$E$4:$E$2564='Analítico Cx.'!$B104),-('Diário 4º PA'!$P$4:$P$2564=I$1),('Diário 4º PA'!$F$4:$F$2564))</f>
        <v>0</v>
      </c>
      <c r="J104" s="183">
        <f>SUMPRODUCT(-('Diário 1º PA'!$E$4:$E$2635='Analítico Cx.'!$B104),-('Diário 1º PA'!$P$4:$P$2635=J$1),('Diário 1º PA'!$F$4:$F$2635))+SUMPRODUCT(-('Diário 2º PA'!$E$4:$E$3040='Analítico Cx.'!$B104),-('Diário 2º PA'!$P$4:$P$3040=J$1),('Diário 2º PA'!$F$4:$F$3040))+SUMPRODUCT(-('Diário 3º PA'!$E$4:$E$2731='Analítico Cx.'!$B104),-('Diário 3º PA'!$P$4:$P$2731=J$1),('Diário 3º PA'!$F$4:$F$2731))+SUMPRODUCT(-('Diário 4º PA'!$E$4:$E$2564='Analítico Cx.'!$B104),-('Diário 4º PA'!$P$4:$P$2564=J$1),('Diário 4º PA'!$F$4:$F$2564))</f>
        <v>0</v>
      </c>
      <c r="K104" s="183">
        <f>SUMPRODUCT(-('Diário 1º PA'!$E$4:$E$2635='Analítico Cx.'!$B104),-('Diário 1º PA'!$P$4:$P$2635=K$1),('Diário 1º PA'!$F$4:$F$2635))+SUMPRODUCT(-('Diário 2º PA'!$E$4:$E$3040='Analítico Cx.'!$B104),-('Diário 2º PA'!$P$4:$P$3040=K$1),('Diário 2º PA'!$F$4:$F$3040))+SUMPRODUCT(-('Diário 3º PA'!$E$4:$E$2731='Analítico Cx.'!$B104),-('Diário 3º PA'!$P$4:$P$2731=K$1),('Diário 3º PA'!$F$4:$F$2731))+SUMPRODUCT(-('Diário 4º PA'!$E$4:$E$2564='Analítico Cx.'!$B104),-('Diário 4º PA'!$P$4:$P$2564=K$1),('Diário 4º PA'!$F$4:$F$2564))</f>
        <v>0</v>
      </c>
      <c r="L104" s="183">
        <f>SUMPRODUCT(-('Diário 1º PA'!$E$4:$E$2635='Analítico Cx.'!$B104),-('Diário 1º PA'!$P$4:$P$2635=L$1),('Diário 1º PA'!$F$4:$F$2635))+SUMPRODUCT(-('Diário 2º PA'!$E$4:$E$3040='Analítico Cx.'!$B104),-('Diário 2º PA'!$P$4:$P$3040=L$1),('Diário 2º PA'!$F$4:$F$3040))+SUMPRODUCT(-('Diário 3º PA'!$E$4:$E$2731='Analítico Cx.'!$B104),-('Diário 3º PA'!$P$4:$P$2731=L$1),('Diário 3º PA'!$F$4:$F$2731))+SUMPRODUCT(-('Diário 4º PA'!$E$4:$E$2564='Analítico Cx.'!$B104),-('Diário 4º PA'!$P$4:$P$2564=L$1),('Diário 4º PA'!$F$4:$F$2564))</f>
        <v>0</v>
      </c>
      <c r="M104" s="183">
        <f>SUMPRODUCT(-('Diário 1º PA'!$E$4:$E$2635='Analítico Cx.'!$B104),-('Diário 1º PA'!$P$4:$P$2635=M$1),('Diário 1º PA'!$F$4:$F$2635))+SUMPRODUCT(-('Diário 2º PA'!$E$4:$E$3040='Analítico Cx.'!$B104),-('Diário 2º PA'!$P$4:$P$3040=M$1),('Diário 2º PA'!$F$4:$F$3040))+SUMPRODUCT(-('Diário 3º PA'!$E$4:$E$2731='Analítico Cx.'!$B104),-('Diário 3º PA'!$P$4:$P$2731=M$1),('Diário 3º PA'!$F$4:$F$2731))+SUMPRODUCT(-('Diário 4º PA'!$E$4:$E$2564='Analítico Cx.'!$B104),-('Diário 4º PA'!$P$4:$P$2564=M$1),('Diário 4º PA'!$F$4:$F$2564))</f>
        <v>0</v>
      </c>
      <c r="N104" s="183">
        <f>SUMPRODUCT(-('Diário 1º PA'!$E$4:$E$2635='Analítico Cx.'!$B104),-('Diário 1º PA'!$P$4:$P$2635=N$1),('Diário 1º PA'!$F$4:$F$2635))+SUMPRODUCT(-('Diário 2º PA'!$E$4:$E$3040='Analítico Cx.'!$B104),-('Diário 2º PA'!$P$4:$P$3040=N$1),('Diário 2º PA'!$F$4:$F$3040))+SUMPRODUCT(-('Diário 3º PA'!$E$4:$E$2731='Analítico Cx.'!$B104),-('Diário 3º PA'!$P$4:$P$2731=N$1),('Diário 3º PA'!$F$4:$F$2731))+SUMPRODUCT(-('Diário 4º PA'!$E$4:$E$2564='Analítico Cx.'!$B104),-('Diário 4º PA'!$P$4:$P$2564=N$1),('Diário 4º PA'!$F$4:$F$2564))</f>
        <v>0</v>
      </c>
      <c r="O104" s="184">
        <f t="shared" si="16"/>
        <v>0</v>
      </c>
      <c r="P104" s="167">
        <f t="shared" si="17"/>
        <v>0</v>
      </c>
    </row>
    <row r="105" spans="1:16" ht="23.25" customHeight="1" x14ac:dyDescent="0.2">
      <c r="A105" s="61" t="s">
        <v>203</v>
      </c>
      <c r="B105" s="104" t="s">
        <v>264</v>
      </c>
      <c r="C105" s="183">
        <f>SUMPRODUCT(-('Diário 1º PA'!$E$4:$E$2635='Analítico Cx.'!$B105),-('Diário 1º PA'!$P$4:$P$2635=C$1),('Diário 1º PA'!$F$4:$F$2635))+SUMPRODUCT(-('Diário 2º PA'!$E$4:$E$3040='Analítico Cx.'!$B105),-('Diário 2º PA'!$P$4:$P$3040=C$1),('Diário 2º PA'!$F$4:$F$3040))+SUMPRODUCT(-('Diário 3º PA'!$E$4:$E$2731='Analítico Cx.'!$B105),-('Diário 3º PA'!$P$4:$P$2731=C$1),('Diário 3º PA'!$F$4:$F$2731))+SUMPRODUCT(-('Diário 4º PA'!$E$4:$E$2564='Analítico Cx.'!$B105),-('Diário 4º PA'!$P$4:$P$2564=C$1),('Diário 4º PA'!$F$4:$F$2564))</f>
        <v>0</v>
      </c>
      <c r="D105" s="183">
        <f>SUMPRODUCT(-('Diário 1º PA'!$E$4:$E$2635='Analítico Cx.'!$B105),-('Diário 1º PA'!$P$4:$P$2635=D$1),('Diário 1º PA'!$F$4:$F$2635))+SUMPRODUCT(-('Diário 2º PA'!$E$4:$E$3040='Analítico Cx.'!$B105),-('Diário 2º PA'!$P$4:$P$3040=D$1),('Diário 2º PA'!$F$4:$F$3040))+SUMPRODUCT(-('Diário 3º PA'!$E$4:$E$2731='Analítico Cx.'!$B105),-('Diário 3º PA'!$P$4:$P$2731=D$1),('Diário 3º PA'!$F$4:$F$2731))+SUMPRODUCT(-('Diário 4º PA'!$E$4:$E$2564='Analítico Cx.'!$B105),-('Diário 4º PA'!$P$4:$P$2564=D$1),('Diário 4º PA'!$F$4:$F$2564))</f>
        <v>0</v>
      </c>
      <c r="E105" s="183">
        <f>SUMPRODUCT(-('Diário 1º PA'!$E$4:$E$2635='Analítico Cx.'!$B105),-('Diário 1º PA'!$P$4:$P$2635=E$1),('Diário 1º PA'!$F$4:$F$2635))+SUMPRODUCT(-('Diário 2º PA'!$E$4:$E$3040='Analítico Cx.'!$B105),-('Diário 2º PA'!$P$4:$P$3040=E$1),('Diário 2º PA'!$F$4:$F$3040))+SUMPRODUCT(-('Diário 3º PA'!$E$4:$E$2731='Analítico Cx.'!$B105),-('Diário 3º PA'!$P$4:$P$2731=E$1),('Diário 3º PA'!$F$4:$F$2731))+SUMPRODUCT(-('Diário 4º PA'!$E$4:$E$2564='Analítico Cx.'!$B105),-('Diário 4º PA'!$P$4:$P$2564=E$1),('Diário 4º PA'!$F$4:$F$2564))</f>
        <v>0</v>
      </c>
      <c r="F105" s="183">
        <f>SUMPRODUCT(-('Diário 1º PA'!$E$4:$E$2635='Analítico Cx.'!$B105),-('Diário 1º PA'!$P$4:$P$2635=F$1),('Diário 1º PA'!$F$4:$F$2635))+SUMPRODUCT(-('Diário 2º PA'!$E$4:$E$3040='Analítico Cx.'!$B105),-('Diário 2º PA'!$P$4:$P$3040=F$1),('Diário 2º PA'!$F$4:$F$3040))+SUMPRODUCT(-('Diário 3º PA'!$E$4:$E$2731='Analítico Cx.'!$B105),-('Diário 3º PA'!$P$4:$P$2731=F$1),('Diário 3º PA'!$F$4:$F$2731))+SUMPRODUCT(-('Diário 4º PA'!$E$4:$E$2564='Analítico Cx.'!$B105),-('Diário 4º PA'!$P$4:$P$2564=F$1),('Diário 4º PA'!$F$4:$F$2564))</f>
        <v>0</v>
      </c>
      <c r="G105" s="183">
        <f>SUMPRODUCT(-('Diário 1º PA'!$E$4:$E$2635='Analítico Cx.'!$B105),-('Diário 1º PA'!$P$4:$P$2635=G$1),('Diário 1º PA'!$F$4:$F$2635))+SUMPRODUCT(-('Diário 2º PA'!$E$4:$E$3040='Analítico Cx.'!$B105),-('Diário 2º PA'!$P$4:$P$3040=G$1),('Diário 2º PA'!$F$4:$F$3040))+SUMPRODUCT(-('Diário 3º PA'!$E$4:$E$2731='Analítico Cx.'!$B105),-('Diário 3º PA'!$P$4:$P$2731=G$1),('Diário 3º PA'!$F$4:$F$2731))+SUMPRODUCT(-('Diário 4º PA'!$E$4:$E$2564='Analítico Cx.'!$B105),-('Diário 4º PA'!$P$4:$P$2564=G$1),('Diário 4º PA'!$F$4:$F$2564))</f>
        <v>0</v>
      </c>
      <c r="H105" s="183">
        <f>SUMPRODUCT(-('Diário 1º PA'!$E$4:$E$2635='Analítico Cx.'!$B105),-('Diário 1º PA'!$P$4:$P$2635=H$1),('Diário 1º PA'!$F$4:$F$2635))+SUMPRODUCT(-('Diário 2º PA'!$E$4:$E$3040='Analítico Cx.'!$B105),-('Diário 2º PA'!$P$4:$P$3040=H$1),('Diário 2º PA'!$F$4:$F$3040))+SUMPRODUCT(-('Diário 3º PA'!$E$4:$E$2731='Analítico Cx.'!$B105),-('Diário 3º PA'!$P$4:$P$2731=H$1),('Diário 3º PA'!$F$4:$F$2731))+SUMPRODUCT(-('Diário 4º PA'!$E$4:$E$2564='Analítico Cx.'!$B105),-('Diário 4º PA'!$P$4:$P$2564=H$1),('Diário 4º PA'!$F$4:$F$2564))</f>
        <v>0</v>
      </c>
      <c r="I105" s="183">
        <f>SUMPRODUCT(-('Diário 1º PA'!$E$4:$E$2635='Analítico Cx.'!$B105),-('Diário 1º PA'!$P$4:$P$2635=I$1),('Diário 1º PA'!$F$4:$F$2635))+SUMPRODUCT(-('Diário 2º PA'!$E$4:$E$3040='Analítico Cx.'!$B105),-('Diário 2º PA'!$P$4:$P$3040=I$1),('Diário 2º PA'!$F$4:$F$3040))+SUMPRODUCT(-('Diário 3º PA'!$E$4:$E$2731='Analítico Cx.'!$B105),-('Diário 3º PA'!$P$4:$P$2731=I$1),('Diário 3º PA'!$F$4:$F$2731))+SUMPRODUCT(-('Diário 4º PA'!$E$4:$E$2564='Analítico Cx.'!$B105),-('Diário 4º PA'!$P$4:$P$2564=I$1),('Diário 4º PA'!$F$4:$F$2564))</f>
        <v>0</v>
      </c>
      <c r="J105" s="183">
        <f>SUMPRODUCT(-('Diário 1º PA'!$E$4:$E$2635='Analítico Cx.'!$B105),-('Diário 1º PA'!$P$4:$P$2635=J$1),('Diário 1º PA'!$F$4:$F$2635))+SUMPRODUCT(-('Diário 2º PA'!$E$4:$E$3040='Analítico Cx.'!$B105),-('Diário 2º PA'!$P$4:$P$3040=J$1),('Diário 2º PA'!$F$4:$F$3040))+SUMPRODUCT(-('Diário 3º PA'!$E$4:$E$2731='Analítico Cx.'!$B105),-('Diário 3º PA'!$P$4:$P$2731=J$1),('Diário 3º PA'!$F$4:$F$2731))+SUMPRODUCT(-('Diário 4º PA'!$E$4:$E$2564='Analítico Cx.'!$B105),-('Diário 4º PA'!$P$4:$P$2564=J$1),('Diário 4º PA'!$F$4:$F$2564))</f>
        <v>0</v>
      </c>
      <c r="K105" s="183">
        <f>SUMPRODUCT(-('Diário 1º PA'!$E$4:$E$2635='Analítico Cx.'!$B105),-('Diário 1º PA'!$P$4:$P$2635=K$1),('Diário 1º PA'!$F$4:$F$2635))+SUMPRODUCT(-('Diário 2º PA'!$E$4:$E$3040='Analítico Cx.'!$B105),-('Diário 2º PA'!$P$4:$P$3040=K$1),('Diário 2º PA'!$F$4:$F$3040))+SUMPRODUCT(-('Diário 3º PA'!$E$4:$E$2731='Analítico Cx.'!$B105),-('Diário 3º PA'!$P$4:$P$2731=K$1),('Diário 3º PA'!$F$4:$F$2731))+SUMPRODUCT(-('Diário 4º PA'!$E$4:$E$2564='Analítico Cx.'!$B105),-('Diário 4º PA'!$P$4:$P$2564=K$1),('Diário 4º PA'!$F$4:$F$2564))</f>
        <v>0</v>
      </c>
      <c r="L105" s="183">
        <f>SUMPRODUCT(-('Diário 1º PA'!$E$4:$E$2635='Analítico Cx.'!$B105),-('Diário 1º PA'!$P$4:$P$2635=L$1),('Diário 1º PA'!$F$4:$F$2635))+SUMPRODUCT(-('Diário 2º PA'!$E$4:$E$3040='Analítico Cx.'!$B105),-('Diário 2º PA'!$P$4:$P$3040=L$1),('Diário 2º PA'!$F$4:$F$3040))+SUMPRODUCT(-('Diário 3º PA'!$E$4:$E$2731='Analítico Cx.'!$B105),-('Diário 3º PA'!$P$4:$P$2731=L$1),('Diário 3º PA'!$F$4:$F$2731))+SUMPRODUCT(-('Diário 4º PA'!$E$4:$E$2564='Analítico Cx.'!$B105),-('Diário 4º PA'!$P$4:$P$2564=L$1),('Diário 4º PA'!$F$4:$F$2564))</f>
        <v>0</v>
      </c>
      <c r="M105" s="183">
        <f>SUMPRODUCT(-('Diário 1º PA'!$E$4:$E$2635='Analítico Cx.'!$B105),-('Diário 1º PA'!$P$4:$P$2635=M$1),('Diário 1º PA'!$F$4:$F$2635))+SUMPRODUCT(-('Diário 2º PA'!$E$4:$E$3040='Analítico Cx.'!$B105),-('Diário 2º PA'!$P$4:$P$3040=M$1),('Diário 2º PA'!$F$4:$F$3040))+SUMPRODUCT(-('Diário 3º PA'!$E$4:$E$2731='Analítico Cx.'!$B105),-('Diário 3º PA'!$P$4:$P$2731=M$1),('Diário 3º PA'!$F$4:$F$2731))+SUMPRODUCT(-('Diário 4º PA'!$E$4:$E$2564='Analítico Cx.'!$B105),-('Diário 4º PA'!$P$4:$P$2564=M$1),('Diário 4º PA'!$F$4:$F$2564))</f>
        <v>0</v>
      </c>
      <c r="N105" s="183">
        <f>SUMPRODUCT(-('Diário 1º PA'!$E$4:$E$2635='Analítico Cx.'!$B105),-('Diário 1º PA'!$P$4:$P$2635=N$1),('Diário 1º PA'!$F$4:$F$2635))+SUMPRODUCT(-('Diário 2º PA'!$E$4:$E$3040='Analítico Cx.'!$B105),-('Diário 2º PA'!$P$4:$P$3040=N$1),('Diário 2º PA'!$F$4:$F$3040))+SUMPRODUCT(-('Diário 3º PA'!$E$4:$E$2731='Analítico Cx.'!$B105),-('Diário 3º PA'!$P$4:$P$2731=N$1),('Diário 3º PA'!$F$4:$F$2731))+SUMPRODUCT(-('Diário 4º PA'!$E$4:$E$2564='Analítico Cx.'!$B105),-('Diário 4º PA'!$P$4:$P$2564=N$1),('Diário 4º PA'!$F$4:$F$2564))</f>
        <v>0</v>
      </c>
      <c r="O105" s="184">
        <f t="shared" si="16"/>
        <v>0</v>
      </c>
      <c r="P105" s="167">
        <f t="shared" si="17"/>
        <v>0</v>
      </c>
    </row>
    <row r="106" spans="1:16" ht="23.25" customHeight="1" x14ac:dyDescent="0.2">
      <c r="A106" s="61" t="s">
        <v>204</v>
      </c>
      <c r="B106" s="103" t="s">
        <v>98</v>
      </c>
      <c r="C106" s="183">
        <f>SUMPRODUCT(-('Diário 1º PA'!$E$4:$E$2635='Analítico Cx.'!$B106),-('Diário 1º PA'!$P$4:$P$2635=C$1),('Diário 1º PA'!$F$4:$F$2635))+SUMPRODUCT(-('Diário 2º PA'!$E$4:$E$3040='Analítico Cx.'!$B106),-('Diário 2º PA'!$P$4:$P$3040=C$1),('Diário 2º PA'!$F$4:$F$3040))+SUMPRODUCT(-('Diário 3º PA'!$E$4:$E$2731='Analítico Cx.'!$B106),-('Diário 3º PA'!$P$4:$P$2731=C$1),('Diário 3º PA'!$F$4:$F$2731))+SUMPRODUCT(-('Diário 4º PA'!$E$4:$E$2564='Analítico Cx.'!$B106),-('Diário 4º PA'!$P$4:$P$2564=C$1),('Diário 4º PA'!$F$4:$F$2564))</f>
        <v>0</v>
      </c>
      <c r="D106" s="183">
        <f>SUMPRODUCT(-('Diário 1º PA'!$E$4:$E$2635='Analítico Cx.'!$B106),-('Diário 1º PA'!$P$4:$P$2635=D$1),('Diário 1º PA'!$F$4:$F$2635))+SUMPRODUCT(-('Diário 2º PA'!$E$4:$E$3040='Analítico Cx.'!$B106),-('Diário 2º PA'!$P$4:$P$3040=D$1),('Diário 2º PA'!$F$4:$F$3040))+SUMPRODUCT(-('Diário 3º PA'!$E$4:$E$2731='Analítico Cx.'!$B106),-('Diário 3º PA'!$P$4:$P$2731=D$1),('Diário 3º PA'!$F$4:$F$2731))+SUMPRODUCT(-('Diário 4º PA'!$E$4:$E$2564='Analítico Cx.'!$B106),-('Diário 4º PA'!$P$4:$P$2564=D$1),('Diário 4º PA'!$F$4:$F$2564))</f>
        <v>0</v>
      </c>
      <c r="E106" s="183">
        <f>SUMPRODUCT(-('Diário 1º PA'!$E$4:$E$2635='Analítico Cx.'!$B106),-('Diário 1º PA'!$P$4:$P$2635=E$1),('Diário 1º PA'!$F$4:$F$2635))+SUMPRODUCT(-('Diário 2º PA'!$E$4:$E$3040='Analítico Cx.'!$B106),-('Diário 2º PA'!$P$4:$P$3040=E$1),('Diário 2º PA'!$F$4:$F$3040))+SUMPRODUCT(-('Diário 3º PA'!$E$4:$E$2731='Analítico Cx.'!$B106),-('Diário 3º PA'!$P$4:$P$2731=E$1),('Diário 3º PA'!$F$4:$F$2731))+SUMPRODUCT(-('Diário 4º PA'!$E$4:$E$2564='Analítico Cx.'!$B106),-('Diário 4º PA'!$P$4:$P$2564=E$1),('Diário 4º PA'!$F$4:$F$2564))</f>
        <v>0</v>
      </c>
      <c r="F106" s="183">
        <f>SUMPRODUCT(-('Diário 1º PA'!$E$4:$E$2635='Analítico Cx.'!$B106),-('Diário 1º PA'!$P$4:$P$2635=F$1),('Diário 1º PA'!$F$4:$F$2635))+SUMPRODUCT(-('Diário 2º PA'!$E$4:$E$3040='Analítico Cx.'!$B106),-('Diário 2º PA'!$P$4:$P$3040=F$1),('Diário 2º PA'!$F$4:$F$3040))+SUMPRODUCT(-('Diário 3º PA'!$E$4:$E$2731='Analítico Cx.'!$B106),-('Diário 3º PA'!$P$4:$P$2731=F$1),('Diário 3º PA'!$F$4:$F$2731))+SUMPRODUCT(-('Diário 4º PA'!$E$4:$E$2564='Analítico Cx.'!$B106),-('Diário 4º PA'!$P$4:$P$2564=F$1),('Diário 4º PA'!$F$4:$F$2564))</f>
        <v>0</v>
      </c>
      <c r="G106" s="183">
        <f>SUMPRODUCT(-('Diário 1º PA'!$E$4:$E$2635='Analítico Cx.'!$B106),-('Diário 1º PA'!$P$4:$P$2635=G$1),('Diário 1º PA'!$F$4:$F$2635))+SUMPRODUCT(-('Diário 2º PA'!$E$4:$E$3040='Analítico Cx.'!$B106),-('Diário 2º PA'!$P$4:$P$3040=G$1),('Diário 2º PA'!$F$4:$F$3040))+SUMPRODUCT(-('Diário 3º PA'!$E$4:$E$2731='Analítico Cx.'!$B106),-('Diário 3º PA'!$P$4:$P$2731=G$1),('Diário 3º PA'!$F$4:$F$2731))+SUMPRODUCT(-('Diário 4º PA'!$E$4:$E$2564='Analítico Cx.'!$B106),-('Diário 4º PA'!$P$4:$P$2564=G$1),('Diário 4º PA'!$F$4:$F$2564))</f>
        <v>0</v>
      </c>
      <c r="H106" s="183">
        <f>SUMPRODUCT(-('Diário 1º PA'!$E$4:$E$2635='Analítico Cx.'!$B106),-('Diário 1º PA'!$P$4:$P$2635=H$1),('Diário 1º PA'!$F$4:$F$2635))+SUMPRODUCT(-('Diário 2º PA'!$E$4:$E$3040='Analítico Cx.'!$B106),-('Diário 2º PA'!$P$4:$P$3040=H$1),('Diário 2º PA'!$F$4:$F$3040))+SUMPRODUCT(-('Diário 3º PA'!$E$4:$E$2731='Analítico Cx.'!$B106),-('Diário 3º PA'!$P$4:$P$2731=H$1),('Diário 3º PA'!$F$4:$F$2731))+SUMPRODUCT(-('Diário 4º PA'!$E$4:$E$2564='Analítico Cx.'!$B106),-('Diário 4º PA'!$P$4:$P$2564=H$1),('Diário 4º PA'!$F$4:$F$2564))</f>
        <v>0</v>
      </c>
      <c r="I106" s="183">
        <f>SUMPRODUCT(-('Diário 1º PA'!$E$4:$E$2635='Analítico Cx.'!$B106),-('Diário 1º PA'!$P$4:$P$2635=I$1),('Diário 1º PA'!$F$4:$F$2635))+SUMPRODUCT(-('Diário 2º PA'!$E$4:$E$3040='Analítico Cx.'!$B106),-('Diário 2º PA'!$P$4:$P$3040=I$1),('Diário 2º PA'!$F$4:$F$3040))+SUMPRODUCT(-('Diário 3º PA'!$E$4:$E$2731='Analítico Cx.'!$B106),-('Diário 3º PA'!$P$4:$P$2731=I$1),('Diário 3º PA'!$F$4:$F$2731))+SUMPRODUCT(-('Diário 4º PA'!$E$4:$E$2564='Analítico Cx.'!$B106),-('Diário 4º PA'!$P$4:$P$2564=I$1),('Diário 4º PA'!$F$4:$F$2564))</f>
        <v>0</v>
      </c>
      <c r="J106" s="183">
        <f>SUMPRODUCT(-('Diário 1º PA'!$E$4:$E$2635='Analítico Cx.'!$B106),-('Diário 1º PA'!$P$4:$P$2635=J$1),('Diário 1º PA'!$F$4:$F$2635))+SUMPRODUCT(-('Diário 2º PA'!$E$4:$E$3040='Analítico Cx.'!$B106),-('Diário 2º PA'!$P$4:$P$3040=J$1),('Diário 2º PA'!$F$4:$F$3040))+SUMPRODUCT(-('Diário 3º PA'!$E$4:$E$2731='Analítico Cx.'!$B106),-('Diário 3º PA'!$P$4:$P$2731=J$1),('Diário 3º PA'!$F$4:$F$2731))+SUMPRODUCT(-('Diário 4º PA'!$E$4:$E$2564='Analítico Cx.'!$B106),-('Diário 4º PA'!$P$4:$P$2564=J$1),('Diário 4º PA'!$F$4:$F$2564))</f>
        <v>0</v>
      </c>
      <c r="K106" s="183">
        <f>SUMPRODUCT(-('Diário 1º PA'!$E$4:$E$2635='Analítico Cx.'!$B106),-('Diário 1º PA'!$P$4:$P$2635=K$1),('Diário 1º PA'!$F$4:$F$2635))+SUMPRODUCT(-('Diário 2º PA'!$E$4:$E$3040='Analítico Cx.'!$B106),-('Diário 2º PA'!$P$4:$P$3040=K$1),('Diário 2º PA'!$F$4:$F$3040))+SUMPRODUCT(-('Diário 3º PA'!$E$4:$E$2731='Analítico Cx.'!$B106),-('Diário 3º PA'!$P$4:$P$2731=K$1),('Diário 3º PA'!$F$4:$F$2731))+SUMPRODUCT(-('Diário 4º PA'!$E$4:$E$2564='Analítico Cx.'!$B106),-('Diário 4º PA'!$P$4:$P$2564=K$1),('Diário 4º PA'!$F$4:$F$2564))</f>
        <v>0</v>
      </c>
      <c r="L106" s="183">
        <f>SUMPRODUCT(-('Diário 1º PA'!$E$4:$E$2635='Analítico Cx.'!$B106),-('Diário 1º PA'!$P$4:$P$2635=L$1),('Diário 1º PA'!$F$4:$F$2635))+SUMPRODUCT(-('Diário 2º PA'!$E$4:$E$3040='Analítico Cx.'!$B106),-('Diário 2º PA'!$P$4:$P$3040=L$1),('Diário 2º PA'!$F$4:$F$3040))+SUMPRODUCT(-('Diário 3º PA'!$E$4:$E$2731='Analítico Cx.'!$B106),-('Diário 3º PA'!$P$4:$P$2731=L$1),('Diário 3º PA'!$F$4:$F$2731))+SUMPRODUCT(-('Diário 4º PA'!$E$4:$E$2564='Analítico Cx.'!$B106),-('Diário 4º PA'!$P$4:$P$2564=L$1),('Diário 4º PA'!$F$4:$F$2564))</f>
        <v>0</v>
      </c>
      <c r="M106" s="183">
        <f>SUMPRODUCT(-('Diário 1º PA'!$E$4:$E$2635='Analítico Cx.'!$B106),-('Diário 1º PA'!$P$4:$P$2635=M$1),('Diário 1º PA'!$F$4:$F$2635))+SUMPRODUCT(-('Diário 2º PA'!$E$4:$E$3040='Analítico Cx.'!$B106),-('Diário 2º PA'!$P$4:$P$3040=M$1),('Diário 2º PA'!$F$4:$F$3040))+SUMPRODUCT(-('Diário 3º PA'!$E$4:$E$2731='Analítico Cx.'!$B106),-('Diário 3º PA'!$P$4:$P$2731=M$1),('Diário 3º PA'!$F$4:$F$2731))+SUMPRODUCT(-('Diário 4º PA'!$E$4:$E$2564='Analítico Cx.'!$B106),-('Diário 4º PA'!$P$4:$P$2564=M$1),('Diário 4º PA'!$F$4:$F$2564))</f>
        <v>0</v>
      </c>
      <c r="N106" s="183">
        <f>SUMPRODUCT(-('Diário 1º PA'!$E$4:$E$2635='Analítico Cx.'!$B106),-('Diário 1º PA'!$P$4:$P$2635=N$1),('Diário 1º PA'!$F$4:$F$2635))+SUMPRODUCT(-('Diário 2º PA'!$E$4:$E$3040='Analítico Cx.'!$B106),-('Diário 2º PA'!$P$4:$P$3040=N$1),('Diário 2º PA'!$F$4:$F$3040))+SUMPRODUCT(-('Diário 3º PA'!$E$4:$E$2731='Analítico Cx.'!$B106),-('Diário 3º PA'!$P$4:$P$2731=N$1),('Diário 3º PA'!$F$4:$F$2731))+SUMPRODUCT(-('Diário 4º PA'!$E$4:$E$2564='Analítico Cx.'!$B106),-('Diário 4º PA'!$P$4:$P$2564=N$1),('Diário 4º PA'!$F$4:$F$2564))</f>
        <v>0</v>
      </c>
      <c r="O106" s="184">
        <f t="shared" si="16"/>
        <v>0</v>
      </c>
      <c r="P106" s="167">
        <f t="shared" si="17"/>
        <v>0</v>
      </c>
    </row>
    <row r="107" spans="1:16" ht="23.25" customHeight="1" x14ac:dyDescent="0.2">
      <c r="A107" s="61" t="s">
        <v>206</v>
      </c>
      <c r="B107" s="103" t="s">
        <v>99</v>
      </c>
      <c r="C107" s="183">
        <f>SUMPRODUCT(-('Diário 1º PA'!$E$4:$E$2635='Analítico Cx.'!$B107),-('Diário 1º PA'!$P$4:$P$2635=C$1),('Diário 1º PA'!$F$4:$F$2635))+SUMPRODUCT(-('Diário 2º PA'!$E$4:$E$3040='Analítico Cx.'!$B107),-('Diário 2º PA'!$P$4:$P$3040=C$1),('Diário 2º PA'!$F$4:$F$3040))+SUMPRODUCT(-('Diário 3º PA'!$E$4:$E$2731='Analítico Cx.'!$B107),-('Diário 3º PA'!$P$4:$P$2731=C$1),('Diário 3º PA'!$F$4:$F$2731))+SUMPRODUCT(-('Diário 4º PA'!$E$4:$E$2564='Analítico Cx.'!$B107),-('Diário 4º PA'!$P$4:$P$2564=C$1),('Diário 4º PA'!$F$4:$F$2564))</f>
        <v>0</v>
      </c>
      <c r="D107" s="183">
        <f>SUMPRODUCT(-('Diário 1º PA'!$E$4:$E$2635='Analítico Cx.'!$B107),-('Diário 1º PA'!$P$4:$P$2635=D$1),('Diário 1º PA'!$F$4:$F$2635))+SUMPRODUCT(-('Diário 2º PA'!$E$4:$E$3040='Analítico Cx.'!$B107),-('Diário 2º PA'!$P$4:$P$3040=D$1),('Diário 2º PA'!$F$4:$F$3040))+SUMPRODUCT(-('Diário 3º PA'!$E$4:$E$2731='Analítico Cx.'!$B107),-('Diário 3º PA'!$P$4:$P$2731=D$1),('Diário 3º PA'!$F$4:$F$2731))+SUMPRODUCT(-('Diário 4º PA'!$E$4:$E$2564='Analítico Cx.'!$B107),-('Diário 4º PA'!$P$4:$P$2564=D$1),('Diário 4º PA'!$F$4:$F$2564))</f>
        <v>0</v>
      </c>
      <c r="E107" s="183">
        <f>SUMPRODUCT(-('Diário 1º PA'!$E$4:$E$2635='Analítico Cx.'!$B107),-('Diário 1º PA'!$P$4:$P$2635=E$1),('Diário 1º PA'!$F$4:$F$2635))+SUMPRODUCT(-('Diário 2º PA'!$E$4:$E$3040='Analítico Cx.'!$B107),-('Diário 2º PA'!$P$4:$P$3040=E$1),('Diário 2º PA'!$F$4:$F$3040))+SUMPRODUCT(-('Diário 3º PA'!$E$4:$E$2731='Analítico Cx.'!$B107),-('Diário 3º PA'!$P$4:$P$2731=E$1),('Diário 3º PA'!$F$4:$F$2731))+SUMPRODUCT(-('Diário 4º PA'!$E$4:$E$2564='Analítico Cx.'!$B107),-('Diário 4º PA'!$P$4:$P$2564=E$1),('Diário 4º PA'!$F$4:$F$2564))</f>
        <v>0</v>
      </c>
      <c r="F107" s="183">
        <f>SUMPRODUCT(-('Diário 1º PA'!$E$4:$E$2635='Analítico Cx.'!$B107),-('Diário 1º PA'!$P$4:$P$2635=F$1),('Diário 1º PA'!$F$4:$F$2635))+SUMPRODUCT(-('Diário 2º PA'!$E$4:$E$3040='Analítico Cx.'!$B107),-('Diário 2º PA'!$P$4:$P$3040=F$1),('Diário 2º PA'!$F$4:$F$3040))+SUMPRODUCT(-('Diário 3º PA'!$E$4:$E$2731='Analítico Cx.'!$B107),-('Diário 3º PA'!$P$4:$P$2731=F$1),('Diário 3º PA'!$F$4:$F$2731))+SUMPRODUCT(-('Diário 4º PA'!$E$4:$E$2564='Analítico Cx.'!$B107),-('Diário 4º PA'!$P$4:$P$2564=F$1),('Diário 4º PA'!$F$4:$F$2564))</f>
        <v>0</v>
      </c>
      <c r="G107" s="183">
        <f>SUMPRODUCT(-('Diário 1º PA'!$E$4:$E$2635='Analítico Cx.'!$B107),-('Diário 1º PA'!$P$4:$P$2635=G$1),('Diário 1º PA'!$F$4:$F$2635))+SUMPRODUCT(-('Diário 2º PA'!$E$4:$E$3040='Analítico Cx.'!$B107),-('Diário 2º PA'!$P$4:$P$3040=G$1),('Diário 2º PA'!$F$4:$F$3040))+SUMPRODUCT(-('Diário 3º PA'!$E$4:$E$2731='Analítico Cx.'!$B107),-('Diário 3º PA'!$P$4:$P$2731=G$1),('Diário 3º PA'!$F$4:$F$2731))+SUMPRODUCT(-('Diário 4º PA'!$E$4:$E$2564='Analítico Cx.'!$B107),-('Diário 4º PA'!$P$4:$P$2564=G$1),('Diário 4º PA'!$F$4:$F$2564))</f>
        <v>0</v>
      </c>
      <c r="H107" s="183">
        <f>SUMPRODUCT(-('Diário 1º PA'!$E$4:$E$2635='Analítico Cx.'!$B107),-('Diário 1º PA'!$P$4:$P$2635=H$1),('Diário 1º PA'!$F$4:$F$2635))+SUMPRODUCT(-('Diário 2º PA'!$E$4:$E$3040='Analítico Cx.'!$B107),-('Diário 2º PA'!$P$4:$P$3040=H$1),('Diário 2º PA'!$F$4:$F$3040))+SUMPRODUCT(-('Diário 3º PA'!$E$4:$E$2731='Analítico Cx.'!$B107),-('Diário 3º PA'!$P$4:$P$2731=H$1),('Diário 3º PA'!$F$4:$F$2731))+SUMPRODUCT(-('Diário 4º PA'!$E$4:$E$2564='Analítico Cx.'!$B107),-('Diário 4º PA'!$P$4:$P$2564=H$1),('Diário 4º PA'!$F$4:$F$2564))</f>
        <v>0</v>
      </c>
      <c r="I107" s="183">
        <f>SUMPRODUCT(-('Diário 1º PA'!$E$4:$E$2635='Analítico Cx.'!$B107),-('Diário 1º PA'!$P$4:$P$2635=I$1),('Diário 1º PA'!$F$4:$F$2635))+SUMPRODUCT(-('Diário 2º PA'!$E$4:$E$3040='Analítico Cx.'!$B107),-('Diário 2º PA'!$P$4:$P$3040=I$1),('Diário 2º PA'!$F$4:$F$3040))+SUMPRODUCT(-('Diário 3º PA'!$E$4:$E$2731='Analítico Cx.'!$B107),-('Diário 3º PA'!$P$4:$P$2731=I$1),('Diário 3º PA'!$F$4:$F$2731))+SUMPRODUCT(-('Diário 4º PA'!$E$4:$E$2564='Analítico Cx.'!$B107),-('Diário 4º PA'!$P$4:$P$2564=I$1),('Diário 4º PA'!$F$4:$F$2564))</f>
        <v>0</v>
      </c>
      <c r="J107" s="183">
        <f>SUMPRODUCT(-('Diário 1º PA'!$E$4:$E$2635='Analítico Cx.'!$B107),-('Diário 1º PA'!$P$4:$P$2635=J$1),('Diário 1º PA'!$F$4:$F$2635))+SUMPRODUCT(-('Diário 2º PA'!$E$4:$E$3040='Analítico Cx.'!$B107),-('Diário 2º PA'!$P$4:$P$3040=J$1),('Diário 2º PA'!$F$4:$F$3040))+SUMPRODUCT(-('Diário 3º PA'!$E$4:$E$2731='Analítico Cx.'!$B107),-('Diário 3º PA'!$P$4:$P$2731=J$1),('Diário 3º PA'!$F$4:$F$2731))+SUMPRODUCT(-('Diário 4º PA'!$E$4:$E$2564='Analítico Cx.'!$B107),-('Diário 4º PA'!$P$4:$P$2564=J$1),('Diário 4º PA'!$F$4:$F$2564))</f>
        <v>0</v>
      </c>
      <c r="K107" s="183">
        <f>SUMPRODUCT(-('Diário 1º PA'!$E$4:$E$2635='Analítico Cx.'!$B107),-('Diário 1º PA'!$P$4:$P$2635=K$1),('Diário 1º PA'!$F$4:$F$2635))+SUMPRODUCT(-('Diário 2º PA'!$E$4:$E$3040='Analítico Cx.'!$B107),-('Diário 2º PA'!$P$4:$P$3040=K$1),('Diário 2º PA'!$F$4:$F$3040))+SUMPRODUCT(-('Diário 3º PA'!$E$4:$E$2731='Analítico Cx.'!$B107),-('Diário 3º PA'!$P$4:$P$2731=K$1),('Diário 3º PA'!$F$4:$F$2731))+SUMPRODUCT(-('Diário 4º PA'!$E$4:$E$2564='Analítico Cx.'!$B107),-('Diário 4º PA'!$P$4:$P$2564=K$1),('Diário 4º PA'!$F$4:$F$2564))</f>
        <v>0</v>
      </c>
      <c r="L107" s="183">
        <f>SUMPRODUCT(-('Diário 1º PA'!$E$4:$E$2635='Analítico Cx.'!$B107),-('Diário 1º PA'!$P$4:$P$2635=L$1),('Diário 1º PA'!$F$4:$F$2635))+SUMPRODUCT(-('Diário 2º PA'!$E$4:$E$3040='Analítico Cx.'!$B107),-('Diário 2º PA'!$P$4:$P$3040=L$1),('Diário 2º PA'!$F$4:$F$3040))+SUMPRODUCT(-('Diário 3º PA'!$E$4:$E$2731='Analítico Cx.'!$B107),-('Diário 3º PA'!$P$4:$P$2731=L$1),('Diário 3º PA'!$F$4:$F$2731))+SUMPRODUCT(-('Diário 4º PA'!$E$4:$E$2564='Analítico Cx.'!$B107),-('Diário 4º PA'!$P$4:$P$2564=L$1),('Diário 4º PA'!$F$4:$F$2564))</f>
        <v>0</v>
      </c>
      <c r="M107" s="183">
        <f>SUMPRODUCT(-('Diário 1º PA'!$E$4:$E$2635='Analítico Cx.'!$B107),-('Diário 1º PA'!$P$4:$P$2635=M$1),('Diário 1º PA'!$F$4:$F$2635))+SUMPRODUCT(-('Diário 2º PA'!$E$4:$E$3040='Analítico Cx.'!$B107),-('Diário 2º PA'!$P$4:$P$3040=M$1),('Diário 2º PA'!$F$4:$F$3040))+SUMPRODUCT(-('Diário 3º PA'!$E$4:$E$2731='Analítico Cx.'!$B107),-('Diário 3º PA'!$P$4:$P$2731=M$1),('Diário 3º PA'!$F$4:$F$2731))+SUMPRODUCT(-('Diário 4º PA'!$E$4:$E$2564='Analítico Cx.'!$B107),-('Diário 4º PA'!$P$4:$P$2564=M$1),('Diário 4º PA'!$F$4:$F$2564))</f>
        <v>0</v>
      </c>
      <c r="N107" s="183">
        <f>SUMPRODUCT(-('Diário 1º PA'!$E$4:$E$2635='Analítico Cx.'!$B107),-('Diário 1º PA'!$P$4:$P$2635=N$1),('Diário 1º PA'!$F$4:$F$2635))+SUMPRODUCT(-('Diário 2º PA'!$E$4:$E$3040='Analítico Cx.'!$B107),-('Diário 2º PA'!$P$4:$P$3040=N$1),('Diário 2º PA'!$F$4:$F$3040))+SUMPRODUCT(-('Diário 3º PA'!$E$4:$E$2731='Analítico Cx.'!$B107),-('Diário 3º PA'!$P$4:$P$2731=N$1),('Diário 3º PA'!$F$4:$F$2731))+SUMPRODUCT(-('Diário 4º PA'!$E$4:$E$2564='Analítico Cx.'!$B107),-('Diário 4º PA'!$P$4:$P$2564=N$1),('Diário 4º PA'!$F$4:$F$2564))</f>
        <v>0</v>
      </c>
      <c r="O107" s="184">
        <f t="shared" si="16"/>
        <v>0</v>
      </c>
      <c r="P107" s="167">
        <f t="shared" si="17"/>
        <v>0</v>
      </c>
    </row>
    <row r="108" spans="1:16" ht="23.25" customHeight="1" x14ac:dyDescent="0.2">
      <c r="A108" s="61" t="s">
        <v>207</v>
      </c>
      <c r="B108" s="103" t="s">
        <v>64</v>
      </c>
      <c r="C108" s="183">
        <f>SUMPRODUCT(-('Diário 1º PA'!$E$4:$E$2635='Analítico Cx.'!$B108),-('Diário 1º PA'!$P$4:$P$2635=C$1),('Diário 1º PA'!$F$4:$F$2635))+SUMPRODUCT(-('Diário 2º PA'!$E$4:$E$3040='Analítico Cx.'!$B108),-('Diário 2º PA'!$P$4:$P$3040=C$1),('Diário 2º PA'!$F$4:$F$3040))+SUMPRODUCT(-('Diário 3º PA'!$E$4:$E$2731='Analítico Cx.'!$B108),-('Diário 3º PA'!$P$4:$P$2731=C$1),('Diário 3º PA'!$F$4:$F$2731))+SUMPRODUCT(-('Diário 4º PA'!$E$4:$E$2564='Analítico Cx.'!$B108),-('Diário 4º PA'!$P$4:$P$2564=C$1),('Diário 4º PA'!$F$4:$F$2564))</f>
        <v>128.51999999999998</v>
      </c>
      <c r="D108" s="183">
        <f>SUMPRODUCT(-('Diário 1º PA'!$E$4:$E$2635='Analítico Cx.'!$B108),-('Diário 1º PA'!$P$4:$P$2635=D$1),('Diário 1º PA'!$F$4:$F$2635))+SUMPRODUCT(-('Diário 2º PA'!$E$4:$E$3040='Analítico Cx.'!$B108),-('Diário 2º PA'!$P$4:$P$3040=D$1),('Diário 2º PA'!$F$4:$F$3040))+SUMPRODUCT(-('Diário 3º PA'!$E$4:$E$2731='Analítico Cx.'!$B108),-('Diário 3º PA'!$P$4:$P$2731=D$1),('Diário 3º PA'!$F$4:$F$2731))+SUMPRODUCT(-('Diário 4º PA'!$E$4:$E$2564='Analítico Cx.'!$B108),-('Diário 4º PA'!$P$4:$P$2564=D$1),('Diário 4º PA'!$F$4:$F$2564))</f>
        <v>0</v>
      </c>
      <c r="E108" s="183">
        <f>SUMPRODUCT(-('Diário 1º PA'!$E$4:$E$2635='Analítico Cx.'!$B108),-('Diário 1º PA'!$P$4:$P$2635=E$1),('Diário 1º PA'!$F$4:$F$2635))+SUMPRODUCT(-('Diário 2º PA'!$E$4:$E$3040='Analítico Cx.'!$B108),-('Diário 2º PA'!$P$4:$P$3040=E$1),('Diário 2º PA'!$F$4:$F$3040))+SUMPRODUCT(-('Diário 3º PA'!$E$4:$E$2731='Analítico Cx.'!$B108),-('Diário 3º PA'!$P$4:$P$2731=E$1),('Diário 3º PA'!$F$4:$F$2731))+SUMPRODUCT(-('Diário 4º PA'!$E$4:$E$2564='Analítico Cx.'!$B108),-('Diário 4º PA'!$P$4:$P$2564=E$1),('Diário 4º PA'!$F$4:$F$2564))</f>
        <v>12</v>
      </c>
      <c r="F108" s="183">
        <f>SUMPRODUCT(-('Diário 1º PA'!$E$4:$E$2635='Analítico Cx.'!$B108),-('Diário 1º PA'!$P$4:$P$2635=F$1),('Diário 1º PA'!$F$4:$F$2635))+SUMPRODUCT(-('Diário 2º PA'!$E$4:$E$3040='Analítico Cx.'!$B108),-('Diário 2º PA'!$P$4:$P$3040=F$1),('Diário 2º PA'!$F$4:$F$3040))+SUMPRODUCT(-('Diário 3º PA'!$E$4:$E$2731='Analítico Cx.'!$B108),-('Diário 3º PA'!$P$4:$P$2731=F$1),('Diário 3º PA'!$F$4:$F$2731))+SUMPRODUCT(-('Diário 4º PA'!$E$4:$E$2564='Analítico Cx.'!$B108),-('Diário 4º PA'!$P$4:$P$2564=F$1),('Diário 4º PA'!$F$4:$F$2564))</f>
        <v>305.37</v>
      </c>
      <c r="G108" s="183">
        <f>SUMPRODUCT(-('Diário 1º PA'!$E$4:$E$2635='Analítico Cx.'!$B108),-('Diário 1º PA'!$P$4:$P$2635=G$1),('Diário 1º PA'!$F$4:$F$2635))+SUMPRODUCT(-('Diário 2º PA'!$E$4:$E$3040='Analítico Cx.'!$B108),-('Diário 2º PA'!$P$4:$P$3040=G$1),('Diário 2º PA'!$F$4:$F$3040))+SUMPRODUCT(-('Diário 3º PA'!$E$4:$E$2731='Analítico Cx.'!$B108),-('Diário 3º PA'!$P$4:$P$2731=G$1),('Diário 3º PA'!$F$4:$F$2731))+SUMPRODUCT(-('Diário 4º PA'!$E$4:$E$2564='Analítico Cx.'!$B108),-('Diário 4º PA'!$P$4:$P$2564=G$1),('Diário 4º PA'!$F$4:$F$2564))</f>
        <v>0</v>
      </c>
      <c r="H108" s="183">
        <f>SUMPRODUCT(-('Diário 1º PA'!$E$4:$E$2635='Analítico Cx.'!$B108),-('Diário 1º PA'!$P$4:$P$2635=H$1),('Diário 1º PA'!$F$4:$F$2635))+SUMPRODUCT(-('Diário 2º PA'!$E$4:$E$3040='Analítico Cx.'!$B108),-('Diário 2º PA'!$P$4:$P$3040=H$1),('Diário 2º PA'!$F$4:$F$3040))+SUMPRODUCT(-('Diário 3º PA'!$E$4:$E$2731='Analítico Cx.'!$B108),-('Diário 3º PA'!$P$4:$P$2731=H$1),('Diário 3º PA'!$F$4:$F$2731))+SUMPRODUCT(-('Diário 4º PA'!$E$4:$E$2564='Analítico Cx.'!$B108),-('Diário 4º PA'!$P$4:$P$2564=H$1),('Diário 4º PA'!$F$4:$F$2564))</f>
        <v>0</v>
      </c>
      <c r="I108" s="183">
        <f>SUMPRODUCT(-('Diário 1º PA'!$E$4:$E$2635='Analítico Cx.'!$B108),-('Diário 1º PA'!$P$4:$P$2635=I$1),('Diário 1º PA'!$F$4:$F$2635))+SUMPRODUCT(-('Diário 2º PA'!$E$4:$E$3040='Analítico Cx.'!$B108),-('Diário 2º PA'!$P$4:$P$3040=I$1),('Diário 2º PA'!$F$4:$F$3040))+SUMPRODUCT(-('Diário 3º PA'!$E$4:$E$2731='Analítico Cx.'!$B108),-('Diário 3º PA'!$P$4:$P$2731=I$1),('Diário 3º PA'!$F$4:$F$2731))+SUMPRODUCT(-('Diário 4º PA'!$E$4:$E$2564='Analítico Cx.'!$B108),-('Diário 4º PA'!$P$4:$P$2564=I$1),('Diário 4º PA'!$F$4:$F$2564))</f>
        <v>587.22</v>
      </c>
      <c r="J108" s="183">
        <f>SUMPRODUCT(-('Diário 1º PA'!$E$4:$E$2635='Analítico Cx.'!$B108),-('Diário 1º PA'!$P$4:$P$2635=J$1),('Diário 1º PA'!$F$4:$F$2635))+SUMPRODUCT(-('Diário 2º PA'!$E$4:$E$3040='Analítico Cx.'!$B108),-('Diário 2º PA'!$P$4:$P$3040=J$1),('Diário 2º PA'!$F$4:$F$3040))+SUMPRODUCT(-('Diário 3º PA'!$E$4:$E$2731='Analítico Cx.'!$B108),-('Diário 3º PA'!$P$4:$P$2731=J$1),('Diário 3º PA'!$F$4:$F$2731))+SUMPRODUCT(-('Diário 4º PA'!$E$4:$E$2564='Analítico Cx.'!$B108),-('Diário 4º PA'!$P$4:$P$2564=J$1),('Diário 4º PA'!$F$4:$F$2564))</f>
        <v>559.20000000000005</v>
      </c>
      <c r="K108" s="183">
        <f>SUMPRODUCT(-('Diário 1º PA'!$E$4:$E$2635='Analítico Cx.'!$B108),-('Diário 1º PA'!$P$4:$P$2635=K$1),('Diário 1º PA'!$F$4:$F$2635))+SUMPRODUCT(-('Diário 2º PA'!$E$4:$E$3040='Analítico Cx.'!$B108),-('Diário 2º PA'!$P$4:$P$3040=K$1),('Diário 2º PA'!$F$4:$F$3040))+SUMPRODUCT(-('Diário 3º PA'!$E$4:$E$2731='Analítico Cx.'!$B108),-('Diário 3º PA'!$P$4:$P$2731=K$1),('Diário 3º PA'!$F$4:$F$2731))+SUMPRODUCT(-('Diário 4º PA'!$E$4:$E$2564='Analítico Cx.'!$B108),-('Diário 4º PA'!$P$4:$P$2564=K$1),('Diário 4º PA'!$F$4:$F$2564))</f>
        <v>59.249999999999993</v>
      </c>
      <c r="L108" s="183">
        <f>SUMPRODUCT(-('Diário 1º PA'!$E$4:$E$2635='Analítico Cx.'!$B108),-('Diário 1º PA'!$P$4:$P$2635=L$1),('Diário 1º PA'!$F$4:$F$2635))+SUMPRODUCT(-('Diário 2º PA'!$E$4:$E$3040='Analítico Cx.'!$B108),-('Diário 2º PA'!$P$4:$P$3040=L$1),('Diário 2º PA'!$F$4:$F$3040))+SUMPRODUCT(-('Diário 3º PA'!$E$4:$E$2731='Analítico Cx.'!$B108),-('Diário 3º PA'!$P$4:$P$2731=L$1),('Diário 3º PA'!$F$4:$F$2731))+SUMPRODUCT(-('Diário 4º PA'!$E$4:$E$2564='Analítico Cx.'!$B108),-('Diário 4º PA'!$P$4:$P$2564=L$1),('Diário 4º PA'!$F$4:$F$2564))</f>
        <v>574.80999999999995</v>
      </c>
      <c r="M108" s="183">
        <f>SUMPRODUCT(-('Diário 1º PA'!$E$4:$E$2635='Analítico Cx.'!$B108),-('Diário 1º PA'!$P$4:$P$2635=M$1),('Diário 1º PA'!$F$4:$F$2635))+SUMPRODUCT(-('Diário 2º PA'!$E$4:$E$3040='Analítico Cx.'!$B108),-('Diário 2º PA'!$P$4:$P$3040=M$1),('Diário 2º PA'!$F$4:$F$3040))+SUMPRODUCT(-('Diário 3º PA'!$E$4:$E$2731='Analítico Cx.'!$B108),-('Diário 3º PA'!$P$4:$P$2731=M$1),('Diário 3º PA'!$F$4:$F$2731))+SUMPRODUCT(-('Diário 4º PA'!$E$4:$E$2564='Analítico Cx.'!$B108),-('Diário 4º PA'!$P$4:$P$2564=M$1),('Diário 4º PA'!$F$4:$F$2564))</f>
        <v>559.09</v>
      </c>
      <c r="N108" s="183">
        <f>SUMPRODUCT(-('Diário 1º PA'!$E$4:$E$2635='Analítico Cx.'!$B108),-('Diário 1º PA'!$P$4:$P$2635=N$1),('Diário 1º PA'!$F$4:$F$2635))+SUMPRODUCT(-('Diário 2º PA'!$E$4:$E$3040='Analítico Cx.'!$B108),-('Diário 2º PA'!$P$4:$P$3040=N$1),('Diário 2º PA'!$F$4:$F$3040))+SUMPRODUCT(-('Diário 3º PA'!$E$4:$E$2731='Analítico Cx.'!$B108),-('Diário 3º PA'!$P$4:$P$2731=N$1),('Diário 3º PA'!$F$4:$F$2731))+SUMPRODUCT(-('Diário 4º PA'!$E$4:$E$2564='Analítico Cx.'!$B108),-('Diário 4º PA'!$P$4:$P$2564=N$1),('Diário 4º PA'!$F$4:$F$2564))</f>
        <v>811.47</v>
      </c>
      <c r="O108" s="184">
        <f t="shared" si="16"/>
        <v>3596.9300000000003</v>
      </c>
      <c r="P108" s="167">
        <f t="shared" si="17"/>
        <v>2.8331235264896339E-4</v>
      </c>
    </row>
    <row r="109" spans="1:16" ht="23.25" customHeight="1" x14ac:dyDescent="0.2">
      <c r="A109" s="61" t="s">
        <v>208</v>
      </c>
      <c r="B109" s="103" t="s">
        <v>87</v>
      </c>
      <c r="C109" s="183">
        <f>SUMPRODUCT(-('Diário 1º PA'!$E$4:$E$2635='Analítico Cx.'!$B109),-('Diário 1º PA'!$P$4:$P$2635=C$1),('Diário 1º PA'!$F$4:$F$2635))+SUMPRODUCT(-('Diário 2º PA'!$E$4:$E$3040='Analítico Cx.'!$B109),-('Diário 2º PA'!$P$4:$P$3040=C$1),('Diário 2º PA'!$F$4:$F$3040))+SUMPRODUCT(-('Diário 3º PA'!$E$4:$E$2731='Analítico Cx.'!$B109),-('Diário 3º PA'!$P$4:$P$2731=C$1),('Diário 3º PA'!$F$4:$F$2731))+SUMPRODUCT(-('Diário 4º PA'!$E$4:$E$2564='Analítico Cx.'!$B109),-('Diário 4º PA'!$P$4:$P$2564=C$1),('Diário 4º PA'!$F$4:$F$2564))</f>
        <v>0</v>
      </c>
      <c r="D109" s="183">
        <f>SUMPRODUCT(-('Diário 1º PA'!$E$4:$E$2635='Analítico Cx.'!$B109),-('Diário 1º PA'!$P$4:$P$2635=D$1),('Diário 1º PA'!$F$4:$F$2635))+SUMPRODUCT(-('Diário 2º PA'!$E$4:$E$3040='Analítico Cx.'!$B109),-('Diário 2º PA'!$P$4:$P$3040=D$1),('Diário 2º PA'!$F$4:$F$3040))+SUMPRODUCT(-('Diário 3º PA'!$E$4:$E$2731='Analítico Cx.'!$B109),-('Diário 3º PA'!$P$4:$P$2731=D$1),('Diário 3º PA'!$F$4:$F$2731))+SUMPRODUCT(-('Diário 4º PA'!$E$4:$E$2564='Analítico Cx.'!$B109),-('Diário 4º PA'!$P$4:$P$2564=D$1),('Diário 4º PA'!$F$4:$F$2564))</f>
        <v>0</v>
      </c>
      <c r="E109" s="183">
        <f>SUMPRODUCT(-('Diário 1º PA'!$E$4:$E$2635='Analítico Cx.'!$B109),-('Diário 1º PA'!$P$4:$P$2635=E$1),('Diário 1º PA'!$F$4:$F$2635))+SUMPRODUCT(-('Diário 2º PA'!$E$4:$E$3040='Analítico Cx.'!$B109),-('Diário 2º PA'!$P$4:$P$3040=E$1),('Diário 2º PA'!$F$4:$F$3040))+SUMPRODUCT(-('Diário 3º PA'!$E$4:$E$2731='Analítico Cx.'!$B109),-('Diário 3º PA'!$P$4:$P$2731=E$1),('Diário 3º PA'!$F$4:$F$2731))+SUMPRODUCT(-('Diário 4º PA'!$E$4:$E$2564='Analítico Cx.'!$B109),-('Diário 4º PA'!$P$4:$P$2564=E$1),('Diário 4º PA'!$F$4:$F$2564))</f>
        <v>0</v>
      </c>
      <c r="F109" s="183">
        <f>SUMPRODUCT(-('Diário 1º PA'!$E$4:$E$2635='Analítico Cx.'!$B109),-('Diário 1º PA'!$P$4:$P$2635=F$1),('Diário 1º PA'!$F$4:$F$2635))+SUMPRODUCT(-('Diário 2º PA'!$E$4:$E$3040='Analítico Cx.'!$B109),-('Diário 2º PA'!$P$4:$P$3040=F$1),('Diário 2º PA'!$F$4:$F$3040))+SUMPRODUCT(-('Diário 3º PA'!$E$4:$E$2731='Analítico Cx.'!$B109),-('Diário 3º PA'!$P$4:$P$2731=F$1),('Diário 3º PA'!$F$4:$F$2731))+SUMPRODUCT(-('Diário 4º PA'!$E$4:$E$2564='Analítico Cx.'!$B109),-('Diário 4º PA'!$P$4:$P$2564=F$1),('Diário 4º PA'!$F$4:$F$2564))</f>
        <v>0</v>
      </c>
      <c r="G109" s="183">
        <f>SUMPRODUCT(-('Diário 1º PA'!$E$4:$E$2635='Analítico Cx.'!$B109),-('Diário 1º PA'!$P$4:$P$2635=G$1),('Diário 1º PA'!$F$4:$F$2635))+SUMPRODUCT(-('Diário 2º PA'!$E$4:$E$3040='Analítico Cx.'!$B109),-('Diário 2º PA'!$P$4:$P$3040=G$1),('Diário 2º PA'!$F$4:$F$3040))+SUMPRODUCT(-('Diário 3º PA'!$E$4:$E$2731='Analítico Cx.'!$B109),-('Diário 3º PA'!$P$4:$P$2731=G$1),('Diário 3º PA'!$F$4:$F$2731))+SUMPRODUCT(-('Diário 4º PA'!$E$4:$E$2564='Analítico Cx.'!$B109),-('Diário 4º PA'!$P$4:$P$2564=G$1),('Diário 4º PA'!$F$4:$F$2564))</f>
        <v>0</v>
      </c>
      <c r="H109" s="183">
        <f>SUMPRODUCT(-('Diário 1º PA'!$E$4:$E$2635='Analítico Cx.'!$B109),-('Diário 1º PA'!$P$4:$P$2635=H$1),('Diário 1º PA'!$F$4:$F$2635))+SUMPRODUCT(-('Diário 2º PA'!$E$4:$E$3040='Analítico Cx.'!$B109),-('Diário 2º PA'!$P$4:$P$3040=H$1),('Diário 2º PA'!$F$4:$F$3040))+SUMPRODUCT(-('Diário 3º PA'!$E$4:$E$2731='Analítico Cx.'!$B109),-('Diário 3º PA'!$P$4:$P$2731=H$1),('Diário 3º PA'!$F$4:$F$2731))+SUMPRODUCT(-('Diário 4º PA'!$E$4:$E$2564='Analítico Cx.'!$B109),-('Diário 4º PA'!$P$4:$P$2564=H$1),('Diário 4º PA'!$F$4:$F$2564))</f>
        <v>0</v>
      </c>
      <c r="I109" s="183">
        <f>SUMPRODUCT(-('Diário 1º PA'!$E$4:$E$2635='Analítico Cx.'!$B109),-('Diário 1º PA'!$P$4:$P$2635=I$1),('Diário 1º PA'!$F$4:$F$2635))+SUMPRODUCT(-('Diário 2º PA'!$E$4:$E$3040='Analítico Cx.'!$B109),-('Diário 2º PA'!$P$4:$P$3040=I$1),('Diário 2º PA'!$F$4:$F$3040))+SUMPRODUCT(-('Diário 3º PA'!$E$4:$E$2731='Analítico Cx.'!$B109),-('Diário 3º PA'!$P$4:$P$2731=I$1),('Diário 3º PA'!$F$4:$F$2731))+SUMPRODUCT(-('Diário 4º PA'!$E$4:$E$2564='Analítico Cx.'!$B109),-('Diário 4º PA'!$P$4:$P$2564=I$1),('Diário 4º PA'!$F$4:$F$2564))</f>
        <v>0</v>
      </c>
      <c r="J109" s="183">
        <f>SUMPRODUCT(-('Diário 1º PA'!$E$4:$E$2635='Analítico Cx.'!$B109),-('Diário 1º PA'!$P$4:$P$2635=J$1),('Diário 1º PA'!$F$4:$F$2635))+SUMPRODUCT(-('Diário 2º PA'!$E$4:$E$3040='Analítico Cx.'!$B109),-('Diário 2º PA'!$P$4:$P$3040=J$1),('Diário 2º PA'!$F$4:$F$3040))+SUMPRODUCT(-('Diário 3º PA'!$E$4:$E$2731='Analítico Cx.'!$B109),-('Diário 3º PA'!$P$4:$P$2731=J$1),('Diário 3º PA'!$F$4:$F$2731))+SUMPRODUCT(-('Diário 4º PA'!$E$4:$E$2564='Analítico Cx.'!$B109),-('Diário 4º PA'!$P$4:$P$2564=J$1),('Diário 4º PA'!$F$4:$F$2564))</f>
        <v>0</v>
      </c>
      <c r="K109" s="183">
        <f>SUMPRODUCT(-('Diário 1º PA'!$E$4:$E$2635='Analítico Cx.'!$B109),-('Diário 1º PA'!$P$4:$P$2635=K$1),('Diário 1º PA'!$F$4:$F$2635))+SUMPRODUCT(-('Diário 2º PA'!$E$4:$E$3040='Analítico Cx.'!$B109),-('Diário 2º PA'!$P$4:$P$3040=K$1),('Diário 2º PA'!$F$4:$F$3040))+SUMPRODUCT(-('Diário 3º PA'!$E$4:$E$2731='Analítico Cx.'!$B109),-('Diário 3º PA'!$P$4:$P$2731=K$1),('Diário 3º PA'!$F$4:$F$2731))+SUMPRODUCT(-('Diário 4º PA'!$E$4:$E$2564='Analítico Cx.'!$B109),-('Diário 4º PA'!$P$4:$P$2564=K$1),('Diário 4º PA'!$F$4:$F$2564))</f>
        <v>0</v>
      </c>
      <c r="L109" s="183">
        <f>SUMPRODUCT(-('Diário 1º PA'!$E$4:$E$2635='Analítico Cx.'!$B109),-('Diário 1º PA'!$P$4:$P$2635=L$1),('Diário 1º PA'!$F$4:$F$2635))+SUMPRODUCT(-('Diário 2º PA'!$E$4:$E$3040='Analítico Cx.'!$B109),-('Diário 2º PA'!$P$4:$P$3040=L$1),('Diário 2º PA'!$F$4:$F$3040))+SUMPRODUCT(-('Diário 3º PA'!$E$4:$E$2731='Analítico Cx.'!$B109),-('Diário 3º PA'!$P$4:$P$2731=L$1),('Diário 3º PA'!$F$4:$F$2731))+SUMPRODUCT(-('Diário 4º PA'!$E$4:$E$2564='Analítico Cx.'!$B109),-('Diário 4º PA'!$P$4:$P$2564=L$1),('Diário 4º PA'!$F$4:$F$2564))</f>
        <v>0</v>
      </c>
      <c r="M109" s="183">
        <f>SUMPRODUCT(-('Diário 1º PA'!$E$4:$E$2635='Analítico Cx.'!$B109),-('Diário 1º PA'!$P$4:$P$2635=M$1),('Diário 1º PA'!$F$4:$F$2635))+SUMPRODUCT(-('Diário 2º PA'!$E$4:$E$3040='Analítico Cx.'!$B109),-('Diário 2º PA'!$P$4:$P$3040=M$1),('Diário 2º PA'!$F$4:$F$3040))+SUMPRODUCT(-('Diário 3º PA'!$E$4:$E$2731='Analítico Cx.'!$B109),-('Diário 3º PA'!$P$4:$P$2731=M$1),('Diário 3º PA'!$F$4:$F$2731))+SUMPRODUCT(-('Diário 4º PA'!$E$4:$E$2564='Analítico Cx.'!$B109),-('Diário 4º PA'!$P$4:$P$2564=M$1),('Diário 4º PA'!$F$4:$F$2564))</f>
        <v>0</v>
      </c>
      <c r="N109" s="183">
        <f>SUMPRODUCT(-('Diário 1º PA'!$E$4:$E$2635='Analítico Cx.'!$B109),-('Diário 1º PA'!$P$4:$P$2635=N$1),('Diário 1º PA'!$F$4:$F$2635))+SUMPRODUCT(-('Diário 2º PA'!$E$4:$E$3040='Analítico Cx.'!$B109),-('Diário 2º PA'!$P$4:$P$3040=N$1),('Diário 2º PA'!$F$4:$F$3040))+SUMPRODUCT(-('Diário 3º PA'!$E$4:$E$2731='Analítico Cx.'!$B109),-('Diário 3º PA'!$P$4:$P$2731=N$1),('Diário 3º PA'!$F$4:$F$2731))+SUMPRODUCT(-('Diário 4º PA'!$E$4:$E$2564='Analítico Cx.'!$B109),-('Diário 4º PA'!$P$4:$P$2564=N$1),('Diário 4º PA'!$F$4:$F$2564))</f>
        <v>0</v>
      </c>
      <c r="O109" s="184">
        <f t="shared" si="16"/>
        <v>0</v>
      </c>
      <c r="P109" s="167">
        <f t="shared" si="17"/>
        <v>0</v>
      </c>
    </row>
    <row r="110" spans="1:16" ht="23.25" customHeight="1" x14ac:dyDescent="0.2">
      <c r="A110" s="61" t="s">
        <v>209</v>
      </c>
      <c r="B110" s="103" t="s">
        <v>205</v>
      </c>
      <c r="C110" s="183">
        <f>SUMPRODUCT(-('Diário 1º PA'!$E$4:$E$2635='Analítico Cx.'!$B110),-('Diário 1º PA'!$P$4:$P$2635=C$1),('Diário 1º PA'!$F$4:$F$2635))+SUMPRODUCT(-('Diário 2º PA'!$E$4:$E$3040='Analítico Cx.'!$B110),-('Diário 2º PA'!$P$4:$P$3040=C$1),('Diário 2º PA'!$F$4:$F$3040))+SUMPRODUCT(-('Diário 3º PA'!$E$4:$E$2731='Analítico Cx.'!$B110),-('Diário 3º PA'!$P$4:$P$2731=C$1),('Diário 3º PA'!$F$4:$F$2731))+SUMPRODUCT(-('Diário 4º PA'!$E$4:$E$2564='Analítico Cx.'!$B110),-('Diário 4º PA'!$P$4:$P$2564=C$1),('Diário 4º PA'!$F$4:$F$2564))</f>
        <v>0</v>
      </c>
      <c r="D110" s="183">
        <f>SUMPRODUCT(-('Diário 1º PA'!$E$4:$E$2635='Analítico Cx.'!$B110),-('Diário 1º PA'!$P$4:$P$2635=D$1),('Diário 1º PA'!$F$4:$F$2635))+SUMPRODUCT(-('Diário 2º PA'!$E$4:$E$3040='Analítico Cx.'!$B110),-('Diário 2º PA'!$P$4:$P$3040=D$1),('Diário 2º PA'!$F$4:$F$3040))+SUMPRODUCT(-('Diário 3º PA'!$E$4:$E$2731='Analítico Cx.'!$B110),-('Diário 3º PA'!$P$4:$P$2731=D$1),('Diário 3º PA'!$F$4:$F$2731))+SUMPRODUCT(-('Diário 4º PA'!$E$4:$E$2564='Analítico Cx.'!$B110),-('Diário 4º PA'!$P$4:$P$2564=D$1),('Diário 4º PA'!$F$4:$F$2564))</f>
        <v>0</v>
      </c>
      <c r="E110" s="183">
        <f>SUMPRODUCT(-('Diário 1º PA'!$E$4:$E$2635='Analítico Cx.'!$B110),-('Diário 1º PA'!$P$4:$P$2635=E$1),('Diário 1º PA'!$F$4:$F$2635))+SUMPRODUCT(-('Diário 2º PA'!$E$4:$E$3040='Analítico Cx.'!$B110),-('Diário 2º PA'!$P$4:$P$3040=E$1),('Diário 2º PA'!$F$4:$F$3040))+SUMPRODUCT(-('Diário 3º PA'!$E$4:$E$2731='Analítico Cx.'!$B110),-('Diário 3º PA'!$P$4:$P$2731=E$1),('Diário 3º PA'!$F$4:$F$2731))+SUMPRODUCT(-('Diário 4º PA'!$E$4:$E$2564='Analítico Cx.'!$B110),-('Diário 4º PA'!$P$4:$P$2564=E$1),('Diário 4º PA'!$F$4:$F$2564))</f>
        <v>0</v>
      </c>
      <c r="F110" s="183">
        <f>SUMPRODUCT(-('Diário 1º PA'!$E$4:$E$2635='Analítico Cx.'!$B110),-('Diário 1º PA'!$P$4:$P$2635=F$1),('Diário 1º PA'!$F$4:$F$2635))+SUMPRODUCT(-('Diário 2º PA'!$E$4:$E$3040='Analítico Cx.'!$B110),-('Diário 2º PA'!$P$4:$P$3040=F$1),('Diário 2º PA'!$F$4:$F$3040))+SUMPRODUCT(-('Diário 3º PA'!$E$4:$E$2731='Analítico Cx.'!$B110),-('Diário 3º PA'!$P$4:$P$2731=F$1),('Diário 3º PA'!$F$4:$F$2731))+SUMPRODUCT(-('Diário 4º PA'!$E$4:$E$2564='Analítico Cx.'!$B110),-('Diário 4º PA'!$P$4:$P$2564=F$1),('Diário 4º PA'!$F$4:$F$2564))</f>
        <v>10443.6</v>
      </c>
      <c r="G110" s="183">
        <f>SUMPRODUCT(-('Diário 1º PA'!$E$4:$E$2635='Analítico Cx.'!$B110),-('Diário 1º PA'!$P$4:$P$2635=G$1),('Diário 1º PA'!$F$4:$F$2635))+SUMPRODUCT(-('Diário 2º PA'!$E$4:$E$3040='Analítico Cx.'!$B110),-('Diário 2º PA'!$P$4:$P$3040=G$1),('Diário 2º PA'!$F$4:$F$3040))+SUMPRODUCT(-('Diário 3º PA'!$E$4:$E$2731='Analítico Cx.'!$B110),-('Diário 3º PA'!$P$4:$P$2731=G$1),('Diário 3º PA'!$F$4:$F$2731))+SUMPRODUCT(-('Diário 4º PA'!$E$4:$E$2564='Analítico Cx.'!$B110),-('Diário 4º PA'!$P$4:$P$2564=G$1),('Diário 4º PA'!$F$4:$F$2564))</f>
        <v>23346.82</v>
      </c>
      <c r="H110" s="183">
        <f>SUMPRODUCT(-('Diário 1º PA'!$E$4:$E$2635='Analítico Cx.'!$B110),-('Diário 1º PA'!$P$4:$P$2635=H$1),('Diário 1º PA'!$F$4:$F$2635))+SUMPRODUCT(-('Diário 2º PA'!$E$4:$E$3040='Analítico Cx.'!$B110),-('Diário 2º PA'!$P$4:$P$3040=H$1),('Diário 2º PA'!$F$4:$F$3040))+SUMPRODUCT(-('Diário 3º PA'!$E$4:$E$2731='Analítico Cx.'!$B110),-('Diário 3º PA'!$P$4:$P$2731=H$1),('Diário 3º PA'!$F$4:$F$2731))+SUMPRODUCT(-('Diário 4º PA'!$E$4:$E$2564='Analítico Cx.'!$B110),-('Diário 4º PA'!$P$4:$P$2564=H$1),('Diário 4º PA'!$F$4:$F$2564))</f>
        <v>784.58</v>
      </c>
      <c r="I110" s="183">
        <f>SUMPRODUCT(-('Diário 1º PA'!$E$4:$E$2635='Analítico Cx.'!$B110),-('Diário 1º PA'!$P$4:$P$2635=I$1),('Diário 1º PA'!$F$4:$F$2635))+SUMPRODUCT(-('Diário 2º PA'!$E$4:$E$3040='Analítico Cx.'!$B110),-('Diário 2º PA'!$P$4:$P$3040=I$1),('Diário 2º PA'!$F$4:$F$3040))+SUMPRODUCT(-('Diário 3º PA'!$E$4:$E$2731='Analítico Cx.'!$B110),-('Diário 3º PA'!$P$4:$P$2731=I$1),('Diário 3º PA'!$F$4:$F$2731))+SUMPRODUCT(-('Diário 4º PA'!$E$4:$E$2564='Analítico Cx.'!$B110),-('Diário 4º PA'!$P$4:$P$2564=I$1),('Diário 4º PA'!$F$4:$F$2564))</f>
        <v>1500</v>
      </c>
      <c r="J110" s="183">
        <f>SUMPRODUCT(-('Diário 1º PA'!$E$4:$E$2635='Analítico Cx.'!$B110),-('Diário 1º PA'!$P$4:$P$2635=J$1),('Diário 1º PA'!$F$4:$F$2635))+SUMPRODUCT(-('Diário 2º PA'!$E$4:$E$3040='Analítico Cx.'!$B110),-('Diário 2º PA'!$P$4:$P$3040=J$1),('Diário 2º PA'!$F$4:$F$3040))+SUMPRODUCT(-('Diário 3º PA'!$E$4:$E$2731='Analítico Cx.'!$B110),-('Diário 3º PA'!$P$4:$P$2731=J$1),('Diário 3º PA'!$F$4:$F$2731))+SUMPRODUCT(-('Diário 4º PA'!$E$4:$E$2564='Analítico Cx.'!$B110),-('Diário 4º PA'!$P$4:$P$2564=J$1),('Diário 4º PA'!$F$4:$F$2564))</f>
        <v>1140</v>
      </c>
      <c r="K110" s="183">
        <f>SUMPRODUCT(-('Diário 1º PA'!$E$4:$E$2635='Analítico Cx.'!$B110),-('Diário 1º PA'!$P$4:$P$2635=K$1),('Diário 1º PA'!$F$4:$F$2635))+SUMPRODUCT(-('Diário 2º PA'!$E$4:$E$3040='Analítico Cx.'!$B110),-('Diário 2º PA'!$P$4:$P$3040=K$1),('Diário 2º PA'!$F$4:$F$3040))+SUMPRODUCT(-('Diário 3º PA'!$E$4:$E$2731='Analítico Cx.'!$B110),-('Diário 3º PA'!$P$4:$P$2731=K$1),('Diário 3º PA'!$F$4:$F$2731))+SUMPRODUCT(-('Diário 4º PA'!$E$4:$E$2564='Analítico Cx.'!$B110),-('Diário 4º PA'!$P$4:$P$2564=K$1),('Diário 4º PA'!$F$4:$F$2564))</f>
        <v>0</v>
      </c>
      <c r="L110" s="183">
        <f>SUMPRODUCT(-('Diário 1º PA'!$E$4:$E$2635='Analítico Cx.'!$B110),-('Diário 1º PA'!$P$4:$P$2635=L$1),('Diário 1º PA'!$F$4:$F$2635))+SUMPRODUCT(-('Diário 2º PA'!$E$4:$E$3040='Analítico Cx.'!$B110),-('Diário 2º PA'!$P$4:$P$3040=L$1),('Diário 2º PA'!$F$4:$F$3040))+SUMPRODUCT(-('Diário 3º PA'!$E$4:$E$2731='Analítico Cx.'!$B110),-('Diário 3º PA'!$P$4:$P$2731=L$1),('Diário 3º PA'!$F$4:$F$2731))+SUMPRODUCT(-('Diário 4º PA'!$E$4:$E$2564='Analítico Cx.'!$B110),-('Diário 4º PA'!$P$4:$P$2564=L$1),('Diário 4º PA'!$F$4:$F$2564))</f>
        <v>0</v>
      </c>
      <c r="M110" s="183">
        <f>SUMPRODUCT(-('Diário 1º PA'!$E$4:$E$2635='Analítico Cx.'!$B110),-('Diário 1º PA'!$P$4:$P$2635=M$1),('Diário 1º PA'!$F$4:$F$2635))+SUMPRODUCT(-('Diário 2º PA'!$E$4:$E$3040='Analítico Cx.'!$B110),-('Diário 2º PA'!$P$4:$P$3040=M$1),('Diário 2º PA'!$F$4:$F$3040))+SUMPRODUCT(-('Diário 3º PA'!$E$4:$E$2731='Analítico Cx.'!$B110),-('Diário 3º PA'!$P$4:$P$2731=M$1),('Diário 3º PA'!$F$4:$F$2731))+SUMPRODUCT(-('Diário 4º PA'!$E$4:$E$2564='Analítico Cx.'!$B110),-('Diário 4º PA'!$P$4:$P$2564=M$1),('Diário 4º PA'!$F$4:$F$2564))</f>
        <v>0</v>
      </c>
      <c r="N110" s="183">
        <f>SUMPRODUCT(-('Diário 1º PA'!$E$4:$E$2635='Analítico Cx.'!$B110),-('Diário 1º PA'!$P$4:$P$2635=N$1),('Diário 1º PA'!$F$4:$F$2635))+SUMPRODUCT(-('Diário 2º PA'!$E$4:$E$3040='Analítico Cx.'!$B110),-('Diário 2º PA'!$P$4:$P$3040=N$1),('Diário 2º PA'!$F$4:$F$3040))+SUMPRODUCT(-('Diário 3º PA'!$E$4:$E$2731='Analítico Cx.'!$B110),-('Diário 3º PA'!$P$4:$P$2731=N$1),('Diário 3º PA'!$F$4:$F$2731))+SUMPRODUCT(-('Diário 4º PA'!$E$4:$E$2564='Analítico Cx.'!$B110),-('Diário 4º PA'!$P$4:$P$2564=N$1),('Diário 4º PA'!$F$4:$F$2564))</f>
        <v>360</v>
      </c>
      <c r="O110" s="184">
        <f t="shared" si="16"/>
        <v>37575</v>
      </c>
      <c r="P110" s="167">
        <f t="shared" si="17"/>
        <v>2.9595965589502152E-3</v>
      </c>
    </row>
    <row r="111" spans="1:16" ht="23.25" customHeight="1" x14ac:dyDescent="0.2">
      <c r="A111" s="61" t="s">
        <v>211</v>
      </c>
      <c r="B111" s="103" t="s">
        <v>91</v>
      </c>
      <c r="C111" s="183">
        <f>SUMPRODUCT(-('Diário 1º PA'!$E$4:$E$2635='Analítico Cx.'!$B111),-('Diário 1º PA'!$P$4:$P$2635=C$1),('Diário 1º PA'!$F$4:$F$2635))+SUMPRODUCT(-('Diário 2º PA'!$E$4:$E$3040='Analítico Cx.'!$B111),-('Diário 2º PA'!$P$4:$P$3040=C$1),('Diário 2º PA'!$F$4:$F$3040))+SUMPRODUCT(-('Diário 3º PA'!$E$4:$E$2731='Analítico Cx.'!$B111),-('Diário 3º PA'!$P$4:$P$2731=C$1),('Diário 3º PA'!$F$4:$F$2731))+SUMPRODUCT(-('Diário 4º PA'!$E$4:$E$2564='Analítico Cx.'!$B111),-('Diário 4º PA'!$P$4:$P$2564=C$1),('Diário 4º PA'!$F$4:$F$2564))</f>
        <v>527.4</v>
      </c>
      <c r="D111" s="183">
        <f>SUMPRODUCT(-('Diário 1º PA'!$E$4:$E$2635='Analítico Cx.'!$B111),-('Diário 1º PA'!$P$4:$P$2635=D$1),('Diário 1º PA'!$F$4:$F$2635))+SUMPRODUCT(-('Diário 2º PA'!$E$4:$E$3040='Analítico Cx.'!$B111),-('Diário 2º PA'!$P$4:$P$3040=D$1),('Diário 2º PA'!$F$4:$F$3040))+SUMPRODUCT(-('Diário 3º PA'!$E$4:$E$2731='Analítico Cx.'!$B111),-('Diário 3º PA'!$P$4:$P$2731=D$1),('Diário 3º PA'!$F$4:$F$2731))+SUMPRODUCT(-('Diário 4º PA'!$E$4:$E$2564='Analítico Cx.'!$B111),-('Diário 4º PA'!$P$4:$P$2564=D$1),('Diário 4º PA'!$F$4:$F$2564))</f>
        <v>1588.6</v>
      </c>
      <c r="E111" s="183">
        <f>SUMPRODUCT(-('Diário 1º PA'!$E$4:$E$2635='Analítico Cx.'!$B111),-('Diário 1º PA'!$P$4:$P$2635=E$1),('Diário 1º PA'!$F$4:$F$2635))+SUMPRODUCT(-('Diário 2º PA'!$E$4:$E$3040='Analítico Cx.'!$B111),-('Diário 2º PA'!$P$4:$P$3040=E$1),('Diário 2º PA'!$F$4:$F$3040))+SUMPRODUCT(-('Diário 3º PA'!$E$4:$E$2731='Analítico Cx.'!$B111),-('Diário 3º PA'!$P$4:$P$2731=E$1),('Diário 3º PA'!$F$4:$F$2731))+SUMPRODUCT(-('Diário 4º PA'!$E$4:$E$2564='Analítico Cx.'!$B111),-('Diário 4º PA'!$P$4:$P$2564=E$1),('Diário 4º PA'!$F$4:$F$2564))</f>
        <v>1945.71</v>
      </c>
      <c r="F111" s="183">
        <f>SUMPRODUCT(-('Diário 1º PA'!$E$4:$E$2635='Analítico Cx.'!$B111),-('Diário 1º PA'!$P$4:$P$2635=F$1),('Diário 1º PA'!$F$4:$F$2635))+SUMPRODUCT(-('Diário 2º PA'!$E$4:$E$3040='Analítico Cx.'!$B111),-('Diário 2º PA'!$P$4:$P$3040=F$1),('Diário 2º PA'!$F$4:$F$3040))+SUMPRODUCT(-('Diário 3º PA'!$E$4:$E$2731='Analítico Cx.'!$B111),-('Diário 3º PA'!$P$4:$P$2731=F$1),('Diário 3º PA'!$F$4:$F$2731))+SUMPRODUCT(-('Diário 4º PA'!$E$4:$E$2564='Analítico Cx.'!$B111),-('Diário 4º PA'!$P$4:$P$2564=F$1),('Diário 4º PA'!$F$4:$F$2564))</f>
        <v>315.98</v>
      </c>
      <c r="G111" s="183">
        <f>SUMPRODUCT(-('Diário 1º PA'!$E$4:$E$2635='Analítico Cx.'!$B111),-('Diário 1º PA'!$P$4:$P$2635=G$1),('Diário 1º PA'!$F$4:$F$2635))+SUMPRODUCT(-('Diário 2º PA'!$E$4:$E$3040='Analítico Cx.'!$B111),-('Diário 2º PA'!$P$4:$P$3040=G$1),('Diário 2º PA'!$F$4:$F$3040))+SUMPRODUCT(-('Diário 3º PA'!$E$4:$E$2731='Analítico Cx.'!$B111),-('Diário 3º PA'!$P$4:$P$2731=G$1),('Diário 3º PA'!$F$4:$F$2731))+SUMPRODUCT(-('Diário 4º PA'!$E$4:$E$2564='Analítico Cx.'!$B111),-('Diário 4º PA'!$P$4:$P$2564=G$1),('Diário 4º PA'!$F$4:$F$2564))</f>
        <v>24605.05</v>
      </c>
      <c r="H111" s="183">
        <f>SUMPRODUCT(-('Diário 1º PA'!$E$4:$E$2635='Analítico Cx.'!$B111),-('Diário 1º PA'!$P$4:$P$2635=H$1),('Diário 1º PA'!$F$4:$F$2635))+SUMPRODUCT(-('Diário 2º PA'!$E$4:$E$3040='Analítico Cx.'!$B111),-('Diário 2º PA'!$P$4:$P$3040=H$1),('Diário 2º PA'!$F$4:$F$3040))+SUMPRODUCT(-('Diário 3º PA'!$E$4:$E$2731='Analítico Cx.'!$B111),-('Diário 3º PA'!$P$4:$P$2731=H$1),('Diário 3º PA'!$F$4:$F$2731))+SUMPRODUCT(-('Diário 4º PA'!$E$4:$E$2564='Analítico Cx.'!$B111),-('Diário 4º PA'!$P$4:$P$2564=H$1),('Diário 4º PA'!$F$4:$F$2564))</f>
        <v>25837.05</v>
      </c>
      <c r="I111" s="183">
        <f>SUMPRODUCT(-('Diário 1º PA'!$E$4:$E$2635='Analítico Cx.'!$B111),-('Diário 1º PA'!$P$4:$P$2635=I$1),('Diário 1º PA'!$F$4:$F$2635))+SUMPRODUCT(-('Diário 2º PA'!$E$4:$E$3040='Analítico Cx.'!$B111),-('Diário 2º PA'!$P$4:$P$3040=I$1),('Diário 2º PA'!$F$4:$F$3040))+SUMPRODUCT(-('Diário 3º PA'!$E$4:$E$2731='Analítico Cx.'!$B111),-('Diário 3º PA'!$P$4:$P$2731=I$1),('Diário 3º PA'!$F$4:$F$2731))+SUMPRODUCT(-('Diário 4º PA'!$E$4:$E$2564='Analítico Cx.'!$B111),-('Diário 4º PA'!$P$4:$P$2564=I$1),('Diário 4º PA'!$F$4:$F$2564))</f>
        <v>4245.55</v>
      </c>
      <c r="J111" s="183">
        <f>SUMPRODUCT(-('Diário 1º PA'!$E$4:$E$2635='Analítico Cx.'!$B111),-('Diário 1º PA'!$P$4:$P$2635=J$1),('Diário 1º PA'!$F$4:$F$2635))+SUMPRODUCT(-('Diário 2º PA'!$E$4:$E$3040='Analítico Cx.'!$B111),-('Diário 2º PA'!$P$4:$P$3040=J$1),('Diário 2º PA'!$F$4:$F$3040))+SUMPRODUCT(-('Diário 3º PA'!$E$4:$E$2731='Analítico Cx.'!$B111),-('Diário 3º PA'!$P$4:$P$2731=J$1),('Diário 3º PA'!$F$4:$F$2731))+SUMPRODUCT(-('Diário 4º PA'!$E$4:$E$2564='Analítico Cx.'!$B111),-('Diário 4º PA'!$P$4:$P$2564=J$1),('Diário 4º PA'!$F$4:$F$2564))</f>
        <v>516.20000000000005</v>
      </c>
      <c r="K111" s="183">
        <f>SUMPRODUCT(-('Diário 1º PA'!$E$4:$E$2635='Analítico Cx.'!$B111),-('Diário 1º PA'!$P$4:$P$2635=K$1),('Diário 1º PA'!$F$4:$F$2635))+SUMPRODUCT(-('Diário 2º PA'!$E$4:$E$3040='Analítico Cx.'!$B111),-('Diário 2º PA'!$P$4:$P$3040=K$1),('Diário 2º PA'!$F$4:$F$3040))+SUMPRODUCT(-('Diário 3º PA'!$E$4:$E$2731='Analítico Cx.'!$B111),-('Diário 3º PA'!$P$4:$P$2731=K$1),('Diário 3º PA'!$F$4:$F$2731))+SUMPRODUCT(-('Diário 4º PA'!$E$4:$E$2564='Analítico Cx.'!$B111),-('Diário 4º PA'!$P$4:$P$2564=K$1),('Diário 4º PA'!$F$4:$F$2564))</f>
        <v>296.48</v>
      </c>
      <c r="L111" s="183">
        <f>SUMPRODUCT(-('Diário 1º PA'!$E$4:$E$2635='Analítico Cx.'!$B111),-('Diário 1º PA'!$P$4:$P$2635=L$1),('Diário 1º PA'!$F$4:$F$2635))+SUMPRODUCT(-('Diário 2º PA'!$E$4:$E$3040='Analítico Cx.'!$B111),-('Diário 2º PA'!$P$4:$P$3040=L$1),('Diário 2º PA'!$F$4:$F$3040))+SUMPRODUCT(-('Diário 3º PA'!$E$4:$E$2731='Analítico Cx.'!$B111),-('Diário 3º PA'!$P$4:$P$2731=L$1),('Diário 3º PA'!$F$4:$F$2731))+SUMPRODUCT(-('Diário 4º PA'!$E$4:$E$2564='Analítico Cx.'!$B111),-('Diário 4º PA'!$P$4:$P$2564=L$1),('Diário 4º PA'!$F$4:$F$2564))</f>
        <v>150.76</v>
      </c>
      <c r="M111" s="183">
        <f>SUMPRODUCT(-('Diário 1º PA'!$E$4:$E$2635='Analítico Cx.'!$B111),-('Diário 1º PA'!$P$4:$P$2635=M$1),('Diário 1º PA'!$F$4:$F$2635))+SUMPRODUCT(-('Diário 2º PA'!$E$4:$E$3040='Analítico Cx.'!$B111),-('Diário 2º PA'!$P$4:$P$3040=M$1),('Diário 2º PA'!$F$4:$F$3040))+SUMPRODUCT(-('Diário 3º PA'!$E$4:$E$2731='Analítico Cx.'!$B111),-('Diário 3º PA'!$P$4:$P$2731=M$1),('Diário 3º PA'!$F$4:$F$2731))+SUMPRODUCT(-('Diário 4º PA'!$E$4:$E$2564='Analítico Cx.'!$B111),-('Diário 4º PA'!$P$4:$P$2564=M$1),('Diário 4º PA'!$F$4:$F$2564))</f>
        <v>317.74</v>
      </c>
      <c r="N111" s="183">
        <f>SUMPRODUCT(-('Diário 1º PA'!$E$4:$E$2635='Analítico Cx.'!$B111),-('Diário 1º PA'!$P$4:$P$2635=N$1),('Diário 1º PA'!$F$4:$F$2635))+SUMPRODUCT(-('Diário 2º PA'!$E$4:$E$3040='Analítico Cx.'!$B111),-('Diário 2º PA'!$P$4:$P$3040=N$1),('Diário 2º PA'!$F$4:$F$3040))+SUMPRODUCT(-('Diário 3º PA'!$E$4:$E$2731='Analítico Cx.'!$B111),-('Diário 3º PA'!$P$4:$P$2731=N$1),('Diário 3º PA'!$F$4:$F$2731))+SUMPRODUCT(-('Diário 4º PA'!$E$4:$E$2564='Analítico Cx.'!$B111),-('Diário 4º PA'!$P$4:$P$2564=N$1),('Diário 4º PA'!$F$4:$F$2564))</f>
        <v>61.5</v>
      </c>
      <c r="O111" s="184">
        <f t="shared" si="16"/>
        <v>60408.02</v>
      </c>
      <c r="P111" s="167">
        <f t="shared" si="17"/>
        <v>4.7580404025281643E-3</v>
      </c>
    </row>
    <row r="112" spans="1:16" ht="23.25" customHeight="1" x14ac:dyDescent="0.2">
      <c r="A112" s="61" t="s">
        <v>213</v>
      </c>
      <c r="B112" s="103" t="s">
        <v>83</v>
      </c>
      <c r="C112" s="183">
        <f>SUMPRODUCT(-('Diário 1º PA'!$E$4:$E$2635='Analítico Cx.'!$B112),-('Diário 1º PA'!$P$4:$P$2635=C$1),('Diário 1º PA'!$F$4:$F$2635))+SUMPRODUCT(-('Diário 2º PA'!$E$4:$E$3040='Analítico Cx.'!$B112),-('Diário 2º PA'!$P$4:$P$3040=C$1),('Diário 2º PA'!$F$4:$F$3040))+SUMPRODUCT(-('Diário 3º PA'!$E$4:$E$2731='Analítico Cx.'!$B112),-('Diário 3º PA'!$P$4:$P$2731=C$1),('Diário 3º PA'!$F$4:$F$2731))+SUMPRODUCT(-('Diário 4º PA'!$E$4:$E$2564='Analítico Cx.'!$B112),-('Diário 4º PA'!$P$4:$P$2564=C$1),('Diário 4º PA'!$F$4:$F$2564))</f>
        <v>0</v>
      </c>
      <c r="D112" s="183">
        <f>SUMPRODUCT(-('Diário 1º PA'!$E$4:$E$2635='Analítico Cx.'!$B112),-('Diário 1º PA'!$P$4:$P$2635=D$1),('Diário 1º PA'!$F$4:$F$2635))+SUMPRODUCT(-('Diário 2º PA'!$E$4:$E$3040='Analítico Cx.'!$B112),-('Diário 2º PA'!$P$4:$P$3040=D$1),('Diário 2º PA'!$F$4:$F$3040))+SUMPRODUCT(-('Diário 3º PA'!$E$4:$E$2731='Analítico Cx.'!$B112),-('Diário 3º PA'!$P$4:$P$2731=D$1),('Diário 3º PA'!$F$4:$F$2731))+SUMPRODUCT(-('Diário 4º PA'!$E$4:$E$2564='Analítico Cx.'!$B112),-('Diário 4º PA'!$P$4:$P$2564=D$1),('Diário 4º PA'!$F$4:$F$2564))</f>
        <v>0</v>
      </c>
      <c r="E112" s="183">
        <f>SUMPRODUCT(-('Diário 1º PA'!$E$4:$E$2635='Analítico Cx.'!$B112),-('Diário 1º PA'!$P$4:$P$2635=E$1),('Diário 1º PA'!$F$4:$F$2635))+SUMPRODUCT(-('Diário 2º PA'!$E$4:$E$3040='Analítico Cx.'!$B112),-('Diário 2º PA'!$P$4:$P$3040=E$1),('Diário 2º PA'!$F$4:$F$3040))+SUMPRODUCT(-('Diário 3º PA'!$E$4:$E$2731='Analítico Cx.'!$B112),-('Diário 3º PA'!$P$4:$P$2731=E$1),('Diário 3º PA'!$F$4:$F$2731))+SUMPRODUCT(-('Diário 4º PA'!$E$4:$E$2564='Analítico Cx.'!$B112),-('Diário 4º PA'!$P$4:$P$2564=E$1),('Diário 4º PA'!$F$4:$F$2564))</f>
        <v>0</v>
      </c>
      <c r="F112" s="183">
        <f>SUMPRODUCT(-('Diário 1º PA'!$E$4:$E$2635='Analítico Cx.'!$B112),-('Diário 1º PA'!$P$4:$P$2635=F$1),('Diário 1º PA'!$F$4:$F$2635))+SUMPRODUCT(-('Diário 2º PA'!$E$4:$E$3040='Analítico Cx.'!$B112),-('Diário 2º PA'!$P$4:$P$3040=F$1),('Diário 2º PA'!$F$4:$F$3040))+SUMPRODUCT(-('Diário 3º PA'!$E$4:$E$2731='Analítico Cx.'!$B112),-('Diário 3º PA'!$P$4:$P$2731=F$1),('Diário 3º PA'!$F$4:$F$2731))+SUMPRODUCT(-('Diário 4º PA'!$E$4:$E$2564='Analítico Cx.'!$B112),-('Diário 4º PA'!$P$4:$P$2564=F$1),('Diário 4º PA'!$F$4:$F$2564))</f>
        <v>0</v>
      </c>
      <c r="G112" s="183">
        <f>SUMPRODUCT(-('Diário 1º PA'!$E$4:$E$2635='Analítico Cx.'!$B112),-('Diário 1º PA'!$P$4:$P$2635=G$1),('Diário 1º PA'!$F$4:$F$2635))+SUMPRODUCT(-('Diário 2º PA'!$E$4:$E$3040='Analítico Cx.'!$B112),-('Diário 2º PA'!$P$4:$P$3040=G$1),('Diário 2º PA'!$F$4:$F$3040))+SUMPRODUCT(-('Diário 3º PA'!$E$4:$E$2731='Analítico Cx.'!$B112),-('Diário 3º PA'!$P$4:$P$2731=G$1),('Diário 3º PA'!$F$4:$F$2731))+SUMPRODUCT(-('Diário 4º PA'!$E$4:$E$2564='Analítico Cx.'!$B112),-('Diário 4º PA'!$P$4:$P$2564=G$1),('Diário 4º PA'!$F$4:$F$2564))</f>
        <v>0</v>
      </c>
      <c r="H112" s="183">
        <f>SUMPRODUCT(-('Diário 1º PA'!$E$4:$E$2635='Analítico Cx.'!$B112),-('Diário 1º PA'!$P$4:$P$2635=H$1),('Diário 1º PA'!$F$4:$F$2635))+SUMPRODUCT(-('Diário 2º PA'!$E$4:$E$3040='Analítico Cx.'!$B112),-('Diário 2º PA'!$P$4:$P$3040=H$1),('Diário 2º PA'!$F$4:$F$3040))+SUMPRODUCT(-('Diário 3º PA'!$E$4:$E$2731='Analítico Cx.'!$B112),-('Diário 3º PA'!$P$4:$P$2731=H$1),('Diário 3º PA'!$F$4:$F$2731))+SUMPRODUCT(-('Diário 4º PA'!$E$4:$E$2564='Analítico Cx.'!$B112),-('Diário 4º PA'!$P$4:$P$2564=H$1),('Diário 4º PA'!$F$4:$F$2564))</f>
        <v>0</v>
      </c>
      <c r="I112" s="183">
        <f>SUMPRODUCT(-('Diário 1º PA'!$E$4:$E$2635='Analítico Cx.'!$B112),-('Diário 1º PA'!$P$4:$P$2635=I$1),('Diário 1º PA'!$F$4:$F$2635))+SUMPRODUCT(-('Diário 2º PA'!$E$4:$E$3040='Analítico Cx.'!$B112),-('Diário 2º PA'!$P$4:$P$3040=I$1),('Diário 2º PA'!$F$4:$F$3040))+SUMPRODUCT(-('Diário 3º PA'!$E$4:$E$2731='Analítico Cx.'!$B112),-('Diário 3º PA'!$P$4:$P$2731=I$1),('Diário 3º PA'!$F$4:$F$2731))+SUMPRODUCT(-('Diário 4º PA'!$E$4:$E$2564='Analítico Cx.'!$B112),-('Diário 4º PA'!$P$4:$P$2564=I$1),('Diário 4º PA'!$F$4:$F$2564))</f>
        <v>0</v>
      </c>
      <c r="J112" s="183">
        <f>SUMPRODUCT(-('Diário 1º PA'!$E$4:$E$2635='Analítico Cx.'!$B112),-('Diário 1º PA'!$P$4:$P$2635=J$1),('Diário 1º PA'!$F$4:$F$2635))+SUMPRODUCT(-('Diário 2º PA'!$E$4:$E$3040='Analítico Cx.'!$B112),-('Diário 2º PA'!$P$4:$P$3040=J$1),('Diário 2º PA'!$F$4:$F$3040))+SUMPRODUCT(-('Diário 3º PA'!$E$4:$E$2731='Analítico Cx.'!$B112),-('Diário 3º PA'!$P$4:$P$2731=J$1),('Diário 3º PA'!$F$4:$F$2731))+SUMPRODUCT(-('Diário 4º PA'!$E$4:$E$2564='Analítico Cx.'!$B112),-('Diário 4º PA'!$P$4:$P$2564=J$1),('Diário 4º PA'!$F$4:$F$2564))</f>
        <v>0</v>
      </c>
      <c r="K112" s="183">
        <f>SUMPRODUCT(-('Diário 1º PA'!$E$4:$E$2635='Analítico Cx.'!$B112),-('Diário 1º PA'!$P$4:$P$2635=K$1),('Diário 1º PA'!$F$4:$F$2635))+SUMPRODUCT(-('Diário 2º PA'!$E$4:$E$3040='Analítico Cx.'!$B112),-('Diário 2º PA'!$P$4:$P$3040=K$1),('Diário 2º PA'!$F$4:$F$3040))+SUMPRODUCT(-('Diário 3º PA'!$E$4:$E$2731='Analítico Cx.'!$B112),-('Diário 3º PA'!$P$4:$P$2731=K$1),('Diário 3º PA'!$F$4:$F$2731))+SUMPRODUCT(-('Diário 4º PA'!$E$4:$E$2564='Analítico Cx.'!$B112),-('Diário 4º PA'!$P$4:$P$2564=K$1),('Diário 4º PA'!$F$4:$F$2564))</f>
        <v>0</v>
      </c>
      <c r="L112" s="183">
        <f>SUMPRODUCT(-('Diário 1º PA'!$E$4:$E$2635='Analítico Cx.'!$B112),-('Diário 1º PA'!$P$4:$P$2635=L$1),('Diário 1º PA'!$F$4:$F$2635))+SUMPRODUCT(-('Diário 2º PA'!$E$4:$E$3040='Analítico Cx.'!$B112),-('Diário 2º PA'!$P$4:$P$3040=L$1),('Diário 2º PA'!$F$4:$F$3040))+SUMPRODUCT(-('Diário 3º PA'!$E$4:$E$2731='Analítico Cx.'!$B112),-('Diário 3º PA'!$P$4:$P$2731=L$1),('Diário 3º PA'!$F$4:$F$2731))+SUMPRODUCT(-('Diário 4º PA'!$E$4:$E$2564='Analítico Cx.'!$B112),-('Diário 4º PA'!$P$4:$P$2564=L$1),('Diário 4º PA'!$F$4:$F$2564))</f>
        <v>0</v>
      </c>
      <c r="M112" s="183">
        <f>SUMPRODUCT(-('Diário 1º PA'!$E$4:$E$2635='Analítico Cx.'!$B112),-('Diário 1º PA'!$P$4:$P$2635=M$1),('Diário 1º PA'!$F$4:$F$2635))+SUMPRODUCT(-('Diário 2º PA'!$E$4:$E$3040='Analítico Cx.'!$B112),-('Diário 2º PA'!$P$4:$P$3040=M$1),('Diário 2º PA'!$F$4:$F$3040))+SUMPRODUCT(-('Diário 3º PA'!$E$4:$E$2731='Analítico Cx.'!$B112),-('Diário 3º PA'!$P$4:$P$2731=M$1),('Diário 3º PA'!$F$4:$F$2731))+SUMPRODUCT(-('Diário 4º PA'!$E$4:$E$2564='Analítico Cx.'!$B112),-('Diário 4º PA'!$P$4:$P$2564=M$1),('Diário 4º PA'!$F$4:$F$2564))</f>
        <v>0</v>
      </c>
      <c r="N112" s="183">
        <f>SUMPRODUCT(-('Diário 1º PA'!$E$4:$E$2635='Analítico Cx.'!$B112),-('Diário 1º PA'!$P$4:$P$2635=N$1),('Diário 1º PA'!$F$4:$F$2635))+SUMPRODUCT(-('Diário 2º PA'!$E$4:$E$3040='Analítico Cx.'!$B112),-('Diário 2º PA'!$P$4:$P$3040=N$1),('Diário 2º PA'!$F$4:$F$3040))+SUMPRODUCT(-('Diário 3º PA'!$E$4:$E$2731='Analítico Cx.'!$B112),-('Diário 3º PA'!$P$4:$P$2731=N$1),('Diário 3º PA'!$F$4:$F$2731))+SUMPRODUCT(-('Diário 4º PA'!$E$4:$E$2564='Analítico Cx.'!$B112),-('Diário 4º PA'!$P$4:$P$2564=N$1),('Diário 4º PA'!$F$4:$F$2564))</f>
        <v>0</v>
      </c>
      <c r="O112" s="184">
        <f t="shared" si="16"/>
        <v>0</v>
      </c>
      <c r="P112" s="167">
        <f t="shared" si="17"/>
        <v>0</v>
      </c>
    </row>
    <row r="113" spans="1:16" ht="23.25" customHeight="1" x14ac:dyDescent="0.2">
      <c r="A113" s="61" t="s">
        <v>215</v>
      </c>
      <c r="B113" s="103" t="s">
        <v>63</v>
      </c>
      <c r="C113" s="183">
        <f>SUMPRODUCT(-('Diário 1º PA'!$E$4:$E$2635='Analítico Cx.'!$B113),-('Diário 1º PA'!$P$4:$P$2635=C$1),('Diário 1º PA'!$F$4:$F$2635))+SUMPRODUCT(-('Diário 2º PA'!$E$4:$E$3040='Analítico Cx.'!$B113),-('Diário 2º PA'!$P$4:$P$3040=C$1),('Diário 2º PA'!$F$4:$F$3040))+SUMPRODUCT(-('Diário 3º PA'!$E$4:$E$2731='Analítico Cx.'!$B113),-('Diário 3º PA'!$P$4:$P$2731=C$1),('Diário 3º PA'!$F$4:$F$2731))+SUMPRODUCT(-('Diário 4º PA'!$E$4:$E$2564='Analítico Cx.'!$B113),-('Diário 4º PA'!$P$4:$P$2564=C$1),('Diário 4º PA'!$F$4:$F$2564))</f>
        <v>0</v>
      </c>
      <c r="D113" s="183">
        <f>SUMPRODUCT(-('Diário 1º PA'!$E$4:$E$2635='Analítico Cx.'!$B113),-('Diário 1º PA'!$P$4:$P$2635=D$1),('Diário 1º PA'!$F$4:$F$2635))+SUMPRODUCT(-('Diário 2º PA'!$E$4:$E$3040='Analítico Cx.'!$B113),-('Diário 2º PA'!$P$4:$P$3040=D$1),('Diário 2º PA'!$F$4:$F$3040))+SUMPRODUCT(-('Diário 3º PA'!$E$4:$E$2731='Analítico Cx.'!$B113),-('Diário 3º PA'!$P$4:$P$2731=D$1),('Diário 3º PA'!$F$4:$F$2731))+SUMPRODUCT(-('Diário 4º PA'!$E$4:$E$2564='Analítico Cx.'!$B113),-('Diário 4º PA'!$P$4:$P$2564=D$1),('Diário 4º PA'!$F$4:$F$2564))</f>
        <v>0</v>
      </c>
      <c r="E113" s="183">
        <f>SUMPRODUCT(-('Diário 1º PA'!$E$4:$E$2635='Analítico Cx.'!$B113),-('Diário 1º PA'!$P$4:$P$2635=E$1),('Diário 1º PA'!$F$4:$F$2635))+SUMPRODUCT(-('Diário 2º PA'!$E$4:$E$3040='Analítico Cx.'!$B113),-('Diário 2º PA'!$P$4:$P$3040=E$1),('Diário 2º PA'!$F$4:$F$3040))+SUMPRODUCT(-('Diário 3º PA'!$E$4:$E$2731='Analítico Cx.'!$B113),-('Diário 3º PA'!$P$4:$P$2731=E$1),('Diário 3º PA'!$F$4:$F$2731))+SUMPRODUCT(-('Diário 4º PA'!$E$4:$E$2564='Analítico Cx.'!$B113),-('Diário 4º PA'!$P$4:$P$2564=E$1),('Diário 4º PA'!$F$4:$F$2564))</f>
        <v>0</v>
      </c>
      <c r="F113" s="183">
        <f>SUMPRODUCT(-('Diário 1º PA'!$E$4:$E$2635='Analítico Cx.'!$B113),-('Diário 1º PA'!$P$4:$P$2635=F$1),('Diário 1º PA'!$F$4:$F$2635))+SUMPRODUCT(-('Diário 2º PA'!$E$4:$E$3040='Analítico Cx.'!$B113),-('Diário 2º PA'!$P$4:$P$3040=F$1),('Diário 2º PA'!$F$4:$F$3040))+SUMPRODUCT(-('Diário 3º PA'!$E$4:$E$2731='Analítico Cx.'!$B113),-('Diário 3º PA'!$P$4:$P$2731=F$1),('Diário 3º PA'!$F$4:$F$2731))+SUMPRODUCT(-('Diário 4º PA'!$E$4:$E$2564='Analítico Cx.'!$B113),-('Diário 4º PA'!$P$4:$P$2564=F$1),('Diário 4º PA'!$F$4:$F$2564))</f>
        <v>0</v>
      </c>
      <c r="G113" s="183">
        <f>SUMPRODUCT(-('Diário 1º PA'!$E$4:$E$2635='Analítico Cx.'!$B113),-('Diário 1º PA'!$P$4:$P$2635=G$1),('Diário 1º PA'!$F$4:$F$2635))+SUMPRODUCT(-('Diário 2º PA'!$E$4:$E$3040='Analítico Cx.'!$B113),-('Diário 2º PA'!$P$4:$P$3040=G$1),('Diário 2º PA'!$F$4:$F$3040))+SUMPRODUCT(-('Diário 3º PA'!$E$4:$E$2731='Analítico Cx.'!$B113),-('Diário 3º PA'!$P$4:$P$2731=G$1),('Diário 3º PA'!$F$4:$F$2731))+SUMPRODUCT(-('Diário 4º PA'!$E$4:$E$2564='Analítico Cx.'!$B113),-('Diário 4º PA'!$P$4:$P$2564=G$1),('Diário 4º PA'!$F$4:$F$2564))</f>
        <v>0</v>
      </c>
      <c r="H113" s="183">
        <f>SUMPRODUCT(-('Diário 1º PA'!$E$4:$E$2635='Analítico Cx.'!$B113),-('Diário 1º PA'!$P$4:$P$2635=H$1),('Diário 1º PA'!$F$4:$F$2635))+SUMPRODUCT(-('Diário 2º PA'!$E$4:$E$3040='Analítico Cx.'!$B113),-('Diário 2º PA'!$P$4:$P$3040=H$1),('Diário 2º PA'!$F$4:$F$3040))+SUMPRODUCT(-('Diário 3º PA'!$E$4:$E$2731='Analítico Cx.'!$B113),-('Diário 3º PA'!$P$4:$P$2731=H$1),('Diário 3º PA'!$F$4:$F$2731))+SUMPRODUCT(-('Diário 4º PA'!$E$4:$E$2564='Analítico Cx.'!$B113),-('Diário 4º PA'!$P$4:$P$2564=H$1),('Diário 4º PA'!$F$4:$F$2564))</f>
        <v>0</v>
      </c>
      <c r="I113" s="183">
        <f>SUMPRODUCT(-('Diário 1º PA'!$E$4:$E$2635='Analítico Cx.'!$B113),-('Diário 1º PA'!$P$4:$P$2635=I$1),('Diário 1º PA'!$F$4:$F$2635))+SUMPRODUCT(-('Diário 2º PA'!$E$4:$E$3040='Analítico Cx.'!$B113),-('Diário 2º PA'!$P$4:$P$3040=I$1),('Diário 2º PA'!$F$4:$F$3040))+SUMPRODUCT(-('Diário 3º PA'!$E$4:$E$2731='Analítico Cx.'!$B113),-('Diário 3º PA'!$P$4:$P$2731=I$1),('Diário 3º PA'!$F$4:$F$2731))+SUMPRODUCT(-('Diário 4º PA'!$E$4:$E$2564='Analítico Cx.'!$B113),-('Diário 4º PA'!$P$4:$P$2564=I$1),('Diário 4º PA'!$F$4:$F$2564))</f>
        <v>0</v>
      </c>
      <c r="J113" s="183">
        <f>SUMPRODUCT(-('Diário 1º PA'!$E$4:$E$2635='Analítico Cx.'!$B113),-('Diário 1º PA'!$P$4:$P$2635=J$1),('Diário 1º PA'!$F$4:$F$2635))+SUMPRODUCT(-('Diário 2º PA'!$E$4:$E$3040='Analítico Cx.'!$B113),-('Diário 2º PA'!$P$4:$P$3040=J$1),('Diário 2º PA'!$F$4:$F$3040))+SUMPRODUCT(-('Diário 3º PA'!$E$4:$E$2731='Analítico Cx.'!$B113),-('Diário 3º PA'!$P$4:$P$2731=J$1),('Diário 3º PA'!$F$4:$F$2731))+SUMPRODUCT(-('Diário 4º PA'!$E$4:$E$2564='Analítico Cx.'!$B113),-('Diário 4º PA'!$P$4:$P$2564=J$1),('Diário 4º PA'!$F$4:$F$2564))</f>
        <v>0</v>
      </c>
      <c r="K113" s="183">
        <f>SUMPRODUCT(-('Diário 1º PA'!$E$4:$E$2635='Analítico Cx.'!$B113),-('Diário 1º PA'!$P$4:$P$2635=K$1),('Diário 1º PA'!$F$4:$F$2635))+SUMPRODUCT(-('Diário 2º PA'!$E$4:$E$3040='Analítico Cx.'!$B113),-('Diário 2º PA'!$P$4:$P$3040=K$1),('Diário 2º PA'!$F$4:$F$3040))+SUMPRODUCT(-('Diário 3º PA'!$E$4:$E$2731='Analítico Cx.'!$B113),-('Diário 3º PA'!$P$4:$P$2731=K$1),('Diário 3º PA'!$F$4:$F$2731))+SUMPRODUCT(-('Diário 4º PA'!$E$4:$E$2564='Analítico Cx.'!$B113),-('Diário 4º PA'!$P$4:$P$2564=K$1),('Diário 4º PA'!$F$4:$F$2564))</f>
        <v>0</v>
      </c>
      <c r="L113" s="183">
        <f>SUMPRODUCT(-('Diário 1º PA'!$E$4:$E$2635='Analítico Cx.'!$B113),-('Diário 1º PA'!$P$4:$P$2635=L$1),('Diário 1º PA'!$F$4:$F$2635))+SUMPRODUCT(-('Diário 2º PA'!$E$4:$E$3040='Analítico Cx.'!$B113),-('Diário 2º PA'!$P$4:$P$3040=L$1),('Diário 2º PA'!$F$4:$F$3040))+SUMPRODUCT(-('Diário 3º PA'!$E$4:$E$2731='Analítico Cx.'!$B113),-('Diário 3º PA'!$P$4:$P$2731=L$1),('Diário 3º PA'!$F$4:$F$2731))+SUMPRODUCT(-('Diário 4º PA'!$E$4:$E$2564='Analítico Cx.'!$B113),-('Diário 4º PA'!$P$4:$P$2564=L$1),('Diário 4º PA'!$F$4:$F$2564))</f>
        <v>0</v>
      </c>
      <c r="M113" s="183">
        <f>SUMPRODUCT(-('Diário 1º PA'!$E$4:$E$2635='Analítico Cx.'!$B113),-('Diário 1º PA'!$P$4:$P$2635=M$1),('Diário 1º PA'!$F$4:$F$2635))+SUMPRODUCT(-('Diário 2º PA'!$E$4:$E$3040='Analítico Cx.'!$B113),-('Diário 2º PA'!$P$4:$P$3040=M$1),('Diário 2º PA'!$F$4:$F$3040))+SUMPRODUCT(-('Diário 3º PA'!$E$4:$E$2731='Analítico Cx.'!$B113),-('Diário 3º PA'!$P$4:$P$2731=M$1),('Diário 3º PA'!$F$4:$F$2731))+SUMPRODUCT(-('Diário 4º PA'!$E$4:$E$2564='Analítico Cx.'!$B113),-('Diário 4º PA'!$P$4:$P$2564=M$1),('Diário 4º PA'!$F$4:$F$2564))</f>
        <v>0</v>
      </c>
      <c r="N113" s="183">
        <f>SUMPRODUCT(-('Diário 1º PA'!$E$4:$E$2635='Analítico Cx.'!$B113),-('Diário 1º PA'!$P$4:$P$2635=N$1),('Diário 1º PA'!$F$4:$F$2635))+SUMPRODUCT(-('Diário 2º PA'!$E$4:$E$3040='Analítico Cx.'!$B113),-('Diário 2º PA'!$P$4:$P$3040=N$1),('Diário 2º PA'!$F$4:$F$3040))+SUMPRODUCT(-('Diário 3º PA'!$E$4:$E$2731='Analítico Cx.'!$B113),-('Diário 3º PA'!$P$4:$P$2731=N$1),('Diário 3º PA'!$F$4:$F$2731))+SUMPRODUCT(-('Diário 4º PA'!$E$4:$E$2564='Analítico Cx.'!$B113),-('Diário 4º PA'!$P$4:$P$2564=N$1),('Diário 4º PA'!$F$4:$F$2564))</f>
        <v>0</v>
      </c>
      <c r="O113" s="184">
        <f t="shared" si="16"/>
        <v>0</v>
      </c>
      <c r="P113" s="167">
        <f t="shared" si="17"/>
        <v>0</v>
      </c>
    </row>
    <row r="114" spans="1:16" ht="23.25" customHeight="1" x14ac:dyDescent="0.2">
      <c r="A114" s="61" t="s">
        <v>216</v>
      </c>
      <c r="B114" s="103" t="s">
        <v>210</v>
      </c>
      <c r="C114" s="183">
        <f>SUMPRODUCT(-('Diário 1º PA'!$E$4:$E$2635='Analítico Cx.'!$B114),-('Diário 1º PA'!$P$4:$P$2635=C$1),('Diário 1º PA'!$F$4:$F$2635))+SUMPRODUCT(-('Diário 2º PA'!$E$4:$E$3040='Analítico Cx.'!$B114),-('Diário 2º PA'!$P$4:$P$3040=C$1),('Diário 2º PA'!$F$4:$F$3040))+SUMPRODUCT(-('Diário 3º PA'!$E$4:$E$2731='Analítico Cx.'!$B114),-('Diário 3º PA'!$P$4:$P$2731=C$1),('Diário 3º PA'!$F$4:$F$2731))+SUMPRODUCT(-('Diário 4º PA'!$E$4:$E$2564='Analítico Cx.'!$B114),-('Diário 4º PA'!$P$4:$P$2564=C$1),('Diário 4º PA'!$F$4:$F$2564))</f>
        <v>0</v>
      </c>
      <c r="D114" s="183">
        <f>SUMPRODUCT(-('Diário 1º PA'!$E$4:$E$2635='Analítico Cx.'!$B114),-('Diário 1º PA'!$P$4:$P$2635=D$1),('Diário 1º PA'!$F$4:$F$2635))+SUMPRODUCT(-('Diário 2º PA'!$E$4:$E$3040='Analítico Cx.'!$B114),-('Diário 2º PA'!$P$4:$P$3040=D$1),('Diário 2º PA'!$F$4:$F$3040))+SUMPRODUCT(-('Diário 3º PA'!$E$4:$E$2731='Analítico Cx.'!$B114),-('Diário 3º PA'!$P$4:$P$2731=D$1),('Diário 3º PA'!$F$4:$F$2731))+SUMPRODUCT(-('Diário 4º PA'!$E$4:$E$2564='Analítico Cx.'!$B114),-('Diário 4º PA'!$P$4:$P$2564=D$1),('Diário 4º PA'!$F$4:$F$2564))</f>
        <v>0</v>
      </c>
      <c r="E114" s="183">
        <f>SUMPRODUCT(-('Diário 1º PA'!$E$4:$E$2635='Analítico Cx.'!$B114),-('Diário 1º PA'!$P$4:$P$2635=E$1),('Diário 1º PA'!$F$4:$F$2635))+SUMPRODUCT(-('Diário 2º PA'!$E$4:$E$3040='Analítico Cx.'!$B114),-('Diário 2º PA'!$P$4:$P$3040=E$1),('Diário 2º PA'!$F$4:$F$3040))+SUMPRODUCT(-('Diário 3º PA'!$E$4:$E$2731='Analítico Cx.'!$B114),-('Diário 3º PA'!$P$4:$P$2731=E$1),('Diário 3º PA'!$F$4:$F$2731))+SUMPRODUCT(-('Diário 4º PA'!$E$4:$E$2564='Analítico Cx.'!$B114),-('Diário 4º PA'!$P$4:$P$2564=E$1),('Diário 4º PA'!$F$4:$F$2564))</f>
        <v>0</v>
      </c>
      <c r="F114" s="183">
        <f>SUMPRODUCT(-('Diário 1º PA'!$E$4:$E$2635='Analítico Cx.'!$B114),-('Diário 1º PA'!$P$4:$P$2635=F$1),('Diário 1º PA'!$F$4:$F$2635))+SUMPRODUCT(-('Diário 2º PA'!$E$4:$E$3040='Analítico Cx.'!$B114),-('Diário 2º PA'!$P$4:$P$3040=F$1),('Diário 2º PA'!$F$4:$F$3040))+SUMPRODUCT(-('Diário 3º PA'!$E$4:$E$2731='Analítico Cx.'!$B114),-('Diário 3º PA'!$P$4:$P$2731=F$1),('Diário 3º PA'!$F$4:$F$2731))+SUMPRODUCT(-('Diário 4º PA'!$E$4:$E$2564='Analítico Cx.'!$B114),-('Diário 4º PA'!$P$4:$P$2564=F$1),('Diário 4º PA'!$F$4:$F$2564))</f>
        <v>0</v>
      </c>
      <c r="G114" s="183">
        <f>SUMPRODUCT(-('Diário 1º PA'!$E$4:$E$2635='Analítico Cx.'!$B114),-('Diário 1º PA'!$P$4:$P$2635=G$1),('Diário 1º PA'!$F$4:$F$2635))+SUMPRODUCT(-('Diário 2º PA'!$E$4:$E$3040='Analítico Cx.'!$B114),-('Diário 2º PA'!$P$4:$P$3040=G$1),('Diário 2º PA'!$F$4:$F$3040))+SUMPRODUCT(-('Diário 3º PA'!$E$4:$E$2731='Analítico Cx.'!$B114),-('Diário 3º PA'!$P$4:$P$2731=G$1),('Diário 3º PA'!$F$4:$F$2731))+SUMPRODUCT(-('Diário 4º PA'!$E$4:$E$2564='Analítico Cx.'!$B114),-('Diário 4º PA'!$P$4:$P$2564=G$1),('Diário 4º PA'!$F$4:$F$2564))</f>
        <v>0</v>
      </c>
      <c r="H114" s="183">
        <f>SUMPRODUCT(-('Diário 1º PA'!$E$4:$E$2635='Analítico Cx.'!$B114),-('Diário 1º PA'!$P$4:$P$2635=H$1),('Diário 1º PA'!$F$4:$F$2635))+SUMPRODUCT(-('Diário 2º PA'!$E$4:$E$3040='Analítico Cx.'!$B114),-('Diário 2º PA'!$P$4:$P$3040=H$1),('Diário 2º PA'!$F$4:$F$3040))+SUMPRODUCT(-('Diário 3º PA'!$E$4:$E$2731='Analítico Cx.'!$B114),-('Diário 3º PA'!$P$4:$P$2731=H$1),('Diário 3º PA'!$F$4:$F$2731))+SUMPRODUCT(-('Diário 4º PA'!$E$4:$E$2564='Analítico Cx.'!$B114),-('Diário 4º PA'!$P$4:$P$2564=H$1),('Diário 4º PA'!$F$4:$F$2564))</f>
        <v>0</v>
      </c>
      <c r="I114" s="183">
        <f>SUMPRODUCT(-('Diário 1º PA'!$E$4:$E$2635='Analítico Cx.'!$B114),-('Diário 1º PA'!$P$4:$P$2635=I$1),('Diário 1º PA'!$F$4:$F$2635))+SUMPRODUCT(-('Diário 2º PA'!$E$4:$E$3040='Analítico Cx.'!$B114),-('Diário 2º PA'!$P$4:$P$3040=I$1),('Diário 2º PA'!$F$4:$F$3040))+SUMPRODUCT(-('Diário 3º PA'!$E$4:$E$2731='Analítico Cx.'!$B114),-('Diário 3º PA'!$P$4:$P$2731=I$1),('Diário 3º PA'!$F$4:$F$2731))+SUMPRODUCT(-('Diário 4º PA'!$E$4:$E$2564='Analítico Cx.'!$B114),-('Diário 4º PA'!$P$4:$P$2564=I$1),('Diário 4º PA'!$F$4:$F$2564))</f>
        <v>0</v>
      </c>
      <c r="J114" s="183">
        <f>SUMPRODUCT(-('Diário 1º PA'!$E$4:$E$2635='Analítico Cx.'!$B114),-('Diário 1º PA'!$P$4:$P$2635=J$1),('Diário 1º PA'!$F$4:$F$2635))+SUMPRODUCT(-('Diário 2º PA'!$E$4:$E$3040='Analítico Cx.'!$B114),-('Diário 2º PA'!$P$4:$P$3040=J$1),('Diário 2º PA'!$F$4:$F$3040))+SUMPRODUCT(-('Diário 3º PA'!$E$4:$E$2731='Analítico Cx.'!$B114),-('Diário 3º PA'!$P$4:$P$2731=J$1),('Diário 3º PA'!$F$4:$F$2731))+SUMPRODUCT(-('Diário 4º PA'!$E$4:$E$2564='Analítico Cx.'!$B114),-('Diário 4º PA'!$P$4:$P$2564=J$1),('Diário 4º PA'!$F$4:$F$2564))</f>
        <v>0</v>
      </c>
      <c r="K114" s="183">
        <f>SUMPRODUCT(-('Diário 1º PA'!$E$4:$E$2635='Analítico Cx.'!$B114),-('Diário 1º PA'!$P$4:$P$2635=K$1),('Diário 1º PA'!$F$4:$F$2635))+SUMPRODUCT(-('Diário 2º PA'!$E$4:$E$3040='Analítico Cx.'!$B114),-('Diário 2º PA'!$P$4:$P$3040=K$1),('Diário 2º PA'!$F$4:$F$3040))+SUMPRODUCT(-('Diário 3º PA'!$E$4:$E$2731='Analítico Cx.'!$B114),-('Diário 3º PA'!$P$4:$P$2731=K$1),('Diário 3º PA'!$F$4:$F$2731))+SUMPRODUCT(-('Diário 4º PA'!$E$4:$E$2564='Analítico Cx.'!$B114),-('Diário 4º PA'!$P$4:$P$2564=K$1),('Diário 4º PA'!$F$4:$F$2564))</f>
        <v>0</v>
      </c>
      <c r="L114" s="183">
        <f>SUMPRODUCT(-('Diário 1º PA'!$E$4:$E$2635='Analítico Cx.'!$B114),-('Diário 1º PA'!$P$4:$P$2635=L$1),('Diário 1º PA'!$F$4:$F$2635))+SUMPRODUCT(-('Diário 2º PA'!$E$4:$E$3040='Analítico Cx.'!$B114),-('Diário 2º PA'!$P$4:$P$3040=L$1),('Diário 2º PA'!$F$4:$F$3040))+SUMPRODUCT(-('Diário 3º PA'!$E$4:$E$2731='Analítico Cx.'!$B114),-('Diário 3º PA'!$P$4:$P$2731=L$1),('Diário 3º PA'!$F$4:$F$2731))+SUMPRODUCT(-('Diário 4º PA'!$E$4:$E$2564='Analítico Cx.'!$B114),-('Diário 4º PA'!$P$4:$P$2564=L$1),('Diário 4º PA'!$F$4:$F$2564))</f>
        <v>0</v>
      </c>
      <c r="M114" s="183">
        <f>SUMPRODUCT(-('Diário 1º PA'!$E$4:$E$2635='Analítico Cx.'!$B114),-('Diário 1º PA'!$P$4:$P$2635=M$1),('Diário 1º PA'!$F$4:$F$2635))+SUMPRODUCT(-('Diário 2º PA'!$E$4:$E$3040='Analítico Cx.'!$B114),-('Diário 2º PA'!$P$4:$P$3040=M$1),('Diário 2º PA'!$F$4:$F$3040))+SUMPRODUCT(-('Diário 3º PA'!$E$4:$E$2731='Analítico Cx.'!$B114),-('Diário 3º PA'!$P$4:$P$2731=M$1),('Diário 3º PA'!$F$4:$F$2731))+SUMPRODUCT(-('Diário 4º PA'!$E$4:$E$2564='Analítico Cx.'!$B114),-('Diário 4º PA'!$P$4:$P$2564=M$1),('Diário 4º PA'!$F$4:$F$2564))</f>
        <v>0</v>
      </c>
      <c r="N114" s="183">
        <f>SUMPRODUCT(-('Diário 1º PA'!$E$4:$E$2635='Analítico Cx.'!$B114),-('Diário 1º PA'!$P$4:$P$2635=N$1),('Diário 1º PA'!$F$4:$F$2635))+SUMPRODUCT(-('Diário 2º PA'!$E$4:$E$3040='Analítico Cx.'!$B114),-('Diário 2º PA'!$P$4:$P$3040=N$1),('Diário 2º PA'!$F$4:$F$3040))+SUMPRODUCT(-('Diário 3º PA'!$E$4:$E$2731='Analítico Cx.'!$B114),-('Diário 3º PA'!$P$4:$P$2731=N$1),('Diário 3º PA'!$F$4:$F$2731))+SUMPRODUCT(-('Diário 4º PA'!$E$4:$E$2564='Analítico Cx.'!$B114),-('Diário 4º PA'!$P$4:$P$2564=N$1),('Diário 4º PA'!$F$4:$F$2564))</f>
        <v>0</v>
      </c>
      <c r="O114" s="184">
        <f t="shared" si="16"/>
        <v>0</v>
      </c>
      <c r="P114" s="167">
        <f t="shared" si="17"/>
        <v>0</v>
      </c>
    </row>
    <row r="115" spans="1:16" ht="23.25" customHeight="1" x14ac:dyDescent="0.2">
      <c r="A115" s="61" t="s">
        <v>218</v>
      </c>
      <c r="B115" s="103" t="s">
        <v>212</v>
      </c>
      <c r="C115" s="183">
        <f>SUMPRODUCT(-('Diário 1º PA'!$E$4:$E$2635='Analítico Cx.'!$B115),-('Diário 1º PA'!$P$4:$P$2635=C$1),('Diário 1º PA'!$F$4:$F$2635))+SUMPRODUCT(-('Diário 2º PA'!$E$4:$E$3040='Analítico Cx.'!$B115),-('Diário 2º PA'!$P$4:$P$3040=C$1),('Diário 2º PA'!$F$4:$F$3040))+SUMPRODUCT(-('Diário 3º PA'!$E$4:$E$2731='Analítico Cx.'!$B115),-('Diário 3º PA'!$P$4:$P$2731=C$1),('Diário 3º PA'!$F$4:$F$2731))+SUMPRODUCT(-('Diário 4º PA'!$E$4:$E$2564='Analítico Cx.'!$B115),-('Diário 4º PA'!$P$4:$P$2564=C$1),('Diário 4º PA'!$F$4:$F$2564))</f>
        <v>0</v>
      </c>
      <c r="D115" s="183">
        <f>SUMPRODUCT(-('Diário 1º PA'!$E$4:$E$2635='Analítico Cx.'!$B115),-('Diário 1º PA'!$P$4:$P$2635=D$1),('Diário 1º PA'!$F$4:$F$2635))+SUMPRODUCT(-('Diário 2º PA'!$E$4:$E$3040='Analítico Cx.'!$B115),-('Diário 2º PA'!$P$4:$P$3040=D$1),('Diário 2º PA'!$F$4:$F$3040))+SUMPRODUCT(-('Diário 3º PA'!$E$4:$E$2731='Analítico Cx.'!$B115),-('Diário 3º PA'!$P$4:$P$2731=D$1),('Diário 3º PA'!$F$4:$F$2731))+SUMPRODUCT(-('Diário 4º PA'!$E$4:$E$2564='Analítico Cx.'!$B115),-('Diário 4º PA'!$P$4:$P$2564=D$1),('Diário 4º PA'!$F$4:$F$2564))</f>
        <v>0</v>
      </c>
      <c r="E115" s="183">
        <f>SUMPRODUCT(-('Diário 1º PA'!$E$4:$E$2635='Analítico Cx.'!$B115),-('Diário 1º PA'!$P$4:$P$2635=E$1),('Diário 1º PA'!$F$4:$F$2635))+SUMPRODUCT(-('Diário 2º PA'!$E$4:$E$3040='Analítico Cx.'!$B115),-('Diário 2º PA'!$P$4:$P$3040=E$1),('Diário 2º PA'!$F$4:$F$3040))+SUMPRODUCT(-('Diário 3º PA'!$E$4:$E$2731='Analítico Cx.'!$B115),-('Diário 3º PA'!$P$4:$P$2731=E$1),('Diário 3º PA'!$F$4:$F$2731))+SUMPRODUCT(-('Diário 4º PA'!$E$4:$E$2564='Analítico Cx.'!$B115),-('Diário 4º PA'!$P$4:$P$2564=E$1),('Diário 4º PA'!$F$4:$F$2564))</f>
        <v>0</v>
      </c>
      <c r="F115" s="183">
        <f>SUMPRODUCT(-('Diário 1º PA'!$E$4:$E$2635='Analítico Cx.'!$B115),-('Diário 1º PA'!$P$4:$P$2635=F$1),('Diário 1º PA'!$F$4:$F$2635))+SUMPRODUCT(-('Diário 2º PA'!$E$4:$E$3040='Analítico Cx.'!$B115),-('Diário 2º PA'!$P$4:$P$3040=F$1),('Diário 2º PA'!$F$4:$F$3040))+SUMPRODUCT(-('Diário 3º PA'!$E$4:$E$2731='Analítico Cx.'!$B115),-('Diário 3º PA'!$P$4:$P$2731=F$1),('Diário 3º PA'!$F$4:$F$2731))+SUMPRODUCT(-('Diário 4º PA'!$E$4:$E$2564='Analítico Cx.'!$B115),-('Diário 4º PA'!$P$4:$P$2564=F$1),('Diário 4º PA'!$F$4:$F$2564))</f>
        <v>0</v>
      </c>
      <c r="G115" s="183">
        <f>SUMPRODUCT(-('Diário 1º PA'!$E$4:$E$2635='Analítico Cx.'!$B115),-('Diário 1º PA'!$P$4:$P$2635=G$1),('Diário 1º PA'!$F$4:$F$2635))+SUMPRODUCT(-('Diário 2º PA'!$E$4:$E$3040='Analítico Cx.'!$B115),-('Diário 2º PA'!$P$4:$P$3040=G$1),('Diário 2º PA'!$F$4:$F$3040))+SUMPRODUCT(-('Diário 3º PA'!$E$4:$E$2731='Analítico Cx.'!$B115),-('Diário 3º PA'!$P$4:$P$2731=G$1),('Diário 3º PA'!$F$4:$F$2731))+SUMPRODUCT(-('Diário 4º PA'!$E$4:$E$2564='Analítico Cx.'!$B115),-('Diário 4º PA'!$P$4:$P$2564=G$1),('Diário 4º PA'!$F$4:$F$2564))</f>
        <v>0</v>
      </c>
      <c r="H115" s="183">
        <f>SUMPRODUCT(-('Diário 1º PA'!$E$4:$E$2635='Analítico Cx.'!$B115),-('Diário 1º PA'!$P$4:$P$2635=H$1),('Diário 1º PA'!$F$4:$F$2635))+SUMPRODUCT(-('Diário 2º PA'!$E$4:$E$3040='Analítico Cx.'!$B115),-('Diário 2º PA'!$P$4:$P$3040=H$1),('Diário 2º PA'!$F$4:$F$3040))+SUMPRODUCT(-('Diário 3º PA'!$E$4:$E$2731='Analítico Cx.'!$B115),-('Diário 3º PA'!$P$4:$P$2731=H$1),('Diário 3º PA'!$F$4:$F$2731))+SUMPRODUCT(-('Diário 4º PA'!$E$4:$E$2564='Analítico Cx.'!$B115),-('Diário 4º PA'!$P$4:$P$2564=H$1),('Diário 4º PA'!$F$4:$F$2564))</f>
        <v>0</v>
      </c>
      <c r="I115" s="183">
        <f>SUMPRODUCT(-('Diário 1º PA'!$E$4:$E$2635='Analítico Cx.'!$B115),-('Diário 1º PA'!$P$4:$P$2635=I$1),('Diário 1º PA'!$F$4:$F$2635))+SUMPRODUCT(-('Diário 2º PA'!$E$4:$E$3040='Analítico Cx.'!$B115),-('Diário 2º PA'!$P$4:$P$3040=I$1),('Diário 2º PA'!$F$4:$F$3040))+SUMPRODUCT(-('Diário 3º PA'!$E$4:$E$2731='Analítico Cx.'!$B115),-('Diário 3º PA'!$P$4:$P$2731=I$1),('Diário 3º PA'!$F$4:$F$2731))+SUMPRODUCT(-('Diário 4º PA'!$E$4:$E$2564='Analítico Cx.'!$B115),-('Diário 4º PA'!$P$4:$P$2564=I$1),('Diário 4º PA'!$F$4:$F$2564))</f>
        <v>0</v>
      </c>
      <c r="J115" s="183">
        <f>SUMPRODUCT(-('Diário 1º PA'!$E$4:$E$2635='Analítico Cx.'!$B115),-('Diário 1º PA'!$P$4:$P$2635=J$1),('Diário 1º PA'!$F$4:$F$2635))+SUMPRODUCT(-('Diário 2º PA'!$E$4:$E$3040='Analítico Cx.'!$B115),-('Diário 2º PA'!$P$4:$P$3040=J$1),('Diário 2º PA'!$F$4:$F$3040))+SUMPRODUCT(-('Diário 3º PA'!$E$4:$E$2731='Analítico Cx.'!$B115),-('Diário 3º PA'!$P$4:$P$2731=J$1),('Diário 3º PA'!$F$4:$F$2731))+SUMPRODUCT(-('Diário 4º PA'!$E$4:$E$2564='Analítico Cx.'!$B115),-('Diário 4º PA'!$P$4:$P$2564=J$1),('Diário 4º PA'!$F$4:$F$2564))</f>
        <v>0</v>
      </c>
      <c r="K115" s="183">
        <f>SUMPRODUCT(-('Diário 1º PA'!$E$4:$E$2635='Analítico Cx.'!$B115),-('Diário 1º PA'!$P$4:$P$2635=K$1),('Diário 1º PA'!$F$4:$F$2635))+SUMPRODUCT(-('Diário 2º PA'!$E$4:$E$3040='Analítico Cx.'!$B115),-('Diário 2º PA'!$P$4:$P$3040=K$1),('Diário 2º PA'!$F$4:$F$3040))+SUMPRODUCT(-('Diário 3º PA'!$E$4:$E$2731='Analítico Cx.'!$B115),-('Diário 3º PA'!$P$4:$P$2731=K$1),('Diário 3º PA'!$F$4:$F$2731))+SUMPRODUCT(-('Diário 4º PA'!$E$4:$E$2564='Analítico Cx.'!$B115),-('Diário 4º PA'!$P$4:$P$2564=K$1),('Diário 4º PA'!$F$4:$F$2564))</f>
        <v>0</v>
      </c>
      <c r="L115" s="183">
        <f>SUMPRODUCT(-('Diário 1º PA'!$E$4:$E$2635='Analítico Cx.'!$B115),-('Diário 1º PA'!$P$4:$P$2635=L$1),('Diário 1º PA'!$F$4:$F$2635))+SUMPRODUCT(-('Diário 2º PA'!$E$4:$E$3040='Analítico Cx.'!$B115),-('Diário 2º PA'!$P$4:$P$3040=L$1),('Diário 2º PA'!$F$4:$F$3040))+SUMPRODUCT(-('Diário 3º PA'!$E$4:$E$2731='Analítico Cx.'!$B115),-('Diário 3º PA'!$P$4:$P$2731=L$1),('Diário 3º PA'!$F$4:$F$2731))+SUMPRODUCT(-('Diário 4º PA'!$E$4:$E$2564='Analítico Cx.'!$B115),-('Diário 4º PA'!$P$4:$P$2564=L$1),('Diário 4º PA'!$F$4:$F$2564))</f>
        <v>0</v>
      </c>
      <c r="M115" s="183">
        <f>SUMPRODUCT(-('Diário 1º PA'!$E$4:$E$2635='Analítico Cx.'!$B115),-('Diário 1º PA'!$P$4:$P$2635=M$1),('Diário 1º PA'!$F$4:$F$2635))+SUMPRODUCT(-('Diário 2º PA'!$E$4:$E$3040='Analítico Cx.'!$B115),-('Diário 2º PA'!$P$4:$P$3040=M$1),('Diário 2º PA'!$F$4:$F$3040))+SUMPRODUCT(-('Diário 3º PA'!$E$4:$E$2731='Analítico Cx.'!$B115),-('Diário 3º PA'!$P$4:$P$2731=M$1),('Diário 3º PA'!$F$4:$F$2731))+SUMPRODUCT(-('Diário 4º PA'!$E$4:$E$2564='Analítico Cx.'!$B115),-('Diário 4º PA'!$P$4:$P$2564=M$1),('Diário 4º PA'!$F$4:$F$2564))</f>
        <v>0</v>
      </c>
      <c r="N115" s="183">
        <f>SUMPRODUCT(-('Diário 1º PA'!$E$4:$E$2635='Analítico Cx.'!$B115),-('Diário 1º PA'!$P$4:$P$2635=N$1),('Diário 1º PA'!$F$4:$F$2635))+SUMPRODUCT(-('Diário 2º PA'!$E$4:$E$3040='Analítico Cx.'!$B115),-('Diário 2º PA'!$P$4:$P$3040=N$1),('Diário 2º PA'!$F$4:$F$3040))+SUMPRODUCT(-('Diário 3º PA'!$E$4:$E$2731='Analítico Cx.'!$B115),-('Diário 3º PA'!$P$4:$P$2731=N$1),('Diário 3º PA'!$F$4:$F$2731))+SUMPRODUCT(-('Diário 4º PA'!$E$4:$E$2564='Analítico Cx.'!$B115),-('Diário 4º PA'!$P$4:$P$2564=N$1),('Diário 4º PA'!$F$4:$F$2564))</f>
        <v>0</v>
      </c>
      <c r="O115" s="184">
        <f t="shared" si="16"/>
        <v>0</v>
      </c>
      <c r="P115" s="167">
        <f t="shared" si="17"/>
        <v>0</v>
      </c>
    </row>
    <row r="116" spans="1:16" ht="23.25" customHeight="1" x14ac:dyDescent="0.2">
      <c r="A116" s="61" t="s">
        <v>219</v>
      </c>
      <c r="B116" s="103" t="s">
        <v>214</v>
      </c>
      <c r="C116" s="183">
        <f>SUMPRODUCT(-('Diário 1º PA'!$E$4:$E$2635='Analítico Cx.'!$B116),-('Diário 1º PA'!$P$4:$P$2635=C$1),('Diário 1º PA'!$F$4:$F$2635))+SUMPRODUCT(-('Diário 2º PA'!$E$4:$E$3040='Analítico Cx.'!$B116),-('Diário 2º PA'!$P$4:$P$3040=C$1),('Diário 2º PA'!$F$4:$F$3040))+SUMPRODUCT(-('Diário 3º PA'!$E$4:$E$2731='Analítico Cx.'!$B116),-('Diário 3º PA'!$P$4:$P$2731=C$1),('Diário 3º PA'!$F$4:$F$2731))+SUMPRODUCT(-('Diário 4º PA'!$E$4:$E$2564='Analítico Cx.'!$B116),-('Diário 4º PA'!$P$4:$P$2564=C$1),('Diário 4º PA'!$F$4:$F$2564))</f>
        <v>0</v>
      </c>
      <c r="D116" s="183">
        <f>SUMPRODUCT(-('Diário 1º PA'!$E$4:$E$2635='Analítico Cx.'!$B116),-('Diário 1º PA'!$P$4:$P$2635=D$1),('Diário 1º PA'!$F$4:$F$2635))+SUMPRODUCT(-('Diário 2º PA'!$E$4:$E$3040='Analítico Cx.'!$B116),-('Diário 2º PA'!$P$4:$P$3040=D$1),('Diário 2º PA'!$F$4:$F$3040))+SUMPRODUCT(-('Diário 3º PA'!$E$4:$E$2731='Analítico Cx.'!$B116),-('Diário 3º PA'!$P$4:$P$2731=D$1),('Diário 3º PA'!$F$4:$F$2731))+SUMPRODUCT(-('Diário 4º PA'!$E$4:$E$2564='Analítico Cx.'!$B116),-('Diário 4º PA'!$P$4:$P$2564=D$1),('Diário 4º PA'!$F$4:$F$2564))</f>
        <v>0</v>
      </c>
      <c r="E116" s="183">
        <f>SUMPRODUCT(-('Diário 1º PA'!$E$4:$E$2635='Analítico Cx.'!$B116),-('Diário 1º PA'!$P$4:$P$2635=E$1),('Diário 1º PA'!$F$4:$F$2635))+SUMPRODUCT(-('Diário 2º PA'!$E$4:$E$3040='Analítico Cx.'!$B116),-('Diário 2º PA'!$P$4:$P$3040=E$1),('Diário 2º PA'!$F$4:$F$3040))+SUMPRODUCT(-('Diário 3º PA'!$E$4:$E$2731='Analítico Cx.'!$B116),-('Diário 3º PA'!$P$4:$P$2731=E$1),('Diário 3º PA'!$F$4:$F$2731))+SUMPRODUCT(-('Diário 4º PA'!$E$4:$E$2564='Analítico Cx.'!$B116),-('Diário 4º PA'!$P$4:$P$2564=E$1),('Diário 4º PA'!$F$4:$F$2564))</f>
        <v>0</v>
      </c>
      <c r="F116" s="183">
        <f>SUMPRODUCT(-('Diário 1º PA'!$E$4:$E$2635='Analítico Cx.'!$B116),-('Diário 1º PA'!$P$4:$P$2635=F$1),('Diário 1º PA'!$F$4:$F$2635))+SUMPRODUCT(-('Diário 2º PA'!$E$4:$E$3040='Analítico Cx.'!$B116),-('Diário 2º PA'!$P$4:$P$3040=F$1),('Diário 2º PA'!$F$4:$F$3040))+SUMPRODUCT(-('Diário 3º PA'!$E$4:$E$2731='Analítico Cx.'!$B116),-('Diário 3º PA'!$P$4:$P$2731=F$1),('Diário 3º PA'!$F$4:$F$2731))+SUMPRODUCT(-('Diário 4º PA'!$E$4:$E$2564='Analítico Cx.'!$B116),-('Diário 4º PA'!$P$4:$P$2564=F$1),('Diário 4º PA'!$F$4:$F$2564))</f>
        <v>0</v>
      </c>
      <c r="G116" s="183">
        <f>SUMPRODUCT(-('Diário 1º PA'!$E$4:$E$2635='Analítico Cx.'!$B116),-('Diário 1º PA'!$P$4:$P$2635=G$1),('Diário 1º PA'!$F$4:$F$2635))+SUMPRODUCT(-('Diário 2º PA'!$E$4:$E$3040='Analítico Cx.'!$B116),-('Diário 2º PA'!$P$4:$P$3040=G$1),('Diário 2º PA'!$F$4:$F$3040))+SUMPRODUCT(-('Diário 3º PA'!$E$4:$E$2731='Analítico Cx.'!$B116),-('Diário 3º PA'!$P$4:$P$2731=G$1),('Diário 3º PA'!$F$4:$F$2731))+SUMPRODUCT(-('Diário 4º PA'!$E$4:$E$2564='Analítico Cx.'!$B116),-('Diário 4º PA'!$P$4:$P$2564=G$1),('Diário 4º PA'!$F$4:$F$2564))</f>
        <v>0</v>
      </c>
      <c r="H116" s="183">
        <f>SUMPRODUCT(-('Diário 1º PA'!$E$4:$E$2635='Analítico Cx.'!$B116),-('Diário 1º PA'!$P$4:$P$2635=H$1),('Diário 1º PA'!$F$4:$F$2635))+SUMPRODUCT(-('Diário 2º PA'!$E$4:$E$3040='Analítico Cx.'!$B116),-('Diário 2º PA'!$P$4:$P$3040=H$1),('Diário 2º PA'!$F$4:$F$3040))+SUMPRODUCT(-('Diário 3º PA'!$E$4:$E$2731='Analítico Cx.'!$B116),-('Diário 3º PA'!$P$4:$P$2731=H$1),('Diário 3º PA'!$F$4:$F$2731))+SUMPRODUCT(-('Diário 4º PA'!$E$4:$E$2564='Analítico Cx.'!$B116),-('Diário 4º PA'!$P$4:$P$2564=H$1),('Diário 4º PA'!$F$4:$F$2564))</f>
        <v>0</v>
      </c>
      <c r="I116" s="183">
        <f>SUMPRODUCT(-('Diário 1º PA'!$E$4:$E$2635='Analítico Cx.'!$B116),-('Diário 1º PA'!$P$4:$P$2635=I$1),('Diário 1º PA'!$F$4:$F$2635))+SUMPRODUCT(-('Diário 2º PA'!$E$4:$E$3040='Analítico Cx.'!$B116),-('Diário 2º PA'!$P$4:$P$3040=I$1),('Diário 2º PA'!$F$4:$F$3040))+SUMPRODUCT(-('Diário 3º PA'!$E$4:$E$2731='Analítico Cx.'!$B116),-('Diário 3º PA'!$P$4:$P$2731=I$1),('Diário 3º PA'!$F$4:$F$2731))+SUMPRODUCT(-('Diário 4º PA'!$E$4:$E$2564='Analítico Cx.'!$B116),-('Diário 4º PA'!$P$4:$P$2564=I$1),('Diário 4º PA'!$F$4:$F$2564))</f>
        <v>0</v>
      </c>
      <c r="J116" s="183">
        <f>SUMPRODUCT(-('Diário 1º PA'!$E$4:$E$2635='Analítico Cx.'!$B116),-('Diário 1º PA'!$P$4:$P$2635=J$1),('Diário 1º PA'!$F$4:$F$2635))+SUMPRODUCT(-('Diário 2º PA'!$E$4:$E$3040='Analítico Cx.'!$B116),-('Diário 2º PA'!$P$4:$P$3040=J$1),('Diário 2º PA'!$F$4:$F$3040))+SUMPRODUCT(-('Diário 3º PA'!$E$4:$E$2731='Analítico Cx.'!$B116),-('Diário 3º PA'!$P$4:$P$2731=J$1),('Diário 3º PA'!$F$4:$F$2731))+SUMPRODUCT(-('Diário 4º PA'!$E$4:$E$2564='Analítico Cx.'!$B116),-('Diário 4º PA'!$P$4:$P$2564=J$1),('Diário 4º PA'!$F$4:$F$2564))</f>
        <v>0</v>
      </c>
      <c r="K116" s="183">
        <f>SUMPRODUCT(-('Diário 1º PA'!$E$4:$E$2635='Analítico Cx.'!$B116),-('Diário 1º PA'!$P$4:$P$2635=K$1),('Diário 1º PA'!$F$4:$F$2635))+SUMPRODUCT(-('Diário 2º PA'!$E$4:$E$3040='Analítico Cx.'!$B116),-('Diário 2º PA'!$P$4:$P$3040=K$1),('Diário 2º PA'!$F$4:$F$3040))+SUMPRODUCT(-('Diário 3º PA'!$E$4:$E$2731='Analítico Cx.'!$B116),-('Diário 3º PA'!$P$4:$P$2731=K$1),('Diário 3º PA'!$F$4:$F$2731))+SUMPRODUCT(-('Diário 4º PA'!$E$4:$E$2564='Analítico Cx.'!$B116),-('Diário 4º PA'!$P$4:$P$2564=K$1),('Diário 4º PA'!$F$4:$F$2564))</f>
        <v>0</v>
      </c>
      <c r="L116" s="183">
        <f>SUMPRODUCT(-('Diário 1º PA'!$E$4:$E$2635='Analítico Cx.'!$B116),-('Diário 1º PA'!$P$4:$P$2635=L$1),('Diário 1º PA'!$F$4:$F$2635))+SUMPRODUCT(-('Diário 2º PA'!$E$4:$E$3040='Analítico Cx.'!$B116),-('Diário 2º PA'!$P$4:$P$3040=L$1),('Diário 2º PA'!$F$4:$F$3040))+SUMPRODUCT(-('Diário 3º PA'!$E$4:$E$2731='Analítico Cx.'!$B116),-('Diário 3º PA'!$P$4:$P$2731=L$1),('Diário 3º PA'!$F$4:$F$2731))+SUMPRODUCT(-('Diário 4º PA'!$E$4:$E$2564='Analítico Cx.'!$B116),-('Diário 4º PA'!$P$4:$P$2564=L$1),('Diário 4º PA'!$F$4:$F$2564))</f>
        <v>0</v>
      </c>
      <c r="M116" s="183">
        <f>SUMPRODUCT(-('Diário 1º PA'!$E$4:$E$2635='Analítico Cx.'!$B116),-('Diário 1º PA'!$P$4:$P$2635=M$1),('Diário 1º PA'!$F$4:$F$2635))+SUMPRODUCT(-('Diário 2º PA'!$E$4:$E$3040='Analítico Cx.'!$B116),-('Diário 2º PA'!$P$4:$P$3040=M$1),('Diário 2º PA'!$F$4:$F$3040))+SUMPRODUCT(-('Diário 3º PA'!$E$4:$E$2731='Analítico Cx.'!$B116),-('Diário 3º PA'!$P$4:$P$2731=M$1),('Diário 3º PA'!$F$4:$F$2731))+SUMPRODUCT(-('Diário 4º PA'!$E$4:$E$2564='Analítico Cx.'!$B116),-('Diário 4º PA'!$P$4:$P$2564=M$1),('Diário 4º PA'!$F$4:$F$2564))</f>
        <v>0</v>
      </c>
      <c r="N116" s="183">
        <f>SUMPRODUCT(-('Diário 1º PA'!$E$4:$E$2635='Analítico Cx.'!$B116),-('Diário 1º PA'!$P$4:$P$2635=N$1),('Diário 1º PA'!$F$4:$F$2635))+SUMPRODUCT(-('Diário 2º PA'!$E$4:$E$3040='Analítico Cx.'!$B116),-('Diário 2º PA'!$P$4:$P$3040=N$1),('Diário 2º PA'!$F$4:$F$3040))+SUMPRODUCT(-('Diário 3º PA'!$E$4:$E$2731='Analítico Cx.'!$B116),-('Diário 3º PA'!$P$4:$P$2731=N$1),('Diário 3º PA'!$F$4:$F$2731))+SUMPRODUCT(-('Diário 4º PA'!$E$4:$E$2564='Analítico Cx.'!$B116),-('Diário 4º PA'!$P$4:$P$2564=N$1),('Diário 4º PA'!$F$4:$F$2564))</f>
        <v>0</v>
      </c>
      <c r="O116" s="184">
        <f t="shared" si="16"/>
        <v>0</v>
      </c>
      <c r="P116" s="167">
        <f t="shared" si="17"/>
        <v>0</v>
      </c>
    </row>
    <row r="117" spans="1:16" ht="23.25" customHeight="1" x14ac:dyDescent="0.2">
      <c r="A117" s="61" t="s">
        <v>220</v>
      </c>
      <c r="B117" s="103" t="s">
        <v>328</v>
      </c>
      <c r="C117" s="183">
        <f>SUMPRODUCT(-('Diário 1º PA'!$E$4:$E$2635='Analítico Cx.'!$B117),-('Diário 1º PA'!$P$4:$P$2635=C$1),('Diário 1º PA'!$F$4:$F$2635))+SUMPRODUCT(-('Diário 2º PA'!$E$4:$E$3040='Analítico Cx.'!$B117),-('Diário 2º PA'!$P$4:$P$3040=C$1),('Diário 2º PA'!$F$4:$F$3040))+SUMPRODUCT(-('Diário 3º PA'!$E$4:$E$2731='Analítico Cx.'!$B117),-('Diário 3º PA'!$P$4:$P$2731=C$1),('Diário 3º PA'!$F$4:$F$2731))+SUMPRODUCT(-('Diário 4º PA'!$E$4:$E$2564='Analítico Cx.'!$B117),-('Diário 4º PA'!$P$4:$P$2564=C$1),('Diário 4º PA'!$F$4:$F$2564))</f>
        <v>0</v>
      </c>
      <c r="D117" s="183">
        <f>SUMPRODUCT(-('Diário 1º PA'!$E$4:$E$2635='Analítico Cx.'!$B117),-('Diário 1º PA'!$P$4:$P$2635=D$1),('Diário 1º PA'!$F$4:$F$2635))+SUMPRODUCT(-('Diário 2º PA'!$E$4:$E$3040='Analítico Cx.'!$B117),-('Diário 2º PA'!$P$4:$P$3040=D$1),('Diário 2º PA'!$F$4:$F$3040))+SUMPRODUCT(-('Diário 3º PA'!$E$4:$E$2731='Analítico Cx.'!$B117),-('Diário 3º PA'!$P$4:$P$2731=D$1),('Diário 3º PA'!$F$4:$F$2731))+SUMPRODUCT(-('Diário 4º PA'!$E$4:$E$2564='Analítico Cx.'!$B117),-('Diário 4º PA'!$P$4:$P$2564=D$1),('Diário 4º PA'!$F$4:$F$2564))</f>
        <v>0</v>
      </c>
      <c r="E117" s="183">
        <f>SUMPRODUCT(-('Diário 1º PA'!$E$4:$E$2635='Analítico Cx.'!$B117),-('Diário 1º PA'!$P$4:$P$2635=E$1),('Diário 1º PA'!$F$4:$F$2635))+SUMPRODUCT(-('Diário 2º PA'!$E$4:$E$3040='Analítico Cx.'!$B117),-('Diário 2º PA'!$P$4:$P$3040=E$1),('Diário 2º PA'!$F$4:$F$3040))+SUMPRODUCT(-('Diário 3º PA'!$E$4:$E$2731='Analítico Cx.'!$B117),-('Diário 3º PA'!$P$4:$P$2731=E$1),('Diário 3º PA'!$F$4:$F$2731))+SUMPRODUCT(-('Diário 4º PA'!$E$4:$E$2564='Analítico Cx.'!$B117),-('Diário 4º PA'!$P$4:$P$2564=E$1),('Diário 4º PA'!$F$4:$F$2564))</f>
        <v>0</v>
      </c>
      <c r="F117" s="183">
        <f>SUMPRODUCT(-('Diário 1º PA'!$E$4:$E$2635='Analítico Cx.'!$B117),-('Diário 1º PA'!$P$4:$P$2635=F$1),('Diário 1º PA'!$F$4:$F$2635))+SUMPRODUCT(-('Diário 2º PA'!$E$4:$E$3040='Analítico Cx.'!$B117),-('Diário 2º PA'!$P$4:$P$3040=F$1),('Diário 2º PA'!$F$4:$F$3040))+SUMPRODUCT(-('Diário 3º PA'!$E$4:$E$2731='Analítico Cx.'!$B117),-('Diário 3º PA'!$P$4:$P$2731=F$1),('Diário 3º PA'!$F$4:$F$2731))+SUMPRODUCT(-('Diário 4º PA'!$E$4:$E$2564='Analítico Cx.'!$B117),-('Diário 4º PA'!$P$4:$P$2564=F$1),('Diário 4º PA'!$F$4:$F$2564))</f>
        <v>0</v>
      </c>
      <c r="G117" s="183">
        <f>SUMPRODUCT(-('Diário 1º PA'!$E$4:$E$2635='Analítico Cx.'!$B117),-('Diário 1º PA'!$P$4:$P$2635=G$1),('Diário 1º PA'!$F$4:$F$2635))+SUMPRODUCT(-('Diário 2º PA'!$E$4:$E$3040='Analítico Cx.'!$B117),-('Diário 2º PA'!$P$4:$P$3040=G$1),('Diário 2º PA'!$F$4:$F$3040))+SUMPRODUCT(-('Diário 3º PA'!$E$4:$E$2731='Analítico Cx.'!$B117),-('Diário 3º PA'!$P$4:$P$2731=G$1),('Diário 3º PA'!$F$4:$F$2731))+SUMPRODUCT(-('Diário 4º PA'!$E$4:$E$2564='Analítico Cx.'!$B117),-('Diário 4º PA'!$P$4:$P$2564=G$1),('Diário 4º PA'!$F$4:$F$2564))</f>
        <v>0</v>
      </c>
      <c r="H117" s="183">
        <f>SUMPRODUCT(-('Diário 1º PA'!$E$4:$E$2635='Analítico Cx.'!$B117),-('Diário 1º PA'!$P$4:$P$2635=H$1),('Diário 1º PA'!$F$4:$F$2635))+SUMPRODUCT(-('Diário 2º PA'!$E$4:$E$3040='Analítico Cx.'!$B117),-('Diário 2º PA'!$P$4:$P$3040=H$1),('Diário 2º PA'!$F$4:$F$3040))+SUMPRODUCT(-('Diário 3º PA'!$E$4:$E$2731='Analítico Cx.'!$B117),-('Diário 3º PA'!$P$4:$P$2731=H$1),('Diário 3º PA'!$F$4:$F$2731))+SUMPRODUCT(-('Diário 4º PA'!$E$4:$E$2564='Analítico Cx.'!$B117),-('Diário 4º PA'!$P$4:$P$2564=H$1),('Diário 4º PA'!$F$4:$F$2564))</f>
        <v>0</v>
      </c>
      <c r="I117" s="183">
        <f>SUMPRODUCT(-('Diário 1º PA'!$E$4:$E$2635='Analítico Cx.'!$B117),-('Diário 1º PA'!$P$4:$P$2635=I$1),('Diário 1º PA'!$F$4:$F$2635))+SUMPRODUCT(-('Diário 2º PA'!$E$4:$E$3040='Analítico Cx.'!$B117),-('Diário 2º PA'!$P$4:$P$3040=I$1),('Diário 2º PA'!$F$4:$F$3040))+SUMPRODUCT(-('Diário 3º PA'!$E$4:$E$2731='Analítico Cx.'!$B117),-('Diário 3º PA'!$P$4:$P$2731=I$1),('Diário 3º PA'!$F$4:$F$2731))+SUMPRODUCT(-('Diário 4º PA'!$E$4:$E$2564='Analítico Cx.'!$B117),-('Diário 4º PA'!$P$4:$P$2564=I$1),('Diário 4º PA'!$F$4:$F$2564))</f>
        <v>0</v>
      </c>
      <c r="J117" s="183">
        <f>SUMPRODUCT(-('Diário 1º PA'!$E$4:$E$2635='Analítico Cx.'!$B117),-('Diário 1º PA'!$P$4:$P$2635=J$1),('Diário 1º PA'!$F$4:$F$2635))+SUMPRODUCT(-('Diário 2º PA'!$E$4:$E$3040='Analítico Cx.'!$B117),-('Diário 2º PA'!$P$4:$P$3040=J$1),('Diário 2º PA'!$F$4:$F$3040))+SUMPRODUCT(-('Diário 3º PA'!$E$4:$E$2731='Analítico Cx.'!$B117),-('Diário 3º PA'!$P$4:$P$2731=J$1),('Diário 3º PA'!$F$4:$F$2731))+SUMPRODUCT(-('Diário 4º PA'!$E$4:$E$2564='Analítico Cx.'!$B117),-('Diário 4º PA'!$P$4:$P$2564=J$1),('Diário 4º PA'!$F$4:$F$2564))</f>
        <v>0</v>
      </c>
      <c r="K117" s="183">
        <f>SUMPRODUCT(-('Diário 1º PA'!$E$4:$E$2635='Analítico Cx.'!$B117),-('Diário 1º PA'!$P$4:$P$2635=K$1),('Diário 1º PA'!$F$4:$F$2635))+SUMPRODUCT(-('Diário 2º PA'!$E$4:$E$3040='Analítico Cx.'!$B117),-('Diário 2º PA'!$P$4:$P$3040=K$1),('Diário 2º PA'!$F$4:$F$3040))+SUMPRODUCT(-('Diário 3º PA'!$E$4:$E$2731='Analítico Cx.'!$B117),-('Diário 3º PA'!$P$4:$P$2731=K$1),('Diário 3º PA'!$F$4:$F$2731))+SUMPRODUCT(-('Diário 4º PA'!$E$4:$E$2564='Analítico Cx.'!$B117),-('Diário 4º PA'!$P$4:$P$2564=K$1),('Diário 4º PA'!$F$4:$F$2564))</f>
        <v>0</v>
      </c>
      <c r="L117" s="183">
        <f>SUMPRODUCT(-('Diário 1º PA'!$E$4:$E$2635='Analítico Cx.'!$B117),-('Diário 1º PA'!$P$4:$P$2635=L$1),('Diário 1º PA'!$F$4:$F$2635))+SUMPRODUCT(-('Diário 2º PA'!$E$4:$E$3040='Analítico Cx.'!$B117),-('Diário 2º PA'!$P$4:$P$3040=L$1),('Diário 2º PA'!$F$4:$F$3040))+SUMPRODUCT(-('Diário 3º PA'!$E$4:$E$2731='Analítico Cx.'!$B117),-('Diário 3º PA'!$P$4:$P$2731=L$1),('Diário 3º PA'!$F$4:$F$2731))+SUMPRODUCT(-('Diário 4º PA'!$E$4:$E$2564='Analítico Cx.'!$B117),-('Diário 4º PA'!$P$4:$P$2564=L$1),('Diário 4º PA'!$F$4:$F$2564))</f>
        <v>10424.74</v>
      </c>
      <c r="M117" s="183">
        <f>SUMPRODUCT(-('Diário 1º PA'!$E$4:$E$2635='Analítico Cx.'!$B117),-('Diário 1º PA'!$P$4:$P$2635=M$1),('Diário 1º PA'!$F$4:$F$2635))+SUMPRODUCT(-('Diário 2º PA'!$E$4:$E$3040='Analítico Cx.'!$B117),-('Diário 2º PA'!$P$4:$P$3040=M$1),('Diário 2º PA'!$F$4:$F$3040))+SUMPRODUCT(-('Diário 3º PA'!$E$4:$E$2731='Analítico Cx.'!$B117),-('Diário 3º PA'!$P$4:$P$2731=M$1),('Diário 3º PA'!$F$4:$F$2731))+SUMPRODUCT(-('Diário 4º PA'!$E$4:$E$2564='Analítico Cx.'!$B117),-('Diário 4º PA'!$P$4:$P$2564=M$1),('Diário 4º PA'!$F$4:$F$2564))</f>
        <v>9.1199999999999992</v>
      </c>
      <c r="N117" s="183">
        <f>SUMPRODUCT(-('Diário 1º PA'!$E$4:$E$2635='Analítico Cx.'!$B117),-('Diário 1º PA'!$P$4:$P$2635=N$1),('Diário 1º PA'!$F$4:$F$2635))+SUMPRODUCT(-('Diário 2º PA'!$E$4:$E$3040='Analítico Cx.'!$B117),-('Diário 2º PA'!$P$4:$P$3040=N$1),('Diário 2º PA'!$F$4:$F$3040))+SUMPRODUCT(-('Diário 3º PA'!$E$4:$E$2731='Analítico Cx.'!$B117),-('Diário 3º PA'!$P$4:$P$2731=N$1),('Diário 3º PA'!$F$4:$F$2731))+SUMPRODUCT(-('Diário 4º PA'!$E$4:$E$2564='Analítico Cx.'!$B117),-('Diário 4º PA'!$P$4:$P$2564=N$1),('Diário 4º PA'!$F$4:$F$2564))</f>
        <v>0</v>
      </c>
      <c r="O117" s="184">
        <f t="shared" si="16"/>
        <v>10433.86</v>
      </c>
      <c r="P117" s="167">
        <f t="shared" si="17"/>
        <v>8.2182345050081955E-4</v>
      </c>
    </row>
    <row r="118" spans="1:16" ht="23.25" customHeight="1" x14ac:dyDescent="0.2">
      <c r="A118" s="61" t="s">
        <v>221</v>
      </c>
      <c r="B118" s="103" t="s">
        <v>217</v>
      </c>
      <c r="C118" s="183">
        <f>SUMPRODUCT(-('Diário 1º PA'!$E$4:$E$2635='Analítico Cx.'!$B118),-('Diário 1º PA'!$P$4:$P$2635=C$1),('Diário 1º PA'!$F$4:$F$2635))+SUMPRODUCT(-('Diário 2º PA'!$E$4:$E$3040='Analítico Cx.'!$B118),-('Diário 2º PA'!$P$4:$P$3040=C$1),('Diário 2º PA'!$F$4:$F$3040))+SUMPRODUCT(-('Diário 3º PA'!$E$4:$E$2731='Analítico Cx.'!$B118),-('Diário 3º PA'!$P$4:$P$2731=C$1),('Diário 3º PA'!$F$4:$F$2731))+SUMPRODUCT(-('Diário 4º PA'!$E$4:$E$2564='Analítico Cx.'!$B118),-('Diário 4º PA'!$P$4:$P$2564=C$1),('Diário 4º PA'!$F$4:$F$2564))</f>
        <v>0</v>
      </c>
      <c r="D118" s="183">
        <f>SUMPRODUCT(-('Diário 1º PA'!$E$4:$E$2635='Analítico Cx.'!$B118),-('Diário 1º PA'!$P$4:$P$2635=D$1),('Diário 1º PA'!$F$4:$F$2635))+SUMPRODUCT(-('Diário 2º PA'!$E$4:$E$3040='Analítico Cx.'!$B118),-('Diário 2º PA'!$P$4:$P$3040=D$1),('Diário 2º PA'!$F$4:$F$3040))+SUMPRODUCT(-('Diário 3º PA'!$E$4:$E$2731='Analítico Cx.'!$B118),-('Diário 3º PA'!$P$4:$P$2731=D$1),('Diário 3º PA'!$F$4:$F$2731))+SUMPRODUCT(-('Diário 4º PA'!$E$4:$E$2564='Analítico Cx.'!$B118),-('Diário 4º PA'!$P$4:$P$2564=D$1),('Diário 4º PA'!$F$4:$F$2564))</f>
        <v>0</v>
      </c>
      <c r="E118" s="183">
        <f>SUMPRODUCT(-('Diário 1º PA'!$E$4:$E$2635='Analítico Cx.'!$B118),-('Diário 1º PA'!$P$4:$P$2635=E$1),('Diário 1º PA'!$F$4:$F$2635))+SUMPRODUCT(-('Diário 2º PA'!$E$4:$E$3040='Analítico Cx.'!$B118),-('Diário 2º PA'!$P$4:$P$3040=E$1),('Diário 2º PA'!$F$4:$F$3040))+SUMPRODUCT(-('Diário 3º PA'!$E$4:$E$2731='Analítico Cx.'!$B118),-('Diário 3º PA'!$P$4:$P$2731=E$1),('Diário 3º PA'!$F$4:$F$2731))+SUMPRODUCT(-('Diário 4º PA'!$E$4:$E$2564='Analítico Cx.'!$B118),-('Diário 4º PA'!$P$4:$P$2564=E$1),('Diário 4º PA'!$F$4:$F$2564))</f>
        <v>0</v>
      </c>
      <c r="F118" s="183">
        <f>SUMPRODUCT(-('Diário 1º PA'!$E$4:$E$2635='Analítico Cx.'!$B118),-('Diário 1º PA'!$P$4:$P$2635=F$1),('Diário 1º PA'!$F$4:$F$2635))+SUMPRODUCT(-('Diário 2º PA'!$E$4:$E$3040='Analítico Cx.'!$B118),-('Diário 2º PA'!$P$4:$P$3040=F$1),('Diário 2º PA'!$F$4:$F$3040))+SUMPRODUCT(-('Diário 3º PA'!$E$4:$E$2731='Analítico Cx.'!$B118),-('Diário 3º PA'!$P$4:$P$2731=F$1),('Diário 3º PA'!$F$4:$F$2731))+SUMPRODUCT(-('Diário 4º PA'!$E$4:$E$2564='Analítico Cx.'!$B118),-('Diário 4º PA'!$P$4:$P$2564=F$1),('Diário 4º PA'!$F$4:$F$2564))</f>
        <v>0</v>
      </c>
      <c r="G118" s="183">
        <f>SUMPRODUCT(-('Diário 1º PA'!$E$4:$E$2635='Analítico Cx.'!$B118),-('Diário 1º PA'!$P$4:$P$2635=G$1),('Diário 1º PA'!$F$4:$F$2635))+SUMPRODUCT(-('Diário 2º PA'!$E$4:$E$3040='Analítico Cx.'!$B118),-('Diário 2º PA'!$P$4:$P$3040=G$1),('Diário 2º PA'!$F$4:$F$3040))+SUMPRODUCT(-('Diário 3º PA'!$E$4:$E$2731='Analítico Cx.'!$B118),-('Diário 3º PA'!$P$4:$P$2731=G$1),('Diário 3º PA'!$F$4:$F$2731))+SUMPRODUCT(-('Diário 4º PA'!$E$4:$E$2564='Analítico Cx.'!$B118),-('Diário 4º PA'!$P$4:$P$2564=G$1),('Diário 4º PA'!$F$4:$F$2564))</f>
        <v>0</v>
      </c>
      <c r="H118" s="183">
        <f>SUMPRODUCT(-('Diário 1º PA'!$E$4:$E$2635='Analítico Cx.'!$B118),-('Diário 1º PA'!$P$4:$P$2635=H$1),('Diário 1º PA'!$F$4:$F$2635))+SUMPRODUCT(-('Diário 2º PA'!$E$4:$E$3040='Analítico Cx.'!$B118),-('Diário 2º PA'!$P$4:$P$3040=H$1),('Diário 2º PA'!$F$4:$F$3040))+SUMPRODUCT(-('Diário 3º PA'!$E$4:$E$2731='Analítico Cx.'!$B118),-('Diário 3º PA'!$P$4:$P$2731=H$1),('Diário 3º PA'!$F$4:$F$2731))+SUMPRODUCT(-('Diário 4º PA'!$E$4:$E$2564='Analítico Cx.'!$B118),-('Diário 4º PA'!$P$4:$P$2564=H$1),('Diário 4º PA'!$F$4:$F$2564))</f>
        <v>0</v>
      </c>
      <c r="I118" s="183">
        <f>SUMPRODUCT(-('Diário 1º PA'!$E$4:$E$2635='Analítico Cx.'!$B118),-('Diário 1º PA'!$P$4:$P$2635=I$1),('Diário 1º PA'!$F$4:$F$2635))+SUMPRODUCT(-('Diário 2º PA'!$E$4:$E$3040='Analítico Cx.'!$B118),-('Diário 2º PA'!$P$4:$P$3040=I$1),('Diário 2º PA'!$F$4:$F$3040))+SUMPRODUCT(-('Diário 3º PA'!$E$4:$E$2731='Analítico Cx.'!$B118),-('Diário 3º PA'!$P$4:$P$2731=I$1),('Diário 3º PA'!$F$4:$F$2731))+SUMPRODUCT(-('Diário 4º PA'!$E$4:$E$2564='Analítico Cx.'!$B118),-('Diário 4º PA'!$P$4:$P$2564=I$1),('Diário 4º PA'!$F$4:$F$2564))</f>
        <v>0</v>
      </c>
      <c r="J118" s="183">
        <f>SUMPRODUCT(-('Diário 1º PA'!$E$4:$E$2635='Analítico Cx.'!$B118),-('Diário 1º PA'!$P$4:$P$2635=J$1),('Diário 1º PA'!$F$4:$F$2635))+SUMPRODUCT(-('Diário 2º PA'!$E$4:$E$3040='Analítico Cx.'!$B118),-('Diário 2º PA'!$P$4:$P$3040=J$1),('Diário 2º PA'!$F$4:$F$3040))+SUMPRODUCT(-('Diário 3º PA'!$E$4:$E$2731='Analítico Cx.'!$B118),-('Diário 3º PA'!$P$4:$P$2731=J$1),('Diário 3º PA'!$F$4:$F$2731))+SUMPRODUCT(-('Diário 4º PA'!$E$4:$E$2564='Analítico Cx.'!$B118),-('Diário 4º PA'!$P$4:$P$2564=J$1),('Diário 4º PA'!$F$4:$F$2564))</f>
        <v>0</v>
      </c>
      <c r="K118" s="183">
        <f>SUMPRODUCT(-('Diário 1º PA'!$E$4:$E$2635='Analítico Cx.'!$B118),-('Diário 1º PA'!$P$4:$P$2635=K$1),('Diário 1º PA'!$F$4:$F$2635))+SUMPRODUCT(-('Diário 2º PA'!$E$4:$E$3040='Analítico Cx.'!$B118),-('Diário 2º PA'!$P$4:$P$3040=K$1),('Diário 2º PA'!$F$4:$F$3040))+SUMPRODUCT(-('Diário 3º PA'!$E$4:$E$2731='Analítico Cx.'!$B118),-('Diário 3º PA'!$P$4:$P$2731=K$1),('Diário 3º PA'!$F$4:$F$2731))+SUMPRODUCT(-('Diário 4º PA'!$E$4:$E$2564='Analítico Cx.'!$B118),-('Diário 4º PA'!$P$4:$P$2564=K$1),('Diário 4º PA'!$F$4:$F$2564))</f>
        <v>0</v>
      </c>
      <c r="L118" s="183">
        <f>SUMPRODUCT(-('Diário 1º PA'!$E$4:$E$2635='Analítico Cx.'!$B118),-('Diário 1º PA'!$P$4:$P$2635=L$1),('Diário 1º PA'!$F$4:$F$2635))+SUMPRODUCT(-('Diário 2º PA'!$E$4:$E$3040='Analítico Cx.'!$B118),-('Diário 2º PA'!$P$4:$P$3040=L$1),('Diário 2º PA'!$F$4:$F$3040))+SUMPRODUCT(-('Diário 3º PA'!$E$4:$E$2731='Analítico Cx.'!$B118),-('Diário 3º PA'!$P$4:$P$2731=L$1),('Diário 3º PA'!$F$4:$F$2731))+SUMPRODUCT(-('Diário 4º PA'!$E$4:$E$2564='Analítico Cx.'!$B118),-('Diário 4º PA'!$P$4:$P$2564=L$1),('Diário 4º PA'!$F$4:$F$2564))</f>
        <v>0</v>
      </c>
      <c r="M118" s="183">
        <f>SUMPRODUCT(-('Diário 1º PA'!$E$4:$E$2635='Analítico Cx.'!$B118),-('Diário 1º PA'!$P$4:$P$2635=M$1),('Diário 1º PA'!$F$4:$F$2635))+SUMPRODUCT(-('Diário 2º PA'!$E$4:$E$3040='Analítico Cx.'!$B118),-('Diário 2º PA'!$P$4:$P$3040=M$1),('Diário 2º PA'!$F$4:$F$3040))+SUMPRODUCT(-('Diário 3º PA'!$E$4:$E$2731='Analítico Cx.'!$B118),-('Diário 3º PA'!$P$4:$P$2731=M$1),('Diário 3º PA'!$F$4:$F$2731))+SUMPRODUCT(-('Diário 4º PA'!$E$4:$E$2564='Analítico Cx.'!$B118),-('Diário 4º PA'!$P$4:$P$2564=M$1),('Diário 4º PA'!$F$4:$F$2564))</f>
        <v>0</v>
      </c>
      <c r="N118" s="183">
        <f>SUMPRODUCT(-('Diário 1º PA'!$E$4:$E$2635='Analítico Cx.'!$B118),-('Diário 1º PA'!$P$4:$P$2635=N$1),('Diário 1º PA'!$F$4:$F$2635))+SUMPRODUCT(-('Diário 2º PA'!$E$4:$E$3040='Analítico Cx.'!$B118),-('Diário 2º PA'!$P$4:$P$3040=N$1),('Diário 2º PA'!$F$4:$F$3040))+SUMPRODUCT(-('Diário 3º PA'!$E$4:$E$2731='Analítico Cx.'!$B118),-('Diário 3º PA'!$P$4:$P$2731=N$1),('Diário 3º PA'!$F$4:$F$2731))+SUMPRODUCT(-('Diário 4º PA'!$E$4:$E$2564='Analítico Cx.'!$B118),-('Diário 4º PA'!$P$4:$P$2564=N$1),('Diário 4º PA'!$F$4:$F$2564))</f>
        <v>0</v>
      </c>
      <c r="O118" s="184">
        <f t="shared" si="16"/>
        <v>0</v>
      </c>
      <c r="P118" s="167">
        <f t="shared" si="17"/>
        <v>0</v>
      </c>
    </row>
    <row r="119" spans="1:16" ht="23.25" customHeight="1" x14ac:dyDescent="0.2">
      <c r="A119" s="61" t="s">
        <v>265</v>
      </c>
      <c r="B119" s="103" t="s">
        <v>300</v>
      </c>
      <c r="C119" s="183">
        <f>SUMPRODUCT(-('Diário 1º PA'!$E$4:$E$2635='Analítico Cx.'!$B119),-('Diário 1º PA'!$P$4:$P$2635=C$1),('Diário 1º PA'!$F$4:$F$2635))+SUMPRODUCT(-('Diário 2º PA'!$E$4:$E$3040='Analítico Cx.'!$B119),-('Diário 2º PA'!$P$4:$P$3040=C$1),('Diário 2º PA'!$F$4:$F$3040))+SUMPRODUCT(-('Diário 3º PA'!$E$4:$E$2731='Analítico Cx.'!$B119),-('Diário 3º PA'!$P$4:$P$2731=C$1),('Diário 3º PA'!$F$4:$F$2731))+SUMPRODUCT(-('Diário 4º PA'!$E$4:$E$2564='Analítico Cx.'!$B119),-('Diário 4º PA'!$P$4:$P$2564=C$1),('Diário 4º PA'!$F$4:$F$2564))</f>
        <v>0</v>
      </c>
      <c r="D119" s="183">
        <f>SUMPRODUCT(-('Diário 1º PA'!$E$4:$E$2635='Analítico Cx.'!$B119),-('Diário 1º PA'!$P$4:$P$2635=D$1),('Diário 1º PA'!$F$4:$F$2635))+SUMPRODUCT(-('Diário 2º PA'!$E$4:$E$3040='Analítico Cx.'!$B119),-('Diário 2º PA'!$P$4:$P$3040=D$1),('Diário 2º PA'!$F$4:$F$3040))+SUMPRODUCT(-('Diário 3º PA'!$E$4:$E$2731='Analítico Cx.'!$B119),-('Diário 3º PA'!$P$4:$P$2731=D$1),('Diário 3º PA'!$F$4:$F$2731))+SUMPRODUCT(-('Diário 4º PA'!$E$4:$E$2564='Analítico Cx.'!$B119),-('Diário 4º PA'!$P$4:$P$2564=D$1),('Diário 4º PA'!$F$4:$F$2564))</f>
        <v>0</v>
      </c>
      <c r="E119" s="183">
        <f>SUMPRODUCT(-('Diário 1º PA'!$E$4:$E$2635='Analítico Cx.'!$B119),-('Diário 1º PA'!$P$4:$P$2635=E$1),('Diário 1º PA'!$F$4:$F$2635))+SUMPRODUCT(-('Diário 2º PA'!$E$4:$E$3040='Analítico Cx.'!$B119),-('Diário 2º PA'!$P$4:$P$3040=E$1),('Diário 2º PA'!$F$4:$F$3040))+SUMPRODUCT(-('Diário 3º PA'!$E$4:$E$2731='Analítico Cx.'!$B119),-('Diário 3º PA'!$P$4:$P$2731=E$1),('Diário 3º PA'!$F$4:$F$2731))+SUMPRODUCT(-('Diário 4º PA'!$E$4:$E$2564='Analítico Cx.'!$B119),-('Diário 4º PA'!$P$4:$P$2564=E$1),('Diário 4º PA'!$F$4:$F$2564))</f>
        <v>0</v>
      </c>
      <c r="F119" s="183">
        <f>SUMPRODUCT(-('Diário 1º PA'!$E$4:$E$2635='Analítico Cx.'!$B119),-('Diário 1º PA'!$P$4:$P$2635=F$1),('Diário 1º PA'!$F$4:$F$2635))+SUMPRODUCT(-('Diário 2º PA'!$E$4:$E$3040='Analítico Cx.'!$B119),-('Diário 2º PA'!$P$4:$P$3040=F$1),('Diário 2º PA'!$F$4:$F$3040))+SUMPRODUCT(-('Diário 3º PA'!$E$4:$E$2731='Analítico Cx.'!$B119),-('Diário 3º PA'!$P$4:$P$2731=F$1),('Diário 3º PA'!$F$4:$F$2731))+SUMPRODUCT(-('Diário 4º PA'!$E$4:$E$2564='Analítico Cx.'!$B119),-('Diário 4º PA'!$P$4:$P$2564=F$1),('Diário 4º PA'!$F$4:$F$2564))</f>
        <v>0</v>
      </c>
      <c r="G119" s="183">
        <f>SUMPRODUCT(-('Diário 1º PA'!$E$4:$E$2635='Analítico Cx.'!$B119),-('Diário 1º PA'!$P$4:$P$2635=G$1),('Diário 1º PA'!$F$4:$F$2635))+SUMPRODUCT(-('Diário 2º PA'!$E$4:$E$3040='Analítico Cx.'!$B119),-('Diário 2º PA'!$P$4:$P$3040=G$1),('Diário 2º PA'!$F$4:$F$3040))+SUMPRODUCT(-('Diário 3º PA'!$E$4:$E$2731='Analítico Cx.'!$B119),-('Diário 3º PA'!$P$4:$P$2731=G$1),('Diário 3º PA'!$F$4:$F$2731))+SUMPRODUCT(-('Diário 4º PA'!$E$4:$E$2564='Analítico Cx.'!$B119),-('Diário 4º PA'!$P$4:$P$2564=G$1),('Diário 4º PA'!$F$4:$F$2564))</f>
        <v>0</v>
      </c>
      <c r="H119" s="183">
        <f>SUMPRODUCT(-('Diário 1º PA'!$E$4:$E$2635='Analítico Cx.'!$B119),-('Diário 1º PA'!$P$4:$P$2635=H$1),('Diário 1º PA'!$F$4:$F$2635))+SUMPRODUCT(-('Diário 2º PA'!$E$4:$E$3040='Analítico Cx.'!$B119),-('Diário 2º PA'!$P$4:$P$3040=H$1),('Diário 2º PA'!$F$4:$F$3040))+SUMPRODUCT(-('Diário 3º PA'!$E$4:$E$2731='Analítico Cx.'!$B119),-('Diário 3º PA'!$P$4:$P$2731=H$1),('Diário 3º PA'!$F$4:$F$2731))+SUMPRODUCT(-('Diário 4º PA'!$E$4:$E$2564='Analítico Cx.'!$B119),-('Diário 4º PA'!$P$4:$P$2564=H$1),('Diário 4º PA'!$F$4:$F$2564))</f>
        <v>0</v>
      </c>
      <c r="I119" s="183">
        <f>SUMPRODUCT(-('Diário 1º PA'!$E$4:$E$2635='Analítico Cx.'!$B119),-('Diário 1º PA'!$P$4:$P$2635=I$1),('Diário 1º PA'!$F$4:$F$2635))+SUMPRODUCT(-('Diário 2º PA'!$E$4:$E$3040='Analítico Cx.'!$B119),-('Diário 2º PA'!$P$4:$P$3040=I$1),('Diário 2º PA'!$F$4:$F$3040))+SUMPRODUCT(-('Diário 3º PA'!$E$4:$E$2731='Analítico Cx.'!$B119),-('Diário 3º PA'!$P$4:$P$2731=I$1),('Diário 3º PA'!$F$4:$F$2731))+SUMPRODUCT(-('Diário 4º PA'!$E$4:$E$2564='Analítico Cx.'!$B119),-('Diário 4º PA'!$P$4:$P$2564=I$1),('Diário 4º PA'!$F$4:$F$2564))</f>
        <v>0</v>
      </c>
      <c r="J119" s="183">
        <f>SUMPRODUCT(-('Diário 1º PA'!$E$4:$E$2635='Analítico Cx.'!$B119),-('Diário 1º PA'!$P$4:$P$2635=J$1),('Diário 1º PA'!$F$4:$F$2635))+SUMPRODUCT(-('Diário 2º PA'!$E$4:$E$3040='Analítico Cx.'!$B119),-('Diário 2º PA'!$P$4:$P$3040=J$1),('Diário 2º PA'!$F$4:$F$3040))+SUMPRODUCT(-('Diário 3º PA'!$E$4:$E$2731='Analítico Cx.'!$B119),-('Diário 3º PA'!$P$4:$P$2731=J$1),('Diário 3º PA'!$F$4:$F$2731))+SUMPRODUCT(-('Diário 4º PA'!$E$4:$E$2564='Analítico Cx.'!$B119),-('Diário 4º PA'!$P$4:$P$2564=J$1),('Diário 4º PA'!$F$4:$F$2564))</f>
        <v>0</v>
      </c>
      <c r="K119" s="183">
        <f>SUMPRODUCT(-('Diário 1º PA'!$E$4:$E$2635='Analítico Cx.'!$B119),-('Diário 1º PA'!$P$4:$P$2635=K$1),('Diário 1º PA'!$F$4:$F$2635))+SUMPRODUCT(-('Diário 2º PA'!$E$4:$E$3040='Analítico Cx.'!$B119),-('Diário 2º PA'!$P$4:$P$3040=K$1),('Diário 2º PA'!$F$4:$F$3040))+SUMPRODUCT(-('Diário 3º PA'!$E$4:$E$2731='Analítico Cx.'!$B119),-('Diário 3º PA'!$P$4:$P$2731=K$1),('Diário 3º PA'!$F$4:$F$2731))+SUMPRODUCT(-('Diário 4º PA'!$E$4:$E$2564='Analítico Cx.'!$B119),-('Diário 4º PA'!$P$4:$P$2564=K$1),('Diário 4º PA'!$F$4:$F$2564))</f>
        <v>0</v>
      </c>
      <c r="L119" s="183">
        <f>SUMPRODUCT(-('Diário 1º PA'!$E$4:$E$2635='Analítico Cx.'!$B119),-('Diário 1º PA'!$P$4:$P$2635=L$1),('Diário 1º PA'!$F$4:$F$2635))+SUMPRODUCT(-('Diário 2º PA'!$E$4:$E$3040='Analítico Cx.'!$B119),-('Diário 2º PA'!$P$4:$P$3040=L$1),('Diário 2º PA'!$F$4:$F$3040))+SUMPRODUCT(-('Diário 3º PA'!$E$4:$E$2731='Analítico Cx.'!$B119),-('Diário 3º PA'!$P$4:$P$2731=L$1),('Diário 3º PA'!$F$4:$F$2731))+SUMPRODUCT(-('Diário 4º PA'!$E$4:$E$2564='Analítico Cx.'!$B119),-('Diário 4º PA'!$P$4:$P$2564=L$1),('Diário 4º PA'!$F$4:$F$2564))</f>
        <v>0</v>
      </c>
      <c r="M119" s="183">
        <f>SUMPRODUCT(-('Diário 1º PA'!$E$4:$E$2635='Analítico Cx.'!$B119),-('Diário 1º PA'!$P$4:$P$2635=M$1),('Diário 1º PA'!$F$4:$F$2635))+SUMPRODUCT(-('Diário 2º PA'!$E$4:$E$3040='Analítico Cx.'!$B119),-('Diário 2º PA'!$P$4:$P$3040=M$1),('Diário 2º PA'!$F$4:$F$3040))+SUMPRODUCT(-('Diário 3º PA'!$E$4:$E$2731='Analítico Cx.'!$B119),-('Diário 3º PA'!$P$4:$P$2731=M$1),('Diário 3º PA'!$F$4:$F$2731))+SUMPRODUCT(-('Diário 4º PA'!$E$4:$E$2564='Analítico Cx.'!$B119),-('Diário 4º PA'!$P$4:$P$2564=M$1),('Diário 4º PA'!$F$4:$F$2564))</f>
        <v>0</v>
      </c>
      <c r="N119" s="183">
        <f>SUMPRODUCT(-('Diário 1º PA'!$E$4:$E$2635='Analítico Cx.'!$B119),-('Diário 1º PA'!$P$4:$P$2635=N$1),('Diário 1º PA'!$F$4:$F$2635))+SUMPRODUCT(-('Diário 2º PA'!$E$4:$E$3040='Analítico Cx.'!$B119),-('Diário 2º PA'!$P$4:$P$3040=N$1),('Diário 2º PA'!$F$4:$F$3040))+SUMPRODUCT(-('Diário 3º PA'!$E$4:$E$2731='Analítico Cx.'!$B119),-('Diário 3º PA'!$P$4:$P$2731=N$1),('Diário 3º PA'!$F$4:$F$2731))+SUMPRODUCT(-('Diário 4º PA'!$E$4:$E$2564='Analítico Cx.'!$B119),-('Diário 4º PA'!$P$4:$P$2564=N$1),('Diário 4º PA'!$F$4:$F$2564))</f>
        <v>0</v>
      </c>
      <c r="O119" s="184">
        <f t="shared" si="16"/>
        <v>0</v>
      </c>
      <c r="P119" s="167">
        <f t="shared" si="17"/>
        <v>0</v>
      </c>
    </row>
    <row r="120" spans="1:16" ht="23.25" customHeight="1" x14ac:dyDescent="0.2">
      <c r="A120" s="61" t="s">
        <v>266</v>
      </c>
      <c r="B120" s="103" t="s">
        <v>297</v>
      </c>
      <c r="C120" s="183">
        <f>SUMPRODUCT(-('Diário 1º PA'!$E$4:$E$2635='Analítico Cx.'!$B120),-('Diário 1º PA'!$P$4:$P$2635=C$1),('Diário 1º PA'!$F$4:$F$2635))+SUMPRODUCT(-('Diário 2º PA'!$E$4:$E$3040='Analítico Cx.'!$B120),-('Diário 2º PA'!$P$4:$P$3040=C$1),('Diário 2º PA'!$F$4:$F$3040))+SUMPRODUCT(-('Diário 3º PA'!$E$4:$E$2731='Analítico Cx.'!$B120),-('Diário 3º PA'!$P$4:$P$2731=C$1),('Diário 3º PA'!$F$4:$F$2731))+SUMPRODUCT(-('Diário 4º PA'!$E$4:$E$2564='Analítico Cx.'!$B120),-('Diário 4º PA'!$P$4:$P$2564=C$1),('Diário 4º PA'!$F$4:$F$2564))</f>
        <v>27682.42</v>
      </c>
      <c r="D120" s="183">
        <f>SUMPRODUCT(-('Diário 1º PA'!$E$4:$E$2635='Analítico Cx.'!$B120),-('Diário 1º PA'!$P$4:$P$2635=D$1),('Diário 1º PA'!$F$4:$F$2635))+SUMPRODUCT(-('Diário 2º PA'!$E$4:$E$3040='Analítico Cx.'!$B120),-('Diário 2º PA'!$P$4:$P$3040=D$1),('Diário 2º PA'!$F$4:$F$3040))+SUMPRODUCT(-('Diário 3º PA'!$E$4:$E$2731='Analítico Cx.'!$B120),-('Diário 3º PA'!$P$4:$P$2731=D$1),('Diário 3º PA'!$F$4:$F$2731))+SUMPRODUCT(-('Diário 4º PA'!$E$4:$E$2564='Analítico Cx.'!$B120),-('Diário 4º PA'!$P$4:$P$2564=D$1),('Diário 4º PA'!$F$4:$F$2564))</f>
        <v>30689.01</v>
      </c>
      <c r="E120" s="183">
        <f>SUMPRODUCT(-('Diário 1º PA'!$E$4:$E$2635='Analítico Cx.'!$B120),-('Diário 1º PA'!$P$4:$P$2635=E$1),('Diário 1º PA'!$F$4:$F$2635))+SUMPRODUCT(-('Diário 2º PA'!$E$4:$E$3040='Analítico Cx.'!$B120),-('Diário 2º PA'!$P$4:$P$3040=E$1),('Diário 2º PA'!$F$4:$F$3040))+SUMPRODUCT(-('Diário 3º PA'!$E$4:$E$2731='Analítico Cx.'!$B120),-('Diário 3º PA'!$P$4:$P$2731=E$1),('Diário 3º PA'!$F$4:$F$2731))+SUMPRODUCT(-('Diário 4º PA'!$E$4:$E$2564='Analítico Cx.'!$B120),-('Diário 4º PA'!$P$4:$P$2564=E$1),('Diário 4º PA'!$F$4:$F$2564))</f>
        <v>58034.719999999994</v>
      </c>
      <c r="F120" s="183">
        <f>SUMPRODUCT(-('Diário 1º PA'!$E$4:$E$2635='Analítico Cx.'!$B120),-('Diário 1º PA'!$P$4:$P$2635=F$1),('Diário 1º PA'!$F$4:$F$2635))+SUMPRODUCT(-('Diário 2º PA'!$E$4:$E$3040='Analítico Cx.'!$B120),-('Diário 2º PA'!$P$4:$P$3040=F$1),('Diário 2º PA'!$F$4:$F$3040))+SUMPRODUCT(-('Diário 3º PA'!$E$4:$E$2731='Analítico Cx.'!$B120),-('Diário 3º PA'!$P$4:$P$2731=F$1),('Diário 3º PA'!$F$4:$F$2731))+SUMPRODUCT(-('Diário 4º PA'!$E$4:$E$2564='Analítico Cx.'!$B120),-('Diário 4º PA'!$P$4:$P$2564=F$1),('Diário 4º PA'!$F$4:$F$2564))</f>
        <v>31134.26</v>
      </c>
      <c r="G120" s="183">
        <f>SUMPRODUCT(-('Diário 1º PA'!$E$4:$E$2635='Analítico Cx.'!$B120),-('Diário 1º PA'!$P$4:$P$2635=G$1),('Diário 1º PA'!$F$4:$F$2635))+SUMPRODUCT(-('Diário 2º PA'!$E$4:$E$3040='Analítico Cx.'!$B120),-('Diário 2º PA'!$P$4:$P$3040=G$1),('Diário 2º PA'!$F$4:$F$3040))+SUMPRODUCT(-('Diário 3º PA'!$E$4:$E$2731='Analítico Cx.'!$B120),-('Diário 3º PA'!$P$4:$P$2731=G$1),('Diário 3º PA'!$F$4:$F$2731))+SUMPRODUCT(-('Diário 4º PA'!$E$4:$E$2564='Analítico Cx.'!$B120),-('Diário 4º PA'!$P$4:$P$2564=G$1),('Diário 4º PA'!$F$4:$F$2564))</f>
        <v>47221.739999999991</v>
      </c>
      <c r="H120" s="183">
        <f>SUMPRODUCT(-('Diário 1º PA'!$E$4:$E$2635='Analítico Cx.'!$B120),-('Diário 1º PA'!$P$4:$P$2635=H$1),('Diário 1º PA'!$F$4:$F$2635))+SUMPRODUCT(-('Diário 2º PA'!$E$4:$E$3040='Analítico Cx.'!$B120),-('Diário 2º PA'!$P$4:$P$3040=H$1),('Diário 2º PA'!$F$4:$F$3040))+SUMPRODUCT(-('Diário 3º PA'!$E$4:$E$2731='Analítico Cx.'!$B120),-('Diário 3º PA'!$P$4:$P$2731=H$1),('Diário 3º PA'!$F$4:$F$2731))+SUMPRODUCT(-('Diário 4º PA'!$E$4:$E$2564='Analítico Cx.'!$B120),-('Diário 4º PA'!$P$4:$P$2564=H$1),('Diário 4º PA'!$F$4:$F$2564))</f>
        <v>32980.800000000003</v>
      </c>
      <c r="I120" s="183">
        <f>SUMPRODUCT(-('Diário 1º PA'!$E$4:$E$2635='Analítico Cx.'!$B120),-('Diário 1º PA'!$P$4:$P$2635=I$1),('Diário 1º PA'!$F$4:$F$2635))+SUMPRODUCT(-('Diário 2º PA'!$E$4:$E$3040='Analítico Cx.'!$B120),-('Diário 2º PA'!$P$4:$P$3040=I$1),('Diário 2º PA'!$F$4:$F$3040))+SUMPRODUCT(-('Diário 3º PA'!$E$4:$E$2731='Analítico Cx.'!$B120),-('Diário 3º PA'!$P$4:$P$2731=I$1),('Diário 3º PA'!$F$4:$F$2731))+SUMPRODUCT(-('Diário 4º PA'!$E$4:$E$2564='Analítico Cx.'!$B120),-('Diário 4º PA'!$P$4:$P$2564=I$1),('Diário 4º PA'!$F$4:$F$2564))</f>
        <v>33678.67</v>
      </c>
      <c r="J120" s="183">
        <f>SUMPRODUCT(-('Diário 1º PA'!$E$4:$E$2635='Analítico Cx.'!$B120),-('Diário 1º PA'!$P$4:$P$2635=J$1),('Diário 1º PA'!$F$4:$F$2635))+SUMPRODUCT(-('Diário 2º PA'!$E$4:$E$3040='Analítico Cx.'!$B120),-('Diário 2º PA'!$P$4:$P$3040=J$1),('Diário 2º PA'!$F$4:$F$3040))+SUMPRODUCT(-('Diário 3º PA'!$E$4:$E$2731='Analítico Cx.'!$B120),-('Diário 3º PA'!$P$4:$P$2731=J$1),('Diário 3º PA'!$F$4:$F$2731))+SUMPRODUCT(-('Diário 4º PA'!$E$4:$E$2564='Analítico Cx.'!$B120),-('Diário 4º PA'!$P$4:$P$2564=J$1),('Diário 4º PA'!$F$4:$F$2564))</f>
        <v>28256.259999999987</v>
      </c>
      <c r="K120" s="183">
        <f>SUMPRODUCT(-('Diário 1º PA'!$E$4:$E$2635='Analítico Cx.'!$B120),-('Diário 1º PA'!$P$4:$P$2635=K$1),('Diário 1º PA'!$F$4:$F$2635))+SUMPRODUCT(-('Diário 2º PA'!$E$4:$E$3040='Analítico Cx.'!$B120),-('Diário 2º PA'!$P$4:$P$3040=K$1),('Diário 2º PA'!$F$4:$F$3040))+SUMPRODUCT(-('Diário 3º PA'!$E$4:$E$2731='Analítico Cx.'!$B120),-('Diário 3º PA'!$P$4:$P$2731=K$1),('Diário 3º PA'!$F$4:$F$2731))+SUMPRODUCT(-('Diário 4º PA'!$E$4:$E$2564='Analítico Cx.'!$B120),-('Diário 4º PA'!$P$4:$P$2564=K$1),('Diário 4º PA'!$F$4:$F$2564))</f>
        <v>27112.569999999996</v>
      </c>
      <c r="L120" s="183">
        <f>SUMPRODUCT(-('Diário 1º PA'!$E$4:$E$2635='Analítico Cx.'!$B120),-('Diário 1º PA'!$P$4:$P$2635=L$1),('Diário 1º PA'!$F$4:$F$2635))+SUMPRODUCT(-('Diário 2º PA'!$E$4:$E$3040='Analítico Cx.'!$B120),-('Diário 2º PA'!$P$4:$P$3040=L$1),('Diário 2º PA'!$F$4:$F$3040))+SUMPRODUCT(-('Diário 3º PA'!$E$4:$E$2731='Analítico Cx.'!$B120),-('Diário 3º PA'!$P$4:$P$2731=L$1),('Diário 3º PA'!$F$4:$F$2731))+SUMPRODUCT(-('Diário 4º PA'!$E$4:$E$2564='Analítico Cx.'!$B120),-('Diário 4º PA'!$P$4:$P$2564=L$1),('Diário 4º PA'!$F$4:$F$2564))</f>
        <v>29296.21000000001</v>
      </c>
      <c r="M120" s="183">
        <f>SUMPRODUCT(-('Diário 1º PA'!$E$4:$E$2635='Analítico Cx.'!$B120),-('Diário 1º PA'!$P$4:$P$2635=M$1),('Diário 1º PA'!$F$4:$F$2635))+SUMPRODUCT(-('Diário 2º PA'!$E$4:$E$3040='Analítico Cx.'!$B120),-('Diário 2º PA'!$P$4:$P$3040=M$1),('Diário 2º PA'!$F$4:$F$3040))+SUMPRODUCT(-('Diário 3º PA'!$E$4:$E$2731='Analítico Cx.'!$B120),-('Diário 3º PA'!$P$4:$P$2731=M$1),('Diário 3º PA'!$F$4:$F$2731))+SUMPRODUCT(-('Diário 4º PA'!$E$4:$E$2564='Analítico Cx.'!$B120),-('Diário 4º PA'!$P$4:$P$2564=M$1),('Diário 4º PA'!$F$4:$F$2564))</f>
        <v>39624.100000000006</v>
      </c>
      <c r="N120" s="183">
        <f>SUMPRODUCT(-('Diário 1º PA'!$E$4:$E$2635='Analítico Cx.'!$B120),-('Diário 1º PA'!$P$4:$P$2635=N$1),('Diário 1º PA'!$F$4:$F$2635))+SUMPRODUCT(-('Diário 2º PA'!$E$4:$E$3040='Analítico Cx.'!$B120),-('Diário 2º PA'!$P$4:$P$3040=N$1),('Diário 2º PA'!$F$4:$F$3040))+SUMPRODUCT(-('Diário 3º PA'!$E$4:$E$2731='Analítico Cx.'!$B120),-('Diário 3º PA'!$P$4:$P$2731=N$1),('Diário 3º PA'!$F$4:$F$2731))+SUMPRODUCT(-('Diário 4º PA'!$E$4:$E$2564='Analítico Cx.'!$B120),-('Diário 4º PA'!$P$4:$P$2564=N$1),('Diário 4º PA'!$F$4:$F$2564))</f>
        <v>26426.880000000001</v>
      </c>
      <c r="O120" s="184">
        <f t="shared" ref="O120:O148" si="18">SUM(C120:N120)</f>
        <v>412137.64</v>
      </c>
      <c r="P120" s="167">
        <f t="shared" si="17"/>
        <v>3.2462039684839988E-2</v>
      </c>
    </row>
    <row r="121" spans="1:16" ht="23.25" customHeight="1" x14ac:dyDescent="0.2">
      <c r="A121" s="61" t="s">
        <v>412</v>
      </c>
      <c r="B121" s="387" t="s">
        <v>440</v>
      </c>
      <c r="C121" s="183">
        <f>SUMPRODUCT(-('Diário 1º PA'!$E$4:$E$2635='Analítico Cx.'!$B121),-('Diário 1º PA'!$P$4:$P$2635=C$1),('Diário 1º PA'!$F$4:$F$2635))+SUMPRODUCT(-('Diário 2º PA'!$E$4:$E$3040='Analítico Cx.'!$B121),-('Diário 2º PA'!$P$4:$P$3040=C$1),('Diário 2º PA'!$F$4:$F$3040))+SUMPRODUCT(-('Diário 3º PA'!$E$4:$E$2731='Analítico Cx.'!$B121),-('Diário 3º PA'!$P$4:$P$2731=C$1),('Diário 3º PA'!$F$4:$F$2731))+SUMPRODUCT(-('Diário 4º PA'!$E$4:$E$2564='Analítico Cx.'!$B121),-('Diário 4º PA'!$P$4:$P$2564=C$1),('Diário 4º PA'!$F$4:$F$2564))</f>
        <v>0</v>
      </c>
      <c r="D121" s="183">
        <f>SUMPRODUCT(-('Diário 1º PA'!$E$4:$E$2635='Analítico Cx.'!$B121),-('Diário 1º PA'!$P$4:$P$2635=D$1),('Diário 1º PA'!$F$4:$F$2635))+SUMPRODUCT(-('Diário 2º PA'!$E$4:$E$3040='Analítico Cx.'!$B121),-('Diário 2º PA'!$P$4:$P$3040=D$1),('Diário 2º PA'!$F$4:$F$3040))+SUMPRODUCT(-('Diário 3º PA'!$E$4:$E$2731='Analítico Cx.'!$B121),-('Diário 3º PA'!$P$4:$P$2731=D$1),('Diário 3º PA'!$F$4:$F$2731))+SUMPRODUCT(-('Diário 4º PA'!$E$4:$E$2564='Analítico Cx.'!$B121),-('Diário 4º PA'!$P$4:$P$2564=D$1),('Diário 4º PA'!$F$4:$F$2564))</f>
        <v>0</v>
      </c>
      <c r="E121" s="183">
        <f>SUMPRODUCT(-('Diário 1º PA'!$E$4:$E$2635='Analítico Cx.'!$B121),-('Diário 1º PA'!$P$4:$P$2635=E$1),('Diário 1º PA'!$F$4:$F$2635))+SUMPRODUCT(-('Diário 2º PA'!$E$4:$E$3040='Analítico Cx.'!$B121),-('Diário 2º PA'!$P$4:$P$3040=E$1),('Diário 2º PA'!$F$4:$F$3040))+SUMPRODUCT(-('Diário 3º PA'!$E$4:$E$2731='Analítico Cx.'!$B121),-('Diário 3º PA'!$P$4:$P$2731=E$1),('Diário 3º PA'!$F$4:$F$2731))+SUMPRODUCT(-('Diário 4º PA'!$E$4:$E$2564='Analítico Cx.'!$B121),-('Diário 4º PA'!$P$4:$P$2564=E$1),('Diário 4º PA'!$F$4:$F$2564))</f>
        <v>0</v>
      </c>
      <c r="F121" s="183">
        <f>SUMPRODUCT(-('Diário 1º PA'!$E$4:$E$2635='Analítico Cx.'!$B121),-('Diário 1º PA'!$P$4:$P$2635=F$1),('Diário 1º PA'!$F$4:$F$2635))+SUMPRODUCT(-('Diário 2º PA'!$E$4:$E$3040='Analítico Cx.'!$B121),-('Diário 2º PA'!$P$4:$P$3040=F$1),('Diário 2º PA'!$F$4:$F$3040))+SUMPRODUCT(-('Diário 3º PA'!$E$4:$E$2731='Analítico Cx.'!$B121),-('Diário 3º PA'!$P$4:$P$2731=F$1),('Diário 3º PA'!$F$4:$F$2731))+SUMPRODUCT(-('Diário 4º PA'!$E$4:$E$2564='Analítico Cx.'!$B121),-('Diário 4º PA'!$P$4:$P$2564=F$1),('Diário 4º PA'!$F$4:$F$2564))</f>
        <v>0</v>
      </c>
      <c r="G121" s="183">
        <f>SUMPRODUCT(-('Diário 1º PA'!$E$4:$E$2635='Analítico Cx.'!$B121),-('Diário 1º PA'!$P$4:$P$2635=G$1),('Diário 1º PA'!$F$4:$F$2635))+SUMPRODUCT(-('Diário 2º PA'!$E$4:$E$3040='Analítico Cx.'!$B121),-('Diário 2º PA'!$P$4:$P$3040=G$1),('Diário 2º PA'!$F$4:$F$3040))+SUMPRODUCT(-('Diário 3º PA'!$E$4:$E$2731='Analítico Cx.'!$B121),-('Diário 3º PA'!$P$4:$P$2731=G$1),('Diário 3º PA'!$F$4:$F$2731))+SUMPRODUCT(-('Diário 4º PA'!$E$4:$E$2564='Analítico Cx.'!$B121),-('Diário 4º PA'!$P$4:$P$2564=G$1),('Diário 4º PA'!$F$4:$F$2564))</f>
        <v>0</v>
      </c>
      <c r="H121" s="183">
        <f>SUMPRODUCT(-('Diário 1º PA'!$E$4:$E$2635='Analítico Cx.'!$B121),-('Diário 1º PA'!$P$4:$P$2635=H$1),('Diário 1º PA'!$F$4:$F$2635))+SUMPRODUCT(-('Diário 2º PA'!$E$4:$E$3040='Analítico Cx.'!$B121),-('Diário 2º PA'!$P$4:$P$3040=H$1),('Diário 2º PA'!$F$4:$F$3040))+SUMPRODUCT(-('Diário 3º PA'!$E$4:$E$2731='Analítico Cx.'!$B121),-('Diário 3º PA'!$P$4:$P$2731=H$1),('Diário 3º PA'!$F$4:$F$2731))+SUMPRODUCT(-('Diário 4º PA'!$E$4:$E$2564='Analítico Cx.'!$B121),-('Diário 4º PA'!$P$4:$P$2564=H$1),('Diário 4º PA'!$F$4:$F$2564))</f>
        <v>0</v>
      </c>
      <c r="I121" s="183">
        <f>SUMPRODUCT(-('Diário 1º PA'!$E$4:$E$2635='Analítico Cx.'!$B121),-('Diário 1º PA'!$P$4:$P$2635=I$1),('Diário 1º PA'!$F$4:$F$2635))+SUMPRODUCT(-('Diário 2º PA'!$E$4:$E$3040='Analítico Cx.'!$B121),-('Diário 2º PA'!$P$4:$P$3040=I$1),('Diário 2º PA'!$F$4:$F$3040))+SUMPRODUCT(-('Diário 3º PA'!$E$4:$E$2731='Analítico Cx.'!$B121),-('Diário 3º PA'!$P$4:$P$2731=I$1),('Diário 3º PA'!$F$4:$F$2731))+SUMPRODUCT(-('Diário 4º PA'!$E$4:$E$2564='Analítico Cx.'!$B121),-('Diário 4º PA'!$P$4:$P$2564=I$1),('Diário 4º PA'!$F$4:$F$2564))</f>
        <v>0</v>
      </c>
      <c r="J121" s="183">
        <f>SUMPRODUCT(-('Diário 1º PA'!$E$4:$E$2635='Analítico Cx.'!$B121),-('Diário 1º PA'!$P$4:$P$2635=J$1),('Diário 1º PA'!$F$4:$F$2635))+SUMPRODUCT(-('Diário 2º PA'!$E$4:$E$3040='Analítico Cx.'!$B121),-('Diário 2º PA'!$P$4:$P$3040=J$1),('Diário 2º PA'!$F$4:$F$3040))+SUMPRODUCT(-('Diário 3º PA'!$E$4:$E$2731='Analítico Cx.'!$B121),-('Diário 3º PA'!$P$4:$P$2731=J$1),('Diário 3º PA'!$F$4:$F$2731))+SUMPRODUCT(-('Diário 4º PA'!$E$4:$E$2564='Analítico Cx.'!$B121),-('Diário 4º PA'!$P$4:$P$2564=J$1),('Diário 4º PA'!$F$4:$F$2564))</f>
        <v>0</v>
      </c>
      <c r="K121" s="183">
        <f>SUMPRODUCT(-('Diário 1º PA'!$E$4:$E$2635='Analítico Cx.'!$B121),-('Diário 1º PA'!$P$4:$P$2635=K$1),('Diário 1º PA'!$F$4:$F$2635))+SUMPRODUCT(-('Diário 2º PA'!$E$4:$E$3040='Analítico Cx.'!$B121),-('Diário 2º PA'!$P$4:$P$3040=K$1),('Diário 2º PA'!$F$4:$F$3040))+SUMPRODUCT(-('Diário 3º PA'!$E$4:$E$2731='Analítico Cx.'!$B121),-('Diário 3º PA'!$P$4:$P$2731=K$1),('Diário 3º PA'!$F$4:$F$2731))+SUMPRODUCT(-('Diário 4º PA'!$E$4:$E$2564='Analítico Cx.'!$B121),-('Diário 4º PA'!$P$4:$P$2564=K$1),('Diário 4º PA'!$F$4:$F$2564))</f>
        <v>0</v>
      </c>
      <c r="L121" s="183">
        <f>SUMPRODUCT(-('Diário 1º PA'!$E$4:$E$2635='Analítico Cx.'!$B121),-('Diário 1º PA'!$P$4:$P$2635=L$1),('Diário 1º PA'!$F$4:$F$2635))+SUMPRODUCT(-('Diário 2º PA'!$E$4:$E$3040='Analítico Cx.'!$B121),-('Diário 2º PA'!$P$4:$P$3040=L$1),('Diário 2º PA'!$F$4:$F$3040))+SUMPRODUCT(-('Diário 3º PA'!$E$4:$E$2731='Analítico Cx.'!$B121),-('Diário 3º PA'!$P$4:$P$2731=L$1),('Diário 3º PA'!$F$4:$F$2731))+SUMPRODUCT(-('Diário 4º PA'!$E$4:$E$2564='Analítico Cx.'!$B121),-('Diário 4º PA'!$P$4:$P$2564=L$1),('Diário 4º PA'!$F$4:$F$2564))</f>
        <v>0</v>
      </c>
      <c r="M121" s="183">
        <f>SUMPRODUCT(-('Diário 1º PA'!$E$4:$E$2635='Analítico Cx.'!$B121),-('Diário 1º PA'!$P$4:$P$2635=M$1),('Diário 1º PA'!$F$4:$F$2635))+SUMPRODUCT(-('Diário 2º PA'!$E$4:$E$3040='Analítico Cx.'!$B121),-('Diário 2º PA'!$P$4:$P$3040=M$1),('Diário 2º PA'!$F$4:$F$3040))+SUMPRODUCT(-('Diário 3º PA'!$E$4:$E$2731='Analítico Cx.'!$B121),-('Diário 3º PA'!$P$4:$P$2731=M$1),('Diário 3º PA'!$F$4:$F$2731))+SUMPRODUCT(-('Diário 4º PA'!$E$4:$E$2564='Analítico Cx.'!$B121),-('Diário 4º PA'!$P$4:$P$2564=M$1),('Diário 4º PA'!$F$4:$F$2564))</f>
        <v>0</v>
      </c>
      <c r="N121" s="183">
        <f>SUMPRODUCT(-('Diário 1º PA'!$E$4:$E$2635='Analítico Cx.'!$B121),-('Diário 1º PA'!$P$4:$P$2635=N$1),('Diário 1º PA'!$F$4:$F$2635))+SUMPRODUCT(-('Diário 2º PA'!$E$4:$E$3040='Analítico Cx.'!$B121),-('Diário 2º PA'!$P$4:$P$3040=N$1),('Diário 2º PA'!$F$4:$F$3040))+SUMPRODUCT(-('Diário 3º PA'!$E$4:$E$2731='Analítico Cx.'!$B121),-('Diário 3º PA'!$P$4:$P$2731=N$1),('Diário 3º PA'!$F$4:$F$2731))+SUMPRODUCT(-('Diário 4º PA'!$E$4:$E$2564='Analítico Cx.'!$B121),-('Diário 4º PA'!$P$4:$P$2564=N$1),('Diário 4º PA'!$F$4:$F$2564))</f>
        <v>0</v>
      </c>
      <c r="O121" s="184">
        <f t="shared" si="18"/>
        <v>0</v>
      </c>
      <c r="P121" s="167">
        <f t="shared" si="17"/>
        <v>0</v>
      </c>
    </row>
    <row r="122" spans="1:16" ht="23.25" customHeight="1" x14ac:dyDescent="0.2">
      <c r="A122" s="61" t="s">
        <v>413</v>
      </c>
      <c r="B122" s="387" t="s">
        <v>441</v>
      </c>
      <c r="C122" s="183">
        <f>SUMPRODUCT(-('Diário 1º PA'!$E$4:$E$2635='Analítico Cx.'!$B122),-('Diário 1º PA'!$P$4:$P$2635=C$1),('Diário 1º PA'!$F$4:$F$2635))+SUMPRODUCT(-('Diário 2º PA'!$E$4:$E$3040='Analítico Cx.'!$B122),-('Diário 2º PA'!$P$4:$P$3040=C$1),('Diário 2º PA'!$F$4:$F$3040))+SUMPRODUCT(-('Diário 3º PA'!$E$4:$E$2731='Analítico Cx.'!$B122),-('Diário 3º PA'!$P$4:$P$2731=C$1),('Diário 3º PA'!$F$4:$F$2731))+SUMPRODUCT(-('Diário 4º PA'!$E$4:$E$2564='Analítico Cx.'!$B122),-('Diário 4º PA'!$P$4:$P$2564=C$1),('Diário 4º PA'!$F$4:$F$2564))</f>
        <v>0</v>
      </c>
      <c r="D122" s="183">
        <f>SUMPRODUCT(-('Diário 1º PA'!$E$4:$E$2635='Analítico Cx.'!$B122),-('Diário 1º PA'!$P$4:$P$2635=D$1),('Diário 1º PA'!$F$4:$F$2635))+SUMPRODUCT(-('Diário 2º PA'!$E$4:$E$3040='Analítico Cx.'!$B122),-('Diário 2º PA'!$P$4:$P$3040=D$1),('Diário 2º PA'!$F$4:$F$3040))+SUMPRODUCT(-('Diário 3º PA'!$E$4:$E$2731='Analítico Cx.'!$B122),-('Diário 3º PA'!$P$4:$P$2731=D$1),('Diário 3º PA'!$F$4:$F$2731))+SUMPRODUCT(-('Diário 4º PA'!$E$4:$E$2564='Analítico Cx.'!$B122),-('Diário 4º PA'!$P$4:$P$2564=D$1),('Diário 4º PA'!$F$4:$F$2564))</f>
        <v>0</v>
      </c>
      <c r="E122" s="183">
        <f>SUMPRODUCT(-('Diário 1º PA'!$E$4:$E$2635='Analítico Cx.'!$B122),-('Diário 1º PA'!$P$4:$P$2635=E$1),('Diário 1º PA'!$F$4:$F$2635))+SUMPRODUCT(-('Diário 2º PA'!$E$4:$E$3040='Analítico Cx.'!$B122),-('Diário 2º PA'!$P$4:$P$3040=E$1),('Diário 2º PA'!$F$4:$F$3040))+SUMPRODUCT(-('Diário 3º PA'!$E$4:$E$2731='Analítico Cx.'!$B122),-('Diário 3º PA'!$P$4:$P$2731=E$1),('Diário 3º PA'!$F$4:$F$2731))+SUMPRODUCT(-('Diário 4º PA'!$E$4:$E$2564='Analítico Cx.'!$B122),-('Diário 4º PA'!$P$4:$P$2564=E$1),('Diário 4º PA'!$F$4:$F$2564))</f>
        <v>0</v>
      </c>
      <c r="F122" s="183">
        <f>SUMPRODUCT(-('Diário 1º PA'!$E$4:$E$2635='Analítico Cx.'!$B122),-('Diário 1º PA'!$P$4:$P$2635=F$1),('Diário 1º PA'!$F$4:$F$2635))+SUMPRODUCT(-('Diário 2º PA'!$E$4:$E$3040='Analítico Cx.'!$B122),-('Diário 2º PA'!$P$4:$P$3040=F$1),('Diário 2º PA'!$F$4:$F$3040))+SUMPRODUCT(-('Diário 3º PA'!$E$4:$E$2731='Analítico Cx.'!$B122),-('Diário 3º PA'!$P$4:$P$2731=F$1),('Diário 3º PA'!$F$4:$F$2731))+SUMPRODUCT(-('Diário 4º PA'!$E$4:$E$2564='Analítico Cx.'!$B122),-('Diário 4º PA'!$P$4:$P$2564=F$1),('Diário 4º PA'!$F$4:$F$2564))</f>
        <v>0</v>
      </c>
      <c r="G122" s="183">
        <f>SUMPRODUCT(-('Diário 1º PA'!$E$4:$E$2635='Analítico Cx.'!$B122),-('Diário 1º PA'!$P$4:$P$2635=G$1),('Diário 1º PA'!$F$4:$F$2635))+SUMPRODUCT(-('Diário 2º PA'!$E$4:$E$3040='Analítico Cx.'!$B122),-('Diário 2º PA'!$P$4:$P$3040=G$1),('Diário 2º PA'!$F$4:$F$3040))+SUMPRODUCT(-('Diário 3º PA'!$E$4:$E$2731='Analítico Cx.'!$B122),-('Diário 3º PA'!$P$4:$P$2731=G$1),('Diário 3º PA'!$F$4:$F$2731))+SUMPRODUCT(-('Diário 4º PA'!$E$4:$E$2564='Analítico Cx.'!$B122),-('Diário 4º PA'!$P$4:$P$2564=G$1),('Diário 4º PA'!$F$4:$F$2564))</f>
        <v>0</v>
      </c>
      <c r="H122" s="183">
        <f>SUMPRODUCT(-('Diário 1º PA'!$E$4:$E$2635='Analítico Cx.'!$B122),-('Diário 1º PA'!$P$4:$P$2635=H$1),('Diário 1º PA'!$F$4:$F$2635))+SUMPRODUCT(-('Diário 2º PA'!$E$4:$E$3040='Analítico Cx.'!$B122),-('Diário 2º PA'!$P$4:$P$3040=H$1),('Diário 2º PA'!$F$4:$F$3040))+SUMPRODUCT(-('Diário 3º PA'!$E$4:$E$2731='Analítico Cx.'!$B122),-('Diário 3º PA'!$P$4:$P$2731=H$1),('Diário 3º PA'!$F$4:$F$2731))+SUMPRODUCT(-('Diário 4º PA'!$E$4:$E$2564='Analítico Cx.'!$B122),-('Diário 4º PA'!$P$4:$P$2564=H$1),('Diário 4º PA'!$F$4:$F$2564))</f>
        <v>0</v>
      </c>
      <c r="I122" s="183">
        <f>SUMPRODUCT(-('Diário 1º PA'!$E$4:$E$2635='Analítico Cx.'!$B122),-('Diário 1º PA'!$P$4:$P$2635=I$1),('Diário 1º PA'!$F$4:$F$2635))+SUMPRODUCT(-('Diário 2º PA'!$E$4:$E$3040='Analítico Cx.'!$B122),-('Diário 2º PA'!$P$4:$P$3040=I$1),('Diário 2º PA'!$F$4:$F$3040))+SUMPRODUCT(-('Diário 3º PA'!$E$4:$E$2731='Analítico Cx.'!$B122),-('Diário 3º PA'!$P$4:$P$2731=I$1),('Diário 3º PA'!$F$4:$F$2731))+SUMPRODUCT(-('Diário 4º PA'!$E$4:$E$2564='Analítico Cx.'!$B122),-('Diário 4º PA'!$P$4:$P$2564=I$1),('Diário 4º PA'!$F$4:$F$2564))</f>
        <v>0</v>
      </c>
      <c r="J122" s="183">
        <f>SUMPRODUCT(-('Diário 1º PA'!$E$4:$E$2635='Analítico Cx.'!$B122),-('Diário 1º PA'!$P$4:$P$2635=J$1),('Diário 1º PA'!$F$4:$F$2635))+SUMPRODUCT(-('Diário 2º PA'!$E$4:$E$3040='Analítico Cx.'!$B122),-('Diário 2º PA'!$P$4:$P$3040=J$1),('Diário 2º PA'!$F$4:$F$3040))+SUMPRODUCT(-('Diário 3º PA'!$E$4:$E$2731='Analítico Cx.'!$B122),-('Diário 3º PA'!$P$4:$P$2731=J$1),('Diário 3º PA'!$F$4:$F$2731))+SUMPRODUCT(-('Diário 4º PA'!$E$4:$E$2564='Analítico Cx.'!$B122),-('Diário 4º PA'!$P$4:$P$2564=J$1),('Diário 4º PA'!$F$4:$F$2564))</f>
        <v>0</v>
      </c>
      <c r="K122" s="183">
        <f>SUMPRODUCT(-('Diário 1º PA'!$E$4:$E$2635='Analítico Cx.'!$B122),-('Diário 1º PA'!$P$4:$P$2635=K$1),('Diário 1º PA'!$F$4:$F$2635))+SUMPRODUCT(-('Diário 2º PA'!$E$4:$E$3040='Analítico Cx.'!$B122),-('Diário 2º PA'!$P$4:$P$3040=K$1),('Diário 2º PA'!$F$4:$F$3040))+SUMPRODUCT(-('Diário 3º PA'!$E$4:$E$2731='Analítico Cx.'!$B122),-('Diário 3º PA'!$P$4:$P$2731=K$1),('Diário 3º PA'!$F$4:$F$2731))+SUMPRODUCT(-('Diário 4º PA'!$E$4:$E$2564='Analítico Cx.'!$B122),-('Diário 4º PA'!$P$4:$P$2564=K$1),('Diário 4º PA'!$F$4:$F$2564))</f>
        <v>0</v>
      </c>
      <c r="L122" s="183">
        <f>SUMPRODUCT(-('Diário 1º PA'!$E$4:$E$2635='Analítico Cx.'!$B122),-('Diário 1º PA'!$P$4:$P$2635=L$1),('Diário 1º PA'!$F$4:$F$2635))+SUMPRODUCT(-('Diário 2º PA'!$E$4:$E$3040='Analítico Cx.'!$B122),-('Diário 2º PA'!$P$4:$P$3040=L$1),('Diário 2º PA'!$F$4:$F$3040))+SUMPRODUCT(-('Diário 3º PA'!$E$4:$E$2731='Analítico Cx.'!$B122),-('Diário 3º PA'!$P$4:$P$2731=L$1),('Diário 3º PA'!$F$4:$F$2731))+SUMPRODUCT(-('Diário 4º PA'!$E$4:$E$2564='Analítico Cx.'!$B122),-('Diário 4º PA'!$P$4:$P$2564=L$1),('Diário 4º PA'!$F$4:$F$2564))</f>
        <v>0</v>
      </c>
      <c r="M122" s="183">
        <f>SUMPRODUCT(-('Diário 1º PA'!$E$4:$E$2635='Analítico Cx.'!$B122),-('Diário 1º PA'!$P$4:$P$2635=M$1),('Diário 1º PA'!$F$4:$F$2635))+SUMPRODUCT(-('Diário 2º PA'!$E$4:$E$3040='Analítico Cx.'!$B122),-('Diário 2º PA'!$P$4:$P$3040=M$1),('Diário 2º PA'!$F$4:$F$3040))+SUMPRODUCT(-('Diário 3º PA'!$E$4:$E$2731='Analítico Cx.'!$B122),-('Diário 3º PA'!$P$4:$P$2731=M$1),('Diário 3º PA'!$F$4:$F$2731))+SUMPRODUCT(-('Diário 4º PA'!$E$4:$E$2564='Analítico Cx.'!$B122),-('Diário 4º PA'!$P$4:$P$2564=M$1),('Diário 4º PA'!$F$4:$F$2564))</f>
        <v>0</v>
      </c>
      <c r="N122" s="183">
        <f>SUMPRODUCT(-('Diário 1º PA'!$E$4:$E$2635='Analítico Cx.'!$B122),-('Diário 1º PA'!$P$4:$P$2635=N$1),('Diário 1º PA'!$F$4:$F$2635))+SUMPRODUCT(-('Diário 2º PA'!$E$4:$E$3040='Analítico Cx.'!$B122),-('Diário 2º PA'!$P$4:$P$3040=N$1),('Diário 2º PA'!$F$4:$F$3040))+SUMPRODUCT(-('Diário 3º PA'!$E$4:$E$2731='Analítico Cx.'!$B122),-('Diário 3º PA'!$P$4:$P$2731=N$1),('Diário 3º PA'!$F$4:$F$2731))+SUMPRODUCT(-('Diário 4º PA'!$E$4:$E$2564='Analítico Cx.'!$B122),-('Diário 4º PA'!$P$4:$P$2564=N$1),('Diário 4º PA'!$F$4:$F$2564))</f>
        <v>0</v>
      </c>
      <c r="O122" s="184">
        <f t="shared" si="18"/>
        <v>0</v>
      </c>
      <c r="P122" s="167">
        <f t="shared" si="17"/>
        <v>0</v>
      </c>
    </row>
    <row r="123" spans="1:16" ht="23.25" customHeight="1" x14ac:dyDescent="0.2">
      <c r="A123" s="61" t="s">
        <v>414</v>
      </c>
      <c r="B123" s="387" t="s">
        <v>442</v>
      </c>
      <c r="C123" s="183">
        <f>SUMPRODUCT(-('Diário 1º PA'!$E$4:$E$2635='Analítico Cx.'!$B123),-('Diário 1º PA'!$P$4:$P$2635=C$1),('Diário 1º PA'!$F$4:$F$2635))+SUMPRODUCT(-('Diário 2º PA'!$E$4:$E$3040='Analítico Cx.'!$B123),-('Diário 2º PA'!$P$4:$P$3040=C$1),('Diário 2º PA'!$F$4:$F$3040))+SUMPRODUCT(-('Diário 3º PA'!$E$4:$E$2731='Analítico Cx.'!$B123),-('Diário 3º PA'!$P$4:$P$2731=C$1),('Diário 3º PA'!$F$4:$F$2731))+SUMPRODUCT(-('Diário 4º PA'!$E$4:$E$2564='Analítico Cx.'!$B123),-('Diário 4º PA'!$P$4:$P$2564=C$1),('Diário 4º PA'!$F$4:$F$2564))</f>
        <v>4541.25</v>
      </c>
      <c r="D123" s="183">
        <f>SUMPRODUCT(-('Diário 1º PA'!$E$4:$E$2635='Analítico Cx.'!$B123),-('Diário 1º PA'!$P$4:$P$2635=D$1),('Diário 1º PA'!$F$4:$F$2635))+SUMPRODUCT(-('Diário 2º PA'!$E$4:$E$3040='Analítico Cx.'!$B123),-('Diário 2º PA'!$P$4:$P$3040=D$1),('Diário 2º PA'!$F$4:$F$3040))+SUMPRODUCT(-('Diário 3º PA'!$E$4:$E$2731='Analítico Cx.'!$B123),-('Diário 3º PA'!$P$4:$P$2731=D$1),('Diário 3º PA'!$F$4:$F$2731))+SUMPRODUCT(-('Diário 4º PA'!$E$4:$E$2564='Analítico Cx.'!$B123),-('Diário 4º PA'!$P$4:$P$2564=D$1),('Diário 4º PA'!$F$4:$F$2564))</f>
        <v>1699</v>
      </c>
      <c r="E123" s="183">
        <f>SUMPRODUCT(-('Diário 1º PA'!$E$4:$E$2635='Analítico Cx.'!$B123),-('Diário 1º PA'!$P$4:$P$2635=E$1),('Diário 1º PA'!$F$4:$F$2635))+SUMPRODUCT(-('Diário 2º PA'!$E$4:$E$3040='Analítico Cx.'!$B123),-('Diário 2º PA'!$P$4:$P$3040=E$1),('Diário 2º PA'!$F$4:$F$3040))+SUMPRODUCT(-('Diário 3º PA'!$E$4:$E$2731='Analítico Cx.'!$B123),-('Diário 3º PA'!$P$4:$P$2731=E$1),('Diário 3º PA'!$F$4:$F$2731))+SUMPRODUCT(-('Diário 4º PA'!$E$4:$E$2564='Analítico Cx.'!$B123),-('Diário 4º PA'!$P$4:$P$2564=E$1),('Diário 4º PA'!$F$4:$F$2564))</f>
        <v>14016.92</v>
      </c>
      <c r="F123" s="183">
        <f>SUMPRODUCT(-('Diário 1º PA'!$E$4:$E$2635='Analítico Cx.'!$B123),-('Diário 1º PA'!$P$4:$P$2635=F$1),('Diário 1º PA'!$F$4:$F$2635))+SUMPRODUCT(-('Diário 2º PA'!$E$4:$E$3040='Analítico Cx.'!$B123),-('Diário 2º PA'!$P$4:$P$3040=F$1),('Diário 2º PA'!$F$4:$F$3040))+SUMPRODUCT(-('Diário 3º PA'!$E$4:$E$2731='Analítico Cx.'!$B123),-('Diário 3º PA'!$P$4:$P$2731=F$1),('Diário 3º PA'!$F$4:$F$2731))+SUMPRODUCT(-('Diário 4º PA'!$E$4:$E$2564='Analítico Cx.'!$B123),-('Diário 4º PA'!$P$4:$P$2564=F$1),('Diário 4º PA'!$F$4:$F$2564))</f>
        <v>4103.88</v>
      </c>
      <c r="G123" s="183">
        <f>SUMPRODUCT(-('Diário 1º PA'!$E$4:$E$2635='Analítico Cx.'!$B123),-('Diário 1º PA'!$P$4:$P$2635=G$1),('Diário 1º PA'!$F$4:$F$2635))+SUMPRODUCT(-('Diário 2º PA'!$E$4:$E$3040='Analítico Cx.'!$B123),-('Diário 2º PA'!$P$4:$P$3040=G$1),('Diário 2º PA'!$F$4:$F$3040))+SUMPRODUCT(-('Diário 3º PA'!$E$4:$E$2731='Analítico Cx.'!$B123),-('Diário 3º PA'!$P$4:$P$2731=G$1),('Diário 3º PA'!$F$4:$F$2731))+SUMPRODUCT(-('Diário 4º PA'!$E$4:$E$2564='Analítico Cx.'!$B123),-('Diário 4º PA'!$P$4:$P$2564=G$1),('Diário 4º PA'!$F$4:$F$2564))</f>
        <v>7616</v>
      </c>
      <c r="H123" s="183">
        <f>SUMPRODUCT(-('Diário 1º PA'!$E$4:$E$2635='Analítico Cx.'!$B123),-('Diário 1º PA'!$P$4:$P$2635=H$1),('Diário 1º PA'!$F$4:$F$2635))+SUMPRODUCT(-('Diário 2º PA'!$E$4:$E$3040='Analítico Cx.'!$B123),-('Diário 2º PA'!$P$4:$P$3040=H$1),('Diário 2º PA'!$F$4:$F$3040))+SUMPRODUCT(-('Diário 3º PA'!$E$4:$E$2731='Analítico Cx.'!$B123),-('Diário 3º PA'!$P$4:$P$2731=H$1),('Diário 3º PA'!$F$4:$F$2731))+SUMPRODUCT(-('Diário 4º PA'!$E$4:$E$2564='Analítico Cx.'!$B123),-('Diário 4º PA'!$P$4:$P$2564=H$1),('Diário 4º PA'!$F$4:$F$2564))</f>
        <v>925.15000000000009</v>
      </c>
      <c r="I123" s="183">
        <f>SUMPRODUCT(-('Diário 1º PA'!$E$4:$E$2635='Analítico Cx.'!$B123),-('Diário 1º PA'!$P$4:$P$2635=I$1),('Diário 1º PA'!$F$4:$F$2635))+SUMPRODUCT(-('Diário 2º PA'!$E$4:$E$3040='Analítico Cx.'!$B123),-('Diário 2º PA'!$P$4:$P$3040=I$1),('Diário 2º PA'!$F$4:$F$3040))+SUMPRODUCT(-('Diário 3º PA'!$E$4:$E$2731='Analítico Cx.'!$B123),-('Diário 3º PA'!$P$4:$P$2731=I$1),('Diário 3º PA'!$F$4:$F$2731))+SUMPRODUCT(-('Diário 4º PA'!$E$4:$E$2564='Analítico Cx.'!$B123),-('Diário 4º PA'!$P$4:$P$2564=I$1),('Diário 4º PA'!$F$4:$F$2564))</f>
        <v>10.050000000000001</v>
      </c>
      <c r="J123" s="183">
        <f>SUMPRODUCT(-('Diário 1º PA'!$E$4:$E$2635='Analítico Cx.'!$B123),-('Diário 1º PA'!$P$4:$P$2635=J$1),('Diário 1º PA'!$F$4:$F$2635))+SUMPRODUCT(-('Diário 2º PA'!$E$4:$E$3040='Analítico Cx.'!$B123),-('Diário 2º PA'!$P$4:$P$3040=J$1),('Diário 2º PA'!$F$4:$F$3040))+SUMPRODUCT(-('Diário 3º PA'!$E$4:$E$2731='Analítico Cx.'!$B123),-('Diário 3º PA'!$P$4:$P$2731=J$1),('Diário 3º PA'!$F$4:$F$2731))+SUMPRODUCT(-('Diário 4º PA'!$E$4:$E$2564='Analítico Cx.'!$B123),-('Diário 4º PA'!$P$4:$P$2564=J$1),('Diário 4º PA'!$F$4:$F$2564))</f>
        <v>17361.8</v>
      </c>
      <c r="K123" s="183">
        <f>SUMPRODUCT(-('Diário 1º PA'!$E$4:$E$2635='Analítico Cx.'!$B123),-('Diário 1º PA'!$P$4:$P$2635=K$1),('Diário 1º PA'!$F$4:$F$2635))+SUMPRODUCT(-('Diário 2º PA'!$E$4:$E$3040='Analítico Cx.'!$B123),-('Diário 2º PA'!$P$4:$P$3040=K$1),('Diário 2º PA'!$F$4:$F$3040))+SUMPRODUCT(-('Diário 3º PA'!$E$4:$E$2731='Analítico Cx.'!$B123),-('Diário 3º PA'!$P$4:$P$2731=K$1),('Diário 3º PA'!$F$4:$F$2731))+SUMPRODUCT(-('Diário 4º PA'!$E$4:$E$2564='Analítico Cx.'!$B123),-('Diário 4º PA'!$P$4:$P$2564=K$1),('Diário 4º PA'!$F$4:$F$2564))</f>
        <v>2954.2</v>
      </c>
      <c r="L123" s="183">
        <f>SUMPRODUCT(-('Diário 1º PA'!$E$4:$E$2635='Analítico Cx.'!$B123),-('Diário 1º PA'!$P$4:$P$2635=L$1),('Diário 1º PA'!$F$4:$F$2635))+SUMPRODUCT(-('Diário 2º PA'!$E$4:$E$3040='Analítico Cx.'!$B123),-('Diário 2º PA'!$P$4:$P$3040=L$1),('Diário 2º PA'!$F$4:$F$3040))+SUMPRODUCT(-('Diário 3º PA'!$E$4:$E$2731='Analítico Cx.'!$B123),-('Diário 3º PA'!$P$4:$P$2731=L$1),('Diário 3º PA'!$F$4:$F$2731))+SUMPRODUCT(-('Diário 4º PA'!$E$4:$E$2564='Analítico Cx.'!$B123),-('Diário 4º PA'!$P$4:$P$2564=L$1),('Diário 4º PA'!$F$4:$F$2564))</f>
        <v>0</v>
      </c>
      <c r="M123" s="183">
        <f>SUMPRODUCT(-('Diário 1º PA'!$E$4:$E$2635='Analítico Cx.'!$B123),-('Diário 1º PA'!$P$4:$P$2635=M$1),('Diário 1º PA'!$F$4:$F$2635))+SUMPRODUCT(-('Diário 2º PA'!$E$4:$E$3040='Analítico Cx.'!$B123),-('Diário 2º PA'!$P$4:$P$3040=M$1),('Diário 2º PA'!$F$4:$F$3040))+SUMPRODUCT(-('Diário 3º PA'!$E$4:$E$2731='Analítico Cx.'!$B123),-('Diário 3º PA'!$P$4:$P$2731=M$1),('Diário 3º PA'!$F$4:$F$2731))+SUMPRODUCT(-('Diário 4º PA'!$E$4:$E$2564='Analítico Cx.'!$B123),-('Diário 4º PA'!$P$4:$P$2564=M$1),('Diário 4º PA'!$F$4:$F$2564))</f>
        <v>14329.4</v>
      </c>
      <c r="N123" s="183">
        <f>SUMPRODUCT(-('Diário 1º PA'!$E$4:$E$2635='Analítico Cx.'!$B123),-('Diário 1º PA'!$P$4:$P$2635=N$1),('Diário 1º PA'!$F$4:$F$2635))+SUMPRODUCT(-('Diário 2º PA'!$E$4:$E$3040='Analítico Cx.'!$B123),-('Diário 2º PA'!$P$4:$P$3040=N$1),('Diário 2º PA'!$F$4:$F$3040))+SUMPRODUCT(-('Diário 3º PA'!$E$4:$E$2731='Analítico Cx.'!$B123),-('Diário 3º PA'!$P$4:$P$2731=N$1),('Diário 3º PA'!$F$4:$F$2731))+SUMPRODUCT(-('Diário 4º PA'!$E$4:$E$2564='Analítico Cx.'!$B123),-('Diário 4º PA'!$P$4:$P$2564=N$1),('Diário 4º PA'!$F$4:$F$2564))</f>
        <v>421.6</v>
      </c>
      <c r="O123" s="184">
        <f t="shared" si="18"/>
        <v>67979.25</v>
      </c>
      <c r="P123" s="167">
        <f t="shared" ref="P123:P149" si="19">IF($O$167=0,0,O123/$O$167)</f>
        <v>5.3543886727881948E-3</v>
      </c>
    </row>
    <row r="124" spans="1:16" ht="23.25" customHeight="1" x14ac:dyDescent="0.2">
      <c r="A124" s="61" t="s">
        <v>415</v>
      </c>
      <c r="B124" s="387" t="s">
        <v>443</v>
      </c>
      <c r="C124" s="183">
        <f>SUMPRODUCT(-('Diário 1º PA'!$E$4:$E$2635='Analítico Cx.'!$B124),-('Diário 1º PA'!$P$4:$P$2635=C$1),('Diário 1º PA'!$F$4:$F$2635))+SUMPRODUCT(-('Diário 2º PA'!$E$4:$E$3040='Analítico Cx.'!$B124),-('Diário 2º PA'!$P$4:$P$3040=C$1),('Diário 2º PA'!$F$4:$F$3040))+SUMPRODUCT(-('Diário 3º PA'!$E$4:$E$2731='Analítico Cx.'!$B124),-('Diário 3º PA'!$P$4:$P$2731=C$1),('Diário 3º PA'!$F$4:$F$2731))+SUMPRODUCT(-('Diário 4º PA'!$E$4:$E$2564='Analítico Cx.'!$B124),-('Diário 4º PA'!$P$4:$P$2564=C$1),('Diário 4º PA'!$F$4:$F$2564))</f>
        <v>0</v>
      </c>
      <c r="D124" s="183">
        <f>SUMPRODUCT(-('Diário 1º PA'!$E$4:$E$2635='Analítico Cx.'!$B124),-('Diário 1º PA'!$P$4:$P$2635=D$1),('Diário 1º PA'!$F$4:$F$2635))+SUMPRODUCT(-('Diário 2º PA'!$E$4:$E$3040='Analítico Cx.'!$B124),-('Diário 2º PA'!$P$4:$P$3040=D$1),('Diário 2º PA'!$F$4:$F$3040))+SUMPRODUCT(-('Diário 3º PA'!$E$4:$E$2731='Analítico Cx.'!$B124),-('Diário 3º PA'!$P$4:$P$2731=D$1),('Diário 3º PA'!$F$4:$F$2731))+SUMPRODUCT(-('Diário 4º PA'!$E$4:$E$2564='Analítico Cx.'!$B124),-('Diário 4º PA'!$P$4:$P$2564=D$1),('Diário 4º PA'!$F$4:$F$2564))</f>
        <v>0</v>
      </c>
      <c r="E124" s="183">
        <f>SUMPRODUCT(-('Diário 1º PA'!$E$4:$E$2635='Analítico Cx.'!$B124),-('Diário 1º PA'!$P$4:$P$2635=E$1),('Diário 1º PA'!$F$4:$F$2635))+SUMPRODUCT(-('Diário 2º PA'!$E$4:$E$3040='Analítico Cx.'!$B124),-('Diário 2º PA'!$P$4:$P$3040=E$1),('Diário 2º PA'!$F$4:$F$3040))+SUMPRODUCT(-('Diário 3º PA'!$E$4:$E$2731='Analítico Cx.'!$B124),-('Diário 3º PA'!$P$4:$P$2731=E$1),('Diário 3º PA'!$F$4:$F$2731))+SUMPRODUCT(-('Diário 4º PA'!$E$4:$E$2564='Analítico Cx.'!$B124),-('Diário 4º PA'!$P$4:$P$2564=E$1),('Diário 4º PA'!$F$4:$F$2564))</f>
        <v>0</v>
      </c>
      <c r="F124" s="183">
        <f>SUMPRODUCT(-('Diário 1º PA'!$E$4:$E$2635='Analítico Cx.'!$B124),-('Diário 1º PA'!$P$4:$P$2635=F$1),('Diário 1º PA'!$F$4:$F$2635))+SUMPRODUCT(-('Diário 2º PA'!$E$4:$E$3040='Analítico Cx.'!$B124),-('Diário 2º PA'!$P$4:$P$3040=F$1),('Diário 2º PA'!$F$4:$F$3040))+SUMPRODUCT(-('Diário 3º PA'!$E$4:$E$2731='Analítico Cx.'!$B124),-('Diário 3º PA'!$P$4:$P$2731=F$1),('Diário 3º PA'!$F$4:$F$2731))+SUMPRODUCT(-('Diário 4º PA'!$E$4:$E$2564='Analítico Cx.'!$B124),-('Diário 4º PA'!$P$4:$P$2564=F$1),('Diário 4º PA'!$F$4:$F$2564))</f>
        <v>0</v>
      </c>
      <c r="G124" s="183">
        <f>SUMPRODUCT(-('Diário 1º PA'!$E$4:$E$2635='Analítico Cx.'!$B124),-('Diário 1º PA'!$P$4:$P$2635=G$1),('Diário 1º PA'!$F$4:$F$2635))+SUMPRODUCT(-('Diário 2º PA'!$E$4:$E$3040='Analítico Cx.'!$B124),-('Diário 2º PA'!$P$4:$P$3040=G$1),('Diário 2º PA'!$F$4:$F$3040))+SUMPRODUCT(-('Diário 3º PA'!$E$4:$E$2731='Analítico Cx.'!$B124),-('Diário 3º PA'!$P$4:$P$2731=G$1),('Diário 3º PA'!$F$4:$F$2731))+SUMPRODUCT(-('Diário 4º PA'!$E$4:$E$2564='Analítico Cx.'!$B124),-('Diário 4º PA'!$P$4:$P$2564=G$1),('Diário 4º PA'!$F$4:$F$2564))</f>
        <v>0</v>
      </c>
      <c r="H124" s="183">
        <f>SUMPRODUCT(-('Diário 1º PA'!$E$4:$E$2635='Analítico Cx.'!$B124),-('Diário 1º PA'!$P$4:$P$2635=H$1),('Diário 1º PA'!$F$4:$F$2635))+SUMPRODUCT(-('Diário 2º PA'!$E$4:$E$3040='Analítico Cx.'!$B124),-('Diário 2º PA'!$P$4:$P$3040=H$1),('Diário 2º PA'!$F$4:$F$3040))+SUMPRODUCT(-('Diário 3º PA'!$E$4:$E$2731='Analítico Cx.'!$B124),-('Diário 3º PA'!$P$4:$P$2731=H$1),('Diário 3º PA'!$F$4:$F$2731))+SUMPRODUCT(-('Diário 4º PA'!$E$4:$E$2564='Analítico Cx.'!$B124),-('Diário 4º PA'!$P$4:$P$2564=H$1),('Diário 4º PA'!$F$4:$F$2564))</f>
        <v>0</v>
      </c>
      <c r="I124" s="183">
        <f>SUMPRODUCT(-('Diário 1º PA'!$E$4:$E$2635='Analítico Cx.'!$B124),-('Diário 1º PA'!$P$4:$P$2635=I$1),('Diário 1º PA'!$F$4:$F$2635))+SUMPRODUCT(-('Diário 2º PA'!$E$4:$E$3040='Analítico Cx.'!$B124),-('Diário 2º PA'!$P$4:$P$3040=I$1),('Diário 2º PA'!$F$4:$F$3040))+SUMPRODUCT(-('Diário 3º PA'!$E$4:$E$2731='Analítico Cx.'!$B124),-('Diário 3º PA'!$P$4:$P$2731=I$1),('Diário 3º PA'!$F$4:$F$2731))+SUMPRODUCT(-('Diário 4º PA'!$E$4:$E$2564='Analítico Cx.'!$B124),-('Diário 4º PA'!$P$4:$P$2564=I$1),('Diário 4º PA'!$F$4:$F$2564))</f>
        <v>0</v>
      </c>
      <c r="J124" s="183">
        <f>SUMPRODUCT(-('Diário 1º PA'!$E$4:$E$2635='Analítico Cx.'!$B124),-('Diário 1º PA'!$P$4:$P$2635=J$1),('Diário 1º PA'!$F$4:$F$2635))+SUMPRODUCT(-('Diário 2º PA'!$E$4:$E$3040='Analítico Cx.'!$B124),-('Diário 2º PA'!$P$4:$P$3040=J$1),('Diário 2º PA'!$F$4:$F$3040))+SUMPRODUCT(-('Diário 3º PA'!$E$4:$E$2731='Analítico Cx.'!$B124),-('Diário 3º PA'!$P$4:$P$2731=J$1),('Diário 3º PA'!$F$4:$F$2731))+SUMPRODUCT(-('Diário 4º PA'!$E$4:$E$2564='Analítico Cx.'!$B124),-('Diário 4º PA'!$P$4:$P$2564=J$1),('Diário 4º PA'!$F$4:$F$2564))</f>
        <v>0</v>
      </c>
      <c r="K124" s="183">
        <f>SUMPRODUCT(-('Diário 1º PA'!$E$4:$E$2635='Analítico Cx.'!$B124),-('Diário 1º PA'!$P$4:$P$2635=K$1),('Diário 1º PA'!$F$4:$F$2635))+SUMPRODUCT(-('Diário 2º PA'!$E$4:$E$3040='Analítico Cx.'!$B124),-('Diário 2º PA'!$P$4:$P$3040=K$1),('Diário 2º PA'!$F$4:$F$3040))+SUMPRODUCT(-('Diário 3º PA'!$E$4:$E$2731='Analítico Cx.'!$B124),-('Diário 3º PA'!$P$4:$P$2731=K$1),('Diário 3º PA'!$F$4:$F$2731))+SUMPRODUCT(-('Diário 4º PA'!$E$4:$E$2564='Analítico Cx.'!$B124),-('Diário 4º PA'!$P$4:$P$2564=K$1),('Diário 4º PA'!$F$4:$F$2564))</f>
        <v>0</v>
      </c>
      <c r="L124" s="183">
        <f>SUMPRODUCT(-('Diário 1º PA'!$E$4:$E$2635='Analítico Cx.'!$B124),-('Diário 1º PA'!$P$4:$P$2635=L$1),('Diário 1º PA'!$F$4:$F$2635))+SUMPRODUCT(-('Diário 2º PA'!$E$4:$E$3040='Analítico Cx.'!$B124),-('Diário 2º PA'!$P$4:$P$3040=L$1),('Diário 2º PA'!$F$4:$F$3040))+SUMPRODUCT(-('Diário 3º PA'!$E$4:$E$2731='Analítico Cx.'!$B124),-('Diário 3º PA'!$P$4:$P$2731=L$1),('Diário 3º PA'!$F$4:$F$2731))+SUMPRODUCT(-('Diário 4º PA'!$E$4:$E$2564='Analítico Cx.'!$B124),-('Diário 4º PA'!$P$4:$P$2564=L$1),('Diário 4º PA'!$F$4:$F$2564))</f>
        <v>0</v>
      </c>
      <c r="M124" s="183">
        <f>SUMPRODUCT(-('Diário 1º PA'!$E$4:$E$2635='Analítico Cx.'!$B124),-('Diário 1º PA'!$P$4:$P$2635=M$1),('Diário 1º PA'!$F$4:$F$2635))+SUMPRODUCT(-('Diário 2º PA'!$E$4:$E$3040='Analítico Cx.'!$B124),-('Diário 2º PA'!$P$4:$P$3040=M$1),('Diário 2º PA'!$F$4:$F$3040))+SUMPRODUCT(-('Diário 3º PA'!$E$4:$E$2731='Analítico Cx.'!$B124),-('Diário 3º PA'!$P$4:$P$2731=M$1),('Diário 3º PA'!$F$4:$F$2731))+SUMPRODUCT(-('Diário 4º PA'!$E$4:$E$2564='Analítico Cx.'!$B124),-('Diário 4º PA'!$P$4:$P$2564=M$1),('Diário 4º PA'!$F$4:$F$2564))</f>
        <v>0</v>
      </c>
      <c r="N124" s="183">
        <f>SUMPRODUCT(-('Diário 1º PA'!$E$4:$E$2635='Analítico Cx.'!$B124),-('Diário 1º PA'!$P$4:$P$2635=N$1),('Diário 1º PA'!$F$4:$F$2635))+SUMPRODUCT(-('Diário 2º PA'!$E$4:$E$3040='Analítico Cx.'!$B124),-('Diário 2º PA'!$P$4:$P$3040=N$1),('Diário 2º PA'!$F$4:$F$3040))+SUMPRODUCT(-('Diário 3º PA'!$E$4:$E$2731='Analítico Cx.'!$B124),-('Diário 3º PA'!$P$4:$P$2731=N$1),('Diário 3º PA'!$F$4:$F$2731))+SUMPRODUCT(-('Diário 4º PA'!$E$4:$E$2564='Analítico Cx.'!$B124),-('Diário 4º PA'!$P$4:$P$2564=N$1),('Diário 4º PA'!$F$4:$F$2564))</f>
        <v>0</v>
      </c>
      <c r="O124" s="184">
        <f t="shared" si="18"/>
        <v>0</v>
      </c>
      <c r="P124" s="167">
        <f t="shared" si="19"/>
        <v>0</v>
      </c>
    </row>
    <row r="125" spans="1:16" ht="23.25" customHeight="1" x14ac:dyDescent="0.2">
      <c r="A125" s="61" t="s">
        <v>416</v>
      </c>
      <c r="B125" s="387" t="s">
        <v>444</v>
      </c>
      <c r="C125" s="183">
        <f>SUMPRODUCT(-('Diário 1º PA'!$E$4:$E$2635='Analítico Cx.'!$B125),-('Diário 1º PA'!$P$4:$P$2635=C$1),('Diário 1º PA'!$F$4:$F$2635))+SUMPRODUCT(-('Diário 2º PA'!$E$4:$E$3040='Analítico Cx.'!$B125),-('Diário 2º PA'!$P$4:$P$3040=C$1),('Diário 2º PA'!$F$4:$F$3040))+SUMPRODUCT(-('Diário 3º PA'!$E$4:$E$2731='Analítico Cx.'!$B125),-('Diário 3º PA'!$P$4:$P$2731=C$1),('Diário 3º PA'!$F$4:$F$2731))+SUMPRODUCT(-('Diário 4º PA'!$E$4:$E$2564='Analítico Cx.'!$B125),-('Diário 4º PA'!$P$4:$P$2564=C$1),('Diário 4º PA'!$F$4:$F$2564))</f>
        <v>0</v>
      </c>
      <c r="D125" s="183">
        <f>SUMPRODUCT(-('Diário 1º PA'!$E$4:$E$2635='Analítico Cx.'!$B125),-('Diário 1º PA'!$P$4:$P$2635=D$1),('Diário 1º PA'!$F$4:$F$2635))+SUMPRODUCT(-('Diário 2º PA'!$E$4:$E$3040='Analítico Cx.'!$B125),-('Diário 2º PA'!$P$4:$P$3040=D$1),('Diário 2º PA'!$F$4:$F$3040))+SUMPRODUCT(-('Diário 3º PA'!$E$4:$E$2731='Analítico Cx.'!$B125),-('Diário 3º PA'!$P$4:$P$2731=D$1),('Diário 3º PA'!$F$4:$F$2731))+SUMPRODUCT(-('Diário 4º PA'!$E$4:$E$2564='Analítico Cx.'!$B125),-('Diário 4º PA'!$P$4:$P$2564=D$1),('Diário 4º PA'!$F$4:$F$2564))</f>
        <v>0</v>
      </c>
      <c r="E125" s="183">
        <f>SUMPRODUCT(-('Diário 1º PA'!$E$4:$E$2635='Analítico Cx.'!$B125),-('Diário 1º PA'!$P$4:$P$2635=E$1),('Diário 1º PA'!$F$4:$F$2635))+SUMPRODUCT(-('Diário 2º PA'!$E$4:$E$3040='Analítico Cx.'!$B125),-('Diário 2º PA'!$P$4:$P$3040=E$1),('Diário 2º PA'!$F$4:$F$3040))+SUMPRODUCT(-('Diário 3º PA'!$E$4:$E$2731='Analítico Cx.'!$B125),-('Diário 3º PA'!$P$4:$P$2731=E$1),('Diário 3º PA'!$F$4:$F$2731))+SUMPRODUCT(-('Diário 4º PA'!$E$4:$E$2564='Analítico Cx.'!$B125),-('Diário 4º PA'!$P$4:$P$2564=E$1),('Diário 4º PA'!$F$4:$F$2564))</f>
        <v>11643.2</v>
      </c>
      <c r="F125" s="183">
        <f>SUMPRODUCT(-('Diário 1º PA'!$E$4:$E$2635='Analítico Cx.'!$B125),-('Diário 1º PA'!$P$4:$P$2635=F$1),('Diário 1º PA'!$F$4:$F$2635))+SUMPRODUCT(-('Diário 2º PA'!$E$4:$E$3040='Analítico Cx.'!$B125),-('Diário 2º PA'!$P$4:$P$3040=F$1),('Diário 2º PA'!$F$4:$F$3040))+SUMPRODUCT(-('Diário 3º PA'!$E$4:$E$2731='Analítico Cx.'!$B125),-('Diário 3º PA'!$P$4:$P$2731=F$1),('Diário 3º PA'!$F$4:$F$2731))+SUMPRODUCT(-('Diário 4º PA'!$E$4:$E$2564='Analítico Cx.'!$B125),-('Diário 4º PA'!$P$4:$P$2564=F$1),('Diário 4º PA'!$F$4:$F$2564))</f>
        <v>8271.7999999999993</v>
      </c>
      <c r="G125" s="183">
        <f>SUMPRODUCT(-('Diário 1º PA'!$E$4:$E$2635='Analítico Cx.'!$B125),-('Diário 1º PA'!$P$4:$P$2635=G$1),('Diário 1º PA'!$F$4:$F$2635))+SUMPRODUCT(-('Diário 2º PA'!$E$4:$E$3040='Analítico Cx.'!$B125),-('Diário 2º PA'!$P$4:$P$3040=G$1),('Diário 2º PA'!$F$4:$F$3040))+SUMPRODUCT(-('Diário 3º PA'!$E$4:$E$2731='Analítico Cx.'!$B125),-('Diário 3º PA'!$P$4:$P$2731=G$1),('Diário 3º PA'!$F$4:$F$2731))+SUMPRODUCT(-('Diário 4º PA'!$E$4:$E$2564='Analítico Cx.'!$B125),-('Diário 4º PA'!$P$4:$P$2564=G$1),('Diário 4º PA'!$F$4:$F$2564))</f>
        <v>9143.84</v>
      </c>
      <c r="H125" s="183">
        <f>SUMPRODUCT(-('Diário 1º PA'!$E$4:$E$2635='Analítico Cx.'!$B125),-('Diário 1º PA'!$P$4:$P$2635=H$1),('Diário 1º PA'!$F$4:$F$2635))+SUMPRODUCT(-('Diário 2º PA'!$E$4:$E$3040='Analítico Cx.'!$B125),-('Diário 2º PA'!$P$4:$P$3040=H$1),('Diário 2º PA'!$F$4:$F$3040))+SUMPRODUCT(-('Diário 3º PA'!$E$4:$E$2731='Analítico Cx.'!$B125),-('Diário 3º PA'!$P$4:$P$2731=H$1),('Diário 3º PA'!$F$4:$F$2731))+SUMPRODUCT(-('Diário 4º PA'!$E$4:$E$2564='Analítico Cx.'!$B125),-('Diário 4º PA'!$P$4:$P$2564=H$1),('Diário 4º PA'!$F$4:$F$2564))</f>
        <v>19745.599999999999</v>
      </c>
      <c r="I125" s="183">
        <f>SUMPRODUCT(-('Diário 1º PA'!$E$4:$E$2635='Analítico Cx.'!$B125),-('Diário 1º PA'!$P$4:$P$2635=I$1),('Diário 1º PA'!$F$4:$F$2635))+SUMPRODUCT(-('Diário 2º PA'!$E$4:$E$3040='Analítico Cx.'!$B125),-('Diário 2º PA'!$P$4:$P$3040=I$1),('Diário 2º PA'!$F$4:$F$3040))+SUMPRODUCT(-('Diário 3º PA'!$E$4:$E$2731='Analítico Cx.'!$B125),-('Diário 3º PA'!$P$4:$P$2731=I$1),('Diário 3º PA'!$F$4:$F$2731))+SUMPRODUCT(-('Diário 4º PA'!$E$4:$E$2564='Analítico Cx.'!$B125),-('Diário 4º PA'!$P$4:$P$2564=I$1),('Diário 4º PA'!$F$4:$F$2564))</f>
        <v>899.4</v>
      </c>
      <c r="J125" s="183">
        <f>SUMPRODUCT(-('Diário 1º PA'!$E$4:$E$2635='Analítico Cx.'!$B125),-('Diário 1º PA'!$P$4:$P$2635=J$1),('Diário 1º PA'!$F$4:$F$2635))+SUMPRODUCT(-('Diário 2º PA'!$E$4:$E$3040='Analítico Cx.'!$B125),-('Diário 2º PA'!$P$4:$P$3040=J$1),('Diário 2º PA'!$F$4:$F$3040))+SUMPRODUCT(-('Diário 3º PA'!$E$4:$E$2731='Analítico Cx.'!$B125),-('Diário 3º PA'!$P$4:$P$2731=J$1),('Diário 3º PA'!$F$4:$F$2731))+SUMPRODUCT(-('Diário 4º PA'!$E$4:$E$2564='Analítico Cx.'!$B125),-('Diário 4º PA'!$P$4:$P$2564=J$1),('Diário 4º PA'!$F$4:$F$2564))</f>
        <v>0</v>
      </c>
      <c r="K125" s="183">
        <f>SUMPRODUCT(-('Diário 1º PA'!$E$4:$E$2635='Analítico Cx.'!$B125),-('Diário 1º PA'!$P$4:$P$2635=K$1),('Diário 1º PA'!$F$4:$F$2635))+SUMPRODUCT(-('Diário 2º PA'!$E$4:$E$3040='Analítico Cx.'!$B125),-('Diário 2º PA'!$P$4:$P$3040=K$1),('Diário 2º PA'!$F$4:$F$3040))+SUMPRODUCT(-('Diário 3º PA'!$E$4:$E$2731='Analítico Cx.'!$B125),-('Diário 3º PA'!$P$4:$P$2731=K$1),('Diário 3º PA'!$F$4:$F$2731))+SUMPRODUCT(-('Diário 4º PA'!$E$4:$E$2564='Analítico Cx.'!$B125),-('Diário 4º PA'!$P$4:$P$2564=K$1),('Diário 4º PA'!$F$4:$F$2564))</f>
        <v>0</v>
      </c>
      <c r="L125" s="183">
        <f>SUMPRODUCT(-('Diário 1º PA'!$E$4:$E$2635='Analítico Cx.'!$B125),-('Diário 1º PA'!$P$4:$P$2635=L$1),('Diário 1º PA'!$F$4:$F$2635))+SUMPRODUCT(-('Diário 2º PA'!$E$4:$E$3040='Analítico Cx.'!$B125),-('Diário 2º PA'!$P$4:$P$3040=L$1),('Diário 2º PA'!$F$4:$F$3040))+SUMPRODUCT(-('Diário 3º PA'!$E$4:$E$2731='Analítico Cx.'!$B125),-('Diário 3º PA'!$P$4:$P$2731=L$1),('Diário 3º PA'!$F$4:$F$2731))+SUMPRODUCT(-('Diário 4º PA'!$E$4:$E$2564='Analítico Cx.'!$B125),-('Diário 4º PA'!$P$4:$P$2564=L$1),('Diário 4º PA'!$F$4:$F$2564))</f>
        <v>350</v>
      </c>
      <c r="M125" s="183">
        <f>SUMPRODUCT(-('Diário 1º PA'!$E$4:$E$2635='Analítico Cx.'!$B125),-('Diário 1º PA'!$P$4:$P$2635=M$1),('Diário 1º PA'!$F$4:$F$2635))+SUMPRODUCT(-('Diário 2º PA'!$E$4:$E$3040='Analítico Cx.'!$B125),-('Diário 2º PA'!$P$4:$P$3040=M$1),('Diário 2º PA'!$F$4:$F$3040))+SUMPRODUCT(-('Diário 3º PA'!$E$4:$E$2731='Analítico Cx.'!$B125),-('Diário 3º PA'!$P$4:$P$2731=M$1),('Diário 3º PA'!$F$4:$F$2731))+SUMPRODUCT(-('Diário 4º PA'!$E$4:$E$2564='Analítico Cx.'!$B125),-('Diário 4º PA'!$P$4:$P$2564=M$1),('Diário 4º PA'!$F$4:$F$2564))</f>
        <v>0</v>
      </c>
      <c r="N125" s="183">
        <f>SUMPRODUCT(-('Diário 1º PA'!$E$4:$E$2635='Analítico Cx.'!$B125),-('Diário 1º PA'!$P$4:$P$2635=N$1),('Diário 1º PA'!$F$4:$F$2635))+SUMPRODUCT(-('Diário 2º PA'!$E$4:$E$3040='Analítico Cx.'!$B125),-('Diário 2º PA'!$P$4:$P$3040=N$1),('Diário 2º PA'!$F$4:$F$3040))+SUMPRODUCT(-('Diário 3º PA'!$E$4:$E$2731='Analítico Cx.'!$B125),-('Diário 3º PA'!$P$4:$P$2731=N$1),('Diário 3º PA'!$F$4:$F$2731))+SUMPRODUCT(-('Diário 4º PA'!$E$4:$E$2564='Analítico Cx.'!$B125),-('Diário 4º PA'!$P$4:$P$2564=N$1),('Diário 4º PA'!$F$4:$F$2564))</f>
        <v>0</v>
      </c>
      <c r="O125" s="184">
        <f t="shared" si="18"/>
        <v>50053.840000000004</v>
      </c>
      <c r="P125" s="167">
        <f t="shared" si="19"/>
        <v>3.942492950798261E-3</v>
      </c>
    </row>
    <row r="126" spans="1:16" ht="23.25" customHeight="1" x14ac:dyDescent="0.2">
      <c r="A126" s="61" t="s">
        <v>417</v>
      </c>
      <c r="B126" s="387" t="s">
        <v>445</v>
      </c>
      <c r="C126" s="183">
        <f>SUMPRODUCT(-('Diário 1º PA'!$E$4:$E$2635='Analítico Cx.'!$B126),-('Diário 1º PA'!$P$4:$P$2635=C$1),('Diário 1º PA'!$F$4:$F$2635))+SUMPRODUCT(-('Diário 2º PA'!$E$4:$E$3040='Analítico Cx.'!$B126),-('Diário 2º PA'!$P$4:$P$3040=C$1),('Diário 2º PA'!$F$4:$F$3040))+SUMPRODUCT(-('Diário 3º PA'!$E$4:$E$2731='Analítico Cx.'!$B126),-('Diário 3º PA'!$P$4:$P$2731=C$1),('Diário 3º PA'!$F$4:$F$2731))+SUMPRODUCT(-('Diário 4º PA'!$E$4:$E$2564='Analítico Cx.'!$B126),-('Diário 4º PA'!$P$4:$P$2564=C$1),('Diário 4º PA'!$F$4:$F$2564))</f>
        <v>0</v>
      </c>
      <c r="D126" s="183">
        <f>SUMPRODUCT(-('Diário 1º PA'!$E$4:$E$2635='Analítico Cx.'!$B126),-('Diário 1º PA'!$P$4:$P$2635=D$1),('Diário 1º PA'!$F$4:$F$2635))+SUMPRODUCT(-('Diário 2º PA'!$E$4:$E$3040='Analítico Cx.'!$B126),-('Diário 2º PA'!$P$4:$P$3040=D$1),('Diário 2º PA'!$F$4:$F$3040))+SUMPRODUCT(-('Diário 3º PA'!$E$4:$E$2731='Analítico Cx.'!$B126),-('Diário 3º PA'!$P$4:$P$2731=D$1),('Diário 3º PA'!$F$4:$F$2731))+SUMPRODUCT(-('Diário 4º PA'!$E$4:$E$2564='Analítico Cx.'!$B126),-('Diário 4º PA'!$P$4:$P$2564=D$1),('Diário 4º PA'!$F$4:$F$2564))</f>
        <v>0</v>
      </c>
      <c r="E126" s="183">
        <f>SUMPRODUCT(-('Diário 1º PA'!$E$4:$E$2635='Analítico Cx.'!$B126),-('Diário 1º PA'!$P$4:$P$2635=E$1),('Diário 1º PA'!$F$4:$F$2635))+SUMPRODUCT(-('Diário 2º PA'!$E$4:$E$3040='Analítico Cx.'!$B126),-('Diário 2º PA'!$P$4:$P$3040=E$1),('Diário 2º PA'!$F$4:$F$3040))+SUMPRODUCT(-('Diário 3º PA'!$E$4:$E$2731='Analítico Cx.'!$B126),-('Diário 3º PA'!$P$4:$P$2731=E$1),('Diário 3º PA'!$F$4:$F$2731))+SUMPRODUCT(-('Diário 4º PA'!$E$4:$E$2564='Analítico Cx.'!$B126),-('Diário 4º PA'!$P$4:$P$2564=E$1),('Diário 4º PA'!$F$4:$F$2564))</f>
        <v>0</v>
      </c>
      <c r="F126" s="183">
        <f>SUMPRODUCT(-('Diário 1º PA'!$E$4:$E$2635='Analítico Cx.'!$B126),-('Diário 1º PA'!$P$4:$P$2635=F$1),('Diário 1º PA'!$F$4:$F$2635))+SUMPRODUCT(-('Diário 2º PA'!$E$4:$E$3040='Analítico Cx.'!$B126),-('Diário 2º PA'!$P$4:$P$3040=F$1),('Diário 2º PA'!$F$4:$F$3040))+SUMPRODUCT(-('Diário 3º PA'!$E$4:$E$2731='Analítico Cx.'!$B126),-('Diário 3º PA'!$P$4:$P$2731=F$1),('Diário 3º PA'!$F$4:$F$2731))+SUMPRODUCT(-('Diário 4º PA'!$E$4:$E$2564='Analítico Cx.'!$B126),-('Diário 4º PA'!$P$4:$P$2564=F$1),('Diário 4º PA'!$F$4:$F$2564))</f>
        <v>0</v>
      </c>
      <c r="G126" s="183">
        <f>SUMPRODUCT(-('Diário 1º PA'!$E$4:$E$2635='Analítico Cx.'!$B126),-('Diário 1º PA'!$P$4:$P$2635=G$1),('Diário 1º PA'!$F$4:$F$2635))+SUMPRODUCT(-('Diário 2º PA'!$E$4:$E$3040='Analítico Cx.'!$B126),-('Diário 2º PA'!$P$4:$P$3040=G$1),('Diário 2º PA'!$F$4:$F$3040))+SUMPRODUCT(-('Diário 3º PA'!$E$4:$E$2731='Analítico Cx.'!$B126),-('Diário 3º PA'!$P$4:$P$2731=G$1),('Diário 3º PA'!$F$4:$F$2731))+SUMPRODUCT(-('Diário 4º PA'!$E$4:$E$2564='Analítico Cx.'!$B126),-('Diário 4º PA'!$P$4:$P$2564=G$1),('Diário 4º PA'!$F$4:$F$2564))</f>
        <v>0</v>
      </c>
      <c r="H126" s="183">
        <f>SUMPRODUCT(-('Diário 1º PA'!$E$4:$E$2635='Analítico Cx.'!$B126),-('Diário 1º PA'!$P$4:$P$2635=H$1),('Diário 1º PA'!$F$4:$F$2635))+SUMPRODUCT(-('Diário 2º PA'!$E$4:$E$3040='Analítico Cx.'!$B126),-('Diário 2º PA'!$P$4:$P$3040=H$1),('Diário 2º PA'!$F$4:$F$3040))+SUMPRODUCT(-('Diário 3º PA'!$E$4:$E$2731='Analítico Cx.'!$B126),-('Diário 3º PA'!$P$4:$P$2731=H$1),('Diário 3º PA'!$F$4:$F$2731))+SUMPRODUCT(-('Diário 4º PA'!$E$4:$E$2564='Analítico Cx.'!$B126),-('Diário 4º PA'!$P$4:$P$2564=H$1),('Diário 4º PA'!$F$4:$F$2564))</f>
        <v>0</v>
      </c>
      <c r="I126" s="183">
        <f>SUMPRODUCT(-('Diário 1º PA'!$E$4:$E$2635='Analítico Cx.'!$B126),-('Diário 1º PA'!$P$4:$P$2635=I$1),('Diário 1º PA'!$F$4:$F$2635))+SUMPRODUCT(-('Diário 2º PA'!$E$4:$E$3040='Analítico Cx.'!$B126),-('Diário 2º PA'!$P$4:$P$3040=I$1),('Diário 2º PA'!$F$4:$F$3040))+SUMPRODUCT(-('Diário 3º PA'!$E$4:$E$2731='Analítico Cx.'!$B126),-('Diário 3º PA'!$P$4:$P$2731=I$1),('Diário 3º PA'!$F$4:$F$2731))+SUMPRODUCT(-('Diário 4º PA'!$E$4:$E$2564='Analítico Cx.'!$B126),-('Diário 4º PA'!$P$4:$P$2564=I$1),('Diário 4º PA'!$F$4:$F$2564))</f>
        <v>0</v>
      </c>
      <c r="J126" s="183">
        <f>SUMPRODUCT(-('Diário 1º PA'!$E$4:$E$2635='Analítico Cx.'!$B126),-('Diário 1º PA'!$P$4:$P$2635=J$1),('Diário 1º PA'!$F$4:$F$2635))+SUMPRODUCT(-('Diário 2º PA'!$E$4:$E$3040='Analítico Cx.'!$B126),-('Diário 2º PA'!$P$4:$P$3040=J$1),('Diário 2º PA'!$F$4:$F$3040))+SUMPRODUCT(-('Diário 3º PA'!$E$4:$E$2731='Analítico Cx.'!$B126),-('Diário 3º PA'!$P$4:$P$2731=J$1),('Diário 3º PA'!$F$4:$F$2731))+SUMPRODUCT(-('Diário 4º PA'!$E$4:$E$2564='Analítico Cx.'!$B126),-('Diário 4º PA'!$P$4:$P$2564=J$1),('Diário 4º PA'!$F$4:$F$2564))</f>
        <v>0</v>
      </c>
      <c r="K126" s="183">
        <f>SUMPRODUCT(-('Diário 1º PA'!$E$4:$E$2635='Analítico Cx.'!$B126),-('Diário 1º PA'!$P$4:$P$2635=K$1),('Diário 1º PA'!$F$4:$F$2635))+SUMPRODUCT(-('Diário 2º PA'!$E$4:$E$3040='Analítico Cx.'!$B126),-('Diário 2º PA'!$P$4:$P$3040=K$1),('Diário 2º PA'!$F$4:$F$3040))+SUMPRODUCT(-('Diário 3º PA'!$E$4:$E$2731='Analítico Cx.'!$B126),-('Diário 3º PA'!$P$4:$P$2731=K$1),('Diário 3º PA'!$F$4:$F$2731))+SUMPRODUCT(-('Diário 4º PA'!$E$4:$E$2564='Analítico Cx.'!$B126),-('Diário 4º PA'!$P$4:$P$2564=K$1),('Diário 4º PA'!$F$4:$F$2564))</f>
        <v>0</v>
      </c>
      <c r="L126" s="183">
        <f>SUMPRODUCT(-('Diário 1º PA'!$E$4:$E$2635='Analítico Cx.'!$B126),-('Diário 1º PA'!$P$4:$P$2635=L$1),('Diário 1º PA'!$F$4:$F$2635))+SUMPRODUCT(-('Diário 2º PA'!$E$4:$E$3040='Analítico Cx.'!$B126),-('Diário 2º PA'!$P$4:$P$3040=L$1),('Diário 2º PA'!$F$4:$F$3040))+SUMPRODUCT(-('Diário 3º PA'!$E$4:$E$2731='Analítico Cx.'!$B126),-('Diário 3º PA'!$P$4:$P$2731=L$1),('Diário 3º PA'!$F$4:$F$2731))+SUMPRODUCT(-('Diário 4º PA'!$E$4:$E$2564='Analítico Cx.'!$B126),-('Diário 4º PA'!$P$4:$P$2564=L$1),('Diário 4º PA'!$F$4:$F$2564))</f>
        <v>0</v>
      </c>
      <c r="M126" s="183">
        <f>SUMPRODUCT(-('Diário 1º PA'!$E$4:$E$2635='Analítico Cx.'!$B126),-('Diário 1º PA'!$P$4:$P$2635=M$1),('Diário 1º PA'!$F$4:$F$2635))+SUMPRODUCT(-('Diário 2º PA'!$E$4:$E$3040='Analítico Cx.'!$B126),-('Diário 2º PA'!$P$4:$P$3040=M$1),('Diário 2º PA'!$F$4:$F$3040))+SUMPRODUCT(-('Diário 3º PA'!$E$4:$E$2731='Analítico Cx.'!$B126),-('Diário 3º PA'!$P$4:$P$2731=M$1),('Diário 3º PA'!$F$4:$F$2731))+SUMPRODUCT(-('Diário 4º PA'!$E$4:$E$2564='Analítico Cx.'!$B126),-('Diário 4º PA'!$P$4:$P$2564=M$1),('Diário 4º PA'!$F$4:$F$2564))</f>
        <v>0</v>
      </c>
      <c r="N126" s="183">
        <f>SUMPRODUCT(-('Diário 1º PA'!$E$4:$E$2635='Analítico Cx.'!$B126),-('Diário 1º PA'!$P$4:$P$2635=N$1),('Diário 1º PA'!$F$4:$F$2635))+SUMPRODUCT(-('Diário 2º PA'!$E$4:$E$3040='Analítico Cx.'!$B126),-('Diário 2º PA'!$P$4:$P$3040=N$1),('Diário 2º PA'!$F$4:$F$3040))+SUMPRODUCT(-('Diário 3º PA'!$E$4:$E$2731='Analítico Cx.'!$B126),-('Diário 3º PA'!$P$4:$P$2731=N$1),('Diário 3º PA'!$F$4:$F$2731))+SUMPRODUCT(-('Diário 4º PA'!$E$4:$E$2564='Analítico Cx.'!$B126),-('Diário 4º PA'!$P$4:$P$2564=N$1),('Diário 4º PA'!$F$4:$F$2564))</f>
        <v>0</v>
      </c>
      <c r="O126" s="184">
        <f t="shared" si="18"/>
        <v>0</v>
      </c>
      <c r="P126" s="167">
        <f t="shared" si="19"/>
        <v>0</v>
      </c>
    </row>
    <row r="127" spans="1:16" ht="23.25" customHeight="1" x14ac:dyDescent="0.2">
      <c r="A127" s="61" t="s">
        <v>418</v>
      </c>
      <c r="B127" s="387" t="s">
        <v>446</v>
      </c>
      <c r="C127" s="183">
        <f>SUMPRODUCT(-('Diário 1º PA'!$E$4:$E$2635='Analítico Cx.'!$B127),-('Diário 1º PA'!$P$4:$P$2635=C$1),('Diário 1º PA'!$F$4:$F$2635))+SUMPRODUCT(-('Diário 2º PA'!$E$4:$E$3040='Analítico Cx.'!$B127),-('Diário 2º PA'!$P$4:$P$3040=C$1),('Diário 2º PA'!$F$4:$F$3040))+SUMPRODUCT(-('Diário 3º PA'!$E$4:$E$2731='Analítico Cx.'!$B127),-('Diário 3º PA'!$P$4:$P$2731=C$1),('Diário 3º PA'!$F$4:$F$2731))+SUMPRODUCT(-('Diário 4º PA'!$E$4:$E$2564='Analítico Cx.'!$B127),-('Diário 4º PA'!$P$4:$P$2564=C$1),('Diário 4º PA'!$F$4:$F$2564))</f>
        <v>3800</v>
      </c>
      <c r="D127" s="183">
        <f>SUMPRODUCT(-('Diário 1º PA'!$E$4:$E$2635='Analítico Cx.'!$B127),-('Diário 1º PA'!$P$4:$P$2635=D$1),('Diário 1º PA'!$F$4:$F$2635))+SUMPRODUCT(-('Diário 2º PA'!$E$4:$E$3040='Analítico Cx.'!$B127),-('Diário 2º PA'!$P$4:$P$3040=D$1),('Diário 2º PA'!$F$4:$F$3040))+SUMPRODUCT(-('Diário 3º PA'!$E$4:$E$2731='Analítico Cx.'!$B127),-('Diário 3º PA'!$P$4:$P$2731=D$1),('Diário 3º PA'!$F$4:$F$2731))+SUMPRODUCT(-('Diário 4º PA'!$E$4:$E$2564='Analítico Cx.'!$B127),-('Diário 4º PA'!$P$4:$P$2564=D$1),('Diário 4º PA'!$F$4:$F$2564))</f>
        <v>2160</v>
      </c>
      <c r="E127" s="183">
        <f>SUMPRODUCT(-('Diário 1º PA'!$E$4:$E$2635='Analítico Cx.'!$B127),-('Diário 1º PA'!$P$4:$P$2635=E$1),('Diário 1º PA'!$F$4:$F$2635))+SUMPRODUCT(-('Diário 2º PA'!$E$4:$E$3040='Analítico Cx.'!$B127),-('Diário 2º PA'!$P$4:$P$3040=E$1),('Diário 2º PA'!$F$4:$F$3040))+SUMPRODUCT(-('Diário 3º PA'!$E$4:$E$2731='Analítico Cx.'!$B127),-('Diário 3º PA'!$P$4:$P$2731=E$1),('Diário 3º PA'!$F$4:$F$2731))+SUMPRODUCT(-('Diário 4º PA'!$E$4:$E$2564='Analítico Cx.'!$B127),-('Diário 4º PA'!$P$4:$P$2564=E$1),('Diário 4º PA'!$F$4:$F$2564))</f>
        <v>0</v>
      </c>
      <c r="F127" s="183">
        <f>SUMPRODUCT(-('Diário 1º PA'!$E$4:$E$2635='Analítico Cx.'!$B127),-('Diário 1º PA'!$P$4:$P$2635=F$1),('Diário 1º PA'!$F$4:$F$2635))+SUMPRODUCT(-('Diário 2º PA'!$E$4:$E$3040='Analítico Cx.'!$B127),-('Diário 2º PA'!$P$4:$P$3040=F$1),('Diário 2º PA'!$F$4:$F$3040))+SUMPRODUCT(-('Diário 3º PA'!$E$4:$E$2731='Analítico Cx.'!$B127),-('Diário 3º PA'!$P$4:$P$2731=F$1),('Diário 3º PA'!$F$4:$F$2731))+SUMPRODUCT(-('Diário 4º PA'!$E$4:$E$2564='Analítico Cx.'!$B127),-('Diário 4º PA'!$P$4:$P$2564=F$1),('Diário 4º PA'!$F$4:$F$2564))</f>
        <v>0</v>
      </c>
      <c r="G127" s="183">
        <f>SUMPRODUCT(-('Diário 1º PA'!$E$4:$E$2635='Analítico Cx.'!$B127),-('Diário 1º PA'!$P$4:$P$2635=G$1),('Diário 1º PA'!$F$4:$F$2635))+SUMPRODUCT(-('Diário 2º PA'!$E$4:$E$3040='Analítico Cx.'!$B127),-('Diário 2º PA'!$P$4:$P$3040=G$1),('Diário 2º PA'!$F$4:$F$3040))+SUMPRODUCT(-('Diário 3º PA'!$E$4:$E$2731='Analítico Cx.'!$B127),-('Diário 3º PA'!$P$4:$P$2731=G$1),('Diário 3º PA'!$F$4:$F$2731))+SUMPRODUCT(-('Diário 4º PA'!$E$4:$E$2564='Analítico Cx.'!$B127),-('Diário 4º PA'!$P$4:$P$2564=G$1),('Diário 4º PA'!$F$4:$F$2564))</f>
        <v>0</v>
      </c>
      <c r="H127" s="183">
        <f>SUMPRODUCT(-('Diário 1º PA'!$E$4:$E$2635='Analítico Cx.'!$B127),-('Diário 1º PA'!$P$4:$P$2635=H$1),('Diário 1º PA'!$F$4:$F$2635))+SUMPRODUCT(-('Diário 2º PA'!$E$4:$E$3040='Analítico Cx.'!$B127),-('Diário 2º PA'!$P$4:$P$3040=H$1),('Diário 2º PA'!$F$4:$F$3040))+SUMPRODUCT(-('Diário 3º PA'!$E$4:$E$2731='Analítico Cx.'!$B127),-('Diário 3º PA'!$P$4:$P$2731=H$1),('Diário 3º PA'!$F$4:$F$2731))+SUMPRODUCT(-('Diário 4º PA'!$E$4:$E$2564='Analítico Cx.'!$B127),-('Diário 4º PA'!$P$4:$P$2564=H$1),('Diário 4º PA'!$F$4:$F$2564))</f>
        <v>0</v>
      </c>
      <c r="I127" s="183">
        <f>SUMPRODUCT(-('Diário 1º PA'!$E$4:$E$2635='Analítico Cx.'!$B127),-('Diário 1º PA'!$P$4:$P$2635=I$1),('Diário 1º PA'!$F$4:$F$2635))+SUMPRODUCT(-('Diário 2º PA'!$E$4:$E$3040='Analítico Cx.'!$B127),-('Diário 2º PA'!$P$4:$P$3040=I$1),('Diário 2º PA'!$F$4:$F$3040))+SUMPRODUCT(-('Diário 3º PA'!$E$4:$E$2731='Analítico Cx.'!$B127),-('Diário 3º PA'!$P$4:$P$2731=I$1),('Diário 3º PA'!$F$4:$F$2731))+SUMPRODUCT(-('Diário 4º PA'!$E$4:$E$2564='Analítico Cx.'!$B127),-('Diário 4º PA'!$P$4:$P$2564=I$1),('Diário 4º PA'!$F$4:$F$2564))</f>
        <v>2411.75</v>
      </c>
      <c r="J127" s="183">
        <f>SUMPRODUCT(-('Diário 1º PA'!$E$4:$E$2635='Analítico Cx.'!$B127),-('Diário 1º PA'!$P$4:$P$2635=J$1),('Diário 1º PA'!$F$4:$F$2635))+SUMPRODUCT(-('Diário 2º PA'!$E$4:$E$3040='Analítico Cx.'!$B127),-('Diário 2º PA'!$P$4:$P$3040=J$1),('Diário 2º PA'!$F$4:$F$3040))+SUMPRODUCT(-('Diário 3º PA'!$E$4:$E$2731='Analítico Cx.'!$B127),-('Diário 3º PA'!$P$4:$P$2731=J$1),('Diário 3º PA'!$F$4:$F$2731))+SUMPRODUCT(-('Diário 4º PA'!$E$4:$E$2564='Analítico Cx.'!$B127),-('Diário 4º PA'!$P$4:$P$2564=J$1),('Diário 4º PA'!$F$4:$F$2564))</f>
        <v>12725</v>
      </c>
      <c r="K127" s="183">
        <f>SUMPRODUCT(-('Diário 1º PA'!$E$4:$E$2635='Analítico Cx.'!$B127),-('Diário 1º PA'!$P$4:$P$2635=K$1),('Diário 1º PA'!$F$4:$F$2635))+SUMPRODUCT(-('Diário 2º PA'!$E$4:$E$3040='Analítico Cx.'!$B127),-('Diário 2º PA'!$P$4:$P$3040=K$1),('Diário 2º PA'!$F$4:$F$3040))+SUMPRODUCT(-('Diário 3º PA'!$E$4:$E$2731='Analítico Cx.'!$B127),-('Diário 3º PA'!$P$4:$P$2731=K$1),('Diário 3º PA'!$F$4:$F$2731))+SUMPRODUCT(-('Diário 4º PA'!$E$4:$E$2564='Analítico Cx.'!$B127),-('Diário 4º PA'!$P$4:$P$2564=K$1),('Diário 4º PA'!$F$4:$F$2564))</f>
        <v>63.25</v>
      </c>
      <c r="L127" s="183">
        <f>SUMPRODUCT(-('Diário 1º PA'!$E$4:$E$2635='Analítico Cx.'!$B127),-('Diário 1º PA'!$P$4:$P$2635=L$1),('Diário 1º PA'!$F$4:$F$2635))+SUMPRODUCT(-('Diário 2º PA'!$E$4:$E$3040='Analítico Cx.'!$B127),-('Diário 2º PA'!$P$4:$P$3040=L$1),('Diário 2º PA'!$F$4:$F$3040))+SUMPRODUCT(-('Diário 3º PA'!$E$4:$E$2731='Analítico Cx.'!$B127),-('Diário 3º PA'!$P$4:$P$2731=L$1),('Diário 3º PA'!$F$4:$F$2731))+SUMPRODUCT(-('Diário 4º PA'!$E$4:$E$2564='Analítico Cx.'!$B127),-('Diário 4º PA'!$P$4:$P$2564=L$1),('Diário 4º PA'!$F$4:$F$2564))</f>
        <v>0</v>
      </c>
      <c r="M127" s="183">
        <f>SUMPRODUCT(-('Diário 1º PA'!$E$4:$E$2635='Analítico Cx.'!$B127),-('Diário 1º PA'!$P$4:$P$2635=M$1),('Diário 1º PA'!$F$4:$F$2635))+SUMPRODUCT(-('Diário 2º PA'!$E$4:$E$3040='Analítico Cx.'!$B127),-('Diário 2º PA'!$P$4:$P$3040=M$1),('Diário 2º PA'!$F$4:$F$3040))+SUMPRODUCT(-('Diário 3º PA'!$E$4:$E$2731='Analítico Cx.'!$B127),-('Diário 3º PA'!$P$4:$P$2731=M$1),('Diário 3º PA'!$F$4:$F$2731))+SUMPRODUCT(-('Diário 4º PA'!$E$4:$E$2564='Analítico Cx.'!$B127),-('Diário 4º PA'!$P$4:$P$2564=M$1),('Diário 4º PA'!$F$4:$F$2564))</f>
        <v>0</v>
      </c>
      <c r="N127" s="183">
        <f>SUMPRODUCT(-('Diário 1º PA'!$E$4:$E$2635='Analítico Cx.'!$B127),-('Diário 1º PA'!$P$4:$P$2635=N$1),('Diário 1º PA'!$F$4:$F$2635))+SUMPRODUCT(-('Diário 2º PA'!$E$4:$E$3040='Analítico Cx.'!$B127),-('Diário 2º PA'!$P$4:$P$3040=N$1),('Diário 2º PA'!$F$4:$F$3040))+SUMPRODUCT(-('Diário 3º PA'!$E$4:$E$2731='Analítico Cx.'!$B127),-('Diário 3º PA'!$P$4:$P$2731=N$1),('Diário 3º PA'!$F$4:$F$2731))+SUMPRODUCT(-('Diário 4º PA'!$E$4:$E$2564='Analítico Cx.'!$B127),-('Diário 4º PA'!$P$4:$P$2564=N$1),('Diário 4º PA'!$F$4:$F$2564))</f>
        <v>0</v>
      </c>
      <c r="O127" s="184">
        <f t="shared" si="18"/>
        <v>21160</v>
      </c>
      <c r="P127" s="167">
        <f t="shared" si="19"/>
        <v>1.6666683483003741E-3</v>
      </c>
    </row>
    <row r="128" spans="1:16" ht="23.25" customHeight="1" x14ac:dyDescent="0.2">
      <c r="A128" s="61" t="s">
        <v>419</v>
      </c>
      <c r="B128" s="387" t="s">
        <v>447</v>
      </c>
      <c r="C128" s="183">
        <f>SUMPRODUCT(-('Diário 1º PA'!$E$4:$E$2635='Analítico Cx.'!$B128),-('Diário 1º PA'!$P$4:$P$2635=C$1),('Diário 1º PA'!$F$4:$F$2635))+SUMPRODUCT(-('Diário 2º PA'!$E$4:$E$3040='Analítico Cx.'!$B128),-('Diário 2º PA'!$P$4:$P$3040=C$1),('Diário 2º PA'!$F$4:$F$3040))+SUMPRODUCT(-('Diário 3º PA'!$E$4:$E$2731='Analítico Cx.'!$B128),-('Diário 3º PA'!$P$4:$P$2731=C$1),('Diário 3º PA'!$F$4:$F$2731))+SUMPRODUCT(-('Diário 4º PA'!$E$4:$E$2564='Analítico Cx.'!$B128),-('Diário 4º PA'!$P$4:$P$2564=C$1),('Diário 4º PA'!$F$4:$F$2564))</f>
        <v>0</v>
      </c>
      <c r="D128" s="183">
        <f>SUMPRODUCT(-('Diário 1º PA'!$E$4:$E$2635='Analítico Cx.'!$B128),-('Diário 1º PA'!$P$4:$P$2635=D$1),('Diário 1º PA'!$F$4:$F$2635))+SUMPRODUCT(-('Diário 2º PA'!$E$4:$E$3040='Analítico Cx.'!$B128),-('Diário 2º PA'!$P$4:$P$3040=D$1),('Diário 2º PA'!$F$4:$F$3040))+SUMPRODUCT(-('Diário 3º PA'!$E$4:$E$2731='Analítico Cx.'!$B128),-('Diário 3º PA'!$P$4:$P$2731=D$1),('Diário 3º PA'!$F$4:$F$2731))+SUMPRODUCT(-('Diário 4º PA'!$E$4:$E$2564='Analítico Cx.'!$B128),-('Diário 4º PA'!$P$4:$P$2564=D$1),('Diário 4º PA'!$F$4:$F$2564))</f>
        <v>0</v>
      </c>
      <c r="E128" s="183">
        <f>SUMPRODUCT(-('Diário 1º PA'!$E$4:$E$2635='Analítico Cx.'!$B128),-('Diário 1º PA'!$P$4:$P$2635=E$1),('Diário 1º PA'!$F$4:$F$2635))+SUMPRODUCT(-('Diário 2º PA'!$E$4:$E$3040='Analítico Cx.'!$B128),-('Diário 2º PA'!$P$4:$P$3040=E$1),('Diário 2º PA'!$F$4:$F$3040))+SUMPRODUCT(-('Diário 3º PA'!$E$4:$E$2731='Analítico Cx.'!$B128),-('Diário 3º PA'!$P$4:$P$2731=E$1),('Diário 3º PA'!$F$4:$F$2731))+SUMPRODUCT(-('Diário 4º PA'!$E$4:$E$2564='Analítico Cx.'!$B128),-('Diário 4º PA'!$P$4:$P$2564=E$1),('Diário 4º PA'!$F$4:$F$2564))</f>
        <v>0</v>
      </c>
      <c r="F128" s="183">
        <f>SUMPRODUCT(-('Diário 1º PA'!$E$4:$E$2635='Analítico Cx.'!$B128),-('Diário 1º PA'!$P$4:$P$2635=F$1),('Diário 1º PA'!$F$4:$F$2635))+SUMPRODUCT(-('Diário 2º PA'!$E$4:$E$3040='Analítico Cx.'!$B128),-('Diário 2º PA'!$P$4:$P$3040=F$1),('Diário 2º PA'!$F$4:$F$3040))+SUMPRODUCT(-('Diário 3º PA'!$E$4:$E$2731='Analítico Cx.'!$B128),-('Diário 3º PA'!$P$4:$P$2731=F$1),('Diário 3º PA'!$F$4:$F$2731))+SUMPRODUCT(-('Diário 4º PA'!$E$4:$E$2564='Analítico Cx.'!$B128),-('Diário 4º PA'!$P$4:$P$2564=F$1),('Diário 4º PA'!$F$4:$F$2564))</f>
        <v>2000</v>
      </c>
      <c r="G128" s="183">
        <f>SUMPRODUCT(-('Diário 1º PA'!$E$4:$E$2635='Analítico Cx.'!$B128),-('Diário 1º PA'!$P$4:$P$2635=G$1),('Diário 1º PA'!$F$4:$F$2635))+SUMPRODUCT(-('Diário 2º PA'!$E$4:$E$3040='Analítico Cx.'!$B128),-('Diário 2º PA'!$P$4:$P$3040=G$1),('Diário 2º PA'!$F$4:$F$3040))+SUMPRODUCT(-('Diário 3º PA'!$E$4:$E$2731='Analítico Cx.'!$B128),-('Diário 3º PA'!$P$4:$P$2731=G$1),('Diário 3º PA'!$F$4:$F$2731))+SUMPRODUCT(-('Diário 4º PA'!$E$4:$E$2564='Analítico Cx.'!$B128),-('Diário 4º PA'!$P$4:$P$2564=G$1),('Diário 4º PA'!$F$4:$F$2564))</f>
        <v>2000</v>
      </c>
      <c r="H128" s="183">
        <f>SUMPRODUCT(-('Diário 1º PA'!$E$4:$E$2635='Analítico Cx.'!$B128),-('Diário 1º PA'!$P$4:$P$2635=H$1),('Diário 1º PA'!$F$4:$F$2635))+SUMPRODUCT(-('Diário 2º PA'!$E$4:$E$3040='Analítico Cx.'!$B128),-('Diário 2º PA'!$P$4:$P$3040=H$1),('Diário 2º PA'!$F$4:$F$3040))+SUMPRODUCT(-('Diário 3º PA'!$E$4:$E$2731='Analítico Cx.'!$B128),-('Diário 3º PA'!$P$4:$P$2731=H$1),('Diário 3º PA'!$F$4:$F$2731))+SUMPRODUCT(-('Diário 4º PA'!$E$4:$E$2564='Analítico Cx.'!$B128),-('Diário 4º PA'!$P$4:$P$2564=H$1),('Diário 4º PA'!$F$4:$F$2564))</f>
        <v>0</v>
      </c>
      <c r="I128" s="183">
        <f>SUMPRODUCT(-('Diário 1º PA'!$E$4:$E$2635='Analítico Cx.'!$B128),-('Diário 1º PA'!$P$4:$P$2635=I$1),('Diário 1º PA'!$F$4:$F$2635))+SUMPRODUCT(-('Diário 2º PA'!$E$4:$E$3040='Analítico Cx.'!$B128),-('Diário 2º PA'!$P$4:$P$3040=I$1),('Diário 2º PA'!$F$4:$F$3040))+SUMPRODUCT(-('Diário 3º PA'!$E$4:$E$2731='Analítico Cx.'!$B128),-('Diário 3º PA'!$P$4:$P$2731=I$1),('Diário 3º PA'!$F$4:$F$2731))+SUMPRODUCT(-('Diário 4º PA'!$E$4:$E$2564='Analítico Cx.'!$B128),-('Diário 4º PA'!$P$4:$P$2564=I$1),('Diário 4º PA'!$F$4:$F$2564))</f>
        <v>0</v>
      </c>
      <c r="J128" s="183">
        <f>SUMPRODUCT(-('Diário 1º PA'!$E$4:$E$2635='Analítico Cx.'!$B128),-('Diário 1º PA'!$P$4:$P$2635=J$1),('Diário 1º PA'!$F$4:$F$2635))+SUMPRODUCT(-('Diário 2º PA'!$E$4:$E$3040='Analítico Cx.'!$B128),-('Diário 2º PA'!$P$4:$P$3040=J$1),('Diário 2º PA'!$F$4:$F$3040))+SUMPRODUCT(-('Diário 3º PA'!$E$4:$E$2731='Analítico Cx.'!$B128),-('Diário 3º PA'!$P$4:$P$2731=J$1),('Diário 3º PA'!$F$4:$F$2731))+SUMPRODUCT(-('Diário 4º PA'!$E$4:$E$2564='Analítico Cx.'!$B128),-('Diário 4º PA'!$P$4:$P$2564=J$1),('Diário 4º PA'!$F$4:$F$2564))</f>
        <v>0</v>
      </c>
      <c r="K128" s="183">
        <f>SUMPRODUCT(-('Diário 1º PA'!$E$4:$E$2635='Analítico Cx.'!$B128),-('Diário 1º PA'!$P$4:$P$2635=K$1),('Diário 1º PA'!$F$4:$F$2635))+SUMPRODUCT(-('Diário 2º PA'!$E$4:$E$3040='Analítico Cx.'!$B128),-('Diário 2º PA'!$P$4:$P$3040=K$1),('Diário 2º PA'!$F$4:$F$3040))+SUMPRODUCT(-('Diário 3º PA'!$E$4:$E$2731='Analítico Cx.'!$B128),-('Diário 3º PA'!$P$4:$P$2731=K$1),('Diário 3º PA'!$F$4:$F$2731))+SUMPRODUCT(-('Diário 4º PA'!$E$4:$E$2564='Analítico Cx.'!$B128),-('Diário 4º PA'!$P$4:$P$2564=K$1),('Diário 4º PA'!$F$4:$F$2564))</f>
        <v>0</v>
      </c>
      <c r="L128" s="183">
        <f>SUMPRODUCT(-('Diário 1º PA'!$E$4:$E$2635='Analítico Cx.'!$B128),-('Diário 1º PA'!$P$4:$P$2635=L$1),('Diário 1º PA'!$F$4:$F$2635))+SUMPRODUCT(-('Diário 2º PA'!$E$4:$E$3040='Analítico Cx.'!$B128),-('Diário 2º PA'!$P$4:$P$3040=L$1),('Diário 2º PA'!$F$4:$F$3040))+SUMPRODUCT(-('Diário 3º PA'!$E$4:$E$2731='Analítico Cx.'!$B128),-('Diário 3º PA'!$P$4:$P$2731=L$1),('Diário 3º PA'!$F$4:$F$2731))+SUMPRODUCT(-('Diário 4º PA'!$E$4:$E$2564='Analítico Cx.'!$B128),-('Diário 4º PA'!$P$4:$P$2564=L$1),('Diário 4º PA'!$F$4:$F$2564))</f>
        <v>0</v>
      </c>
      <c r="M128" s="183">
        <f>SUMPRODUCT(-('Diário 1º PA'!$E$4:$E$2635='Analítico Cx.'!$B128),-('Diário 1º PA'!$P$4:$P$2635=M$1),('Diário 1º PA'!$F$4:$F$2635))+SUMPRODUCT(-('Diário 2º PA'!$E$4:$E$3040='Analítico Cx.'!$B128),-('Diário 2º PA'!$P$4:$P$3040=M$1),('Diário 2º PA'!$F$4:$F$3040))+SUMPRODUCT(-('Diário 3º PA'!$E$4:$E$2731='Analítico Cx.'!$B128),-('Diário 3º PA'!$P$4:$P$2731=M$1),('Diário 3º PA'!$F$4:$F$2731))+SUMPRODUCT(-('Diário 4º PA'!$E$4:$E$2564='Analítico Cx.'!$B128),-('Diário 4º PA'!$P$4:$P$2564=M$1),('Diário 4º PA'!$F$4:$F$2564))</f>
        <v>0</v>
      </c>
      <c r="N128" s="183">
        <f>SUMPRODUCT(-('Diário 1º PA'!$E$4:$E$2635='Analítico Cx.'!$B128),-('Diário 1º PA'!$P$4:$P$2635=N$1),('Diário 1º PA'!$F$4:$F$2635))+SUMPRODUCT(-('Diário 2º PA'!$E$4:$E$3040='Analítico Cx.'!$B128),-('Diário 2º PA'!$P$4:$P$3040=N$1),('Diário 2º PA'!$F$4:$F$3040))+SUMPRODUCT(-('Diário 3º PA'!$E$4:$E$2731='Analítico Cx.'!$B128),-('Diário 3º PA'!$P$4:$P$2731=N$1),('Diário 3º PA'!$F$4:$F$2731))+SUMPRODUCT(-('Diário 4º PA'!$E$4:$E$2564='Analítico Cx.'!$B128),-('Diário 4º PA'!$P$4:$P$2564=N$1),('Diário 4º PA'!$F$4:$F$2564))</f>
        <v>0</v>
      </c>
      <c r="O128" s="184">
        <f t="shared" si="18"/>
        <v>4000</v>
      </c>
      <c r="P128" s="167">
        <f t="shared" si="19"/>
        <v>3.1506017926283064E-4</v>
      </c>
    </row>
    <row r="129" spans="1:16" ht="23.25" customHeight="1" x14ac:dyDescent="0.2">
      <c r="A129" s="61" t="s">
        <v>420</v>
      </c>
      <c r="B129" s="387" t="s">
        <v>448</v>
      </c>
      <c r="C129" s="183">
        <f>SUMPRODUCT(-('Diário 1º PA'!$E$4:$E$2635='Analítico Cx.'!$B129),-('Diário 1º PA'!$P$4:$P$2635=C$1),('Diário 1º PA'!$F$4:$F$2635))+SUMPRODUCT(-('Diário 2º PA'!$E$4:$E$3040='Analítico Cx.'!$B129),-('Diário 2º PA'!$P$4:$P$3040=C$1),('Diário 2º PA'!$F$4:$F$3040))+SUMPRODUCT(-('Diário 3º PA'!$E$4:$E$2731='Analítico Cx.'!$B129),-('Diário 3º PA'!$P$4:$P$2731=C$1),('Diário 3º PA'!$F$4:$F$2731))+SUMPRODUCT(-('Diário 4º PA'!$E$4:$E$2564='Analítico Cx.'!$B129),-('Diário 4º PA'!$P$4:$P$2564=C$1),('Diário 4º PA'!$F$4:$F$2564))</f>
        <v>0</v>
      </c>
      <c r="D129" s="183">
        <f>SUMPRODUCT(-('Diário 1º PA'!$E$4:$E$2635='Analítico Cx.'!$B129),-('Diário 1º PA'!$P$4:$P$2635=D$1),('Diário 1º PA'!$F$4:$F$2635))+SUMPRODUCT(-('Diário 2º PA'!$E$4:$E$3040='Analítico Cx.'!$B129),-('Diário 2º PA'!$P$4:$P$3040=D$1),('Diário 2º PA'!$F$4:$F$3040))+SUMPRODUCT(-('Diário 3º PA'!$E$4:$E$2731='Analítico Cx.'!$B129),-('Diário 3º PA'!$P$4:$P$2731=D$1),('Diário 3º PA'!$F$4:$F$2731))+SUMPRODUCT(-('Diário 4º PA'!$E$4:$E$2564='Analítico Cx.'!$B129),-('Diário 4º PA'!$P$4:$P$2564=D$1),('Diário 4º PA'!$F$4:$F$2564))</f>
        <v>0</v>
      </c>
      <c r="E129" s="183">
        <f>SUMPRODUCT(-('Diário 1º PA'!$E$4:$E$2635='Analítico Cx.'!$B129),-('Diário 1º PA'!$P$4:$P$2635=E$1),('Diário 1º PA'!$F$4:$F$2635))+SUMPRODUCT(-('Diário 2º PA'!$E$4:$E$3040='Analítico Cx.'!$B129),-('Diário 2º PA'!$P$4:$P$3040=E$1),('Diário 2º PA'!$F$4:$F$3040))+SUMPRODUCT(-('Diário 3º PA'!$E$4:$E$2731='Analítico Cx.'!$B129),-('Diário 3º PA'!$P$4:$P$2731=E$1),('Diário 3º PA'!$F$4:$F$2731))+SUMPRODUCT(-('Diário 4º PA'!$E$4:$E$2564='Analítico Cx.'!$B129),-('Diário 4º PA'!$P$4:$P$2564=E$1),('Diário 4º PA'!$F$4:$F$2564))</f>
        <v>0</v>
      </c>
      <c r="F129" s="183">
        <f>SUMPRODUCT(-('Diário 1º PA'!$E$4:$E$2635='Analítico Cx.'!$B129),-('Diário 1º PA'!$P$4:$P$2635=F$1),('Diário 1º PA'!$F$4:$F$2635))+SUMPRODUCT(-('Diário 2º PA'!$E$4:$E$3040='Analítico Cx.'!$B129),-('Diário 2º PA'!$P$4:$P$3040=F$1),('Diário 2º PA'!$F$4:$F$3040))+SUMPRODUCT(-('Diário 3º PA'!$E$4:$E$2731='Analítico Cx.'!$B129),-('Diário 3º PA'!$P$4:$P$2731=F$1),('Diário 3º PA'!$F$4:$F$2731))+SUMPRODUCT(-('Diário 4º PA'!$E$4:$E$2564='Analítico Cx.'!$B129),-('Diário 4º PA'!$P$4:$P$2564=F$1),('Diário 4º PA'!$F$4:$F$2564))</f>
        <v>0</v>
      </c>
      <c r="G129" s="183">
        <f>SUMPRODUCT(-('Diário 1º PA'!$E$4:$E$2635='Analítico Cx.'!$B129),-('Diário 1º PA'!$P$4:$P$2635=G$1),('Diário 1º PA'!$F$4:$F$2635))+SUMPRODUCT(-('Diário 2º PA'!$E$4:$E$3040='Analítico Cx.'!$B129),-('Diário 2º PA'!$P$4:$P$3040=G$1),('Diário 2º PA'!$F$4:$F$3040))+SUMPRODUCT(-('Diário 3º PA'!$E$4:$E$2731='Analítico Cx.'!$B129),-('Diário 3º PA'!$P$4:$P$2731=G$1),('Diário 3º PA'!$F$4:$F$2731))+SUMPRODUCT(-('Diário 4º PA'!$E$4:$E$2564='Analítico Cx.'!$B129),-('Diário 4º PA'!$P$4:$P$2564=G$1),('Diário 4º PA'!$F$4:$F$2564))</f>
        <v>0</v>
      </c>
      <c r="H129" s="183">
        <f>SUMPRODUCT(-('Diário 1º PA'!$E$4:$E$2635='Analítico Cx.'!$B129),-('Diário 1º PA'!$P$4:$P$2635=H$1),('Diário 1º PA'!$F$4:$F$2635))+SUMPRODUCT(-('Diário 2º PA'!$E$4:$E$3040='Analítico Cx.'!$B129),-('Diário 2º PA'!$P$4:$P$3040=H$1),('Diário 2º PA'!$F$4:$F$3040))+SUMPRODUCT(-('Diário 3º PA'!$E$4:$E$2731='Analítico Cx.'!$B129),-('Diário 3º PA'!$P$4:$P$2731=H$1),('Diário 3º PA'!$F$4:$F$2731))+SUMPRODUCT(-('Diário 4º PA'!$E$4:$E$2564='Analítico Cx.'!$B129),-('Diário 4º PA'!$P$4:$P$2564=H$1),('Diário 4º PA'!$F$4:$F$2564))</f>
        <v>0</v>
      </c>
      <c r="I129" s="183">
        <f>SUMPRODUCT(-('Diário 1º PA'!$E$4:$E$2635='Analítico Cx.'!$B129),-('Diário 1º PA'!$P$4:$P$2635=I$1),('Diário 1º PA'!$F$4:$F$2635))+SUMPRODUCT(-('Diário 2º PA'!$E$4:$E$3040='Analítico Cx.'!$B129),-('Diário 2º PA'!$P$4:$P$3040=I$1),('Diário 2º PA'!$F$4:$F$3040))+SUMPRODUCT(-('Diário 3º PA'!$E$4:$E$2731='Analítico Cx.'!$B129),-('Diário 3º PA'!$P$4:$P$2731=I$1),('Diário 3º PA'!$F$4:$F$2731))+SUMPRODUCT(-('Diário 4º PA'!$E$4:$E$2564='Analítico Cx.'!$B129),-('Diário 4º PA'!$P$4:$P$2564=I$1),('Diário 4º PA'!$F$4:$F$2564))</f>
        <v>0</v>
      </c>
      <c r="J129" s="183">
        <f>SUMPRODUCT(-('Diário 1º PA'!$E$4:$E$2635='Analítico Cx.'!$B129),-('Diário 1º PA'!$P$4:$P$2635=J$1),('Diário 1º PA'!$F$4:$F$2635))+SUMPRODUCT(-('Diário 2º PA'!$E$4:$E$3040='Analítico Cx.'!$B129),-('Diário 2º PA'!$P$4:$P$3040=J$1),('Diário 2º PA'!$F$4:$F$3040))+SUMPRODUCT(-('Diário 3º PA'!$E$4:$E$2731='Analítico Cx.'!$B129),-('Diário 3º PA'!$P$4:$P$2731=J$1),('Diário 3º PA'!$F$4:$F$2731))+SUMPRODUCT(-('Diário 4º PA'!$E$4:$E$2564='Analítico Cx.'!$B129),-('Diário 4º PA'!$P$4:$P$2564=J$1),('Diário 4º PA'!$F$4:$F$2564))</f>
        <v>0</v>
      </c>
      <c r="K129" s="183">
        <f>SUMPRODUCT(-('Diário 1º PA'!$E$4:$E$2635='Analítico Cx.'!$B129),-('Diário 1º PA'!$P$4:$P$2635=K$1),('Diário 1º PA'!$F$4:$F$2635))+SUMPRODUCT(-('Diário 2º PA'!$E$4:$E$3040='Analítico Cx.'!$B129),-('Diário 2º PA'!$P$4:$P$3040=K$1),('Diário 2º PA'!$F$4:$F$3040))+SUMPRODUCT(-('Diário 3º PA'!$E$4:$E$2731='Analítico Cx.'!$B129),-('Diário 3º PA'!$P$4:$P$2731=K$1),('Diário 3º PA'!$F$4:$F$2731))+SUMPRODUCT(-('Diário 4º PA'!$E$4:$E$2564='Analítico Cx.'!$B129),-('Diário 4º PA'!$P$4:$P$2564=K$1),('Diário 4º PA'!$F$4:$F$2564))</f>
        <v>0</v>
      </c>
      <c r="L129" s="183">
        <f>SUMPRODUCT(-('Diário 1º PA'!$E$4:$E$2635='Analítico Cx.'!$B129),-('Diário 1º PA'!$P$4:$P$2635=L$1),('Diário 1º PA'!$F$4:$F$2635))+SUMPRODUCT(-('Diário 2º PA'!$E$4:$E$3040='Analítico Cx.'!$B129),-('Diário 2º PA'!$P$4:$P$3040=L$1),('Diário 2º PA'!$F$4:$F$3040))+SUMPRODUCT(-('Diário 3º PA'!$E$4:$E$2731='Analítico Cx.'!$B129),-('Diário 3º PA'!$P$4:$P$2731=L$1),('Diário 3º PA'!$F$4:$F$2731))+SUMPRODUCT(-('Diário 4º PA'!$E$4:$E$2564='Analítico Cx.'!$B129),-('Diário 4º PA'!$P$4:$P$2564=L$1),('Diário 4º PA'!$F$4:$F$2564))</f>
        <v>0</v>
      </c>
      <c r="M129" s="183">
        <f>SUMPRODUCT(-('Diário 1º PA'!$E$4:$E$2635='Analítico Cx.'!$B129),-('Diário 1º PA'!$P$4:$P$2635=M$1),('Diário 1º PA'!$F$4:$F$2635))+SUMPRODUCT(-('Diário 2º PA'!$E$4:$E$3040='Analítico Cx.'!$B129),-('Diário 2º PA'!$P$4:$P$3040=M$1),('Diário 2º PA'!$F$4:$F$3040))+SUMPRODUCT(-('Diário 3º PA'!$E$4:$E$2731='Analítico Cx.'!$B129),-('Diário 3º PA'!$P$4:$P$2731=M$1),('Diário 3º PA'!$F$4:$F$2731))+SUMPRODUCT(-('Diário 4º PA'!$E$4:$E$2564='Analítico Cx.'!$B129),-('Diário 4º PA'!$P$4:$P$2564=M$1),('Diário 4º PA'!$F$4:$F$2564))</f>
        <v>0</v>
      </c>
      <c r="N129" s="183">
        <f>SUMPRODUCT(-('Diário 1º PA'!$E$4:$E$2635='Analítico Cx.'!$B129),-('Diário 1º PA'!$P$4:$P$2635=N$1),('Diário 1º PA'!$F$4:$F$2635))+SUMPRODUCT(-('Diário 2º PA'!$E$4:$E$3040='Analítico Cx.'!$B129),-('Diário 2º PA'!$P$4:$P$3040=N$1),('Diário 2º PA'!$F$4:$F$3040))+SUMPRODUCT(-('Diário 3º PA'!$E$4:$E$2731='Analítico Cx.'!$B129),-('Diário 3º PA'!$P$4:$P$2731=N$1),('Diário 3º PA'!$F$4:$F$2731))+SUMPRODUCT(-('Diário 4º PA'!$E$4:$E$2564='Analítico Cx.'!$B129),-('Diário 4º PA'!$P$4:$P$2564=N$1),('Diário 4º PA'!$F$4:$F$2564))</f>
        <v>0</v>
      </c>
      <c r="O129" s="184">
        <f t="shared" si="18"/>
        <v>0</v>
      </c>
      <c r="P129" s="167">
        <f t="shared" si="19"/>
        <v>0</v>
      </c>
    </row>
    <row r="130" spans="1:16" ht="23.25" customHeight="1" x14ac:dyDescent="0.2">
      <c r="A130" s="61" t="s">
        <v>421</v>
      </c>
      <c r="B130" s="387" t="s">
        <v>449</v>
      </c>
      <c r="C130" s="183">
        <f>SUMPRODUCT(-('Diário 1º PA'!$E$4:$E$2635='Analítico Cx.'!$B130),-('Diário 1º PA'!$P$4:$P$2635=C$1),('Diário 1º PA'!$F$4:$F$2635))+SUMPRODUCT(-('Diário 2º PA'!$E$4:$E$3040='Analítico Cx.'!$B130),-('Diário 2º PA'!$P$4:$P$3040=C$1),('Diário 2º PA'!$F$4:$F$3040))+SUMPRODUCT(-('Diário 3º PA'!$E$4:$E$2731='Analítico Cx.'!$B130),-('Diário 3º PA'!$P$4:$P$2731=C$1),('Diário 3º PA'!$F$4:$F$2731))+SUMPRODUCT(-('Diário 4º PA'!$E$4:$E$2564='Analítico Cx.'!$B130),-('Diário 4º PA'!$P$4:$P$2564=C$1),('Diário 4º PA'!$F$4:$F$2564))</f>
        <v>8369.36</v>
      </c>
      <c r="D130" s="183">
        <f>SUMPRODUCT(-('Diário 1º PA'!$E$4:$E$2635='Analítico Cx.'!$B130),-('Diário 1º PA'!$P$4:$P$2635=D$1),('Diário 1º PA'!$F$4:$F$2635))+SUMPRODUCT(-('Diário 2º PA'!$E$4:$E$3040='Analítico Cx.'!$B130),-('Diário 2º PA'!$P$4:$P$3040=D$1),('Diário 2º PA'!$F$4:$F$3040))+SUMPRODUCT(-('Diário 3º PA'!$E$4:$E$2731='Analítico Cx.'!$B130),-('Diário 3º PA'!$P$4:$P$2731=D$1),('Diário 3º PA'!$F$4:$F$2731))+SUMPRODUCT(-('Diário 4º PA'!$E$4:$E$2564='Analítico Cx.'!$B130),-('Diário 4º PA'!$P$4:$P$2564=D$1),('Diário 4º PA'!$F$4:$F$2564))</f>
        <v>1330.64</v>
      </c>
      <c r="E130" s="183">
        <f>SUMPRODUCT(-('Diário 1º PA'!$E$4:$E$2635='Analítico Cx.'!$B130),-('Diário 1º PA'!$P$4:$P$2635=E$1),('Diário 1º PA'!$F$4:$F$2635))+SUMPRODUCT(-('Diário 2º PA'!$E$4:$E$3040='Analítico Cx.'!$B130),-('Diário 2º PA'!$P$4:$P$3040=E$1),('Diário 2º PA'!$F$4:$F$3040))+SUMPRODUCT(-('Diário 3º PA'!$E$4:$E$2731='Analítico Cx.'!$B130),-('Diário 3º PA'!$P$4:$P$2731=E$1),('Diário 3º PA'!$F$4:$F$2731))+SUMPRODUCT(-('Diário 4º PA'!$E$4:$E$2564='Analítico Cx.'!$B130),-('Diário 4º PA'!$P$4:$P$2564=E$1),('Diário 4º PA'!$F$4:$F$2564))</f>
        <v>800</v>
      </c>
      <c r="F130" s="183">
        <f>SUMPRODUCT(-('Diário 1º PA'!$E$4:$E$2635='Analítico Cx.'!$B130),-('Diário 1º PA'!$P$4:$P$2635=F$1),('Diário 1º PA'!$F$4:$F$2635))+SUMPRODUCT(-('Diário 2º PA'!$E$4:$E$3040='Analítico Cx.'!$B130),-('Diário 2º PA'!$P$4:$P$3040=F$1),('Diário 2º PA'!$F$4:$F$3040))+SUMPRODUCT(-('Diário 3º PA'!$E$4:$E$2731='Analítico Cx.'!$B130),-('Diário 3º PA'!$P$4:$P$2731=F$1),('Diário 3º PA'!$F$4:$F$2731))+SUMPRODUCT(-('Diário 4º PA'!$E$4:$E$2564='Analítico Cx.'!$B130),-('Diário 4º PA'!$P$4:$P$2564=F$1),('Diário 4º PA'!$F$4:$F$2564))</f>
        <v>0</v>
      </c>
      <c r="G130" s="183">
        <f>SUMPRODUCT(-('Diário 1º PA'!$E$4:$E$2635='Analítico Cx.'!$B130),-('Diário 1º PA'!$P$4:$P$2635=G$1),('Diário 1º PA'!$F$4:$F$2635))+SUMPRODUCT(-('Diário 2º PA'!$E$4:$E$3040='Analítico Cx.'!$B130),-('Diário 2º PA'!$P$4:$P$3040=G$1),('Diário 2º PA'!$F$4:$F$3040))+SUMPRODUCT(-('Diário 3º PA'!$E$4:$E$2731='Analítico Cx.'!$B130),-('Diário 3º PA'!$P$4:$P$2731=G$1),('Diário 3º PA'!$F$4:$F$2731))+SUMPRODUCT(-('Diário 4º PA'!$E$4:$E$2564='Analítico Cx.'!$B130),-('Diário 4º PA'!$P$4:$P$2564=G$1),('Diário 4º PA'!$F$4:$F$2564))</f>
        <v>0</v>
      </c>
      <c r="H130" s="183">
        <f>SUMPRODUCT(-('Diário 1º PA'!$E$4:$E$2635='Analítico Cx.'!$B130),-('Diário 1º PA'!$P$4:$P$2635=H$1),('Diário 1º PA'!$F$4:$F$2635))+SUMPRODUCT(-('Diário 2º PA'!$E$4:$E$3040='Analítico Cx.'!$B130),-('Diário 2º PA'!$P$4:$P$3040=H$1),('Diário 2º PA'!$F$4:$F$3040))+SUMPRODUCT(-('Diário 3º PA'!$E$4:$E$2731='Analítico Cx.'!$B130),-('Diário 3º PA'!$P$4:$P$2731=H$1),('Diário 3º PA'!$F$4:$F$2731))+SUMPRODUCT(-('Diário 4º PA'!$E$4:$E$2564='Analítico Cx.'!$B130),-('Diário 4º PA'!$P$4:$P$2564=H$1),('Diário 4º PA'!$F$4:$F$2564))</f>
        <v>12600</v>
      </c>
      <c r="I130" s="183">
        <f>SUMPRODUCT(-('Diário 1º PA'!$E$4:$E$2635='Analítico Cx.'!$B130),-('Diário 1º PA'!$P$4:$P$2635=I$1),('Diário 1º PA'!$F$4:$F$2635))+SUMPRODUCT(-('Diário 2º PA'!$E$4:$E$3040='Analítico Cx.'!$B130),-('Diário 2º PA'!$P$4:$P$3040=I$1),('Diário 2º PA'!$F$4:$F$3040))+SUMPRODUCT(-('Diário 3º PA'!$E$4:$E$2731='Analítico Cx.'!$B130),-('Diário 3º PA'!$P$4:$P$2731=I$1),('Diário 3º PA'!$F$4:$F$2731))+SUMPRODUCT(-('Diário 4º PA'!$E$4:$E$2564='Analítico Cx.'!$B130),-('Diário 4º PA'!$P$4:$P$2564=I$1),('Diário 4º PA'!$F$4:$F$2564))</f>
        <v>20300</v>
      </c>
      <c r="J130" s="183">
        <f>SUMPRODUCT(-('Diário 1º PA'!$E$4:$E$2635='Analítico Cx.'!$B130),-('Diário 1º PA'!$P$4:$P$2635=J$1),('Diário 1º PA'!$F$4:$F$2635))+SUMPRODUCT(-('Diário 2º PA'!$E$4:$E$3040='Analítico Cx.'!$B130),-('Diário 2º PA'!$P$4:$P$3040=J$1),('Diário 2º PA'!$F$4:$F$3040))+SUMPRODUCT(-('Diário 3º PA'!$E$4:$E$2731='Analítico Cx.'!$B130),-('Diário 3º PA'!$P$4:$P$2731=J$1),('Diário 3º PA'!$F$4:$F$2731))+SUMPRODUCT(-('Diário 4º PA'!$E$4:$E$2564='Analítico Cx.'!$B130),-('Diário 4º PA'!$P$4:$P$2564=J$1),('Diário 4º PA'!$F$4:$F$2564))</f>
        <v>500</v>
      </c>
      <c r="K130" s="183">
        <f>SUMPRODUCT(-('Diário 1º PA'!$E$4:$E$2635='Analítico Cx.'!$B130),-('Diário 1º PA'!$P$4:$P$2635=K$1),('Diário 1º PA'!$F$4:$F$2635))+SUMPRODUCT(-('Diário 2º PA'!$E$4:$E$3040='Analítico Cx.'!$B130),-('Diário 2º PA'!$P$4:$P$3040=K$1),('Diário 2º PA'!$F$4:$F$3040))+SUMPRODUCT(-('Diário 3º PA'!$E$4:$E$2731='Analítico Cx.'!$B130),-('Diário 3º PA'!$P$4:$P$2731=K$1),('Diário 3º PA'!$F$4:$F$2731))+SUMPRODUCT(-('Diário 4º PA'!$E$4:$E$2564='Analítico Cx.'!$B130),-('Diário 4º PA'!$P$4:$P$2564=K$1),('Diário 4º PA'!$F$4:$F$2564))</f>
        <v>0</v>
      </c>
      <c r="L130" s="183">
        <f>SUMPRODUCT(-('Diário 1º PA'!$E$4:$E$2635='Analítico Cx.'!$B130),-('Diário 1º PA'!$P$4:$P$2635=L$1),('Diário 1º PA'!$F$4:$F$2635))+SUMPRODUCT(-('Diário 2º PA'!$E$4:$E$3040='Analítico Cx.'!$B130),-('Diário 2º PA'!$P$4:$P$3040=L$1),('Diário 2º PA'!$F$4:$F$3040))+SUMPRODUCT(-('Diário 3º PA'!$E$4:$E$2731='Analítico Cx.'!$B130),-('Diário 3º PA'!$P$4:$P$2731=L$1),('Diário 3º PA'!$F$4:$F$2731))+SUMPRODUCT(-('Diário 4º PA'!$E$4:$E$2564='Analítico Cx.'!$B130),-('Diário 4º PA'!$P$4:$P$2564=L$1),('Diário 4º PA'!$F$4:$F$2564))</f>
        <v>0</v>
      </c>
      <c r="M130" s="183">
        <f>SUMPRODUCT(-('Diário 1º PA'!$E$4:$E$2635='Analítico Cx.'!$B130),-('Diário 1º PA'!$P$4:$P$2635=M$1),('Diário 1º PA'!$F$4:$F$2635))+SUMPRODUCT(-('Diário 2º PA'!$E$4:$E$3040='Analítico Cx.'!$B130),-('Diário 2º PA'!$P$4:$P$3040=M$1),('Diário 2º PA'!$F$4:$F$3040))+SUMPRODUCT(-('Diário 3º PA'!$E$4:$E$2731='Analítico Cx.'!$B130),-('Diário 3º PA'!$P$4:$P$2731=M$1),('Diário 3º PA'!$F$4:$F$2731))+SUMPRODUCT(-('Diário 4º PA'!$E$4:$E$2564='Analítico Cx.'!$B130),-('Diário 4º PA'!$P$4:$P$2564=M$1),('Diário 4º PA'!$F$4:$F$2564))</f>
        <v>0</v>
      </c>
      <c r="N130" s="183">
        <f>SUMPRODUCT(-('Diário 1º PA'!$E$4:$E$2635='Analítico Cx.'!$B130),-('Diário 1º PA'!$P$4:$P$2635=N$1),('Diário 1º PA'!$F$4:$F$2635))+SUMPRODUCT(-('Diário 2º PA'!$E$4:$E$3040='Analítico Cx.'!$B130),-('Diário 2º PA'!$P$4:$P$3040=N$1),('Diário 2º PA'!$F$4:$F$3040))+SUMPRODUCT(-('Diário 3º PA'!$E$4:$E$2731='Analítico Cx.'!$B130),-('Diário 3º PA'!$P$4:$P$2731=N$1),('Diário 3º PA'!$F$4:$F$2731))+SUMPRODUCT(-('Diário 4º PA'!$E$4:$E$2564='Analítico Cx.'!$B130),-('Diário 4º PA'!$P$4:$P$2564=N$1),('Diário 4º PA'!$F$4:$F$2564))</f>
        <v>0</v>
      </c>
      <c r="O130" s="184">
        <f t="shared" si="18"/>
        <v>43900</v>
      </c>
      <c r="P130" s="167">
        <f t="shared" si="19"/>
        <v>3.457785467409566E-3</v>
      </c>
    </row>
    <row r="131" spans="1:16" ht="23.25" customHeight="1" x14ac:dyDescent="0.2">
      <c r="A131" s="61" t="s">
        <v>422</v>
      </c>
      <c r="B131" s="387" t="s">
        <v>450</v>
      </c>
      <c r="C131" s="183">
        <f>SUMPRODUCT(-('Diário 1º PA'!$E$4:$E$2635='Analítico Cx.'!$B131),-('Diário 1º PA'!$P$4:$P$2635=C$1),('Diário 1º PA'!$F$4:$F$2635))+SUMPRODUCT(-('Diário 2º PA'!$E$4:$E$3040='Analítico Cx.'!$B131),-('Diário 2º PA'!$P$4:$P$3040=C$1),('Diário 2º PA'!$F$4:$F$3040))+SUMPRODUCT(-('Diário 3º PA'!$E$4:$E$2731='Analítico Cx.'!$B131),-('Diário 3º PA'!$P$4:$P$2731=C$1),('Diário 3º PA'!$F$4:$F$2731))+SUMPRODUCT(-('Diário 4º PA'!$E$4:$E$2564='Analítico Cx.'!$B131),-('Diário 4º PA'!$P$4:$P$2564=C$1),('Diário 4º PA'!$F$4:$F$2564))</f>
        <v>0</v>
      </c>
      <c r="D131" s="183">
        <f>SUMPRODUCT(-('Diário 1º PA'!$E$4:$E$2635='Analítico Cx.'!$B131),-('Diário 1º PA'!$P$4:$P$2635=D$1),('Diário 1º PA'!$F$4:$F$2635))+SUMPRODUCT(-('Diário 2º PA'!$E$4:$E$3040='Analítico Cx.'!$B131),-('Diário 2º PA'!$P$4:$P$3040=D$1),('Diário 2º PA'!$F$4:$F$3040))+SUMPRODUCT(-('Diário 3º PA'!$E$4:$E$2731='Analítico Cx.'!$B131),-('Diário 3º PA'!$P$4:$P$2731=D$1),('Diário 3º PA'!$F$4:$F$2731))+SUMPRODUCT(-('Diário 4º PA'!$E$4:$E$2564='Analítico Cx.'!$B131),-('Diário 4º PA'!$P$4:$P$2564=D$1),('Diário 4º PA'!$F$4:$F$2564))</f>
        <v>793.8</v>
      </c>
      <c r="E131" s="183">
        <f>SUMPRODUCT(-('Diário 1º PA'!$E$4:$E$2635='Analítico Cx.'!$B131),-('Diário 1º PA'!$P$4:$P$2635=E$1),('Diário 1º PA'!$F$4:$F$2635))+SUMPRODUCT(-('Diário 2º PA'!$E$4:$E$3040='Analítico Cx.'!$B131),-('Diário 2º PA'!$P$4:$P$3040=E$1),('Diário 2º PA'!$F$4:$F$3040))+SUMPRODUCT(-('Diário 3º PA'!$E$4:$E$2731='Analítico Cx.'!$B131),-('Diário 3º PA'!$P$4:$P$2731=E$1),('Diário 3º PA'!$F$4:$F$2731))+SUMPRODUCT(-('Diário 4º PA'!$E$4:$E$2564='Analítico Cx.'!$B131),-('Diário 4º PA'!$P$4:$P$2564=E$1),('Diário 4º PA'!$F$4:$F$2564))</f>
        <v>810</v>
      </c>
      <c r="F131" s="183">
        <f>SUMPRODUCT(-('Diário 1º PA'!$E$4:$E$2635='Analítico Cx.'!$B131),-('Diário 1º PA'!$P$4:$P$2635=F$1),('Diário 1º PA'!$F$4:$F$2635))+SUMPRODUCT(-('Diário 2º PA'!$E$4:$E$3040='Analítico Cx.'!$B131),-('Diário 2º PA'!$P$4:$P$3040=F$1),('Diário 2º PA'!$F$4:$F$3040))+SUMPRODUCT(-('Diário 3º PA'!$E$4:$E$2731='Analítico Cx.'!$B131),-('Diário 3º PA'!$P$4:$P$2731=F$1),('Diário 3º PA'!$F$4:$F$2731))+SUMPRODUCT(-('Diário 4º PA'!$E$4:$E$2564='Analítico Cx.'!$B131),-('Diário 4º PA'!$P$4:$P$2564=F$1),('Diário 4º PA'!$F$4:$F$2564))</f>
        <v>16.2</v>
      </c>
      <c r="G131" s="183">
        <f>SUMPRODUCT(-('Diário 1º PA'!$E$4:$E$2635='Analítico Cx.'!$B131),-('Diário 1º PA'!$P$4:$P$2635=G$1),('Diário 1º PA'!$F$4:$F$2635))+SUMPRODUCT(-('Diário 2º PA'!$E$4:$E$3040='Analítico Cx.'!$B131),-('Diário 2º PA'!$P$4:$P$3040=G$1),('Diário 2º PA'!$F$4:$F$3040))+SUMPRODUCT(-('Diário 3º PA'!$E$4:$E$2731='Analítico Cx.'!$B131),-('Diário 3º PA'!$P$4:$P$2731=G$1),('Diário 3º PA'!$F$4:$F$2731))+SUMPRODUCT(-('Diário 4º PA'!$E$4:$E$2564='Analítico Cx.'!$B131),-('Diário 4º PA'!$P$4:$P$2564=G$1),('Diário 4º PA'!$F$4:$F$2564))</f>
        <v>6957.3799999999992</v>
      </c>
      <c r="H131" s="183">
        <f>SUMPRODUCT(-('Diário 1º PA'!$E$4:$E$2635='Analítico Cx.'!$B131),-('Diário 1º PA'!$P$4:$P$2635=H$1),('Diário 1º PA'!$F$4:$F$2635))+SUMPRODUCT(-('Diário 2º PA'!$E$4:$E$3040='Analítico Cx.'!$B131),-('Diário 2º PA'!$P$4:$P$3040=H$1),('Diário 2º PA'!$F$4:$F$3040))+SUMPRODUCT(-('Diário 3º PA'!$E$4:$E$2731='Analítico Cx.'!$B131),-('Diário 3º PA'!$P$4:$P$2731=H$1),('Diário 3º PA'!$F$4:$F$2731))+SUMPRODUCT(-('Diário 4º PA'!$E$4:$E$2564='Analítico Cx.'!$B131),-('Diário 4º PA'!$P$4:$P$2564=H$1),('Diário 4º PA'!$F$4:$F$2564))</f>
        <v>8362.9399999999987</v>
      </c>
      <c r="I131" s="183">
        <f>SUMPRODUCT(-('Diário 1º PA'!$E$4:$E$2635='Analítico Cx.'!$B131),-('Diário 1º PA'!$P$4:$P$2635=I$1),('Diário 1º PA'!$F$4:$F$2635))+SUMPRODUCT(-('Diário 2º PA'!$E$4:$E$3040='Analítico Cx.'!$B131),-('Diário 2º PA'!$P$4:$P$3040=I$1),('Diário 2º PA'!$F$4:$F$3040))+SUMPRODUCT(-('Diário 3º PA'!$E$4:$E$2731='Analítico Cx.'!$B131),-('Diário 3º PA'!$P$4:$P$2731=I$1),('Diário 3º PA'!$F$4:$F$2731))+SUMPRODUCT(-('Diário 4º PA'!$E$4:$E$2564='Analítico Cx.'!$B131),-('Diário 4º PA'!$P$4:$P$2564=I$1),('Diário 4º PA'!$F$4:$F$2564))</f>
        <v>5337.27</v>
      </c>
      <c r="J131" s="183">
        <f>SUMPRODUCT(-('Diário 1º PA'!$E$4:$E$2635='Analítico Cx.'!$B131),-('Diário 1º PA'!$P$4:$P$2635=J$1),('Diário 1º PA'!$F$4:$F$2635))+SUMPRODUCT(-('Diário 2º PA'!$E$4:$E$3040='Analítico Cx.'!$B131),-('Diário 2º PA'!$P$4:$P$3040=J$1),('Diário 2º PA'!$F$4:$F$3040))+SUMPRODUCT(-('Diário 3º PA'!$E$4:$E$2731='Analítico Cx.'!$B131),-('Diário 3º PA'!$P$4:$P$2731=J$1),('Diário 3º PA'!$F$4:$F$2731))+SUMPRODUCT(-('Diário 4º PA'!$E$4:$E$2564='Analítico Cx.'!$B131),-('Diário 4º PA'!$P$4:$P$2564=J$1),('Diário 4º PA'!$F$4:$F$2564))</f>
        <v>10518.2</v>
      </c>
      <c r="K131" s="183">
        <f>SUMPRODUCT(-('Diário 1º PA'!$E$4:$E$2635='Analítico Cx.'!$B131),-('Diário 1º PA'!$P$4:$P$2635=K$1),('Diário 1º PA'!$F$4:$F$2635))+SUMPRODUCT(-('Diário 2º PA'!$E$4:$E$3040='Analítico Cx.'!$B131),-('Diário 2º PA'!$P$4:$P$3040=K$1),('Diário 2º PA'!$F$4:$F$3040))+SUMPRODUCT(-('Diário 3º PA'!$E$4:$E$2731='Analítico Cx.'!$B131),-('Diário 3º PA'!$P$4:$P$2731=K$1),('Diário 3º PA'!$F$4:$F$2731))+SUMPRODUCT(-('Diário 4º PA'!$E$4:$E$2564='Analítico Cx.'!$B131),-('Diário 4º PA'!$P$4:$P$2564=K$1),('Diário 4º PA'!$F$4:$F$2564))</f>
        <v>3512.1000000000004</v>
      </c>
      <c r="L131" s="183">
        <f>SUMPRODUCT(-('Diário 1º PA'!$E$4:$E$2635='Analítico Cx.'!$B131),-('Diário 1º PA'!$P$4:$P$2635=L$1),('Diário 1º PA'!$F$4:$F$2635))+SUMPRODUCT(-('Diário 2º PA'!$E$4:$E$3040='Analítico Cx.'!$B131),-('Diário 2º PA'!$P$4:$P$3040=L$1),('Diário 2º PA'!$F$4:$F$3040))+SUMPRODUCT(-('Diário 3º PA'!$E$4:$E$2731='Analítico Cx.'!$B131),-('Diário 3º PA'!$P$4:$P$2731=L$1),('Diário 3º PA'!$F$4:$F$2731))+SUMPRODUCT(-('Diário 4º PA'!$E$4:$E$2564='Analítico Cx.'!$B131),-('Diário 4º PA'!$P$4:$P$2564=L$1),('Diário 4º PA'!$F$4:$F$2564))</f>
        <v>3360</v>
      </c>
      <c r="M131" s="183">
        <f>SUMPRODUCT(-('Diário 1º PA'!$E$4:$E$2635='Analítico Cx.'!$B131),-('Diário 1º PA'!$P$4:$P$2635=M$1),('Diário 1º PA'!$F$4:$F$2635))+SUMPRODUCT(-('Diário 2º PA'!$E$4:$E$3040='Analítico Cx.'!$B131),-('Diário 2º PA'!$P$4:$P$3040=M$1),('Diário 2º PA'!$F$4:$F$3040))+SUMPRODUCT(-('Diário 3º PA'!$E$4:$E$2731='Analítico Cx.'!$B131),-('Diário 3º PA'!$P$4:$P$2731=M$1),('Diário 3º PA'!$F$4:$F$2731))+SUMPRODUCT(-('Diário 4º PA'!$E$4:$E$2564='Analítico Cx.'!$B131),-('Diário 4º PA'!$P$4:$P$2564=M$1),('Diário 4º PA'!$F$4:$F$2564))</f>
        <v>1052.0999999999999</v>
      </c>
      <c r="N131" s="183">
        <f>SUMPRODUCT(-('Diário 1º PA'!$E$4:$E$2635='Analítico Cx.'!$B131),-('Diário 1º PA'!$P$4:$P$2635=N$1),('Diário 1º PA'!$F$4:$F$2635))+SUMPRODUCT(-('Diário 2º PA'!$E$4:$E$3040='Analítico Cx.'!$B131),-('Diário 2º PA'!$P$4:$P$3040=N$1),('Diário 2º PA'!$F$4:$F$3040))+SUMPRODUCT(-('Diário 3º PA'!$E$4:$E$2731='Analítico Cx.'!$B131),-('Diário 3º PA'!$P$4:$P$2731=N$1),('Diário 3º PA'!$F$4:$F$2731))+SUMPRODUCT(-('Diário 4º PA'!$E$4:$E$2564='Analítico Cx.'!$B131),-('Diário 4º PA'!$P$4:$P$2564=N$1),('Diário 4º PA'!$F$4:$F$2564))</f>
        <v>0</v>
      </c>
      <c r="O131" s="184">
        <f t="shared" si="18"/>
        <v>40719.99</v>
      </c>
      <c r="P131" s="167">
        <f t="shared" si="19"/>
        <v>3.2073118372451673E-3</v>
      </c>
    </row>
    <row r="132" spans="1:16" ht="23.25" customHeight="1" x14ac:dyDescent="0.2">
      <c r="A132" s="61" t="s">
        <v>423</v>
      </c>
      <c r="B132" s="387" t="s">
        <v>451</v>
      </c>
      <c r="C132" s="183">
        <f>SUMPRODUCT(-('Diário 1º PA'!$E$4:$E$2635='Analítico Cx.'!$B132),-('Diário 1º PA'!$P$4:$P$2635=C$1),('Diário 1º PA'!$F$4:$F$2635))+SUMPRODUCT(-('Diário 2º PA'!$E$4:$E$3040='Analítico Cx.'!$B132),-('Diário 2º PA'!$P$4:$P$3040=C$1),('Diário 2º PA'!$F$4:$F$3040))+SUMPRODUCT(-('Diário 3º PA'!$E$4:$E$2731='Analítico Cx.'!$B132),-('Diário 3º PA'!$P$4:$P$2731=C$1),('Diário 3º PA'!$F$4:$F$2731))+SUMPRODUCT(-('Diário 4º PA'!$E$4:$E$2564='Analítico Cx.'!$B132),-('Diário 4º PA'!$P$4:$P$2564=C$1),('Diário 4º PA'!$F$4:$F$2564))</f>
        <v>0</v>
      </c>
      <c r="D132" s="183">
        <f>SUMPRODUCT(-('Diário 1º PA'!$E$4:$E$2635='Analítico Cx.'!$B132),-('Diário 1º PA'!$P$4:$P$2635=D$1),('Diário 1º PA'!$F$4:$F$2635))+SUMPRODUCT(-('Diário 2º PA'!$E$4:$E$3040='Analítico Cx.'!$B132),-('Diário 2º PA'!$P$4:$P$3040=D$1),('Diário 2º PA'!$F$4:$F$3040))+SUMPRODUCT(-('Diário 3º PA'!$E$4:$E$2731='Analítico Cx.'!$B132),-('Diário 3º PA'!$P$4:$P$2731=D$1),('Diário 3º PA'!$F$4:$F$2731))+SUMPRODUCT(-('Diário 4º PA'!$E$4:$E$2564='Analítico Cx.'!$B132),-('Diário 4º PA'!$P$4:$P$2564=D$1),('Diário 4º PA'!$F$4:$F$2564))</f>
        <v>0</v>
      </c>
      <c r="E132" s="183">
        <f>SUMPRODUCT(-('Diário 1º PA'!$E$4:$E$2635='Analítico Cx.'!$B132),-('Diário 1º PA'!$P$4:$P$2635=E$1),('Diário 1º PA'!$F$4:$F$2635))+SUMPRODUCT(-('Diário 2º PA'!$E$4:$E$3040='Analítico Cx.'!$B132),-('Diário 2º PA'!$P$4:$P$3040=E$1),('Diário 2º PA'!$F$4:$F$3040))+SUMPRODUCT(-('Diário 3º PA'!$E$4:$E$2731='Analítico Cx.'!$B132),-('Diário 3º PA'!$P$4:$P$2731=E$1),('Diário 3º PA'!$F$4:$F$2731))+SUMPRODUCT(-('Diário 4º PA'!$E$4:$E$2564='Analítico Cx.'!$B132),-('Diário 4º PA'!$P$4:$P$2564=E$1),('Diário 4º PA'!$F$4:$F$2564))</f>
        <v>0</v>
      </c>
      <c r="F132" s="183">
        <f>SUMPRODUCT(-('Diário 1º PA'!$E$4:$E$2635='Analítico Cx.'!$B132),-('Diário 1º PA'!$P$4:$P$2635=F$1),('Diário 1º PA'!$F$4:$F$2635))+SUMPRODUCT(-('Diário 2º PA'!$E$4:$E$3040='Analítico Cx.'!$B132),-('Diário 2º PA'!$P$4:$P$3040=F$1),('Diário 2º PA'!$F$4:$F$3040))+SUMPRODUCT(-('Diário 3º PA'!$E$4:$E$2731='Analítico Cx.'!$B132),-('Diário 3º PA'!$P$4:$P$2731=F$1),('Diário 3º PA'!$F$4:$F$2731))+SUMPRODUCT(-('Diário 4º PA'!$E$4:$E$2564='Analítico Cx.'!$B132),-('Diário 4º PA'!$P$4:$P$2564=F$1),('Diário 4º PA'!$F$4:$F$2564))</f>
        <v>0</v>
      </c>
      <c r="G132" s="183">
        <f>SUMPRODUCT(-('Diário 1º PA'!$E$4:$E$2635='Analítico Cx.'!$B132),-('Diário 1º PA'!$P$4:$P$2635=G$1),('Diário 1º PA'!$F$4:$F$2635))+SUMPRODUCT(-('Diário 2º PA'!$E$4:$E$3040='Analítico Cx.'!$B132),-('Diário 2º PA'!$P$4:$P$3040=G$1),('Diário 2º PA'!$F$4:$F$3040))+SUMPRODUCT(-('Diário 3º PA'!$E$4:$E$2731='Analítico Cx.'!$B132),-('Diário 3º PA'!$P$4:$P$2731=G$1),('Diário 3º PA'!$F$4:$F$2731))+SUMPRODUCT(-('Diário 4º PA'!$E$4:$E$2564='Analítico Cx.'!$B132),-('Diário 4º PA'!$P$4:$P$2564=G$1),('Diário 4º PA'!$F$4:$F$2564))</f>
        <v>0</v>
      </c>
      <c r="H132" s="183">
        <f>SUMPRODUCT(-('Diário 1º PA'!$E$4:$E$2635='Analítico Cx.'!$B132),-('Diário 1º PA'!$P$4:$P$2635=H$1),('Diário 1º PA'!$F$4:$F$2635))+SUMPRODUCT(-('Diário 2º PA'!$E$4:$E$3040='Analítico Cx.'!$B132),-('Diário 2º PA'!$P$4:$P$3040=H$1),('Diário 2º PA'!$F$4:$F$3040))+SUMPRODUCT(-('Diário 3º PA'!$E$4:$E$2731='Analítico Cx.'!$B132),-('Diário 3º PA'!$P$4:$P$2731=H$1),('Diário 3º PA'!$F$4:$F$2731))+SUMPRODUCT(-('Diário 4º PA'!$E$4:$E$2564='Analítico Cx.'!$B132),-('Diário 4º PA'!$P$4:$P$2564=H$1),('Diário 4º PA'!$F$4:$F$2564))</f>
        <v>0</v>
      </c>
      <c r="I132" s="183">
        <f>SUMPRODUCT(-('Diário 1º PA'!$E$4:$E$2635='Analítico Cx.'!$B132),-('Diário 1º PA'!$P$4:$P$2635=I$1),('Diário 1º PA'!$F$4:$F$2635))+SUMPRODUCT(-('Diário 2º PA'!$E$4:$E$3040='Analítico Cx.'!$B132),-('Diário 2º PA'!$P$4:$P$3040=I$1),('Diário 2º PA'!$F$4:$F$3040))+SUMPRODUCT(-('Diário 3º PA'!$E$4:$E$2731='Analítico Cx.'!$B132),-('Diário 3º PA'!$P$4:$P$2731=I$1),('Diário 3º PA'!$F$4:$F$2731))+SUMPRODUCT(-('Diário 4º PA'!$E$4:$E$2564='Analítico Cx.'!$B132),-('Diário 4º PA'!$P$4:$P$2564=I$1),('Diário 4º PA'!$F$4:$F$2564))</f>
        <v>0</v>
      </c>
      <c r="J132" s="183">
        <f>SUMPRODUCT(-('Diário 1º PA'!$E$4:$E$2635='Analítico Cx.'!$B132),-('Diário 1º PA'!$P$4:$P$2635=J$1),('Diário 1º PA'!$F$4:$F$2635))+SUMPRODUCT(-('Diário 2º PA'!$E$4:$E$3040='Analítico Cx.'!$B132),-('Diário 2º PA'!$P$4:$P$3040=J$1),('Diário 2º PA'!$F$4:$F$3040))+SUMPRODUCT(-('Diário 3º PA'!$E$4:$E$2731='Analítico Cx.'!$B132),-('Diário 3º PA'!$P$4:$P$2731=J$1),('Diário 3º PA'!$F$4:$F$2731))+SUMPRODUCT(-('Diário 4º PA'!$E$4:$E$2564='Analítico Cx.'!$B132),-('Diário 4º PA'!$P$4:$P$2564=J$1),('Diário 4º PA'!$F$4:$F$2564))</f>
        <v>2462.5500000000002</v>
      </c>
      <c r="K132" s="183">
        <f>SUMPRODUCT(-('Diário 1º PA'!$E$4:$E$2635='Analítico Cx.'!$B132),-('Diário 1º PA'!$P$4:$P$2635=K$1),('Diário 1º PA'!$F$4:$F$2635))+SUMPRODUCT(-('Diário 2º PA'!$E$4:$E$3040='Analítico Cx.'!$B132),-('Diário 2º PA'!$P$4:$P$3040=K$1),('Diário 2º PA'!$F$4:$F$3040))+SUMPRODUCT(-('Diário 3º PA'!$E$4:$E$2731='Analítico Cx.'!$B132),-('Diário 3º PA'!$P$4:$P$2731=K$1),('Diário 3º PA'!$F$4:$F$2731))+SUMPRODUCT(-('Diário 4º PA'!$E$4:$E$2564='Analítico Cx.'!$B132),-('Diário 4º PA'!$P$4:$P$2564=K$1),('Diário 4º PA'!$F$4:$F$2564))</f>
        <v>1297.43</v>
      </c>
      <c r="L132" s="183">
        <f>SUMPRODUCT(-('Diário 1º PA'!$E$4:$E$2635='Analítico Cx.'!$B132),-('Diário 1º PA'!$P$4:$P$2635=L$1),('Diário 1º PA'!$F$4:$F$2635))+SUMPRODUCT(-('Diário 2º PA'!$E$4:$E$3040='Analítico Cx.'!$B132),-('Diário 2º PA'!$P$4:$P$3040=L$1),('Diário 2º PA'!$F$4:$F$3040))+SUMPRODUCT(-('Diário 3º PA'!$E$4:$E$2731='Analítico Cx.'!$B132),-('Diário 3º PA'!$P$4:$P$2731=L$1),('Diário 3º PA'!$F$4:$F$2731))+SUMPRODUCT(-('Diário 4º PA'!$E$4:$E$2564='Analítico Cx.'!$B132),-('Diário 4º PA'!$P$4:$P$2564=L$1),('Diário 4º PA'!$F$4:$F$2564))</f>
        <v>64.98</v>
      </c>
      <c r="M132" s="183">
        <f>SUMPRODUCT(-('Diário 1º PA'!$E$4:$E$2635='Analítico Cx.'!$B132),-('Diário 1º PA'!$P$4:$P$2635=M$1),('Diário 1º PA'!$F$4:$F$2635))+SUMPRODUCT(-('Diário 2º PA'!$E$4:$E$3040='Analítico Cx.'!$B132),-('Diário 2º PA'!$P$4:$P$3040=M$1),('Diário 2º PA'!$F$4:$F$3040))+SUMPRODUCT(-('Diário 3º PA'!$E$4:$E$2731='Analítico Cx.'!$B132),-('Diário 3º PA'!$P$4:$P$2731=M$1),('Diário 3º PA'!$F$4:$F$2731))+SUMPRODUCT(-('Diário 4º PA'!$E$4:$E$2564='Analítico Cx.'!$B132),-('Diário 4º PA'!$P$4:$P$2564=M$1),('Diário 4º PA'!$F$4:$F$2564))</f>
        <v>0</v>
      </c>
      <c r="N132" s="183">
        <f>SUMPRODUCT(-('Diário 1º PA'!$E$4:$E$2635='Analítico Cx.'!$B132),-('Diário 1º PA'!$P$4:$P$2635=N$1),('Diário 1º PA'!$F$4:$F$2635))+SUMPRODUCT(-('Diário 2º PA'!$E$4:$E$3040='Analítico Cx.'!$B132),-('Diário 2º PA'!$P$4:$P$3040=N$1),('Diário 2º PA'!$F$4:$F$3040))+SUMPRODUCT(-('Diário 3º PA'!$E$4:$E$2731='Analítico Cx.'!$B132),-('Diário 3º PA'!$P$4:$P$2731=N$1),('Diário 3º PA'!$F$4:$F$2731))+SUMPRODUCT(-('Diário 4º PA'!$E$4:$E$2564='Analítico Cx.'!$B132),-('Diário 4º PA'!$P$4:$P$2564=N$1),('Diário 4º PA'!$F$4:$F$2564))</f>
        <v>3423.4</v>
      </c>
      <c r="O132" s="184">
        <f t="shared" si="18"/>
        <v>7248.3600000000006</v>
      </c>
      <c r="P132" s="167">
        <f t="shared" si="19"/>
        <v>5.7091740024038282E-4</v>
      </c>
    </row>
    <row r="133" spans="1:16" ht="23.25" customHeight="1" x14ac:dyDescent="0.2">
      <c r="A133" s="61" t="s">
        <v>424</v>
      </c>
      <c r="B133" s="387" t="s">
        <v>452</v>
      </c>
      <c r="C133" s="183">
        <f>SUMPRODUCT(-('Diário 1º PA'!$E$4:$E$2635='Analítico Cx.'!$B133),-('Diário 1º PA'!$P$4:$P$2635=C$1),('Diário 1º PA'!$F$4:$F$2635))+SUMPRODUCT(-('Diário 2º PA'!$E$4:$E$3040='Analítico Cx.'!$B133),-('Diário 2º PA'!$P$4:$P$3040=C$1),('Diário 2º PA'!$F$4:$F$3040))+SUMPRODUCT(-('Diário 3º PA'!$E$4:$E$2731='Analítico Cx.'!$B133),-('Diário 3º PA'!$P$4:$P$2731=C$1),('Diário 3º PA'!$F$4:$F$2731))+SUMPRODUCT(-('Diário 4º PA'!$E$4:$E$2564='Analítico Cx.'!$B133),-('Diário 4º PA'!$P$4:$P$2564=C$1),('Diário 4º PA'!$F$4:$F$2564))</f>
        <v>2400</v>
      </c>
      <c r="D133" s="183">
        <f>SUMPRODUCT(-('Diário 1º PA'!$E$4:$E$2635='Analítico Cx.'!$B133),-('Diário 1º PA'!$P$4:$P$2635=D$1),('Diário 1º PA'!$F$4:$F$2635))+SUMPRODUCT(-('Diário 2º PA'!$E$4:$E$3040='Analítico Cx.'!$B133),-('Diário 2º PA'!$P$4:$P$3040=D$1),('Diário 2º PA'!$F$4:$F$3040))+SUMPRODUCT(-('Diário 3º PA'!$E$4:$E$2731='Analítico Cx.'!$B133),-('Diário 3º PA'!$P$4:$P$2731=D$1),('Diário 3º PA'!$F$4:$F$2731))+SUMPRODUCT(-('Diário 4º PA'!$E$4:$E$2564='Analítico Cx.'!$B133),-('Diário 4º PA'!$P$4:$P$2564=D$1),('Diário 4º PA'!$F$4:$F$2564))</f>
        <v>3750</v>
      </c>
      <c r="E133" s="183">
        <f>SUMPRODUCT(-('Diário 1º PA'!$E$4:$E$2635='Analítico Cx.'!$B133),-('Diário 1º PA'!$P$4:$P$2635=E$1),('Diário 1º PA'!$F$4:$F$2635))+SUMPRODUCT(-('Diário 2º PA'!$E$4:$E$3040='Analítico Cx.'!$B133),-('Diário 2º PA'!$P$4:$P$3040=E$1),('Diário 2º PA'!$F$4:$F$3040))+SUMPRODUCT(-('Diário 3º PA'!$E$4:$E$2731='Analítico Cx.'!$B133),-('Diário 3º PA'!$P$4:$P$2731=E$1),('Diário 3º PA'!$F$4:$F$2731))+SUMPRODUCT(-('Diário 4º PA'!$E$4:$E$2564='Analítico Cx.'!$B133),-('Diário 4º PA'!$P$4:$P$2564=E$1),('Diário 4º PA'!$F$4:$F$2564))</f>
        <v>3750</v>
      </c>
      <c r="F133" s="183">
        <f>SUMPRODUCT(-('Diário 1º PA'!$E$4:$E$2635='Analítico Cx.'!$B133),-('Diário 1º PA'!$P$4:$P$2635=F$1),('Diário 1º PA'!$F$4:$F$2635))+SUMPRODUCT(-('Diário 2º PA'!$E$4:$E$3040='Analítico Cx.'!$B133),-('Diário 2º PA'!$P$4:$P$3040=F$1),('Diário 2º PA'!$F$4:$F$3040))+SUMPRODUCT(-('Diário 3º PA'!$E$4:$E$2731='Analítico Cx.'!$B133),-('Diário 3º PA'!$P$4:$P$2731=F$1),('Diário 3º PA'!$F$4:$F$2731))+SUMPRODUCT(-('Diário 4º PA'!$E$4:$E$2564='Analítico Cx.'!$B133),-('Diário 4º PA'!$P$4:$P$2564=F$1),('Diário 4º PA'!$F$4:$F$2564))</f>
        <v>918</v>
      </c>
      <c r="G133" s="183">
        <f>SUMPRODUCT(-('Diário 1º PA'!$E$4:$E$2635='Analítico Cx.'!$B133),-('Diário 1º PA'!$P$4:$P$2635=G$1),('Diário 1º PA'!$F$4:$F$2635))+SUMPRODUCT(-('Diário 2º PA'!$E$4:$E$3040='Analítico Cx.'!$B133),-('Diário 2º PA'!$P$4:$P$3040=G$1),('Diário 2º PA'!$F$4:$F$3040))+SUMPRODUCT(-('Diário 3º PA'!$E$4:$E$2731='Analítico Cx.'!$B133),-('Diário 3º PA'!$P$4:$P$2731=G$1),('Diário 3º PA'!$F$4:$F$2731))+SUMPRODUCT(-('Diário 4º PA'!$E$4:$E$2564='Analítico Cx.'!$B133),-('Diário 4º PA'!$P$4:$P$2564=G$1),('Diário 4º PA'!$F$4:$F$2564))</f>
        <v>4571.1000000000004</v>
      </c>
      <c r="H133" s="183">
        <f>SUMPRODUCT(-('Diário 1º PA'!$E$4:$E$2635='Analítico Cx.'!$B133),-('Diário 1º PA'!$P$4:$P$2635=H$1),('Diário 1º PA'!$F$4:$F$2635))+SUMPRODUCT(-('Diário 2º PA'!$E$4:$E$3040='Analítico Cx.'!$B133),-('Diário 2º PA'!$P$4:$P$3040=H$1),('Diário 2º PA'!$F$4:$F$3040))+SUMPRODUCT(-('Diário 3º PA'!$E$4:$E$2731='Analítico Cx.'!$B133),-('Diário 3º PA'!$P$4:$P$2731=H$1),('Diário 3º PA'!$F$4:$F$2731))+SUMPRODUCT(-('Diário 4º PA'!$E$4:$E$2564='Analítico Cx.'!$B133),-('Diário 4º PA'!$P$4:$P$2564=H$1),('Diário 4º PA'!$F$4:$F$2564))</f>
        <v>720</v>
      </c>
      <c r="I133" s="183">
        <f>SUMPRODUCT(-('Diário 1º PA'!$E$4:$E$2635='Analítico Cx.'!$B133),-('Diário 1º PA'!$P$4:$P$2635=I$1),('Diário 1º PA'!$F$4:$F$2635))+SUMPRODUCT(-('Diário 2º PA'!$E$4:$E$3040='Analítico Cx.'!$B133),-('Diário 2º PA'!$P$4:$P$3040=I$1),('Diário 2º PA'!$F$4:$F$3040))+SUMPRODUCT(-('Diário 3º PA'!$E$4:$E$2731='Analítico Cx.'!$B133),-('Diário 3º PA'!$P$4:$P$2731=I$1),('Diário 3º PA'!$F$4:$F$2731))+SUMPRODUCT(-('Diário 4º PA'!$E$4:$E$2564='Analítico Cx.'!$B133),-('Diário 4º PA'!$P$4:$P$2564=I$1),('Diário 4º PA'!$F$4:$F$2564))</f>
        <v>2500</v>
      </c>
      <c r="J133" s="183">
        <f>SUMPRODUCT(-('Diário 1º PA'!$E$4:$E$2635='Analítico Cx.'!$B133),-('Diário 1º PA'!$P$4:$P$2635=J$1),('Diário 1º PA'!$F$4:$F$2635))+SUMPRODUCT(-('Diário 2º PA'!$E$4:$E$3040='Analítico Cx.'!$B133),-('Diário 2º PA'!$P$4:$P$3040=J$1),('Diário 2º PA'!$F$4:$F$3040))+SUMPRODUCT(-('Diário 3º PA'!$E$4:$E$2731='Analítico Cx.'!$B133),-('Diário 3º PA'!$P$4:$P$2731=J$1),('Diário 3º PA'!$F$4:$F$2731))+SUMPRODUCT(-('Diário 4º PA'!$E$4:$E$2564='Analítico Cx.'!$B133),-('Diário 4º PA'!$P$4:$P$2564=J$1),('Diário 4º PA'!$F$4:$F$2564))</f>
        <v>6412.55</v>
      </c>
      <c r="K133" s="183">
        <f>SUMPRODUCT(-('Diário 1º PA'!$E$4:$E$2635='Analítico Cx.'!$B133),-('Diário 1º PA'!$P$4:$P$2635=K$1),('Diário 1º PA'!$F$4:$F$2635))+SUMPRODUCT(-('Diário 2º PA'!$E$4:$E$3040='Analítico Cx.'!$B133),-('Diário 2º PA'!$P$4:$P$3040=K$1),('Diário 2º PA'!$F$4:$F$3040))+SUMPRODUCT(-('Diário 3º PA'!$E$4:$E$2731='Analítico Cx.'!$B133),-('Diário 3º PA'!$P$4:$P$2731=K$1),('Diário 3º PA'!$F$4:$F$2731))+SUMPRODUCT(-('Diário 4º PA'!$E$4:$E$2564='Analítico Cx.'!$B133),-('Diário 4º PA'!$P$4:$P$2564=K$1),('Diário 4º PA'!$F$4:$F$2564))</f>
        <v>1137.45</v>
      </c>
      <c r="L133" s="183">
        <f>SUMPRODUCT(-('Diário 1º PA'!$E$4:$E$2635='Analítico Cx.'!$B133),-('Diário 1º PA'!$P$4:$P$2635=L$1),('Diário 1º PA'!$F$4:$F$2635))+SUMPRODUCT(-('Diário 2º PA'!$E$4:$E$3040='Analítico Cx.'!$B133),-('Diário 2º PA'!$P$4:$P$3040=L$1),('Diário 2º PA'!$F$4:$F$3040))+SUMPRODUCT(-('Diário 3º PA'!$E$4:$E$2731='Analítico Cx.'!$B133),-('Diário 3º PA'!$P$4:$P$2731=L$1),('Diário 3º PA'!$F$4:$F$2731))+SUMPRODUCT(-('Diário 4º PA'!$E$4:$E$2564='Analítico Cx.'!$B133),-('Diário 4º PA'!$P$4:$P$2564=L$1),('Diário 4º PA'!$F$4:$F$2564))</f>
        <v>0</v>
      </c>
      <c r="M133" s="183">
        <f>SUMPRODUCT(-('Diário 1º PA'!$E$4:$E$2635='Analítico Cx.'!$B133),-('Diário 1º PA'!$P$4:$P$2635=M$1),('Diário 1º PA'!$F$4:$F$2635))+SUMPRODUCT(-('Diário 2º PA'!$E$4:$E$3040='Analítico Cx.'!$B133),-('Diário 2º PA'!$P$4:$P$3040=M$1),('Diário 2º PA'!$F$4:$F$3040))+SUMPRODUCT(-('Diário 3º PA'!$E$4:$E$2731='Analítico Cx.'!$B133),-('Diário 3º PA'!$P$4:$P$2731=M$1),('Diário 3º PA'!$F$4:$F$2731))+SUMPRODUCT(-('Diário 4º PA'!$E$4:$E$2564='Analítico Cx.'!$B133),-('Diário 4º PA'!$P$4:$P$2564=M$1),('Diário 4º PA'!$F$4:$F$2564))</f>
        <v>0</v>
      </c>
      <c r="N133" s="183">
        <f>SUMPRODUCT(-('Diário 1º PA'!$E$4:$E$2635='Analítico Cx.'!$B133),-('Diário 1º PA'!$P$4:$P$2635=N$1),('Diário 1º PA'!$F$4:$F$2635))+SUMPRODUCT(-('Diário 2º PA'!$E$4:$E$3040='Analítico Cx.'!$B133),-('Diário 2º PA'!$P$4:$P$3040=N$1),('Diário 2º PA'!$F$4:$F$3040))+SUMPRODUCT(-('Diário 3º PA'!$E$4:$E$2731='Analítico Cx.'!$B133),-('Diário 3º PA'!$P$4:$P$2731=N$1),('Diário 3º PA'!$F$4:$F$2731))+SUMPRODUCT(-('Diário 4º PA'!$E$4:$E$2564='Analítico Cx.'!$B133),-('Diário 4º PA'!$P$4:$P$2564=N$1),('Diário 4º PA'!$F$4:$F$2564))</f>
        <v>10700</v>
      </c>
      <c r="O133" s="184">
        <f t="shared" si="18"/>
        <v>36859.1</v>
      </c>
      <c r="P133" s="167">
        <f t="shared" si="19"/>
        <v>2.9032086633666498E-3</v>
      </c>
    </row>
    <row r="134" spans="1:16" ht="23.25" customHeight="1" x14ac:dyDescent="0.2">
      <c r="A134" s="61" t="s">
        <v>425</v>
      </c>
      <c r="B134" s="387" t="s">
        <v>453</v>
      </c>
      <c r="C134" s="183">
        <f>SUMPRODUCT(-('Diário 1º PA'!$E$4:$E$2635='Analítico Cx.'!$B134),-('Diário 1º PA'!$P$4:$P$2635=C$1),('Diário 1º PA'!$F$4:$F$2635))+SUMPRODUCT(-('Diário 2º PA'!$E$4:$E$3040='Analítico Cx.'!$B134),-('Diário 2º PA'!$P$4:$P$3040=C$1),('Diário 2º PA'!$F$4:$F$3040))+SUMPRODUCT(-('Diário 3º PA'!$E$4:$E$2731='Analítico Cx.'!$B134),-('Diário 3º PA'!$P$4:$P$2731=C$1),('Diário 3º PA'!$F$4:$F$2731))+SUMPRODUCT(-('Diário 4º PA'!$E$4:$E$2564='Analítico Cx.'!$B134),-('Diário 4º PA'!$P$4:$P$2564=C$1),('Diário 4º PA'!$F$4:$F$2564))</f>
        <v>27011.94</v>
      </c>
      <c r="D134" s="183">
        <f>SUMPRODUCT(-('Diário 1º PA'!$E$4:$E$2635='Analítico Cx.'!$B134),-('Diário 1º PA'!$P$4:$P$2635=D$1),('Diário 1º PA'!$F$4:$F$2635))+SUMPRODUCT(-('Diário 2º PA'!$E$4:$E$3040='Analítico Cx.'!$B134),-('Diário 2º PA'!$P$4:$P$3040=D$1),('Diário 2º PA'!$F$4:$F$3040))+SUMPRODUCT(-('Diário 3º PA'!$E$4:$E$2731='Analítico Cx.'!$B134),-('Diário 3º PA'!$P$4:$P$2731=D$1),('Diário 3º PA'!$F$4:$F$2731))+SUMPRODUCT(-('Diário 4º PA'!$E$4:$E$2564='Analítico Cx.'!$B134),-('Diário 4º PA'!$P$4:$P$2564=D$1),('Diário 4º PA'!$F$4:$F$2564))</f>
        <v>28118.520000000008</v>
      </c>
      <c r="E134" s="183">
        <f>SUMPRODUCT(-('Diário 1º PA'!$E$4:$E$2635='Analítico Cx.'!$B134),-('Diário 1º PA'!$P$4:$P$2635=E$1),('Diário 1º PA'!$F$4:$F$2635))+SUMPRODUCT(-('Diário 2º PA'!$E$4:$E$3040='Analítico Cx.'!$B134),-('Diário 2º PA'!$P$4:$P$3040=E$1),('Diário 2º PA'!$F$4:$F$3040))+SUMPRODUCT(-('Diário 3º PA'!$E$4:$E$2731='Analítico Cx.'!$B134),-('Diário 3º PA'!$P$4:$P$2731=E$1),('Diário 3º PA'!$F$4:$F$2731))+SUMPRODUCT(-('Diário 4º PA'!$E$4:$E$2564='Analítico Cx.'!$B134),-('Diário 4º PA'!$P$4:$P$2564=E$1),('Diário 4º PA'!$F$4:$F$2564))</f>
        <v>31308.720000000012</v>
      </c>
      <c r="F134" s="183">
        <f>SUMPRODUCT(-('Diário 1º PA'!$E$4:$E$2635='Analítico Cx.'!$B134),-('Diário 1º PA'!$P$4:$P$2635=F$1),('Diário 1º PA'!$F$4:$F$2635))+SUMPRODUCT(-('Diário 2º PA'!$E$4:$E$3040='Analítico Cx.'!$B134),-('Diário 2º PA'!$P$4:$P$3040=F$1),('Diário 2º PA'!$F$4:$F$3040))+SUMPRODUCT(-('Diário 3º PA'!$E$4:$E$2731='Analítico Cx.'!$B134),-('Diário 3º PA'!$P$4:$P$2731=F$1),('Diário 3º PA'!$F$4:$F$2731))+SUMPRODUCT(-('Diário 4º PA'!$E$4:$E$2564='Analítico Cx.'!$B134),-('Diário 4º PA'!$P$4:$P$2564=F$1),('Diário 4º PA'!$F$4:$F$2564))</f>
        <v>15815.31</v>
      </c>
      <c r="G134" s="183">
        <f>SUMPRODUCT(-('Diário 1º PA'!$E$4:$E$2635='Analítico Cx.'!$B134),-('Diário 1º PA'!$P$4:$P$2635=G$1),('Diário 1º PA'!$F$4:$F$2635))+SUMPRODUCT(-('Diário 2º PA'!$E$4:$E$3040='Analítico Cx.'!$B134),-('Diário 2º PA'!$P$4:$P$3040=G$1),('Diário 2º PA'!$F$4:$F$3040))+SUMPRODUCT(-('Diário 3º PA'!$E$4:$E$2731='Analítico Cx.'!$B134),-('Diário 3º PA'!$P$4:$P$2731=G$1),('Diário 3º PA'!$F$4:$F$2731))+SUMPRODUCT(-('Diário 4º PA'!$E$4:$E$2564='Analítico Cx.'!$B134),-('Diário 4º PA'!$P$4:$P$2564=G$1),('Diário 4º PA'!$F$4:$F$2564))</f>
        <v>26618.41</v>
      </c>
      <c r="H134" s="183">
        <f>SUMPRODUCT(-('Diário 1º PA'!$E$4:$E$2635='Analítico Cx.'!$B134),-('Diário 1º PA'!$P$4:$P$2635=H$1),('Diário 1º PA'!$F$4:$F$2635))+SUMPRODUCT(-('Diário 2º PA'!$E$4:$E$3040='Analítico Cx.'!$B134),-('Diário 2º PA'!$P$4:$P$3040=H$1),('Diário 2º PA'!$F$4:$F$3040))+SUMPRODUCT(-('Diário 3º PA'!$E$4:$E$2731='Analítico Cx.'!$B134),-('Diário 3º PA'!$P$4:$P$2731=H$1),('Diário 3º PA'!$F$4:$F$2731))+SUMPRODUCT(-('Diário 4º PA'!$E$4:$E$2564='Analítico Cx.'!$B134),-('Diário 4º PA'!$P$4:$P$2564=H$1),('Diário 4º PA'!$F$4:$F$2564))</f>
        <v>31972.520000000004</v>
      </c>
      <c r="I134" s="183">
        <f>SUMPRODUCT(-('Diário 1º PA'!$E$4:$E$2635='Analítico Cx.'!$B134),-('Diário 1º PA'!$P$4:$P$2635=I$1),('Diário 1º PA'!$F$4:$F$2635))+SUMPRODUCT(-('Diário 2º PA'!$E$4:$E$3040='Analítico Cx.'!$B134),-('Diário 2º PA'!$P$4:$P$3040=I$1),('Diário 2º PA'!$F$4:$F$3040))+SUMPRODUCT(-('Diário 3º PA'!$E$4:$E$2731='Analítico Cx.'!$B134),-('Diário 3º PA'!$P$4:$P$2731=I$1),('Diário 3º PA'!$F$4:$F$2731))+SUMPRODUCT(-('Diário 4º PA'!$E$4:$E$2564='Analítico Cx.'!$B134),-('Diário 4º PA'!$P$4:$P$2564=I$1),('Diário 4º PA'!$F$4:$F$2564))</f>
        <v>23043.589999999997</v>
      </c>
      <c r="J134" s="183">
        <f>SUMPRODUCT(-('Diário 1º PA'!$E$4:$E$2635='Analítico Cx.'!$B134),-('Diário 1º PA'!$P$4:$P$2635=J$1),('Diário 1º PA'!$F$4:$F$2635))+SUMPRODUCT(-('Diário 2º PA'!$E$4:$E$3040='Analítico Cx.'!$B134),-('Diário 2º PA'!$P$4:$P$3040=J$1),('Diário 2º PA'!$F$4:$F$3040))+SUMPRODUCT(-('Diário 3º PA'!$E$4:$E$2731='Analítico Cx.'!$B134),-('Diário 3º PA'!$P$4:$P$2731=J$1),('Diário 3º PA'!$F$4:$F$2731))+SUMPRODUCT(-('Diário 4º PA'!$E$4:$E$2564='Analítico Cx.'!$B134),-('Diário 4º PA'!$P$4:$P$2564=J$1),('Diário 4º PA'!$F$4:$F$2564))</f>
        <v>8144.55</v>
      </c>
      <c r="K134" s="183">
        <f>SUMPRODUCT(-('Diário 1º PA'!$E$4:$E$2635='Analítico Cx.'!$B134),-('Diário 1º PA'!$P$4:$P$2635=K$1),('Diário 1º PA'!$F$4:$F$2635))+SUMPRODUCT(-('Diário 2º PA'!$E$4:$E$3040='Analítico Cx.'!$B134),-('Diário 2º PA'!$P$4:$P$3040=K$1),('Diário 2º PA'!$F$4:$F$3040))+SUMPRODUCT(-('Diário 3º PA'!$E$4:$E$2731='Analítico Cx.'!$B134),-('Diário 3º PA'!$P$4:$P$2731=K$1),('Diário 3º PA'!$F$4:$F$2731))+SUMPRODUCT(-('Diário 4º PA'!$E$4:$E$2564='Analítico Cx.'!$B134),-('Diário 4º PA'!$P$4:$P$2564=K$1),('Diário 4º PA'!$F$4:$F$2564))</f>
        <v>8881.1</v>
      </c>
      <c r="L134" s="183">
        <f>SUMPRODUCT(-('Diário 1º PA'!$E$4:$E$2635='Analítico Cx.'!$B134),-('Diário 1º PA'!$P$4:$P$2635=L$1),('Diário 1º PA'!$F$4:$F$2635))+SUMPRODUCT(-('Diário 2º PA'!$E$4:$E$3040='Analítico Cx.'!$B134),-('Diário 2º PA'!$P$4:$P$3040=L$1),('Diário 2º PA'!$F$4:$F$3040))+SUMPRODUCT(-('Diário 3º PA'!$E$4:$E$2731='Analítico Cx.'!$B134),-('Diário 3º PA'!$P$4:$P$2731=L$1),('Diário 3º PA'!$F$4:$F$2731))+SUMPRODUCT(-('Diário 4º PA'!$E$4:$E$2564='Analítico Cx.'!$B134),-('Diário 4º PA'!$P$4:$P$2564=L$1),('Diário 4º PA'!$F$4:$F$2564))</f>
        <v>7705.7599999999993</v>
      </c>
      <c r="M134" s="183">
        <f>SUMPRODUCT(-('Diário 1º PA'!$E$4:$E$2635='Analítico Cx.'!$B134),-('Diário 1º PA'!$P$4:$P$2635=M$1),('Diário 1º PA'!$F$4:$F$2635))+SUMPRODUCT(-('Diário 2º PA'!$E$4:$E$3040='Analítico Cx.'!$B134),-('Diário 2º PA'!$P$4:$P$3040=M$1),('Diário 2º PA'!$F$4:$F$3040))+SUMPRODUCT(-('Diário 3º PA'!$E$4:$E$2731='Analítico Cx.'!$B134),-('Diário 3º PA'!$P$4:$P$2731=M$1),('Diário 3º PA'!$F$4:$F$2731))+SUMPRODUCT(-('Diário 4º PA'!$E$4:$E$2564='Analítico Cx.'!$B134),-('Diário 4º PA'!$P$4:$P$2564=M$1),('Diário 4º PA'!$F$4:$F$2564))</f>
        <v>2970.26</v>
      </c>
      <c r="N134" s="183">
        <f>SUMPRODUCT(-('Diário 1º PA'!$E$4:$E$2635='Analítico Cx.'!$B134),-('Diário 1º PA'!$P$4:$P$2635=N$1),('Diário 1º PA'!$F$4:$F$2635))+SUMPRODUCT(-('Diário 2º PA'!$E$4:$E$3040='Analítico Cx.'!$B134),-('Diário 2º PA'!$P$4:$P$3040=N$1),('Diário 2º PA'!$F$4:$F$3040))+SUMPRODUCT(-('Diário 3º PA'!$E$4:$E$2731='Analítico Cx.'!$B134),-('Diário 3º PA'!$P$4:$P$2731=N$1),('Diário 3º PA'!$F$4:$F$2731))+SUMPRODUCT(-('Diário 4º PA'!$E$4:$E$2564='Analítico Cx.'!$B134),-('Diário 4º PA'!$P$4:$P$2564=N$1),('Diário 4º PA'!$F$4:$F$2564))</f>
        <v>2120</v>
      </c>
      <c r="O134" s="184">
        <f t="shared" si="18"/>
        <v>213710.68000000005</v>
      </c>
      <c r="P134" s="167">
        <f t="shared" si="19"/>
        <v>1.6832931287795363E-2</v>
      </c>
    </row>
    <row r="135" spans="1:16" ht="23.25" customHeight="1" x14ac:dyDescent="0.2">
      <c r="A135" s="61" t="s">
        <v>426</v>
      </c>
      <c r="B135" s="387" t="s">
        <v>454</v>
      </c>
      <c r="C135" s="183">
        <f>SUMPRODUCT(-('Diário 1º PA'!$E$4:$E$2635='Analítico Cx.'!$B135),-('Diário 1º PA'!$P$4:$P$2635=C$1),('Diário 1º PA'!$F$4:$F$2635))+SUMPRODUCT(-('Diário 2º PA'!$E$4:$E$3040='Analítico Cx.'!$B135),-('Diário 2º PA'!$P$4:$P$3040=C$1),('Diário 2º PA'!$F$4:$F$3040))+SUMPRODUCT(-('Diário 3º PA'!$E$4:$E$2731='Analítico Cx.'!$B135),-('Diário 3º PA'!$P$4:$P$2731=C$1),('Diário 3º PA'!$F$4:$F$2731))+SUMPRODUCT(-('Diário 4º PA'!$E$4:$E$2564='Analítico Cx.'!$B135),-('Diário 4º PA'!$P$4:$P$2564=C$1),('Diário 4º PA'!$F$4:$F$2564))</f>
        <v>0</v>
      </c>
      <c r="D135" s="183">
        <f>SUMPRODUCT(-('Diário 1º PA'!$E$4:$E$2635='Analítico Cx.'!$B135),-('Diário 1º PA'!$P$4:$P$2635=D$1),('Diário 1º PA'!$F$4:$F$2635))+SUMPRODUCT(-('Diário 2º PA'!$E$4:$E$3040='Analítico Cx.'!$B135),-('Diário 2º PA'!$P$4:$P$3040=D$1),('Diário 2º PA'!$F$4:$F$3040))+SUMPRODUCT(-('Diário 3º PA'!$E$4:$E$2731='Analítico Cx.'!$B135),-('Diário 3º PA'!$P$4:$P$2731=D$1),('Diário 3º PA'!$F$4:$F$2731))+SUMPRODUCT(-('Diário 4º PA'!$E$4:$E$2564='Analítico Cx.'!$B135),-('Diário 4º PA'!$P$4:$P$2564=D$1),('Diário 4º PA'!$F$4:$F$2564))</f>
        <v>965</v>
      </c>
      <c r="E135" s="183">
        <f>SUMPRODUCT(-('Diário 1º PA'!$E$4:$E$2635='Analítico Cx.'!$B135),-('Diário 1º PA'!$P$4:$P$2635=E$1),('Diário 1º PA'!$F$4:$F$2635))+SUMPRODUCT(-('Diário 2º PA'!$E$4:$E$3040='Analítico Cx.'!$B135),-('Diário 2º PA'!$P$4:$P$3040=E$1),('Diário 2º PA'!$F$4:$F$3040))+SUMPRODUCT(-('Diário 3º PA'!$E$4:$E$2731='Analítico Cx.'!$B135),-('Diário 3º PA'!$P$4:$P$2731=E$1),('Diário 3º PA'!$F$4:$F$2731))+SUMPRODUCT(-('Diário 4º PA'!$E$4:$E$2564='Analítico Cx.'!$B135),-('Diário 4º PA'!$P$4:$P$2564=E$1),('Diário 4º PA'!$F$4:$F$2564))</f>
        <v>35</v>
      </c>
      <c r="F135" s="183">
        <f>SUMPRODUCT(-('Diário 1º PA'!$E$4:$E$2635='Analítico Cx.'!$B135),-('Diário 1º PA'!$P$4:$P$2635=F$1),('Diário 1º PA'!$F$4:$F$2635))+SUMPRODUCT(-('Diário 2º PA'!$E$4:$E$3040='Analítico Cx.'!$B135),-('Diário 2º PA'!$P$4:$P$3040=F$1),('Diário 2º PA'!$F$4:$F$3040))+SUMPRODUCT(-('Diário 3º PA'!$E$4:$E$2731='Analítico Cx.'!$B135),-('Diário 3º PA'!$P$4:$P$2731=F$1),('Diário 3º PA'!$F$4:$F$2731))+SUMPRODUCT(-('Diário 4º PA'!$E$4:$E$2564='Analítico Cx.'!$B135),-('Diário 4º PA'!$P$4:$P$2564=F$1),('Diário 4º PA'!$F$4:$F$2564))</f>
        <v>0</v>
      </c>
      <c r="G135" s="183">
        <f>SUMPRODUCT(-('Diário 1º PA'!$E$4:$E$2635='Analítico Cx.'!$B135),-('Diário 1º PA'!$P$4:$P$2635=G$1),('Diário 1º PA'!$F$4:$F$2635))+SUMPRODUCT(-('Diário 2º PA'!$E$4:$E$3040='Analítico Cx.'!$B135),-('Diário 2º PA'!$P$4:$P$3040=G$1),('Diário 2º PA'!$F$4:$F$3040))+SUMPRODUCT(-('Diário 3º PA'!$E$4:$E$2731='Analítico Cx.'!$B135),-('Diário 3º PA'!$P$4:$P$2731=G$1),('Diário 3º PA'!$F$4:$F$2731))+SUMPRODUCT(-('Diário 4º PA'!$E$4:$E$2564='Analítico Cx.'!$B135),-('Diário 4º PA'!$P$4:$P$2564=G$1),('Diário 4º PA'!$F$4:$F$2564))</f>
        <v>75442.5</v>
      </c>
      <c r="H135" s="183">
        <f>SUMPRODUCT(-('Diário 1º PA'!$E$4:$E$2635='Analítico Cx.'!$B135),-('Diário 1º PA'!$P$4:$P$2635=H$1),('Diário 1º PA'!$F$4:$F$2635))+SUMPRODUCT(-('Diário 2º PA'!$E$4:$E$3040='Analítico Cx.'!$B135),-('Diário 2º PA'!$P$4:$P$3040=H$1),('Diário 2º PA'!$F$4:$F$3040))+SUMPRODUCT(-('Diário 3º PA'!$E$4:$E$2731='Analítico Cx.'!$B135),-('Diário 3º PA'!$P$4:$P$2731=H$1),('Diário 3º PA'!$F$4:$F$2731))+SUMPRODUCT(-('Diário 4º PA'!$E$4:$E$2564='Analítico Cx.'!$B135),-('Diário 4º PA'!$P$4:$P$2564=H$1),('Diário 4º PA'!$F$4:$F$2564))</f>
        <v>1507.5</v>
      </c>
      <c r="I135" s="183">
        <f>SUMPRODUCT(-('Diário 1º PA'!$E$4:$E$2635='Analítico Cx.'!$B135),-('Diário 1º PA'!$P$4:$P$2635=I$1),('Diário 1º PA'!$F$4:$F$2635))+SUMPRODUCT(-('Diário 2º PA'!$E$4:$E$3040='Analítico Cx.'!$B135),-('Diário 2º PA'!$P$4:$P$3040=I$1),('Diário 2º PA'!$F$4:$F$3040))+SUMPRODUCT(-('Diário 3º PA'!$E$4:$E$2731='Analítico Cx.'!$B135),-('Diário 3º PA'!$P$4:$P$2731=I$1),('Diário 3º PA'!$F$4:$F$2731))+SUMPRODUCT(-('Diário 4º PA'!$E$4:$E$2564='Analítico Cx.'!$B135),-('Diário 4º PA'!$P$4:$P$2564=I$1),('Diário 4º PA'!$F$4:$F$2564))</f>
        <v>0</v>
      </c>
      <c r="J135" s="183">
        <f>SUMPRODUCT(-('Diário 1º PA'!$E$4:$E$2635='Analítico Cx.'!$B135),-('Diário 1º PA'!$P$4:$P$2635=J$1),('Diário 1º PA'!$F$4:$F$2635))+SUMPRODUCT(-('Diário 2º PA'!$E$4:$E$3040='Analítico Cx.'!$B135),-('Diário 2º PA'!$P$4:$P$3040=J$1),('Diário 2º PA'!$F$4:$F$3040))+SUMPRODUCT(-('Diário 3º PA'!$E$4:$E$2731='Analítico Cx.'!$B135),-('Diário 3º PA'!$P$4:$P$2731=J$1),('Diário 3º PA'!$F$4:$F$2731))+SUMPRODUCT(-('Diário 4º PA'!$E$4:$E$2564='Analítico Cx.'!$B135),-('Diário 4º PA'!$P$4:$P$2564=J$1),('Diário 4º PA'!$F$4:$F$2564))</f>
        <v>964.3</v>
      </c>
      <c r="K135" s="183">
        <f>SUMPRODUCT(-('Diário 1º PA'!$E$4:$E$2635='Analítico Cx.'!$B135),-('Diário 1º PA'!$P$4:$P$2635=K$1),('Diário 1º PA'!$F$4:$F$2635))+SUMPRODUCT(-('Diário 2º PA'!$E$4:$E$3040='Analítico Cx.'!$B135),-('Diário 2º PA'!$P$4:$P$3040=K$1),('Diário 2º PA'!$F$4:$F$3040))+SUMPRODUCT(-('Diário 3º PA'!$E$4:$E$2731='Analítico Cx.'!$B135),-('Diário 3º PA'!$P$4:$P$2731=K$1),('Diário 3º PA'!$F$4:$F$2731))+SUMPRODUCT(-('Diário 4º PA'!$E$4:$E$2564='Analítico Cx.'!$B135),-('Diário 4º PA'!$P$4:$P$2564=K$1),('Diário 4º PA'!$F$4:$F$2564))</f>
        <v>947.7</v>
      </c>
      <c r="L135" s="183">
        <f>SUMPRODUCT(-('Diário 1º PA'!$E$4:$E$2635='Analítico Cx.'!$B135),-('Diário 1º PA'!$P$4:$P$2635=L$1),('Diário 1º PA'!$F$4:$F$2635))+SUMPRODUCT(-('Diário 2º PA'!$E$4:$E$3040='Analítico Cx.'!$B135),-('Diário 2º PA'!$P$4:$P$3040=L$1),('Diário 2º PA'!$F$4:$F$3040))+SUMPRODUCT(-('Diário 3º PA'!$E$4:$E$2731='Analítico Cx.'!$B135),-('Diário 3º PA'!$P$4:$P$2731=L$1),('Diário 3º PA'!$F$4:$F$2731))+SUMPRODUCT(-('Diário 4º PA'!$E$4:$E$2564='Analítico Cx.'!$B135),-('Diário 4º PA'!$P$4:$P$2564=L$1),('Diário 4º PA'!$F$4:$F$2564))</f>
        <v>0</v>
      </c>
      <c r="M135" s="183">
        <f>SUMPRODUCT(-('Diário 1º PA'!$E$4:$E$2635='Analítico Cx.'!$B135),-('Diário 1º PA'!$P$4:$P$2635=M$1),('Diário 1º PA'!$F$4:$F$2635))+SUMPRODUCT(-('Diário 2º PA'!$E$4:$E$3040='Analítico Cx.'!$B135),-('Diário 2º PA'!$P$4:$P$3040=M$1),('Diário 2º PA'!$F$4:$F$3040))+SUMPRODUCT(-('Diário 3º PA'!$E$4:$E$2731='Analítico Cx.'!$B135),-('Diário 3º PA'!$P$4:$P$2731=M$1),('Diário 3º PA'!$F$4:$F$2731))+SUMPRODUCT(-('Diário 4º PA'!$E$4:$E$2564='Analítico Cx.'!$B135),-('Diário 4º PA'!$P$4:$P$2564=M$1),('Diário 4º PA'!$F$4:$F$2564))</f>
        <v>0</v>
      </c>
      <c r="N135" s="183">
        <f>SUMPRODUCT(-('Diário 1º PA'!$E$4:$E$2635='Analítico Cx.'!$B135),-('Diário 1º PA'!$P$4:$P$2635=N$1),('Diário 1º PA'!$F$4:$F$2635))+SUMPRODUCT(-('Diário 2º PA'!$E$4:$E$3040='Analítico Cx.'!$B135),-('Diário 2º PA'!$P$4:$P$3040=N$1),('Diário 2º PA'!$F$4:$F$3040))+SUMPRODUCT(-('Diário 3º PA'!$E$4:$E$2731='Analítico Cx.'!$B135),-('Diário 3º PA'!$P$4:$P$2731=N$1),('Diário 3º PA'!$F$4:$F$2731))+SUMPRODUCT(-('Diário 4º PA'!$E$4:$E$2564='Analítico Cx.'!$B135),-('Diário 4º PA'!$P$4:$P$2564=N$1),('Diário 4º PA'!$F$4:$F$2564))</f>
        <v>0</v>
      </c>
      <c r="O135" s="184">
        <f t="shared" si="18"/>
        <v>79862</v>
      </c>
      <c r="P135" s="167">
        <f t="shared" si="19"/>
        <v>6.2903340090720451E-3</v>
      </c>
    </row>
    <row r="136" spans="1:16" ht="23.25" customHeight="1" x14ac:dyDescent="0.2">
      <c r="A136" s="61" t="s">
        <v>427</v>
      </c>
      <c r="B136" s="387" t="s">
        <v>455</v>
      </c>
      <c r="C136" s="183">
        <f>SUMPRODUCT(-('Diário 1º PA'!$E$4:$E$2635='Analítico Cx.'!$B136),-('Diário 1º PA'!$P$4:$P$2635=C$1),('Diário 1º PA'!$F$4:$F$2635))+SUMPRODUCT(-('Diário 2º PA'!$E$4:$E$3040='Analítico Cx.'!$B136),-('Diário 2º PA'!$P$4:$P$3040=C$1),('Diário 2º PA'!$F$4:$F$3040))+SUMPRODUCT(-('Diário 3º PA'!$E$4:$E$2731='Analítico Cx.'!$B136),-('Diário 3º PA'!$P$4:$P$2731=C$1),('Diário 3º PA'!$F$4:$F$2731))+SUMPRODUCT(-('Diário 4º PA'!$E$4:$E$2564='Analítico Cx.'!$B136),-('Diário 4º PA'!$P$4:$P$2564=C$1),('Diário 4º PA'!$F$4:$F$2564))</f>
        <v>533.48</v>
      </c>
      <c r="D136" s="183">
        <f>SUMPRODUCT(-('Diário 1º PA'!$E$4:$E$2635='Analítico Cx.'!$B136),-('Diário 1º PA'!$P$4:$P$2635=D$1),('Diário 1º PA'!$F$4:$F$2635))+SUMPRODUCT(-('Diário 2º PA'!$E$4:$E$3040='Analítico Cx.'!$B136),-('Diário 2º PA'!$P$4:$P$3040=D$1),('Diário 2º PA'!$F$4:$F$3040))+SUMPRODUCT(-('Diário 3º PA'!$E$4:$E$2731='Analítico Cx.'!$B136),-('Diário 3º PA'!$P$4:$P$2731=D$1),('Diário 3º PA'!$F$4:$F$2731))+SUMPRODUCT(-('Diário 4º PA'!$E$4:$E$2564='Analítico Cx.'!$B136),-('Diário 4º PA'!$P$4:$P$2564=D$1),('Diário 4º PA'!$F$4:$F$2564))</f>
        <v>0</v>
      </c>
      <c r="E136" s="183">
        <f>SUMPRODUCT(-('Diário 1º PA'!$E$4:$E$2635='Analítico Cx.'!$B136),-('Diário 1º PA'!$P$4:$P$2635=E$1),('Diário 1º PA'!$F$4:$F$2635))+SUMPRODUCT(-('Diário 2º PA'!$E$4:$E$3040='Analítico Cx.'!$B136),-('Diário 2º PA'!$P$4:$P$3040=E$1),('Diário 2º PA'!$F$4:$F$3040))+SUMPRODUCT(-('Diário 3º PA'!$E$4:$E$2731='Analítico Cx.'!$B136),-('Diário 3º PA'!$P$4:$P$2731=E$1),('Diário 3º PA'!$F$4:$F$2731))+SUMPRODUCT(-('Diário 4º PA'!$E$4:$E$2564='Analítico Cx.'!$B136),-('Diário 4º PA'!$P$4:$P$2564=E$1),('Diário 4º PA'!$F$4:$F$2564))</f>
        <v>0</v>
      </c>
      <c r="F136" s="183">
        <f>SUMPRODUCT(-('Diário 1º PA'!$E$4:$E$2635='Analítico Cx.'!$B136),-('Diário 1º PA'!$P$4:$P$2635=F$1),('Diário 1º PA'!$F$4:$F$2635))+SUMPRODUCT(-('Diário 2º PA'!$E$4:$E$3040='Analítico Cx.'!$B136),-('Diário 2º PA'!$P$4:$P$3040=F$1),('Diário 2º PA'!$F$4:$F$3040))+SUMPRODUCT(-('Diário 3º PA'!$E$4:$E$2731='Analítico Cx.'!$B136),-('Diário 3º PA'!$P$4:$P$2731=F$1),('Diário 3º PA'!$F$4:$F$2731))+SUMPRODUCT(-('Diário 4º PA'!$E$4:$E$2564='Analítico Cx.'!$B136),-('Diário 4º PA'!$P$4:$P$2564=F$1),('Diário 4º PA'!$F$4:$F$2564))</f>
        <v>0</v>
      </c>
      <c r="G136" s="183">
        <f>SUMPRODUCT(-('Diário 1º PA'!$E$4:$E$2635='Analítico Cx.'!$B136),-('Diário 1º PA'!$P$4:$P$2635=G$1),('Diário 1º PA'!$F$4:$F$2635))+SUMPRODUCT(-('Diário 2º PA'!$E$4:$E$3040='Analítico Cx.'!$B136),-('Diário 2º PA'!$P$4:$P$3040=G$1),('Diário 2º PA'!$F$4:$F$3040))+SUMPRODUCT(-('Diário 3º PA'!$E$4:$E$2731='Analítico Cx.'!$B136),-('Diário 3º PA'!$P$4:$P$2731=G$1),('Diário 3º PA'!$F$4:$F$2731))+SUMPRODUCT(-('Diário 4º PA'!$E$4:$E$2564='Analítico Cx.'!$B136),-('Diário 4º PA'!$P$4:$P$2564=G$1),('Diário 4º PA'!$F$4:$F$2564))</f>
        <v>0</v>
      </c>
      <c r="H136" s="183">
        <f>SUMPRODUCT(-('Diário 1º PA'!$E$4:$E$2635='Analítico Cx.'!$B136),-('Diário 1º PA'!$P$4:$P$2635=H$1),('Diário 1º PA'!$F$4:$F$2635))+SUMPRODUCT(-('Diário 2º PA'!$E$4:$E$3040='Analítico Cx.'!$B136),-('Diário 2º PA'!$P$4:$P$3040=H$1),('Diário 2º PA'!$F$4:$F$3040))+SUMPRODUCT(-('Diário 3º PA'!$E$4:$E$2731='Analítico Cx.'!$B136),-('Diário 3º PA'!$P$4:$P$2731=H$1),('Diário 3º PA'!$F$4:$F$2731))+SUMPRODUCT(-('Diário 4º PA'!$E$4:$E$2564='Analítico Cx.'!$B136),-('Diário 4º PA'!$P$4:$P$2564=H$1),('Diário 4º PA'!$F$4:$F$2564))</f>
        <v>0</v>
      </c>
      <c r="I136" s="183">
        <f>SUMPRODUCT(-('Diário 1º PA'!$E$4:$E$2635='Analítico Cx.'!$B136),-('Diário 1º PA'!$P$4:$P$2635=I$1),('Diário 1º PA'!$F$4:$F$2635))+SUMPRODUCT(-('Diário 2º PA'!$E$4:$E$3040='Analítico Cx.'!$B136),-('Diário 2º PA'!$P$4:$P$3040=I$1),('Diário 2º PA'!$F$4:$F$3040))+SUMPRODUCT(-('Diário 3º PA'!$E$4:$E$2731='Analítico Cx.'!$B136),-('Diário 3º PA'!$P$4:$P$2731=I$1),('Diário 3º PA'!$F$4:$F$2731))+SUMPRODUCT(-('Diário 4º PA'!$E$4:$E$2564='Analítico Cx.'!$B136),-('Diário 4º PA'!$P$4:$P$2564=I$1),('Diário 4º PA'!$F$4:$F$2564))</f>
        <v>0</v>
      </c>
      <c r="J136" s="183">
        <f>SUMPRODUCT(-('Diário 1º PA'!$E$4:$E$2635='Analítico Cx.'!$B136),-('Diário 1º PA'!$P$4:$P$2635=J$1),('Diário 1º PA'!$F$4:$F$2635))+SUMPRODUCT(-('Diário 2º PA'!$E$4:$E$3040='Analítico Cx.'!$B136),-('Diário 2º PA'!$P$4:$P$3040=J$1),('Diário 2º PA'!$F$4:$F$3040))+SUMPRODUCT(-('Diário 3º PA'!$E$4:$E$2731='Analítico Cx.'!$B136),-('Diário 3º PA'!$P$4:$P$2731=J$1),('Diário 3º PA'!$F$4:$F$2731))+SUMPRODUCT(-('Diário 4º PA'!$E$4:$E$2564='Analítico Cx.'!$B136),-('Diário 4º PA'!$P$4:$P$2564=J$1),('Diário 4º PA'!$F$4:$F$2564))</f>
        <v>0</v>
      </c>
      <c r="K136" s="183">
        <f>SUMPRODUCT(-('Diário 1º PA'!$E$4:$E$2635='Analítico Cx.'!$B136),-('Diário 1º PA'!$P$4:$P$2635=K$1),('Diário 1º PA'!$F$4:$F$2635))+SUMPRODUCT(-('Diário 2º PA'!$E$4:$E$3040='Analítico Cx.'!$B136),-('Diário 2º PA'!$P$4:$P$3040=K$1),('Diário 2º PA'!$F$4:$F$3040))+SUMPRODUCT(-('Diário 3º PA'!$E$4:$E$2731='Analítico Cx.'!$B136),-('Diário 3º PA'!$P$4:$P$2731=K$1),('Diário 3º PA'!$F$4:$F$2731))+SUMPRODUCT(-('Diário 4º PA'!$E$4:$E$2564='Analítico Cx.'!$B136),-('Diário 4º PA'!$P$4:$P$2564=K$1),('Diário 4º PA'!$F$4:$F$2564))</f>
        <v>0</v>
      </c>
      <c r="L136" s="183">
        <f>SUMPRODUCT(-('Diário 1º PA'!$E$4:$E$2635='Analítico Cx.'!$B136),-('Diário 1º PA'!$P$4:$P$2635=L$1),('Diário 1º PA'!$F$4:$F$2635))+SUMPRODUCT(-('Diário 2º PA'!$E$4:$E$3040='Analítico Cx.'!$B136),-('Diário 2º PA'!$P$4:$P$3040=L$1),('Diário 2º PA'!$F$4:$F$3040))+SUMPRODUCT(-('Diário 3º PA'!$E$4:$E$2731='Analítico Cx.'!$B136),-('Diário 3º PA'!$P$4:$P$2731=L$1),('Diário 3º PA'!$F$4:$F$2731))+SUMPRODUCT(-('Diário 4º PA'!$E$4:$E$2564='Analítico Cx.'!$B136),-('Diário 4º PA'!$P$4:$P$2564=L$1),('Diário 4º PA'!$F$4:$F$2564))</f>
        <v>0</v>
      </c>
      <c r="M136" s="183">
        <f>SUMPRODUCT(-('Diário 1º PA'!$E$4:$E$2635='Analítico Cx.'!$B136),-('Diário 1º PA'!$P$4:$P$2635=M$1),('Diário 1º PA'!$F$4:$F$2635))+SUMPRODUCT(-('Diário 2º PA'!$E$4:$E$3040='Analítico Cx.'!$B136),-('Diário 2º PA'!$P$4:$P$3040=M$1),('Diário 2º PA'!$F$4:$F$3040))+SUMPRODUCT(-('Diário 3º PA'!$E$4:$E$2731='Analítico Cx.'!$B136),-('Diário 3º PA'!$P$4:$P$2731=M$1),('Diário 3º PA'!$F$4:$F$2731))+SUMPRODUCT(-('Diário 4º PA'!$E$4:$E$2564='Analítico Cx.'!$B136),-('Diário 4º PA'!$P$4:$P$2564=M$1),('Diário 4º PA'!$F$4:$F$2564))</f>
        <v>0</v>
      </c>
      <c r="N136" s="183">
        <f>SUMPRODUCT(-('Diário 1º PA'!$E$4:$E$2635='Analítico Cx.'!$B136),-('Diário 1º PA'!$P$4:$P$2635=N$1),('Diário 1º PA'!$F$4:$F$2635))+SUMPRODUCT(-('Diário 2º PA'!$E$4:$E$3040='Analítico Cx.'!$B136),-('Diário 2º PA'!$P$4:$P$3040=N$1),('Diário 2º PA'!$F$4:$F$3040))+SUMPRODUCT(-('Diário 3º PA'!$E$4:$E$2731='Analítico Cx.'!$B136),-('Diário 3º PA'!$P$4:$P$2731=N$1),('Diário 3º PA'!$F$4:$F$2731))+SUMPRODUCT(-('Diário 4º PA'!$E$4:$E$2564='Analítico Cx.'!$B136),-('Diário 4º PA'!$P$4:$P$2564=N$1),('Diário 4º PA'!$F$4:$F$2564))</f>
        <v>0</v>
      </c>
      <c r="O136" s="184">
        <f t="shared" si="18"/>
        <v>533.48</v>
      </c>
      <c r="P136" s="167">
        <f t="shared" si="19"/>
        <v>4.2019576108283724E-5</v>
      </c>
    </row>
    <row r="137" spans="1:16" ht="23.25" customHeight="1" x14ac:dyDescent="0.2">
      <c r="A137" s="61" t="s">
        <v>428</v>
      </c>
      <c r="B137" s="387" t="s">
        <v>456</v>
      </c>
      <c r="C137" s="183">
        <f>SUMPRODUCT(-('Diário 1º PA'!$E$4:$E$2635='Analítico Cx.'!$B137),-('Diário 1º PA'!$P$4:$P$2635=C$1),('Diário 1º PA'!$F$4:$F$2635))+SUMPRODUCT(-('Diário 2º PA'!$E$4:$E$3040='Analítico Cx.'!$B137),-('Diário 2º PA'!$P$4:$P$3040=C$1),('Diário 2º PA'!$F$4:$F$3040))+SUMPRODUCT(-('Diário 3º PA'!$E$4:$E$2731='Analítico Cx.'!$B137),-('Diário 3º PA'!$P$4:$P$2731=C$1),('Diário 3º PA'!$F$4:$F$2731))+SUMPRODUCT(-('Diário 4º PA'!$E$4:$E$2564='Analítico Cx.'!$B137),-('Diário 4º PA'!$P$4:$P$2564=C$1),('Diário 4º PA'!$F$4:$F$2564))</f>
        <v>33997.61</v>
      </c>
      <c r="D137" s="183">
        <f>SUMPRODUCT(-('Diário 1º PA'!$E$4:$E$2635='Analítico Cx.'!$B137),-('Diário 1º PA'!$P$4:$P$2635=D$1),('Diário 1º PA'!$F$4:$F$2635))+SUMPRODUCT(-('Diário 2º PA'!$E$4:$E$3040='Analítico Cx.'!$B137),-('Diário 2º PA'!$P$4:$P$3040=D$1),('Diário 2º PA'!$F$4:$F$3040))+SUMPRODUCT(-('Diário 3º PA'!$E$4:$E$2731='Analítico Cx.'!$B137),-('Diário 3º PA'!$P$4:$P$2731=D$1),('Diário 3º PA'!$F$4:$F$2731))+SUMPRODUCT(-('Diário 4º PA'!$E$4:$E$2564='Analítico Cx.'!$B137),-('Diário 4º PA'!$P$4:$P$2564=D$1),('Diário 4º PA'!$F$4:$F$2564))</f>
        <v>15698.11</v>
      </c>
      <c r="E137" s="183">
        <f>SUMPRODUCT(-('Diário 1º PA'!$E$4:$E$2635='Analítico Cx.'!$B137),-('Diário 1º PA'!$P$4:$P$2635=E$1),('Diário 1º PA'!$F$4:$F$2635))+SUMPRODUCT(-('Diário 2º PA'!$E$4:$E$3040='Analítico Cx.'!$B137),-('Diário 2º PA'!$P$4:$P$3040=E$1),('Diário 2º PA'!$F$4:$F$3040))+SUMPRODUCT(-('Diário 3º PA'!$E$4:$E$2731='Analítico Cx.'!$B137),-('Diário 3º PA'!$P$4:$P$2731=E$1),('Diário 3º PA'!$F$4:$F$2731))+SUMPRODUCT(-('Diário 4º PA'!$E$4:$E$2564='Analítico Cx.'!$B137),-('Diário 4º PA'!$P$4:$P$2564=E$1),('Diário 4º PA'!$F$4:$F$2564))</f>
        <v>66058.650000000009</v>
      </c>
      <c r="F137" s="183">
        <f>SUMPRODUCT(-('Diário 1º PA'!$E$4:$E$2635='Analítico Cx.'!$B137),-('Diário 1º PA'!$P$4:$P$2635=F$1),('Diário 1º PA'!$F$4:$F$2635))+SUMPRODUCT(-('Diário 2º PA'!$E$4:$E$3040='Analítico Cx.'!$B137),-('Diário 2º PA'!$P$4:$P$3040=F$1),('Diário 2º PA'!$F$4:$F$3040))+SUMPRODUCT(-('Diário 3º PA'!$E$4:$E$2731='Analítico Cx.'!$B137),-('Diário 3º PA'!$P$4:$P$2731=F$1),('Diário 3º PA'!$F$4:$F$2731))+SUMPRODUCT(-('Diário 4º PA'!$E$4:$E$2564='Analítico Cx.'!$B137),-('Diário 4º PA'!$P$4:$P$2564=F$1),('Diário 4º PA'!$F$4:$F$2564))</f>
        <v>46025.929999999993</v>
      </c>
      <c r="G137" s="183">
        <f>SUMPRODUCT(-('Diário 1º PA'!$E$4:$E$2635='Analítico Cx.'!$B137),-('Diário 1º PA'!$P$4:$P$2635=G$1),('Diário 1º PA'!$F$4:$F$2635))+SUMPRODUCT(-('Diário 2º PA'!$E$4:$E$3040='Analítico Cx.'!$B137),-('Diário 2º PA'!$P$4:$P$3040=G$1),('Diário 2º PA'!$F$4:$F$3040))+SUMPRODUCT(-('Diário 3º PA'!$E$4:$E$2731='Analítico Cx.'!$B137),-('Diário 3º PA'!$P$4:$P$2731=G$1),('Diário 3º PA'!$F$4:$F$2731))+SUMPRODUCT(-('Diário 4º PA'!$E$4:$E$2564='Analítico Cx.'!$B137),-('Diário 4º PA'!$P$4:$P$2564=G$1),('Diário 4º PA'!$F$4:$F$2564))</f>
        <v>134737.00999999998</v>
      </c>
      <c r="H137" s="183">
        <f>SUMPRODUCT(-('Diário 1º PA'!$E$4:$E$2635='Analítico Cx.'!$B137),-('Diário 1º PA'!$P$4:$P$2635=H$1),('Diário 1º PA'!$F$4:$F$2635))+SUMPRODUCT(-('Diário 2º PA'!$E$4:$E$3040='Analítico Cx.'!$B137),-('Diário 2º PA'!$P$4:$P$3040=H$1),('Diário 2º PA'!$F$4:$F$3040))+SUMPRODUCT(-('Diário 3º PA'!$E$4:$E$2731='Analítico Cx.'!$B137),-('Diário 3º PA'!$P$4:$P$2731=H$1),('Diário 3º PA'!$F$4:$F$2731))+SUMPRODUCT(-('Diário 4º PA'!$E$4:$E$2564='Analítico Cx.'!$B137),-('Diário 4º PA'!$P$4:$P$2564=H$1),('Diário 4º PA'!$F$4:$F$2564))</f>
        <v>51790.57</v>
      </c>
      <c r="I137" s="183">
        <f>SUMPRODUCT(-('Diário 1º PA'!$E$4:$E$2635='Analítico Cx.'!$B137),-('Diário 1º PA'!$P$4:$P$2635=I$1),('Diário 1º PA'!$F$4:$F$2635))+SUMPRODUCT(-('Diário 2º PA'!$E$4:$E$3040='Analítico Cx.'!$B137),-('Diário 2º PA'!$P$4:$P$3040=I$1),('Diário 2º PA'!$F$4:$F$3040))+SUMPRODUCT(-('Diário 3º PA'!$E$4:$E$2731='Analítico Cx.'!$B137),-('Diário 3º PA'!$P$4:$P$2731=I$1),('Diário 3º PA'!$F$4:$F$2731))+SUMPRODUCT(-('Diário 4º PA'!$E$4:$E$2564='Analítico Cx.'!$B137),-('Diário 4º PA'!$P$4:$P$2564=I$1),('Diário 4º PA'!$F$4:$F$2564))</f>
        <v>16522.310000000001</v>
      </c>
      <c r="J137" s="183">
        <f>SUMPRODUCT(-('Diário 1º PA'!$E$4:$E$2635='Analítico Cx.'!$B137),-('Diário 1º PA'!$P$4:$P$2635=J$1),('Diário 1º PA'!$F$4:$F$2635))+SUMPRODUCT(-('Diário 2º PA'!$E$4:$E$3040='Analítico Cx.'!$B137),-('Diário 2º PA'!$P$4:$P$3040=J$1),('Diário 2º PA'!$F$4:$F$3040))+SUMPRODUCT(-('Diário 3º PA'!$E$4:$E$2731='Analítico Cx.'!$B137),-('Diário 3º PA'!$P$4:$P$2731=J$1),('Diário 3º PA'!$F$4:$F$2731))+SUMPRODUCT(-('Diário 4º PA'!$E$4:$E$2564='Analítico Cx.'!$B137),-('Diário 4º PA'!$P$4:$P$2564=J$1),('Diário 4º PA'!$F$4:$F$2564))</f>
        <v>28870.780000000002</v>
      </c>
      <c r="K137" s="183">
        <f>SUMPRODUCT(-('Diário 1º PA'!$E$4:$E$2635='Analítico Cx.'!$B137),-('Diário 1º PA'!$P$4:$P$2635=K$1),('Diário 1º PA'!$F$4:$F$2635))+SUMPRODUCT(-('Diário 2º PA'!$E$4:$E$3040='Analítico Cx.'!$B137),-('Diário 2º PA'!$P$4:$P$3040=K$1),('Diário 2º PA'!$F$4:$F$3040))+SUMPRODUCT(-('Diário 3º PA'!$E$4:$E$2731='Analítico Cx.'!$B137),-('Diário 3º PA'!$P$4:$P$2731=K$1),('Diário 3º PA'!$F$4:$F$2731))+SUMPRODUCT(-('Diário 4º PA'!$E$4:$E$2564='Analítico Cx.'!$B137),-('Diário 4º PA'!$P$4:$P$2564=K$1),('Diário 4º PA'!$F$4:$F$2564))</f>
        <v>13595.880000000001</v>
      </c>
      <c r="L137" s="183">
        <f>SUMPRODUCT(-('Diário 1º PA'!$E$4:$E$2635='Analítico Cx.'!$B137),-('Diário 1º PA'!$P$4:$P$2635=L$1),('Diário 1º PA'!$F$4:$F$2635))+SUMPRODUCT(-('Diário 2º PA'!$E$4:$E$3040='Analítico Cx.'!$B137),-('Diário 2º PA'!$P$4:$P$3040=L$1),('Diário 2º PA'!$F$4:$F$3040))+SUMPRODUCT(-('Diário 3º PA'!$E$4:$E$2731='Analítico Cx.'!$B137),-('Diário 3º PA'!$P$4:$P$2731=L$1),('Diário 3º PA'!$F$4:$F$2731))+SUMPRODUCT(-('Diário 4º PA'!$E$4:$E$2564='Analítico Cx.'!$B137),-('Diário 4º PA'!$P$4:$P$2564=L$1),('Diário 4º PA'!$F$4:$F$2564))</f>
        <v>8892.59</v>
      </c>
      <c r="M137" s="183">
        <f>SUMPRODUCT(-('Diário 1º PA'!$E$4:$E$2635='Analítico Cx.'!$B137),-('Diário 1º PA'!$P$4:$P$2635=M$1),('Diário 1º PA'!$F$4:$F$2635))+SUMPRODUCT(-('Diário 2º PA'!$E$4:$E$3040='Analítico Cx.'!$B137),-('Diário 2º PA'!$P$4:$P$3040=M$1),('Diário 2º PA'!$F$4:$F$3040))+SUMPRODUCT(-('Diário 3º PA'!$E$4:$E$2731='Analítico Cx.'!$B137),-('Diário 3º PA'!$P$4:$P$2731=M$1),('Diário 3º PA'!$F$4:$F$2731))+SUMPRODUCT(-('Diário 4º PA'!$E$4:$E$2564='Analítico Cx.'!$B137),-('Diário 4º PA'!$P$4:$P$2564=M$1),('Diário 4º PA'!$F$4:$F$2564))</f>
        <v>21842.100000000002</v>
      </c>
      <c r="N137" s="183">
        <f>SUMPRODUCT(-('Diário 1º PA'!$E$4:$E$2635='Analítico Cx.'!$B137),-('Diário 1º PA'!$P$4:$P$2635=N$1),('Diário 1º PA'!$F$4:$F$2635))+SUMPRODUCT(-('Diário 2º PA'!$E$4:$E$3040='Analítico Cx.'!$B137),-('Diário 2º PA'!$P$4:$P$3040=N$1),('Diário 2º PA'!$F$4:$F$3040))+SUMPRODUCT(-('Diário 3º PA'!$E$4:$E$2731='Analítico Cx.'!$B137),-('Diário 3º PA'!$P$4:$P$2731=N$1),('Diário 3º PA'!$F$4:$F$2731))+SUMPRODUCT(-('Diário 4º PA'!$E$4:$E$2564='Analítico Cx.'!$B137),-('Diário 4º PA'!$P$4:$P$2564=N$1),('Diário 4º PA'!$F$4:$F$2564))</f>
        <v>8345.39</v>
      </c>
      <c r="O137" s="184">
        <f t="shared" si="18"/>
        <v>446376.93</v>
      </c>
      <c r="P137" s="167">
        <f t="shared" si="19"/>
        <v>3.5158898896147997E-2</v>
      </c>
    </row>
    <row r="138" spans="1:16" ht="23.25" customHeight="1" x14ac:dyDescent="0.2">
      <c r="A138" s="61" t="s">
        <v>429</v>
      </c>
      <c r="B138" s="387" t="s">
        <v>457</v>
      </c>
      <c r="C138" s="183">
        <f>SUMPRODUCT(-('Diário 1º PA'!$E$4:$E$2635='Analítico Cx.'!$B138),-('Diário 1º PA'!$P$4:$P$2635=C$1),('Diário 1º PA'!$F$4:$F$2635))+SUMPRODUCT(-('Diário 2º PA'!$E$4:$E$3040='Analítico Cx.'!$B138),-('Diário 2º PA'!$P$4:$P$3040=C$1),('Diário 2º PA'!$F$4:$F$3040))+SUMPRODUCT(-('Diário 3º PA'!$E$4:$E$2731='Analítico Cx.'!$B138),-('Diário 3º PA'!$P$4:$P$2731=C$1),('Diário 3º PA'!$F$4:$F$2731))+SUMPRODUCT(-('Diário 4º PA'!$E$4:$E$2564='Analítico Cx.'!$B138),-('Diário 4º PA'!$P$4:$P$2564=C$1),('Diário 4º PA'!$F$4:$F$2564))</f>
        <v>1000</v>
      </c>
      <c r="D138" s="183">
        <f>SUMPRODUCT(-('Diário 1º PA'!$E$4:$E$2635='Analítico Cx.'!$B138),-('Diário 1º PA'!$P$4:$P$2635=D$1),('Diário 1º PA'!$F$4:$F$2635))+SUMPRODUCT(-('Diário 2º PA'!$E$4:$E$3040='Analítico Cx.'!$B138),-('Diário 2º PA'!$P$4:$P$3040=D$1),('Diário 2º PA'!$F$4:$F$3040))+SUMPRODUCT(-('Diário 3º PA'!$E$4:$E$2731='Analítico Cx.'!$B138),-('Diário 3º PA'!$P$4:$P$2731=D$1),('Diário 3º PA'!$F$4:$F$2731))+SUMPRODUCT(-('Diário 4º PA'!$E$4:$E$2564='Analítico Cx.'!$B138),-('Diário 4º PA'!$P$4:$P$2564=D$1),('Diário 4º PA'!$F$4:$F$2564))</f>
        <v>0</v>
      </c>
      <c r="E138" s="183">
        <f>SUMPRODUCT(-('Diário 1º PA'!$E$4:$E$2635='Analítico Cx.'!$B138),-('Diário 1º PA'!$P$4:$P$2635=E$1),('Diário 1º PA'!$F$4:$F$2635))+SUMPRODUCT(-('Diário 2º PA'!$E$4:$E$3040='Analítico Cx.'!$B138),-('Diário 2º PA'!$P$4:$P$3040=E$1),('Diário 2º PA'!$F$4:$F$3040))+SUMPRODUCT(-('Diário 3º PA'!$E$4:$E$2731='Analítico Cx.'!$B138),-('Diário 3º PA'!$P$4:$P$2731=E$1),('Diário 3º PA'!$F$4:$F$2731))+SUMPRODUCT(-('Diário 4º PA'!$E$4:$E$2564='Analítico Cx.'!$B138),-('Diário 4º PA'!$P$4:$P$2564=E$1),('Diário 4º PA'!$F$4:$F$2564))</f>
        <v>0</v>
      </c>
      <c r="F138" s="183">
        <f>SUMPRODUCT(-('Diário 1º PA'!$E$4:$E$2635='Analítico Cx.'!$B138),-('Diário 1º PA'!$P$4:$P$2635=F$1),('Diário 1º PA'!$F$4:$F$2635))+SUMPRODUCT(-('Diário 2º PA'!$E$4:$E$3040='Analítico Cx.'!$B138),-('Diário 2º PA'!$P$4:$P$3040=F$1),('Diário 2º PA'!$F$4:$F$3040))+SUMPRODUCT(-('Diário 3º PA'!$E$4:$E$2731='Analítico Cx.'!$B138),-('Diário 3º PA'!$P$4:$P$2731=F$1),('Diário 3º PA'!$F$4:$F$2731))+SUMPRODUCT(-('Diário 4º PA'!$E$4:$E$2564='Analítico Cx.'!$B138),-('Diário 4º PA'!$P$4:$P$2564=F$1),('Diário 4º PA'!$F$4:$F$2564))</f>
        <v>0</v>
      </c>
      <c r="G138" s="183">
        <f>SUMPRODUCT(-('Diário 1º PA'!$E$4:$E$2635='Analítico Cx.'!$B138),-('Diário 1º PA'!$P$4:$P$2635=G$1),('Diário 1º PA'!$F$4:$F$2635))+SUMPRODUCT(-('Diário 2º PA'!$E$4:$E$3040='Analítico Cx.'!$B138),-('Diário 2º PA'!$P$4:$P$3040=G$1),('Diário 2º PA'!$F$4:$F$3040))+SUMPRODUCT(-('Diário 3º PA'!$E$4:$E$2731='Analítico Cx.'!$B138),-('Diário 3º PA'!$P$4:$P$2731=G$1),('Diário 3º PA'!$F$4:$F$2731))+SUMPRODUCT(-('Diário 4º PA'!$E$4:$E$2564='Analítico Cx.'!$B138),-('Diário 4º PA'!$P$4:$P$2564=G$1),('Diário 4º PA'!$F$4:$F$2564))</f>
        <v>1000</v>
      </c>
      <c r="H138" s="183">
        <f>SUMPRODUCT(-('Diário 1º PA'!$E$4:$E$2635='Analítico Cx.'!$B138),-('Diário 1º PA'!$P$4:$P$2635=H$1),('Diário 1º PA'!$F$4:$F$2635))+SUMPRODUCT(-('Diário 2º PA'!$E$4:$E$3040='Analítico Cx.'!$B138),-('Diário 2º PA'!$P$4:$P$3040=H$1),('Diário 2º PA'!$F$4:$F$3040))+SUMPRODUCT(-('Diário 3º PA'!$E$4:$E$2731='Analítico Cx.'!$B138),-('Diário 3º PA'!$P$4:$P$2731=H$1),('Diário 3º PA'!$F$4:$F$2731))+SUMPRODUCT(-('Diário 4º PA'!$E$4:$E$2564='Analítico Cx.'!$B138),-('Diário 4º PA'!$P$4:$P$2564=H$1),('Diário 4º PA'!$F$4:$F$2564))</f>
        <v>0</v>
      </c>
      <c r="I138" s="183">
        <f>SUMPRODUCT(-('Diário 1º PA'!$E$4:$E$2635='Analítico Cx.'!$B138),-('Diário 1º PA'!$P$4:$P$2635=I$1),('Diário 1º PA'!$F$4:$F$2635))+SUMPRODUCT(-('Diário 2º PA'!$E$4:$E$3040='Analítico Cx.'!$B138),-('Diário 2º PA'!$P$4:$P$3040=I$1),('Diário 2º PA'!$F$4:$F$3040))+SUMPRODUCT(-('Diário 3º PA'!$E$4:$E$2731='Analítico Cx.'!$B138),-('Diário 3º PA'!$P$4:$P$2731=I$1),('Diário 3º PA'!$F$4:$F$2731))+SUMPRODUCT(-('Diário 4º PA'!$E$4:$E$2564='Analítico Cx.'!$B138),-('Diário 4º PA'!$P$4:$P$2564=I$1),('Diário 4º PA'!$F$4:$F$2564))</f>
        <v>0</v>
      </c>
      <c r="J138" s="183">
        <f>SUMPRODUCT(-('Diário 1º PA'!$E$4:$E$2635='Analítico Cx.'!$B138),-('Diário 1º PA'!$P$4:$P$2635=J$1),('Diário 1º PA'!$F$4:$F$2635))+SUMPRODUCT(-('Diário 2º PA'!$E$4:$E$3040='Analítico Cx.'!$B138),-('Diário 2º PA'!$P$4:$P$3040=J$1),('Diário 2º PA'!$F$4:$F$3040))+SUMPRODUCT(-('Diário 3º PA'!$E$4:$E$2731='Analítico Cx.'!$B138),-('Diário 3º PA'!$P$4:$P$2731=J$1),('Diário 3º PA'!$F$4:$F$2731))+SUMPRODUCT(-('Diário 4º PA'!$E$4:$E$2564='Analítico Cx.'!$B138),-('Diário 4º PA'!$P$4:$P$2564=J$1),('Diário 4º PA'!$F$4:$F$2564))</f>
        <v>1000</v>
      </c>
      <c r="K138" s="183">
        <f>SUMPRODUCT(-('Diário 1º PA'!$E$4:$E$2635='Analítico Cx.'!$B138),-('Diário 1º PA'!$P$4:$P$2635=K$1),('Diário 1º PA'!$F$4:$F$2635))+SUMPRODUCT(-('Diário 2º PA'!$E$4:$E$3040='Analítico Cx.'!$B138),-('Diário 2º PA'!$P$4:$P$3040=K$1),('Diário 2º PA'!$F$4:$F$3040))+SUMPRODUCT(-('Diário 3º PA'!$E$4:$E$2731='Analítico Cx.'!$B138),-('Diário 3º PA'!$P$4:$P$2731=K$1),('Diário 3º PA'!$F$4:$F$2731))+SUMPRODUCT(-('Diário 4º PA'!$E$4:$E$2564='Analítico Cx.'!$B138),-('Diário 4º PA'!$P$4:$P$2564=K$1),('Diário 4º PA'!$F$4:$F$2564))</f>
        <v>0</v>
      </c>
      <c r="L138" s="183">
        <f>SUMPRODUCT(-('Diário 1º PA'!$E$4:$E$2635='Analítico Cx.'!$B138),-('Diário 1º PA'!$P$4:$P$2635=L$1),('Diário 1º PA'!$F$4:$F$2635))+SUMPRODUCT(-('Diário 2º PA'!$E$4:$E$3040='Analítico Cx.'!$B138),-('Diário 2º PA'!$P$4:$P$3040=L$1),('Diário 2º PA'!$F$4:$F$3040))+SUMPRODUCT(-('Diário 3º PA'!$E$4:$E$2731='Analítico Cx.'!$B138),-('Diário 3º PA'!$P$4:$P$2731=L$1),('Diário 3º PA'!$F$4:$F$2731))+SUMPRODUCT(-('Diário 4º PA'!$E$4:$E$2564='Analítico Cx.'!$B138),-('Diário 4º PA'!$P$4:$P$2564=L$1),('Diário 4º PA'!$F$4:$F$2564))</f>
        <v>0</v>
      </c>
      <c r="M138" s="183">
        <f>SUMPRODUCT(-('Diário 1º PA'!$E$4:$E$2635='Analítico Cx.'!$B138),-('Diário 1º PA'!$P$4:$P$2635=M$1),('Diário 1º PA'!$F$4:$F$2635))+SUMPRODUCT(-('Diário 2º PA'!$E$4:$E$3040='Analítico Cx.'!$B138),-('Diário 2º PA'!$P$4:$P$3040=M$1),('Diário 2º PA'!$F$4:$F$3040))+SUMPRODUCT(-('Diário 3º PA'!$E$4:$E$2731='Analítico Cx.'!$B138),-('Diário 3º PA'!$P$4:$P$2731=M$1),('Diário 3º PA'!$F$4:$F$2731))+SUMPRODUCT(-('Diário 4º PA'!$E$4:$E$2564='Analítico Cx.'!$B138),-('Diário 4º PA'!$P$4:$P$2564=M$1),('Diário 4º PA'!$F$4:$F$2564))</f>
        <v>0</v>
      </c>
      <c r="N138" s="183">
        <f>SUMPRODUCT(-('Diário 1º PA'!$E$4:$E$2635='Analítico Cx.'!$B138),-('Diário 1º PA'!$P$4:$P$2635=N$1),('Diário 1º PA'!$F$4:$F$2635))+SUMPRODUCT(-('Diário 2º PA'!$E$4:$E$3040='Analítico Cx.'!$B138),-('Diário 2º PA'!$P$4:$P$3040=N$1),('Diário 2º PA'!$F$4:$F$3040))+SUMPRODUCT(-('Diário 3º PA'!$E$4:$E$2731='Analítico Cx.'!$B138),-('Diário 3º PA'!$P$4:$P$2731=N$1),('Diário 3º PA'!$F$4:$F$2731))+SUMPRODUCT(-('Diário 4º PA'!$E$4:$E$2564='Analítico Cx.'!$B138),-('Diário 4º PA'!$P$4:$P$2564=N$1),('Diário 4º PA'!$F$4:$F$2564))</f>
        <v>0</v>
      </c>
      <c r="O138" s="184">
        <f t="shared" si="18"/>
        <v>3000</v>
      </c>
      <c r="P138" s="167">
        <f t="shared" si="19"/>
        <v>2.3629513444712298E-4</v>
      </c>
    </row>
    <row r="139" spans="1:16" ht="23.25" customHeight="1" x14ac:dyDescent="0.2">
      <c r="A139" s="61" t="s">
        <v>430</v>
      </c>
      <c r="B139" s="387" t="s">
        <v>458</v>
      </c>
      <c r="C139" s="183">
        <f>SUMPRODUCT(-('Diário 1º PA'!$E$4:$E$2635='Analítico Cx.'!$B139),-('Diário 1º PA'!$P$4:$P$2635=C$1),('Diário 1º PA'!$F$4:$F$2635))+SUMPRODUCT(-('Diário 2º PA'!$E$4:$E$3040='Analítico Cx.'!$B139),-('Diário 2º PA'!$P$4:$P$3040=C$1),('Diário 2º PA'!$F$4:$F$3040))+SUMPRODUCT(-('Diário 3º PA'!$E$4:$E$2731='Analítico Cx.'!$B139),-('Diário 3º PA'!$P$4:$P$2731=C$1),('Diário 3º PA'!$F$4:$F$2731))+SUMPRODUCT(-('Diário 4º PA'!$E$4:$E$2564='Analítico Cx.'!$B139),-('Diário 4º PA'!$P$4:$P$2564=C$1),('Diário 4º PA'!$F$4:$F$2564))</f>
        <v>3732.9999999999995</v>
      </c>
      <c r="D139" s="183">
        <f>SUMPRODUCT(-('Diário 1º PA'!$E$4:$E$2635='Analítico Cx.'!$B139),-('Diário 1º PA'!$P$4:$P$2635=D$1),('Diário 1º PA'!$F$4:$F$2635))+SUMPRODUCT(-('Diário 2º PA'!$E$4:$E$3040='Analítico Cx.'!$B139),-('Diário 2º PA'!$P$4:$P$3040=D$1),('Diário 2º PA'!$F$4:$F$3040))+SUMPRODUCT(-('Diário 3º PA'!$E$4:$E$2731='Analítico Cx.'!$B139),-('Diário 3º PA'!$P$4:$P$2731=D$1),('Diário 3º PA'!$F$4:$F$2731))+SUMPRODUCT(-('Diário 4º PA'!$E$4:$E$2564='Analítico Cx.'!$B139),-('Diário 4º PA'!$P$4:$P$2564=D$1),('Diário 4º PA'!$F$4:$F$2564))</f>
        <v>0</v>
      </c>
      <c r="E139" s="183">
        <f>SUMPRODUCT(-('Diário 1º PA'!$E$4:$E$2635='Analítico Cx.'!$B139),-('Diário 1º PA'!$P$4:$P$2635=E$1),('Diário 1º PA'!$F$4:$F$2635))+SUMPRODUCT(-('Diário 2º PA'!$E$4:$E$3040='Analítico Cx.'!$B139),-('Diário 2º PA'!$P$4:$P$3040=E$1),('Diário 2º PA'!$F$4:$F$3040))+SUMPRODUCT(-('Diário 3º PA'!$E$4:$E$2731='Analítico Cx.'!$B139),-('Diário 3º PA'!$P$4:$P$2731=E$1),('Diário 3º PA'!$F$4:$F$2731))+SUMPRODUCT(-('Diário 4º PA'!$E$4:$E$2564='Analítico Cx.'!$B139),-('Diário 4º PA'!$P$4:$P$2564=E$1),('Diário 4º PA'!$F$4:$F$2564))</f>
        <v>0</v>
      </c>
      <c r="F139" s="183">
        <f>SUMPRODUCT(-('Diário 1º PA'!$E$4:$E$2635='Analítico Cx.'!$B139),-('Diário 1º PA'!$P$4:$P$2635=F$1),('Diário 1º PA'!$F$4:$F$2635))+SUMPRODUCT(-('Diário 2º PA'!$E$4:$E$3040='Analítico Cx.'!$B139),-('Diário 2º PA'!$P$4:$P$3040=F$1),('Diário 2º PA'!$F$4:$F$3040))+SUMPRODUCT(-('Diário 3º PA'!$E$4:$E$2731='Analítico Cx.'!$B139),-('Diário 3º PA'!$P$4:$P$2731=F$1),('Diário 3º PA'!$F$4:$F$2731))+SUMPRODUCT(-('Diário 4º PA'!$E$4:$E$2564='Analítico Cx.'!$B139),-('Diário 4º PA'!$P$4:$P$2564=F$1),('Diário 4º PA'!$F$4:$F$2564))</f>
        <v>0</v>
      </c>
      <c r="G139" s="183">
        <f>SUMPRODUCT(-('Diário 1º PA'!$E$4:$E$2635='Analítico Cx.'!$B139),-('Diário 1º PA'!$P$4:$P$2635=G$1),('Diário 1º PA'!$F$4:$F$2635))+SUMPRODUCT(-('Diário 2º PA'!$E$4:$E$3040='Analítico Cx.'!$B139),-('Diário 2º PA'!$P$4:$P$3040=G$1),('Diário 2º PA'!$F$4:$F$3040))+SUMPRODUCT(-('Diário 3º PA'!$E$4:$E$2731='Analítico Cx.'!$B139),-('Diário 3º PA'!$P$4:$P$2731=G$1),('Diário 3º PA'!$F$4:$F$2731))+SUMPRODUCT(-('Diário 4º PA'!$E$4:$E$2564='Analítico Cx.'!$B139),-('Diário 4º PA'!$P$4:$P$2564=G$1),('Diário 4º PA'!$F$4:$F$2564))</f>
        <v>3000</v>
      </c>
      <c r="H139" s="183">
        <f>SUMPRODUCT(-('Diário 1º PA'!$E$4:$E$2635='Analítico Cx.'!$B139),-('Diário 1º PA'!$P$4:$P$2635=H$1),('Diário 1º PA'!$F$4:$F$2635))+SUMPRODUCT(-('Diário 2º PA'!$E$4:$E$3040='Analítico Cx.'!$B139),-('Diário 2º PA'!$P$4:$P$3040=H$1),('Diário 2º PA'!$F$4:$F$3040))+SUMPRODUCT(-('Diário 3º PA'!$E$4:$E$2731='Analítico Cx.'!$B139),-('Diário 3º PA'!$P$4:$P$2731=H$1),('Diário 3º PA'!$F$4:$F$2731))+SUMPRODUCT(-('Diário 4º PA'!$E$4:$E$2564='Analítico Cx.'!$B139),-('Diário 4º PA'!$P$4:$P$2564=H$1),('Diário 4º PA'!$F$4:$F$2564))</f>
        <v>3649.42</v>
      </c>
      <c r="I139" s="183">
        <f>SUMPRODUCT(-('Diário 1º PA'!$E$4:$E$2635='Analítico Cx.'!$B139),-('Diário 1º PA'!$P$4:$P$2635=I$1),('Diário 1º PA'!$F$4:$F$2635))+SUMPRODUCT(-('Diário 2º PA'!$E$4:$E$3040='Analítico Cx.'!$B139),-('Diário 2º PA'!$P$4:$P$3040=I$1),('Diário 2º PA'!$F$4:$F$3040))+SUMPRODUCT(-('Diário 3º PA'!$E$4:$E$2731='Analítico Cx.'!$B139),-('Diário 3º PA'!$P$4:$P$2731=I$1),('Diário 3º PA'!$F$4:$F$2731))+SUMPRODUCT(-('Diário 4º PA'!$E$4:$E$2564='Analítico Cx.'!$B139),-('Diário 4º PA'!$P$4:$P$2564=I$1),('Diário 4º PA'!$F$4:$F$2564))</f>
        <v>0</v>
      </c>
      <c r="J139" s="183">
        <f>SUMPRODUCT(-('Diário 1º PA'!$E$4:$E$2635='Analítico Cx.'!$B139),-('Diário 1º PA'!$P$4:$P$2635=J$1),('Diário 1º PA'!$F$4:$F$2635))+SUMPRODUCT(-('Diário 2º PA'!$E$4:$E$3040='Analítico Cx.'!$B139),-('Diário 2º PA'!$P$4:$P$3040=J$1),('Diário 2º PA'!$F$4:$F$3040))+SUMPRODUCT(-('Diário 3º PA'!$E$4:$E$2731='Analítico Cx.'!$B139),-('Diário 3º PA'!$P$4:$P$2731=J$1),('Diário 3º PA'!$F$4:$F$2731))+SUMPRODUCT(-('Diário 4º PA'!$E$4:$E$2564='Analítico Cx.'!$B139),-('Diário 4º PA'!$P$4:$P$2564=J$1),('Diário 4º PA'!$F$4:$F$2564))</f>
        <v>0</v>
      </c>
      <c r="K139" s="183">
        <f>SUMPRODUCT(-('Diário 1º PA'!$E$4:$E$2635='Analítico Cx.'!$B139),-('Diário 1º PA'!$P$4:$P$2635=K$1),('Diário 1º PA'!$F$4:$F$2635))+SUMPRODUCT(-('Diário 2º PA'!$E$4:$E$3040='Analítico Cx.'!$B139),-('Diário 2º PA'!$P$4:$P$3040=K$1),('Diário 2º PA'!$F$4:$F$3040))+SUMPRODUCT(-('Diário 3º PA'!$E$4:$E$2731='Analítico Cx.'!$B139),-('Diário 3º PA'!$P$4:$P$2731=K$1),('Diário 3º PA'!$F$4:$F$2731))+SUMPRODUCT(-('Diário 4º PA'!$E$4:$E$2564='Analítico Cx.'!$B139),-('Diário 4º PA'!$P$4:$P$2564=K$1),('Diário 4º PA'!$F$4:$F$2564))</f>
        <v>0</v>
      </c>
      <c r="L139" s="183">
        <f>SUMPRODUCT(-('Diário 1º PA'!$E$4:$E$2635='Analítico Cx.'!$B139),-('Diário 1º PA'!$P$4:$P$2635=L$1),('Diário 1º PA'!$F$4:$F$2635))+SUMPRODUCT(-('Diário 2º PA'!$E$4:$E$3040='Analítico Cx.'!$B139),-('Diário 2º PA'!$P$4:$P$3040=L$1),('Diário 2º PA'!$F$4:$F$3040))+SUMPRODUCT(-('Diário 3º PA'!$E$4:$E$2731='Analítico Cx.'!$B139),-('Diário 3º PA'!$P$4:$P$2731=L$1),('Diário 3º PA'!$F$4:$F$2731))+SUMPRODUCT(-('Diário 4º PA'!$E$4:$E$2564='Analítico Cx.'!$B139),-('Diário 4º PA'!$P$4:$P$2564=L$1),('Diário 4º PA'!$F$4:$F$2564))</f>
        <v>0</v>
      </c>
      <c r="M139" s="183">
        <f>SUMPRODUCT(-('Diário 1º PA'!$E$4:$E$2635='Analítico Cx.'!$B139),-('Diário 1º PA'!$P$4:$P$2635=M$1),('Diário 1º PA'!$F$4:$F$2635))+SUMPRODUCT(-('Diário 2º PA'!$E$4:$E$3040='Analítico Cx.'!$B139),-('Diário 2º PA'!$P$4:$P$3040=M$1),('Diário 2º PA'!$F$4:$F$3040))+SUMPRODUCT(-('Diário 3º PA'!$E$4:$E$2731='Analítico Cx.'!$B139),-('Diário 3º PA'!$P$4:$P$2731=M$1),('Diário 3º PA'!$F$4:$F$2731))+SUMPRODUCT(-('Diário 4º PA'!$E$4:$E$2564='Analítico Cx.'!$B139),-('Diário 4º PA'!$P$4:$P$2564=M$1),('Diário 4º PA'!$F$4:$F$2564))</f>
        <v>0</v>
      </c>
      <c r="N139" s="183">
        <f>SUMPRODUCT(-('Diário 1º PA'!$E$4:$E$2635='Analítico Cx.'!$B139),-('Diário 1º PA'!$P$4:$P$2635=N$1),('Diário 1º PA'!$F$4:$F$2635))+SUMPRODUCT(-('Diário 2º PA'!$E$4:$E$3040='Analítico Cx.'!$B139),-('Diário 2º PA'!$P$4:$P$3040=N$1),('Diário 2º PA'!$F$4:$F$3040))+SUMPRODUCT(-('Diário 3º PA'!$E$4:$E$2731='Analítico Cx.'!$B139),-('Diário 3º PA'!$P$4:$P$2731=N$1),('Diário 3º PA'!$F$4:$F$2731))+SUMPRODUCT(-('Diário 4º PA'!$E$4:$E$2564='Analítico Cx.'!$B139),-('Diário 4º PA'!$P$4:$P$2564=N$1),('Diário 4º PA'!$F$4:$F$2564))</f>
        <v>0</v>
      </c>
      <c r="O139" s="184">
        <f t="shared" si="18"/>
        <v>10382.42</v>
      </c>
      <c r="P139" s="167">
        <f t="shared" si="19"/>
        <v>8.1777177659549951E-4</v>
      </c>
    </row>
    <row r="140" spans="1:16" ht="23.25" customHeight="1" x14ac:dyDescent="0.2">
      <c r="A140" s="61" t="s">
        <v>431</v>
      </c>
      <c r="B140" s="387" t="s">
        <v>459</v>
      </c>
      <c r="C140" s="183">
        <f>SUMPRODUCT(-('Diário 1º PA'!$E$4:$E$2635='Analítico Cx.'!$B140),-('Diário 1º PA'!$P$4:$P$2635=C$1),('Diário 1º PA'!$F$4:$F$2635))+SUMPRODUCT(-('Diário 2º PA'!$E$4:$E$3040='Analítico Cx.'!$B140),-('Diário 2º PA'!$P$4:$P$3040=C$1),('Diário 2º PA'!$F$4:$F$3040))+SUMPRODUCT(-('Diário 3º PA'!$E$4:$E$2731='Analítico Cx.'!$B140),-('Diário 3º PA'!$P$4:$P$2731=C$1),('Diário 3º PA'!$F$4:$F$2731))+SUMPRODUCT(-('Diário 4º PA'!$E$4:$E$2564='Analítico Cx.'!$B140),-('Diário 4º PA'!$P$4:$P$2564=C$1),('Diário 4º PA'!$F$4:$F$2564))</f>
        <v>0</v>
      </c>
      <c r="D140" s="183">
        <f>SUMPRODUCT(-('Diário 1º PA'!$E$4:$E$2635='Analítico Cx.'!$B140),-('Diário 1º PA'!$P$4:$P$2635=D$1),('Diário 1º PA'!$F$4:$F$2635))+SUMPRODUCT(-('Diário 2º PA'!$E$4:$E$3040='Analítico Cx.'!$B140),-('Diário 2º PA'!$P$4:$P$3040=D$1),('Diário 2º PA'!$F$4:$F$3040))+SUMPRODUCT(-('Diário 3º PA'!$E$4:$E$2731='Analítico Cx.'!$B140),-('Diário 3º PA'!$P$4:$P$2731=D$1),('Diário 3º PA'!$F$4:$F$2731))+SUMPRODUCT(-('Diário 4º PA'!$E$4:$E$2564='Analítico Cx.'!$B140),-('Diário 4º PA'!$P$4:$P$2564=D$1),('Diário 4º PA'!$F$4:$F$2564))</f>
        <v>0</v>
      </c>
      <c r="E140" s="183">
        <f>SUMPRODUCT(-('Diário 1º PA'!$E$4:$E$2635='Analítico Cx.'!$B140),-('Diário 1º PA'!$P$4:$P$2635=E$1),('Diário 1º PA'!$F$4:$F$2635))+SUMPRODUCT(-('Diário 2º PA'!$E$4:$E$3040='Analítico Cx.'!$B140),-('Diário 2º PA'!$P$4:$P$3040=E$1),('Diário 2º PA'!$F$4:$F$3040))+SUMPRODUCT(-('Diário 3º PA'!$E$4:$E$2731='Analítico Cx.'!$B140),-('Diário 3º PA'!$P$4:$P$2731=E$1),('Diário 3º PA'!$F$4:$F$2731))+SUMPRODUCT(-('Diário 4º PA'!$E$4:$E$2564='Analítico Cx.'!$B140),-('Diário 4º PA'!$P$4:$P$2564=E$1),('Diário 4º PA'!$F$4:$F$2564))</f>
        <v>2425.5</v>
      </c>
      <c r="F140" s="183">
        <f>SUMPRODUCT(-('Diário 1º PA'!$E$4:$E$2635='Analítico Cx.'!$B140),-('Diário 1º PA'!$P$4:$P$2635=F$1),('Diário 1º PA'!$F$4:$F$2635))+SUMPRODUCT(-('Diário 2º PA'!$E$4:$E$3040='Analítico Cx.'!$B140),-('Diário 2º PA'!$P$4:$P$3040=F$1),('Diário 2º PA'!$F$4:$F$3040))+SUMPRODUCT(-('Diário 3º PA'!$E$4:$E$2731='Analítico Cx.'!$B140),-('Diário 3º PA'!$P$4:$P$2731=F$1),('Diário 3º PA'!$F$4:$F$2731))+SUMPRODUCT(-('Diário 4º PA'!$E$4:$E$2564='Analítico Cx.'!$B140),-('Diário 4º PA'!$P$4:$P$2564=F$1),('Diário 4º PA'!$F$4:$F$2564))</f>
        <v>74.5</v>
      </c>
      <c r="G140" s="183">
        <f>SUMPRODUCT(-('Diário 1º PA'!$E$4:$E$2635='Analítico Cx.'!$B140),-('Diário 1º PA'!$P$4:$P$2635=G$1),('Diário 1º PA'!$F$4:$F$2635))+SUMPRODUCT(-('Diário 2º PA'!$E$4:$E$3040='Analítico Cx.'!$B140),-('Diário 2º PA'!$P$4:$P$3040=G$1),('Diário 2º PA'!$F$4:$F$3040))+SUMPRODUCT(-('Diário 3º PA'!$E$4:$E$2731='Analítico Cx.'!$B140),-('Diário 3º PA'!$P$4:$P$2731=G$1),('Diário 3º PA'!$F$4:$F$2731))+SUMPRODUCT(-('Diário 4º PA'!$E$4:$E$2564='Analítico Cx.'!$B140),-('Diário 4º PA'!$P$4:$P$2564=G$1),('Diário 4º PA'!$F$4:$F$2564))</f>
        <v>0</v>
      </c>
      <c r="H140" s="183">
        <f>SUMPRODUCT(-('Diário 1º PA'!$E$4:$E$2635='Analítico Cx.'!$B140),-('Diário 1º PA'!$P$4:$P$2635=H$1),('Diário 1º PA'!$F$4:$F$2635))+SUMPRODUCT(-('Diário 2º PA'!$E$4:$E$3040='Analítico Cx.'!$B140),-('Diário 2º PA'!$P$4:$P$3040=H$1),('Diário 2º PA'!$F$4:$F$3040))+SUMPRODUCT(-('Diário 3º PA'!$E$4:$E$2731='Analítico Cx.'!$B140),-('Diário 3º PA'!$P$4:$P$2731=H$1),('Diário 3º PA'!$F$4:$F$2731))+SUMPRODUCT(-('Diário 4º PA'!$E$4:$E$2564='Analítico Cx.'!$B140),-('Diário 4º PA'!$P$4:$P$2564=H$1),('Diário 4º PA'!$F$4:$F$2564))</f>
        <v>0</v>
      </c>
      <c r="I140" s="183">
        <f>SUMPRODUCT(-('Diário 1º PA'!$E$4:$E$2635='Analítico Cx.'!$B140),-('Diário 1º PA'!$P$4:$P$2635=I$1),('Diário 1º PA'!$F$4:$F$2635))+SUMPRODUCT(-('Diário 2º PA'!$E$4:$E$3040='Analítico Cx.'!$B140),-('Diário 2º PA'!$P$4:$P$3040=I$1),('Diário 2º PA'!$F$4:$F$3040))+SUMPRODUCT(-('Diário 3º PA'!$E$4:$E$2731='Analítico Cx.'!$B140),-('Diário 3º PA'!$P$4:$P$2731=I$1),('Diário 3º PA'!$F$4:$F$2731))+SUMPRODUCT(-('Diário 4º PA'!$E$4:$E$2564='Analítico Cx.'!$B140),-('Diário 4º PA'!$P$4:$P$2564=I$1),('Diário 4º PA'!$F$4:$F$2564))</f>
        <v>4313</v>
      </c>
      <c r="J140" s="183">
        <f>SUMPRODUCT(-('Diário 1º PA'!$E$4:$E$2635='Analítico Cx.'!$B140),-('Diário 1º PA'!$P$4:$P$2635=J$1),('Diário 1º PA'!$F$4:$F$2635))+SUMPRODUCT(-('Diário 2º PA'!$E$4:$E$3040='Analítico Cx.'!$B140),-('Diário 2º PA'!$P$4:$P$3040=J$1),('Diário 2º PA'!$F$4:$F$3040))+SUMPRODUCT(-('Diário 3º PA'!$E$4:$E$2731='Analítico Cx.'!$B140),-('Diário 3º PA'!$P$4:$P$2731=J$1),('Diário 3º PA'!$F$4:$F$2731))+SUMPRODUCT(-('Diário 4º PA'!$E$4:$E$2564='Analítico Cx.'!$B140),-('Diário 4º PA'!$P$4:$P$2564=J$1),('Diário 4º PA'!$F$4:$F$2564))</f>
        <v>227</v>
      </c>
      <c r="K140" s="183">
        <f>SUMPRODUCT(-('Diário 1º PA'!$E$4:$E$2635='Analítico Cx.'!$B140),-('Diário 1º PA'!$P$4:$P$2635=K$1),('Diário 1º PA'!$F$4:$F$2635))+SUMPRODUCT(-('Diário 2º PA'!$E$4:$E$3040='Analítico Cx.'!$B140),-('Diário 2º PA'!$P$4:$P$3040=K$1),('Diário 2º PA'!$F$4:$F$3040))+SUMPRODUCT(-('Diário 3º PA'!$E$4:$E$2731='Analítico Cx.'!$B140),-('Diário 3º PA'!$P$4:$P$2731=K$1),('Diário 3º PA'!$F$4:$F$2731))+SUMPRODUCT(-('Diário 4º PA'!$E$4:$E$2564='Analítico Cx.'!$B140),-('Diário 4º PA'!$P$4:$P$2564=K$1),('Diário 4º PA'!$F$4:$F$2564))</f>
        <v>4313</v>
      </c>
      <c r="L140" s="183">
        <f>SUMPRODUCT(-('Diário 1º PA'!$E$4:$E$2635='Analítico Cx.'!$B140),-('Diário 1º PA'!$P$4:$P$2635=L$1),('Diário 1º PA'!$F$4:$F$2635))+SUMPRODUCT(-('Diário 2º PA'!$E$4:$E$3040='Analítico Cx.'!$B140),-('Diário 2º PA'!$P$4:$P$3040=L$1),('Diário 2º PA'!$F$4:$F$3040))+SUMPRODUCT(-('Diário 3º PA'!$E$4:$E$2731='Analítico Cx.'!$B140),-('Diário 3º PA'!$P$4:$P$2731=L$1),('Diário 3º PA'!$F$4:$F$2731))+SUMPRODUCT(-('Diário 4º PA'!$E$4:$E$2564='Analítico Cx.'!$B140),-('Diário 4º PA'!$P$4:$P$2564=L$1),('Diário 4º PA'!$F$4:$F$2564))</f>
        <v>227</v>
      </c>
      <c r="M140" s="183">
        <f>SUMPRODUCT(-('Diário 1º PA'!$E$4:$E$2635='Analítico Cx.'!$B140),-('Diário 1º PA'!$P$4:$P$2635=M$1),('Diário 1º PA'!$F$4:$F$2635))+SUMPRODUCT(-('Diário 2º PA'!$E$4:$E$3040='Analítico Cx.'!$B140),-('Diário 2º PA'!$P$4:$P$3040=M$1),('Diário 2º PA'!$F$4:$F$3040))+SUMPRODUCT(-('Diário 3º PA'!$E$4:$E$2731='Analítico Cx.'!$B140),-('Diário 3º PA'!$P$4:$P$2731=M$1),('Diário 3º PA'!$F$4:$F$2731))+SUMPRODUCT(-('Diário 4º PA'!$E$4:$E$2564='Analítico Cx.'!$B140),-('Diário 4º PA'!$P$4:$P$2564=M$1),('Diário 4º PA'!$F$4:$F$2564))</f>
        <v>0</v>
      </c>
      <c r="N140" s="183">
        <f>SUMPRODUCT(-('Diário 1º PA'!$E$4:$E$2635='Analítico Cx.'!$B140),-('Diário 1º PA'!$P$4:$P$2635=N$1),('Diário 1º PA'!$F$4:$F$2635))+SUMPRODUCT(-('Diário 2º PA'!$E$4:$E$3040='Analítico Cx.'!$B140),-('Diário 2º PA'!$P$4:$P$3040=N$1),('Diário 2º PA'!$F$4:$F$3040))+SUMPRODUCT(-('Diário 3º PA'!$E$4:$E$2731='Analítico Cx.'!$B140),-('Diário 3º PA'!$P$4:$P$2731=N$1),('Diário 3º PA'!$F$4:$F$2731))+SUMPRODUCT(-('Diário 4º PA'!$E$4:$E$2564='Analítico Cx.'!$B140),-('Diário 4º PA'!$P$4:$P$2564=N$1),('Diário 4º PA'!$F$4:$F$2564))</f>
        <v>0</v>
      </c>
      <c r="O140" s="184">
        <f t="shared" si="18"/>
        <v>11580</v>
      </c>
      <c r="P140" s="167">
        <f t="shared" si="19"/>
        <v>9.1209921896589466E-4</v>
      </c>
    </row>
    <row r="141" spans="1:16" ht="23.25" customHeight="1" x14ac:dyDescent="0.2">
      <c r="A141" s="61" t="s">
        <v>432</v>
      </c>
      <c r="B141" s="387" t="s">
        <v>460</v>
      </c>
      <c r="C141" s="183">
        <f>SUMPRODUCT(-('Diário 1º PA'!$E$4:$E$2635='Analítico Cx.'!$B141),-('Diário 1º PA'!$P$4:$P$2635=C$1),('Diário 1º PA'!$F$4:$F$2635))+SUMPRODUCT(-('Diário 2º PA'!$E$4:$E$3040='Analítico Cx.'!$B141),-('Diário 2º PA'!$P$4:$P$3040=C$1),('Diário 2º PA'!$F$4:$F$3040))+SUMPRODUCT(-('Diário 3º PA'!$E$4:$E$2731='Analítico Cx.'!$B141),-('Diário 3º PA'!$P$4:$P$2731=C$1),('Diário 3º PA'!$F$4:$F$2731))+SUMPRODUCT(-('Diário 4º PA'!$E$4:$E$2564='Analítico Cx.'!$B141),-('Diário 4º PA'!$P$4:$P$2564=C$1),('Diário 4º PA'!$F$4:$F$2564))</f>
        <v>8337.4</v>
      </c>
      <c r="D141" s="183">
        <f>SUMPRODUCT(-('Diário 1º PA'!$E$4:$E$2635='Analítico Cx.'!$B141),-('Diário 1º PA'!$P$4:$P$2635=D$1),('Diário 1º PA'!$F$4:$F$2635))+SUMPRODUCT(-('Diário 2º PA'!$E$4:$E$3040='Analítico Cx.'!$B141),-('Diário 2º PA'!$P$4:$P$3040=D$1),('Diário 2º PA'!$F$4:$F$3040))+SUMPRODUCT(-('Diário 3º PA'!$E$4:$E$2731='Analítico Cx.'!$B141),-('Diário 3º PA'!$P$4:$P$2731=D$1),('Diário 3º PA'!$F$4:$F$2731))+SUMPRODUCT(-('Diário 4º PA'!$E$4:$E$2564='Analítico Cx.'!$B141),-('Diário 4º PA'!$P$4:$P$2564=D$1),('Diário 4º PA'!$F$4:$F$2564))</f>
        <v>19471.29</v>
      </c>
      <c r="E141" s="183">
        <f>SUMPRODUCT(-('Diário 1º PA'!$E$4:$E$2635='Analítico Cx.'!$B141),-('Diário 1º PA'!$P$4:$P$2635=E$1),('Diário 1º PA'!$F$4:$F$2635))+SUMPRODUCT(-('Diário 2º PA'!$E$4:$E$3040='Analítico Cx.'!$B141),-('Diário 2º PA'!$P$4:$P$3040=E$1),('Diário 2º PA'!$F$4:$F$3040))+SUMPRODUCT(-('Diário 3º PA'!$E$4:$E$2731='Analítico Cx.'!$B141),-('Diário 3º PA'!$P$4:$P$2731=E$1),('Diário 3º PA'!$F$4:$F$2731))+SUMPRODUCT(-('Diário 4º PA'!$E$4:$E$2564='Analítico Cx.'!$B141),-('Diário 4º PA'!$P$4:$P$2564=E$1),('Diário 4º PA'!$F$4:$F$2564))</f>
        <v>437.98</v>
      </c>
      <c r="F141" s="183">
        <f>SUMPRODUCT(-('Diário 1º PA'!$E$4:$E$2635='Analítico Cx.'!$B141),-('Diário 1º PA'!$P$4:$P$2635=F$1),('Diário 1º PA'!$F$4:$F$2635))+SUMPRODUCT(-('Diário 2º PA'!$E$4:$E$3040='Analítico Cx.'!$B141),-('Diário 2º PA'!$P$4:$P$3040=F$1),('Diário 2º PA'!$F$4:$F$3040))+SUMPRODUCT(-('Diário 3º PA'!$E$4:$E$2731='Analítico Cx.'!$B141),-('Diário 3º PA'!$P$4:$P$2731=F$1),('Diário 3º PA'!$F$4:$F$2731))+SUMPRODUCT(-('Diário 4º PA'!$E$4:$E$2564='Analítico Cx.'!$B141),-('Diário 4º PA'!$P$4:$P$2564=F$1),('Diário 4º PA'!$F$4:$F$2564))</f>
        <v>0</v>
      </c>
      <c r="G141" s="183">
        <f>SUMPRODUCT(-('Diário 1º PA'!$E$4:$E$2635='Analítico Cx.'!$B141),-('Diário 1º PA'!$P$4:$P$2635=G$1),('Diário 1º PA'!$F$4:$F$2635))+SUMPRODUCT(-('Diário 2º PA'!$E$4:$E$3040='Analítico Cx.'!$B141),-('Diário 2º PA'!$P$4:$P$3040=G$1),('Diário 2º PA'!$F$4:$F$3040))+SUMPRODUCT(-('Diário 3º PA'!$E$4:$E$2731='Analítico Cx.'!$B141),-('Diário 3º PA'!$P$4:$P$2731=G$1),('Diário 3º PA'!$F$4:$F$2731))+SUMPRODUCT(-('Diário 4º PA'!$E$4:$E$2564='Analítico Cx.'!$B141),-('Diário 4º PA'!$P$4:$P$2564=G$1),('Diário 4º PA'!$F$4:$F$2564))</f>
        <v>5000</v>
      </c>
      <c r="H141" s="183">
        <f>SUMPRODUCT(-('Diário 1º PA'!$E$4:$E$2635='Analítico Cx.'!$B141),-('Diário 1º PA'!$P$4:$P$2635=H$1),('Diário 1º PA'!$F$4:$F$2635))+SUMPRODUCT(-('Diário 2º PA'!$E$4:$E$3040='Analítico Cx.'!$B141),-('Diário 2º PA'!$P$4:$P$3040=H$1),('Diário 2º PA'!$F$4:$F$3040))+SUMPRODUCT(-('Diário 3º PA'!$E$4:$E$2731='Analítico Cx.'!$B141),-('Diário 3º PA'!$P$4:$P$2731=H$1),('Diário 3º PA'!$F$4:$F$2731))+SUMPRODUCT(-('Diário 4º PA'!$E$4:$E$2564='Analítico Cx.'!$B141),-('Diário 4º PA'!$P$4:$P$2564=H$1),('Diário 4º PA'!$F$4:$F$2564))</f>
        <v>0</v>
      </c>
      <c r="I141" s="183">
        <f>SUMPRODUCT(-('Diário 1º PA'!$E$4:$E$2635='Analítico Cx.'!$B141),-('Diário 1º PA'!$P$4:$P$2635=I$1),('Diário 1º PA'!$F$4:$F$2635))+SUMPRODUCT(-('Diário 2º PA'!$E$4:$E$3040='Analítico Cx.'!$B141),-('Diário 2º PA'!$P$4:$P$3040=I$1),('Diário 2º PA'!$F$4:$F$3040))+SUMPRODUCT(-('Diário 3º PA'!$E$4:$E$2731='Analítico Cx.'!$B141),-('Diário 3º PA'!$P$4:$P$2731=I$1),('Diário 3º PA'!$F$4:$F$2731))+SUMPRODUCT(-('Diário 4º PA'!$E$4:$E$2564='Analítico Cx.'!$B141),-('Diário 4º PA'!$P$4:$P$2564=I$1),('Diário 4º PA'!$F$4:$F$2564))</f>
        <v>0</v>
      </c>
      <c r="J141" s="183">
        <f>SUMPRODUCT(-('Diário 1º PA'!$E$4:$E$2635='Analítico Cx.'!$B141),-('Diário 1º PA'!$P$4:$P$2635=J$1),('Diário 1º PA'!$F$4:$F$2635))+SUMPRODUCT(-('Diário 2º PA'!$E$4:$E$3040='Analítico Cx.'!$B141),-('Diário 2º PA'!$P$4:$P$3040=J$1),('Diário 2º PA'!$F$4:$F$3040))+SUMPRODUCT(-('Diário 3º PA'!$E$4:$E$2731='Analítico Cx.'!$B141),-('Diário 3º PA'!$P$4:$P$2731=J$1),('Diário 3º PA'!$F$4:$F$2731))+SUMPRODUCT(-('Diário 4º PA'!$E$4:$E$2564='Analítico Cx.'!$B141),-('Diário 4º PA'!$P$4:$P$2564=J$1),('Diário 4º PA'!$F$4:$F$2564))</f>
        <v>0</v>
      </c>
      <c r="K141" s="183">
        <f>SUMPRODUCT(-('Diário 1º PA'!$E$4:$E$2635='Analítico Cx.'!$B141),-('Diário 1º PA'!$P$4:$P$2635=K$1),('Diário 1º PA'!$F$4:$F$2635))+SUMPRODUCT(-('Diário 2º PA'!$E$4:$E$3040='Analítico Cx.'!$B141),-('Diário 2º PA'!$P$4:$P$3040=K$1),('Diário 2º PA'!$F$4:$F$3040))+SUMPRODUCT(-('Diário 3º PA'!$E$4:$E$2731='Analítico Cx.'!$B141),-('Diário 3º PA'!$P$4:$P$2731=K$1),('Diário 3º PA'!$F$4:$F$2731))+SUMPRODUCT(-('Diário 4º PA'!$E$4:$E$2564='Analítico Cx.'!$B141),-('Diário 4º PA'!$P$4:$P$2564=K$1),('Diário 4º PA'!$F$4:$F$2564))</f>
        <v>0</v>
      </c>
      <c r="L141" s="183">
        <f>SUMPRODUCT(-('Diário 1º PA'!$E$4:$E$2635='Analítico Cx.'!$B141),-('Diário 1º PA'!$P$4:$P$2635=L$1),('Diário 1º PA'!$F$4:$F$2635))+SUMPRODUCT(-('Diário 2º PA'!$E$4:$E$3040='Analítico Cx.'!$B141),-('Diário 2º PA'!$P$4:$P$3040=L$1),('Diário 2º PA'!$F$4:$F$3040))+SUMPRODUCT(-('Diário 3º PA'!$E$4:$E$2731='Analítico Cx.'!$B141),-('Diário 3º PA'!$P$4:$P$2731=L$1),('Diário 3º PA'!$F$4:$F$2731))+SUMPRODUCT(-('Diário 4º PA'!$E$4:$E$2564='Analítico Cx.'!$B141),-('Diário 4º PA'!$P$4:$P$2564=L$1),('Diário 4º PA'!$F$4:$F$2564))</f>
        <v>0</v>
      </c>
      <c r="M141" s="183">
        <f>SUMPRODUCT(-('Diário 1º PA'!$E$4:$E$2635='Analítico Cx.'!$B141),-('Diário 1º PA'!$P$4:$P$2635=M$1),('Diário 1º PA'!$F$4:$F$2635))+SUMPRODUCT(-('Diário 2º PA'!$E$4:$E$3040='Analítico Cx.'!$B141),-('Diário 2º PA'!$P$4:$P$3040=M$1),('Diário 2º PA'!$F$4:$F$3040))+SUMPRODUCT(-('Diário 3º PA'!$E$4:$E$2731='Analítico Cx.'!$B141),-('Diário 3º PA'!$P$4:$P$2731=M$1),('Diário 3º PA'!$F$4:$F$2731))+SUMPRODUCT(-('Diário 4º PA'!$E$4:$E$2564='Analítico Cx.'!$B141),-('Diário 4º PA'!$P$4:$P$2564=M$1),('Diário 4º PA'!$F$4:$F$2564))</f>
        <v>0</v>
      </c>
      <c r="N141" s="183">
        <f>SUMPRODUCT(-('Diário 1º PA'!$E$4:$E$2635='Analítico Cx.'!$B141),-('Diário 1º PA'!$P$4:$P$2635=N$1),('Diário 1º PA'!$F$4:$F$2635))+SUMPRODUCT(-('Diário 2º PA'!$E$4:$E$3040='Analítico Cx.'!$B141),-('Diário 2º PA'!$P$4:$P$3040=N$1),('Diário 2º PA'!$F$4:$F$3040))+SUMPRODUCT(-('Diário 3º PA'!$E$4:$E$2731='Analítico Cx.'!$B141),-('Diário 3º PA'!$P$4:$P$2731=N$1),('Diário 3º PA'!$F$4:$F$2731))+SUMPRODUCT(-('Diário 4º PA'!$E$4:$E$2564='Analítico Cx.'!$B141),-('Diário 4º PA'!$P$4:$P$2564=N$1),('Diário 4º PA'!$F$4:$F$2564))</f>
        <v>0</v>
      </c>
      <c r="O141" s="184">
        <f t="shared" si="18"/>
        <v>33246.67</v>
      </c>
      <c r="P141" s="167">
        <f t="shared" si="19"/>
        <v>2.6186754525230433E-3</v>
      </c>
    </row>
    <row r="142" spans="1:16" ht="33.75" x14ac:dyDescent="0.2">
      <c r="A142" s="61" t="s">
        <v>433</v>
      </c>
      <c r="B142" s="387" t="s">
        <v>461</v>
      </c>
      <c r="C142" s="183">
        <f>SUMPRODUCT(-('Diário 1º PA'!$E$4:$E$2635='Analítico Cx.'!$B142),-('Diário 1º PA'!$P$4:$P$2635=C$1),('Diário 1º PA'!$F$4:$F$2635))+SUMPRODUCT(-('Diário 2º PA'!$E$4:$E$3040='Analítico Cx.'!$B142),-('Diário 2º PA'!$P$4:$P$3040=C$1),('Diário 2º PA'!$F$4:$F$3040))+SUMPRODUCT(-('Diário 3º PA'!$E$4:$E$2731='Analítico Cx.'!$B142),-('Diário 3º PA'!$P$4:$P$2731=C$1),('Diário 3º PA'!$F$4:$F$2731))+SUMPRODUCT(-('Diário 4º PA'!$E$4:$E$2564='Analítico Cx.'!$B142),-('Diário 4º PA'!$P$4:$P$2564=C$1),('Diário 4º PA'!$F$4:$F$2564))</f>
        <v>0</v>
      </c>
      <c r="D142" s="183">
        <f>SUMPRODUCT(-('Diário 1º PA'!$E$4:$E$2635='Analítico Cx.'!$B142),-('Diário 1º PA'!$P$4:$P$2635=D$1),('Diário 1º PA'!$F$4:$F$2635))+SUMPRODUCT(-('Diário 2º PA'!$E$4:$E$3040='Analítico Cx.'!$B142),-('Diário 2º PA'!$P$4:$P$3040=D$1),('Diário 2º PA'!$F$4:$F$3040))+SUMPRODUCT(-('Diário 3º PA'!$E$4:$E$2731='Analítico Cx.'!$B142),-('Diário 3º PA'!$P$4:$P$2731=D$1),('Diário 3º PA'!$F$4:$F$2731))+SUMPRODUCT(-('Diário 4º PA'!$E$4:$E$2564='Analítico Cx.'!$B142),-('Diário 4º PA'!$P$4:$P$2564=D$1),('Diário 4º PA'!$F$4:$F$2564))</f>
        <v>0</v>
      </c>
      <c r="E142" s="183">
        <f>SUMPRODUCT(-('Diário 1º PA'!$E$4:$E$2635='Analítico Cx.'!$B142),-('Diário 1º PA'!$P$4:$P$2635=E$1),('Diário 1º PA'!$F$4:$F$2635))+SUMPRODUCT(-('Diário 2º PA'!$E$4:$E$3040='Analítico Cx.'!$B142),-('Diário 2º PA'!$P$4:$P$3040=E$1),('Diário 2º PA'!$F$4:$F$3040))+SUMPRODUCT(-('Diário 3º PA'!$E$4:$E$2731='Analítico Cx.'!$B142),-('Diário 3º PA'!$P$4:$P$2731=E$1),('Diário 3º PA'!$F$4:$F$2731))+SUMPRODUCT(-('Diário 4º PA'!$E$4:$E$2564='Analítico Cx.'!$B142),-('Diário 4º PA'!$P$4:$P$2564=E$1),('Diário 4º PA'!$F$4:$F$2564))</f>
        <v>0</v>
      </c>
      <c r="F142" s="183">
        <f>SUMPRODUCT(-('Diário 1º PA'!$E$4:$E$2635='Analítico Cx.'!$B142),-('Diário 1º PA'!$P$4:$P$2635=F$1),('Diário 1º PA'!$F$4:$F$2635))+SUMPRODUCT(-('Diário 2º PA'!$E$4:$E$3040='Analítico Cx.'!$B142),-('Diário 2º PA'!$P$4:$P$3040=F$1),('Diário 2º PA'!$F$4:$F$3040))+SUMPRODUCT(-('Diário 3º PA'!$E$4:$E$2731='Analítico Cx.'!$B142),-('Diário 3º PA'!$P$4:$P$2731=F$1),('Diário 3º PA'!$F$4:$F$2731))+SUMPRODUCT(-('Diário 4º PA'!$E$4:$E$2564='Analítico Cx.'!$B142),-('Diário 4º PA'!$P$4:$P$2564=F$1),('Diário 4º PA'!$F$4:$F$2564))</f>
        <v>0</v>
      </c>
      <c r="G142" s="183">
        <f>SUMPRODUCT(-('Diário 1º PA'!$E$4:$E$2635='Analítico Cx.'!$B142),-('Diário 1º PA'!$P$4:$P$2635=G$1),('Diário 1º PA'!$F$4:$F$2635))+SUMPRODUCT(-('Diário 2º PA'!$E$4:$E$3040='Analítico Cx.'!$B142),-('Diário 2º PA'!$P$4:$P$3040=G$1),('Diário 2º PA'!$F$4:$F$3040))+SUMPRODUCT(-('Diário 3º PA'!$E$4:$E$2731='Analítico Cx.'!$B142),-('Diário 3º PA'!$P$4:$P$2731=G$1),('Diário 3º PA'!$F$4:$F$2731))+SUMPRODUCT(-('Diário 4º PA'!$E$4:$E$2564='Analítico Cx.'!$B142),-('Diário 4º PA'!$P$4:$P$2564=G$1),('Diário 4º PA'!$F$4:$F$2564))</f>
        <v>0</v>
      </c>
      <c r="H142" s="183">
        <f>SUMPRODUCT(-('Diário 1º PA'!$E$4:$E$2635='Analítico Cx.'!$B142),-('Diário 1º PA'!$P$4:$P$2635=H$1),('Diário 1º PA'!$F$4:$F$2635))+SUMPRODUCT(-('Diário 2º PA'!$E$4:$E$3040='Analítico Cx.'!$B142),-('Diário 2º PA'!$P$4:$P$3040=H$1),('Diário 2º PA'!$F$4:$F$3040))+SUMPRODUCT(-('Diário 3º PA'!$E$4:$E$2731='Analítico Cx.'!$B142),-('Diário 3º PA'!$P$4:$P$2731=H$1),('Diário 3º PA'!$F$4:$F$2731))+SUMPRODUCT(-('Diário 4º PA'!$E$4:$E$2564='Analítico Cx.'!$B142),-('Diário 4º PA'!$P$4:$P$2564=H$1),('Diário 4º PA'!$F$4:$F$2564))</f>
        <v>0</v>
      </c>
      <c r="I142" s="183">
        <f>SUMPRODUCT(-('Diário 1º PA'!$E$4:$E$2635='Analítico Cx.'!$B142),-('Diário 1º PA'!$P$4:$P$2635=I$1),('Diário 1º PA'!$F$4:$F$2635))+SUMPRODUCT(-('Diário 2º PA'!$E$4:$E$3040='Analítico Cx.'!$B142),-('Diário 2º PA'!$P$4:$P$3040=I$1),('Diário 2º PA'!$F$4:$F$3040))+SUMPRODUCT(-('Diário 3º PA'!$E$4:$E$2731='Analítico Cx.'!$B142),-('Diário 3º PA'!$P$4:$P$2731=I$1),('Diário 3º PA'!$F$4:$F$2731))+SUMPRODUCT(-('Diário 4º PA'!$E$4:$E$2564='Analítico Cx.'!$B142),-('Diário 4º PA'!$P$4:$P$2564=I$1),('Diário 4º PA'!$F$4:$F$2564))</f>
        <v>1645.2</v>
      </c>
      <c r="J142" s="183">
        <f>SUMPRODUCT(-('Diário 1º PA'!$E$4:$E$2635='Analítico Cx.'!$B142),-('Diário 1º PA'!$P$4:$P$2635=J$1),('Diário 1º PA'!$F$4:$F$2635))+SUMPRODUCT(-('Diário 2º PA'!$E$4:$E$3040='Analítico Cx.'!$B142),-('Diário 2º PA'!$P$4:$P$3040=J$1),('Diário 2º PA'!$F$4:$F$3040))+SUMPRODUCT(-('Diário 3º PA'!$E$4:$E$2731='Analítico Cx.'!$B142),-('Diário 3º PA'!$P$4:$P$2731=J$1),('Diário 3º PA'!$F$4:$F$2731))+SUMPRODUCT(-('Diário 4º PA'!$E$4:$E$2564='Analítico Cx.'!$B142),-('Diário 4º PA'!$P$4:$P$2564=J$1),('Diário 4º PA'!$F$4:$F$2564))</f>
        <v>370.8</v>
      </c>
      <c r="K142" s="183">
        <f>SUMPRODUCT(-('Diário 1º PA'!$E$4:$E$2635='Analítico Cx.'!$B142),-('Diário 1º PA'!$P$4:$P$2635=K$1),('Diário 1º PA'!$F$4:$F$2635))+SUMPRODUCT(-('Diário 2º PA'!$E$4:$E$3040='Analítico Cx.'!$B142),-('Diário 2º PA'!$P$4:$P$3040=K$1),('Diário 2º PA'!$F$4:$F$3040))+SUMPRODUCT(-('Diário 3º PA'!$E$4:$E$2731='Analítico Cx.'!$B142),-('Diário 3º PA'!$P$4:$P$2731=K$1),('Diário 3º PA'!$F$4:$F$2731))+SUMPRODUCT(-('Diário 4º PA'!$E$4:$E$2564='Analítico Cx.'!$B142),-('Diário 4º PA'!$P$4:$P$2564=K$1),('Diário 4º PA'!$F$4:$F$2564))</f>
        <v>0</v>
      </c>
      <c r="L142" s="183">
        <f>SUMPRODUCT(-('Diário 1º PA'!$E$4:$E$2635='Analítico Cx.'!$B142),-('Diário 1º PA'!$P$4:$P$2635=L$1),('Diário 1º PA'!$F$4:$F$2635))+SUMPRODUCT(-('Diário 2º PA'!$E$4:$E$3040='Analítico Cx.'!$B142),-('Diário 2º PA'!$P$4:$P$3040=L$1),('Diário 2º PA'!$F$4:$F$3040))+SUMPRODUCT(-('Diário 3º PA'!$E$4:$E$2731='Analítico Cx.'!$B142),-('Diário 3º PA'!$P$4:$P$2731=L$1),('Diário 3º PA'!$F$4:$F$2731))+SUMPRODUCT(-('Diário 4º PA'!$E$4:$E$2564='Analítico Cx.'!$B142),-('Diário 4º PA'!$P$4:$P$2564=L$1),('Diário 4º PA'!$F$4:$F$2564))</f>
        <v>0</v>
      </c>
      <c r="M142" s="183">
        <f>SUMPRODUCT(-('Diário 1º PA'!$E$4:$E$2635='Analítico Cx.'!$B142),-('Diário 1º PA'!$P$4:$P$2635=M$1),('Diário 1º PA'!$F$4:$F$2635))+SUMPRODUCT(-('Diário 2º PA'!$E$4:$E$3040='Analítico Cx.'!$B142),-('Diário 2º PA'!$P$4:$P$3040=M$1),('Diário 2º PA'!$F$4:$F$3040))+SUMPRODUCT(-('Diário 3º PA'!$E$4:$E$2731='Analítico Cx.'!$B142),-('Diário 3º PA'!$P$4:$P$2731=M$1),('Diário 3º PA'!$F$4:$F$2731))+SUMPRODUCT(-('Diário 4º PA'!$E$4:$E$2564='Analítico Cx.'!$B142),-('Diário 4º PA'!$P$4:$P$2564=M$1),('Diário 4º PA'!$F$4:$F$2564))</f>
        <v>300</v>
      </c>
      <c r="N142" s="183">
        <f>SUMPRODUCT(-('Diário 1º PA'!$E$4:$E$2635='Analítico Cx.'!$B142),-('Diário 1º PA'!$P$4:$P$2635=N$1),('Diário 1º PA'!$F$4:$F$2635))+SUMPRODUCT(-('Diário 2º PA'!$E$4:$E$3040='Analítico Cx.'!$B142),-('Diário 2º PA'!$P$4:$P$3040=N$1),('Diário 2º PA'!$F$4:$F$3040))+SUMPRODUCT(-('Diário 3º PA'!$E$4:$E$2731='Analítico Cx.'!$B142),-('Diário 3º PA'!$P$4:$P$2731=N$1),('Diário 3º PA'!$F$4:$F$2731))+SUMPRODUCT(-('Diário 4º PA'!$E$4:$E$2564='Analítico Cx.'!$B142),-('Diário 4º PA'!$P$4:$P$2564=N$1),('Diário 4º PA'!$F$4:$F$2564))</f>
        <v>0</v>
      </c>
      <c r="O142" s="184">
        <f t="shared" si="18"/>
        <v>2316</v>
      </c>
      <c r="P142" s="167">
        <f t="shared" si="19"/>
        <v>1.8241984379317893E-4</v>
      </c>
    </row>
    <row r="143" spans="1:16" ht="23.25" customHeight="1" x14ac:dyDescent="0.2">
      <c r="A143" s="61" t="s">
        <v>434</v>
      </c>
      <c r="B143" s="387" t="s">
        <v>462</v>
      </c>
      <c r="C143" s="183">
        <f>SUMPRODUCT(-('Diário 1º PA'!$E$4:$E$2635='Analítico Cx.'!$B143),-('Diário 1º PA'!$P$4:$P$2635=C$1),('Diário 1º PA'!$F$4:$F$2635))+SUMPRODUCT(-('Diário 2º PA'!$E$4:$E$3040='Analítico Cx.'!$B143),-('Diário 2º PA'!$P$4:$P$3040=C$1),('Diário 2º PA'!$F$4:$F$3040))+SUMPRODUCT(-('Diário 3º PA'!$E$4:$E$2731='Analítico Cx.'!$B143),-('Diário 3º PA'!$P$4:$P$2731=C$1),('Diário 3º PA'!$F$4:$F$2731))+SUMPRODUCT(-('Diário 4º PA'!$E$4:$E$2564='Analítico Cx.'!$B143),-('Diário 4º PA'!$P$4:$P$2564=C$1),('Diário 4º PA'!$F$4:$F$2564))</f>
        <v>62.4</v>
      </c>
      <c r="D143" s="183">
        <f>SUMPRODUCT(-('Diário 1º PA'!$E$4:$E$2635='Analítico Cx.'!$B143),-('Diário 1º PA'!$P$4:$P$2635=D$1),('Diário 1º PA'!$F$4:$F$2635))+SUMPRODUCT(-('Diário 2º PA'!$E$4:$E$3040='Analítico Cx.'!$B143),-('Diário 2º PA'!$P$4:$P$3040=D$1),('Diário 2º PA'!$F$4:$F$3040))+SUMPRODUCT(-('Diário 3º PA'!$E$4:$E$2731='Analítico Cx.'!$B143),-('Diário 3º PA'!$P$4:$P$2731=D$1),('Diário 3º PA'!$F$4:$F$2731))+SUMPRODUCT(-('Diário 4º PA'!$E$4:$E$2564='Analítico Cx.'!$B143),-('Diário 4º PA'!$P$4:$P$2564=D$1),('Diário 4º PA'!$F$4:$F$2564))</f>
        <v>3000</v>
      </c>
      <c r="E143" s="183">
        <f>SUMPRODUCT(-('Diário 1º PA'!$E$4:$E$2635='Analítico Cx.'!$B143),-('Diário 1º PA'!$P$4:$P$2635=E$1),('Diário 1º PA'!$F$4:$F$2635))+SUMPRODUCT(-('Diário 2º PA'!$E$4:$E$3040='Analítico Cx.'!$B143),-('Diário 2º PA'!$P$4:$P$3040=E$1),('Diário 2º PA'!$F$4:$F$3040))+SUMPRODUCT(-('Diário 3º PA'!$E$4:$E$2731='Analítico Cx.'!$B143),-('Diário 3º PA'!$P$4:$P$2731=E$1),('Diário 3º PA'!$F$4:$F$2731))+SUMPRODUCT(-('Diário 4º PA'!$E$4:$E$2564='Analítico Cx.'!$B143),-('Diário 4º PA'!$P$4:$P$2564=E$1),('Diário 4º PA'!$F$4:$F$2564))</f>
        <v>619.36</v>
      </c>
      <c r="F143" s="183">
        <f>SUMPRODUCT(-('Diário 1º PA'!$E$4:$E$2635='Analítico Cx.'!$B143),-('Diário 1º PA'!$P$4:$P$2635=F$1),('Diário 1º PA'!$F$4:$F$2635))+SUMPRODUCT(-('Diário 2º PA'!$E$4:$E$3040='Analítico Cx.'!$B143),-('Diário 2º PA'!$P$4:$P$3040=F$1),('Diário 2º PA'!$F$4:$F$3040))+SUMPRODUCT(-('Diário 3º PA'!$E$4:$E$2731='Analítico Cx.'!$B143),-('Diário 3º PA'!$P$4:$P$2731=F$1),('Diário 3º PA'!$F$4:$F$2731))+SUMPRODUCT(-('Diário 4º PA'!$E$4:$E$2564='Analítico Cx.'!$B143),-('Diário 4º PA'!$P$4:$P$2564=F$1),('Diário 4º PA'!$F$4:$F$2564))</f>
        <v>2016</v>
      </c>
      <c r="G143" s="183">
        <f>SUMPRODUCT(-('Diário 1º PA'!$E$4:$E$2635='Analítico Cx.'!$B143),-('Diário 1º PA'!$P$4:$P$2635=G$1),('Diário 1º PA'!$F$4:$F$2635))+SUMPRODUCT(-('Diário 2º PA'!$E$4:$E$3040='Analítico Cx.'!$B143),-('Diário 2º PA'!$P$4:$P$3040=G$1),('Diário 2º PA'!$F$4:$F$3040))+SUMPRODUCT(-('Diário 3º PA'!$E$4:$E$2731='Analítico Cx.'!$B143),-('Diário 3º PA'!$P$4:$P$2731=G$1),('Diário 3º PA'!$F$4:$F$2731))+SUMPRODUCT(-('Diário 4º PA'!$E$4:$E$2564='Analítico Cx.'!$B143),-('Diário 4º PA'!$P$4:$P$2564=G$1),('Diário 4º PA'!$F$4:$F$2564))</f>
        <v>2346.3199999999997</v>
      </c>
      <c r="H143" s="183">
        <f>SUMPRODUCT(-('Diário 1º PA'!$E$4:$E$2635='Analítico Cx.'!$B143),-('Diário 1º PA'!$P$4:$P$2635=H$1),('Diário 1º PA'!$F$4:$F$2635))+SUMPRODUCT(-('Diário 2º PA'!$E$4:$E$3040='Analítico Cx.'!$B143),-('Diário 2º PA'!$P$4:$P$3040=H$1),('Diário 2º PA'!$F$4:$F$3040))+SUMPRODUCT(-('Diário 3º PA'!$E$4:$E$2731='Analítico Cx.'!$B143),-('Diário 3º PA'!$P$4:$P$2731=H$1),('Diário 3º PA'!$F$4:$F$2731))+SUMPRODUCT(-('Diário 4º PA'!$E$4:$E$2564='Analítico Cx.'!$B143),-('Diário 4º PA'!$P$4:$P$2564=H$1),('Diário 4º PA'!$F$4:$F$2564))</f>
        <v>2006.24</v>
      </c>
      <c r="I143" s="183">
        <f>SUMPRODUCT(-('Diário 1º PA'!$E$4:$E$2635='Analítico Cx.'!$B143),-('Diário 1º PA'!$P$4:$P$2635=I$1),('Diário 1º PA'!$F$4:$F$2635))+SUMPRODUCT(-('Diário 2º PA'!$E$4:$E$3040='Analítico Cx.'!$B143),-('Diário 2º PA'!$P$4:$P$3040=I$1),('Diário 2º PA'!$F$4:$F$3040))+SUMPRODUCT(-('Diário 3º PA'!$E$4:$E$2731='Analítico Cx.'!$B143),-('Diário 3º PA'!$P$4:$P$2731=I$1),('Diário 3º PA'!$F$4:$F$2731))+SUMPRODUCT(-('Diário 4º PA'!$E$4:$E$2564='Analítico Cx.'!$B143),-('Diário 4º PA'!$P$4:$P$2564=I$1),('Diário 4º PA'!$F$4:$F$2564))</f>
        <v>445.76</v>
      </c>
      <c r="J143" s="183">
        <f>SUMPRODUCT(-('Diário 1º PA'!$E$4:$E$2635='Analítico Cx.'!$B143),-('Diário 1º PA'!$P$4:$P$2635=J$1),('Diário 1º PA'!$F$4:$F$2635))+SUMPRODUCT(-('Diário 2º PA'!$E$4:$E$3040='Analítico Cx.'!$B143),-('Diário 2º PA'!$P$4:$P$3040=J$1),('Diário 2º PA'!$F$4:$F$3040))+SUMPRODUCT(-('Diário 3º PA'!$E$4:$E$2731='Analítico Cx.'!$B143),-('Diário 3º PA'!$P$4:$P$2731=J$1),('Diário 3º PA'!$F$4:$F$2731))+SUMPRODUCT(-('Diário 4º PA'!$E$4:$E$2564='Analítico Cx.'!$B143),-('Diário 4º PA'!$P$4:$P$2564=J$1),('Diário 4º PA'!$F$4:$F$2564))</f>
        <v>1371.99</v>
      </c>
      <c r="K143" s="183">
        <f>SUMPRODUCT(-('Diário 1º PA'!$E$4:$E$2635='Analítico Cx.'!$B143),-('Diário 1º PA'!$P$4:$P$2635=K$1),('Diário 1º PA'!$F$4:$F$2635))+SUMPRODUCT(-('Diário 2º PA'!$E$4:$E$3040='Analítico Cx.'!$B143),-('Diário 2º PA'!$P$4:$P$3040=K$1),('Diário 2º PA'!$F$4:$F$3040))+SUMPRODUCT(-('Diário 3º PA'!$E$4:$E$2731='Analítico Cx.'!$B143),-('Diário 3º PA'!$P$4:$P$2731=K$1),('Diário 3º PA'!$F$4:$F$2731))+SUMPRODUCT(-('Diário 4º PA'!$E$4:$E$2564='Analítico Cx.'!$B143),-('Diário 4º PA'!$P$4:$P$2564=K$1),('Diário 4º PA'!$F$4:$F$2564))</f>
        <v>1960</v>
      </c>
      <c r="L143" s="183">
        <f>SUMPRODUCT(-('Diário 1º PA'!$E$4:$E$2635='Analítico Cx.'!$B143),-('Diário 1º PA'!$P$4:$P$2635=L$1),('Diário 1º PA'!$F$4:$F$2635))+SUMPRODUCT(-('Diário 2º PA'!$E$4:$E$3040='Analítico Cx.'!$B143),-('Diário 2º PA'!$P$4:$P$3040=L$1),('Diário 2º PA'!$F$4:$F$3040))+SUMPRODUCT(-('Diário 3º PA'!$E$4:$E$2731='Analítico Cx.'!$B143),-('Diário 3º PA'!$P$4:$P$2731=L$1),('Diário 3º PA'!$F$4:$F$2731))+SUMPRODUCT(-('Diário 4º PA'!$E$4:$E$2564='Analítico Cx.'!$B143),-('Diário 4º PA'!$P$4:$P$2564=L$1),('Diário 4º PA'!$F$4:$F$2564))</f>
        <v>588.01</v>
      </c>
      <c r="M143" s="183">
        <f>SUMPRODUCT(-('Diário 1º PA'!$E$4:$E$2635='Analítico Cx.'!$B143),-('Diário 1º PA'!$P$4:$P$2635=M$1),('Diário 1º PA'!$F$4:$F$2635))+SUMPRODUCT(-('Diário 2º PA'!$E$4:$E$3040='Analítico Cx.'!$B143),-('Diário 2º PA'!$P$4:$P$3040=M$1),('Diário 2º PA'!$F$4:$F$3040))+SUMPRODUCT(-('Diário 3º PA'!$E$4:$E$2731='Analítico Cx.'!$B143),-('Diário 3º PA'!$P$4:$P$2731=M$1),('Diário 3º PA'!$F$4:$F$2731))+SUMPRODUCT(-('Diário 4º PA'!$E$4:$E$2564='Analítico Cx.'!$B143),-('Diário 4º PA'!$P$4:$P$2564=M$1),('Diário 4º PA'!$F$4:$F$2564))</f>
        <v>0</v>
      </c>
      <c r="N143" s="183">
        <f>SUMPRODUCT(-('Diário 1º PA'!$E$4:$E$2635='Analítico Cx.'!$B143),-('Diário 1º PA'!$P$4:$P$2635=N$1),('Diário 1º PA'!$F$4:$F$2635))+SUMPRODUCT(-('Diário 2º PA'!$E$4:$E$3040='Analítico Cx.'!$B143),-('Diário 2º PA'!$P$4:$P$3040=N$1),('Diário 2º PA'!$F$4:$F$3040))+SUMPRODUCT(-('Diário 3º PA'!$E$4:$E$2731='Analítico Cx.'!$B143),-('Diário 3º PA'!$P$4:$P$2731=N$1),('Diário 3º PA'!$F$4:$F$2731))+SUMPRODUCT(-('Diário 4º PA'!$E$4:$E$2564='Analítico Cx.'!$B143),-('Diário 4º PA'!$P$4:$P$2564=N$1),('Diário 4º PA'!$F$4:$F$2564))</f>
        <v>0</v>
      </c>
      <c r="O143" s="184">
        <f t="shared" si="18"/>
        <v>14416.08</v>
      </c>
      <c r="P143" s="167">
        <f t="shared" si="19"/>
        <v>1.1354831872668269E-3</v>
      </c>
    </row>
    <row r="144" spans="1:16" ht="23.25" customHeight="1" x14ac:dyDescent="0.2">
      <c r="A144" s="61" t="s">
        <v>435</v>
      </c>
      <c r="B144" s="387" t="s">
        <v>463</v>
      </c>
      <c r="C144" s="183">
        <f>SUMPRODUCT(-('Diário 1º PA'!$E$4:$E$2635='Analítico Cx.'!$B144),-('Diário 1º PA'!$P$4:$P$2635=C$1),('Diário 1º PA'!$F$4:$F$2635))+SUMPRODUCT(-('Diário 2º PA'!$E$4:$E$3040='Analítico Cx.'!$B144),-('Diário 2º PA'!$P$4:$P$3040=C$1),('Diário 2º PA'!$F$4:$F$3040))+SUMPRODUCT(-('Diário 3º PA'!$E$4:$E$2731='Analítico Cx.'!$B144),-('Diário 3º PA'!$P$4:$P$2731=C$1),('Diário 3º PA'!$F$4:$F$2731))+SUMPRODUCT(-('Diário 4º PA'!$E$4:$E$2564='Analítico Cx.'!$B144),-('Diário 4º PA'!$P$4:$P$2564=C$1),('Diário 4º PA'!$F$4:$F$2564))</f>
        <v>16.079999999999998</v>
      </c>
      <c r="D144" s="183">
        <f>SUMPRODUCT(-('Diário 1º PA'!$E$4:$E$2635='Analítico Cx.'!$B144),-('Diário 1º PA'!$P$4:$P$2635=D$1),('Diário 1º PA'!$F$4:$F$2635))+SUMPRODUCT(-('Diário 2º PA'!$E$4:$E$3040='Analítico Cx.'!$B144),-('Diário 2º PA'!$P$4:$P$3040=D$1),('Diário 2º PA'!$F$4:$F$3040))+SUMPRODUCT(-('Diário 3º PA'!$E$4:$E$2731='Analítico Cx.'!$B144),-('Diário 3º PA'!$P$4:$P$2731=D$1),('Diário 3º PA'!$F$4:$F$2731))+SUMPRODUCT(-('Diário 4º PA'!$E$4:$E$2564='Analítico Cx.'!$B144),-('Diário 4º PA'!$P$4:$P$2564=D$1),('Diário 4º PA'!$F$4:$F$2564))</f>
        <v>0</v>
      </c>
      <c r="E144" s="183">
        <f>SUMPRODUCT(-('Diário 1º PA'!$E$4:$E$2635='Analítico Cx.'!$B144),-('Diário 1º PA'!$P$4:$P$2635=E$1),('Diário 1º PA'!$F$4:$F$2635))+SUMPRODUCT(-('Diário 2º PA'!$E$4:$E$3040='Analítico Cx.'!$B144),-('Diário 2º PA'!$P$4:$P$3040=E$1),('Diário 2º PA'!$F$4:$F$3040))+SUMPRODUCT(-('Diário 3º PA'!$E$4:$E$2731='Analítico Cx.'!$B144),-('Diário 3º PA'!$P$4:$P$2731=E$1),('Diário 3º PA'!$F$4:$F$2731))+SUMPRODUCT(-('Diário 4º PA'!$E$4:$E$2564='Analítico Cx.'!$B144),-('Diário 4º PA'!$P$4:$P$2564=E$1),('Diário 4º PA'!$F$4:$F$2564))</f>
        <v>0</v>
      </c>
      <c r="F144" s="183">
        <f>SUMPRODUCT(-('Diário 1º PA'!$E$4:$E$2635='Analítico Cx.'!$B144),-('Diário 1º PA'!$P$4:$P$2635=F$1),('Diário 1º PA'!$F$4:$F$2635))+SUMPRODUCT(-('Diário 2º PA'!$E$4:$E$3040='Analítico Cx.'!$B144),-('Diário 2º PA'!$P$4:$P$3040=F$1),('Diário 2º PA'!$F$4:$F$3040))+SUMPRODUCT(-('Diário 3º PA'!$E$4:$E$2731='Analítico Cx.'!$B144),-('Diário 3º PA'!$P$4:$P$2731=F$1),('Diário 3º PA'!$F$4:$F$2731))+SUMPRODUCT(-('Diário 4º PA'!$E$4:$E$2564='Analítico Cx.'!$B144),-('Diário 4º PA'!$P$4:$P$2564=F$1),('Diário 4º PA'!$F$4:$F$2564))</f>
        <v>0</v>
      </c>
      <c r="G144" s="183">
        <f>SUMPRODUCT(-('Diário 1º PA'!$E$4:$E$2635='Analítico Cx.'!$B144),-('Diário 1º PA'!$P$4:$P$2635=G$1),('Diário 1º PA'!$F$4:$F$2635))+SUMPRODUCT(-('Diário 2º PA'!$E$4:$E$3040='Analítico Cx.'!$B144),-('Diário 2º PA'!$P$4:$P$3040=G$1),('Diário 2º PA'!$F$4:$F$3040))+SUMPRODUCT(-('Diário 3º PA'!$E$4:$E$2731='Analítico Cx.'!$B144),-('Diário 3º PA'!$P$4:$P$2731=G$1),('Diário 3º PA'!$F$4:$F$2731))+SUMPRODUCT(-('Diário 4º PA'!$E$4:$E$2564='Analítico Cx.'!$B144),-('Diário 4º PA'!$P$4:$P$2564=G$1),('Diário 4º PA'!$F$4:$F$2564))</f>
        <v>420</v>
      </c>
      <c r="H144" s="183">
        <f>SUMPRODUCT(-('Diário 1º PA'!$E$4:$E$2635='Analítico Cx.'!$B144),-('Diário 1º PA'!$P$4:$P$2635=H$1),('Diário 1º PA'!$F$4:$F$2635))+SUMPRODUCT(-('Diário 2º PA'!$E$4:$E$3040='Analítico Cx.'!$B144),-('Diário 2º PA'!$P$4:$P$3040=H$1),('Diário 2º PA'!$F$4:$F$3040))+SUMPRODUCT(-('Diário 3º PA'!$E$4:$E$2731='Analítico Cx.'!$B144),-('Diário 3º PA'!$P$4:$P$2731=H$1),('Diário 3º PA'!$F$4:$F$2731))+SUMPRODUCT(-('Diário 4º PA'!$E$4:$E$2564='Analítico Cx.'!$B144),-('Diário 4º PA'!$P$4:$P$2564=H$1),('Diário 4º PA'!$F$4:$F$2564))</f>
        <v>180</v>
      </c>
      <c r="I144" s="183">
        <f>SUMPRODUCT(-('Diário 1º PA'!$E$4:$E$2635='Analítico Cx.'!$B144),-('Diário 1º PA'!$P$4:$P$2635=I$1),('Diário 1º PA'!$F$4:$F$2635))+SUMPRODUCT(-('Diário 2º PA'!$E$4:$E$3040='Analítico Cx.'!$B144),-('Diário 2º PA'!$P$4:$P$3040=I$1),('Diário 2º PA'!$F$4:$F$3040))+SUMPRODUCT(-('Diário 3º PA'!$E$4:$E$2731='Analítico Cx.'!$B144),-('Diário 3º PA'!$P$4:$P$2731=I$1),('Diário 3º PA'!$F$4:$F$2731))+SUMPRODUCT(-('Diário 4º PA'!$E$4:$E$2564='Analítico Cx.'!$B144),-('Diário 4º PA'!$P$4:$P$2564=I$1),('Diário 4º PA'!$F$4:$F$2564))</f>
        <v>0</v>
      </c>
      <c r="J144" s="183">
        <f>SUMPRODUCT(-('Diário 1º PA'!$E$4:$E$2635='Analítico Cx.'!$B144),-('Diário 1º PA'!$P$4:$P$2635=J$1),('Diário 1º PA'!$F$4:$F$2635))+SUMPRODUCT(-('Diário 2º PA'!$E$4:$E$3040='Analítico Cx.'!$B144),-('Diário 2º PA'!$P$4:$P$3040=J$1),('Diário 2º PA'!$F$4:$F$3040))+SUMPRODUCT(-('Diário 3º PA'!$E$4:$E$2731='Analítico Cx.'!$B144),-('Diário 3º PA'!$P$4:$P$2731=J$1),('Diário 3º PA'!$F$4:$F$2731))+SUMPRODUCT(-('Diário 4º PA'!$E$4:$E$2564='Analítico Cx.'!$B144),-('Diário 4º PA'!$P$4:$P$2564=J$1),('Diário 4º PA'!$F$4:$F$2564))</f>
        <v>0</v>
      </c>
      <c r="K144" s="183">
        <f>SUMPRODUCT(-('Diário 1º PA'!$E$4:$E$2635='Analítico Cx.'!$B144),-('Diário 1º PA'!$P$4:$P$2635=K$1),('Diário 1º PA'!$F$4:$F$2635))+SUMPRODUCT(-('Diário 2º PA'!$E$4:$E$3040='Analítico Cx.'!$B144),-('Diário 2º PA'!$P$4:$P$3040=K$1),('Diário 2º PA'!$F$4:$F$3040))+SUMPRODUCT(-('Diário 3º PA'!$E$4:$E$2731='Analítico Cx.'!$B144),-('Diário 3º PA'!$P$4:$P$2731=K$1),('Diário 3º PA'!$F$4:$F$2731))+SUMPRODUCT(-('Diário 4º PA'!$E$4:$E$2564='Analítico Cx.'!$B144),-('Diário 4º PA'!$P$4:$P$2564=K$1),('Diário 4º PA'!$F$4:$F$2564))</f>
        <v>0</v>
      </c>
      <c r="L144" s="183">
        <f>SUMPRODUCT(-('Diário 1º PA'!$E$4:$E$2635='Analítico Cx.'!$B144),-('Diário 1º PA'!$P$4:$P$2635=L$1),('Diário 1º PA'!$F$4:$F$2635))+SUMPRODUCT(-('Diário 2º PA'!$E$4:$E$3040='Analítico Cx.'!$B144),-('Diário 2º PA'!$P$4:$P$3040=L$1),('Diário 2º PA'!$F$4:$F$3040))+SUMPRODUCT(-('Diário 3º PA'!$E$4:$E$2731='Analítico Cx.'!$B144),-('Diário 3º PA'!$P$4:$P$2731=L$1),('Diário 3º PA'!$F$4:$F$2731))+SUMPRODUCT(-('Diário 4º PA'!$E$4:$E$2564='Analítico Cx.'!$B144),-('Diário 4º PA'!$P$4:$P$2564=L$1),('Diário 4º PA'!$F$4:$F$2564))</f>
        <v>0</v>
      </c>
      <c r="M144" s="183">
        <f>SUMPRODUCT(-('Diário 1º PA'!$E$4:$E$2635='Analítico Cx.'!$B144),-('Diário 1º PA'!$P$4:$P$2635=M$1),('Diário 1º PA'!$F$4:$F$2635))+SUMPRODUCT(-('Diário 2º PA'!$E$4:$E$3040='Analítico Cx.'!$B144),-('Diário 2º PA'!$P$4:$P$3040=M$1),('Diário 2º PA'!$F$4:$F$3040))+SUMPRODUCT(-('Diário 3º PA'!$E$4:$E$2731='Analítico Cx.'!$B144),-('Diário 3º PA'!$P$4:$P$2731=M$1),('Diário 3º PA'!$F$4:$F$2731))+SUMPRODUCT(-('Diário 4º PA'!$E$4:$E$2564='Analítico Cx.'!$B144),-('Diário 4º PA'!$P$4:$P$2564=M$1),('Diário 4º PA'!$F$4:$F$2564))</f>
        <v>0</v>
      </c>
      <c r="N144" s="183">
        <f>SUMPRODUCT(-('Diário 1º PA'!$E$4:$E$2635='Analítico Cx.'!$B144),-('Diário 1º PA'!$P$4:$P$2635=N$1),('Diário 1º PA'!$F$4:$F$2635))+SUMPRODUCT(-('Diário 2º PA'!$E$4:$E$3040='Analítico Cx.'!$B144),-('Diário 2º PA'!$P$4:$P$3040=N$1),('Diário 2º PA'!$F$4:$F$3040))+SUMPRODUCT(-('Diário 3º PA'!$E$4:$E$2731='Analítico Cx.'!$B144),-('Diário 3º PA'!$P$4:$P$2731=N$1),('Diário 3º PA'!$F$4:$F$2731))+SUMPRODUCT(-('Diário 4º PA'!$E$4:$E$2564='Analítico Cx.'!$B144),-('Diário 4º PA'!$P$4:$P$2564=N$1),('Diário 4º PA'!$F$4:$F$2564))</f>
        <v>637.95000000000005</v>
      </c>
      <c r="O144" s="184">
        <f t="shared" si="18"/>
        <v>1254.03</v>
      </c>
      <c r="P144" s="167">
        <f t="shared" si="19"/>
        <v>9.8773729150241878E-5</v>
      </c>
    </row>
    <row r="145" spans="1:16" ht="23.25" customHeight="1" x14ac:dyDescent="0.2">
      <c r="A145" s="61" t="s">
        <v>436</v>
      </c>
      <c r="B145" s="387" t="s">
        <v>464</v>
      </c>
      <c r="C145" s="183">
        <f>SUMPRODUCT(-('Diário 1º PA'!$E$4:$E$2635='Analítico Cx.'!$B145),-('Diário 1º PA'!$P$4:$P$2635=C$1),('Diário 1º PA'!$F$4:$F$2635))+SUMPRODUCT(-('Diário 2º PA'!$E$4:$E$3040='Analítico Cx.'!$B145),-('Diário 2º PA'!$P$4:$P$3040=C$1),('Diário 2º PA'!$F$4:$F$3040))+SUMPRODUCT(-('Diário 3º PA'!$E$4:$E$2731='Analítico Cx.'!$B145),-('Diário 3º PA'!$P$4:$P$2731=C$1),('Diário 3º PA'!$F$4:$F$2731))+SUMPRODUCT(-('Diário 4º PA'!$E$4:$E$2564='Analítico Cx.'!$B145),-('Diário 4º PA'!$P$4:$P$2564=C$1),('Diário 4º PA'!$F$4:$F$2564))</f>
        <v>0</v>
      </c>
      <c r="D145" s="183">
        <f>SUMPRODUCT(-('Diário 1º PA'!$E$4:$E$2635='Analítico Cx.'!$B145),-('Diário 1º PA'!$P$4:$P$2635=D$1),('Diário 1º PA'!$F$4:$F$2635))+SUMPRODUCT(-('Diário 2º PA'!$E$4:$E$3040='Analítico Cx.'!$B145),-('Diário 2º PA'!$P$4:$P$3040=D$1),('Diário 2º PA'!$F$4:$F$3040))+SUMPRODUCT(-('Diário 3º PA'!$E$4:$E$2731='Analítico Cx.'!$B145),-('Diário 3º PA'!$P$4:$P$2731=D$1),('Diário 3º PA'!$F$4:$F$2731))+SUMPRODUCT(-('Diário 4º PA'!$E$4:$E$2564='Analítico Cx.'!$B145),-('Diário 4º PA'!$P$4:$P$2564=D$1),('Diário 4º PA'!$F$4:$F$2564))</f>
        <v>0</v>
      </c>
      <c r="E145" s="183">
        <f>SUMPRODUCT(-('Diário 1º PA'!$E$4:$E$2635='Analítico Cx.'!$B145),-('Diário 1º PA'!$P$4:$P$2635=E$1),('Diário 1º PA'!$F$4:$F$2635))+SUMPRODUCT(-('Diário 2º PA'!$E$4:$E$3040='Analítico Cx.'!$B145),-('Diário 2º PA'!$P$4:$P$3040=E$1),('Diário 2º PA'!$F$4:$F$3040))+SUMPRODUCT(-('Diário 3º PA'!$E$4:$E$2731='Analítico Cx.'!$B145),-('Diário 3º PA'!$P$4:$P$2731=E$1),('Diário 3º PA'!$F$4:$F$2731))+SUMPRODUCT(-('Diário 4º PA'!$E$4:$E$2564='Analítico Cx.'!$B145),-('Diário 4º PA'!$P$4:$P$2564=E$1),('Diário 4º PA'!$F$4:$F$2564))</f>
        <v>2000</v>
      </c>
      <c r="F145" s="183">
        <f>SUMPRODUCT(-('Diário 1º PA'!$E$4:$E$2635='Analítico Cx.'!$B145),-('Diário 1º PA'!$P$4:$P$2635=F$1),('Diário 1º PA'!$F$4:$F$2635))+SUMPRODUCT(-('Diário 2º PA'!$E$4:$E$3040='Analítico Cx.'!$B145),-('Diário 2º PA'!$P$4:$P$3040=F$1),('Diário 2º PA'!$F$4:$F$3040))+SUMPRODUCT(-('Diário 3º PA'!$E$4:$E$2731='Analítico Cx.'!$B145),-('Diário 3º PA'!$P$4:$P$2731=F$1),('Diário 3º PA'!$F$4:$F$2731))+SUMPRODUCT(-('Diário 4º PA'!$E$4:$E$2564='Analítico Cx.'!$B145),-('Diário 4º PA'!$P$4:$P$2564=F$1),('Diário 4º PA'!$F$4:$F$2564))</f>
        <v>40</v>
      </c>
      <c r="G145" s="183">
        <f>SUMPRODUCT(-('Diário 1º PA'!$E$4:$E$2635='Analítico Cx.'!$B145),-('Diário 1º PA'!$P$4:$P$2635=G$1),('Diário 1º PA'!$F$4:$F$2635))+SUMPRODUCT(-('Diário 2º PA'!$E$4:$E$3040='Analítico Cx.'!$B145),-('Diário 2º PA'!$P$4:$P$3040=G$1),('Diário 2º PA'!$F$4:$F$3040))+SUMPRODUCT(-('Diário 3º PA'!$E$4:$E$2731='Analítico Cx.'!$B145),-('Diário 3º PA'!$P$4:$P$2731=G$1),('Diário 3º PA'!$F$4:$F$2731))+SUMPRODUCT(-('Diário 4º PA'!$E$4:$E$2564='Analítico Cx.'!$B145),-('Diário 4º PA'!$P$4:$P$2564=G$1),('Diário 4º PA'!$F$4:$F$2564))</f>
        <v>0</v>
      </c>
      <c r="H145" s="183">
        <f>SUMPRODUCT(-('Diário 1º PA'!$E$4:$E$2635='Analítico Cx.'!$B145),-('Diário 1º PA'!$P$4:$P$2635=H$1),('Diário 1º PA'!$F$4:$F$2635))+SUMPRODUCT(-('Diário 2º PA'!$E$4:$E$3040='Analítico Cx.'!$B145),-('Diário 2º PA'!$P$4:$P$3040=H$1),('Diário 2º PA'!$F$4:$F$3040))+SUMPRODUCT(-('Diário 3º PA'!$E$4:$E$2731='Analítico Cx.'!$B145),-('Diário 3º PA'!$P$4:$P$2731=H$1),('Diário 3º PA'!$F$4:$F$2731))+SUMPRODUCT(-('Diário 4º PA'!$E$4:$E$2564='Analítico Cx.'!$B145),-('Diário 4º PA'!$P$4:$P$2564=H$1),('Diário 4º PA'!$F$4:$F$2564))</f>
        <v>1200</v>
      </c>
      <c r="I145" s="183">
        <f>SUMPRODUCT(-('Diário 1º PA'!$E$4:$E$2635='Analítico Cx.'!$B145),-('Diário 1º PA'!$P$4:$P$2635=I$1),('Diário 1º PA'!$F$4:$F$2635))+SUMPRODUCT(-('Diário 2º PA'!$E$4:$E$3040='Analítico Cx.'!$B145),-('Diário 2º PA'!$P$4:$P$3040=I$1),('Diário 2º PA'!$F$4:$F$3040))+SUMPRODUCT(-('Diário 3º PA'!$E$4:$E$2731='Analítico Cx.'!$B145),-('Diário 3º PA'!$P$4:$P$2731=I$1),('Diário 3º PA'!$F$4:$F$2731))+SUMPRODUCT(-('Diário 4º PA'!$E$4:$E$2564='Analítico Cx.'!$B145),-('Diário 4º PA'!$P$4:$P$2564=I$1),('Diário 4º PA'!$F$4:$F$2564))</f>
        <v>0</v>
      </c>
      <c r="J145" s="183">
        <f>SUMPRODUCT(-('Diário 1º PA'!$E$4:$E$2635='Analítico Cx.'!$B145),-('Diário 1º PA'!$P$4:$P$2635=J$1),('Diário 1º PA'!$F$4:$F$2635))+SUMPRODUCT(-('Diário 2º PA'!$E$4:$E$3040='Analítico Cx.'!$B145),-('Diário 2º PA'!$P$4:$P$3040=J$1),('Diário 2º PA'!$F$4:$F$3040))+SUMPRODUCT(-('Diário 3º PA'!$E$4:$E$2731='Analítico Cx.'!$B145),-('Diário 3º PA'!$P$4:$P$2731=J$1),('Diário 3º PA'!$F$4:$F$2731))+SUMPRODUCT(-('Diário 4º PA'!$E$4:$E$2564='Analítico Cx.'!$B145),-('Diário 4º PA'!$P$4:$P$2564=J$1),('Diário 4º PA'!$F$4:$F$2564))</f>
        <v>2400</v>
      </c>
      <c r="K145" s="183">
        <f>SUMPRODUCT(-('Diário 1º PA'!$E$4:$E$2635='Analítico Cx.'!$B145),-('Diário 1º PA'!$P$4:$P$2635=K$1),('Diário 1º PA'!$F$4:$F$2635))+SUMPRODUCT(-('Diário 2º PA'!$E$4:$E$3040='Analítico Cx.'!$B145),-('Diário 2º PA'!$P$4:$P$3040=K$1),('Diário 2º PA'!$F$4:$F$3040))+SUMPRODUCT(-('Diário 3º PA'!$E$4:$E$2731='Analítico Cx.'!$B145),-('Diário 3º PA'!$P$4:$P$2731=K$1),('Diário 3º PA'!$F$4:$F$2731))+SUMPRODUCT(-('Diário 4º PA'!$E$4:$E$2564='Analítico Cx.'!$B145),-('Diário 4º PA'!$P$4:$P$2564=K$1),('Diário 4º PA'!$F$4:$F$2564))</f>
        <v>219</v>
      </c>
      <c r="L145" s="183">
        <f>SUMPRODUCT(-('Diário 1º PA'!$E$4:$E$2635='Analítico Cx.'!$B145),-('Diário 1º PA'!$P$4:$P$2635=L$1),('Diário 1º PA'!$F$4:$F$2635))+SUMPRODUCT(-('Diário 2º PA'!$E$4:$E$3040='Analítico Cx.'!$B145),-('Diário 2º PA'!$P$4:$P$3040=L$1),('Diário 2º PA'!$F$4:$F$3040))+SUMPRODUCT(-('Diário 3º PA'!$E$4:$E$2731='Analítico Cx.'!$B145),-('Diário 3º PA'!$P$4:$P$2731=L$1),('Diário 3º PA'!$F$4:$F$2731))+SUMPRODUCT(-('Diário 4º PA'!$E$4:$E$2564='Analítico Cx.'!$B145),-('Diário 4º PA'!$P$4:$P$2564=L$1),('Diário 4º PA'!$F$4:$F$2564))</f>
        <v>0</v>
      </c>
      <c r="M145" s="183">
        <f>SUMPRODUCT(-('Diário 1º PA'!$E$4:$E$2635='Analítico Cx.'!$B145),-('Diário 1º PA'!$P$4:$P$2635=M$1),('Diário 1º PA'!$F$4:$F$2635))+SUMPRODUCT(-('Diário 2º PA'!$E$4:$E$3040='Analítico Cx.'!$B145),-('Diário 2º PA'!$P$4:$P$3040=M$1),('Diário 2º PA'!$F$4:$F$3040))+SUMPRODUCT(-('Diário 3º PA'!$E$4:$E$2731='Analítico Cx.'!$B145),-('Diário 3º PA'!$P$4:$P$2731=M$1),('Diário 3º PA'!$F$4:$F$2731))+SUMPRODUCT(-('Diário 4º PA'!$E$4:$E$2564='Analítico Cx.'!$B145),-('Diário 4º PA'!$P$4:$P$2564=M$1),('Diário 4º PA'!$F$4:$F$2564))</f>
        <v>0</v>
      </c>
      <c r="N145" s="183">
        <f>SUMPRODUCT(-('Diário 1º PA'!$E$4:$E$2635='Analítico Cx.'!$B145),-('Diário 1º PA'!$P$4:$P$2635=N$1),('Diário 1º PA'!$F$4:$F$2635))+SUMPRODUCT(-('Diário 2º PA'!$E$4:$E$3040='Analítico Cx.'!$B145),-('Diário 2º PA'!$P$4:$P$3040=N$1),('Diário 2º PA'!$F$4:$F$3040))+SUMPRODUCT(-('Diário 3º PA'!$E$4:$E$2731='Analítico Cx.'!$B145),-('Diário 3º PA'!$P$4:$P$2731=N$1),('Diário 3º PA'!$F$4:$F$2731))+SUMPRODUCT(-('Diário 4º PA'!$E$4:$E$2564='Analítico Cx.'!$B145),-('Diário 4º PA'!$P$4:$P$2564=N$1),('Diário 4º PA'!$F$4:$F$2564))</f>
        <v>455.1</v>
      </c>
      <c r="O145" s="184">
        <f t="shared" si="18"/>
        <v>6314.1</v>
      </c>
      <c r="P145" s="167">
        <f t="shared" si="19"/>
        <v>4.9733036947085976E-4</v>
      </c>
    </row>
    <row r="146" spans="1:16" ht="23.25" customHeight="1" x14ac:dyDescent="0.2">
      <c r="A146" s="61" t="s">
        <v>437</v>
      </c>
      <c r="B146" s="387" t="s">
        <v>465</v>
      </c>
      <c r="C146" s="183">
        <f>SUMPRODUCT(-('Diário 1º PA'!$E$4:$E$2635='Analítico Cx.'!$B146),-('Diário 1º PA'!$P$4:$P$2635=C$1),('Diário 1º PA'!$F$4:$F$2635))+SUMPRODUCT(-('Diário 2º PA'!$E$4:$E$3040='Analítico Cx.'!$B146),-('Diário 2º PA'!$P$4:$P$3040=C$1),('Diário 2º PA'!$F$4:$F$3040))+SUMPRODUCT(-('Diário 3º PA'!$E$4:$E$2731='Analítico Cx.'!$B146),-('Diário 3º PA'!$P$4:$P$2731=C$1),('Diário 3º PA'!$F$4:$F$2731))+SUMPRODUCT(-('Diário 4º PA'!$E$4:$E$2564='Analítico Cx.'!$B146),-('Diário 4º PA'!$P$4:$P$2564=C$1),('Diário 4º PA'!$F$4:$F$2564))</f>
        <v>3756.57</v>
      </c>
      <c r="D146" s="183">
        <f>SUMPRODUCT(-('Diário 1º PA'!$E$4:$E$2635='Analítico Cx.'!$B146),-('Diário 1º PA'!$P$4:$P$2635=D$1),('Diário 1º PA'!$F$4:$F$2635))+SUMPRODUCT(-('Diário 2º PA'!$E$4:$E$3040='Analítico Cx.'!$B146),-('Diário 2º PA'!$P$4:$P$3040=D$1),('Diário 2º PA'!$F$4:$F$3040))+SUMPRODUCT(-('Diário 3º PA'!$E$4:$E$2731='Analítico Cx.'!$B146),-('Diário 3º PA'!$P$4:$P$2731=D$1),('Diário 3º PA'!$F$4:$F$2731))+SUMPRODUCT(-('Diário 4º PA'!$E$4:$E$2564='Analítico Cx.'!$B146),-('Diário 4º PA'!$P$4:$P$2564=D$1),('Diário 4º PA'!$F$4:$F$2564))</f>
        <v>1837.1599999999999</v>
      </c>
      <c r="E146" s="183">
        <f>SUMPRODUCT(-('Diário 1º PA'!$E$4:$E$2635='Analítico Cx.'!$B146),-('Diário 1º PA'!$P$4:$P$2635=E$1),('Diário 1º PA'!$F$4:$F$2635))+SUMPRODUCT(-('Diário 2º PA'!$E$4:$E$3040='Analítico Cx.'!$B146),-('Diário 2º PA'!$P$4:$P$3040=E$1),('Diário 2º PA'!$F$4:$F$3040))+SUMPRODUCT(-('Diário 3º PA'!$E$4:$E$2731='Analítico Cx.'!$B146),-('Diário 3º PA'!$P$4:$P$2731=E$1),('Diário 3º PA'!$F$4:$F$2731))+SUMPRODUCT(-('Diário 4º PA'!$E$4:$E$2564='Analítico Cx.'!$B146),-('Diário 4º PA'!$P$4:$P$2564=E$1),('Diário 4º PA'!$F$4:$F$2564))</f>
        <v>1094.72</v>
      </c>
      <c r="F146" s="183">
        <f>SUMPRODUCT(-('Diário 1º PA'!$E$4:$E$2635='Analítico Cx.'!$B146),-('Diário 1º PA'!$P$4:$P$2635=F$1),('Diário 1º PA'!$F$4:$F$2635))+SUMPRODUCT(-('Diário 2º PA'!$E$4:$E$3040='Analítico Cx.'!$B146),-('Diário 2º PA'!$P$4:$P$3040=F$1),('Diário 2º PA'!$F$4:$F$3040))+SUMPRODUCT(-('Diário 3º PA'!$E$4:$E$2731='Analítico Cx.'!$B146),-('Diário 3º PA'!$P$4:$P$2731=F$1),('Diário 3º PA'!$F$4:$F$2731))+SUMPRODUCT(-('Diário 4º PA'!$E$4:$E$2564='Analítico Cx.'!$B146),-('Diário 4º PA'!$P$4:$P$2564=F$1),('Diário 4º PA'!$F$4:$F$2564))</f>
        <v>8030.93</v>
      </c>
      <c r="G146" s="183">
        <f>SUMPRODUCT(-('Diário 1º PA'!$E$4:$E$2635='Analítico Cx.'!$B146),-('Diário 1º PA'!$P$4:$P$2635=G$1),('Diário 1º PA'!$F$4:$F$2635))+SUMPRODUCT(-('Diário 2º PA'!$E$4:$E$3040='Analítico Cx.'!$B146),-('Diário 2º PA'!$P$4:$P$3040=G$1),('Diário 2º PA'!$F$4:$F$3040))+SUMPRODUCT(-('Diário 3º PA'!$E$4:$E$2731='Analítico Cx.'!$B146),-('Diário 3º PA'!$P$4:$P$2731=G$1),('Diário 3º PA'!$F$4:$F$2731))+SUMPRODUCT(-('Diário 4º PA'!$E$4:$E$2564='Analítico Cx.'!$B146),-('Diário 4º PA'!$P$4:$P$2564=G$1),('Diário 4º PA'!$F$4:$F$2564))</f>
        <v>2778.22</v>
      </c>
      <c r="H146" s="183">
        <f>SUMPRODUCT(-('Diário 1º PA'!$E$4:$E$2635='Analítico Cx.'!$B146),-('Diário 1º PA'!$P$4:$P$2635=H$1),('Diário 1º PA'!$F$4:$F$2635))+SUMPRODUCT(-('Diário 2º PA'!$E$4:$E$3040='Analítico Cx.'!$B146),-('Diário 2º PA'!$P$4:$P$3040=H$1),('Diário 2º PA'!$F$4:$F$3040))+SUMPRODUCT(-('Diário 3º PA'!$E$4:$E$2731='Analítico Cx.'!$B146),-('Diário 3º PA'!$P$4:$P$2731=H$1),('Diário 3º PA'!$F$4:$F$2731))+SUMPRODUCT(-('Diário 4º PA'!$E$4:$E$2564='Analítico Cx.'!$B146),-('Diário 4º PA'!$P$4:$P$2564=H$1),('Diário 4º PA'!$F$4:$F$2564))</f>
        <v>22271.5</v>
      </c>
      <c r="I146" s="183">
        <f>SUMPRODUCT(-('Diário 1º PA'!$E$4:$E$2635='Analítico Cx.'!$B146),-('Diário 1º PA'!$P$4:$P$2635=I$1),('Diário 1º PA'!$F$4:$F$2635))+SUMPRODUCT(-('Diário 2º PA'!$E$4:$E$3040='Analítico Cx.'!$B146),-('Diário 2º PA'!$P$4:$P$3040=I$1),('Diário 2º PA'!$F$4:$F$3040))+SUMPRODUCT(-('Diário 3º PA'!$E$4:$E$2731='Analítico Cx.'!$B146),-('Diário 3º PA'!$P$4:$P$2731=I$1),('Diário 3º PA'!$F$4:$F$2731))+SUMPRODUCT(-('Diário 4º PA'!$E$4:$E$2564='Analítico Cx.'!$B146),-('Diário 4º PA'!$P$4:$P$2564=I$1),('Diário 4º PA'!$F$4:$F$2564))</f>
        <v>13569.36</v>
      </c>
      <c r="J146" s="183">
        <f>SUMPRODUCT(-('Diário 1º PA'!$E$4:$E$2635='Analítico Cx.'!$B146),-('Diário 1º PA'!$P$4:$P$2635=J$1),('Diário 1º PA'!$F$4:$F$2635))+SUMPRODUCT(-('Diário 2º PA'!$E$4:$E$3040='Analítico Cx.'!$B146),-('Diário 2º PA'!$P$4:$P$3040=J$1),('Diário 2º PA'!$F$4:$F$3040))+SUMPRODUCT(-('Diário 3º PA'!$E$4:$E$2731='Analítico Cx.'!$B146),-('Diário 3º PA'!$P$4:$P$2731=J$1),('Diário 3º PA'!$F$4:$F$2731))+SUMPRODUCT(-('Diário 4º PA'!$E$4:$E$2564='Analítico Cx.'!$B146),-('Diário 4º PA'!$P$4:$P$2564=J$1),('Diário 4º PA'!$F$4:$F$2564))</f>
        <v>932.1099999999999</v>
      </c>
      <c r="K146" s="183">
        <f>SUMPRODUCT(-('Diário 1º PA'!$E$4:$E$2635='Analítico Cx.'!$B146),-('Diário 1º PA'!$P$4:$P$2635=K$1),('Diário 1º PA'!$F$4:$F$2635))+SUMPRODUCT(-('Diário 2º PA'!$E$4:$E$3040='Analítico Cx.'!$B146),-('Diário 2º PA'!$P$4:$P$3040=K$1),('Diário 2º PA'!$F$4:$F$3040))+SUMPRODUCT(-('Diário 3º PA'!$E$4:$E$2731='Analítico Cx.'!$B146),-('Diário 3º PA'!$P$4:$P$2731=K$1),('Diário 3º PA'!$F$4:$F$2731))+SUMPRODUCT(-('Diário 4º PA'!$E$4:$E$2564='Analítico Cx.'!$B146),-('Diário 4º PA'!$P$4:$P$2564=K$1),('Diário 4º PA'!$F$4:$F$2564))</f>
        <v>1677.01</v>
      </c>
      <c r="L146" s="183">
        <f>SUMPRODUCT(-('Diário 1º PA'!$E$4:$E$2635='Analítico Cx.'!$B146),-('Diário 1º PA'!$P$4:$P$2635=L$1),('Diário 1º PA'!$F$4:$F$2635))+SUMPRODUCT(-('Diário 2º PA'!$E$4:$E$3040='Analítico Cx.'!$B146),-('Diário 2º PA'!$P$4:$P$3040=L$1),('Diário 2º PA'!$F$4:$F$3040))+SUMPRODUCT(-('Diário 3º PA'!$E$4:$E$2731='Analítico Cx.'!$B146),-('Diário 3º PA'!$P$4:$P$2731=L$1),('Diário 3º PA'!$F$4:$F$2731))+SUMPRODUCT(-('Diário 4º PA'!$E$4:$E$2564='Analítico Cx.'!$B146),-('Diário 4º PA'!$P$4:$P$2564=L$1),('Diário 4º PA'!$F$4:$F$2564))</f>
        <v>371.39</v>
      </c>
      <c r="M146" s="183">
        <f>SUMPRODUCT(-('Diário 1º PA'!$E$4:$E$2635='Analítico Cx.'!$B146),-('Diário 1º PA'!$P$4:$P$2635=M$1),('Diário 1º PA'!$F$4:$F$2635))+SUMPRODUCT(-('Diário 2º PA'!$E$4:$E$3040='Analítico Cx.'!$B146),-('Diário 2º PA'!$P$4:$P$3040=M$1),('Diário 2º PA'!$F$4:$F$3040))+SUMPRODUCT(-('Diário 3º PA'!$E$4:$E$2731='Analítico Cx.'!$B146),-('Diário 3º PA'!$P$4:$P$2731=M$1),('Diário 3º PA'!$F$4:$F$2731))+SUMPRODUCT(-('Diário 4º PA'!$E$4:$E$2564='Analítico Cx.'!$B146),-('Diário 4º PA'!$P$4:$P$2564=M$1),('Diário 4º PA'!$F$4:$F$2564))</f>
        <v>1908.73</v>
      </c>
      <c r="N146" s="183">
        <f>SUMPRODUCT(-('Diário 1º PA'!$E$4:$E$2635='Analítico Cx.'!$B146),-('Diário 1º PA'!$P$4:$P$2635=N$1),('Diário 1º PA'!$F$4:$F$2635))+SUMPRODUCT(-('Diário 2º PA'!$E$4:$E$3040='Analítico Cx.'!$B146),-('Diário 2º PA'!$P$4:$P$3040=N$1),('Diário 2º PA'!$F$4:$F$3040))+SUMPRODUCT(-('Diário 3º PA'!$E$4:$E$2731='Analítico Cx.'!$B146),-('Diário 3º PA'!$P$4:$P$2731=N$1),('Diário 3º PA'!$F$4:$F$2731))+SUMPRODUCT(-('Diário 4º PA'!$E$4:$E$2564='Analítico Cx.'!$B146),-('Diário 4º PA'!$P$4:$P$2564=N$1),('Diário 4º PA'!$F$4:$F$2564))</f>
        <v>6374.05</v>
      </c>
      <c r="O146" s="184">
        <f t="shared" si="18"/>
        <v>64601.750000000015</v>
      </c>
      <c r="P146" s="167">
        <f t="shared" si="19"/>
        <v>5.0883597339231434E-3</v>
      </c>
    </row>
    <row r="147" spans="1:16" ht="23.25" customHeight="1" x14ac:dyDescent="0.2">
      <c r="A147" s="61" t="s">
        <v>438</v>
      </c>
      <c r="B147" s="387" t="s">
        <v>466</v>
      </c>
      <c r="C147" s="183">
        <f>SUMPRODUCT(-('Diário 1º PA'!$E$4:$E$2635='Analítico Cx.'!$B147),-('Diário 1º PA'!$P$4:$P$2635=C$1),('Diário 1º PA'!$F$4:$F$2635))+SUMPRODUCT(-('Diário 2º PA'!$E$4:$E$3040='Analítico Cx.'!$B147),-('Diário 2º PA'!$P$4:$P$3040=C$1),('Diário 2º PA'!$F$4:$F$3040))+SUMPRODUCT(-('Diário 3º PA'!$E$4:$E$2731='Analítico Cx.'!$B147),-('Diário 3º PA'!$P$4:$P$2731=C$1),('Diário 3º PA'!$F$4:$F$2731))+SUMPRODUCT(-('Diário 4º PA'!$E$4:$E$2564='Analítico Cx.'!$B147),-('Diário 4º PA'!$P$4:$P$2564=C$1),('Diário 4º PA'!$F$4:$F$2564))</f>
        <v>1260</v>
      </c>
      <c r="D147" s="183">
        <f>SUMPRODUCT(-('Diário 1º PA'!$E$4:$E$2635='Analítico Cx.'!$B147),-('Diário 1º PA'!$P$4:$P$2635=D$1),('Diário 1º PA'!$F$4:$F$2635))+SUMPRODUCT(-('Diário 2º PA'!$E$4:$E$3040='Analítico Cx.'!$B147),-('Diário 2º PA'!$P$4:$P$3040=D$1),('Diário 2º PA'!$F$4:$F$3040))+SUMPRODUCT(-('Diário 3º PA'!$E$4:$E$2731='Analítico Cx.'!$B147),-('Diário 3º PA'!$P$4:$P$2731=D$1),('Diário 3º PA'!$F$4:$F$2731))+SUMPRODUCT(-('Diário 4º PA'!$E$4:$E$2564='Analítico Cx.'!$B147),-('Diário 4º PA'!$P$4:$P$2564=D$1),('Diário 4º PA'!$F$4:$F$2564))</f>
        <v>1800</v>
      </c>
      <c r="E147" s="183">
        <f>SUMPRODUCT(-('Diário 1º PA'!$E$4:$E$2635='Analítico Cx.'!$B147),-('Diário 1º PA'!$P$4:$P$2635=E$1),('Diário 1º PA'!$F$4:$F$2635))+SUMPRODUCT(-('Diário 2º PA'!$E$4:$E$3040='Analítico Cx.'!$B147),-('Diário 2º PA'!$P$4:$P$3040=E$1),('Diário 2º PA'!$F$4:$F$3040))+SUMPRODUCT(-('Diário 3º PA'!$E$4:$E$2731='Analítico Cx.'!$B147),-('Diário 3º PA'!$P$4:$P$2731=E$1),('Diário 3º PA'!$F$4:$F$2731))+SUMPRODUCT(-('Diário 4º PA'!$E$4:$E$2564='Analítico Cx.'!$B147),-('Diário 4º PA'!$P$4:$P$2564=E$1),('Diário 4º PA'!$F$4:$F$2564))</f>
        <v>3002.55</v>
      </c>
      <c r="F147" s="183">
        <f>SUMPRODUCT(-('Diário 1º PA'!$E$4:$E$2635='Analítico Cx.'!$B147),-('Diário 1º PA'!$P$4:$P$2635=F$1),('Diário 1º PA'!$F$4:$F$2635))+SUMPRODUCT(-('Diário 2º PA'!$E$4:$E$3040='Analítico Cx.'!$B147),-('Diário 2º PA'!$P$4:$P$3040=F$1),('Diário 2º PA'!$F$4:$F$3040))+SUMPRODUCT(-('Diário 3º PA'!$E$4:$E$2731='Analítico Cx.'!$B147),-('Diário 3º PA'!$P$4:$P$2731=F$1),('Diário 3º PA'!$F$4:$F$2731))+SUMPRODUCT(-('Diário 4º PA'!$E$4:$E$2564='Analítico Cx.'!$B147),-('Diário 4º PA'!$P$4:$P$2564=F$1),('Diário 4º PA'!$F$4:$F$2564))</f>
        <v>1137.45</v>
      </c>
      <c r="G147" s="183">
        <f>SUMPRODUCT(-('Diário 1º PA'!$E$4:$E$2635='Analítico Cx.'!$B147),-('Diário 1º PA'!$P$4:$P$2635=G$1),('Diário 1º PA'!$F$4:$F$2635))+SUMPRODUCT(-('Diário 2º PA'!$E$4:$E$3040='Analítico Cx.'!$B147),-('Diário 2º PA'!$P$4:$P$3040=G$1),('Diário 2º PA'!$F$4:$F$3040))+SUMPRODUCT(-('Diário 3º PA'!$E$4:$E$2731='Analítico Cx.'!$B147),-('Diário 3º PA'!$P$4:$P$2731=G$1),('Diário 3º PA'!$F$4:$F$2731))+SUMPRODUCT(-('Diário 4º PA'!$E$4:$E$2564='Analítico Cx.'!$B147),-('Diário 4º PA'!$P$4:$P$2564=G$1),('Diário 4º PA'!$F$4:$F$2564))</f>
        <v>0</v>
      </c>
      <c r="H147" s="183">
        <f>SUMPRODUCT(-('Diário 1º PA'!$E$4:$E$2635='Analítico Cx.'!$B147),-('Diário 1º PA'!$P$4:$P$2635=H$1),('Diário 1º PA'!$F$4:$F$2635))+SUMPRODUCT(-('Diário 2º PA'!$E$4:$E$3040='Analítico Cx.'!$B147),-('Diário 2º PA'!$P$4:$P$3040=H$1),('Diário 2º PA'!$F$4:$F$3040))+SUMPRODUCT(-('Diário 3º PA'!$E$4:$E$2731='Analítico Cx.'!$B147),-('Diário 3º PA'!$P$4:$P$2731=H$1),('Diário 3º PA'!$F$4:$F$2731))+SUMPRODUCT(-('Diário 4º PA'!$E$4:$E$2564='Analítico Cx.'!$B147),-('Diário 4º PA'!$P$4:$P$2564=H$1),('Diário 4º PA'!$F$4:$F$2564))</f>
        <v>882</v>
      </c>
      <c r="I147" s="183">
        <f>SUMPRODUCT(-('Diário 1º PA'!$E$4:$E$2635='Analítico Cx.'!$B147),-('Diário 1º PA'!$P$4:$P$2635=I$1),('Diário 1º PA'!$F$4:$F$2635))+SUMPRODUCT(-('Diário 2º PA'!$E$4:$E$3040='Analítico Cx.'!$B147),-('Diário 2º PA'!$P$4:$P$3040=I$1),('Diário 2º PA'!$F$4:$F$3040))+SUMPRODUCT(-('Diário 3º PA'!$E$4:$E$2731='Analítico Cx.'!$B147),-('Diário 3º PA'!$P$4:$P$2731=I$1),('Diário 3º PA'!$F$4:$F$2731))+SUMPRODUCT(-('Diário 4º PA'!$E$4:$E$2564='Analítico Cx.'!$B147),-('Diário 4º PA'!$P$4:$P$2564=I$1),('Diário 4º PA'!$F$4:$F$2564))</f>
        <v>378</v>
      </c>
      <c r="J147" s="183">
        <f>SUMPRODUCT(-('Diário 1º PA'!$E$4:$E$2635='Analítico Cx.'!$B147),-('Diário 1º PA'!$P$4:$P$2635=J$1),('Diário 1º PA'!$F$4:$F$2635))+SUMPRODUCT(-('Diário 2º PA'!$E$4:$E$3040='Analítico Cx.'!$B147),-('Diário 2º PA'!$P$4:$P$3040=J$1),('Diário 2º PA'!$F$4:$F$3040))+SUMPRODUCT(-('Diário 3º PA'!$E$4:$E$2731='Analítico Cx.'!$B147),-('Diário 3º PA'!$P$4:$P$2731=J$1),('Diário 3º PA'!$F$4:$F$2731))+SUMPRODUCT(-('Diário 4º PA'!$E$4:$E$2564='Analítico Cx.'!$B147),-('Diário 4º PA'!$P$4:$P$2564=J$1),('Diário 4º PA'!$F$4:$F$2564))</f>
        <v>2037.26</v>
      </c>
      <c r="K147" s="183">
        <f>SUMPRODUCT(-('Diário 1º PA'!$E$4:$E$2635='Analítico Cx.'!$B147),-('Diário 1º PA'!$P$4:$P$2635=K$1),('Diário 1º PA'!$F$4:$F$2635))+SUMPRODUCT(-('Diário 2º PA'!$E$4:$E$3040='Analítico Cx.'!$B147),-('Diário 2º PA'!$P$4:$P$3040=K$1),('Diário 2º PA'!$F$4:$F$3040))+SUMPRODUCT(-('Diário 3º PA'!$E$4:$E$2731='Analítico Cx.'!$B147),-('Diário 3º PA'!$P$4:$P$2731=K$1),('Diário 3º PA'!$F$4:$F$2731))+SUMPRODUCT(-('Diário 4º PA'!$E$4:$E$2564='Analítico Cx.'!$B147),-('Diário 4º PA'!$P$4:$P$2564=K$1),('Diário 4º PA'!$F$4:$F$2564))</f>
        <v>902.74</v>
      </c>
      <c r="L147" s="183">
        <f>SUMPRODUCT(-('Diário 1º PA'!$E$4:$E$2635='Analítico Cx.'!$B147),-('Diário 1º PA'!$P$4:$P$2635=L$1),('Diário 1º PA'!$F$4:$F$2635))+SUMPRODUCT(-('Diário 2º PA'!$E$4:$E$3040='Analítico Cx.'!$B147),-('Diário 2º PA'!$P$4:$P$3040=L$1),('Diário 2º PA'!$F$4:$F$3040))+SUMPRODUCT(-('Diário 3º PA'!$E$4:$E$2731='Analítico Cx.'!$B147),-('Diário 3º PA'!$P$4:$P$2731=L$1),('Diário 3º PA'!$F$4:$F$2731))+SUMPRODUCT(-('Diário 4º PA'!$E$4:$E$2564='Analítico Cx.'!$B147),-('Diário 4º PA'!$P$4:$P$2564=L$1),('Diário 4º PA'!$F$4:$F$2564))</f>
        <v>0</v>
      </c>
      <c r="M147" s="183">
        <f>SUMPRODUCT(-('Diário 1º PA'!$E$4:$E$2635='Analítico Cx.'!$B147),-('Diário 1º PA'!$P$4:$P$2635=M$1),('Diário 1º PA'!$F$4:$F$2635))+SUMPRODUCT(-('Diário 2º PA'!$E$4:$E$3040='Analítico Cx.'!$B147),-('Diário 2º PA'!$P$4:$P$3040=M$1),('Diário 2º PA'!$F$4:$F$3040))+SUMPRODUCT(-('Diário 3º PA'!$E$4:$E$2731='Analítico Cx.'!$B147),-('Diário 3º PA'!$P$4:$P$2731=M$1),('Diário 3º PA'!$F$4:$F$2731))+SUMPRODUCT(-('Diário 4º PA'!$E$4:$E$2564='Analítico Cx.'!$B147),-('Diário 4º PA'!$P$4:$P$2564=M$1),('Diário 4º PA'!$F$4:$F$2564))</f>
        <v>0</v>
      </c>
      <c r="N147" s="183">
        <f>SUMPRODUCT(-('Diário 1º PA'!$E$4:$E$2635='Analítico Cx.'!$B147),-('Diário 1º PA'!$P$4:$P$2635=N$1),('Diário 1º PA'!$F$4:$F$2635))+SUMPRODUCT(-('Diário 2º PA'!$E$4:$E$3040='Analítico Cx.'!$B147),-('Diário 2º PA'!$P$4:$P$3040=N$1),('Diário 2º PA'!$F$4:$F$3040))+SUMPRODUCT(-('Diário 3º PA'!$E$4:$E$2731='Analítico Cx.'!$B147),-('Diário 3º PA'!$P$4:$P$2731=N$1),('Diário 3º PA'!$F$4:$F$2731))+SUMPRODUCT(-('Diário 4º PA'!$E$4:$E$2564='Analítico Cx.'!$B147),-('Diário 4º PA'!$P$4:$P$2564=N$1),('Diário 4º PA'!$F$4:$F$2564))</f>
        <v>0</v>
      </c>
      <c r="O147" s="184">
        <f t="shared" si="18"/>
        <v>11400</v>
      </c>
      <c r="P147" s="167">
        <f t="shared" si="19"/>
        <v>8.9792151089906729E-4</v>
      </c>
    </row>
    <row r="148" spans="1:16" ht="23.25" customHeight="1" x14ac:dyDescent="0.2">
      <c r="A148" s="61" t="s">
        <v>439</v>
      </c>
      <c r="B148" s="387" t="s">
        <v>467</v>
      </c>
      <c r="C148" s="183">
        <f>SUMPRODUCT(-('Diário 1º PA'!$E$4:$E$2635='Analítico Cx.'!$B148),-('Diário 1º PA'!$P$4:$P$2635=C$1),('Diário 1º PA'!$F$4:$F$2635))+SUMPRODUCT(-('Diário 2º PA'!$E$4:$E$3040='Analítico Cx.'!$B148),-('Diário 2º PA'!$P$4:$P$3040=C$1),('Diário 2º PA'!$F$4:$F$3040))+SUMPRODUCT(-('Diário 3º PA'!$E$4:$E$2731='Analítico Cx.'!$B148),-('Diário 3º PA'!$P$4:$P$2731=C$1),('Diário 3º PA'!$F$4:$F$2731))+SUMPRODUCT(-('Diário 4º PA'!$E$4:$E$2564='Analítico Cx.'!$B148),-('Diário 4º PA'!$P$4:$P$2564=C$1),('Diário 4º PA'!$F$4:$F$2564))</f>
        <v>3860</v>
      </c>
      <c r="D148" s="183">
        <f>SUMPRODUCT(-('Diário 1º PA'!$E$4:$E$2635='Analítico Cx.'!$B148),-('Diário 1º PA'!$P$4:$P$2635=D$1),('Diário 1º PA'!$F$4:$F$2635))+SUMPRODUCT(-('Diário 2º PA'!$E$4:$E$3040='Analítico Cx.'!$B148),-('Diário 2º PA'!$P$4:$P$3040=D$1),('Diário 2º PA'!$F$4:$F$3040))+SUMPRODUCT(-('Diário 3º PA'!$E$4:$E$2731='Analítico Cx.'!$B148),-('Diário 3º PA'!$P$4:$P$2731=D$1),('Diário 3º PA'!$F$4:$F$2731))+SUMPRODUCT(-('Diário 4º PA'!$E$4:$E$2564='Analítico Cx.'!$B148),-('Diário 4º PA'!$P$4:$P$2564=D$1),('Diário 4º PA'!$F$4:$F$2564))</f>
        <v>140</v>
      </c>
      <c r="E148" s="183">
        <f>SUMPRODUCT(-('Diário 1º PA'!$E$4:$E$2635='Analítico Cx.'!$B148),-('Diário 1º PA'!$P$4:$P$2635=E$1),('Diário 1º PA'!$F$4:$F$2635))+SUMPRODUCT(-('Diário 2º PA'!$E$4:$E$3040='Analítico Cx.'!$B148),-('Diário 2º PA'!$P$4:$P$3040=E$1),('Diário 2º PA'!$F$4:$F$3040))+SUMPRODUCT(-('Diário 3º PA'!$E$4:$E$2731='Analítico Cx.'!$B148),-('Diário 3º PA'!$P$4:$P$2731=E$1),('Diário 3º PA'!$F$4:$F$2731))+SUMPRODUCT(-('Diário 4º PA'!$E$4:$E$2564='Analítico Cx.'!$B148),-('Diário 4º PA'!$P$4:$P$2564=E$1),('Diário 4º PA'!$F$4:$F$2564))</f>
        <v>0</v>
      </c>
      <c r="F148" s="183">
        <f>SUMPRODUCT(-('Diário 1º PA'!$E$4:$E$2635='Analítico Cx.'!$B148),-('Diário 1º PA'!$P$4:$P$2635=F$1),('Diário 1º PA'!$F$4:$F$2635))+SUMPRODUCT(-('Diário 2º PA'!$E$4:$E$3040='Analítico Cx.'!$B148),-('Diário 2º PA'!$P$4:$P$3040=F$1),('Diário 2º PA'!$F$4:$F$3040))+SUMPRODUCT(-('Diário 3º PA'!$E$4:$E$2731='Analítico Cx.'!$B148),-('Diário 3º PA'!$P$4:$P$2731=F$1),('Diário 3º PA'!$F$4:$F$2731))+SUMPRODUCT(-('Diário 4º PA'!$E$4:$E$2564='Analítico Cx.'!$B148),-('Diário 4º PA'!$P$4:$P$2564=F$1),('Diário 4º PA'!$F$4:$F$2564))</f>
        <v>0</v>
      </c>
      <c r="G148" s="183">
        <f>SUMPRODUCT(-('Diário 1º PA'!$E$4:$E$2635='Analítico Cx.'!$B148),-('Diário 1º PA'!$P$4:$P$2635=G$1),('Diário 1º PA'!$F$4:$F$2635))+SUMPRODUCT(-('Diário 2º PA'!$E$4:$E$3040='Analítico Cx.'!$B148),-('Diário 2º PA'!$P$4:$P$3040=G$1),('Diário 2º PA'!$F$4:$F$3040))+SUMPRODUCT(-('Diário 3º PA'!$E$4:$E$2731='Analítico Cx.'!$B148),-('Diário 3º PA'!$P$4:$P$2731=G$1),('Diário 3º PA'!$F$4:$F$2731))+SUMPRODUCT(-('Diário 4º PA'!$E$4:$E$2564='Analítico Cx.'!$B148),-('Diário 4º PA'!$P$4:$P$2564=G$1),('Diário 4º PA'!$F$4:$F$2564))</f>
        <v>2000</v>
      </c>
      <c r="H148" s="183">
        <f>SUMPRODUCT(-('Diário 1º PA'!$E$4:$E$2635='Analítico Cx.'!$B148),-('Diário 1º PA'!$P$4:$P$2635=H$1),('Diário 1º PA'!$F$4:$F$2635))+SUMPRODUCT(-('Diário 2º PA'!$E$4:$E$3040='Analítico Cx.'!$B148),-('Diário 2º PA'!$P$4:$P$3040=H$1),('Diário 2º PA'!$F$4:$F$3040))+SUMPRODUCT(-('Diário 3º PA'!$E$4:$E$2731='Analítico Cx.'!$B148),-('Diário 3º PA'!$P$4:$P$2731=H$1),('Diário 3º PA'!$F$4:$F$2731))+SUMPRODUCT(-('Diário 4º PA'!$E$4:$E$2564='Analítico Cx.'!$B148),-('Diário 4º PA'!$P$4:$P$2564=H$1),('Diário 4º PA'!$F$4:$F$2564))</f>
        <v>0</v>
      </c>
      <c r="I148" s="183">
        <f>SUMPRODUCT(-('Diário 1º PA'!$E$4:$E$2635='Analítico Cx.'!$B148),-('Diário 1º PA'!$P$4:$P$2635=I$1),('Diário 1º PA'!$F$4:$F$2635))+SUMPRODUCT(-('Diário 2º PA'!$E$4:$E$3040='Analítico Cx.'!$B148),-('Diário 2º PA'!$P$4:$P$3040=I$1),('Diário 2º PA'!$F$4:$F$3040))+SUMPRODUCT(-('Diário 3º PA'!$E$4:$E$2731='Analítico Cx.'!$B148),-('Diário 3º PA'!$P$4:$P$2731=I$1),('Diário 3º PA'!$F$4:$F$2731))+SUMPRODUCT(-('Diário 4º PA'!$E$4:$E$2564='Analítico Cx.'!$B148),-('Diário 4º PA'!$P$4:$P$2564=I$1),('Diário 4º PA'!$F$4:$F$2564))</f>
        <v>0</v>
      </c>
      <c r="J148" s="183">
        <f>SUMPRODUCT(-('Diário 1º PA'!$E$4:$E$2635='Analítico Cx.'!$B148),-('Diário 1º PA'!$P$4:$P$2635=J$1),('Diário 1º PA'!$F$4:$F$2635))+SUMPRODUCT(-('Diário 2º PA'!$E$4:$E$3040='Analítico Cx.'!$B148),-('Diário 2º PA'!$P$4:$P$3040=J$1),('Diário 2º PA'!$F$4:$F$3040))+SUMPRODUCT(-('Diário 3º PA'!$E$4:$E$2731='Analítico Cx.'!$B148),-('Diário 3º PA'!$P$4:$P$2731=J$1),('Diário 3º PA'!$F$4:$F$2731))+SUMPRODUCT(-('Diário 4º PA'!$E$4:$E$2564='Analítico Cx.'!$B148),-('Diário 4º PA'!$P$4:$P$2564=J$1),('Diário 4º PA'!$F$4:$F$2564))</f>
        <v>3000</v>
      </c>
      <c r="K148" s="183">
        <f>SUMPRODUCT(-('Diário 1º PA'!$E$4:$E$2635='Analítico Cx.'!$B148),-('Diário 1º PA'!$P$4:$P$2635=K$1),('Diário 1º PA'!$F$4:$F$2635))+SUMPRODUCT(-('Diário 2º PA'!$E$4:$E$3040='Analítico Cx.'!$B148),-('Diário 2º PA'!$P$4:$P$3040=K$1),('Diário 2º PA'!$F$4:$F$3040))+SUMPRODUCT(-('Diário 3º PA'!$E$4:$E$2731='Analítico Cx.'!$B148),-('Diário 3º PA'!$P$4:$P$2731=K$1),('Diário 3º PA'!$F$4:$F$2731))+SUMPRODUCT(-('Diário 4º PA'!$E$4:$E$2564='Analítico Cx.'!$B148),-('Diário 4º PA'!$P$4:$P$2564=K$1),('Diário 4º PA'!$F$4:$F$2564))</f>
        <v>0</v>
      </c>
      <c r="L148" s="183">
        <f>SUMPRODUCT(-('Diário 1º PA'!$E$4:$E$2635='Analítico Cx.'!$B148),-('Diário 1º PA'!$P$4:$P$2635=L$1),('Diário 1º PA'!$F$4:$F$2635))+SUMPRODUCT(-('Diário 2º PA'!$E$4:$E$3040='Analítico Cx.'!$B148),-('Diário 2º PA'!$P$4:$P$3040=L$1),('Diário 2º PA'!$F$4:$F$3040))+SUMPRODUCT(-('Diário 3º PA'!$E$4:$E$2731='Analítico Cx.'!$B148),-('Diário 3º PA'!$P$4:$P$2731=L$1),('Diário 3º PA'!$F$4:$F$2731))+SUMPRODUCT(-('Diário 4º PA'!$E$4:$E$2564='Analítico Cx.'!$B148),-('Diário 4º PA'!$P$4:$P$2564=L$1),('Diário 4º PA'!$F$4:$F$2564))</f>
        <v>0</v>
      </c>
      <c r="M148" s="183">
        <f>SUMPRODUCT(-('Diário 1º PA'!$E$4:$E$2635='Analítico Cx.'!$B148),-('Diário 1º PA'!$P$4:$P$2635=M$1),('Diário 1º PA'!$F$4:$F$2635))+SUMPRODUCT(-('Diário 2º PA'!$E$4:$E$3040='Analítico Cx.'!$B148),-('Diário 2º PA'!$P$4:$P$3040=M$1),('Diário 2º PA'!$F$4:$F$3040))+SUMPRODUCT(-('Diário 3º PA'!$E$4:$E$2731='Analítico Cx.'!$B148),-('Diário 3º PA'!$P$4:$P$2731=M$1),('Diário 3º PA'!$F$4:$F$2731))+SUMPRODUCT(-('Diário 4º PA'!$E$4:$E$2564='Analítico Cx.'!$B148),-('Diário 4º PA'!$P$4:$P$2564=M$1),('Diário 4º PA'!$F$4:$F$2564))</f>
        <v>0</v>
      </c>
      <c r="N148" s="183">
        <f>SUMPRODUCT(-('Diário 1º PA'!$E$4:$E$2635='Analítico Cx.'!$B148),-('Diário 1º PA'!$P$4:$P$2635=N$1),('Diário 1º PA'!$F$4:$F$2635))+SUMPRODUCT(-('Diário 2º PA'!$E$4:$E$3040='Analítico Cx.'!$B148),-('Diário 2º PA'!$P$4:$P$3040=N$1),('Diário 2º PA'!$F$4:$F$3040))+SUMPRODUCT(-('Diário 3º PA'!$E$4:$E$2731='Analítico Cx.'!$B148),-('Diário 3º PA'!$P$4:$P$2731=N$1),('Diário 3º PA'!$F$4:$F$2731))+SUMPRODUCT(-('Diário 4º PA'!$E$4:$E$2564='Analítico Cx.'!$B148),-('Diário 4º PA'!$P$4:$P$2564=N$1),('Diário 4º PA'!$F$4:$F$2564))</f>
        <v>0</v>
      </c>
      <c r="O148" s="184">
        <f t="shared" si="18"/>
        <v>9000</v>
      </c>
      <c r="P148" s="167">
        <f t="shared" si="19"/>
        <v>7.088854033413689E-4</v>
      </c>
    </row>
    <row r="149" spans="1:16" ht="23.25" customHeight="1" thickBot="1" x14ac:dyDescent="0.25">
      <c r="A149" s="25"/>
      <c r="B149" s="26" t="s">
        <v>46</v>
      </c>
      <c r="C149" s="190">
        <f t="shared" ref="C149:O149" si="20">SUBTOTAL(109,C59:C148)</f>
        <v>189714.44999999998</v>
      </c>
      <c r="D149" s="190">
        <f t="shared" si="20"/>
        <v>169772.67000000004</v>
      </c>
      <c r="E149" s="190">
        <f t="shared" si="20"/>
        <v>244125.53999999998</v>
      </c>
      <c r="F149" s="190">
        <f t="shared" si="20"/>
        <v>219550.82000000004</v>
      </c>
      <c r="G149" s="190">
        <f t="shared" si="20"/>
        <v>434158.58</v>
      </c>
      <c r="H149" s="190">
        <f t="shared" si="20"/>
        <v>259296.24000000002</v>
      </c>
      <c r="I149" s="190">
        <f t="shared" si="20"/>
        <v>234540.63999999996</v>
      </c>
      <c r="J149" s="190">
        <f t="shared" si="20"/>
        <v>196830.15999999992</v>
      </c>
      <c r="K149" s="190">
        <f t="shared" si="20"/>
        <v>136665.83999999997</v>
      </c>
      <c r="L149" s="190">
        <f t="shared" si="20"/>
        <v>122598.84999999999</v>
      </c>
      <c r="M149" s="190">
        <f t="shared" si="20"/>
        <v>160312.89000000004</v>
      </c>
      <c r="N149" s="190">
        <f t="shared" si="20"/>
        <v>132021.32</v>
      </c>
      <c r="O149" s="190">
        <f t="shared" si="20"/>
        <v>2499588.0000000005</v>
      </c>
      <c r="P149" s="174">
        <f t="shared" si="19"/>
        <v>0.19688016084080512</v>
      </c>
    </row>
    <row r="150" spans="1:16" ht="23.25" customHeight="1" thickBot="1" x14ac:dyDescent="0.25">
      <c r="A150" s="36" t="s">
        <v>41</v>
      </c>
      <c r="B150" s="20" t="s">
        <v>144</v>
      </c>
      <c r="C150" s="189"/>
      <c r="D150" s="189"/>
      <c r="E150" s="189"/>
      <c r="F150" s="189"/>
      <c r="G150" s="189"/>
      <c r="H150" s="189"/>
      <c r="I150" s="189"/>
      <c r="J150" s="189"/>
      <c r="K150" s="189"/>
      <c r="L150" s="189"/>
      <c r="M150" s="189"/>
      <c r="N150" s="189"/>
      <c r="O150" s="189"/>
      <c r="P150" s="165"/>
    </row>
    <row r="151" spans="1:16" ht="23.25" customHeight="1" x14ac:dyDescent="0.2">
      <c r="A151" s="61" t="s">
        <v>29</v>
      </c>
      <c r="B151" s="59" t="s">
        <v>231</v>
      </c>
      <c r="C151" s="183">
        <f>SUMPRODUCT(-('Diário 1º PA'!$E$4:$E$2635='Analítico Cx.'!$B151),-('Diário 1º PA'!$P$4:$P$2635=C$1),('Diário 1º PA'!$F$4:$F$2635))+SUMPRODUCT(-('Diário 2º PA'!$E$4:$E$3040='Analítico Cx.'!$B151),-('Diário 2º PA'!$P$4:$P$3040=C$1),('Diário 2º PA'!$F$4:$F$3040))+SUMPRODUCT(-('Diário 3º PA'!$E$4:$E$2731='Analítico Cx.'!$B151),-('Diário 3º PA'!$P$4:$P$2731=C$1),('Diário 3º PA'!$F$4:$F$2731))+SUMPRODUCT(-('Diário 4º PA'!$E$4:$E$2564='Analítico Cx.'!$B151),-('Diário 4º PA'!$P$4:$P$2564=C$1),('Diário 4º PA'!$F$4:$F$2564))</f>
        <v>0</v>
      </c>
      <c r="D151" s="183">
        <f>SUMPRODUCT(-('Diário 1º PA'!$E$4:$E$2635='Analítico Cx.'!$B151),-('Diário 1º PA'!$P$4:$P$2635=D$1),('Diário 1º PA'!$F$4:$F$2635))+SUMPRODUCT(-('Diário 2º PA'!$E$4:$E$3040='Analítico Cx.'!$B151),-('Diário 2º PA'!$P$4:$P$3040=D$1),('Diário 2º PA'!$F$4:$F$3040))+SUMPRODUCT(-('Diário 3º PA'!$E$4:$E$2731='Analítico Cx.'!$B151),-('Diário 3º PA'!$P$4:$P$2731=D$1),('Diário 3º PA'!$F$4:$F$2731))+SUMPRODUCT(-('Diário 4º PA'!$E$4:$E$2564='Analítico Cx.'!$B151),-('Diário 4º PA'!$P$4:$P$2564=D$1),('Diário 4º PA'!$F$4:$F$2564))</f>
        <v>0</v>
      </c>
      <c r="E151" s="183">
        <f>SUMPRODUCT(-('Diário 1º PA'!$E$4:$E$2635='Analítico Cx.'!$B151),-('Diário 1º PA'!$P$4:$P$2635=E$1),('Diário 1º PA'!$F$4:$F$2635))+SUMPRODUCT(-('Diário 2º PA'!$E$4:$E$3040='Analítico Cx.'!$B151),-('Diário 2º PA'!$P$4:$P$3040=E$1),('Diário 2º PA'!$F$4:$F$3040))+SUMPRODUCT(-('Diário 3º PA'!$E$4:$E$2731='Analítico Cx.'!$B151),-('Diário 3º PA'!$P$4:$P$2731=E$1),('Diário 3º PA'!$F$4:$F$2731))+SUMPRODUCT(-('Diário 4º PA'!$E$4:$E$2564='Analítico Cx.'!$B151),-('Diário 4º PA'!$P$4:$P$2564=E$1),('Diário 4º PA'!$F$4:$F$2564))</f>
        <v>0</v>
      </c>
      <c r="F151" s="183">
        <f>SUMPRODUCT(-('Diário 1º PA'!$E$4:$E$2635='Analítico Cx.'!$B151),-('Diário 1º PA'!$P$4:$P$2635=F$1),('Diário 1º PA'!$F$4:$F$2635))+SUMPRODUCT(-('Diário 2º PA'!$E$4:$E$3040='Analítico Cx.'!$B151),-('Diário 2º PA'!$P$4:$P$3040=F$1),('Diário 2º PA'!$F$4:$F$3040))+SUMPRODUCT(-('Diário 3º PA'!$E$4:$E$2731='Analítico Cx.'!$B151),-('Diário 3º PA'!$P$4:$P$2731=F$1),('Diário 3º PA'!$F$4:$F$2731))+SUMPRODUCT(-('Diário 4º PA'!$E$4:$E$2564='Analítico Cx.'!$B151),-('Diário 4º PA'!$P$4:$P$2564=F$1),('Diário 4º PA'!$F$4:$F$2564))</f>
        <v>0</v>
      </c>
      <c r="G151" s="183">
        <f>SUMPRODUCT(-('Diário 1º PA'!$E$4:$E$2635='Analítico Cx.'!$B151),-('Diário 1º PA'!$P$4:$P$2635=G$1),('Diário 1º PA'!$F$4:$F$2635))+SUMPRODUCT(-('Diário 2º PA'!$E$4:$E$3040='Analítico Cx.'!$B151),-('Diário 2º PA'!$P$4:$P$3040=G$1),('Diário 2º PA'!$F$4:$F$3040))+SUMPRODUCT(-('Diário 3º PA'!$E$4:$E$2731='Analítico Cx.'!$B151),-('Diário 3º PA'!$P$4:$P$2731=G$1),('Diário 3º PA'!$F$4:$F$2731))+SUMPRODUCT(-('Diário 4º PA'!$E$4:$E$2564='Analítico Cx.'!$B151),-('Diário 4º PA'!$P$4:$P$2564=G$1),('Diário 4º PA'!$F$4:$F$2564))</f>
        <v>0</v>
      </c>
      <c r="H151" s="183">
        <f>SUMPRODUCT(-('Diário 1º PA'!$E$4:$E$2635='Analítico Cx.'!$B151),-('Diário 1º PA'!$P$4:$P$2635=H$1),('Diário 1º PA'!$F$4:$F$2635))+SUMPRODUCT(-('Diário 2º PA'!$E$4:$E$3040='Analítico Cx.'!$B151),-('Diário 2º PA'!$P$4:$P$3040=H$1),('Diário 2º PA'!$F$4:$F$3040))+SUMPRODUCT(-('Diário 3º PA'!$E$4:$E$2731='Analítico Cx.'!$B151),-('Diário 3º PA'!$P$4:$P$2731=H$1),('Diário 3º PA'!$F$4:$F$2731))+SUMPRODUCT(-('Diário 4º PA'!$E$4:$E$2564='Analítico Cx.'!$B151),-('Diário 4º PA'!$P$4:$P$2564=H$1),('Diário 4º PA'!$F$4:$F$2564))</f>
        <v>0</v>
      </c>
      <c r="I151" s="183">
        <f>SUMPRODUCT(-('Diário 1º PA'!$E$4:$E$2635='Analítico Cx.'!$B151),-('Diário 1º PA'!$P$4:$P$2635=I$1),('Diário 1º PA'!$F$4:$F$2635))+SUMPRODUCT(-('Diário 2º PA'!$E$4:$E$3040='Analítico Cx.'!$B151),-('Diário 2º PA'!$P$4:$P$3040=I$1),('Diário 2º PA'!$F$4:$F$3040))+SUMPRODUCT(-('Diário 3º PA'!$E$4:$E$2731='Analítico Cx.'!$B151),-('Diário 3º PA'!$P$4:$P$2731=I$1),('Diário 3º PA'!$F$4:$F$2731))+SUMPRODUCT(-('Diário 4º PA'!$E$4:$E$2564='Analítico Cx.'!$B151),-('Diário 4º PA'!$P$4:$P$2564=I$1),('Diário 4º PA'!$F$4:$F$2564))</f>
        <v>0</v>
      </c>
      <c r="J151" s="183">
        <f>SUMPRODUCT(-('Diário 1º PA'!$E$4:$E$2635='Analítico Cx.'!$B151),-('Diário 1º PA'!$P$4:$P$2635=J$1),('Diário 1º PA'!$F$4:$F$2635))+SUMPRODUCT(-('Diário 2º PA'!$E$4:$E$3040='Analítico Cx.'!$B151),-('Diário 2º PA'!$P$4:$P$3040=J$1),('Diário 2º PA'!$F$4:$F$3040))+SUMPRODUCT(-('Diário 3º PA'!$E$4:$E$2731='Analítico Cx.'!$B151),-('Diário 3º PA'!$P$4:$P$2731=J$1),('Diário 3º PA'!$F$4:$F$2731))+SUMPRODUCT(-('Diário 4º PA'!$E$4:$E$2564='Analítico Cx.'!$B151),-('Diário 4º PA'!$P$4:$P$2564=J$1),('Diário 4º PA'!$F$4:$F$2564))</f>
        <v>0</v>
      </c>
      <c r="K151" s="183">
        <f>SUMPRODUCT(-('Diário 1º PA'!$E$4:$E$2635='Analítico Cx.'!$B151),-('Diário 1º PA'!$P$4:$P$2635=K$1),('Diário 1º PA'!$F$4:$F$2635))+SUMPRODUCT(-('Diário 2º PA'!$E$4:$E$3040='Analítico Cx.'!$B151),-('Diário 2º PA'!$P$4:$P$3040=K$1),('Diário 2º PA'!$F$4:$F$3040))+SUMPRODUCT(-('Diário 3º PA'!$E$4:$E$2731='Analítico Cx.'!$B151),-('Diário 3º PA'!$P$4:$P$2731=K$1),('Diário 3º PA'!$F$4:$F$2731))+SUMPRODUCT(-('Diário 4º PA'!$E$4:$E$2564='Analítico Cx.'!$B151),-('Diário 4º PA'!$P$4:$P$2564=K$1),('Diário 4º PA'!$F$4:$F$2564))</f>
        <v>0</v>
      </c>
      <c r="L151" s="183">
        <f>SUMPRODUCT(-('Diário 1º PA'!$E$4:$E$2635='Analítico Cx.'!$B151),-('Diário 1º PA'!$P$4:$P$2635=L$1),('Diário 1º PA'!$F$4:$F$2635))+SUMPRODUCT(-('Diário 2º PA'!$E$4:$E$3040='Analítico Cx.'!$B151),-('Diário 2º PA'!$P$4:$P$3040=L$1),('Diário 2º PA'!$F$4:$F$3040))+SUMPRODUCT(-('Diário 3º PA'!$E$4:$E$2731='Analítico Cx.'!$B151),-('Diário 3º PA'!$P$4:$P$2731=L$1),('Diário 3º PA'!$F$4:$F$2731))+SUMPRODUCT(-('Diário 4º PA'!$E$4:$E$2564='Analítico Cx.'!$B151),-('Diário 4º PA'!$P$4:$P$2564=L$1),('Diário 4º PA'!$F$4:$F$2564))</f>
        <v>0</v>
      </c>
      <c r="M151" s="183">
        <f>SUMPRODUCT(-('Diário 1º PA'!$E$4:$E$2635='Analítico Cx.'!$B151),-('Diário 1º PA'!$P$4:$P$2635=M$1),('Diário 1º PA'!$F$4:$F$2635))+SUMPRODUCT(-('Diário 2º PA'!$E$4:$E$3040='Analítico Cx.'!$B151),-('Diário 2º PA'!$P$4:$P$3040=M$1),('Diário 2º PA'!$F$4:$F$3040))+SUMPRODUCT(-('Diário 3º PA'!$E$4:$E$2731='Analítico Cx.'!$B151),-('Diário 3º PA'!$P$4:$P$2731=M$1),('Diário 3º PA'!$F$4:$F$2731))+SUMPRODUCT(-('Diário 4º PA'!$E$4:$E$2564='Analítico Cx.'!$B151),-('Diário 4º PA'!$P$4:$P$2564=M$1),('Diário 4º PA'!$F$4:$F$2564))</f>
        <v>0</v>
      </c>
      <c r="N151" s="183">
        <f>SUMPRODUCT(-('Diário 1º PA'!$E$4:$E$2635='Analítico Cx.'!$B151),-('Diário 1º PA'!$P$4:$P$2635=N$1),('Diário 1º PA'!$F$4:$F$2635))+SUMPRODUCT(-('Diário 2º PA'!$E$4:$E$3040='Analítico Cx.'!$B151),-('Diário 2º PA'!$P$4:$P$3040=N$1),('Diário 2º PA'!$F$4:$F$3040))+SUMPRODUCT(-('Diário 3º PA'!$E$4:$E$2731='Analítico Cx.'!$B151),-('Diário 3º PA'!$P$4:$P$2731=N$1),('Diário 3º PA'!$F$4:$F$2731))+SUMPRODUCT(-('Diário 4º PA'!$E$4:$E$2564='Analítico Cx.'!$B151),-('Diário 4º PA'!$P$4:$P$2564=N$1),('Diário 4º PA'!$F$4:$F$2564))</f>
        <v>0</v>
      </c>
      <c r="O151" s="184">
        <f>SUM(C151:N151)</f>
        <v>0</v>
      </c>
      <c r="P151" s="167">
        <f t="shared" ref="P151:P167" si="21">IF($O$167=0,0,O151/$O$167)</f>
        <v>0</v>
      </c>
    </row>
    <row r="152" spans="1:16" ht="23.25" customHeight="1" x14ac:dyDescent="0.2">
      <c r="A152" s="61" t="s">
        <v>23</v>
      </c>
      <c r="B152" s="59" t="s">
        <v>225</v>
      </c>
      <c r="C152" s="183">
        <f>SUMPRODUCT(-('Diário 1º PA'!$E$4:$E$2635='Analítico Cx.'!$B152),-('Diário 1º PA'!$P$4:$P$2635=C$1),('Diário 1º PA'!$F$4:$F$2635))+SUMPRODUCT(-('Diário 2º PA'!$E$4:$E$3040='Analítico Cx.'!$B152),-('Diário 2º PA'!$P$4:$P$3040=C$1),('Diário 2º PA'!$F$4:$F$3040))+SUMPRODUCT(-('Diário 3º PA'!$E$4:$E$2731='Analítico Cx.'!$B152),-('Diário 3º PA'!$P$4:$P$2731=C$1),('Diário 3º PA'!$F$4:$F$2731))+SUMPRODUCT(-('Diário 4º PA'!$E$4:$E$2564='Analítico Cx.'!$B152),-('Diário 4º PA'!$P$4:$P$2564=C$1),('Diário 4º PA'!$F$4:$F$2564))</f>
        <v>0</v>
      </c>
      <c r="D152" s="183">
        <f>SUMPRODUCT(-('Diário 1º PA'!$E$4:$E$2635='Analítico Cx.'!$B152),-('Diário 1º PA'!$P$4:$P$2635=D$1),('Diário 1º PA'!$F$4:$F$2635))+SUMPRODUCT(-('Diário 2º PA'!$E$4:$E$3040='Analítico Cx.'!$B152),-('Diário 2º PA'!$P$4:$P$3040=D$1),('Diário 2º PA'!$F$4:$F$3040))+SUMPRODUCT(-('Diário 3º PA'!$E$4:$E$2731='Analítico Cx.'!$B152),-('Diário 3º PA'!$P$4:$P$2731=D$1),('Diário 3º PA'!$F$4:$F$2731))+SUMPRODUCT(-('Diário 4º PA'!$E$4:$E$2564='Analítico Cx.'!$B152),-('Diário 4º PA'!$P$4:$P$2564=D$1),('Diário 4º PA'!$F$4:$F$2564))</f>
        <v>0</v>
      </c>
      <c r="E152" s="183">
        <f>SUMPRODUCT(-('Diário 1º PA'!$E$4:$E$2635='Analítico Cx.'!$B152),-('Diário 1º PA'!$P$4:$P$2635=E$1),('Diário 1º PA'!$F$4:$F$2635))+SUMPRODUCT(-('Diário 2º PA'!$E$4:$E$3040='Analítico Cx.'!$B152),-('Diário 2º PA'!$P$4:$P$3040=E$1),('Diário 2º PA'!$F$4:$F$3040))+SUMPRODUCT(-('Diário 3º PA'!$E$4:$E$2731='Analítico Cx.'!$B152),-('Diário 3º PA'!$P$4:$P$2731=E$1),('Diário 3º PA'!$F$4:$F$2731))+SUMPRODUCT(-('Diário 4º PA'!$E$4:$E$2564='Analítico Cx.'!$B152),-('Diário 4º PA'!$P$4:$P$2564=E$1),('Diário 4º PA'!$F$4:$F$2564))</f>
        <v>0</v>
      </c>
      <c r="F152" s="183">
        <f>SUMPRODUCT(-('Diário 1º PA'!$E$4:$E$2635='Analítico Cx.'!$B152),-('Diário 1º PA'!$P$4:$P$2635=F$1),('Diário 1º PA'!$F$4:$F$2635))+SUMPRODUCT(-('Diário 2º PA'!$E$4:$E$3040='Analítico Cx.'!$B152),-('Diário 2º PA'!$P$4:$P$3040=F$1),('Diário 2º PA'!$F$4:$F$3040))+SUMPRODUCT(-('Diário 3º PA'!$E$4:$E$2731='Analítico Cx.'!$B152),-('Diário 3º PA'!$P$4:$P$2731=F$1),('Diário 3º PA'!$F$4:$F$2731))+SUMPRODUCT(-('Diário 4º PA'!$E$4:$E$2564='Analítico Cx.'!$B152),-('Diário 4º PA'!$P$4:$P$2564=F$1),('Diário 4º PA'!$F$4:$F$2564))</f>
        <v>0</v>
      </c>
      <c r="G152" s="183">
        <f>SUMPRODUCT(-('Diário 1º PA'!$E$4:$E$2635='Analítico Cx.'!$B152),-('Diário 1º PA'!$P$4:$P$2635=G$1),('Diário 1º PA'!$F$4:$F$2635))+SUMPRODUCT(-('Diário 2º PA'!$E$4:$E$3040='Analítico Cx.'!$B152),-('Diário 2º PA'!$P$4:$P$3040=G$1),('Diário 2º PA'!$F$4:$F$3040))+SUMPRODUCT(-('Diário 3º PA'!$E$4:$E$2731='Analítico Cx.'!$B152),-('Diário 3º PA'!$P$4:$P$2731=G$1),('Diário 3º PA'!$F$4:$F$2731))+SUMPRODUCT(-('Diário 4º PA'!$E$4:$E$2564='Analítico Cx.'!$B152),-('Diário 4º PA'!$P$4:$P$2564=G$1),('Diário 4º PA'!$F$4:$F$2564))</f>
        <v>0</v>
      </c>
      <c r="H152" s="183">
        <f>SUMPRODUCT(-('Diário 1º PA'!$E$4:$E$2635='Analítico Cx.'!$B152),-('Diário 1º PA'!$P$4:$P$2635=H$1),('Diário 1º PA'!$F$4:$F$2635))+SUMPRODUCT(-('Diário 2º PA'!$E$4:$E$3040='Analítico Cx.'!$B152),-('Diário 2º PA'!$P$4:$P$3040=H$1),('Diário 2º PA'!$F$4:$F$3040))+SUMPRODUCT(-('Diário 3º PA'!$E$4:$E$2731='Analítico Cx.'!$B152),-('Diário 3º PA'!$P$4:$P$2731=H$1),('Diário 3º PA'!$F$4:$F$2731))+SUMPRODUCT(-('Diário 4º PA'!$E$4:$E$2564='Analítico Cx.'!$B152),-('Diário 4º PA'!$P$4:$P$2564=H$1),('Diário 4º PA'!$F$4:$F$2564))</f>
        <v>0</v>
      </c>
      <c r="I152" s="183">
        <f>SUMPRODUCT(-('Diário 1º PA'!$E$4:$E$2635='Analítico Cx.'!$B152),-('Diário 1º PA'!$P$4:$P$2635=I$1),('Diário 1º PA'!$F$4:$F$2635))+SUMPRODUCT(-('Diário 2º PA'!$E$4:$E$3040='Analítico Cx.'!$B152),-('Diário 2º PA'!$P$4:$P$3040=I$1),('Diário 2º PA'!$F$4:$F$3040))+SUMPRODUCT(-('Diário 3º PA'!$E$4:$E$2731='Analítico Cx.'!$B152),-('Diário 3º PA'!$P$4:$P$2731=I$1),('Diário 3º PA'!$F$4:$F$2731))+SUMPRODUCT(-('Diário 4º PA'!$E$4:$E$2564='Analítico Cx.'!$B152),-('Diário 4º PA'!$P$4:$P$2564=I$1),('Diário 4º PA'!$F$4:$F$2564))</f>
        <v>674.09</v>
      </c>
      <c r="J152" s="183">
        <f>SUMPRODUCT(-('Diário 1º PA'!$E$4:$E$2635='Analítico Cx.'!$B152),-('Diário 1º PA'!$P$4:$P$2635=J$1),('Diário 1º PA'!$F$4:$F$2635))+SUMPRODUCT(-('Diário 2º PA'!$E$4:$E$3040='Analítico Cx.'!$B152),-('Diário 2º PA'!$P$4:$P$3040=J$1),('Diário 2º PA'!$F$4:$F$3040))+SUMPRODUCT(-('Diário 3º PA'!$E$4:$E$2731='Analítico Cx.'!$B152),-('Diário 3º PA'!$P$4:$P$2731=J$1),('Diário 3º PA'!$F$4:$F$2731))+SUMPRODUCT(-('Diário 4º PA'!$E$4:$E$2564='Analítico Cx.'!$B152),-('Diário 4º PA'!$P$4:$P$2564=J$1),('Diário 4º PA'!$F$4:$F$2564))</f>
        <v>0</v>
      </c>
      <c r="K152" s="183">
        <f>SUMPRODUCT(-('Diário 1º PA'!$E$4:$E$2635='Analítico Cx.'!$B152),-('Diário 1º PA'!$P$4:$P$2635=K$1),('Diário 1º PA'!$F$4:$F$2635))+SUMPRODUCT(-('Diário 2º PA'!$E$4:$E$3040='Analítico Cx.'!$B152),-('Diário 2º PA'!$P$4:$P$3040=K$1),('Diário 2º PA'!$F$4:$F$3040))+SUMPRODUCT(-('Diário 3º PA'!$E$4:$E$2731='Analítico Cx.'!$B152),-('Diário 3º PA'!$P$4:$P$2731=K$1),('Diário 3º PA'!$F$4:$F$2731))+SUMPRODUCT(-('Diário 4º PA'!$E$4:$E$2564='Analítico Cx.'!$B152),-('Diário 4º PA'!$P$4:$P$2564=K$1),('Diário 4º PA'!$F$4:$F$2564))</f>
        <v>0</v>
      </c>
      <c r="L152" s="183">
        <f>SUMPRODUCT(-('Diário 1º PA'!$E$4:$E$2635='Analítico Cx.'!$B152),-('Diário 1º PA'!$P$4:$P$2635=L$1),('Diário 1º PA'!$F$4:$F$2635))+SUMPRODUCT(-('Diário 2º PA'!$E$4:$E$3040='Analítico Cx.'!$B152),-('Diário 2º PA'!$P$4:$P$3040=L$1),('Diário 2º PA'!$F$4:$F$3040))+SUMPRODUCT(-('Diário 3º PA'!$E$4:$E$2731='Analítico Cx.'!$B152),-('Diário 3º PA'!$P$4:$P$2731=L$1),('Diário 3º PA'!$F$4:$F$2731))+SUMPRODUCT(-('Diário 4º PA'!$E$4:$E$2564='Analítico Cx.'!$B152),-('Diário 4º PA'!$P$4:$P$2564=L$1),('Diário 4º PA'!$F$4:$F$2564))</f>
        <v>0</v>
      </c>
      <c r="M152" s="183">
        <f>SUMPRODUCT(-('Diário 1º PA'!$E$4:$E$2635='Analítico Cx.'!$B152),-('Diário 1º PA'!$P$4:$P$2635=M$1),('Diário 1º PA'!$F$4:$F$2635))+SUMPRODUCT(-('Diário 2º PA'!$E$4:$E$3040='Analítico Cx.'!$B152),-('Diário 2º PA'!$P$4:$P$3040=M$1),('Diário 2º PA'!$F$4:$F$3040))+SUMPRODUCT(-('Diário 3º PA'!$E$4:$E$2731='Analítico Cx.'!$B152),-('Diário 3º PA'!$P$4:$P$2731=M$1),('Diário 3º PA'!$F$4:$F$2731))+SUMPRODUCT(-('Diário 4º PA'!$E$4:$E$2564='Analítico Cx.'!$B152),-('Diário 4º PA'!$P$4:$P$2564=M$1),('Diário 4º PA'!$F$4:$F$2564))</f>
        <v>0</v>
      </c>
      <c r="N152" s="183">
        <f>SUMPRODUCT(-('Diário 1º PA'!$E$4:$E$2635='Analítico Cx.'!$B152),-('Diário 1º PA'!$P$4:$P$2635=N$1),('Diário 1º PA'!$F$4:$F$2635))+SUMPRODUCT(-('Diário 2º PA'!$E$4:$E$3040='Analítico Cx.'!$B152),-('Diário 2º PA'!$P$4:$P$3040=N$1),('Diário 2º PA'!$F$4:$F$3040))+SUMPRODUCT(-('Diário 3º PA'!$E$4:$E$2731='Analítico Cx.'!$B152),-('Diário 3º PA'!$P$4:$P$2731=N$1),('Diário 3º PA'!$F$4:$F$2731))+SUMPRODUCT(-('Diário 4º PA'!$E$4:$E$2564='Analítico Cx.'!$B152),-('Diário 4º PA'!$P$4:$P$2564=N$1),('Diário 4º PA'!$F$4:$F$2564))</f>
        <v>0</v>
      </c>
      <c r="O152" s="184">
        <f t="shared" ref="O152:O163" si="22">SUM(C152:N152)</f>
        <v>674.09</v>
      </c>
      <c r="P152" s="167">
        <f t="shared" si="21"/>
        <v>5.3094729059820378E-5</v>
      </c>
    </row>
    <row r="153" spans="1:16" ht="23.25" customHeight="1" x14ac:dyDescent="0.2">
      <c r="A153" s="61" t="s">
        <v>24</v>
      </c>
      <c r="B153" s="59" t="s">
        <v>226</v>
      </c>
      <c r="C153" s="183">
        <f>SUMPRODUCT(-('Diário 1º PA'!$E$4:$E$2635='Analítico Cx.'!$B153),-('Diário 1º PA'!$P$4:$P$2635=C$1),('Diário 1º PA'!$F$4:$F$2635))+SUMPRODUCT(-('Diário 2º PA'!$E$4:$E$3040='Analítico Cx.'!$B153),-('Diário 2º PA'!$P$4:$P$3040=C$1),('Diário 2º PA'!$F$4:$F$3040))+SUMPRODUCT(-('Diário 3º PA'!$E$4:$E$2731='Analítico Cx.'!$B153),-('Diário 3º PA'!$P$4:$P$2731=C$1),('Diário 3º PA'!$F$4:$F$2731))+SUMPRODUCT(-('Diário 4º PA'!$E$4:$E$2564='Analítico Cx.'!$B153),-('Diário 4º PA'!$P$4:$P$2564=C$1),('Diário 4º PA'!$F$4:$F$2564))</f>
        <v>0</v>
      </c>
      <c r="D153" s="183">
        <f>SUMPRODUCT(-('Diário 1º PA'!$E$4:$E$2635='Analítico Cx.'!$B153),-('Diário 1º PA'!$P$4:$P$2635=D$1),('Diário 1º PA'!$F$4:$F$2635))+SUMPRODUCT(-('Diário 2º PA'!$E$4:$E$3040='Analítico Cx.'!$B153),-('Diário 2º PA'!$P$4:$P$3040=D$1),('Diário 2º PA'!$F$4:$F$3040))+SUMPRODUCT(-('Diário 3º PA'!$E$4:$E$2731='Analítico Cx.'!$B153),-('Diário 3º PA'!$P$4:$P$2731=D$1),('Diário 3º PA'!$F$4:$F$2731))+SUMPRODUCT(-('Diário 4º PA'!$E$4:$E$2564='Analítico Cx.'!$B153),-('Diário 4º PA'!$P$4:$P$2564=D$1),('Diário 4º PA'!$F$4:$F$2564))</f>
        <v>0</v>
      </c>
      <c r="E153" s="183">
        <f>SUMPRODUCT(-('Diário 1º PA'!$E$4:$E$2635='Analítico Cx.'!$B153),-('Diário 1º PA'!$P$4:$P$2635=E$1),('Diário 1º PA'!$F$4:$F$2635))+SUMPRODUCT(-('Diário 2º PA'!$E$4:$E$3040='Analítico Cx.'!$B153),-('Diário 2º PA'!$P$4:$P$3040=E$1),('Diário 2º PA'!$F$4:$F$3040))+SUMPRODUCT(-('Diário 3º PA'!$E$4:$E$2731='Analítico Cx.'!$B153),-('Diário 3º PA'!$P$4:$P$2731=E$1),('Diário 3º PA'!$F$4:$F$2731))+SUMPRODUCT(-('Diário 4º PA'!$E$4:$E$2564='Analítico Cx.'!$B153),-('Diário 4º PA'!$P$4:$P$2564=E$1),('Diário 4º PA'!$F$4:$F$2564))</f>
        <v>0</v>
      </c>
      <c r="F153" s="183">
        <f>SUMPRODUCT(-('Diário 1º PA'!$E$4:$E$2635='Analítico Cx.'!$B153),-('Diário 1º PA'!$P$4:$P$2635=F$1),('Diário 1º PA'!$F$4:$F$2635))+SUMPRODUCT(-('Diário 2º PA'!$E$4:$E$3040='Analítico Cx.'!$B153),-('Diário 2º PA'!$P$4:$P$3040=F$1),('Diário 2º PA'!$F$4:$F$3040))+SUMPRODUCT(-('Diário 3º PA'!$E$4:$E$2731='Analítico Cx.'!$B153),-('Diário 3º PA'!$P$4:$P$2731=F$1),('Diário 3º PA'!$F$4:$F$2731))+SUMPRODUCT(-('Diário 4º PA'!$E$4:$E$2564='Analítico Cx.'!$B153),-('Diário 4º PA'!$P$4:$P$2564=F$1),('Diário 4º PA'!$F$4:$F$2564))</f>
        <v>0</v>
      </c>
      <c r="G153" s="183">
        <f>SUMPRODUCT(-('Diário 1º PA'!$E$4:$E$2635='Analítico Cx.'!$B153),-('Diário 1º PA'!$P$4:$P$2635=G$1),('Diário 1º PA'!$F$4:$F$2635))+SUMPRODUCT(-('Diário 2º PA'!$E$4:$E$3040='Analítico Cx.'!$B153),-('Diário 2º PA'!$P$4:$P$3040=G$1),('Diário 2º PA'!$F$4:$F$3040))+SUMPRODUCT(-('Diário 3º PA'!$E$4:$E$2731='Analítico Cx.'!$B153),-('Diário 3º PA'!$P$4:$P$2731=G$1),('Diário 3º PA'!$F$4:$F$2731))+SUMPRODUCT(-('Diário 4º PA'!$E$4:$E$2564='Analítico Cx.'!$B153),-('Diário 4º PA'!$P$4:$P$2564=G$1),('Diário 4º PA'!$F$4:$F$2564))</f>
        <v>0</v>
      </c>
      <c r="H153" s="183">
        <f>SUMPRODUCT(-('Diário 1º PA'!$E$4:$E$2635='Analítico Cx.'!$B153),-('Diário 1º PA'!$P$4:$P$2635=H$1),('Diário 1º PA'!$F$4:$F$2635))+SUMPRODUCT(-('Diário 2º PA'!$E$4:$E$3040='Analítico Cx.'!$B153),-('Diário 2º PA'!$P$4:$P$3040=H$1),('Diário 2º PA'!$F$4:$F$3040))+SUMPRODUCT(-('Diário 3º PA'!$E$4:$E$2731='Analítico Cx.'!$B153),-('Diário 3º PA'!$P$4:$P$2731=H$1),('Diário 3º PA'!$F$4:$F$2731))+SUMPRODUCT(-('Diário 4º PA'!$E$4:$E$2564='Analítico Cx.'!$B153),-('Diário 4º PA'!$P$4:$P$2564=H$1),('Diário 4º PA'!$F$4:$F$2564))</f>
        <v>0</v>
      </c>
      <c r="I153" s="183">
        <f>SUMPRODUCT(-('Diário 1º PA'!$E$4:$E$2635='Analítico Cx.'!$B153),-('Diário 1º PA'!$P$4:$P$2635=I$1),('Diário 1º PA'!$F$4:$F$2635))+SUMPRODUCT(-('Diário 2º PA'!$E$4:$E$3040='Analítico Cx.'!$B153),-('Diário 2º PA'!$P$4:$P$3040=I$1),('Diário 2º PA'!$F$4:$F$3040))+SUMPRODUCT(-('Diário 3º PA'!$E$4:$E$2731='Analítico Cx.'!$B153),-('Diário 3º PA'!$P$4:$P$2731=I$1),('Diário 3º PA'!$F$4:$F$2731))+SUMPRODUCT(-('Diário 4º PA'!$E$4:$E$2564='Analítico Cx.'!$B153),-('Diário 4º PA'!$P$4:$P$2564=I$1),('Diário 4º PA'!$F$4:$F$2564))</f>
        <v>0</v>
      </c>
      <c r="J153" s="183">
        <f>SUMPRODUCT(-('Diário 1º PA'!$E$4:$E$2635='Analítico Cx.'!$B153),-('Diário 1º PA'!$P$4:$P$2635=J$1),('Diário 1º PA'!$F$4:$F$2635))+SUMPRODUCT(-('Diário 2º PA'!$E$4:$E$3040='Analítico Cx.'!$B153),-('Diário 2º PA'!$P$4:$P$3040=J$1),('Diário 2º PA'!$F$4:$F$3040))+SUMPRODUCT(-('Diário 3º PA'!$E$4:$E$2731='Analítico Cx.'!$B153),-('Diário 3º PA'!$P$4:$P$2731=J$1),('Diário 3º PA'!$F$4:$F$2731))+SUMPRODUCT(-('Diário 4º PA'!$E$4:$E$2564='Analítico Cx.'!$B153),-('Diário 4º PA'!$P$4:$P$2564=J$1),('Diário 4º PA'!$F$4:$F$2564))</f>
        <v>0</v>
      </c>
      <c r="K153" s="183">
        <f>SUMPRODUCT(-('Diário 1º PA'!$E$4:$E$2635='Analítico Cx.'!$B153),-('Diário 1º PA'!$P$4:$P$2635=K$1),('Diário 1º PA'!$F$4:$F$2635))+SUMPRODUCT(-('Diário 2º PA'!$E$4:$E$3040='Analítico Cx.'!$B153),-('Diário 2º PA'!$P$4:$P$3040=K$1),('Diário 2º PA'!$F$4:$F$3040))+SUMPRODUCT(-('Diário 3º PA'!$E$4:$E$2731='Analítico Cx.'!$B153),-('Diário 3º PA'!$P$4:$P$2731=K$1),('Diário 3º PA'!$F$4:$F$2731))+SUMPRODUCT(-('Diário 4º PA'!$E$4:$E$2564='Analítico Cx.'!$B153),-('Diário 4º PA'!$P$4:$P$2564=K$1),('Diário 4º PA'!$F$4:$F$2564))</f>
        <v>0</v>
      </c>
      <c r="L153" s="183">
        <f>SUMPRODUCT(-('Diário 1º PA'!$E$4:$E$2635='Analítico Cx.'!$B153),-('Diário 1º PA'!$P$4:$P$2635=L$1),('Diário 1º PA'!$F$4:$F$2635))+SUMPRODUCT(-('Diário 2º PA'!$E$4:$E$3040='Analítico Cx.'!$B153),-('Diário 2º PA'!$P$4:$P$3040=L$1),('Diário 2º PA'!$F$4:$F$3040))+SUMPRODUCT(-('Diário 3º PA'!$E$4:$E$2731='Analítico Cx.'!$B153),-('Diário 3º PA'!$P$4:$P$2731=L$1),('Diário 3º PA'!$F$4:$F$2731))+SUMPRODUCT(-('Diário 4º PA'!$E$4:$E$2564='Analítico Cx.'!$B153),-('Diário 4º PA'!$P$4:$P$2564=L$1),('Diário 4º PA'!$F$4:$F$2564))</f>
        <v>0</v>
      </c>
      <c r="M153" s="183">
        <f>SUMPRODUCT(-('Diário 1º PA'!$E$4:$E$2635='Analítico Cx.'!$B153),-('Diário 1º PA'!$P$4:$P$2635=M$1),('Diário 1º PA'!$F$4:$F$2635))+SUMPRODUCT(-('Diário 2º PA'!$E$4:$E$3040='Analítico Cx.'!$B153),-('Diário 2º PA'!$P$4:$P$3040=M$1),('Diário 2º PA'!$F$4:$F$3040))+SUMPRODUCT(-('Diário 3º PA'!$E$4:$E$2731='Analítico Cx.'!$B153),-('Diário 3º PA'!$P$4:$P$2731=M$1),('Diário 3º PA'!$F$4:$F$2731))+SUMPRODUCT(-('Diário 4º PA'!$E$4:$E$2564='Analítico Cx.'!$B153),-('Diário 4º PA'!$P$4:$P$2564=M$1),('Diário 4º PA'!$F$4:$F$2564))</f>
        <v>0</v>
      </c>
      <c r="N153" s="183">
        <f>SUMPRODUCT(-('Diário 1º PA'!$E$4:$E$2635='Analítico Cx.'!$B153),-('Diário 1º PA'!$P$4:$P$2635=N$1),('Diário 1º PA'!$F$4:$F$2635))+SUMPRODUCT(-('Diário 2º PA'!$E$4:$E$3040='Analítico Cx.'!$B153),-('Diário 2º PA'!$P$4:$P$3040=N$1),('Diário 2º PA'!$F$4:$F$3040))+SUMPRODUCT(-('Diário 3º PA'!$E$4:$E$2731='Analítico Cx.'!$B153),-('Diário 3º PA'!$P$4:$P$2731=N$1),('Diário 3º PA'!$F$4:$F$2731))+SUMPRODUCT(-('Diário 4º PA'!$E$4:$E$2564='Analítico Cx.'!$B153),-('Diário 4º PA'!$P$4:$P$2564=N$1),('Diário 4º PA'!$F$4:$F$2564))</f>
        <v>0</v>
      </c>
      <c r="O153" s="184">
        <f t="shared" si="22"/>
        <v>0</v>
      </c>
      <c r="P153" s="167">
        <f t="shared" si="21"/>
        <v>0</v>
      </c>
    </row>
    <row r="154" spans="1:16" ht="23.25" customHeight="1" x14ac:dyDescent="0.2">
      <c r="A154" s="61" t="s">
        <v>25</v>
      </c>
      <c r="B154" s="59" t="s">
        <v>228</v>
      </c>
      <c r="C154" s="183">
        <f>SUMPRODUCT(-('Diário 1º PA'!$E$4:$E$2635='Analítico Cx.'!$B154),-('Diário 1º PA'!$P$4:$P$2635=C$1),('Diário 1º PA'!$F$4:$F$2635))+SUMPRODUCT(-('Diário 2º PA'!$E$4:$E$3040='Analítico Cx.'!$B154),-('Diário 2º PA'!$P$4:$P$3040=C$1),('Diário 2º PA'!$F$4:$F$3040))+SUMPRODUCT(-('Diário 3º PA'!$E$4:$E$2731='Analítico Cx.'!$B154),-('Diário 3º PA'!$P$4:$P$2731=C$1),('Diário 3º PA'!$F$4:$F$2731))+SUMPRODUCT(-('Diário 4º PA'!$E$4:$E$2564='Analítico Cx.'!$B154),-('Diário 4º PA'!$P$4:$P$2564=C$1),('Diário 4º PA'!$F$4:$F$2564))</f>
        <v>0</v>
      </c>
      <c r="D154" s="183">
        <f>SUMPRODUCT(-('Diário 1º PA'!$E$4:$E$2635='Analítico Cx.'!$B154),-('Diário 1º PA'!$P$4:$P$2635=D$1),('Diário 1º PA'!$F$4:$F$2635))+SUMPRODUCT(-('Diário 2º PA'!$E$4:$E$3040='Analítico Cx.'!$B154),-('Diário 2º PA'!$P$4:$P$3040=D$1),('Diário 2º PA'!$F$4:$F$3040))+SUMPRODUCT(-('Diário 3º PA'!$E$4:$E$2731='Analítico Cx.'!$B154),-('Diário 3º PA'!$P$4:$P$2731=D$1),('Diário 3º PA'!$F$4:$F$2731))+SUMPRODUCT(-('Diário 4º PA'!$E$4:$E$2564='Analítico Cx.'!$B154),-('Diário 4º PA'!$P$4:$P$2564=D$1),('Diário 4º PA'!$F$4:$F$2564))</f>
        <v>0</v>
      </c>
      <c r="E154" s="183">
        <f>SUMPRODUCT(-('Diário 1º PA'!$E$4:$E$2635='Analítico Cx.'!$B154),-('Diário 1º PA'!$P$4:$P$2635=E$1),('Diário 1º PA'!$F$4:$F$2635))+SUMPRODUCT(-('Diário 2º PA'!$E$4:$E$3040='Analítico Cx.'!$B154),-('Diário 2º PA'!$P$4:$P$3040=E$1),('Diário 2º PA'!$F$4:$F$3040))+SUMPRODUCT(-('Diário 3º PA'!$E$4:$E$2731='Analítico Cx.'!$B154),-('Diário 3º PA'!$P$4:$P$2731=E$1),('Diário 3º PA'!$F$4:$F$2731))+SUMPRODUCT(-('Diário 4º PA'!$E$4:$E$2564='Analítico Cx.'!$B154),-('Diário 4º PA'!$P$4:$P$2564=E$1),('Diário 4º PA'!$F$4:$F$2564))</f>
        <v>0</v>
      </c>
      <c r="F154" s="183">
        <f>SUMPRODUCT(-('Diário 1º PA'!$E$4:$E$2635='Analítico Cx.'!$B154),-('Diário 1º PA'!$P$4:$P$2635=F$1),('Diário 1º PA'!$F$4:$F$2635))+SUMPRODUCT(-('Diário 2º PA'!$E$4:$E$3040='Analítico Cx.'!$B154),-('Diário 2º PA'!$P$4:$P$3040=F$1),('Diário 2º PA'!$F$4:$F$3040))+SUMPRODUCT(-('Diário 3º PA'!$E$4:$E$2731='Analítico Cx.'!$B154),-('Diário 3º PA'!$P$4:$P$2731=F$1),('Diário 3º PA'!$F$4:$F$2731))+SUMPRODUCT(-('Diário 4º PA'!$E$4:$E$2564='Analítico Cx.'!$B154),-('Diário 4º PA'!$P$4:$P$2564=F$1),('Diário 4º PA'!$F$4:$F$2564))</f>
        <v>0</v>
      </c>
      <c r="G154" s="183">
        <f>SUMPRODUCT(-('Diário 1º PA'!$E$4:$E$2635='Analítico Cx.'!$B154),-('Diário 1º PA'!$P$4:$P$2635=G$1),('Diário 1º PA'!$F$4:$F$2635))+SUMPRODUCT(-('Diário 2º PA'!$E$4:$E$3040='Analítico Cx.'!$B154),-('Diário 2º PA'!$P$4:$P$3040=G$1),('Diário 2º PA'!$F$4:$F$3040))+SUMPRODUCT(-('Diário 3º PA'!$E$4:$E$2731='Analítico Cx.'!$B154),-('Diário 3º PA'!$P$4:$P$2731=G$1),('Diário 3º PA'!$F$4:$F$2731))+SUMPRODUCT(-('Diário 4º PA'!$E$4:$E$2564='Analítico Cx.'!$B154),-('Diário 4º PA'!$P$4:$P$2564=G$1),('Diário 4º PA'!$F$4:$F$2564))</f>
        <v>0</v>
      </c>
      <c r="H154" s="183">
        <f>SUMPRODUCT(-('Diário 1º PA'!$E$4:$E$2635='Analítico Cx.'!$B154),-('Diário 1º PA'!$P$4:$P$2635=H$1),('Diário 1º PA'!$F$4:$F$2635))+SUMPRODUCT(-('Diário 2º PA'!$E$4:$E$3040='Analítico Cx.'!$B154),-('Diário 2º PA'!$P$4:$P$3040=H$1),('Diário 2º PA'!$F$4:$F$3040))+SUMPRODUCT(-('Diário 3º PA'!$E$4:$E$2731='Analítico Cx.'!$B154),-('Diário 3º PA'!$P$4:$P$2731=H$1),('Diário 3º PA'!$F$4:$F$2731))+SUMPRODUCT(-('Diário 4º PA'!$E$4:$E$2564='Analítico Cx.'!$B154),-('Diário 4º PA'!$P$4:$P$2564=H$1),('Diário 4º PA'!$F$4:$F$2564))</f>
        <v>0</v>
      </c>
      <c r="I154" s="183">
        <f>SUMPRODUCT(-('Diário 1º PA'!$E$4:$E$2635='Analítico Cx.'!$B154),-('Diário 1º PA'!$P$4:$P$2635=I$1),('Diário 1º PA'!$F$4:$F$2635))+SUMPRODUCT(-('Diário 2º PA'!$E$4:$E$3040='Analítico Cx.'!$B154),-('Diário 2º PA'!$P$4:$P$3040=I$1),('Diário 2º PA'!$F$4:$F$3040))+SUMPRODUCT(-('Diário 3º PA'!$E$4:$E$2731='Analítico Cx.'!$B154),-('Diário 3º PA'!$P$4:$P$2731=I$1),('Diário 3º PA'!$F$4:$F$2731))+SUMPRODUCT(-('Diário 4º PA'!$E$4:$E$2564='Analítico Cx.'!$B154),-('Diário 4º PA'!$P$4:$P$2564=I$1),('Diário 4º PA'!$F$4:$F$2564))</f>
        <v>0</v>
      </c>
      <c r="J154" s="183">
        <f>SUMPRODUCT(-('Diário 1º PA'!$E$4:$E$2635='Analítico Cx.'!$B154),-('Diário 1º PA'!$P$4:$P$2635=J$1),('Diário 1º PA'!$F$4:$F$2635))+SUMPRODUCT(-('Diário 2º PA'!$E$4:$E$3040='Analítico Cx.'!$B154),-('Diário 2º PA'!$P$4:$P$3040=J$1),('Diário 2º PA'!$F$4:$F$3040))+SUMPRODUCT(-('Diário 3º PA'!$E$4:$E$2731='Analítico Cx.'!$B154),-('Diário 3º PA'!$P$4:$P$2731=J$1),('Diário 3º PA'!$F$4:$F$2731))+SUMPRODUCT(-('Diário 4º PA'!$E$4:$E$2564='Analítico Cx.'!$B154),-('Diário 4º PA'!$P$4:$P$2564=J$1),('Diário 4º PA'!$F$4:$F$2564))</f>
        <v>0</v>
      </c>
      <c r="K154" s="183">
        <f>SUMPRODUCT(-('Diário 1º PA'!$E$4:$E$2635='Analítico Cx.'!$B154),-('Diário 1º PA'!$P$4:$P$2635=K$1),('Diário 1º PA'!$F$4:$F$2635))+SUMPRODUCT(-('Diário 2º PA'!$E$4:$E$3040='Analítico Cx.'!$B154),-('Diário 2º PA'!$P$4:$P$3040=K$1),('Diário 2º PA'!$F$4:$F$3040))+SUMPRODUCT(-('Diário 3º PA'!$E$4:$E$2731='Analítico Cx.'!$B154),-('Diário 3º PA'!$P$4:$P$2731=K$1),('Diário 3º PA'!$F$4:$F$2731))+SUMPRODUCT(-('Diário 4º PA'!$E$4:$E$2564='Analítico Cx.'!$B154),-('Diário 4º PA'!$P$4:$P$2564=K$1),('Diário 4º PA'!$F$4:$F$2564))</f>
        <v>0</v>
      </c>
      <c r="L154" s="183">
        <f>SUMPRODUCT(-('Diário 1º PA'!$E$4:$E$2635='Analítico Cx.'!$B154),-('Diário 1º PA'!$P$4:$P$2635=L$1),('Diário 1º PA'!$F$4:$F$2635))+SUMPRODUCT(-('Diário 2º PA'!$E$4:$E$3040='Analítico Cx.'!$B154),-('Diário 2º PA'!$P$4:$P$3040=L$1),('Diário 2º PA'!$F$4:$F$3040))+SUMPRODUCT(-('Diário 3º PA'!$E$4:$E$2731='Analítico Cx.'!$B154),-('Diário 3º PA'!$P$4:$P$2731=L$1),('Diário 3º PA'!$F$4:$F$2731))+SUMPRODUCT(-('Diário 4º PA'!$E$4:$E$2564='Analítico Cx.'!$B154),-('Diário 4º PA'!$P$4:$P$2564=L$1),('Diário 4º PA'!$F$4:$F$2564))</f>
        <v>0</v>
      </c>
      <c r="M154" s="183">
        <f>SUMPRODUCT(-('Diário 1º PA'!$E$4:$E$2635='Analítico Cx.'!$B154),-('Diário 1º PA'!$P$4:$P$2635=M$1),('Diário 1º PA'!$F$4:$F$2635))+SUMPRODUCT(-('Diário 2º PA'!$E$4:$E$3040='Analítico Cx.'!$B154),-('Diário 2º PA'!$P$4:$P$3040=M$1),('Diário 2º PA'!$F$4:$F$3040))+SUMPRODUCT(-('Diário 3º PA'!$E$4:$E$2731='Analítico Cx.'!$B154),-('Diário 3º PA'!$P$4:$P$2731=M$1),('Diário 3º PA'!$F$4:$F$2731))+SUMPRODUCT(-('Diário 4º PA'!$E$4:$E$2564='Analítico Cx.'!$B154),-('Diário 4º PA'!$P$4:$P$2564=M$1),('Diário 4º PA'!$F$4:$F$2564))</f>
        <v>0</v>
      </c>
      <c r="N154" s="183">
        <f>SUMPRODUCT(-('Diário 1º PA'!$E$4:$E$2635='Analítico Cx.'!$B154),-('Diário 1º PA'!$P$4:$P$2635=N$1),('Diário 1º PA'!$F$4:$F$2635))+SUMPRODUCT(-('Diário 2º PA'!$E$4:$E$3040='Analítico Cx.'!$B154),-('Diário 2º PA'!$P$4:$P$3040=N$1),('Diário 2º PA'!$F$4:$F$3040))+SUMPRODUCT(-('Diário 3º PA'!$E$4:$E$2731='Analítico Cx.'!$B154),-('Diário 3º PA'!$P$4:$P$2731=N$1),('Diário 3º PA'!$F$4:$F$2731))+SUMPRODUCT(-('Diário 4º PA'!$E$4:$E$2564='Analítico Cx.'!$B154),-('Diário 4º PA'!$P$4:$P$2564=N$1),('Diário 4º PA'!$F$4:$F$2564))</f>
        <v>0</v>
      </c>
      <c r="O154" s="184">
        <f t="shared" si="22"/>
        <v>0</v>
      </c>
      <c r="P154" s="167">
        <f t="shared" si="21"/>
        <v>0</v>
      </c>
    </row>
    <row r="155" spans="1:16" ht="23.25" customHeight="1" x14ac:dyDescent="0.2">
      <c r="A155" s="61" t="s">
        <v>26</v>
      </c>
      <c r="B155" s="59" t="s">
        <v>230</v>
      </c>
      <c r="C155" s="183">
        <f>SUMPRODUCT(-('Diário 1º PA'!$E$4:$E$2635='Analítico Cx.'!$B155),-('Diário 1º PA'!$P$4:$P$2635=C$1),('Diário 1º PA'!$F$4:$F$2635))+SUMPRODUCT(-('Diário 2º PA'!$E$4:$E$3040='Analítico Cx.'!$B155),-('Diário 2º PA'!$P$4:$P$3040=C$1),('Diário 2º PA'!$F$4:$F$3040))+SUMPRODUCT(-('Diário 3º PA'!$E$4:$E$2731='Analítico Cx.'!$B155),-('Diário 3º PA'!$P$4:$P$2731=C$1),('Diário 3º PA'!$F$4:$F$2731))+SUMPRODUCT(-('Diário 4º PA'!$E$4:$E$2564='Analítico Cx.'!$B155),-('Diário 4º PA'!$P$4:$P$2564=C$1),('Diário 4º PA'!$F$4:$F$2564))</f>
        <v>0</v>
      </c>
      <c r="D155" s="183">
        <f>SUMPRODUCT(-('Diário 1º PA'!$E$4:$E$2635='Analítico Cx.'!$B155),-('Diário 1º PA'!$P$4:$P$2635=D$1),('Diário 1º PA'!$F$4:$F$2635))+SUMPRODUCT(-('Diário 2º PA'!$E$4:$E$3040='Analítico Cx.'!$B155),-('Diário 2º PA'!$P$4:$P$3040=D$1),('Diário 2º PA'!$F$4:$F$3040))+SUMPRODUCT(-('Diário 3º PA'!$E$4:$E$2731='Analítico Cx.'!$B155),-('Diário 3º PA'!$P$4:$P$2731=D$1),('Diário 3º PA'!$F$4:$F$2731))+SUMPRODUCT(-('Diário 4º PA'!$E$4:$E$2564='Analítico Cx.'!$B155),-('Diário 4º PA'!$P$4:$P$2564=D$1),('Diário 4º PA'!$F$4:$F$2564))</f>
        <v>0</v>
      </c>
      <c r="E155" s="183">
        <f>SUMPRODUCT(-('Diário 1º PA'!$E$4:$E$2635='Analítico Cx.'!$B155),-('Diário 1º PA'!$P$4:$P$2635=E$1),('Diário 1º PA'!$F$4:$F$2635))+SUMPRODUCT(-('Diário 2º PA'!$E$4:$E$3040='Analítico Cx.'!$B155),-('Diário 2º PA'!$P$4:$P$3040=E$1),('Diário 2º PA'!$F$4:$F$3040))+SUMPRODUCT(-('Diário 3º PA'!$E$4:$E$2731='Analítico Cx.'!$B155),-('Diário 3º PA'!$P$4:$P$2731=E$1),('Diário 3º PA'!$F$4:$F$2731))+SUMPRODUCT(-('Diário 4º PA'!$E$4:$E$2564='Analítico Cx.'!$B155),-('Diário 4º PA'!$P$4:$P$2564=E$1),('Diário 4º PA'!$F$4:$F$2564))</f>
        <v>0</v>
      </c>
      <c r="F155" s="183">
        <f>SUMPRODUCT(-('Diário 1º PA'!$E$4:$E$2635='Analítico Cx.'!$B155),-('Diário 1º PA'!$P$4:$P$2635=F$1),('Diário 1º PA'!$F$4:$F$2635))+SUMPRODUCT(-('Diário 2º PA'!$E$4:$E$3040='Analítico Cx.'!$B155),-('Diário 2º PA'!$P$4:$P$3040=F$1),('Diário 2º PA'!$F$4:$F$3040))+SUMPRODUCT(-('Diário 3º PA'!$E$4:$E$2731='Analítico Cx.'!$B155),-('Diário 3º PA'!$P$4:$P$2731=F$1),('Diário 3º PA'!$F$4:$F$2731))+SUMPRODUCT(-('Diário 4º PA'!$E$4:$E$2564='Analítico Cx.'!$B155),-('Diário 4º PA'!$P$4:$P$2564=F$1),('Diário 4º PA'!$F$4:$F$2564))</f>
        <v>0</v>
      </c>
      <c r="G155" s="183">
        <f>SUMPRODUCT(-('Diário 1º PA'!$E$4:$E$2635='Analítico Cx.'!$B155),-('Diário 1º PA'!$P$4:$P$2635=G$1),('Diário 1º PA'!$F$4:$F$2635))+SUMPRODUCT(-('Diário 2º PA'!$E$4:$E$3040='Analítico Cx.'!$B155),-('Diário 2º PA'!$P$4:$P$3040=G$1),('Diário 2º PA'!$F$4:$F$3040))+SUMPRODUCT(-('Diário 3º PA'!$E$4:$E$2731='Analítico Cx.'!$B155),-('Diário 3º PA'!$P$4:$P$2731=G$1),('Diário 3º PA'!$F$4:$F$2731))+SUMPRODUCT(-('Diário 4º PA'!$E$4:$E$2564='Analítico Cx.'!$B155),-('Diário 4º PA'!$P$4:$P$2564=G$1),('Diário 4º PA'!$F$4:$F$2564))</f>
        <v>0</v>
      </c>
      <c r="H155" s="183">
        <f>SUMPRODUCT(-('Diário 1º PA'!$E$4:$E$2635='Analítico Cx.'!$B155),-('Diário 1º PA'!$P$4:$P$2635=H$1),('Diário 1º PA'!$F$4:$F$2635))+SUMPRODUCT(-('Diário 2º PA'!$E$4:$E$3040='Analítico Cx.'!$B155),-('Diário 2º PA'!$P$4:$P$3040=H$1),('Diário 2º PA'!$F$4:$F$3040))+SUMPRODUCT(-('Diário 3º PA'!$E$4:$E$2731='Analítico Cx.'!$B155),-('Diário 3º PA'!$P$4:$P$2731=H$1),('Diário 3º PA'!$F$4:$F$2731))+SUMPRODUCT(-('Diário 4º PA'!$E$4:$E$2564='Analítico Cx.'!$B155),-('Diário 4º PA'!$P$4:$P$2564=H$1),('Diário 4º PA'!$F$4:$F$2564))</f>
        <v>0</v>
      </c>
      <c r="I155" s="183">
        <f>SUMPRODUCT(-('Diário 1º PA'!$E$4:$E$2635='Analítico Cx.'!$B155),-('Diário 1º PA'!$P$4:$P$2635=I$1),('Diário 1º PA'!$F$4:$F$2635))+SUMPRODUCT(-('Diário 2º PA'!$E$4:$E$3040='Analítico Cx.'!$B155),-('Diário 2º PA'!$P$4:$P$3040=I$1),('Diário 2º PA'!$F$4:$F$3040))+SUMPRODUCT(-('Diário 3º PA'!$E$4:$E$2731='Analítico Cx.'!$B155),-('Diário 3º PA'!$P$4:$P$2731=I$1),('Diário 3º PA'!$F$4:$F$2731))+SUMPRODUCT(-('Diário 4º PA'!$E$4:$E$2564='Analítico Cx.'!$B155),-('Diário 4º PA'!$P$4:$P$2564=I$1),('Diário 4º PA'!$F$4:$F$2564))</f>
        <v>0</v>
      </c>
      <c r="J155" s="183">
        <f>SUMPRODUCT(-('Diário 1º PA'!$E$4:$E$2635='Analítico Cx.'!$B155),-('Diário 1º PA'!$P$4:$P$2635=J$1),('Diário 1º PA'!$F$4:$F$2635))+SUMPRODUCT(-('Diário 2º PA'!$E$4:$E$3040='Analítico Cx.'!$B155),-('Diário 2º PA'!$P$4:$P$3040=J$1),('Diário 2º PA'!$F$4:$F$3040))+SUMPRODUCT(-('Diário 3º PA'!$E$4:$E$2731='Analítico Cx.'!$B155),-('Diário 3º PA'!$P$4:$P$2731=J$1),('Diário 3º PA'!$F$4:$F$2731))+SUMPRODUCT(-('Diário 4º PA'!$E$4:$E$2564='Analítico Cx.'!$B155),-('Diário 4º PA'!$P$4:$P$2564=J$1),('Diário 4º PA'!$F$4:$F$2564))</f>
        <v>0</v>
      </c>
      <c r="K155" s="183">
        <f>SUMPRODUCT(-('Diário 1º PA'!$E$4:$E$2635='Analítico Cx.'!$B155),-('Diário 1º PA'!$P$4:$P$2635=K$1),('Diário 1º PA'!$F$4:$F$2635))+SUMPRODUCT(-('Diário 2º PA'!$E$4:$E$3040='Analítico Cx.'!$B155),-('Diário 2º PA'!$P$4:$P$3040=K$1),('Diário 2º PA'!$F$4:$F$3040))+SUMPRODUCT(-('Diário 3º PA'!$E$4:$E$2731='Analítico Cx.'!$B155),-('Diário 3º PA'!$P$4:$P$2731=K$1),('Diário 3º PA'!$F$4:$F$2731))+SUMPRODUCT(-('Diário 4º PA'!$E$4:$E$2564='Analítico Cx.'!$B155),-('Diário 4º PA'!$P$4:$P$2564=K$1),('Diário 4º PA'!$F$4:$F$2564))</f>
        <v>0</v>
      </c>
      <c r="L155" s="183">
        <f>SUMPRODUCT(-('Diário 1º PA'!$E$4:$E$2635='Analítico Cx.'!$B155),-('Diário 1º PA'!$P$4:$P$2635=L$1),('Diário 1º PA'!$F$4:$F$2635))+SUMPRODUCT(-('Diário 2º PA'!$E$4:$E$3040='Analítico Cx.'!$B155),-('Diário 2º PA'!$P$4:$P$3040=L$1),('Diário 2º PA'!$F$4:$F$3040))+SUMPRODUCT(-('Diário 3º PA'!$E$4:$E$2731='Analítico Cx.'!$B155),-('Diário 3º PA'!$P$4:$P$2731=L$1),('Diário 3º PA'!$F$4:$F$2731))+SUMPRODUCT(-('Diário 4º PA'!$E$4:$E$2564='Analítico Cx.'!$B155),-('Diário 4º PA'!$P$4:$P$2564=L$1),('Diário 4º PA'!$F$4:$F$2564))</f>
        <v>0</v>
      </c>
      <c r="M155" s="183">
        <f>SUMPRODUCT(-('Diário 1º PA'!$E$4:$E$2635='Analítico Cx.'!$B155),-('Diário 1º PA'!$P$4:$P$2635=M$1),('Diário 1º PA'!$F$4:$F$2635))+SUMPRODUCT(-('Diário 2º PA'!$E$4:$E$3040='Analítico Cx.'!$B155),-('Diário 2º PA'!$P$4:$P$3040=M$1),('Diário 2º PA'!$F$4:$F$3040))+SUMPRODUCT(-('Diário 3º PA'!$E$4:$E$2731='Analítico Cx.'!$B155),-('Diário 3º PA'!$P$4:$P$2731=M$1),('Diário 3º PA'!$F$4:$F$2731))+SUMPRODUCT(-('Diário 4º PA'!$E$4:$E$2564='Analítico Cx.'!$B155),-('Diário 4º PA'!$P$4:$P$2564=M$1),('Diário 4º PA'!$F$4:$F$2564))</f>
        <v>0</v>
      </c>
      <c r="N155" s="183">
        <f>SUMPRODUCT(-('Diário 1º PA'!$E$4:$E$2635='Analítico Cx.'!$B155),-('Diário 1º PA'!$P$4:$P$2635=N$1),('Diário 1º PA'!$F$4:$F$2635))+SUMPRODUCT(-('Diário 2º PA'!$E$4:$E$3040='Analítico Cx.'!$B155),-('Diário 2º PA'!$P$4:$P$3040=N$1),('Diário 2º PA'!$F$4:$F$3040))+SUMPRODUCT(-('Diário 3º PA'!$E$4:$E$2731='Analítico Cx.'!$B155),-('Diário 3º PA'!$P$4:$P$2731=N$1),('Diário 3º PA'!$F$4:$F$2731))+SUMPRODUCT(-('Diário 4º PA'!$E$4:$E$2564='Analítico Cx.'!$B155),-('Diário 4º PA'!$P$4:$P$2564=N$1),('Diário 4º PA'!$F$4:$F$2564))</f>
        <v>0</v>
      </c>
      <c r="O155" s="184">
        <f t="shared" si="22"/>
        <v>0</v>
      </c>
      <c r="P155" s="167">
        <f t="shared" si="21"/>
        <v>0</v>
      </c>
    </row>
    <row r="156" spans="1:16" ht="23.25" customHeight="1" x14ac:dyDescent="0.2">
      <c r="A156" s="61" t="s">
        <v>27</v>
      </c>
      <c r="B156" s="59" t="s">
        <v>233</v>
      </c>
      <c r="C156" s="183">
        <f>SUMPRODUCT(-('Diário 1º PA'!$E$4:$E$2635='Analítico Cx.'!$B156),-('Diário 1º PA'!$P$4:$P$2635=C$1),('Diário 1º PA'!$F$4:$F$2635))+SUMPRODUCT(-('Diário 2º PA'!$E$4:$E$3040='Analítico Cx.'!$B156),-('Diário 2º PA'!$P$4:$P$3040=C$1),('Diário 2º PA'!$F$4:$F$3040))+SUMPRODUCT(-('Diário 3º PA'!$E$4:$E$2731='Analítico Cx.'!$B156),-('Diário 3º PA'!$P$4:$P$2731=C$1),('Diário 3º PA'!$F$4:$F$2731))+SUMPRODUCT(-('Diário 4º PA'!$E$4:$E$2564='Analítico Cx.'!$B156),-('Diário 4º PA'!$P$4:$P$2564=C$1),('Diário 4º PA'!$F$4:$F$2564))</f>
        <v>0</v>
      </c>
      <c r="D156" s="183">
        <f>SUMPRODUCT(-('Diário 1º PA'!$E$4:$E$2635='Analítico Cx.'!$B156),-('Diário 1º PA'!$P$4:$P$2635=D$1),('Diário 1º PA'!$F$4:$F$2635))+SUMPRODUCT(-('Diário 2º PA'!$E$4:$E$3040='Analítico Cx.'!$B156),-('Diário 2º PA'!$P$4:$P$3040=D$1),('Diário 2º PA'!$F$4:$F$3040))+SUMPRODUCT(-('Diário 3º PA'!$E$4:$E$2731='Analítico Cx.'!$B156),-('Diário 3º PA'!$P$4:$P$2731=D$1),('Diário 3º PA'!$F$4:$F$2731))+SUMPRODUCT(-('Diário 4º PA'!$E$4:$E$2564='Analítico Cx.'!$B156),-('Diário 4º PA'!$P$4:$P$2564=D$1),('Diário 4º PA'!$F$4:$F$2564))</f>
        <v>0</v>
      </c>
      <c r="E156" s="183">
        <f>SUMPRODUCT(-('Diário 1º PA'!$E$4:$E$2635='Analítico Cx.'!$B156),-('Diário 1º PA'!$P$4:$P$2635=E$1),('Diário 1º PA'!$F$4:$F$2635))+SUMPRODUCT(-('Diário 2º PA'!$E$4:$E$3040='Analítico Cx.'!$B156),-('Diário 2º PA'!$P$4:$P$3040=E$1),('Diário 2º PA'!$F$4:$F$3040))+SUMPRODUCT(-('Diário 3º PA'!$E$4:$E$2731='Analítico Cx.'!$B156),-('Diário 3º PA'!$P$4:$P$2731=E$1),('Diário 3º PA'!$F$4:$F$2731))+SUMPRODUCT(-('Diário 4º PA'!$E$4:$E$2564='Analítico Cx.'!$B156),-('Diário 4º PA'!$P$4:$P$2564=E$1),('Diário 4º PA'!$F$4:$F$2564))</f>
        <v>0</v>
      </c>
      <c r="F156" s="183">
        <f>SUMPRODUCT(-('Diário 1º PA'!$E$4:$E$2635='Analítico Cx.'!$B156),-('Diário 1º PA'!$P$4:$P$2635=F$1),('Diário 1º PA'!$F$4:$F$2635))+SUMPRODUCT(-('Diário 2º PA'!$E$4:$E$3040='Analítico Cx.'!$B156),-('Diário 2º PA'!$P$4:$P$3040=F$1),('Diário 2º PA'!$F$4:$F$3040))+SUMPRODUCT(-('Diário 3º PA'!$E$4:$E$2731='Analítico Cx.'!$B156),-('Diário 3º PA'!$P$4:$P$2731=F$1),('Diário 3º PA'!$F$4:$F$2731))+SUMPRODUCT(-('Diário 4º PA'!$E$4:$E$2564='Analítico Cx.'!$B156),-('Diário 4º PA'!$P$4:$P$2564=F$1),('Diário 4º PA'!$F$4:$F$2564))</f>
        <v>0</v>
      </c>
      <c r="G156" s="183">
        <f>SUMPRODUCT(-('Diário 1º PA'!$E$4:$E$2635='Analítico Cx.'!$B156),-('Diário 1º PA'!$P$4:$P$2635=G$1),('Diário 1º PA'!$F$4:$F$2635))+SUMPRODUCT(-('Diário 2º PA'!$E$4:$E$3040='Analítico Cx.'!$B156),-('Diário 2º PA'!$P$4:$P$3040=G$1),('Diário 2º PA'!$F$4:$F$3040))+SUMPRODUCT(-('Diário 3º PA'!$E$4:$E$2731='Analítico Cx.'!$B156),-('Diário 3º PA'!$P$4:$P$2731=G$1),('Diário 3º PA'!$F$4:$F$2731))+SUMPRODUCT(-('Diário 4º PA'!$E$4:$E$2564='Analítico Cx.'!$B156),-('Diário 4º PA'!$P$4:$P$2564=G$1),('Diário 4º PA'!$F$4:$F$2564))</f>
        <v>0</v>
      </c>
      <c r="H156" s="183">
        <f>SUMPRODUCT(-('Diário 1º PA'!$E$4:$E$2635='Analítico Cx.'!$B156),-('Diário 1º PA'!$P$4:$P$2635=H$1),('Diário 1º PA'!$F$4:$F$2635))+SUMPRODUCT(-('Diário 2º PA'!$E$4:$E$3040='Analítico Cx.'!$B156),-('Diário 2º PA'!$P$4:$P$3040=H$1),('Diário 2º PA'!$F$4:$F$3040))+SUMPRODUCT(-('Diário 3º PA'!$E$4:$E$2731='Analítico Cx.'!$B156),-('Diário 3º PA'!$P$4:$P$2731=H$1),('Diário 3º PA'!$F$4:$F$2731))+SUMPRODUCT(-('Diário 4º PA'!$E$4:$E$2564='Analítico Cx.'!$B156),-('Diário 4º PA'!$P$4:$P$2564=H$1),('Diário 4º PA'!$F$4:$F$2564))</f>
        <v>0</v>
      </c>
      <c r="I156" s="183">
        <f>SUMPRODUCT(-('Diário 1º PA'!$E$4:$E$2635='Analítico Cx.'!$B156),-('Diário 1º PA'!$P$4:$P$2635=I$1),('Diário 1º PA'!$F$4:$F$2635))+SUMPRODUCT(-('Diário 2º PA'!$E$4:$E$3040='Analítico Cx.'!$B156),-('Diário 2º PA'!$P$4:$P$3040=I$1),('Diário 2º PA'!$F$4:$F$3040))+SUMPRODUCT(-('Diário 3º PA'!$E$4:$E$2731='Analítico Cx.'!$B156),-('Diário 3º PA'!$P$4:$P$2731=I$1),('Diário 3º PA'!$F$4:$F$2731))+SUMPRODUCT(-('Diário 4º PA'!$E$4:$E$2564='Analítico Cx.'!$B156),-('Diário 4º PA'!$P$4:$P$2564=I$1),('Diário 4º PA'!$F$4:$F$2564))</f>
        <v>0</v>
      </c>
      <c r="J156" s="183">
        <f>SUMPRODUCT(-('Diário 1º PA'!$E$4:$E$2635='Analítico Cx.'!$B156),-('Diário 1º PA'!$P$4:$P$2635=J$1),('Diário 1º PA'!$F$4:$F$2635))+SUMPRODUCT(-('Diário 2º PA'!$E$4:$E$3040='Analítico Cx.'!$B156),-('Diário 2º PA'!$P$4:$P$3040=J$1),('Diário 2º PA'!$F$4:$F$3040))+SUMPRODUCT(-('Diário 3º PA'!$E$4:$E$2731='Analítico Cx.'!$B156),-('Diário 3º PA'!$P$4:$P$2731=J$1),('Diário 3º PA'!$F$4:$F$2731))+SUMPRODUCT(-('Diário 4º PA'!$E$4:$E$2564='Analítico Cx.'!$B156),-('Diário 4º PA'!$P$4:$P$2564=J$1),('Diário 4º PA'!$F$4:$F$2564))</f>
        <v>0</v>
      </c>
      <c r="K156" s="183">
        <f>SUMPRODUCT(-('Diário 1º PA'!$E$4:$E$2635='Analítico Cx.'!$B156),-('Diário 1º PA'!$P$4:$P$2635=K$1),('Diário 1º PA'!$F$4:$F$2635))+SUMPRODUCT(-('Diário 2º PA'!$E$4:$E$3040='Analítico Cx.'!$B156),-('Diário 2º PA'!$P$4:$P$3040=K$1),('Diário 2º PA'!$F$4:$F$3040))+SUMPRODUCT(-('Diário 3º PA'!$E$4:$E$2731='Analítico Cx.'!$B156),-('Diário 3º PA'!$P$4:$P$2731=K$1),('Diário 3º PA'!$F$4:$F$2731))+SUMPRODUCT(-('Diário 4º PA'!$E$4:$E$2564='Analítico Cx.'!$B156),-('Diário 4º PA'!$P$4:$P$2564=K$1),('Diário 4º PA'!$F$4:$F$2564))</f>
        <v>0</v>
      </c>
      <c r="L156" s="183">
        <f>SUMPRODUCT(-('Diário 1º PA'!$E$4:$E$2635='Analítico Cx.'!$B156),-('Diário 1º PA'!$P$4:$P$2635=L$1),('Diário 1º PA'!$F$4:$F$2635))+SUMPRODUCT(-('Diário 2º PA'!$E$4:$E$3040='Analítico Cx.'!$B156),-('Diário 2º PA'!$P$4:$P$3040=L$1),('Diário 2º PA'!$F$4:$F$3040))+SUMPRODUCT(-('Diário 3º PA'!$E$4:$E$2731='Analítico Cx.'!$B156),-('Diário 3º PA'!$P$4:$P$2731=L$1),('Diário 3º PA'!$F$4:$F$2731))+SUMPRODUCT(-('Diário 4º PA'!$E$4:$E$2564='Analítico Cx.'!$B156),-('Diário 4º PA'!$P$4:$P$2564=L$1),('Diário 4º PA'!$F$4:$F$2564))</f>
        <v>0</v>
      </c>
      <c r="M156" s="183">
        <f>SUMPRODUCT(-('Diário 1º PA'!$E$4:$E$2635='Analítico Cx.'!$B156),-('Diário 1º PA'!$P$4:$P$2635=M$1),('Diário 1º PA'!$F$4:$F$2635))+SUMPRODUCT(-('Diário 2º PA'!$E$4:$E$3040='Analítico Cx.'!$B156),-('Diário 2º PA'!$P$4:$P$3040=M$1),('Diário 2º PA'!$F$4:$F$3040))+SUMPRODUCT(-('Diário 3º PA'!$E$4:$E$2731='Analítico Cx.'!$B156),-('Diário 3º PA'!$P$4:$P$2731=M$1),('Diário 3º PA'!$F$4:$F$2731))+SUMPRODUCT(-('Diário 4º PA'!$E$4:$E$2564='Analítico Cx.'!$B156),-('Diário 4º PA'!$P$4:$P$2564=M$1),('Diário 4º PA'!$F$4:$F$2564))</f>
        <v>0</v>
      </c>
      <c r="N156" s="183">
        <f>SUMPRODUCT(-('Diário 1º PA'!$E$4:$E$2635='Analítico Cx.'!$B156),-('Diário 1º PA'!$P$4:$P$2635=N$1),('Diário 1º PA'!$F$4:$F$2635))+SUMPRODUCT(-('Diário 2º PA'!$E$4:$E$3040='Analítico Cx.'!$B156),-('Diário 2º PA'!$P$4:$P$3040=N$1),('Diário 2º PA'!$F$4:$F$3040))+SUMPRODUCT(-('Diário 3º PA'!$E$4:$E$2731='Analítico Cx.'!$B156),-('Diário 3º PA'!$P$4:$P$2731=N$1),('Diário 3º PA'!$F$4:$F$2731))+SUMPRODUCT(-('Diário 4º PA'!$E$4:$E$2564='Analítico Cx.'!$B156),-('Diário 4º PA'!$P$4:$P$2564=N$1),('Diário 4º PA'!$F$4:$F$2564))</f>
        <v>0</v>
      </c>
      <c r="O156" s="184">
        <f t="shared" si="22"/>
        <v>0</v>
      </c>
      <c r="P156" s="167">
        <f t="shared" si="21"/>
        <v>0</v>
      </c>
    </row>
    <row r="157" spans="1:16" ht="23.25" customHeight="1" x14ac:dyDescent="0.2">
      <c r="A157" s="61" t="s">
        <v>28</v>
      </c>
      <c r="B157" s="59" t="s">
        <v>234</v>
      </c>
      <c r="C157" s="183">
        <f>SUMPRODUCT(-('Diário 1º PA'!$E$4:$E$2635='Analítico Cx.'!$B157),-('Diário 1º PA'!$P$4:$P$2635=C$1),('Diário 1º PA'!$F$4:$F$2635))+SUMPRODUCT(-('Diário 2º PA'!$E$4:$E$3040='Analítico Cx.'!$B157),-('Diário 2º PA'!$P$4:$P$3040=C$1),('Diário 2º PA'!$F$4:$F$3040))+SUMPRODUCT(-('Diário 3º PA'!$E$4:$E$2731='Analítico Cx.'!$B157),-('Diário 3º PA'!$P$4:$P$2731=C$1),('Diário 3º PA'!$F$4:$F$2731))+SUMPRODUCT(-('Diário 4º PA'!$E$4:$E$2564='Analítico Cx.'!$B157),-('Diário 4º PA'!$P$4:$P$2564=C$1),('Diário 4º PA'!$F$4:$F$2564))</f>
        <v>0</v>
      </c>
      <c r="D157" s="183">
        <f>SUMPRODUCT(-('Diário 1º PA'!$E$4:$E$2635='Analítico Cx.'!$B157),-('Diário 1º PA'!$P$4:$P$2635=D$1),('Diário 1º PA'!$F$4:$F$2635))+SUMPRODUCT(-('Diário 2º PA'!$E$4:$E$3040='Analítico Cx.'!$B157),-('Diário 2º PA'!$P$4:$P$3040=D$1),('Diário 2º PA'!$F$4:$F$3040))+SUMPRODUCT(-('Diário 3º PA'!$E$4:$E$2731='Analítico Cx.'!$B157),-('Diário 3º PA'!$P$4:$P$2731=D$1),('Diário 3º PA'!$F$4:$F$2731))+SUMPRODUCT(-('Diário 4º PA'!$E$4:$E$2564='Analítico Cx.'!$B157),-('Diário 4º PA'!$P$4:$P$2564=D$1),('Diário 4º PA'!$F$4:$F$2564))</f>
        <v>0</v>
      </c>
      <c r="E157" s="183">
        <f>SUMPRODUCT(-('Diário 1º PA'!$E$4:$E$2635='Analítico Cx.'!$B157),-('Diário 1º PA'!$P$4:$P$2635=E$1),('Diário 1º PA'!$F$4:$F$2635))+SUMPRODUCT(-('Diário 2º PA'!$E$4:$E$3040='Analítico Cx.'!$B157),-('Diário 2º PA'!$P$4:$P$3040=E$1),('Diário 2º PA'!$F$4:$F$3040))+SUMPRODUCT(-('Diário 3º PA'!$E$4:$E$2731='Analítico Cx.'!$B157),-('Diário 3º PA'!$P$4:$P$2731=E$1),('Diário 3º PA'!$F$4:$F$2731))+SUMPRODUCT(-('Diário 4º PA'!$E$4:$E$2564='Analítico Cx.'!$B157),-('Diário 4º PA'!$P$4:$P$2564=E$1),('Diário 4º PA'!$F$4:$F$2564))</f>
        <v>0</v>
      </c>
      <c r="F157" s="183">
        <f>SUMPRODUCT(-('Diário 1º PA'!$E$4:$E$2635='Analítico Cx.'!$B157),-('Diário 1º PA'!$P$4:$P$2635=F$1),('Diário 1º PA'!$F$4:$F$2635))+SUMPRODUCT(-('Diário 2º PA'!$E$4:$E$3040='Analítico Cx.'!$B157),-('Diário 2º PA'!$P$4:$P$3040=F$1),('Diário 2º PA'!$F$4:$F$3040))+SUMPRODUCT(-('Diário 3º PA'!$E$4:$E$2731='Analítico Cx.'!$B157),-('Diário 3º PA'!$P$4:$P$2731=F$1),('Diário 3º PA'!$F$4:$F$2731))+SUMPRODUCT(-('Diário 4º PA'!$E$4:$E$2564='Analítico Cx.'!$B157),-('Diário 4º PA'!$P$4:$P$2564=F$1),('Diário 4º PA'!$F$4:$F$2564))</f>
        <v>0</v>
      </c>
      <c r="G157" s="183">
        <f>SUMPRODUCT(-('Diário 1º PA'!$E$4:$E$2635='Analítico Cx.'!$B157),-('Diário 1º PA'!$P$4:$P$2635=G$1),('Diário 1º PA'!$F$4:$F$2635))+SUMPRODUCT(-('Diário 2º PA'!$E$4:$E$3040='Analítico Cx.'!$B157),-('Diário 2º PA'!$P$4:$P$3040=G$1),('Diário 2º PA'!$F$4:$F$3040))+SUMPRODUCT(-('Diário 3º PA'!$E$4:$E$2731='Analítico Cx.'!$B157),-('Diário 3º PA'!$P$4:$P$2731=G$1),('Diário 3º PA'!$F$4:$F$2731))+SUMPRODUCT(-('Diário 4º PA'!$E$4:$E$2564='Analítico Cx.'!$B157),-('Diário 4º PA'!$P$4:$P$2564=G$1),('Diário 4º PA'!$F$4:$F$2564))</f>
        <v>0</v>
      </c>
      <c r="H157" s="183">
        <f>SUMPRODUCT(-('Diário 1º PA'!$E$4:$E$2635='Analítico Cx.'!$B157),-('Diário 1º PA'!$P$4:$P$2635=H$1),('Diário 1º PA'!$F$4:$F$2635))+SUMPRODUCT(-('Diário 2º PA'!$E$4:$E$3040='Analítico Cx.'!$B157),-('Diário 2º PA'!$P$4:$P$3040=H$1),('Diário 2º PA'!$F$4:$F$3040))+SUMPRODUCT(-('Diário 3º PA'!$E$4:$E$2731='Analítico Cx.'!$B157),-('Diário 3º PA'!$P$4:$P$2731=H$1),('Diário 3º PA'!$F$4:$F$2731))+SUMPRODUCT(-('Diário 4º PA'!$E$4:$E$2564='Analítico Cx.'!$B157),-('Diário 4º PA'!$P$4:$P$2564=H$1),('Diário 4º PA'!$F$4:$F$2564))</f>
        <v>0</v>
      </c>
      <c r="I157" s="183">
        <f>SUMPRODUCT(-('Diário 1º PA'!$E$4:$E$2635='Analítico Cx.'!$B157),-('Diário 1º PA'!$P$4:$P$2635=I$1),('Diário 1º PA'!$F$4:$F$2635))+SUMPRODUCT(-('Diário 2º PA'!$E$4:$E$3040='Analítico Cx.'!$B157),-('Diário 2º PA'!$P$4:$P$3040=I$1),('Diário 2º PA'!$F$4:$F$3040))+SUMPRODUCT(-('Diário 3º PA'!$E$4:$E$2731='Analítico Cx.'!$B157),-('Diário 3º PA'!$P$4:$P$2731=I$1),('Diário 3º PA'!$F$4:$F$2731))+SUMPRODUCT(-('Diário 4º PA'!$E$4:$E$2564='Analítico Cx.'!$B157),-('Diário 4º PA'!$P$4:$P$2564=I$1),('Diário 4º PA'!$F$4:$F$2564))</f>
        <v>0</v>
      </c>
      <c r="J157" s="183">
        <f>SUMPRODUCT(-('Diário 1º PA'!$E$4:$E$2635='Analítico Cx.'!$B157),-('Diário 1º PA'!$P$4:$P$2635=J$1),('Diário 1º PA'!$F$4:$F$2635))+SUMPRODUCT(-('Diário 2º PA'!$E$4:$E$3040='Analítico Cx.'!$B157),-('Diário 2º PA'!$P$4:$P$3040=J$1),('Diário 2º PA'!$F$4:$F$3040))+SUMPRODUCT(-('Diário 3º PA'!$E$4:$E$2731='Analítico Cx.'!$B157),-('Diário 3º PA'!$P$4:$P$2731=J$1),('Diário 3º PA'!$F$4:$F$2731))+SUMPRODUCT(-('Diário 4º PA'!$E$4:$E$2564='Analítico Cx.'!$B157),-('Diário 4º PA'!$P$4:$P$2564=J$1),('Diário 4º PA'!$F$4:$F$2564))</f>
        <v>0</v>
      </c>
      <c r="K157" s="183">
        <f>SUMPRODUCT(-('Diário 1º PA'!$E$4:$E$2635='Analítico Cx.'!$B157),-('Diário 1º PA'!$P$4:$P$2635=K$1),('Diário 1º PA'!$F$4:$F$2635))+SUMPRODUCT(-('Diário 2º PA'!$E$4:$E$3040='Analítico Cx.'!$B157),-('Diário 2º PA'!$P$4:$P$3040=K$1),('Diário 2º PA'!$F$4:$F$3040))+SUMPRODUCT(-('Diário 3º PA'!$E$4:$E$2731='Analítico Cx.'!$B157),-('Diário 3º PA'!$P$4:$P$2731=K$1),('Diário 3º PA'!$F$4:$F$2731))+SUMPRODUCT(-('Diário 4º PA'!$E$4:$E$2564='Analítico Cx.'!$B157),-('Diário 4º PA'!$P$4:$P$2564=K$1),('Diário 4º PA'!$F$4:$F$2564))</f>
        <v>0</v>
      </c>
      <c r="L157" s="183">
        <f>SUMPRODUCT(-('Diário 1º PA'!$E$4:$E$2635='Analítico Cx.'!$B157),-('Diário 1º PA'!$P$4:$P$2635=L$1),('Diário 1º PA'!$F$4:$F$2635))+SUMPRODUCT(-('Diário 2º PA'!$E$4:$E$3040='Analítico Cx.'!$B157),-('Diário 2º PA'!$P$4:$P$3040=L$1),('Diário 2º PA'!$F$4:$F$3040))+SUMPRODUCT(-('Diário 3º PA'!$E$4:$E$2731='Analítico Cx.'!$B157),-('Diário 3º PA'!$P$4:$P$2731=L$1),('Diário 3º PA'!$F$4:$F$2731))+SUMPRODUCT(-('Diário 4º PA'!$E$4:$E$2564='Analítico Cx.'!$B157),-('Diário 4º PA'!$P$4:$P$2564=L$1),('Diário 4º PA'!$F$4:$F$2564))</f>
        <v>0</v>
      </c>
      <c r="M157" s="183">
        <f>SUMPRODUCT(-('Diário 1º PA'!$E$4:$E$2635='Analítico Cx.'!$B157),-('Diário 1º PA'!$P$4:$P$2635=M$1),('Diário 1º PA'!$F$4:$F$2635))+SUMPRODUCT(-('Diário 2º PA'!$E$4:$E$3040='Analítico Cx.'!$B157),-('Diário 2º PA'!$P$4:$P$3040=M$1),('Diário 2º PA'!$F$4:$F$3040))+SUMPRODUCT(-('Diário 3º PA'!$E$4:$E$2731='Analítico Cx.'!$B157),-('Diário 3º PA'!$P$4:$P$2731=M$1),('Diário 3º PA'!$F$4:$F$2731))+SUMPRODUCT(-('Diário 4º PA'!$E$4:$E$2564='Analítico Cx.'!$B157),-('Diário 4º PA'!$P$4:$P$2564=M$1),('Diário 4º PA'!$F$4:$F$2564))</f>
        <v>0</v>
      </c>
      <c r="N157" s="183">
        <f>SUMPRODUCT(-('Diário 1º PA'!$E$4:$E$2635='Analítico Cx.'!$B157),-('Diário 1º PA'!$P$4:$P$2635=N$1),('Diário 1º PA'!$F$4:$F$2635))+SUMPRODUCT(-('Diário 2º PA'!$E$4:$E$3040='Analítico Cx.'!$B157),-('Diário 2º PA'!$P$4:$P$3040=N$1),('Diário 2º PA'!$F$4:$F$3040))+SUMPRODUCT(-('Diário 3º PA'!$E$4:$E$2731='Analítico Cx.'!$B157),-('Diário 3º PA'!$P$4:$P$2731=N$1),('Diário 3º PA'!$F$4:$F$2731))+SUMPRODUCT(-('Diário 4º PA'!$E$4:$E$2564='Analítico Cx.'!$B157),-('Diário 4º PA'!$P$4:$P$2564=N$1),('Diário 4º PA'!$F$4:$F$2564))</f>
        <v>0</v>
      </c>
      <c r="O157" s="184">
        <f t="shared" si="22"/>
        <v>0</v>
      </c>
      <c r="P157" s="167">
        <f t="shared" si="21"/>
        <v>0</v>
      </c>
    </row>
    <row r="158" spans="1:16" ht="23.25" customHeight="1" x14ac:dyDescent="0.2">
      <c r="A158" s="61" t="s">
        <v>136</v>
      </c>
      <c r="B158" s="59" t="s">
        <v>72</v>
      </c>
      <c r="C158" s="183">
        <f>SUMPRODUCT(-('Diário 1º PA'!$E$4:$E$2635='Analítico Cx.'!$B158),-('Diário 1º PA'!$P$4:$P$2635=C$1),('Diário 1º PA'!$F$4:$F$2635))+SUMPRODUCT(-('Diário 2º PA'!$E$4:$E$3040='Analítico Cx.'!$B158),-('Diário 2º PA'!$P$4:$P$3040=C$1),('Diário 2º PA'!$F$4:$F$3040))+SUMPRODUCT(-('Diário 3º PA'!$E$4:$E$2731='Analítico Cx.'!$B158),-('Diário 3º PA'!$P$4:$P$2731=C$1),('Diário 3º PA'!$F$4:$F$2731))+SUMPRODUCT(-('Diário 4º PA'!$E$4:$E$2564='Analítico Cx.'!$B158),-('Diário 4º PA'!$P$4:$P$2564=C$1),('Diário 4º PA'!$F$4:$F$2564))</f>
        <v>0</v>
      </c>
      <c r="D158" s="183">
        <f>SUMPRODUCT(-('Diário 1º PA'!$E$4:$E$2635='Analítico Cx.'!$B158),-('Diário 1º PA'!$P$4:$P$2635=D$1),('Diário 1º PA'!$F$4:$F$2635))+SUMPRODUCT(-('Diário 2º PA'!$E$4:$E$3040='Analítico Cx.'!$B158),-('Diário 2º PA'!$P$4:$P$3040=D$1),('Diário 2º PA'!$F$4:$F$3040))+SUMPRODUCT(-('Diário 3º PA'!$E$4:$E$2731='Analítico Cx.'!$B158),-('Diário 3º PA'!$P$4:$P$2731=D$1),('Diário 3º PA'!$F$4:$F$2731))+SUMPRODUCT(-('Diário 4º PA'!$E$4:$E$2564='Analítico Cx.'!$B158),-('Diário 4º PA'!$P$4:$P$2564=D$1),('Diário 4º PA'!$F$4:$F$2564))</f>
        <v>0</v>
      </c>
      <c r="E158" s="183">
        <f>SUMPRODUCT(-('Diário 1º PA'!$E$4:$E$2635='Analítico Cx.'!$B158),-('Diário 1º PA'!$P$4:$P$2635=E$1),('Diário 1º PA'!$F$4:$F$2635))+SUMPRODUCT(-('Diário 2º PA'!$E$4:$E$3040='Analítico Cx.'!$B158),-('Diário 2º PA'!$P$4:$P$3040=E$1),('Diário 2º PA'!$F$4:$F$3040))+SUMPRODUCT(-('Diário 3º PA'!$E$4:$E$2731='Analítico Cx.'!$B158),-('Diário 3º PA'!$P$4:$P$2731=E$1),('Diário 3º PA'!$F$4:$F$2731))+SUMPRODUCT(-('Diário 4º PA'!$E$4:$E$2564='Analítico Cx.'!$B158),-('Diário 4º PA'!$P$4:$P$2564=E$1),('Diário 4º PA'!$F$4:$F$2564))</f>
        <v>0</v>
      </c>
      <c r="F158" s="183">
        <f>SUMPRODUCT(-('Diário 1º PA'!$E$4:$E$2635='Analítico Cx.'!$B158),-('Diário 1º PA'!$P$4:$P$2635=F$1),('Diário 1º PA'!$F$4:$F$2635))+SUMPRODUCT(-('Diário 2º PA'!$E$4:$E$3040='Analítico Cx.'!$B158),-('Diário 2º PA'!$P$4:$P$3040=F$1),('Diário 2º PA'!$F$4:$F$3040))+SUMPRODUCT(-('Diário 3º PA'!$E$4:$E$2731='Analítico Cx.'!$B158),-('Diário 3º PA'!$P$4:$P$2731=F$1),('Diário 3º PA'!$F$4:$F$2731))+SUMPRODUCT(-('Diário 4º PA'!$E$4:$E$2564='Analítico Cx.'!$B158),-('Diário 4º PA'!$P$4:$P$2564=F$1),('Diário 4º PA'!$F$4:$F$2564))</f>
        <v>0</v>
      </c>
      <c r="G158" s="183">
        <f>SUMPRODUCT(-('Diário 1º PA'!$E$4:$E$2635='Analítico Cx.'!$B158),-('Diário 1º PA'!$P$4:$P$2635=G$1),('Diário 1º PA'!$F$4:$F$2635))+SUMPRODUCT(-('Diário 2º PA'!$E$4:$E$3040='Analítico Cx.'!$B158),-('Diário 2º PA'!$P$4:$P$3040=G$1),('Diário 2º PA'!$F$4:$F$3040))+SUMPRODUCT(-('Diário 3º PA'!$E$4:$E$2731='Analítico Cx.'!$B158),-('Diário 3º PA'!$P$4:$P$2731=G$1),('Diário 3º PA'!$F$4:$F$2731))+SUMPRODUCT(-('Diário 4º PA'!$E$4:$E$2564='Analítico Cx.'!$B158),-('Diário 4º PA'!$P$4:$P$2564=G$1),('Diário 4º PA'!$F$4:$F$2564))</f>
        <v>0</v>
      </c>
      <c r="H158" s="183">
        <f>SUMPRODUCT(-('Diário 1º PA'!$E$4:$E$2635='Analítico Cx.'!$B158),-('Diário 1º PA'!$P$4:$P$2635=H$1),('Diário 1º PA'!$F$4:$F$2635))+SUMPRODUCT(-('Diário 2º PA'!$E$4:$E$3040='Analítico Cx.'!$B158),-('Diário 2º PA'!$P$4:$P$3040=H$1),('Diário 2º PA'!$F$4:$F$3040))+SUMPRODUCT(-('Diário 3º PA'!$E$4:$E$2731='Analítico Cx.'!$B158),-('Diário 3º PA'!$P$4:$P$2731=H$1),('Diário 3º PA'!$F$4:$F$2731))+SUMPRODUCT(-('Diário 4º PA'!$E$4:$E$2564='Analítico Cx.'!$B158),-('Diário 4º PA'!$P$4:$P$2564=H$1),('Diário 4º PA'!$F$4:$F$2564))</f>
        <v>0</v>
      </c>
      <c r="I158" s="183">
        <f>SUMPRODUCT(-('Diário 1º PA'!$E$4:$E$2635='Analítico Cx.'!$B158),-('Diário 1º PA'!$P$4:$P$2635=I$1),('Diário 1º PA'!$F$4:$F$2635))+SUMPRODUCT(-('Diário 2º PA'!$E$4:$E$3040='Analítico Cx.'!$B158),-('Diário 2º PA'!$P$4:$P$3040=I$1),('Diário 2º PA'!$F$4:$F$3040))+SUMPRODUCT(-('Diário 3º PA'!$E$4:$E$2731='Analítico Cx.'!$B158),-('Diário 3º PA'!$P$4:$P$2731=I$1),('Diário 3º PA'!$F$4:$F$2731))+SUMPRODUCT(-('Diário 4º PA'!$E$4:$E$2564='Analítico Cx.'!$B158),-('Diário 4º PA'!$P$4:$P$2564=I$1),('Diário 4º PA'!$F$4:$F$2564))</f>
        <v>0</v>
      </c>
      <c r="J158" s="183">
        <f>SUMPRODUCT(-('Diário 1º PA'!$E$4:$E$2635='Analítico Cx.'!$B158),-('Diário 1º PA'!$P$4:$P$2635=J$1),('Diário 1º PA'!$F$4:$F$2635))+SUMPRODUCT(-('Diário 2º PA'!$E$4:$E$3040='Analítico Cx.'!$B158),-('Diário 2º PA'!$P$4:$P$3040=J$1),('Diário 2º PA'!$F$4:$F$3040))+SUMPRODUCT(-('Diário 3º PA'!$E$4:$E$2731='Analítico Cx.'!$B158),-('Diário 3º PA'!$P$4:$P$2731=J$1),('Diário 3º PA'!$F$4:$F$2731))+SUMPRODUCT(-('Diário 4º PA'!$E$4:$E$2564='Analítico Cx.'!$B158),-('Diário 4º PA'!$P$4:$P$2564=J$1),('Diário 4º PA'!$F$4:$F$2564))</f>
        <v>0</v>
      </c>
      <c r="K158" s="183">
        <f>SUMPRODUCT(-('Diário 1º PA'!$E$4:$E$2635='Analítico Cx.'!$B158),-('Diário 1º PA'!$P$4:$P$2635=K$1),('Diário 1º PA'!$F$4:$F$2635))+SUMPRODUCT(-('Diário 2º PA'!$E$4:$E$3040='Analítico Cx.'!$B158),-('Diário 2º PA'!$P$4:$P$3040=K$1),('Diário 2º PA'!$F$4:$F$3040))+SUMPRODUCT(-('Diário 3º PA'!$E$4:$E$2731='Analítico Cx.'!$B158),-('Diário 3º PA'!$P$4:$P$2731=K$1),('Diário 3º PA'!$F$4:$F$2731))+SUMPRODUCT(-('Diário 4º PA'!$E$4:$E$2564='Analítico Cx.'!$B158),-('Diário 4º PA'!$P$4:$P$2564=K$1),('Diário 4º PA'!$F$4:$F$2564))</f>
        <v>0</v>
      </c>
      <c r="L158" s="183">
        <f>SUMPRODUCT(-('Diário 1º PA'!$E$4:$E$2635='Analítico Cx.'!$B158),-('Diário 1º PA'!$P$4:$P$2635=L$1),('Diário 1º PA'!$F$4:$F$2635))+SUMPRODUCT(-('Diário 2º PA'!$E$4:$E$3040='Analítico Cx.'!$B158),-('Diário 2º PA'!$P$4:$P$3040=L$1),('Diário 2º PA'!$F$4:$F$3040))+SUMPRODUCT(-('Diário 3º PA'!$E$4:$E$2731='Analítico Cx.'!$B158),-('Diário 3º PA'!$P$4:$P$2731=L$1),('Diário 3º PA'!$F$4:$F$2731))+SUMPRODUCT(-('Diário 4º PA'!$E$4:$E$2564='Analítico Cx.'!$B158),-('Diário 4º PA'!$P$4:$P$2564=L$1),('Diário 4º PA'!$F$4:$F$2564))</f>
        <v>0</v>
      </c>
      <c r="M158" s="183">
        <f>SUMPRODUCT(-('Diário 1º PA'!$E$4:$E$2635='Analítico Cx.'!$B158),-('Diário 1º PA'!$P$4:$P$2635=M$1),('Diário 1º PA'!$F$4:$F$2635))+SUMPRODUCT(-('Diário 2º PA'!$E$4:$E$3040='Analítico Cx.'!$B158),-('Diário 2º PA'!$P$4:$P$3040=M$1),('Diário 2º PA'!$F$4:$F$3040))+SUMPRODUCT(-('Diário 3º PA'!$E$4:$E$2731='Analítico Cx.'!$B158),-('Diário 3º PA'!$P$4:$P$2731=M$1),('Diário 3º PA'!$F$4:$F$2731))+SUMPRODUCT(-('Diário 4º PA'!$E$4:$E$2564='Analítico Cx.'!$B158),-('Diário 4º PA'!$P$4:$P$2564=M$1),('Diário 4º PA'!$F$4:$F$2564))</f>
        <v>0</v>
      </c>
      <c r="N158" s="183">
        <f>SUMPRODUCT(-('Diário 1º PA'!$E$4:$E$2635='Analítico Cx.'!$B158),-('Diário 1º PA'!$P$4:$P$2635=N$1),('Diário 1º PA'!$F$4:$F$2635))+SUMPRODUCT(-('Diário 2º PA'!$E$4:$E$3040='Analítico Cx.'!$B158),-('Diário 2º PA'!$P$4:$P$3040=N$1),('Diário 2º PA'!$F$4:$F$3040))+SUMPRODUCT(-('Diário 3º PA'!$E$4:$E$2731='Analítico Cx.'!$B158),-('Diário 3º PA'!$P$4:$P$2731=N$1),('Diário 3º PA'!$F$4:$F$2731))+SUMPRODUCT(-('Diário 4º PA'!$E$4:$E$2564='Analítico Cx.'!$B158),-('Diário 4º PA'!$P$4:$P$2564=N$1),('Diário 4º PA'!$F$4:$F$2564))</f>
        <v>0</v>
      </c>
      <c r="O158" s="184">
        <f t="shared" si="22"/>
        <v>0</v>
      </c>
      <c r="P158" s="167">
        <f t="shared" si="21"/>
        <v>0</v>
      </c>
    </row>
    <row r="159" spans="1:16" ht="23.25" customHeight="1" x14ac:dyDescent="0.2">
      <c r="A159" s="61" t="s">
        <v>137</v>
      </c>
      <c r="B159" s="59" t="s">
        <v>224</v>
      </c>
      <c r="C159" s="183">
        <f>SUMPRODUCT(-('Diário 1º PA'!$E$4:$E$2635='Analítico Cx.'!$B159),-('Diário 1º PA'!$P$4:$P$2635=C$1),('Diário 1º PA'!$F$4:$F$2635))+SUMPRODUCT(-('Diário 2º PA'!$E$4:$E$3040='Analítico Cx.'!$B159),-('Diário 2º PA'!$P$4:$P$3040=C$1),('Diário 2º PA'!$F$4:$F$3040))+SUMPRODUCT(-('Diário 3º PA'!$E$4:$E$2731='Analítico Cx.'!$B159),-('Diário 3º PA'!$P$4:$P$2731=C$1),('Diário 3º PA'!$F$4:$F$2731))+SUMPRODUCT(-('Diário 4º PA'!$E$4:$E$2564='Analítico Cx.'!$B159),-('Diário 4º PA'!$P$4:$P$2564=C$1),('Diário 4º PA'!$F$4:$F$2564))</f>
        <v>0</v>
      </c>
      <c r="D159" s="183">
        <f>SUMPRODUCT(-('Diário 1º PA'!$E$4:$E$2635='Analítico Cx.'!$B159),-('Diário 1º PA'!$P$4:$P$2635=D$1),('Diário 1º PA'!$F$4:$F$2635))+SUMPRODUCT(-('Diário 2º PA'!$E$4:$E$3040='Analítico Cx.'!$B159),-('Diário 2º PA'!$P$4:$P$3040=D$1),('Diário 2º PA'!$F$4:$F$3040))+SUMPRODUCT(-('Diário 3º PA'!$E$4:$E$2731='Analítico Cx.'!$B159),-('Diário 3º PA'!$P$4:$P$2731=D$1),('Diário 3º PA'!$F$4:$F$2731))+SUMPRODUCT(-('Diário 4º PA'!$E$4:$E$2564='Analítico Cx.'!$B159),-('Diário 4º PA'!$P$4:$P$2564=D$1),('Diário 4º PA'!$F$4:$F$2564))</f>
        <v>0</v>
      </c>
      <c r="E159" s="183">
        <f>SUMPRODUCT(-('Diário 1º PA'!$E$4:$E$2635='Analítico Cx.'!$B159),-('Diário 1º PA'!$P$4:$P$2635=E$1),('Diário 1º PA'!$F$4:$F$2635))+SUMPRODUCT(-('Diário 2º PA'!$E$4:$E$3040='Analítico Cx.'!$B159),-('Diário 2º PA'!$P$4:$P$3040=E$1),('Diário 2º PA'!$F$4:$F$3040))+SUMPRODUCT(-('Diário 3º PA'!$E$4:$E$2731='Analítico Cx.'!$B159),-('Diário 3º PA'!$P$4:$P$2731=E$1),('Diário 3º PA'!$F$4:$F$2731))+SUMPRODUCT(-('Diário 4º PA'!$E$4:$E$2564='Analítico Cx.'!$B159),-('Diário 4º PA'!$P$4:$P$2564=E$1),('Diário 4º PA'!$F$4:$F$2564))</f>
        <v>0</v>
      </c>
      <c r="F159" s="183">
        <f>SUMPRODUCT(-('Diário 1º PA'!$E$4:$E$2635='Analítico Cx.'!$B159),-('Diário 1º PA'!$P$4:$P$2635=F$1),('Diário 1º PA'!$F$4:$F$2635))+SUMPRODUCT(-('Diário 2º PA'!$E$4:$E$3040='Analítico Cx.'!$B159),-('Diário 2º PA'!$P$4:$P$3040=F$1),('Diário 2º PA'!$F$4:$F$3040))+SUMPRODUCT(-('Diário 3º PA'!$E$4:$E$2731='Analítico Cx.'!$B159),-('Diário 3º PA'!$P$4:$P$2731=F$1),('Diário 3º PA'!$F$4:$F$2731))+SUMPRODUCT(-('Diário 4º PA'!$E$4:$E$2564='Analítico Cx.'!$B159),-('Diário 4º PA'!$P$4:$P$2564=F$1),('Diário 4º PA'!$F$4:$F$2564))</f>
        <v>0</v>
      </c>
      <c r="G159" s="183">
        <f>SUMPRODUCT(-('Diário 1º PA'!$E$4:$E$2635='Analítico Cx.'!$B159),-('Diário 1º PA'!$P$4:$P$2635=G$1),('Diário 1º PA'!$F$4:$F$2635))+SUMPRODUCT(-('Diário 2º PA'!$E$4:$E$3040='Analítico Cx.'!$B159),-('Diário 2º PA'!$P$4:$P$3040=G$1),('Diário 2º PA'!$F$4:$F$3040))+SUMPRODUCT(-('Diário 3º PA'!$E$4:$E$2731='Analítico Cx.'!$B159),-('Diário 3º PA'!$P$4:$P$2731=G$1),('Diário 3º PA'!$F$4:$F$2731))+SUMPRODUCT(-('Diário 4º PA'!$E$4:$E$2564='Analítico Cx.'!$B159),-('Diário 4º PA'!$P$4:$P$2564=G$1),('Diário 4º PA'!$F$4:$F$2564))</f>
        <v>0</v>
      </c>
      <c r="H159" s="183">
        <f>SUMPRODUCT(-('Diário 1º PA'!$E$4:$E$2635='Analítico Cx.'!$B159),-('Diário 1º PA'!$P$4:$P$2635=H$1),('Diário 1º PA'!$F$4:$F$2635))+SUMPRODUCT(-('Diário 2º PA'!$E$4:$E$3040='Analítico Cx.'!$B159),-('Diário 2º PA'!$P$4:$P$3040=H$1),('Diário 2º PA'!$F$4:$F$3040))+SUMPRODUCT(-('Diário 3º PA'!$E$4:$E$2731='Analítico Cx.'!$B159),-('Diário 3º PA'!$P$4:$P$2731=H$1),('Diário 3º PA'!$F$4:$F$2731))+SUMPRODUCT(-('Diário 4º PA'!$E$4:$E$2564='Analítico Cx.'!$B159),-('Diário 4º PA'!$P$4:$P$2564=H$1),('Diário 4º PA'!$F$4:$F$2564))</f>
        <v>0</v>
      </c>
      <c r="I159" s="183">
        <f>SUMPRODUCT(-('Diário 1º PA'!$E$4:$E$2635='Analítico Cx.'!$B159),-('Diário 1º PA'!$P$4:$P$2635=I$1),('Diário 1º PA'!$F$4:$F$2635))+SUMPRODUCT(-('Diário 2º PA'!$E$4:$E$3040='Analítico Cx.'!$B159),-('Diário 2º PA'!$P$4:$P$3040=I$1),('Diário 2º PA'!$F$4:$F$3040))+SUMPRODUCT(-('Diário 3º PA'!$E$4:$E$2731='Analítico Cx.'!$B159),-('Diário 3º PA'!$P$4:$P$2731=I$1),('Diário 3º PA'!$F$4:$F$2731))+SUMPRODUCT(-('Diário 4º PA'!$E$4:$E$2564='Analítico Cx.'!$B159),-('Diário 4º PA'!$P$4:$P$2564=I$1),('Diário 4º PA'!$F$4:$F$2564))</f>
        <v>0</v>
      </c>
      <c r="J159" s="183">
        <f>SUMPRODUCT(-('Diário 1º PA'!$E$4:$E$2635='Analítico Cx.'!$B159),-('Diário 1º PA'!$P$4:$P$2635=J$1),('Diário 1º PA'!$F$4:$F$2635))+SUMPRODUCT(-('Diário 2º PA'!$E$4:$E$3040='Analítico Cx.'!$B159),-('Diário 2º PA'!$P$4:$P$3040=J$1),('Diário 2º PA'!$F$4:$F$3040))+SUMPRODUCT(-('Diário 3º PA'!$E$4:$E$2731='Analítico Cx.'!$B159),-('Diário 3º PA'!$P$4:$P$2731=J$1),('Diário 3º PA'!$F$4:$F$2731))+SUMPRODUCT(-('Diário 4º PA'!$E$4:$E$2564='Analítico Cx.'!$B159),-('Diário 4º PA'!$P$4:$P$2564=J$1),('Diário 4º PA'!$F$4:$F$2564))</f>
        <v>0</v>
      </c>
      <c r="K159" s="183">
        <f>SUMPRODUCT(-('Diário 1º PA'!$E$4:$E$2635='Analítico Cx.'!$B159),-('Diário 1º PA'!$P$4:$P$2635=K$1),('Diário 1º PA'!$F$4:$F$2635))+SUMPRODUCT(-('Diário 2º PA'!$E$4:$E$3040='Analítico Cx.'!$B159),-('Diário 2º PA'!$P$4:$P$3040=K$1),('Diário 2º PA'!$F$4:$F$3040))+SUMPRODUCT(-('Diário 3º PA'!$E$4:$E$2731='Analítico Cx.'!$B159),-('Diário 3º PA'!$P$4:$P$2731=K$1),('Diário 3º PA'!$F$4:$F$2731))+SUMPRODUCT(-('Diário 4º PA'!$E$4:$E$2564='Analítico Cx.'!$B159),-('Diário 4º PA'!$P$4:$P$2564=K$1),('Diário 4º PA'!$F$4:$F$2564))</f>
        <v>0</v>
      </c>
      <c r="L159" s="183">
        <f>SUMPRODUCT(-('Diário 1º PA'!$E$4:$E$2635='Analítico Cx.'!$B159),-('Diário 1º PA'!$P$4:$P$2635=L$1),('Diário 1º PA'!$F$4:$F$2635))+SUMPRODUCT(-('Diário 2º PA'!$E$4:$E$3040='Analítico Cx.'!$B159),-('Diário 2º PA'!$P$4:$P$3040=L$1),('Diário 2º PA'!$F$4:$F$3040))+SUMPRODUCT(-('Diário 3º PA'!$E$4:$E$2731='Analítico Cx.'!$B159),-('Diário 3º PA'!$P$4:$P$2731=L$1),('Diário 3º PA'!$F$4:$F$2731))+SUMPRODUCT(-('Diário 4º PA'!$E$4:$E$2564='Analítico Cx.'!$B159),-('Diário 4º PA'!$P$4:$P$2564=L$1),('Diário 4º PA'!$F$4:$F$2564))</f>
        <v>0</v>
      </c>
      <c r="M159" s="183">
        <f>SUMPRODUCT(-('Diário 1º PA'!$E$4:$E$2635='Analítico Cx.'!$B159),-('Diário 1º PA'!$P$4:$P$2635=M$1),('Diário 1º PA'!$F$4:$F$2635))+SUMPRODUCT(-('Diário 2º PA'!$E$4:$E$3040='Analítico Cx.'!$B159),-('Diário 2º PA'!$P$4:$P$3040=M$1),('Diário 2º PA'!$F$4:$F$3040))+SUMPRODUCT(-('Diário 3º PA'!$E$4:$E$2731='Analítico Cx.'!$B159),-('Diário 3º PA'!$P$4:$P$2731=M$1),('Diário 3º PA'!$F$4:$F$2731))+SUMPRODUCT(-('Diário 4º PA'!$E$4:$E$2564='Analítico Cx.'!$B159),-('Diário 4º PA'!$P$4:$P$2564=M$1),('Diário 4º PA'!$F$4:$F$2564))</f>
        <v>0</v>
      </c>
      <c r="N159" s="183">
        <f>SUMPRODUCT(-('Diário 1º PA'!$E$4:$E$2635='Analítico Cx.'!$B159),-('Diário 1º PA'!$P$4:$P$2635=N$1),('Diário 1º PA'!$F$4:$F$2635))+SUMPRODUCT(-('Diário 2º PA'!$E$4:$E$3040='Analítico Cx.'!$B159),-('Diário 2º PA'!$P$4:$P$3040=N$1),('Diário 2º PA'!$F$4:$F$3040))+SUMPRODUCT(-('Diário 3º PA'!$E$4:$E$2731='Analítico Cx.'!$B159),-('Diário 3º PA'!$P$4:$P$2731=N$1),('Diário 3º PA'!$F$4:$F$2731))+SUMPRODUCT(-('Diário 4º PA'!$E$4:$E$2564='Analítico Cx.'!$B159),-('Diário 4º PA'!$P$4:$P$2564=N$1),('Diário 4º PA'!$F$4:$F$2564))</f>
        <v>0</v>
      </c>
      <c r="O159" s="184">
        <f t="shared" si="22"/>
        <v>0</v>
      </c>
      <c r="P159" s="167">
        <f t="shared" si="21"/>
        <v>0</v>
      </c>
    </row>
    <row r="160" spans="1:16" ht="23.25" customHeight="1" x14ac:dyDescent="0.2">
      <c r="A160" s="61" t="s">
        <v>138</v>
      </c>
      <c r="B160" s="59" t="s">
        <v>229</v>
      </c>
      <c r="C160" s="183">
        <f>SUMPRODUCT(-('Diário 1º PA'!$E$4:$E$2635='Analítico Cx.'!$B160),-('Diário 1º PA'!$P$4:$P$2635=C$1),('Diário 1º PA'!$F$4:$F$2635))+SUMPRODUCT(-('Diário 2º PA'!$E$4:$E$3040='Analítico Cx.'!$B160),-('Diário 2º PA'!$P$4:$P$3040=C$1),('Diário 2º PA'!$F$4:$F$3040))+SUMPRODUCT(-('Diário 3º PA'!$E$4:$E$2731='Analítico Cx.'!$B160),-('Diário 3º PA'!$P$4:$P$2731=C$1),('Diário 3º PA'!$F$4:$F$2731))+SUMPRODUCT(-('Diário 4º PA'!$E$4:$E$2564='Analítico Cx.'!$B160),-('Diário 4º PA'!$P$4:$P$2564=C$1),('Diário 4º PA'!$F$4:$F$2564))</f>
        <v>0</v>
      </c>
      <c r="D160" s="183">
        <f>SUMPRODUCT(-('Diário 1º PA'!$E$4:$E$2635='Analítico Cx.'!$B160),-('Diário 1º PA'!$P$4:$P$2635=D$1),('Diário 1º PA'!$F$4:$F$2635))+SUMPRODUCT(-('Diário 2º PA'!$E$4:$E$3040='Analítico Cx.'!$B160),-('Diário 2º PA'!$P$4:$P$3040=D$1),('Diário 2º PA'!$F$4:$F$3040))+SUMPRODUCT(-('Diário 3º PA'!$E$4:$E$2731='Analítico Cx.'!$B160),-('Diário 3º PA'!$P$4:$P$2731=D$1),('Diário 3º PA'!$F$4:$F$2731))+SUMPRODUCT(-('Diário 4º PA'!$E$4:$E$2564='Analítico Cx.'!$B160),-('Diário 4º PA'!$P$4:$P$2564=D$1),('Diário 4º PA'!$F$4:$F$2564))</f>
        <v>0</v>
      </c>
      <c r="E160" s="183">
        <f>SUMPRODUCT(-('Diário 1º PA'!$E$4:$E$2635='Analítico Cx.'!$B160),-('Diário 1º PA'!$P$4:$P$2635=E$1),('Diário 1º PA'!$F$4:$F$2635))+SUMPRODUCT(-('Diário 2º PA'!$E$4:$E$3040='Analítico Cx.'!$B160),-('Diário 2º PA'!$P$4:$P$3040=E$1),('Diário 2º PA'!$F$4:$F$3040))+SUMPRODUCT(-('Diário 3º PA'!$E$4:$E$2731='Analítico Cx.'!$B160),-('Diário 3º PA'!$P$4:$P$2731=E$1),('Diário 3º PA'!$F$4:$F$2731))+SUMPRODUCT(-('Diário 4º PA'!$E$4:$E$2564='Analítico Cx.'!$B160),-('Diário 4º PA'!$P$4:$P$2564=E$1),('Diário 4º PA'!$F$4:$F$2564))</f>
        <v>0</v>
      </c>
      <c r="F160" s="183">
        <f>SUMPRODUCT(-('Diário 1º PA'!$E$4:$E$2635='Analítico Cx.'!$B160),-('Diário 1º PA'!$P$4:$P$2635=F$1),('Diário 1º PA'!$F$4:$F$2635))+SUMPRODUCT(-('Diário 2º PA'!$E$4:$E$3040='Analítico Cx.'!$B160),-('Diário 2º PA'!$P$4:$P$3040=F$1),('Diário 2º PA'!$F$4:$F$3040))+SUMPRODUCT(-('Diário 3º PA'!$E$4:$E$2731='Analítico Cx.'!$B160),-('Diário 3º PA'!$P$4:$P$2731=F$1),('Diário 3º PA'!$F$4:$F$2731))+SUMPRODUCT(-('Diário 4º PA'!$E$4:$E$2564='Analítico Cx.'!$B160),-('Diário 4º PA'!$P$4:$P$2564=F$1),('Diário 4º PA'!$F$4:$F$2564))</f>
        <v>0</v>
      </c>
      <c r="G160" s="183">
        <f>SUMPRODUCT(-('Diário 1º PA'!$E$4:$E$2635='Analítico Cx.'!$B160),-('Diário 1º PA'!$P$4:$P$2635=G$1),('Diário 1º PA'!$F$4:$F$2635))+SUMPRODUCT(-('Diário 2º PA'!$E$4:$E$3040='Analítico Cx.'!$B160),-('Diário 2º PA'!$P$4:$P$3040=G$1),('Diário 2º PA'!$F$4:$F$3040))+SUMPRODUCT(-('Diário 3º PA'!$E$4:$E$2731='Analítico Cx.'!$B160),-('Diário 3º PA'!$P$4:$P$2731=G$1),('Diário 3º PA'!$F$4:$F$2731))+SUMPRODUCT(-('Diário 4º PA'!$E$4:$E$2564='Analítico Cx.'!$B160),-('Diário 4º PA'!$P$4:$P$2564=G$1),('Diário 4º PA'!$F$4:$F$2564))</f>
        <v>0</v>
      </c>
      <c r="H160" s="183">
        <f>SUMPRODUCT(-('Diário 1º PA'!$E$4:$E$2635='Analítico Cx.'!$B160),-('Diário 1º PA'!$P$4:$P$2635=H$1),('Diário 1º PA'!$F$4:$F$2635))+SUMPRODUCT(-('Diário 2º PA'!$E$4:$E$3040='Analítico Cx.'!$B160),-('Diário 2º PA'!$P$4:$P$3040=H$1),('Diário 2º PA'!$F$4:$F$3040))+SUMPRODUCT(-('Diário 3º PA'!$E$4:$E$2731='Analítico Cx.'!$B160),-('Diário 3º PA'!$P$4:$P$2731=H$1),('Diário 3º PA'!$F$4:$F$2731))+SUMPRODUCT(-('Diário 4º PA'!$E$4:$E$2564='Analítico Cx.'!$B160),-('Diário 4º PA'!$P$4:$P$2564=H$1),('Diário 4º PA'!$F$4:$F$2564))</f>
        <v>0</v>
      </c>
      <c r="I160" s="183">
        <f>SUMPRODUCT(-('Diário 1º PA'!$E$4:$E$2635='Analítico Cx.'!$B160),-('Diário 1º PA'!$P$4:$P$2635=I$1),('Diário 1º PA'!$F$4:$F$2635))+SUMPRODUCT(-('Diário 2º PA'!$E$4:$E$3040='Analítico Cx.'!$B160),-('Diário 2º PA'!$P$4:$P$3040=I$1),('Diário 2º PA'!$F$4:$F$3040))+SUMPRODUCT(-('Diário 3º PA'!$E$4:$E$2731='Analítico Cx.'!$B160),-('Diário 3º PA'!$P$4:$P$2731=I$1),('Diário 3º PA'!$F$4:$F$2731))+SUMPRODUCT(-('Diário 4º PA'!$E$4:$E$2564='Analítico Cx.'!$B160),-('Diário 4º PA'!$P$4:$P$2564=I$1),('Diário 4º PA'!$F$4:$F$2564))</f>
        <v>0</v>
      </c>
      <c r="J160" s="183">
        <f>SUMPRODUCT(-('Diário 1º PA'!$E$4:$E$2635='Analítico Cx.'!$B160),-('Diário 1º PA'!$P$4:$P$2635=J$1),('Diário 1º PA'!$F$4:$F$2635))+SUMPRODUCT(-('Diário 2º PA'!$E$4:$E$3040='Analítico Cx.'!$B160),-('Diário 2º PA'!$P$4:$P$3040=J$1),('Diário 2º PA'!$F$4:$F$3040))+SUMPRODUCT(-('Diário 3º PA'!$E$4:$E$2731='Analítico Cx.'!$B160),-('Diário 3º PA'!$P$4:$P$2731=J$1),('Diário 3º PA'!$F$4:$F$2731))+SUMPRODUCT(-('Diário 4º PA'!$E$4:$E$2564='Analítico Cx.'!$B160),-('Diário 4º PA'!$P$4:$P$2564=J$1),('Diário 4º PA'!$F$4:$F$2564))</f>
        <v>0</v>
      </c>
      <c r="K160" s="183">
        <f>SUMPRODUCT(-('Diário 1º PA'!$E$4:$E$2635='Analítico Cx.'!$B160),-('Diário 1º PA'!$P$4:$P$2635=K$1),('Diário 1º PA'!$F$4:$F$2635))+SUMPRODUCT(-('Diário 2º PA'!$E$4:$E$3040='Analítico Cx.'!$B160),-('Diário 2º PA'!$P$4:$P$3040=K$1),('Diário 2º PA'!$F$4:$F$3040))+SUMPRODUCT(-('Diário 3º PA'!$E$4:$E$2731='Analítico Cx.'!$B160),-('Diário 3º PA'!$P$4:$P$2731=K$1),('Diário 3º PA'!$F$4:$F$2731))+SUMPRODUCT(-('Diário 4º PA'!$E$4:$E$2564='Analítico Cx.'!$B160),-('Diário 4º PA'!$P$4:$P$2564=K$1),('Diário 4º PA'!$F$4:$F$2564))</f>
        <v>0</v>
      </c>
      <c r="L160" s="183">
        <f>SUMPRODUCT(-('Diário 1º PA'!$E$4:$E$2635='Analítico Cx.'!$B160),-('Diário 1º PA'!$P$4:$P$2635=L$1),('Diário 1º PA'!$F$4:$F$2635))+SUMPRODUCT(-('Diário 2º PA'!$E$4:$E$3040='Analítico Cx.'!$B160),-('Diário 2º PA'!$P$4:$P$3040=L$1),('Diário 2º PA'!$F$4:$F$3040))+SUMPRODUCT(-('Diário 3º PA'!$E$4:$E$2731='Analítico Cx.'!$B160),-('Diário 3º PA'!$P$4:$P$2731=L$1),('Diário 3º PA'!$F$4:$F$2731))+SUMPRODUCT(-('Diário 4º PA'!$E$4:$E$2564='Analítico Cx.'!$B160),-('Diário 4º PA'!$P$4:$P$2564=L$1),('Diário 4º PA'!$F$4:$F$2564))</f>
        <v>0</v>
      </c>
      <c r="M160" s="183">
        <f>SUMPRODUCT(-('Diário 1º PA'!$E$4:$E$2635='Analítico Cx.'!$B160),-('Diário 1º PA'!$P$4:$P$2635=M$1),('Diário 1º PA'!$F$4:$F$2635))+SUMPRODUCT(-('Diário 2º PA'!$E$4:$E$3040='Analítico Cx.'!$B160),-('Diário 2º PA'!$P$4:$P$3040=M$1),('Diário 2º PA'!$F$4:$F$3040))+SUMPRODUCT(-('Diário 3º PA'!$E$4:$E$2731='Analítico Cx.'!$B160),-('Diário 3º PA'!$P$4:$P$2731=M$1),('Diário 3º PA'!$F$4:$F$2731))+SUMPRODUCT(-('Diário 4º PA'!$E$4:$E$2564='Analítico Cx.'!$B160),-('Diário 4º PA'!$P$4:$P$2564=M$1),('Diário 4º PA'!$F$4:$F$2564))</f>
        <v>0</v>
      </c>
      <c r="N160" s="183">
        <f>SUMPRODUCT(-('Diário 1º PA'!$E$4:$E$2635='Analítico Cx.'!$B160),-('Diário 1º PA'!$P$4:$P$2635=N$1),('Diário 1º PA'!$F$4:$F$2635))+SUMPRODUCT(-('Diário 2º PA'!$E$4:$E$3040='Analítico Cx.'!$B160),-('Diário 2º PA'!$P$4:$P$3040=N$1),('Diário 2º PA'!$F$4:$F$3040))+SUMPRODUCT(-('Diário 3º PA'!$E$4:$E$2731='Analítico Cx.'!$B160),-('Diário 3º PA'!$P$4:$P$2731=N$1),('Diário 3º PA'!$F$4:$F$2731))+SUMPRODUCT(-('Diário 4º PA'!$E$4:$E$2564='Analítico Cx.'!$B160),-('Diário 4º PA'!$P$4:$P$2564=N$1),('Diário 4º PA'!$F$4:$F$2564))</f>
        <v>0</v>
      </c>
      <c r="O160" s="184">
        <f t="shared" si="22"/>
        <v>0</v>
      </c>
      <c r="P160" s="167">
        <f t="shared" si="21"/>
        <v>0</v>
      </c>
    </row>
    <row r="161" spans="1:16" ht="23.25" customHeight="1" x14ac:dyDescent="0.2">
      <c r="A161" s="61" t="s">
        <v>140</v>
      </c>
      <c r="B161" s="59" t="s">
        <v>227</v>
      </c>
      <c r="C161" s="183">
        <f>SUMPRODUCT(-('Diário 1º PA'!$E$4:$E$2635='Analítico Cx.'!$B161),-('Diário 1º PA'!$P$4:$P$2635=C$1),('Diário 1º PA'!$F$4:$F$2635))+SUMPRODUCT(-('Diário 2º PA'!$E$4:$E$3040='Analítico Cx.'!$B161),-('Diário 2º PA'!$P$4:$P$3040=C$1),('Diário 2º PA'!$F$4:$F$3040))+SUMPRODUCT(-('Diário 3º PA'!$E$4:$E$2731='Analítico Cx.'!$B161),-('Diário 3º PA'!$P$4:$P$2731=C$1),('Diário 3º PA'!$F$4:$F$2731))+SUMPRODUCT(-('Diário 4º PA'!$E$4:$E$2564='Analítico Cx.'!$B161),-('Diário 4º PA'!$P$4:$P$2564=C$1),('Diário 4º PA'!$F$4:$F$2564))</f>
        <v>0</v>
      </c>
      <c r="D161" s="183">
        <f>SUMPRODUCT(-('Diário 1º PA'!$E$4:$E$2635='Analítico Cx.'!$B161),-('Diário 1º PA'!$P$4:$P$2635=D$1),('Diário 1º PA'!$F$4:$F$2635))+SUMPRODUCT(-('Diário 2º PA'!$E$4:$E$3040='Analítico Cx.'!$B161),-('Diário 2º PA'!$P$4:$P$3040=D$1),('Diário 2º PA'!$F$4:$F$3040))+SUMPRODUCT(-('Diário 3º PA'!$E$4:$E$2731='Analítico Cx.'!$B161),-('Diário 3º PA'!$P$4:$P$2731=D$1),('Diário 3º PA'!$F$4:$F$2731))+SUMPRODUCT(-('Diário 4º PA'!$E$4:$E$2564='Analítico Cx.'!$B161),-('Diário 4º PA'!$P$4:$P$2564=D$1),('Diário 4º PA'!$F$4:$F$2564))</f>
        <v>0</v>
      </c>
      <c r="E161" s="183">
        <f>SUMPRODUCT(-('Diário 1º PA'!$E$4:$E$2635='Analítico Cx.'!$B161),-('Diário 1º PA'!$P$4:$P$2635=E$1),('Diário 1º PA'!$F$4:$F$2635))+SUMPRODUCT(-('Diário 2º PA'!$E$4:$E$3040='Analítico Cx.'!$B161),-('Diário 2º PA'!$P$4:$P$3040=E$1),('Diário 2º PA'!$F$4:$F$3040))+SUMPRODUCT(-('Diário 3º PA'!$E$4:$E$2731='Analítico Cx.'!$B161),-('Diário 3º PA'!$P$4:$P$2731=E$1),('Diário 3º PA'!$F$4:$F$2731))+SUMPRODUCT(-('Diário 4º PA'!$E$4:$E$2564='Analítico Cx.'!$B161),-('Diário 4º PA'!$P$4:$P$2564=E$1),('Diário 4º PA'!$F$4:$F$2564))</f>
        <v>0</v>
      </c>
      <c r="F161" s="183">
        <f>SUMPRODUCT(-('Diário 1º PA'!$E$4:$E$2635='Analítico Cx.'!$B161),-('Diário 1º PA'!$P$4:$P$2635=F$1),('Diário 1º PA'!$F$4:$F$2635))+SUMPRODUCT(-('Diário 2º PA'!$E$4:$E$3040='Analítico Cx.'!$B161),-('Diário 2º PA'!$P$4:$P$3040=F$1),('Diário 2º PA'!$F$4:$F$3040))+SUMPRODUCT(-('Diário 3º PA'!$E$4:$E$2731='Analítico Cx.'!$B161),-('Diário 3º PA'!$P$4:$P$2731=F$1),('Diário 3º PA'!$F$4:$F$2731))+SUMPRODUCT(-('Diário 4º PA'!$E$4:$E$2564='Analítico Cx.'!$B161),-('Diário 4º PA'!$P$4:$P$2564=F$1),('Diário 4º PA'!$F$4:$F$2564))</f>
        <v>0</v>
      </c>
      <c r="G161" s="183">
        <f>SUMPRODUCT(-('Diário 1º PA'!$E$4:$E$2635='Analítico Cx.'!$B161),-('Diário 1º PA'!$P$4:$P$2635=G$1),('Diário 1º PA'!$F$4:$F$2635))+SUMPRODUCT(-('Diário 2º PA'!$E$4:$E$3040='Analítico Cx.'!$B161),-('Diário 2º PA'!$P$4:$P$3040=G$1),('Diário 2º PA'!$F$4:$F$3040))+SUMPRODUCT(-('Diário 3º PA'!$E$4:$E$2731='Analítico Cx.'!$B161),-('Diário 3º PA'!$P$4:$P$2731=G$1),('Diário 3º PA'!$F$4:$F$2731))+SUMPRODUCT(-('Diário 4º PA'!$E$4:$E$2564='Analítico Cx.'!$B161),-('Diário 4º PA'!$P$4:$P$2564=G$1),('Diário 4º PA'!$F$4:$F$2564))</f>
        <v>0</v>
      </c>
      <c r="H161" s="183">
        <f>SUMPRODUCT(-('Diário 1º PA'!$E$4:$E$2635='Analítico Cx.'!$B161),-('Diário 1º PA'!$P$4:$P$2635=H$1),('Diário 1º PA'!$F$4:$F$2635))+SUMPRODUCT(-('Diário 2º PA'!$E$4:$E$3040='Analítico Cx.'!$B161),-('Diário 2º PA'!$P$4:$P$3040=H$1),('Diário 2º PA'!$F$4:$F$3040))+SUMPRODUCT(-('Diário 3º PA'!$E$4:$E$2731='Analítico Cx.'!$B161),-('Diário 3º PA'!$P$4:$P$2731=H$1),('Diário 3º PA'!$F$4:$F$2731))+SUMPRODUCT(-('Diário 4º PA'!$E$4:$E$2564='Analítico Cx.'!$B161),-('Diário 4º PA'!$P$4:$P$2564=H$1),('Diário 4º PA'!$F$4:$F$2564))</f>
        <v>0</v>
      </c>
      <c r="I161" s="183">
        <f>SUMPRODUCT(-('Diário 1º PA'!$E$4:$E$2635='Analítico Cx.'!$B161),-('Diário 1º PA'!$P$4:$P$2635=I$1),('Diário 1º PA'!$F$4:$F$2635))+SUMPRODUCT(-('Diário 2º PA'!$E$4:$E$3040='Analítico Cx.'!$B161),-('Diário 2º PA'!$P$4:$P$3040=I$1),('Diário 2º PA'!$F$4:$F$3040))+SUMPRODUCT(-('Diário 3º PA'!$E$4:$E$2731='Analítico Cx.'!$B161),-('Diário 3º PA'!$P$4:$P$2731=I$1),('Diário 3º PA'!$F$4:$F$2731))+SUMPRODUCT(-('Diário 4º PA'!$E$4:$E$2564='Analítico Cx.'!$B161),-('Diário 4º PA'!$P$4:$P$2564=I$1),('Diário 4º PA'!$F$4:$F$2564))</f>
        <v>0</v>
      </c>
      <c r="J161" s="183">
        <f>SUMPRODUCT(-('Diário 1º PA'!$E$4:$E$2635='Analítico Cx.'!$B161),-('Diário 1º PA'!$P$4:$P$2635=J$1),('Diário 1º PA'!$F$4:$F$2635))+SUMPRODUCT(-('Diário 2º PA'!$E$4:$E$3040='Analítico Cx.'!$B161),-('Diário 2º PA'!$P$4:$P$3040=J$1),('Diário 2º PA'!$F$4:$F$3040))+SUMPRODUCT(-('Diário 3º PA'!$E$4:$E$2731='Analítico Cx.'!$B161),-('Diário 3º PA'!$P$4:$P$2731=J$1),('Diário 3º PA'!$F$4:$F$2731))+SUMPRODUCT(-('Diário 4º PA'!$E$4:$E$2564='Analítico Cx.'!$B161),-('Diário 4º PA'!$P$4:$P$2564=J$1),('Diário 4º PA'!$F$4:$F$2564))</f>
        <v>0</v>
      </c>
      <c r="K161" s="183">
        <f>SUMPRODUCT(-('Diário 1º PA'!$E$4:$E$2635='Analítico Cx.'!$B161),-('Diário 1º PA'!$P$4:$P$2635=K$1),('Diário 1º PA'!$F$4:$F$2635))+SUMPRODUCT(-('Diário 2º PA'!$E$4:$E$3040='Analítico Cx.'!$B161),-('Diário 2º PA'!$P$4:$P$3040=K$1),('Diário 2º PA'!$F$4:$F$3040))+SUMPRODUCT(-('Diário 3º PA'!$E$4:$E$2731='Analítico Cx.'!$B161),-('Diário 3º PA'!$P$4:$P$2731=K$1),('Diário 3º PA'!$F$4:$F$2731))+SUMPRODUCT(-('Diário 4º PA'!$E$4:$E$2564='Analítico Cx.'!$B161),-('Diário 4º PA'!$P$4:$P$2564=K$1),('Diário 4º PA'!$F$4:$F$2564))</f>
        <v>0</v>
      </c>
      <c r="L161" s="183">
        <f>SUMPRODUCT(-('Diário 1º PA'!$E$4:$E$2635='Analítico Cx.'!$B161),-('Diário 1º PA'!$P$4:$P$2635=L$1),('Diário 1º PA'!$F$4:$F$2635))+SUMPRODUCT(-('Diário 2º PA'!$E$4:$E$3040='Analítico Cx.'!$B161),-('Diário 2º PA'!$P$4:$P$3040=L$1),('Diário 2º PA'!$F$4:$F$3040))+SUMPRODUCT(-('Diário 3º PA'!$E$4:$E$2731='Analítico Cx.'!$B161),-('Diário 3º PA'!$P$4:$P$2731=L$1),('Diário 3º PA'!$F$4:$F$2731))+SUMPRODUCT(-('Diário 4º PA'!$E$4:$E$2564='Analítico Cx.'!$B161),-('Diário 4º PA'!$P$4:$P$2564=L$1),('Diário 4º PA'!$F$4:$F$2564))</f>
        <v>0</v>
      </c>
      <c r="M161" s="183">
        <f>SUMPRODUCT(-('Diário 1º PA'!$E$4:$E$2635='Analítico Cx.'!$B161),-('Diário 1º PA'!$P$4:$P$2635=M$1),('Diário 1º PA'!$F$4:$F$2635))+SUMPRODUCT(-('Diário 2º PA'!$E$4:$E$3040='Analítico Cx.'!$B161),-('Diário 2º PA'!$P$4:$P$3040=M$1),('Diário 2º PA'!$F$4:$F$3040))+SUMPRODUCT(-('Diário 3º PA'!$E$4:$E$2731='Analítico Cx.'!$B161),-('Diário 3º PA'!$P$4:$P$2731=M$1),('Diário 3º PA'!$F$4:$F$2731))+SUMPRODUCT(-('Diário 4º PA'!$E$4:$E$2564='Analítico Cx.'!$B161),-('Diário 4º PA'!$P$4:$P$2564=M$1),('Diário 4º PA'!$F$4:$F$2564))</f>
        <v>0</v>
      </c>
      <c r="N161" s="183">
        <f>SUMPRODUCT(-('Diário 1º PA'!$E$4:$E$2635='Analítico Cx.'!$B161),-('Diário 1º PA'!$P$4:$P$2635=N$1),('Diário 1º PA'!$F$4:$F$2635))+SUMPRODUCT(-('Diário 2º PA'!$E$4:$E$3040='Analítico Cx.'!$B161),-('Diário 2º PA'!$P$4:$P$3040=N$1),('Diário 2º PA'!$F$4:$F$3040))+SUMPRODUCT(-('Diário 3º PA'!$E$4:$E$2731='Analítico Cx.'!$B161),-('Diário 3º PA'!$P$4:$P$2731=N$1),('Diário 3º PA'!$F$4:$F$2731))+SUMPRODUCT(-('Diário 4º PA'!$E$4:$E$2564='Analítico Cx.'!$B161),-('Diário 4º PA'!$P$4:$P$2564=N$1),('Diário 4º PA'!$F$4:$F$2564))</f>
        <v>0</v>
      </c>
      <c r="O161" s="184">
        <f t="shared" si="22"/>
        <v>0</v>
      </c>
      <c r="P161" s="167">
        <f t="shared" si="21"/>
        <v>0</v>
      </c>
    </row>
    <row r="162" spans="1:16" ht="23.25" customHeight="1" x14ac:dyDescent="0.2">
      <c r="A162" s="61" t="s">
        <v>142</v>
      </c>
      <c r="B162" s="59" t="s">
        <v>232</v>
      </c>
      <c r="C162" s="183">
        <f>SUMPRODUCT(-('Diário 1º PA'!$E$4:$E$2635='Analítico Cx.'!$B162),-('Diário 1º PA'!$P$4:$P$2635=C$1),('Diário 1º PA'!$F$4:$F$2635))+SUMPRODUCT(-('Diário 2º PA'!$E$4:$E$3040='Analítico Cx.'!$B162),-('Diário 2º PA'!$P$4:$P$3040=C$1),('Diário 2º PA'!$F$4:$F$3040))+SUMPRODUCT(-('Diário 3º PA'!$E$4:$E$2731='Analítico Cx.'!$B162),-('Diário 3º PA'!$P$4:$P$2731=C$1),('Diário 3º PA'!$F$4:$F$2731))+SUMPRODUCT(-('Diário 4º PA'!$E$4:$E$2564='Analítico Cx.'!$B162),-('Diário 4º PA'!$P$4:$P$2564=C$1),('Diário 4º PA'!$F$4:$F$2564))</f>
        <v>0</v>
      </c>
      <c r="D162" s="183">
        <f>SUMPRODUCT(-('Diário 1º PA'!$E$4:$E$2635='Analítico Cx.'!$B162),-('Diário 1º PA'!$P$4:$P$2635=D$1),('Diário 1º PA'!$F$4:$F$2635))+SUMPRODUCT(-('Diário 2º PA'!$E$4:$E$3040='Analítico Cx.'!$B162),-('Diário 2º PA'!$P$4:$P$3040=D$1),('Diário 2º PA'!$F$4:$F$3040))+SUMPRODUCT(-('Diário 3º PA'!$E$4:$E$2731='Analítico Cx.'!$B162),-('Diário 3º PA'!$P$4:$P$2731=D$1),('Diário 3º PA'!$F$4:$F$2731))+SUMPRODUCT(-('Diário 4º PA'!$E$4:$E$2564='Analítico Cx.'!$B162),-('Diário 4º PA'!$P$4:$P$2564=D$1),('Diário 4º PA'!$F$4:$F$2564))</f>
        <v>0</v>
      </c>
      <c r="E162" s="183">
        <f>SUMPRODUCT(-('Diário 1º PA'!$E$4:$E$2635='Analítico Cx.'!$B162),-('Diário 1º PA'!$P$4:$P$2635=E$1),('Diário 1º PA'!$F$4:$F$2635))+SUMPRODUCT(-('Diário 2º PA'!$E$4:$E$3040='Analítico Cx.'!$B162),-('Diário 2º PA'!$P$4:$P$3040=E$1),('Diário 2º PA'!$F$4:$F$3040))+SUMPRODUCT(-('Diário 3º PA'!$E$4:$E$2731='Analítico Cx.'!$B162),-('Diário 3º PA'!$P$4:$P$2731=E$1),('Diário 3º PA'!$F$4:$F$2731))+SUMPRODUCT(-('Diário 4º PA'!$E$4:$E$2564='Analítico Cx.'!$B162),-('Diário 4º PA'!$P$4:$P$2564=E$1),('Diário 4º PA'!$F$4:$F$2564))</f>
        <v>0</v>
      </c>
      <c r="F162" s="183">
        <f>SUMPRODUCT(-('Diário 1º PA'!$E$4:$E$2635='Analítico Cx.'!$B162),-('Diário 1º PA'!$P$4:$P$2635=F$1),('Diário 1º PA'!$F$4:$F$2635))+SUMPRODUCT(-('Diário 2º PA'!$E$4:$E$3040='Analítico Cx.'!$B162),-('Diário 2º PA'!$P$4:$P$3040=F$1),('Diário 2º PA'!$F$4:$F$3040))+SUMPRODUCT(-('Diário 3º PA'!$E$4:$E$2731='Analítico Cx.'!$B162),-('Diário 3º PA'!$P$4:$P$2731=F$1),('Diário 3º PA'!$F$4:$F$2731))+SUMPRODUCT(-('Diário 4º PA'!$E$4:$E$2564='Analítico Cx.'!$B162),-('Diário 4º PA'!$P$4:$P$2564=F$1),('Diário 4º PA'!$F$4:$F$2564))</f>
        <v>0</v>
      </c>
      <c r="G162" s="183">
        <f>SUMPRODUCT(-('Diário 1º PA'!$E$4:$E$2635='Analítico Cx.'!$B162),-('Diário 1º PA'!$P$4:$P$2635=G$1),('Diário 1º PA'!$F$4:$F$2635))+SUMPRODUCT(-('Diário 2º PA'!$E$4:$E$3040='Analítico Cx.'!$B162),-('Diário 2º PA'!$P$4:$P$3040=G$1),('Diário 2º PA'!$F$4:$F$3040))+SUMPRODUCT(-('Diário 3º PA'!$E$4:$E$2731='Analítico Cx.'!$B162),-('Diário 3º PA'!$P$4:$P$2731=G$1),('Diário 3º PA'!$F$4:$F$2731))+SUMPRODUCT(-('Diário 4º PA'!$E$4:$E$2564='Analítico Cx.'!$B162),-('Diário 4º PA'!$P$4:$P$2564=G$1),('Diário 4º PA'!$F$4:$F$2564))</f>
        <v>0</v>
      </c>
      <c r="H162" s="183">
        <f>SUMPRODUCT(-('Diário 1º PA'!$E$4:$E$2635='Analítico Cx.'!$B162),-('Diário 1º PA'!$P$4:$P$2635=H$1),('Diário 1º PA'!$F$4:$F$2635))+SUMPRODUCT(-('Diário 2º PA'!$E$4:$E$3040='Analítico Cx.'!$B162),-('Diário 2º PA'!$P$4:$P$3040=H$1),('Diário 2º PA'!$F$4:$F$3040))+SUMPRODUCT(-('Diário 3º PA'!$E$4:$E$2731='Analítico Cx.'!$B162),-('Diário 3º PA'!$P$4:$P$2731=H$1),('Diário 3º PA'!$F$4:$F$2731))+SUMPRODUCT(-('Diário 4º PA'!$E$4:$E$2564='Analítico Cx.'!$B162),-('Diário 4º PA'!$P$4:$P$2564=H$1),('Diário 4º PA'!$F$4:$F$2564))</f>
        <v>0</v>
      </c>
      <c r="I162" s="183">
        <f>SUMPRODUCT(-('Diário 1º PA'!$E$4:$E$2635='Analítico Cx.'!$B162),-('Diário 1º PA'!$P$4:$P$2635=I$1),('Diário 1º PA'!$F$4:$F$2635))+SUMPRODUCT(-('Diário 2º PA'!$E$4:$E$3040='Analítico Cx.'!$B162),-('Diário 2º PA'!$P$4:$P$3040=I$1),('Diário 2º PA'!$F$4:$F$3040))+SUMPRODUCT(-('Diário 3º PA'!$E$4:$E$2731='Analítico Cx.'!$B162),-('Diário 3º PA'!$P$4:$P$2731=I$1),('Diário 3º PA'!$F$4:$F$2731))+SUMPRODUCT(-('Diário 4º PA'!$E$4:$E$2564='Analítico Cx.'!$B162),-('Diário 4º PA'!$P$4:$P$2564=I$1),('Diário 4º PA'!$F$4:$F$2564))</f>
        <v>0</v>
      </c>
      <c r="J162" s="183">
        <f>SUMPRODUCT(-('Diário 1º PA'!$E$4:$E$2635='Analítico Cx.'!$B162),-('Diário 1º PA'!$P$4:$P$2635=J$1),('Diário 1º PA'!$F$4:$F$2635))+SUMPRODUCT(-('Diário 2º PA'!$E$4:$E$3040='Analítico Cx.'!$B162),-('Diário 2º PA'!$P$4:$P$3040=J$1),('Diário 2º PA'!$F$4:$F$3040))+SUMPRODUCT(-('Diário 3º PA'!$E$4:$E$2731='Analítico Cx.'!$B162),-('Diário 3º PA'!$P$4:$P$2731=J$1),('Diário 3º PA'!$F$4:$F$2731))+SUMPRODUCT(-('Diário 4º PA'!$E$4:$E$2564='Analítico Cx.'!$B162),-('Diário 4º PA'!$P$4:$P$2564=J$1),('Diário 4º PA'!$F$4:$F$2564))</f>
        <v>0</v>
      </c>
      <c r="K162" s="183">
        <f>SUMPRODUCT(-('Diário 1º PA'!$E$4:$E$2635='Analítico Cx.'!$B162),-('Diário 1º PA'!$P$4:$P$2635=K$1),('Diário 1º PA'!$F$4:$F$2635))+SUMPRODUCT(-('Diário 2º PA'!$E$4:$E$3040='Analítico Cx.'!$B162),-('Diário 2º PA'!$P$4:$P$3040=K$1),('Diário 2º PA'!$F$4:$F$3040))+SUMPRODUCT(-('Diário 3º PA'!$E$4:$E$2731='Analítico Cx.'!$B162),-('Diário 3º PA'!$P$4:$P$2731=K$1),('Diário 3º PA'!$F$4:$F$2731))+SUMPRODUCT(-('Diário 4º PA'!$E$4:$E$2564='Analítico Cx.'!$B162),-('Diário 4º PA'!$P$4:$P$2564=K$1),('Diário 4º PA'!$F$4:$F$2564))</f>
        <v>0</v>
      </c>
      <c r="L162" s="183">
        <f>SUMPRODUCT(-('Diário 1º PA'!$E$4:$E$2635='Analítico Cx.'!$B162),-('Diário 1º PA'!$P$4:$P$2635=L$1),('Diário 1º PA'!$F$4:$F$2635))+SUMPRODUCT(-('Diário 2º PA'!$E$4:$E$3040='Analítico Cx.'!$B162),-('Diário 2º PA'!$P$4:$P$3040=L$1),('Diário 2º PA'!$F$4:$F$3040))+SUMPRODUCT(-('Diário 3º PA'!$E$4:$E$2731='Analítico Cx.'!$B162),-('Diário 3º PA'!$P$4:$P$2731=L$1),('Diário 3º PA'!$F$4:$F$2731))+SUMPRODUCT(-('Diário 4º PA'!$E$4:$E$2564='Analítico Cx.'!$B162),-('Diário 4º PA'!$P$4:$P$2564=L$1),('Diário 4º PA'!$F$4:$F$2564))</f>
        <v>0</v>
      </c>
      <c r="M162" s="183">
        <f>SUMPRODUCT(-('Diário 1º PA'!$E$4:$E$2635='Analítico Cx.'!$B162),-('Diário 1º PA'!$P$4:$P$2635=M$1),('Diário 1º PA'!$F$4:$F$2635))+SUMPRODUCT(-('Diário 2º PA'!$E$4:$E$3040='Analítico Cx.'!$B162),-('Diário 2º PA'!$P$4:$P$3040=M$1),('Diário 2º PA'!$F$4:$F$3040))+SUMPRODUCT(-('Diário 3º PA'!$E$4:$E$2731='Analítico Cx.'!$B162),-('Diário 3º PA'!$P$4:$P$2731=M$1),('Diário 3º PA'!$F$4:$F$2731))+SUMPRODUCT(-('Diário 4º PA'!$E$4:$E$2564='Analítico Cx.'!$B162),-('Diário 4º PA'!$P$4:$P$2564=M$1),('Diário 4º PA'!$F$4:$F$2564))</f>
        <v>0</v>
      </c>
      <c r="N162" s="183">
        <f>SUMPRODUCT(-('Diário 1º PA'!$E$4:$E$2635='Analítico Cx.'!$B162),-('Diário 1º PA'!$P$4:$P$2635=N$1),('Diário 1º PA'!$F$4:$F$2635))+SUMPRODUCT(-('Diário 2º PA'!$E$4:$E$3040='Analítico Cx.'!$B162),-('Diário 2º PA'!$P$4:$P$3040=N$1),('Diário 2º PA'!$F$4:$F$3040))+SUMPRODUCT(-('Diário 3º PA'!$E$4:$E$2731='Analítico Cx.'!$B162),-('Diário 3º PA'!$P$4:$P$2731=N$1),('Diário 3º PA'!$F$4:$F$2731))+SUMPRODUCT(-('Diário 4º PA'!$E$4:$E$2564='Analítico Cx.'!$B162),-('Diário 4º PA'!$P$4:$P$2564=N$1),('Diário 4º PA'!$F$4:$F$2564))</f>
        <v>0</v>
      </c>
      <c r="O162" s="184">
        <f t="shared" si="22"/>
        <v>0</v>
      </c>
      <c r="P162" s="167">
        <f t="shared" si="21"/>
        <v>0</v>
      </c>
    </row>
    <row r="163" spans="1:16" ht="23.25" customHeight="1" x14ac:dyDescent="0.2">
      <c r="A163" s="61" t="s">
        <v>143</v>
      </c>
      <c r="B163" s="59" t="s">
        <v>235</v>
      </c>
      <c r="C163" s="183">
        <f>SUMPRODUCT(-('Diário 1º PA'!$E$4:$E$2635='Analítico Cx.'!$B163),-('Diário 1º PA'!$P$4:$P$2635=C$1),('Diário 1º PA'!$F$4:$F$2635))+SUMPRODUCT(-('Diário 2º PA'!$E$4:$E$3040='Analítico Cx.'!$B163),-('Diário 2º PA'!$P$4:$P$3040=C$1),('Diário 2º PA'!$F$4:$F$3040))+SUMPRODUCT(-('Diário 3º PA'!$E$4:$E$2731='Analítico Cx.'!$B163),-('Diário 3º PA'!$P$4:$P$2731=C$1),('Diário 3º PA'!$F$4:$F$2731))+SUMPRODUCT(-('Diário 4º PA'!$E$4:$E$2564='Analítico Cx.'!$B163),-('Diário 4º PA'!$P$4:$P$2564=C$1),('Diário 4º PA'!$F$4:$F$2564))</f>
        <v>0</v>
      </c>
      <c r="D163" s="183">
        <f>SUMPRODUCT(-('Diário 1º PA'!$E$4:$E$2635='Analítico Cx.'!$B163),-('Diário 1º PA'!$P$4:$P$2635=D$1),('Diário 1º PA'!$F$4:$F$2635))+SUMPRODUCT(-('Diário 2º PA'!$E$4:$E$3040='Analítico Cx.'!$B163),-('Diário 2º PA'!$P$4:$P$3040=D$1),('Diário 2º PA'!$F$4:$F$3040))+SUMPRODUCT(-('Diário 3º PA'!$E$4:$E$2731='Analítico Cx.'!$B163),-('Diário 3º PA'!$P$4:$P$2731=D$1),('Diário 3º PA'!$F$4:$F$2731))+SUMPRODUCT(-('Diário 4º PA'!$E$4:$E$2564='Analítico Cx.'!$B163),-('Diário 4º PA'!$P$4:$P$2564=D$1),('Diário 4º PA'!$F$4:$F$2564))</f>
        <v>0</v>
      </c>
      <c r="E163" s="183">
        <f>SUMPRODUCT(-('Diário 1º PA'!$E$4:$E$2635='Analítico Cx.'!$B163),-('Diário 1º PA'!$P$4:$P$2635=E$1),('Diário 1º PA'!$F$4:$F$2635))+SUMPRODUCT(-('Diário 2º PA'!$E$4:$E$3040='Analítico Cx.'!$B163),-('Diário 2º PA'!$P$4:$P$3040=E$1),('Diário 2º PA'!$F$4:$F$3040))+SUMPRODUCT(-('Diário 3º PA'!$E$4:$E$2731='Analítico Cx.'!$B163),-('Diário 3º PA'!$P$4:$P$2731=E$1),('Diário 3º PA'!$F$4:$F$2731))+SUMPRODUCT(-('Diário 4º PA'!$E$4:$E$2564='Analítico Cx.'!$B163),-('Diário 4º PA'!$P$4:$P$2564=E$1),('Diário 4º PA'!$F$4:$F$2564))</f>
        <v>0</v>
      </c>
      <c r="F163" s="183">
        <f>SUMPRODUCT(-('Diário 1º PA'!$E$4:$E$2635='Analítico Cx.'!$B163),-('Diário 1º PA'!$P$4:$P$2635=F$1),('Diário 1º PA'!$F$4:$F$2635))+SUMPRODUCT(-('Diário 2º PA'!$E$4:$E$3040='Analítico Cx.'!$B163),-('Diário 2º PA'!$P$4:$P$3040=F$1),('Diário 2º PA'!$F$4:$F$3040))+SUMPRODUCT(-('Diário 3º PA'!$E$4:$E$2731='Analítico Cx.'!$B163),-('Diário 3º PA'!$P$4:$P$2731=F$1),('Diário 3º PA'!$F$4:$F$2731))+SUMPRODUCT(-('Diário 4º PA'!$E$4:$E$2564='Analítico Cx.'!$B163),-('Diário 4º PA'!$P$4:$P$2564=F$1),('Diário 4º PA'!$F$4:$F$2564))</f>
        <v>0</v>
      </c>
      <c r="G163" s="183">
        <f>SUMPRODUCT(-('Diário 1º PA'!$E$4:$E$2635='Analítico Cx.'!$B163),-('Diário 1º PA'!$P$4:$P$2635=G$1),('Diário 1º PA'!$F$4:$F$2635))+SUMPRODUCT(-('Diário 2º PA'!$E$4:$E$3040='Analítico Cx.'!$B163),-('Diário 2º PA'!$P$4:$P$3040=G$1),('Diário 2º PA'!$F$4:$F$3040))+SUMPRODUCT(-('Diário 3º PA'!$E$4:$E$2731='Analítico Cx.'!$B163),-('Diário 3º PA'!$P$4:$P$2731=G$1),('Diário 3º PA'!$F$4:$F$2731))+SUMPRODUCT(-('Diário 4º PA'!$E$4:$E$2564='Analítico Cx.'!$B163),-('Diário 4º PA'!$P$4:$P$2564=G$1),('Diário 4º PA'!$F$4:$F$2564))</f>
        <v>0</v>
      </c>
      <c r="H163" s="183">
        <f>SUMPRODUCT(-('Diário 1º PA'!$E$4:$E$2635='Analítico Cx.'!$B163),-('Diário 1º PA'!$P$4:$P$2635=H$1),('Diário 1º PA'!$F$4:$F$2635))+SUMPRODUCT(-('Diário 2º PA'!$E$4:$E$3040='Analítico Cx.'!$B163),-('Diário 2º PA'!$P$4:$P$3040=H$1),('Diário 2º PA'!$F$4:$F$3040))+SUMPRODUCT(-('Diário 3º PA'!$E$4:$E$2731='Analítico Cx.'!$B163),-('Diário 3º PA'!$P$4:$P$2731=H$1),('Diário 3º PA'!$F$4:$F$2731))+SUMPRODUCT(-('Diário 4º PA'!$E$4:$E$2564='Analítico Cx.'!$B163),-('Diário 4º PA'!$P$4:$P$2564=H$1),('Diário 4º PA'!$F$4:$F$2564))</f>
        <v>0</v>
      </c>
      <c r="I163" s="183">
        <f>SUMPRODUCT(-('Diário 1º PA'!$E$4:$E$2635='Analítico Cx.'!$B163),-('Diário 1º PA'!$P$4:$P$2635=I$1),('Diário 1º PA'!$F$4:$F$2635))+SUMPRODUCT(-('Diário 2º PA'!$E$4:$E$3040='Analítico Cx.'!$B163),-('Diário 2º PA'!$P$4:$P$3040=I$1),('Diário 2º PA'!$F$4:$F$3040))+SUMPRODUCT(-('Diário 3º PA'!$E$4:$E$2731='Analítico Cx.'!$B163),-('Diário 3º PA'!$P$4:$P$2731=I$1),('Diário 3º PA'!$F$4:$F$2731))+SUMPRODUCT(-('Diário 4º PA'!$E$4:$E$2564='Analítico Cx.'!$B163),-('Diário 4º PA'!$P$4:$P$2564=I$1),('Diário 4º PA'!$F$4:$F$2564))</f>
        <v>932.14</v>
      </c>
      <c r="J163" s="183">
        <f>SUMPRODUCT(-('Diário 1º PA'!$E$4:$E$2635='Analítico Cx.'!$B163),-('Diário 1º PA'!$P$4:$P$2635=J$1),('Diário 1º PA'!$F$4:$F$2635))+SUMPRODUCT(-('Diário 2º PA'!$E$4:$E$3040='Analítico Cx.'!$B163),-('Diário 2º PA'!$P$4:$P$3040=J$1),('Diário 2º PA'!$F$4:$F$3040))+SUMPRODUCT(-('Diário 3º PA'!$E$4:$E$2731='Analítico Cx.'!$B163),-('Diário 3º PA'!$P$4:$P$2731=J$1),('Diário 3º PA'!$F$4:$F$2731))+SUMPRODUCT(-('Diário 4º PA'!$E$4:$E$2564='Analítico Cx.'!$B163),-('Diário 4º PA'!$P$4:$P$2564=J$1),('Diário 4º PA'!$F$4:$F$2564))</f>
        <v>-456.16</v>
      </c>
      <c r="K163" s="183">
        <f>SUMPRODUCT(-('Diário 1º PA'!$E$4:$E$2635='Analítico Cx.'!$B163),-('Diário 1º PA'!$P$4:$P$2635=K$1),('Diário 1º PA'!$F$4:$F$2635))+SUMPRODUCT(-('Diário 2º PA'!$E$4:$E$3040='Analítico Cx.'!$B163),-('Diário 2º PA'!$P$4:$P$3040=K$1),('Diário 2º PA'!$F$4:$F$3040))+SUMPRODUCT(-('Diário 3º PA'!$E$4:$E$2731='Analítico Cx.'!$B163),-('Diário 3º PA'!$P$4:$P$2731=K$1),('Diário 3º PA'!$F$4:$F$2731))+SUMPRODUCT(-('Diário 4º PA'!$E$4:$E$2564='Analítico Cx.'!$B163),-('Diário 4º PA'!$P$4:$P$2564=K$1),('Diário 4º PA'!$F$4:$F$2564))</f>
        <v>566.24</v>
      </c>
      <c r="L163" s="183">
        <f>SUMPRODUCT(-('Diário 1º PA'!$E$4:$E$2635='Analítico Cx.'!$B163),-('Diário 1º PA'!$P$4:$P$2635=L$1),('Diário 1º PA'!$F$4:$F$2635))+SUMPRODUCT(-('Diário 2º PA'!$E$4:$E$3040='Analítico Cx.'!$B163),-('Diário 2º PA'!$P$4:$P$3040=L$1),('Diário 2º PA'!$F$4:$F$3040))+SUMPRODUCT(-('Diário 3º PA'!$E$4:$E$2731='Analítico Cx.'!$B163),-('Diário 3º PA'!$P$4:$P$2731=L$1),('Diário 3º PA'!$F$4:$F$2731))+SUMPRODUCT(-('Diário 4º PA'!$E$4:$E$2564='Analítico Cx.'!$B163),-('Diário 4º PA'!$P$4:$P$2564=L$1),('Diário 4º PA'!$F$4:$F$2564))</f>
        <v>0</v>
      </c>
      <c r="M163" s="183">
        <f>SUMPRODUCT(-('Diário 1º PA'!$E$4:$E$2635='Analítico Cx.'!$B163),-('Diário 1º PA'!$P$4:$P$2635=M$1),('Diário 1º PA'!$F$4:$F$2635))+SUMPRODUCT(-('Diário 2º PA'!$E$4:$E$3040='Analítico Cx.'!$B163),-('Diário 2º PA'!$P$4:$P$3040=M$1),('Diário 2º PA'!$F$4:$F$3040))+SUMPRODUCT(-('Diário 3º PA'!$E$4:$E$2731='Analítico Cx.'!$B163),-('Diário 3º PA'!$P$4:$P$2731=M$1),('Diário 3º PA'!$F$4:$F$2731))+SUMPRODUCT(-('Diário 4º PA'!$E$4:$E$2564='Analítico Cx.'!$B163),-('Diário 4º PA'!$P$4:$P$2564=M$1),('Diário 4º PA'!$F$4:$F$2564))</f>
        <v>0</v>
      </c>
      <c r="N163" s="183">
        <f>SUMPRODUCT(-('Diário 1º PA'!$E$4:$E$2635='Analítico Cx.'!$B163),-('Diário 1º PA'!$P$4:$P$2635=N$1),('Diário 1º PA'!$F$4:$F$2635))+SUMPRODUCT(-('Diário 2º PA'!$E$4:$E$3040='Analítico Cx.'!$B163),-('Diário 2º PA'!$P$4:$P$3040=N$1),('Diário 2º PA'!$F$4:$F$3040))+SUMPRODUCT(-('Diário 3º PA'!$E$4:$E$2731='Analítico Cx.'!$B163),-('Diário 3º PA'!$P$4:$P$2731=N$1),('Diário 3º PA'!$F$4:$F$2731))+SUMPRODUCT(-('Diário 4º PA'!$E$4:$E$2564='Analítico Cx.'!$B163),-('Diário 4º PA'!$P$4:$P$2564=N$1),('Diário 4º PA'!$F$4:$F$2564))</f>
        <v>0</v>
      </c>
      <c r="O163" s="184">
        <f t="shared" si="22"/>
        <v>1042.22</v>
      </c>
      <c r="P163" s="167">
        <f t="shared" si="21"/>
        <v>8.2090505007826838E-5</v>
      </c>
    </row>
    <row r="164" spans="1:16" ht="23.25" customHeight="1" thickBot="1" x14ac:dyDescent="0.25">
      <c r="A164" s="25"/>
      <c r="B164" s="26" t="s">
        <v>46</v>
      </c>
      <c r="C164" s="190">
        <f t="shared" ref="C164:O164" si="23">SUBTOTAL(109,C151:C163)</f>
        <v>0</v>
      </c>
      <c r="D164" s="190">
        <f t="shared" si="23"/>
        <v>0</v>
      </c>
      <c r="E164" s="190">
        <f t="shared" si="23"/>
        <v>0</v>
      </c>
      <c r="F164" s="190">
        <f t="shared" si="23"/>
        <v>0</v>
      </c>
      <c r="G164" s="190">
        <f t="shared" si="23"/>
        <v>0</v>
      </c>
      <c r="H164" s="190">
        <f t="shared" si="23"/>
        <v>0</v>
      </c>
      <c r="I164" s="190">
        <f t="shared" ref="I164:N164" si="24">SUBTOTAL(109,I151:I163)</f>
        <v>1606.23</v>
      </c>
      <c r="J164" s="190">
        <f t="shared" si="24"/>
        <v>-456.16</v>
      </c>
      <c r="K164" s="190">
        <f t="shared" si="24"/>
        <v>566.24</v>
      </c>
      <c r="L164" s="190">
        <f t="shared" si="24"/>
        <v>0</v>
      </c>
      <c r="M164" s="190">
        <f t="shared" si="24"/>
        <v>0</v>
      </c>
      <c r="N164" s="190">
        <f t="shared" si="24"/>
        <v>0</v>
      </c>
      <c r="O164" s="190">
        <f t="shared" si="23"/>
        <v>1716.31</v>
      </c>
      <c r="P164" s="174">
        <f t="shared" si="21"/>
        <v>1.351852340676472E-4</v>
      </c>
    </row>
    <row r="165" spans="1:16" ht="23.25" customHeight="1" thickBot="1" x14ac:dyDescent="0.25">
      <c r="A165" s="32" t="s">
        <v>318</v>
      </c>
      <c r="B165" s="21" t="s">
        <v>315</v>
      </c>
      <c r="C165" s="183">
        <f>SUMPRODUCT(-('Diário 1º PA'!$E$4:$E$2635='Analítico Cx.'!$B165),-('Diário 1º PA'!$P$4:$P$2635=C$1),('Diário 1º PA'!$F$4:$F$2635))+SUMPRODUCT(-('Diário 2º PA'!$E$4:$E$3040='Analítico Cx.'!$B165),-('Diário 2º PA'!$P$4:$P$3040=C$1),('Diário 2º PA'!$F$4:$F$3040))+SUMPRODUCT(-('Diário 3º PA'!$E$4:$E$2731='Analítico Cx.'!$B165),-('Diário 3º PA'!$P$4:$P$2731=C$1),('Diário 3º PA'!$F$4:$F$2731))+SUMPRODUCT(-('Diário 4º PA'!$E$4:$E$2564='Analítico Cx.'!$B165),-('Diário 4º PA'!$P$4:$P$2564=C$1),('Diário 4º PA'!$F$4:$F$2564))</f>
        <v>9479.66</v>
      </c>
      <c r="D165" s="183">
        <f>SUMPRODUCT(-('Diário 1º PA'!$E$4:$E$2635='Analítico Cx.'!$B165),-('Diário 1º PA'!$P$4:$P$2635=D$1),('Diário 1º PA'!$F$4:$F$2635))+SUMPRODUCT(-('Diário 2º PA'!$E$4:$E$3040='Analítico Cx.'!$B165),-('Diário 2º PA'!$P$4:$P$3040=D$1),('Diário 2º PA'!$F$4:$F$3040))+SUMPRODUCT(-('Diário 3º PA'!$E$4:$E$2731='Analítico Cx.'!$B165),-('Diário 3º PA'!$P$4:$P$2731=D$1),('Diário 3º PA'!$F$4:$F$2731))+SUMPRODUCT(-('Diário 4º PA'!$E$4:$E$2564='Analítico Cx.'!$B165),-('Diário 4º PA'!$P$4:$P$2564=D$1),('Diário 4º PA'!$F$4:$F$2564))</f>
        <v>0</v>
      </c>
      <c r="E165" s="183">
        <f>SUMPRODUCT(-('Diário 1º PA'!$E$4:$E$2635='Analítico Cx.'!$B165),-('Diário 1º PA'!$P$4:$P$2635=E$1),('Diário 1º PA'!$F$4:$F$2635))+SUMPRODUCT(-('Diário 2º PA'!$E$4:$E$3040='Analítico Cx.'!$B165),-('Diário 2º PA'!$P$4:$P$3040=E$1),('Diário 2º PA'!$F$4:$F$3040))+SUMPRODUCT(-('Diário 3º PA'!$E$4:$E$2731='Analítico Cx.'!$B165),-('Diário 3º PA'!$P$4:$P$2731=E$1),('Diário 3º PA'!$F$4:$F$2731))+SUMPRODUCT(-('Diário 4º PA'!$E$4:$E$2564='Analítico Cx.'!$B165),-('Diário 4º PA'!$P$4:$P$2564=E$1),('Diário 4º PA'!$F$4:$F$2564))</f>
        <v>10121.19</v>
      </c>
      <c r="F165" s="183">
        <f>SUMPRODUCT(-('Diário 1º PA'!$E$4:$E$2635='Analítico Cx.'!$B165),-('Diário 1º PA'!$P$4:$P$2635=F$1),('Diário 1º PA'!$F$4:$F$2635))+SUMPRODUCT(-('Diário 2º PA'!$E$4:$E$3040='Analítico Cx.'!$B165),-('Diário 2º PA'!$P$4:$P$3040=F$1),('Diário 2º PA'!$F$4:$F$3040))+SUMPRODUCT(-('Diário 3º PA'!$E$4:$E$2731='Analítico Cx.'!$B165),-('Diário 3º PA'!$P$4:$P$2731=F$1),('Diário 3º PA'!$F$4:$F$2731))+SUMPRODUCT(-('Diário 4º PA'!$E$4:$E$2564='Analítico Cx.'!$B165),-('Diário 4º PA'!$P$4:$P$2564=F$1),('Diário 4º PA'!$F$4:$F$2564))</f>
        <v>10906.71</v>
      </c>
      <c r="G165" s="183">
        <f>SUMPRODUCT(-('Diário 1º PA'!$E$4:$E$2635='Analítico Cx.'!$B165),-('Diário 1º PA'!$P$4:$P$2635=G$1),('Diário 1º PA'!$F$4:$F$2635))+SUMPRODUCT(-('Diário 2º PA'!$E$4:$E$3040='Analítico Cx.'!$B165),-('Diário 2º PA'!$P$4:$P$3040=G$1),('Diário 2º PA'!$F$4:$F$3040))+SUMPRODUCT(-('Diário 3º PA'!$E$4:$E$2731='Analítico Cx.'!$B165),-('Diário 3º PA'!$P$4:$P$2731=G$1),('Diário 3º PA'!$F$4:$F$2731))+SUMPRODUCT(-('Diário 4º PA'!$E$4:$E$2564='Analítico Cx.'!$B165),-('Diário 4º PA'!$P$4:$P$2564=G$1),('Diário 4º PA'!$F$4:$F$2564))</f>
        <v>12450.42</v>
      </c>
      <c r="H165" s="183">
        <f>SUMPRODUCT(-('Diário 1º PA'!$E$4:$E$2635='Analítico Cx.'!$B165),-('Diário 1º PA'!$P$4:$P$2635=H$1),('Diário 1º PA'!$F$4:$F$2635))+SUMPRODUCT(-('Diário 2º PA'!$E$4:$E$3040='Analítico Cx.'!$B165),-('Diário 2º PA'!$P$4:$P$3040=H$1),('Diário 2º PA'!$F$4:$F$3040))+SUMPRODUCT(-('Diário 3º PA'!$E$4:$E$2731='Analítico Cx.'!$B165),-('Diário 3º PA'!$P$4:$P$2731=H$1),('Diário 3º PA'!$F$4:$F$2731))+SUMPRODUCT(-('Diário 4º PA'!$E$4:$E$2564='Analítico Cx.'!$B165),-('Diário 4º PA'!$P$4:$P$2564=H$1),('Diário 4º PA'!$F$4:$F$2564))</f>
        <v>10415.200000000001</v>
      </c>
      <c r="I165" s="183">
        <f>SUMPRODUCT(-('Diário 1º PA'!$E$4:$E$2635='Analítico Cx.'!$B165),-('Diário 1º PA'!$P$4:$P$2635=I$1),('Diário 1º PA'!$F$4:$F$2635))+SUMPRODUCT(-('Diário 2º PA'!$E$4:$E$3040='Analítico Cx.'!$B165),-('Diário 2º PA'!$P$4:$P$3040=I$1),('Diário 2º PA'!$F$4:$F$3040))+SUMPRODUCT(-('Diário 3º PA'!$E$4:$E$2731='Analítico Cx.'!$B165),-('Diário 3º PA'!$P$4:$P$2731=I$1),('Diário 3º PA'!$F$4:$F$2731))+SUMPRODUCT(-('Diário 4º PA'!$E$4:$E$2564='Analítico Cx.'!$B165),-('Diário 4º PA'!$P$4:$P$2564=I$1),('Diário 4º PA'!$F$4:$F$2564))</f>
        <v>23304.6</v>
      </c>
      <c r="J165" s="183">
        <f>SUMPRODUCT(-('Diário 1º PA'!$E$4:$E$2635='Analítico Cx.'!$B165),-('Diário 1º PA'!$P$4:$P$2635=J$1),('Diário 1º PA'!$F$4:$F$2635))+SUMPRODUCT(-('Diário 2º PA'!$E$4:$E$3040='Analítico Cx.'!$B165),-('Diário 2º PA'!$P$4:$P$3040=J$1),('Diário 2º PA'!$F$4:$F$3040))+SUMPRODUCT(-('Diário 3º PA'!$E$4:$E$2731='Analítico Cx.'!$B165),-('Diário 3º PA'!$P$4:$P$2731=J$1),('Diário 3º PA'!$F$4:$F$2731))+SUMPRODUCT(-('Diário 4º PA'!$E$4:$E$2564='Analítico Cx.'!$B165),-('Diário 4º PA'!$P$4:$P$2564=J$1),('Diário 4º PA'!$F$4:$F$2564))</f>
        <v>17635.68</v>
      </c>
      <c r="K165" s="183">
        <f>SUMPRODUCT(-('Diário 1º PA'!$E$4:$E$2635='Analítico Cx.'!$B165),-('Diário 1º PA'!$P$4:$P$2635=K$1),('Diário 1º PA'!$F$4:$F$2635))+SUMPRODUCT(-('Diário 2º PA'!$E$4:$E$3040='Analítico Cx.'!$B165),-('Diário 2º PA'!$P$4:$P$3040=K$1),('Diário 2º PA'!$F$4:$F$3040))+SUMPRODUCT(-('Diário 3º PA'!$E$4:$E$2731='Analítico Cx.'!$B165),-('Diário 3º PA'!$P$4:$P$2731=K$1),('Diário 3º PA'!$F$4:$F$2731))+SUMPRODUCT(-('Diário 4º PA'!$E$4:$E$2564='Analítico Cx.'!$B165),-('Diário 4º PA'!$P$4:$P$2564=K$1),('Diário 4º PA'!$F$4:$F$2564))</f>
        <v>23363.33</v>
      </c>
      <c r="L165" s="183">
        <f>SUMPRODUCT(-('Diário 1º PA'!$E$4:$E$2635='Analítico Cx.'!$B165),-('Diário 1º PA'!$P$4:$P$2635=L$1),('Diário 1º PA'!$F$4:$F$2635))+SUMPRODUCT(-('Diário 2º PA'!$E$4:$E$3040='Analítico Cx.'!$B165),-('Diário 2º PA'!$P$4:$P$3040=L$1),('Diário 2º PA'!$F$4:$F$3040))+SUMPRODUCT(-('Diário 3º PA'!$E$4:$E$2731='Analítico Cx.'!$B165),-('Diário 3º PA'!$P$4:$P$2731=L$1),('Diário 3º PA'!$F$4:$F$2731))+SUMPRODUCT(-('Diário 4º PA'!$E$4:$E$2564='Analítico Cx.'!$B165),-('Diário 4º PA'!$P$4:$P$2564=L$1),('Diário 4º PA'!$F$4:$F$2564))</f>
        <v>23865.72</v>
      </c>
      <c r="M165" s="183">
        <f>SUMPRODUCT(-('Diário 1º PA'!$E$4:$E$2635='Analítico Cx.'!$B165),-('Diário 1º PA'!$P$4:$P$2635=M$1),('Diário 1º PA'!$F$4:$F$2635))+SUMPRODUCT(-('Diário 2º PA'!$E$4:$E$3040='Analítico Cx.'!$B165),-('Diário 2º PA'!$P$4:$P$3040=M$1),('Diário 2º PA'!$F$4:$F$3040))+SUMPRODUCT(-('Diário 3º PA'!$E$4:$E$2731='Analítico Cx.'!$B165),-('Diário 3º PA'!$P$4:$P$2731=M$1),('Diário 3º PA'!$F$4:$F$2731))+SUMPRODUCT(-('Diário 4º PA'!$E$4:$E$2564='Analítico Cx.'!$B165),-('Diário 4º PA'!$P$4:$P$2564=M$1),('Diário 4º PA'!$F$4:$F$2564))</f>
        <v>18556.169999999998</v>
      </c>
      <c r="N165" s="183">
        <f>SUMPRODUCT(-('Diário 1º PA'!$E$4:$E$2635='Analítico Cx.'!$B165),-('Diário 1º PA'!$P$4:$P$2635=N$1),('Diário 1º PA'!$F$4:$F$2635))+SUMPRODUCT(-('Diário 2º PA'!$E$4:$E$3040='Analítico Cx.'!$B165),-('Diário 2º PA'!$P$4:$P$3040=N$1),('Diário 2º PA'!$F$4:$F$3040))+SUMPRODUCT(-('Diário 3º PA'!$E$4:$E$2731='Analítico Cx.'!$B165),-('Diário 3º PA'!$P$4:$P$2731=N$1),('Diário 3º PA'!$F$4:$F$2731))+SUMPRODUCT(-('Diário 4º PA'!$E$4:$E$2564='Analítico Cx.'!$B165),-('Diário 4º PA'!$P$4:$P$2564=N$1),('Diário 4º PA'!$F$4:$F$2564))</f>
        <v>758.08</v>
      </c>
      <c r="O165" s="188">
        <f>SUM(C165:N165)</f>
        <v>160856.75999999998</v>
      </c>
      <c r="P165" s="260">
        <f t="shared" si="21"/>
        <v>1.2669889910309529E-2</v>
      </c>
    </row>
    <row r="166" spans="1:16" ht="23.25" customHeight="1" thickBot="1" x14ac:dyDescent="0.25">
      <c r="A166" s="408" t="s">
        <v>1295</v>
      </c>
      <c r="B166" s="409" t="s">
        <v>468</v>
      </c>
      <c r="C166" s="410">
        <f>SUMPRODUCT(-('Diário 1º PA'!$E$4:$E$2635='Analítico Cx.'!$B166),-('Diário 1º PA'!$P$4:$P$2635=C$1),('Diário 1º PA'!$F$4:$F$2635))+SUMPRODUCT(-('Diário 2º PA'!$E$4:$E$3040='Analítico Cx.'!$B166),-('Diário 2º PA'!$P$4:$P$3040=C$1),('Diário 2º PA'!$F$4:$F$3040))+SUMPRODUCT(-('Diário 3º PA'!$E$4:$E$2731='Analítico Cx.'!$B166),-('Diário 3º PA'!$P$4:$P$2731=C$1),('Diário 3º PA'!$F$4:$F$2731))+SUMPRODUCT(-('Diário 4º PA'!$E$4:$E$2564='Analítico Cx.'!$B166),-('Diário 4º PA'!$P$4:$P$2564=C$1),('Diário 4º PA'!$F$4:$F$2564))</f>
        <v>399118.51</v>
      </c>
      <c r="D166" s="410">
        <f>SUMPRODUCT(-('Diário 1º PA'!$E$4:$E$2635='Analítico Cx.'!$B166),-('Diário 1º PA'!$P$4:$P$2635=D$1),('Diário 1º PA'!$F$4:$F$2635))+SUMPRODUCT(-('Diário 2º PA'!$E$4:$E$3040='Analítico Cx.'!$B166),-('Diário 2º PA'!$P$4:$P$3040=D$1),('Diário 2º PA'!$F$4:$F$3040))+SUMPRODUCT(-('Diário 3º PA'!$E$4:$E$2731='Analítico Cx.'!$B166),-('Diário 3º PA'!$P$4:$P$2731=D$1),('Diário 3º PA'!$F$4:$F$2731))+SUMPRODUCT(-('Diário 4º PA'!$E$4:$E$2564='Analítico Cx.'!$B166),-('Diário 4º PA'!$P$4:$P$2564=D$1),('Diário 4º PA'!$F$4:$F$2564))</f>
        <v>343303.84999999992</v>
      </c>
      <c r="E166" s="410">
        <f>SUMPRODUCT(-('Diário 1º PA'!$E$4:$E$2635='Analítico Cx.'!$B166),-('Diário 1º PA'!$P$4:$P$2635=E$1),('Diário 1º PA'!$F$4:$F$2635))+SUMPRODUCT(-('Diário 2º PA'!$E$4:$E$3040='Analítico Cx.'!$B166),-('Diário 2º PA'!$P$4:$P$3040=E$1),('Diário 2º PA'!$F$4:$F$3040))+SUMPRODUCT(-('Diário 3º PA'!$E$4:$E$2731='Analítico Cx.'!$B166),-('Diário 3º PA'!$P$4:$P$2731=E$1),('Diário 3º PA'!$F$4:$F$2731))+SUMPRODUCT(-('Diário 4º PA'!$E$4:$E$2564='Analítico Cx.'!$B166),-('Diário 4º PA'!$P$4:$P$2564=E$1),('Diário 4º PA'!$F$4:$F$2564))</f>
        <v>394020.60000000003</v>
      </c>
      <c r="F166" s="410">
        <f>SUMPRODUCT(-('Diário 1º PA'!$E$4:$E$2635='Analítico Cx.'!$B166),-('Diário 1º PA'!$P$4:$P$2635=F$1),('Diário 1º PA'!$F$4:$F$2635))+SUMPRODUCT(-('Diário 2º PA'!$E$4:$E$3040='Analítico Cx.'!$B166),-('Diário 2º PA'!$P$4:$P$3040=F$1),('Diário 2º PA'!$F$4:$F$3040))+SUMPRODUCT(-('Diário 3º PA'!$E$4:$E$2731='Analítico Cx.'!$B166),-('Diário 3º PA'!$P$4:$P$2731=F$1),('Diário 3º PA'!$F$4:$F$2731))+SUMPRODUCT(-('Diário 4º PA'!$E$4:$E$2564='Analítico Cx.'!$B166),-('Diário 4º PA'!$P$4:$P$2564=F$1),('Diário 4º PA'!$F$4:$F$2564))</f>
        <v>401567.77000000031</v>
      </c>
      <c r="G166" s="410">
        <f>SUMPRODUCT(-('Diário 1º PA'!$E$4:$E$2635='Analítico Cx.'!$B166),-('Diário 1º PA'!$P$4:$P$2635=G$1),('Diário 1º PA'!$F$4:$F$2635))+SUMPRODUCT(-('Diário 2º PA'!$E$4:$E$3040='Analítico Cx.'!$B166),-('Diário 2º PA'!$P$4:$P$3040=G$1),('Diário 2º PA'!$F$4:$F$3040))+SUMPRODUCT(-('Diário 3º PA'!$E$4:$E$2731='Analítico Cx.'!$B166),-('Diário 3º PA'!$P$4:$P$2731=G$1),('Diário 3º PA'!$F$4:$F$2731))+SUMPRODUCT(-('Diário 4º PA'!$E$4:$E$2564='Analítico Cx.'!$B166),-('Diário 4º PA'!$P$4:$P$2564=G$1),('Diário 4º PA'!$F$4:$F$2564))</f>
        <v>1391601.7699999993</v>
      </c>
      <c r="H166" s="410">
        <f>SUMPRODUCT(-('Diário 1º PA'!$E$4:$E$2635='Analítico Cx.'!$B166),-('Diário 1º PA'!$P$4:$P$2635=H$1),('Diário 1º PA'!$F$4:$F$2635))+SUMPRODUCT(-('Diário 2º PA'!$E$4:$E$3040='Analítico Cx.'!$B166),-('Diário 2º PA'!$P$4:$P$3040=H$1),('Diário 2º PA'!$F$4:$F$3040))+SUMPRODUCT(-('Diário 3º PA'!$E$4:$E$2731='Analítico Cx.'!$B166),-('Diário 3º PA'!$P$4:$P$2731=H$1),('Diário 3º PA'!$F$4:$F$2731))+SUMPRODUCT(-('Diário 4º PA'!$E$4:$E$2564='Analítico Cx.'!$B166),-('Diário 4º PA'!$P$4:$P$2564=H$1),('Diário 4º PA'!$F$4:$F$2564))</f>
        <v>552003.47999999986</v>
      </c>
      <c r="I166" s="410">
        <f>SUMPRODUCT(-('Diário 1º PA'!$E$4:$E$2635='Analítico Cx.'!$B166),-('Diário 1º PA'!$P$4:$P$2635=I$1),('Diário 1º PA'!$F$4:$F$2635))+SUMPRODUCT(-('Diário 2º PA'!$E$4:$E$3040='Analítico Cx.'!$B166),-('Diário 2º PA'!$P$4:$P$3040=I$1),('Diário 2º PA'!$F$4:$F$3040))+SUMPRODUCT(-('Diário 3º PA'!$E$4:$E$2731='Analítico Cx.'!$B166),-('Diário 3º PA'!$P$4:$P$2731=I$1),('Diário 3º PA'!$F$4:$F$2731))+SUMPRODUCT(-('Diário 4º PA'!$E$4:$E$2564='Analítico Cx.'!$B166),-('Diário 4º PA'!$P$4:$P$2564=I$1),('Diário 4º PA'!$F$4:$F$2564))</f>
        <v>348631.89000000007</v>
      </c>
      <c r="J166" s="410">
        <f>SUMPRODUCT(-('Diário 1º PA'!$E$4:$E$2635='Analítico Cx.'!$B166),-('Diário 1º PA'!$P$4:$P$2635=J$1),('Diário 1º PA'!$F$4:$F$2635))+SUMPRODUCT(-('Diário 2º PA'!$E$4:$E$3040='Analítico Cx.'!$B166),-('Diário 2º PA'!$P$4:$P$3040=J$1),('Diário 2º PA'!$F$4:$F$3040))+SUMPRODUCT(-('Diário 3º PA'!$E$4:$E$2731='Analítico Cx.'!$B166),-('Diário 3º PA'!$P$4:$P$2731=J$1),('Diário 3º PA'!$F$4:$F$2731))+SUMPRODUCT(-('Diário 4º PA'!$E$4:$E$2564='Analítico Cx.'!$B166),-('Diário 4º PA'!$P$4:$P$2564=J$1),('Diário 4º PA'!$F$4:$F$2564))</f>
        <v>331644.14999999997</v>
      </c>
      <c r="K166" s="410">
        <f>SUMPRODUCT(-('Diário 1º PA'!$E$4:$E$2635='Analítico Cx.'!$B166),-('Diário 1º PA'!$P$4:$P$2635=K$1),('Diário 1º PA'!$F$4:$F$2635))+SUMPRODUCT(-('Diário 2º PA'!$E$4:$E$3040='Analítico Cx.'!$B166),-('Diário 2º PA'!$P$4:$P$3040=K$1),('Diário 2º PA'!$F$4:$F$3040))+SUMPRODUCT(-('Diário 3º PA'!$E$4:$E$2731='Analítico Cx.'!$B166),-('Diário 3º PA'!$P$4:$P$2731=K$1),('Diário 3º PA'!$F$4:$F$2731))+SUMPRODUCT(-('Diário 4º PA'!$E$4:$E$2564='Analítico Cx.'!$B166),-('Diário 4º PA'!$P$4:$P$2564=K$1),('Diário 4º PA'!$F$4:$F$2564))</f>
        <v>234571.32</v>
      </c>
      <c r="L166" s="410">
        <f>SUMPRODUCT(-('Diário 1º PA'!$E$4:$E$2635='Analítico Cx.'!$B166),-('Diário 1º PA'!$P$4:$P$2635=L$1),('Diário 1º PA'!$F$4:$F$2635))+SUMPRODUCT(-('Diário 2º PA'!$E$4:$E$3040='Analítico Cx.'!$B166),-('Diário 2º PA'!$P$4:$P$3040=L$1),('Diário 2º PA'!$F$4:$F$3040))+SUMPRODUCT(-('Diário 3º PA'!$E$4:$E$2731='Analítico Cx.'!$B166),-('Diário 3º PA'!$P$4:$P$2731=L$1),('Diário 3º PA'!$F$4:$F$2731))+SUMPRODUCT(-('Diário 4º PA'!$E$4:$E$2564='Analítico Cx.'!$B166),-('Diário 4º PA'!$P$4:$P$2564=L$1),('Diário 4º PA'!$F$4:$F$2564))</f>
        <v>465620.46000000014</v>
      </c>
      <c r="M166" s="410">
        <f>SUMPRODUCT(-('Diário 1º PA'!$E$4:$E$2635='Analítico Cx.'!$B166),-('Diário 1º PA'!$P$4:$P$2635=M$1),('Diário 1º PA'!$F$4:$F$2635))+SUMPRODUCT(-('Diário 2º PA'!$E$4:$E$3040='Analítico Cx.'!$B166),-('Diário 2º PA'!$P$4:$P$3040=M$1),('Diário 2º PA'!$F$4:$F$3040))+SUMPRODUCT(-('Diário 3º PA'!$E$4:$E$2731='Analítico Cx.'!$B166),-('Diário 3º PA'!$P$4:$P$2731=M$1),('Diário 3º PA'!$F$4:$F$2731))+SUMPRODUCT(-('Diário 4º PA'!$E$4:$E$2564='Analítico Cx.'!$B166),-('Diário 4º PA'!$P$4:$P$2564=M$1),('Diário 4º PA'!$F$4:$F$2564))</f>
        <v>272678.26</v>
      </c>
      <c r="N166" s="410">
        <f>SUMPRODUCT(-('Diário 1º PA'!$E$4:$E$2635='Analítico Cx.'!$B166),-('Diário 1º PA'!$P$4:$P$2635=N$1),('Diário 1º PA'!$F$4:$F$2635))+SUMPRODUCT(-('Diário 2º PA'!$E$4:$E$3040='Analítico Cx.'!$B166),-('Diário 2º PA'!$P$4:$P$3040=N$1),('Diário 2º PA'!$F$4:$F$3040))+SUMPRODUCT(-('Diário 3º PA'!$E$4:$E$2731='Analítico Cx.'!$B166),-('Diário 3º PA'!$P$4:$P$2731=N$1),('Diário 3º PA'!$F$4:$F$2731))+SUMPRODUCT(-('Diário 4º PA'!$E$4:$E$2564='Analítico Cx.'!$B166),-('Diário 4º PA'!$P$4:$P$2564=N$1),('Diário 4º PA'!$F$4:$F$2564))</f>
        <v>229276.05000000016</v>
      </c>
      <c r="O166" s="188">
        <f>SUM(C166:N166)</f>
        <v>5364038.1099999994</v>
      </c>
      <c r="P166" s="260">
        <f t="shared" si="21"/>
        <v>0.42249870212731377</v>
      </c>
    </row>
    <row r="167" spans="1:16" ht="23.25" customHeight="1" thickBot="1" x14ac:dyDescent="0.25">
      <c r="A167" s="69" t="s">
        <v>261</v>
      </c>
      <c r="B167" s="131"/>
      <c r="C167" s="185">
        <f t="shared" ref="C167:H167" si="25">SUBTOTAL(109,C23:C166)</f>
        <v>943376.99</v>
      </c>
      <c r="D167" s="185">
        <f t="shared" si="25"/>
        <v>815897.98</v>
      </c>
      <c r="E167" s="185">
        <f t="shared" si="25"/>
        <v>959934.5</v>
      </c>
      <c r="F167" s="185">
        <f t="shared" si="25"/>
        <v>994834.07000000053</v>
      </c>
      <c r="G167" s="185">
        <f t="shared" si="25"/>
        <v>2162517.9099999997</v>
      </c>
      <c r="H167" s="185">
        <f t="shared" si="25"/>
        <v>1148700.2999999998</v>
      </c>
      <c r="I167" s="185">
        <f t="shared" ref="I167:N167" si="26">SUBTOTAL(109,I23:I166)</f>
        <v>939232.66000000015</v>
      </c>
      <c r="J167" s="185">
        <f t="shared" si="26"/>
        <v>929691.91000000038</v>
      </c>
      <c r="K167" s="185">
        <f t="shared" si="26"/>
        <v>780104.03000000026</v>
      </c>
      <c r="L167" s="185">
        <f t="shared" si="26"/>
        <v>1021472.0800000003</v>
      </c>
      <c r="M167" s="185">
        <f t="shared" si="26"/>
        <v>949176.45</v>
      </c>
      <c r="N167" s="185">
        <f t="shared" si="26"/>
        <v>1051048.31</v>
      </c>
      <c r="O167" s="188">
        <f>SUBTOTAL(109,O23:O166)</f>
        <v>12695987.189999996</v>
      </c>
      <c r="P167" s="168">
        <f t="shared" si="21"/>
        <v>1</v>
      </c>
    </row>
    <row r="168" spans="1:16" x14ac:dyDescent="0.2">
      <c r="A168" s="162"/>
      <c r="B168" s="163"/>
      <c r="C168" s="184"/>
      <c r="D168" s="184"/>
      <c r="E168" s="184"/>
      <c r="F168" s="184"/>
      <c r="G168" s="184"/>
      <c r="H168" s="184"/>
      <c r="I168" s="184"/>
      <c r="J168" s="184"/>
      <c r="K168" s="184"/>
      <c r="L168" s="184"/>
      <c r="M168" s="184"/>
      <c r="N168" s="184"/>
      <c r="O168" s="184"/>
    </row>
  </sheetData>
  <sheetProtection sheet="1" formatColumns="0"/>
  <dataConsolidate link="1"/>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164"/>
  <sheetViews>
    <sheetView showGridLines="0" topLeftCell="A2" zoomScaleSheetLayoutView="85" workbookViewId="0">
      <pane xSplit="2" ySplit="7" topLeftCell="C136" activePane="bottomRight" state="frozen"/>
      <selection activeCell="G29" sqref="G29"/>
      <selection pane="topRight" activeCell="G29" sqref="G29"/>
      <selection pane="bottomLeft" activeCell="G29" sqref="G29"/>
      <selection pane="bottomRight" activeCell="A140" sqref="A140"/>
    </sheetView>
  </sheetViews>
  <sheetFormatPr defaultColWidth="9.140625" defaultRowHeight="12.75" x14ac:dyDescent="0.2"/>
  <cols>
    <col min="1" max="1" width="7.42578125" style="19" customWidth="1"/>
    <col min="2" max="2" width="25.7109375" style="19" customWidth="1"/>
    <col min="3" max="8" width="12.42578125" style="19" bestFit="1" customWidth="1"/>
    <col min="9" max="14" width="12.42578125" style="19" customWidth="1"/>
    <col min="15" max="16" width="12" style="19" bestFit="1" customWidth="1"/>
    <col min="17" max="16384" width="9.140625" style="19"/>
  </cols>
  <sheetData>
    <row r="1" spans="1:16" ht="15.75" hidden="1" x14ac:dyDescent="0.2">
      <c r="A1" s="39"/>
      <c r="B1" s="40" t="s">
        <v>145</v>
      </c>
      <c r="C1" s="41">
        <v>1</v>
      </c>
      <c r="D1" s="41">
        <v>2</v>
      </c>
      <c r="E1" s="41">
        <v>3</v>
      </c>
      <c r="F1" s="41">
        <v>4</v>
      </c>
      <c r="G1" s="41">
        <v>5</v>
      </c>
      <c r="H1" s="41">
        <v>6</v>
      </c>
      <c r="I1" s="41">
        <v>7</v>
      </c>
      <c r="J1" s="41">
        <v>8</v>
      </c>
      <c r="K1" s="41">
        <v>9</v>
      </c>
      <c r="L1" s="41">
        <v>10</v>
      </c>
      <c r="M1" s="41">
        <v>11</v>
      </c>
      <c r="N1" s="41">
        <v>12</v>
      </c>
      <c r="O1" s="39"/>
    </row>
    <row r="2" spans="1:16" ht="28.5" customHeight="1" x14ac:dyDescent="0.2">
      <c r="A2" s="767" t="str">
        <f>Capa!A1</f>
        <v>Contrato de Gestão nº. 05/20 celebrado entre a Fundação Clóvis Salgado e a Associação Pró-Cultura e Promoção das Artes</v>
      </c>
      <c r="B2" s="767"/>
      <c r="C2" s="767"/>
      <c r="D2" s="767"/>
      <c r="E2" s="767"/>
      <c r="F2" s="767"/>
      <c r="G2" s="767"/>
      <c r="H2" s="767"/>
      <c r="I2" s="767"/>
      <c r="J2" s="767"/>
      <c r="K2" s="767"/>
      <c r="L2" s="767"/>
      <c r="M2" s="767"/>
      <c r="N2" s="767"/>
      <c r="O2" s="767"/>
      <c r="P2" s="767"/>
    </row>
    <row r="3" spans="1:16" ht="18.75" customHeight="1" x14ac:dyDescent="0.2">
      <c r="A3" s="767">
        <f>Capa!A3</f>
        <v>0</v>
      </c>
      <c r="B3" s="767"/>
      <c r="C3" s="767"/>
      <c r="D3" s="767"/>
      <c r="E3" s="767"/>
      <c r="F3" s="767"/>
      <c r="G3" s="767"/>
      <c r="H3" s="767"/>
      <c r="I3" s="767"/>
      <c r="J3" s="767"/>
      <c r="K3" s="767"/>
      <c r="L3" s="767"/>
      <c r="M3" s="767"/>
      <c r="N3" s="767"/>
      <c r="O3" s="767"/>
      <c r="P3" s="767"/>
    </row>
    <row r="4" spans="1:16" ht="18.75" customHeight="1" thickBot="1" x14ac:dyDescent="0.25">
      <c r="A4" s="801" t="s">
        <v>317</v>
      </c>
      <c r="B4" s="801"/>
      <c r="C4" s="801"/>
      <c r="D4" s="801"/>
      <c r="E4" s="801"/>
      <c r="F4" s="801"/>
      <c r="G4" s="801"/>
      <c r="H4" s="801"/>
      <c r="I4" s="801"/>
      <c r="J4" s="801"/>
      <c r="K4" s="801"/>
      <c r="L4" s="801"/>
      <c r="M4" s="801"/>
      <c r="N4" s="801"/>
      <c r="O4" s="801"/>
      <c r="P4" s="801"/>
    </row>
    <row r="5" spans="1:16" ht="15" x14ac:dyDescent="0.2">
      <c r="A5" s="43"/>
      <c r="B5" s="43"/>
      <c r="C5" s="44" t="str">
        <f>Resumo!C4</f>
        <v>Janeiro</v>
      </c>
      <c r="D5" s="44" t="str">
        <f>Resumo!D4</f>
        <v>Fevereiro</v>
      </c>
      <c r="E5" s="44" t="str">
        <f>Resumo!E4</f>
        <v>Março</v>
      </c>
      <c r="F5" s="44" t="str">
        <f>Resumo!F4</f>
        <v>Abril</v>
      </c>
      <c r="G5" s="44" t="str">
        <f>Resumo!G4</f>
        <v>Maio</v>
      </c>
      <c r="H5" s="44" t="str">
        <f>Resumo!H4</f>
        <v>Junho</v>
      </c>
      <c r="I5" s="44" t="str">
        <f>Resumo!I4</f>
        <v>Julho</v>
      </c>
      <c r="J5" s="44" t="str">
        <f>Resumo!J4</f>
        <v>Agosto</v>
      </c>
      <c r="K5" s="44" t="str">
        <f>Resumo!K4</f>
        <v>Setembro</v>
      </c>
      <c r="L5" s="44" t="str">
        <f>Resumo!L4</f>
        <v>Outubro</v>
      </c>
      <c r="M5" s="44" t="str">
        <f>Resumo!M4</f>
        <v>Novembro</v>
      </c>
      <c r="N5" s="44" t="str">
        <f>Resumo!N4</f>
        <v>Dezembro</v>
      </c>
      <c r="O5" s="795" t="s">
        <v>5</v>
      </c>
      <c r="P5" s="798" t="s">
        <v>293</v>
      </c>
    </row>
    <row r="6" spans="1:16" ht="15" x14ac:dyDescent="0.2">
      <c r="A6" s="11"/>
      <c r="B6" s="11"/>
      <c r="C6" s="289">
        <f>Resumo!C5</f>
        <v>44562</v>
      </c>
      <c r="D6" s="289">
        <f>Resumo!D5</f>
        <v>44593</v>
      </c>
      <c r="E6" s="289">
        <f>Resumo!E5</f>
        <v>44621</v>
      </c>
      <c r="F6" s="289">
        <f>Resumo!F5</f>
        <v>44652</v>
      </c>
      <c r="G6" s="289">
        <f>Resumo!G5</f>
        <v>44682</v>
      </c>
      <c r="H6" s="289">
        <f>Resumo!H5</f>
        <v>44713</v>
      </c>
      <c r="I6" s="289">
        <f>Resumo!I5</f>
        <v>44743</v>
      </c>
      <c r="J6" s="289">
        <f>Resumo!J5</f>
        <v>44774</v>
      </c>
      <c r="K6" s="289">
        <f>Resumo!K5</f>
        <v>44805</v>
      </c>
      <c r="L6" s="289">
        <f>Resumo!L5</f>
        <v>44835</v>
      </c>
      <c r="M6" s="289">
        <f>Resumo!M5</f>
        <v>44866</v>
      </c>
      <c r="N6" s="289">
        <f>Resumo!N5</f>
        <v>44896</v>
      </c>
      <c r="O6" s="796"/>
      <c r="P6" s="799"/>
    </row>
    <row r="7" spans="1:16" ht="15" x14ac:dyDescent="0.2">
      <c r="A7" s="11"/>
      <c r="B7" s="11"/>
      <c r="C7" s="291" t="str">
        <f>Resumo!C6</f>
        <v>a</v>
      </c>
      <c r="D7" s="291" t="str">
        <f>Resumo!D6</f>
        <v>a</v>
      </c>
      <c r="E7" s="291" t="str">
        <f>Resumo!E6</f>
        <v>a</v>
      </c>
      <c r="F7" s="291" t="str">
        <f>Resumo!F6</f>
        <v>a</v>
      </c>
      <c r="G7" s="291" t="str">
        <f>Resumo!G6</f>
        <v>a</v>
      </c>
      <c r="H7" s="291" t="str">
        <f>Resumo!H6</f>
        <v>a</v>
      </c>
      <c r="I7" s="291" t="str">
        <f>Resumo!I6</f>
        <v>a</v>
      </c>
      <c r="J7" s="291" t="str">
        <f>Resumo!J6</f>
        <v>a</v>
      </c>
      <c r="K7" s="291" t="str">
        <f>Resumo!K6</f>
        <v>a</v>
      </c>
      <c r="L7" s="291" t="str">
        <f>Resumo!L6</f>
        <v>a</v>
      </c>
      <c r="M7" s="291" t="str">
        <f>Resumo!M6</f>
        <v>a</v>
      </c>
      <c r="N7" s="291" t="str">
        <f>Resumo!N6</f>
        <v>a</v>
      </c>
      <c r="O7" s="796"/>
      <c r="P7" s="799"/>
    </row>
    <row r="8" spans="1:16" ht="15.75" thickBot="1" x14ac:dyDescent="0.25">
      <c r="A8" s="42"/>
      <c r="B8" s="42"/>
      <c r="C8" s="290">
        <f>Resumo!C7</f>
        <v>44592</v>
      </c>
      <c r="D8" s="290">
        <f>Resumo!D7</f>
        <v>44620</v>
      </c>
      <c r="E8" s="290">
        <f>Resumo!E7</f>
        <v>44651</v>
      </c>
      <c r="F8" s="290">
        <f>Resumo!F7</f>
        <v>44681</v>
      </c>
      <c r="G8" s="290">
        <f>Resumo!G7</f>
        <v>44712</v>
      </c>
      <c r="H8" s="290">
        <f>Resumo!H7</f>
        <v>44742</v>
      </c>
      <c r="I8" s="290">
        <f>Resumo!I7</f>
        <v>44773</v>
      </c>
      <c r="J8" s="290">
        <f>Resumo!J7</f>
        <v>44804</v>
      </c>
      <c r="K8" s="290">
        <f>Resumo!K7</f>
        <v>44834</v>
      </c>
      <c r="L8" s="290">
        <f>Resumo!L7</f>
        <v>44865</v>
      </c>
      <c r="M8" s="290">
        <f>Resumo!M7</f>
        <v>44895</v>
      </c>
      <c r="N8" s="290">
        <f>Resumo!N7</f>
        <v>44926</v>
      </c>
      <c r="O8" s="797"/>
      <c r="P8" s="800"/>
    </row>
    <row r="9" spans="1:16" ht="23.25" customHeight="1" thickBot="1" x14ac:dyDescent="0.25">
      <c r="A9" s="37">
        <v>1</v>
      </c>
      <c r="B9" s="37" t="s">
        <v>156</v>
      </c>
      <c r="C9" s="68"/>
      <c r="D9" s="68"/>
      <c r="E9" s="68"/>
      <c r="F9" s="68"/>
      <c r="G9" s="68"/>
      <c r="H9" s="68"/>
      <c r="I9" s="68"/>
      <c r="J9" s="68"/>
      <c r="K9" s="68"/>
      <c r="L9" s="68"/>
      <c r="M9" s="68"/>
      <c r="N9" s="68"/>
      <c r="O9" s="68"/>
      <c r="P9" s="165"/>
    </row>
    <row r="10" spans="1:16" ht="23.25" customHeight="1" x14ac:dyDescent="0.2">
      <c r="A10" s="21" t="s">
        <v>15</v>
      </c>
      <c r="B10" s="21" t="s">
        <v>34</v>
      </c>
      <c r="C10" s="65"/>
      <c r="D10" s="65"/>
      <c r="E10" s="65"/>
      <c r="F10" s="65"/>
      <c r="G10" s="65"/>
      <c r="H10" s="65"/>
      <c r="I10" s="65"/>
      <c r="J10" s="65"/>
      <c r="K10" s="65"/>
      <c r="L10" s="65"/>
      <c r="M10" s="65"/>
      <c r="N10" s="65"/>
      <c r="O10" s="65"/>
      <c r="P10" s="166"/>
    </row>
    <row r="11" spans="1:16" ht="23.25" customHeight="1" x14ac:dyDescent="0.2">
      <c r="A11" s="22" t="s">
        <v>42</v>
      </c>
      <c r="B11" s="60" t="s">
        <v>330</v>
      </c>
      <c r="C11" s="12">
        <f>SUMPRODUCT(-('Diário 1º PA'!$E$4:$E$2635='Analítico Cp.'!$B11),-('Diário 1º PA'!$Q$4:$Q$2635=C$1),('Diário 1º PA'!$F$4:$F$2635))+SUMPRODUCT(-('Diário 2º PA'!$E$4:$E$3040='Analítico Cp.'!$B11),-('Diário 2º PA'!$Q$4:$Q$3040=C$1),('Diário 2º PA'!$F$4:$F$3040))+SUMPRODUCT(-('Diário 3º PA'!$E$4:$E$2731='Analítico Cp.'!$B11),-('Diário 3º PA'!$Q$4:$Q$2731=C$1),('Diário 3º PA'!$F$4:$F$2731))+SUMPRODUCT(-('Diário 4º PA'!$E$4:$E$2564='Analítico Cp.'!$B11),-('Diário 4º PA'!$Q$4:$Q$2564=C$1),('Diário 4º PA'!$F$4:$F$2564))+SUMPRODUCT(-('Comp.'!$D$5:$D$69='Analítico Cp.'!$B11),-('Comp.'!$K$5:$K$69=C$1),('Comp.'!$E$5:$E$69))</f>
        <v>0</v>
      </c>
      <c r="D11" s="12">
        <f>SUMPRODUCT(-('Diário 1º PA'!$E$4:$E$2635='Analítico Cp.'!$B11),-('Diário 1º PA'!$Q$4:$Q$2635=D$1),('Diário 1º PA'!$F$4:$F$2635))+SUMPRODUCT(-('Diário 2º PA'!$E$4:$E$3040='Analítico Cp.'!$B11),-('Diário 2º PA'!$Q$4:$Q$3040=D$1),('Diário 2º PA'!$F$4:$F$3040))+SUMPRODUCT(-('Diário 3º PA'!$E$4:$E$2731='Analítico Cp.'!$B11),-('Diário 3º PA'!$Q$4:$Q$2731=D$1),('Diário 3º PA'!$F$4:$F$2731))+SUMPRODUCT(-('Diário 4º PA'!$E$4:$E$2564='Analítico Cp.'!$B11),-('Diário 4º PA'!$Q$4:$Q$2564=D$1),('Diário 4º PA'!$F$4:$F$2564))+SUMPRODUCT(-('Comp.'!$D$5:$D$69='Analítico Cp.'!$B11),-('Comp.'!$K$5:$K$69=D$1),('Comp.'!$E$5:$E$69))</f>
        <v>2620189.0700000003</v>
      </c>
      <c r="E11" s="12">
        <f>SUMPRODUCT(-('Diário 1º PA'!$E$4:$E$2635='Analítico Cp.'!$B11),-('Diário 1º PA'!$Q$4:$Q$2635=E$1),('Diário 1º PA'!$F$4:$F$2635))+SUMPRODUCT(-('Diário 2º PA'!$E$4:$E$3040='Analítico Cp.'!$B11),-('Diário 2º PA'!$Q$4:$Q$3040=E$1),('Diário 2º PA'!$F$4:$F$3040))+SUMPRODUCT(-('Diário 3º PA'!$E$4:$E$2731='Analítico Cp.'!$B11),-('Diário 3º PA'!$Q$4:$Q$2731=E$1),('Diário 3º PA'!$F$4:$F$2731))+SUMPRODUCT(-('Diário 4º PA'!$E$4:$E$2564='Analítico Cp.'!$B11),-('Diário 4º PA'!$Q$4:$Q$2564=E$1),('Diário 4º PA'!$F$4:$F$2564))+SUMPRODUCT(-('Comp.'!$D$5:$D$69='Analítico Cp.'!$B11),-('Comp.'!$K$5:$K$69=E$1),('Comp.'!$E$5:$E$69))</f>
        <v>0</v>
      </c>
      <c r="F11" s="12">
        <f>SUMPRODUCT(-('Diário 1º PA'!$E$4:$E$2635='Analítico Cp.'!$B11),-('Diário 1º PA'!$Q$4:$Q$2635=F$1),('Diário 1º PA'!$F$4:$F$2635))+SUMPRODUCT(-('Diário 2º PA'!$E$4:$E$3040='Analítico Cp.'!$B11),-('Diário 2º PA'!$Q$4:$Q$3040=F$1),('Diário 2º PA'!$F$4:$F$3040))+SUMPRODUCT(-('Diário 3º PA'!$E$4:$E$2731='Analítico Cp.'!$B11),-('Diário 3º PA'!$Q$4:$Q$2731=F$1),('Diário 3º PA'!$F$4:$F$2731))+SUMPRODUCT(-('Diário 4º PA'!$E$4:$E$2564='Analítico Cp.'!$B11),-('Diário 4º PA'!$Q$4:$Q$2564=F$1),('Diário 4º PA'!$F$4:$F$2564))+SUMPRODUCT(-('Comp.'!$D$5:$D$69='Analítico Cp.'!$B11),-('Comp.'!$K$5:$K$69=F$1),('Comp.'!$E$5:$E$69))</f>
        <v>0</v>
      </c>
      <c r="G11" s="12">
        <f>SUMPRODUCT(-('Diário 1º PA'!$E$4:$E$2635='Analítico Cp.'!$B11),-('Diário 1º PA'!$Q$4:$Q$2635=G$1),('Diário 1º PA'!$F$4:$F$2635))+SUMPRODUCT(-('Diário 2º PA'!$E$4:$E$3040='Analítico Cp.'!$B11),-('Diário 2º PA'!$Q$4:$Q$3040=G$1),('Diário 2º PA'!$F$4:$F$3040))+SUMPRODUCT(-('Diário 3º PA'!$E$4:$E$2731='Analítico Cp.'!$B11),-('Diário 3º PA'!$Q$4:$Q$2731=G$1),('Diário 3º PA'!$F$4:$F$2731))+SUMPRODUCT(-('Diário 4º PA'!$E$4:$E$2564='Analítico Cp.'!$B11),-('Diário 4º PA'!$Q$4:$Q$2564=G$1),('Diário 4º PA'!$F$4:$F$2564))+SUMPRODUCT(-('Comp.'!$D$5:$D$69='Analítico Cp.'!$B11),-('Comp.'!$K$5:$K$69=G$1),('Comp.'!$E$5:$E$69))</f>
        <v>2015796.93</v>
      </c>
      <c r="H11" s="12">
        <f>SUMPRODUCT(-('Diário 1º PA'!$E$4:$E$2635='Analítico Cp.'!$B11),-('Diário 1º PA'!$Q$4:$Q$2635=H$1),('Diário 1º PA'!$F$4:$F$2635))+SUMPRODUCT(-('Diário 2º PA'!$E$4:$E$3040='Analítico Cp.'!$B11),-('Diário 2º PA'!$Q$4:$Q$3040=H$1),('Diário 2º PA'!$F$4:$F$3040))+SUMPRODUCT(-('Diário 3º PA'!$E$4:$E$2731='Analítico Cp.'!$B11),-('Diário 3º PA'!$Q$4:$Q$2731=H$1),('Diário 3º PA'!$F$4:$F$2731))+SUMPRODUCT(-('Diário 4º PA'!$E$4:$E$2564='Analítico Cp.'!$B11),-('Diário 4º PA'!$Q$4:$Q$2564=H$1),('Diário 4º PA'!$F$4:$F$2564))+SUMPRODUCT(-('Comp.'!$D$5:$D$69='Analítico Cp.'!$B11),-('Comp.'!$K$5:$K$69=H$1),('Comp.'!$E$5:$E$69))</f>
        <v>0</v>
      </c>
      <c r="I11" s="12">
        <f>SUMPRODUCT(-('Diário 1º PA'!$E$4:$E$2635='Analítico Cp.'!$B11),-('Diário 1º PA'!$Q$4:$Q$2635=I$1),('Diário 1º PA'!$F$4:$F$2635))+SUMPRODUCT(-('Diário 2º PA'!$E$4:$E$3040='Analítico Cp.'!$B11),-('Diário 2º PA'!$Q$4:$Q$3040=I$1),('Diário 2º PA'!$F$4:$F$3040))+SUMPRODUCT(-('Diário 3º PA'!$E$4:$E$2731='Analítico Cp.'!$B11),-('Diário 3º PA'!$Q$4:$Q$2731=I$1),('Diário 3º PA'!$F$4:$F$2731))+SUMPRODUCT(-('Diário 4º PA'!$E$4:$E$2564='Analítico Cp.'!$B11),-('Diário 4º PA'!$Q$4:$Q$2564=I$1),('Diário 4º PA'!$F$4:$F$2564))+SUMPRODUCT(-('Comp.'!$D$5:$D$69='Analítico Cp.'!$B11),-('Comp.'!$K$5:$K$69=I$1),('Comp.'!$E$5:$E$69))</f>
        <v>0</v>
      </c>
      <c r="J11" s="12">
        <f>SUMPRODUCT(-('Diário 1º PA'!$E$4:$E$2635='Analítico Cp.'!$B11),-('Diário 1º PA'!$Q$4:$Q$2635=J$1),('Diário 1º PA'!$F$4:$F$2635))+SUMPRODUCT(-('Diário 2º PA'!$E$4:$E$3040='Analítico Cp.'!$B11),-('Diário 2º PA'!$Q$4:$Q$3040=J$1),('Diário 2º PA'!$F$4:$F$3040))+SUMPRODUCT(-('Diário 3º PA'!$E$4:$E$2731='Analítico Cp.'!$B11),-('Diário 3º PA'!$Q$4:$Q$2731=J$1),('Diário 3º PA'!$F$4:$F$2731))+SUMPRODUCT(-('Diário 4º PA'!$E$4:$E$2564='Analítico Cp.'!$B11),-('Diário 4º PA'!$Q$4:$Q$2564=J$1),('Diário 4º PA'!$F$4:$F$2564))+SUMPRODUCT(-('Comp.'!$D$5:$D$69='Analítico Cp.'!$B11),-('Comp.'!$K$5:$K$69=J$1),('Comp.'!$E$5:$E$69))</f>
        <v>1868252.49</v>
      </c>
      <c r="K11" s="12">
        <f>SUMPRODUCT(-('Diário 1º PA'!$E$4:$E$2635='Analítico Cp.'!$B11),-('Diário 1º PA'!$Q$4:$Q$2635=K$1),('Diário 1º PA'!$F$4:$F$2635))+SUMPRODUCT(-('Diário 2º PA'!$E$4:$E$3040='Analítico Cp.'!$B11),-('Diário 2º PA'!$Q$4:$Q$3040=K$1),('Diário 2º PA'!$F$4:$F$3040))+SUMPRODUCT(-('Diário 3º PA'!$E$4:$E$2731='Analítico Cp.'!$B11),-('Diário 3º PA'!$Q$4:$Q$2731=K$1),('Diário 3º PA'!$F$4:$F$2731))+SUMPRODUCT(-('Diário 4º PA'!$E$4:$E$2564='Analítico Cp.'!$B11),-('Diário 4º PA'!$Q$4:$Q$2564=K$1),('Diário 4º PA'!$F$4:$F$2564))+SUMPRODUCT(-('Comp.'!$D$5:$D$69='Analítico Cp.'!$B11),-('Comp.'!$K$5:$K$69=K$1),('Comp.'!$E$5:$E$69))</f>
        <v>0</v>
      </c>
      <c r="L11" s="12">
        <f>SUMPRODUCT(-('Diário 1º PA'!$E$4:$E$2635='Analítico Cp.'!$B11),-('Diário 1º PA'!$Q$4:$Q$2635=L$1),('Diário 1º PA'!$F$4:$F$2635))+SUMPRODUCT(-('Diário 2º PA'!$E$4:$E$3040='Analítico Cp.'!$B11),-('Diário 2º PA'!$Q$4:$Q$3040=L$1),('Diário 2º PA'!$F$4:$F$3040))+SUMPRODUCT(-('Diário 3º PA'!$E$4:$E$2731='Analítico Cp.'!$B11),-('Diário 3º PA'!$Q$4:$Q$2731=L$1),('Diário 3º PA'!$F$4:$F$2731))+SUMPRODUCT(-('Diário 4º PA'!$E$4:$E$2564='Analítico Cp.'!$B11),-('Diário 4º PA'!$Q$4:$Q$2564=L$1),('Diário 4º PA'!$F$4:$F$2564))+SUMPRODUCT(-('Comp.'!$D$5:$D$69='Analítico Cp.'!$B11),-('Comp.'!$K$5:$K$69=L$1),('Comp.'!$E$5:$E$69))</f>
        <v>0</v>
      </c>
      <c r="M11" s="12">
        <f>SUMPRODUCT(-('Diário 1º PA'!$E$4:$E$2635='Analítico Cp.'!$B11),-('Diário 1º PA'!$Q$4:$Q$2635=M$1),('Diário 1º PA'!$F$4:$F$2635))+SUMPRODUCT(-('Diário 2º PA'!$E$4:$E$3040='Analítico Cp.'!$B11),-('Diário 2º PA'!$Q$4:$Q$3040=M$1),('Diário 2º PA'!$F$4:$F$3040))+SUMPRODUCT(-('Diário 3º PA'!$E$4:$E$2731='Analítico Cp.'!$B11),-('Diário 3º PA'!$Q$4:$Q$2731=M$1),('Diário 3º PA'!$F$4:$F$2731))+SUMPRODUCT(-('Diário 4º PA'!$E$4:$E$2564='Analítico Cp.'!$B11),-('Diário 4º PA'!$Q$4:$Q$2564=M$1),('Diário 4º PA'!$F$4:$F$2564))+SUMPRODUCT(-('Comp.'!$D$5:$D$69='Analítico Cp.'!$B11),-('Comp.'!$K$5:$K$69=M$1),('Comp.'!$E$5:$E$69))</f>
        <v>616667.24</v>
      </c>
      <c r="N11" s="12">
        <f>SUMPRODUCT(-('Diário 1º PA'!$E$4:$E$2635='Analítico Cp.'!$B11),-('Diário 1º PA'!$Q$4:$Q$2635=N$1),('Diário 1º PA'!$F$4:$F$2635))+SUMPRODUCT(-('Diário 2º PA'!$E$4:$E$3040='Analítico Cp.'!$B11),-('Diário 2º PA'!$Q$4:$Q$3040=N$1),('Diário 2º PA'!$F$4:$F$3040))+SUMPRODUCT(-('Diário 3º PA'!$E$4:$E$2731='Analítico Cp.'!$B11),-('Diário 3º PA'!$Q$4:$Q$2731=N$1),('Diário 3º PA'!$F$4:$F$2731))+SUMPRODUCT(-('Diário 4º PA'!$E$4:$E$2564='Analítico Cp.'!$B11),-('Diário 4º PA'!$Q$4:$Q$2564=N$1),('Diário 4º PA'!$F$4:$F$2564))+SUMPRODUCT(-('Comp.'!$D$5:$D$69='Analítico Cp.'!$B11),-('Comp.'!$K$5:$K$69=N$1),('Comp.'!$E$5:$E$69))</f>
        <v>0</v>
      </c>
      <c r="O11" s="13">
        <f>SUM(C11:N11)</f>
        <v>7120905.7300000004</v>
      </c>
      <c r="P11" s="167">
        <f>IF($O$15=0,0,O11/$O$15)</f>
        <v>0.46833567760662104</v>
      </c>
    </row>
    <row r="12" spans="1:16" ht="23.25" customHeight="1" x14ac:dyDescent="0.2">
      <c r="A12" s="22" t="s">
        <v>43</v>
      </c>
      <c r="B12" s="60" t="s">
        <v>331</v>
      </c>
      <c r="C12" s="12">
        <f>SUMPRODUCT(-('Diário 1º PA'!$E$4:$E$2635='Analítico Cp.'!$B12),-('Diário 1º PA'!$Q$4:$Q$2635=C$1),('Diário 1º PA'!$F$4:$F$2635))+SUMPRODUCT(-('Diário 2º PA'!$E$4:$E$3040='Analítico Cp.'!$B12),-('Diário 2º PA'!$Q$4:$Q$3040=C$1),('Diário 2º PA'!$F$4:$F$3040))+SUMPRODUCT(-('Diário 3º PA'!$E$4:$E$2731='Analítico Cp.'!$B12),-('Diário 3º PA'!$Q$4:$Q$2731=C$1),('Diário 3º PA'!$F$4:$F$2731))+SUMPRODUCT(-('Diário 4º PA'!$E$4:$E$2564='Analítico Cp.'!$B12),-('Diário 4º PA'!$Q$4:$Q$2564=C$1),('Diário 4º PA'!$F$4:$F$2564))+SUMPRODUCT(-('Comp.'!$D$5:$D$69='Analítico Cp.'!$B12),-('Comp.'!$K$5:$K$69=C$1),('Comp.'!$E$5:$E$69))</f>
        <v>0</v>
      </c>
      <c r="D12" s="12">
        <f>SUMPRODUCT(-('Diário 1º PA'!$E$4:$E$2635='Analítico Cp.'!$B12),-('Diário 1º PA'!$Q$4:$Q$2635=D$1),('Diário 1º PA'!$F$4:$F$2635))+SUMPRODUCT(-('Diário 2º PA'!$E$4:$E$3040='Analítico Cp.'!$B12),-('Diário 2º PA'!$Q$4:$Q$3040=D$1),('Diário 2º PA'!$F$4:$F$3040))+SUMPRODUCT(-('Diário 3º PA'!$E$4:$E$2731='Analítico Cp.'!$B12),-('Diário 3º PA'!$Q$4:$Q$2731=D$1),('Diário 3º PA'!$F$4:$F$2731))+SUMPRODUCT(-('Diário 4º PA'!$E$4:$E$2564='Analítico Cp.'!$B12),-('Diário 4º PA'!$Q$4:$Q$2564=D$1),('Diário 4º PA'!$F$4:$F$2564))+SUMPRODUCT(-('Comp.'!$D$5:$D$69='Analítico Cp.'!$B12),-('Comp.'!$K$5:$K$69=D$1),('Comp.'!$E$5:$E$69))</f>
        <v>0</v>
      </c>
      <c r="E12" s="12">
        <f>SUMPRODUCT(-('Diário 1º PA'!$E$4:$E$2635='Analítico Cp.'!$B12),-('Diário 1º PA'!$Q$4:$Q$2635=E$1),('Diário 1º PA'!$F$4:$F$2635))+SUMPRODUCT(-('Diário 2º PA'!$E$4:$E$3040='Analítico Cp.'!$B12),-('Diário 2º PA'!$Q$4:$Q$3040=E$1),('Diário 2º PA'!$F$4:$F$3040))+SUMPRODUCT(-('Diário 3º PA'!$E$4:$E$2731='Analítico Cp.'!$B12),-('Diário 3º PA'!$Q$4:$Q$2731=E$1),('Diário 3º PA'!$F$4:$F$2731))+SUMPRODUCT(-('Diário 4º PA'!$E$4:$E$2564='Analítico Cp.'!$B12),-('Diário 4º PA'!$Q$4:$Q$2564=E$1),('Diário 4º PA'!$F$4:$F$2564))+SUMPRODUCT(-('Comp.'!$D$5:$D$69='Analítico Cp.'!$B12),-('Comp.'!$K$5:$K$69=E$1),('Comp.'!$E$5:$E$69))</f>
        <v>0</v>
      </c>
      <c r="F12" s="12">
        <f>SUMPRODUCT(-('Diário 1º PA'!$E$4:$E$2635='Analítico Cp.'!$B12),-('Diário 1º PA'!$Q$4:$Q$2635=F$1),('Diário 1º PA'!$F$4:$F$2635))+SUMPRODUCT(-('Diário 2º PA'!$E$4:$E$3040='Analítico Cp.'!$B12),-('Diário 2º PA'!$Q$4:$Q$3040=F$1),('Diário 2º PA'!$F$4:$F$3040))+SUMPRODUCT(-('Diário 3º PA'!$E$4:$E$2731='Analítico Cp.'!$B12),-('Diário 3º PA'!$Q$4:$Q$2731=F$1),('Diário 3º PA'!$F$4:$F$2731))+SUMPRODUCT(-('Diário 4º PA'!$E$4:$E$2564='Analítico Cp.'!$B12),-('Diário 4º PA'!$Q$4:$Q$2564=F$1),('Diário 4º PA'!$F$4:$F$2564))+SUMPRODUCT(-('Comp.'!$D$5:$D$69='Analítico Cp.'!$B12),-('Comp.'!$K$5:$K$69=F$1),('Comp.'!$E$5:$E$69))</f>
        <v>300000</v>
      </c>
      <c r="G12" s="12">
        <f>SUMPRODUCT(-('Diário 1º PA'!$E$4:$E$2635='Analítico Cp.'!$B12),-('Diário 1º PA'!$Q$4:$Q$2635=G$1),('Diário 1º PA'!$F$4:$F$2635))+SUMPRODUCT(-('Diário 2º PA'!$E$4:$E$3040='Analítico Cp.'!$B12),-('Diário 2º PA'!$Q$4:$Q$3040=G$1),('Diário 2º PA'!$F$4:$F$3040))+SUMPRODUCT(-('Diário 3º PA'!$E$4:$E$2731='Analítico Cp.'!$B12),-('Diário 3º PA'!$Q$4:$Q$2731=G$1),('Diário 3º PA'!$F$4:$F$2731))+SUMPRODUCT(-('Diário 4º PA'!$E$4:$E$2564='Analítico Cp.'!$B12),-('Diário 4º PA'!$Q$4:$Q$2564=G$1),('Diário 4º PA'!$F$4:$F$2564))+SUMPRODUCT(-('Comp.'!$D$5:$D$69='Analítico Cp.'!$B12),-('Comp.'!$K$5:$K$69=G$1),('Comp.'!$E$5:$E$69))</f>
        <v>110561.54</v>
      </c>
      <c r="H12" s="12">
        <f>SUMPRODUCT(-('Diário 1º PA'!$E$4:$E$2635='Analítico Cp.'!$B12),-('Diário 1º PA'!$Q$4:$Q$2635=H$1),('Diário 1º PA'!$F$4:$F$2635))+SUMPRODUCT(-('Diário 2º PA'!$E$4:$E$3040='Analítico Cp.'!$B12),-('Diário 2º PA'!$Q$4:$Q$3040=H$1),('Diário 2º PA'!$F$4:$F$3040))+SUMPRODUCT(-('Diário 3º PA'!$E$4:$E$2731='Analítico Cp.'!$B12),-('Diário 3º PA'!$Q$4:$Q$2731=H$1),('Diário 3º PA'!$F$4:$F$2731))+SUMPRODUCT(-('Diário 4º PA'!$E$4:$E$2564='Analítico Cp.'!$B12),-('Diário 4º PA'!$Q$4:$Q$2564=H$1),('Diário 4º PA'!$F$4:$F$2564))+SUMPRODUCT(-('Comp.'!$D$5:$D$69='Analítico Cp.'!$B12),-('Comp.'!$K$5:$K$69=H$1),('Comp.'!$E$5:$E$69))</f>
        <v>83000</v>
      </c>
      <c r="I12" s="12">
        <f>SUMPRODUCT(-('Diário 1º PA'!$E$4:$E$2635='Analítico Cp.'!$B12),-('Diário 1º PA'!$Q$4:$Q$2635=I$1),('Diário 1º PA'!$F$4:$F$2635))+SUMPRODUCT(-('Diário 2º PA'!$E$4:$E$3040='Analítico Cp.'!$B12),-('Diário 2º PA'!$Q$4:$Q$3040=I$1),('Diário 2º PA'!$F$4:$F$3040))+SUMPRODUCT(-('Diário 3º PA'!$E$4:$E$2731='Analítico Cp.'!$B12),-('Diário 3º PA'!$Q$4:$Q$2731=I$1),('Diário 3º PA'!$F$4:$F$2731))+SUMPRODUCT(-('Diário 4º PA'!$E$4:$E$2564='Analítico Cp.'!$B12),-('Diário 4º PA'!$Q$4:$Q$2564=I$1),('Diário 4º PA'!$F$4:$F$2564))+SUMPRODUCT(-('Comp.'!$D$5:$D$69='Analítico Cp.'!$B12),-('Comp.'!$K$5:$K$69=I$1),('Comp.'!$E$5:$E$69))</f>
        <v>944615.38</v>
      </c>
      <c r="J12" s="12">
        <f>SUMPRODUCT(-('Diário 1º PA'!$E$4:$E$2635='Analítico Cp.'!$B12),-('Diário 1º PA'!$Q$4:$Q$2635=J$1),('Diário 1º PA'!$F$4:$F$2635))+SUMPRODUCT(-('Diário 2º PA'!$E$4:$E$3040='Analítico Cp.'!$B12),-('Diário 2º PA'!$Q$4:$Q$3040=J$1),('Diário 2º PA'!$F$4:$F$3040))+SUMPRODUCT(-('Diário 3º PA'!$E$4:$E$2731='Analítico Cp.'!$B12),-('Diário 3º PA'!$Q$4:$Q$2731=J$1),('Diário 3º PA'!$F$4:$F$2731))+SUMPRODUCT(-('Diário 4º PA'!$E$4:$E$2564='Analítico Cp.'!$B12),-('Diário 4º PA'!$Q$4:$Q$2564=J$1),('Diário 4º PA'!$F$4:$F$2564))+SUMPRODUCT(-('Comp.'!$D$5:$D$69='Analítico Cp.'!$B12),-('Comp.'!$K$5:$K$69=J$1),('Comp.'!$E$5:$E$69))</f>
        <v>61823.08</v>
      </c>
      <c r="K12" s="12">
        <f>SUMPRODUCT(-('Diário 1º PA'!$E$4:$E$2635='Analítico Cp.'!$B12),-('Diário 1º PA'!$Q$4:$Q$2635=K$1),('Diário 1º PA'!$F$4:$F$2635))+SUMPRODUCT(-('Diário 2º PA'!$E$4:$E$3040='Analítico Cp.'!$B12),-('Diário 2º PA'!$Q$4:$Q$3040=K$1),('Diário 2º PA'!$F$4:$F$3040))+SUMPRODUCT(-('Diário 3º PA'!$E$4:$E$2731='Analítico Cp.'!$B12),-('Diário 3º PA'!$Q$4:$Q$2731=K$1),('Diário 3º PA'!$F$4:$F$2731))+SUMPRODUCT(-('Diário 4º PA'!$E$4:$E$2564='Analítico Cp.'!$B12),-('Diário 4º PA'!$Q$4:$Q$2564=K$1),('Diário 4º PA'!$F$4:$F$2564))+SUMPRODUCT(-('Comp.'!$D$5:$D$69='Analítico Cp.'!$B12),-('Comp.'!$K$5:$K$69=K$1),('Comp.'!$E$5:$E$69))</f>
        <v>0</v>
      </c>
      <c r="L12" s="12">
        <f>SUMPRODUCT(-('Diário 1º PA'!$E$4:$E$2635='Analítico Cp.'!$B12),-('Diário 1º PA'!$Q$4:$Q$2635=L$1),('Diário 1º PA'!$F$4:$F$2635))+SUMPRODUCT(-('Diário 2º PA'!$E$4:$E$3040='Analítico Cp.'!$B12),-('Diário 2º PA'!$Q$4:$Q$3040=L$1),('Diário 2º PA'!$F$4:$F$3040))+SUMPRODUCT(-('Diário 3º PA'!$E$4:$E$2731='Analítico Cp.'!$B12),-('Diário 3º PA'!$Q$4:$Q$2731=L$1),('Diário 3º PA'!$F$4:$F$2731))+SUMPRODUCT(-('Diário 4º PA'!$E$4:$E$2564='Analítico Cp.'!$B12),-('Diário 4º PA'!$Q$4:$Q$2564=L$1),('Diário 4º PA'!$F$4:$F$2564))+SUMPRODUCT(-('Comp.'!$D$5:$D$69='Analítico Cp.'!$B12),-('Comp.'!$K$5:$K$69=L$1),('Comp.'!$E$5:$E$69))</f>
        <v>0</v>
      </c>
      <c r="M12" s="12">
        <f>SUMPRODUCT(-('Diário 1º PA'!$E$4:$E$2635='Analítico Cp.'!$B12),-('Diário 1º PA'!$Q$4:$Q$2635=M$1),('Diário 1º PA'!$F$4:$F$2635))+SUMPRODUCT(-('Diário 2º PA'!$E$4:$E$3040='Analítico Cp.'!$B12),-('Diário 2º PA'!$Q$4:$Q$3040=M$1),('Diário 2º PA'!$F$4:$F$3040))+SUMPRODUCT(-('Diário 3º PA'!$E$4:$E$2731='Analítico Cp.'!$B12),-('Diário 3º PA'!$Q$4:$Q$2731=M$1),('Diário 3º PA'!$F$4:$F$2731))+SUMPRODUCT(-('Diário 4º PA'!$E$4:$E$2564='Analítico Cp.'!$B12),-('Diário 4º PA'!$Q$4:$Q$2564=M$1),('Diário 4º PA'!$F$4:$F$2564))+SUMPRODUCT(-('Comp.'!$D$5:$D$69='Analítico Cp.'!$B12),-('Comp.'!$K$5:$K$69=M$1),('Comp.'!$E$5:$E$69))</f>
        <v>0</v>
      </c>
      <c r="N12" s="12">
        <f>SUMPRODUCT(-('Diário 1º PA'!$E$4:$E$2635='Analítico Cp.'!$B12),-('Diário 1º PA'!$Q$4:$Q$2635=N$1),('Diário 1º PA'!$F$4:$F$2635))+SUMPRODUCT(-('Diário 2º PA'!$E$4:$E$3040='Analítico Cp.'!$B12),-('Diário 2º PA'!$Q$4:$Q$3040=N$1),('Diário 2º PA'!$F$4:$F$3040))+SUMPRODUCT(-('Diário 3º PA'!$E$4:$E$2731='Analítico Cp.'!$B12),-('Diário 3º PA'!$Q$4:$Q$2731=N$1),('Diário 3º PA'!$F$4:$F$2731))+SUMPRODUCT(-('Diário 4º PA'!$E$4:$E$2564='Analítico Cp.'!$B12),-('Diário 4º PA'!$Q$4:$Q$2564=N$1),('Diário 4º PA'!$F$4:$F$2564))+SUMPRODUCT(-('Comp.'!$D$5:$D$69='Analítico Cp.'!$B12),-('Comp.'!$K$5:$K$69=N$1),('Comp.'!$E$5:$E$69))</f>
        <v>0</v>
      </c>
      <c r="O12" s="13">
        <f>SUM(C12:N12)</f>
        <v>1500000</v>
      </c>
      <c r="P12" s="167">
        <f>IF($O$15=0,0,O12/$O$15)</f>
        <v>9.8653674552988568E-2</v>
      </c>
    </row>
    <row r="13" spans="1:16" ht="23.25" customHeight="1" x14ac:dyDescent="0.2">
      <c r="A13" s="22" t="s">
        <v>45</v>
      </c>
      <c r="B13" s="60" t="s">
        <v>167</v>
      </c>
      <c r="C13" s="12">
        <f>SUMPRODUCT(-('Diário 1º PA'!$E$4:$E$2635='Analítico Cp.'!$B13),-('Diário 1º PA'!$Q$4:$Q$2635=C$1),('Diário 1º PA'!$F$4:$F$2635))+SUMPRODUCT(-('Diário 2º PA'!$E$4:$E$3040='Analítico Cp.'!$B13),-('Diário 2º PA'!$Q$4:$Q$3040=C$1),('Diário 2º PA'!$F$4:$F$3040))+SUMPRODUCT(-('Diário 3º PA'!$E$4:$E$2731='Analítico Cp.'!$B13),-('Diário 3º PA'!$Q$4:$Q$2731=C$1),('Diário 3º PA'!$F$4:$F$2731))+SUMPRODUCT(-('Diário 4º PA'!$E$4:$E$2564='Analítico Cp.'!$B13),-('Diário 4º PA'!$Q$4:$Q$2564=C$1),('Diário 4º PA'!$F$4:$F$2564))+SUMPRODUCT(-('Comp.'!$D$5:$D$69='Analítico Cp.'!$B13),-('Comp.'!$K$5:$K$69=C$1),('Comp.'!$E$5:$E$69))</f>
        <v>1030</v>
      </c>
      <c r="D13" s="12">
        <f>SUMPRODUCT(-('Diário 1º PA'!$E$4:$E$2635='Analítico Cp.'!$B13),-('Diário 1º PA'!$Q$4:$Q$2635=D$1),('Diário 1º PA'!$F$4:$F$2635))+SUMPRODUCT(-('Diário 2º PA'!$E$4:$E$3040='Analítico Cp.'!$B13),-('Diário 2º PA'!$Q$4:$Q$3040=D$1),('Diário 2º PA'!$F$4:$F$3040))+SUMPRODUCT(-('Diário 3º PA'!$E$4:$E$2731='Analítico Cp.'!$B13),-('Diário 3º PA'!$Q$4:$Q$2731=D$1),('Diário 3º PA'!$F$4:$F$2731))+SUMPRODUCT(-('Diário 4º PA'!$E$4:$E$2564='Analítico Cp.'!$B13),-('Diário 4º PA'!$Q$4:$Q$2564=D$1),('Diário 4º PA'!$F$4:$F$2564))+SUMPRODUCT(-('Comp.'!$D$5:$D$69='Analítico Cp.'!$B13),-('Comp.'!$K$5:$K$69=D$1),('Comp.'!$E$5:$E$69))</f>
        <v>0</v>
      </c>
      <c r="E13" s="12">
        <f>SUMPRODUCT(-('Diário 1º PA'!$E$4:$E$2635='Analítico Cp.'!$B13),-('Diário 1º PA'!$Q$4:$Q$2635=E$1),('Diário 1º PA'!$F$4:$F$2635))+SUMPRODUCT(-('Diário 2º PA'!$E$4:$E$3040='Analítico Cp.'!$B13),-('Diário 2º PA'!$Q$4:$Q$3040=E$1),('Diário 2º PA'!$F$4:$F$3040))+SUMPRODUCT(-('Diário 3º PA'!$E$4:$E$2731='Analítico Cp.'!$B13),-('Diário 3º PA'!$Q$4:$Q$2731=E$1),('Diário 3º PA'!$F$4:$F$2731))+SUMPRODUCT(-('Diário 4º PA'!$E$4:$E$2564='Analítico Cp.'!$B13),-('Diário 4º PA'!$Q$4:$Q$2564=E$1),('Diário 4º PA'!$F$4:$F$2564))+SUMPRODUCT(-('Comp.'!$D$5:$D$69='Analítico Cp.'!$B13),-('Comp.'!$K$5:$K$69=E$1),('Comp.'!$E$5:$E$69))</f>
        <v>1820</v>
      </c>
      <c r="F13" s="12">
        <f>SUMPRODUCT(-('Diário 1º PA'!$E$4:$E$2635='Analítico Cp.'!$B13),-('Diário 1º PA'!$Q$4:$Q$2635=F$1),('Diário 1º PA'!$F$4:$F$2635))+SUMPRODUCT(-('Diário 2º PA'!$E$4:$E$3040='Analítico Cp.'!$B13),-('Diário 2º PA'!$Q$4:$Q$3040=F$1),('Diário 2º PA'!$F$4:$F$3040))+SUMPRODUCT(-('Diário 3º PA'!$E$4:$E$2731='Analítico Cp.'!$B13),-('Diário 3º PA'!$Q$4:$Q$2731=F$1),('Diário 3º PA'!$F$4:$F$2731))+SUMPRODUCT(-('Diário 4º PA'!$E$4:$E$2564='Analítico Cp.'!$B13),-('Diário 4º PA'!$Q$4:$Q$2564=F$1),('Diário 4º PA'!$F$4:$F$2564))+SUMPRODUCT(-('Comp.'!$D$5:$D$69='Analítico Cp.'!$B13),-('Comp.'!$K$5:$K$69=F$1),('Comp.'!$E$5:$E$69))</f>
        <v>0</v>
      </c>
      <c r="G13" s="12">
        <f>SUMPRODUCT(-('Diário 1º PA'!$E$4:$E$2635='Analítico Cp.'!$B13),-('Diário 1º PA'!$Q$4:$Q$2635=G$1),('Diário 1º PA'!$F$4:$F$2635))+SUMPRODUCT(-('Diário 2º PA'!$E$4:$E$3040='Analítico Cp.'!$B13),-('Diário 2º PA'!$Q$4:$Q$3040=G$1),('Diário 2º PA'!$F$4:$F$3040))+SUMPRODUCT(-('Diário 3º PA'!$E$4:$E$2731='Analítico Cp.'!$B13),-('Diário 3º PA'!$Q$4:$Q$2731=G$1),('Diário 3º PA'!$F$4:$F$2731))+SUMPRODUCT(-('Diário 4º PA'!$E$4:$E$2564='Analítico Cp.'!$B13),-('Diário 4º PA'!$Q$4:$Q$2564=G$1),('Diário 4º PA'!$F$4:$F$2564))+SUMPRODUCT(-('Comp.'!$D$5:$D$69='Analítico Cp.'!$B13),-('Comp.'!$K$5:$K$69=G$1),('Comp.'!$E$5:$E$69))</f>
        <v>5260</v>
      </c>
      <c r="H13" s="12">
        <f>SUMPRODUCT(-('Diário 1º PA'!$E$4:$E$2635='Analítico Cp.'!$B13),-('Diário 1º PA'!$Q$4:$Q$2635=H$1),('Diário 1º PA'!$F$4:$F$2635))+SUMPRODUCT(-('Diário 2º PA'!$E$4:$E$3040='Analítico Cp.'!$B13),-('Diário 2º PA'!$Q$4:$Q$3040=H$1),('Diário 2º PA'!$F$4:$F$3040))+SUMPRODUCT(-('Diário 3º PA'!$E$4:$E$2731='Analítico Cp.'!$B13),-('Diário 3º PA'!$Q$4:$Q$2731=H$1),('Diário 3º PA'!$F$4:$F$2731))+SUMPRODUCT(-('Diário 4º PA'!$E$4:$E$2564='Analítico Cp.'!$B13),-('Diário 4º PA'!$Q$4:$Q$2564=H$1),('Diário 4º PA'!$F$4:$F$2564))+SUMPRODUCT(-('Comp.'!$D$5:$D$69='Analítico Cp.'!$B13),-('Comp.'!$K$5:$K$69=H$1),('Comp.'!$E$5:$E$69))</f>
        <v>702</v>
      </c>
      <c r="I13" s="12">
        <f>SUMPRODUCT(-('Diário 1º PA'!$E$4:$E$2635='Analítico Cp.'!$B13),-('Diário 1º PA'!$Q$4:$Q$2635=I$1),('Diário 1º PA'!$F$4:$F$2635))+SUMPRODUCT(-('Diário 2º PA'!$E$4:$E$3040='Analítico Cp.'!$B13),-('Diário 2º PA'!$Q$4:$Q$3040=I$1),('Diário 2º PA'!$F$4:$F$3040))+SUMPRODUCT(-('Diário 3º PA'!$E$4:$E$2731='Analítico Cp.'!$B13),-('Diário 3º PA'!$Q$4:$Q$2731=I$1),('Diário 3º PA'!$F$4:$F$2731))+SUMPRODUCT(-('Diário 4º PA'!$E$4:$E$2564='Analítico Cp.'!$B13),-('Diário 4º PA'!$Q$4:$Q$2564=I$1),('Diário 4º PA'!$F$4:$F$2564))+SUMPRODUCT(-('Comp.'!$D$5:$D$69='Analítico Cp.'!$B13),-('Comp.'!$K$5:$K$69=I$1),('Comp.'!$E$5:$E$69))</f>
        <v>570</v>
      </c>
      <c r="J13" s="12">
        <f>SUMPRODUCT(-('Diário 1º PA'!$E$4:$E$2635='Analítico Cp.'!$B13),-('Diário 1º PA'!$Q$4:$Q$2635=J$1),('Diário 1º PA'!$F$4:$F$2635))+SUMPRODUCT(-('Diário 2º PA'!$E$4:$E$3040='Analítico Cp.'!$B13),-('Diário 2º PA'!$Q$4:$Q$3040=J$1),('Diário 2º PA'!$F$4:$F$3040))+SUMPRODUCT(-('Diário 3º PA'!$E$4:$E$2731='Analítico Cp.'!$B13),-('Diário 3º PA'!$Q$4:$Q$2731=J$1),('Diário 3º PA'!$F$4:$F$2731))+SUMPRODUCT(-('Diário 4º PA'!$E$4:$E$2564='Analítico Cp.'!$B13),-('Diário 4º PA'!$Q$4:$Q$2564=J$1),('Diário 4º PA'!$F$4:$F$2564))+SUMPRODUCT(-('Comp.'!$D$5:$D$69='Analítico Cp.'!$B13),-('Comp.'!$K$5:$K$69=J$1),('Comp.'!$E$5:$E$69))</f>
        <v>340</v>
      </c>
      <c r="K13" s="12">
        <f>SUMPRODUCT(-('Diário 1º PA'!$E$4:$E$2635='Analítico Cp.'!$B13),-('Diário 1º PA'!$Q$4:$Q$2635=K$1),('Diário 1º PA'!$F$4:$F$2635))+SUMPRODUCT(-('Diário 2º PA'!$E$4:$E$3040='Analítico Cp.'!$B13),-('Diário 2º PA'!$Q$4:$Q$3040=K$1),('Diário 2º PA'!$F$4:$F$3040))+SUMPRODUCT(-('Diário 3º PA'!$E$4:$E$2731='Analítico Cp.'!$B13),-('Diário 3º PA'!$Q$4:$Q$2731=K$1),('Diário 3º PA'!$F$4:$F$2731))+SUMPRODUCT(-('Diário 4º PA'!$E$4:$E$2564='Analítico Cp.'!$B13),-('Diário 4º PA'!$Q$4:$Q$2564=K$1),('Diário 4º PA'!$F$4:$F$2564))+SUMPRODUCT(-('Comp.'!$D$5:$D$69='Analítico Cp.'!$B13),-('Comp.'!$K$5:$K$69=K$1),('Comp.'!$E$5:$E$69))</f>
        <v>500</v>
      </c>
      <c r="L13" s="12">
        <f>SUMPRODUCT(-('Diário 1º PA'!$E$4:$E$2635='Analítico Cp.'!$B13),-('Diário 1º PA'!$Q$4:$Q$2635=L$1),('Diário 1º PA'!$F$4:$F$2635))+SUMPRODUCT(-('Diário 2º PA'!$E$4:$E$3040='Analítico Cp.'!$B13),-('Diário 2º PA'!$Q$4:$Q$3040=L$1),('Diário 2º PA'!$F$4:$F$3040))+SUMPRODUCT(-('Diário 3º PA'!$E$4:$E$2731='Analítico Cp.'!$B13),-('Diário 3º PA'!$Q$4:$Q$2731=L$1),('Diário 3º PA'!$F$4:$F$2731))+SUMPRODUCT(-('Diário 4º PA'!$E$4:$E$2564='Analítico Cp.'!$B13),-('Diário 4º PA'!$Q$4:$Q$2564=L$1),('Diário 4º PA'!$F$4:$F$2564))+SUMPRODUCT(-('Comp.'!$D$5:$D$69='Analítico Cp.'!$B13),-('Comp.'!$K$5:$K$69=L$1),('Comp.'!$E$5:$E$69))</f>
        <v>630</v>
      </c>
      <c r="M13" s="12">
        <f>SUMPRODUCT(-('Diário 1º PA'!$E$4:$E$2635='Analítico Cp.'!$B13),-('Diário 1º PA'!$Q$4:$Q$2635=M$1),('Diário 1º PA'!$F$4:$F$2635))+SUMPRODUCT(-('Diário 2º PA'!$E$4:$E$3040='Analítico Cp.'!$B13),-('Diário 2º PA'!$Q$4:$Q$3040=M$1),('Diário 2º PA'!$F$4:$F$3040))+SUMPRODUCT(-('Diário 3º PA'!$E$4:$E$2731='Analítico Cp.'!$B13),-('Diário 3º PA'!$Q$4:$Q$2731=M$1),('Diário 3º PA'!$F$4:$F$2731))+SUMPRODUCT(-('Diário 4º PA'!$E$4:$E$2564='Analítico Cp.'!$B13),-('Diário 4º PA'!$Q$4:$Q$2564=M$1),('Diário 4º PA'!$F$4:$F$2564))+SUMPRODUCT(-('Comp.'!$D$5:$D$69='Analítico Cp.'!$B13),-('Comp.'!$K$5:$K$69=M$1),('Comp.'!$E$5:$E$69))</f>
        <v>835</v>
      </c>
      <c r="N13" s="12">
        <f>SUMPRODUCT(-('Diário 1º PA'!$E$4:$E$2635='Analítico Cp.'!$B13),-('Diário 1º PA'!$Q$4:$Q$2635=N$1),('Diário 1º PA'!$F$4:$F$2635))+SUMPRODUCT(-('Diário 2º PA'!$E$4:$E$3040='Analítico Cp.'!$B13),-('Diário 2º PA'!$Q$4:$Q$3040=N$1),('Diário 2º PA'!$F$4:$F$3040))+SUMPRODUCT(-('Diário 3º PA'!$E$4:$E$2731='Analítico Cp.'!$B13),-('Diário 3º PA'!$Q$4:$Q$2731=N$1),('Diário 3º PA'!$F$4:$F$2731))+SUMPRODUCT(-('Diário 4º PA'!$E$4:$E$2564='Analítico Cp.'!$B13),-('Diário 4º PA'!$Q$4:$Q$2564=N$1),('Diário 4º PA'!$F$4:$F$2564))+SUMPRODUCT(-('Comp.'!$D$5:$D$69='Analítico Cp.'!$B13),-('Comp.'!$K$5:$K$69=N$1),('Comp.'!$E$5:$E$69))</f>
        <v>6301542.8599999994</v>
      </c>
      <c r="O13" s="13">
        <f>SUM(C13:N13)</f>
        <v>6313229.8599999994</v>
      </c>
      <c r="P13" s="167">
        <f>IF($O$15=0,0,O13/$O$15)</f>
        <v>0.41521554932443305</v>
      </c>
    </row>
    <row r="14" spans="1:16" ht="23.25" customHeight="1" thickBot="1" x14ac:dyDescent="0.25">
      <c r="A14" s="263" t="s">
        <v>319</v>
      </c>
      <c r="B14" s="257" t="s">
        <v>295</v>
      </c>
      <c r="C14" s="264">
        <f>SUMPRODUCT(-('Diário 1º PA'!$E$4:$E$2635='Analítico Cp.'!$B14),-('Diário 1º PA'!$Q$4:$Q$2635=C$1),('Diário 1º PA'!$F$4:$F$2635))+SUMPRODUCT(-('Diário 2º PA'!$E$4:$E$3040='Analítico Cp.'!$B14),-('Diário 2º PA'!$Q$4:$Q$3040=C$1),('Diário 2º PA'!$F$4:$F$3040))+SUMPRODUCT(-('Diário 3º PA'!$E$4:$E$2731='Analítico Cp.'!$B14),-('Diário 3º PA'!$Q$4:$Q$2731=C$1),('Diário 3º PA'!$F$4:$F$2731))+SUMPRODUCT(-('Diário 4º PA'!$E$4:$E$2564='Analítico Cp.'!$B14),-('Diário 4º PA'!$Q$4:$Q$2564=C$1),('Diário 4º PA'!$F$4:$F$2564))+SUMPRODUCT(-('Comp.'!$D$5:$D$69='Analítico Cp.'!$B14),-('Comp.'!$K$5:$K$69=C$1),('Comp.'!$E$5:$E$69))</f>
        <v>6654.84</v>
      </c>
      <c r="D14" s="264">
        <f>SUMPRODUCT(-('Diário 1º PA'!$E$4:$E$2635='Analítico Cp.'!$B14),-('Diário 1º PA'!$Q$4:$Q$2635=D$1),('Diário 1º PA'!$F$4:$F$2635))+SUMPRODUCT(-('Diário 2º PA'!$E$4:$E$3040='Analítico Cp.'!$B14),-('Diário 2º PA'!$Q$4:$Q$3040=D$1),('Diário 2º PA'!$F$4:$F$3040))+SUMPRODUCT(-('Diário 3º PA'!$E$4:$E$2731='Analítico Cp.'!$B14),-('Diário 3º PA'!$Q$4:$Q$2731=D$1),('Diário 3º PA'!$F$4:$F$2731))+SUMPRODUCT(-('Diário 4º PA'!$E$4:$E$2564='Analítico Cp.'!$B14),-('Diário 4º PA'!$Q$4:$Q$2564=D$1),('Diário 4º PA'!$F$4:$F$2564))+SUMPRODUCT(-('Comp.'!$D$5:$D$69='Analítico Cp.'!$B14),-('Comp.'!$K$5:$K$69=D$1),('Comp.'!$E$5:$E$69))</f>
        <v>6342.27</v>
      </c>
      <c r="E14" s="264">
        <f>SUMPRODUCT(-('Diário 1º PA'!$E$4:$E$2635='Analítico Cp.'!$B14),-('Diário 1º PA'!$Q$4:$Q$2635=E$1),('Diário 1º PA'!$F$4:$F$2635))+SUMPRODUCT(-('Diário 2º PA'!$E$4:$E$3040='Analítico Cp.'!$B14),-('Diário 2º PA'!$Q$4:$Q$3040=E$1),('Diário 2º PA'!$F$4:$F$3040))+SUMPRODUCT(-('Diário 3º PA'!$E$4:$E$2731='Analítico Cp.'!$B14),-('Diário 3º PA'!$Q$4:$Q$2731=E$1),('Diário 3º PA'!$F$4:$F$2731))+SUMPRODUCT(-('Diário 4º PA'!$E$4:$E$2564='Analítico Cp.'!$B14),-('Diário 4º PA'!$Q$4:$Q$2564=E$1),('Diário 4º PA'!$F$4:$F$2564))+SUMPRODUCT(-('Comp.'!$D$5:$D$69='Analítico Cp.'!$B14),-('Comp.'!$K$5:$K$69=E$1),('Comp.'!$E$5:$E$69))</f>
        <v>26799.87</v>
      </c>
      <c r="F14" s="264">
        <f>SUMPRODUCT(-('Diário 1º PA'!$E$4:$E$2635='Analítico Cp.'!$B14),-('Diário 1º PA'!$Q$4:$Q$2635=F$1),('Diário 1º PA'!$F$4:$F$2635))+SUMPRODUCT(-('Diário 2º PA'!$E$4:$E$3040='Analítico Cp.'!$B14),-('Diário 2º PA'!$Q$4:$Q$3040=F$1),('Diário 2º PA'!$F$4:$F$3040))+SUMPRODUCT(-('Diário 3º PA'!$E$4:$E$2731='Analítico Cp.'!$B14),-('Diário 3º PA'!$Q$4:$Q$2731=F$1),('Diário 3º PA'!$F$4:$F$2731))+SUMPRODUCT(-('Diário 4º PA'!$E$4:$E$2564='Analítico Cp.'!$B14),-('Diário 4º PA'!$Q$4:$Q$2564=F$1),('Diário 4º PA'!$F$4:$F$2564))+SUMPRODUCT(-('Comp.'!$D$5:$D$69='Analítico Cp.'!$B14),-('Comp.'!$K$5:$K$69=F$1),('Comp.'!$E$5:$E$69))</f>
        <v>0</v>
      </c>
      <c r="G14" s="264">
        <f>SUMPRODUCT(-('Diário 1º PA'!$E$4:$E$2635='Analítico Cp.'!$B14),-('Diário 1º PA'!$Q$4:$Q$2635=G$1),('Diário 1º PA'!$F$4:$F$2635))+SUMPRODUCT(-('Diário 2º PA'!$E$4:$E$3040='Analítico Cp.'!$B14),-('Diário 2º PA'!$Q$4:$Q$3040=G$1),('Diário 2º PA'!$F$4:$F$3040))+SUMPRODUCT(-('Diário 3º PA'!$E$4:$E$2731='Analítico Cp.'!$B14),-('Diário 3º PA'!$Q$4:$Q$2731=G$1),('Diário 3º PA'!$F$4:$F$2731))+SUMPRODUCT(-('Diário 4º PA'!$E$4:$E$2564='Analítico Cp.'!$B14),-('Diário 4º PA'!$Q$4:$Q$2564=G$1),('Diário 4º PA'!$F$4:$F$2564))+SUMPRODUCT(-('Comp.'!$D$5:$D$69='Analítico Cp.'!$B14),-('Comp.'!$K$5:$K$69=G$1),('Comp.'!$E$5:$E$69))</f>
        <v>21239</v>
      </c>
      <c r="H14" s="264">
        <f>SUMPRODUCT(-('Diário 1º PA'!$E$4:$E$2635='Analítico Cp.'!$B14),-('Diário 1º PA'!$Q$4:$Q$2635=H$1),('Diário 1º PA'!$F$4:$F$2635))+SUMPRODUCT(-('Diário 2º PA'!$E$4:$E$3040='Analítico Cp.'!$B14),-('Diário 2º PA'!$Q$4:$Q$3040=H$1),('Diário 2º PA'!$F$4:$F$3040))+SUMPRODUCT(-('Diário 3º PA'!$E$4:$E$2731='Analítico Cp.'!$B14),-('Diário 3º PA'!$Q$4:$Q$2731=H$1),('Diário 3º PA'!$F$4:$F$2731))+SUMPRODUCT(-('Diário 4º PA'!$E$4:$E$2564='Analítico Cp.'!$B14),-('Diário 4º PA'!$Q$4:$Q$2564=H$1),('Diário 4º PA'!$F$4:$F$2564))+SUMPRODUCT(-('Comp.'!$D$5:$D$69='Analítico Cp.'!$B14),-('Comp.'!$K$5:$K$69=H$1),('Comp.'!$E$5:$E$69))</f>
        <v>25292.35</v>
      </c>
      <c r="I14" s="264">
        <f>SUMPRODUCT(-('Diário 1º PA'!$E$4:$E$2635='Analítico Cp.'!$B14),-('Diário 1º PA'!$Q$4:$Q$2635=I$1),('Diário 1º PA'!$F$4:$F$2635))+SUMPRODUCT(-('Diário 2º PA'!$E$4:$E$3040='Analítico Cp.'!$B14),-('Diário 2º PA'!$Q$4:$Q$3040=I$1),('Diário 2º PA'!$F$4:$F$3040))+SUMPRODUCT(-('Diário 3º PA'!$E$4:$E$2731='Analítico Cp.'!$B14),-('Diário 3º PA'!$Q$4:$Q$2731=I$1),('Diário 3º PA'!$F$4:$F$2731))+SUMPRODUCT(-('Diário 4º PA'!$E$4:$E$2564='Analítico Cp.'!$B14),-('Diário 4º PA'!$Q$4:$Q$2564=I$1),('Diário 4º PA'!$F$4:$F$2564))+SUMPRODUCT(-('Comp.'!$D$5:$D$69='Analítico Cp.'!$B14),-('Comp.'!$K$5:$K$69=I$1),('Comp.'!$E$5:$E$69))</f>
        <v>20599.939999999999</v>
      </c>
      <c r="J14" s="264">
        <f>SUMPRODUCT(-('Diário 1º PA'!$E$4:$E$2635='Analítico Cp.'!$B14),-('Diário 1º PA'!$Q$4:$Q$2635=J$1),('Diário 1º PA'!$F$4:$F$2635))+SUMPRODUCT(-('Diário 2º PA'!$E$4:$E$3040='Analítico Cp.'!$B14),-('Diário 2º PA'!$Q$4:$Q$3040=J$1),('Diário 2º PA'!$F$4:$F$3040))+SUMPRODUCT(-('Diário 3º PA'!$E$4:$E$2731='Analítico Cp.'!$B14),-('Diário 3º PA'!$Q$4:$Q$2731=J$1),('Diário 3º PA'!$F$4:$F$2731))+SUMPRODUCT(-('Diário 4º PA'!$E$4:$E$2564='Analítico Cp.'!$B14),-('Diário 4º PA'!$Q$4:$Q$2564=J$1),('Diário 4º PA'!$F$4:$F$2564))+SUMPRODUCT(-('Comp.'!$D$5:$D$69='Analítico Cp.'!$B14),-('Comp.'!$K$5:$K$69=J$1),('Comp.'!$E$5:$E$69))</f>
        <v>28875.759999999998</v>
      </c>
      <c r="K14" s="264">
        <f>SUMPRODUCT(-('Diário 1º PA'!$E$4:$E$2635='Analítico Cp.'!$B14),-('Diário 1º PA'!$Q$4:$Q$2635=K$1),('Diário 1º PA'!$F$4:$F$2635))+SUMPRODUCT(-('Diário 2º PA'!$E$4:$E$3040='Analítico Cp.'!$B14),-('Diário 2º PA'!$Q$4:$Q$3040=K$1),('Diário 2º PA'!$F$4:$F$3040))+SUMPRODUCT(-('Diário 3º PA'!$E$4:$E$2731='Analítico Cp.'!$B14),-('Diário 3º PA'!$Q$4:$Q$2731=K$1),('Diário 3º PA'!$F$4:$F$2731))+SUMPRODUCT(-('Diário 4º PA'!$E$4:$E$2564='Analítico Cp.'!$B14),-('Diário 4º PA'!$Q$4:$Q$2564=K$1),('Diário 4º PA'!$F$4:$F$2564))+SUMPRODUCT(-('Comp.'!$D$5:$D$69='Analítico Cp.'!$B14),-('Comp.'!$K$5:$K$69=K$1),('Comp.'!$E$5:$E$69))</f>
        <v>57951.72</v>
      </c>
      <c r="L14" s="264">
        <f>SUMPRODUCT(-('Diário 1º PA'!$E$4:$E$2635='Analítico Cp.'!$B14),-('Diário 1º PA'!$Q$4:$Q$2635=L$1),('Diário 1º PA'!$F$4:$F$2635))+SUMPRODUCT(-('Diário 2º PA'!$E$4:$E$3040='Analítico Cp.'!$B14),-('Diário 2º PA'!$Q$4:$Q$3040=L$1),('Diário 2º PA'!$F$4:$F$3040))+SUMPRODUCT(-('Diário 3º PA'!$E$4:$E$2731='Analítico Cp.'!$B14),-('Diário 3º PA'!$Q$4:$Q$2731=L$1),('Diário 3º PA'!$F$4:$F$2731))+SUMPRODUCT(-('Diário 4º PA'!$E$4:$E$2564='Analítico Cp.'!$B14),-('Diário 4º PA'!$Q$4:$Q$2564=L$1),('Diário 4º PA'!$F$4:$F$2564))+SUMPRODUCT(-('Comp.'!$D$5:$D$69='Analítico Cp.'!$B14),-('Comp.'!$K$5:$K$69=L$1),('Comp.'!$E$5:$E$69))</f>
        <v>31011.96</v>
      </c>
      <c r="M14" s="264">
        <f>SUMPRODUCT(-('Diário 1º PA'!$E$4:$E$2635='Analítico Cp.'!$B14),-('Diário 1º PA'!$Q$4:$Q$2635=M$1),('Diário 1º PA'!$F$4:$F$2635))+SUMPRODUCT(-('Diário 2º PA'!$E$4:$E$3040='Analítico Cp.'!$B14),-('Diário 2º PA'!$Q$4:$Q$3040=M$1),('Diário 2º PA'!$F$4:$F$3040))+SUMPRODUCT(-('Diário 3º PA'!$E$4:$E$2731='Analítico Cp.'!$B14),-('Diário 3º PA'!$Q$4:$Q$2731=M$1),('Diário 3º PA'!$F$4:$F$2731))+SUMPRODUCT(-('Diário 4º PA'!$E$4:$E$2564='Analítico Cp.'!$B14),-('Diário 4º PA'!$Q$4:$Q$2564=M$1),('Diário 4º PA'!$F$4:$F$2564))+SUMPRODUCT(-('Comp.'!$D$5:$D$69='Analítico Cp.'!$B14),-('Comp.'!$K$5:$K$69=M$1),('Comp.'!$E$5:$E$69))</f>
        <v>19465.620000000003</v>
      </c>
      <c r="N14" s="264">
        <f>SUMPRODUCT(-('Diário 1º PA'!$E$4:$E$2635='Analítico Cp.'!$B14),-('Diário 1º PA'!$Q$4:$Q$2635=N$1),('Diário 1º PA'!$F$4:$F$2635))+SUMPRODUCT(-('Diário 2º PA'!$E$4:$E$3040='Analítico Cp.'!$B14),-('Diário 2º PA'!$Q$4:$Q$3040=N$1),('Diário 2º PA'!$F$4:$F$3040))+SUMPRODUCT(-('Diário 3º PA'!$E$4:$E$2731='Analítico Cp.'!$B14),-('Diário 3º PA'!$Q$4:$Q$2731=N$1),('Diário 3º PA'!$F$4:$F$2731))+SUMPRODUCT(-('Diário 4º PA'!$E$4:$E$2564='Analítico Cp.'!$B14),-('Diário 4º PA'!$Q$4:$Q$2564=N$1),('Diário 4º PA'!$F$4:$F$2564))+SUMPRODUCT(-('Comp.'!$D$5:$D$69='Analítico Cp.'!$B14),-('Comp.'!$K$5:$K$69=N$1),('Comp.'!$E$5:$E$69))</f>
        <v>26335.89</v>
      </c>
      <c r="O14" s="15">
        <f>SUM(C14:N14)</f>
        <v>270569.21999999997</v>
      </c>
      <c r="P14" s="259">
        <f>IF($O$15=0,0,O14/$O$15)</f>
        <v>1.779509851595731E-2</v>
      </c>
    </row>
    <row r="15" spans="1:16" ht="23.25" customHeight="1" thickBot="1" x14ac:dyDescent="0.25">
      <c r="A15" s="27" t="s">
        <v>263</v>
      </c>
      <c r="B15" s="28"/>
      <c r="C15" s="16">
        <f>SUBTOTAL(109,C11:C14)</f>
        <v>7684.84</v>
      </c>
      <c r="D15" s="16">
        <f>SUBTOTAL(109,D11:D14)</f>
        <v>2626531.3400000003</v>
      </c>
      <c r="E15" s="16">
        <f>SUBTOTAL(109,E11:E14)</f>
        <v>28619.87</v>
      </c>
      <c r="F15" s="16">
        <f t="shared" ref="F15:N15" si="0">SUBTOTAL(109,F11:F14)</f>
        <v>300000</v>
      </c>
      <c r="G15" s="16">
        <f t="shared" si="0"/>
        <v>2152857.4699999997</v>
      </c>
      <c r="H15" s="16">
        <f t="shared" si="0"/>
        <v>108994.35</v>
      </c>
      <c r="I15" s="16">
        <f t="shared" si="0"/>
        <v>965785.32</v>
      </c>
      <c r="J15" s="16">
        <f t="shared" si="0"/>
        <v>1959291.33</v>
      </c>
      <c r="K15" s="16">
        <f t="shared" si="0"/>
        <v>58451.72</v>
      </c>
      <c r="L15" s="16">
        <f t="shared" si="0"/>
        <v>31641.96</v>
      </c>
      <c r="M15" s="16">
        <f t="shared" si="0"/>
        <v>636967.86</v>
      </c>
      <c r="N15" s="16">
        <f t="shared" si="0"/>
        <v>6327878.7499999991</v>
      </c>
      <c r="O15" s="16">
        <f>SUBTOTAL(109,O11:O14)</f>
        <v>15204704.810000001</v>
      </c>
      <c r="P15" s="164">
        <f>IF($O$15=0,0,O15/$O$15)</f>
        <v>1</v>
      </c>
    </row>
    <row r="16" spans="1:16" ht="23.25" customHeight="1" thickBot="1" x14ac:dyDescent="0.25">
      <c r="A16" s="29"/>
      <c r="B16" s="20"/>
      <c r="C16" s="30"/>
      <c r="D16" s="30"/>
      <c r="E16" s="30"/>
      <c r="F16" s="30"/>
      <c r="G16" s="30"/>
      <c r="H16" s="30"/>
      <c r="I16" s="30"/>
      <c r="J16" s="30"/>
      <c r="K16" s="30"/>
      <c r="L16" s="30"/>
      <c r="M16" s="30"/>
      <c r="N16" s="30"/>
      <c r="O16" s="30"/>
    </row>
    <row r="17" spans="1:16" ht="23.25" customHeight="1" thickBot="1" x14ac:dyDescent="0.25">
      <c r="A17" s="31">
        <v>2</v>
      </c>
      <c r="B17" s="20" t="s">
        <v>157</v>
      </c>
      <c r="C17" s="68"/>
      <c r="D17" s="68"/>
      <c r="E17" s="68"/>
      <c r="F17" s="68"/>
      <c r="G17" s="68"/>
      <c r="H17" s="68"/>
      <c r="I17" s="68"/>
      <c r="J17" s="68"/>
      <c r="K17" s="68"/>
      <c r="L17" s="68"/>
      <c r="M17" s="68"/>
      <c r="N17" s="68"/>
      <c r="O17" s="68"/>
      <c r="P17" s="68"/>
    </row>
    <row r="18" spans="1:16" ht="23.25" customHeight="1" x14ac:dyDescent="0.2">
      <c r="A18" s="21" t="s">
        <v>39</v>
      </c>
      <c r="B18" s="101" t="s">
        <v>182</v>
      </c>
      <c r="C18" s="67"/>
      <c r="D18" s="67"/>
      <c r="E18" s="67"/>
      <c r="F18" s="67"/>
      <c r="G18" s="67"/>
      <c r="H18" s="67"/>
      <c r="I18" s="67"/>
      <c r="J18" s="67"/>
      <c r="K18" s="67"/>
      <c r="L18" s="67"/>
      <c r="M18" s="67"/>
      <c r="N18" s="67"/>
      <c r="O18" s="67"/>
      <c r="P18" s="169"/>
    </row>
    <row r="19" spans="1:16" ht="23.25" customHeight="1" x14ac:dyDescent="0.2">
      <c r="A19" s="32" t="s">
        <v>11</v>
      </c>
      <c r="B19" s="33" t="s">
        <v>93</v>
      </c>
      <c r="C19" s="65"/>
      <c r="D19" s="65"/>
      <c r="E19" s="65"/>
      <c r="F19" s="65"/>
      <c r="G19" s="65"/>
      <c r="H19" s="65"/>
      <c r="I19" s="65"/>
      <c r="J19" s="65"/>
      <c r="K19" s="65"/>
      <c r="L19" s="65"/>
      <c r="M19" s="65"/>
      <c r="N19" s="65"/>
      <c r="O19" s="65"/>
      <c r="P19" s="170"/>
    </row>
    <row r="20" spans="1:16" ht="23.25" customHeight="1" x14ac:dyDescent="0.2">
      <c r="A20" s="61" t="s">
        <v>100</v>
      </c>
      <c r="B20" s="60" t="s">
        <v>1</v>
      </c>
      <c r="C20" s="12">
        <f>SUMPRODUCT(-('Diário 1º PA'!$E$4:$E$2635='Analítico Cp.'!$B20),-('Diário 1º PA'!$Q$4:$Q$2635=C$1),('Diário 1º PA'!$F$4:$F$2635))+SUMPRODUCT(-('Diário 2º PA'!$E$4:$E$3040='Analítico Cp.'!$B20),-('Diário 2º PA'!$Q$4:$Q$3040=C$1),('Diário 2º PA'!$F$4:$F$3040))+SUMPRODUCT(-('Diário 3º PA'!$E$4:$E$2731='Analítico Cp.'!$B20),-('Diário 3º PA'!$Q$4:$Q$2731=C$1),('Diário 3º PA'!$F$4:$F$2731))+SUMPRODUCT(-('Diário 4º PA'!$E$4:$E$2564='Analítico Cp.'!$B20),-('Diário 4º PA'!$Q$4:$Q$2564=C$1),('Diário 4º PA'!$F$4:$F$2564))+SUMPRODUCT(-('Comp.'!$D$5:$D$69='Analítico Cp.'!$B20),-('Comp.'!$K$5:$K$69=C$1),('Comp.'!$E$5:$E$69))</f>
        <v>173251.23</v>
      </c>
      <c r="D20" s="12">
        <f>SUMPRODUCT(-('Diário 1º PA'!$E$4:$E$2635='Analítico Cp.'!$B20),-('Diário 1º PA'!$Q$4:$Q$2635=D$1),('Diário 1º PA'!$F$4:$F$2635))+SUMPRODUCT(-('Diário 2º PA'!$E$4:$E$3040='Analítico Cp.'!$B20),-('Diário 2º PA'!$Q$4:$Q$3040=D$1),('Diário 2º PA'!$F$4:$F$3040))+SUMPRODUCT(-('Diário 3º PA'!$E$4:$E$2731='Analítico Cp.'!$B20),-('Diário 3º PA'!$Q$4:$Q$2731=D$1),('Diário 3º PA'!$F$4:$F$2731))+SUMPRODUCT(-('Diário 4º PA'!$E$4:$E$2564='Analítico Cp.'!$B20),-('Diário 4º PA'!$Q$4:$Q$2564=D$1),('Diário 4º PA'!$F$4:$F$2564))+SUMPRODUCT(-('Comp.'!$D$5:$D$69='Analítico Cp.'!$B20),-('Comp.'!$K$5:$K$69=D$1),('Comp.'!$E$5:$E$69))</f>
        <v>190400.47</v>
      </c>
      <c r="E20" s="12">
        <f>SUMPRODUCT(-('Diário 1º PA'!$E$4:$E$2635='Analítico Cp.'!$B20),-('Diário 1º PA'!$Q$4:$Q$2635=E$1),('Diário 1º PA'!$F$4:$F$2635))+SUMPRODUCT(-('Diário 2º PA'!$E$4:$E$3040='Analítico Cp.'!$B20),-('Diário 2º PA'!$Q$4:$Q$3040=E$1),('Diário 2º PA'!$F$4:$F$3040))+SUMPRODUCT(-('Diário 3º PA'!$E$4:$E$2731='Analítico Cp.'!$B20),-('Diário 3º PA'!$Q$4:$Q$2731=E$1),('Diário 3º PA'!$F$4:$F$2731))+SUMPRODUCT(-('Diário 4º PA'!$E$4:$E$2564='Analítico Cp.'!$B20),-('Diário 4º PA'!$Q$4:$Q$2564=E$1),('Diário 4º PA'!$F$4:$F$2564))+SUMPRODUCT(-('Comp.'!$D$5:$D$69='Analítico Cp.'!$B20),-('Comp.'!$K$5:$K$69=E$1),('Comp.'!$E$5:$E$69))</f>
        <v>197828.64000000013</v>
      </c>
      <c r="F20" s="12">
        <f>SUMPRODUCT(-('Diário 1º PA'!$E$4:$E$2635='Analítico Cp.'!$B20),-('Diário 1º PA'!$Q$4:$Q$2635=F$1),('Diário 1º PA'!$F$4:$F$2635))+SUMPRODUCT(-('Diário 2º PA'!$E$4:$E$3040='Analítico Cp.'!$B20),-('Diário 2º PA'!$Q$4:$Q$3040=F$1),('Diário 2º PA'!$F$4:$F$3040))+SUMPRODUCT(-('Diário 3º PA'!$E$4:$E$2731='Analítico Cp.'!$B20),-('Diário 3º PA'!$Q$4:$Q$2731=F$1),('Diário 3º PA'!$F$4:$F$2731))+SUMPRODUCT(-('Diário 4º PA'!$E$4:$E$2564='Analítico Cp.'!$B20),-('Diário 4º PA'!$Q$4:$Q$2564=F$1),('Diário 4º PA'!$F$4:$F$2564))+SUMPRODUCT(-('Comp.'!$D$5:$D$69='Analítico Cp.'!$B20),-('Comp.'!$K$5:$K$69=F$1),('Comp.'!$E$5:$E$69))</f>
        <v>181640.3600000001</v>
      </c>
      <c r="G20" s="12">
        <f>SUMPRODUCT(-('Diário 1º PA'!$E$4:$E$2635='Analítico Cp.'!$B20),-('Diário 1º PA'!$Q$4:$Q$2635=G$1),('Diário 1º PA'!$F$4:$F$2635))+SUMPRODUCT(-('Diário 2º PA'!$E$4:$E$3040='Analítico Cp.'!$B20),-('Diário 2º PA'!$Q$4:$Q$3040=G$1),('Diário 2º PA'!$F$4:$F$3040))+SUMPRODUCT(-('Diário 3º PA'!$E$4:$E$2731='Analítico Cp.'!$B20),-('Diário 3º PA'!$Q$4:$Q$2731=G$1),('Diário 3º PA'!$F$4:$F$2731))+SUMPRODUCT(-('Diário 4º PA'!$E$4:$E$2564='Analítico Cp.'!$B20),-('Diário 4º PA'!$Q$4:$Q$2564=G$1),('Diário 4º PA'!$F$4:$F$2564))+SUMPRODUCT(-('Comp.'!$D$5:$D$69='Analítico Cp.'!$B20),-('Comp.'!$K$5:$K$69=G$1),('Comp.'!$E$5:$E$69))</f>
        <v>199826.01</v>
      </c>
      <c r="H20" s="12">
        <f>SUMPRODUCT(-('Diário 1º PA'!$E$4:$E$2635='Analítico Cp.'!$B20),-('Diário 1º PA'!$Q$4:$Q$2635=H$1),('Diário 1º PA'!$F$4:$F$2635))+SUMPRODUCT(-('Diário 2º PA'!$E$4:$E$3040='Analítico Cp.'!$B20),-('Diário 2º PA'!$Q$4:$Q$3040=H$1),('Diário 2º PA'!$F$4:$F$3040))+SUMPRODUCT(-('Diário 3º PA'!$E$4:$E$2731='Analítico Cp.'!$B20),-('Diário 3º PA'!$Q$4:$Q$2731=H$1),('Diário 3º PA'!$F$4:$F$2731))+SUMPRODUCT(-('Diário 4º PA'!$E$4:$E$2564='Analítico Cp.'!$B20),-('Diário 4º PA'!$Q$4:$Q$2564=H$1),('Diário 4º PA'!$F$4:$F$2564))+SUMPRODUCT(-('Comp.'!$D$5:$D$69='Analítico Cp.'!$B20),-('Comp.'!$K$5:$K$69=H$1),('Comp.'!$E$5:$E$69))</f>
        <v>192313.08000000002</v>
      </c>
      <c r="I20" s="12">
        <f>SUMPRODUCT(-('Diário 1º PA'!$E$4:$E$2635='Analítico Cp.'!$B20),-('Diário 1º PA'!$Q$4:$Q$2635=I$1),('Diário 1º PA'!$F$4:$F$2635))+SUMPRODUCT(-('Diário 2º PA'!$E$4:$E$3040='Analítico Cp.'!$B20),-('Diário 2º PA'!$Q$4:$Q$3040=I$1),('Diário 2º PA'!$F$4:$F$3040))+SUMPRODUCT(-('Diário 3º PA'!$E$4:$E$2731='Analítico Cp.'!$B20),-('Diário 3º PA'!$Q$4:$Q$2731=I$1),('Diário 3º PA'!$F$4:$F$2731))+SUMPRODUCT(-('Diário 4º PA'!$E$4:$E$2564='Analítico Cp.'!$B20),-('Diário 4º PA'!$Q$4:$Q$2564=I$1),('Diário 4º PA'!$F$4:$F$2564))+SUMPRODUCT(-('Comp.'!$D$5:$D$69='Analítico Cp.'!$B20),-('Comp.'!$K$5:$K$69=I$1),('Comp.'!$E$5:$E$69))</f>
        <v>242016.80000000008</v>
      </c>
      <c r="J20" s="12">
        <f>SUMPRODUCT(-('Diário 1º PA'!$E$4:$E$2635='Analítico Cp.'!$B20),-('Diário 1º PA'!$Q$4:$Q$2635=J$1),('Diário 1º PA'!$F$4:$F$2635))+SUMPRODUCT(-('Diário 2º PA'!$E$4:$E$3040='Analítico Cp.'!$B20),-('Diário 2º PA'!$Q$4:$Q$3040=J$1),('Diário 2º PA'!$F$4:$F$3040))+SUMPRODUCT(-('Diário 3º PA'!$E$4:$E$2731='Analítico Cp.'!$B20),-('Diário 3º PA'!$Q$4:$Q$2731=J$1),('Diário 3º PA'!$F$4:$F$2731))+SUMPRODUCT(-('Diário 4º PA'!$E$4:$E$2564='Analítico Cp.'!$B20),-('Diário 4º PA'!$Q$4:$Q$2564=J$1),('Diário 4º PA'!$F$4:$F$2564))+SUMPRODUCT(-('Comp.'!$D$5:$D$69='Analítico Cp.'!$B20),-('Comp.'!$K$5:$K$69=J$1),('Comp.'!$E$5:$E$69))</f>
        <v>216617.96000000008</v>
      </c>
      <c r="K20" s="12">
        <f>SUMPRODUCT(-('Diário 1º PA'!$E$4:$E$2635='Analítico Cp.'!$B20),-('Diário 1º PA'!$Q$4:$Q$2635=K$1),('Diário 1º PA'!$F$4:$F$2635))+SUMPRODUCT(-('Diário 2º PA'!$E$4:$E$3040='Analítico Cp.'!$B20),-('Diário 2º PA'!$Q$4:$Q$3040=K$1),('Diário 2º PA'!$F$4:$F$3040))+SUMPRODUCT(-('Diário 3º PA'!$E$4:$E$2731='Analítico Cp.'!$B20),-('Diário 3º PA'!$Q$4:$Q$2731=K$1),('Diário 3º PA'!$F$4:$F$2731))+SUMPRODUCT(-('Diário 4º PA'!$E$4:$E$2564='Analítico Cp.'!$B20),-('Diário 4º PA'!$Q$4:$Q$2564=K$1),('Diário 4º PA'!$F$4:$F$2564))+SUMPRODUCT(-('Comp.'!$D$5:$D$69='Analítico Cp.'!$B20),-('Comp.'!$K$5:$K$69=K$1),('Comp.'!$E$5:$E$69))</f>
        <v>256653.25000000006</v>
      </c>
      <c r="L20" s="12">
        <f>SUMPRODUCT(-('Diário 1º PA'!$E$4:$E$2635='Analítico Cp.'!$B20),-('Diário 1º PA'!$Q$4:$Q$2635=L$1),('Diário 1º PA'!$F$4:$F$2635))+SUMPRODUCT(-('Diário 2º PA'!$E$4:$E$3040='Analítico Cp.'!$B20),-('Diário 2º PA'!$Q$4:$Q$3040=L$1),('Diário 2º PA'!$F$4:$F$3040))+SUMPRODUCT(-('Diário 3º PA'!$E$4:$E$2731='Analítico Cp.'!$B20),-('Diário 3º PA'!$Q$4:$Q$2731=L$1),('Diário 3º PA'!$F$4:$F$2731))+SUMPRODUCT(-('Diário 4º PA'!$E$4:$E$2564='Analítico Cp.'!$B20),-('Diário 4º PA'!$Q$4:$Q$2564=L$1),('Diário 4º PA'!$F$4:$F$2564))+SUMPRODUCT(-('Comp.'!$D$5:$D$69='Analítico Cp.'!$B20),-('Comp.'!$K$5:$K$69=L$1),('Comp.'!$E$5:$E$69))</f>
        <v>223091.97000000009</v>
      </c>
      <c r="M20" s="12">
        <f>SUMPRODUCT(-('Diário 1º PA'!$E$4:$E$2635='Analítico Cp.'!$B20),-('Diário 1º PA'!$Q$4:$Q$2635=M$1),('Diário 1º PA'!$F$4:$F$2635))+SUMPRODUCT(-('Diário 2º PA'!$E$4:$E$3040='Analítico Cp.'!$B20),-('Diário 2º PA'!$Q$4:$Q$3040=M$1),('Diário 2º PA'!$F$4:$F$3040))+SUMPRODUCT(-('Diário 3º PA'!$E$4:$E$2731='Analítico Cp.'!$B20),-('Diário 3º PA'!$Q$4:$Q$2731=M$1),('Diário 3º PA'!$F$4:$F$2731))+SUMPRODUCT(-('Diário 4º PA'!$E$4:$E$2564='Analítico Cp.'!$B20),-('Diário 4º PA'!$Q$4:$Q$2564=M$1),('Diário 4º PA'!$F$4:$F$2564))+SUMPRODUCT(-('Comp.'!$D$5:$D$69='Analítico Cp.'!$B20),-('Comp.'!$K$5:$K$69=M$1),('Comp.'!$E$5:$E$69))</f>
        <v>227056.55</v>
      </c>
      <c r="N20" s="12">
        <f>SUMPRODUCT(-('Diário 1º PA'!$E$4:$E$2635='Analítico Cp.'!$B20),-('Diário 1º PA'!$Q$4:$Q$2635=N$1),('Diário 1º PA'!$F$4:$F$2635))+SUMPRODUCT(-('Diário 2º PA'!$E$4:$E$3040='Analítico Cp.'!$B20),-('Diário 2º PA'!$Q$4:$Q$3040=N$1),('Diário 2º PA'!$F$4:$F$3040))+SUMPRODUCT(-('Diário 3º PA'!$E$4:$E$2731='Analítico Cp.'!$B20),-('Diário 3º PA'!$Q$4:$Q$2731=N$1),('Diário 3º PA'!$F$4:$F$2731))+SUMPRODUCT(-('Diário 4º PA'!$E$4:$E$2564='Analítico Cp.'!$B20),-('Diário 4º PA'!$Q$4:$Q$2564=N$1),('Diário 4º PA'!$F$4:$F$2564))+SUMPRODUCT(-('Comp.'!$D$5:$D$69='Analítico Cp.'!$B20),-('Comp.'!$K$5:$K$69=N$1),('Comp.'!$E$5:$E$69))</f>
        <v>223975.3</v>
      </c>
      <c r="O20" s="13">
        <f>SUM(C20:N20)</f>
        <v>2524671.62</v>
      </c>
      <c r="P20" s="167">
        <f t="shared" ref="P20:P25" si="1">IF($O$164=0,0,O20/$O$164)</f>
        <v>0.20628746895817696</v>
      </c>
    </row>
    <row r="21" spans="1:16" ht="23.25" customHeight="1" x14ac:dyDescent="0.2">
      <c r="A21" s="61" t="s">
        <v>101</v>
      </c>
      <c r="B21" s="59" t="s">
        <v>169</v>
      </c>
      <c r="C21" s="12">
        <f>SUMPRODUCT(-('Diário 1º PA'!$E$4:$E$2635='Analítico Cp.'!$B21),-('Diário 1º PA'!$Q$4:$Q$2635=C$1),('Diário 1º PA'!$F$4:$F$2635))+SUMPRODUCT(-('Diário 2º PA'!$E$4:$E$3040='Analítico Cp.'!$B21),-('Diário 2º PA'!$Q$4:$Q$3040=C$1),('Diário 2º PA'!$F$4:$F$3040))+SUMPRODUCT(-('Diário 3º PA'!$E$4:$E$2731='Analítico Cp.'!$B21),-('Diário 3º PA'!$Q$4:$Q$2731=C$1),('Diário 3º PA'!$F$4:$F$2731))+SUMPRODUCT(-('Diário 4º PA'!$E$4:$E$2564='Analítico Cp.'!$B21),-('Diário 4º PA'!$Q$4:$Q$2564=C$1),('Diário 4º PA'!$F$4:$F$2564))+SUMPRODUCT(-('Comp.'!$D$5:$D$69='Analítico Cp.'!$B21),-('Comp.'!$K$5:$K$69=C$1),('Comp.'!$E$5:$E$69))</f>
        <v>0</v>
      </c>
      <c r="D21" s="12">
        <f>SUMPRODUCT(-('Diário 1º PA'!$E$4:$E$2635='Analítico Cp.'!$B21),-('Diário 1º PA'!$Q$4:$Q$2635=D$1),('Diário 1º PA'!$F$4:$F$2635))+SUMPRODUCT(-('Diário 2º PA'!$E$4:$E$3040='Analítico Cp.'!$B21),-('Diário 2º PA'!$Q$4:$Q$3040=D$1),('Diário 2º PA'!$F$4:$F$3040))+SUMPRODUCT(-('Diário 3º PA'!$E$4:$E$2731='Analítico Cp.'!$B21),-('Diário 3º PA'!$Q$4:$Q$2731=D$1),('Diário 3º PA'!$F$4:$F$2731))+SUMPRODUCT(-('Diário 4º PA'!$E$4:$E$2564='Analítico Cp.'!$B21),-('Diário 4º PA'!$Q$4:$Q$2564=D$1),('Diário 4º PA'!$F$4:$F$2564))+SUMPRODUCT(-('Comp.'!$D$5:$D$69='Analítico Cp.'!$B21),-('Comp.'!$K$5:$K$69=D$1),('Comp.'!$E$5:$E$69))</f>
        <v>0</v>
      </c>
      <c r="E21" s="12">
        <f>SUMPRODUCT(-('Diário 1º PA'!$E$4:$E$2635='Analítico Cp.'!$B21),-('Diário 1º PA'!$Q$4:$Q$2635=E$1),('Diário 1º PA'!$F$4:$F$2635))+SUMPRODUCT(-('Diário 2º PA'!$E$4:$E$3040='Analítico Cp.'!$B21),-('Diário 2º PA'!$Q$4:$Q$3040=E$1),('Diário 2º PA'!$F$4:$F$3040))+SUMPRODUCT(-('Diário 3º PA'!$E$4:$E$2731='Analítico Cp.'!$B21),-('Diário 3º PA'!$Q$4:$Q$2731=E$1),('Diário 3º PA'!$F$4:$F$2731))+SUMPRODUCT(-('Diário 4º PA'!$E$4:$E$2564='Analítico Cp.'!$B21),-('Diário 4º PA'!$Q$4:$Q$2564=E$1),('Diário 4º PA'!$F$4:$F$2564))+SUMPRODUCT(-('Comp.'!$D$5:$D$69='Analítico Cp.'!$B21),-('Comp.'!$K$5:$K$69=E$1),('Comp.'!$E$5:$E$69))</f>
        <v>0</v>
      </c>
      <c r="F21" s="12">
        <f>SUMPRODUCT(-('Diário 1º PA'!$E$4:$E$2635='Analítico Cp.'!$B21),-('Diário 1º PA'!$Q$4:$Q$2635=F$1),('Diário 1º PA'!$F$4:$F$2635))+SUMPRODUCT(-('Diário 2º PA'!$E$4:$E$3040='Analítico Cp.'!$B21),-('Diário 2º PA'!$Q$4:$Q$3040=F$1),('Diário 2º PA'!$F$4:$F$3040))+SUMPRODUCT(-('Diário 3º PA'!$E$4:$E$2731='Analítico Cp.'!$B21),-('Diário 3º PA'!$Q$4:$Q$2731=F$1),('Diário 3º PA'!$F$4:$F$2731))+SUMPRODUCT(-('Diário 4º PA'!$E$4:$E$2564='Analítico Cp.'!$B21),-('Diário 4º PA'!$Q$4:$Q$2564=F$1),('Diário 4º PA'!$F$4:$F$2564))+SUMPRODUCT(-('Comp.'!$D$5:$D$69='Analítico Cp.'!$B21),-('Comp.'!$K$5:$K$69=F$1),('Comp.'!$E$5:$E$69))</f>
        <v>0</v>
      </c>
      <c r="G21" s="12">
        <f>SUMPRODUCT(-('Diário 1º PA'!$E$4:$E$2635='Analítico Cp.'!$B21),-('Diário 1º PA'!$Q$4:$Q$2635=G$1),('Diário 1º PA'!$F$4:$F$2635))+SUMPRODUCT(-('Diário 2º PA'!$E$4:$E$3040='Analítico Cp.'!$B21),-('Diário 2º PA'!$Q$4:$Q$3040=G$1),('Diário 2º PA'!$F$4:$F$3040))+SUMPRODUCT(-('Diário 3º PA'!$E$4:$E$2731='Analítico Cp.'!$B21),-('Diário 3º PA'!$Q$4:$Q$2731=G$1),('Diário 3º PA'!$F$4:$F$2731))+SUMPRODUCT(-('Diário 4º PA'!$E$4:$E$2564='Analítico Cp.'!$B21),-('Diário 4º PA'!$Q$4:$Q$2564=G$1),('Diário 4º PA'!$F$4:$F$2564))+SUMPRODUCT(-('Comp.'!$D$5:$D$69='Analítico Cp.'!$B21),-('Comp.'!$K$5:$K$69=G$1),('Comp.'!$E$5:$E$69))</f>
        <v>0</v>
      </c>
      <c r="H21" s="12">
        <f>SUMPRODUCT(-('Diário 1º PA'!$E$4:$E$2635='Analítico Cp.'!$B21),-('Diário 1º PA'!$Q$4:$Q$2635=H$1),('Diário 1º PA'!$F$4:$F$2635))+SUMPRODUCT(-('Diário 2º PA'!$E$4:$E$3040='Analítico Cp.'!$B21),-('Diário 2º PA'!$Q$4:$Q$3040=H$1),('Diário 2º PA'!$F$4:$F$3040))+SUMPRODUCT(-('Diário 3º PA'!$E$4:$E$2731='Analítico Cp.'!$B21),-('Diário 3º PA'!$Q$4:$Q$2731=H$1),('Diário 3º PA'!$F$4:$F$2731))+SUMPRODUCT(-('Diário 4º PA'!$E$4:$E$2564='Analítico Cp.'!$B21),-('Diário 4º PA'!$Q$4:$Q$2564=H$1),('Diário 4º PA'!$F$4:$F$2564))+SUMPRODUCT(-('Comp.'!$D$5:$D$69='Analítico Cp.'!$B21),-('Comp.'!$K$5:$K$69=H$1),('Comp.'!$E$5:$E$69))</f>
        <v>0</v>
      </c>
      <c r="I21" s="12">
        <f>SUMPRODUCT(-('Diário 1º PA'!$E$4:$E$2635='Analítico Cp.'!$B21),-('Diário 1º PA'!$Q$4:$Q$2635=I$1),('Diário 1º PA'!$F$4:$F$2635))+SUMPRODUCT(-('Diário 2º PA'!$E$4:$E$3040='Analítico Cp.'!$B21),-('Diário 2º PA'!$Q$4:$Q$3040=I$1),('Diário 2º PA'!$F$4:$F$3040))+SUMPRODUCT(-('Diário 3º PA'!$E$4:$E$2731='Analítico Cp.'!$B21),-('Diário 3º PA'!$Q$4:$Q$2731=I$1),('Diário 3º PA'!$F$4:$F$2731))+SUMPRODUCT(-('Diário 4º PA'!$E$4:$E$2564='Analítico Cp.'!$B21),-('Diário 4º PA'!$Q$4:$Q$2564=I$1),('Diário 4º PA'!$F$4:$F$2564))+SUMPRODUCT(-('Comp.'!$D$5:$D$69='Analítico Cp.'!$B21),-('Comp.'!$K$5:$K$69=I$1),('Comp.'!$E$5:$E$69))</f>
        <v>0</v>
      </c>
      <c r="J21" s="12">
        <f>SUMPRODUCT(-('Diário 1º PA'!$E$4:$E$2635='Analítico Cp.'!$B21),-('Diário 1º PA'!$Q$4:$Q$2635=J$1),('Diário 1º PA'!$F$4:$F$2635))+SUMPRODUCT(-('Diário 2º PA'!$E$4:$E$3040='Analítico Cp.'!$B21),-('Diário 2º PA'!$Q$4:$Q$3040=J$1),('Diário 2º PA'!$F$4:$F$3040))+SUMPRODUCT(-('Diário 3º PA'!$E$4:$E$2731='Analítico Cp.'!$B21),-('Diário 3º PA'!$Q$4:$Q$2731=J$1),('Diário 3º PA'!$F$4:$F$2731))+SUMPRODUCT(-('Diário 4º PA'!$E$4:$E$2564='Analítico Cp.'!$B21),-('Diário 4º PA'!$Q$4:$Q$2564=J$1),('Diário 4º PA'!$F$4:$F$2564))+SUMPRODUCT(-('Comp.'!$D$5:$D$69='Analítico Cp.'!$B21),-('Comp.'!$K$5:$K$69=J$1),('Comp.'!$E$5:$E$69))</f>
        <v>0</v>
      </c>
      <c r="K21" s="12">
        <f>SUMPRODUCT(-('Diário 1º PA'!$E$4:$E$2635='Analítico Cp.'!$B21),-('Diário 1º PA'!$Q$4:$Q$2635=K$1),('Diário 1º PA'!$F$4:$F$2635))+SUMPRODUCT(-('Diário 2º PA'!$E$4:$E$3040='Analítico Cp.'!$B21),-('Diário 2º PA'!$Q$4:$Q$3040=K$1),('Diário 2º PA'!$F$4:$F$3040))+SUMPRODUCT(-('Diário 3º PA'!$E$4:$E$2731='Analítico Cp.'!$B21),-('Diário 3º PA'!$Q$4:$Q$2731=K$1),('Diário 3º PA'!$F$4:$F$2731))+SUMPRODUCT(-('Diário 4º PA'!$E$4:$E$2564='Analítico Cp.'!$B21),-('Diário 4º PA'!$Q$4:$Q$2564=K$1),('Diário 4º PA'!$F$4:$F$2564))+SUMPRODUCT(-('Comp.'!$D$5:$D$69='Analítico Cp.'!$B21),-('Comp.'!$K$5:$K$69=K$1),('Comp.'!$E$5:$E$69))</f>
        <v>0</v>
      </c>
      <c r="L21" s="12">
        <f>SUMPRODUCT(-('Diário 1º PA'!$E$4:$E$2635='Analítico Cp.'!$B21),-('Diário 1º PA'!$Q$4:$Q$2635=L$1),('Diário 1º PA'!$F$4:$F$2635))+SUMPRODUCT(-('Diário 2º PA'!$E$4:$E$3040='Analítico Cp.'!$B21),-('Diário 2º PA'!$Q$4:$Q$3040=L$1),('Diário 2º PA'!$F$4:$F$3040))+SUMPRODUCT(-('Diário 3º PA'!$E$4:$E$2731='Analítico Cp.'!$B21),-('Diário 3º PA'!$Q$4:$Q$2731=L$1),('Diário 3º PA'!$F$4:$F$2731))+SUMPRODUCT(-('Diário 4º PA'!$E$4:$E$2564='Analítico Cp.'!$B21),-('Diário 4º PA'!$Q$4:$Q$2564=L$1),('Diário 4º PA'!$F$4:$F$2564))+SUMPRODUCT(-('Comp.'!$D$5:$D$69='Analítico Cp.'!$B21),-('Comp.'!$K$5:$K$69=L$1),('Comp.'!$E$5:$E$69))</f>
        <v>0</v>
      </c>
      <c r="M21" s="12">
        <f>SUMPRODUCT(-('Diário 1º PA'!$E$4:$E$2635='Analítico Cp.'!$B21),-('Diário 1º PA'!$Q$4:$Q$2635=M$1),('Diário 1º PA'!$F$4:$F$2635))+SUMPRODUCT(-('Diário 2º PA'!$E$4:$E$3040='Analítico Cp.'!$B21),-('Diário 2º PA'!$Q$4:$Q$3040=M$1),('Diário 2º PA'!$F$4:$F$3040))+SUMPRODUCT(-('Diário 3º PA'!$E$4:$E$2731='Analítico Cp.'!$B21),-('Diário 3º PA'!$Q$4:$Q$2731=M$1),('Diário 3º PA'!$F$4:$F$2731))+SUMPRODUCT(-('Diário 4º PA'!$E$4:$E$2564='Analítico Cp.'!$B21),-('Diário 4º PA'!$Q$4:$Q$2564=M$1),('Diário 4º PA'!$F$4:$F$2564))+SUMPRODUCT(-('Comp.'!$D$5:$D$69='Analítico Cp.'!$B21),-('Comp.'!$K$5:$K$69=M$1),('Comp.'!$E$5:$E$69))</f>
        <v>0</v>
      </c>
      <c r="N21" s="12">
        <f>SUMPRODUCT(-('Diário 1º PA'!$E$4:$E$2635='Analítico Cp.'!$B21),-('Diário 1º PA'!$Q$4:$Q$2635=N$1),('Diário 1º PA'!$F$4:$F$2635))+SUMPRODUCT(-('Diário 2º PA'!$E$4:$E$3040='Analítico Cp.'!$B21),-('Diário 2º PA'!$Q$4:$Q$3040=N$1),('Diário 2º PA'!$F$4:$F$3040))+SUMPRODUCT(-('Diário 3º PA'!$E$4:$E$2731='Analítico Cp.'!$B21),-('Diário 3º PA'!$Q$4:$Q$2731=N$1),('Diário 3º PA'!$F$4:$F$2731))+SUMPRODUCT(-('Diário 4º PA'!$E$4:$E$2564='Analítico Cp.'!$B21),-('Diário 4º PA'!$Q$4:$Q$2564=N$1),('Diário 4º PA'!$F$4:$F$2564))+SUMPRODUCT(-('Comp.'!$D$5:$D$69='Analítico Cp.'!$B21),-('Comp.'!$K$5:$K$69=N$1),('Comp.'!$E$5:$E$69))</f>
        <v>0</v>
      </c>
      <c r="O21" s="13">
        <f>SUM(C21:N21)</f>
        <v>0</v>
      </c>
      <c r="P21" s="167">
        <f t="shared" si="1"/>
        <v>0</v>
      </c>
    </row>
    <row r="22" spans="1:16" ht="23.25" customHeight="1" x14ac:dyDescent="0.2">
      <c r="A22" s="61" t="s">
        <v>102</v>
      </c>
      <c r="B22" s="59" t="s">
        <v>173</v>
      </c>
      <c r="C22" s="12">
        <f>SUMPRODUCT(-('Diário 1º PA'!$E$4:$E$2635='Analítico Cp.'!$B22),-('Diário 1º PA'!$Q$4:$Q$2635=C$1),('Diário 1º PA'!$F$4:$F$2635))+SUMPRODUCT(-('Diário 2º PA'!$E$4:$E$3040='Analítico Cp.'!$B22),-('Diário 2º PA'!$Q$4:$Q$3040=C$1),('Diário 2º PA'!$F$4:$F$3040))+SUMPRODUCT(-('Diário 3º PA'!$E$4:$E$2731='Analítico Cp.'!$B22),-('Diário 3º PA'!$Q$4:$Q$2731=C$1),('Diário 3º PA'!$F$4:$F$2731))+SUMPRODUCT(-('Diário 4º PA'!$E$4:$E$2564='Analítico Cp.'!$B22),-('Diário 4º PA'!$Q$4:$Q$2564=C$1),('Diário 4º PA'!$F$4:$F$2564))+SUMPRODUCT(-('Comp.'!$D$5:$D$69='Analítico Cp.'!$B22),-('Comp.'!$K$5:$K$69=C$1),('Comp.'!$E$5:$E$69))</f>
        <v>0</v>
      </c>
      <c r="D22" s="12">
        <f>SUMPRODUCT(-('Diário 1º PA'!$E$4:$E$2635='Analítico Cp.'!$B22),-('Diário 1º PA'!$Q$4:$Q$2635=D$1),('Diário 1º PA'!$F$4:$F$2635))+SUMPRODUCT(-('Diário 2º PA'!$E$4:$E$3040='Analítico Cp.'!$B22),-('Diário 2º PA'!$Q$4:$Q$3040=D$1),('Diário 2º PA'!$F$4:$F$3040))+SUMPRODUCT(-('Diário 3º PA'!$E$4:$E$2731='Analítico Cp.'!$B22),-('Diário 3º PA'!$Q$4:$Q$2731=D$1),('Diário 3º PA'!$F$4:$F$2731))+SUMPRODUCT(-('Diário 4º PA'!$E$4:$E$2564='Analítico Cp.'!$B22),-('Diário 4º PA'!$Q$4:$Q$2564=D$1),('Diário 4º PA'!$F$4:$F$2564))+SUMPRODUCT(-('Comp.'!$D$5:$D$69='Analítico Cp.'!$B22),-('Comp.'!$K$5:$K$69=D$1),('Comp.'!$E$5:$E$69))</f>
        <v>0</v>
      </c>
      <c r="E22" s="12">
        <f>SUMPRODUCT(-('Diário 1º PA'!$E$4:$E$2635='Analítico Cp.'!$B22),-('Diário 1º PA'!$Q$4:$Q$2635=E$1),('Diário 1º PA'!$F$4:$F$2635))+SUMPRODUCT(-('Diário 2º PA'!$E$4:$E$3040='Analítico Cp.'!$B22),-('Diário 2º PA'!$Q$4:$Q$3040=E$1),('Diário 2º PA'!$F$4:$F$3040))+SUMPRODUCT(-('Diário 3º PA'!$E$4:$E$2731='Analítico Cp.'!$B22),-('Diário 3º PA'!$Q$4:$Q$2731=E$1),('Diário 3º PA'!$F$4:$F$2731))+SUMPRODUCT(-('Diário 4º PA'!$E$4:$E$2564='Analítico Cp.'!$B22),-('Diário 4º PA'!$Q$4:$Q$2564=E$1),('Diário 4º PA'!$F$4:$F$2564))+SUMPRODUCT(-('Comp.'!$D$5:$D$69='Analítico Cp.'!$B22),-('Comp.'!$K$5:$K$69=E$1),('Comp.'!$E$5:$E$69))</f>
        <v>0</v>
      </c>
      <c r="F22" s="12">
        <f>SUMPRODUCT(-('Diário 1º PA'!$E$4:$E$2635='Analítico Cp.'!$B22),-('Diário 1º PA'!$Q$4:$Q$2635=F$1),('Diário 1º PA'!$F$4:$F$2635))+SUMPRODUCT(-('Diário 2º PA'!$E$4:$E$3040='Analítico Cp.'!$B22),-('Diário 2º PA'!$Q$4:$Q$3040=F$1),('Diário 2º PA'!$F$4:$F$3040))+SUMPRODUCT(-('Diário 3º PA'!$E$4:$E$2731='Analítico Cp.'!$B22),-('Diário 3º PA'!$Q$4:$Q$2731=F$1),('Diário 3º PA'!$F$4:$F$2731))+SUMPRODUCT(-('Diário 4º PA'!$E$4:$E$2564='Analítico Cp.'!$B22),-('Diário 4º PA'!$Q$4:$Q$2564=F$1),('Diário 4º PA'!$F$4:$F$2564))+SUMPRODUCT(-('Comp.'!$D$5:$D$69='Analítico Cp.'!$B22),-('Comp.'!$K$5:$K$69=F$1),('Comp.'!$E$5:$E$69))</f>
        <v>0</v>
      </c>
      <c r="G22" s="12">
        <f>SUMPRODUCT(-('Diário 1º PA'!$E$4:$E$2635='Analítico Cp.'!$B22),-('Diário 1º PA'!$Q$4:$Q$2635=G$1),('Diário 1º PA'!$F$4:$F$2635))+SUMPRODUCT(-('Diário 2º PA'!$E$4:$E$3040='Analítico Cp.'!$B22),-('Diário 2º PA'!$Q$4:$Q$3040=G$1),('Diário 2º PA'!$F$4:$F$3040))+SUMPRODUCT(-('Diário 3º PA'!$E$4:$E$2731='Analítico Cp.'!$B22),-('Diário 3º PA'!$Q$4:$Q$2731=G$1),('Diário 3º PA'!$F$4:$F$2731))+SUMPRODUCT(-('Diário 4º PA'!$E$4:$E$2564='Analítico Cp.'!$B22),-('Diário 4º PA'!$Q$4:$Q$2564=G$1),('Diário 4º PA'!$F$4:$F$2564))+SUMPRODUCT(-('Comp.'!$D$5:$D$69='Analítico Cp.'!$B22),-('Comp.'!$K$5:$K$69=G$1),('Comp.'!$E$5:$E$69))</f>
        <v>0</v>
      </c>
      <c r="H22" s="12">
        <f>SUMPRODUCT(-('Diário 1º PA'!$E$4:$E$2635='Analítico Cp.'!$B22),-('Diário 1º PA'!$Q$4:$Q$2635=H$1),('Diário 1º PA'!$F$4:$F$2635))+SUMPRODUCT(-('Diário 2º PA'!$E$4:$E$3040='Analítico Cp.'!$B22),-('Diário 2º PA'!$Q$4:$Q$3040=H$1),('Diário 2º PA'!$F$4:$F$3040))+SUMPRODUCT(-('Diário 3º PA'!$E$4:$E$2731='Analítico Cp.'!$B22),-('Diário 3º PA'!$Q$4:$Q$2731=H$1),('Diário 3º PA'!$F$4:$F$2731))+SUMPRODUCT(-('Diário 4º PA'!$E$4:$E$2564='Analítico Cp.'!$B22),-('Diário 4º PA'!$Q$4:$Q$2564=H$1),('Diário 4º PA'!$F$4:$F$2564))+SUMPRODUCT(-('Comp.'!$D$5:$D$69='Analítico Cp.'!$B22),-('Comp.'!$K$5:$K$69=H$1),('Comp.'!$E$5:$E$69))</f>
        <v>0</v>
      </c>
      <c r="I22" s="12">
        <f>SUMPRODUCT(-('Diário 1º PA'!$E$4:$E$2635='Analítico Cp.'!$B22),-('Diário 1º PA'!$Q$4:$Q$2635=I$1),('Diário 1º PA'!$F$4:$F$2635))+SUMPRODUCT(-('Diário 2º PA'!$E$4:$E$3040='Analítico Cp.'!$B22),-('Diário 2º PA'!$Q$4:$Q$3040=I$1),('Diário 2º PA'!$F$4:$F$3040))+SUMPRODUCT(-('Diário 3º PA'!$E$4:$E$2731='Analítico Cp.'!$B22),-('Diário 3º PA'!$Q$4:$Q$2731=I$1),('Diário 3º PA'!$F$4:$F$2731))+SUMPRODUCT(-('Diário 4º PA'!$E$4:$E$2564='Analítico Cp.'!$B22),-('Diário 4º PA'!$Q$4:$Q$2564=I$1),('Diário 4º PA'!$F$4:$F$2564))+SUMPRODUCT(-('Comp.'!$D$5:$D$69='Analítico Cp.'!$B22),-('Comp.'!$K$5:$K$69=I$1),('Comp.'!$E$5:$E$69))</f>
        <v>0</v>
      </c>
      <c r="J22" s="12">
        <f>SUMPRODUCT(-('Diário 1º PA'!$E$4:$E$2635='Analítico Cp.'!$B22),-('Diário 1º PA'!$Q$4:$Q$2635=J$1),('Diário 1º PA'!$F$4:$F$2635))+SUMPRODUCT(-('Diário 2º PA'!$E$4:$E$3040='Analítico Cp.'!$B22),-('Diário 2º PA'!$Q$4:$Q$3040=J$1),('Diário 2º PA'!$F$4:$F$3040))+SUMPRODUCT(-('Diário 3º PA'!$E$4:$E$2731='Analítico Cp.'!$B22),-('Diário 3º PA'!$Q$4:$Q$2731=J$1),('Diário 3º PA'!$F$4:$F$2731))+SUMPRODUCT(-('Diário 4º PA'!$E$4:$E$2564='Analítico Cp.'!$B22),-('Diário 4º PA'!$Q$4:$Q$2564=J$1),('Diário 4º PA'!$F$4:$F$2564))+SUMPRODUCT(-('Comp.'!$D$5:$D$69='Analítico Cp.'!$B22),-('Comp.'!$K$5:$K$69=J$1),('Comp.'!$E$5:$E$69))</f>
        <v>0</v>
      </c>
      <c r="K22" s="12">
        <f>SUMPRODUCT(-('Diário 1º PA'!$E$4:$E$2635='Analítico Cp.'!$B22),-('Diário 1º PA'!$Q$4:$Q$2635=K$1),('Diário 1º PA'!$F$4:$F$2635))+SUMPRODUCT(-('Diário 2º PA'!$E$4:$E$3040='Analítico Cp.'!$B22),-('Diário 2º PA'!$Q$4:$Q$3040=K$1),('Diário 2º PA'!$F$4:$F$3040))+SUMPRODUCT(-('Diário 3º PA'!$E$4:$E$2731='Analítico Cp.'!$B22),-('Diário 3º PA'!$Q$4:$Q$2731=K$1),('Diário 3º PA'!$F$4:$F$2731))+SUMPRODUCT(-('Diário 4º PA'!$E$4:$E$2564='Analítico Cp.'!$B22),-('Diário 4º PA'!$Q$4:$Q$2564=K$1),('Diário 4º PA'!$F$4:$F$2564))+SUMPRODUCT(-('Comp.'!$D$5:$D$69='Analítico Cp.'!$B22),-('Comp.'!$K$5:$K$69=K$1),('Comp.'!$E$5:$E$69))</f>
        <v>0</v>
      </c>
      <c r="L22" s="12">
        <f>SUMPRODUCT(-('Diário 1º PA'!$E$4:$E$2635='Analítico Cp.'!$B22),-('Diário 1º PA'!$Q$4:$Q$2635=L$1),('Diário 1º PA'!$F$4:$F$2635))+SUMPRODUCT(-('Diário 2º PA'!$E$4:$E$3040='Analítico Cp.'!$B22),-('Diário 2º PA'!$Q$4:$Q$3040=L$1),('Diário 2º PA'!$F$4:$F$3040))+SUMPRODUCT(-('Diário 3º PA'!$E$4:$E$2731='Analítico Cp.'!$B22),-('Diário 3º PA'!$Q$4:$Q$2731=L$1),('Diário 3º PA'!$F$4:$F$2731))+SUMPRODUCT(-('Diário 4º PA'!$E$4:$E$2564='Analítico Cp.'!$B22),-('Diário 4º PA'!$Q$4:$Q$2564=L$1),('Diário 4º PA'!$F$4:$F$2564))+SUMPRODUCT(-('Comp.'!$D$5:$D$69='Analítico Cp.'!$B22),-('Comp.'!$K$5:$K$69=L$1),('Comp.'!$E$5:$E$69))</f>
        <v>0</v>
      </c>
      <c r="M22" s="12">
        <f>SUMPRODUCT(-('Diário 1º PA'!$E$4:$E$2635='Analítico Cp.'!$B22),-('Diário 1º PA'!$Q$4:$Q$2635=M$1),('Diário 1º PA'!$F$4:$F$2635))+SUMPRODUCT(-('Diário 2º PA'!$E$4:$E$3040='Analítico Cp.'!$B22),-('Diário 2º PA'!$Q$4:$Q$3040=M$1),('Diário 2º PA'!$F$4:$F$3040))+SUMPRODUCT(-('Diário 3º PA'!$E$4:$E$2731='Analítico Cp.'!$B22),-('Diário 3º PA'!$Q$4:$Q$2731=M$1),('Diário 3º PA'!$F$4:$F$2731))+SUMPRODUCT(-('Diário 4º PA'!$E$4:$E$2564='Analítico Cp.'!$B22),-('Diário 4º PA'!$Q$4:$Q$2564=M$1),('Diário 4º PA'!$F$4:$F$2564))+SUMPRODUCT(-('Comp.'!$D$5:$D$69='Analítico Cp.'!$B22),-('Comp.'!$K$5:$K$69=M$1),('Comp.'!$E$5:$E$69))</f>
        <v>0</v>
      </c>
      <c r="N22" s="12">
        <f>SUMPRODUCT(-('Diário 1º PA'!$E$4:$E$2635='Analítico Cp.'!$B22),-('Diário 1º PA'!$Q$4:$Q$2635=N$1),('Diário 1º PA'!$F$4:$F$2635))+SUMPRODUCT(-('Diário 2º PA'!$E$4:$E$3040='Analítico Cp.'!$B22),-('Diário 2º PA'!$Q$4:$Q$3040=N$1),('Diário 2º PA'!$F$4:$F$3040))+SUMPRODUCT(-('Diário 3º PA'!$E$4:$E$2731='Analítico Cp.'!$B22),-('Diário 3º PA'!$Q$4:$Q$2731=N$1),('Diário 3º PA'!$F$4:$F$2731))+SUMPRODUCT(-('Diário 4º PA'!$E$4:$E$2564='Analítico Cp.'!$B22),-('Diário 4º PA'!$Q$4:$Q$2564=N$1),('Diário 4º PA'!$F$4:$F$2564))+SUMPRODUCT(-('Comp.'!$D$5:$D$69='Analítico Cp.'!$B22),-('Comp.'!$K$5:$K$69=N$1),('Comp.'!$E$5:$E$69))</f>
        <v>0</v>
      </c>
      <c r="O22" s="13">
        <f>SUM(C22:N22)</f>
        <v>0</v>
      </c>
      <c r="P22" s="167">
        <f t="shared" si="1"/>
        <v>0</v>
      </c>
    </row>
    <row r="23" spans="1:16" ht="23.25" customHeight="1" x14ac:dyDescent="0.2">
      <c r="A23" s="61" t="s">
        <v>103</v>
      </c>
      <c r="B23" s="59" t="s">
        <v>174</v>
      </c>
      <c r="C23" s="12">
        <f>SUMPRODUCT(-('Diário 1º PA'!$E$4:$E$2635='Analítico Cp.'!$B23),-('Diário 1º PA'!$Q$4:$Q$2635=C$1),('Diário 1º PA'!$F$4:$F$2635))+SUMPRODUCT(-('Diário 2º PA'!$E$4:$E$3040='Analítico Cp.'!$B23),-('Diário 2º PA'!$Q$4:$Q$3040=C$1),('Diário 2º PA'!$F$4:$F$3040))+SUMPRODUCT(-('Diário 3º PA'!$E$4:$E$2731='Analítico Cp.'!$B23),-('Diário 3º PA'!$Q$4:$Q$2731=C$1),('Diário 3º PA'!$F$4:$F$2731))+SUMPRODUCT(-('Diário 4º PA'!$E$4:$E$2564='Analítico Cp.'!$B23),-('Diário 4º PA'!$Q$4:$Q$2564=C$1),('Diário 4º PA'!$F$4:$F$2564))+SUMPRODUCT(-('Comp.'!$D$5:$D$69='Analítico Cp.'!$B23),-('Comp.'!$K$5:$K$69=C$1),('Comp.'!$E$5:$E$69))</f>
        <v>0</v>
      </c>
      <c r="D23" s="12">
        <f>SUMPRODUCT(-('Diário 1º PA'!$E$4:$E$2635='Analítico Cp.'!$B23),-('Diário 1º PA'!$Q$4:$Q$2635=D$1),('Diário 1º PA'!$F$4:$F$2635))+SUMPRODUCT(-('Diário 2º PA'!$E$4:$E$3040='Analítico Cp.'!$B23),-('Diário 2º PA'!$Q$4:$Q$3040=D$1),('Diário 2º PA'!$F$4:$F$3040))+SUMPRODUCT(-('Diário 3º PA'!$E$4:$E$2731='Analítico Cp.'!$B23),-('Diário 3º PA'!$Q$4:$Q$2731=D$1),('Diário 3º PA'!$F$4:$F$2731))+SUMPRODUCT(-('Diário 4º PA'!$E$4:$E$2564='Analítico Cp.'!$B23),-('Diário 4º PA'!$Q$4:$Q$2564=D$1),('Diário 4º PA'!$F$4:$F$2564))+SUMPRODUCT(-('Comp.'!$D$5:$D$69='Analítico Cp.'!$B23),-('Comp.'!$K$5:$K$69=D$1),('Comp.'!$E$5:$E$69))</f>
        <v>0</v>
      </c>
      <c r="E23" s="12">
        <f>SUMPRODUCT(-('Diário 1º PA'!$E$4:$E$2635='Analítico Cp.'!$B23),-('Diário 1º PA'!$Q$4:$Q$2635=E$1),('Diário 1º PA'!$F$4:$F$2635))+SUMPRODUCT(-('Diário 2º PA'!$E$4:$E$3040='Analítico Cp.'!$B23),-('Diário 2º PA'!$Q$4:$Q$3040=E$1),('Diário 2º PA'!$F$4:$F$3040))+SUMPRODUCT(-('Diário 3º PA'!$E$4:$E$2731='Analítico Cp.'!$B23),-('Diário 3º PA'!$Q$4:$Q$2731=E$1),('Diário 3º PA'!$F$4:$F$2731))+SUMPRODUCT(-('Diário 4º PA'!$E$4:$E$2564='Analítico Cp.'!$B23),-('Diário 4º PA'!$Q$4:$Q$2564=E$1),('Diário 4º PA'!$F$4:$F$2564))+SUMPRODUCT(-('Comp.'!$D$5:$D$69='Analítico Cp.'!$B23),-('Comp.'!$K$5:$K$69=E$1),('Comp.'!$E$5:$E$69))</f>
        <v>0</v>
      </c>
      <c r="F23" s="12">
        <f>SUMPRODUCT(-('Diário 1º PA'!$E$4:$E$2635='Analítico Cp.'!$B23),-('Diário 1º PA'!$Q$4:$Q$2635=F$1),('Diário 1º PA'!$F$4:$F$2635))+SUMPRODUCT(-('Diário 2º PA'!$E$4:$E$3040='Analítico Cp.'!$B23),-('Diário 2º PA'!$Q$4:$Q$3040=F$1),('Diário 2º PA'!$F$4:$F$3040))+SUMPRODUCT(-('Diário 3º PA'!$E$4:$E$2731='Analítico Cp.'!$B23),-('Diário 3º PA'!$Q$4:$Q$2731=F$1),('Diário 3º PA'!$F$4:$F$2731))+SUMPRODUCT(-('Diário 4º PA'!$E$4:$E$2564='Analítico Cp.'!$B23),-('Diário 4º PA'!$Q$4:$Q$2564=F$1),('Diário 4º PA'!$F$4:$F$2564))+SUMPRODUCT(-('Comp.'!$D$5:$D$69='Analítico Cp.'!$B23),-('Comp.'!$K$5:$K$69=F$1),('Comp.'!$E$5:$E$69))</f>
        <v>0</v>
      </c>
      <c r="G23" s="12">
        <f>SUMPRODUCT(-('Diário 1º PA'!$E$4:$E$2635='Analítico Cp.'!$B23),-('Diário 1º PA'!$Q$4:$Q$2635=G$1),('Diário 1º PA'!$F$4:$F$2635))+SUMPRODUCT(-('Diário 2º PA'!$E$4:$E$3040='Analítico Cp.'!$B23),-('Diário 2º PA'!$Q$4:$Q$3040=G$1),('Diário 2º PA'!$F$4:$F$3040))+SUMPRODUCT(-('Diário 3º PA'!$E$4:$E$2731='Analítico Cp.'!$B23),-('Diário 3º PA'!$Q$4:$Q$2731=G$1),('Diário 3º PA'!$F$4:$F$2731))+SUMPRODUCT(-('Diário 4º PA'!$E$4:$E$2564='Analítico Cp.'!$B23),-('Diário 4º PA'!$Q$4:$Q$2564=G$1),('Diário 4º PA'!$F$4:$F$2564))+SUMPRODUCT(-('Comp.'!$D$5:$D$69='Analítico Cp.'!$B23),-('Comp.'!$K$5:$K$69=G$1),('Comp.'!$E$5:$E$69))</f>
        <v>0</v>
      </c>
      <c r="H23" s="12">
        <f>SUMPRODUCT(-('Diário 1º PA'!$E$4:$E$2635='Analítico Cp.'!$B23),-('Diário 1º PA'!$Q$4:$Q$2635=H$1),('Diário 1º PA'!$F$4:$F$2635))+SUMPRODUCT(-('Diário 2º PA'!$E$4:$E$3040='Analítico Cp.'!$B23),-('Diário 2º PA'!$Q$4:$Q$3040=H$1),('Diário 2º PA'!$F$4:$F$3040))+SUMPRODUCT(-('Diário 3º PA'!$E$4:$E$2731='Analítico Cp.'!$B23),-('Diário 3º PA'!$Q$4:$Q$2731=H$1),('Diário 3º PA'!$F$4:$F$2731))+SUMPRODUCT(-('Diário 4º PA'!$E$4:$E$2564='Analítico Cp.'!$B23),-('Diário 4º PA'!$Q$4:$Q$2564=H$1),('Diário 4º PA'!$F$4:$F$2564))+SUMPRODUCT(-('Comp.'!$D$5:$D$69='Analítico Cp.'!$B23),-('Comp.'!$K$5:$K$69=H$1),('Comp.'!$E$5:$E$69))</f>
        <v>0</v>
      </c>
      <c r="I23" s="12">
        <f>SUMPRODUCT(-('Diário 1º PA'!$E$4:$E$2635='Analítico Cp.'!$B23),-('Diário 1º PA'!$Q$4:$Q$2635=I$1),('Diário 1º PA'!$F$4:$F$2635))+SUMPRODUCT(-('Diário 2º PA'!$E$4:$E$3040='Analítico Cp.'!$B23),-('Diário 2º PA'!$Q$4:$Q$3040=I$1),('Diário 2º PA'!$F$4:$F$3040))+SUMPRODUCT(-('Diário 3º PA'!$E$4:$E$2731='Analítico Cp.'!$B23),-('Diário 3º PA'!$Q$4:$Q$2731=I$1),('Diário 3º PA'!$F$4:$F$2731))+SUMPRODUCT(-('Diário 4º PA'!$E$4:$E$2564='Analítico Cp.'!$B23),-('Diário 4º PA'!$Q$4:$Q$2564=I$1),('Diário 4º PA'!$F$4:$F$2564))+SUMPRODUCT(-('Comp.'!$D$5:$D$69='Analítico Cp.'!$B23),-('Comp.'!$K$5:$K$69=I$1),('Comp.'!$E$5:$E$69))</f>
        <v>0</v>
      </c>
      <c r="J23" s="12">
        <f>SUMPRODUCT(-('Diário 1º PA'!$E$4:$E$2635='Analítico Cp.'!$B23),-('Diário 1º PA'!$Q$4:$Q$2635=J$1),('Diário 1º PA'!$F$4:$F$2635))+SUMPRODUCT(-('Diário 2º PA'!$E$4:$E$3040='Analítico Cp.'!$B23),-('Diário 2º PA'!$Q$4:$Q$3040=J$1),('Diário 2º PA'!$F$4:$F$3040))+SUMPRODUCT(-('Diário 3º PA'!$E$4:$E$2731='Analítico Cp.'!$B23),-('Diário 3º PA'!$Q$4:$Q$2731=J$1),('Diário 3º PA'!$F$4:$F$2731))+SUMPRODUCT(-('Diário 4º PA'!$E$4:$E$2564='Analítico Cp.'!$B23),-('Diário 4º PA'!$Q$4:$Q$2564=J$1),('Diário 4º PA'!$F$4:$F$2564))+SUMPRODUCT(-('Comp.'!$D$5:$D$69='Analítico Cp.'!$B23),-('Comp.'!$K$5:$K$69=J$1),('Comp.'!$E$5:$E$69))</f>
        <v>0</v>
      </c>
      <c r="K23" s="12">
        <f>SUMPRODUCT(-('Diário 1º PA'!$E$4:$E$2635='Analítico Cp.'!$B23),-('Diário 1º PA'!$Q$4:$Q$2635=K$1),('Diário 1º PA'!$F$4:$F$2635))+SUMPRODUCT(-('Diário 2º PA'!$E$4:$E$3040='Analítico Cp.'!$B23),-('Diário 2º PA'!$Q$4:$Q$3040=K$1),('Diário 2º PA'!$F$4:$F$3040))+SUMPRODUCT(-('Diário 3º PA'!$E$4:$E$2731='Analítico Cp.'!$B23),-('Diário 3º PA'!$Q$4:$Q$2731=K$1),('Diário 3º PA'!$F$4:$F$2731))+SUMPRODUCT(-('Diário 4º PA'!$E$4:$E$2564='Analítico Cp.'!$B23),-('Diário 4º PA'!$Q$4:$Q$2564=K$1),('Diário 4º PA'!$F$4:$F$2564))+SUMPRODUCT(-('Comp.'!$D$5:$D$69='Analítico Cp.'!$B23),-('Comp.'!$K$5:$K$69=K$1),('Comp.'!$E$5:$E$69))</f>
        <v>0</v>
      </c>
      <c r="L23" s="12">
        <f>SUMPRODUCT(-('Diário 1º PA'!$E$4:$E$2635='Analítico Cp.'!$B23),-('Diário 1º PA'!$Q$4:$Q$2635=L$1),('Diário 1º PA'!$F$4:$F$2635))+SUMPRODUCT(-('Diário 2º PA'!$E$4:$E$3040='Analítico Cp.'!$B23),-('Diário 2º PA'!$Q$4:$Q$3040=L$1),('Diário 2º PA'!$F$4:$F$3040))+SUMPRODUCT(-('Diário 3º PA'!$E$4:$E$2731='Analítico Cp.'!$B23),-('Diário 3º PA'!$Q$4:$Q$2731=L$1),('Diário 3º PA'!$F$4:$F$2731))+SUMPRODUCT(-('Diário 4º PA'!$E$4:$E$2564='Analítico Cp.'!$B23),-('Diário 4º PA'!$Q$4:$Q$2564=L$1),('Diário 4º PA'!$F$4:$F$2564))+SUMPRODUCT(-('Comp.'!$D$5:$D$69='Analítico Cp.'!$B23),-('Comp.'!$K$5:$K$69=L$1),('Comp.'!$E$5:$E$69))</f>
        <v>0</v>
      </c>
      <c r="M23" s="12">
        <f>SUMPRODUCT(-('Diário 1º PA'!$E$4:$E$2635='Analítico Cp.'!$B23),-('Diário 1º PA'!$Q$4:$Q$2635=M$1),('Diário 1º PA'!$F$4:$F$2635))+SUMPRODUCT(-('Diário 2º PA'!$E$4:$E$3040='Analítico Cp.'!$B23),-('Diário 2º PA'!$Q$4:$Q$3040=M$1),('Diário 2º PA'!$F$4:$F$3040))+SUMPRODUCT(-('Diário 3º PA'!$E$4:$E$2731='Analítico Cp.'!$B23),-('Diário 3º PA'!$Q$4:$Q$2731=M$1),('Diário 3º PA'!$F$4:$F$2731))+SUMPRODUCT(-('Diário 4º PA'!$E$4:$E$2564='Analítico Cp.'!$B23),-('Diário 4º PA'!$Q$4:$Q$2564=M$1),('Diário 4º PA'!$F$4:$F$2564))+SUMPRODUCT(-('Comp.'!$D$5:$D$69='Analítico Cp.'!$B23),-('Comp.'!$K$5:$K$69=M$1),('Comp.'!$E$5:$E$69))</f>
        <v>0</v>
      </c>
      <c r="N23" s="12">
        <f>SUMPRODUCT(-('Diário 1º PA'!$E$4:$E$2635='Analítico Cp.'!$B23),-('Diário 1º PA'!$Q$4:$Q$2635=N$1),('Diário 1º PA'!$F$4:$F$2635))+SUMPRODUCT(-('Diário 2º PA'!$E$4:$E$3040='Analítico Cp.'!$B23),-('Diário 2º PA'!$Q$4:$Q$3040=N$1),('Diário 2º PA'!$F$4:$F$3040))+SUMPRODUCT(-('Diário 3º PA'!$E$4:$E$2731='Analítico Cp.'!$B23),-('Diário 3º PA'!$Q$4:$Q$2731=N$1),('Diário 3º PA'!$F$4:$F$2731))+SUMPRODUCT(-('Diário 4º PA'!$E$4:$E$2564='Analítico Cp.'!$B23),-('Diário 4º PA'!$Q$4:$Q$2564=N$1),('Diário 4º PA'!$F$4:$F$2564))+SUMPRODUCT(-('Comp.'!$D$5:$D$69='Analítico Cp.'!$B23),-('Comp.'!$K$5:$K$69=N$1),('Comp.'!$E$5:$E$69))</f>
        <v>0</v>
      </c>
      <c r="O23" s="13">
        <f>SUM(C23:N23)</f>
        <v>0</v>
      </c>
      <c r="P23" s="167">
        <f t="shared" si="1"/>
        <v>0</v>
      </c>
    </row>
    <row r="24" spans="1:16" ht="23.25" customHeight="1" x14ac:dyDescent="0.2">
      <c r="A24" s="61" t="s">
        <v>104</v>
      </c>
      <c r="B24" s="59" t="s">
        <v>94</v>
      </c>
      <c r="C24" s="12">
        <f>SUMPRODUCT(-('Diário 1º PA'!$E$4:$E$2635='Analítico Cp.'!$B24),-('Diário 1º PA'!$Q$4:$Q$2635=C$1),('Diário 1º PA'!$F$4:$F$2635))+SUMPRODUCT(-('Diário 2º PA'!$E$4:$E$3040='Analítico Cp.'!$B24),-('Diário 2º PA'!$Q$4:$Q$3040=C$1),('Diário 2º PA'!$F$4:$F$3040))+SUMPRODUCT(-('Diário 3º PA'!$E$4:$E$2731='Analítico Cp.'!$B24),-('Diário 3º PA'!$Q$4:$Q$2731=C$1),('Diário 3º PA'!$F$4:$F$2731))+SUMPRODUCT(-('Diário 4º PA'!$E$4:$E$2564='Analítico Cp.'!$B24),-('Diário 4º PA'!$Q$4:$Q$2564=C$1),('Diário 4º PA'!$F$4:$F$2564))+SUMPRODUCT(-('Comp.'!$D$5:$D$69='Analítico Cp.'!$B24),-('Comp.'!$K$5:$K$69=C$1),('Comp.'!$E$5:$E$69))</f>
        <v>0</v>
      </c>
      <c r="D24" s="12">
        <f>SUMPRODUCT(-('Diário 1º PA'!$E$4:$E$2635='Analítico Cp.'!$B24),-('Diário 1º PA'!$Q$4:$Q$2635=D$1),('Diário 1º PA'!$F$4:$F$2635))+SUMPRODUCT(-('Diário 2º PA'!$E$4:$E$3040='Analítico Cp.'!$B24),-('Diário 2º PA'!$Q$4:$Q$3040=D$1),('Diário 2º PA'!$F$4:$F$3040))+SUMPRODUCT(-('Diário 3º PA'!$E$4:$E$2731='Analítico Cp.'!$B24),-('Diário 3º PA'!$Q$4:$Q$2731=D$1),('Diário 3º PA'!$F$4:$F$2731))+SUMPRODUCT(-('Diário 4º PA'!$E$4:$E$2564='Analítico Cp.'!$B24),-('Diário 4º PA'!$Q$4:$Q$2564=D$1),('Diário 4º PA'!$F$4:$F$2564))+SUMPRODUCT(-('Comp.'!$D$5:$D$69='Analítico Cp.'!$B24),-('Comp.'!$K$5:$K$69=D$1),('Comp.'!$E$5:$E$69))</f>
        <v>0</v>
      </c>
      <c r="E24" s="12">
        <f>SUMPRODUCT(-('Diário 1º PA'!$E$4:$E$2635='Analítico Cp.'!$B24),-('Diário 1º PA'!$Q$4:$Q$2635=E$1),('Diário 1º PA'!$F$4:$F$2635))+SUMPRODUCT(-('Diário 2º PA'!$E$4:$E$3040='Analítico Cp.'!$B24),-('Diário 2º PA'!$Q$4:$Q$3040=E$1),('Diário 2º PA'!$F$4:$F$3040))+SUMPRODUCT(-('Diário 3º PA'!$E$4:$E$2731='Analítico Cp.'!$B24),-('Diário 3º PA'!$Q$4:$Q$2731=E$1),('Diário 3º PA'!$F$4:$F$2731))+SUMPRODUCT(-('Diário 4º PA'!$E$4:$E$2564='Analítico Cp.'!$B24),-('Diário 4º PA'!$Q$4:$Q$2564=E$1),('Diário 4º PA'!$F$4:$F$2564))+SUMPRODUCT(-('Comp.'!$D$5:$D$69='Analítico Cp.'!$B24),-('Comp.'!$K$5:$K$69=E$1),('Comp.'!$E$5:$E$69))</f>
        <v>0</v>
      </c>
      <c r="F24" s="12">
        <f>SUMPRODUCT(-('Diário 1º PA'!$E$4:$E$2635='Analítico Cp.'!$B24),-('Diário 1º PA'!$Q$4:$Q$2635=F$1),('Diário 1º PA'!$F$4:$F$2635))+SUMPRODUCT(-('Diário 2º PA'!$E$4:$E$3040='Analítico Cp.'!$B24),-('Diário 2º PA'!$Q$4:$Q$3040=F$1),('Diário 2º PA'!$F$4:$F$3040))+SUMPRODUCT(-('Diário 3º PA'!$E$4:$E$2731='Analítico Cp.'!$B24),-('Diário 3º PA'!$Q$4:$Q$2731=F$1),('Diário 3º PA'!$F$4:$F$2731))+SUMPRODUCT(-('Diário 4º PA'!$E$4:$E$2564='Analítico Cp.'!$B24),-('Diário 4º PA'!$Q$4:$Q$2564=F$1),('Diário 4º PA'!$F$4:$F$2564))+SUMPRODUCT(-('Comp.'!$D$5:$D$69='Analítico Cp.'!$B24),-('Comp.'!$K$5:$K$69=F$1),('Comp.'!$E$5:$E$69))</f>
        <v>0</v>
      </c>
      <c r="G24" s="12">
        <f>SUMPRODUCT(-('Diário 1º PA'!$E$4:$E$2635='Analítico Cp.'!$B24),-('Diário 1º PA'!$Q$4:$Q$2635=G$1),('Diário 1º PA'!$F$4:$F$2635))+SUMPRODUCT(-('Diário 2º PA'!$E$4:$E$3040='Analítico Cp.'!$B24),-('Diário 2º PA'!$Q$4:$Q$3040=G$1),('Diário 2º PA'!$F$4:$F$3040))+SUMPRODUCT(-('Diário 3º PA'!$E$4:$E$2731='Analítico Cp.'!$B24),-('Diário 3º PA'!$Q$4:$Q$2731=G$1),('Diário 3º PA'!$F$4:$F$2731))+SUMPRODUCT(-('Diário 4º PA'!$E$4:$E$2564='Analítico Cp.'!$B24),-('Diário 4º PA'!$Q$4:$Q$2564=G$1),('Diário 4º PA'!$F$4:$F$2564))+SUMPRODUCT(-('Comp.'!$D$5:$D$69='Analítico Cp.'!$B24),-('Comp.'!$K$5:$K$69=G$1),('Comp.'!$E$5:$E$69))</f>
        <v>0</v>
      </c>
      <c r="H24" s="12">
        <f>SUMPRODUCT(-('Diário 1º PA'!$E$4:$E$2635='Analítico Cp.'!$B24),-('Diário 1º PA'!$Q$4:$Q$2635=H$1),('Diário 1º PA'!$F$4:$F$2635))+SUMPRODUCT(-('Diário 2º PA'!$E$4:$E$3040='Analítico Cp.'!$B24),-('Diário 2º PA'!$Q$4:$Q$3040=H$1),('Diário 2º PA'!$F$4:$F$3040))+SUMPRODUCT(-('Diário 3º PA'!$E$4:$E$2731='Analítico Cp.'!$B24),-('Diário 3º PA'!$Q$4:$Q$2731=H$1),('Diário 3º PA'!$F$4:$F$2731))+SUMPRODUCT(-('Diário 4º PA'!$E$4:$E$2564='Analítico Cp.'!$B24),-('Diário 4º PA'!$Q$4:$Q$2564=H$1),('Diário 4º PA'!$F$4:$F$2564))+SUMPRODUCT(-('Comp.'!$D$5:$D$69='Analítico Cp.'!$B24),-('Comp.'!$K$5:$K$69=H$1),('Comp.'!$E$5:$E$69))</f>
        <v>0</v>
      </c>
      <c r="I24" s="12">
        <f>SUMPRODUCT(-('Diário 1º PA'!$E$4:$E$2635='Analítico Cp.'!$B24),-('Diário 1º PA'!$Q$4:$Q$2635=I$1),('Diário 1º PA'!$F$4:$F$2635))+SUMPRODUCT(-('Diário 2º PA'!$E$4:$E$3040='Analítico Cp.'!$B24),-('Diário 2º PA'!$Q$4:$Q$3040=I$1),('Diário 2º PA'!$F$4:$F$3040))+SUMPRODUCT(-('Diário 3º PA'!$E$4:$E$2731='Analítico Cp.'!$B24),-('Diário 3º PA'!$Q$4:$Q$2731=I$1),('Diário 3º PA'!$F$4:$F$2731))+SUMPRODUCT(-('Diário 4º PA'!$E$4:$E$2564='Analítico Cp.'!$B24),-('Diário 4º PA'!$Q$4:$Q$2564=I$1),('Diário 4º PA'!$F$4:$F$2564))+SUMPRODUCT(-('Comp.'!$D$5:$D$69='Analítico Cp.'!$B24),-('Comp.'!$K$5:$K$69=I$1),('Comp.'!$E$5:$E$69))</f>
        <v>0</v>
      </c>
      <c r="J24" s="12">
        <f>SUMPRODUCT(-('Diário 1º PA'!$E$4:$E$2635='Analítico Cp.'!$B24),-('Diário 1º PA'!$Q$4:$Q$2635=J$1),('Diário 1º PA'!$F$4:$F$2635))+SUMPRODUCT(-('Diário 2º PA'!$E$4:$E$3040='Analítico Cp.'!$B24),-('Diário 2º PA'!$Q$4:$Q$3040=J$1),('Diário 2º PA'!$F$4:$F$3040))+SUMPRODUCT(-('Diário 3º PA'!$E$4:$E$2731='Analítico Cp.'!$B24),-('Diário 3º PA'!$Q$4:$Q$2731=J$1),('Diário 3º PA'!$F$4:$F$2731))+SUMPRODUCT(-('Diário 4º PA'!$E$4:$E$2564='Analítico Cp.'!$B24),-('Diário 4º PA'!$Q$4:$Q$2564=J$1),('Diário 4º PA'!$F$4:$F$2564))+SUMPRODUCT(-('Comp.'!$D$5:$D$69='Analítico Cp.'!$B24),-('Comp.'!$K$5:$K$69=J$1),('Comp.'!$E$5:$E$69))</f>
        <v>0</v>
      </c>
      <c r="K24" s="12">
        <f>SUMPRODUCT(-('Diário 1º PA'!$E$4:$E$2635='Analítico Cp.'!$B24),-('Diário 1º PA'!$Q$4:$Q$2635=K$1),('Diário 1º PA'!$F$4:$F$2635))+SUMPRODUCT(-('Diário 2º PA'!$E$4:$E$3040='Analítico Cp.'!$B24),-('Diário 2º PA'!$Q$4:$Q$3040=K$1),('Diário 2º PA'!$F$4:$F$3040))+SUMPRODUCT(-('Diário 3º PA'!$E$4:$E$2731='Analítico Cp.'!$B24),-('Diário 3º PA'!$Q$4:$Q$2731=K$1),('Diário 3º PA'!$F$4:$F$2731))+SUMPRODUCT(-('Diário 4º PA'!$E$4:$E$2564='Analítico Cp.'!$B24),-('Diário 4º PA'!$Q$4:$Q$2564=K$1),('Diário 4º PA'!$F$4:$F$2564))+SUMPRODUCT(-('Comp.'!$D$5:$D$69='Analítico Cp.'!$B24),-('Comp.'!$K$5:$K$69=K$1),('Comp.'!$E$5:$E$69))</f>
        <v>0</v>
      </c>
      <c r="L24" s="12">
        <f>SUMPRODUCT(-('Diário 1º PA'!$E$4:$E$2635='Analítico Cp.'!$B24),-('Diário 1º PA'!$Q$4:$Q$2635=L$1),('Diário 1º PA'!$F$4:$F$2635))+SUMPRODUCT(-('Diário 2º PA'!$E$4:$E$3040='Analítico Cp.'!$B24),-('Diário 2º PA'!$Q$4:$Q$3040=L$1),('Diário 2º PA'!$F$4:$F$3040))+SUMPRODUCT(-('Diário 3º PA'!$E$4:$E$2731='Analítico Cp.'!$B24),-('Diário 3º PA'!$Q$4:$Q$2731=L$1),('Diário 3º PA'!$F$4:$F$2731))+SUMPRODUCT(-('Diário 4º PA'!$E$4:$E$2564='Analítico Cp.'!$B24),-('Diário 4º PA'!$Q$4:$Q$2564=L$1),('Diário 4º PA'!$F$4:$F$2564))+SUMPRODUCT(-('Comp.'!$D$5:$D$69='Analítico Cp.'!$B24),-('Comp.'!$K$5:$K$69=L$1),('Comp.'!$E$5:$E$69))</f>
        <v>0</v>
      </c>
      <c r="M24" s="12">
        <f>SUMPRODUCT(-('Diário 1º PA'!$E$4:$E$2635='Analítico Cp.'!$B24),-('Diário 1º PA'!$Q$4:$Q$2635=M$1),('Diário 1º PA'!$F$4:$F$2635))+SUMPRODUCT(-('Diário 2º PA'!$E$4:$E$3040='Analítico Cp.'!$B24),-('Diário 2º PA'!$Q$4:$Q$3040=M$1),('Diário 2º PA'!$F$4:$F$3040))+SUMPRODUCT(-('Diário 3º PA'!$E$4:$E$2731='Analítico Cp.'!$B24),-('Diário 3º PA'!$Q$4:$Q$2731=M$1),('Diário 3º PA'!$F$4:$F$2731))+SUMPRODUCT(-('Diário 4º PA'!$E$4:$E$2564='Analítico Cp.'!$B24),-('Diário 4º PA'!$Q$4:$Q$2564=M$1),('Diário 4º PA'!$F$4:$F$2564))+SUMPRODUCT(-('Comp.'!$D$5:$D$69='Analítico Cp.'!$B24),-('Comp.'!$K$5:$K$69=M$1),('Comp.'!$E$5:$E$69))</f>
        <v>0</v>
      </c>
      <c r="N24" s="12">
        <f>SUMPRODUCT(-('Diário 1º PA'!$E$4:$E$2635='Analítico Cp.'!$B24),-('Diário 1º PA'!$Q$4:$Q$2635=N$1),('Diário 1º PA'!$F$4:$F$2635))+SUMPRODUCT(-('Diário 2º PA'!$E$4:$E$3040='Analítico Cp.'!$B24),-('Diário 2º PA'!$Q$4:$Q$3040=N$1),('Diário 2º PA'!$F$4:$F$3040))+SUMPRODUCT(-('Diário 3º PA'!$E$4:$E$2731='Analítico Cp.'!$B24),-('Diário 3º PA'!$Q$4:$Q$2731=N$1),('Diário 3º PA'!$F$4:$F$2731))+SUMPRODUCT(-('Diário 4º PA'!$E$4:$E$2564='Analítico Cp.'!$B24),-('Diário 4º PA'!$Q$4:$Q$2564=N$1),('Diário 4º PA'!$F$4:$F$2564))+SUMPRODUCT(-('Comp.'!$D$5:$D$69='Analítico Cp.'!$B24),-('Comp.'!$K$5:$K$69=N$1),('Comp.'!$E$5:$E$69))</f>
        <v>0</v>
      </c>
      <c r="O24" s="13">
        <f>SUM(C24:N24)</f>
        <v>0</v>
      </c>
      <c r="P24" s="167">
        <f t="shared" si="1"/>
        <v>0</v>
      </c>
    </row>
    <row r="25" spans="1:16" ht="23.25" customHeight="1" x14ac:dyDescent="0.2">
      <c r="A25" s="23"/>
      <c r="B25" s="24" t="s">
        <v>105</v>
      </c>
      <c r="C25" s="14">
        <f t="shared" ref="C25:O25" si="2">SUBTOTAL(109,C20:C24)</f>
        <v>173251.23</v>
      </c>
      <c r="D25" s="14">
        <f t="shared" si="2"/>
        <v>190400.47</v>
      </c>
      <c r="E25" s="14">
        <f t="shared" si="2"/>
        <v>197828.64000000013</v>
      </c>
      <c r="F25" s="14">
        <f t="shared" si="2"/>
        <v>181640.3600000001</v>
      </c>
      <c r="G25" s="14">
        <f t="shared" si="2"/>
        <v>199826.01</v>
      </c>
      <c r="H25" s="14">
        <f t="shared" si="2"/>
        <v>192313.08000000002</v>
      </c>
      <c r="I25" s="14">
        <f t="shared" si="2"/>
        <v>242016.80000000008</v>
      </c>
      <c r="J25" s="14">
        <f t="shared" si="2"/>
        <v>216617.96000000008</v>
      </c>
      <c r="K25" s="14">
        <f t="shared" si="2"/>
        <v>256653.25000000006</v>
      </c>
      <c r="L25" s="14">
        <f t="shared" si="2"/>
        <v>223091.97000000009</v>
      </c>
      <c r="M25" s="14">
        <f t="shared" si="2"/>
        <v>227056.55</v>
      </c>
      <c r="N25" s="14">
        <f t="shared" si="2"/>
        <v>223975.3</v>
      </c>
      <c r="O25" s="14">
        <f t="shared" si="2"/>
        <v>2524671.62</v>
      </c>
      <c r="P25" s="171">
        <f t="shared" si="1"/>
        <v>0.20628746895817696</v>
      </c>
    </row>
    <row r="26" spans="1:16" s="34" customFormat="1" ht="23.25" customHeight="1" x14ac:dyDescent="0.2">
      <c r="A26" s="99" t="s">
        <v>12</v>
      </c>
      <c r="B26" s="100" t="s">
        <v>7</v>
      </c>
      <c r="C26" s="66"/>
      <c r="D26" s="66"/>
      <c r="E26" s="66"/>
      <c r="F26" s="66"/>
      <c r="G26" s="66"/>
      <c r="H26" s="66"/>
      <c r="I26" s="66"/>
      <c r="J26" s="66"/>
      <c r="K26" s="66"/>
      <c r="L26" s="66"/>
      <c r="M26" s="66"/>
      <c r="N26" s="66"/>
      <c r="O26" s="66"/>
      <c r="P26" s="172"/>
    </row>
    <row r="27" spans="1:16" ht="23.25" customHeight="1" x14ac:dyDescent="0.2">
      <c r="A27" s="61" t="s">
        <v>106</v>
      </c>
      <c r="B27" s="60" t="s">
        <v>249</v>
      </c>
      <c r="C27" s="12">
        <f>SUMPRODUCT(-('Diário 1º PA'!$E$4:$E$2635='Analítico Cp.'!$B27),-('Diário 1º PA'!$Q$4:$Q$2635=C$1),('Diário 1º PA'!$F$4:$F$2635))+SUMPRODUCT(-('Diário 2º PA'!$E$4:$E$3040='Analítico Cp.'!$B27),-('Diário 2º PA'!$Q$4:$Q$3040=C$1),('Diário 2º PA'!$F$4:$F$3040))+SUMPRODUCT(-('Diário 3º PA'!$E$4:$E$2731='Analítico Cp.'!$B27),-('Diário 3º PA'!$Q$4:$Q$2731=C$1),('Diário 3º PA'!$F$4:$F$2731))+SUMPRODUCT(-('Diário 4º PA'!$E$4:$E$2564='Analítico Cp.'!$B27),-('Diário 4º PA'!$Q$4:$Q$2564=C$1),('Diário 4º PA'!$F$4:$F$2564))+SUMPRODUCT(-('Comp.'!$D$5:$D$69='Analítico Cp.'!$B27),-('Comp.'!$K$5:$K$69=C$1),('Comp.'!$E$5:$E$69))</f>
        <v>0</v>
      </c>
      <c r="D27" s="12">
        <f>SUMPRODUCT(-('Diário 1º PA'!$E$4:$E$2635='Analítico Cp.'!$B27),-('Diário 1º PA'!$Q$4:$Q$2635=D$1),('Diário 1º PA'!$F$4:$F$2635))+SUMPRODUCT(-('Diário 2º PA'!$E$4:$E$3040='Analítico Cp.'!$B27),-('Diário 2º PA'!$Q$4:$Q$3040=D$1),('Diário 2º PA'!$F$4:$F$3040))+SUMPRODUCT(-('Diário 3º PA'!$E$4:$E$2731='Analítico Cp.'!$B27),-('Diário 3º PA'!$Q$4:$Q$2731=D$1),('Diário 3º PA'!$F$4:$F$2731))+SUMPRODUCT(-('Diário 4º PA'!$E$4:$E$2564='Analítico Cp.'!$B27),-('Diário 4º PA'!$Q$4:$Q$2564=D$1),('Diário 4º PA'!$F$4:$F$2564))+SUMPRODUCT(-('Comp.'!$D$5:$D$69='Analítico Cp.'!$B27),-('Comp.'!$K$5:$K$69=D$1),('Comp.'!$E$5:$E$69))</f>
        <v>0</v>
      </c>
      <c r="E27" s="12">
        <f>SUMPRODUCT(-('Diário 1º PA'!$E$4:$E$2635='Analítico Cp.'!$B27),-('Diário 1º PA'!$Q$4:$Q$2635=E$1),('Diário 1º PA'!$F$4:$F$2635))+SUMPRODUCT(-('Diário 2º PA'!$E$4:$E$3040='Analítico Cp.'!$B27),-('Diário 2º PA'!$Q$4:$Q$3040=E$1),('Diário 2º PA'!$F$4:$F$3040))+SUMPRODUCT(-('Diário 3º PA'!$E$4:$E$2731='Analítico Cp.'!$B27),-('Diário 3º PA'!$Q$4:$Q$2731=E$1),('Diário 3º PA'!$F$4:$F$2731))+SUMPRODUCT(-('Diário 4º PA'!$E$4:$E$2564='Analítico Cp.'!$B27),-('Diário 4º PA'!$Q$4:$Q$2564=E$1),('Diário 4º PA'!$F$4:$F$2564))+SUMPRODUCT(-('Comp.'!$D$5:$D$69='Analítico Cp.'!$B27),-('Comp.'!$K$5:$K$69=E$1),('Comp.'!$E$5:$E$69))</f>
        <v>0</v>
      </c>
      <c r="F27" s="12">
        <f>SUMPRODUCT(-('Diário 1º PA'!$E$4:$E$2635='Analítico Cp.'!$B27),-('Diário 1º PA'!$Q$4:$Q$2635=F$1),('Diário 1º PA'!$F$4:$F$2635))+SUMPRODUCT(-('Diário 2º PA'!$E$4:$E$3040='Analítico Cp.'!$B27),-('Diário 2º PA'!$Q$4:$Q$3040=F$1),('Diário 2º PA'!$F$4:$F$3040))+SUMPRODUCT(-('Diário 3º PA'!$E$4:$E$2731='Analítico Cp.'!$B27),-('Diário 3º PA'!$Q$4:$Q$2731=F$1),('Diário 3º PA'!$F$4:$F$2731))+SUMPRODUCT(-('Diário 4º PA'!$E$4:$E$2564='Analítico Cp.'!$B27),-('Diário 4º PA'!$Q$4:$Q$2564=F$1),('Diário 4º PA'!$F$4:$F$2564))+SUMPRODUCT(-('Comp.'!$D$5:$D$69='Analítico Cp.'!$B27),-('Comp.'!$K$5:$K$69=F$1),('Comp.'!$E$5:$E$69))</f>
        <v>0</v>
      </c>
      <c r="G27" s="12">
        <f>SUMPRODUCT(-('Diário 1º PA'!$E$4:$E$2635='Analítico Cp.'!$B27),-('Diário 1º PA'!$Q$4:$Q$2635=G$1),('Diário 1º PA'!$F$4:$F$2635))+SUMPRODUCT(-('Diário 2º PA'!$E$4:$E$3040='Analítico Cp.'!$B27),-('Diário 2º PA'!$Q$4:$Q$3040=G$1),('Diário 2º PA'!$F$4:$F$3040))+SUMPRODUCT(-('Diário 3º PA'!$E$4:$E$2731='Analítico Cp.'!$B27),-('Diário 3º PA'!$Q$4:$Q$2731=G$1),('Diário 3º PA'!$F$4:$F$2731))+SUMPRODUCT(-('Diário 4º PA'!$E$4:$E$2564='Analítico Cp.'!$B27),-('Diário 4º PA'!$Q$4:$Q$2564=G$1),('Diário 4º PA'!$F$4:$F$2564))+SUMPRODUCT(-('Comp.'!$D$5:$D$69='Analítico Cp.'!$B27),-('Comp.'!$K$5:$K$69=G$1),('Comp.'!$E$5:$E$69))</f>
        <v>0</v>
      </c>
      <c r="H27" s="12">
        <f>SUMPRODUCT(-('Diário 1º PA'!$E$4:$E$2635='Analítico Cp.'!$B27),-('Diário 1º PA'!$Q$4:$Q$2635=H$1),('Diário 1º PA'!$F$4:$F$2635))+SUMPRODUCT(-('Diário 2º PA'!$E$4:$E$3040='Analítico Cp.'!$B27),-('Diário 2º PA'!$Q$4:$Q$3040=H$1),('Diário 2º PA'!$F$4:$F$3040))+SUMPRODUCT(-('Diário 3º PA'!$E$4:$E$2731='Analítico Cp.'!$B27),-('Diário 3º PA'!$Q$4:$Q$2731=H$1),('Diário 3º PA'!$F$4:$F$2731))+SUMPRODUCT(-('Diário 4º PA'!$E$4:$E$2564='Analítico Cp.'!$B27),-('Diário 4º PA'!$Q$4:$Q$2564=H$1),('Diário 4º PA'!$F$4:$F$2564))+SUMPRODUCT(-('Comp.'!$D$5:$D$69='Analítico Cp.'!$B27),-('Comp.'!$K$5:$K$69=H$1),('Comp.'!$E$5:$E$69))</f>
        <v>0</v>
      </c>
      <c r="I27" s="12">
        <f>SUMPRODUCT(-('Diário 1º PA'!$E$4:$E$2635='Analítico Cp.'!$B27),-('Diário 1º PA'!$Q$4:$Q$2635=I$1),('Diário 1º PA'!$F$4:$F$2635))+SUMPRODUCT(-('Diário 2º PA'!$E$4:$E$3040='Analítico Cp.'!$B27),-('Diário 2º PA'!$Q$4:$Q$3040=I$1),('Diário 2º PA'!$F$4:$F$3040))+SUMPRODUCT(-('Diário 3º PA'!$E$4:$E$2731='Analítico Cp.'!$B27),-('Diário 3º PA'!$Q$4:$Q$2731=I$1),('Diário 3º PA'!$F$4:$F$2731))+SUMPRODUCT(-('Diário 4º PA'!$E$4:$E$2564='Analítico Cp.'!$B27),-('Diário 4º PA'!$Q$4:$Q$2564=I$1),('Diário 4º PA'!$F$4:$F$2564))+SUMPRODUCT(-('Comp.'!$D$5:$D$69='Analítico Cp.'!$B27),-('Comp.'!$K$5:$K$69=I$1),('Comp.'!$E$5:$E$69))</f>
        <v>0</v>
      </c>
      <c r="J27" s="12">
        <f>SUMPRODUCT(-('Diário 1º PA'!$E$4:$E$2635='Analítico Cp.'!$B27),-('Diário 1º PA'!$Q$4:$Q$2635=J$1),('Diário 1º PA'!$F$4:$F$2635))+SUMPRODUCT(-('Diário 2º PA'!$E$4:$E$3040='Analítico Cp.'!$B27),-('Diário 2º PA'!$Q$4:$Q$3040=J$1),('Diário 2º PA'!$F$4:$F$3040))+SUMPRODUCT(-('Diário 3º PA'!$E$4:$E$2731='Analítico Cp.'!$B27),-('Diário 3º PA'!$Q$4:$Q$2731=J$1),('Diário 3º PA'!$F$4:$F$2731))+SUMPRODUCT(-('Diário 4º PA'!$E$4:$E$2564='Analítico Cp.'!$B27),-('Diário 4º PA'!$Q$4:$Q$2564=J$1),('Diário 4º PA'!$F$4:$F$2564))+SUMPRODUCT(-('Comp.'!$D$5:$D$69='Analítico Cp.'!$B27),-('Comp.'!$K$5:$K$69=J$1),('Comp.'!$E$5:$E$69))</f>
        <v>0</v>
      </c>
      <c r="K27" s="12">
        <f>SUMPRODUCT(-('Diário 1º PA'!$E$4:$E$2635='Analítico Cp.'!$B27),-('Diário 1º PA'!$Q$4:$Q$2635=K$1),('Diário 1º PA'!$F$4:$F$2635))+SUMPRODUCT(-('Diário 2º PA'!$E$4:$E$3040='Analítico Cp.'!$B27),-('Diário 2º PA'!$Q$4:$Q$3040=K$1),('Diário 2º PA'!$F$4:$F$3040))+SUMPRODUCT(-('Diário 3º PA'!$E$4:$E$2731='Analítico Cp.'!$B27),-('Diário 3º PA'!$Q$4:$Q$2731=K$1),('Diário 3º PA'!$F$4:$F$2731))+SUMPRODUCT(-('Diário 4º PA'!$E$4:$E$2564='Analítico Cp.'!$B27),-('Diário 4º PA'!$Q$4:$Q$2564=K$1),('Diário 4º PA'!$F$4:$F$2564))+SUMPRODUCT(-('Comp.'!$D$5:$D$69='Analítico Cp.'!$B27),-('Comp.'!$K$5:$K$69=K$1),('Comp.'!$E$5:$E$69))</f>
        <v>0</v>
      </c>
      <c r="L27" s="12">
        <f>SUMPRODUCT(-('Diário 1º PA'!$E$4:$E$2635='Analítico Cp.'!$B27),-('Diário 1º PA'!$Q$4:$Q$2635=L$1),('Diário 1º PA'!$F$4:$F$2635))+SUMPRODUCT(-('Diário 2º PA'!$E$4:$E$3040='Analítico Cp.'!$B27),-('Diário 2º PA'!$Q$4:$Q$3040=L$1),('Diário 2º PA'!$F$4:$F$3040))+SUMPRODUCT(-('Diário 3º PA'!$E$4:$E$2731='Analítico Cp.'!$B27),-('Diário 3º PA'!$Q$4:$Q$2731=L$1),('Diário 3º PA'!$F$4:$F$2731))+SUMPRODUCT(-('Diário 4º PA'!$E$4:$E$2564='Analítico Cp.'!$B27),-('Diário 4º PA'!$Q$4:$Q$2564=L$1),('Diário 4º PA'!$F$4:$F$2564))+SUMPRODUCT(-('Comp.'!$D$5:$D$69='Analítico Cp.'!$B27),-('Comp.'!$K$5:$K$69=L$1),('Comp.'!$E$5:$E$69))</f>
        <v>0</v>
      </c>
      <c r="M27" s="12">
        <f>SUMPRODUCT(-('Diário 1º PA'!$E$4:$E$2635='Analítico Cp.'!$B27),-('Diário 1º PA'!$Q$4:$Q$2635=M$1),('Diário 1º PA'!$F$4:$F$2635))+SUMPRODUCT(-('Diário 2º PA'!$E$4:$E$3040='Analítico Cp.'!$B27),-('Diário 2º PA'!$Q$4:$Q$3040=M$1),('Diário 2º PA'!$F$4:$F$3040))+SUMPRODUCT(-('Diário 3º PA'!$E$4:$E$2731='Analítico Cp.'!$B27),-('Diário 3º PA'!$Q$4:$Q$2731=M$1),('Diário 3º PA'!$F$4:$F$2731))+SUMPRODUCT(-('Diário 4º PA'!$E$4:$E$2564='Analítico Cp.'!$B27),-('Diário 4º PA'!$Q$4:$Q$2564=M$1),('Diário 4º PA'!$F$4:$F$2564))+SUMPRODUCT(-('Comp.'!$D$5:$D$69='Analítico Cp.'!$B27),-('Comp.'!$K$5:$K$69=M$1),('Comp.'!$E$5:$E$69))</f>
        <v>0</v>
      </c>
      <c r="N27" s="12">
        <f>SUMPRODUCT(-('Diário 1º PA'!$E$4:$E$2635='Analítico Cp.'!$B27),-('Diário 1º PA'!$Q$4:$Q$2635=N$1),('Diário 1º PA'!$F$4:$F$2635))+SUMPRODUCT(-('Diário 2º PA'!$E$4:$E$3040='Analítico Cp.'!$B27),-('Diário 2º PA'!$Q$4:$Q$3040=N$1),('Diário 2º PA'!$F$4:$F$3040))+SUMPRODUCT(-('Diário 3º PA'!$E$4:$E$2731='Analítico Cp.'!$B27),-('Diário 3º PA'!$Q$4:$Q$2731=N$1),('Diário 3º PA'!$F$4:$F$2731))+SUMPRODUCT(-('Diário 4º PA'!$E$4:$E$2564='Analítico Cp.'!$B27),-('Diário 4º PA'!$Q$4:$Q$2564=N$1),('Diário 4º PA'!$F$4:$F$2564))+SUMPRODUCT(-('Comp.'!$D$5:$D$69='Analítico Cp.'!$B27),-('Comp.'!$K$5:$K$69=N$1),('Comp.'!$E$5:$E$69))</f>
        <v>0</v>
      </c>
      <c r="O27" s="13">
        <f>SUM(C27:N27)</f>
        <v>0</v>
      </c>
      <c r="P27" s="167">
        <f>IF($O$164=0,0,O27/$O$164)</f>
        <v>0</v>
      </c>
    </row>
    <row r="28" spans="1:16" ht="23.25" customHeight="1" x14ac:dyDescent="0.2">
      <c r="A28" s="61" t="s">
        <v>250</v>
      </c>
      <c r="B28" s="60" t="s">
        <v>251</v>
      </c>
      <c r="C28" s="12">
        <f>SUMPRODUCT(-('Diário 1º PA'!$E$4:$E$2635='Analítico Cp.'!$B28),-('Diário 1º PA'!$Q$4:$Q$2635=C$1),('Diário 1º PA'!$F$4:$F$2635))+SUMPRODUCT(-('Diário 2º PA'!$E$4:$E$3040='Analítico Cp.'!$B28),-('Diário 2º PA'!$Q$4:$Q$3040=C$1),('Diário 2º PA'!$F$4:$F$3040))+SUMPRODUCT(-('Diário 3º PA'!$E$4:$E$2731='Analítico Cp.'!$B28),-('Diário 3º PA'!$Q$4:$Q$2731=C$1),('Diário 3º PA'!$F$4:$F$2731))+SUMPRODUCT(-('Diário 4º PA'!$E$4:$E$2564='Analítico Cp.'!$B28),-('Diário 4º PA'!$Q$4:$Q$2564=C$1),('Diário 4º PA'!$F$4:$F$2564))+SUMPRODUCT(-('Comp.'!$D$5:$D$69='Analítico Cp.'!$B28),-('Comp.'!$K$5:$K$69=C$1),('Comp.'!$E$5:$E$69))</f>
        <v>0</v>
      </c>
      <c r="D28" s="12">
        <f>SUMPRODUCT(-('Diário 1º PA'!$E$4:$E$2635='Analítico Cp.'!$B28),-('Diário 1º PA'!$Q$4:$Q$2635=D$1),('Diário 1º PA'!$F$4:$F$2635))+SUMPRODUCT(-('Diário 2º PA'!$E$4:$E$3040='Analítico Cp.'!$B28),-('Diário 2º PA'!$Q$4:$Q$3040=D$1),('Diário 2º PA'!$F$4:$F$3040))+SUMPRODUCT(-('Diário 3º PA'!$E$4:$E$2731='Analítico Cp.'!$B28),-('Diário 3º PA'!$Q$4:$Q$2731=D$1),('Diário 3º PA'!$F$4:$F$2731))+SUMPRODUCT(-('Diário 4º PA'!$E$4:$E$2564='Analítico Cp.'!$B28),-('Diário 4º PA'!$Q$4:$Q$2564=D$1),('Diário 4º PA'!$F$4:$F$2564))+SUMPRODUCT(-('Comp.'!$D$5:$D$69='Analítico Cp.'!$B28),-('Comp.'!$K$5:$K$69=D$1),('Comp.'!$E$5:$E$69))</f>
        <v>0</v>
      </c>
      <c r="E28" s="12">
        <f>SUMPRODUCT(-('Diário 1º PA'!$E$4:$E$2635='Analítico Cp.'!$B28),-('Diário 1º PA'!$Q$4:$Q$2635=E$1),('Diário 1º PA'!$F$4:$F$2635))+SUMPRODUCT(-('Diário 2º PA'!$E$4:$E$3040='Analítico Cp.'!$B28),-('Diário 2º PA'!$Q$4:$Q$3040=E$1),('Diário 2º PA'!$F$4:$F$3040))+SUMPRODUCT(-('Diário 3º PA'!$E$4:$E$2731='Analítico Cp.'!$B28),-('Diário 3º PA'!$Q$4:$Q$2731=E$1),('Diário 3º PA'!$F$4:$F$2731))+SUMPRODUCT(-('Diário 4º PA'!$E$4:$E$2564='Analítico Cp.'!$B28),-('Diário 4º PA'!$Q$4:$Q$2564=E$1),('Diário 4º PA'!$F$4:$F$2564))+SUMPRODUCT(-('Comp.'!$D$5:$D$69='Analítico Cp.'!$B28),-('Comp.'!$K$5:$K$69=E$1),('Comp.'!$E$5:$E$69))</f>
        <v>0</v>
      </c>
      <c r="F28" s="12">
        <f>SUMPRODUCT(-('Diário 1º PA'!$E$4:$E$2635='Analítico Cp.'!$B28),-('Diário 1º PA'!$Q$4:$Q$2635=F$1),('Diário 1º PA'!$F$4:$F$2635))+SUMPRODUCT(-('Diário 2º PA'!$E$4:$E$3040='Analítico Cp.'!$B28),-('Diário 2º PA'!$Q$4:$Q$3040=F$1),('Diário 2º PA'!$F$4:$F$3040))+SUMPRODUCT(-('Diário 3º PA'!$E$4:$E$2731='Analítico Cp.'!$B28),-('Diário 3º PA'!$Q$4:$Q$2731=F$1),('Diário 3º PA'!$F$4:$F$2731))+SUMPRODUCT(-('Diário 4º PA'!$E$4:$E$2564='Analítico Cp.'!$B28),-('Diário 4º PA'!$Q$4:$Q$2564=F$1),('Diário 4º PA'!$F$4:$F$2564))+SUMPRODUCT(-('Comp.'!$D$5:$D$69='Analítico Cp.'!$B28),-('Comp.'!$K$5:$K$69=F$1),('Comp.'!$E$5:$E$69))</f>
        <v>0</v>
      </c>
      <c r="G28" s="12">
        <f>SUMPRODUCT(-('Diário 1º PA'!$E$4:$E$2635='Analítico Cp.'!$B28),-('Diário 1º PA'!$Q$4:$Q$2635=G$1),('Diário 1º PA'!$F$4:$F$2635))+SUMPRODUCT(-('Diário 2º PA'!$E$4:$E$3040='Analítico Cp.'!$B28),-('Diário 2º PA'!$Q$4:$Q$3040=G$1),('Diário 2º PA'!$F$4:$F$3040))+SUMPRODUCT(-('Diário 3º PA'!$E$4:$E$2731='Analítico Cp.'!$B28),-('Diário 3º PA'!$Q$4:$Q$2731=G$1),('Diário 3º PA'!$F$4:$F$2731))+SUMPRODUCT(-('Diário 4º PA'!$E$4:$E$2564='Analítico Cp.'!$B28),-('Diário 4º PA'!$Q$4:$Q$2564=G$1),('Diário 4º PA'!$F$4:$F$2564))+SUMPRODUCT(-('Comp.'!$D$5:$D$69='Analítico Cp.'!$B28),-('Comp.'!$K$5:$K$69=G$1),('Comp.'!$E$5:$E$69))</f>
        <v>0</v>
      </c>
      <c r="H28" s="12">
        <f>SUMPRODUCT(-('Diário 1º PA'!$E$4:$E$2635='Analítico Cp.'!$B28),-('Diário 1º PA'!$Q$4:$Q$2635=H$1),('Diário 1º PA'!$F$4:$F$2635))+SUMPRODUCT(-('Diário 2º PA'!$E$4:$E$3040='Analítico Cp.'!$B28),-('Diário 2º PA'!$Q$4:$Q$3040=H$1),('Diário 2º PA'!$F$4:$F$3040))+SUMPRODUCT(-('Diário 3º PA'!$E$4:$E$2731='Analítico Cp.'!$B28),-('Diário 3º PA'!$Q$4:$Q$2731=H$1),('Diário 3º PA'!$F$4:$F$2731))+SUMPRODUCT(-('Diário 4º PA'!$E$4:$E$2564='Analítico Cp.'!$B28),-('Diário 4º PA'!$Q$4:$Q$2564=H$1),('Diário 4º PA'!$F$4:$F$2564))+SUMPRODUCT(-('Comp.'!$D$5:$D$69='Analítico Cp.'!$B28),-('Comp.'!$K$5:$K$69=H$1),('Comp.'!$E$5:$E$69))</f>
        <v>0</v>
      </c>
      <c r="I28" s="12">
        <f>SUMPRODUCT(-('Diário 1º PA'!$E$4:$E$2635='Analítico Cp.'!$B28),-('Diário 1º PA'!$Q$4:$Q$2635=I$1),('Diário 1º PA'!$F$4:$F$2635))+SUMPRODUCT(-('Diário 2º PA'!$E$4:$E$3040='Analítico Cp.'!$B28),-('Diário 2º PA'!$Q$4:$Q$3040=I$1),('Diário 2º PA'!$F$4:$F$3040))+SUMPRODUCT(-('Diário 3º PA'!$E$4:$E$2731='Analítico Cp.'!$B28),-('Diário 3º PA'!$Q$4:$Q$2731=I$1),('Diário 3º PA'!$F$4:$F$2731))+SUMPRODUCT(-('Diário 4º PA'!$E$4:$E$2564='Analítico Cp.'!$B28),-('Diário 4º PA'!$Q$4:$Q$2564=I$1),('Diário 4º PA'!$F$4:$F$2564))+SUMPRODUCT(-('Comp.'!$D$5:$D$69='Analítico Cp.'!$B28),-('Comp.'!$K$5:$K$69=I$1),('Comp.'!$E$5:$E$69))</f>
        <v>0</v>
      </c>
      <c r="J28" s="12">
        <f>SUMPRODUCT(-('Diário 1º PA'!$E$4:$E$2635='Analítico Cp.'!$B28),-('Diário 1º PA'!$Q$4:$Q$2635=J$1),('Diário 1º PA'!$F$4:$F$2635))+SUMPRODUCT(-('Diário 2º PA'!$E$4:$E$3040='Analítico Cp.'!$B28),-('Diário 2º PA'!$Q$4:$Q$3040=J$1),('Diário 2º PA'!$F$4:$F$3040))+SUMPRODUCT(-('Diário 3º PA'!$E$4:$E$2731='Analítico Cp.'!$B28),-('Diário 3º PA'!$Q$4:$Q$2731=J$1),('Diário 3º PA'!$F$4:$F$2731))+SUMPRODUCT(-('Diário 4º PA'!$E$4:$E$2564='Analítico Cp.'!$B28),-('Diário 4º PA'!$Q$4:$Q$2564=J$1),('Diário 4º PA'!$F$4:$F$2564))+SUMPRODUCT(-('Comp.'!$D$5:$D$69='Analítico Cp.'!$B28),-('Comp.'!$K$5:$K$69=J$1),('Comp.'!$E$5:$E$69))</f>
        <v>0</v>
      </c>
      <c r="K28" s="12">
        <f>SUMPRODUCT(-('Diário 1º PA'!$E$4:$E$2635='Analítico Cp.'!$B28),-('Diário 1º PA'!$Q$4:$Q$2635=K$1),('Diário 1º PA'!$F$4:$F$2635))+SUMPRODUCT(-('Diário 2º PA'!$E$4:$E$3040='Analítico Cp.'!$B28),-('Diário 2º PA'!$Q$4:$Q$3040=K$1),('Diário 2º PA'!$F$4:$F$3040))+SUMPRODUCT(-('Diário 3º PA'!$E$4:$E$2731='Analítico Cp.'!$B28),-('Diário 3º PA'!$Q$4:$Q$2731=K$1),('Diário 3º PA'!$F$4:$F$2731))+SUMPRODUCT(-('Diário 4º PA'!$E$4:$E$2564='Analítico Cp.'!$B28),-('Diário 4º PA'!$Q$4:$Q$2564=K$1),('Diário 4º PA'!$F$4:$F$2564))+SUMPRODUCT(-('Comp.'!$D$5:$D$69='Analítico Cp.'!$B28),-('Comp.'!$K$5:$K$69=K$1),('Comp.'!$E$5:$E$69))</f>
        <v>0</v>
      </c>
      <c r="L28" s="12">
        <f>SUMPRODUCT(-('Diário 1º PA'!$E$4:$E$2635='Analítico Cp.'!$B28),-('Diário 1º PA'!$Q$4:$Q$2635=L$1),('Diário 1º PA'!$F$4:$F$2635))+SUMPRODUCT(-('Diário 2º PA'!$E$4:$E$3040='Analítico Cp.'!$B28),-('Diário 2º PA'!$Q$4:$Q$3040=L$1),('Diário 2º PA'!$F$4:$F$3040))+SUMPRODUCT(-('Diário 3º PA'!$E$4:$E$2731='Analítico Cp.'!$B28),-('Diário 3º PA'!$Q$4:$Q$2731=L$1),('Diário 3º PA'!$F$4:$F$2731))+SUMPRODUCT(-('Diário 4º PA'!$E$4:$E$2564='Analítico Cp.'!$B28),-('Diário 4º PA'!$Q$4:$Q$2564=L$1),('Diário 4º PA'!$F$4:$F$2564))+SUMPRODUCT(-('Comp.'!$D$5:$D$69='Analítico Cp.'!$B28),-('Comp.'!$K$5:$K$69=L$1),('Comp.'!$E$5:$E$69))</f>
        <v>0</v>
      </c>
      <c r="M28" s="12">
        <f>SUMPRODUCT(-('Diário 1º PA'!$E$4:$E$2635='Analítico Cp.'!$B28),-('Diário 1º PA'!$Q$4:$Q$2635=M$1),('Diário 1º PA'!$F$4:$F$2635))+SUMPRODUCT(-('Diário 2º PA'!$E$4:$E$3040='Analítico Cp.'!$B28),-('Diário 2º PA'!$Q$4:$Q$3040=M$1),('Diário 2º PA'!$F$4:$F$3040))+SUMPRODUCT(-('Diário 3º PA'!$E$4:$E$2731='Analítico Cp.'!$B28),-('Diário 3º PA'!$Q$4:$Q$2731=M$1),('Diário 3º PA'!$F$4:$F$2731))+SUMPRODUCT(-('Diário 4º PA'!$E$4:$E$2564='Analítico Cp.'!$B28),-('Diário 4º PA'!$Q$4:$Q$2564=M$1),('Diário 4º PA'!$F$4:$F$2564))+SUMPRODUCT(-('Comp.'!$D$5:$D$69='Analítico Cp.'!$B28),-('Comp.'!$K$5:$K$69=M$1),('Comp.'!$E$5:$E$69))</f>
        <v>0</v>
      </c>
      <c r="N28" s="12">
        <f>SUMPRODUCT(-('Diário 1º PA'!$E$4:$E$2635='Analítico Cp.'!$B28),-('Diário 1º PA'!$Q$4:$Q$2635=N$1),('Diário 1º PA'!$F$4:$F$2635))+SUMPRODUCT(-('Diário 2º PA'!$E$4:$E$3040='Analítico Cp.'!$B28),-('Diário 2º PA'!$Q$4:$Q$3040=N$1),('Diário 2º PA'!$F$4:$F$3040))+SUMPRODUCT(-('Diário 3º PA'!$E$4:$E$2731='Analítico Cp.'!$B28),-('Diário 3º PA'!$Q$4:$Q$2731=N$1),('Diário 3º PA'!$F$4:$F$2731))+SUMPRODUCT(-('Diário 4º PA'!$E$4:$E$2564='Analítico Cp.'!$B28),-('Diário 4º PA'!$Q$4:$Q$2564=N$1),('Diário 4º PA'!$F$4:$F$2564))+SUMPRODUCT(-('Comp.'!$D$5:$D$69='Analítico Cp.'!$B28),-('Comp.'!$K$5:$K$69=N$1),('Comp.'!$E$5:$E$69))</f>
        <v>0</v>
      </c>
      <c r="O28" s="13">
        <f>SUM(C28:N28)</f>
        <v>0</v>
      </c>
      <c r="P28" s="167">
        <f>IF($O$164=0,0,O28/$O$164)</f>
        <v>0</v>
      </c>
    </row>
    <row r="29" spans="1:16" ht="23.25" customHeight="1" x14ac:dyDescent="0.2">
      <c r="A29" s="23"/>
      <c r="B29" s="24" t="s">
        <v>107</v>
      </c>
      <c r="C29" s="14">
        <f>SUBTOTAL(109,C27:C28)</f>
        <v>0</v>
      </c>
      <c r="D29" s="14">
        <f>SUBTOTAL(109,D27:D28)</f>
        <v>0</v>
      </c>
      <c r="E29" s="14">
        <f>SUBTOTAL(109,E27:E28)</f>
        <v>0</v>
      </c>
      <c r="F29" s="14">
        <f t="shared" ref="F29:N29" si="3">SUBTOTAL(109,F27:F28)</f>
        <v>0</v>
      </c>
      <c r="G29" s="14">
        <f t="shared" si="3"/>
        <v>0</v>
      </c>
      <c r="H29" s="14">
        <f t="shared" si="3"/>
        <v>0</v>
      </c>
      <c r="I29" s="14">
        <f t="shared" si="3"/>
        <v>0</v>
      </c>
      <c r="J29" s="14">
        <f t="shared" si="3"/>
        <v>0</v>
      </c>
      <c r="K29" s="14">
        <f t="shared" si="3"/>
        <v>0</v>
      </c>
      <c r="L29" s="14">
        <f t="shared" si="3"/>
        <v>0</v>
      </c>
      <c r="M29" s="14">
        <f t="shared" si="3"/>
        <v>0</v>
      </c>
      <c r="N29" s="14">
        <f t="shared" si="3"/>
        <v>0</v>
      </c>
      <c r="O29" s="14">
        <f>SUBTOTAL(109,O27:O28)</f>
        <v>0</v>
      </c>
      <c r="P29" s="171">
        <f>IF($O$164=0,0,O29/$O$164)</f>
        <v>0</v>
      </c>
    </row>
    <row r="30" spans="1:16" ht="23.25" customHeight="1" x14ac:dyDescent="0.2">
      <c r="A30" s="21" t="s">
        <v>13</v>
      </c>
      <c r="B30" s="33" t="s">
        <v>37</v>
      </c>
      <c r="C30" s="66"/>
      <c r="D30" s="66"/>
      <c r="E30" s="66"/>
      <c r="F30" s="66"/>
      <c r="G30" s="66"/>
      <c r="H30" s="66"/>
      <c r="I30" s="66"/>
      <c r="J30" s="66"/>
      <c r="K30" s="66"/>
      <c r="L30" s="66"/>
      <c r="M30" s="66"/>
      <c r="N30" s="66"/>
      <c r="O30" s="66"/>
      <c r="P30" s="172"/>
    </row>
    <row r="31" spans="1:16" ht="23.25" customHeight="1" x14ac:dyDescent="0.2">
      <c r="A31" s="61" t="s">
        <v>108</v>
      </c>
      <c r="B31" s="60" t="s">
        <v>252</v>
      </c>
      <c r="C31" s="12">
        <f>'Prov. Pessoal'!C10-'Prov. Pessoal'!C20</f>
        <v>51916.51</v>
      </c>
      <c r="D31" s="12">
        <f>'Prov. Pessoal'!D10-'Prov. Pessoal'!D20</f>
        <v>50454.01</v>
      </c>
      <c r="E31" s="12">
        <f>'Prov. Pessoal'!E10-'Prov. Pessoal'!E20</f>
        <v>51553.61</v>
      </c>
      <c r="F31" s="12">
        <f>'Prov. Pessoal'!F10-'Prov. Pessoal'!F20</f>
        <v>54628.670549999995</v>
      </c>
      <c r="G31" s="12">
        <f>'Prov. Pessoal'!G10-'Prov. Pessoal'!G20</f>
        <v>52102.89</v>
      </c>
      <c r="H31" s="12">
        <f>'Prov. Pessoal'!H10-'Prov. Pessoal'!H20</f>
        <v>51817.173149999995</v>
      </c>
      <c r="I31" s="12">
        <f>'Prov. Pessoal'!I10-'Prov. Pessoal'!I20</f>
        <v>63498.74</v>
      </c>
      <c r="J31" s="12">
        <f>'Prov. Pessoal'!J10-'Prov. Pessoal'!J20</f>
        <v>57979.08</v>
      </c>
      <c r="K31" s="12">
        <f>'Prov. Pessoal'!K10-'Prov. Pessoal'!K20</f>
        <v>66517.906320000009</v>
      </c>
      <c r="L31" s="12">
        <f>'Prov. Pessoal'!L10-'Prov. Pessoal'!L20</f>
        <v>59900.021370000039</v>
      </c>
      <c r="M31" s="12">
        <f>'Prov. Pessoal'!M10-'Prov. Pessoal'!M20</f>
        <v>60227.29</v>
      </c>
      <c r="N31" s="12">
        <f>'Prov. Pessoal'!N10-'Prov. Pessoal'!N20</f>
        <v>58759.411470000043</v>
      </c>
      <c r="O31" s="13">
        <f t="shared" ref="O31:O41" si="4">SUM(C31:N31)</f>
        <v>679355.31286000018</v>
      </c>
      <c r="P31" s="167">
        <f t="shared" ref="P31:P43" si="5">IF($O$164=0,0,O31/$O$164)</f>
        <v>5.5509194503948943E-2</v>
      </c>
    </row>
    <row r="32" spans="1:16" ht="23.25" customHeight="1" x14ac:dyDescent="0.2">
      <c r="A32" s="61" t="s">
        <v>172</v>
      </c>
      <c r="B32" s="60" t="s">
        <v>267</v>
      </c>
      <c r="C32" s="12">
        <f>'Prov. Pessoal'!C11-'Prov. Pessoal'!C21</f>
        <v>2038.1554999999998</v>
      </c>
      <c r="D32" s="12">
        <f>'Prov. Pessoal'!D11-'Prov. Pessoal'!D21</f>
        <v>1980.8013999999998</v>
      </c>
      <c r="E32" s="12">
        <f>'Prov. Pessoal'!E11-'Prov. Pessoal'!E21</f>
        <v>2023.9252999999997</v>
      </c>
      <c r="F32" s="12">
        <f>'Prov. Pessoal'!F11-'Prov. Pessoal'!F21</f>
        <v>2144.5160999999998</v>
      </c>
      <c r="G32" s="12">
        <f>'Prov. Pessoal'!G11-'Prov. Pessoal'!G21</f>
        <v>2045.4648999999997</v>
      </c>
      <c r="H32" s="12">
        <f>'Prov. Pessoal'!H11-'Prov. Pessoal'!H21</f>
        <v>2034.2612999999999</v>
      </c>
      <c r="I32" s="12">
        <f>'Prov. Pessoal'!I11-'Prov. Pessoal'!I21</f>
        <v>2490.1468000000004</v>
      </c>
      <c r="J32" s="12">
        <f>'Prov. Pessoal'!J11-'Prov. Pessoal'!J21</f>
        <v>2268.2600000000002</v>
      </c>
      <c r="K32" s="12">
        <f>'Prov. Pessoal'!K11-'Prov. Pessoal'!K21</f>
        <v>2599.8706399999996</v>
      </c>
      <c r="L32" s="12">
        <f>'Prov. Pessoal'!L11-'Prov. Pessoal'!L21</f>
        <v>2351.2357400000005</v>
      </c>
      <c r="M32" s="12">
        <f>'Prov. Pessoal'!M11-'Prov. Pessoal'!M21</f>
        <v>2364.0680400000006</v>
      </c>
      <c r="N32" s="12">
        <f>'Prov. Pessoal'!N11-'Prov. Pessoal'!N21</f>
        <v>2306.50594</v>
      </c>
      <c r="O32" s="13">
        <f t="shared" si="4"/>
        <v>26647.211660000001</v>
      </c>
      <c r="P32" s="167">
        <f t="shared" si="5"/>
        <v>2.1773072603138073E-3</v>
      </c>
    </row>
    <row r="33" spans="1:16" ht="23.25" customHeight="1" x14ac:dyDescent="0.2">
      <c r="A33" s="61" t="s">
        <v>239</v>
      </c>
      <c r="B33" s="60" t="s">
        <v>4</v>
      </c>
      <c r="C33" s="12">
        <f>'Prov. Pessoal'!C12-'Prov. Pessoal'!C22</f>
        <v>16305.25</v>
      </c>
      <c r="D33" s="12">
        <f>'Prov. Pessoal'!D12-'Prov. Pessoal'!D22</f>
        <v>15846.411199999999</v>
      </c>
      <c r="E33" s="12">
        <f>'Prov. Pessoal'!E12-'Prov. Pessoal'!E22</f>
        <v>16191.402399999997</v>
      </c>
      <c r="F33" s="12">
        <f>'Prov. Pessoal'!F12-'Prov. Pessoal'!F22</f>
        <v>17156.128799999999</v>
      </c>
      <c r="G33" s="12">
        <f>'Prov. Pessoal'!G12-'Prov. Pessoal'!G22</f>
        <v>16237.96</v>
      </c>
      <c r="H33" s="12">
        <f>'Prov. Pessoal'!H12-'Prov. Pessoal'!H22</f>
        <v>16274.090399999999</v>
      </c>
      <c r="I33" s="12">
        <f>'Prov. Pessoal'!I12-'Prov. Pessoal'!I22</f>
        <v>19921.174400000004</v>
      </c>
      <c r="J33" s="12">
        <f>'Prov. Pessoal'!J12-'Prov. Pessoal'!J22</f>
        <v>18299.603519999997</v>
      </c>
      <c r="K33" s="12">
        <f>'Prov. Pessoal'!K12-'Prov. Pessoal'!K22</f>
        <v>21060.325119999994</v>
      </c>
      <c r="L33" s="12">
        <f>'Prov. Pessoal'!L12-'Prov. Pessoal'!L22</f>
        <v>19100.240000000002</v>
      </c>
      <c r="M33" s="12">
        <f>'Prov. Pessoal'!M12-'Prov. Pessoal'!M22</f>
        <v>18775.397520000006</v>
      </c>
      <c r="N33" s="12">
        <f>'Prov. Pessoal'!N12-'Prov. Pessoal'!N22</f>
        <v>18742.447520000005</v>
      </c>
      <c r="O33" s="13">
        <f t="shared" si="4"/>
        <v>213910.43088</v>
      </c>
      <c r="P33" s="167">
        <f t="shared" si="5"/>
        <v>1.7478329070767729E-2</v>
      </c>
    </row>
    <row r="34" spans="1:16" ht="23.25" customHeight="1" x14ac:dyDescent="0.2">
      <c r="A34" s="61" t="s">
        <v>240</v>
      </c>
      <c r="B34" s="60" t="s">
        <v>10</v>
      </c>
      <c r="C34" s="12">
        <f>'Prov. Pessoal'!C13-'Prov. Pessoal'!C23</f>
        <v>2912.37</v>
      </c>
      <c r="D34" s="12">
        <f>'Prov. Pessoal'!D13-'Prov. Pessoal'!D23</f>
        <v>7085.0580895551975</v>
      </c>
      <c r="E34" s="12">
        <f>'Prov. Pessoal'!E13-'Prov. Pessoal'!E23</f>
        <v>7367.4897150400357</v>
      </c>
      <c r="F34" s="12">
        <f>'Prov. Pessoal'!F13-'Prov. Pessoal'!F23</f>
        <v>7392.7514750400296</v>
      </c>
      <c r="G34" s="12">
        <f>'Prov. Pessoal'!G13-'Prov. Pessoal'!G23</f>
        <v>7680.77</v>
      </c>
      <c r="H34" s="12">
        <f>'Prov. Pessoal'!H13-'Prov. Pessoal'!H23</f>
        <v>7634.1159007551469</v>
      </c>
      <c r="I34" s="12">
        <f>'Prov. Pessoal'!I13-'Prov. Pessoal'!I23</f>
        <v>14725.512204716884</v>
      </c>
      <c r="J34" s="12">
        <f>'Prov. Pessoal'!J13-'Prov. Pessoal'!J23</f>
        <v>8056.4557939519</v>
      </c>
      <c r="K34" s="12">
        <f>'Prov. Pessoal'!K13-'Prov. Pessoal'!K23</f>
        <v>7139.7356019520375</v>
      </c>
      <c r="L34" s="12">
        <f>'Prov. Pessoal'!L13-'Prov. Pessoal'!L23</f>
        <v>12051.526699552109</v>
      </c>
      <c r="M34" s="12">
        <f>'Prov. Pessoal'!M13-'Prov. Pessoal'!M23</f>
        <v>11605.435712313512</v>
      </c>
      <c r="N34" s="12">
        <f>'Prov. Pessoal'!N13-'Prov. Pessoal'!N23</f>
        <v>3846.7112240831775</v>
      </c>
      <c r="O34" s="13">
        <f t="shared" si="4"/>
        <v>97497.93241696003</v>
      </c>
      <c r="P34" s="167">
        <f t="shared" si="5"/>
        <v>7.9664228597579271E-3</v>
      </c>
    </row>
    <row r="35" spans="1:16" ht="23.25" customHeight="1" x14ac:dyDescent="0.2">
      <c r="A35" s="61" t="s">
        <v>241</v>
      </c>
      <c r="B35" s="60" t="s">
        <v>268</v>
      </c>
      <c r="C35" s="12">
        <f>'Prov. Pessoal'!C14-'Prov. Pessoal'!C24</f>
        <v>17075.29</v>
      </c>
      <c r="D35" s="12">
        <f>'Prov. Pessoal'!D14-'Prov. Pessoal'!D24</f>
        <v>21920.860437499992</v>
      </c>
      <c r="E35" s="12">
        <f>'Prov. Pessoal'!E14-'Prov. Pessoal'!E24</f>
        <v>22391.386270833362</v>
      </c>
      <c r="F35" s="12">
        <f>'Prov. Pessoal'!F14-'Prov. Pessoal'!F24</f>
        <v>23388.927937499946</v>
      </c>
      <c r="G35" s="12">
        <f>'Prov. Pessoal'!G14-'Prov. Pessoal'!G24</f>
        <v>21483.511270833376</v>
      </c>
      <c r="H35" s="12">
        <f>'Prov. Pessoal'!H14-'Prov. Pessoal'!H24</f>
        <v>23388.927937499975</v>
      </c>
      <c r="I35" s="12">
        <f>'Prov. Pessoal'!I14-'Prov. Pessoal'!I24</f>
        <v>28237.946595833462</v>
      </c>
      <c r="J35" s="12">
        <f>'Prov. Pessoal'!J14-'Prov. Pessoal'!J24</f>
        <v>25226.809912499797</v>
      </c>
      <c r="K35" s="12">
        <f>'Prov. Pessoal'!K14-'Prov. Pessoal'!K24</f>
        <v>23164.476579166774</v>
      </c>
      <c r="L35" s="12">
        <f>'Prov. Pessoal'!L14-'Prov. Pessoal'!L24</f>
        <v>33876.280745833326</v>
      </c>
      <c r="M35" s="12">
        <f>'Prov. Pessoal'!M14-'Prov. Pessoal'!M24</f>
        <v>23983.357412499812</v>
      </c>
      <c r="N35" s="12">
        <f>'Prov. Pessoal'!N14-'Prov. Pessoal'!N24</f>
        <v>26540.426579166902</v>
      </c>
      <c r="O35" s="13">
        <f t="shared" si="4"/>
        <v>290678.20167916676</v>
      </c>
      <c r="P35" s="167">
        <f t="shared" si="5"/>
        <v>2.3750918745507905E-2</v>
      </c>
    </row>
    <row r="36" spans="1:16" ht="23.25" customHeight="1" x14ac:dyDescent="0.2">
      <c r="A36" s="61" t="s">
        <v>242</v>
      </c>
      <c r="B36" s="60" t="s">
        <v>287</v>
      </c>
      <c r="C36" s="12">
        <f>'Prov. Pessoal'!C15-'Prov. Pessoal'!C25</f>
        <v>19913.32</v>
      </c>
      <c r="D36" s="12">
        <f>'Prov. Pessoal'!D15-'Prov. Pessoal'!D25</f>
        <v>11638.520833333372</v>
      </c>
      <c r="E36" s="12">
        <f>'Prov. Pessoal'!E15-'Prov. Pessoal'!E25</f>
        <v>16647.87083333332</v>
      </c>
      <c r="F36" s="12">
        <f>'Prov. Pessoal'!F15-'Prov. Pessoal'!F25</f>
        <v>6841.8775000000896</v>
      </c>
      <c r="G36" s="12">
        <f>'Prov. Pessoal'!G15-'Prov. Pessoal'!G25</f>
        <v>19349.48</v>
      </c>
      <c r="H36" s="12">
        <f>'Prov. Pessoal'!H15-'Prov. Pessoal'!H25</f>
        <v>18557.05</v>
      </c>
      <c r="I36" s="12">
        <f>'Prov. Pessoal'!I15-'Prov. Pessoal'!I25</f>
        <v>20469.825833333191</v>
      </c>
      <c r="J36" s="12">
        <f>'Prov. Pessoal'!J15-'Prov. Pessoal'!J25</f>
        <v>15794.954166666867</v>
      </c>
      <c r="K36" s="12">
        <f>'Prov. Pessoal'!K15-'Prov. Pessoal'!K25</f>
        <v>15481.59249999997</v>
      </c>
      <c r="L36" s="12">
        <f>'Prov. Pessoal'!L15-'Prov. Pessoal'!L25</f>
        <v>20383.657500000059</v>
      </c>
      <c r="M36" s="12">
        <f>'Prov. Pessoal'!M15-'Prov. Pessoal'!M25</f>
        <v>14885.702833333286</v>
      </c>
      <c r="N36" s="12">
        <f>'Prov. Pessoal'!N15-'Prov. Pessoal'!N25</f>
        <v>19732.659166666563</v>
      </c>
      <c r="O36" s="13">
        <f>SUM(C36:N36)</f>
        <v>199696.51116666672</v>
      </c>
      <c r="P36" s="167">
        <f t="shared" si="5"/>
        <v>1.6316929109517223E-2</v>
      </c>
    </row>
    <row r="37" spans="1:16" ht="23.25" customHeight="1" x14ac:dyDescent="0.2">
      <c r="A37" s="61" t="s">
        <v>243</v>
      </c>
      <c r="B37" s="60" t="s">
        <v>269</v>
      </c>
      <c r="C37" s="12">
        <f>'Prov. Pessoal'!C16-'Prov. Pessoal'!C26</f>
        <v>9569.61</v>
      </c>
      <c r="D37" s="12">
        <f>'Prov. Pessoal'!D16-'Prov. Pessoal'!D26</f>
        <v>12342.78</v>
      </c>
      <c r="E37" s="12">
        <f>'Prov. Pessoal'!E16-'Prov. Pessoal'!E26</f>
        <v>13215.87</v>
      </c>
      <c r="F37" s="12">
        <f>'Prov. Pessoal'!F16-'Prov. Pessoal'!F26</f>
        <v>5427.8894833333297</v>
      </c>
      <c r="G37" s="12">
        <f>'Prov. Pessoal'!G16-'Prov. Pessoal'!G26</f>
        <v>11547.921972222306</v>
      </c>
      <c r="H37" s="12">
        <f>'Prov. Pessoal'!H16-'Prov. Pessoal'!H26</f>
        <v>10228.308494444296</v>
      </c>
      <c r="I37" s="12">
        <f>'Prov. Pessoal'!I16-'Prov. Pessoal'!I26</f>
        <v>16239.395161111199</v>
      </c>
      <c r="J37" s="12">
        <f>'Prov. Pessoal'!J16-'Prov. Pessoal'!J26</f>
        <v>12530.663638888771</v>
      </c>
      <c r="K37" s="12">
        <f>'Prov. Pessoal'!K16-'Prov. Pessoal'!K26</f>
        <v>18369.849999999999</v>
      </c>
      <c r="L37" s="12">
        <f>'Prov. Pessoal'!L16-'Prov. Pessoal'!L26</f>
        <v>16171.034949999972</v>
      </c>
      <c r="M37" s="12">
        <f>'Prov. Pessoal'!M16-'Prov. Pessoal'!M26</f>
        <v>11809.324247777753</v>
      </c>
      <c r="N37" s="12">
        <f>'Prov. Pessoal'!N16-'Prov. Pessoal'!N26</f>
        <v>15654.57627222233</v>
      </c>
      <c r="O37" s="13">
        <f t="shared" si="4"/>
        <v>153107.22421999997</v>
      </c>
      <c r="P37" s="167">
        <f t="shared" si="5"/>
        <v>1.2510182121647917E-2</v>
      </c>
    </row>
    <row r="38" spans="1:16" ht="23.25" customHeight="1" x14ac:dyDescent="0.2">
      <c r="A38" s="61" t="s">
        <v>244</v>
      </c>
      <c r="B38" s="60" t="s">
        <v>175</v>
      </c>
      <c r="C38" s="12">
        <f>'Prov. Pessoal'!C17-'Prov. Pessoal'!C27</f>
        <v>9924.66</v>
      </c>
      <c r="D38" s="12">
        <f>'Prov. Pessoal'!D17-'Prov. Pessoal'!D27</f>
        <v>1928.08</v>
      </c>
      <c r="E38" s="12">
        <f>'Prov. Pessoal'!E17-'Prov. Pessoal'!E27</f>
        <v>1331.8296666666683</v>
      </c>
      <c r="F38" s="12">
        <f>'Prov. Pessoal'!F17-'Prov. Pessoal'!F27</f>
        <v>1486.32</v>
      </c>
      <c r="G38" s="12">
        <f>'Prov. Pessoal'!G17-'Prov. Pessoal'!G27</f>
        <v>6071.11</v>
      </c>
      <c r="H38" s="12">
        <f>'Prov. Pessoal'!H17-'Prov. Pessoal'!H27</f>
        <v>14343.39</v>
      </c>
      <c r="I38" s="12">
        <f>'Prov. Pessoal'!I17-'Prov. Pessoal'!I27</f>
        <v>11688.51</v>
      </c>
      <c r="J38" s="12">
        <f>'Prov. Pessoal'!J17-'Prov. Pessoal'!J27</f>
        <v>10885.08</v>
      </c>
      <c r="K38" s="12">
        <f>'Prov. Pessoal'!K17-'Prov. Pessoal'!K27</f>
        <v>6113.6127333333279</v>
      </c>
      <c r="L38" s="12">
        <f>'Prov. Pessoal'!L17-'Prov. Pessoal'!L27</f>
        <v>2789.3060666666643</v>
      </c>
      <c r="M38" s="12">
        <f>'Prov. Pessoal'!M17-'Prov. Pessoal'!M27</f>
        <v>2022.4655599999969</v>
      </c>
      <c r="N38" s="12">
        <f>'Prov. Pessoal'!N17-'Prov. Pessoal'!N27</f>
        <v>897.62845333333826</v>
      </c>
      <c r="O38" s="13">
        <f t="shared" si="4"/>
        <v>69481.992480000001</v>
      </c>
      <c r="P38" s="167">
        <f t="shared" si="5"/>
        <v>5.6772786818391398E-3</v>
      </c>
    </row>
    <row r="39" spans="1:16" ht="23.25" customHeight="1" x14ac:dyDescent="0.2">
      <c r="A39" s="61" t="s">
        <v>245</v>
      </c>
      <c r="B39" s="60" t="s">
        <v>179</v>
      </c>
      <c r="C39" s="12">
        <f>SUMPRODUCT(-('Diário 1º PA'!$E$4:$E$2635='Analítico Cp.'!$B39),-('Diário 1º PA'!$Q$4:$Q$2635=C$1),('Diário 1º PA'!$F$4:$F$2635))+SUMPRODUCT(-('Diário 2º PA'!$E$4:$E$3040='Analítico Cp.'!$B39),-('Diário 2º PA'!$Q$4:$Q$3040=C$1),('Diário 2º PA'!$F$4:$F$3040))+SUMPRODUCT(-('Diário 3º PA'!$E$4:$E$2731='Analítico Cp.'!$B39),-('Diário 3º PA'!$Q$4:$Q$2731=C$1),('Diário 3º PA'!$F$4:$F$2731))+SUMPRODUCT(-('Diário 4º PA'!$E$4:$E$2564='Analítico Cp.'!$B39),-('Diário 4º PA'!$Q$4:$Q$2564=C$1),('Diário 4º PA'!$F$4:$F$2564))+SUMPRODUCT(-('Comp.'!$D$5:$D$69='Analítico Cp.'!$B39),-('Comp.'!$K$5:$K$69=C$1),('Comp.'!$E$5:$E$69))</f>
        <v>1115.2</v>
      </c>
      <c r="D39" s="12">
        <f>SUMPRODUCT(-('Diário 1º PA'!$E$4:$E$2635='Analítico Cp.'!$B39),-('Diário 1º PA'!$Q$4:$Q$2635=D$1),('Diário 1º PA'!$F$4:$F$2635))+SUMPRODUCT(-('Diário 2º PA'!$E$4:$E$3040='Analítico Cp.'!$B39),-('Diário 2º PA'!$Q$4:$Q$3040=D$1),('Diário 2º PA'!$F$4:$F$3040))+SUMPRODUCT(-('Diário 3º PA'!$E$4:$E$2731='Analítico Cp.'!$B39),-('Diário 3º PA'!$Q$4:$Q$2731=D$1),('Diário 3º PA'!$F$4:$F$2731))+SUMPRODUCT(-('Diário 4º PA'!$E$4:$E$2564='Analítico Cp.'!$B39),-('Diário 4º PA'!$Q$4:$Q$2564=D$1),('Diário 4º PA'!$F$4:$F$2564))+SUMPRODUCT(-('Comp.'!$D$5:$D$69='Analítico Cp.'!$B39),-('Comp.'!$K$5:$K$69=D$1),('Comp.'!$E$5:$E$69))</f>
        <v>876.96999999999991</v>
      </c>
      <c r="E39" s="12">
        <f>SUMPRODUCT(-('Diário 1º PA'!$E$4:$E$2635='Analítico Cp.'!$B39),-('Diário 1º PA'!$Q$4:$Q$2635=E$1),('Diário 1º PA'!$F$4:$F$2635))+SUMPRODUCT(-('Diário 2º PA'!$E$4:$E$3040='Analítico Cp.'!$B39),-('Diário 2º PA'!$Q$4:$Q$3040=E$1),('Diário 2º PA'!$F$4:$F$3040))+SUMPRODUCT(-('Diário 3º PA'!$E$4:$E$2731='Analítico Cp.'!$B39),-('Diário 3º PA'!$Q$4:$Q$2731=E$1),('Diário 3º PA'!$F$4:$F$2731))+SUMPRODUCT(-('Diário 4º PA'!$E$4:$E$2564='Analítico Cp.'!$B39),-('Diário 4º PA'!$Q$4:$Q$2564=E$1),('Diário 4º PA'!$F$4:$F$2564))+SUMPRODUCT(-('Comp.'!$D$5:$D$69='Analítico Cp.'!$B39),-('Comp.'!$K$5:$K$69=E$1),('Comp.'!$E$5:$E$69))</f>
        <v>932</v>
      </c>
      <c r="F39" s="12">
        <f>SUMPRODUCT(-('Diário 1º PA'!$E$4:$E$2635='Analítico Cp.'!$B39),-('Diário 1º PA'!$Q$4:$Q$2635=F$1),('Diário 1º PA'!$F$4:$F$2635))+SUMPRODUCT(-('Diário 2º PA'!$E$4:$E$3040='Analítico Cp.'!$B39),-('Diário 2º PA'!$Q$4:$Q$3040=F$1),('Diário 2º PA'!$F$4:$F$3040))+SUMPRODUCT(-('Diário 3º PA'!$E$4:$E$2731='Analítico Cp.'!$B39),-('Diário 3º PA'!$Q$4:$Q$2731=F$1),('Diário 3º PA'!$F$4:$F$2731))+SUMPRODUCT(-('Diário 4º PA'!$E$4:$E$2564='Analítico Cp.'!$B39),-('Diário 4º PA'!$Q$4:$Q$2564=F$1),('Diário 4º PA'!$F$4:$F$2564))+SUMPRODUCT(-('Comp.'!$D$5:$D$69='Analítico Cp.'!$B39),-('Comp.'!$K$5:$K$69=F$1),('Comp.'!$E$5:$E$69))</f>
        <v>937.43999999999994</v>
      </c>
      <c r="G39" s="12">
        <f>SUMPRODUCT(-('Diário 1º PA'!$E$4:$E$2635='Analítico Cp.'!$B39),-('Diário 1º PA'!$Q$4:$Q$2635=G$1),('Diário 1º PA'!$F$4:$F$2635))+SUMPRODUCT(-('Diário 2º PA'!$E$4:$E$3040='Analítico Cp.'!$B39),-('Diário 2º PA'!$Q$4:$Q$3040=G$1),('Diário 2º PA'!$F$4:$F$3040))+SUMPRODUCT(-('Diário 3º PA'!$E$4:$E$2731='Analítico Cp.'!$B39),-('Diário 3º PA'!$Q$4:$Q$2731=G$1),('Diário 3º PA'!$F$4:$F$2731))+SUMPRODUCT(-('Diário 4º PA'!$E$4:$E$2564='Analítico Cp.'!$B39),-('Diário 4º PA'!$Q$4:$Q$2564=G$1),('Diário 4º PA'!$F$4:$F$2564))+SUMPRODUCT(-('Comp.'!$D$5:$D$69='Analítico Cp.'!$B39),-('Comp.'!$K$5:$K$69=G$1),('Comp.'!$E$5:$E$69))</f>
        <v>922.31999999999994</v>
      </c>
      <c r="H39" s="12">
        <f>SUMPRODUCT(-('Diário 1º PA'!$E$4:$E$2635='Analítico Cp.'!$B39),-('Diário 1º PA'!$Q$4:$Q$2635=H$1),('Diário 1º PA'!$F$4:$F$2635))+SUMPRODUCT(-('Diário 2º PA'!$E$4:$E$3040='Analítico Cp.'!$B39),-('Diário 2º PA'!$Q$4:$Q$3040=H$1),('Diário 2º PA'!$F$4:$F$3040))+SUMPRODUCT(-('Diário 3º PA'!$E$4:$E$2731='Analítico Cp.'!$B39),-('Diário 3º PA'!$Q$4:$Q$2731=H$1),('Diário 3º PA'!$F$4:$F$2731))+SUMPRODUCT(-('Diário 4º PA'!$E$4:$E$2564='Analítico Cp.'!$B39),-('Diário 4º PA'!$Q$4:$Q$2564=H$1),('Diário 4º PA'!$F$4:$F$2564))+SUMPRODUCT(-('Comp.'!$D$5:$D$69='Analítico Cp.'!$B39),-('Comp.'!$K$5:$K$69=H$1),('Comp.'!$E$5:$E$69))</f>
        <v>922.31999999999994</v>
      </c>
      <c r="I39" s="12">
        <f>SUMPRODUCT(-('Diário 1º PA'!$E$4:$E$2635='Analítico Cp.'!$B39),-('Diário 1º PA'!$Q$4:$Q$2635=I$1),('Diário 1º PA'!$F$4:$F$2635))+SUMPRODUCT(-('Diário 2º PA'!$E$4:$E$3040='Analítico Cp.'!$B39),-('Diário 2º PA'!$Q$4:$Q$3040=I$1),('Diário 2º PA'!$F$4:$F$3040))+SUMPRODUCT(-('Diário 3º PA'!$E$4:$E$2731='Analítico Cp.'!$B39),-('Diário 3º PA'!$Q$4:$Q$2731=I$1),('Diário 3º PA'!$F$4:$F$2731))+SUMPRODUCT(-('Diário 4º PA'!$E$4:$E$2564='Analítico Cp.'!$B39),-('Diário 4º PA'!$Q$4:$Q$2564=I$1),('Diário 4º PA'!$F$4:$F$2564))+SUMPRODUCT(-('Comp.'!$D$5:$D$69='Analítico Cp.'!$B39),-('Comp.'!$K$5:$K$69=I$1),('Comp.'!$E$5:$E$69))</f>
        <v>922.31999999999994</v>
      </c>
      <c r="J39" s="12">
        <f>SUMPRODUCT(-('Diário 1º PA'!$E$4:$E$2635='Analítico Cp.'!$B39),-('Diário 1º PA'!$Q$4:$Q$2635=J$1),('Diário 1º PA'!$F$4:$F$2635))+SUMPRODUCT(-('Diário 2º PA'!$E$4:$E$3040='Analítico Cp.'!$B39),-('Diário 2º PA'!$Q$4:$Q$3040=J$1),('Diário 2º PA'!$F$4:$F$3040))+SUMPRODUCT(-('Diário 3º PA'!$E$4:$E$2731='Analítico Cp.'!$B39),-('Diário 3º PA'!$Q$4:$Q$2731=J$1),('Diário 3º PA'!$F$4:$F$2731))+SUMPRODUCT(-('Diário 4º PA'!$E$4:$E$2564='Analítico Cp.'!$B39),-('Diário 4º PA'!$Q$4:$Q$2564=J$1),('Diário 4º PA'!$F$4:$F$2564))+SUMPRODUCT(-('Comp.'!$D$5:$D$69='Analítico Cp.'!$B39),-('Comp.'!$K$5:$K$69=J$1),('Comp.'!$E$5:$E$69))</f>
        <v>967.68</v>
      </c>
      <c r="K39" s="12">
        <f>SUMPRODUCT(-('Diário 1º PA'!$E$4:$E$2635='Analítico Cp.'!$B39),-('Diário 1º PA'!$Q$4:$Q$2635=K$1),('Diário 1º PA'!$F$4:$F$2635))+SUMPRODUCT(-('Diário 2º PA'!$E$4:$E$3040='Analítico Cp.'!$B39),-('Diário 2º PA'!$Q$4:$Q$3040=K$1),('Diário 2º PA'!$F$4:$F$3040))+SUMPRODUCT(-('Diário 3º PA'!$E$4:$E$2731='Analítico Cp.'!$B39),-('Diário 3º PA'!$Q$4:$Q$2731=K$1),('Diário 3º PA'!$F$4:$F$2731))+SUMPRODUCT(-('Diário 4º PA'!$E$4:$E$2564='Analítico Cp.'!$B39),-('Diário 4º PA'!$Q$4:$Q$2564=K$1),('Diário 4º PA'!$F$4:$F$2564))+SUMPRODUCT(-('Comp.'!$D$5:$D$69='Analítico Cp.'!$B39),-('Comp.'!$K$5:$K$69=K$1),('Comp.'!$E$5:$E$69))</f>
        <v>982.80000000000007</v>
      </c>
      <c r="L39" s="12">
        <f>SUMPRODUCT(-('Diário 1º PA'!$E$4:$E$2635='Analítico Cp.'!$B39),-('Diário 1º PA'!$Q$4:$Q$2635=L$1),('Diário 1º PA'!$F$4:$F$2635))+SUMPRODUCT(-('Diário 2º PA'!$E$4:$E$3040='Analítico Cp.'!$B39),-('Diário 2º PA'!$Q$4:$Q$3040=L$1),('Diário 2º PA'!$F$4:$F$3040))+SUMPRODUCT(-('Diário 3º PA'!$E$4:$E$2731='Analítico Cp.'!$B39),-('Diário 3º PA'!$Q$4:$Q$2731=L$1),('Diário 3º PA'!$F$4:$F$2731))+SUMPRODUCT(-('Diário 4º PA'!$E$4:$E$2564='Analítico Cp.'!$B39),-('Diário 4º PA'!$Q$4:$Q$2564=L$1),('Diário 4º PA'!$F$4:$F$2564))+SUMPRODUCT(-('Comp.'!$D$5:$D$69='Analítico Cp.'!$B39),-('Comp.'!$K$5:$K$69=L$1),('Comp.'!$E$5:$E$69))</f>
        <v>982.8</v>
      </c>
      <c r="M39" s="12">
        <f>SUMPRODUCT(-('Diário 1º PA'!$E$4:$E$2635='Analítico Cp.'!$B39),-('Diário 1º PA'!$Q$4:$Q$2635=M$1),('Diário 1º PA'!$F$4:$F$2635))+SUMPRODUCT(-('Diário 2º PA'!$E$4:$E$3040='Analítico Cp.'!$B39),-('Diário 2º PA'!$Q$4:$Q$3040=M$1),('Diário 2º PA'!$F$4:$F$3040))+SUMPRODUCT(-('Diário 3º PA'!$E$4:$E$2731='Analítico Cp.'!$B39),-('Diário 3º PA'!$Q$4:$Q$2731=M$1),('Diário 3º PA'!$F$4:$F$2731))+SUMPRODUCT(-('Diário 4º PA'!$E$4:$E$2564='Analítico Cp.'!$B39),-('Diário 4º PA'!$Q$4:$Q$2564=M$1),('Diário 4º PA'!$F$4:$F$2564))+SUMPRODUCT(-('Comp.'!$D$5:$D$69='Analítico Cp.'!$B39),-('Comp.'!$K$5:$K$69=M$1),('Comp.'!$E$5:$E$69))</f>
        <v>982.8</v>
      </c>
      <c r="N39" s="12">
        <f>SUMPRODUCT(-('Diário 1º PA'!$E$4:$E$2635='Analítico Cp.'!$B39),-('Diário 1º PA'!$Q$4:$Q$2635=N$1),('Diário 1º PA'!$F$4:$F$2635))+SUMPRODUCT(-('Diário 2º PA'!$E$4:$E$3040='Analítico Cp.'!$B39),-('Diário 2º PA'!$Q$4:$Q$3040=N$1),('Diário 2º PA'!$F$4:$F$3040))+SUMPRODUCT(-('Diário 3º PA'!$E$4:$E$2731='Analítico Cp.'!$B39),-('Diário 3º PA'!$Q$4:$Q$2731=N$1),('Diário 3º PA'!$F$4:$F$2731))+SUMPRODUCT(-('Diário 4º PA'!$E$4:$E$2564='Analítico Cp.'!$B39),-('Diário 4º PA'!$Q$4:$Q$2564=N$1),('Diário 4º PA'!$F$4:$F$2564))+SUMPRODUCT(-('Comp.'!$D$5:$D$69='Analítico Cp.'!$B39),-('Comp.'!$K$5:$K$69=N$1),('Comp.'!$E$5:$E$69))</f>
        <v>997.92</v>
      </c>
      <c r="O39" s="13">
        <f t="shared" si="4"/>
        <v>11542.569999999998</v>
      </c>
      <c r="P39" s="167">
        <f t="shared" si="5"/>
        <v>9.4312762567219893E-4</v>
      </c>
    </row>
    <row r="40" spans="1:16" ht="23.25" customHeight="1" x14ac:dyDescent="0.2">
      <c r="A40" s="61" t="s">
        <v>246</v>
      </c>
      <c r="B40" s="60" t="s">
        <v>286</v>
      </c>
      <c r="C40" s="12">
        <f>SUMPRODUCT(-('Diário 1º PA'!$E$4:$E$2635='Analítico Cp.'!$B40),-('Diário 1º PA'!$Q$4:$Q$2635=C$1),('Diário 1º PA'!$F$4:$F$2635))+SUMPRODUCT(-('Diário 2º PA'!$E$4:$E$3040='Analítico Cp.'!$B40),-('Diário 2º PA'!$Q$4:$Q$3040=C$1),('Diário 2º PA'!$F$4:$F$3040))+SUMPRODUCT(-('Diário 3º PA'!$E$4:$E$2731='Analítico Cp.'!$B40),-('Diário 3º PA'!$Q$4:$Q$2731=C$1),('Diário 3º PA'!$F$4:$F$2731))+SUMPRODUCT(-('Diário 4º PA'!$E$4:$E$2564='Analítico Cp.'!$B40),-('Diário 4º PA'!$Q$4:$Q$2564=C$1),('Diário 4º PA'!$F$4:$F$2564))+SUMPRODUCT(-('Comp.'!$D$5:$D$69='Analítico Cp.'!$B40),-('Comp.'!$K$5:$K$69=C$1),('Comp.'!$E$5:$E$69))</f>
        <v>0</v>
      </c>
      <c r="D40" s="12">
        <f>SUMPRODUCT(-('Diário 1º PA'!$E$4:$E$2635='Analítico Cp.'!$B40),-('Diário 1º PA'!$Q$4:$Q$2635=D$1),('Diário 1º PA'!$F$4:$F$2635))+SUMPRODUCT(-('Diário 2º PA'!$E$4:$E$3040='Analítico Cp.'!$B40),-('Diário 2º PA'!$Q$4:$Q$3040=D$1),('Diário 2º PA'!$F$4:$F$3040))+SUMPRODUCT(-('Diário 3º PA'!$E$4:$E$2731='Analítico Cp.'!$B40),-('Diário 3º PA'!$Q$4:$Q$2731=D$1),('Diário 3º PA'!$F$4:$F$2731))+SUMPRODUCT(-('Diário 4º PA'!$E$4:$E$2564='Analítico Cp.'!$B40),-('Diário 4º PA'!$Q$4:$Q$2564=D$1),('Diário 4º PA'!$F$4:$F$2564))+SUMPRODUCT(-('Comp.'!$D$5:$D$69='Analítico Cp.'!$B40),-('Comp.'!$K$5:$K$69=D$1),('Comp.'!$E$5:$E$69))</f>
        <v>0</v>
      </c>
      <c r="E40" s="12">
        <f>SUMPRODUCT(-('Diário 1º PA'!$E$4:$E$2635='Analítico Cp.'!$B40),-('Diário 1º PA'!$Q$4:$Q$2635=E$1),('Diário 1º PA'!$F$4:$F$2635))+SUMPRODUCT(-('Diário 2º PA'!$E$4:$E$3040='Analítico Cp.'!$B40),-('Diário 2º PA'!$Q$4:$Q$3040=E$1),('Diário 2º PA'!$F$4:$F$3040))+SUMPRODUCT(-('Diário 3º PA'!$E$4:$E$2731='Analítico Cp.'!$B40),-('Diário 3º PA'!$Q$4:$Q$2731=E$1),('Diário 3º PA'!$F$4:$F$2731))+SUMPRODUCT(-('Diário 4º PA'!$E$4:$E$2564='Analítico Cp.'!$B40),-('Diário 4º PA'!$Q$4:$Q$2564=E$1),('Diário 4º PA'!$F$4:$F$2564))+SUMPRODUCT(-('Comp.'!$D$5:$D$69='Analítico Cp.'!$B40),-('Comp.'!$K$5:$K$69=E$1),('Comp.'!$E$5:$E$69))</f>
        <v>0</v>
      </c>
      <c r="F40" s="12">
        <f>SUMPRODUCT(-('Diário 1º PA'!$E$4:$E$2635='Analítico Cp.'!$B40),-('Diário 1º PA'!$Q$4:$Q$2635=F$1),('Diário 1º PA'!$F$4:$F$2635))+SUMPRODUCT(-('Diário 2º PA'!$E$4:$E$3040='Analítico Cp.'!$B40),-('Diário 2º PA'!$Q$4:$Q$3040=F$1),('Diário 2º PA'!$F$4:$F$3040))+SUMPRODUCT(-('Diário 3º PA'!$E$4:$E$2731='Analítico Cp.'!$B40),-('Diário 3º PA'!$Q$4:$Q$2731=F$1),('Diário 3º PA'!$F$4:$F$2731))+SUMPRODUCT(-('Diário 4º PA'!$E$4:$E$2564='Analítico Cp.'!$B40),-('Diário 4º PA'!$Q$4:$Q$2564=F$1),('Diário 4º PA'!$F$4:$F$2564))+SUMPRODUCT(-('Comp.'!$D$5:$D$69='Analítico Cp.'!$B40),-('Comp.'!$K$5:$K$69=F$1),('Comp.'!$E$5:$E$69))</f>
        <v>0</v>
      </c>
      <c r="G40" s="12">
        <f>SUMPRODUCT(-('Diário 1º PA'!$E$4:$E$2635='Analítico Cp.'!$B40),-('Diário 1º PA'!$Q$4:$Q$2635=G$1),('Diário 1º PA'!$F$4:$F$2635))+SUMPRODUCT(-('Diário 2º PA'!$E$4:$E$3040='Analítico Cp.'!$B40),-('Diário 2º PA'!$Q$4:$Q$3040=G$1),('Diário 2º PA'!$F$4:$F$3040))+SUMPRODUCT(-('Diário 3º PA'!$E$4:$E$2731='Analítico Cp.'!$B40),-('Diário 3º PA'!$Q$4:$Q$2731=G$1),('Diário 3º PA'!$F$4:$F$2731))+SUMPRODUCT(-('Diário 4º PA'!$E$4:$E$2564='Analítico Cp.'!$B40),-('Diário 4º PA'!$Q$4:$Q$2564=G$1),('Diário 4º PA'!$F$4:$F$2564))+SUMPRODUCT(-('Comp.'!$D$5:$D$69='Analítico Cp.'!$B40),-('Comp.'!$K$5:$K$69=G$1),('Comp.'!$E$5:$E$69))</f>
        <v>0</v>
      </c>
      <c r="H40" s="12">
        <f>SUMPRODUCT(-('Diário 1º PA'!$E$4:$E$2635='Analítico Cp.'!$B40),-('Diário 1º PA'!$Q$4:$Q$2635=H$1),('Diário 1º PA'!$F$4:$F$2635))+SUMPRODUCT(-('Diário 2º PA'!$E$4:$E$3040='Analítico Cp.'!$B40),-('Diário 2º PA'!$Q$4:$Q$3040=H$1),('Diário 2º PA'!$F$4:$F$3040))+SUMPRODUCT(-('Diário 3º PA'!$E$4:$E$2731='Analítico Cp.'!$B40),-('Diário 3º PA'!$Q$4:$Q$2731=H$1),('Diário 3º PA'!$F$4:$F$2731))+SUMPRODUCT(-('Diário 4º PA'!$E$4:$E$2564='Analítico Cp.'!$B40),-('Diário 4º PA'!$Q$4:$Q$2564=H$1),('Diário 4º PA'!$F$4:$F$2564))+SUMPRODUCT(-('Comp.'!$D$5:$D$69='Analítico Cp.'!$B40),-('Comp.'!$K$5:$K$69=H$1),('Comp.'!$E$5:$E$69))</f>
        <v>0</v>
      </c>
      <c r="I40" s="12">
        <f>SUMPRODUCT(-('Diário 1º PA'!$E$4:$E$2635='Analítico Cp.'!$B40),-('Diário 1º PA'!$Q$4:$Q$2635=I$1),('Diário 1º PA'!$F$4:$F$2635))+SUMPRODUCT(-('Diário 2º PA'!$E$4:$E$3040='Analítico Cp.'!$B40),-('Diário 2º PA'!$Q$4:$Q$3040=I$1),('Diário 2º PA'!$F$4:$F$3040))+SUMPRODUCT(-('Diário 3º PA'!$E$4:$E$2731='Analítico Cp.'!$B40),-('Diário 3º PA'!$Q$4:$Q$2731=I$1),('Diário 3º PA'!$F$4:$F$2731))+SUMPRODUCT(-('Diário 4º PA'!$E$4:$E$2564='Analítico Cp.'!$B40),-('Diário 4º PA'!$Q$4:$Q$2564=I$1),('Diário 4º PA'!$F$4:$F$2564))+SUMPRODUCT(-('Comp.'!$D$5:$D$69='Analítico Cp.'!$B40),-('Comp.'!$K$5:$K$69=I$1),('Comp.'!$E$5:$E$69))</f>
        <v>0</v>
      </c>
      <c r="J40" s="12">
        <f>SUMPRODUCT(-('Diário 1º PA'!$E$4:$E$2635='Analítico Cp.'!$B40),-('Diário 1º PA'!$Q$4:$Q$2635=J$1),('Diário 1º PA'!$F$4:$F$2635))+SUMPRODUCT(-('Diário 2º PA'!$E$4:$E$3040='Analítico Cp.'!$B40),-('Diário 2º PA'!$Q$4:$Q$3040=J$1),('Diário 2º PA'!$F$4:$F$3040))+SUMPRODUCT(-('Diário 3º PA'!$E$4:$E$2731='Analítico Cp.'!$B40),-('Diário 3º PA'!$Q$4:$Q$2731=J$1),('Diário 3º PA'!$F$4:$F$2731))+SUMPRODUCT(-('Diário 4º PA'!$E$4:$E$2564='Analítico Cp.'!$B40),-('Diário 4º PA'!$Q$4:$Q$2564=J$1),('Diário 4º PA'!$F$4:$F$2564))+SUMPRODUCT(-('Comp.'!$D$5:$D$69='Analítico Cp.'!$B40),-('Comp.'!$K$5:$K$69=J$1),('Comp.'!$E$5:$E$69))</f>
        <v>0</v>
      </c>
      <c r="K40" s="12">
        <f>SUMPRODUCT(-('Diário 1º PA'!$E$4:$E$2635='Analítico Cp.'!$B40),-('Diário 1º PA'!$Q$4:$Q$2635=K$1),('Diário 1º PA'!$F$4:$F$2635))+SUMPRODUCT(-('Diário 2º PA'!$E$4:$E$3040='Analítico Cp.'!$B40),-('Diário 2º PA'!$Q$4:$Q$3040=K$1),('Diário 2º PA'!$F$4:$F$3040))+SUMPRODUCT(-('Diário 3º PA'!$E$4:$E$2731='Analítico Cp.'!$B40),-('Diário 3º PA'!$Q$4:$Q$2731=K$1),('Diário 3º PA'!$F$4:$F$2731))+SUMPRODUCT(-('Diário 4º PA'!$E$4:$E$2564='Analítico Cp.'!$B40),-('Diário 4º PA'!$Q$4:$Q$2564=K$1),('Diário 4º PA'!$F$4:$F$2564))+SUMPRODUCT(-('Comp.'!$D$5:$D$69='Analítico Cp.'!$B40),-('Comp.'!$K$5:$K$69=K$1),('Comp.'!$E$5:$E$69))</f>
        <v>0</v>
      </c>
      <c r="L40" s="12">
        <f>SUMPRODUCT(-('Diário 1º PA'!$E$4:$E$2635='Analítico Cp.'!$B40),-('Diário 1º PA'!$Q$4:$Q$2635=L$1),('Diário 1º PA'!$F$4:$F$2635))+SUMPRODUCT(-('Diário 2º PA'!$E$4:$E$3040='Analítico Cp.'!$B40),-('Diário 2º PA'!$Q$4:$Q$3040=L$1),('Diário 2º PA'!$F$4:$F$3040))+SUMPRODUCT(-('Diário 3º PA'!$E$4:$E$2731='Analítico Cp.'!$B40),-('Diário 3º PA'!$Q$4:$Q$2731=L$1),('Diário 3º PA'!$F$4:$F$2731))+SUMPRODUCT(-('Diário 4º PA'!$E$4:$E$2564='Analítico Cp.'!$B40),-('Diário 4º PA'!$Q$4:$Q$2564=L$1),('Diário 4º PA'!$F$4:$F$2564))+SUMPRODUCT(-('Comp.'!$D$5:$D$69='Analítico Cp.'!$B40),-('Comp.'!$K$5:$K$69=L$1),('Comp.'!$E$5:$E$69))</f>
        <v>0</v>
      </c>
      <c r="M40" s="12">
        <f>SUMPRODUCT(-('Diário 1º PA'!$E$4:$E$2635='Analítico Cp.'!$B40),-('Diário 1º PA'!$Q$4:$Q$2635=M$1),('Diário 1º PA'!$F$4:$F$2635))+SUMPRODUCT(-('Diário 2º PA'!$E$4:$E$3040='Analítico Cp.'!$B40),-('Diário 2º PA'!$Q$4:$Q$3040=M$1),('Diário 2º PA'!$F$4:$F$3040))+SUMPRODUCT(-('Diário 3º PA'!$E$4:$E$2731='Analítico Cp.'!$B40),-('Diário 3º PA'!$Q$4:$Q$2731=M$1),('Diário 3º PA'!$F$4:$F$2731))+SUMPRODUCT(-('Diário 4º PA'!$E$4:$E$2564='Analítico Cp.'!$B40),-('Diário 4º PA'!$Q$4:$Q$2564=M$1),('Diário 4º PA'!$F$4:$F$2564))+SUMPRODUCT(-('Comp.'!$D$5:$D$69='Analítico Cp.'!$B40),-('Comp.'!$K$5:$K$69=M$1),('Comp.'!$E$5:$E$69))</f>
        <v>0</v>
      </c>
      <c r="N40" s="12">
        <f>SUMPRODUCT(-('Diário 1º PA'!$E$4:$E$2635='Analítico Cp.'!$B40),-('Diário 1º PA'!$Q$4:$Q$2635=N$1),('Diário 1º PA'!$F$4:$F$2635))+SUMPRODUCT(-('Diário 2º PA'!$E$4:$E$3040='Analítico Cp.'!$B40),-('Diário 2º PA'!$Q$4:$Q$3040=N$1),('Diário 2º PA'!$F$4:$F$3040))+SUMPRODUCT(-('Diário 3º PA'!$E$4:$E$2731='Analítico Cp.'!$B40),-('Diário 3º PA'!$Q$4:$Q$2731=N$1),('Diário 3º PA'!$F$4:$F$2731))+SUMPRODUCT(-('Diário 4º PA'!$E$4:$E$2564='Analítico Cp.'!$B40),-('Diário 4º PA'!$Q$4:$Q$2564=N$1),('Diário 4º PA'!$F$4:$F$2564))+SUMPRODUCT(-('Comp.'!$D$5:$D$69='Analítico Cp.'!$B40),-('Comp.'!$K$5:$K$69=N$1),('Comp.'!$E$5:$E$69))</f>
        <v>0</v>
      </c>
      <c r="O40" s="13">
        <f t="shared" si="4"/>
        <v>0</v>
      </c>
      <c r="P40" s="167">
        <f t="shared" si="5"/>
        <v>0</v>
      </c>
    </row>
    <row r="41" spans="1:16" ht="23.25" customHeight="1" x14ac:dyDescent="0.2">
      <c r="A41" s="61" t="s">
        <v>247</v>
      </c>
      <c r="B41" s="60" t="s">
        <v>176</v>
      </c>
      <c r="C41" s="12">
        <f>SUMPRODUCT(-('Diário 1º PA'!$E$4:$E$2635='Analítico Cp.'!$B41),-('Diário 1º PA'!$Q$4:$Q$2635=C$1),('Diário 1º PA'!$F$4:$F$2635))+SUMPRODUCT(-('Diário 2º PA'!$E$4:$E$3040='Analítico Cp.'!$B41),-('Diário 2º PA'!$Q$4:$Q$3040=C$1),('Diário 2º PA'!$F$4:$F$3040))+SUMPRODUCT(-('Diário 3º PA'!$E$4:$E$2731='Analítico Cp.'!$B41),-('Diário 3º PA'!$Q$4:$Q$2731=C$1),('Diário 3º PA'!$F$4:$F$2731))+SUMPRODUCT(-('Diário 4º PA'!$E$4:$E$2564='Analítico Cp.'!$B41),-('Diário 4º PA'!$Q$4:$Q$2564=C$1),('Diário 4º PA'!$F$4:$F$2564))+SUMPRODUCT(-('Comp.'!$D$5:$D$69='Analítico Cp.'!$B41),-('Comp.'!$K$5:$K$69=C$1),('Comp.'!$E$5:$E$69))</f>
        <v>0</v>
      </c>
      <c r="D41" s="12">
        <f>SUMPRODUCT(-('Diário 1º PA'!$E$4:$E$2635='Analítico Cp.'!$B41),-('Diário 1º PA'!$Q$4:$Q$2635=D$1),('Diário 1º PA'!$F$4:$F$2635))+SUMPRODUCT(-('Diário 2º PA'!$E$4:$E$3040='Analítico Cp.'!$B41),-('Diário 2º PA'!$Q$4:$Q$3040=D$1),('Diário 2º PA'!$F$4:$F$3040))+SUMPRODUCT(-('Diário 3º PA'!$E$4:$E$2731='Analítico Cp.'!$B41),-('Diário 3º PA'!$Q$4:$Q$2731=D$1),('Diário 3º PA'!$F$4:$F$2731))+SUMPRODUCT(-('Diário 4º PA'!$E$4:$E$2564='Analítico Cp.'!$B41),-('Diário 4º PA'!$Q$4:$Q$2564=D$1),('Diário 4º PA'!$F$4:$F$2564))+SUMPRODUCT(-('Comp.'!$D$5:$D$69='Analítico Cp.'!$B41),-('Comp.'!$K$5:$K$69=D$1),('Comp.'!$E$5:$E$69))</f>
        <v>0</v>
      </c>
      <c r="E41" s="12">
        <f>SUMPRODUCT(-('Diário 1º PA'!$E$4:$E$2635='Analítico Cp.'!$B41),-('Diário 1º PA'!$Q$4:$Q$2635=E$1),('Diário 1º PA'!$F$4:$F$2635))+SUMPRODUCT(-('Diário 2º PA'!$E$4:$E$3040='Analítico Cp.'!$B41),-('Diário 2º PA'!$Q$4:$Q$3040=E$1),('Diário 2º PA'!$F$4:$F$3040))+SUMPRODUCT(-('Diário 3º PA'!$E$4:$E$2731='Analítico Cp.'!$B41),-('Diário 3º PA'!$Q$4:$Q$2731=E$1),('Diário 3º PA'!$F$4:$F$2731))+SUMPRODUCT(-('Diário 4º PA'!$E$4:$E$2564='Analítico Cp.'!$B41),-('Diário 4º PA'!$Q$4:$Q$2564=E$1),('Diário 4º PA'!$F$4:$F$2564))+SUMPRODUCT(-('Comp.'!$D$5:$D$69='Analítico Cp.'!$B41),-('Comp.'!$K$5:$K$69=E$1),('Comp.'!$E$5:$E$69))</f>
        <v>0</v>
      </c>
      <c r="F41" s="12">
        <f>SUMPRODUCT(-('Diário 1º PA'!$E$4:$E$2635='Analítico Cp.'!$B41),-('Diário 1º PA'!$Q$4:$Q$2635=F$1),('Diário 1º PA'!$F$4:$F$2635))+SUMPRODUCT(-('Diário 2º PA'!$E$4:$E$3040='Analítico Cp.'!$B41),-('Diário 2º PA'!$Q$4:$Q$3040=F$1),('Diário 2º PA'!$F$4:$F$3040))+SUMPRODUCT(-('Diário 3º PA'!$E$4:$E$2731='Analítico Cp.'!$B41),-('Diário 3º PA'!$Q$4:$Q$2731=F$1),('Diário 3º PA'!$F$4:$F$2731))+SUMPRODUCT(-('Diário 4º PA'!$E$4:$E$2564='Analítico Cp.'!$B41),-('Diário 4º PA'!$Q$4:$Q$2564=F$1),('Diário 4º PA'!$F$4:$F$2564))+SUMPRODUCT(-('Comp.'!$D$5:$D$69='Analítico Cp.'!$B41),-('Comp.'!$K$5:$K$69=F$1),('Comp.'!$E$5:$E$69))</f>
        <v>0</v>
      </c>
      <c r="G41" s="12">
        <f>SUMPRODUCT(-('Diário 1º PA'!$E$4:$E$2635='Analítico Cp.'!$B41),-('Diário 1º PA'!$Q$4:$Q$2635=G$1),('Diário 1º PA'!$F$4:$F$2635))+SUMPRODUCT(-('Diário 2º PA'!$E$4:$E$3040='Analítico Cp.'!$B41),-('Diário 2º PA'!$Q$4:$Q$3040=G$1),('Diário 2º PA'!$F$4:$F$3040))+SUMPRODUCT(-('Diário 3º PA'!$E$4:$E$2731='Analítico Cp.'!$B41),-('Diário 3º PA'!$Q$4:$Q$2731=G$1),('Diário 3º PA'!$F$4:$F$2731))+SUMPRODUCT(-('Diário 4º PA'!$E$4:$E$2564='Analítico Cp.'!$B41),-('Diário 4º PA'!$Q$4:$Q$2564=G$1),('Diário 4º PA'!$F$4:$F$2564))+SUMPRODUCT(-('Comp.'!$D$5:$D$69='Analítico Cp.'!$B41),-('Comp.'!$K$5:$K$69=G$1),('Comp.'!$E$5:$E$69))</f>
        <v>0</v>
      </c>
      <c r="H41" s="12">
        <f>SUMPRODUCT(-('Diário 1º PA'!$E$4:$E$2635='Analítico Cp.'!$B41),-('Diário 1º PA'!$Q$4:$Q$2635=H$1),('Diário 1º PA'!$F$4:$F$2635))+SUMPRODUCT(-('Diário 2º PA'!$E$4:$E$3040='Analítico Cp.'!$B41),-('Diário 2º PA'!$Q$4:$Q$3040=H$1),('Diário 2º PA'!$F$4:$F$3040))+SUMPRODUCT(-('Diário 3º PA'!$E$4:$E$2731='Analítico Cp.'!$B41),-('Diário 3º PA'!$Q$4:$Q$2731=H$1),('Diário 3º PA'!$F$4:$F$2731))+SUMPRODUCT(-('Diário 4º PA'!$E$4:$E$2564='Analítico Cp.'!$B41),-('Diário 4º PA'!$Q$4:$Q$2564=H$1),('Diário 4º PA'!$F$4:$F$2564))+SUMPRODUCT(-('Comp.'!$D$5:$D$69='Analítico Cp.'!$B41),-('Comp.'!$K$5:$K$69=H$1),('Comp.'!$E$5:$E$69))</f>
        <v>0</v>
      </c>
      <c r="I41" s="12">
        <f>SUMPRODUCT(-('Diário 1º PA'!$E$4:$E$2635='Analítico Cp.'!$B41),-('Diário 1º PA'!$Q$4:$Q$2635=I$1),('Diário 1º PA'!$F$4:$F$2635))+SUMPRODUCT(-('Diário 2º PA'!$E$4:$E$3040='Analítico Cp.'!$B41),-('Diário 2º PA'!$Q$4:$Q$3040=I$1),('Diário 2º PA'!$F$4:$F$3040))+SUMPRODUCT(-('Diário 3º PA'!$E$4:$E$2731='Analítico Cp.'!$B41),-('Diário 3º PA'!$Q$4:$Q$2731=I$1),('Diário 3º PA'!$F$4:$F$2731))+SUMPRODUCT(-('Diário 4º PA'!$E$4:$E$2564='Analítico Cp.'!$B41),-('Diário 4º PA'!$Q$4:$Q$2564=I$1),('Diário 4º PA'!$F$4:$F$2564))+SUMPRODUCT(-('Comp.'!$D$5:$D$69='Analítico Cp.'!$B41),-('Comp.'!$K$5:$K$69=I$1),('Comp.'!$E$5:$E$69))</f>
        <v>0</v>
      </c>
      <c r="J41" s="12">
        <f>SUMPRODUCT(-('Diário 1º PA'!$E$4:$E$2635='Analítico Cp.'!$B41),-('Diário 1º PA'!$Q$4:$Q$2635=J$1),('Diário 1º PA'!$F$4:$F$2635))+SUMPRODUCT(-('Diário 2º PA'!$E$4:$E$3040='Analítico Cp.'!$B41),-('Diário 2º PA'!$Q$4:$Q$3040=J$1),('Diário 2º PA'!$F$4:$F$3040))+SUMPRODUCT(-('Diário 3º PA'!$E$4:$E$2731='Analítico Cp.'!$B41),-('Diário 3º PA'!$Q$4:$Q$2731=J$1),('Diário 3º PA'!$F$4:$F$2731))+SUMPRODUCT(-('Diário 4º PA'!$E$4:$E$2564='Analítico Cp.'!$B41),-('Diário 4º PA'!$Q$4:$Q$2564=J$1),('Diário 4º PA'!$F$4:$F$2564))+SUMPRODUCT(-('Comp.'!$D$5:$D$69='Analítico Cp.'!$B41),-('Comp.'!$K$5:$K$69=J$1),('Comp.'!$E$5:$E$69))</f>
        <v>0</v>
      </c>
      <c r="K41" s="12">
        <f>SUMPRODUCT(-('Diário 1º PA'!$E$4:$E$2635='Analítico Cp.'!$B41),-('Diário 1º PA'!$Q$4:$Q$2635=K$1),('Diário 1º PA'!$F$4:$F$2635))+SUMPRODUCT(-('Diário 2º PA'!$E$4:$E$3040='Analítico Cp.'!$B41),-('Diário 2º PA'!$Q$4:$Q$3040=K$1),('Diário 2º PA'!$F$4:$F$3040))+SUMPRODUCT(-('Diário 3º PA'!$E$4:$E$2731='Analítico Cp.'!$B41),-('Diário 3º PA'!$Q$4:$Q$2731=K$1),('Diário 3º PA'!$F$4:$F$2731))+SUMPRODUCT(-('Diário 4º PA'!$E$4:$E$2564='Analítico Cp.'!$B41),-('Diário 4º PA'!$Q$4:$Q$2564=K$1),('Diário 4º PA'!$F$4:$F$2564))+SUMPRODUCT(-('Comp.'!$D$5:$D$69='Analítico Cp.'!$B41),-('Comp.'!$K$5:$K$69=K$1),('Comp.'!$E$5:$E$69))</f>
        <v>0</v>
      </c>
      <c r="L41" s="12">
        <f>SUMPRODUCT(-('Diário 1º PA'!$E$4:$E$2635='Analítico Cp.'!$B41),-('Diário 1º PA'!$Q$4:$Q$2635=L$1),('Diário 1º PA'!$F$4:$F$2635))+SUMPRODUCT(-('Diário 2º PA'!$E$4:$E$3040='Analítico Cp.'!$B41),-('Diário 2º PA'!$Q$4:$Q$3040=L$1),('Diário 2º PA'!$F$4:$F$3040))+SUMPRODUCT(-('Diário 3º PA'!$E$4:$E$2731='Analítico Cp.'!$B41),-('Diário 3º PA'!$Q$4:$Q$2731=L$1),('Diário 3º PA'!$F$4:$F$2731))+SUMPRODUCT(-('Diário 4º PA'!$E$4:$E$2564='Analítico Cp.'!$B41),-('Diário 4º PA'!$Q$4:$Q$2564=L$1),('Diário 4º PA'!$F$4:$F$2564))+SUMPRODUCT(-('Comp.'!$D$5:$D$69='Analítico Cp.'!$B41),-('Comp.'!$K$5:$K$69=L$1),('Comp.'!$E$5:$E$69))</f>
        <v>0</v>
      </c>
      <c r="M41" s="12">
        <f>SUMPRODUCT(-('Diário 1º PA'!$E$4:$E$2635='Analítico Cp.'!$B41),-('Diário 1º PA'!$Q$4:$Q$2635=M$1),('Diário 1º PA'!$F$4:$F$2635))+SUMPRODUCT(-('Diário 2º PA'!$E$4:$E$3040='Analítico Cp.'!$B41),-('Diário 2º PA'!$Q$4:$Q$3040=M$1),('Diário 2º PA'!$F$4:$F$3040))+SUMPRODUCT(-('Diário 3º PA'!$E$4:$E$2731='Analítico Cp.'!$B41),-('Diário 3º PA'!$Q$4:$Q$2731=M$1),('Diário 3º PA'!$F$4:$F$2731))+SUMPRODUCT(-('Diário 4º PA'!$E$4:$E$2564='Analítico Cp.'!$B41),-('Diário 4º PA'!$Q$4:$Q$2564=M$1),('Diário 4º PA'!$F$4:$F$2564))+SUMPRODUCT(-('Comp.'!$D$5:$D$69='Analítico Cp.'!$B41),-('Comp.'!$K$5:$K$69=M$1),('Comp.'!$E$5:$E$69))</f>
        <v>0</v>
      </c>
      <c r="N41" s="12">
        <f>SUMPRODUCT(-('Diário 1º PA'!$E$4:$E$2635='Analítico Cp.'!$B41),-('Diário 1º PA'!$Q$4:$Q$2635=N$1),('Diário 1º PA'!$F$4:$F$2635))+SUMPRODUCT(-('Diário 2º PA'!$E$4:$E$3040='Analítico Cp.'!$B41),-('Diário 2º PA'!$Q$4:$Q$3040=N$1),('Diário 2º PA'!$F$4:$F$3040))+SUMPRODUCT(-('Diário 3º PA'!$E$4:$E$2731='Analítico Cp.'!$B41),-('Diário 3º PA'!$Q$4:$Q$2731=N$1),('Diário 3º PA'!$F$4:$F$2731))+SUMPRODUCT(-('Diário 4º PA'!$E$4:$E$2564='Analítico Cp.'!$B41),-('Diário 4º PA'!$Q$4:$Q$2564=N$1),('Diário 4º PA'!$F$4:$F$2564))+SUMPRODUCT(-('Comp.'!$D$5:$D$69='Analítico Cp.'!$B41),-('Comp.'!$K$5:$K$69=N$1),('Comp.'!$E$5:$E$69))</f>
        <v>1020</v>
      </c>
      <c r="O41" s="13">
        <f t="shared" si="4"/>
        <v>1020</v>
      </c>
      <c r="P41" s="167">
        <f t="shared" si="5"/>
        <v>8.3342806514116277E-5</v>
      </c>
    </row>
    <row r="42" spans="1:16" s="34" customFormat="1" ht="23.25" customHeight="1" x14ac:dyDescent="0.2">
      <c r="A42" s="61" t="s">
        <v>248</v>
      </c>
      <c r="B42" s="59" t="s">
        <v>296</v>
      </c>
      <c r="C42" s="12">
        <f>SUMPRODUCT(-('Diário 1º PA'!$E$4:$E$2635='Analítico Cp.'!$B42),-('Diário 1º PA'!$Q$4:$Q$2635=C$1),('Diário 1º PA'!$F$4:$F$2635))+SUMPRODUCT(-('Diário 2º PA'!$E$4:$E$3040='Analítico Cp.'!$B42),-('Diário 2º PA'!$Q$4:$Q$3040=C$1),('Diário 2º PA'!$F$4:$F$3040))+SUMPRODUCT(-('Diário 3º PA'!$E$4:$E$2731='Analítico Cp.'!$B42),-('Diário 3º PA'!$Q$4:$Q$2731=C$1),('Diário 3º PA'!$F$4:$F$2731))+SUMPRODUCT(-('Diário 4º PA'!$E$4:$E$2564='Analítico Cp.'!$B42),-('Diário 4º PA'!$Q$4:$Q$2564=C$1),('Diário 4º PA'!$F$4:$F$2564))+SUMPRODUCT(-('Comp.'!$D$5:$D$69='Analítico Cp.'!$B42),-('Comp.'!$K$5:$K$69=C$1),('Comp.'!$E$5:$E$69))</f>
        <v>0</v>
      </c>
      <c r="D42" s="12">
        <f>SUMPRODUCT(-('Diário 1º PA'!$E$4:$E$2635='Analítico Cp.'!$B42),-('Diário 1º PA'!$Q$4:$Q$2635=D$1),('Diário 1º PA'!$F$4:$F$2635))+SUMPRODUCT(-('Diário 2º PA'!$E$4:$E$3040='Analítico Cp.'!$B42),-('Diário 2º PA'!$Q$4:$Q$3040=D$1),('Diário 2º PA'!$F$4:$F$3040))+SUMPRODUCT(-('Diário 3º PA'!$E$4:$E$2731='Analítico Cp.'!$B42),-('Diário 3º PA'!$Q$4:$Q$2731=D$1),('Diário 3º PA'!$F$4:$F$2731))+SUMPRODUCT(-('Diário 4º PA'!$E$4:$E$2564='Analítico Cp.'!$B42),-('Diário 4º PA'!$Q$4:$Q$2564=D$1),('Diário 4º PA'!$F$4:$F$2564))+SUMPRODUCT(-('Comp.'!$D$5:$D$69='Analítico Cp.'!$B42),-('Comp.'!$K$5:$K$69=D$1),('Comp.'!$E$5:$E$69))</f>
        <v>0</v>
      </c>
      <c r="E42" s="12">
        <f>SUMPRODUCT(-('Diário 1º PA'!$E$4:$E$2635='Analítico Cp.'!$B42),-('Diário 1º PA'!$Q$4:$Q$2635=E$1),('Diário 1º PA'!$F$4:$F$2635))+SUMPRODUCT(-('Diário 2º PA'!$E$4:$E$3040='Analítico Cp.'!$B42),-('Diário 2º PA'!$Q$4:$Q$3040=E$1),('Diário 2º PA'!$F$4:$F$3040))+SUMPRODUCT(-('Diário 3º PA'!$E$4:$E$2731='Analítico Cp.'!$B42),-('Diário 3º PA'!$Q$4:$Q$2731=E$1),('Diário 3º PA'!$F$4:$F$2731))+SUMPRODUCT(-('Diário 4º PA'!$E$4:$E$2564='Analítico Cp.'!$B42),-('Diário 4º PA'!$Q$4:$Q$2564=E$1),('Diário 4º PA'!$F$4:$F$2564))+SUMPRODUCT(-('Comp.'!$D$5:$D$69='Analítico Cp.'!$B42),-('Comp.'!$K$5:$K$69=E$1),('Comp.'!$E$5:$E$69))</f>
        <v>0</v>
      </c>
      <c r="F42" s="12">
        <f>SUMPRODUCT(-('Diário 1º PA'!$E$4:$E$2635='Analítico Cp.'!$B42),-('Diário 1º PA'!$Q$4:$Q$2635=F$1),('Diário 1º PA'!$F$4:$F$2635))+SUMPRODUCT(-('Diário 2º PA'!$E$4:$E$3040='Analítico Cp.'!$B42),-('Diário 2º PA'!$Q$4:$Q$3040=F$1),('Diário 2º PA'!$F$4:$F$3040))+SUMPRODUCT(-('Diário 3º PA'!$E$4:$E$2731='Analítico Cp.'!$B42),-('Diário 3º PA'!$Q$4:$Q$2731=F$1),('Diário 3º PA'!$F$4:$F$2731))+SUMPRODUCT(-('Diário 4º PA'!$E$4:$E$2564='Analítico Cp.'!$B42),-('Diário 4º PA'!$Q$4:$Q$2564=F$1),('Diário 4º PA'!$F$4:$F$2564))+SUMPRODUCT(-('Comp.'!$D$5:$D$69='Analítico Cp.'!$B42),-('Comp.'!$K$5:$K$69=F$1),('Comp.'!$E$5:$E$69))</f>
        <v>0</v>
      </c>
      <c r="G42" s="12">
        <f>SUMPRODUCT(-('Diário 1º PA'!$E$4:$E$2635='Analítico Cp.'!$B42),-('Diário 1º PA'!$Q$4:$Q$2635=G$1),('Diário 1º PA'!$F$4:$F$2635))+SUMPRODUCT(-('Diário 2º PA'!$E$4:$E$3040='Analítico Cp.'!$B42),-('Diário 2º PA'!$Q$4:$Q$3040=G$1),('Diário 2º PA'!$F$4:$F$3040))+SUMPRODUCT(-('Diário 3º PA'!$E$4:$E$2731='Analítico Cp.'!$B42),-('Diário 3º PA'!$Q$4:$Q$2731=G$1),('Diário 3º PA'!$F$4:$F$2731))+SUMPRODUCT(-('Diário 4º PA'!$E$4:$E$2564='Analítico Cp.'!$B42),-('Diário 4º PA'!$Q$4:$Q$2564=G$1),('Diário 4º PA'!$F$4:$F$2564))+SUMPRODUCT(-('Comp.'!$D$5:$D$69='Analítico Cp.'!$B42),-('Comp.'!$K$5:$K$69=G$1),('Comp.'!$E$5:$E$69))</f>
        <v>0</v>
      </c>
      <c r="H42" s="12">
        <f>SUMPRODUCT(-('Diário 1º PA'!$E$4:$E$2635='Analítico Cp.'!$B42),-('Diário 1º PA'!$Q$4:$Q$2635=H$1),('Diário 1º PA'!$F$4:$F$2635))+SUMPRODUCT(-('Diário 2º PA'!$E$4:$E$3040='Analítico Cp.'!$B42),-('Diário 2º PA'!$Q$4:$Q$3040=H$1),('Diário 2º PA'!$F$4:$F$3040))+SUMPRODUCT(-('Diário 3º PA'!$E$4:$E$2731='Analítico Cp.'!$B42),-('Diário 3º PA'!$Q$4:$Q$2731=H$1),('Diário 3º PA'!$F$4:$F$2731))+SUMPRODUCT(-('Diário 4º PA'!$E$4:$E$2564='Analítico Cp.'!$B42),-('Diário 4º PA'!$Q$4:$Q$2564=H$1),('Diário 4º PA'!$F$4:$F$2564))+SUMPRODUCT(-('Comp.'!$D$5:$D$69='Analítico Cp.'!$B42),-('Comp.'!$K$5:$K$69=H$1),('Comp.'!$E$5:$E$69))</f>
        <v>0</v>
      </c>
      <c r="I42" s="12">
        <f>SUMPRODUCT(-('Diário 1º PA'!$E$4:$E$2635='Analítico Cp.'!$B42),-('Diário 1º PA'!$Q$4:$Q$2635=I$1),('Diário 1º PA'!$F$4:$F$2635))+SUMPRODUCT(-('Diário 2º PA'!$E$4:$E$3040='Analítico Cp.'!$B42),-('Diário 2º PA'!$Q$4:$Q$3040=I$1),('Diário 2º PA'!$F$4:$F$3040))+SUMPRODUCT(-('Diário 3º PA'!$E$4:$E$2731='Analítico Cp.'!$B42),-('Diário 3º PA'!$Q$4:$Q$2731=I$1),('Diário 3º PA'!$F$4:$F$2731))+SUMPRODUCT(-('Diário 4º PA'!$E$4:$E$2564='Analítico Cp.'!$B42),-('Diário 4º PA'!$Q$4:$Q$2564=I$1),('Diário 4º PA'!$F$4:$F$2564))+SUMPRODUCT(-('Comp.'!$D$5:$D$69='Analítico Cp.'!$B42),-('Comp.'!$K$5:$K$69=I$1),('Comp.'!$E$5:$E$69))</f>
        <v>0</v>
      </c>
      <c r="J42" s="12">
        <f>SUMPRODUCT(-('Diário 1º PA'!$E$4:$E$2635='Analítico Cp.'!$B42),-('Diário 1º PA'!$Q$4:$Q$2635=J$1),('Diário 1º PA'!$F$4:$F$2635))+SUMPRODUCT(-('Diário 2º PA'!$E$4:$E$3040='Analítico Cp.'!$B42),-('Diário 2º PA'!$Q$4:$Q$3040=J$1),('Diário 2º PA'!$F$4:$F$3040))+SUMPRODUCT(-('Diário 3º PA'!$E$4:$E$2731='Analítico Cp.'!$B42),-('Diário 3º PA'!$Q$4:$Q$2731=J$1),('Diário 3º PA'!$F$4:$F$2731))+SUMPRODUCT(-('Diário 4º PA'!$E$4:$E$2564='Analítico Cp.'!$B42),-('Diário 4º PA'!$Q$4:$Q$2564=J$1),('Diário 4º PA'!$F$4:$F$2564))+SUMPRODUCT(-('Comp.'!$D$5:$D$69='Analítico Cp.'!$B42),-('Comp.'!$K$5:$K$69=J$1),('Comp.'!$E$5:$E$69))</f>
        <v>0</v>
      </c>
      <c r="K42" s="12">
        <f>SUMPRODUCT(-('Diário 1º PA'!$E$4:$E$2635='Analítico Cp.'!$B42),-('Diário 1º PA'!$Q$4:$Q$2635=K$1),('Diário 1º PA'!$F$4:$F$2635))+SUMPRODUCT(-('Diário 2º PA'!$E$4:$E$3040='Analítico Cp.'!$B42),-('Diário 2º PA'!$Q$4:$Q$3040=K$1),('Diário 2º PA'!$F$4:$F$3040))+SUMPRODUCT(-('Diário 3º PA'!$E$4:$E$2731='Analítico Cp.'!$B42),-('Diário 3º PA'!$Q$4:$Q$2731=K$1),('Diário 3º PA'!$F$4:$F$2731))+SUMPRODUCT(-('Diário 4º PA'!$E$4:$E$2564='Analítico Cp.'!$B42),-('Diário 4º PA'!$Q$4:$Q$2564=K$1),('Diário 4º PA'!$F$4:$F$2564))+SUMPRODUCT(-('Comp.'!$D$5:$D$69='Analítico Cp.'!$B42),-('Comp.'!$K$5:$K$69=K$1),('Comp.'!$E$5:$E$69))</f>
        <v>0</v>
      </c>
      <c r="L42" s="12">
        <f>SUMPRODUCT(-('Diário 1º PA'!$E$4:$E$2635='Analítico Cp.'!$B42),-('Diário 1º PA'!$Q$4:$Q$2635=L$1),('Diário 1º PA'!$F$4:$F$2635))+SUMPRODUCT(-('Diário 2º PA'!$E$4:$E$3040='Analítico Cp.'!$B42),-('Diário 2º PA'!$Q$4:$Q$3040=L$1),('Diário 2º PA'!$F$4:$F$3040))+SUMPRODUCT(-('Diário 3º PA'!$E$4:$E$2731='Analítico Cp.'!$B42),-('Diário 3º PA'!$Q$4:$Q$2731=L$1),('Diário 3º PA'!$F$4:$F$2731))+SUMPRODUCT(-('Diário 4º PA'!$E$4:$E$2564='Analítico Cp.'!$B42),-('Diário 4º PA'!$Q$4:$Q$2564=L$1),('Diário 4º PA'!$F$4:$F$2564))+SUMPRODUCT(-('Comp.'!$D$5:$D$69='Analítico Cp.'!$B42),-('Comp.'!$K$5:$K$69=L$1),('Comp.'!$E$5:$E$69))</f>
        <v>0</v>
      </c>
      <c r="M42" s="12">
        <f>SUMPRODUCT(-('Diário 1º PA'!$E$4:$E$2635='Analítico Cp.'!$B42),-('Diário 1º PA'!$Q$4:$Q$2635=M$1),('Diário 1º PA'!$F$4:$F$2635))+SUMPRODUCT(-('Diário 2º PA'!$E$4:$E$3040='Analítico Cp.'!$B42),-('Diário 2º PA'!$Q$4:$Q$3040=M$1),('Diário 2º PA'!$F$4:$F$3040))+SUMPRODUCT(-('Diário 3º PA'!$E$4:$E$2731='Analítico Cp.'!$B42),-('Diário 3º PA'!$Q$4:$Q$2731=M$1),('Diário 3º PA'!$F$4:$F$2731))+SUMPRODUCT(-('Diário 4º PA'!$E$4:$E$2564='Analítico Cp.'!$B42),-('Diário 4º PA'!$Q$4:$Q$2564=M$1),('Diário 4º PA'!$F$4:$F$2564))+SUMPRODUCT(-('Comp.'!$D$5:$D$69='Analítico Cp.'!$B42),-('Comp.'!$K$5:$K$69=M$1),('Comp.'!$E$5:$E$69))</f>
        <v>0</v>
      </c>
      <c r="N42" s="12">
        <f>SUMPRODUCT(-('Diário 1º PA'!$E$4:$E$2635='Analítico Cp.'!$B42),-('Diário 1º PA'!$Q$4:$Q$2635=N$1),('Diário 1º PA'!$F$4:$F$2635))+SUMPRODUCT(-('Diário 2º PA'!$E$4:$E$3040='Analítico Cp.'!$B42),-('Diário 2º PA'!$Q$4:$Q$3040=N$1),('Diário 2º PA'!$F$4:$F$3040))+SUMPRODUCT(-('Diário 3º PA'!$E$4:$E$2731='Analítico Cp.'!$B42),-('Diário 3º PA'!$Q$4:$Q$2731=N$1),('Diário 3º PA'!$F$4:$F$2731))+SUMPRODUCT(-('Diário 4º PA'!$E$4:$E$2564='Analítico Cp.'!$B42),-('Diário 4º PA'!$Q$4:$Q$2564=N$1),('Diário 4º PA'!$F$4:$F$2564))+SUMPRODUCT(-('Comp.'!$D$5:$D$69='Analítico Cp.'!$B42),-('Comp.'!$K$5:$K$69=N$1),('Comp.'!$E$5:$E$69))</f>
        <v>0</v>
      </c>
      <c r="O42" s="13">
        <f>SUM(C42:N42)</f>
        <v>0</v>
      </c>
      <c r="P42" s="167">
        <f t="shared" si="5"/>
        <v>0</v>
      </c>
    </row>
    <row r="43" spans="1:16" ht="23.25" customHeight="1" x14ac:dyDescent="0.2">
      <c r="A43" s="23"/>
      <c r="B43" s="24" t="s">
        <v>114</v>
      </c>
      <c r="C43" s="14">
        <f>SUBTOTAL(109,C31:C42)</f>
        <v>130770.36550000001</v>
      </c>
      <c r="D43" s="14">
        <f>SUBTOTAL(109,D31:D42)</f>
        <v>124073.49196038856</v>
      </c>
      <c r="E43" s="14">
        <f>SUBTOTAL(109,E31:E42)</f>
        <v>131655.38418587338</v>
      </c>
      <c r="F43" s="14">
        <f t="shared" ref="F43:N43" si="6">SUBTOTAL(109,F31:F42)</f>
        <v>119404.5218458734</v>
      </c>
      <c r="G43" s="14">
        <f t="shared" si="6"/>
        <v>137441.42814305567</v>
      </c>
      <c r="H43" s="14">
        <f t="shared" si="6"/>
        <v>145199.6371826994</v>
      </c>
      <c r="I43" s="14">
        <f t="shared" si="6"/>
        <v>178193.57099499475</v>
      </c>
      <c r="J43" s="14">
        <f t="shared" si="6"/>
        <v>152008.58703200732</v>
      </c>
      <c r="K43" s="14">
        <f t="shared" si="6"/>
        <v>161430.16949445213</v>
      </c>
      <c r="L43" s="14">
        <f t="shared" si="6"/>
        <v>167606.10307205215</v>
      </c>
      <c r="M43" s="14">
        <f t="shared" si="6"/>
        <v>146655.84132592432</v>
      </c>
      <c r="N43" s="14">
        <f t="shared" si="6"/>
        <v>148498.28662547239</v>
      </c>
      <c r="O43" s="14">
        <f>SUBTOTAL(109,O31:O42)</f>
        <v>1742937.3873627936</v>
      </c>
      <c r="P43" s="173">
        <f t="shared" si="5"/>
        <v>0.14241303278548689</v>
      </c>
    </row>
    <row r="44" spans="1:16" ht="23.25" customHeight="1" x14ac:dyDescent="0.2">
      <c r="A44" s="21" t="s">
        <v>14</v>
      </c>
      <c r="B44" s="33" t="s">
        <v>38</v>
      </c>
      <c r="C44" s="66"/>
      <c r="D44" s="66"/>
      <c r="E44" s="66"/>
      <c r="F44" s="66"/>
      <c r="G44" s="66"/>
      <c r="H44" s="66"/>
      <c r="I44" s="66"/>
      <c r="J44" s="66"/>
      <c r="K44" s="66"/>
      <c r="L44" s="66"/>
      <c r="M44" s="66"/>
      <c r="N44" s="66"/>
      <c r="O44" s="66"/>
      <c r="P44" s="167"/>
    </row>
    <row r="45" spans="1:16" ht="23.25" customHeight="1" x14ac:dyDescent="0.2">
      <c r="A45" s="62" t="s">
        <v>109</v>
      </c>
      <c r="B45" s="60" t="s">
        <v>161</v>
      </c>
      <c r="C45" s="298">
        <f>SUMPRODUCT(-('Diário 1º PA'!$E$4:$E$2635='Analítico Cp.'!$B45),-('Diário 1º PA'!$Q$4:$Q$2635=C$1),('Diário 1º PA'!$F$4:$F$2635))+SUMPRODUCT(-('Diário 2º PA'!$E$4:$E$3040='Analítico Cp.'!$B45),-('Diário 2º PA'!$Q$4:$Q$3040=C$1),('Diário 2º PA'!$F$4:$F$3040))+SUMPRODUCT(-('Diário 3º PA'!$E$4:$E$2731='Analítico Cp.'!$B45),-('Diário 3º PA'!$Q$4:$Q$2731=C$1),('Diário 3º PA'!$F$4:$F$2731))+SUMPRODUCT(-('Diário 4º PA'!$E$4:$E$2564='Analítico Cp.'!$B45),-('Diário 4º PA'!$Q$4:$Q$2564=C$1),('Diário 4º PA'!$F$4:$F$2564))+SUMPRODUCT(-('Comp.'!$D$5:$D$69='Analítico Cp.'!$B45),-('Comp.'!$K$5:$K$69=C$1),('Comp.'!$E$5:$E$69))</f>
        <v>236.48000000000002</v>
      </c>
      <c r="D45" s="298">
        <f>SUMPRODUCT(-('Diário 1º PA'!$E$4:$E$2635='Analítico Cp.'!$B45),-('Diário 1º PA'!$Q$4:$Q$2635=D$1),('Diário 1º PA'!$F$4:$F$2635))+SUMPRODUCT(-('Diário 2º PA'!$E$4:$E$3040='Analítico Cp.'!$B45),-('Diário 2º PA'!$Q$4:$Q$3040=D$1),('Diário 2º PA'!$F$4:$F$3040))+SUMPRODUCT(-('Diário 3º PA'!$E$4:$E$2731='Analítico Cp.'!$B45),-('Diário 3º PA'!$Q$4:$Q$2731=D$1),('Diário 3º PA'!$F$4:$F$2731))+SUMPRODUCT(-('Diário 4º PA'!$E$4:$E$2564='Analítico Cp.'!$B45),-('Diário 4º PA'!$Q$4:$Q$2564=D$1),('Diário 4º PA'!$F$4:$F$2564))+SUMPRODUCT(-('Comp.'!$D$5:$D$69='Analítico Cp.'!$B45),-('Comp.'!$K$5:$K$69=D$1),('Comp.'!$E$5:$E$69))</f>
        <v>15.27</v>
      </c>
      <c r="E45" s="298">
        <f>SUMPRODUCT(-('Diário 1º PA'!$E$4:$E$2635='Analítico Cp.'!$B45),-('Diário 1º PA'!$Q$4:$Q$2635=E$1),('Diário 1º PA'!$F$4:$F$2635))+SUMPRODUCT(-('Diário 2º PA'!$E$4:$E$3040='Analítico Cp.'!$B45),-('Diário 2º PA'!$Q$4:$Q$3040=E$1),('Diário 2º PA'!$F$4:$F$3040))+SUMPRODUCT(-('Diário 3º PA'!$E$4:$E$2731='Analítico Cp.'!$B45),-('Diário 3º PA'!$Q$4:$Q$2731=E$1),('Diário 3º PA'!$F$4:$F$2731))+SUMPRODUCT(-('Diário 4º PA'!$E$4:$E$2564='Analítico Cp.'!$B45),-('Diário 4º PA'!$Q$4:$Q$2564=E$1),('Diário 4º PA'!$F$4:$F$2564))+SUMPRODUCT(-('Comp.'!$D$5:$D$69='Analítico Cp.'!$B45),-('Comp.'!$K$5:$K$69=E$1),('Comp.'!$E$5:$E$69))</f>
        <v>5465.2799999999988</v>
      </c>
      <c r="F45" s="298">
        <f>SUMPRODUCT(-('Diário 1º PA'!$E$4:$E$2635='Analítico Cp.'!$B45),-('Diário 1º PA'!$Q$4:$Q$2635=F$1),('Diário 1º PA'!$F$4:$F$2635))+SUMPRODUCT(-('Diário 2º PA'!$E$4:$E$3040='Analítico Cp.'!$B45),-('Diário 2º PA'!$Q$4:$Q$3040=F$1),('Diário 2º PA'!$F$4:$F$3040))+SUMPRODUCT(-('Diário 3º PA'!$E$4:$E$2731='Analítico Cp.'!$B45),-('Diário 3º PA'!$Q$4:$Q$2731=F$1),('Diário 3º PA'!$F$4:$F$2731))+SUMPRODUCT(-('Diário 4º PA'!$E$4:$E$2564='Analítico Cp.'!$B45),-('Diário 4º PA'!$Q$4:$Q$2564=F$1),('Diário 4º PA'!$F$4:$F$2564))+SUMPRODUCT(-('Comp.'!$D$5:$D$69='Analítico Cp.'!$B45),-('Comp.'!$K$5:$K$69=F$1),('Comp.'!$E$5:$E$69))</f>
        <v>3858.59</v>
      </c>
      <c r="G45" s="298">
        <f>SUMPRODUCT(-('Diário 1º PA'!$E$4:$E$2635='Analítico Cp.'!$B45),-('Diário 1º PA'!$Q$4:$Q$2635=G$1),('Diário 1º PA'!$F$4:$F$2635))+SUMPRODUCT(-('Diário 2º PA'!$E$4:$E$3040='Analítico Cp.'!$B45),-('Diário 2º PA'!$Q$4:$Q$3040=G$1),('Diário 2º PA'!$F$4:$F$3040))+SUMPRODUCT(-('Diário 3º PA'!$E$4:$E$2731='Analítico Cp.'!$B45),-('Diário 3º PA'!$Q$4:$Q$2731=G$1),('Diário 3º PA'!$F$4:$F$2731))+SUMPRODUCT(-('Diário 4º PA'!$E$4:$E$2564='Analítico Cp.'!$B45),-('Diário 4º PA'!$Q$4:$Q$2564=G$1),('Diário 4º PA'!$F$4:$F$2564))+SUMPRODUCT(-('Comp.'!$D$5:$D$69='Analítico Cp.'!$B45),-('Comp.'!$K$5:$K$69=G$1),('Comp.'!$E$5:$E$69))</f>
        <v>2656.27</v>
      </c>
      <c r="H45" s="298">
        <f>SUMPRODUCT(-('Diário 1º PA'!$E$4:$E$2635='Analítico Cp.'!$B45),-('Diário 1º PA'!$Q$4:$Q$2635=H$1),('Diário 1º PA'!$F$4:$F$2635))+SUMPRODUCT(-('Diário 2º PA'!$E$4:$E$3040='Analítico Cp.'!$B45),-('Diário 2º PA'!$Q$4:$Q$3040=H$1),('Diário 2º PA'!$F$4:$F$3040))+SUMPRODUCT(-('Diário 3º PA'!$E$4:$E$2731='Analítico Cp.'!$B45),-('Diário 3º PA'!$Q$4:$Q$2731=H$1),('Diário 3º PA'!$F$4:$F$2731))+SUMPRODUCT(-('Diário 4º PA'!$E$4:$E$2564='Analítico Cp.'!$B45),-('Diário 4º PA'!$Q$4:$Q$2564=H$1),('Diário 4º PA'!$F$4:$F$2564))+SUMPRODUCT(-('Comp.'!$D$5:$D$69='Analítico Cp.'!$B45),-('Comp.'!$K$5:$K$69=H$1),('Comp.'!$E$5:$E$69))</f>
        <v>4842.08</v>
      </c>
      <c r="I45" s="298">
        <f>SUMPRODUCT(-('Diário 1º PA'!$E$4:$E$2635='Analítico Cp.'!$B45),-('Diário 1º PA'!$Q$4:$Q$2635=I$1),('Diário 1º PA'!$F$4:$F$2635))+SUMPRODUCT(-('Diário 2º PA'!$E$4:$E$3040='Analítico Cp.'!$B45),-('Diário 2º PA'!$Q$4:$Q$3040=I$1),('Diário 2º PA'!$F$4:$F$3040))+SUMPRODUCT(-('Diário 3º PA'!$E$4:$E$2731='Analítico Cp.'!$B45),-('Diário 3º PA'!$Q$4:$Q$2731=I$1),('Diário 3º PA'!$F$4:$F$2731))+SUMPRODUCT(-('Diário 4º PA'!$E$4:$E$2564='Analítico Cp.'!$B45),-('Diário 4º PA'!$Q$4:$Q$2564=I$1),('Diário 4º PA'!$F$4:$F$2564))+SUMPRODUCT(-('Comp.'!$D$5:$D$69='Analítico Cp.'!$B45),-('Comp.'!$K$5:$K$69=I$1),('Comp.'!$E$5:$E$69))</f>
        <v>3341</v>
      </c>
      <c r="J45" s="298">
        <f>SUMPRODUCT(-('Diário 1º PA'!$E$4:$E$2635='Analítico Cp.'!$B45),-('Diário 1º PA'!$Q$4:$Q$2635=J$1),('Diário 1º PA'!$F$4:$F$2635))+SUMPRODUCT(-('Diário 2º PA'!$E$4:$E$3040='Analítico Cp.'!$B45),-('Diário 2º PA'!$Q$4:$Q$3040=J$1),('Diário 2º PA'!$F$4:$F$3040))+SUMPRODUCT(-('Diário 3º PA'!$E$4:$E$2731='Analítico Cp.'!$B45),-('Diário 3º PA'!$Q$4:$Q$2731=J$1),('Diário 3º PA'!$F$4:$F$2731))+SUMPRODUCT(-('Diário 4º PA'!$E$4:$E$2564='Analítico Cp.'!$B45),-('Diário 4º PA'!$Q$4:$Q$2564=J$1),('Diário 4º PA'!$F$4:$F$2564))+SUMPRODUCT(-('Comp.'!$D$5:$D$69='Analítico Cp.'!$B45),-('Comp.'!$K$5:$K$69=J$1),('Comp.'!$E$5:$E$69))</f>
        <v>3966.4899999999993</v>
      </c>
      <c r="K45" s="298">
        <f>SUMPRODUCT(-('Diário 1º PA'!$E$4:$E$2635='Analítico Cp.'!$B45),-('Diário 1º PA'!$Q$4:$Q$2635=K$1),('Diário 1º PA'!$F$4:$F$2635))+SUMPRODUCT(-('Diário 2º PA'!$E$4:$E$3040='Analítico Cp.'!$B45),-('Diário 2º PA'!$Q$4:$Q$3040=K$1),('Diário 2º PA'!$F$4:$F$3040))+SUMPRODUCT(-('Diário 3º PA'!$E$4:$E$2731='Analítico Cp.'!$B45),-('Diário 3º PA'!$Q$4:$Q$2731=K$1),('Diário 3º PA'!$F$4:$F$2731))+SUMPRODUCT(-('Diário 4º PA'!$E$4:$E$2564='Analítico Cp.'!$B45),-('Diário 4º PA'!$Q$4:$Q$2564=K$1),('Diário 4º PA'!$F$4:$F$2564))+SUMPRODUCT(-('Comp.'!$D$5:$D$69='Analítico Cp.'!$B45),-('Comp.'!$K$5:$K$69=K$1),('Comp.'!$E$5:$E$69))</f>
        <v>2813.94</v>
      </c>
      <c r="L45" s="298">
        <f>SUMPRODUCT(-('Diário 1º PA'!$E$4:$E$2635='Analítico Cp.'!$B45),-('Diário 1º PA'!$Q$4:$Q$2635=L$1),('Diário 1º PA'!$F$4:$F$2635))+SUMPRODUCT(-('Diário 2º PA'!$E$4:$E$3040='Analítico Cp.'!$B45),-('Diário 2º PA'!$Q$4:$Q$3040=L$1),('Diário 2º PA'!$F$4:$F$3040))+SUMPRODUCT(-('Diário 3º PA'!$E$4:$E$2731='Analítico Cp.'!$B45),-('Diário 3º PA'!$Q$4:$Q$2731=L$1),('Diário 3º PA'!$F$4:$F$2731))+SUMPRODUCT(-('Diário 4º PA'!$E$4:$E$2564='Analítico Cp.'!$B45),-('Diário 4º PA'!$Q$4:$Q$2564=L$1),('Diário 4º PA'!$F$4:$F$2564))+SUMPRODUCT(-('Comp.'!$D$5:$D$69='Analítico Cp.'!$B45),-('Comp.'!$K$5:$K$69=L$1),('Comp.'!$E$5:$E$69))</f>
        <v>3325.5300000000007</v>
      </c>
      <c r="M45" s="298">
        <f>SUMPRODUCT(-('Diário 1º PA'!$E$4:$E$2635='Analítico Cp.'!$B45),-('Diário 1º PA'!$Q$4:$Q$2635=M$1),('Diário 1º PA'!$F$4:$F$2635))+SUMPRODUCT(-('Diário 2º PA'!$E$4:$E$3040='Analítico Cp.'!$B45),-('Diário 2º PA'!$Q$4:$Q$3040=M$1),('Diário 2º PA'!$F$4:$F$3040))+SUMPRODUCT(-('Diário 3º PA'!$E$4:$E$2731='Analítico Cp.'!$B45),-('Diário 3º PA'!$Q$4:$Q$2731=M$1),('Diário 3º PA'!$F$4:$F$2731))+SUMPRODUCT(-('Diário 4º PA'!$E$4:$E$2564='Analítico Cp.'!$B45),-('Diário 4º PA'!$Q$4:$Q$2564=M$1),('Diário 4º PA'!$F$4:$F$2564))+SUMPRODUCT(-('Comp.'!$D$5:$D$69='Analítico Cp.'!$B45),-('Comp.'!$K$5:$K$69=M$1),('Comp.'!$E$5:$E$69))</f>
        <v>2883.73</v>
      </c>
      <c r="N45" s="298">
        <f>SUMPRODUCT(-('Diário 1º PA'!$E$4:$E$2635='Analítico Cp.'!$B45),-('Diário 1º PA'!$Q$4:$Q$2635=N$1),('Diário 1º PA'!$F$4:$F$2635))+SUMPRODUCT(-('Diário 2º PA'!$E$4:$E$3040='Analítico Cp.'!$B45),-('Diário 2º PA'!$Q$4:$Q$3040=N$1),('Diário 2º PA'!$F$4:$F$3040))+SUMPRODUCT(-('Diário 3º PA'!$E$4:$E$2731='Analítico Cp.'!$B45),-('Diário 3º PA'!$Q$4:$Q$2731=N$1),('Diário 3º PA'!$F$4:$F$2731))+SUMPRODUCT(-('Diário 4º PA'!$E$4:$E$2564='Analítico Cp.'!$B45),-('Diário 4º PA'!$Q$4:$Q$2564=N$1),('Diário 4º PA'!$F$4:$F$2564))+SUMPRODUCT(-('Comp.'!$D$5:$D$69='Analítico Cp.'!$B45),-('Comp.'!$K$5:$K$69=N$1),('Comp.'!$E$5:$E$69))</f>
        <v>138.75</v>
      </c>
      <c r="O45" s="13">
        <f t="shared" ref="O45:O52" si="7">SUM(C45:N45)</f>
        <v>33543.410000000003</v>
      </c>
      <c r="P45" s="167">
        <f t="shared" ref="P45:P54" si="8">IF($O$164=0,0,O45/$O$164)</f>
        <v>2.7407862053467386E-3</v>
      </c>
    </row>
    <row r="46" spans="1:16" ht="23.25" customHeight="1" x14ac:dyDescent="0.2">
      <c r="A46" s="62" t="s">
        <v>110</v>
      </c>
      <c r="B46" s="60" t="s">
        <v>6</v>
      </c>
      <c r="C46" s="298">
        <f>SUMPRODUCT(-('Diário 1º PA'!$E$4:$E$2635='Analítico Cp.'!$B46),-('Diário 1º PA'!$Q$4:$Q$2635=C$1),('Diário 1º PA'!$F$4:$F$2635))+SUMPRODUCT(-('Diário 2º PA'!$E$4:$E$3040='Analítico Cp.'!$B46),-('Diário 2º PA'!$Q$4:$Q$3040=C$1),('Diário 2º PA'!$F$4:$F$3040))+SUMPRODUCT(-('Diário 3º PA'!$E$4:$E$2731='Analítico Cp.'!$B46),-('Diário 3º PA'!$Q$4:$Q$2731=C$1),('Diário 3º PA'!$F$4:$F$2731))+SUMPRODUCT(-('Diário 4º PA'!$E$4:$E$2564='Analítico Cp.'!$B46),-('Diário 4º PA'!$Q$4:$Q$2564=C$1),('Diário 4º PA'!$F$4:$F$2564))+SUMPRODUCT(-('Comp.'!$D$5:$D$69='Analítico Cp.'!$B46),-('Comp.'!$K$5:$K$69=C$1),('Comp.'!$E$5:$E$69))</f>
        <v>25356.109999999997</v>
      </c>
      <c r="D46" s="298">
        <f>SUMPRODUCT(-('Diário 1º PA'!$E$4:$E$2635='Analítico Cp.'!$B46),-('Diário 1º PA'!$Q$4:$Q$2635=D$1),('Diário 1º PA'!$F$4:$F$2635))+SUMPRODUCT(-('Diário 2º PA'!$E$4:$E$3040='Analítico Cp.'!$B46),-('Diário 2º PA'!$Q$4:$Q$3040=D$1),('Diário 2º PA'!$F$4:$F$3040))+SUMPRODUCT(-('Diário 3º PA'!$E$4:$E$2731='Analítico Cp.'!$B46),-('Diário 3º PA'!$Q$4:$Q$2731=D$1),('Diário 3º PA'!$F$4:$F$2731))+SUMPRODUCT(-('Diário 4º PA'!$E$4:$E$2564='Analítico Cp.'!$B46),-('Diário 4º PA'!$Q$4:$Q$2564=D$1),('Diário 4º PA'!$F$4:$F$2564))+SUMPRODUCT(-('Comp.'!$D$5:$D$69='Analítico Cp.'!$B46),-('Comp.'!$K$5:$K$69=D$1),('Comp.'!$E$5:$E$69))</f>
        <v>27528.780000000002</v>
      </c>
      <c r="E46" s="298">
        <f>SUMPRODUCT(-('Diário 1º PA'!$E$4:$E$2635='Analítico Cp.'!$B46),-('Diário 1º PA'!$Q$4:$Q$2635=E$1),('Diário 1º PA'!$F$4:$F$2635))+SUMPRODUCT(-('Diário 2º PA'!$E$4:$E$3040='Analítico Cp.'!$B46),-('Diário 2º PA'!$Q$4:$Q$3040=E$1),('Diário 2º PA'!$F$4:$F$3040))+SUMPRODUCT(-('Diário 3º PA'!$E$4:$E$2731='Analítico Cp.'!$B46),-('Diário 3º PA'!$Q$4:$Q$2731=E$1),('Diário 3º PA'!$F$4:$F$2731))+SUMPRODUCT(-('Diário 4º PA'!$E$4:$E$2564='Analítico Cp.'!$B46),-('Diário 4º PA'!$Q$4:$Q$2564=E$1),('Diário 4º PA'!$F$4:$F$2564))+SUMPRODUCT(-('Comp.'!$D$5:$D$69='Analítico Cp.'!$B46),-('Comp.'!$K$5:$K$69=E$1),('Comp.'!$E$5:$E$69))</f>
        <v>29410.260000000002</v>
      </c>
      <c r="F46" s="298">
        <f>SUMPRODUCT(-('Diário 1º PA'!$E$4:$E$2635='Analítico Cp.'!$B46),-('Diário 1º PA'!$Q$4:$Q$2635=F$1),('Diário 1º PA'!$F$4:$F$2635))+SUMPRODUCT(-('Diário 2º PA'!$E$4:$E$3040='Analítico Cp.'!$B46),-('Diário 2º PA'!$Q$4:$Q$3040=F$1),('Diário 2º PA'!$F$4:$F$3040))+SUMPRODUCT(-('Diário 3º PA'!$E$4:$E$2731='Analítico Cp.'!$B46),-('Diário 3º PA'!$Q$4:$Q$2731=F$1),('Diário 3º PA'!$F$4:$F$2731))+SUMPRODUCT(-('Diário 4º PA'!$E$4:$E$2564='Analítico Cp.'!$B46),-('Diário 4º PA'!$Q$4:$Q$2564=F$1),('Diário 4º PA'!$F$4:$F$2564))+SUMPRODUCT(-('Comp.'!$D$5:$D$69='Analítico Cp.'!$B46),-('Comp.'!$K$5:$K$69=F$1),('Comp.'!$E$5:$E$69))</f>
        <v>43971.41</v>
      </c>
      <c r="G46" s="298">
        <f>SUMPRODUCT(-('Diário 1º PA'!$E$4:$E$2635='Analítico Cp.'!$B46),-('Diário 1º PA'!$Q$4:$Q$2635=G$1),('Diário 1º PA'!$F$4:$F$2635))+SUMPRODUCT(-('Diário 2º PA'!$E$4:$E$3040='Analítico Cp.'!$B46),-('Diário 2º PA'!$Q$4:$Q$3040=G$1),('Diário 2º PA'!$F$4:$F$3040))+SUMPRODUCT(-('Diário 3º PA'!$E$4:$E$2731='Analítico Cp.'!$B46),-('Diário 3º PA'!$Q$4:$Q$2731=G$1),('Diário 3º PA'!$F$4:$F$2731))+SUMPRODUCT(-('Diário 4º PA'!$E$4:$E$2564='Analítico Cp.'!$B46),-('Diário 4º PA'!$Q$4:$Q$2564=G$1),('Diário 4º PA'!$F$4:$F$2564))+SUMPRODUCT(-('Comp.'!$D$5:$D$69='Analítico Cp.'!$B46),-('Comp.'!$K$5:$K$69=G$1),('Comp.'!$E$5:$E$69))</f>
        <v>26031.59</v>
      </c>
      <c r="H46" s="298">
        <f>SUMPRODUCT(-('Diário 1º PA'!$E$4:$E$2635='Analítico Cp.'!$B46),-('Diário 1º PA'!$Q$4:$Q$2635=H$1),('Diário 1º PA'!$F$4:$F$2635))+SUMPRODUCT(-('Diário 2º PA'!$E$4:$E$3040='Analítico Cp.'!$B46),-('Diário 2º PA'!$Q$4:$Q$3040=H$1),('Diário 2º PA'!$F$4:$F$3040))+SUMPRODUCT(-('Diário 3º PA'!$E$4:$E$2731='Analítico Cp.'!$B46),-('Diário 3º PA'!$Q$4:$Q$2731=H$1),('Diário 3º PA'!$F$4:$F$2731))+SUMPRODUCT(-('Diário 4º PA'!$E$4:$E$2564='Analítico Cp.'!$B46),-('Diário 4º PA'!$Q$4:$Q$2564=H$1),('Diário 4º PA'!$F$4:$F$2564))+SUMPRODUCT(-('Comp.'!$D$5:$D$69='Analítico Cp.'!$B46),-('Comp.'!$K$5:$K$69=H$1),('Comp.'!$E$5:$E$69))</f>
        <v>27657.34</v>
      </c>
      <c r="I46" s="298">
        <f>SUMPRODUCT(-('Diário 1º PA'!$E$4:$E$2635='Analítico Cp.'!$B46),-('Diário 1º PA'!$Q$4:$Q$2635=I$1),('Diário 1º PA'!$F$4:$F$2635))+SUMPRODUCT(-('Diário 2º PA'!$E$4:$E$3040='Analítico Cp.'!$B46),-('Diário 2º PA'!$Q$4:$Q$3040=I$1),('Diário 2º PA'!$F$4:$F$3040))+SUMPRODUCT(-('Diário 3º PA'!$E$4:$E$2731='Analítico Cp.'!$B46),-('Diário 3º PA'!$Q$4:$Q$2731=I$1),('Diário 3º PA'!$F$4:$F$2731))+SUMPRODUCT(-('Diário 4º PA'!$E$4:$E$2564='Analítico Cp.'!$B46),-('Diário 4º PA'!$Q$4:$Q$2564=I$1),('Diário 4º PA'!$F$4:$F$2564))+SUMPRODUCT(-('Comp.'!$D$5:$D$69='Analítico Cp.'!$B46),-('Comp.'!$K$5:$K$69=I$1),('Comp.'!$E$5:$E$69))</f>
        <v>35286.869999999995</v>
      </c>
      <c r="J46" s="298">
        <f>SUMPRODUCT(-('Diário 1º PA'!$E$4:$E$2635='Analítico Cp.'!$B46),-('Diário 1º PA'!$Q$4:$Q$2635=J$1),('Diário 1º PA'!$F$4:$F$2635))+SUMPRODUCT(-('Diário 2º PA'!$E$4:$E$3040='Analítico Cp.'!$B46),-('Diário 2º PA'!$Q$4:$Q$3040=J$1),('Diário 2º PA'!$F$4:$F$3040))+SUMPRODUCT(-('Diário 3º PA'!$E$4:$E$2731='Analítico Cp.'!$B46),-('Diário 3º PA'!$Q$4:$Q$2731=J$1),('Diário 3º PA'!$F$4:$F$2731))+SUMPRODUCT(-('Diário 4º PA'!$E$4:$E$2564='Analítico Cp.'!$B46),-('Diário 4º PA'!$Q$4:$Q$2564=J$1),('Diário 4º PA'!$F$4:$F$2564))+SUMPRODUCT(-('Comp.'!$D$5:$D$69='Analítico Cp.'!$B46),-('Comp.'!$K$5:$K$69=J$1),('Comp.'!$E$5:$E$69))</f>
        <v>31902.489999999998</v>
      </c>
      <c r="K46" s="298">
        <f>SUMPRODUCT(-('Diário 1º PA'!$E$4:$E$2635='Analítico Cp.'!$B46),-('Diário 1º PA'!$Q$4:$Q$2635=K$1),('Diário 1º PA'!$F$4:$F$2635))+SUMPRODUCT(-('Diário 2º PA'!$E$4:$E$3040='Analítico Cp.'!$B46),-('Diário 2º PA'!$Q$4:$Q$3040=K$1),('Diário 2º PA'!$F$4:$F$3040))+SUMPRODUCT(-('Diário 3º PA'!$E$4:$E$2731='Analítico Cp.'!$B46),-('Diário 3º PA'!$Q$4:$Q$2731=K$1),('Diário 3º PA'!$F$4:$F$2731))+SUMPRODUCT(-('Diário 4º PA'!$E$4:$E$2564='Analítico Cp.'!$B46),-('Diário 4º PA'!$Q$4:$Q$2564=K$1),('Diário 4º PA'!$F$4:$F$2564))+SUMPRODUCT(-('Comp.'!$D$5:$D$69='Analítico Cp.'!$B46),-('Comp.'!$K$5:$K$69=K$1),('Comp.'!$E$5:$E$69))</f>
        <v>43970.149999999994</v>
      </c>
      <c r="L46" s="298">
        <f>SUMPRODUCT(-('Diário 1º PA'!$E$4:$E$2635='Analítico Cp.'!$B46),-('Diário 1º PA'!$Q$4:$Q$2635=L$1),('Diário 1º PA'!$F$4:$F$2635))+SUMPRODUCT(-('Diário 2º PA'!$E$4:$E$3040='Analítico Cp.'!$B46),-('Diário 2º PA'!$Q$4:$Q$3040=L$1),('Diário 2º PA'!$F$4:$F$3040))+SUMPRODUCT(-('Diário 3º PA'!$E$4:$E$2731='Analítico Cp.'!$B46),-('Diário 3º PA'!$Q$4:$Q$2731=L$1),('Diário 3º PA'!$F$4:$F$2731))+SUMPRODUCT(-('Diário 4º PA'!$E$4:$E$2564='Analítico Cp.'!$B46),-('Diário 4º PA'!$Q$4:$Q$2564=L$1),('Diário 4º PA'!$F$4:$F$2564))+SUMPRODUCT(-('Comp.'!$D$5:$D$69='Analítico Cp.'!$B46),-('Comp.'!$K$5:$K$69=L$1),('Comp.'!$E$5:$E$69))</f>
        <v>32560.99</v>
      </c>
      <c r="M46" s="298">
        <f>SUMPRODUCT(-('Diário 1º PA'!$E$4:$E$2635='Analítico Cp.'!$B46),-('Diário 1º PA'!$Q$4:$Q$2635=M$1),('Diário 1º PA'!$F$4:$F$2635))+SUMPRODUCT(-('Diário 2º PA'!$E$4:$E$3040='Analítico Cp.'!$B46),-('Diário 2º PA'!$Q$4:$Q$3040=M$1),('Diário 2º PA'!$F$4:$F$3040))+SUMPRODUCT(-('Diário 3º PA'!$E$4:$E$2731='Analítico Cp.'!$B46),-('Diário 3º PA'!$Q$4:$Q$2731=M$1),('Diário 3º PA'!$F$4:$F$2731))+SUMPRODUCT(-('Diário 4º PA'!$E$4:$E$2564='Analítico Cp.'!$B46),-('Diário 4º PA'!$Q$4:$Q$2564=M$1),('Diário 4º PA'!$F$4:$F$2564))+SUMPRODUCT(-('Comp.'!$D$5:$D$69='Analítico Cp.'!$B46),-('Comp.'!$K$5:$K$69=M$1),('Comp.'!$E$5:$E$69))</f>
        <v>31853.940000000002</v>
      </c>
      <c r="N46" s="298">
        <f>SUMPRODUCT(-('Diário 1º PA'!$E$4:$E$2635='Analítico Cp.'!$B46),-('Diário 1º PA'!$Q$4:$Q$2635=N$1),('Diário 1º PA'!$F$4:$F$2635))+SUMPRODUCT(-('Diário 2º PA'!$E$4:$E$3040='Analítico Cp.'!$B46),-('Diário 2º PA'!$Q$4:$Q$3040=N$1),('Diário 2º PA'!$F$4:$F$3040))+SUMPRODUCT(-('Diário 3º PA'!$E$4:$E$2731='Analítico Cp.'!$B46),-('Diário 3º PA'!$Q$4:$Q$2731=N$1),('Diário 3º PA'!$F$4:$F$2731))+SUMPRODUCT(-('Diário 4º PA'!$E$4:$E$2564='Analítico Cp.'!$B46),-('Diário 4º PA'!$Q$4:$Q$2564=N$1),('Diário 4º PA'!$F$4:$F$2564))+SUMPRODUCT(-('Comp.'!$D$5:$D$69='Analítico Cp.'!$B46),-('Comp.'!$K$5:$K$69=N$1),('Comp.'!$E$5:$E$69))</f>
        <v>11906.33</v>
      </c>
      <c r="O46" s="13">
        <f t="shared" si="7"/>
        <v>367436.26</v>
      </c>
      <c r="P46" s="167">
        <f t="shared" si="8"/>
        <v>3.0022714826912277E-2</v>
      </c>
    </row>
    <row r="47" spans="1:16" ht="23.25" customHeight="1" x14ac:dyDescent="0.2">
      <c r="A47" s="62" t="s">
        <v>111</v>
      </c>
      <c r="B47" s="60" t="s">
        <v>325</v>
      </c>
      <c r="C47" s="298">
        <f>SUMPRODUCT(-('Diário 1º PA'!$E$4:$E$2635='Analítico Cp.'!$B47),-('Diário 1º PA'!$Q$4:$Q$2635=C$1),('Diário 1º PA'!$F$4:$F$2635))+SUMPRODUCT(-('Diário 2º PA'!$E$4:$E$3040='Analítico Cp.'!$B47),-('Diário 2º PA'!$Q$4:$Q$3040=C$1),('Diário 2º PA'!$F$4:$F$3040))+SUMPRODUCT(-('Diário 3º PA'!$E$4:$E$2731='Analítico Cp.'!$B47),-('Diário 3º PA'!$Q$4:$Q$2731=C$1),('Diário 3º PA'!$F$4:$F$2731))+SUMPRODUCT(-('Diário 4º PA'!$E$4:$E$2564='Analítico Cp.'!$B47),-('Diário 4º PA'!$Q$4:$Q$2564=C$1),('Diário 4º PA'!$F$4:$F$2564))+SUMPRODUCT(-('Comp.'!$D$5:$D$69='Analítico Cp.'!$B47),-('Comp.'!$K$5:$K$69=C$1),('Comp.'!$E$5:$E$69))</f>
        <v>19084.39</v>
      </c>
      <c r="D47" s="298">
        <f>SUMPRODUCT(-('Diário 1º PA'!$E$4:$E$2635='Analítico Cp.'!$B47),-('Diário 1º PA'!$Q$4:$Q$2635=D$1),('Diário 1º PA'!$F$4:$F$2635))+SUMPRODUCT(-('Diário 2º PA'!$E$4:$E$3040='Analítico Cp.'!$B47),-('Diário 2º PA'!$Q$4:$Q$3040=D$1),('Diário 2º PA'!$F$4:$F$3040))+SUMPRODUCT(-('Diário 3º PA'!$E$4:$E$2731='Analítico Cp.'!$B47),-('Diário 3º PA'!$Q$4:$Q$2731=D$1),('Diário 3º PA'!$F$4:$F$2731))+SUMPRODUCT(-('Diário 4º PA'!$E$4:$E$2564='Analítico Cp.'!$B47),-('Diário 4º PA'!$Q$4:$Q$2564=D$1),('Diário 4º PA'!$F$4:$F$2564))+SUMPRODUCT(-('Comp.'!$D$5:$D$69='Analítico Cp.'!$B47),-('Comp.'!$K$5:$K$69=D$1),('Comp.'!$E$5:$E$69))</f>
        <v>19613.91</v>
      </c>
      <c r="E47" s="298">
        <f>SUMPRODUCT(-('Diário 1º PA'!$E$4:$E$2635='Analítico Cp.'!$B47),-('Diário 1º PA'!$Q$4:$Q$2635=E$1),('Diário 1º PA'!$F$4:$F$2635))+SUMPRODUCT(-('Diário 2º PA'!$E$4:$E$3040='Analítico Cp.'!$B47),-('Diário 2º PA'!$Q$4:$Q$3040=E$1),('Diário 2º PA'!$F$4:$F$3040))+SUMPRODUCT(-('Diário 3º PA'!$E$4:$E$2731='Analítico Cp.'!$B47),-('Diário 3º PA'!$Q$4:$Q$2731=E$1),('Diário 3º PA'!$F$4:$F$2731))+SUMPRODUCT(-('Diário 4º PA'!$E$4:$E$2564='Analítico Cp.'!$B47),-('Diário 4º PA'!$Q$4:$Q$2564=E$1),('Diário 4º PA'!$F$4:$F$2564))+SUMPRODUCT(-('Comp.'!$D$5:$D$69='Analítico Cp.'!$B47),-('Comp.'!$K$5:$K$69=E$1),('Comp.'!$E$5:$E$69))</f>
        <v>21072.79</v>
      </c>
      <c r="F47" s="298">
        <f>SUMPRODUCT(-('Diário 1º PA'!$E$4:$E$2635='Analítico Cp.'!$B47),-('Diário 1º PA'!$Q$4:$Q$2635=F$1),('Diário 1º PA'!$F$4:$F$2635))+SUMPRODUCT(-('Diário 2º PA'!$E$4:$E$3040='Analítico Cp.'!$B47),-('Diário 2º PA'!$Q$4:$Q$3040=F$1),('Diário 2º PA'!$F$4:$F$3040))+SUMPRODUCT(-('Diário 3º PA'!$E$4:$E$2731='Analítico Cp.'!$B47),-('Diário 3º PA'!$Q$4:$Q$2731=F$1),('Diário 3º PA'!$F$4:$F$2731))+SUMPRODUCT(-('Diário 4º PA'!$E$4:$E$2564='Analítico Cp.'!$B47),-('Diário 4º PA'!$Q$4:$Q$2564=F$1),('Diário 4º PA'!$F$4:$F$2564))+SUMPRODUCT(-('Comp.'!$D$5:$D$69='Analítico Cp.'!$B47),-('Comp.'!$K$5:$K$69=F$1),('Comp.'!$E$5:$E$69))</f>
        <v>20749.670000000002</v>
      </c>
      <c r="G47" s="298">
        <f>SUMPRODUCT(-('Diário 1º PA'!$E$4:$E$2635='Analítico Cp.'!$B47),-('Diário 1º PA'!$Q$4:$Q$2635=G$1),('Diário 1º PA'!$F$4:$F$2635))+SUMPRODUCT(-('Diário 2º PA'!$E$4:$E$3040='Analítico Cp.'!$B47),-('Diário 2º PA'!$Q$4:$Q$3040=G$1),('Diário 2º PA'!$F$4:$F$3040))+SUMPRODUCT(-('Diário 3º PA'!$E$4:$E$2731='Analítico Cp.'!$B47),-('Diário 3º PA'!$Q$4:$Q$2731=G$1),('Diário 3º PA'!$F$4:$F$2731))+SUMPRODUCT(-('Diário 4º PA'!$E$4:$E$2564='Analítico Cp.'!$B47),-('Diário 4º PA'!$Q$4:$Q$2564=G$1),('Diário 4º PA'!$F$4:$F$2564))+SUMPRODUCT(-('Comp.'!$D$5:$D$69='Analítico Cp.'!$B47),-('Comp.'!$K$5:$K$69=G$1),('Comp.'!$E$5:$E$69))</f>
        <v>21322.120000000003</v>
      </c>
      <c r="H47" s="298">
        <f>SUMPRODUCT(-('Diário 1º PA'!$E$4:$E$2635='Analítico Cp.'!$B47),-('Diário 1º PA'!$Q$4:$Q$2635=H$1),('Diário 1º PA'!$F$4:$F$2635))+SUMPRODUCT(-('Diário 2º PA'!$E$4:$E$3040='Analítico Cp.'!$B47),-('Diário 2º PA'!$Q$4:$Q$3040=H$1),('Diário 2º PA'!$F$4:$F$3040))+SUMPRODUCT(-('Diário 3º PA'!$E$4:$E$2731='Analítico Cp.'!$B47),-('Diário 3º PA'!$Q$4:$Q$2731=H$1),('Diário 3º PA'!$F$4:$F$2731))+SUMPRODUCT(-('Diário 4º PA'!$E$4:$E$2564='Analítico Cp.'!$B47),-('Diário 4º PA'!$Q$4:$Q$2564=H$1),('Diário 4º PA'!$F$4:$F$2564))+SUMPRODUCT(-('Comp.'!$D$5:$D$69='Analítico Cp.'!$B47),-('Comp.'!$K$5:$K$69=H$1),('Comp.'!$E$5:$E$69))</f>
        <v>22979.119999999999</v>
      </c>
      <c r="I47" s="298">
        <f>SUMPRODUCT(-('Diário 1º PA'!$E$4:$E$2635='Analítico Cp.'!$B47),-('Diário 1º PA'!$Q$4:$Q$2635=I$1),('Diário 1º PA'!$F$4:$F$2635))+SUMPRODUCT(-('Diário 2º PA'!$E$4:$E$3040='Analítico Cp.'!$B47),-('Diário 2º PA'!$Q$4:$Q$3040=I$1),('Diário 2º PA'!$F$4:$F$3040))+SUMPRODUCT(-('Diário 3º PA'!$E$4:$E$2731='Analítico Cp.'!$B47),-('Diário 3º PA'!$Q$4:$Q$2731=I$1),('Diário 3º PA'!$F$4:$F$2731))+SUMPRODUCT(-('Diário 4º PA'!$E$4:$E$2564='Analítico Cp.'!$B47),-('Diário 4º PA'!$Q$4:$Q$2564=I$1),('Diário 4º PA'!$F$4:$F$2564))+SUMPRODUCT(-('Comp.'!$D$5:$D$69='Analítico Cp.'!$B47),-('Comp.'!$K$5:$K$69=I$1),('Comp.'!$E$5:$E$69))</f>
        <v>20333.580000000002</v>
      </c>
      <c r="J47" s="298">
        <f>SUMPRODUCT(-('Diário 1º PA'!$E$4:$E$2635='Analítico Cp.'!$B47),-('Diário 1º PA'!$Q$4:$Q$2635=J$1),('Diário 1º PA'!$F$4:$F$2635))+SUMPRODUCT(-('Diário 2º PA'!$E$4:$E$3040='Analítico Cp.'!$B47),-('Diário 2º PA'!$Q$4:$Q$3040=J$1),('Diário 2º PA'!$F$4:$F$3040))+SUMPRODUCT(-('Diário 3º PA'!$E$4:$E$2731='Analítico Cp.'!$B47),-('Diário 3º PA'!$Q$4:$Q$2731=J$1),('Diário 3º PA'!$F$4:$F$2731))+SUMPRODUCT(-('Diário 4º PA'!$E$4:$E$2564='Analítico Cp.'!$B47),-('Diário 4º PA'!$Q$4:$Q$2564=J$1),('Diário 4º PA'!$F$4:$F$2564))+SUMPRODUCT(-('Comp.'!$D$5:$D$69='Analítico Cp.'!$B47),-('Comp.'!$K$5:$K$69=J$1),('Comp.'!$E$5:$E$69))</f>
        <v>17167.89</v>
      </c>
      <c r="K47" s="298">
        <f>SUMPRODUCT(-('Diário 1º PA'!$E$4:$E$2635='Analítico Cp.'!$B47),-('Diário 1º PA'!$Q$4:$Q$2635=K$1),('Diário 1º PA'!$F$4:$F$2635))+SUMPRODUCT(-('Diário 2º PA'!$E$4:$E$3040='Analítico Cp.'!$B47),-('Diário 2º PA'!$Q$4:$Q$3040=K$1),('Diário 2º PA'!$F$4:$F$3040))+SUMPRODUCT(-('Diário 3º PA'!$E$4:$E$2731='Analítico Cp.'!$B47),-('Diário 3º PA'!$Q$4:$Q$2731=K$1),('Diário 3º PA'!$F$4:$F$2731))+SUMPRODUCT(-('Diário 4º PA'!$E$4:$E$2564='Analítico Cp.'!$B47),-('Diário 4º PA'!$Q$4:$Q$2564=K$1),('Diário 4º PA'!$F$4:$F$2564))+SUMPRODUCT(-('Comp.'!$D$5:$D$69='Analítico Cp.'!$B47),-('Comp.'!$K$5:$K$69=K$1),('Comp.'!$E$5:$E$69))</f>
        <v>27574.97</v>
      </c>
      <c r="L47" s="298">
        <f>SUMPRODUCT(-('Diário 1º PA'!$E$4:$E$2635='Analítico Cp.'!$B47),-('Diário 1º PA'!$Q$4:$Q$2635=L$1),('Diário 1º PA'!$F$4:$F$2635))+SUMPRODUCT(-('Diário 2º PA'!$E$4:$E$3040='Analítico Cp.'!$B47),-('Diário 2º PA'!$Q$4:$Q$3040=L$1),('Diário 2º PA'!$F$4:$F$3040))+SUMPRODUCT(-('Diário 3º PA'!$E$4:$E$2731='Analítico Cp.'!$B47),-('Diário 3º PA'!$Q$4:$Q$2731=L$1),('Diário 3º PA'!$F$4:$F$2731))+SUMPRODUCT(-('Diário 4º PA'!$E$4:$E$2564='Analítico Cp.'!$B47),-('Diário 4º PA'!$Q$4:$Q$2564=L$1),('Diário 4º PA'!$F$4:$F$2564))+SUMPRODUCT(-('Comp.'!$D$5:$D$69='Analítico Cp.'!$B47),-('Comp.'!$K$5:$K$69=L$1),('Comp.'!$E$5:$E$69))</f>
        <v>22862.99</v>
      </c>
      <c r="M47" s="298">
        <f>SUMPRODUCT(-('Diário 1º PA'!$E$4:$E$2635='Analítico Cp.'!$B47),-('Diário 1º PA'!$Q$4:$Q$2635=M$1),('Diário 1º PA'!$F$4:$F$2635))+SUMPRODUCT(-('Diário 2º PA'!$E$4:$E$3040='Analítico Cp.'!$B47),-('Diário 2º PA'!$Q$4:$Q$3040=M$1),('Diário 2º PA'!$F$4:$F$3040))+SUMPRODUCT(-('Diário 3º PA'!$E$4:$E$2731='Analítico Cp.'!$B47),-('Diário 3º PA'!$Q$4:$Q$2731=M$1),('Diário 3º PA'!$F$4:$F$2731))+SUMPRODUCT(-('Diário 4º PA'!$E$4:$E$2564='Analítico Cp.'!$B47),-('Diário 4º PA'!$Q$4:$Q$2564=M$1),('Diário 4º PA'!$F$4:$F$2564))+SUMPRODUCT(-('Comp.'!$D$5:$D$69='Analítico Cp.'!$B47),-('Comp.'!$K$5:$K$69=M$1),('Comp.'!$E$5:$E$69))</f>
        <v>22516.010000000002</v>
      </c>
      <c r="N47" s="298">
        <f>SUMPRODUCT(-('Diário 1º PA'!$E$4:$E$2635='Analítico Cp.'!$B47),-('Diário 1º PA'!$Q$4:$Q$2635=N$1),('Diário 1º PA'!$F$4:$F$2635))+SUMPRODUCT(-('Diário 2º PA'!$E$4:$E$3040='Analítico Cp.'!$B47),-('Diário 2º PA'!$Q$4:$Q$3040=N$1),('Diário 2º PA'!$F$4:$F$3040))+SUMPRODUCT(-('Diário 3º PA'!$E$4:$E$2731='Analítico Cp.'!$B47),-('Diário 3º PA'!$Q$4:$Q$2731=N$1),('Diário 3º PA'!$F$4:$F$2731))+SUMPRODUCT(-('Diário 4º PA'!$E$4:$E$2564='Analítico Cp.'!$B47),-('Diário 4º PA'!$Q$4:$Q$2564=N$1),('Diário 4º PA'!$F$4:$F$2564))+SUMPRODUCT(-('Comp.'!$D$5:$D$69='Analítico Cp.'!$B47),-('Comp.'!$K$5:$K$69=N$1),('Comp.'!$E$5:$E$69))</f>
        <v>28718.199999999997</v>
      </c>
      <c r="O47" s="13">
        <f t="shared" si="7"/>
        <v>263995.64</v>
      </c>
      <c r="P47" s="167">
        <f t="shared" si="8"/>
        <v>2.157072308342186E-2</v>
      </c>
    </row>
    <row r="48" spans="1:16" ht="23.25" customHeight="1" x14ac:dyDescent="0.2">
      <c r="A48" s="62" t="s">
        <v>112</v>
      </c>
      <c r="B48" s="60" t="s">
        <v>8</v>
      </c>
      <c r="C48" s="298">
        <f>SUMPRODUCT(-('Diário 1º PA'!$E$4:$E$2635='Analítico Cp.'!$B48),-('Diário 1º PA'!$Q$4:$Q$2635=C$1),('Diário 1º PA'!$F$4:$F$2635))+SUMPRODUCT(-('Diário 2º PA'!$E$4:$E$3040='Analítico Cp.'!$B48),-('Diário 2º PA'!$Q$4:$Q$3040=C$1),('Diário 2º PA'!$F$4:$F$3040))+SUMPRODUCT(-('Diário 3º PA'!$E$4:$E$2731='Analítico Cp.'!$B48),-('Diário 3º PA'!$Q$4:$Q$2731=C$1),('Diário 3º PA'!$F$4:$F$2731))+SUMPRODUCT(-('Diário 4º PA'!$E$4:$E$2564='Analítico Cp.'!$B48),-('Diário 4º PA'!$Q$4:$Q$2564=C$1),('Diário 4º PA'!$F$4:$F$2564))+SUMPRODUCT(-('Comp.'!$D$5:$D$69='Analítico Cp.'!$B48),-('Comp.'!$K$5:$K$69=C$1),('Comp.'!$E$5:$E$69))</f>
        <v>1368.7900000000002</v>
      </c>
      <c r="D48" s="298">
        <f>SUMPRODUCT(-('Diário 1º PA'!$E$4:$E$2635='Analítico Cp.'!$B48),-('Diário 1º PA'!$Q$4:$Q$2635=D$1),('Diário 1º PA'!$F$4:$F$2635))+SUMPRODUCT(-('Diário 2º PA'!$E$4:$E$3040='Analítico Cp.'!$B48),-('Diário 2º PA'!$Q$4:$Q$3040=D$1),('Diário 2º PA'!$F$4:$F$3040))+SUMPRODUCT(-('Diário 3º PA'!$E$4:$E$2731='Analítico Cp.'!$B48),-('Diário 3º PA'!$Q$4:$Q$2731=D$1),('Diário 3º PA'!$F$4:$F$2731))+SUMPRODUCT(-('Diário 4º PA'!$E$4:$E$2564='Analítico Cp.'!$B48),-('Diário 4º PA'!$Q$4:$Q$2564=D$1),('Diário 4º PA'!$F$4:$F$2564))+SUMPRODUCT(-('Comp.'!$D$5:$D$69='Analítico Cp.'!$B48),-('Comp.'!$K$5:$K$69=D$1),('Comp.'!$E$5:$E$69))</f>
        <v>1368.7900000000002</v>
      </c>
      <c r="E48" s="298">
        <f>SUMPRODUCT(-('Diário 1º PA'!$E$4:$E$2635='Analítico Cp.'!$B48),-('Diário 1º PA'!$Q$4:$Q$2635=E$1),('Diário 1º PA'!$F$4:$F$2635))+SUMPRODUCT(-('Diário 2º PA'!$E$4:$E$3040='Analítico Cp.'!$B48),-('Diário 2º PA'!$Q$4:$Q$3040=E$1),('Diário 2º PA'!$F$4:$F$3040))+SUMPRODUCT(-('Diário 3º PA'!$E$4:$E$2731='Analítico Cp.'!$B48),-('Diário 3º PA'!$Q$4:$Q$2731=E$1),('Diário 3º PA'!$F$4:$F$2731))+SUMPRODUCT(-('Diário 4º PA'!$E$4:$E$2564='Analítico Cp.'!$B48),-('Diário 4º PA'!$Q$4:$Q$2564=E$1),('Diário 4º PA'!$F$4:$F$2564))+SUMPRODUCT(-('Comp.'!$D$5:$D$69='Analítico Cp.'!$B48),-('Comp.'!$K$5:$K$69=E$1),('Comp.'!$E$5:$E$69))</f>
        <v>1391.99</v>
      </c>
      <c r="F48" s="298">
        <f>SUMPRODUCT(-('Diário 1º PA'!$E$4:$E$2635='Analítico Cp.'!$B48),-('Diário 1º PA'!$Q$4:$Q$2635=F$1),('Diário 1º PA'!$F$4:$F$2635))+SUMPRODUCT(-('Diário 2º PA'!$E$4:$E$3040='Analítico Cp.'!$B48),-('Diário 2º PA'!$Q$4:$Q$3040=F$1),('Diário 2º PA'!$F$4:$F$3040))+SUMPRODUCT(-('Diário 3º PA'!$E$4:$E$2731='Analítico Cp.'!$B48),-('Diário 3º PA'!$Q$4:$Q$2731=F$1),('Diário 3º PA'!$F$4:$F$2731))+SUMPRODUCT(-('Diário 4º PA'!$E$4:$E$2564='Analítico Cp.'!$B48),-('Diário 4º PA'!$Q$4:$Q$2564=F$1),('Diário 4º PA'!$F$4:$F$2564))+SUMPRODUCT(-('Comp.'!$D$5:$D$69='Analítico Cp.'!$B48),-('Comp.'!$K$5:$K$69=F$1),('Comp.'!$E$5:$E$69))</f>
        <v>1438.39</v>
      </c>
      <c r="G48" s="298">
        <f>SUMPRODUCT(-('Diário 1º PA'!$E$4:$E$2635='Analítico Cp.'!$B48),-('Diário 1º PA'!$Q$4:$Q$2635=G$1),('Diário 1º PA'!$F$4:$F$2635))+SUMPRODUCT(-('Diário 2º PA'!$E$4:$E$3040='Analítico Cp.'!$B48),-('Diário 2º PA'!$Q$4:$Q$3040=G$1),('Diário 2º PA'!$F$4:$F$3040))+SUMPRODUCT(-('Diário 3º PA'!$E$4:$E$2731='Analítico Cp.'!$B48),-('Diário 3º PA'!$Q$4:$Q$2731=G$1),('Diário 3º PA'!$F$4:$F$2731))+SUMPRODUCT(-('Diário 4º PA'!$E$4:$E$2564='Analítico Cp.'!$B48),-('Diário 4º PA'!$Q$4:$Q$2564=G$1),('Diário 4º PA'!$F$4:$F$2564))+SUMPRODUCT(-('Comp.'!$D$5:$D$69='Analítico Cp.'!$B48),-('Comp.'!$K$5:$K$69=G$1),('Comp.'!$E$5:$E$69))</f>
        <v>1438.39</v>
      </c>
      <c r="H48" s="298">
        <f>SUMPRODUCT(-('Diário 1º PA'!$E$4:$E$2635='Analítico Cp.'!$B48),-('Diário 1º PA'!$Q$4:$Q$2635=H$1),('Diário 1º PA'!$F$4:$F$2635))+SUMPRODUCT(-('Diário 2º PA'!$E$4:$E$3040='Analítico Cp.'!$B48),-('Diário 2º PA'!$Q$4:$Q$3040=H$1),('Diário 2º PA'!$F$4:$F$3040))+SUMPRODUCT(-('Diário 3º PA'!$E$4:$E$2731='Analítico Cp.'!$B48),-('Diário 3º PA'!$Q$4:$Q$2731=H$1),('Diário 3º PA'!$F$4:$F$2731))+SUMPRODUCT(-('Diário 4º PA'!$E$4:$E$2564='Analítico Cp.'!$B48),-('Diário 4º PA'!$Q$4:$Q$2564=H$1),('Diário 4º PA'!$F$4:$F$2564))+SUMPRODUCT(-('Comp.'!$D$5:$D$69='Analítico Cp.'!$B48),-('Comp.'!$K$5:$K$69=H$1),('Comp.'!$E$5:$E$69))</f>
        <v>1415.19</v>
      </c>
      <c r="I48" s="298">
        <f>SUMPRODUCT(-('Diário 1º PA'!$E$4:$E$2635='Analítico Cp.'!$B48),-('Diário 1º PA'!$Q$4:$Q$2635=I$1),('Diário 1º PA'!$F$4:$F$2635))+SUMPRODUCT(-('Diário 2º PA'!$E$4:$E$3040='Analítico Cp.'!$B48),-('Diário 2º PA'!$Q$4:$Q$3040=I$1),('Diário 2º PA'!$F$4:$F$3040))+SUMPRODUCT(-('Diário 3º PA'!$E$4:$E$2731='Analítico Cp.'!$B48),-('Diário 3º PA'!$Q$4:$Q$2731=I$1),('Diário 3º PA'!$F$4:$F$2731))+SUMPRODUCT(-('Diário 4º PA'!$E$4:$E$2564='Analítico Cp.'!$B48),-('Diário 4º PA'!$Q$4:$Q$2564=I$1),('Diário 4º PA'!$F$4:$F$2564))+SUMPRODUCT(-('Comp.'!$D$5:$D$69='Analítico Cp.'!$B48),-('Comp.'!$K$5:$K$69=I$1),('Comp.'!$E$5:$E$69))</f>
        <v>1300.6199999999999</v>
      </c>
      <c r="J48" s="298">
        <f>SUMPRODUCT(-('Diário 1º PA'!$E$4:$E$2635='Analítico Cp.'!$B48),-('Diário 1º PA'!$Q$4:$Q$2635=J$1),('Diário 1º PA'!$F$4:$F$2635))+SUMPRODUCT(-('Diário 2º PA'!$E$4:$E$3040='Analítico Cp.'!$B48),-('Diário 2º PA'!$Q$4:$Q$3040=J$1),('Diário 2º PA'!$F$4:$F$3040))+SUMPRODUCT(-('Diário 3º PA'!$E$4:$E$2731='Analítico Cp.'!$B48),-('Diário 3º PA'!$Q$4:$Q$2731=J$1),('Diário 3º PA'!$F$4:$F$2731))+SUMPRODUCT(-('Diário 4º PA'!$E$4:$E$2564='Analítico Cp.'!$B48),-('Diário 4º PA'!$Q$4:$Q$2564=J$1),('Diário 4º PA'!$F$4:$F$2564))+SUMPRODUCT(-('Comp.'!$D$5:$D$69='Analítico Cp.'!$B48),-('Comp.'!$K$5:$K$69=J$1),('Comp.'!$E$5:$E$69))</f>
        <v>1892.24</v>
      </c>
      <c r="K48" s="298">
        <f>SUMPRODUCT(-('Diário 1º PA'!$E$4:$E$2635='Analítico Cp.'!$B48),-('Diário 1º PA'!$Q$4:$Q$2635=K$1),('Diário 1º PA'!$F$4:$F$2635))+SUMPRODUCT(-('Diário 2º PA'!$E$4:$E$3040='Analítico Cp.'!$B48),-('Diário 2º PA'!$Q$4:$Q$3040=K$1),('Diário 2º PA'!$F$4:$F$3040))+SUMPRODUCT(-('Diário 3º PA'!$E$4:$E$2731='Analítico Cp.'!$B48),-('Diário 3º PA'!$Q$4:$Q$2731=K$1),('Diário 3º PA'!$F$4:$F$2731))+SUMPRODUCT(-('Diário 4º PA'!$E$4:$E$2564='Analítico Cp.'!$B48),-('Diário 4º PA'!$Q$4:$Q$2564=K$1),('Diário 4º PA'!$F$4:$F$2564))+SUMPRODUCT(-('Comp.'!$D$5:$D$69='Analítico Cp.'!$B48),-('Comp.'!$K$5:$K$69=K$1),('Comp.'!$E$5:$E$69))</f>
        <v>1658.95</v>
      </c>
      <c r="L48" s="298">
        <f>SUMPRODUCT(-('Diário 1º PA'!$E$4:$E$2635='Analítico Cp.'!$B48),-('Diário 1º PA'!$Q$4:$Q$2635=L$1),('Diário 1º PA'!$F$4:$F$2635))+SUMPRODUCT(-('Diário 2º PA'!$E$4:$E$3040='Analítico Cp.'!$B48),-('Diário 2º PA'!$Q$4:$Q$3040=L$1),('Diário 2º PA'!$F$4:$F$3040))+SUMPRODUCT(-('Diário 3º PA'!$E$4:$E$2731='Analítico Cp.'!$B48),-('Diário 3º PA'!$Q$4:$Q$2731=L$1),('Diário 3º PA'!$F$4:$F$2731))+SUMPRODUCT(-('Diário 4º PA'!$E$4:$E$2564='Analítico Cp.'!$B48),-('Diário 4º PA'!$Q$4:$Q$2564=L$1),('Diário 4º PA'!$F$4:$F$2564))+SUMPRODUCT(-('Comp.'!$D$5:$D$69='Analítico Cp.'!$B48),-('Comp.'!$K$5:$K$69=L$1),('Comp.'!$E$5:$E$69))</f>
        <v>1658.95</v>
      </c>
      <c r="M48" s="298">
        <f>SUMPRODUCT(-('Diário 1º PA'!$E$4:$E$2635='Analítico Cp.'!$B48),-('Diário 1º PA'!$Q$4:$Q$2635=M$1),('Diário 1º PA'!$F$4:$F$2635))+SUMPRODUCT(-('Diário 2º PA'!$E$4:$E$3040='Analítico Cp.'!$B48),-('Diário 2º PA'!$Q$4:$Q$3040=M$1),('Diário 2º PA'!$F$4:$F$3040))+SUMPRODUCT(-('Diário 3º PA'!$E$4:$E$2731='Analítico Cp.'!$B48),-('Diário 3º PA'!$Q$4:$Q$2731=M$1),('Diário 3º PA'!$F$4:$F$2731))+SUMPRODUCT(-('Diário 4º PA'!$E$4:$E$2564='Analítico Cp.'!$B48),-('Diário 4º PA'!$Q$4:$Q$2564=M$1),('Diário 4º PA'!$F$4:$F$2564))+SUMPRODUCT(-('Comp.'!$D$5:$D$69='Analítico Cp.'!$B48),-('Comp.'!$K$5:$K$69=M$1),('Comp.'!$E$5:$E$69))</f>
        <v>1633.03</v>
      </c>
      <c r="N48" s="298">
        <f>SUMPRODUCT(-('Diário 1º PA'!$E$4:$E$2635='Analítico Cp.'!$B48),-('Diário 1º PA'!$Q$4:$Q$2635=N$1),('Diário 1º PA'!$F$4:$F$2635))+SUMPRODUCT(-('Diário 2º PA'!$E$4:$E$3040='Analítico Cp.'!$B48),-('Diário 2º PA'!$Q$4:$Q$3040=N$1),('Diário 2º PA'!$F$4:$F$3040))+SUMPRODUCT(-('Diário 3º PA'!$E$4:$E$2731='Analítico Cp.'!$B48),-('Diário 3º PA'!$Q$4:$Q$2731=N$1),('Diário 3º PA'!$F$4:$F$2731))+SUMPRODUCT(-('Diário 4º PA'!$E$4:$E$2564='Analítico Cp.'!$B48),-('Diário 4º PA'!$Q$4:$Q$2564=N$1),('Diário 4º PA'!$F$4:$F$2564))+SUMPRODUCT(-('Comp.'!$D$5:$D$69='Analítico Cp.'!$B48),-('Comp.'!$K$5:$K$69=N$1),('Comp.'!$E$5:$E$69))</f>
        <v>1658.88</v>
      </c>
      <c r="O48" s="13">
        <f t="shared" si="7"/>
        <v>18224.210000000003</v>
      </c>
      <c r="P48" s="167">
        <f t="shared" si="8"/>
        <v>1.4890753018653169E-3</v>
      </c>
    </row>
    <row r="49" spans="1:16" ht="23.25" customHeight="1" x14ac:dyDescent="0.2">
      <c r="A49" s="62" t="s">
        <v>113</v>
      </c>
      <c r="B49" s="60" t="s">
        <v>57</v>
      </c>
      <c r="C49" s="298">
        <f>SUMPRODUCT(-('Diário 1º PA'!$E$4:$E$2635='Analítico Cp.'!$B49),-('Diário 1º PA'!$Q$4:$Q$2635=C$1),('Diário 1º PA'!$F$4:$F$2635))+SUMPRODUCT(-('Diário 2º PA'!$E$4:$E$3040='Analítico Cp.'!$B49),-('Diário 2º PA'!$Q$4:$Q$3040=C$1),('Diário 2º PA'!$F$4:$F$3040))+SUMPRODUCT(-('Diário 3º PA'!$E$4:$E$2731='Analítico Cp.'!$B49),-('Diário 3º PA'!$Q$4:$Q$2731=C$1),('Diário 3º PA'!$F$4:$F$2731))+SUMPRODUCT(-('Diário 4º PA'!$E$4:$E$2564='Analítico Cp.'!$B49),-('Diário 4º PA'!$Q$4:$Q$2564=C$1),('Diário 4º PA'!$F$4:$F$2564))+SUMPRODUCT(-('Comp.'!$D$5:$D$69='Analítico Cp.'!$B49),-('Comp.'!$K$5:$K$69=C$1),('Comp.'!$E$5:$E$69))</f>
        <v>0</v>
      </c>
      <c r="D49" s="298">
        <f>SUMPRODUCT(-('Diário 1º PA'!$E$4:$E$2635='Analítico Cp.'!$B49),-('Diário 1º PA'!$Q$4:$Q$2635=D$1),('Diário 1º PA'!$F$4:$F$2635))+SUMPRODUCT(-('Diário 2º PA'!$E$4:$E$3040='Analítico Cp.'!$B49),-('Diário 2º PA'!$Q$4:$Q$3040=D$1),('Diário 2º PA'!$F$4:$F$3040))+SUMPRODUCT(-('Diário 3º PA'!$E$4:$E$2731='Analítico Cp.'!$B49),-('Diário 3º PA'!$Q$4:$Q$2731=D$1),('Diário 3º PA'!$F$4:$F$2731))+SUMPRODUCT(-('Diário 4º PA'!$E$4:$E$2564='Analítico Cp.'!$B49),-('Diário 4º PA'!$Q$4:$Q$2564=D$1),('Diário 4º PA'!$F$4:$F$2564))+SUMPRODUCT(-('Comp.'!$D$5:$D$69='Analítico Cp.'!$B49),-('Comp.'!$K$5:$K$69=D$1),('Comp.'!$E$5:$E$69))</f>
        <v>0</v>
      </c>
      <c r="E49" s="298">
        <f>SUMPRODUCT(-('Diário 1º PA'!$E$4:$E$2635='Analítico Cp.'!$B49),-('Diário 1º PA'!$Q$4:$Q$2635=E$1),('Diário 1º PA'!$F$4:$F$2635))+SUMPRODUCT(-('Diário 2º PA'!$E$4:$E$3040='Analítico Cp.'!$B49),-('Diário 2º PA'!$Q$4:$Q$3040=E$1),('Diário 2º PA'!$F$4:$F$3040))+SUMPRODUCT(-('Diário 3º PA'!$E$4:$E$2731='Analítico Cp.'!$B49),-('Diário 3º PA'!$Q$4:$Q$2731=E$1),('Diário 3º PA'!$F$4:$F$2731))+SUMPRODUCT(-('Diário 4º PA'!$E$4:$E$2564='Analítico Cp.'!$B49),-('Diário 4º PA'!$Q$4:$Q$2564=E$1),('Diário 4º PA'!$F$4:$F$2564))+SUMPRODUCT(-('Comp.'!$D$5:$D$69='Analítico Cp.'!$B49),-('Comp.'!$K$5:$K$69=E$1),('Comp.'!$E$5:$E$69))</f>
        <v>0</v>
      </c>
      <c r="F49" s="298">
        <f>SUMPRODUCT(-('Diário 1º PA'!$E$4:$E$2635='Analítico Cp.'!$B49),-('Diário 1º PA'!$Q$4:$Q$2635=F$1),('Diário 1º PA'!$F$4:$F$2635))+SUMPRODUCT(-('Diário 2º PA'!$E$4:$E$3040='Analítico Cp.'!$B49),-('Diário 2º PA'!$Q$4:$Q$3040=F$1),('Diário 2º PA'!$F$4:$F$3040))+SUMPRODUCT(-('Diário 3º PA'!$E$4:$E$2731='Analítico Cp.'!$B49),-('Diário 3º PA'!$Q$4:$Q$2731=F$1),('Diário 3º PA'!$F$4:$F$2731))+SUMPRODUCT(-('Diário 4º PA'!$E$4:$E$2564='Analítico Cp.'!$B49),-('Diário 4º PA'!$Q$4:$Q$2564=F$1),('Diário 4º PA'!$F$4:$F$2564))+SUMPRODUCT(-('Comp.'!$D$5:$D$69='Analítico Cp.'!$B49),-('Comp.'!$K$5:$K$69=F$1),('Comp.'!$E$5:$E$69))</f>
        <v>0</v>
      </c>
      <c r="G49" s="298">
        <f>SUMPRODUCT(-('Diário 1º PA'!$E$4:$E$2635='Analítico Cp.'!$B49),-('Diário 1º PA'!$Q$4:$Q$2635=G$1),('Diário 1º PA'!$F$4:$F$2635))+SUMPRODUCT(-('Diário 2º PA'!$E$4:$E$3040='Analítico Cp.'!$B49),-('Diário 2º PA'!$Q$4:$Q$3040=G$1),('Diário 2º PA'!$F$4:$F$3040))+SUMPRODUCT(-('Diário 3º PA'!$E$4:$E$2731='Analítico Cp.'!$B49),-('Diário 3º PA'!$Q$4:$Q$2731=G$1),('Diário 3º PA'!$F$4:$F$2731))+SUMPRODUCT(-('Diário 4º PA'!$E$4:$E$2564='Analítico Cp.'!$B49),-('Diário 4º PA'!$Q$4:$Q$2564=G$1),('Diário 4º PA'!$F$4:$F$2564))+SUMPRODUCT(-('Comp.'!$D$5:$D$69='Analítico Cp.'!$B49),-('Comp.'!$K$5:$K$69=G$1),('Comp.'!$E$5:$E$69))</f>
        <v>0</v>
      </c>
      <c r="H49" s="298">
        <f>SUMPRODUCT(-('Diário 1º PA'!$E$4:$E$2635='Analítico Cp.'!$B49),-('Diário 1º PA'!$Q$4:$Q$2635=H$1),('Diário 1º PA'!$F$4:$F$2635))+SUMPRODUCT(-('Diário 2º PA'!$E$4:$E$3040='Analítico Cp.'!$B49),-('Diário 2º PA'!$Q$4:$Q$3040=H$1),('Diário 2º PA'!$F$4:$F$3040))+SUMPRODUCT(-('Diário 3º PA'!$E$4:$E$2731='Analítico Cp.'!$B49),-('Diário 3º PA'!$Q$4:$Q$2731=H$1),('Diário 3º PA'!$F$4:$F$2731))+SUMPRODUCT(-('Diário 4º PA'!$E$4:$E$2564='Analítico Cp.'!$B49),-('Diário 4º PA'!$Q$4:$Q$2564=H$1),('Diário 4º PA'!$F$4:$F$2564))+SUMPRODUCT(-('Comp.'!$D$5:$D$69='Analítico Cp.'!$B49),-('Comp.'!$K$5:$K$69=H$1),('Comp.'!$E$5:$E$69))</f>
        <v>0</v>
      </c>
      <c r="I49" s="298">
        <f>SUMPRODUCT(-('Diário 1º PA'!$E$4:$E$2635='Analítico Cp.'!$B49),-('Diário 1º PA'!$Q$4:$Q$2635=I$1),('Diário 1º PA'!$F$4:$F$2635))+SUMPRODUCT(-('Diário 2º PA'!$E$4:$E$3040='Analítico Cp.'!$B49),-('Diário 2º PA'!$Q$4:$Q$3040=I$1),('Diário 2º PA'!$F$4:$F$3040))+SUMPRODUCT(-('Diário 3º PA'!$E$4:$E$2731='Analítico Cp.'!$B49),-('Diário 3º PA'!$Q$4:$Q$2731=I$1),('Diário 3º PA'!$F$4:$F$2731))+SUMPRODUCT(-('Diário 4º PA'!$E$4:$E$2564='Analítico Cp.'!$B49),-('Diário 4º PA'!$Q$4:$Q$2564=I$1),('Diário 4º PA'!$F$4:$F$2564))+SUMPRODUCT(-('Comp.'!$D$5:$D$69='Analítico Cp.'!$B49),-('Comp.'!$K$5:$K$69=I$1),('Comp.'!$E$5:$E$69))</f>
        <v>0</v>
      </c>
      <c r="J49" s="298">
        <f>SUMPRODUCT(-('Diário 1º PA'!$E$4:$E$2635='Analítico Cp.'!$B49),-('Diário 1º PA'!$Q$4:$Q$2635=J$1),('Diário 1º PA'!$F$4:$F$2635))+SUMPRODUCT(-('Diário 2º PA'!$E$4:$E$3040='Analítico Cp.'!$B49),-('Diário 2º PA'!$Q$4:$Q$3040=J$1),('Diário 2º PA'!$F$4:$F$3040))+SUMPRODUCT(-('Diário 3º PA'!$E$4:$E$2731='Analítico Cp.'!$B49),-('Diário 3º PA'!$Q$4:$Q$2731=J$1),('Diário 3º PA'!$F$4:$F$2731))+SUMPRODUCT(-('Diário 4º PA'!$E$4:$E$2564='Analítico Cp.'!$B49),-('Diário 4º PA'!$Q$4:$Q$2564=J$1),('Diário 4º PA'!$F$4:$F$2564))+SUMPRODUCT(-('Comp.'!$D$5:$D$69='Analítico Cp.'!$B49),-('Comp.'!$K$5:$K$69=J$1),('Comp.'!$E$5:$E$69))</f>
        <v>0</v>
      </c>
      <c r="K49" s="298">
        <f>SUMPRODUCT(-('Diário 1º PA'!$E$4:$E$2635='Analítico Cp.'!$B49),-('Diário 1º PA'!$Q$4:$Q$2635=K$1),('Diário 1º PA'!$F$4:$F$2635))+SUMPRODUCT(-('Diário 2º PA'!$E$4:$E$3040='Analítico Cp.'!$B49),-('Diário 2º PA'!$Q$4:$Q$3040=K$1),('Diário 2º PA'!$F$4:$F$3040))+SUMPRODUCT(-('Diário 3º PA'!$E$4:$E$2731='Analítico Cp.'!$B49),-('Diário 3º PA'!$Q$4:$Q$2731=K$1),('Diário 3º PA'!$F$4:$F$2731))+SUMPRODUCT(-('Diário 4º PA'!$E$4:$E$2564='Analítico Cp.'!$B49),-('Diário 4º PA'!$Q$4:$Q$2564=K$1),('Diário 4º PA'!$F$4:$F$2564))+SUMPRODUCT(-('Comp.'!$D$5:$D$69='Analítico Cp.'!$B49),-('Comp.'!$K$5:$K$69=K$1),('Comp.'!$E$5:$E$69))</f>
        <v>0</v>
      </c>
      <c r="L49" s="298">
        <f>SUMPRODUCT(-('Diário 1º PA'!$E$4:$E$2635='Analítico Cp.'!$B49),-('Diário 1º PA'!$Q$4:$Q$2635=L$1),('Diário 1º PA'!$F$4:$F$2635))+SUMPRODUCT(-('Diário 2º PA'!$E$4:$E$3040='Analítico Cp.'!$B49),-('Diário 2º PA'!$Q$4:$Q$3040=L$1),('Diário 2º PA'!$F$4:$F$3040))+SUMPRODUCT(-('Diário 3º PA'!$E$4:$E$2731='Analítico Cp.'!$B49),-('Diário 3º PA'!$Q$4:$Q$2731=L$1),('Diário 3º PA'!$F$4:$F$2731))+SUMPRODUCT(-('Diário 4º PA'!$E$4:$E$2564='Analítico Cp.'!$B49),-('Diário 4º PA'!$Q$4:$Q$2564=L$1),('Diário 4º PA'!$F$4:$F$2564))+SUMPRODUCT(-('Comp.'!$D$5:$D$69='Analítico Cp.'!$B49),-('Comp.'!$K$5:$K$69=L$1),('Comp.'!$E$5:$E$69))</f>
        <v>0</v>
      </c>
      <c r="M49" s="298">
        <f>SUMPRODUCT(-('Diário 1º PA'!$E$4:$E$2635='Analítico Cp.'!$B49),-('Diário 1º PA'!$Q$4:$Q$2635=M$1),('Diário 1º PA'!$F$4:$F$2635))+SUMPRODUCT(-('Diário 2º PA'!$E$4:$E$3040='Analítico Cp.'!$B49),-('Diário 2º PA'!$Q$4:$Q$3040=M$1),('Diário 2º PA'!$F$4:$F$3040))+SUMPRODUCT(-('Diário 3º PA'!$E$4:$E$2731='Analítico Cp.'!$B49),-('Diário 3º PA'!$Q$4:$Q$2731=M$1),('Diário 3º PA'!$F$4:$F$2731))+SUMPRODUCT(-('Diário 4º PA'!$E$4:$E$2564='Analítico Cp.'!$B49),-('Diário 4º PA'!$Q$4:$Q$2564=M$1),('Diário 4º PA'!$F$4:$F$2564))+SUMPRODUCT(-('Comp.'!$D$5:$D$69='Analítico Cp.'!$B49),-('Comp.'!$K$5:$K$69=M$1),('Comp.'!$E$5:$E$69))</f>
        <v>0</v>
      </c>
      <c r="N49" s="298">
        <f>SUMPRODUCT(-('Diário 1º PA'!$E$4:$E$2635='Analítico Cp.'!$B49),-('Diário 1º PA'!$Q$4:$Q$2635=N$1),('Diário 1º PA'!$F$4:$F$2635))+SUMPRODUCT(-('Diário 2º PA'!$E$4:$E$3040='Analítico Cp.'!$B49),-('Diário 2º PA'!$Q$4:$Q$3040=N$1),('Diário 2º PA'!$F$4:$F$3040))+SUMPRODUCT(-('Diário 3º PA'!$E$4:$E$2731='Analítico Cp.'!$B49),-('Diário 3º PA'!$Q$4:$Q$2731=N$1),('Diário 3º PA'!$F$4:$F$2731))+SUMPRODUCT(-('Diário 4º PA'!$E$4:$E$2564='Analítico Cp.'!$B49),-('Diário 4º PA'!$Q$4:$Q$2564=N$1),('Diário 4º PA'!$F$4:$F$2564))+SUMPRODUCT(-('Comp.'!$D$5:$D$69='Analítico Cp.'!$B49),-('Comp.'!$K$5:$K$69=N$1),('Comp.'!$E$5:$E$69))</f>
        <v>0</v>
      </c>
      <c r="O49" s="13">
        <f t="shared" si="7"/>
        <v>0</v>
      </c>
      <c r="P49" s="167">
        <f t="shared" si="8"/>
        <v>0</v>
      </c>
    </row>
    <row r="50" spans="1:16" ht="23.25" customHeight="1" x14ac:dyDescent="0.2">
      <c r="A50" s="62" t="s">
        <v>170</v>
      </c>
      <c r="B50" s="60" t="s">
        <v>58</v>
      </c>
      <c r="C50" s="298">
        <f>SUMPRODUCT(-('Diário 1º PA'!$E$4:$E$2635='Analítico Cp.'!$B50),-('Diário 1º PA'!$Q$4:$Q$2635=C$1),('Diário 1º PA'!$F$4:$F$2635))+SUMPRODUCT(-('Diário 2º PA'!$E$4:$E$3040='Analítico Cp.'!$B50),-('Diário 2º PA'!$Q$4:$Q$3040=C$1),('Diário 2º PA'!$F$4:$F$3040))+SUMPRODUCT(-('Diário 3º PA'!$E$4:$E$2731='Analítico Cp.'!$B50),-('Diário 3º PA'!$Q$4:$Q$2731=C$1),('Diário 3º PA'!$F$4:$F$2731))+SUMPRODUCT(-('Diário 4º PA'!$E$4:$E$2564='Analítico Cp.'!$B50),-('Diário 4º PA'!$Q$4:$Q$2564=C$1),('Diário 4º PA'!$F$4:$F$2564))+SUMPRODUCT(-('Comp.'!$D$5:$D$69='Analítico Cp.'!$B50),-('Comp.'!$K$5:$K$69=C$1),('Comp.'!$E$5:$E$69))</f>
        <v>0</v>
      </c>
      <c r="D50" s="298">
        <f>SUMPRODUCT(-('Diário 1º PA'!$E$4:$E$2635='Analítico Cp.'!$B50),-('Diário 1º PA'!$Q$4:$Q$2635=D$1),('Diário 1º PA'!$F$4:$F$2635))+SUMPRODUCT(-('Diário 2º PA'!$E$4:$E$3040='Analítico Cp.'!$B50),-('Diário 2º PA'!$Q$4:$Q$3040=D$1),('Diário 2º PA'!$F$4:$F$3040))+SUMPRODUCT(-('Diário 3º PA'!$E$4:$E$2731='Analítico Cp.'!$B50),-('Diário 3º PA'!$Q$4:$Q$2731=D$1),('Diário 3º PA'!$F$4:$F$2731))+SUMPRODUCT(-('Diário 4º PA'!$E$4:$E$2564='Analítico Cp.'!$B50),-('Diário 4º PA'!$Q$4:$Q$2564=D$1),('Diário 4º PA'!$F$4:$F$2564))+SUMPRODUCT(-('Comp.'!$D$5:$D$69='Analítico Cp.'!$B50),-('Comp.'!$K$5:$K$69=D$1),('Comp.'!$E$5:$E$69))</f>
        <v>0</v>
      </c>
      <c r="E50" s="298">
        <f>SUMPRODUCT(-('Diário 1º PA'!$E$4:$E$2635='Analítico Cp.'!$B50),-('Diário 1º PA'!$Q$4:$Q$2635=E$1),('Diário 1º PA'!$F$4:$F$2635))+SUMPRODUCT(-('Diário 2º PA'!$E$4:$E$3040='Analítico Cp.'!$B50),-('Diário 2º PA'!$Q$4:$Q$3040=E$1),('Diário 2º PA'!$F$4:$F$3040))+SUMPRODUCT(-('Diário 3º PA'!$E$4:$E$2731='Analítico Cp.'!$B50),-('Diário 3º PA'!$Q$4:$Q$2731=E$1),('Diário 3º PA'!$F$4:$F$2731))+SUMPRODUCT(-('Diário 4º PA'!$E$4:$E$2564='Analítico Cp.'!$B50),-('Diário 4º PA'!$Q$4:$Q$2564=E$1),('Diário 4º PA'!$F$4:$F$2564))+SUMPRODUCT(-('Comp.'!$D$5:$D$69='Analítico Cp.'!$B50),-('Comp.'!$K$5:$K$69=E$1),('Comp.'!$E$5:$E$69))</f>
        <v>0</v>
      </c>
      <c r="F50" s="298">
        <f>SUMPRODUCT(-('Diário 1º PA'!$E$4:$E$2635='Analítico Cp.'!$B50),-('Diário 1º PA'!$Q$4:$Q$2635=F$1),('Diário 1º PA'!$F$4:$F$2635))+SUMPRODUCT(-('Diário 2º PA'!$E$4:$E$3040='Analítico Cp.'!$B50),-('Diário 2º PA'!$Q$4:$Q$3040=F$1),('Diário 2º PA'!$F$4:$F$3040))+SUMPRODUCT(-('Diário 3º PA'!$E$4:$E$2731='Analítico Cp.'!$B50),-('Diário 3º PA'!$Q$4:$Q$2731=F$1),('Diário 3º PA'!$F$4:$F$2731))+SUMPRODUCT(-('Diário 4º PA'!$E$4:$E$2564='Analítico Cp.'!$B50),-('Diário 4º PA'!$Q$4:$Q$2564=F$1),('Diário 4º PA'!$F$4:$F$2564))+SUMPRODUCT(-('Comp.'!$D$5:$D$69='Analítico Cp.'!$B50),-('Comp.'!$K$5:$K$69=F$1),('Comp.'!$E$5:$E$69))</f>
        <v>0</v>
      </c>
      <c r="G50" s="298">
        <f>SUMPRODUCT(-('Diário 1º PA'!$E$4:$E$2635='Analítico Cp.'!$B50),-('Diário 1º PA'!$Q$4:$Q$2635=G$1),('Diário 1º PA'!$F$4:$F$2635))+SUMPRODUCT(-('Diário 2º PA'!$E$4:$E$3040='Analítico Cp.'!$B50),-('Diário 2º PA'!$Q$4:$Q$3040=G$1),('Diário 2º PA'!$F$4:$F$3040))+SUMPRODUCT(-('Diário 3º PA'!$E$4:$E$2731='Analítico Cp.'!$B50),-('Diário 3º PA'!$Q$4:$Q$2731=G$1),('Diário 3º PA'!$F$4:$F$2731))+SUMPRODUCT(-('Diário 4º PA'!$E$4:$E$2564='Analítico Cp.'!$B50),-('Diário 4º PA'!$Q$4:$Q$2564=G$1),('Diário 4º PA'!$F$4:$F$2564))+SUMPRODUCT(-('Comp.'!$D$5:$D$69='Analítico Cp.'!$B50),-('Comp.'!$K$5:$K$69=G$1),('Comp.'!$E$5:$E$69))</f>
        <v>0</v>
      </c>
      <c r="H50" s="298">
        <f>SUMPRODUCT(-('Diário 1º PA'!$E$4:$E$2635='Analítico Cp.'!$B50),-('Diário 1º PA'!$Q$4:$Q$2635=H$1),('Diário 1º PA'!$F$4:$F$2635))+SUMPRODUCT(-('Diário 2º PA'!$E$4:$E$3040='Analítico Cp.'!$B50),-('Diário 2º PA'!$Q$4:$Q$3040=H$1),('Diário 2º PA'!$F$4:$F$3040))+SUMPRODUCT(-('Diário 3º PA'!$E$4:$E$2731='Analítico Cp.'!$B50),-('Diário 3º PA'!$Q$4:$Q$2731=H$1),('Diário 3º PA'!$F$4:$F$2731))+SUMPRODUCT(-('Diário 4º PA'!$E$4:$E$2564='Analítico Cp.'!$B50),-('Diário 4º PA'!$Q$4:$Q$2564=H$1),('Diário 4º PA'!$F$4:$F$2564))+SUMPRODUCT(-('Comp.'!$D$5:$D$69='Analítico Cp.'!$B50),-('Comp.'!$K$5:$K$69=H$1),('Comp.'!$E$5:$E$69))</f>
        <v>0</v>
      </c>
      <c r="I50" s="298">
        <f>SUMPRODUCT(-('Diário 1º PA'!$E$4:$E$2635='Analítico Cp.'!$B50),-('Diário 1º PA'!$Q$4:$Q$2635=I$1),('Diário 1º PA'!$F$4:$F$2635))+SUMPRODUCT(-('Diário 2º PA'!$E$4:$E$3040='Analítico Cp.'!$B50),-('Diário 2º PA'!$Q$4:$Q$3040=I$1),('Diário 2º PA'!$F$4:$F$3040))+SUMPRODUCT(-('Diário 3º PA'!$E$4:$E$2731='Analítico Cp.'!$B50),-('Diário 3º PA'!$Q$4:$Q$2731=I$1),('Diário 3º PA'!$F$4:$F$2731))+SUMPRODUCT(-('Diário 4º PA'!$E$4:$E$2564='Analítico Cp.'!$B50),-('Diário 4º PA'!$Q$4:$Q$2564=I$1),('Diário 4º PA'!$F$4:$F$2564))+SUMPRODUCT(-('Comp.'!$D$5:$D$69='Analítico Cp.'!$B50),-('Comp.'!$K$5:$K$69=I$1),('Comp.'!$E$5:$E$69))</f>
        <v>0</v>
      </c>
      <c r="J50" s="298">
        <f>SUMPRODUCT(-('Diário 1º PA'!$E$4:$E$2635='Analítico Cp.'!$B50),-('Diário 1º PA'!$Q$4:$Q$2635=J$1),('Diário 1º PA'!$F$4:$F$2635))+SUMPRODUCT(-('Diário 2º PA'!$E$4:$E$3040='Analítico Cp.'!$B50),-('Diário 2º PA'!$Q$4:$Q$3040=J$1),('Diário 2º PA'!$F$4:$F$3040))+SUMPRODUCT(-('Diário 3º PA'!$E$4:$E$2731='Analítico Cp.'!$B50),-('Diário 3º PA'!$Q$4:$Q$2731=J$1),('Diário 3º PA'!$F$4:$F$2731))+SUMPRODUCT(-('Diário 4º PA'!$E$4:$E$2564='Analítico Cp.'!$B50),-('Diário 4º PA'!$Q$4:$Q$2564=J$1),('Diário 4º PA'!$F$4:$F$2564))+SUMPRODUCT(-('Comp.'!$D$5:$D$69='Analítico Cp.'!$B50),-('Comp.'!$K$5:$K$69=J$1),('Comp.'!$E$5:$E$69))</f>
        <v>0</v>
      </c>
      <c r="K50" s="298">
        <f>SUMPRODUCT(-('Diário 1º PA'!$E$4:$E$2635='Analítico Cp.'!$B50),-('Diário 1º PA'!$Q$4:$Q$2635=K$1),('Diário 1º PA'!$F$4:$F$2635))+SUMPRODUCT(-('Diário 2º PA'!$E$4:$E$3040='Analítico Cp.'!$B50),-('Diário 2º PA'!$Q$4:$Q$3040=K$1),('Diário 2º PA'!$F$4:$F$3040))+SUMPRODUCT(-('Diário 3º PA'!$E$4:$E$2731='Analítico Cp.'!$B50),-('Diário 3º PA'!$Q$4:$Q$2731=K$1),('Diário 3º PA'!$F$4:$F$2731))+SUMPRODUCT(-('Diário 4º PA'!$E$4:$E$2564='Analítico Cp.'!$B50),-('Diário 4º PA'!$Q$4:$Q$2564=K$1),('Diário 4º PA'!$F$4:$F$2564))+SUMPRODUCT(-('Comp.'!$D$5:$D$69='Analítico Cp.'!$B50),-('Comp.'!$K$5:$K$69=K$1),('Comp.'!$E$5:$E$69))</f>
        <v>0</v>
      </c>
      <c r="L50" s="298">
        <f>SUMPRODUCT(-('Diário 1º PA'!$E$4:$E$2635='Analítico Cp.'!$B50),-('Diário 1º PA'!$Q$4:$Q$2635=L$1),('Diário 1º PA'!$F$4:$F$2635))+SUMPRODUCT(-('Diário 2º PA'!$E$4:$E$3040='Analítico Cp.'!$B50),-('Diário 2º PA'!$Q$4:$Q$3040=L$1),('Diário 2º PA'!$F$4:$F$3040))+SUMPRODUCT(-('Diário 3º PA'!$E$4:$E$2731='Analítico Cp.'!$B50),-('Diário 3º PA'!$Q$4:$Q$2731=L$1),('Diário 3º PA'!$F$4:$F$2731))+SUMPRODUCT(-('Diário 4º PA'!$E$4:$E$2564='Analítico Cp.'!$B50),-('Diário 4º PA'!$Q$4:$Q$2564=L$1),('Diário 4º PA'!$F$4:$F$2564))+SUMPRODUCT(-('Comp.'!$D$5:$D$69='Analítico Cp.'!$B50),-('Comp.'!$K$5:$K$69=L$1),('Comp.'!$E$5:$E$69))</f>
        <v>0</v>
      </c>
      <c r="M50" s="298">
        <f>SUMPRODUCT(-('Diário 1º PA'!$E$4:$E$2635='Analítico Cp.'!$B50),-('Diário 1º PA'!$Q$4:$Q$2635=M$1),('Diário 1º PA'!$F$4:$F$2635))+SUMPRODUCT(-('Diário 2º PA'!$E$4:$E$3040='Analítico Cp.'!$B50),-('Diário 2º PA'!$Q$4:$Q$3040=M$1),('Diário 2º PA'!$F$4:$F$3040))+SUMPRODUCT(-('Diário 3º PA'!$E$4:$E$2731='Analítico Cp.'!$B50),-('Diário 3º PA'!$Q$4:$Q$2731=M$1),('Diário 3º PA'!$F$4:$F$2731))+SUMPRODUCT(-('Diário 4º PA'!$E$4:$E$2564='Analítico Cp.'!$B50),-('Diário 4º PA'!$Q$4:$Q$2564=M$1),('Diário 4º PA'!$F$4:$F$2564))+SUMPRODUCT(-('Comp.'!$D$5:$D$69='Analítico Cp.'!$B50),-('Comp.'!$K$5:$K$69=M$1),('Comp.'!$E$5:$E$69))</f>
        <v>0</v>
      </c>
      <c r="N50" s="298">
        <f>SUMPRODUCT(-('Diário 1º PA'!$E$4:$E$2635='Analítico Cp.'!$B50),-('Diário 1º PA'!$Q$4:$Q$2635=N$1),('Diário 1º PA'!$F$4:$F$2635))+SUMPRODUCT(-('Diário 2º PA'!$E$4:$E$3040='Analítico Cp.'!$B50),-('Diário 2º PA'!$Q$4:$Q$3040=N$1),('Diário 2º PA'!$F$4:$F$3040))+SUMPRODUCT(-('Diário 3º PA'!$E$4:$E$2731='Analítico Cp.'!$B50),-('Diário 3º PA'!$Q$4:$Q$2731=N$1),('Diário 3º PA'!$F$4:$F$2731))+SUMPRODUCT(-('Diário 4º PA'!$E$4:$E$2564='Analítico Cp.'!$B50),-('Diário 4º PA'!$Q$4:$Q$2564=N$1),('Diário 4º PA'!$F$4:$F$2564))+SUMPRODUCT(-('Comp.'!$D$5:$D$69='Analítico Cp.'!$B50),-('Comp.'!$K$5:$K$69=N$1),('Comp.'!$E$5:$E$69))</f>
        <v>0</v>
      </c>
      <c r="O50" s="13">
        <f t="shared" si="7"/>
        <v>0</v>
      </c>
      <c r="P50" s="167">
        <f t="shared" si="8"/>
        <v>0</v>
      </c>
    </row>
    <row r="51" spans="1:16" ht="23.25" customHeight="1" x14ac:dyDescent="0.2">
      <c r="A51" s="62" t="s">
        <v>171</v>
      </c>
      <c r="B51" s="60" t="s">
        <v>338</v>
      </c>
      <c r="C51" s="298">
        <f>SUMPRODUCT(-('Diário 1º PA'!$E$4:$E$2635='Analítico Cp.'!$B51),-('Diário 1º PA'!$Q$4:$Q$2635=C$1),('Diário 1º PA'!$F$4:$F$2635))+SUMPRODUCT(-('Diário 2º PA'!$E$4:$E$3040='Analítico Cp.'!$B51),-('Diário 2º PA'!$Q$4:$Q$3040=C$1),('Diário 2º PA'!$F$4:$F$3040))+SUMPRODUCT(-('Diário 3º PA'!$E$4:$E$2731='Analítico Cp.'!$B51),-('Diário 3º PA'!$Q$4:$Q$2731=C$1),('Diário 3º PA'!$F$4:$F$2731))+SUMPRODUCT(-('Diário 4º PA'!$E$4:$E$2564='Analítico Cp.'!$B51),-('Diário 4º PA'!$Q$4:$Q$2564=C$1),('Diário 4º PA'!$F$4:$F$2564))+SUMPRODUCT(-('Comp.'!$D$5:$D$69='Analítico Cp.'!$B51),-('Comp.'!$K$5:$K$69=C$1),('Comp.'!$E$5:$E$69))</f>
        <v>0</v>
      </c>
      <c r="D51" s="298">
        <f>SUMPRODUCT(-('Diário 1º PA'!$E$4:$E$2635='Analítico Cp.'!$B51),-('Diário 1º PA'!$Q$4:$Q$2635=D$1),('Diário 1º PA'!$F$4:$F$2635))+SUMPRODUCT(-('Diário 2º PA'!$E$4:$E$3040='Analítico Cp.'!$B51),-('Diário 2º PA'!$Q$4:$Q$3040=D$1),('Diário 2º PA'!$F$4:$F$3040))+SUMPRODUCT(-('Diário 3º PA'!$E$4:$E$2731='Analítico Cp.'!$B51),-('Diário 3º PA'!$Q$4:$Q$2731=D$1),('Diário 3º PA'!$F$4:$F$2731))+SUMPRODUCT(-('Diário 4º PA'!$E$4:$E$2564='Analítico Cp.'!$B51),-('Diário 4º PA'!$Q$4:$Q$2564=D$1),('Diário 4º PA'!$F$4:$F$2564))+SUMPRODUCT(-('Comp.'!$D$5:$D$69='Analítico Cp.'!$B51),-('Comp.'!$K$5:$K$69=D$1),('Comp.'!$E$5:$E$69))</f>
        <v>0</v>
      </c>
      <c r="E51" s="298">
        <f>SUMPRODUCT(-('Diário 1º PA'!$E$4:$E$2635='Analítico Cp.'!$B51),-('Diário 1º PA'!$Q$4:$Q$2635=E$1),('Diário 1º PA'!$F$4:$F$2635))+SUMPRODUCT(-('Diário 2º PA'!$E$4:$E$3040='Analítico Cp.'!$B51),-('Diário 2º PA'!$Q$4:$Q$3040=E$1),('Diário 2º PA'!$F$4:$F$3040))+SUMPRODUCT(-('Diário 3º PA'!$E$4:$E$2731='Analítico Cp.'!$B51),-('Diário 3º PA'!$Q$4:$Q$2731=E$1),('Diário 3º PA'!$F$4:$F$2731))+SUMPRODUCT(-('Diário 4º PA'!$E$4:$E$2564='Analítico Cp.'!$B51),-('Diário 4º PA'!$Q$4:$Q$2564=E$1),('Diário 4º PA'!$F$4:$F$2564))+SUMPRODUCT(-('Comp.'!$D$5:$D$69='Analítico Cp.'!$B51),-('Comp.'!$K$5:$K$69=E$1),('Comp.'!$E$5:$E$69))</f>
        <v>0</v>
      </c>
      <c r="F51" s="298">
        <f>SUMPRODUCT(-('Diário 1º PA'!$E$4:$E$2635='Analítico Cp.'!$B51),-('Diário 1º PA'!$Q$4:$Q$2635=F$1),('Diário 1º PA'!$F$4:$F$2635))+SUMPRODUCT(-('Diário 2º PA'!$E$4:$E$3040='Analítico Cp.'!$B51),-('Diário 2º PA'!$Q$4:$Q$3040=F$1),('Diário 2º PA'!$F$4:$F$3040))+SUMPRODUCT(-('Diário 3º PA'!$E$4:$E$2731='Analítico Cp.'!$B51),-('Diário 3º PA'!$Q$4:$Q$2731=F$1),('Diário 3º PA'!$F$4:$F$2731))+SUMPRODUCT(-('Diário 4º PA'!$E$4:$E$2564='Analítico Cp.'!$B51),-('Diário 4º PA'!$Q$4:$Q$2564=F$1),('Diário 4º PA'!$F$4:$F$2564))+SUMPRODUCT(-('Comp.'!$D$5:$D$69='Analítico Cp.'!$B51),-('Comp.'!$K$5:$K$69=F$1),('Comp.'!$E$5:$E$69))</f>
        <v>0</v>
      </c>
      <c r="G51" s="298">
        <f>SUMPRODUCT(-('Diário 1º PA'!$E$4:$E$2635='Analítico Cp.'!$B51),-('Diário 1º PA'!$Q$4:$Q$2635=G$1),('Diário 1º PA'!$F$4:$F$2635))+SUMPRODUCT(-('Diário 2º PA'!$E$4:$E$3040='Analítico Cp.'!$B51),-('Diário 2º PA'!$Q$4:$Q$3040=G$1),('Diário 2º PA'!$F$4:$F$3040))+SUMPRODUCT(-('Diário 3º PA'!$E$4:$E$2731='Analítico Cp.'!$B51),-('Diário 3º PA'!$Q$4:$Q$2731=G$1),('Diário 3º PA'!$F$4:$F$2731))+SUMPRODUCT(-('Diário 4º PA'!$E$4:$E$2564='Analítico Cp.'!$B51),-('Diário 4º PA'!$Q$4:$Q$2564=G$1),('Diário 4º PA'!$F$4:$F$2564))+SUMPRODUCT(-('Comp.'!$D$5:$D$69='Analítico Cp.'!$B51),-('Comp.'!$K$5:$K$69=G$1),('Comp.'!$E$5:$E$69))</f>
        <v>0</v>
      </c>
      <c r="H51" s="298">
        <f>SUMPRODUCT(-('Diário 1º PA'!$E$4:$E$2635='Analítico Cp.'!$B51),-('Diário 1º PA'!$Q$4:$Q$2635=H$1),('Diário 1º PA'!$F$4:$F$2635))+SUMPRODUCT(-('Diário 2º PA'!$E$4:$E$3040='Analítico Cp.'!$B51),-('Diário 2º PA'!$Q$4:$Q$3040=H$1),('Diário 2º PA'!$F$4:$F$3040))+SUMPRODUCT(-('Diário 3º PA'!$E$4:$E$2731='Analítico Cp.'!$B51),-('Diário 3º PA'!$Q$4:$Q$2731=H$1),('Diário 3º PA'!$F$4:$F$2731))+SUMPRODUCT(-('Diário 4º PA'!$E$4:$E$2564='Analítico Cp.'!$B51),-('Diário 4º PA'!$Q$4:$Q$2564=H$1),('Diário 4º PA'!$F$4:$F$2564))+SUMPRODUCT(-('Comp.'!$D$5:$D$69='Analítico Cp.'!$B51),-('Comp.'!$K$5:$K$69=H$1),('Comp.'!$E$5:$E$69))</f>
        <v>0</v>
      </c>
      <c r="I51" s="298">
        <f>SUMPRODUCT(-('Diário 1º PA'!$E$4:$E$2635='Analítico Cp.'!$B51),-('Diário 1º PA'!$Q$4:$Q$2635=I$1),('Diário 1º PA'!$F$4:$F$2635))+SUMPRODUCT(-('Diário 2º PA'!$E$4:$E$3040='Analítico Cp.'!$B51),-('Diário 2º PA'!$Q$4:$Q$3040=I$1),('Diário 2º PA'!$F$4:$F$3040))+SUMPRODUCT(-('Diário 3º PA'!$E$4:$E$2731='Analítico Cp.'!$B51),-('Diário 3º PA'!$Q$4:$Q$2731=I$1),('Diário 3º PA'!$F$4:$F$2731))+SUMPRODUCT(-('Diário 4º PA'!$E$4:$E$2564='Analítico Cp.'!$B51),-('Diário 4º PA'!$Q$4:$Q$2564=I$1),('Diário 4º PA'!$F$4:$F$2564))+SUMPRODUCT(-('Comp.'!$D$5:$D$69='Analítico Cp.'!$B51),-('Comp.'!$K$5:$K$69=I$1),('Comp.'!$E$5:$E$69))</f>
        <v>0</v>
      </c>
      <c r="J51" s="298">
        <f>SUMPRODUCT(-('Diário 1º PA'!$E$4:$E$2635='Analítico Cp.'!$B51),-('Diário 1º PA'!$Q$4:$Q$2635=J$1),('Diário 1º PA'!$F$4:$F$2635))+SUMPRODUCT(-('Diário 2º PA'!$E$4:$E$3040='Analítico Cp.'!$B51),-('Diário 2º PA'!$Q$4:$Q$3040=J$1),('Diário 2º PA'!$F$4:$F$3040))+SUMPRODUCT(-('Diário 3º PA'!$E$4:$E$2731='Analítico Cp.'!$B51),-('Diário 3º PA'!$Q$4:$Q$2731=J$1),('Diário 3º PA'!$F$4:$F$2731))+SUMPRODUCT(-('Diário 4º PA'!$E$4:$E$2564='Analítico Cp.'!$B51),-('Diário 4º PA'!$Q$4:$Q$2564=J$1),('Diário 4º PA'!$F$4:$F$2564))+SUMPRODUCT(-('Comp.'!$D$5:$D$69='Analítico Cp.'!$B51),-('Comp.'!$K$5:$K$69=J$1),('Comp.'!$E$5:$E$69))</f>
        <v>0</v>
      </c>
      <c r="K51" s="298">
        <f>SUMPRODUCT(-('Diário 1º PA'!$E$4:$E$2635='Analítico Cp.'!$B51),-('Diário 1º PA'!$Q$4:$Q$2635=K$1),('Diário 1º PA'!$F$4:$F$2635))+SUMPRODUCT(-('Diário 2º PA'!$E$4:$E$3040='Analítico Cp.'!$B51),-('Diário 2º PA'!$Q$4:$Q$3040=K$1),('Diário 2º PA'!$F$4:$F$3040))+SUMPRODUCT(-('Diário 3º PA'!$E$4:$E$2731='Analítico Cp.'!$B51),-('Diário 3º PA'!$Q$4:$Q$2731=K$1),('Diário 3º PA'!$F$4:$F$2731))+SUMPRODUCT(-('Diário 4º PA'!$E$4:$E$2564='Analítico Cp.'!$B51),-('Diário 4º PA'!$Q$4:$Q$2564=K$1),('Diário 4º PA'!$F$4:$F$2564))+SUMPRODUCT(-('Comp.'!$D$5:$D$69='Analítico Cp.'!$B51),-('Comp.'!$K$5:$K$69=K$1),('Comp.'!$E$5:$E$69))</f>
        <v>0</v>
      </c>
      <c r="L51" s="298">
        <f>SUMPRODUCT(-('Diário 1º PA'!$E$4:$E$2635='Analítico Cp.'!$B51),-('Diário 1º PA'!$Q$4:$Q$2635=L$1),('Diário 1º PA'!$F$4:$F$2635))+SUMPRODUCT(-('Diário 2º PA'!$E$4:$E$3040='Analítico Cp.'!$B51),-('Diário 2º PA'!$Q$4:$Q$3040=L$1),('Diário 2º PA'!$F$4:$F$3040))+SUMPRODUCT(-('Diário 3º PA'!$E$4:$E$2731='Analítico Cp.'!$B51),-('Diário 3º PA'!$Q$4:$Q$2731=L$1),('Diário 3º PA'!$F$4:$F$2731))+SUMPRODUCT(-('Diário 4º PA'!$E$4:$E$2564='Analítico Cp.'!$B51),-('Diário 4º PA'!$Q$4:$Q$2564=L$1),('Diário 4º PA'!$F$4:$F$2564))+SUMPRODUCT(-('Comp.'!$D$5:$D$69='Analítico Cp.'!$B51),-('Comp.'!$K$5:$K$69=L$1),('Comp.'!$E$5:$E$69))</f>
        <v>0</v>
      </c>
      <c r="M51" s="298">
        <f>SUMPRODUCT(-('Diário 1º PA'!$E$4:$E$2635='Analítico Cp.'!$B51),-('Diário 1º PA'!$Q$4:$Q$2635=M$1),('Diário 1º PA'!$F$4:$F$2635))+SUMPRODUCT(-('Diário 2º PA'!$E$4:$E$3040='Analítico Cp.'!$B51),-('Diário 2º PA'!$Q$4:$Q$3040=M$1),('Diário 2º PA'!$F$4:$F$3040))+SUMPRODUCT(-('Diário 3º PA'!$E$4:$E$2731='Analítico Cp.'!$B51),-('Diário 3º PA'!$Q$4:$Q$2731=M$1),('Diário 3º PA'!$F$4:$F$2731))+SUMPRODUCT(-('Diário 4º PA'!$E$4:$E$2564='Analítico Cp.'!$B51),-('Diário 4º PA'!$Q$4:$Q$2564=M$1),('Diário 4º PA'!$F$4:$F$2564))+SUMPRODUCT(-('Comp.'!$D$5:$D$69='Analítico Cp.'!$B51),-('Comp.'!$K$5:$K$69=M$1),('Comp.'!$E$5:$E$69))</f>
        <v>0</v>
      </c>
      <c r="N51" s="298">
        <f>SUMPRODUCT(-('Diário 1º PA'!$E$4:$E$2635='Analítico Cp.'!$B51),-('Diário 1º PA'!$Q$4:$Q$2635=N$1),('Diário 1º PA'!$F$4:$F$2635))+SUMPRODUCT(-('Diário 2º PA'!$E$4:$E$3040='Analítico Cp.'!$B51),-('Diário 2º PA'!$Q$4:$Q$3040=N$1),('Diário 2º PA'!$F$4:$F$3040))+SUMPRODUCT(-('Diário 3º PA'!$E$4:$E$2731='Analítico Cp.'!$B51),-('Diário 3º PA'!$Q$4:$Q$2731=N$1),('Diário 3º PA'!$F$4:$F$2731))+SUMPRODUCT(-('Diário 4º PA'!$E$4:$E$2564='Analítico Cp.'!$B51),-('Diário 4º PA'!$Q$4:$Q$2564=N$1),('Diário 4º PA'!$F$4:$F$2564))+SUMPRODUCT(-('Comp.'!$D$5:$D$69='Analítico Cp.'!$B51),-('Comp.'!$K$5:$K$69=N$1),('Comp.'!$E$5:$E$69))</f>
        <v>0</v>
      </c>
      <c r="O51" s="13">
        <f>SUM(C51:N51)</f>
        <v>0</v>
      </c>
      <c r="P51" s="167">
        <f t="shared" si="8"/>
        <v>0</v>
      </c>
    </row>
    <row r="52" spans="1:16" ht="23.25" customHeight="1" x14ac:dyDescent="0.2">
      <c r="A52" s="62" t="s">
        <v>337</v>
      </c>
      <c r="B52" s="63" t="s">
        <v>77</v>
      </c>
      <c r="C52" s="298">
        <f>SUMPRODUCT(-('Diário 1º PA'!$E$4:$E$2635='Analítico Cp.'!$B52),-('Diário 1º PA'!$Q$4:$Q$2635=C$1),('Diário 1º PA'!$F$4:$F$2635))+SUMPRODUCT(-('Diário 2º PA'!$E$4:$E$3040='Analítico Cp.'!$B52),-('Diário 2º PA'!$Q$4:$Q$3040=C$1),('Diário 2º PA'!$F$4:$F$3040))+SUMPRODUCT(-('Diário 3º PA'!$E$4:$E$2731='Analítico Cp.'!$B52),-('Diário 3º PA'!$Q$4:$Q$2731=C$1),('Diário 3º PA'!$F$4:$F$2731))+SUMPRODUCT(-('Diário 4º PA'!$E$4:$E$2564='Analítico Cp.'!$B52),-('Diário 4º PA'!$Q$4:$Q$2564=C$1),('Diário 4º PA'!$F$4:$F$2564))+SUMPRODUCT(-('Comp.'!$D$5:$D$69='Analítico Cp.'!$B52),-('Comp.'!$K$5:$K$69=C$1),('Comp.'!$E$5:$E$69))</f>
        <v>0</v>
      </c>
      <c r="D52" s="298">
        <f>SUMPRODUCT(-('Diário 1º PA'!$E$4:$E$2635='Analítico Cp.'!$B52),-('Diário 1º PA'!$Q$4:$Q$2635=D$1),('Diário 1º PA'!$F$4:$F$2635))+SUMPRODUCT(-('Diário 2º PA'!$E$4:$E$3040='Analítico Cp.'!$B52),-('Diário 2º PA'!$Q$4:$Q$3040=D$1),('Diário 2º PA'!$F$4:$F$3040))+SUMPRODUCT(-('Diário 3º PA'!$E$4:$E$2731='Analítico Cp.'!$B52),-('Diário 3º PA'!$Q$4:$Q$2731=D$1),('Diário 3º PA'!$F$4:$F$2731))+SUMPRODUCT(-('Diário 4º PA'!$E$4:$E$2564='Analítico Cp.'!$B52),-('Diário 4º PA'!$Q$4:$Q$2564=D$1),('Diário 4º PA'!$F$4:$F$2564))+SUMPRODUCT(-('Comp.'!$D$5:$D$69='Analítico Cp.'!$B52),-('Comp.'!$K$5:$K$69=D$1),('Comp.'!$E$5:$E$69))</f>
        <v>0</v>
      </c>
      <c r="E52" s="298">
        <f>SUMPRODUCT(-('Diário 1º PA'!$E$4:$E$2635='Analítico Cp.'!$B52),-('Diário 1º PA'!$Q$4:$Q$2635=E$1),('Diário 1º PA'!$F$4:$F$2635))+SUMPRODUCT(-('Diário 2º PA'!$E$4:$E$3040='Analítico Cp.'!$B52),-('Diário 2º PA'!$Q$4:$Q$3040=E$1),('Diário 2º PA'!$F$4:$F$3040))+SUMPRODUCT(-('Diário 3º PA'!$E$4:$E$2731='Analítico Cp.'!$B52),-('Diário 3º PA'!$Q$4:$Q$2731=E$1),('Diário 3º PA'!$F$4:$F$2731))+SUMPRODUCT(-('Diário 4º PA'!$E$4:$E$2564='Analítico Cp.'!$B52),-('Diário 4º PA'!$Q$4:$Q$2564=E$1),('Diário 4º PA'!$F$4:$F$2564))+SUMPRODUCT(-('Comp.'!$D$5:$D$69='Analítico Cp.'!$B52),-('Comp.'!$K$5:$K$69=E$1),('Comp.'!$E$5:$E$69))</f>
        <v>0</v>
      </c>
      <c r="F52" s="298">
        <f>SUMPRODUCT(-('Diário 1º PA'!$E$4:$E$2635='Analítico Cp.'!$B52),-('Diário 1º PA'!$Q$4:$Q$2635=F$1),('Diário 1º PA'!$F$4:$F$2635))+SUMPRODUCT(-('Diário 2º PA'!$E$4:$E$3040='Analítico Cp.'!$B52),-('Diário 2º PA'!$Q$4:$Q$3040=F$1),('Diário 2º PA'!$F$4:$F$3040))+SUMPRODUCT(-('Diário 3º PA'!$E$4:$E$2731='Analítico Cp.'!$B52),-('Diário 3º PA'!$Q$4:$Q$2731=F$1),('Diário 3º PA'!$F$4:$F$2731))+SUMPRODUCT(-('Diário 4º PA'!$E$4:$E$2564='Analítico Cp.'!$B52),-('Diário 4º PA'!$Q$4:$Q$2564=F$1),('Diário 4º PA'!$F$4:$F$2564))+SUMPRODUCT(-('Comp.'!$D$5:$D$69='Analítico Cp.'!$B52),-('Comp.'!$K$5:$K$69=F$1),('Comp.'!$E$5:$E$69))</f>
        <v>0</v>
      </c>
      <c r="G52" s="298">
        <f>SUMPRODUCT(-('Diário 1º PA'!$E$4:$E$2635='Analítico Cp.'!$B52),-('Diário 1º PA'!$Q$4:$Q$2635=G$1),('Diário 1º PA'!$F$4:$F$2635))+SUMPRODUCT(-('Diário 2º PA'!$E$4:$E$3040='Analítico Cp.'!$B52),-('Diário 2º PA'!$Q$4:$Q$3040=G$1),('Diário 2º PA'!$F$4:$F$3040))+SUMPRODUCT(-('Diário 3º PA'!$E$4:$E$2731='Analítico Cp.'!$B52),-('Diário 3º PA'!$Q$4:$Q$2731=G$1),('Diário 3º PA'!$F$4:$F$2731))+SUMPRODUCT(-('Diário 4º PA'!$E$4:$E$2564='Analítico Cp.'!$B52),-('Diário 4º PA'!$Q$4:$Q$2564=G$1),('Diário 4º PA'!$F$4:$F$2564))+SUMPRODUCT(-('Comp.'!$D$5:$D$69='Analítico Cp.'!$B52),-('Comp.'!$K$5:$K$69=G$1),('Comp.'!$E$5:$E$69))</f>
        <v>0</v>
      </c>
      <c r="H52" s="298">
        <f>SUMPRODUCT(-('Diário 1º PA'!$E$4:$E$2635='Analítico Cp.'!$B52),-('Diário 1º PA'!$Q$4:$Q$2635=H$1),('Diário 1º PA'!$F$4:$F$2635))+SUMPRODUCT(-('Diário 2º PA'!$E$4:$E$3040='Analítico Cp.'!$B52),-('Diário 2º PA'!$Q$4:$Q$3040=H$1),('Diário 2º PA'!$F$4:$F$3040))+SUMPRODUCT(-('Diário 3º PA'!$E$4:$E$2731='Analítico Cp.'!$B52),-('Diário 3º PA'!$Q$4:$Q$2731=H$1),('Diário 3º PA'!$F$4:$F$2731))+SUMPRODUCT(-('Diário 4º PA'!$E$4:$E$2564='Analítico Cp.'!$B52),-('Diário 4º PA'!$Q$4:$Q$2564=H$1),('Diário 4º PA'!$F$4:$F$2564))+SUMPRODUCT(-('Comp.'!$D$5:$D$69='Analítico Cp.'!$B52),-('Comp.'!$K$5:$K$69=H$1),('Comp.'!$E$5:$E$69))</f>
        <v>0</v>
      </c>
      <c r="I52" s="298">
        <f>SUMPRODUCT(-('Diário 1º PA'!$E$4:$E$2635='Analítico Cp.'!$B52),-('Diário 1º PA'!$Q$4:$Q$2635=I$1),('Diário 1º PA'!$F$4:$F$2635))+SUMPRODUCT(-('Diário 2º PA'!$E$4:$E$3040='Analítico Cp.'!$B52),-('Diário 2º PA'!$Q$4:$Q$3040=I$1),('Diário 2º PA'!$F$4:$F$3040))+SUMPRODUCT(-('Diário 3º PA'!$E$4:$E$2731='Analítico Cp.'!$B52),-('Diário 3º PA'!$Q$4:$Q$2731=I$1),('Diário 3º PA'!$F$4:$F$2731))+SUMPRODUCT(-('Diário 4º PA'!$E$4:$E$2564='Analítico Cp.'!$B52),-('Diário 4º PA'!$Q$4:$Q$2564=I$1),('Diário 4º PA'!$F$4:$F$2564))+SUMPRODUCT(-('Comp.'!$D$5:$D$69='Analítico Cp.'!$B52),-('Comp.'!$K$5:$K$69=I$1),('Comp.'!$E$5:$E$69))</f>
        <v>0</v>
      </c>
      <c r="J52" s="298">
        <f>SUMPRODUCT(-('Diário 1º PA'!$E$4:$E$2635='Analítico Cp.'!$B52),-('Diário 1º PA'!$Q$4:$Q$2635=J$1),('Diário 1º PA'!$F$4:$F$2635))+SUMPRODUCT(-('Diário 2º PA'!$E$4:$E$3040='Analítico Cp.'!$B52),-('Diário 2º PA'!$Q$4:$Q$3040=J$1),('Diário 2º PA'!$F$4:$F$3040))+SUMPRODUCT(-('Diário 3º PA'!$E$4:$E$2731='Analítico Cp.'!$B52),-('Diário 3º PA'!$Q$4:$Q$2731=J$1),('Diário 3º PA'!$F$4:$F$2731))+SUMPRODUCT(-('Diário 4º PA'!$E$4:$E$2564='Analítico Cp.'!$B52),-('Diário 4º PA'!$Q$4:$Q$2564=J$1),('Diário 4º PA'!$F$4:$F$2564))+SUMPRODUCT(-('Comp.'!$D$5:$D$69='Analítico Cp.'!$B52),-('Comp.'!$K$5:$K$69=J$1),('Comp.'!$E$5:$E$69))</f>
        <v>0</v>
      </c>
      <c r="K52" s="298">
        <f>SUMPRODUCT(-('Diário 1º PA'!$E$4:$E$2635='Analítico Cp.'!$B52),-('Diário 1º PA'!$Q$4:$Q$2635=K$1),('Diário 1º PA'!$F$4:$F$2635))+SUMPRODUCT(-('Diário 2º PA'!$E$4:$E$3040='Analítico Cp.'!$B52),-('Diário 2º PA'!$Q$4:$Q$3040=K$1),('Diário 2º PA'!$F$4:$F$3040))+SUMPRODUCT(-('Diário 3º PA'!$E$4:$E$2731='Analítico Cp.'!$B52),-('Diário 3º PA'!$Q$4:$Q$2731=K$1),('Diário 3º PA'!$F$4:$F$2731))+SUMPRODUCT(-('Diário 4º PA'!$E$4:$E$2564='Analítico Cp.'!$B52),-('Diário 4º PA'!$Q$4:$Q$2564=K$1),('Diário 4º PA'!$F$4:$F$2564))+SUMPRODUCT(-('Comp.'!$D$5:$D$69='Analítico Cp.'!$B52),-('Comp.'!$K$5:$K$69=K$1),('Comp.'!$E$5:$E$69))</f>
        <v>0</v>
      </c>
      <c r="L52" s="298">
        <f>SUMPRODUCT(-('Diário 1º PA'!$E$4:$E$2635='Analítico Cp.'!$B52),-('Diário 1º PA'!$Q$4:$Q$2635=L$1),('Diário 1º PA'!$F$4:$F$2635))+SUMPRODUCT(-('Diário 2º PA'!$E$4:$E$3040='Analítico Cp.'!$B52),-('Diário 2º PA'!$Q$4:$Q$3040=L$1),('Diário 2º PA'!$F$4:$F$3040))+SUMPRODUCT(-('Diário 3º PA'!$E$4:$E$2731='Analítico Cp.'!$B52),-('Diário 3º PA'!$Q$4:$Q$2731=L$1),('Diário 3º PA'!$F$4:$F$2731))+SUMPRODUCT(-('Diário 4º PA'!$E$4:$E$2564='Analítico Cp.'!$B52),-('Diário 4º PA'!$Q$4:$Q$2564=L$1),('Diário 4º PA'!$F$4:$F$2564))+SUMPRODUCT(-('Comp.'!$D$5:$D$69='Analítico Cp.'!$B52),-('Comp.'!$K$5:$K$69=L$1),('Comp.'!$E$5:$E$69))</f>
        <v>0</v>
      </c>
      <c r="M52" s="298">
        <f>SUMPRODUCT(-('Diário 1º PA'!$E$4:$E$2635='Analítico Cp.'!$B52),-('Diário 1º PA'!$Q$4:$Q$2635=M$1),('Diário 1º PA'!$F$4:$F$2635))+SUMPRODUCT(-('Diário 2º PA'!$E$4:$E$3040='Analítico Cp.'!$B52),-('Diário 2º PA'!$Q$4:$Q$3040=M$1),('Diário 2º PA'!$F$4:$F$3040))+SUMPRODUCT(-('Diário 3º PA'!$E$4:$E$2731='Analítico Cp.'!$B52),-('Diário 3º PA'!$Q$4:$Q$2731=M$1),('Diário 3º PA'!$F$4:$F$2731))+SUMPRODUCT(-('Diário 4º PA'!$E$4:$E$2564='Analítico Cp.'!$B52),-('Diário 4º PA'!$Q$4:$Q$2564=M$1),('Diário 4º PA'!$F$4:$F$2564))+SUMPRODUCT(-('Comp.'!$D$5:$D$69='Analítico Cp.'!$B52),-('Comp.'!$K$5:$K$69=M$1),('Comp.'!$E$5:$E$69))</f>
        <v>0</v>
      </c>
      <c r="N52" s="298">
        <f>SUMPRODUCT(-('Diário 1º PA'!$E$4:$E$2635='Analítico Cp.'!$B52),-('Diário 1º PA'!$Q$4:$Q$2635=N$1),('Diário 1º PA'!$F$4:$F$2635))+SUMPRODUCT(-('Diário 2º PA'!$E$4:$E$3040='Analítico Cp.'!$B52),-('Diário 2º PA'!$Q$4:$Q$3040=N$1),('Diário 2º PA'!$F$4:$F$3040))+SUMPRODUCT(-('Diário 3º PA'!$E$4:$E$2731='Analítico Cp.'!$B52),-('Diário 3º PA'!$Q$4:$Q$2731=N$1),('Diário 3º PA'!$F$4:$F$2731))+SUMPRODUCT(-('Diário 4º PA'!$E$4:$E$2564='Analítico Cp.'!$B52),-('Diário 4º PA'!$Q$4:$Q$2564=N$1),('Diário 4º PA'!$F$4:$F$2564))+SUMPRODUCT(-('Comp.'!$D$5:$D$69='Analítico Cp.'!$B52),-('Comp.'!$K$5:$K$69=N$1),('Comp.'!$E$5:$E$69))</f>
        <v>0</v>
      </c>
      <c r="O52" s="17">
        <f t="shared" si="7"/>
        <v>0</v>
      </c>
      <c r="P52" s="167">
        <f t="shared" si="8"/>
        <v>0</v>
      </c>
    </row>
    <row r="53" spans="1:16" ht="23.25" customHeight="1" x14ac:dyDescent="0.2">
      <c r="A53" s="23"/>
      <c r="B53" s="24" t="s">
        <v>115</v>
      </c>
      <c r="C53" s="14">
        <f>SUBTOTAL(109,C45:C52)</f>
        <v>46045.77</v>
      </c>
      <c r="D53" s="14">
        <f>SUBTOTAL(109,D45:D52)</f>
        <v>48526.750000000007</v>
      </c>
      <c r="E53" s="14">
        <f>SUBTOTAL(109,E45:E52)</f>
        <v>57340.32</v>
      </c>
      <c r="F53" s="14">
        <f t="shared" ref="F53:N53" si="9">SUBTOTAL(109,F45:F52)</f>
        <v>70018.06</v>
      </c>
      <c r="G53" s="14">
        <f t="shared" si="9"/>
        <v>51448.37</v>
      </c>
      <c r="H53" s="14">
        <f t="shared" si="9"/>
        <v>56893.729999999996</v>
      </c>
      <c r="I53" s="14">
        <f t="shared" si="9"/>
        <v>60262.07</v>
      </c>
      <c r="J53" s="14">
        <f t="shared" si="9"/>
        <v>54929.109999999993</v>
      </c>
      <c r="K53" s="14">
        <f t="shared" si="9"/>
        <v>76018.009999999995</v>
      </c>
      <c r="L53" s="14">
        <f t="shared" si="9"/>
        <v>60408.460000000006</v>
      </c>
      <c r="M53" s="14">
        <f t="shared" si="9"/>
        <v>58886.710000000006</v>
      </c>
      <c r="N53" s="14">
        <f t="shared" si="9"/>
        <v>42422.159999999996</v>
      </c>
      <c r="O53" s="14">
        <f>SUBTOTAL(109,O45:O52)</f>
        <v>683199.52</v>
      </c>
      <c r="P53" s="171">
        <f t="shared" si="8"/>
        <v>5.5823299417546192E-2</v>
      </c>
    </row>
    <row r="54" spans="1:16" ht="23.25" customHeight="1" thickBot="1" x14ac:dyDescent="0.25">
      <c r="A54" s="29"/>
      <c r="B54" s="35" t="s">
        <v>262</v>
      </c>
      <c r="C54" s="18">
        <f t="shared" ref="C54:O54" si="10">SUBTOTAL(109,C20:C53)</f>
        <v>350067.36549999996</v>
      </c>
      <c r="D54" s="18">
        <f t="shared" si="10"/>
        <v>363000.71196038858</v>
      </c>
      <c r="E54" s="18">
        <f t="shared" si="10"/>
        <v>386824.34418587358</v>
      </c>
      <c r="F54" s="18">
        <f t="shared" si="10"/>
        <v>371062.94184587355</v>
      </c>
      <c r="G54" s="18">
        <f t="shared" si="10"/>
        <v>388715.80814305576</v>
      </c>
      <c r="H54" s="18">
        <f t="shared" si="10"/>
        <v>394406.44718269946</v>
      </c>
      <c r="I54" s="18">
        <f t="shared" si="10"/>
        <v>480472.44099499483</v>
      </c>
      <c r="J54" s="18">
        <f t="shared" si="10"/>
        <v>423555.65703200747</v>
      </c>
      <c r="K54" s="18">
        <f t="shared" si="10"/>
        <v>494101.42949445202</v>
      </c>
      <c r="L54" s="18">
        <f t="shared" si="10"/>
        <v>451106.53307205223</v>
      </c>
      <c r="M54" s="18">
        <f t="shared" si="10"/>
        <v>432599.10132592428</v>
      </c>
      <c r="N54" s="18">
        <f t="shared" si="10"/>
        <v>414895.74662547233</v>
      </c>
      <c r="O54" s="18">
        <f t="shared" si="10"/>
        <v>4950808.5273627928</v>
      </c>
      <c r="P54" s="168">
        <f t="shared" si="8"/>
        <v>0.40452380116121001</v>
      </c>
    </row>
    <row r="55" spans="1:16" ht="23.25" customHeight="1" thickBot="1" x14ac:dyDescent="0.25">
      <c r="A55" s="70" t="s">
        <v>40</v>
      </c>
      <c r="B55" s="131" t="s">
        <v>271</v>
      </c>
      <c r="C55" s="64"/>
      <c r="D55" s="64"/>
      <c r="E55" s="64"/>
      <c r="F55" s="64"/>
      <c r="G55" s="64"/>
      <c r="H55" s="64"/>
      <c r="I55" s="64"/>
      <c r="J55" s="64"/>
      <c r="K55" s="64"/>
      <c r="L55" s="64"/>
      <c r="M55" s="64"/>
      <c r="N55" s="64"/>
      <c r="O55" s="64"/>
      <c r="P55" s="165"/>
    </row>
    <row r="56" spans="1:16" ht="23.25" customHeight="1" x14ac:dyDescent="0.2">
      <c r="A56" s="61" t="s">
        <v>16</v>
      </c>
      <c r="B56" s="102" t="s">
        <v>2</v>
      </c>
      <c r="C56" s="12">
        <f>SUMPRODUCT(-('Diário 1º PA'!$E$4:$E$2635='Analítico Cp.'!$B56),-('Diário 1º PA'!$Q$4:$Q$2635=C$1),('Diário 1º PA'!$F$4:$F$2635))+SUMPRODUCT(-('Diário 2º PA'!$E$4:$E$3040='Analítico Cp.'!$B56),-('Diário 2º PA'!$Q$4:$Q$3040=C$1),('Diário 2º PA'!$F$4:$F$3040))+SUMPRODUCT(-('Diário 3º PA'!$E$4:$E$2731='Analítico Cp.'!$B56),-('Diário 3º PA'!$Q$4:$Q$2731=C$1),('Diário 3º PA'!$F$4:$F$2731))+SUMPRODUCT(-('Diário 4º PA'!$E$4:$E$2564='Analítico Cp.'!$B56),-('Diário 4º PA'!$Q$4:$Q$2564=C$1),('Diário 4º PA'!$F$4:$F$2564))+SUMPRODUCT(-('Comp.'!$D$5:$D$69='Analítico Cp.'!$B56),-('Comp.'!$K$5:$K$69=C$1),('Comp.'!$E$5:$E$69))</f>
        <v>7366.18</v>
      </c>
      <c r="D56" s="12">
        <f>SUMPRODUCT(-('Diário 1º PA'!$E$4:$E$2635='Analítico Cp.'!$B56),-('Diário 1º PA'!$Q$4:$Q$2635=D$1),('Diário 1º PA'!$F$4:$F$2635))+SUMPRODUCT(-('Diário 2º PA'!$E$4:$E$3040='Analítico Cp.'!$B56),-('Diário 2º PA'!$Q$4:$Q$3040=D$1),('Diário 2º PA'!$F$4:$F$3040))+SUMPRODUCT(-('Diário 3º PA'!$E$4:$E$2731='Analítico Cp.'!$B56),-('Diário 3º PA'!$Q$4:$Q$2731=D$1),('Diário 3º PA'!$F$4:$F$2731))+SUMPRODUCT(-('Diário 4º PA'!$E$4:$E$2564='Analítico Cp.'!$B56),-('Diário 4º PA'!$Q$4:$Q$2564=D$1),('Diário 4º PA'!$F$4:$F$2564))+SUMPRODUCT(-('Comp.'!$D$5:$D$69='Analítico Cp.'!$B56),-('Comp.'!$K$5:$K$69=D$1),('Comp.'!$E$5:$E$69))</f>
        <v>7366.18</v>
      </c>
      <c r="E56" s="12">
        <f>SUMPRODUCT(-('Diário 1º PA'!$E$4:$E$2635='Analítico Cp.'!$B56),-('Diário 1º PA'!$Q$4:$Q$2635=E$1),('Diário 1º PA'!$F$4:$F$2635))+SUMPRODUCT(-('Diário 2º PA'!$E$4:$E$3040='Analítico Cp.'!$B56),-('Diário 2º PA'!$Q$4:$Q$3040=E$1),('Diário 2º PA'!$F$4:$F$3040))+SUMPRODUCT(-('Diário 3º PA'!$E$4:$E$2731='Analítico Cp.'!$B56),-('Diário 3º PA'!$Q$4:$Q$2731=E$1),('Diário 3º PA'!$F$4:$F$2731))+SUMPRODUCT(-('Diário 4º PA'!$E$4:$E$2564='Analítico Cp.'!$B56),-('Diário 4º PA'!$Q$4:$Q$2564=E$1),('Diário 4º PA'!$F$4:$F$2564))+SUMPRODUCT(-('Comp.'!$D$5:$D$69='Analítico Cp.'!$B56),-('Comp.'!$K$5:$K$69=E$1),('Comp.'!$E$5:$E$69))</f>
        <v>7127.72</v>
      </c>
      <c r="F56" s="12">
        <f>SUMPRODUCT(-('Diário 1º PA'!$E$4:$E$2635='Analítico Cp.'!$B56),-('Diário 1º PA'!$Q$4:$Q$2635=F$1),('Diário 1º PA'!$F$4:$F$2635))+SUMPRODUCT(-('Diário 2º PA'!$E$4:$E$3040='Analítico Cp.'!$B56),-('Diário 2º PA'!$Q$4:$Q$3040=F$1),('Diário 2º PA'!$F$4:$F$3040))+SUMPRODUCT(-('Diário 3º PA'!$E$4:$E$2731='Analítico Cp.'!$B56),-('Diário 3º PA'!$Q$4:$Q$2731=F$1),('Diário 3º PA'!$F$4:$F$2731))+SUMPRODUCT(-('Diário 4º PA'!$E$4:$E$2564='Analítico Cp.'!$B56),-('Diário 4º PA'!$Q$4:$Q$2564=F$1),('Diário 4º PA'!$F$4:$F$2564))+SUMPRODUCT(-('Comp.'!$D$5:$D$69='Analítico Cp.'!$B56),-('Comp.'!$K$5:$K$69=F$1),('Comp.'!$E$5:$E$69))</f>
        <v>7366.18</v>
      </c>
      <c r="G56" s="12">
        <f>SUMPRODUCT(-('Diário 1º PA'!$E$4:$E$2635='Analítico Cp.'!$B56),-('Diário 1º PA'!$Q$4:$Q$2635=G$1),('Diário 1º PA'!$F$4:$F$2635))+SUMPRODUCT(-('Diário 2º PA'!$E$4:$E$3040='Analítico Cp.'!$B56),-('Diário 2º PA'!$Q$4:$Q$3040=G$1),('Diário 2º PA'!$F$4:$F$3040))+SUMPRODUCT(-('Diário 3º PA'!$E$4:$E$2731='Analítico Cp.'!$B56),-('Diário 3º PA'!$Q$4:$Q$2731=G$1),('Diário 3º PA'!$F$4:$F$2731))+SUMPRODUCT(-('Diário 4º PA'!$E$4:$E$2564='Analítico Cp.'!$B56),-('Diário 4º PA'!$Q$4:$Q$2564=G$1),('Diário 4º PA'!$F$4:$F$2564))+SUMPRODUCT(-('Comp.'!$D$5:$D$69='Analítico Cp.'!$B56),-('Comp.'!$K$5:$K$69=G$1),('Comp.'!$E$5:$E$69))</f>
        <v>0</v>
      </c>
      <c r="H56" s="12">
        <f>SUMPRODUCT(-('Diário 1º PA'!$E$4:$E$2635='Analítico Cp.'!$B56),-('Diário 1º PA'!$Q$4:$Q$2635=H$1),('Diário 1º PA'!$F$4:$F$2635))+SUMPRODUCT(-('Diário 2º PA'!$E$4:$E$3040='Analítico Cp.'!$B56),-('Diário 2º PA'!$Q$4:$Q$3040=H$1),('Diário 2º PA'!$F$4:$F$3040))+SUMPRODUCT(-('Diário 3º PA'!$E$4:$E$2731='Analítico Cp.'!$B56),-('Diário 3º PA'!$Q$4:$Q$2731=H$1),('Diário 3º PA'!$F$4:$F$2731))+SUMPRODUCT(-('Diário 4º PA'!$E$4:$E$2564='Analítico Cp.'!$B56),-('Diário 4º PA'!$Q$4:$Q$2564=H$1),('Diário 4º PA'!$F$4:$F$2564))+SUMPRODUCT(-('Comp.'!$D$5:$D$69='Analítico Cp.'!$B56),-('Comp.'!$K$5:$K$69=H$1),('Comp.'!$E$5:$E$69))</f>
        <v>7527.0399999999991</v>
      </c>
      <c r="I56" s="12">
        <f>SUMPRODUCT(-('Diário 1º PA'!$E$4:$E$2635='Analítico Cp.'!$B56),-('Diário 1º PA'!$Q$4:$Q$2635=I$1),('Diário 1º PA'!$F$4:$F$2635))+SUMPRODUCT(-('Diário 2º PA'!$E$4:$E$3040='Analítico Cp.'!$B56),-('Diário 2º PA'!$Q$4:$Q$3040=I$1),('Diário 2º PA'!$F$4:$F$3040))+SUMPRODUCT(-('Diário 3º PA'!$E$4:$E$2731='Analítico Cp.'!$B56),-('Diário 3º PA'!$Q$4:$Q$2731=I$1),('Diário 3º PA'!$F$4:$F$2731))+SUMPRODUCT(-('Diário 4º PA'!$E$4:$E$2564='Analítico Cp.'!$B56),-('Diário 4º PA'!$Q$4:$Q$2564=I$1),('Diário 4º PA'!$F$4:$F$2564))+SUMPRODUCT(-('Comp.'!$D$5:$D$69='Analítico Cp.'!$B56),-('Comp.'!$K$5:$K$69=I$1),('Comp.'!$E$5:$E$69))</f>
        <v>7259.75</v>
      </c>
      <c r="J56" s="12">
        <f>SUMPRODUCT(-('Diário 1º PA'!$E$4:$E$2635='Analítico Cp.'!$B56),-('Diário 1º PA'!$Q$4:$Q$2635=J$1),('Diário 1º PA'!$F$4:$F$2635))+SUMPRODUCT(-('Diário 2º PA'!$E$4:$E$3040='Analítico Cp.'!$B56),-('Diário 2º PA'!$Q$4:$Q$3040=J$1),('Diário 2º PA'!$F$4:$F$3040))+SUMPRODUCT(-('Diário 3º PA'!$E$4:$E$2731='Analítico Cp.'!$B56),-('Diário 3º PA'!$Q$4:$Q$2731=J$1),('Diário 3º PA'!$F$4:$F$2731))+SUMPRODUCT(-('Diário 4º PA'!$E$4:$E$2564='Analítico Cp.'!$B56),-('Diário 4º PA'!$Q$4:$Q$2564=J$1),('Diário 4º PA'!$F$4:$F$2564))+SUMPRODUCT(-('Comp.'!$D$5:$D$69='Analítico Cp.'!$B56),-('Comp.'!$K$5:$K$69=J$1),('Comp.'!$E$5:$E$69))</f>
        <v>7259.75</v>
      </c>
      <c r="K56" s="12">
        <f>SUMPRODUCT(-('Diário 1º PA'!$E$4:$E$2635='Analítico Cp.'!$B56),-('Diário 1º PA'!$Q$4:$Q$2635=K$1),('Diário 1º PA'!$F$4:$F$2635))+SUMPRODUCT(-('Diário 2º PA'!$E$4:$E$3040='Analítico Cp.'!$B56),-('Diário 2º PA'!$Q$4:$Q$3040=K$1),('Diário 2º PA'!$F$4:$F$3040))+SUMPRODUCT(-('Diário 3º PA'!$E$4:$E$2731='Analítico Cp.'!$B56),-('Diário 3º PA'!$Q$4:$Q$2731=K$1),('Diário 3º PA'!$F$4:$F$2731))+SUMPRODUCT(-('Diário 4º PA'!$E$4:$E$2564='Analítico Cp.'!$B56),-('Diário 4º PA'!$Q$4:$Q$2564=K$1),('Diário 4º PA'!$F$4:$F$2564))+SUMPRODUCT(-('Comp.'!$D$5:$D$69='Analítico Cp.'!$B56),-('Comp.'!$K$5:$K$69=K$1),('Comp.'!$E$5:$E$69))</f>
        <v>7259.75</v>
      </c>
      <c r="L56" s="12">
        <f>SUMPRODUCT(-('Diário 1º PA'!$E$4:$E$2635='Analítico Cp.'!$B56),-('Diário 1º PA'!$Q$4:$Q$2635=L$1),('Diário 1º PA'!$F$4:$F$2635))+SUMPRODUCT(-('Diário 2º PA'!$E$4:$E$3040='Analítico Cp.'!$B56),-('Diário 2º PA'!$Q$4:$Q$3040=L$1),('Diário 2º PA'!$F$4:$F$3040))+SUMPRODUCT(-('Diário 3º PA'!$E$4:$E$2731='Analítico Cp.'!$B56),-('Diário 3º PA'!$Q$4:$Q$2731=L$1),('Diário 3º PA'!$F$4:$F$2731))+SUMPRODUCT(-('Diário 4º PA'!$E$4:$E$2564='Analítico Cp.'!$B56),-('Diário 4º PA'!$Q$4:$Q$2564=L$1),('Diário 4º PA'!$F$4:$F$2564))+SUMPRODUCT(-('Comp.'!$D$5:$D$69='Analítico Cp.'!$B56),-('Comp.'!$K$5:$K$69=L$1),('Comp.'!$E$5:$E$69))</f>
        <v>16768.02</v>
      </c>
      <c r="M56" s="12">
        <f>SUMPRODUCT(-('Diário 1º PA'!$E$4:$E$2635='Analítico Cp.'!$B56),-('Diário 1º PA'!$Q$4:$Q$2635=M$1),('Diário 1º PA'!$F$4:$F$2635))+SUMPRODUCT(-('Diário 2º PA'!$E$4:$E$3040='Analítico Cp.'!$B56),-('Diário 2º PA'!$Q$4:$Q$3040=M$1),('Diário 2º PA'!$F$4:$F$3040))+SUMPRODUCT(-('Diário 3º PA'!$E$4:$E$2731='Analítico Cp.'!$B56),-('Diário 3º PA'!$Q$4:$Q$2731=M$1),('Diário 3º PA'!$F$4:$F$2731))+SUMPRODUCT(-('Diário 4º PA'!$E$4:$E$2564='Analítico Cp.'!$B56),-('Diário 4º PA'!$Q$4:$Q$2564=M$1),('Diário 4º PA'!$F$4:$F$2564))+SUMPRODUCT(-('Comp.'!$D$5:$D$69='Analítico Cp.'!$B56),-('Comp.'!$K$5:$K$69=M$1),('Comp.'!$E$5:$E$69))</f>
        <v>14790.29</v>
      </c>
      <c r="N56" s="12">
        <f>SUMPRODUCT(-('Diário 1º PA'!$E$4:$E$2635='Analítico Cp.'!$B56),-('Diário 1º PA'!$Q$4:$Q$2635=N$1),('Diário 1º PA'!$F$4:$F$2635))+SUMPRODUCT(-('Diário 2º PA'!$E$4:$E$3040='Analítico Cp.'!$B56),-('Diário 2º PA'!$Q$4:$Q$3040=N$1),('Diário 2º PA'!$F$4:$F$3040))+SUMPRODUCT(-('Diário 3º PA'!$E$4:$E$2731='Analítico Cp.'!$B56),-('Diário 3º PA'!$Q$4:$Q$2731=N$1),('Diário 3º PA'!$F$4:$F$2731))+SUMPRODUCT(-('Diário 4º PA'!$E$4:$E$2564='Analítico Cp.'!$B56),-('Diário 4º PA'!$Q$4:$Q$2564=N$1),('Diário 4º PA'!$F$4:$F$2564))+SUMPRODUCT(-('Comp.'!$D$5:$D$69='Analítico Cp.'!$B56),-('Comp.'!$K$5:$K$69=N$1),('Comp.'!$E$5:$E$69))</f>
        <v>0</v>
      </c>
      <c r="O56" s="13">
        <f>SUM(C56:N56)</f>
        <v>90090.860000000015</v>
      </c>
      <c r="P56" s="167">
        <f t="shared" ref="P56:P87" si="11">IF($O$164=0,0,O56/$O$164)</f>
        <v>7.3612010918336652E-3</v>
      </c>
    </row>
    <row r="57" spans="1:16" ht="23.25" customHeight="1" x14ac:dyDescent="0.2">
      <c r="A57" s="61" t="s">
        <v>17</v>
      </c>
      <c r="B57" s="102" t="s">
        <v>155</v>
      </c>
      <c r="C57" s="12">
        <f>SUMPRODUCT(-('Diário 1º PA'!$E$4:$E$2635='Analítico Cp.'!$B57),-('Diário 1º PA'!$Q$4:$Q$2635=C$1),('Diário 1º PA'!$F$4:$F$2635))+SUMPRODUCT(-('Diário 2º PA'!$E$4:$E$3040='Analítico Cp.'!$B57),-('Diário 2º PA'!$Q$4:$Q$3040=C$1),('Diário 2º PA'!$F$4:$F$3040))+SUMPRODUCT(-('Diário 3º PA'!$E$4:$E$2731='Analítico Cp.'!$B57),-('Diário 3º PA'!$Q$4:$Q$2731=C$1),('Diário 3º PA'!$F$4:$F$2731))+SUMPRODUCT(-('Diário 4º PA'!$E$4:$E$2564='Analítico Cp.'!$B57),-('Diário 4º PA'!$Q$4:$Q$2564=C$1),('Diário 4º PA'!$F$4:$F$2564))+SUMPRODUCT(-('Comp.'!$D$5:$D$69='Analítico Cp.'!$B57),-('Comp.'!$K$5:$K$69=C$1),('Comp.'!$E$5:$E$69))</f>
        <v>0</v>
      </c>
      <c r="D57" s="12">
        <f>SUMPRODUCT(-('Diário 1º PA'!$E$4:$E$2635='Analítico Cp.'!$B57),-('Diário 1º PA'!$Q$4:$Q$2635=D$1),('Diário 1º PA'!$F$4:$F$2635))+SUMPRODUCT(-('Diário 2º PA'!$E$4:$E$3040='Analítico Cp.'!$B57),-('Diário 2º PA'!$Q$4:$Q$3040=D$1),('Diário 2º PA'!$F$4:$F$3040))+SUMPRODUCT(-('Diário 3º PA'!$E$4:$E$2731='Analítico Cp.'!$B57),-('Diário 3º PA'!$Q$4:$Q$2731=D$1),('Diário 3º PA'!$F$4:$F$2731))+SUMPRODUCT(-('Diário 4º PA'!$E$4:$E$2564='Analítico Cp.'!$B57),-('Diário 4º PA'!$Q$4:$Q$2564=D$1),('Diário 4º PA'!$F$4:$F$2564))+SUMPRODUCT(-('Comp.'!$D$5:$D$69='Analítico Cp.'!$B57),-('Comp.'!$K$5:$K$69=D$1),('Comp.'!$E$5:$E$69))</f>
        <v>0</v>
      </c>
      <c r="E57" s="12">
        <f>SUMPRODUCT(-('Diário 1º PA'!$E$4:$E$2635='Analítico Cp.'!$B57),-('Diário 1º PA'!$Q$4:$Q$2635=E$1),('Diário 1º PA'!$F$4:$F$2635))+SUMPRODUCT(-('Diário 2º PA'!$E$4:$E$3040='Analítico Cp.'!$B57),-('Diário 2º PA'!$Q$4:$Q$3040=E$1),('Diário 2º PA'!$F$4:$F$3040))+SUMPRODUCT(-('Diário 3º PA'!$E$4:$E$2731='Analítico Cp.'!$B57),-('Diário 3º PA'!$Q$4:$Q$2731=E$1),('Diário 3º PA'!$F$4:$F$2731))+SUMPRODUCT(-('Diário 4º PA'!$E$4:$E$2564='Analítico Cp.'!$B57),-('Diário 4º PA'!$Q$4:$Q$2564=E$1),('Diário 4º PA'!$F$4:$F$2564))+SUMPRODUCT(-('Comp.'!$D$5:$D$69='Analítico Cp.'!$B57),-('Comp.'!$K$5:$K$69=E$1),('Comp.'!$E$5:$E$69))</f>
        <v>0</v>
      </c>
      <c r="F57" s="12">
        <f>SUMPRODUCT(-('Diário 1º PA'!$E$4:$E$2635='Analítico Cp.'!$B57),-('Diário 1º PA'!$Q$4:$Q$2635=F$1),('Diário 1º PA'!$F$4:$F$2635))+SUMPRODUCT(-('Diário 2º PA'!$E$4:$E$3040='Analítico Cp.'!$B57),-('Diário 2º PA'!$Q$4:$Q$3040=F$1),('Diário 2º PA'!$F$4:$F$3040))+SUMPRODUCT(-('Diário 3º PA'!$E$4:$E$2731='Analítico Cp.'!$B57),-('Diário 3º PA'!$Q$4:$Q$2731=F$1),('Diário 3º PA'!$F$4:$F$2731))+SUMPRODUCT(-('Diário 4º PA'!$E$4:$E$2564='Analítico Cp.'!$B57),-('Diário 4º PA'!$Q$4:$Q$2564=F$1),('Diário 4º PA'!$F$4:$F$2564))+SUMPRODUCT(-('Comp.'!$D$5:$D$69='Analítico Cp.'!$B57),-('Comp.'!$K$5:$K$69=F$1),('Comp.'!$E$5:$E$69))</f>
        <v>0</v>
      </c>
      <c r="G57" s="12">
        <f>SUMPRODUCT(-('Diário 1º PA'!$E$4:$E$2635='Analítico Cp.'!$B57),-('Diário 1º PA'!$Q$4:$Q$2635=G$1),('Diário 1º PA'!$F$4:$F$2635))+SUMPRODUCT(-('Diário 2º PA'!$E$4:$E$3040='Analítico Cp.'!$B57),-('Diário 2º PA'!$Q$4:$Q$3040=G$1),('Diário 2º PA'!$F$4:$F$3040))+SUMPRODUCT(-('Diário 3º PA'!$E$4:$E$2731='Analítico Cp.'!$B57),-('Diário 3º PA'!$Q$4:$Q$2731=G$1),('Diário 3º PA'!$F$4:$F$2731))+SUMPRODUCT(-('Diário 4º PA'!$E$4:$E$2564='Analítico Cp.'!$B57),-('Diário 4º PA'!$Q$4:$Q$2564=G$1),('Diário 4º PA'!$F$4:$F$2564))+SUMPRODUCT(-('Comp.'!$D$5:$D$69='Analítico Cp.'!$B57),-('Comp.'!$K$5:$K$69=G$1),('Comp.'!$E$5:$E$69))</f>
        <v>0</v>
      </c>
      <c r="H57" s="12">
        <f>SUMPRODUCT(-('Diário 1º PA'!$E$4:$E$2635='Analítico Cp.'!$B57),-('Diário 1º PA'!$Q$4:$Q$2635=H$1),('Diário 1º PA'!$F$4:$F$2635))+SUMPRODUCT(-('Diário 2º PA'!$E$4:$E$3040='Analítico Cp.'!$B57),-('Diário 2º PA'!$Q$4:$Q$3040=H$1),('Diário 2º PA'!$F$4:$F$3040))+SUMPRODUCT(-('Diário 3º PA'!$E$4:$E$2731='Analítico Cp.'!$B57),-('Diário 3º PA'!$Q$4:$Q$2731=H$1),('Diário 3º PA'!$F$4:$F$2731))+SUMPRODUCT(-('Diário 4º PA'!$E$4:$E$2564='Analítico Cp.'!$B57),-('Diário 4º PA'!$Q$4:$Q$2564=H$1),('Diário 4º PA'!$F$4:$F$2564))+SUMPRODUCT(-('Comp.'!$D$5:$D$69='Analítico Cp.'!$B57),-('Comp.'!$K$5:$K$69=H$1),('Comp.'!$E$5:$E$69))</f>
        <v>0</v>
      </c>
      <c r="I57" s="12">
        <f>SUMPRODUCT(-('Diário 1º PA'!$E$4:$E$2635='Analítico Cp.'!$B57),-('Diário 1º PA'!$Q$4:$Q$2635=I$1),('Diário 1º PA'!$F$4:$F$2635))+SUMPRODUCT(-('Diário 2º PA'!$E$4:$E$3040='Analítico Cp.'!$B57),-('Diário 2º PA'!$Q$4:$Q$3040=I$1),('Diário 2º PA'!$F$4:$F$3040))+SUMPRODUCT(-('Diário 3º PA'!$E$4:$E$2731='Analítico Cp.'!$B57),-('Diário 3º PA'!$Q$4:$Q$2731=I$1),('Diário 3º PA'!$F$4:$F$2731))+SUMPRODUCT(-('Diário 4º PA'!$E$4:$E$2564='Analítico Cp.'!$B57),-('Diário 4º PA'!$Q$4:$Q$2564=I$1),('Diário 4º PA'!$F$4:$F$2564))+SUMPRODUCT(-('Comp.'!$D$5:$D$69='Analítico Cp.'!$B57),-('Comp.'!$K$5:$K$69=I$1),('Comp.'!$E$5:$E$69))</f>
        <v>0</v>
      </c>
      <c r="J57" s="12">
        <f>SUMPRODUCT(-('Diário 1º PA'!$E$4:$E$2635='Analítico Cp.'!$B57),-('Diário 1º PA'!$Q$4:$Q$2635=J$1),('Diário 1º PA'!$F$4:$F$2635))+SUMPRODUCT(-('Diário 2º PA'!$E$4:$E$3040='Analítico Cp.'!$B57),-('Diário 2º PA'!$Q$4:$Q$3040=J$1),('Diário 2º PA'!$F$4:$F$3040))+SUMPRODUCT(-('Diário 3º PA'!$E$4:$E$2731='Analítico Cp.'!$B57),-('Diário 3º PA'!$Q$4:$Q$2731=J$1),('Diário 3º PA'!$F$4:$F$2731))+SUMPRODUCT(-('Diário 4º PA'!$E$4:$E$2564='Analítico Cp.'!$B57),-('Diário 4º PA'!$Q$4:$Q$2564=J$1),('Diário 4º PA'!$F$4:$F$2564))+SUMPRODUCT(-('Comp.'!$D$5:$D$69='Analítico Cp.'!$B57),-('Comp.'!$K$5:$K$69=J$1),('Comp.'!$E$5:$E$69))</f>
        <v>0</v>
      </c>
      <c r="K57" s="12">
        <f>SUMPRODUCT(-('Diário 1º PA'!$E$4:$E$2635='Analítico Cp.'!$B57),-('Diário 1º PA'!$Q$4:$Q$2635=K$1),('Diário 1º PA'!$F$4:$F$2635))+SUMPRODUCT(-('Diário 2º PA'!$E$4:$E$3040='Analítico Cp.'!$B57),-('Diário 2º PA'!$Q$4:$Q$3040=K$1),('Diário 2º PA'!$F$4:$F$3040))+SUMPRODUCT(-('Diário 3º PA'!$E$4:$E$2731='Analítico Cp.'!$B57),-('Diário 3º PA'!$Q$4:$Q$2731=K$1),('Diário 3º PA'!$F$4:$F$2731))+SUMPRODUCT(-('Diário 4º PA'!$E$4:$E$2564='Analítico Cp.'!$B57),-('Diário 4º PA'!$Q$4:$Q$2564=K$1),('Diário 4º PA'!$F$4:$F$2564))+SUMPRODUCT(-('Comp.'!$D$5:$D$69='Analítico Cp.'!$B57),-('Comp.'!$K$5:$K$69=K$1),('Comp.'!$E$5:$E$69))</f>
        <v>0</v>
      </c>
      <c r="L57" s="12">
        <f>SUMPRODUCT(-('Diário 1º PA'!$E$4:$E$2635='Analítico Cp.'!$B57),-('Diário 1º PA'!$Q$4:$Q$2635=L$1),('Diário 1º PA'!$F$4:$F$2635))+SUMPRODUCT(-('Diário 2º PA'!$E$4:$E$3040='Analítico Cp.'!$B57),-('Diário 2º PA'!$Q$4:$Q$3040=L$1),('Diário 2º PA'!$F$4:$F$3040))+SUMPRODUCT(-('Diário 3º PA'!$E$4:$E$2731='Analítico Cp.'!$B57),-('Diário 3º PA'!$Q$4:$Q$2731=L$1),('Diário 3º PA'!$F$4:$F$2731))+SUMPRODUCT(-('Diário 4º PA'!$E$4:$E$2564='Analítico Cp.'!$B57),-('Diário 4º PA'!$Q$4:$Q$2564=L$1),('Diário 4º PA'!$F$4:$F$2564))+SUMPRODUCT(-('Comp.'!$D$5:$D$69='Analítico Cp.'!$B57),-('Comp.'!$K$5:$K$69=L$1),('Comp.'!$E$5:$E$69))</f>
        <v>0</v>
      </c>
      <c r="M57" s="12">
        <f>SUMPRODUCT(-('Diário 1º PA'!$E$4:$E$2635='Analítico Cp.'!$B57),-('Diário 1º PA'!$Q$4:$Q$2635=M$1),('Diário 1º PA'!$F$4:$F$2635))+SUMPRODUCT(-('Diário 2º PA'!$E$4:$E$3040='Analítico Cp.'!$B57),-('Diário 2º PA'!$Q$4:$Q$3040=M$1),('Diário 2º PA'!$F$4:$F$3040))+SUMPRODUCT(-('Diário 3º PA'!$E$4:$E$2731='Analítico Cp.'!$B57),-('Diário 3º PA'!$Q$4:$Q$2731=M$1),('Diário 3º PA'!$F$4:$F$2731))+SUMPRODUCT(-('Diário 4º PA'!$E$4:$E$2564='Analítico Cp.'!$B57),-('Diário 4º PA'!$Q$4:$Q$2564=M$1),('Diário 4º PA'!$F$4:$F$2564))+SUMPRODUCT(-('Comp.'!$D$5:$D$69='Analítico Cp.'!$B57),-('Comp.'!$K$5:$K$69=M$1),('Comp.'!$E$5:$E$69))</f>
        <v>0</v>
      </c>
      <c r="N57" s="12">
        <f>SUMPRODUCT(-('Diário 1º PA'!$E$4:$E$2635='Analítico Cp.'!$B57),-('Diário 1º PA'!$Q$4:$Q$2635=N$1),('Diário 1º PA'!$F$4:$F$2635))+SUMPRODUCT(-('Diário 2º PA'!$E$4:$E$3040='Analítico Cp.'!$B57),-('Diário 2º PA'!$Q$4:$Q$3040=N$1),('Diário 2º PA'!$F$4:$F$3040))+SUMPRODUCT(-('Diário 3º PA'!$E$4:$E$2731='Analítico Cp.'!$B57),-('Diário 3º PA'!$Q$4:$Q$2731=N$1),('Diário 3º PA'!$F$4:$F$2731))+SUMPRODUCT(-('Diário 4º PA'!$E$4:$E$2564='Analítico Cp.'!$B57),-('Diário 4º PA'!$Q$4:$Q$2564=N$1),('Diário 4º PA'!$F$4:$F$2564))+SUMPRODUCT(-('Comp.'!$D$5:$D$69='Analítico Cp.'!$B57),-('Comp.'!$K$5:$K$69=N$1),('Comp.'!$E$5:$E$69))</f>
        <v>0</v>
      </c>
      <c r="O57" s="13">
        <f t="shared" ref="O57:O116" si="12">SUM(C57:N57)</f>
        <v>0</v>
      </c>
      <c r="P57" s="167">
        <f t="shared" si="11"/>
        <v>0</v>
      </c>
    </row>
    <row r="58" spans="1:16" ht="23.25" customHeight="1" x14ac:dyDescent="0.2">
      <c r="A58" s="61" t="s">
        <v>18</v>
      </c>
      <c r="B58" s="102" t="s">
        <v>3</v>
      </c>
      <c r="C58" s="12">
        <f>SUMPRODUCT(-('Diário 1º PA'!$E$4:$E$2635='Analítico Cp.'!$B58),-('Diário 1º PA'!$Q$4:$Q$2635=C$1),('Diário 1º PA'!$F$4:$F$2635))+SUMPRODUCT(-('Diário 2º PA'!$E$4:$E$3040='Analítico Cp.'!$B58),-('Diário 2º PA'!$Q$4:$Q$3040=C$1),('Diário 2º PA'!$F$4:$F$3040))+SUMPRODUCT(-('Diário 3º PA'!$E$4:$E$2731='Analítico Cp.'!$B58),-('Diário 3º PA'!$Q$4:$Q$2731=C$1),('Diário 3º PA'!$F$4:$F$2731))+SUMPRODUCT(-('Diário 4º PA'!$E$4:$E$2564='Analítico Cp.'!$B58),-('Diário 4º PA'!$Q$4:$Q$2564=C$1),('Diário 4º PA'!$F$4:$F$2564))+SUMPRODUCT(-('Comp.'!$D$5:$D$69='Analítico Cp.'!$B58),-('Comp.'!$K$5:$K$69=C$1),('Comp.'!$E$5:$E$69))</f>
        <v>1257.44</v>
      </c>
      <c r="D58" s="12">
        <f>SUMPRODUCT(-('Diário 1º PA'!$E$4:$E$2635='Analítico Cp.'!$B58),-('Diário 1º PA'!$Q$4:$Q$2635=D$1),('Diário 1º PA'!$F$4:$F$2635))+SUMPRODUCT(-('Diário 2º PA'!$E$4:$E$3040='Analítico Cp.'!$B58),-('Diário 2º PA'!$Q$4:$Q$3040=D$1),('Diário 2º PA'!$F$4:$F$3040))+SUMPRODUCT(-('Diário 3º PA'!$E$4:$E$2731='Analítico Cp.'!$B58),-('Diário 3º PA'!$Q$4:$Q$2731=D$1),('Diário 3º PA'!$F$4:$F$2731))+SUMPRODUCT(-('Diário 4º PA'!$E$4:$E$2564='Analítico Cp.'!$B58),-('Diário 4º PA'!$Q$4:$Q$2564=D$1),('Diário 4º PA'!$F$4:$F$2564))+SUMPRODUCT(-('Comp.'!$D$5:$D$69='Analítico Cp.'!$B58),-('Comp.'!$K$5:$K$69=D$1),('Comp.'!$E$5:$E$69))</f>
        <v>1257.44</v>
      </c>
      <c r="E58" s="12">
        <f>SUMPRODUCT(-('Diário 1º PA'!$E$4:$E$2635='Analítico Cp.'!$B58),-('Diário 1º PA'!$Q$4:$Q$2635=E$1),('Diário 1º PA'!$F$4:$F$2635))+SUMPRODUCT(-('Diário 2º PA'!$E$4:$E$3040='Analítico Cp.'!$B58),-('Diário 2º PA'!$Q$4:$Q$3040=E$1),('Diário 2º PA'!$F$4:$F$3040))+SUMPRODUCT(-('Diário 3º PA'!$E$4:$E$2731='Analítico Cp.'!$B58),-('Diário 3º PA'!$Q$4:$Q$2731=E$1),('Diário 3º PA'!$F$4:$F$2731))+SUMPRODUCT(-('Diário 4º PA'!$E$4:$E$2564='Analítico Cp.'!$B58),-('Diário 4º PA'!$Q$4:$Q$2564=E$1),('Diário 4º PA'!$F$4:$F$2564))+SUMPRODUCT(-('Comp.'!$D$5:$D$69='Analítico Cp.'!$B58),-('Comp.'!$K$5:$K$69=E$1),('Comp.'!$E$5:$E$69))</f>
        <v>1257.44</v>
      </c>
      <c r="F58" s="12">
        <f>SUMPRODUCT(-('Diário 1º PA'!$E$4:$E$2635='Analítico Cp.'!$B58),-('Diário 1º PA'!$Q$4:$Q$2635=F$1),('Diário 1º PA'!$F$4:$F$2635))+SUMPRODUCT(-('Diário 2º PA'!$E$4:$E$3040='Analítico Cp.'!$B58),-('Diário 2º PA'!$Q$4:$Q$3040=F$1),('Diário 2º PA'!$F$4:$F$3040))+SUMPRODUCT(-('Diário 3º PA'!$E$4:$E$2731='Analítico Cp.'!$B58),-('Diário 3º PA'!$Q$4:$Q$2731=F$1),('Diário 3º PA'!$F$4:$F$2731))+SUMPRODUCT(-('Diário 4º PA'!$E$4:$E$2564='Analítico Cp.'!$B58),-('Diário 4º PA'!$Q$4:$Q$2564=F$1),('Diário 4º PA'!$F$4:$F$2564))+SUMPRODUCT(-('Comp.'!$D$5:$D$69='Analítico Cp.'!$B58),-('Comp.'!$K$5:$K$69=F$1),('Comp.'!$E$5:$E$69))</f>
        <v>1257.44</v>
      </c>
      <c r="G58" s="12">
        <f>SUMPRODUCT(-('Diário 1º PA'!$E$4:$E$2635='Analítico Cp.'!$B58),-('Diário 1º PA'!$Q$4:$Q$2635=G$1),('Diário 1º PA'!$F$4:$F$2635))+SUMPRODUCT(-('Diário 2º PA'!$E$4:$E$3040='Analítico Cp.'!$B58),-('Diário 2º PA'!$Q$4:$Q$3040=G$1),('Diário 2º PA'!$F$4:$F$3040))+SUMPRODUCT(-('Diário 3º PA'!$E$4:$E$2731='Analítico Cp.'!$B58),-('Diário 3º PA'!$Q$4:$Q$2731=G$1),('Diário 3º PA'!$F$4:$F$2731))+SUMPRODUCT(-('Diário 4º PA'!$E$4:$E$2564='Analítico Cp.'!$B58),-('Diário 4º PA'!$Q$4:$Q$2564=G$1),('Diário 4º PA'!$F$4:$F$2564))+SUMPRODUCT(-('Comp.'!$D$5:$D$69='Analítico Cp.'!$B58),-('Comp.'!$K$5:$K$69=G$1),('Comp.'!$E$5:$E$69))</f>
        <v>0</v>
      </c>
      <c r="H58" s="12">
        <f>SUMPRODUCT(-('Diário 1º PA'!$E$4:$E$2635='Analítico Cp.'!$B58),-('Diário 1º PA'!$Q$4:$Q$2635=H$1),('Diário 1º PA'!$F$4:$F$2635))+SUMPRODUCT(-('Diário 2º PA'!$E$4:$E$3040='Analítico Cp.'!$B58),-('Diário 2º PA'!$Q$4:$Q$3040=H$1),('Diário 2º PA'!$F$4:$F$3040))+SUMPRODUCT(-('Diário 3º PA'!$E$4:$E$2731='Analítico Cp.'!$B58),-('Diário 3º PA'!$Q$4:$Q$2731=H$1),('Diário 3º PA'!$F$4:$F$2731))+SUMPRODUCT(-('Diário 4º PA'!$E$4:$E$2564='Analítico Cp.'!$B58),-('Diário 4º PA'!$Q$4:$Q$2564=H$1),('Diário 4º PA'!$F$4:$F$2564))+SUMPRODUCT(-('Comp.'!$D$5:$D$69='Analítico Cp.'!$B58),-('Comp.'!$K$5:$K$69=H$1),('Comp.'!$E$5:$E$69))</f>
        <v>1257.44</v>
      </c>
      <c r="I58" s="12">
        <f>SUMPRODUCT(-('Diário 1º PA'!$E$4:$E$2635='Analítico Cp.'!$B58),-('Diário 1º PA'!$Q$4:$Q$2635=I$1),('Diário 1º PA'!$F$4:$F$2635))+SUMPRODUCT(-('Diário 2º PA'!$E$4:$E$3040='Analítico Cp.'!$B58),-('Diário 2º PA'!$Q$4:$Q$3040=I$1),('Diário 2º PA'!$F$4:$F$3040))+SUMPRODUCT(-('Diário 3º PA'!$E$4:$E$2731='Analítico Cp.'!$B58),-('Diário 3º PA'!$Q$4:$Q$2731=I$1),('Diário 3º PA'!$F$4:$F$2731))+SUMPRODUCT(-('Diário 4º PA'!$E$4:$E$2564='Analítico Cp.'!$B58),-('Diário 4º PA'!$Q$4:$Q$2564=I$1),('Diário 4º PA'!$F$4:$F$2564))+SUMPRODUCT(-('Comp.'!$D$5:$D$69='Analítico Cp.'!$B58),-('Comp.'!$K$5:$K$69=I$1),('Comp.'!$E$5:$E$69))</f>
        <v>1257.44</v>
      </c>
      <c r="J58" s="12">
        <f>SUMPRODUCT(-('Diário 1º PA'!$E$4:$E$2635='Analítico Cp.'!$B58),-('Diário 1º PA'!$Q$4:$Q$2635=J$1),('Diário 1º PA'!$F$4:$F$2635))+SUMPRODUCT(-('Diário 2º PA'!$E$4:$E$3040='Analítico Cp.'!$B58),-('Diário 2º PA'!$Q$4:$Q$3040=J$1),('Diário 2º PA'!$F$4:$F$3040))+SUMPRODUCT(-('Diário 3º PA'!$E$4:$E$2731='Analítico Cp.'!$B58),-('Diário 3º PA'!$Q$4:$Q$2731=J$1),('Diário 3º PA'!$F$4:$F$2731))+SUMPRODUCT(-('Diário 4º PA'!$E$4:$E$2564='Analítico Cp.'!$B58),-('Diário 4º PA'!$Q$4:$Q$2564=J$1),('Diário 4º PA'!$F$4:$F$2564))+SUMPRODUCT(-('Comp.'!$D$5:$D$69='Analítico Cp.'!$B58),-('Comp.'!$K$5:$K$69=J$1),('Comp.'!$E$5:$E$69))</f>
        <v>1257.44</v>
      </c>
      <c r="K58" s="12">
        <f>SUMPRODUCT(-('Diário 1º PA'!$E$4:$E$2635='Analítico Cp.'!$B58),-('Diário 1º PA'!$Q$4:$Q$2635=K$1),('Diário 1º PA'!$F$4:$F$2635))+SUMPRODUCT(-('Diário 2º PA'!$E$4:$E$3040='Analítico Cp.'!$B58),-('Diário 2º PA'!$Q$4:$Q$3040=K$1),('Diário 2º PA'!$F$4:$F$3040))+SUMPRODUCT(-('Diário 3º PA'!$E$4:$E$2731='Analítico Cp.'!$B58),-('Diário 3º PA'!$Q$4:$Q$2731=K$1),('Diário 3º PA'!$F$4:$F$2731))+SUMPRODUCT(-('Diário 4º PA'!$E$4:$E$2564='Analítico Cp.'!$B58),-('Diário 4º PA'!$Q$4:$Q$2564=K$1),('Diário 4º PA'!$F$4:$F$2564))+SUMPRODUCT(-('Comp.'!$D$5:$D$69='Analítico Cp.'!$B58),-('Comp.'!$K$5:$K$69=K$1),('Comp.'!$E$5:$E$69))</f>
        <v>1257.44</v>
      </c>
      <c r="L58" s="12">
        <f>SUMPRODUCT(-('Diário 1º PA'!$E$4:$E$2635='Analítico Cp.'!$B58),-('Diário 1º PA'!$Q$4:$Q$2635=L$1),('Diário 1º PA'!$F$4:$F$2635))+SUMPRODUCT(-('Diário 2º PA'!$E$4:$E$3040='Analítico Cp.'!$B58),-('Diário 2º PA'!$Q$4:$Q$3040=L$1),('Diário 2º PA'!$F$4:$F$3040))+SUMPRODUCT(-('Diário 3º PA'!$E$4:$E$2731='Analítico Cp.'!$B58),-('Diário 3º PA'!$Q$4:$Q$2731=L$1),('Diário 3º PA'!$F$4:$F$2731))+SUMPRODUCT(-('Diário 4º PA'!$E$4:$E$2564='Analítico Cp.'!$B58),-('Diário 4º PA'!$Q$4:$Q$2564=L$1),('Diário 4º PA'!$F$4:$F$2564))+SUMPRODUCT(-('Comp.'!$D$5:$D$69='Analítico Cp.'!$B58),-('Comp.'!$K$5:$K$69=L$1),('Comp.'!$E$5:$E$69))</f>
        <v>0</v>
      </c>
      <c r="M58" s="12">
        <f>SUMPRODUCT(-('Diário 1º PA'!$E$4:$E$2635='Analítico Cp.'!$B58),-('Diário 1º PA'!$Q$4:$Q$2635=M$1),('Diário 1º PA'!$F$4:$F$2635))+SUMPRODUCT(-('Diário 2º PA'!$E$4:$E$3040='Analítico Cp.'!$B58),-('Diário 2º PA'!$Q$4:$Q$3040=M$1),('Diário 2º PA'!$F$4:$F$3040))+SUMPRODUCT(-('Diário 3º PA'!$E$4:$E$2731='Analítico Cp.'!$B58),-('Diário 3º PA'!$Q$4:$Q$2731=M$1),('Diário 3º PA'!$F$4:$F$2731))+SUMPRODUCT(-('Diário 4º PA'!$E$4:$E$2564='Analítico Cp.'!$B58),-('Diário 4º PA'!$Q$4:$Q$2564=M$1),('Diário 4º PA'!$F$4:$F$2564))+SUMPRODUCT(-('Comp.'!$D$5:$D$69='Analítico Cp.'!$B58),-('Comp.'!$K$5:$K$69=M$1),('Comp.'!$E$5:$E$69))</f>
        <v>0</v>
      </c>
      <c r="N58" s="12">
        <f>SUMPRODUCT(-('Diário 1º PA'!$E$4:$E$2635='Analítico Cp.'!$B58),-('Diário 1º PA'!$Q$4:$Q$2635=N$1),('Diário 1º PA'!$F$4:$F$2635))+SUMPRODUCT(-('Diário 2º PA'!$E$4:$E$3040='Analítico Cp.'!$B58),-('Diário 2º PA'!$Q$4:$Q$3040=N$1),('Diário 2º PA'!$F$4:$F$3040))+SUMPRODUCT(-('Diário 3º PA'!$E$4:$E$2731='Analítico Cp.'!$B58),-('Diário 3º PA'!$Q$4:$Q$2731=N$1),('Diário 3º PA'!$F$4:$F$2731))+SUMPRODUCT(-('Diário 4º PA'!$E$4:$E$2564='Analítico Cp.'!$B58),-('Diário 4º PA'!$Q$4:$Q$2564=N$1),('Diário 4º PA'!$F$4:$F$2564))+SUMPRODUCT(-('Comp.'!$D$5:$D$69='Analítico Cp.'!$B58),-('Comp.'!$K$5:$K$69=N$1),('Comp.'!$E$5:$E$69))</f>
        <v>0</v>
      </c>
      <c r="O58" s="13">
        <f t="shared" si="12"/>
        <v>10059.520000000002</v>
      </c>
      <c r="P58" s="167">
        <f t="shared" si="11"/>
        <v>8.2194963625968934E-4</v>
      </c>
    </row>
    <row r="59" spans="1:16" ht="23.25" customHeight="1" x14ac:dyDescent="0.2">
      <c r="A59" s="61" t="s">
        <v>19</v>
      </c>
      <c r="B59" s="102" t="s">
        <v>65</v>
      </c>
      <c r="C59" s="12">
        <f>SUMPRODUCT(-('Diário 1º PA'!$E$4:$E$2635='Analítico Cp.'!$B59),-('Diário 1º PA'!$Q$4:$Q$2635=C$1),('Diário 1º PA'!$F$4:$F$2635))+SUMPRODUCT(-('Diário 2º PA'!$E$4:$E$3040='Analítico Cp.'!$B59),-('Diário 2º PA'!$Q$4:$Q$3040=C$1),('Diário 2º PA'!$F$4:$F$3040))+SUMPRODUCT(-('Diário 3º PA'!$E$4:$E$2731='Analítico Cp.'!$B59),-('Diário 3º PA'!$Q$4:$Q$2731=C$1),('Diário 3º PA'!$F$4:$F$2731))+SUMPRODUCT(-('Diário 4º PA'!$E$4:$E$2564='Analítico Cp.'!$B59),-('Diário 4º PA'!$Q$4:$Q$2564=C$1),('Diário 4º PA'!$F$4:$F$2564))+SUMPRODUCT(-('Comp.'!$D$5:$D$69='Analítico Cp.'!$B59),-('Comp.'!$K$5:$K$69=C$1),('Comp.'!$E$5:$E$69))</f>
        <v>0</v>
      </c>
      <c r="D59" s="12">
        <f>SUMPRODUCT(-('Diário 1º PA'!$E$4:$E$2635='Analítico Cp.'!$B59),-('Diário 1º PA'!$Q$4:$Q$2635=D$1),('Diário 1º PA'!$F$4:$F$2635))+SUMPRODUCT(-('Diário 2º PA'!$E$4:$E$3040='Analítico Cp.'!$B59),-('Diário 2º PA'!$Q$4:$Q$3040=D$1),('Diário 2º PA'!$F$4:$F$3040))+SUMPRODUCT(-('Diário 3º PA'!$E$4:$E$2731='Analítico Cp.'!$B59),-('Diário 3º PA'!$Q$4:$Q$2731=D$1),('Diário 3º PA'!$F$4:$F$2731))+SUMPRODUCT(-('Diário 4º PA'!$E$4:$E$2564='Analítico Cp.'!$B59),-('Diário 4º PA'!$Q$4:$Q$2564=D$1),('Diário 4º PA'!$F$4:$F$2564))+SUMPRODUCT(-('Comp.'!$D$5:$D$69='Analítico Cp.'!$B59),-('Comp.'!$K$5:$K$69=D$1),('Comp.'!$E$5:$E$69))</f>
        <v>0</v>
      </c>
      <c r="E59" s="12">
        <f>SUMPRODUCT(-('Diário 1º PA'!$E$4:$E$2635='Analítico Cp.'!$B59),-('Diário 1º PA'!$Q$4:$Q$2635=E$1),('Diário 1º PA'!$F$4:$F$2635))+SUMPRODUCT(-('Diário 2º PA'!$E$4:$E$3040='Analítico Cp.'!$B59),-('Diário 2º PA'!$Q$4:$Q$3040=E$1),('Diário 2º PA'!$F$4:$F$3040))+SUMPRODUCT(-('Diário 3º PA'!$E$4:$E$2731='Analítico Cp.'!$B59),-('Diário 3º PA'!$Q$4:$Q$2731=E$1),('Diário 3º PA'!$F$4:$F$2731))+SUMPRODUCT(-('Diário 4º PA'!$E$4:$E$2564='Analítico Cp.'!$B59),-('Diário 4º PA'!$Q$4:$Q$2564=E$1),('Diário 4º PA'!$F$4:$F$2564))+SUMPRODUCT(-('Comp.'!$D$5:$D$69='Analítico Cp.'!$B59),-('Comp.'!$K$5:$K$69=E$1),('Comp.'!$E$5:$E$69))</f>
        <v>0</v>
      </c>
      <c r="F59" s="12">
        <f>SUMPRODUCT(-('Diário 1º PA'!$E$4:$E$2635='Analítico Cp.'!$B59),-('Diário 1º PA'!$Q$4:$Q$2635=F$1),('Diário 1º PA'!$F$4:$F$2635))+SUMPRODUCT(-('Diário 2º PA'!$E$4:$E$3040='Analítico Cp.'!$B59),-('Diário 2º PA'!$Q$4:$Q$3040=F$1),('Diário 2º PA'!$F$4:$F$3040))+SUMPRODUCT(-('Diário 3º PA'!$E$4:$E$2731='Analítico Cp.'!$B59),-('Diário 3º PA'!$Q$4:$Q$2731=F$1),('Diário 3º PA'!$F$4:$F$2731))+SUMPRODUCT(-('Diário 4º PA'!$E$4:$E$2564='Analítico Cp.'!$B59),-('Diário 4º PA'!$Q$4:$Q$2564=F$1),('Diário 4º PA'!$F$4:$F$2564))+SUMPRODUCT(-('Comp.'!$D$5:$D$69='Analítico Cp.'!$B59),-('Comp.'!$K$5:$K$69=F$1),('Comp.'!$E$5:$E$69))</f>
        <v>0</v>
      </c>
      <c r="G59" s="12">
        <f>SUMPRODUCT(-('Diário 1º PA'!$E$4:$E$2635='Analítico Cp.'!$B59),-('Diário 1º PA'!$Q$4:$Q$2635=G$1),('Diário 1º PA'!$F$4:$F$2635))+SUMPRODUCT(-('Diário 2º PA'!$E$4:$E$3040='Analítico Cp.'!$B59),-('Diário 2º PA'!$Q$4:$Q$3040=G$1),('Diário 2º PA'!$F$4:$F$3040))+SUMPRODUCT(-('Diário 3º PA'!$E$4:$E$2731='Analítico Cp.'!$B59),-('Diário 3º PA'!$Q$4:$Q$2731=G$1),('Diário 3º PA'!$F$4:$F$2731))+SUMPRODUCT(-('Diário 4º PA'!$E$4:$E$2564='Analítico Cp.'!$B59),-('Diário 4º PA'!$Q$4:$Q$2564=G$1),('Diário 4º PA'!$F$4:$F$2564))+SUMPRODUCT(-('Comp.'!$D$5:$D$69='Analítico Cp.'!$B59),-('Comp.'!$K$5:$K$69=G$1),('Comp.'!$E$5:$E$69))</f>
        <v>0</v>
      </c>
      <c r="H59" s="12">
        <f>SUMPRODUCT(-('Diário 1º PA'!$E$4:$E$2635='Analítico Cp.'!$B59),-('Diário 1º PA'!$Q$4:$Q$2635=H$1),('Diário 1º PA'!$F$4:$F$2635))+SUMPRODUCT(-('Diário 2º PA'!$E$4:$E$3040='Analítico Cp.'!$B59),-('Diário 2º PA'!$Q$4:$Q$3040=H$1),('Diário 2º PA'!$F$4:$F$3040))+SUMPRODUCT(-('Diário 3º PA'!$E$4:$E$2731='Analítico Cp.'!$B59),-('Diário 3º PA'!$Q$4:$Q$2731=H$1),('Diário 3º PA'!$F$4:$F$2731))+SUMPRODUCT(-('Diário 4º PA'!$E$4:$E$2564='Analítico Cp.'!$B59),-('Diário 4º PA'!$Q$4:$Q$2564=H$1),('Diário 4º PA'!$F$4:$F$2564))+SUMPRODUCT(-('Comp.'!$D$5:$D$69='Analítico Cp.'!$B59),-('Comp.'!$K$5:$K$69=H$1),('Comp.'!$E$5:$E$69))</f>
        <v>0</v>
      </c>
      <c r="I59" s="12">
        <f>SUMPRODUCT(-('Diário 1º PA'!$E$4:$E$2635='Analítico Cp.'!$B59),-('Diário 1º PA'!$Q$4:$Q$2635=I$1),('Diário 1º PA'!$F$4:$F$2635))+SUMPRODUCT(-('Diário 2º PA'!$E$4:$E$3040='Analítico Cp.'!$B59),-('Diário 2º PA'!$Q$4:$Q$3040=I$1),('Diário 2º PA'!$F$4:$F$3040))+SUMPRODUCT(-('Diário 3º PA'!$E$4:$E$2731='Analítico Cp.'!$B59),-('Diário 3º PA'!$Q$4:$Q$2731=I$1),('Diário 3º PA'!$F$4:$F$2731))+SUMPRODUCT(-('Diário 4º PA'!$E$4:$E$2564='Analítico Cp.'!$B59),-('Diário 4º PA'!$Q$4:$Q$2564=I$1),('Diário 4º PA'!$F$4:$F$2564))+SUMPRODUCT(-('Comp.'!$D$5:$D$69='Analítico Cp.'!$B59),-('Comp.'!$K$5:$K$69=I$1),('Comp.'!$E$5:$E$69))</f>
        <v>0</v>
      </c>
      <c r="J59" s="12">
        <f>SUMPRODUCT(-('Diário 1º PA'!$E$4:$E$2635='Analítico Cp.'!$B59),-('Diário 1º PA'!$Q$4:$Q$2635=J$1),('Diário 1º PA'!$F$4:$F$2635))+SUMPRODUCT(-('Diário 2º PA'!$E$4:$E$3040='Analítico Cp.'!$B59),-('Diário 2º PA'!$Q$4:$Q$3040=J$1),('Diário 2º PA'!$F$4:$F$3040))+SUMPRODUCT(-('Diário 3º PA'!$E$4:$E$2731='Analítico Cp.'!$B59),-('Diário 3º PA'!$Q$4:$Q$2731=J$1),('Diário 3º PA'!$F$4:$F$2731))+SUMPRODUCT(-('Diário 4º PA'!$E$4:$E$2564='Analítico Cp.'!$B59),-('Diário 4º PA'!$Q$4:$Q$2564=J$1),('Diário 4º PA'!$F$4:$F$2564))+SUMPRODUCT(-('Comp.'!$D$5:$D$69='Analítico Cp.'!$B59),-('Comp.'!$K$5:$K$69=J$1),('Comp.'!$E$5:$E$69))</f>
        <v>0</v>
      </c>
      <c r="K59" s="12">
        <f>SUMPRODUCT(-('Diário 1º PA'!$E$4:$E$2635='Analítico Cp.'!$B59),-('Diário 1º PA'!$Q$4:$Q$2635=K$1),('Diário 1º PA'!$F$4:$F$2635))+SUMPRODUCT(-('Diário 2º PA'!$E$4:$E$3040='Analítico Cp.'!$B59),-('Diário 2º PA'!$Q$4:$Q$3040=K$1),('Diário 2º PA'!$F$4:$F$3040))+SUMPRODUCT(-('Diário 3º PA'!$E$4:$E$2731='Analítico Cp.'!$B59),-('Diário 3º PA'!$Q$4:$Q$2731=K$1),('Diário 3º PA'!$F$4:$F$2731))+SUMPRODUCT(-('Diário 4º PA'!$E$4:$E$2564='Analítico Cp.'!$B59),-('Diário 4º PA'!$Q$4:$Q$2564=K$1),('Diário 4º PA'!$F$4:$F$2564))+SUMPRODUCT(-('Comp.'!$D$5:$D$69='Analítico Cp.'!$B59),-('Comp.'!$K$5:$K$69=K$1),('Comp.'!$E$5:$E$69))</f>
        <v>0</v>
      </c>
      <c r="L59" s="12">
        <f>SUMPRODUCT(-('Diário 1º PA'!$E$4:$E$2635='Analítico Cp.'!$B59),-('Diário 1º PA'!$Q$4:$Q$2635=L$1),('Diário 1º PA'!$F$4:$F$2635))+SUMPRODUCT(-('Diário 2º PA'!$E$4:$E$3040='Analítico Cp.'!$B59),-('Diário 2º PA'!$Q$4:$Q$3040=L$1),('Diário 2º PA'!$F$4:$F$3040))+SUMPRODUCT(-('Diário 3º PA'!$E$4:$E$2731='Analítico Cp.'!$B59),-('Diário 3º PA'!$Q$4:$Q$2731=L$1),('Diário 3º PA'!$F$4:$F$2731))+SUMPRODUCT(-('Diário 4º PA'!$E$4:$E$2564='Analítico Cp.'!$B59),-('Diário 4º PA'!$Q$4:$Q$2564=L$1),('Diário 4º PA'!$F$4:$F$2564))+SUMPRODUCT(-('Comp.'!$D$5:$D$69='Analítico Cp.'!$B59),-('Comp.'!$K$5:$K$69=L$1),('Comp.'!$E$5:$E$69))</f>
        <v>0</v>
      </c>
      <c r="M59" s="12">
        <f>SUMPRODUCT(-('Diário 1º PA'!$E$4:$E$2635='Analítico Cp.'!$B59),-('Diário 1º PA'!$Q$4:$Q$2635=M$1),('Diário 1º PA'!$F$4:$F$2635))+SUMPRODUCT(-('Diário 2º PA'!$E$4:$E$3040='Analítico Cp.'!$B59),-('Diário 2º PA'!$Q$4:$Q$3040=M$1),('Diário 2º PA'!$F$4:$F$3040))+SUMPRODUCT(-('Diário 3º PA'!$E$4:$E$2731='Analítico Cp.'!$B59),-('Diário 3º PA'!$Q$4:$Q$2731=M$1),('Diário 3º PA'!$F$4:$F$2731))+SUMPRODUCT(-('Diário 4º PA'!$E$4:$E$2564='Analítico Cp.'!$B59),-('Diário 4º PA'!$Q$4:$Q$2564=M$1),('Diário 4º PA'!$F$4:$F$2564))+SUMPRODUCT(-('Comp.'!$D$5:$D$69='Analítico Cp.'!$B59),-('Comp.'!$K$5:$K$69=M$1),('Comp.'!$E$5:$E$69))</f>
        <v>0</v>
      </c>
      <c r="N59" s="12">
        <f>SUMPRODUCT(-('Diário 1º PA'!$E$4:$E$2635='Analítico Cp.'!$B59),-('Diário 1º PA'!$Q$4:$Q$2635=N$1),('Diário 1º PA'!$F$4:$F$2635))+SUMPRODUCT(-('Diário 2º PA'!$E$4:$E$3040='Analítico Cp.'!$B59),-('Diário 2º PA'!$Q$4:$Q$3040=N$1),('Diário 2º PA'!$F$4:$F$3040))+SUMPRODUCT(-('Diário 3º PA'!$E$4:$E$2731='Analítico Cp.'!$B59),-('Diário 3º PA'!$Q$4:$Q$2731=N$1),('Diário 3º PA'!$F$4:$F$2731))+SUMPRODUCT(-('Diário 4º PA'!$E$4:$E$2564='Analítico Cp.'!$B59),-('Diário 4º PA'!$Q$4:$Q$2564=N$1),('Diário 4º PA'!$F$4:$F$2564))+SUMPRODUCT(-('Comp.'!$D$5:$D$69='Analítico Cp.'!$B59),-('Comp.'!$K$5:$K$69=N$1),('Comp.'!$E$5:$E$69))</f>
        <v>0</v>
      </c>
      <c r="O59" s="13">
        <f t="shared" si="12"/>
        <v>0</v>
      </c>
      <c r="P59" s="167">
        <f t="shared" si="11"/>
        <v>0</v>
      </c>
    </row>
    <row r="60" spans="1:16" ht="23.25" customHeight="1" x14ac:dyDescent="0.2">
      <c r="A60" s="61" t="s">
        <v>20</v>
      </c>
      <c r="B60" s="102" t="s">
        <v>85</v>
      </c>
      <c r="C60" s="12">
        <f>SUMPRODUCT(-('Diário 1º PA'!$E$4:$E$2635='Analítico Cp.'!$B60),-('Diário 1º PA'!$Q$4:$Q$2635=C$1),('Diário 1º PA'!$F$4:$F$2635))+SUMPRODUCT(-('Diário 2º PA'!$E$4:$E$3040='Analítico Cp.'!$B60),-('Diário 2º PA'!$Q$4:$Q$3040=C$1),('Diário 2º PA'!$F$4:$F$3040))+SUMPRODUCT(-('Diário 3º PA'!$E$4:$E$2731='Analítico Cp.'!$B60),-('Diário 3º PA'!$Q$4:$Q$2731=C$1),('Diário 3º PA'!$F$4:$F$2731))+SUMPRODUCT(-('Diário 4º PA'!$E$4:$E$2564='Analítico Cp.'!$B60),-('Diário 4º PA'!$Q$4:$Q$2564=C$1),('Diário 4º PA'!$F$4:$F$2564))+SUMPRODUCT(-('Comp.'!$D$5:$D$69='Analítico Cp.'!$B60),-('Comp.'!$K$5:$K$69=C$1),('Comp.'!$E$5:$E$69))</f>
        <v>318.36</v>
      </c>
      <c r="D60" s="12">
        <f>SUMPRODUCT(-('Diário 1º PA'!$E$4:$E$2635='Analítico Cp.'!$B60),-('Diário 1º PA'!$Q$4:$Q$2635=D$1),('Diário 1º PA'!$F$4:$F$2635))+SUMPRODUCT(-('Diário 2º PA'!$E$4:$E$3040='Analítico Cp.'!$B60),-('Diário 2º PA'!$Q$4:$Q$3040=D$1),('Diário 2º PA'!$F$4:$F$3040))+SUMPRODUCT(-('Diário 3º PA'!$E$4:$E$2731='Analítico Cp.'!$B60),-('Diário 3º PA'!$Q$4:$Q$2731=D$1),('Diário 3º PA'!$F$4:$F$2731))+SUMPRODUCT(-('Diário 4º PA'!$E$4:$E$2564='Analítico Cp.'!$B60),-('Diário 4º PA'!$Q$4:$Q$2564=D$1),('Diário 4º PA'!$F$4:$F$2564))+SUMPRODUCT(-('Comp.'!$D$5:$D$69='Analítico Cp.'!$B60),-('Comp.'!$K$5:$K$69=D$1),('Comp.'!$E$5:$E$69))</f>
        <v>340.08000000000004</v>
      </c>
      <c r="E60" s="12">
        <f>SUMPRODUCT(-('Diário 1º PA'!$E$4:$E$2635='Analítico Cp.'!$B60),-('Diário 1º PA'!$Q$4:$Q$2635=E$1),('Diário 1º PA'!$F$4:$F$2635))+SUMPRODUCT(-('Diário 2º PA'!$E$4:$E$3040='Analítico Cp.'!$B60),-('Diário 2º PA'!$Q$4:$Q$3040=E$1),('Diário 2º PA'!$F$4:$F$3040))+SUMPRODUCT(-('Diário 3º PA'!$E$4:$E$2731='Analítico Cp.'!$B60),-('Diário 3º PA'!$Q$4:$Q$2731=E$1),('Diário 3º PA'!$F$4:$F$2731))+SUMPRODUCT(-('Diário 4º PA'!$E$4:$E$2564='Analítico Cp.'!$B60),-('Diário 4º PA'!$Q$4:$Q$2564=E$1),('Diário 4º PA'!$F$4:$F$2564))+SUMPRODUCT(-('Comp.'!$D$5:$D$69='Analítico Cp.'!$B60),-('Comp.'!$K$5:$K$69=E$1),('Comp.'!$E$5:$E$69))</f>
        <v>552.4799999999999</v>
      </c>
      <c r="F60" s="12">
        <f>SUMPRODUCT(-('Diário 1º PA'!$E$4:$E$2635='Analítico Cp.'!$B60),-('Diário 1º PA'!$Q$4:$Q$2635=F$1),('Diário 1º PA'!$F$4:$F$2635))+SUMPRODUCT(-('Diário 2º PA'!$E$4:$E$3040='Analítico Cp.'!$B60),-('Diário 2º PA'!$Q$4:$Q$3040=F$1),('Diário 2º PA'!$F$4:$F$3040))+SUMPRODUCT(-('Diário 3º PA'!$E$4:$E$2731='Analítico Cp.'!$B60),-('Diário 3º PA'!$Q$4:$Q$2731=F$1),('Diário 3º PA'!$F$4:$F$2731))+SUMPRODUCT(-('Diário 4º PA'!$E$4:$E$2564='Analítico Cp.'!$B60),-('Diário 4º PA'!$Q$4:$Q$2564=F$1),('Diário 4º PA'!$F$4:$F$2564))+SUMPRODUCT(-('Comp.'!$D$5:$D$69='Analítico Cp.'!$B60),-('Comp.'!$K$5:$K$69=F$1),('Comp.'!$E$5:$E$69))</f>
        <v>456.06</v>
      </c>
      <c r="G60" s="12">
        <f>SUMPRODUCT(-('Diário 1º PA'!$E$4:$E$2635='Analítico Cp.'!$B60),-('Diário 1º PA'!$Q$4:$Q$2635=G$1),('Diário 1º PA'!$F$4:$F$2635))+SUMPRODUCT(-('Diário 2º PA'!$E$4:$E$3040='Analítico Cp.'!$B60),-('Diário 2º PA'!$Q$4:$Q$3040=G$1),('Diário 2º PA'!$F$4:$F$3040))+SUMPRODUCT(-('Diário 3º PA'!$E$4:$E$2731='Analítico Cp.'!$B60),-('Diário 3º PA'!$Q$4:$Q$2731=G$1),('Diário 3º PA'!$F$4:$F$2731))+SUMPRODUCT(-('Diário 4º PA'!$E$4:$E$2564='Analítico Cp.'!$B60),-('Diário 4º PA'!$Q$4:$Q$2564=G$1),('Diário 4º PA'!$F$4:$F$2564))+SUMPRODUCT(-('Comp.'!$D$5:$D$69='Analítico Cp.'!$B60),-('Comp.'!$K$5:$K$69=G$1),('Comp.'!$E$5:$E$69))</f>
        <v>89.19</v>
      </c>
      <c r="H60" s="12">
        <f>SUMPRODUCT(-('Diário 1º PA'!$E$4:$E$2635='Analítico Cp.'!$B60),-('Diário 1º PA'!$Q$4:$Q$2635=H$1),('Diário 1º PA'!$F$4:$F$2635))+SUMPRODUCT(-('Diário 2º PA'!$E$4:$E$3040='Analítico Cp.'!$B60),-('Diário 2º PA'!$Q$4:$Q$3040=H$1),('Diário 2º PA'!$F$4:$F$3040))+SUMPRODUCT(-('Diário 3º PA'!$E$4:$E$2731='Analítico Cp.'!$B60),-('Diário 3º PA'!$Q$4:$Q$2731=H$1),('Diário 3º PA'!$F$4:$F$2731))+SUMPRODUCT(-('Diário 4º PA'!$E$4:$E$2564='Analítico Cp.'!$B60),-('Diário 4º PA'!$Q$4:$Q$2564=H$1),('Diário 4º PA'!$F$4:$F$2564))+SUMPRODUCT(-('Comp.'!$D$5:$D$69='Analítico Cp.'!$B60),-('Comp.'!$K$5:$K$69=H$1),('Comp.'!$E$5:$E$69))</f>
        <v>645.41000000000008</v>
      </c>
      <c r="I60" s="12">
        <f>SUMPRODUCT(-('Diário 1º PA'!$E$4:$E$2635='Analítico Cp.'!$B60),-('Diário 1º PA'!$Q$4:$Q$2635=I$1),('Diário 1º PA'!$F$4:$F$2635))+SUMPRODUCT(-('Diário 2º PA'!$E$4:$E$3040='Analítico Cp.'!$B60),-('Diário 2º PA'!$Q$4:$Q$3040=I$1),('Diário 2º PA'!$F$4:$F$3040))+SUMPRODUCT(-('Diário 3º PA'!$E$4:$E$2731='Analítico Cp.'!$B60),-('Diário 3º PA'!$Q$4:$Q$2731=I$1),('Diário 3º PA'!$F$4:$F$2731))+SUMPRODUCT(-('Diário 4º PA'!$E$4:$E$2564='Analítico Cp.'!$B60),-('Diário 4º PA'!$Q$4:$Q$2564=I$1),('Diário 4º PA'!$F$4:$F$2564))+SUMPRODUCT(-('Comp.'!$D$5:$D$69='Analítico Cp.'!$B60),-('Comp.'!$K$5:$K$69=I$1),('Comp.'!$E$5:$E$69))</f>
        <v>374.58000000000004</v>
      </c>
      <c r="J60" s="12">
        <f>SUMPRODUCT(-('Diário 1º PA'!$E$4:$E$2635='Analítico Cp.'!$B60),-('Diário 1º PA'!$Q$4:$Q$2635=J$1),('Diário 1º PA'!$F$4:$F$2635))+SUMPRODUCT(-('Diário 2º PA'!$E$4:$E$3040='Analítico Cp.'!$B60),-('Diário 2º PA'!$Q$4:$Q$3040=J$1),('Diário 2º PA'!$F$4:$F$3040))+SUMPRODUCT(-('Diário 3º PA'!$E$4:$E$2731='Analítico Cp.'!$B60),-('Diário 3º PA'!$Q$4:$Q$2731=J$1),('Diário 3º PA'!$F$4:$F$2731))+SUMPRODUCT(-('Diário 4º PA'!$E$4:$E$2564='Analítico Cp.'!$B60),-('Diário 4º PA'!$Q$4:$Q$2564=J$1),('Diário 4º PA'!$F$4:$F$2564))+SUMPRODUCT(-('Comp.'!$D$5:$D$69='Analítico Cp.'!$B60),-('Comp.'!$K$5:$K$69=J$1),('Comp.'!$E$5:$E$69))</f>
        <v>275.14</v>
      </c>
      <c r="K60" s="12">
        <f>SUMPRODUCT(-('Diário 1º PA'!$E$4:$E$2635='Analítico Cp.'!$B60),-('Diário 1º PA'!$Q$4:$Q$2635=K$1),('Diário 1º PA'!$F$4:$F$2635))+SUMPRODUCT(-('Diário 2º PA'!$E$4:$E$3040='Analítico Cp.'!$B60),-('Diário 2º PA'!$Q$4:$Q$3040=K$1),('Diário 2º PA'!$F$4:$F$3040))+SUMPRODUCT(-('Diário 3º PA'!$E$4:$E$2731='Analítico Cp.'!$B60),-('Diário 3º PA'!$Q$4:$Q$2731=K$1),('Diário 3º PA'!$F$4:$F$2731))+SUMPRODUCT(-('Diário 4º PA'!$E$4:$E$2564='Analítico Cp.'!$B60),-('Diário 4º PA'!$Q$4:$Q$2564=K$1),('Diário 4º PA'!$F$4:$F$2564))+SUMPRODUCT(-('Comp.'!$D$5:$D$69='Analítico Cp.'!$B60),-('Comp.'!$K$5:$K$69=K$1),('Comp.'!$E$5:$E$69))</f>
        <v>283.94</v>
      </c>
      <c r="L60" s="12">
        <f>SUMPRODUCT(-('Diário 1º PA'!$E$4:$E$2635='Analítico Cp.'!$B60),-('Diário 1º PA'!$Q$4:$Q$2635=L$1),('Diário 1º PA'!$F$4:$F$2635))+SUMPRODUCT(-('Diário 2º PA'!$E$4:$E$3040='Analítico Cp.'!$B60),-('Diário 2º PA'!$Q$4:$Q$3040=L$1),('Diário 2º PA'!$F$4:$F$3040))+SUMPRODUCT(-('Diário 3º PA'!$E$4:$E$2731='Analítico Cp.'!$B60),-('Diário 3º PA'!$Q$4:$Q$2731=L$1),('Diário 3º PA'!$F$4:$F$2731))+SUMPRODUCT(-('Diário 4º PA'!$E$4:$E$2564='Analítico Cp.'!$B60),-('Diário 4º PA'!$Q$4:$Q$2564=L$1),('Diário 4º PA'!$F$4:$F$2564))+SUMPRODUCT(-('Comp.'!$D$5:$D$69='Analítico Cp.'!$B60),-('Comp.'!$K$5:$K$69=L$1),('Comp.'!$E$5:$E$69))</f>
        <v>85.13</v>
      </c>
      <c r="M60" s="12">
        <f>SUMPRODUCT(-('Diário 1º PA'!$E$4:$E$2635='Analítico Cp.'!$B60),-('Diário 1º PA'!$Q$4:$Q$2635=M$1),('Diário 1º PA'!$F$4:$F$2635))+SUMPRODUCT(-('Diário 2º PA'!$E$4:$E$3040='Analítico Cp.'!$B60),-('Diário 2º PA'!$Q$4:$Q$3040=M$1),('Diário 2º PA'!$F$4:$F$3040))+SUMPRODUCT(-('Diário 3º PA'!$E$4:$E$2731='Analítico Cp.'!$B60),-('Diário 3º PA'!$Q$4:$Q$2731=M$1),('Diário 3º PA'!$F$4:$F$2731))+SUMPRODUCT(-('Diário 4º PA'!$E$4:$E$2564='Analítico Cp.'!$B60),-('Diário 4º PA'!$Q$4:$Q$2564=M$1),('Diário 4º PA'!$F$4:$F$2564))+SUMPRODUCT(-('Comp.'!$D$5:$D$69='Analítico Cp.'!$B60),-('Comp.'!$K$5:$K$69=M$1),('Comp.'!$E$5:$E$69))</f>
        <v>169.94</v>
      </c>
      <c r="N60" s="12">
        <f>SUMPRODUCT(-('Diário 1º PA'!$E$4:$E$2635='Analítico Cp.'!$B60),-('Diário 1º PA'!$Q$4:$Q$2635=N$1),('Diário 1º PA'!$F$4:$F$2635))+SUMPRODUCT(-('Diário 2º PA'!$E$4:$E$3040='Analítico Cp.'!$B60),-('Diário 2º PA'!$Q$4:$Q$3040=N$1),('Diário 2º PA'!$F$4:$F$3040))+SUMPRODUCT(-('Diário 3º PA'!$E$4:$E$2731='Analítico Cp.'!$B60),-('Diário 3º PA'!$Q$4:$Q$2731=N$1),('Diário 3º PA'!$F$4:$F$2731))+SUMPRODUCT(-('Diário 4º PA'!$E$4:$E$2564='Analítico Cp.'!$B60),-('Diário 4º PA'!$Q$4:$Q$2564=N$1),('Diário 4º PA'!$F$4:$F$2564))+SUMPRODUCT(-('Comp.'!$D$5:$D$69='Analítico Cp.'!$B60),-('Comp.'!$K$5:$K$69=N$1),('Comp.'!$E$5:$E$69))</f>
        <v>1215.7</v>
      </c>
      <c r="O60" s="13">
        <f t="shared" si="12"/>
        <v>4806.01</v>
      </c>
      <c r="P60" s="167">
        <f t="shared" si="11"/>
        <v>3.9269251130873335E-4</v>
      </c>
    </row>
    <row r="61" spans="1:16" ht="23.25" customHeight="1" x14ac:dyDescent="0.2">
      <c r="A61" s="61" t="s">
        <v>116</v>
      </c>
      <c r="B61" s="102" t="s">
        <v>84</v>
      </c>
      <c r="C61" s="12">
        <f>SUMPRODUCT(-('Diário 1º PA'!$E$4:$E$2635='Analítico Cp.'!$B61),-('Diário 1º PA'!$Q$4:$Q$2635=C$1),('Diário 1º PA'!$F$4:$F$2635))+SUMPRODUCT(-('Diário 2º PA'!$E$4:$E$3040='Analítico Cp.'!$B61),-('Diário 2º PA'!$Q$4:$Q$3040=C$1),('Diário 2º PA'!$F$4:$F$3040))+SUMPRODUCT(-('Diário 3º PA'!$E$4:$E$2731='Analítico Cp.'!$B61),-('Diário 3º PA'!$Q$4:$Q$2731=C$1),('Diário 3º PA'!$F$4:$F$2731))+SUMPRODUCT(-('Diário 4º PA'!$E$4:$E$2564='Analítico Cp.'!$B61),-('Diário 4º PA'!$Q$4:$Q$2564=C$1),('Diário 4º PA'!$F$4:$F$2564))+SUMPRODUCT(-('Comp.'!$D$5:$D$69='Analítico Cp.'!$B61),-('Comp.'!$K$5:$K$69=C$1),('Comp.'!$E$5:$E$69))</f>
        <v>178.84</v>
      </c>
      <c r="D61" s="12">
        <f>SUMPRODUCT(-('Diário 1º PA'!$E$4:$E$2635='Analítico Cp.'!$B61),-('Diário 1º PA'!$Q$4:$Q$2635=D$1),('Diário 1º PA'!$F$4:$F$2635))+SUMPRODUCT(-('Diário 2º PA'!$E$4:$E$3040='Analítico Cp.'!$B61),-('Diário 2º PA'!$Q$4:$Q$3040=D$1),('Diário 2º PA'!$F$4:$F$3040))+SUMPRODUCT(-('Diário 3º PA'!$E$4:$E$2731='Analítico Cp.'!$B61),-('Diário 3º PA'!$Q$4:$Q$2731=D$1),('Diário 3º PA'!$F$4:$F$2731))+SUMPRODUCT(-('Diário 4º PA'!$E$4:$E$2564='Analítico Cp.'!$B61),-('Diário 4º PA'!$Q$4:$Q$2564=D$1),('Diário 4º PA'!$F$4:$F$2564))+SUMPRODUCT(-('Comp.'!$D$5:$D$69='Analítico Cp.'!$B61),-('Comp.'!$K$5:$K$69=D$1),('Comp.'!$E$5:$E$69))</f>
        <v>125</v>
      </c>
      <c r="E61" s="12">
        <f>SUMPRODUCT(-('Diário 1º PA'!$E$4:$E$2635='Analítico Cp.'!$B61),-('Diário 1º PA'!$Q$4:$Q$2635=E$1),('Diário 1º PA'!$F$4:$F$2635))+SUMPRODUCT(-('Diário 2º PA'!$E$4:$E$3040='Analítico Cp.'!$B61),-('Diário 2º PA'!$Q$4:$Q$3040=E$1),('Diário 2º PA'!$F$4:$F$3040))+SUMPRODUCT(-('Diário 3º PA'!$E$4:$E$2731='Analítico Cp.'!$B61),-('Diário 3º PA'!$Q$4:$Q$2731=E$1),('Diário 3º PA'!$F$4:$F$2731))+SUMPRODUCT(-('Diário 4º PA'!$E$4:$E$2564='Analítico Cp.'!$B61),-('Diário 4º PA'!$Q$4:$Q$2564=E$1),('Diário 4º PA'!$F$4:$F$2564))+SUMPRODUCT(-('Comp.'!$D$5:$D$69='Analítico Cp.'!$B61),-('Comp.'!$K$5:$K$69=E$1),('Comp.'!$E$5:$E$69))</f>
        <v>123.37</v>
      </c>
      <c r="F61" s="12">
        <f>SUMPRODUCT(-('Diário 1º PA'!$E$4:$E$2635='Analítico Cp.'!$B61),-('Diário 1º PA'!$Q$4:$Q$2635=F$1),('Diário 1º PA'!$F$4:$F$2635))+SUMPRODUCT(-('Diário 2º PA'!$E$4:$E$3040='Analítico Cp.'!$B61),-('Diário 2º PA'!$Q$4:$Q$3040=F$1),('Diário 2º PA'!$F$4:$F$3040))+SUMPRODUCT(-('Diário 3º PA'!$E$4:$E$2731='Analítico Cp.'!$B61),-('Diário 3º PA'!$Q$4:$Q$2731=F$1),('Diário 3º PA'!$F$4:$F$2731))+SUMPRODUCT(-('Diário 4º PA'!$E$4:$E$2564='Analítico Cp.'!$B61),-('Diário 4º PA'!$Q$4:$Q$2564=F$1),('Diário 4º PA'!$F$4:$F$2564))+SUMPRODUCT(-('Comp.'!$D$5:$D$69='Analítico Cp.'!$B61),-('Comp.'!$K$5:$K$69=F$1),('Comp.'!$E$5:$E$69))</f>
        <v>83.589999999999989</v>
      </c>
      <c r="G61" s="12">
        <f>SUMPRODUCT(-('Diário 1º PA'!$E$4:$E$2635='Analítico Cp.'!$B61),-('Diário 1º PA'!$Q$4:$Q$2635=G$1),('Diário 1º PA'!$F$4:$F$2635))+SUMPRODUCT(-('Diário 2º PA'!$E$4:$E$3040='Analítico Cp.'!$B61),-('Diário 2º PA'!$Q$4:$Q$3040=G$1),('Diário 2º PA'!$F$4:$F$3040))+SUMPRODUCT(-('Diário 3º PA'!$E$4:$E$2731='Analítico Cp.'!$B61),-('Diário 3º PA'!$Q$4:$Q$2731=G$1),('Diário 3º PA'!$F$4:$F$2731))+SUMPRODUCT(-('Diário 4º PA'!$E$4:$E$2564='Analítico Cp.'!$B61),-('Diário 4º PA'!$Q$4:$Q$2564=G$1),('Diário 4º PA'!$F$4:$F$2564))+SUMPRODUCT(-('Comp.'!$D$5:$D$69='Analítico Cp.'!$B61),-('Comp.'!$K$5:$K$69=G$1),('Comp.'!$E$5:$E$69))</f>
        <v>131.78</v>
      </c>
      <c r="H61" s="12">
        <f>SUMPRODUCT(-('Diário 1º PA'!$E$4:$E$2635='Analítico Cp.'!$B61),-('Diário 1º PA'!$Q$4:$Q$2635=H$1),('Diário 1º PA'!$F$4:$F$2635))+SUMPRODUCT(-('Diário 2º PA'!$E$4:$E$3040='Analítico Cp.'!$B61),-('Diário 2º PA'!$Q$4:$Q$3040=H$1),('Diário 2º PA'!$F$4:$F$3040))+SUMPRODUCT(-('Diário 3º PA'!$E$4:$E$2731='Analítico Cp.'!$B61),-('Diário 3º PA'!$Q$4:$Q$2731=H$1),('Diário 3º PA'!$F$4:$F$2731))+SUMPRODUCT(-('Diário 4º PA'!$E$4:$E$2564='Analítico Cp.'!$B61),-('Diário 4º PA'!$Q$4:$Q$2564=H$1),('Diário 4º PA'!$F$4:$F$2564))+SUMPRODUCT(-('Comp.'!$D$5:$D$69='Analítico Cp.'!$B61),-('Comp.'!$K$5:$K$69=H$1),('Comp.'!$E$5:$E$69))</f>
        <v>198.26999999999998</v>
      </c>
      <c r="I61" s="12">
        <f>SUMPRODUCT(-('Diário 1º PA'!$E$4:$E$2635='Analítico Cp.'!$B61),-('Diário 1º PA'!$Q$4:$Q$2635=I$1),('Diário 1º PA'!$F$4:$F$2635))+SUMPRODUCT(-('Diário 2º PA'!$E$4:$E$3040='Analítico Cp.'!$B61),-('Diário 2º PA'!$Q$4:$Q$3040=I$1),('Diário 2º PA'!$F$4:$F$3040))+SUMPRODUCT(-('Diário 3º PA'!$E$4:$E$2731='Analítico Cp.'!$B61),-('Diário 3º PA'!$Q$4:$Q$2731=I$1),('Diário 3º PA'!$F$4:$F$2731))+SUMPRODUCT(-('Diário 4º PA'!$E$4:$E$2564='Analítico Cp.'!$B61),-('Diário 4º PA'!$Q$4:$Q$2564=I$1),('Diário 4º PA'!$F$4:$F$2564))+SUMPRODUCT(-('Comp.'!$D$5:$D$69='Analítico Cp.'!$B61),-('Comp.'!$K$5:$K$69=I$1),('Comp.'!$E$5:$E$69))</f>
        <v>133.88999999999999</v>
      </c>
      <c r="J61" s="12">
        <f>SUMPRODUCT(-('Diário 1º PA'!$E$4:$E$2635='Analítico Cp.'!$B61),-('Diário 1º PA'!$Q$4:$Q$2635=J$1),('Diário 1º PA'!$F$4:$F$2635))+SUMPRODUCT(-('Diário 2º PA'!$E$4:$E$3040='Analítico Cp.'!$B61),-('Diário 2º PA'!$Q$4:$Q$3040=J$1),('Diário 2º PA'!$F$4:$F$3040))+SUMPRODUCT(-('Diário 3º PA'!$E$4:$E$2731='Analítico Cp.'!$B61),-('Diário 3º PA'!$Q$4:$Q$2731=J$1),('Diário 3º PA'!$F$4:$F$2731))+SUMPRODUCT(-('Diário 4º PA'!$E$4:$E$2564='Analítico Cp.'!$B61),-('Diário 4º PA'!$Q$4:$Q$2564=J$1),('Diário 4º PA'!$F$4:$F$2564))+SUMPRODUCT(-('Comp.'!$D$5:$D$69='Analítico Cp.'!$B61),-('Comp.'!$K$5:$K$69=J$1),('Comp.'!$E$5:$E$69))</f>
        <v>61.69</v>
      </c>
      <c r="K61" s="12">
        <f>SUMPRODUCT(-('Diário 1º PA'!$E$4:$E$2635='Analítico Cp.'!$B61),-('Diário 1º PA'!$Q$4:$Q$2635=K$1),('Diário 1º PA'!$F$4:$F$2635))+SUMPRODUCT(-('Diário 2º PA'!$E$4:$E$3040='Analítico Cp.'!$B61),-('Diário 2º PA'!$Q$4:$Q$3040=K$1),('Diário 2º PA'!$F$4:$F$3040))+SUMPRODUCT(-('Diário 3º PA'!$E$4:$E$2731='Analítico Cp.'!$B61),-('Diário 3º PA'!$Q$4:$Q$2731=K$1),('Diário 3º PA'!$F$4:$F$2731))+SUMPRODUCT(-('Diário 4º PA'!$E$4:$E$2564='Analítico Cp.'!$B61),-('Diário 4º PA'!$Q$4:$Q$2564=K$1),('Diário 4º PA'!$F$4:$F$2564))+SUMPRODUCT(-('Comp.'!$D$5:$D$69='Analítico Cp.'!$B61),-('Comp.'!$K$5:$K$69=K$1),('Comp.'!$E$5:$E$69))</f>
        <v>140.76</v>
      </c>
      <c r="L61" s="12">
        <f>SUMPRODUCT(-('Diário 1º PA'!$E$4:$E$2635='Analítico Cp.'!$B61),-('Diário 1º PA'!$Q$4:$Q$2635=L$1),('Diário 1º PA'!$F$4:$F$2635))+SUMPRODUCT(-('Diário 2º PA'!$E$4:$E$3040='Analítico Cp.'!$B61),-('Diário 2º PA'!$Q$4:$Q$3040=L$1),('Diário 2º PA'!$F$4:$F$3040))+SUMPRODUCT(-('Diário 3º PA'!$E$4:$E$2731='Analítico Cp.'!$B61),-('Diário 3º PA'!$Q$4:$Q$2731=L$1),('Diário 3º PA'!$F$4:$F$2731))+SUMPRODUCT(-('Diário 4º PA'!$E$4:$E$2564='Analítico Cp.'!$B61),-('Diário 4º PA'!$Q$4:$Q$2564=L$1),('Diário 4º PA'!$F$4:$F$2564))+SUMPRODUCT(-('Comp.'!$D$5:$D$69='Analítico Cp.'!$B61),-('Comp.'!$K$5:$K$69=L$1),('Comp.'!$E$5:$E$69))</f>
        <v>213.02</v>
      </c>
      <c r="M61" s="12">
        <f>SUMPRODUCT(-('Diário 1º PA'!$E$4:$E$2635='Analítico Cp.'!$B61),-('Diário 1º PA'!$Q$4:$Q$2635=M$1),('Diário 1º PA'!$F$4:$F$2635))+SUMPRODUCT(-('Diário 2º PA'!$E$4:$E$3040='Analítico Cp.'!$B61),-('Diário 2º PA'!$Q$4:$Q$3040=M$1),('Diário 2º PA'!$F$4:$F$3040))+SUMPRODUCT(-('Diário 3º PA'!$E$4:$E$2731='Analítico Cp.'!$B61),-('Diário 3º PA'!$Q$4:$Q$2731=M$1),('Diário 3º PA'!$F$4:$F$2731))+SUMPRODUCT(-('Diário 4º PA'!$E$4:$E$2564='Analítico Cp.'!$B61),-('Diário 4º PA'!$Q$4:$Q$2564=M$1),('Diário 4º PA'!$F$4:$F$2564))+SUMPRODUCT(-('Comp.'!$D$5:$D$69='Analítico Cp.'!$B61),-('Comp.'!$K$5:$K$69=M$1),('Comp.'!$E$5:$E$69))</f>
        <v>36.369999999999997</v>
      </c>
      <c r="N61" s="12">
        <f>SUMPRODUCT(-('Diário 1º PA'!$E$4:$E$2635='Analítico Cp.'!$B61),-('Diário 1º PA'!$Q$4:$Q$2635=N$1),('Diário 1º PA'!$F$4:$F$2635))+SUMPRODUCT(-('Diário 2º PA'!$E$4:$E$3040='Analítico Cp.'!$B61),-('Diário 2º PA'!$Q$4:$Q$3040=N$1),('Diário 2º PA'!$F$4:$F$3040))+SUMPRODUCT(-('Diário 3º PA'!$E$4:$E$2731='Analítico Cp.'!$B61),-('Diário 3º PA'!$Q$4:$Q$2731=N$1),('Diário 3º PA'!$F$4:$F$2731))+SUMPRODUCT(-('Diário 4º PA'!$E$4:$E$2564='Analítico Cp.'!$B61),-('Diário 4º PA'!$Q$4:$Q$2564=N$1),('Diário 4º PA'!$F$4:$F$2564))+SUMPRODUCT(-('Comp.'!$D$5:$D$69='Analítico Cp.'!$B61),-('Comp.'!$K$5:$K$69=N$1),('Comp.'!$E$5:$E$69))</f>
        <v>80</v>
      </c>
      <c r="O61" s="13">
        <f t="shared" si="12"/>
        <v>1506.58</v>
      </c>
      <c r="P61" s="167">
        <f t="shared" si="11"/>
        <v>1.2310059356670323E-4</v>
      </c>
    </row>
    <row r="62" spans="1:16" ht="23.25" customHeight="1" x14ac:dyDescent="0.2">
      <c r="A62" s="61" t="s">
        <v>117</v>
      </c>
      <c r="B62" s="102" t="s">
        <v>163</v>
      </c>
      <c r="C62" s="12">
        <f>SUMPRODUCT(-('Diário 1º PA'!$E$4:$E$2635='Analítico Cp.'!$B62),-('Diário 1º PA'!$Q$4:$Q$2635=C$1),('Diário 1º PA'!$F$4:$F$2635))+SUMPRODUCT(-('Diário 2º PA'!$E$4:$E$3040='Analítico Cp.'!$B62),-('Diário 2º PA'!$Q$4:$Q$3040=C$1),('Diário 2º PA'!$F$4:$F$3040))+SUMPRODUCT(-('Diário 3º PA'!$E$4:$E$2731='Analítico Cp.'!$B62),-('Diário 3º PA'!$Q$4:$Q$2731=C$1),('Diário 3º PA'!$F$4:$F$2731))+SUMPRODUCT(-('Diário 4º PA'!$E$4:$E$2564='Analítico Cp.'!$B62),-('Diário 4º PA'!$Q$4:$Q$2564=C$1),('Diário 4º PA'!$F$4:$F$2564))+SUMPRODUCT(-('Comp.'!$D$5:$D$69='Analítico Cp.'!$B62),-('Comp.'!$K$5:$K$69=C$1),('Comp.'!$E$5:$E$69))</f>
        <v>210.43</v>
      </c>
      <c r="D62" s="12">
        <f>SUMPRODUCT(-('Diário 1º PA'!$E$4:$E$2635='Analítico Cp.'!$B62),-('Diário 1º PA'!$Q$4:$Q$2635=D$1),('Diário 1º PA'!$F$4:$F$2635))+SUMPRODUCT(-('Diário 2º PA'!$E$4:$E$3040='Analítico Cp.'!$B62),-('Diário 2º PA'!$Q$4:$Q$3040=D$1),('Diário 2º PA'!$F$4:$F$3040))+SUMPRODUCT(-('Diário 3º PA'!$E$4:$E$2731='Analítico Cp.'!$B62),-('Diário 3º PA'!$Q$4:$Q$2731=D$1),('Diário 3º PA'!$F$4:$F$2731))+SUMPRODUCT(-('Diário 4º PA'!$E$4:$E$2564='Analítico Cp.'!$B62),-('Diário 4º PA'!$Q$4:$Q$2564=D$1),('Diário 4º PA'!$F$4:$F$2564))+SUMPRODUCT(-('Comp.'!$D$5:$D$69='Analítico Cp.'!$B62),-('Comp.'!$K$5:$K$69=D$1),('Comp.'!$E$5:$E$69))</f>
        <v>210.43</v>
      </c>
      <c r="E62" s="12">
        <f>SUMPRODUCT(-('Diário 1º PA'!$E$4:$E$2635='Analítico Cp.'!$B62),-('Diário 1º PA'!$Q$4:$Q$2635=E$1),('Diário 1º PA'!$F$4:$F$2635))+SUMPRODUCT(-('Diário 2º PA'!$E$4:$E$3040='Analítico Cp.'!$B62),-('Diário 2º PA'!$Q$4:$Q$3040=E$1),('Diário 2º PA'!$F$4:$F$3040))+SUMPRODUCT(-('Diário 3º PA'!$E$4:$E$2731='Analítico Cp.'!$B62),-('Diário 3º PA'!$Q$4:$Q$2731=E$1),('Diário 3º PA'!$F$4:$F$2731))+SUMPRODUCT(-('Diário 4º PA'!$E$4:$E$2564='Analítico Cp.'!$B62),-('Diário 4º PA'!$Q$4:$Q$2564=E$1),('Diário 4º PA'!$F$4:$F$2564))+SUMPRODUCT(-('Comp.'!$D$5:$D$69='Analítico Cp.'!$B62),-('Comp.'!$K$5:$K$69=E$1),('Comp.'!$E$5:$E$69))</f>
        <v>212.66000000000003</v>
      </c>
      <c r="F62" s="12">
        <f>SUMPRODUCT(-('Diário 1º PA'!$E$4:$E$2635='Analítico Cp.'!$B62),-('Diário 1º PA'!$Q$4:$Q$2635=F$1),('Diário 1º PA'!$F$4:$F$2635))+SUMPRODUCT(-('Diário 2º PA'!$E$4:$E$3040='Analítico Cp.'!$B62),-('Diário 2º PA'!$Q$4:$Q$3040=F$1),('Diário 2º PA'!$F$4:$F$3040))+SUMPRODUCT(-('Diário 3º PA'!$E$4:$E$2731='Analítico Cp.'!$B62),-('Diário 3º PA'!$Q$4:$Q$2731=F$1),('Diário 3º PA'!$F$4:$F$2731))+SUMPRODUCT(-('Diário 4º PA'!$E$4:$E$2564='Analítico Cp.'!$B62),-('Diário 4º PA'!$Q$4:$Q$2564=F$1),('Diário 4º PA'!$F$4:$F$2564))+SUMPRODUCT(-('Comp.'!$D$5:$D$69='Analítico Cp.'!$B62),-('Comp.'!$K$5:$K$69=F$1),('Comp.'!$E$5:$E$69))</f>
        <v>210.43</v>
      </c>
      <c r="G62" s="12">
        <f>SUMPRODUCT(-('Diário 1º PA'!$E$4:$E$2635='Analítico Cp.'!$B62),-('Diário 1º PA'!$Q$4:$Q$2635=G$1),('Diário 1º PA'!$F$4:$F$2635))+SUMPRODUCT(-('Diário 2º PA'!$E$4:$E$3040='Analítico Cp.'!$B62),-('Diário 2º PA'!$Q$4:$Q$3040=G$1),('Diário 2º PA'!$F$4:$F$3040))+SUMPRODUCT(-('Diário 3º PA'!$E$4:$E$2731='Analítico Cp.'!$B62),-('Diário 3º PA'!$Q$4:$Q$2731=G$1),('Diário 3º PA'!$F$4:$F$2731))+SUMPRODUCT(-('Diário 4º PA'!$E$4:$E$2564='Analítico Cp.'!$B62),-('Diário 4º PA'!$Q$4:$Q$2564=G$1),('Diário 4º PA'!$F$4:$F$2564))+SUMPRODUCT(-('Comp.'!$D$5:$D$69='Analítico Cp.'!$B62),-('Comp.'!$K$5:$K$69=G$1),('Comp.'!$E$5:$E$69))</f>
        <v>0</v>
      </c>
      <c r="H62" s="12">
        <f>SUMPRODUCT(-('Diário 1º PA'!$E$4:$E$2635='Analítico Cp.'!$B62),-('Diário 1º PA'!$Q$4:$Q$2635=H$1),('Diário 1º PA'!$F$4:$F$2635))+SUMPRODUCT(-('Diário 2º PA'!$E$4:$E$3040='Analítico Cp.'!$B62),-('Diário 2º PA'!$Q$4:$Q$3040=H$1),('Diário 2º PA'!$F$4:$F$3040))+SUMPRODUCT(-('Diário 3º PA'!$E$4:$E$2731='Analítico Cp.'!$B62),-('Diário 3º PA'!$Q$4:$Q$2731=H$1),('Diário 3º PA'!$F$4:$F$2731))+SUMPRODUCT(-('Diário 4º PA'!$E$4:$E$2564='Analítico Cp.'!$B62),-('Diário 4º PA'!$Q$4:$Q$2564=H$1),('Diário 4º PA'!$F$4:$F$2564))+SUMPRODUCT(-('Comp.'!$D$5:$D$69='Analítico Cp.'!$B62),-('Comp.'!$K$5:$K$69=H$1),('Comp.'!$E$5:$E$69))</f>
        <v>212.76</v>
      </c>
      <c r="I62" s="12">
        <f>SUMPRODUCT(-('Diário 1º PA'!$E$4:$E$2635='Analítico Cp.'!$B62),-('Diário 1º PA'!$Q$4:$Q$2635=I$1),('Diário 1º PA'!$F$4:$F$2635))+SUMPRODUCT(-('Diário 2º PA'!$E$4:$E$3040='Analítico Cp.'!$B62),-('Diário 2º PA'!$Q$4:$Q$3040=I$1),('Diário 2º PA'!$F$4:$F$3040))+SUMPRODUCT(-('Diário 3º PA'!$E$4:$E$2731='Analítico Cp.'!$B62),-('Diário 3º PA'!$Q$4:$Q$2731=I$1),('Diário 3º PA'!$F$4:$F$2731))+SUMPRODUCT(-('Diário 4º PA'!$E$4:$E$2564='Analítico Cp.'!$B62),-('Diário 4º PA'!$Q$4:$Q$2564=I$1),('Diário 4º PA'!$F$4:$F$2564))+SUMPRODUCT(-('Comp.'!$D$5:$D$69='Analítico Cp.'!$B62),-('Comp.'!$K$5:$K$69=I$1),('Comp.'!$E$5:$E$69))</f>
        <v>175.36</v>
      </c>
      <c r="J62" s="12">
        <f>SUMPRODUCT(-('Diário 1º PA'!$E$4:$E$2635='Analítico Cp.'!$B62),-('Diário 1º PA'!$Q$4:$Q$2635=J$1),('Diário 1º PA'!$F$4:$F$2635))+SUMPRODUCT(-('Diário 2º PA'!$E$4:$E$3040='Analítico Cp.'!$B62),-('Diário 2º PA'!$Q$4:$Q$3040=J$1),('Diário 2º PA'!$F$4:$F$3040))+SUMPRODUCT(-('Diário 3º PA'!$E$4:$E$2731='Analítico Cp.'!$B62),-('Diário 3º PA'!$Q$4:$Q$2731=J$1),('Diário 3º PA'!$F$4:$F$2731))+SUMPRODUCT(-('Diário 4º PA'!$E$4:$E$2564='Analítico Cp.'!$B62),-('Diário 4º PA'!$Q$4:$Q$2564=J$1),('Diário 4º PA'!$F$4:$F$2564))+SUMPRODUCT(-('Comp.'!$D$5:$D$69='Analítico Cp.'!$B62),-('Comp.'!$K$5:$K$69=J$1),('Comp.'!$E$5:$E$69))</f>
        <v>169.25</v>
      </c>
      <c r="K62" s="12">
        <f>SUMPRODUCT(-('Diário 1º PA'!$E$4:$E$2635='Analítico Cp.'!$B62),-('Diário 1º PA'!$Q$4:$Q$2635=K$1),('Diário 1º PA'!$F$4:$F$2635))+SUMPRODUCT(-('Diário 2º PA'!$E$4:$E$3040='Analítico Cp.'!$B62),-('Diário 2º PA'!$Q$4:$Q$3040=K$1),('Diário 2º PA'!$F$4:$F$3040))+SUMPRODUCT(-('Diário 3º PA'!$E$4:$E$2731='Analítico Cp.'!$B62),-('Diário 3º PA'!$Q$4:$Q$2731=K$1),('Diário 3º PA'!$F$4:$F$2731))+SUMPRODUCT(-('Diário 4º PA'!$E$4:$E$2564='Analítico Cp.'!$B62),-('Diário 4º PA'!$Q$4:$Q$2564=K$1),('Diário 4º PA'!$F$4:$F$2564))+SUMPRODUCT(-('Comp.'!$D$5:$D$69='Analítico Cp.'!$B62),-('Comp.'!$K$5:$K$69=K$1),('Comp.'!$E$5:$E$69))</f>
        <v>164.5</v>
      </c>
      <c r="L62" s="12">
        <f>SUMPRODUCT(-('Diário 1º PA'!$E$4:$E$2635='Analítico Cp.'!$B62),-('Diário 1º PA'!$Q$4:$Q$2635=L$1),('Diário 1º PA'!$F$4:$F$2635))+SUMPRODUCT(-('Diário 2º PA'!$E$4:$E$3040='Analítico Cp.'!$B62),-('Diário 2º PA'!$Q$4:$Q$3040=L$1),('Diário 2º PA'!$F$4:$F$3040))+SUMPRODUCT(-('Diário 3º PA'!$E$4:$E$2731='Analítico Cp.'!$B62),-('Diário 3º PA'!$Q$4:$Q$2731=L$1),('Diário 3º PA'!$F$4:$F$2731))+SUMPRODUCT(-('Diário 4º PA'!$E$4:$E$2564='Analítico Cp.'!$B62),-('Diário 4º PA'!$Q$4:$Q$2564=L$1),('Diário 4º PA'!$F$4:$F$2564))+SUMPRODUCT(-('Comp.'!$D$5:$D$69='Analítico Cp.'!$B62),-('Comp.'!$K$5:$K$69=L$1),('Comp.'!$E$5:$E$69))</f>
        <v>160.66</v>
      </c>
      <c r="M62" s="12">
        <f>SUMPRODUCT(-('Diário 1º PA'!$E$4:$E$2635='Analítico Cp.'!$B62),-('Diário 1º PA'!$Q$4:$Q$2635=M$1),('Diário 1º PA'!$F$4:$F$2635))+SUMPRODUCT(-('Diário 2º PA'!$E$4:$E$3040='Analítico Cp.'!$B62),-('Diário 2º PA'!$Q$4:$Q$3040=M$1),('Diário 2º PA'!$F$4:$F$3040))+SUMPRODUCT(-('Diário 3º PA'!$E$4:$E$2731='Analítico Cp.'!$B62),-('Diário 3º PA'!$Q$4:$Q$2731=M$1),('Diário 3º PA'!$F$4:$F$2731))+SUMPRODUCT(-('Diário 4º PA'!$E$4:$E$2564='Analítico Cp.'!$B62),-('Diário 4º PA'!$Q$4:$Q$2564=M$1),('Diário 4º PA'!$F$4:$F$2564))+SUMPRODUCT(-('Comp.'!$D$5:$D$69='Analítico Cp.'!$B62),-('Comp.'!$K$5:$K$69=M$1),('Comp.'!$E$5:$E$69))</f>
        <v>149.24</v>
      </c>
      <c r="N62" s="12">
        <f>SUMPRODUCT(-('Diário 1º PA'!$E$4:$E$2635='Analítico Cp.'!$B62),-('Diário 1º PA'!$Q$4:$Q$2635=N$1),('Diário 1º PA'!$F$4:$F$2635))+SUMPRODUCT(-('Diário 2º PA'!$E$4:$E$3040='Analítico Cp.'!$B62),-('Diário 2º PA'!$Q$4:$Q$3040=N$1),('Diário 2º PA'!$F$4:$F$3040))+SUMPRODUCT(-('Diário 3º PA'!$E$4:$E$2731='Analítico Cp.'!$B62),-('Diário 3º PA'!$Q$4:$Q$2731=N$1),('Diário 3º PA'!$F$4:$F$2731))+SUMPRODUCT(-('Diário 4º PA'!$E$4:$E$2564='Analítico Cp.'!$B62),-('Diário 4º PA'!$Q$4:$Q$2564=N$1),('Diário 4º PA'!$F$4:$F$2564))+SUMPRODUCT(-('Comp.'!$D$5:$D$69='Analítico Cp.'!$B62),-('Comp.'!$K$5:$K$69=N$1),('Comp.'!$E$5:$E$69))</f>
        <v>0</v>
      </c>
      <c r="O62" s="13">
        <f t="shared" si="12"/>
        <v>1875.7200000000003</v>
      </c>
      <c r="P62" s="167">
        <f t="shared" si="11"/>
        <v>1.5326251866142963E-4</v>
      </c>
    </row>
    <row r="63" spans="1:16" ht="23.25" customHeight="1" x14ac:dyDescent="0.2">
      <c r="A63" s="61" t="s">
        <v>118</v>
      </c>
      <c r="B63" s="102" t="s">
        <v>164</v>
      </c>
      <c r="C63" s="12">
        <f>SUMPRODUCT(-('Diário 1º PA'!$E$4:$E$2635='Analítico Cp.'!$B63),-('Diário 1º PA'!$Q$4:$Q$2635=C$1),('Diário 1º PA'!$F$4:$F$2635))+SUMPRODUCT(-('Diário 2º PA'!$E$4:$E$3040='Analítico Cp.'!$B63),-('Diário 2º PA'!$Q$4:$Q$3040=C$1),('Diário 2º PA'!$F$4:$F$3040))+SUMPRODUCT(-('Diário 3º PA'!$E$4:$E$2731='Analítico Cp.'!$B63),-('Diário 3º PA'!$Q$4:$Q$2731=C$1),('Diário 3º PA'!$F$4:$F$2731))+SUMPRODUCT(-('Diário 4º PA'!$E$4:$E$2564='Analítico Cp.'!$B63),-('Diário 4º PA'!$Q$4:$Q$2564=C$1),('Diário 4º PA'!$F$4:$F$2564))+SUMPRODUCT(-('Comp.'!$D$5:$D$69='Analítico Cp.'!$B63),-('Comp.'!$K$5:$K$69=C$1),('Comp.'!$E$5:$E$69))</f>
        <v>1059.83</v>
      </c>
      <c r="D63" s="12">
        <f>SUMPRODUCT(-('Diário 1º PA'!$E$4:$E$2635='Analítico Cp.'!$B63),-('Diário 1º PA'!$Q$4:$Q$2635=D$1),('Diário 1º PA'!$F$4:$F$2635))+SUMPRODUCT(-('Diário 2º PA'!$E$4:$E$3040='Analítico Cp.'!$B63),-('Diário 2º PA'!$Q$4:$Q$3040=D$1),('Diário 2º PA'!$F$4:$F$3040))+SUMPRODUCT(-('Diário 3º PA'!$E$4:$E$2731='Analítico Cp.'!$B63),-('Diário 3º PA'!$Q$4:$Q$2731=D$1),('Diário 3º PA'!$F$4:$F$2731))+SUMPRODUCT(-('Diário 4º PA'!$E$4:$E$2564='Analítico Cp.'!$B63),-('Diário 4º PA'!$Q$4:$Q$2564=D$1),('Diário 4º PA'!$F$4:$F$2564))+SUMPRODUCT(-('Comp.'!$D$5:$D$69='Analítico Cp.'!$B63),-('Comp.'!$K$5:$K$69=D$1),('Comp.'!$E$5:$E$69))</f>
        <v>1034.8899999999999</v>
      </c>
      <c r="E63" s="12">
        <f>SUMPRODUCT(-('Diário 1º PA'!$E$4:$E$2635='Analítico Cp.'!$B63),-('Diário 1º PA'!$Q$4:$Q$2635=E$1),('Diário 1º PA'!$F$4:$F$2635))+SUMPRODUCT(-('Diário 2º PA'!$E$4:$E$3040='Analítico Cp.'!$B63),-('Diário 2º PA'!$Q$4:$Q$3040=E$1),('Diário 2º PA'!$F$4:$F$3040))+SUMPRODUCT(-('Diário 3º PA'!$E$4:$E$2731='Analítico Cp.'!$B63),-('Diário 3º PA'!$Q$4:$Q$2731=E$1),('Diário 3º PA'!$F$4:$F$2731))+SUMPRODUCT(-('Diário 4º PA'!$E$4:$E$2564='Analítico Cp.'!$B63),-('Diário 4º PA'!$Q$4:$Q$2564=E$1),('Diário 4º PA'!$F$4:$F$2564))+SUMPRODUCT(-('Comp.'!$D$5:$D$69='Analítico Cp.'!$B63),-('Comp.'!$K$5:$K$69=E$1),('Comp.'!$E$5:$E$69))</f>
        <v>977.91</v>
      </c>
      <c r="F63" s="12">
        <f>SUMPRODUCT(-('Diário 1º PA'!$E$4:$E$2635='Analítico Cp.'!$B63),-('Diário 1º PA'!$Q$4:$Q$2635=F$1),('Diário 1º PA'!$F$4:$F$2635))+SUMPRODUCT(-('Diário 2º PA'!$E$4:$E$3040='Analítico Cp.'!$B63),-('Diário 2º PA'!$Q$4:$Q$3040=F$1),('Diário 2º PA'!$F$4:$F$3040))+SUMPRODUCT(-('Diário 3º PA'!$E$4:$E$2731='Analítico Cp.'!$B63),-('Diário 3º PA'!$Q$4:$Q$2731=F$1),('Diário 3º PA'!$F$4:$F$2731))+SUMPRODUCT(-('Diário 4º PA'!$E$4:$E$2564='Analítico Cp.'!$B63),-('Diário 4º PA'!$Q$4:$Q$2564=F$1),('Diário 4º PA'!$F$4:$F$2564))+SUMPRODUCT(-('Comp.'!$D$5:$D$69='Analítico Cp.'!$B63),-('Comp.'!$K$5:$K$69=F$1),('Comp.'!$E$5:$E$69))</f>
        <v>974.83</v>
      </c>
      <c r="G63" s="12">
        <f>SUMPRODUCT(-('Diário 1º PA'!$E$4:$E$2635='Analítico Cp.'!$B63),-('Diário 1º PA'!$Q$4:$Q$2635=G$1),('Diário 1º PA'!$F$4:$F$2635))+SUMPRODUCT(-('Diário 2º PA'!$E$4:$E$3040='Analítico Cp.'!$B63),-('Diário 2º PA'!$Q$4:$Q$3040=G$1),('Diário 2º PA'!$F$4:$F$3040))+SUMPRODUCT(-('Diário 3º PA'!$E$4:$E$2731='Analítico Cp.'!$B63),-('Diário 3º PA'!$Q$4:$Q$2731=G$1),('Diário 3º PA'!$F$4:$F$2731))+SUMPRODUCT(-('Diário 4º PA'!$E$4:$E$2564='Analítico Cp.'!$B63),-('Diário 4º PA'!$Q$4:$Q$2564=G$1),('Diário 4º PA'!$F$4:$F$2564))+SUMPRODUCT(-('Comp.'!$D$5:$D$69='Analítico Cp.'!$B63),-('Comp.'!$K$5:$K$69=G$1),('Comp.'!$E$5:$E$69))</f>
        <v>0</v>
      </c>
      <c r="H63" s="12">
        <f>SUMPRODUCT(-('Diário 1º PA'!$E$4:$E$2635='Analítico Cp.'!$B63),-('Diário 1º PA'!$Q$4:$Q$2635=H$1),('Diário 1º PA'!$F$4:$F$2635))+SUMPRODUCT(-('Diário 2º PA'!$E$4:$E$3040='Analítico Cp.'!$B63),-('Diário 2º PA'!$Q$4:$Q$3040=H$1),('Diário 2º PA'!$F$4:$F$3040))+SUMPRODUCT(-('Diário 3º PA'!$E$4:$E$2731='Analítico Cp.'!$B63),-('Diário 3º PA'!$Q$4:$Q$2731=H$1),('Diário 3º PA'!$F$4:$F$2731))+SUMPRODUCT(-('Diário 4º PA'!$E$4:$E$2564='Analítico Cp.'!$B63),-('Diário 4º PA'!$Q$4:$Q$2564=H$1),('Diário 4º PA'!$F$4:$F$2564))+SUMPRODUCT(-('Comp.'!$D$5:$D$69='Analítico Cp.'!$B63),-('Comp.'!$K$5:$K$69=H$1),('Comp.'!$E$5:$E$69))</f>
        <v>1142.98</v>
      </c>
      <c r="I63" s="12">
        <f>SUMPRODUCT(-('Diário 1º PA'!$E$4:$E$2635='Analítico Cp.'!$B63),-('Diário 1º PA'!$Q$4:$Q$2635=I$1),('Diário 1º PA'!$F$4:$F$2635))+SUMPRODUCT(-('Diário 2º PA'!$E$4:$E$3040='Analítico Cp.'!$B63),-('Diário 2º PA'!$Q$4:$Q$3040=I$1),('Diário 2º PA'!$F$4:$F$3040))+SUMPRODUCT(-('Diário 3º PA'!$E$4:$E$2731='Analítico Cp.'!$B63),-('Diário 3º PA'!$Q$4:$Q$2731=I$1),('Diário 3º PA'!$F$4:$F$2731))+SUMPRODUCT(-('Diário 4º PA'!$E$4:$E$2564='Analítico Cp.'!$B63),-('Diário 4º PA'!$Q$4:$Q$2564=I$1),('Diário 4º PA'!$F$4:$F$2564))+SUMPRODUCT(-('Comp.'!$D$5:$D$69='Analítico Cp.'!$B63),-('Comp.'!$K$5:$K$69=I$1),('Comp.'!$E$5:$E$69))</f>
        <v>1025.56</v>
      </c>
      <c r="J63" s="12">
        <f>SUMPRODUCT(-('Diário 1º PA'!$E$4:$E$2635='Analítico Cp.'!$B63),-('Diário 1º PA'!$Q$4:$Q$2635=J$1),('Diário 1º PA'!$F$4:$F$2635))+SUMPRODUCT(-('Diário 2º PA'!$E$4:$E$3040='Analítico Cp.'!$B63),-('Diário 2º PA'!$Q$4:$Q$3040=J$1),('Diário 2º PA'!$F$4:$F$3040))+SUMPRODUCT(-('Diário 3º PA'!$E$4:$E$2731='Analítico Cp.'!$B63),-('Diário 3º PA'!$Q$4:$Q$2731=J$1),('Diário 3º PA'!$F$4:$F$2731))+SUMPRODUCT(-('Diário 4º PA'!$E$4:$E$2564='Analítico Cp.'!$B63),-('Diário 4º PA'!$Q$4:$Q$2564=J$1),('Diário 4º PA'!$F$4:$F$2564))+SUMPRODUCT(-('Comp.'!$D$5:$D$69='Analítico Cp.'!$B63),-('Comp.'!$K$5:$K$69=J$1),('Comp.'!$E$5:$E$69))</f>
        <v>966.41</v>
      </c>
      <c r="K63" s="12">
        <f>SUMPRODUCT(-('Diário 1º PA'!$E$4:$E$2635='Analítico Cp.'!$B63),-('Diário 1º PA'!$Q$4:$Q$2635=K$1),('Diário 1º PA'!$F$4:$F$2635))+SUMPRODUCT(-('Diário 2º PA'!$E$4:$E$3040='Analítico Cp.'!$B63),-('Diário 2º PA'!$Q$4:$Q$3040=K$1),('Diário 2º PA'!$F$4:$F$3040))+SUMPRODUCT(-('Diário 3º PA'!$E$4:$E$2731='Analítico Cp.'!$B63),-('Diário 3º PA'!$Q$4:$Q$2731=K$1),('Diário 3º PA'!$F$4:$F$2731))+SUMPRODUCT(-('Diário 4º PA'!$E$4:$E$2564='Analítico Cp.'!$B63),-('Diário 4º PA'!$Q$4:$Q$2564=K$1),('Diário 4º PA'!$F$4:$F$2564))+SUMPRODUCT(-('Comp.'!$D$5:$D$69='Analítico Cp.'!$B63),-('Comp.'!$K$5:$K$69=K$1),('Comp.'!$E$5:$E$69))</f>
        <v>945.24</v>
      </c>
      <c r="L63" s="12">
        <f>SUMPRODUCT(-('Diário 1º PA'!$E$4:$E$2635='Analítico Cp.'!$B63),-('Diário 1º PA'!$Q$4:$Q$2635=L$1),('Diário 1º PA'!$F$4:$F$2635))+SUMPRODUCT(-('Diário 2º PA'!$E$4:$E$3040='Analítico Cp.'!$B63),-('Diário 2º PA'!$Q$4:$Q$3040=L$1),('Diário 2º PA'!$F$4:$F$3040))+SUMPRODUCT(-('Diário 3º PA'!$E$4:$E$2731='Analítico Cp.'!$B63),-('Diário 3º PA'!$Q$4:$Q$2731=L$1),('Diário 3º PA'!$F$4:$F$2731))+SUMPRODUCT(-('Diário 4º PA'!$E$4:$E$2564='Analítico Cp.'!$B63),-('Diário 4º PA'!$Q$4:$Q$2564=L$1),('Diário 4º PA'!$F$4:$F$2564))+SUMPRODUCT(-('Comp.'!$D$5:$D$69='Analítico Cp.'!$B63),-('Comp.'!$K$5:$K$69=L$1),('Comp.'!$E$5:$E$69))</f>
        <v>944.82999999999993</v>
      </c>
      <c r="M63" s="12">
        <f>SUMPRODUCT(-('Diário 1º PA'!$E$4:$E$2635='Analítico Cp.'!$B63),-('Diário 1º PA'!$Q$4:$Q$2635=M$1),('Diário 1º PA'!$F$4:$F$2635))+SUMPRODUCT(-('Diário 2º PA'!$E$4:$E$3040='Analítico Cp.'!$B63),-('Diário 2º PA'!$Q$4:$Q$3040=M$1),('Diário 2º PA'!$F$4:$F$3040))+SUMPRODUCT(-('Diário 3º PA'!$E$4:$E$2731='Analítico Cp.'!$B63),-('Diário 3º PA'!$Q$4:$Q$2731=M$1),('Diário 3º PA'!$F$4:$F$2731))+SUMPRODUCT(-('Diário 4º PA'!$E$4:$E$2564='Analítico Cp.'!$B63),-('Diário 4º PA'!$Q$4:$Q$2564=M$1),('Diário 4º PA'!$F$4:$F$2564))+SUMPRODUCT(-('Comp.'!$D$5:$D$69='Analítico Cp.'!$B63),-('Comp.'!$K$5:$K$69=M$1),('Comp.'!$E$5:$E$69))</f>
        <v>1152.3499999999999</v>
      </c>
      <c r="N63" s="12">
        <f>SUMPRODUCT(-('Diário 1º PA'!$E$4:$E$2635='Analítico Cp.'!$B63),-('Diário 1º PA'!$Q$4:$Q$2635=N$1),('Diário 1º PA'!$F$4:$F$2635))+SUMPRODUCT(-('Diário 2º PA'!$E$4:$E$3040='Analítico Cp.'!$B63),-('Diário 2º PA'!$Q$4:$Q$3040=N$1),('Diário 2º PA'!$F$4:$F$3040))+SUMPRODUCT(-('Diário 3º PA'!$E$4:$E$2731='Analítico Cp.'!$B63),-('Diário 3º PA'!$Q$4:$Q$2731=N$1),('Diário 3º PA'!$F$4:$F$2731))+SUMPRODUCT(-('Diário 4º PA'!$E$4:$E$2564='Analítico Cp.'!$B63),-('Diário 4º PA'!$Q$4:$Q$2564=N$1),('Diário 4º PA'!$F$4:$F$2564))+SUMPRODUCT(-('Comp.'!$D$5:$D$69='Analítico Cp.'!$B63),-('Comp.'!$K$5:$K$69=N$1),('Comp.'!$E$5:$E$69))</f>
        <v>1196.49</v>
      </c>
      <c r="O63" s="13">
        <f t="shared" si="12"/>
        <v>11421.32</v>
      </c>
      <c r="P63" s="167">
        <f t="shared" si="11"/>
        <v>9.3322045381941815E-4</v>
      </c>
    </row>
    <row r="64" spans="1:16" ht="23.25" customHeight="1" x14ac:dyDescent="0.2">
      <c r="A64" s="61" t="s">
        <v>119</v>
      </c>
      <c r="B64" s="102" t="s">
        <v>183</v>
      </c>
      <c r="C64" s="12">
        <f>SUMPRODUCT(-('Diário 1º PA'!$E$4:$E$2635='Analítico Cp.'!$B64),-('Diário 1º PA'!$Q$4:$Q$2635=C$1),('Diário 1º PA'!$F$4:$F$2635))+SUMPRODUCT(-('Diário 2º PA'!$E$4:$E$3040='Analítico Cp.'!$B64),-('Diário 2º PA'!$Q$4:$Q$3040=C$1),('Diário 2º PA'!$F$4:$F$3040))+SUMPRODUCT(-('Diário 3º PA'!$E$4:$E$2731='Analítico Cp.'!$B64),-('Diário 3º PA'!$Q$4:$Q$2731=C$1),('Diário 3º PA'!$F$4:$F$2731))+SUMPRODUCT(-('Diário 4º PA'!$E$4:$E$2564='Analítico Cp.'!$B64),-('Diário 4º PA'!$Q$4:$Q$2564=C$1),('Diário 4º PA'!$F$4:$F$2564))+SUMPRODUCT(-('Comp.'!$D$5:$D$69='Analítico Cp.'!$B64),-('Comp.'!$K$5:$K$69=C$1),('Comp.'!$E$5:$E$69))</f>
        <v>399.56</v>
      </c>
      <c r="D64" s="12">
        <f>SUMPRODUCT(-('Diário 1º PA'!$E$4:$E$2635='Analítico Cp.'!$B64),-('Diário 1º PA'!$Q$4:$Q$2635=D$1),('Diário 1º PA'!$F$4:$F$2635))+SUMPRODUCT(-('Diário 2º PA'!$E$4:$E$3040='Analítico Cp.'!$B64),-('Diário 2º PA'!$Q$4:$Q$3040=D$1),('Diário 2º PA'!$F$4:$F$3040))+SUMPRODUCT(-('Diário 3º PA'!$E$4:$E$2731='Analítico Cp.'!$B64),-('Diário 3º PA'!$Q$4:$Q$2731=D$1),('Diário 3º PA'!$F$4:$F$2731))+SUMPRODUCT(-('Diário 4º PA'!$E$4:$E$2564='Analítico Cp.'!$B64),-('Diário 4º PA'!$Q$4:$Q$2564=D$1),('Diário 4º PA'!$F$4:$F$2564))+SUMPRODUCT(-('Comp.'!$D$5:$D$69='Analítico Cp.'!$B64),-('Comp.'!$K$5:$K$69=D$1),('Comp.'!$E$5:$E$69))</f>
        <v>6349.99</v>
      </c>
      <c r="E64" s="12">
        <f>SUMPRODUCT(-('Diário 1º PA'!$E$4:$E$2635='Analítico Cp.'!$B64),-('Diário 1º PA'!$Q$4:$Q$2635=E$1),('Diário 1º PA'!$F$4:$F$2635))+SUMPRODUCT(-('Diário 2º PA'!$E$4:$E$3040='Analítico Cp.'!$B64),-('Diário 2º PA'!$Q$4:$Q$3040=E$1),('Diário 2º PA'!$F$4:$F$3040))+SUMPRODUCT(-('Diário 3º PA'!$E$4:$E$2731='Analítico Cp.'!$B64),-('Diário 3º PA'!$Q$4:$Q$2731=E$1),('Diário 3º PA'!$F$4:$F$2731))+SUMPRODUCT(-('Diário 4º PA'!$E$4:$E$2564='Analítico Cp.'!$B64),-('Diário 4º PA'!$Q$4:$Q$2564=E$1),('Diário 4º PA'!$F$4:$F$2564))+SUMPRODUCT(-('Comp.'!$D$5:$D$69='Analítico Cp.'!$B64),-('Comp.'!$K$5:$K$69=E$1),('Comp.'!$E$5:$E$69))</f>
        <v>399.99</v>
      </c>
      <c r="F64" s="12">
        <f>SUMPRODUCT(-('Diário 1º PA'!$E$4:$E$2635='Analítico Cp.'!$B64),-('Diário 1º PA'!$Q$4:$Q$2635=F$1),('Diário 1º PA'!$F$4:$F$2635))+SUMPRODUCT(-('Diário 2º PA'!$E$4:$E$3040='Analítico Cp.'!$B64),-('Diário 2º PA'!$Q$4:$Q$3040=F$1),('Diário 2º PA'!$F$4:$F$3040))+SUMPRODUCT(-('Diário 3º PA'!$E$4:$E$2731='Analítico Cp.'!$B64),-('Diário 3º PA'!$Q$4:$Q$2731=F$1),('Diário 3º PA'!$F$4:$F$2731))+SUMPRODUCT(-('Diário 4º PA'!$E$4:$E$2564='Analítico Cp.'!$B64),-('Diário 4º PA'!$Q$4:$Q$2564=F$1),('Diário 4º PA'!$F$4:$F$2564))+SUMPRODUCT(-('Comp.'!$D$5:$D$69='Analítico Cp.'!$B64),-('Comp.'!$K$5:$K$69=F$1),('Comp.'!$E$5:$E$69))</f>
        <v>399.03</v>
      </c>
      <c r="G64" s="12">
        <f>SUMPRODUCT(-('Diário 1º PA'!$E$4:$E$2635='Analítico Cp.'!$B64),-('Diário 1º PA'!$Q$4:$Q$2635=G$1),('Diário 1º PA'!$F$4:$F$2635))+SUMPRODUCT(-('Diário 2º PA'!$E$4:$E$3040='Analítico Cp.'!$B64),-('Diário 2º PA'!$Q$4:$Q$3040=G$1),('Diário 2º PA'!$F$4:$F$3040))+SUMPRODUCT(-('Diário 3º PA'!$E$4:$E$2731='Analítico Cp.'!$B64),-('Diário 3º PA'!$Q$4:$Q$2731=G$1),('Diário 3º PA'!$F$4:$F$2731))+SUMPRODUCT(-('Diário 4º PA'!$E$4:$E$2564='Analítico Cp.'!$B64),-('Diário 4º PA'!$Q$4:$Q$2564=G$1),('Diário 4º PA'!$F$4:$F$2564))+SUMPRODUCT(-('Comp.'!$D$5:$D$69='Analítico Cp.'!$B64),-('Comp.'!$K$5:$K$69=G$1),('Comp.'!$E$5:$E$69))</f>
        <v>139.74</v>
      </c>
      <c r="H64" s="12">
        <f>SUMPRODUCT(-('Diário 1º PA'!$E$4:$E$2635='Analítico Cp.'!$B64),-('Diário 1º PA'!$Q$4:$Q$2635=H$1),('Diário 1º PA'!$F$4:$F$2635))+SUMPRODUCT(-('Diário 2º PA'!$E$4:$E$3040='Analítico Cp.'!$B64),-('Diário 2º PA'!$Q$4:$Q$3040=H$1),('Diário 2º PA'!$F$4:$F$3040))+SUMPRODUCT(-('Diário 3º PA'!$E$4:$E$2731='Analítico Cp.'!$B64),-('Diário 3º PA'!$Q$4:$Q$2731=H$1),('Diário 3º PA'!$F$4:$F$2731))+SUMPRODUCT(-('Diário 4º PA'!$E$4:$E$2564='Analítico Cp.'!$B64),-('Diário 4º PA'!$Q$4:$Q$2564=H$1),('Diário 4º PA'!$F$4:$F$2564))+SUMPRODUCT(-('Comp.'!$D$5:$D$69='Analítico Cp.'!$B64),-('Comp.'!$K$5:$K$69=H$1),('Comp.'!$E$5:$E$69))</f>
        <v>400.96</v>
      </c>
      <c r="I64" s="12">
        <f>SUMPRODUCT(-('Diário 1º PA'!$E$4:$E$2635='Analítico Cp.'!$B64),-('Diário 1º PA'!$Q$4:$Q$2635=I$1),('Diário 1º PA'!$F$4:$F$2635))+SUMPRODUCT(-('Diário 2º PA'!$E$4:$E$3040='Analítico Cp.'!$B64),-('Diário 2º PA'!$Q$4:$Q$3040=I$1),('Diário 2º PA'!$F$4:$F$3040))+SUMPRODUCT(-('Diário 3º PA'!$E$4:$E$2731='Analítico Cp.'!$B64),-('Diário 3º PA'!$Q$4:$Q$2731=I$1),('Diário 3º PA'!$F$4:$F$2731))+SUMPRODUCT(-('Diário 4º PA'!$E$4:$E$2564='Analítico Cp.'!$B64),-('Diário 4º PA'!$Q$4:$Q$2564=I$1),('Diário 4º PA'!$F$4:$F$2564))+SUMPRODUCT(-('Comp.'!$D$5:$D$69='Analítico Cp.'!$B64),-('Comp.'!$K$5:$K$69=I$1),('Comp.'!$E$5:$E$69))</f>
        <v>350.38</v>
      </c>
      <c r="J64" s="12">
        <f>SUMPRODUCT(-('Diário 1º PA'!$E$4:$E$2635='Analítico Cp.'!$B64),-('Diário 1º PA'!$Q$4:$Q$2635=J$1),('Diário 1º PA'!$F$4:$F$2635))+SUMPRODUCT(-('Diário 2º PA'!$E$4:$E$3040='Analítico Cp.'!$B64),-('Diário 2º PA'!$Q$4:$Q$3040=J$1),('Diário 2º PA'!$F$4:$F$3040))+SUMPRODUCT(-('Diário 3º PA'!$E$4:$E$2731='Analítico Cp.'!$B64),-('Diário 3º PA'!$Q$4:$Q$2731=J$1),('Diário 3º PA'!$F$4:$F$2731))+SUMPRODUCT(-('Diário 4º PA'!$E$4:$E$2564='Analítico Cp.'!$B64),-('Diário 4º PA'!$Q$4:$Q$2564=J$1),('Diário 4º PA'!$F$4:$F$2564))+SUMPRODUCT(-('Comp.'!$D$5:$D$69='Analítico Cp.'!$B64),-('Comp.'!$K$5:$K$69=J$1),('Comp.'!$E$5:$E$69))</f>
        <v>352.76</v>
      </c>
      <c r="K64" s="12">
        <f>SUMPRODUCT(-('Diário 1º PA'!$E$4:$E$2635='Analítico Cp.'!$B64),-('Diário 1º PA'!$Q$4:$Q$2635=K$1),('Diário 1º PA'!$F$4:$F$2635))+SUMPRODUCT(-('Diário 2º PA'!$E$4:$E$3040='Analítico Cp.'!$B64),-('Diário 2º PA'!$Q$4:$Q$3040=K$1),('Diário 2º PA'!$F$4:$F$3040))+SUMPRODUCT(-('Diário 3º PA'!$E$4:$E$2731='Analítico Cp.'!$B64),-('Diário 3º PA'!$Q$4:$Q$2731=K$1),('Diário 3º PA'!$F$4:$F$2731))+SUMPRODUCT(-('Diário 4º PA'!$E$4:$E$2564='Analítico Cp.'!$B64),-('Diário 4º PA'!$Q$4:$Q$2564=K$1),('Diário 4º PA'!$F$4:$F$2564))+SUMPRODUCT(-('Comp.'!$D$5:$D$69='Analítico Cp.'!$B64),-('Comp.'!$K$5:$K$69=K$1),('Comp.'!$E$5:$E$69))</f>
        <v>321.08</v>
      </c>
      <c r="L64" s="12">
        <f>SUMPRODUCT(-('Diário 1º PA'!$E$4:$E$2635='Analítico Cp.'!$B64),-('Diário 1º PA'!$Q$4:$Q$2635=L$1),('Diário 1º PA'!$F$4:$F$2635))+SUMPRODUCT(-('Diário 2º PA'!$E$4:$E$3040='Analítico Cp.'!$B64),-('Diário 2º PA'!$Q$4:$Q$3040=L$1),('Diário 2º PA'!$F$4:$F$3040))+SUMPRODUCT(-('Diário 3º PA'!$E$4:$E$2731='Analítico Cp.'!$B64),-('Diário 3º PA'!$Q$4:$Q$2731=L$1),('Diário 3º PA'!$F$4:$F$2731))+SUMPRODUCT(-('Diário 4º PA'!$E$4:$E$2564='Analítico Cp.'!$B64),-('Diário 4º PA'!$Q$4:$Q$2564=L$1),('Diário 4º PA'!$F$4:$F$2564))+SUMPRODUCT(-('Comp.'!$D$5:$D$69='Analítico Cp.'!$B64),-('Comp.'!$K$5:$K$69=L$1),('Comp.'!$E$5:$E$69))</f>
        <v>232.09999999999997</v>
      </c>
      <c r="M64" s="12">
        <f>SUMPRODUCT(-('Diário 1º PA'!$E$4:$E$2635='Analítico Cp.'!$B64),-('Diário 1º PA'!$Q$4:$Q$2635=M$1),('Diário 1º PA'!$F$4:$F$2635))+SUMPRODUCT(-('Diário 2º PA'!$E$4:$E$3040='Analítico Cp.'!$B64),-('Diário 2º PA'!$Q$4:$Q$3040=M$1),('Diário 2º PA'!$F$4:$F$3040))+SUMPRODUCT(-('Diário 3º PA'!$E$4:$E$2731='Analítico Cp.'!$B64),-('Diário 3º PA'!$Q$4:$Q$2731=M$1),('Diário 3º PA'!$F$4:$F$2731))+SUMPRODUCT(-('Diário 4º PA'!$E$4:$E$2564='Analítico Cp.'!$B64),-('Diário 4º PA'!$Q$4:$Q$2564=M$1),('Diário 4º PA'!$F$4:$F$2564))+SUMPRODUCT(-('Comp.'!$D$5:$D$69='Analítico Cp.'!$B64),-('Comp.'!$K$5:$K$69=M$1),('Comp.'!$E$5:$E$69))</f>
        <v>342.36</v>
      </c>
      <c r="N64" s="12">
        <f>SUMPRODUCT(-('Diário 1º PA'!$E$4:$E$2635='Analítico Cp.'!$B64),-('Diário 1º PA'!$Q$4:$Q$2635=N$1),('Diário 1º PA'!$F$4:$F$2635))+SUMPRODUCT(-('Diário 2º PA'!$E$4:$E$3040='Analítico Cp.'!$B64),-('Diário 2º PA'!$Q$4:$Q$3040=N$1),('Diário 2º PA'!$F$4:$F$3040))+SUMPRODUCT(-('Diário 3º PA'!$E$4:$E$2731='Analítico Cp.'!$B64),-('Diário 3º PA'!$Q$4:$Q$2731=N$1),('Diário 3º PA'!$F$4:$F$2731))+SUMPRODUCT(-('Diário 4º PA'!$E$4:$E$2564='Analítico Cp.'!$B64),-('Diário 4º PA'!$Q$4:$Q$2564=N$1),('Diário 4º PA'!$F$4:$F$2564))+SUMPRODUCT(-('Comp.'!$D$5:$D$69='Analítico Cp.'!$B64),-('Comp.'!$K$5:$K$69=N$1),('Comp.'!$E$5:$E$69))</f>
        <v>300</v>
      </c>
      <c r="O64" s="13">
        <f t="shared" si="12"/>
        <v>9987.9500000000007</v>
      </c>
      <c r="P64" s="167">
        <f t="shared" si="11"/>
        <v>8.1610174933594872E-4</v>
      </c>
    </row>
    <row r="65" spans="1:16" ht="23.25" customHeight="1" x14ac:dyDescent="0.2">
      <c r="A65" s="61" t="s">
        <v>120</v>
      </c>
      <c r="B65" s="102" t="s">
        <v>180</v>
      </c>
      <c r="C65" s="12">
        <f>SUMPRODUCT(-('Diário 1º PA'!$E$4:$E$2635='Analítico Cp.'!$B65),-('Diário 1º PA'!$Q$4:$Q$2635=C$1),('Diário 1º PA'!$F$4:$F$2635))+SUMPRODUCT(-('Diário 2º PA'!$E$4:$E$3040='Analítico Cp.'!$B65),-('Diário 2º PA'!$Q$4:$Q$3040=C$1),('Diário 2º PA'!$F$4:$F$3040))+SUMPRODUCT(-('Diário 3º PA'!$E$4:$E$2731='Analítico Cp.'!$B65),-('Diário 3º PA'!$Q$4:$Q$2731=C$1),('Diário 3º PA'!$F$4:$F$2731))+SUMPRODUCT(-('Diário 4º PA'!$E$4:$E$2564='Analítico Cp.'!$B65),-('Diário 4º PA'!$Q$4:$Q$2564=C$1),('Diário 4º PA'!$F$4:$F$2564))+SUMPRODUCT(-('Comp.'!$D$5:$D$69='Analítico Cp.'!$B65),-('Comp.'!$K$5:$K$69=C$1),('Comp.'!$E$5:$E$69))</f>
        <v>0</v>
      </c>
      <c r="D65" s="12">
        <f>SUMPRODUCT(-('Diário 1º PA'!$E$4:$E$2635='Analítico Cp.'!$B65),-('Diário 1º PA'!$Q$4:$Q$2635=D$1),('Diário 1º PA'!$F$4:$F$2635))+SUMPRODUCT(-('Diário 2º PA'!$E$4:$E$3040='Analítico Cp.'!$B65),-('Diário 2º PA'!$Q$4:$Q$3040=D$1),('Diário 2º PA'!$F$4:$F$3040))+SUMPRODUCT(-('Diário 3º PA'!$E$4:$E$2731='Analítico Cp.'!$B65),-('Diário 3º PA'!$Q$4:$Q$2731=D$1),('Diário 3º PA'!$F$4:$F$2731))+SUMPRODUCT(-('Diário 4º PA'!$E$4:$E$2564='Analítico Cp.'!$B65),-('Diário 4º PA'!$Q$4:$Q$2564=D$1),('Diário 4º PA'!$F$4:$F$2564))+SUMPRODUCT(-('Comp.'!$D$5:$D$69='Analítico Cp.'!$B65),-('Comp.'!$K$5:$K$69=D$1),('Comp.'!$E$5:$E$69))</f>
        <v>0</v>
      </c>
      <c r="E65" s="12">
        <f>SUMPRODUCT(-('Diário 1º PA'!$E$4:$E$2635='Analítico Cp.'!$B65),-('Diário 1º PA'!$Q$4:$Q$2635=E$1),('Diário 1º PA'!$F$4:$F$2635))+SUMPRODUCT(-('Diário 2º PA'!$E$4:$E$3040='Analítico Cp.'!$B65),-('Diário 2º PA'!$Q$4:$Q$3040=E$1),('Diário 2º PA'!$F$4:$F$3040))+SUMPRODUCT(-('Diário 3º PA'!$E$4:$E$2731='Analítico Cp.'!$B65),-('Diário 3º PA'!$Q$4:$Q$2731=E$1),('Diário 3º PA'!$F$4:$F$2731))+SUMPRODUCT(-('Diário 4º PA'!$E$4:$E$2564='Analítico Cp.'!$B65),-('Diário 4º PA'!$Q$4:$Q$2564=E$1),('Diário 4º PA'!$F$4:$F$2564))+SUMPRODUCT(-('Comp.'!$D$5:$D$69='Analítico Cp.'!$B65),-('Comp.'!$K$5:$K$69=E$1),('Comp.'!$E$5:$E$69))</f>
        <v>0</v>
      </c>
      <c r="F65" s="12">
        <f>SUMPRODUCT(-('Diário 1º PA'!$E$4:$E$2635='Analítico Cp.'!$B65),-('Diário 1º PA'!$Q$4:$Q$2635=F$1),('Diário 1º PA'!$F$4:$F$2635))+SUMPRODUCT(-('Diário 2º PA'!$E$4:$E$3040='Analítico Cp.'!$B65),-('Diário 2º PA'!$Q$4:$Q$3040=F$1),('Diário 2º PA'!$F$4:$F$3040))+SUMPRODUCT(-('Diário 3º PA'!$E$4:$E$2731='Analítico Cp.'!$B65),-('Diário 3º PA'!$Q$4:$Q$2731=F$1),('Diário 3º PA'!$F$4:$F$2731))+SUMPRODUCT(-('Diário 4º PA'!$E$4:$E$2564='Analítico Cp.'!$B65),-('Diário 4º PA'!$Q$4:$Q$2564=F$1),('Diário 4º PA'!$F$4:$F$2564))+SUMPRODUCT(-('Comp.'!$D$5:$D$69='Analítico Cp.'!$B65),-('Comp.'!$K$5:$K$69=F$1),('Comp.'!$E$5:$E$69))</f>
        <v>0</v>
      </c>
      <c r="G65" s="12">
        <f>SUMPRODUCT(-('Diário 1º PA'!$E$4:$E$2635='Analítico Cp.'!$B65),-('Diário 1º PA'!$Q$4:$Q$2635=G$1),('Diário 1º PA'!$F$4:$F$2635))+SUMPRODUCT(-('Diário 2º PA'!$E$4:$E$3040='Analítico Cp.'!$B65),-('Diário 2º PA'!$Q$4:$Q$3040=G$1),('Diário 2º PA'!$F$4:$F$3040))+SUMPRODUCT(-('Diário 3º PA'!$E$4:$E$2731='Analítico Cp.'!$B65),-('Diário 3º PA'!$Q$4:$Q$2731=G$1),('Diário 3º PA'!$F$4:$F$2731))+SUMPRODUCT(-('Diário 4º PA'!$E$4:$E$2564='Analítico Cp.'!$B65),-('Diário 4º PA'!$Q$4:$Q$2564=G$1),('Diário 4º PA'!$F$4:$F$2564))+SUMPRODUCT(-('Comp.'!$D$5:$D$69='Analítico Cp.'!$B65),-('Comp.'!$K$5:$K$69=G$1),('Comp.'!$E$5:$E$69))</f>
        <v>0</v>
      </c>
      <c r="H65" s="12">
        <f>SUMPRODUCT(-('Diário 1º PA'!$E$4:$E$2635='Analítico Cp.'!$B65),-('Diário 1º PA'!$Q$4:$Q$2635=H$1),('Diário 1º PA'!$F$4:$F$2635))+SUMPRODUCT(-('Diário 2º PA'!$E$4:$E$3040='Analítico Cp.'!$B65),-('Diário 2º PA'!$Q$4:$Q$3040=H$1),('Diário 2º PA'!$F$4:$F$3040))+SUMPRODUCT(-('Diário 3º PA'!$E$4:$E$2731='Analítico Cp.'!$B65),-('Diário 3º PA'!$Q$4:$Q$2731=H$1),('Diário 3º PA'!$F$4:$F$2731))+SUMPRODUCT(-('Diário 4º PA'!$E$4:$E$2564='Analítico Cp.'!$B65),-('Diário 4º PA'!$Q$4:$Q$2564=H$1),('Diário 4º PA'!$F$4:$F$2564))+SUMPRODUCT(-('Comp.'!$D$5:$D$69='Analítico Cp.'!$B65),-('Comp.'!$K$5:$K$69=H$1),('Comp.'!$E$5:$E$69))</f>
        <v>0</v>
      </c>
      <c r="I65" s="12">
        <f>SUMPRODUCT(-('Diário 1º PA'!$E$4:$E$2635='Analítico Cp.'!$B65),-('Diário 1º PA'!$Q$4:$Q$2635=I$1),('Diário 1º PA'!$F$4:$F$2635))+SUMPRODUCT(-('Diário 2º PA'!$E$4:$E$3040='Analítico Cp.'!$B65),-('Diário 2º PA'!$Q$4:$Q$3040=I$1),('Diário 2º PA'!$F$4:$F$3040))+SUMPRODUCT(-('Diário 3º PA'!$E$4:$E$2731='Analítico Cp.'!$B65),-('Diário 3º PA'!$Q$4:$Q$2731=I$1),('Diário 3º PA'!$F$4:$F$2731))+SUMPRODUCT(-('Diário 4º PA'!$E$4:$E$2564='Analítico Cp.'!$B65),-('Diário 4º PA'!$Q$4:$Q$2564=I$1),('Diário 4º PA'!$F$4:$F$2564))+SUMPRODUCT(-('Comp.'!$D$5:$D$69='Analítico Cp.'!$B65),-('Comp.'!$K$5:$K$69=I$1),('Comp.'!$E$5:$E$69))</f>
        <v>0</v>
      </c>
      <c r="J65" s="12">
        <f>SUMPRODUCT(-('Diário 1º PA'!$E$4:$E$2635='Analítico Cp.'!$B65),-('Diário 1º PA'!$Q$4:$Q$2635=J$1),('Diário 1º PA'!$F$4:$F$2635))+SUMPRODUCT(-('Diário 2º PA'!$E$4:$E$3040='Analítico Cp.'!$B65),-('Diário 2º PA'!$Q$4:$Q$3040=J$1),('Diário 2º PA'!$F$4:$F$3040))+SUMPRODUCT(-('Diário 3º PA'!$E$4:$E$2731='Analítico Cp.'!$B65),-('Diário 3º PA'!$Q$4:$Q$2731=J$1),('Diário 3º PA'!$F$4:$F$2731))+SUMPRODUCT(-('Diário 4º PA'!$E$4:$E$2564='Analítico Cp.'!$B65),-('Diário 4º PA'!$Q$4:$Q$2564=J$1),('Diário 4º PA'!$F$4:$F$2564))+SUMPRODUCT(-('Comp.'!$D$5:$D$69='Analítico Cp.'!$B65),-('Comp.'!$K$5:$K$69=J$1),('Comp.'!$E$5:$E$69))</f>
        <v>0</v>
      </c>
      <c r="K65" s="12">
        <f>SUMPRODUCT(-('Diário 1º PA'!$E$4:$E$2635='Analítico Cp.'!$B65),-('Diário 1º PA'!$Q$4:$Q$2635=K$1),('Diário 1º PA'!$F$4:$F$2635))+SUMPRODUCT(-('Diário 2º PA'!$E$4:$E$3040='Analítico Cp.'!$B65),-('Diário 2º PA'!$Q$4:$Q$3040=K$1),('Diário 2º PA'!$F$4:$F$3040))+SUMPRODUCT(-('Diário 3º PA'!$E$4:$E$2731='Analítico Cp.'!$B65),-('Diário 3º PA'!$Q$4:$Q$2731=K$1),('Diário 3º PA'!$F$4:$F$2731))+SUMPRODUCT(-('Diário 4º PA'!$E$4:$E$2564='Analítico Cp.'!$B65),-('Diário 4º PA'!$Q$4:$Q$2564=K$1),('Diário 4º PA'!$F$4:$F$2564))+SUMPRODUCT(-('Comp.'!$D$5:$D$69='Analítico Cp.'!$B65),-('Comp.'!$K$5:$K$69=K$1),('Comp.'!$E$5:$E$69))</f>
        <v>0</v>
      </c>
      <c r="L65" s="12">
        <f>SUMPRODUCT(-('Diário 1º PA'!$E$4:$E$2635='Analítico Cp.'!$B65),-('Diário 1º PA'!$Q$4:$Q$2635=L$1),('Diário 1º PA'!$F$4:$F$2635))+SUMPRODUCT(-('Diário 2º PA'!$E$4:$E$3040='Analítico Cp.'!$B65),-('Diário 2º PA'!$Q$4:$Q$3040=L$1),('Diário 2º PA'!$F$4:$F$3040))+SUMPRODUCT(-('Diário 3º PA'!$E$4:$E$2731='Analítico Cp.'!$B65),-('Diário 3º PA'!$Q$4:$Q$2731=L$1),('Diário 3º PA'!$F$4:$F$2731))+SUMPRODUCT(-('Diário 4º PA'!$E$4:$E$2564='Analítico Cp.'!$B65),-('Diário 4º PA'!$Q$4:$Q$2564=L$1),('Diário 4º PA'!$F$4:$F$2564))+SUMPRODUCT(-('Comp.'!$D$5:$D$69='Analítico Cp.'!$B65),-('Comp.'!$K$5:$K$69=L$1),('Comp.'!$E$5:$E$69))</f>
        <v>0</v>
      </c>
      <c r="M65" s="12">
        <f>SUMPRODUCT(-('Diário 1º PA'!$E$4:$E$2635='Analítico Cp.'!$B65),-('Diário 1º PA'!$Q$4:$Q$2635=M$1),('Diário 1º PA'!$F$4:$F$2635))+SUMPRODUCT(-('Diário 2º PA'!$E$4:$E$3040='Analítico Cp.'!$B65),-('Diário 2º PA'!$Q$4:$Q$3040=M$1),('Diário 2º PA'!$F$4:$F$3040))+SUMPRODUCT(-('Diário 3º PA'!$E$4:$E$2731='Analítico Cp.'!$B65),-('Diário 3º PA'!$Q$4:$Q$2731=M$1),('Diário 3º PA'!$F$4:$F$2731))+SUMPRODUCT(-('Diário 4º PA'!$E$4:$E$2564='Analítico Cp.'!$B65),-('Diário 4º PA'!$Q$4:$Q$2564=M$1),('Diário 4º PA'!$F$4:$F$2564))+SUMPRODUCT(-('Comp.'!$D$5:$D$69='Analítico Cp.'!$B65),-('Comp.'!$K$5:$K$69=M$1),('Comp.'!$E$5:$E$69))</f>
        <v>412.09</v>
      </c>
      <c r="N65" s="12">
        <f>SUMPRODUCT(-('Diário 1º PA'!$E$4:$E$2635='Analítico Cp.'!$B65),-('Diário 1º PA'!$Q$4:$Q$2635=N$1),('Diário 1º PA'!$F$4:$F$2635))+SUMPRODUCT(-('Diário 2º PA'!$E$4:$E$3040='Analítico Cp.'!$B65),-('Diário 2º PA'!$Q$4:$Q$3040=N$1),('Diário 2º PA'!$F$4:$F$3040))+SUMPRODUCT(-('Diário 3º PA'!$E$4:$E$2731='Analítico Cp.'!$B65),-('Diário 3º PA'!$Q$4:$Q$2731=N$1),('Diário 3º PA'!$F$4:$F$2731))+SUMPRODUCT(-('Diário 4º PA'!$E$4:$E$2564='Analítico Cp.'!$B65),-('Diário 4º PA'!$Q$4:$Q$2564=N$1),('Diário 4º PA'!$F$4:$F$2564))+SUMPRODUCT(-('Comp.'!$D$5:$D$69='Analítico Cp.'!$B65),-('Comp.'!$K$5:$K$69=N$1),('Comp.'!$E$5:$E$69))</f>
        <v>42.9</v>
      </c>
      <c r="O65" s="13">
        <f t="shared" si="12"/>
        <v>454.98999999999995</v>
      </c>
      <c r="P65" s="167">
        <f t="shared" si="11"/>
        <v>3.7176611309664474E-5</v>
      </c>
    </row>
    <row r="66" spans="1:16" ht="23.25" customHeight="1" x14ac:dyDescent="0.2">
      <c r="A66" s="61" t="s">
        <v>121</v>
      </c>
      <c r="B66" s="102" t="s">
        <v>59</v>
      </c>
      <c r="C66" s="12">
        <f>SUMPRODUCT(-('Diário 1º PA'!$E$4:$E$2635='Analítico Cp.'!$B66),-('Diário 1º PA'!$Q$4:$Q$2635=C$1),('Diário 1º PA'!$F$4:$F$2635))+SUMPRODUCT(-('Diário 2º PA'!$E$4:$E$3040='Analítico Cp.'!$B66),-('Diário 2º PA'!$Q$4:$Q$3040=C$1),('Diário 2º PA'!$F$4:$F$3040))+SUMPRODUCT(-('Diário 3º PA'!$E$4:$E$2731='Analítico Cp.'!$B66),-('Diário 3º PA'!$Q$4:$Q$2731=C$1),('Diário 3º PA'!$F$4:$F$2731))+SUMPRODUCT(-('Diário 4º PA'!$E$4:$E$2564='Analítico Cp.'!$B66),-('Diário 4º PA'!$Q$4:$Q$2564=C$1),('Diário 4º PA'!$F$4:$F$2564))+SUMPRODUCT(-('Comp.'!$D$5:$D$69='Analítico Cp.'!$B66),-('Comp.'!$K$5:$K$69=C$1),('Comp.'!$E$5:$E$69))</f>
        <v>6255.15</v>
      </c>
      <c r="D66" s="12">
        <f>SUMPRODUCT(-('Diário 1º PA'!$E$4:$E$2635='Analítico Cp.'!$B66),-('Diário 1º PA'!$Q$4:$Q$2635=D$1),('Diário 1º PA'!$F$4:$F$2635))+SUMPRODUCT(-('Diário 2º PA'!$E$4:$E$3040='Analítico Cp.'!$B66),-('Diário 2º PA'!$Q$4:$Q$3040=D$1),('Diário 2º PA'!$F$4:$F$3040))+SUMPRODUCT(-('Diário 3º PA'!$E$4:$E$2731='Analítico Cp.'!$B66),-('Diário 3º PA'!$Q$4:$Q$2731=D$1),('Diário 3º PA'!$F$4:$F$2731))+SUMPRODUCT(-('Diário 4º PA'!$E$4:$E$2564='Analítico Cp.'!$B66),-('Diário 4º PA'!$Q$4:$Q$2564=D$1),('Diário 4º PA'!$F$4:$F$2564))+SUMPRODUCT(-('Comp.'!$D$5:$D$69='Analítico Cp.'!$B66),-('Comp.'!$K$5:$K$69=D$1),('Comp.'!$E$5:$E$69))</f>
        <v>6255.15</v>
      </c>
      <c r="E66" s="12">
        <f>SUMPRODUCT(-('Diário 1º PA'!$E$4:$E$2635='Analítico Cp.'!$B66),-('Diário 1º PA'!$Q$4:$Q$2635=E$1),('Diário 1º PA'!$F$4:$F$2635))+SUMPRODUCT(-('Diário 2º PA'!$E$4:$E$3040='Analítico Cp.'!$B66),-('Diário 2º PA'!$Q$4:$Q$3040=E$1),('Diário 2º PA'!$F$4:$F$3040))+SUMPRODUCT(-('Diário 3º PA'!$E$4:$E$2731='Analítico Cp.'!$B66),-('Diário 3º PA'!$Q$4:$Q$2731=E$1),('Diário 3º PA'!$F$4:$F$2731))+SUMPRODUCT(-('Diário 4º PA'!$E$4:$E$2564='Analítico Cp.'!$B66),-('Diário 4º PA'!$Q$4:$Q$2564=E$1),('Diário 4º PA'!$F$4:$F$2564))+SUMPRODUCT(-('Comp.'!$D$5:$D$69='Analítico Cp.'!$B66),-('Comp.'!$K$5:$K$69=E$1),('Comp.'!$E$5:$E$69))</f>
        <v>6255.15</v>
      </c>
      <c r="F66" s="12">
        <f>SUMPRODUCT(-('Diário 1º PA'!$E$4:$E$2635='Analítico Cp.'!$B66),-('Diário 1º PA'!$Q$4:$Q$2635=F$1),('Diário 1º PA'!$F$4:$F$2635))+SUMPRODUCT(-('Diário 2º PA'!$E$4:$E$3040='Analítico Cp.'!$B66),-('Diário 2º PA'!$Q$4:$Q$3040=F$1),('Diário 2º PA'!$F$4:$F$3040))+SUMPRODUCT(-('Diário 3º PA'!$E$4:$E$2731='Analítico Cp.'!$B66),-('Diário 3º PA'!$Q$4:$Q$2731=F$1),('Diário 3º PA'!$F$4:$F$2731))+SUMPRODUCT(-('Diário 4º PA'!$E$4:$E$2564='Analítico Cp.'!$B66),-('Diário 4º PA'!$Q$4:$Q$2564=F$1),('Diário 4º PA'!$F$4:$F$2564))+SUMPRODUCT(-('Comp.'!$D$5:$D$69='Analítico Cp.'!$B66),-('Comp.'!$K$5:$K$69=F$1),('Comp.'!$E$5:$E$69))</f>
        <v>6255.15</v>
      </c>
      <c r="G66" s="12">
        <f>SUMPRODUCT(-('Diário 1º PA'!$E$4:$E$2635='Analítico Cp.'!$B66),-('Diário 1º PA'!$Q$4:$Q$2635=G$1),('Diário 1º PA'!$F$4:$F$2635))+SUMPRODUCT(-('Diário 2º PA'!$E$4:$E$3040='Analítico Cp.'!$B66),-('Diário 2º PA'!$Q$4:$Q$3040=G$1),('Diário 2º PA'!$F$4:$F$3040))+SUMPRODUCT(-('Diário 3º PA'!$E$4:$E$2731='Analítico Cp.'!$B66),-('Diário 3º PA'!$Q$4:$Q$2731=G$1),('Diário 3º PA'!$F$4:$F$2731))+SUMPRODUCT(-('Diário 4º PA'!$E$4:$E$2564='Analítico Cp.'!$B66),-('Diário 4º PA'!$Q$4:$Q$2564=G$1),('Diário 4º PA'!$F$4:$F$2564))+SUMPRODUCT(-('Comp.'!$D$5:$D$69='Analítico Cp.'!$B66),-('Comp.'!$K$5:$K$69=G$1),('Comp.'!$E$5:$E$69))</f>
        <v>0</v>
      </c>
      <c r="H66" s="12">
        <f>SUMPRODUCT(-('Diário 1º PA'!$E$4:$E$2635='Analítico Cp.'!$B66),-('Diário 1º PA'!$Q$4:$Q$2635=H$1),('Diário 1º PA'!$F$4:$F$2635))+SUMPRODUCT(-('Diário 2º PA'!$E$4:$E$3040='Analítico Cp.'!$B66),-('Diário 2º PA'!$Q$4:$Q$3040=H$1),('Diário 2º PA'!$F$4:$F$3040))+SUMPRODUCT(-('Diário 3º PA'!$E$4:$E$2731='Analítico Cp.'!$B66),-('Diário 3º PA'!$Q$4:$Q$2731=H$1),('Diário 3º PA'!$F$4:$F$2731))+SUMPRODUCT(-('Diário 4º PA'!$E$4:$E$2564='Analítico Cp.'!$B66),-('Diário 4º PA'!$Q$4:$Q$2564=H$1),('Diário 4º PA'!$F$4:$F$2564))+SUMPRODUCT(-('Comp.'!$D$5:$D$69='Analítico Cp.'!$B66),-('Comp.'!$K$5:$K$69=H$1),('Comp.'!$E$5:$E$69))</f>
        <v>6255.15</v>
      </c>
      <c r="I66" s="12">
        <f>SUMPRODUCT(-('Diário 1º PA'!$E$4:$E$2635='Analítico Cp.'!$B66),-('Diário 1º PA'!$Q$4:$Q$2635=I$1),('Diário 1º PA'!$F$4:$F$2635))+SUMPRODUCT(-('Diário 2º PA'!$E$4:$E$3040='Analítico Cp.'!$B66),-('Diário 2º PA'!$Q$4:$Q$3040=I$1),('Diário 2º PA'!$F$4:$F$3040))+SUMPRODUCT(-('Diário 3º PA'!$E$4:$E$2731='Analítico Cp.'!$B66),-('Diário 3º PA'!$Q$4:$Q$2731=I$1),('Diário 3º PA'!$F$4:$F$2731))+SUMPRODUCT(-('Diário 4º PA'!$E$4:$E$2564='Analítico Cp.'!$B66),-('Diário 4º PA'!$Q$4:$Q$2564=I$1),('Diário 4º PA'!$F$4:$F$2564))+SUMPRODUCT(-('Comp.'!$D$5:$D$69='Analítico Cp.'!$B66),-('Comp.'!$K$5:$K$69=I$1),('Comp.'!$E$5:$E$69))</f>
        <v>0</v>
      </c>
      <c r="J66" s="12">
        <f>SUMPRODUCT(-('Diário 1º PA'!$E$4:$E$2635='Analítico Cp.'!$B66),-('Diário 1º PA'!$Q$4:$Q$2635=J$1),('Diário 1º PA'!$F$4:$F$2635))+SUMPRODUCT(-('Diário 2º PA'!$E$4:$E$3040='Analítico Cp.'!$B66),-('Diário 2º PA'!$Q$4:$Q$3040=J$1),('Diário 2º PA'!$F$4:$F$3040))+SUMPRODUCT(-('Diário 3º PA'!$E$4:$E$2731='Analítico Cp.'!$B66),-('Diário 3º PA'!$Q$4:$Q$2731=J$1),('Diário 3º PA'!$F$4:$F$2731))+SUMPRODUCT(-('Diário 4º PA'!$E$4:$E$2564='Analítico Cp.'!$B66),-('Diário 4º PA'!$Q$4:$Q$2564=J$1),('Diário 4º PA'!$F$4:$F$2564))+SUMPRODUCT(-('Comp.'!$D$5:$D$69='Analítico Cp.'!$B66),-('Comp.'!$K$5:$K$69=J$1),('Comp.'!$E$5:$E$69))</f>
        <v>6255.15</v>
      </c>
      <c r="K66" s="12">
        <f>SUMPRODUCT(-('Diário 1º PA'!$E$4:$E$2635='Analítico Cp.'!$B66),-('Diário 1º PA'!$Q$4:$Q$2635=K$1),('Diário 1º PA'!$F$4:$F$2635))+SUMPRODUCT(-('Diário 2º PA'!$E$4:$E$3040='Analítico Cp.'!$B66),-('Diário 2º PA'!$Q$4:$Q$3040=K$1),('Diário 2º PA'!$F$4:$F$3040))+SUMPRODUCT(-('Diário 3º PA'!$E$4:$E$2731='Analítico Cp.'!$B66),-('Diário 3º PA'!$Q$4:$Q$2731=K$1),('Diário 3º PA'!$F$4:$F$2731))+SUMPRODUCT(-('Diário 4º PA'!$E$4:$E$2564='Analítico Cp.'!$B66),-('Diário 4º PA'!$Q$4:$Q$2564=K$1),('Diário 4º PA'!$F$4:$F$2564))+SUMPRODUCT(-('Comp.'!$D$5:$D$69='Analítico Cp.'!$B66),-('Comp.'!$K$5:$K$69=K$1),('Comp.'!$E$5:$E$69))</f>
        <v>6255.15</v>
      </c>
      <c r="L66" s="12">
        <f>SUMPRODUCT(-('Diário 1º PA'!$E$4:$E$2635='Analítico Cp.'!$B66),-('Diário 1º PA'!$Q$4:$Q$2635=L$1),('Diário 1º PA'!$F$4:$F$2635))+SUMPRODUCT(-('Diário 2º PA'!$E$4:$E$3040='Analítico Cp.'!$B66),-('Diário 2º PA'!$Q$4:$Q$3040=L$1),('Diário 2º PA'!$F$4:$F$3040))+SUMPRODUCT(-('Diário 3º PA'!$E$4:$E$2731='Analítico Cp.'!$B66),-('Diário 3º PA'!$Q$4:$Q$2731=L$1),('Diário 3º PA'!$F$4:$F$2731))+SUMPRODUCT(-('Diário 4º PA'!$E$4:$E$2564='Analítico Cp.'!$B66),-('Diário 4º PA'!$Q$4:$Q$2564=L$1),('Diário 4º PA'!$F$4:$F$2564))+SUMPRODUCT(-('Comp.'!$D$5:$D$69='Analítico Cp.'!$B66),-('Comp.'!$K$5:$K$69=L$1),('Comp.'!$E$5:$E$69))</f>
        <v>0</v>
      </c>
      <c r="M66" s="12">
        <f>SUMPRODUCT(-('Diário 1º PA'!$E$4:$E$2635='Analítico Cp.'!$B66),-('Diário 1º PA'!$Q$4:$Q$2635=M$1),('Diário 1º PA'!$F$4:$F$2635))+SUMPRODUCT(-('Diário 2º PA'!$E$4:$E$3040='Analítico Cp.'!$B66),-('Diário 2º PA'!$Q$4:$Q$3040=M$1),('Diário 2º PA'!$F$4:$F$3040))+SUMPRODUCT(-('Diário 3º PA'!$E$4:$E$2731='Analítico Cp.'!$B66),-('Diário 3º PA'!$Q$4:$Q$2731=M$1),('Diário 3º PA'!$F$4:$F$2731))+SUMPRODUCT(-('Diário 4º PA'!$E$4:$E$2564='Analítico Cp.'!$B66),-('Diário 4º PA'!$Q$4:$Q$2564=M$1),('Diário 4º PA'!$F$4:$F$2564))+SUMPRODUCT(-('Comp.'!$D$5:$D$69='Analítico Cp.'!$B66),-('Comp.'!$K$5:$K$69=M$1),('Comp.'!$E$5:$E$69))</f>
        <v>0</v>
      </c>
      <c r="N66" s="12">
        <f>SUMPRODUCT(-('Diário 1º PA'!$E$4:$E$2635='Analítico Cp.'!$B66),-('Diário 1º PA'!$Q$4:$Q$2635=N$1),('Diário 1º PA'!$F$4:$F$2635))+SUMPRODUCT(-('Diário 2º PA'!$E$4:$E$3040='Analítico Cp.'!$B66),-('Diário 2º PA'!$Q$4:$Q$3040=N$1),('Diário 2º PA'!$F$4:$F$3040))+SUMPRODUCT(-('Diário 3º PA'!$E$4:$E$2731='Analítico Cp.'!$B66),-('Diário 3º PA'!$Q$4:$Q$2731=N$1),('Diário 3º PA'!$F$4:$F$2731))+SUMPRODUCT(-('Diário 4º PA'!$E$4:$E$2564='Analítico Cp.'!$B66),-('Diário 4º PA'!$Q$4:$Q$2564=N$1),('Diário 4º PA'!$F$4:$F$2564))+SUMPRODUCT(-('Comp.'!$D$5:$D$69='Analítico Cp.'!$B66),-('Comp.'!$K$5:$K$69=N$1),('Comp.'!$E$5:$E$69))</f>
        <v>0</v>
      </c>
      <c r="O66" s="13">
        <f t="shared" si="12"/>
        <v>43786.05</v>
      </c>
      <c r="P66" s="167">
        <f t="shared" si="11"/>
        <v>3.5776983266347269E-3</v>
      </c>
    </row>
    <row r="67" spans="1:16" ht="23.25" customHeight="1" x14ac:dyDescent="0.2">
      <c r="A67" s="61" t="s">
        <v>122</v>
      </c>
      <c r="B67" s="102" t="s">
        <v>9</v>
      </c>
      <c r="C67" s="12">
        <f>SUMPRODUCT(-('Diário 1º PA'!$E$4:$E$2635='Analítico Cp.'!$B67),-('Diário 1º PA'!$Q$4:$Q$2635=C$1),('Diário 1º PA'!$F$4:$F$2635))+SUMPRODUCT(-('Diário 2º PA'!$E$4:$E$3040='Analítico Cp.'!$B67),-('Diário 2º PA'!$Q$4:$Q$3040=C$1),('Diário 2º PA'!$F$4:$F$3040))+SUMPRODUCT(-('Diário 3º PA'!$E$4:$E$2731='Analítico Cp.'!$B67),-('Diário 3º PA'!$Q$4:$Q$2731=C$1),('Diário 3º PA'!$F$4:$F$2731))+SUMPRODUCT(-('Diário 4º PA'!$E$4:$E$2564='Analítico Cp.'!$B67),-('Diário 4º PA'!$Q$4:$Q$2564=C$1),('Diário 4º PA'!$F$4:$F$2564))+SUMPRODUCT(-('Comp.'!$D$5:$D$69='Analítico Cp.'!$B67),-('Comp.'!$K$5:$K$69=C$1),('Comp.'!$E$5:$E$69))</f>
        <v>4853.17</v>
      </c>
      <c r="D67" s="12">
        <f>SUMPRODUCT(-('Diário 1º PA'!$E$4:$E$2635='Analítico Cp.'!$B67),-('Diário 1º PA'!$Q$4:$Q$2635=D$1),('Diário 1º PA'!$F$4:$F$2635))+SUMPRODUCT(-('Diário 2º PA'!$E$4:$E$3040='Analítico Cp.'!$B67),-('Diário 2º PA'!$Q$4:$Q$3040=D$1),('Diário 2º PA'!$F$4:$F$3040))+SUMPRODUCT(-('Diário 3º PA'!$E$4:$E$2731='Analítico Cp.'!$B67),-('Diário 3º PA'!$Q$4:$Q$2731=D$1),('Diário 3º PA'!$F$4:$F$2731))+SUMPRODUCT(-('Diário 4º PA'!$E$4:$E$2564='Analítico Cp.'!$B67),-('Diário 4º PA'!$Q$4:$Q$2564=D$1),('Diário 4º PA'!$F$4:$F$2564))+SUMPRODUCT(-('Comp.'!$D$5:$D$69='Analítico Cp.'!$B67),-('Comp.'!$K$5:$K$69=D$1),('Comp.'!$E$5:$E$69))</f>
        <v>4853.17</v>
      </c>
      <c r="E67" s="12">
        <f>SUMPRODUCT(-('Diário 1º PA'!$E$4:$E$2635='Analítico Cp.'!$B67),-('Diário 1º PA'!$Q$4:$Q$2635=E$1),('Diário 1º PA'!$F$4:$F$2635))+SUMPRODUCT(-('Diário 2º PA'!$E$4:$E$3040='Analítico Cp.'!$B67),-('Diário 2º PA'!$Q$4:$Q$3040=E$1),('Diário 2º PA'!$F$4:$F$3040))+SUMPRODUCT(-('Diário 3º PA'!$E$4:$E$2731='Analítico Cp.'!$B67),-('Diário 3º PA'!$Q$4:$Q$2731=E$1),('Diário 3º PA'!$F$4:$F$2731))+SUMPRODUCT(-('Diário 4º PA'!$E$4:$E$2564='Analítico Cp.'!$B67),-('Diário 4º PA'!$Q$4:$Q$2564=E$1),('Diário 4º PA'!$F$4:$F$2564))+SUMPRODUCT(-('Comp.'!$D$5:$D$69='Analítico Cp.'!$B67),-('Comp.'!$K$5:$K$69=E$1),('Comp.'!$E$5:$E$69))</f>
        <v>4853.17</v>
      </c>
      <c r="F67" s="12">
        <f>SUMPRODUCT(-('Diário 1º PA'!$E$4:$E$2635='Analítico Cp.'!$B67),-('Diário 1º PA'!$Q$4:$Q$2635=F$1),('Diário 1º PA'!$F$4:$F$2635))+SUMPRODUCT(-('Diário 2º PA'!$E$4:$E$3040='Analítico Cp.'!$B67),-('Diário 2º PA'!$Q$4:$Q$3040=F$1),('Diário 2º PA'!$F$4:$F$3040))+SUMPRODUCT(-('Diário 3º PA'!$E$4:$E$2731='Analítico Cp.'!$B67),-('Diário 3º PA'!$Q$4:$Q$2731=F$1),('Diário 3º PA'!$F$4:$F$2731))+SUMPRODUCT(-('Diário 4º PA'!$E$4:$E$2564='Analítico Cp.'!$B67),-('Diário 4º PA'!$Q$4:$Q$2564=F$1),('Diário 4º PA'!$F$4:$F$2564))+SUMPRODUCT(-('Comp.'!$D$5:$D$69='Analítico Cp.'!$B67),-('Comp.'!$K$5:$K$69=F$1),('Comp.'!$E$5:$E$69))</f>
        <v>0</v>
      </c>
      <c r="G67" s="12">
        <f>SUMPRODUCT(-('Diário 1º PA'!$E$4:$E$2635='Analítico Cp.'!$B67),-('Diário 1º PA'!$Q$4:$Q$2635=G$1),('Diário 1º PA'!$F$4:$F$2635))+SUMPRODUCT(-('Diário 2º PA'!$E$4:$E$3040='Analítico Cp.'!$B67),-('Diário 2º PA'!$Q$4:$Q$3040=G$1),('Diário 2º PA'!$F$4:$F$3040))+SUMPRODUCT(-('Diário 3º PA'!$E$4:$E$2731='Analítico Cp.'!$B67),-('Diário 3º PA'!$Q$4:$Q$2731=G$1),('Diário 3º PA'!$F$4:$F$2731))+SUMPRODUCT(-('Diário 4º PA'!$E$4:$E$2564='Analítico Cp.'!$B67),-('Diário 4º PA'!$Q$4:$Q$2564=G$1),('Diário 4º PA'!$F$4:$F$2564))+SUMPRODUCT(-('Comp.'!$D$5:$D$69='Analítico Cp.'!$B67),-('Comp.'!$K$5:$K$69=G$1),('Comp.'!$E$5:$E$69))</f>
        <v>0</v>
      </c>
      <c r="H67" s="12">
        <f>SUMPRODUCT(-('Diário 1º PA'!$E$4:$E$2635='Analítico Cp.'!$B67),-('Diário 1º PA'!$Q$4:$Q$2635=H$1),('Diário 1º PA'!$F$4:$F$2635))+SUMPRODUCT(-('Diário 2º PA'!$E$4:$E$3040='Analítico Cp.'!$B67),-('Diário 2º PA'!$Q$4:$Q$3040=H$1),('Diário 2º PA'!$F$4:$F$3040))+SUMPRODUCT(-('Diário 3º PA'!$E$4:$E$2731='Analítico Cp.'!$B67),-('Diário 3º PA'!$Q$4:$Q$2731=H$1),('Diário 3º PA'!$F$4:$F$2731))+SUMPRODUCT(-('Diário 4º PA'!$E$4:$E$2564='Analítico Cp.'!$B67),-('Diário 4º PA'!$Q$4:$Q$2564=H$1),('Diário 4º PA'!$F$4:$F$2564))+SUMPRODUCT(-('Comp.'!$D$5:$D$69='Analítico Cp.'!$B67),-('Comp.'!$K$5:$K$69=H$1),('Comp.'!$E$5:$E$69))</f>
        <v>4853.17</v>
      </c>
      <c r="I67" s="12">
        <f>SUMPRODUCT(-('Diário 1º PA'!$E$4:$E$2635='Analítico Cp.'!$B67),-('Diário 1º PA'!$Q$4:$Q$2635=I$1),('Diário 1º PA'!$F$4:$F$2635))+SUMPRODUCT(-('Diário 2º PA'!$E$4:$E$3040='Analítico Cp.'!$B67),-('Diário 2º PA'!$Q$4:$Q$3040=I$1),('Diário 2º PA'!$F$4:$F$3040))+SUMPRODUCT(-('Diário 3º PA'!$E$4:$E$2731='Analítico Cp.'!$B67),-('Diário 3º PA'!$Q$4:$Q$2731=I$1),('Diário 3º PA'!$F$4:$F$2731))+SUMPRODUCT(-('Diário 4º PA'!$E$4:$E$2564='Analítico Cp.'!$B67),-('Diário 4º PA'!$Q$4:$Q$2564=I$1),('Diário 4º PA'!$F$4:$F$2564))+SUMPRODUCT(-('Comp.'!$D$5:$D$69='Analítico Cp.'!$B67),-('Comp.'!$K$5:$K$69=I$1),('Comp.'!$E$5:$E$69))</f>
        <v>4853.17</v>
      </c>
      <c r="J67" s="12">
        <f>SUMPRODUCT(-('Diário 1º PA'!$E$4:$E$2635='Analítico Cp.'!$B67),-('Diário 1º PA'!$Q$4:$Q$2635=J$1),('Diário 1º PA'!$F$4:$F$2635))+SUMPRODUCT(-('Diário 2º PA'!$E$4:$E$3040='Analítico Cp.'!$B67),-('Diário 2º PA'!$Q$4:$Q$3040=J$1),('Diário 2º PA'!$F$4:$F$3040))+SUMPRODUCT(-('Diário 3º PA'!$E$4:$E$2731='Analítico Cp.'!$B67),-('Diário 3º PA'!$Q$4:$Q$2731=J$1),('Diário 3º PA'!$F$4:$F$2731))+SUMPRODUCT(-('Diário 4º PA'!$E$4:$E$2564='Analítico Cp.'!$B67),-('Diário 4º PA'!$Q$4:$Q$2564=J$1),('Diário 4º PA'!$F$4:$F$2564))+SUMPRODUCT(-('Comp.'!$D$5:$D$69='Analítico Cp.'!$B67),-('Comp.'!$K$5:$K$69=J$1),('Comp.'!$E$5:$E$69))</f>
        <v>4853.17</v>
      </c>
      <c r="K67" s="12">
        <f>SUMPRODUCT(-('Diário 1º PA'!$E$4:$E$2635='Analítico Cp.'!$B67),-('Diário 1º PA'!$Q$4:$Q$2635=K$1),('Diário 1º PA'!$F$4:$F$2635))+SUMPRODUCT(-('Diário 2º PA'!$E$4:$E$3040='Analítico Cp.'!$B67),-('Diário 2º PA'!$Q$4:$Q$3040=K$1),('Diário 2º PA'!$F$4:$F$3040))+SUMPRODUCT(-('Diário 3º PA'!$E$4:$E$2731='Analítico Cp.'!$B67),-('Diário 3º PA'!$Q$4:$Q$2731=K$1),('Diário 3º PA'!$F$4:$F$2731))+SUMPRODUCT(-('Diário 4º PA'!$E$4:$E$2564='Analítico Cp.'!$B67),-('Diário 4º PA'!$Q$4:$Q$2564=K$1),('Diário 4º PA'!$F$4:$F$2564))+SUMPRODUCT(-('Comp.'!$D$5:$D$69='Analítico Cp.'!$B67),-('Comp.'!$K$5:$K$69=K$1),('Comp.'!$E$5:$E$69))</f>
        <v>4853.17</v>
      </c>
      <c r="L67" s="12">
        <f>SUMPRODUCT(-('Diário 1º PA'!$E$4:$E$2635='Analítico Cp.'!$B67),-('Diário 1º PA'!$Q$4:$Q$2635=L$1),('Diário 1º PA'!$F$4:$F$2635))+SUMPRODUCT(-('Diário 2º PA'!$E$4:$E$3040='Analítico Cp.'!$B67),-('Diário 2º PA'!$Q$4:$Q$3040=L$1),('Diário 2º PA'!$F$4:$F$3040))+SUMPRODUCT(-('Diário 3º PA'!$E$4:$E$2731='Analítico Cp.'!$B67),-('Diário 3º PA'!$Q$4:$Q$2731=L$1),('Diário 3º PA'!$F$4:$F$2731))+SUMPRODUCT(-('Diário 4º PA'!$E$4:$E$2564='Analítico Cp.'!$B67),-('Diário 4º PA'!$Q$4:$Q$2564=L$1),('Diário 4º PA'!$F$4:$F$2564))+SUMPRODUCT(-('Comp.'!$D$5:$D$69='Analítico Cp.'!$B67),-('Comp.'!$K$5:$K$69=L$1),('Comp.'!$E$5:$E$69))</f>
        <v>4853.17</v>
      </c>
      <c r="M67" s="12">
        <f>SUMPRODUCT(-('Diário 1º PA'!$E$4:$E$2635='Analítico Cp.'!$B67),-('Diário 1º PA'!$Q$4:$Q$2635=M$1),('Diário 1º PA'!$F$4:$F$2635))+SUMPRODUCT(-('Diário 2º PA'!$E$4:$E$3040='Analítico Cp.'!$B67),-('Diário 2º PA'!$Q$4:$Q$3040=M$1),('Diário 2º PA'!$F$4:$F$3040))+SUMPRODUCT(-('Diário 3º PA'!$E$4:$E$2731='Analítico Cp.'!$B67),-('Diário 3º PA'!$Q$4:$Q$2731=M$1),('Diário 3º PA'!$F$4:$F$2731))+SUMPRODUCT(-('Diário 4º PA'!$E$4:$E$2564='Analítico Cp.'!$B67),-('Diário 4º PA'!$Q$4:$Q$2564=M$1),('Diário 4º PA'!$F$4:$F$2564))+SUMPRODUCT(-('Comp.'!$D$5:$D$69='Analítico Cp.'!$B67),-('Comp.'!$K$5:$K$69=M$1),('Comp.'!$E$5:$E$69))</f>
        <v>6594.88</v>
      </c>
      <c r="N67" s="12">
        <f>SUMPRODUCT(-('Diário 1º PA'!$E$4:$E$2635='Analítico Cp.'!$B67),-('Diário 1º PA'!$Q$4:$Q$2635=N$1),('Diário 1º PA'!$F$4:$F$2635))+SUMPRODUCT(-('Diário 2º PA'!$E$4:$E$3040='Analítico Cp.'!$B67),-('Diário 2º PA'!$Q$4:$Q$3040=N$1),('Diário 2º PA'!$F$4:$F$3040))+SUMPRODUCT(-('Diário 3º PA'!$E$4:$E$2731='Analítico Cp.'!$B67),-('Diário 3º PA'!$Q$4:$Q$2731=N$1),('Diário 3º PA'!$F$4:$F$2731))+SUMPRODUCT(-('Diário 4º PA'!$E$4:$E$2564='Analítico Cp.'!$B67),-('Diário 4º PA'!$Q$4:$Q$2564=N$1),('Diário 4º PA'!$F$4:$F$2564))+SUMPRODUCT(-('Comp.'!$D$5:$D$69='Analítico Cp.'!$B67),-('Comp.'!$K$5:$K$69=N$1),('Comp.'!$E$5:$E$69))</f>
        <v>0</v>
      </c>
      <c r="O67" s="13">
        <f t="shared" si="12"/>
        <v>45420.239999999991</v>
      </c>
      <c r="P67" s="167">
        <f t="shared" si="11"/>
        <v>3.7112257589654155E-3</v>
      </c>
    </row>
    <row r="68" spans="1:16" ht="23.25" customHeight="1" x14ac:dyDescent="0.2">
      <c r="A68" s="61" t="s">
        <v>123</v>
      </c>
      <c r="B68" s="102" t="s">
        <v>326</v>
      </c>
      <c r="C68" s="12">
        <f>SUMPRODUCT(-('Diário 1º PA'!$E$4:$E$2635='Analítico Cp.'!$B68),-('Diário 1º PA'!$Q$4:$Q$2635=C$1),('Diário 1º PA'!$F$4:$F$2635))+SUMPRODUCT(-('Diário 2º PA'!$E$4:$E$3040='Analítico Cp.'!$B68),-('Diário 2º PA'!$Q$4:$Q$3040=C$1),('Diário 2º PA'!$F$4:$F$3040))+SUMPRODUCT(-('Diário 3º PA'!$E$4:$E$2731='Analítico Cp.'!$B68),-('Diário 3º PA'!$Q$4:$Q$2731=C$1),('Diário 3º PA'!$F$4:$F$2731))+SUMPRODUCT(-('Diário 4º PA'!$E$4:$E$2564='Analítico Cp.'!$B68),-('Diário 4º PA'!$Q$4:$Q$2564=C$1),('Diário 4º PA'!$F$4:$F$2564))+SUMPRODUCT(-('Comp.'!$D$5:$D$69='Analítico Cp.'!$B68),-('Comp.'!$K$5:$K$69=C$1),('Comp.'!$E$5:$E$69))</f>
        <v>0</v>
      </c>
      <c r="D68" s="12">
        <f>SUMPRODUCT(-('Diário 1º PA'!$E$4:$E$2635='Analítico Cp.'!$B68),-('Diário 1º PA'!$Q$4:$Q$2635=D$1),('Diário 1º PA'!$F$4:$F$2635))+SUMPRODUCT(-('Diário 2º PA'!$E$4:$E$3040='Analítico Cp.'!$B68),-('Diário 2º PA'!$Q$4:$Q$3040=D$1),('Diário 2º PA'!$F$4:$F$3040))+SUMPRODUCT(-('Diário 3º PA'!$E$4:$E$2731='Analítico Cp.'!$B68),-('Diário 3º PA'!$Q$4:$Q$2731=D$1),('Diário 3º PA'!$F$4:$F$2731))+SUMPRODUCT(-('Diário 4º PA'!$E$4:$E$2564='Analítico Cp.'!$B68),-('Diário 4º PA'!$Q$4:$Q$2564=D$1),('Diário 4º PA'!$F$4:$F$2564))+SUMPRODUCT(-('Comp.'!$D$5:$D$69='Analítico Cp.'!$B68),-('Comp.'!$K$5:$K$69=D$1),('Comp.'!$E$5:$E$69))</f>
        <v>0</v>
      </c>
      <c r="E68" s="12">
        <f>SUMPRODUCT(-('Diário 1º PA'!$E$4:$E$2635='Analítico Cp.'!$B68),-('Diário 1º PA'!$Q$4:$Q$2635=E$1),('Diário 1º PA'!$F$4:$F$2635))+SUMPRODUCT(-('Diário 2º PA'!$E$4:$E$3040='Analítico Cp.'!$B68),-('Diário 2º PA'!$Q$4:$Q$3040=E$1),('Diário 2º PA'!$F$4:$F$3040))+SUMPRODUCT(-('Diário 3º PA'!$E$4:$E$2731='Analítico Cp.'!$B68),-('Diário 3º PA'!$Q$4:$Q$2731=E$1),('Diário 3º PA'!$F$4:$F$2731))+SUMPRODUCT(-('Diário 4º PA'!$E$4:$E$2564='Analítico Cp.'!$B68),-('Diário 4º PA'!$Q$4:$Q$2564=E$1),('Diário 4º PA'!$F$4:$F$2564))+SUMPRODUCT(-('Comp.'!$D$5:$D$69='Analítico Cp.'!$B68),-('Comp.'!$K$5:$K$69=E$1),('Comp.'!$E$5:$E$69))</f>
        <v>0</v>
      </c>
      <c r="F68" s="12">
        <f>SUMPRODUCT(-('Diário 1º PA'!$E$4:$E$2635='Analítico Cp.'!$B68),-('Diário 1º PA'!$Q$4:$Q$2635=F$1),('Diário 1º PA'!$F$4:$F$2635))+SUMPRODUCT(-('Diário 2º PA'!$E$4:$E$3040='Analítico Cp.'!$B68),-('Diário 2º PA'!$Q$4:$Q$3040=F$1),('Diário 2º PA'!$F$4:$F$3040))+SUMPRODUCT(-('Diário 3º PA'!$E$4:$E$2731='Analítico Cp.'!$B68),-('Diário 3º PA'!$Q$4:$Q$2731=F$1),('Diário 3º PA'!$F$4:$F$2731))+SUMPRODUCT(-('Diário 4º PA'!$E$4:$E$2564='Analítico Cp.'!$B68),-('Diário 4º PA'!$Q$4:$Q$2564=F$1),('Diário 4º PA'!$F$4:$F$2564))+SUMPRODUCT(-('Comp.'!$D$5:$D$69='Analítico Cp.'!$B68),-('Comp.'!$K$5:$K$69=F$1),('Comp.'!$E$5:$E$69))</f>
        <v>0</v>
      </c>
      <c r="G68" s="12">
        <f>SUMPRODUCT(-('Diário 1º PA'!$E$4:$E$2635='Analítico Cp.'!$B68),-('Diário 1º PA'!$Q$4:$Q$2635=G$1),('Diário 1º PA'!$F$4:$F$2635))+SUMPRODUCT(-('Diário 2º PA'!$E$4:$E$3040='Analítico Cp.'!$B68),-('Diário 2º PA'!$Q$4:$Q$3040=G$1),('Diário 2º PA'!$F$4:$F$3040))+SUMPRODUCT(-('Diário 3º PA'!$E$4:$E$2731='Analítico Cp.'!$B68),-('Diário 3º PA'!$Q$4:$Q$2731=G$1),('Diário 3º PA'!$F$4:$F$2731))+SUMPRODUCT(-('Diário 4º PA'!$E$4:$E$2564='Analítico Cp.'!$B68),-('Diário 4º PA'!$Q$4:$Q$2564=G$1),('Diário 4º PA'!$F$4:$F$2564))+SUMPRODUCT(-('Comp.'!$D$5:$D$69='Analítico Cp.'!$B68),-('Comp.'!$K$5:$K$69=G$1),('Comp.'!$E$5:$E$69))</f>
        <v>1103.8500000000001</v>
      </c>
      <c r="H68" s="12">
        <f>SUMPRODUCT(-('Diário 1º PA'!$E$4:$E$2635='Analítico Cp.'!$B68),-('Diário 1º PA'!$Q$4:$Q$2635=H$1),('Diário 1º PA'!$F$4:$F$2635))+SUMPRODUCT(-('Diário 2º PA'!$E$4:$E$3040='Analítico Cp.'!$B68),-('Diário 2º PA'!$Q$4:$Q$3040=H$1),('Diário 2º PA'!$F$4:$F$3040))+SUMPRODUCT(-('Diário 3º PA'!$E$4:$E$2731='Analítico Cp.'!$B68),-('Diário 3º PA'!$Q$4:$Q$2731=H$1),('Diário 3º PA'!$F$4:$F$2731))+SUMPRODUCT(-('Diário 4º PA'!$E$4:$E$2564='Analítico Cp.'!$B68),-('Diário 4º PA'!$Q$4:$Q$2564=H$1),('Diário 4º PA'!$F$4:$F$2564))+SUMPRODUCT(-('Comp.'!$D$5:$D$69='Analítico Cp.'!$B68),-('Comp.'!$K$5:$K$69=H$1),('Comp.'!$E$5:$E$69))</f>
        <v>1103.8500000000001</v>
      </c>
      <c r="I68" s="12">
        <f>SUMPRODUCT(-('Diário 1º PA'!$E$4:$E$2635='Analítico Cp.'!$B68),-('Diário 1º PA'!$Q$4:$Q$2635=I$1),('Diário 1º PA'!$F$4:$F$2635))+SUMPRODUCT(-('Diário 2º PA'!$E$4:$E$3040='Analítico Cp.'!$B68),-('Diário 2º PA'!$Q$4:$Q$3040=I$1),('Diário 2º PA'!$F$4:$F$3040))+SUMPRODUCT(-('Diário 3º PA'!$E$4:$E$2731='Analítico Cp.'!$B68),-('Diário 3º PA'!$Q$4:$Q$2731=I$1),('Diário 3º PA'!$F$4:$F$2731))+SUMPRODUCT(-('Diário 4º PA'!$E$4:$E$2564='Analítico Cp.'!$B68),-('Diário 4º PA'!$Q$4:$Q$2564=I$1),('Diário 4º PA'!$F$4:$F$2564))+SUMPRODUCT(-('Comp.'!$D$5:$D$69='Analítico Cp.'!$B68),-('Comp.'!$K$5:$K$69=I$1),('Comp.'!$E$5:$E$69))</f>
        <v>1103.8500000000001</v>
      </c>
      <c r="J68" s="12">
        <f>SUMPRODUCT(-('Diário 1º PA'!$E$4:$E$2635='Analítico Cp.'!$B68),-('Diário 1º PA'!$Q$4:$Q$2635=J$1),('Diário 1º PA'!$F$4:$F$2635))+SUMPRODUCT(-('Diário 2º PA'!$E$4:$E$3040='Analítico Cp.'!$B68),-('Diário 2º PA'!$Q$4:$Q$3040=J$1),('Diário 2º PA'!$F$4:$F$3040))+SUMPRODUCT(-('Diário 3º PA'!$E$4:$E$2731='Analítico Cp.'!$B68),-('Diário 3º PA'!$Q$4:$Q$2731=J$1),('Diário 3º PA'!$F$4:$F$2731))+SUMPRODUCT(-('Diário 4º PA'!$E$4:$E$2564='Analítico Cp.'!$B68),-('Diário 4º PA'!$Q$4:$Q$2564=J$1),('Diário 4º PA'!$F$4:$F$2564))+SUMPRODUCT(-('Comp.'!$D$5:$D$69='Analítico Cp.'!$B68),-('Comp.'!$K$5:$K$69=J$1),('Comp.'!$E$5:$E$69))</f>
        <v>1103.8500000000001</v>
      </c>
      <c r="K68" s="12">
        <f>SUMPRODUCT(-('Diário 1º PA'!$E$4:$E$2635='Analítico Cp.'!$B68),-('Diário 1º PA'!$Q$4:$Q$2635=K$1),('Diário 1º PA'!$F$4:$F$2635))+SUMPRODUCT(-('Diário 2º PA'!$E$4:$E$3040='Analítico Cp.'!$B68),-('Diário 2º PA'!$Q$4:$Q$3040=K$1),('Diário 2º PA'!$F$4:$F$3040))+SUMPRODUCT(-('Diário 3º PA'!$E$4:$E$2731='Analítico Cp.'!$B68),-('Diário 3º PA'!$Q$4:$Q$2731=K$1),('Diário 3º PA'!$F$4:$F$2731))+SUMPRODUCT(-('Diário 4º PA'!$E$4:$E$2564='Analítico Cp.'!$B68),-('Diário 4º PA'!$Q$4:$Q$2564=K$1),('Diário 4º PA'!$F$4:$F$2564))+SUMPRODUCT(-('Comp.'!$D$5:$D$69='Analítico Cp.'!$B68),-('Comp.'!$K$5:$K$69=K$1),('Comp.'!$E$5:$E$69))</f>
        <v>1103.8500000000001</v>
      </c>
      <c r="L68" s="12">
        <f>SUMPRODUCT(-('Diário 1º PA'!$E$4:$E$2635='Analítico Cp.'!$B68),-('Diário 1º PA'!$Q$4:$Q$2635=L$1),('Diário 1º PA'!$F$4:$F$2635))+SUMPRODUCT(-('Diário 2º PA'!$E$4:$E$3040='Analítico Cp.'!$B68),-('Diário 2º PA'!$Q$4:$Q$3040=L$1),('Diário 2º PA'!$F$4:$F$3040))+SUMPRODUCT(-('Diário 3º PA'!$E$4:$E$2731='Analítico Cp.'!$B68),-('Diário 3º PA'!$Q$4:$Q$2731=L$1),('Diário 3º PA'!$F$4:$F$2731))+SUMPRODUCT(-('Diário 4º PA'!$E$4:$E$2564='Analítico Cp.'!$B68),-('Diário 4º PA'!$Q$4:$Q$2564=L$1),('Diário 4º PA'!$F$4:$F$2564))+SUMPRODUCT(-('Comp.'!$D$5:$D$69='Analítico Cp.'!$B68),-('Comp.'!$K$5:$K$69=L$1),('Comp.'!$E$5:$E$69))</f>
        <v>1103.8500000000001</v>
      </c>
      <c r="M68" s="12">
        <f>SUMPRODUCT(-('Diário 1º PA'!$E$4:$E$2635='Analítico Cp.'!$B68),-('Diário 1º PA'!$Q$4:$Q$2635=M$1),('Diário 1º PA'!$F$4:$F$2635))+SUMPRODUCT(-('Diário 2º PA'!$E$4:$E$3040='Analítico Cp.'!$B68),-('Diário 2º PA'!$Q$4:$Q$3040=M$1),('Diário 2º PA'!$F$4:$F$3040))+SUMPRODUCT(-('Diário 3º PA'!$E$4:$E$2731='Analítico Cp.'!$B68),-('Diário 3º PA'!$Q$4:$Q$2731=M$1),('Diário 3º PA'!$F$4:$F$2731))+SUMPRODUCT(-('Diário 4º PA'!$E$4:$E$2564='Analítico Cp.'!$B68),-('Diário 4º PA'!$Q$4:$Q$2564=M$1),('Diário 4º PA'!$F$4:$F$2564))+SUMPRODUCT(-('Comp.'!$D$5:$D$69='Analítico Cp.'!$B68),-('Comp.'!$K$5:$K$69=M$1),('Comp.'!$E$5:$E$69))</f>
        <v>1103.8500000000001</v>
      </c>
      <c r="N68" s="12">
        <f>SUMPRODUCT(-('Diário 1º PA'!$E$4:$E$2635='Analítico Cp.'!$B68),-('Diário 1º PA'!$Q$4:$Q$2635=N$1),('Diário 1º PA'!$F$4:$F$2635))+SUMPRODUCT(-('Diário 2º PA'!$E$4:$E$3040='Analítico Cp.'!$B68),-('Diário 2º PA'!$Q$4:$Q$3040=N$1),('Diário 2º PA'!$F$4:$F$3040))+SUMPRODUCT(-('Diário 3º PA'!$E$4:$E$2731='Analítico Cp.'!$B68),-('Diário 3º PA'!$Q$4:$Q$2731=N$1),('Diário 3º PA'!$F$4:$F$2731))+SUMPRODUCT(-('Diário 4º PA'!$E$4:$E$2564='Analítico Cp.'!$B68),-('Diário 4º PA'!$Q$4:$Q$2564=N$1),('Diário 4º PA'!$F$4:$F$2564))+SUMPRODUCT(-('Comp.'!$D$5:$D$69='Analítico Cp.'!$B68),-('Comp.'!$K$5:$K$69=N$1),('Comp.'!$E$5:$E$69))</f>
        <v>4500</v>
      </c>
      <c r="O68" s="13">
        <f t="shared" si="12"/>
        <v>12226.95</v>
      </c>
      <c r="P68" s="167">
        <f t="shared" si="11"/>
        <v>9.990473804978178E-4</v>
      </c>
    </row>
    <row r="69" spans="1:16" ht="23.25" customHeight="1" x14ac:dyDescent="0.2">
      <c r="A69" s="61" t="s">
        <v>124</v>
      </c>
      <c r="B69" s="102" t="s">
        <v>177</v>
      </c>
      <c r="C69" s="12">
        <f>SUMPRODUCT(-('Diário 1º PA'!$E$4:$E$2635='Analítico Cp.'!$B69),-('Diário 1º PA'!$Q$4:$Q$2635=C$1),('Diário 1º PA'!$F$4:$F$2635))+SUMPRODUCT(-('Diário 2º PA'!$E$4:$E$3040='Analítico Cp.'!$B69),-('Diário 2º PA'!$Q$4:$Q$3040=C$1),('Diário 2º PA'!$F$4:$F$3040))+SUMPRODUCT(-('Diário 3º PA'!$E$4:$E$2731='Analítico Cp.'!$B69),-('Diário 3º PA'!$Q$4:$Q$2731=C$1),('Diário 3º PA'!$F$4:$F$2731))+SUMPRODUCT(-('Diário 4º PA'!$E$4:$E$2564='Analítico Cp.'!$B69),-('Diário 4º PA'!$Q$4:$Q$2564=C$1),('Diário 4º PA'!$F$4:$F$2564))+SUMPRODUCT(-('Comp.'!$D$5:$D$69='Analítico Cp.'!$B69),-('Comp.'!$K$5:$K$69=C$1),('Comp.'!$E$5:$E$69))</f>
        <v>0</v>
      </c>
      <c r="D69" s="12">
        <f>SUMPRODUCT(-('Diário 1º PA'!$E$4:$E$2635='Analítico Cp.'!$B69),-('Diário 1º PA'!$Q$4:$Q$2635=D$1),('Diário 1º PA'!$F$4:$F$2635))+SUMPRODUCT(-('Diário 2º PA'!$E$4:$E$3040='Analítico Cp.'!$B69),-('Diário 2º PA'!$Q$4:$Q$3040=D$1),('Diário 2º PA'!$F$4:$F$3040))+SUMPRODUCT(-('Diário 3º PA'!$E$4:$E$2731='Analítico Cp.'!$B69),-('Diário 3º PA'!$Q$4:$Q$2731=D$1),('Diário 3º PA'!$F$4:$F$2731))+SUMPRODUCT(-('Diário 4º PA'!$E$4:$E$2564='Analítico Cp.'!$B69),-('Diário 4º PA'!$Q$4:$Q$2564=D$1),('Diário 4º PA'!$F$4:$F$2564))+SUMPRODUCT(-('Comp.'!$D$5:$D$69='Analítico Cp.'!$B69),-('Comp.'!$K$5:$K$69=D$1),('Comp.'!$E$5:$E$69))</f>
        <v>0</v>
      </c>
      <c r="E69" s="12">
        <f>SUMPRODUCT(-('Diário 1º PA'!$E$4:$E$2635='Analítico Cp.'!$B69),-('Diário 1º PA'!$Q$4:$Q$2635=E$1),('Diário 1º PA'!$F$4:$F$2635))+SUMPRODUCT(-('Diário 2º PA'!$E$4:$E$3040='Analítico Cp.'!$B69),-('Diário 2º PA'!$Q$4:$Q$3040=E$1),('Diário 2º PA'!$F$4:$F$3040))+SUMPRODUCT(-('Diário 3º PA'!$E$4:$E$2731='Analítico Cp.'!$B69),-('Diário 3º PA'!$Q$4:$Q$2731=E$1),('Diário 3º PA'!$F$4:$F$2731))+SUMPRODUCT(-('Diário 4º PA'!$E$4:$E$2564='Analítico Cp.'!$B69),-('Diário 4º PA'!$Q$4:$Q$2564=E$1),('Diário 4º PA'!$F$4:$F$2564))+SUMPRODUCT(-('Comp.'!$D$5:$D$69='Analítico Cp.'!$B69),-('Comp.'!$K$5:$K$69=E$1),('Comp.'!$E$5:$E$69))</f>
        <v>0</v>
      </c>
      <c r="F69" s="12">
        <f>SUMPRODUCT(-('Diário 1º PA'!$E$4:$E$2635='Analítico Cp.'!$B69),-('Diário 1º PA'!$Q$4:$Q$2635=F$1),('Diário 1º PA'!$F$4:$F$2635))+SUMPRODUCT(-('Diário 2º PA'!$E$4:$E$3040='Analítico Cp.'!$B69),-('Diário 2º PA'!$Q$4:$Q$3040=F$1),('Diário 2º PA'!$F$4:$F$3040))+SUMPRODUCT(-('Diário 3º PA'!$E$4:$E$2731='Analítico Cp.'!$B69),-('Diário 3º PA'!$Q$4:$Q$2731=F$1),('Diário 3º PA'!$F$4:$F$2731))+SUMPRODUCT(-('Diário 4º PA'!$E$4:$E$2564='Analítico Cp.'!$B69),-('Diário 4º PA'!$Q$4:$Q$2564=F$1),('Diário 4º PA'!$F$4:$F$2564))+SUMPRODUCT(-('Comp.'!$D$5:$D$69='Analítico Cp.'!$B69),-('Comp.'!$K$5:$K$69=F$1),('Comp.'!$E$5:$E$69))</f>
        <v>0</v>
      </c>
      <c r="G69" s="12">
        <f>SUMPRODUCT(-('Diário 1º PA'!$E$4:$E$2635='Analítico Cp.'!$B69),-('Diário 1º PA'!$Q$4:$Q$2635=G$1),('Diário 1º PA'!$F$4:$F$2635))+SUMPRODUCT(-('Diário 2º PA'!$E$4:$E$3040='Analítico Cp.'!$B69),-('Diário 2º PA'!$Q$4:$Q$3040=G$1),('Diário 2º PA'!$F$4:$F$3040))+SUMPRODUCT(-('Diário 3º PA'!$E$4:$E$2731='Analítico Cp.'!$B69),-('Diário 3º PA'!$Q$4:$Q$2731=G$1),('Diário 3º PA'!$F$4:$F$2731))+SUMPRODUCT(-('Diário 4º PA'!$E$4:$E$2564='Analítico Cp.'!$B69),-('Diário 4º PA'!$Q$4:$Q$2564=G$1),('Diário 4º PA'!$F$4:$F$2564))+SUMPRODUCT(-('Comp.'!$D$5:$D$69='Analítico Cp.'!$B69),-('Comp.'!$K$5:$K$69=G$1),('Comp.'!$E$5:$E$69))</f>
        <v>0</v>
      </c>
      <c r="H69" s="12">
        <f>SUMPRODUCT(-('Diário 1º PA'!$E$4:$E$2635='Analítico Cp.'!$B69),-('Diário 1º PA'!$Q$4:$Q$2635=H$1),('Diário 1º PA'!$F$4:$F$2635))+SUMPRODUCT(-('Diário 2º PA'!$E$4:$E$3040='Analítico Cp.'!$B69),-('Diário 2º PA'!$Q$4:$Q$3040=H$1),('Diário 2º PA'!$F$4:$F$3040))+SUMPRODUCT(-('Diário 3º PA'!$E$4:$E$2731='Analítico Cp.'!$B69),-('Diário 3º PA'!$Q$4:$Q$2731=H$1),('Diário 3º PA'!$F$4:$F$2731))+SUMPRODUCT(-('Diário 4º PA'!$E$4:$E$2564='Analítico Cp.'!$B69),-('Diário 4º PA'!$Q$4:$Q$2564=H$1),('Diário 4º PA'!$F$4:$F$2564))+SUMPRODUCT(-('Comp.'!$D$5:$D$69='Analítico Cp.'!$B69),-('Comp.'!$K$5:$K$69=H$1),('Comp.'!$E$5:$E$69))</f>
        <v>0</v>
      </c>
      <c r="I69" s="12">
        <f>SUMPRODUCT(-('Diário 1º PA'!$E$4:$E$2635='Analítico Cp.'!$B69),-('Diário 1º PA'!$Q$4:$Q$2635=I$1),('Diário 1º PA'!$F$4:$F$2635))+SUMPRODUCT(-('Diário 2º PA'!$E$4:$E$3040='Analítico Cp.'!$B69),-('Diário 2º PA'!$Q$4:$Q$3040=I$1),('Diário 2º PA'!$F$4:$F$3040))+SUMPRODUCT(-('Diário 3º PA'!$E$4:$E$2731='Analítico Cp.'!$B69),-('Diário 3º PA'!$Q$4:$Q$2731=I$1),('Diário 3º PA'!$F$4:$F$2731))+SUMPRODUCT(-('Diário 4º PA'!$E$4:$E$2564='Analítico Cp.'!$B69),-('Diário 4º PA'!$Q$4:$Q$2564=I$1),('Diário 4º PA'!$F$4:$F$2564))+SUMPRODUCT(-('Comp.'!$D$5:$D$69='Analítico Cp.'!$B69),-('Comp.'!$K$5:$K$69=I$1),('Comp.'!$E$5:$E$69))</f>
        <v>0</v>
      </c>
      <c r="J69" s="12">
        <f>SUMPRODUCT(-('Diário 1º PA'!$E$4:$E$2635='Analítico Cp.'!$B69),-('Diário 1º PA'!$Q$4:$Q$2635=J$1),('Diário 1º PA'!$F$4:$F$2635))+SUMPRODUCT(-('Diário 2º PA'!$E$4:$E$3040='Analítico Cp.'!$B69),-('Diário 2º PA'!$Q$4:$Q$3040=J$1),('Diário 2º PA'!$F$4:$F$3040))+SUMPRODUCT(-('Diário 3º PA'!$E$4:$E$2731='Analítico Cp.'!$B69),-('Diário 3º PA'!$Q$4:$Q$2731=J$1),('Diário 3º PA'!$F$4:$F$2731))+SUMPRODUCT(-('Diário 4º PA'!$E$4:$E$2564='Analítico Cp.'!$B69),-('Diário 4º PA'!$Q$4:$Q$2564=J$1),('Diário 4º PA'!$F$4:$F$2564))+SUMPRODUCT(-('Comp.'!$D$5:$D$69='Analítico Cp.'!$B69),-('Comp.'!$K$5:$K$69=J$1),('Comp.'!$E$5:$E$69))</f>
        <v>0</v>
      </c>
      <c r="K69" s="12">
        <f>SUMPRODUCT(-('Diário 1º PA'!$E$4:$E$2635='Analítico Cp.'!$B69),-('Diário 1º PA'!$Q$4:$Q$2635=K$1),('Diário 1º PA'!$F$4:$F$2635))+SUMPRODUCT(-('Diário 2º PA'!$E$4:$E$3040='Analítico Cp.'!$B69),-('Diário 2º PA'!$Q$4:$Q$3040=K$1),('Diário 2º PA'!$F$4:$F$3040))+SUMPRODUCT(-('Diário 3º PA'!$E$4:$E$2731='Analítico Cp.'!$B69),-('Diário 3º PA'!$Q$4:$Q$2731=K$1),('Diário 3º PA'!$F$4:$F$2731))+SUMPRODUCT(-('Diário 4º PA'!$E$4:$E$2564='Analítico Cp.'!$B69),-('Diário 4º PA'!$Q$4:$Q$2564=K$1),('Diário 4º PA'!$F$4:$F$2564))+SUMPRODUCT(-('Comp.'!$D$5:$D$69='Analítico Cp.'!$B69),-('Comp.'!$K$5:$K$69=K$1),('Comp.'!$E$5:$E$69))</f>
        <v>0</v>
      </c>
      <c r="L69" s="12">
        <f>SUMPRODUCT(-('Diário 1º PA'!$E$4:$E$2635='Analítico Cp.'!$B69),-('Diário 1º PA'!$Q$4:$Q$2635=L$1),('Diário 1º PA'!$F$4:$F$2635))+SUMPRODUCT(-('Diário 2º PA'!$E$4:$E$3040='Analítico Cp.'!$B69),-('Diário 2º PA'!$Q$4:$Q$3040=L$1),('Diário 2º PA'!$F$4:$F$3040))+SUMPRODUCT(-('Diário 3º PA'!$E$4:$E$2731='Analítico Cp.'!$B69),-('Diário 3º PA'!$Q$4:$Q$2731=L$1),('Diário 3º PA'!$F$4:$F$2731))+SUMPRODUCT(-('Diário 4º PA'!$E$4:$E$2564='Analítico Cp.'!$B69),-('Diário 4º PA'!$Q$4:$Q$2564=L$1),('Diário 4º PA'!$F$4:$F$2564))+SUMPRODUCT(-('Comp.'!$D$5:$D$69='Analítico Cp.'!$B69),-('Comp.'!$K$5:$K$69=L$1),('Comp.'!$E$5:$E$69))</f>
        <v>0</v>
      </c>
      <c r="M69" s="12">
        <f>SUMPRODUCT(-('Diário 1º PA'!$E$4:$E$2635='Analítico Cp.'!$B69),-('Diário 1º PA'!$Q$4:$Q$2635=M$1),('Diário 1º PA'!$F$4:$F$2635))+SUMPRODUCT(-('Diário 2º PA'!$E$4:$E$3040='Analítico Cp.'!$B69),-('Diário 2º PA'!$Q$4:$Q$3040=M$1),('Diário 2º PA'!$F$4:$F$3040))+SUMPRODUCT(-('Diário 3º PA'!$E$4:$E$2731='Analítico Cp.'!$B69),-('Diário 3º PA'!$Q$4:$Q$2731=M$1),('Diário 3º PA'!$F$4:$F$2731))+SUMPRODUCT(-('Diário 4º PA'!$E$4:$E$2564='Analítico Cp.'!$B69),-('Diário 4º PA'!$Q$4:$Q$2564=M$1),('Diário 4º PA'!$F$4:$F$2564))+SUMPRODUCT(-('Comp.'!$D$5:$D$69='Analítico Cp.'!$B69),-('Comp.'!$K$5:$K$69=M$1),('Comp.'!$E$5:$E$69))</f>
        <v>0</v>
      </c>
      <c r="N69" s="12">
        <f>SUMPRODUCT(-('Diário 1º PA'!$E$4:$E$2635='Analítico Cp.'!$B69),-('Diário 1º PA'!$Q$4:$Q$2635=N$1),('Diário 1º PA'!$F$4:$F$2635))+SUMPRODUCT(-('Diário 2º PA'!$E$4:$E$3040='Analítico Cp.'!$B69),-('Diário 2º PA'!$Q$4:$Q$3040=N$1),('Diário 2º PA'!$F$4:$F$3040))+SUMPRODUCT(-('Diário 3º PA'!$E$4:$E$2731='Analítico Cp.'!$B69),-('Diário 3º PA'!$Q$4:$Q$2731=N$1),('Diário 3º PA'!$F$4:$F$2731))+SUMPRODUCT(-('Diário 4º PA'!$E$4:$E$2564='Analítico Cp.'!$B69),-('Diário 4º PA'!$Q$4:$Q$2564=N$1),('Diário 4º PA'!$F$4:$F$2564))+SUMPRODUCT(-('Comp.'!$D$5:$D$69='Analítico Cp.'!$B69),-('Comp.'!$K$5:$K$69=N$1),('Comp.'!$E$5:$E$69))</f>
        <v>0</v>
      </c>
      <c r="O69" s="13">
        <f t="shared" si="12"/>
        <v>0</v>
      </c>
      <c r="P69" s="167">
        <f t="shared" si="11"/>
        <v>0</v>
      </c>
    </row>
    <row r="70" spans="1:16" ht="23.25" customHeight="1" x14ac:dyDescent="0.2">
      <c r="A70" s="61" t="s">
        <v>125</v>
      </c>
      <c r="B70" s="102" t="s">
        <v>184</v>
      </c>
      <c r="C70" s="12">
        <f>SUMPRODUCT(-('Diário 1º PA'!$E$4:$E$2635='Analítico Cp.'!$B70),-('Diário 1º PA'!$Q$4:$Q$2635=C$1),('Diário 1º PA'!$F$4:$F$2635))+SUMPRODUCT(-('Diário 2º PA'!$E$4:$E$3040='Analítico Cp.'!$B70),-('Diário 2º PA'!$Q$4:$Q$3040=C$1),('Diário 2º PA'!$F$4:$F$3040))+SUMPRODUCT(-('Diário 3º PA'!$E$4:$E$2731='Analítico Cp.'!$B70),-('Diário 3º PA'!$Q$4:$Q$2731=C$1),('Diário 3º PA'!$F$4:$F$2731))+SUMPRODUCT(-('Diário 4º PA'!$E$4:$E$2564='Analítico Cp.'!$B70),-('Diário 4º PA'!$Q$4:$Q$2564=C$1),('Diário 4º PA'!$F$4:$F$2564))+SUMPRODUCT(-('Comp.'!$D$5:$D$69='Analítico Cp.'!$B70),-('Comp.'!$K$5:$K$69=C$1),('Comp.'!$E$5:$E$69))</f>
        <v>0</v>
      </c>
      <c r="D70" s="12">
        <f>SUMPRODUCT(-('Diário 1º PA'!$E$4:$E$2635='Analítico Cp.'!$B70),-('Diário 1º PA'!$Q$4:$Q$2635=D$1),('Diário 1º PA'!$F$4:$F$2635))+SUMPRODUCT(-('Diário 2º PA'!$E$4:$E$3040='Analítico Cp.'!$B70),-('Diário 2º PA'!$Q$4:$Q$3040=D$1),('Diário 2º PA'!$F$4:$F$3040))+SUMPRODUCT(-('Diário 3º PA'!$E$4:$E$2731='Analítico Cp.'!$B70),-('Diário 3º PA'!$Q$4:$Q$2731=D$1),('Diário 3º PA'!$F$4:$F$2731))+SUMPRODUCT(-('Diário 4º PA'!$E$4:$E$2564='Analítico Cp.'!$B70),-('Diário 4º PA'!$Q$4:$Q$2564=D$1),('Diário 4º PA'!$F$4:$F$2564))+SUMPRODUCT(-('Comp.'!$D$5:$D$69='Analítico Cp.'!$B70),-('Comp.'!$K$5:$K$69=D$1),('Comp.'!$E$5:$E$69))</f>
        <v>0</v>
      </c>
      <c r="E70" s="12">
        <f>SUMPRODUCT(-('Diário 1º PA'!$E$4:$E$2635='Analítico Cp.'!$B70),-('Diário 1º PA'!$Q$4:$Q$2635=E$1),('Diário 1º PA'!$F$4:$F$2635))+SUMPRODUCT(-('Diário 2º PA'!$E$4:$E$3040='Analítico Cp.'!$B70),-('Diário 2º PA'!$Q$4:$Q$3040=E$1),('Diário 2º PA'!$F$4:$F$3040))+SUMPRODUCT(-('Diário 3º PA'!$E$4:$E$2731='Analítico Cp.'!$B70),-('Diário 3º PA'!$Q$4:$Q$2731=E$1),('Diário 3º PA'!$F$4:$F$2731))+SUMPRODUCT(-('Diário 4º PA'!$E$4:$E$2564='Analítico Cp.'!$B70),-('Diário 4º PA'!$Q$4:$Q$2564=E$1),('Diário 4º PA'!$F$4:$F$2564))+SUMPRODUCT(-('Comp.'!$D$5:$D$69='Analítico Cp.'!$B70),-('Comp.'!$K$5:$K$69=E$1),('Comp.'!$E$5:$E$69))</f>
        <v>0</v>
      </c>
      <c r="F70" s="12">
        <f>SUMPRODUCT(-('Diário 1º PA'!$E$4:$E$2635='Analítico Cp.'!$B70),-('Diário 1º PA'!$Q$4:$Q$2635=F$1),('Diário 1º PA'!$F$4:$F$2635))+SUMPRODUCT(-('Diário 2º PA'!$E$4:$E$3040='Analítico Cp.'!$B70),-('Diário 2º PA'!$Q$4:$Q$3040=F$1),('Diário 2º PA'!$F$4:$F$3040))+SUMPRODUCT(-('Diário 3º PA'!$E$4:$E$2731='Analítico Cp.'!$B70),-('Diário 3º PA'!$Q$4:$Q$2731=F$1),('Diário 3º PA'!$F$4:$F$2731))+SUMPRODUCT(-('Diário 4º PA'!$E$4:$E$2564='Analítico Cp.'!$B70),-('Diário 4º PA'!$Q$4:$Q$2564=F$1),('Diário 4º PA'!$F$4:$F$2564))+SUMPRODUCT(-('Comp.'!$D$5:$D$69='Analítico Cp.'!$B70),-('Comp.'!$K$5:$K$69=F$1),('Comp.'!$E$5:$E$69))</f>
        <v>0</v>
      </c>
      <c r="G70" s="12">
        <f>SUMPRODUCT(-('Diário 1º PA'!$E$4:$E$2635='Analítico Cp.'!$B70),-('Diário 1º PA'!$Q$4:$Q$2635=G$1),('Diário 1º PA'!$F$4:$F$2635))+SUMPRODUCT(-('Diário 2º PA'!$E$4:$E$3040='Analítico Cp.'!$B70),-('Diário 2º PA'!$Q$4:$Q$3040=G$1),('Diário 2º PA'!$F$4:$F$3040))+SUMPRODUCT(-('Diário 3º PA'!$E$4:$E$2731='Analítico Cp.'!$B70),-('Diário 3º PA'!$Q$4:$Q$2731=G$1),('Diário 3º PA'!$F$4:$F$2731))+SUMPRODUCT(-('Diário 4º PA'!$E$4:$E$2564='Analítico Cp.'!$B70),-('Diário 4º PA'!$Q$4:$Q$2564=G$1),('Diário 4º PA'!$F$4:$F$2564))+SUMPRODUCT(-('Comp.'!$D$5:$D$69='Analítico Cp.'!$B70),-('Comp.'!$K$5:$K$69=G$1),('Comp.'!$E$5:$E$69))</f>
        <v>0</v>
      </c>
      <c r="H70" s="12">
        <f>SUMPRODUCT(-('Diário 1º PA'!$E$4:$E$2635='Analítico Cp.'!$B70),-('Diário 1º PA'!$Q$4:$Q$2635=H$1),('Diário 1º PA'!$F$4:$F$2635))+SUMPRODUCT(-('Diário 2º PA'!$E$4:$E$3040='Analítico Cp.'!$B70),-('Diário 2º PA'!$Q$4:$Q$3040=H$1),('Diário 2º PA'!$F$4:$F$3040))+SUMPRODUCT(-('Diário 3º PA'!$E$4:$E$2731='Analítico Cp.'!$B70),-('Diário 3º PA'!$Q$4:$Q$2731=H$1),('Diário 3º PA'!$F$4:$F$2731))+SUMPRODUCT(-('Diário 4º PA'!$E$4:$E$2564='Analítico Cp.'!$B70),-('Diário 4º PA'!$Q$4:$Q$2564=H$1),('Diário 4º PA'!$F$4:$F$2564))+SUMPRODUCT(-('Comp.'!$D$5:$D$69='Analítico Cp.'!$B70),-('Comp.'!$K$5:$K$69=H$1),('Comp.'!$E$5:$E$69))</f>
        <v>0</v>
      </c>
      <c r="I70" s="12">
        <f>SUMPRODUCT(-('Diário 1º PA'!$E$4:$E$2635='Analítico Cp.'!$B70),-('Diário 1º PA'!$Q$4:$Q$2635=I$1),('Diário 1º PA'!$F$4:$F$2635))+SUMPRODUCT(-('Diário 2º PA'!$E$4:$E$3040='Analítico Cp.'!$B70),-('Diário 2º PA'!$Q$4:$Q$3040=I$1),('Diário 2º PA'!$F$4:$F$3040))+SUMPRODUCT(-('Diário 3º PA'!$E$4:$E$2731='Analítico Cp.'!$B70),-('Diário 3º PA'!$Q$4:$Q$2731=I$1),('Diário 3º PA'!$F$4:$F$2731))+SUMPRODUCT(-('Diário 4º PA'!$E$4:$E$2564='Analítico Cp.'!$B70),-('Diário 4º PA'!$Q$4:$Q$2564=I$1),('Diário 4º PA'!$F$4:$F$2564))+SUMPRODUCT(-('Comp.'!$D$5:$D$69='Analítico Cp.'!$B70),-('Comp.'!$K$5:$K$69=I$1),('Comp.'!$E$5:$E$69))</f>
        <v>0</v>
      </c>
      <c r="J70" s="12">
        <f>SUMPRODUCT(-('Diário 1º PA'!$E$4:$E$2635='Analítico Cp.'!$B70),-('Diário 1º PA'!$Q$4:$Q$2635=J$1),('Diário 1º PA'!$F$4:$F$2635))+SUMPRODUCT(-('Diário 2º PA'!$E$4:$E$3040='Analítico Cp.'!$B70),-('Diário 2º PA'!$Q$4:$Q$3040=J$1),('Diário 2º PA'!$F$4:$F$3040))+SUMPRODUCT(-('Diário 3º PA'!$E$4:$E$2731='Analítico Cp.'!$B70),-('Diário 3º PA'!$Q$4:$Q$2731=J$1),('Diário 3º PA'!$F$4:$F$2731))+SUMPRODUCT(-('Diário 4º PA'!$E$4:$E$2564='Analítico Cp.'!$B70),-('Diário 4º PA'!$Q$4:$Q$2564=J$1),('Diário 4º PA'!$F$4:$F$2564))+SUMPRODUCT(-('Comp.'!$D$5:$D$69='Analítico Cp.'!$B70),-('Comp.'!$K$5:$K$69=J$1),('Comp.'!$E$5:$E$69))</f>
        <v>0</v>
      </c>
      <c r="K70" s="12">
        <f>SUMPRODUCT(-('Diário 1º PA'!$E$4:$E$2635='Analítico Cp.'!$B70),-('Diário 1º PA'!$Q$4:$Q$2635=K$1),('Diário 1º PA'!$F$4:$F$2635))+SUMPRODUCT(-('Diário 2º PA'!$E$4:$E$3040='Analítico Cp.'!$B70),-('Diário 2º PA'!$Q$4:$Q$3040=K$1),('Diário 2º PA'!$F$4:$F$3040))+SUMPRODUCT(-('Diário 3º PA'!$E$4:$E$2731='Analítico Cp.'!$B70),-('Diário 3º PA'!$Q$4:$Q$2731=K$1),('Diário 3º PA'!$F$4:$F$2731))+SUMPRODUCT(-('Diário 4º PA'!$E$4:$E$2564='Analítico Cp.'!$B70),-('Diário 4º PA'!$Q$4:$Q$2564=K$1),('Diário 4º PA'!$F$4:$F$2564))+SUMPRODUCT(-('Comp.'!$D$5:$D$69='Analítico Cp.'!$B70),-('Comp.'!$K$5:$K$69=K$1),('Comp.'!$E$5:$E$69))</f>
        <v>0</v>
      </c>
      <c r="L70" s="12">
        <f>SUMPRODUCT(-('Diário 1º PA'!$E$4:$E$2635='Analítico Cp.'!$B70),-('Diário 1º PA'!$Q$4:$Q$2635=L$1),('Diário 1º PA'!$F$4:$F$2635))+SUMPRODUCT(-('Diário 2º PA'!$E$4:$E$3040='Analítico Cp.'!$B70),-('Diário 2º PA'!$Q$4:$Q$3040=L$1),('Diário 2º PA'!$F$4:$F$3040))+SUMPRODUCT(-('Diário 3º PA'!$E$4:$E$2731='Analítico Cp.'!$B70),-('Diário 3º PA'!$Q$4:$Q$2731=L$1),('Diário 3º PA'!$F$4:$F$2731))+SUMPRODUCT(-('Diário 4º PA'!$E$4:$E$2564='Analítico Cp.'!$B70),-('Diário 4º PA'!$Q$4:$Q$2564=L$1),('Diário 4º PA'!$F$4:$F$2564))+SUMPRODUCT(-('Comp.'!$D$5:$D$69='Analítico Cp.'!$B70),-('Comp.'!$K$5:$K$69=L$1),('Comp.'!$E$5:$E$69))</f>
        <v>0</v>
      </c>
      <c r="M70" s="12">
        <f>SUMPRODUCT(-('Diário 1º PA'!$E$4:$E$2635='Analítico Cp.'!$B70),-('Diário 1º PA'!$Q$4:$Q$2635=M$1),('Diário 1º PA'!$F$4:$F$2635))+SUMPRODUCT(-('Diário 2º PA'!$E$4:$E$3040='Analítico Cp.'!$B70),-('Diário 2º PA'!$Q$4:$Q$3040=M$1),('Diário 2º PA'!$F$4:$F$3040))+SUMPRODUCT(-('Diário 3º PA'!$E$4:$E$2731='Analítico Cp.'!$B70),-('Diário 3º PA'!$Q$4:$Q$2731=M$1),('Diário 3º PA'!$F$4:$F$2731))+SUMPRODUCT(-('Diário 4º PA'!$E$4:$E$2564='Analítico Cp.'!$B70),-('Diário 4º PA'!$Q$4:$Q$2564=M$1),('Diário 4º PA'!$F$4:$F$2564))+SUMPRODUCT(-('Comp.'!$D$5:$D$69='Analítico Cp.'!$B70),-('Comp.'!$K$5:$K$69=M$1),('Comp.'!$E$5:$E$69))</f>
        <v>0</v>
      </c>
      <c r="N70" s="12">
        <f>SUMPRODUCT(-('Diário 1º PA'!$E$4:$E$2635='Analítico Cp.'!$B70),-('Diário 1º PA'!$Q$4:$Q$2635=N$1),('Diário 1º PA'!$F$4:$F$2635))+SUMPRODUCT(-('Diário 2º PA'!$E$4:$E$3040='Analítico Cp.'!$B70),-('Diário 2º PA'!$Q$4:$Q$3040=N$1),('Diário 2º PA'!$F$4:$F$3040))+SUMPRODUCT(-('Diário 3º PA'!$E$4:$E$2731='Analítico Cp.'!$B70),-('Diário 3º PA'!$Q$4:$Q$2731=N$1),('Diário 3º PA'!$F$4:$F$2731))+SUMPRODUCT(-('Diário 4º PA'!$E$4:$E$2564='Analítico Cp.'!$B70),-('Diário 4º PA'!$Q$4:$Q$2564=N$1),('Diário 4º PA'!$F$4:$F$2564))+SUMPRODUCT(-('Comp.'!$D$5:$D$69='Analítico Cp.'!$B70),-('Comp.'!$K$5:$K$69=N$1),('Comp.'!$E$5:$E$69))</f>
        <v>600</v>
      </c>
      <c r="O70" s="13">
        <f t="shared" si="12"/>
        <v>600</v>
      </c>
      <c r="P70" s="167">
        <f t="shared" si="11"/>
        <v>4.9025180302421342E-5</v>
      </c>
    </row>
    <row r="71" spans="1:16" ht="23.25" customHeight="1" x14ac:dyDescent="0.2">
      <c r="A71" s="61" t="s">
        <v>126</v>
      </c>
      <c r="B71" s="104" t="s">
        <v>222</v>
      </c>
      <c r="C71" s="12">
        <f>SUMPRODUCT(-('Diário 1º PA'!$E$4:$E$2635='Analítico Cp.'!$B71),-('Diário 1º PA'!$Q$4:$Q$2635=C$1),('Diário 1º PA'!$F$4:$F$2635))+SUMPRODUCT(-('Diário 2º PA'!$E$4:$E$3040='Analítico Cp.'!$B71),-('Diário 2º PA'!$Q$4:$Q$3040=C$1),('Diário 2º PA'!$F$4:$F$3040))+SUMPRODUCT(-('Diário 3º PA'!$E$4:$E$2731='Analítico Cp.'!$B71),-('Diário 3º PA'!$Q$4:$Q$2731=C$1),('Diário 3º PA'!$F$4:$F$2731))+SUMPRODUCT(-('Diário 4º PA'!$E$4:$E$2564='Analítico Cp.'!$B71),-('Diário 4º PA'!$Q$4:$Q$2564=C$1),('Diário 4º PA'!$F$4:$F$2564))+SUMPRODUCT(-('Comp.'!$D$5:$D$69='Analítico Cp.'!$B71),-('Comp.'!$K$5:$K$69=C$1),('Comp.'!$E$5:$E$69))</f>
        <v>0</v>
      </c>
      <c r="D71" s="12">
        <f>SUMPRODUCT(-('Diário 1º PA'!$E$4:$E$2635='Analítico Cp.'!$B71),-('Diário 1º PA'!$Q$4:$Q$2635=D$1),('Diário 1º PA'!$F$4:$F$2635))+SUMPRODUCT(-('Diário 2º PA'!$E$4:$E$3040='Analítico Cp.'!$B71),-('Diário 2º PA'!$Q$4:$Q$3040=D$1),('Diário 2º PA'!$F$4:$F$3040))+SUMPRODUCT(-('Diário 3º PA'!$E$4:$E$2731='Analítico Cp.'!$B71),-('Diário 3º PA'!$Q$4:$Q$2731=D$1),('Diário 3º PA'!$F$4:$F$2731))+SUMPRODUCT(-('Diário 4º PA'!$E$4:$E$2564='Analítico Cp.'!$B71),-('Diário 4º PA'!$Q$4:$Q$2564=D$1),('Diário 4º PA'!$F$4:$F$2564))+SUMPRODUCT(-('Comp.'!$D$5:$D$69='Analítico Cp.'!$B71),-('Comp.'!$K$5:$K$69=D$1),('Comp.'!$E$5:$E$69))</f>
        <v>0</v>
      </c>
      <c r="E71" s="12">
        <f>SUMPRODUCT(-('Diário 1º PA'!$E$4:$E$2635='Analítico Cp.'!$B71),-('Diário 1º PA'!$Q$4:$Q$2635=E$1),('Diário 1º PA'!$F$4:$F$2635))+SUMPRODUCT(-('Diário 2º PA'!$E$4:$E$3040='Analítico Cp.'!$B71),-('Diário 2º PA'!$Q$4:$Q$3040=E$1),('Diário 2º PA'!$F$4:$F$3040))+SUMPRODUCT(-('Diário 3º PA'!$E$4:$E$2731='Analítico Cp.'!$B71),-('Diário 3º PA'!$Q$4:$Q$2731=E$1),('Diário 3º PA'!$F$4:$F$2731))+SUMPRODUCT(-('Diário 4º PA'!$E$4:$E$2564='Analítico Cp.'!$B71),-('Diário 4º PA'!$Q$4:$Q$2564=E$1),('Diário 4º PA'!$F$4:$F$2564))+SUMPRODUCT(-('Comp.'!$D$5:$D$69='Analítico Cp.'!$B71),-('Comp.'!$K$5:$K$69=E$1),('Comp.'!$E$5:$E$69))</f>
        <v>0</v>
      </c>
      <c r="F71" s="12">
        <f>SUMPRODUCT(-('Diário 1º PA'!$E$4:$E$2635='Analítico Cp.'!$B71),-('Diário 1º PA'!$Q$4:$Q$2635=F$1),('Diário 1º PA'!$F$4:$F$2635))+SUMPRODUCT(-('Diário 2º PA'!$E$4:$E$3040='Analítico Cp.'!$B71),-('Diário 2º PA'!$Q$4:$Q$3040=F$1),('Diário 2º PA'!$F$4:$F$3040))+SUMPRODUCT(-('Diário 3º PA'!$E$4:$E$2731='Analítico Cp.'!$B71),-('Diário 3º PA'!$Q$4:$Q$2731=F$1),('Diário 3º PA'!$F$4:$F$2731))+SUMPRODUCT(-('Diário 4º PA'!$E$4:$E$2564='Analítico Cp.'!$B71),-('Diário 4º PA'!$Q$4:$Q$2564=F$1),('Diário 4º PA'!$F$4:$F$2564))+SUMPRODUCT(-('Comp.'!$D$5:$D$69='Analítico Cp.'!$B71),-('Comp.'!$K$5:$K$69=F$1),('Comp.'!$E$5:$E$69))</f>
        <v>0</v>
      </c>
      <c r="G71" s="12">
        <f>SUMPRODUCT(-('Diário 1º PA'!$E$4:$E$2635='Analítico Cp.'!$B71),-('Diário 1º PA'!$Q$4:$Q$2635=G$1),('Diário 1º PA'!$F$4:$F$2635))+SUMPRODUCT(-('Diário 2º PA'!$E$4:$E$3040='Analítico Cp.'!$B71),-('Diário 2º PA'!$Q$4:$Q$3040=G$1),('Diário 2º PA'!$F$4:$F$3040))+SUMPRODUCT(-('Diário 3º PA'!$E$4:$E$2731='Analítico Cp.'!$B71),-('Diário 3º PA'!$Q$4:$Q$2731=G$1),('Diário 3º PA'!$F$4:$F$2731))+SUMPRODUCT(-('Diário 4º PA'!$E$4:$E$2564='Analítico Cp.'!$B71),-('Diário 4º PA'!$Q$4:$Q$2564=G$1),('Diário 4º PA'!$F$4:$F$2564))+SUMPRODUCT(-('Comp.'!$D$5:$D$69='Analítico Cp.'!$B71),-('Comp.'!$K$5:$K$69=G$1),('Comp.'!$E$5:$E$69))</f>
        <v>0</v>
      </c>
      <c r="H71" s="12">
        <f>SUMPRODUCT(-('Diário 1º PA'!$E$4:$E$2635='Analítico Cp.'!$B71),-('Diário 1º PA'!$Q$4:$Q$2635=H$1),('Diário 1º PA'!$F$4:$F$2635))+SUMPRODUCT(-('Diário 2º PA'!$E$4:$E$3040='Analítico Cp.'!$B71),-('Diário 2º PA'!$Q$4:$Q$3040=H$1),('Diário 2º PA'!$F$4:$F$3040))+SUMPRODUCT(-('Diário 3º PA'!$E$4:$E$2731='Analítico Cp.'!$B71),-('Diário 3º PA'!$Q$4:$Q$2731=H$1),('Diário 3º PA'!$F$4:$F$2731))+SUMPRODUCT(-('Diário 4º PA'!$E$4:$E$2564='Analítico Cp.'!$B71),-('Diário 4º PA'!$Q$4:$Q$2564=H$1),('Diário 4º PA'!$F$4:$F$2564))+SUMPRODUCT(-('Comp.'!$D$5:$D$69='Analítico Cp.'!$B71),-('Comp.'!$K$5:$K$69=H$1),('Comp.'!$E$5:$E$69))</f>
        <v>0</v>
      </c>
      <c r="I71" s="12">
        <f>SUMPRODUCT(-('Diário 1º PA'!$E$4:$E$2635='Analítico Cp.'!$B71),-('Diário 1º PA'!$Q$4:$Q$2635=I$1),('Diário 1º PA'!$F$4:$F$2635))+SUMPRODUCT(-('Diário 2º PA'!$E$4:$E$3040='Analítico Cp.'!$B71),-('Diário 2º PA'!$Q$4:$Q$3040=I$1),('Diário 2º PA'!$F$4:$F$3040))+SUMPRODUCT(-('Diário 3º PA'!$E$4:$E$2731='Analítico Cp.'!$B71),-('Diário 3º PA'!$Q$4:$Q$2731=I$1),('Diário 3º PA'!$F$4:$F$2731))+SUMPRODUCT(-('Diário 4º PA'!$E$4:$E$2564='Analítico Cp.'!$B71),-('Diário 4º PA'!$Q$4:$Q$2564=I$1),('Diário 4º PA'!$F$4:$F$2564))+SUMPRODUCT(-('Comp.'!$D$5:$D$69='Analítico Cp.'!$B71),-('Comp.'!$K$5:$K$69=I$1),('Comp.'!$E$5:$E$69))</f>
        <v>0</v>
      </c>
      <c r="J71" s="12">
        <f>SUMPRODUCT(-('Diário 1º PA'!$E$4:$E$2635='Analítico Cp.'!$B71),-('Diário 1º PA'!$Q$4:$Q$2635=J$1),('Diário 1º PA'!$F$4:$F$2635))+SUMPRODUCT(-('Diário 2º PA'!$E$4:$E$3040='Analítico Cp.'!$B71),-('Diário 2º PA'!$Q$4:$Q$3040=J$1),('Diário 2º PA'!$F$4:$F$3040))+SUMPRODUCT(-('Diário 3º PA'!$E$4:$E$2731='Analítico Cp.'!$B71),-('Diário 3º PA'!$Q$4:$Q$2731=J$1),('Diário 3º PA'!$F$4:$F$2731))+SUMPRODUCT(-('Diário 4º PA'!$E$4:$E$2564='Analítico Cp.'!$B71),-('Diário 4º PA'!$Q$4:$Q$2564=J$1),('Diário 4º PA'!$F$4:$F$2564))+SUMPRODUCT(-('Comp.'!$D$5:$D$69='Analítico Cp.'!$B71),-('Comp.'!$K$5:$K$69=J$1),('Comp.'!$E$5:$E$69))</f>
        <v>0</v>
      </c>
      <c r="K71" s="12">
        <f>SUMPRODUCT(-('Diário 1º PA'!$E$4:$E$2635='Analítico Cp.'!$B71),-('Diário 1º PA'!$Q$4:$Q$2635=K$1),('Diário 1º PA'!$F$4:$F$2635))+SUMPRODUCT(-('Diário 2º PA'!$E$4:$E$3040='Analítico Cp.'!$B71),-('Diário 2º PA'!$Q$4:$Q$3040=K$1),('Diário 2º PA'!$F$4:$F$3040))+SUMPRODUCT(-('Diário 3º PA'!$E$4:$E$2731='Analítico Cp.'!$B71),-('Diário 3º PA'!$Q$4:$Q$2731=K$1),('Diário 3º PA'!$F$4:$F$2731))+SUMPRODUCT(-('Diário 4º PA'!$E$4:$E$2564='Analítico Cp.'!$B71),-('Diário 4º PA'!$Q$4:$Q$2564=K$1),('Diário 4º PA'!$F$4:$F$2564))+SUMPRODUCT(-('Comp.'!$D$5:$D$69='Analítico Cp.'!$B71),-('Comp.'!$K$5:$K$69=K$1),('Comp.'!$E$5:$E$69))</f>
        <v>0</v>
      </c>
      <c r="L71" s="12">
        <f>SUMPRODUCT(-('Diário 1º PA'!$E$4:$E$2635='Analítico Cp.'!$B71),-('Diário 1º PA'!$Q$4:$Q$2635=L$1),('Diário 1º PA'!$F$4:$F$2635))+SUMPRODUCT(-('Diário 2º PA'!$E$4:$E$3040='Analítico Cp.'!$B71),-('Diário 2º PA'!$Q$4:$Q$3040=L$1),('Diário 2º PA'!$F$4:$F$3040))+SUMPRODUCT(-('Diário 3º PA'!$E$4:$E$2731='Analítico Cp.'!$B71),-('Diário 3º PA'!$Q$4:$Q$2731=L$1),('Diário 3º PA'!$F$4:$F$2731))+SUMPRODUCT(-('Diário 4º PA'!$E$4:$E$2564='Analítico Cp.'!$B71),-('Diário 4º PA'!$Q$4:$Q$2564=L$1),('Diário 4º PA'!$F$4:$F$2564))+SUMPRODUCT(-('Comp.'!$D$5:$D$69='Analítico Cp.'!$B71),-('Comp.'!$K$5:$K$69=L$1),('Comp.'!$E$5:$E$69))</f>
        <v>0</v>
      </c>
      <c r="M71" s="12">
        <f>SUMPRODUCT(-('Diário 1º PA'!$E$4:$E$2635='Analítico Cp.'!$B71),-('Diário 1º PA'!$Q$4:$Q$2635=M$1),('Diário 1º PA'!$F$4:$F$2635))+SUMPRODUCT(-('Diário 2º PA'!$E$4:$E$3040='Analítico Cp.'!$B71),-('Diário 2º PA'!$Q$4:$Q$3040=M$1),('Diário 2º PA'!$F$4:$F$3040))+SUMPRODUCT(-('Diário 3º PA'!$E$4:$E$2731='Analítico Cp.'!$B71),-('Diário 3º PA'!$Q$4:$Q$2731=M$1),('Diário 3º PA'!$F$4:$F$2731))+SUMPRODUCT(-('Diário 4º PA'!$E$4:$E$2564='Analítico Cp.'!$B71),-('Diário 4º PA'!$Q$4:$Q$2564=M$1),('Diário 4º PA'!$F$4:$F$2564))+SUMPRODUCT(-('Comp.'!$D$5:$D$69='Analítico Cp.'!$B71),-('Comp.'!$K$5:$K$69=M$1),('Comp.'!$E$5:$E$69))</f>
        <v>0</v>
      </c>
      <c r="N71" s="12">
        <f>SUMPRODUCT(-('Diário 1º PA'!$E$4:$E$2635='Analítico Cp.'!$B71),-('Diário 1º PA'!$Q$4:$Q$2635=N$1),('Diário 1º PA'!$F$4:$F$2635))+SUMPRODUCT(-('Diário 2º PA'!$E$4:$E$3040='Analítico Cp.'!$B71),-('Diário 2º PA'!$Q$4:$Q$3040=N$1),('Diário 2º PA'!$F$4:$F$3040))+SUMPRODUCT(-('Diário 3º PA'!$E$4:$E$2731='Analítico Cp.'!$B71),-('Diário 3º PA'!$Q$4:$Q$2731=N$1),('Diário 3º PA'!$F$4:$F$2731))+SUMPRODUCT(-('Diário 4º PA'!$E$4:$E$2564='Analítico Cp.'!$B71),-('Diário 4º PA'!$Q$4:$Q$2564=N$1),('Diário 4º PA'!$F$4:$F$2564))+SUMPRODUCT(-('Comp.'!$D$5:$D$69='Analítico Cp.'!$B71),-('Comp.'!$K$5:$K$69=N$1),('Comp.'!$E$5:$E$69))</f>
        <v>0</v>
      </c>
      <c r="O71" s="13">
        <f t="shared" si="12"/>
        <v>0</v>
      </c>
      <c r="P71" s="167">
        <f t="shared" si="11"/>
        <v>0</v>
      </c>
    </row>
    <row r="72" spans="1:16" ht="23.25" customHeight="1" x14ac:dyDescent="0.2">
      <c r="A72" s="61" t="s">
        <v>127</v>
      </c>
      <c r="B72" s="102" t="s">
        <v>66</v>
      </c>
      <c r="C72" s="12">
        <f>SUMPRODUCT(-('Diário 1º PA'!$E$4:$E$2635='Analítico Cp.'!$B72),-('Diário 1º PA'!$Q$4:$Q$2635=C$1),('Diário 1º PA'!$F$4:$F$2635))+SUMPRODUCT(-('Diário 2º PA'!$E$4:$E$3040='Analítico Cp.'!$B72),-('Diário 2º PA'!$Q$4:$Q$3040=C$1),('Diário 2º PA'!$F$4:$F$3040))+SUMPRODUCT(-('Diário 3º PA'!$E$4:$E$2731='Analítico Cp.'!$B72),-('Diário 3º PA'!$Q$4:$Q$2731=C$1),('Diário 3º PA'!$F$4:$F$2731))+SUMPRODUCT(-('Diário 4º PA'!$E$4:$E$2564='Analítico Cp.'!$B72),-('Diário 4º PA'!$Q$4:$Q$2564=C$1),('Diário 4º PA'!$F$4:$F$2564))+SUMPRODUCT(-('Comp.'!$D$5:$D$69='Analítico Cp.'!$B72),-('Comp.'!$K$5:$K$69=C$1),('Comp.'!$E$5:$E$69))</f>
        <v>0</v>
      </c>
      <c r="D72" s="12">
        <f>SUMPRODUCT(-('Diário 1º PA'!$E$4:$E$2635='Analítico Cp.'!$B72),-('Diário 1º PA'!$Q$4:$Q$2635=D$1),('Diário 1º PA'!$F$4:$F$2635))+SUMPRODUCT(-('Diário 2º PA'!$E$4:$E$3040='Analítico Cp.'!$B72),-('Diário 2º PA'!$Q$4:$Q$3040=D$1),('Diário 2º PA'!$F$4:$F$3040))+SUMPRODUCT(-('Diário 3º PA'!$E$4:$E$2731='Analítico Cp.'!$B72),-('Diário 3º PA'!$Q$4:$Q$2731=D$1),('Diário 3º PA'!$F$4:$F$2731))+SUMPRODUCT(-('Diário 4º PA'!$E$4:$E$2564='Analítico Cp.'!$B72),-('Diário 4º PA'!$Q$4:$Q$2564=D$1),('Diário 4º PA'!$F$4:$F$2564))+SUMPRODUCT(-('Comp.'!$D$5:$D$69='Analítico Cp.'!$B72),-('Comp.'!$K$5:$K$69=D$1),('Comp.'!$E$5:$E$69))</f>
        <v>0</v>
      </c>
      <c r="E72" s="12">
        <f>SUMPRODUCT(-('Diário 1º PA'!$E$4:$E$2635='Analítico Cp.'!$B72),-('Diário 1º PA'!$Q$4:$Q$2635=E$1),('Diário 1º PA'!$F$4:$F$2635))+SUMPRODUCT(-('Diário 2º PA'!$E$4:$E$3040='Analítico Cp.'!$B72),-('Diário 2º PA'!$Q$4:$Q$3040=E$1),('Diário 2º PA'!$F$4:$F$3040))+SUMPRODUCT(-('Diário 3º PA'!$E$4:$E$2731='Analítico Cp.'!$B72),-('Diário 3º PA'!$Q$4:$Q$2731=E$1),('Diário 3º PA'!$F$4:$F$2731))+SUMPRODUCT(-('Diário 4º PA'!$E$4:$E$2564='Analítico Cp.'!$B72),-('Diário 4º PA'!$Q$4:$Q$2564=E$1),('Diário 4º PA'!$F$4:$F$2564))+SUMPRODUCT(-('Comp.'!$D$5:$D$69='Analítico Cp.'!$B72),-('Comp.'!$K$5:$K$69=E$1),('Comp.'!$E$5:$E$69))</f>
        <v>0</v>
      </c>
      <c r="F72" s="12">
        <f>SUMPRODUCT(-('Diário 1º PA'!$E$4:$E$2635='Analítico Cp.'!$B72),-('Diário 1º PA'!$Q$4:$Q$2635=F$1),('Diário 1º PA'!$F$4:$F$2635))+SUMPRODUCT(-('Diário 2º PA'!$E$4:$E$3040='Analítico Cp.'!$B72),-('Diário 2º PA'!$Q$4:$Q$3040=F$1),('Diário 2º PA'!$F$4:$F$3040))+SUMPRODUCT(-('Diário 3º PA'!$E$4:$E$2731='Analítico Cp.'!$B72),-('Diário 3º PA'!$Q$4:$Q$2731=F$1),('Diário 3º PA'!$F$4:$F$2731))+SUMPRODUCT(-('Diário 4º PA'!$E$4:$E$2564='Analítico Cp.'!$B72),-('Diário 4º PA'!$Q$4:$Q$2564=F$1),('Diário 4º PA'!$F$4:$F$2564))+SUMPRODUCT(-('Comp.'!$D$5:$D$69='Analítico Cp.'!$B72),-('Comp.'!$K$5:$K$69=F$1),('Comp.'!$E$5:$E$69))</f>
        <v>0</v>
      </c>
      <c r="G72" s="12">
        <f>SUMPRODUCT(-('Diário 1º PA'!$E$4:$E$2635='Analítico Cp.'!$B72),-('Diário 1º PA'!$Q$4:$Q$2635=G$1),('Diário 1º PA'!$F$4:$F$2635))+SUMPRODUCT(-('Diário 2º PA'!$E$4:$E$3040='Analítico Cp.'!$B72),-('Diário 2º PA'!$Q$4:$Q$3040=G$1),('Diário 2º PA'!$F$4:$F$3040))+SUMPRODUCT(-('Diário 3º PA'!$E$4:$E$2731='Analítico Cp.'!$B72),-('Diário 3º PA'!$Q$4:$Q$2731=G$1),('Diário 3º PA'!$F$4:$F$2731))+SUMPRODUCT(-('Diário 4º PA'!$E$4:$E$2564='Analítico Cp.'!$B72),-('Diário 4º PA'!$Q$4:$Q$2564=G$1),('Diário 4º PA'!$F$4:$F$2564))+SUMPRODUCT(-('Comp.'!$D$5:$D$69='Analítico Cp.'!$B72),-('Comp.'!$K$5:$K$69=G$1),('Comp.'!$E$5:$E$69))</f>
        <v>0</v>
      </c>
      <c r="H72" s="12">
        <f>SUMPRODUCT(-('Diário 1º PA'!$E$4:$E$2635='Analítico Cp.'!$B72),-('Diário 1º PA'!$Q$4:$Q$2635=H$1),('Diário 1º PA'!$F$4:$F$2635))+SUMPRODUCT(-('Diário 2º PA'!$E$4:$E$3040='Analítico Cp.'!$B72),-('Diário 2º PA'!$Q$4:$Q$3040=H$1),('Diário 2º PA'!$F$4:$F$3040))+SUMPRODUCT(-('Diário 3º PA'!$E$4:$E$2731='Analítico Cp.'!$B72),-('Diário 3º PA'!$Q$4:$Q$2731=H$1),('Diário 3º PA'!$F$4:$F$2731))+SUMPRODUCT(-('Diário 4º PA'!$E$4:$E$2564='Analítico Cp.'!$B72),-('Diário 4º PA'!$Q$4:$Q$2564=H$1),('Diário 4º PA'!$F$4:$F$2564))+SUMPRODUCT(-('Comp.'!$D$5:$D$69='Analítico Cp.'!$B72),-('Comp.'!$K$5:$K$69=H$1),('Comp.'!$E$5:$E$69))</f>
        <v>0</v>
      </c>
      <c r="I72" s="12">
        <f>SUMPRODUCT(-('Diário 1º PA'!$E$4:$E$2635='Analítico Cp.'!$B72),-('Diário 1º PA'!$Q$4:$Q$2635=I$1),('Diário 1º PA'!$F$4:$F$2635))+SUMPRODUCT(-('Diário 2º PA'!$E$4:$E$3040='Analítico Cp.'!$B72),-('Diário 2º PA'!$Q$4:$Q$3040=I$1),('Diário 2º PA'!$F$4:$F$3040))+SUMPRODUCT(-('Diário 3º PA'!$E$4:$E$2731='Analítico Cp.'!$B72),-('Diário 3º PA'!$Q$4:$Q$2731=I$1),('Diário 3º PA'!$F$4:$F$2731))+SUMPRODUCT(-('Diário 4º PA'!$E$4:$E$2564='Analítico Cp.'!$B72),-('Diário 4º PA'!$Q$4:$Q$2564=I$1),('Diário 4º PA'!$F$4:$F$2564))+SUMPRODUCT(-('Comp.'!$D$5:$D$69='Analítico Cp.'!$B72),-('Comp.'!$K$5:$K$69=I$1),('Comp.'!$E$5:$E$69))</f>
        <v>0</v>
      </c>
      <c r="J72" s="12">
        <f>SUMPRODUCT(-('Diário 1º PA'!$E$4:$E$2635='Analítico Cp.'!$B72),-('Diário 1º PA'!$Q$4:$Q$2635=J$1),('Diário 1º PA'!$F$4:$F$2635))+SUMPRODUCT(-('Diário 2º PA'!$E$4:$E$3040='Analítico Cp.'!$B72),-('Diário 2º PA'!$Q$4:$Q$3040=J$1),('Diário 2º PA'!$F$4:$F$3040))+SUMPRODUCT(-('Diário 3º PA'!$E$4:$E$2731='Analítico Cp.'!$B72),-('Diário 3º PA'!$Q$4:$Q$2731=J$1),('Diário 3º PA'!$F$4:$F$2731))+SUMPRODUCT(-('Diário 4º PA'!$E$4:$E$2564='Analítico Cp.'!$B72),-('Diário 4º PA'!$Q$4:$Q$2564=J$1),('Diário 4º PA'!$F$4:$F$2564))+SUMPRODUCT(-('Comp.'!$D$5:$D$69='Analítico Cp.'!$B72),-('Comp.'!$K$5:$K$69=J$1),('Comp.'!$E$5:$E$69))</f>
        <v>0</v>
      </c>
      <c r="K72" s="12">
        <f>SUMPRODUCT(-('Diário 1º PA'!$E$4:$E$2635='Analítico Cp.'!$B72),-('Diário 1º PA'!$Q$4:$Q$2635=K$1),('Diário 1º PA'!$F$4:$F$2635))+SUMPRODUCT(-('Diário 2º PA'!$E$4:$E$3040='Analítico Cp.'!$B72),-('Diário 2º PA'!$Q$4:$Q$3040=K$1),('Diário 2º PA'!$F$4:$F$3040))+SUMPRODUCT(-('Diário 3º PA'!$E$4:$E$2731='Analítico Cp.'!$B72),-('Diário 3º PA'!$Q$4:$Q$2731=K$1),('Diário 3º PA'!$F$4:$F$2731))+SUMPRODUCT(-('Diário 4º PA'!$E$4:$E$2564='Analítico Cp.'!$B72),-('Diário 4º PA'!$Q$4:$Q$2564=K$1),('Diário 4º PA'!$F$4:$F$2564))+SUMPRODUCT(-('Comp.'!$D$5:$D$69='Analítico Cp.'!$B72),-('Comp.'!$K$5:$K$69=K$1),('Comp.'!$E$5:$E$69))</f>
        <v>0</v>
      </c>
      <c r="L72" s="12">
        <f>SUMPRODUCT(-('Diário 1º PA'!$E$4:$E$2635='Analítico Cp.'!$B72),-('Diário 1º PA'!$Q$4:$Q$2635=L$1),('Diário 1º PA'!$F$4:$F$2635))+SUMPRODUCT(-('Diário 2º PA'!$E$4:$E$3040='Analítico Cp.'!$B72),-('Diário 2º PA'!$Q$4:$Q$3040=L$1),('Diário 2º PA'!$F$4:$F$3040))+SUMPRODUCT(-('Diário 3º PA'!$E$4:$E$2731='Analítico Cp.'!$B72),-('Diário 3º PA'!$Q$4:$Q$2731=L$1),('Diário 3º PA'!$F$4:$F$2731))+SUMPRODUCT(-('Diário 4º PA'!$E$4:$E$2564='Analítico Cp.'!$B72),-('Diário 4º PA'!$Q$4:$Q$2564=L$1),('Diário 4º PA'!$F$4:$F$2564))+SUMPRODUCT(-('Comp.'!$D$5:$D$69='Analítico Cp.'!$B72),-('Comp.'!$K$5:$K$69=L$1),('Comp.'!$E$5:$E$69))</f>
        <v>0</v>
      </c>
      <c r="M72" s="12">
        <f>SUMPRODUCT(-('Diário 1º PA'!$E$4:$E$2635='Analítico Cp.'!$B72),-('Diário 1º PA'!$Q$4:$Q$2635=M$1),('Diário 1º PA'!$F$4:$F$2635))+SUMPRODUCT(-('Diário 2º PA'!$E$4:$E$3040='Analítico Cp.'!$B72),-('Diário 2º PA'!$Q$4:$Q$3040=M$1),('Diário 2º PA'!$F$4:$F$3040))+SUMPRODUCT(-('Diário 3º PA'!$E$4:$E$2731='Analítico Cp.'!$B72),-('Diário 3º PA'!$Q$4:$Q$2731=M$1),('Diário 3º PA'!$F$4:$F$2731))+SUMPRODUCT(-('Diário 4º PA'!$E$4:$E$2564='Analítico Cp.'!$B72),-('Diário 4º PA'!$Q$4:$Q$2564=M$1),('Diário 4º PA'!$F$4:$F$2564))+SUMPRODUCT(-('Comp.'!$D$5:$D$69='Analítico Cp.'!$B72),-('Comp.'!$K$5:$K$69=M$1),('Comp.'!$E$5:$E$69))</f>
        <v>0</v>
      </c>
      <c r="N72" s="12">
        <f>SUMPRODUCT(-('Diário 1º PA'!$E$4:$E$2635='Analítico Cp.'!$B72),-('Diário 1º PA'!$Q$4:$Q$2635=N$1),('Diário 1º PA'!$F$4:$F$2635))+SUMPRODUCT(-('Diário 2º PA'!$E$4:$E$3040='Analítico Cp.'!$B72),-('Diário 2º PA'!$Q$4:$Q$3040=N$1),('Diário 2º PA'!$F$4:$F$3040))+SUMPRODUCT(-('Diário 3º PA'!$E$4:$E$2731='Analítico Cp.'!$B72),-('Diário 3º PA'!$Q$4:$Q$2731=N$1),('Diário 3º PA'!$F$4:$F$2731))+SUMPRODUCT(-('Diário 4º PA'!$E$4:$E$2564='Analítico Cp.'!$B72),-('Diário 4º PA'!$Q$4:$Q$2564=N$1),('Diário 4º PA'!$F$4:$F$2564))+SUMPRODUCT(-('Comp.'!$D$5:$D$69='Analítico Cp.'!$B72),-('Comp.'!$K$5:$K$69=N$1),('Comp.'!$E$5:$E$69))</f>
        <v>0</v>
      </c>
      <c r="O72" s="13">
        <f t="shared" si="12"/>
        <v>0</v>
      </c>
      <c r="P72" s="167">
        <f t="shared" si="11"/>
        <v>0</v>
      </c>
    </row>
    <row r="73" spans="1:16" ht="23.25" customHeight="1" x14ac:dyDescent="0.2">
      <c r="A73" s="61" t="s">
        <v>128</v>
      </c>
      <c r="B73" s="102" t="s">
        <v>185</v>
      </c>
      <c r="C73" s="12">
        <f>SUMPRODUCT(-('Diário 1º PA'!$E$4:$E$2635='Analítico Cp.'!$B73),-('Diário 1º PA'!$Q$4:$Q$2635=C$1),('Diário 1º PA'!$F$4:$F$2635))+SUMPRODUCT(-('Diário 2º PA'!$E$4:$E$3040='Analítico Cp.'!$B73),-('Diário 2º PA'!$Q$4:$Q$3040=C$1),('Diário 2º PA'!$F$4:$F$3040))+SUMPRODUCT(-('Diário 3º PA'!$E$4:$E$2731='Analítico Cp.'!$B73),-('Diário 3º PA'!$Q$4:$Q$2731=C$1),('Diário 3º PA'!$F$4:$F$2731))+SUMPRODUCT(-('Diário 4º PA'!$E$4:$E$2564='Analítico Cp.'!$B73),-('Diário 4º PA'!$Q$4:$Q$2564=C$1),('Diário 4º PA'!$F$4:$F$2564))+SUMPRODUCT(-('Comp.'!$D$5:$D$69='Analítico Cp.'!$B73),-('Comp.'!$K$5:$K$69=C$1),('Comp.'!$E$5:$E$69))</f>
        <v>0</v>
      </c>
      <c r="D73" s="12">
        <f>SUMPRODUCT(-('Diário 1º PA'!$E$4:$E$2635='Analítico Cp.'!$B73),-('Diário 1º PA'!$Q$4:$Q$2635=D$1),('Diário 1º PA'!$F$4:$F$2635))+SUMPRODUCT(-('Diário 2º PA'!$E$4:$E$3040='Analítico Cp.'!$B73),-('Diário 2º PA'!$Q$4:$Q$3040=D$1),('Diário 2º PA'!$F$4:$F$3040))+SUMPRODUCT(-('Diário 3º PA'!$E$4:$E$2731='Analítico Cp.'!$B73),-('Diário 3º PA'!$Q$4:$Q$2731=D$1),('Diário 3º PA'!$F$4:$F$2731))+SUMPRODUCT(-('Diário 4º PA'!$E$4:$E$2564='Analítico Cp.'!$B73),-('Diário 4º PA'!$Q$4:$Q$2564=D$1),('Diário 4º PA'!$F$4:$F$2564))+SUMPRODUCT(-('Comp.'!$D$5:$D$69='Analítico Cp.'!$B73),-('Comp.'!$K$5:$K$69=D$1),('Comp.'!$E$5:$E$69))</f>
        <v>0</v>
      </c>
      <c r="E73" s="12">
        <f>SUMPRODUCT(-('Diário 1º PA'!$E$4:$E$2635='Analítico Cp.'!$B73),-('Diário 1º PA'!$Q$4:$Q$2635=E$1),('Diário 1º PA'!$F$4:$F$2635))+SUMPRODUCT(-('Diário 2º PA'!$E$4:$E$3040='Analítico Cp.'!$B73),-('Diário 2º PA'!$Q$4:$Q$3040=E$1),('Diário 2º PA'!$F$4:$F$3040))+SUMPRODUCT(-('Diário 3º PA'!$E$4:$E$2731='Analítico Cp.'!$B73),-('Diário 3º PA'!$Q$4:$Q$2731=E$1),('Diário 3º PA'!$F$4:$F$2731))+SUMPRODUCT(-('Diário 4º PA'!$E$4:$E$2564='Analítico Cp.'!$B73),-('Diário 4º PA'!$Q$4:$Q$2564=E$1),('Diário 4º PA'!$F$4:$F$2564))+SUMPRODUCT(-('Comp.'!$D$5:$D$69='Analítico Cp.'!$B73),-('Comp.'!$K$5:$K$69=E$1),('Comp.'!$E$5:$E$69))</f>
        <v>0</v>
      </c>
      <c r="F73" s="12">
        <f>SUMPRODUCT(-('Diário 1º PA'!$E$4:$E$2635='Analítico Cp.'!$B73),-('Diário 1º PA'!$Q$4:$Q$2635=F$1),('Diário 1º PA'!$F$4:$F$2635))+SUMPRODUCT(-('Diário 2º PA'!$E$4:$E$3040='Analítico Cp.'!$B73),-('Diário 2º PA'!$Q$4:$Q$3040=F$1),('Diário 2º PA'!$F$4:$F$3040))+SUMPRODUCT(-('Diário 3º PA'!$E$4:$E$2731='Analítico Cp.'!$B73),-('Diário 3º PA'!$Q$4:$Q$2731=F$1),('Diário 3º PA'!$F$4:$F$2731))+SUMPRODUCT(-('Diário 4º PA'!$E$4:$E$2564='Analítico Cp.'!$B73),-('Diário 4º PA'!$Q$4:$Q$2564=F$1),('Diário 4º PA'!$F$4:$F$2564))+SUMPRODUCT(-('Comp.'!$D$5:$D$69='Analítico Cp.'!$B73),-('Comp.'!$K$5:$K$69=F$1),('Comp.'!$E$5:$E$69))</f>
        <v>0</v>
      </c>
      <c r="G73" s="12">
        <f>SUMPRODUCT(-('Diário 1º PA'!$E$4:$E$2635='Analítico Cp.'!$B73),-('Diário 1º PA'!$Q$4:$Q$2635=G$1),('Diário 1º PA'!$F$4:$F$2635))+SUMPRODUCT(-('Diário 2º PA'!$E$4:$E$3040='Analítico Cp.'!$B73),-('Diário 2º PA'!$Q$4:$Q$3040=G$1),('Diário 2º PA'!$F$4:$F$3040))+SUMPRODUCT(-('Diário 3º PA'!$E$4:$E$2731='Analítico Cp.'!$B73),-('Diário 3º PA'!$Q$4:$Q$2731=G$1),('Diário 3º PA'!$F$4:$F$2731))+SUMPRODUCT(-('Diário 4º PA'!$E$4:$E$2564='Analítico Cp.'!$B73),-('Diário 4º PA'!$Q$4:$Q$2564=G$1),('Diário 4º PA'!$F$4:$F$2564))+SUMPRODUCT(-('Comp.'!$D$5:$D$69='Analítico Cp.'!$B73),-('Comp.'!$K$5:$K$69=G$1),('Comp.'!$E$5:$E$69))</f>
        <v>0</v>
      </c>
      <c r="H73" s="12">
        <f>SUMPRODUCT(-('Diário 1º PA'!$E$4:$E$2635='Analítico Cp.'!$B73),-('Diário 1º PA'!$Q$4:$Q$2635=H$1),('Diário 1º PA'!$F$4:$F$2635))+SUMPRODUCT(-('Diário 2º PA'!$E$4:$E$3040='Analítico Cp.'!$B73),-('Diário 2º PA'!$Q$4:$Q$3040=H$1),('Diário 2º PA'!$F$4:$F$3040))+SUMPRODUCT(-('Diário 3º PA'!$E$4:$E$2731='Analítico Cp.'!$B73),-('Diário 3º PA'!$Q$4:$Q$2731=H$1),('Diário 3º PA'!$F$4:$F$2731))+SUMPRODUCT(-('Diário 4º PA'!$E$4:$E$2564='Analítico Cp.'!$B73),-('Diário 4º PA'!$Q$4:$Q$2564=H$1),('Diário 4º PA'!$F$4:$F$2564))+SUMPRODUCT(-('Comp.'!$D$5:$D$69='Analítico Cp.'!$B73),-('Comp.'!$K$5:$K$69=H$1),('Comp.'!$E$5:$E$69))</f>
        <v>0</v>
      </c>
      <c r="I73" s="12">
        <f>SUMPRODUCT(-('Diário 1º PA'!$E$4:$E$2635='Analítico Cp.'!$B73),-('Diário 1º PA'!$Q$4:$Q$2635=I$1),('Diário 1º PA'!$F$4:$F$2635))+SUMPRODUCT(-('Diário 2º PA'!$E$4:$E$3040='Analítico Cp.'!$B73),-('Diário 2º PA'!$Q$4:$Q$3040=I$1),('Diário 2º PA'!$F$4:$F$3040))+SUMPRODUCT(-('Diário 3º PA'!$E$4:$E$2731='Analítico Cp.'!$B73),-('Diário 3º PA'!$Q$4:$Q$2731=I$1),('Diário 3º PA'!$F$4:$F$2731))+SUMPRODUCT(-('Diário 4º PA'!$E$4:$E$2564='Analítico Cp.'!$B73),-('Diário 4º PA'!$Q$4:$Q$2564=I$1),('Diário 4º PA'!$F$4:$F$2564))+SUMPRODUCT(-('Comp.'!$D$5:$D$69='Analítico Cp.'!$B73),-('Comp.'!$K$5:$K$69=I$1),('Comp.'!$E$5:$E$69))</f>
        <v>0</v>
      </c>
      <c r="J73" s="12">
        <f>SUMPRODUCT(-('Diário 1º PA'!$E$4:$E$2635='Analítico Cp.'!$B73),-('Diário 1º PA'!$Q$4:$Q$2635=J$1),('Diário 1º PA'!$F$4:$F$2635))+SUMPRODUCT(-('Diário 2º PA'!$E$4:$E$3040='Analítico Cp.'!$B73),-('Diário 2º PA'!$Q$4:$Q$3040=J$1),('Diário 2º PA'!$F$4:$F$3040))+SUMPRODUCT(-('Diário 3º PA'!$E$4:$E$2731='Analítico Cp.'!$B73),-('Diário 3º PA'!$Q$4:$Q$2731=J$1),('Diário 3º PA'!$F$4:$F$2731))+SUMPRODUCT(-('Diário 4º PA'!$E$4:$E$2564='Analítico Cp.'!$B73),-('Diário 4º PA'!$Q$4:$Q$2564=J$1),('Diário 4º PA'!$F$4:$F$2564))+SUMPRODUCT(-('Comp.'!$D$5:$D$69='Analítico Cp.'!$B73),-('Comp.'!$K$5:$K$69=J$1),('Comp.'!$E$5:$E$69))</f>
        <v>0</v>
      </c>
      <c r="K73" s="12">
        <f>SUMPRODUCT(-('Diário 1º PA'!$E$4:$E$2635='Analítico Cp.'!$B73),-('Diário 1º PA'!$Q$4:$Q$2635=K$1),('Diário 1º PA'!$F$4:$F$2635))+SUMPRODUCT(-('Diário 2º PA'!$E$4:$E$3040='Analítico Cp.'!$B73),-('Diário 2º PA'!$Q$4:$Q$3040=K$1),('Diário 2º PA'!$F$4:$F$3040))+SUMPRODUCT(-('Diário 3º PA'!$E$4:$E$2731='Analítico Cp.'!$B73),-('Diário 3º PA'!$Q$4:$Q$2731=K$1),('Diário 3º PA'!$F$4:$F$2731))+SUMPRODUCT(-('Diário 4º PA'!$E$4:$E$2564='Analítico Cp.'!$B73),-('Diário 4º PA'!$Q$4:$Q$2564=K$1),('Diário 4º PA'!$F$4:$F$2564))+SUMPRODUCT(-('Comp.'!$D$5:$D$69='Analítico Cp.'!$B73),-('Comp.'!$K$5:$K$69=K$1),('Comp.'!$E$5:$E$69))</f>
        <v>0</v>
      </c>
      <c r="L73" s="12">
        <f>SUMPRODUCT(-('Diário 1º PA'!$E$4:$E$2635='Analítico Cp.'!$B73),-('Diário 1º PA'!$Q$4:$Q$2635=L$1),('Diário 1º PA'!$F$4:$F$2635))+SUMPRODUCT(-('Diário 2º PA'!$E$4:$E$3040='Analítico Cp.'!$B73),-('Diário 2º PA'!$Q$4:$Q$3040=L$1),('Diário 2º PA'!$F$4:$F$3040))+SUMPRODUCT(-('Diário 3º PA'!$E$4:$E$2731='Analítico Cp.'!$B73),-('Diário 3º PA'!$Q$4:$Q$2731=L$1),('Diário 3º PA'!$F$4:$F$2731))+SUMPRODUCT(-('Diário 4º PA'!$E$4:$E$2564='Analítico Cp.'!$B73),-('Diário 4º PA'!$Q$4:$Q$2564=L$1),('Diário 4º PA'!$F$4:$F$2564))+SUMPRODUCT(-('Comp.'!$D$5:$D$69='Analítico Cp.'!$B73),-('Comp.'!$K$5:$K$69=L$1),('Comp.'!$E$5:$E$69))</f>
        <v>0</v>
      </c>
      <c r="M73" s="12">
        <f>SUMPRODUCT(-('Diário 1º PA'!$E$4:$E$2635='Analítico Cp.'!$B73),-('Diário 1º PA'!$Q$4:$Q$2635=M$1),('Diário 1º PA'!$F$4:$F$2635))+SUMPRODUCT(-('Diário 2º PA'!$E$4:$E$3040='Analítico Cp.'!$B73),-('Diário 2º PA'!$Q$4:$Q$3040=M$1),('Diário 2º PA'!$F$4:$F$3040))+SUMPRODUCT(-('Diário 3º PA'!$E$4:$E$2731='Analítico Cp.'!$B73),-('Diário 3º PA'!$Q$4:$Q$2731=M$1),('Diário 3º PA'!$F$4:$F$2731))+SUMPRODUCT(-('Diário 4º PA'!$E$4:$E$2564='Analítico Cp.'!$B73),-('Diário 4º PA'!$Q$4:$Q$2564=M$1),('Diário 4º PA'!$F$4:$F$2564))+SUMPRODUCT(-('Comp.'!$D$5:$D$69='Analítico Cp.'!$B73),-('Comp.'!$K$5:$K$69=M$1),('Comp.'!$E$5:$E$69))</f>
        <v>0</v>
      </c>
      <c r="N73" s="12">
        <f>SUMPRODUCT(-('Diário 1º PA'!$E$4:$E$2635='Analítico Cp.'!$B73),-('Diário 1º PA'!$Q$4:$Q$2635=N$1),('Diário 1º PA'!$F$4:$F$2635))+SUMPRODUCT(-('Diário 2º PA'!$E$4:$E$3040='Analítico Cp.'!$B73),-('Diário 2º PA'!$Q$4:$Q$3040=N$1),('Diário 2º PA'!$F$4:$F$3040))+SUMPRODUCT(-('Diário 3º PA'!$E$4:$E$2731='Analítico Cp.'!$B73),-('Diário 3º PA'!$Q$4:$Q$2731=N$1),('Diário 3º PA'!$F$4:$F$2731))+SUMPRODUCT(-('Diário 4º PA'!$E$4:$E$2564='Analítico Cp.'!$B73),-('Diário 4º PA'!$Q$4:$Q$2564=N$1),('Diário 4º PA'!$F$4:$F$2564))+SUMPRODUCT(-('Comp.'!$D$5:$D$69='Analítico Cp.'!$B73),-('Comp.'!$K$5:$K$69=N$1),('Comp.'!$E$5:$E$69))</f>
        <v>0</v>
      </c>
      <c r="O73" s="13">
        <f t="shared" si="12"/>
        <v>0</v>
      </c>
      <c r="P73" s="167">
        <f t="shared" si="11"/>
        <v>0</v>
      </c>
    </row>
    <row r="74" spans="1:16" ht="23.25" customHeight="1" x14ac:dyDescent="0.2">
      <c r="A74" s="61" t="s">
        <v>129</v>
      </c>
      <c r="B74" s="102" t="s">
        <v>186</v>
      </c>
      <c r="C74" s="12">
        <f>SUMPRODUCT(-('Diário 1º PA'!$E$4:$E$2635='Analítico Cp.'!$B74),-('Diário 1º PA'!$Q$4:$Q$2635=C$1),('Diário 1º PA'!$F$4:$F$2635))+SUMPRODUCT(-('Diário 2º PA'!$E$4:$E$3040='Analítico Cp.'!$B74),-('Diário 2º PA'!$Q$4:$Q$3040=C$1),('Diário 2º PA'!$F$4:$F$3040))+SUMPRODUCT(-('Diário 3º PA'!$E$4:$E$2731='Analítico Cp.'!$B74),-('Diário 3º PA'!$Q$4:$Q$2731=C$1),('Diário 3º PA'!$F$4:$F$2731))+SUMPRODUCT(-('Diário 4º PA'!$E$4:$E$2564='Analítico Cp.'!$B74),-('Diário 4º PA'!$Q$4:$Q$2564=C$1),('Diário 4º PA'!$F$4:$F$2564))+SUMPRODUCT(-('Comp.'!$D$5:$D$69='Analítico Cp.'!$B74),-('Comp.'!$K$5:$K$69=C$1),('Comp.'!$E$5:$E$69))</f>
        <v>3981.4</v>
      </c>
      <c r="D74" s="12">
        <f>SUMPRODUCT(-('Diário 1º PA'!$E$4:$E$2635='Analítico Cp.'!$B74),-('Diário 1º PA'!$Q$4:$Q$2635=D$1),('Diário 1º PA'!$F$4:$F$2635))+SUMPRODUCT(-('Diário 2º PA'!$E$4:$E$3040='Analítico Cp.'!$B74),-('Diário 2º PA'!$Q$4:$Q$3040=D$1),('Diário 2º PA'!$F$4:$F$3040))+SUMPRODUCT(-('Diário 3º PA'!$E$4:$E$2731='Analítico Cp.'!$B74),-('Diário 3º PA'!$Q$4:$Q$2731=D$1),('Diário 3º PA'!$F$4:$F$2731))+SUMPRODUCT(-('Diário 4º PA'!$E$4:$E$2564='Analítico Cp.'!$B74),-('Diário 4º PA'!$Q$4:$Q$2564=D$1),('Diário 4º PA'!$F$4:$F$2564))+SUMPRODUCT(-('Comp.'!$D$5:$D$69='Analítico Cp.'!$B74),-('Comp.'!$K$5:$K$69=D$1),('Comp.'!$E$5:$E$69))</f>
        <v>3981.4</v>
      </c>
      <c r="E74" s="12">
        <f>SUMPRODUCT(-('Diário 1º PA'!$E$4:$E$2635='Analítico Cp.'!$B74),-('Diário 1º PA'!$Q$4:$Q$2635=E$1),('Diário 1º PA'!$F$4:$F$2635))+SUMPRODUCT(-('Diário 2º PA'!$E$4:$E$3040='Analítico Cp.'!$B74),-('Diário 2º PA'!$Q$4:$Q$3040=E$1),('Diário 2º PA'!$F$4:$F$3040))+SUMPRODUCT(-('Diário 3º PA'!$E$4:$E$2731='Analítico Cp.'!$B74),-('Diário 3º PA'!$Q$4:$Q$2731=E$1),('Diário 3º PA'!$F$4:$F$2731))+SUMPRODUCT(-('Diário 4º PA'!$E$4:$E$2564='Analítico Cp.'!$B74),-('Diário 4º PA'!$Q$4:$Q$2564=E$1),('Diário 4º PA'!$F$4:$F$2564))+SUMPRODUCT(-('Comp.'!$D$5:$D$69='Analítico Cp.'!$B74),-('Comp.'!$K$5:$K$69=E$1),('Comp.'!$E$5:$E$69))</f>
        <v>8696.5500000000011</v>
      </c>
      <c r="F74" s="12">
        <f>SUMPRODUCT(-('Diário 1º PA'!$E$4:$E$2635='Analítico Cp.'!$B74),-('Diário 1º PA'!$Q$4:$Q$2635=F$1),('Diário 1º PA'!$F$4:$F$2635))+SUMPRODUCT(-('Diário 2º PA'!$E$4:$E$3040='Analítico Cp.'!$B74),-('Diário 2º PA'!$Q$4:$Q$3040=F$1),('Diário 2º PA'!$F$4:$F$3040))+SUMPRODUCT(-('Diário 3º PA'!$E$4:$E$2731='Analítico Cp.'!$B74),-('Diário 3º PA'!$Q$4:$Q$2731=F$1),('Diário 3º PA'!$F$4:$F$2731))+SUMPRODUCT(-('Diário 4º PA'!$E$4:$E$2564='Analítico Cp.'!$B74),-('Diário 4º PA'!$Q$4:$Q$2564=F$1),('Diário 4º PA'!$F$4:$F$2564))+SUMPRODUCT(-('Comp.'!$D$5:$D$69='Analítico Cp.'!$B74),-('Comp.'!$K$5:$K$69=F$1),('Comp.'!$E$5:$E$69))</f>
        <v>8909.9800000000014</v>
      </c>
      <c r="G74" s="12">
        <f>SUMPRODUCT(-('Diário 1º PA'!$E$4:$E$2635='Analítico Cp.'!$B74),-('Diário 1º PA'!$Q$4:$Q$2635=G$1),('Diário 1º PA'!$F$4:$F$2635))+SUMPRODUCT(-('Diário 2º PA'!$E$4:$E$3040='Analítico Cp.'!$B74),-('Diário 2º PA'!$Q$4:$Q$3040=G$1),('Diário 2º PA'!$F$4:$F$3040))+SUMPRODUCT(-('Diário 3º PA'!$E$4:$E$2731='Analítico Cp.'!$B74),-('Diário 3º PA'!$Q$4:$Q$2731=G$1),('Diário 3º PA'!$F$4:$F$2731))+SUMPRODUCT(-('Diário 4º PA'!$E$4:$E$2564='Analítico Cp.'!$B74),-('Diário 4º PA'!$Q$4:$Q$2564=G$1),('Diário 4º PA'!$F$4:$F$2564))+SUMPRODUCT(-('Comp.'!$D$5:$D$69='Analítico Cp.'!$B74),-('Comp.'!$K$5:$K$69=G$1),('Comp.'!$E$5:$E$69))</f>
        <v>8326.65</v>
      </c>
      <c r="H74" s="12">
        <f>SUMPRODUCT(-('Diário 1º PA'!$E$4:$E$2635='Analítico Cp.'!$B74),-('Diário 1º PA'!$Q$4:$Q$2635=H$1),('Diário 1º PA'!$F$4:$F$2635))+SUMPRODUCT(-('Diário 2º PA'!$E$4:$E$3040='Analítico Cp.'!$B74),-('Diário 2º PA'!$Q$4:$Q$3040=H$1),('Diário 2º PA'!$F$4:$F$3040))+SUMPRODUCT(-('Diário 3º PA'!$E$4:$E$2731='Analítico Cp.'!$B74),-('Diário 3º PA'!$Q$4:$Q$2731=H$1),('Diário 3º PA'!$F$4:$F$2731))+SUMPRODUCT(-('Diário 4º PA'!$E$4:$E$2564='Analítico Cp.'!$B74),-('Diário 4º PA'!$Q$4:$Q$2564=H$1),('Diário 4º PA'!$F$4:$F$2564))+SUMPRODUCT(-('Comp.'!$D$5:$D$69='Analítico Cp.'!$B74),-('Comp.'!$K$5:$K$69=H$1),('Comp.'!$E$5:$E$69))</f>
        <v>8326.65</v>
      </c>
      <c r="I74" s="12">
        <f>SUMPRODUCT(-('Diário 1º PA'!$E$4:$E$2635='Analítico Cp.'!$B74),-('Diário 1º PA'!$Q$4:$Q$2635=I$1),('Diário 1º PA'!$F$4:$F$2635))+SUMPRODUCT(-('Diário 2º PA'!$E$4:$E$3040='Analítico Cp.'!$B74),-('Diário 2º PA'!$Q$4:$Q$3040=I$1),('Diário 2º PA'!$F$4:$F$3040))+SUMPRODUCT(-('Diário 3º PA'!$E$4:$E$2731='Analítico Cp.'!$B74),-('Diário 3º PA'!$Q$4:$Q$2731=I$1),('Diário 3º PA'!$F$4:$F$2731))+SUMPRODUCT(-('Diário 4º PA'!$E$4:$E$2564='Analítico Cp.'!$B74),-('Diário 4º PA'!$Q$4:$Q$2564=I$1),('Diário 4º PA'!$F$4:$F$2564))+SUMPRODUCT(-('Comp.'!$D$5:$D$69='Analítico Cp.'!$B74),-('Comp.'!$K$5:$K$69=I$1),('Comp.'!$E$5:$E$69))</f>
        <v>8326.65</v>
      </c>
      <c r="J74" s="12">
        <f>SUMPRODUCT(-('Diário 1º PA'!$E$4:$E$2635='Analítico Cp.'!$B74),-('Diário 1º PA'!$Q$4:$Q$2635=J$1),('Diário 1º PA'!$F$4:$F$2635))+SUMPRODUCT(-('Diário 2º PA'!$E$4:$E$3040='Analítico Cp.'!$B74),-('Diário 2º PA'!$Q$4:$Q$3040=J$1),('Diário 2º PA'!$F$4:$F$3040))+SUMPRODUCT(-('Diário 3º PA'!$E$4:$E$2731='Analítico Cp.'!$B74),-('Diário 3º PA'!$Q$4:$Q$2731=J$1),('Diário 3º PA'!$F$4:$F$2731))+SUMPRODUCT(-('Diário 4º PA'!$E$4:$E$2564='Analítico Cp.'!$B74),-('Diário 4º PA'!$Q$4:$Q$2564=J$1),('Diário 4º PA'!$F$4:$F$2564))+SUMPRODUCT(-('Comp.'!$D$5:$D$69='Analítico Cp.'!$B74),-('Comp.'!$K$5:$K$69=J$1),('Comp.'!$E$5:$E$69))</f>
        <v>8326.65</v>
      </c>
      <c r="K74" s="12">
        <f>SUMPRODUCT(-('Diário 1º PA'!$E$4:$E$2635='Analítico Cp.'!$B74),-('Diário 1º PA'!$Q$4:$Q$2635=K$1),('Diário 1º PA'!$F$4:$F$2635))+SUMPRODUCT(-('Diário 2º PA'!$E$4:$E$3040='Analítico Cp.'!$B74),-('Diário 2º PA'!$Q$4:$Q$3040=K$1),('Diário 2º PA'!$F$4:$F$3040))+SUMPRODUCT(-('Diário 3º PA'!$E$4:$E$2731='Analítico Cp.'!$B74),-('Diário 3º PA'!$Q$4:$Q$2731=K$1),('Diário 3º PA'!$F$4:$F$2731))+SUMPRODUCT(-('Diário 4º PA'!$E$4:$E$2564='Analítico Cp.'!$B74),-('Diário 4º PA'!$Q$4:$Q$2564=K$1),('Diário 4º PA'!$F$4:$F$2564))+SUMPRODUCT(-('Comp.'!$D$5:$D$69='Analítico Cp.'!$B74),-('Comp.'!$K$5:$K$69=K$1),('Comp.'!$E$5:$E$69))</f>
        <v>3028.1699999999996</v>
      </c>
      <c r="L74" s="12">
        <f>SUMPRODUCT(-('Diário 1º PA'!$E$4:$E$2635='Analítico Cp.'!$B74),-('Diário 1º PA'!$Q$4:$Q$2635=L$1),('Diário 1º PA'!$F$4:$F$2635))+SUMPRODUCT(-('Diário 2º PA'!$E$4:$E$3040='Analítico Cp.'!$B74),-('Diário 2º PA'!$Q$4:$Q$3040=L$1),('Diário 2º PA'!$F$4:$F$3040))+SUMPRODUCT(-('Diário 3º PA'!$E$4:$E$2731='Analítico Cp.'!$B74),-('Diário 3º PA'!$Q$4:$Q$2731=L$1),('Diário 3º PA'!$F$4:$F$2731))+SUMPRODUCT(-('Diário 4º PA'!$E$4:$E$2564='Analítico Cp.'!$B74),-('Diário 4º PA'!$Q$4:$Q$2564=L$1),('Diário 4º PA'!$F$4:$F$2564))+SUMPRODUCT(-('Comp.'!$D$5:$D$69='Analítico Cp.'!$B74),-('Comp.'!$K$5:$K$69=L$1),('Comp.'!$E$5:$E$69))</f>
        <v>10228.17</v>
      </c>
      <c r="M74" s="12">
        <f>SUMPRODUCT(-('Diário 1º PA'!$E$4:$E$2635='Analítico Cp.'!$B74),-('Diário 1º PA'!$Q$4:$Q$2635=M$1),('Diário 1º PA'!$F$4:$F$2635))+SUMPRODUCT(-('Diário 2º PA'!$E$4:$E$3040='Analítico Cp.'!$B74),-('Diário 2º PA'!$Q$4:$Q$3040=M$1),('Diário 2º PA'!$F$4:$F$3040))+SUMPRODUCT(-('Diário 3º PA'!$E$4:$E$2731='Analítico Cp.'!$B74),-('Diário 3º PA'!$Q$4:$Q$2731=M$1),('Diário 3º PA'!$F$4:$F$2731))+SUMPRODUCT(-('Diário 4º PA'!$E$4:$E$2564='Analítico Cp.'!$B74),-('Diário 4º PA'!$Q$4:$Q$2564=M$1),('Diário 4º PA'!$F$4:$F$2564))+SUMPRODUCT(-('Comp.'!$D$5:$D$69='Analítico Cp.'!$B74),-('Comp.'!$K$5:$K$69=M$1),('Comp.'!$E$5:$E$69))</f>
        <v>3028.1699999999996</v>
      </c>
      <c r="N74" s="12">
        <f>SUMPRODUCT(-('Diário 1º PA'!$E$4:$E$2635='Analítico Cp.'!$B74),-('Diário 1º PA'!$Q$4:$Q$2635=N$1),('Diário 1º PA'!$F$4:$F$2635))+SUMPRODUCT(-('Diário 2º PA'!$E$4:$E$3040='Analítico Cp.'!$B74),-('Diário 2º PA'!$Q$4:$Q$3040=N$1),('Diário 2º PA'!$F$4:$F$3040))+SUMPRODUCT(-('Diário 3º PA'!$E$4:$E$2731='Analítico Cp.'!$B74),-('Diário 3º PA'!$Q$4:$Q$2731=N$1),('Diário 3º PA'!$F$4:$F$2731))+SUMPRODUCT(-('Diário 4º PA'!$E$4:$E$2564='Analítico Cp.'!$B74),-('Diário 4º PA'!$Q$4:$Q$2564=N$1),('Diário 4º PA'!$F$4:$F$2564))+SUMPRODUCT(-('Comp.'!$D$5:$D$69='Analítico Cp.'!$B74),-('Comp.'!$K$5:$K$69=N$1),('Comp.'!$E$5:$E$69))</f>
        <v>3028.17</v>
      </c>
      <c r="O74" s="13">
        <f t="shared" si="12"/>
        <v>78188.61</v>
      </c>
      <c r="P74" s="167">
        <f t="shared" si="11"/>
        <v>6.3886845047428408E-3</v>
      </c>
    </row>
    <row r="75" spans="1:16" ht="23.25" customHeight="1" x14ac:dyDescent="0.2">
      <c r="A75" s="61" t="s">
        <v>130</v>
      </c>
      <c r="B75" s="103" t="s">
        <v>187</v>
      </c>
      <c r="C75" s="12">
        <f>SUMPRODUCT(-('Diário 1º PA'!$E$4:$E$2635='Analítico Cp.'!$B75),-('Diário 1º PA'!$Q$4:$Q$2635=C$1),('Diário 1º PA'!$F$4:$F$2635))+SUMPRODUCT(-('Diário 2º PA'!$E$4:$E$3040='Analítico Cp.'!$B75),-('Diário 2º PA'!$Q$4:$Q$3040=C$1),('Diário 2º PA'!$F$4:$F$3040))+SUMPRODUCT(-('Diário 3º PA'!$E$4:$E$2731='Analítico Cp.'!$B75),-('Diário 3º PA'!$Q$4:$Q$2731=C$1),('Diário 3º PA'!$F$4:$F$2731))+SUMPRODUCT(-('Diário 4º PA'!$E$4:$E$2564='Analítico Cp.'!$B75),-('Diário 4º PA'!$Q$4:$Q$2564=C$1),('Diário 4º PA'!$F$4:$F$2564))+SUMPRODUCT(-('Comp.'!$D$5:$D$69='Analítico Cp.'!$B75),-('Comp.'!$K$5:$K$69=C$1),('Comp.'!$E$5:$E$69))</f>
        <v>515.13</v>
      </c>
      <c r="D75" s="12">
        <f>SUMPRODUCT(-('Diário 1º PA'!$E$4:$E$2635='Analítico Cp.'!$B75),-('Diário 1º PA'!$Q$4:$Q$2635=D$1),('Diário 1º PA'!$F$4:$F$2635))+SUMPRODUCT(-('Diário 2º PA'!$E$4:$E$3040='Analítico Cp.'!$B75),-('Diário 2º PA'!$Q$4:$Q$3040=D$1),('Diário 2º PA'!$F$4:$F$3040))+SUMPRODUCT(-('Diário 3º PA'!$E$4:$E$2731='Analítico Cp.'!$B75),-('Diário 3º PA'!$Q$4:$Q$2731=D$1),('Diário 3º PA'!$F$4:$F$2731))+SUMPRODUCT(-('Diário 4º PA'!$E$4:$E$2564='Analítico Cp.'!$B75),-('Diário 4º PA'!$Q$4:$Q$2564=D$1),('Diário 4º PA'!$F$4:$F$2564))+SUMPRODUCT(-('Comp.'!$D$5:$D$69='Analítico Cp.'!$B75),-('Comp.'!$K$5:$K$69=D$1),('Comp.'!$E$5:$E$69))</f>
        <v>515.13</v>
      </c>
      <c r="E75" s="12">
        <f>SUMPRODUCT(-('Diário 1º PA'!$E$4:$E$2635='Analítico Cp.'!$B75),-('Diário 1º PA'!$Q$4:$Q$2635=E$1),('Diário 1º PA'!$F$4:$F$2635))+SUMPRODUCT(-('Diário 2º PA'!$E$4:$E$3040='Analítico Cp.'!$B75),-('Diário 2º PA'!$Q$4:$Q$3040=E$1),('Diário 2º PA'!$F$4:$F$3040))+SUMPRODUCT(-('Diário 3º PA'!$E$4:$E$2731='Analítico Cp.'!$B75),-('Diário 3º PA'!$Q$4:$Q$2731=E$1),('Diário 3º PA'!$F$4:$F$2731))+SUMPRODUCT(-('Diário 4º PA'!$E$4:$E$2564='Analítico Cp.'!$B75),-('Diário 4º PA'!$Q$4:$Q$2564=E$1),('Diário 4º PA'!$F$4:$F$2564))+SUMPRODUCT(-('Comp.'!$D$5:$D$69='Analítico Cp.'!$B75),-('Comp.'!$K$5:$K$69=E$1),('Comp.'!$E$5:$E$69))</f>
        <v>515.13</v>
      </c>
      <c r="F75" s="12">
        <f>SUMPRODUCT(-('Diário 1º PA'!$E$4:$E$2635='Analítico Cp.'!$B75),-('Diário 1º PA'!$Q$4:$Q$2635=F$1),('Diário 1º PA'!$F$4:$F$2635))+SUMPRODUCT(-('Diário 2º PA'!$E$4:$E$3040='Analítico Cp.'!$B75),-('Diário 2º PA'!$Q$4:$Q$3040=F$1),('Diário 2º PA'!$F$4:$F$3040))+SUMPRODUCT(-('Diário 3º PA'!$E$4:$E$2731='Analítico Cp.'!$B75),-('Diário 3º PA'!$Q$4:$Q$2731=F$1),('Diário 3º PA'!$F$4:$F$2731))+SUMPRODUCT(-('Diário 4º PA'!$E$4:$E$2564='Analítico Cp.'!$B75),-('Diário 4º PA'!$Q$4:$Q$2564=F$1),('Diário 4º PA'!$F$4:$F$2564))+SUMPRODUCT(-('Comp.'!$D$5:$D$69='Analítico Cp.'!$B75),-('Comp.'!$K$5:$K$69=F$1),('Comp.'!$E$5:$E$69))</f>
        <v>515.13</v>
      </c>
      <c r="G75" s="12">
        <f>SUMPRODUCT(-('Diário 1º PA'!$E$4:$E$2635='Analítico Cp.'!$B75),-('Diário 1º PA'!$Q$4:$Q$2635=G$1),('Diário 1º PA'!$F$4:$F$2635))+SUMPRODUCT(-('Diário 2º PA'!$E$4:$E$3040='Analítico Cp.'!$B75),-('Diário 2º PA'!$Q$4:$Q$3040=G$1),('Diário 2º PA'!$F$4:$F$3040))+SUMPRODUCT(-('Diário 3º PA'!$E$4:$E$2731='Analítico Cp.'!$B75),-('Diário 3º PA'!$Q$4:$Q$2731=G$1),('Diário 3º PA'!$F$4:$F$2731))+SUMPRODUCT(-('Diário 4º PA'!$E$4:$E$2564='Analítico Cp.'!$B75),-('Diário 4º PA'!$Q$4:$Q$2564=G$1),('Diário 4º PA'!$F$4:$F$2564))+SUMPRODUCT(-('Comp.'!$D$5:$D$69='Analítico Cp.'!$B75),-('Comp.'!$K$5:$K$69=G$1),('Comp.'!$E$5:$E$69))</f>
        <v>0</v>
      </c>
      <c r="H75" s="12">
        <f>SUMPRODUCT(-('Diário 1º PA'!$E$4:$E$2635='Analítico Cp.'!$B75),-('Diário 1º PA'!$Q$4:$Q$2635=H$1),('Diário 1º PA'!$F$4:$F$2635))+SUMPRODUCT(-('Diário 2º PA'!$E$4:$E$3040='Analítico Cp.'!$B75),-('Diário 2º PA'!$Q$4:$Q$3040=H$1),('Diário 2º PA'!$F$4:$F$3040))+SUMPRODUCT(-('Diário 3º PA'!$E$4:$E$2731='Analítico Cp.'!$B75),-('Diário 3º PA'!$Q$4:$Q$2731=H$1),('Diário 3º PA'!$F$4:$F$2731))+SUMPRODUCT(-('Diário 4º PA'!$E$4:$E$2564='Analítico Cp.'!$B75),-('Diário 4º PA'!$Q$4:$Q$2564=H$1),('Diário 4º PA'!$F$4:$F$2564))+SUMPRODUCT(-('Comp.'!$D$5:$D$69='Analítico Cp.'!$B75),-('Comp.'!$K$5:$K$69=H$1),('Comp.'!$E$5:$E$69))</f>
        <v>515.13</v>
      </c>
      <c r="I75" s="12">
        <f>SUMPRODUCT(-('Diário 1º PA'!$E$4:$E$2635='Analítico Cp.'!$B75),-('Diário 1º PA'!$Q$4:$Q$2635=I$1),('Diário 1º PA'!$F$4:$F$2635))+SUMPRODUCT(-('Diário 2º PA'!$E$4:$E$3040='Analítico Cp.'!$B75),-('Diário 2º PA'!$Q$4:$Q$3040=I$1),('Diário 2º PA'!$F$4:$F$3040))+SUMPRODUCT(-('Diário 3º PA'!$E$4:$E$2731='Analítico Cp.'!$B75),-('Diário 3º PA'!$Q$4:$Q$2731=I$1),('Diário 3º PA'!$F$4:$F$2731))+SUMPRODUCT(-('Diário 4º PA'!$E$4:$E$2564='Analítico Cp.'!$B75),-('Diário 4º PA'!$Q$4:$Q$2564=I$1),('Diário 4º PA'!$F$4:$F$2564))+SUMPRODUCT(-('Comp.'!$D$5:$D$69='Analítico Cp.'!$B75),-('Comp.'!$K$5:$K$69=I$1),('Comp.'!$E$5:$E$69))</f>
        <v>515.13</v>
      </c>
      <c r="J75" s="12">
        <f>SUMPRODUCT(-('Diário 1º PA'!$E$4:$E$2635='Analítico Cp.'!$B75),-('Diário 1º PA'!$Q$4:$Q$2635=J$1),('Diário 1º PA'!$F$4:$F$2635))+SUMPRODUCT(-('Diário 2º PA'!$E$4:$E$3040='Analítico Cp.'!$B75),-('Diário 2º PA'!$Q$4:$Q$3040=J$1),('Diário 2º PA'!$F$4:$F$3040))+SUMPRODUCT(-('Diário 3º PA'!$E$4:$E$2731='Analítico Cp.'!$B75),-('Diário 3º PA'!$Q$4:$Q$2731=J$1),('Diário 3º PA'!$F$4:$F$2731))+SUMPRODUCT(-('Diário 4º PA'!$E$4:$E$2564='Analítico Cp.'!$B75),-('Diário 4º PA'!$Q$4:$Q$2564=J$1),('Diário 4º PA'!$F$4:$F$2564))+SUMPRODUCT(-('Comp.'!$D$5:$D$69='Analítico Cp.'!$B75),-('Comp.'!$K$5:$K$69=J$1),('Comp.'!$E$5:$E$69))</f>
        <v>515.13</v>
      </c>
      <c r="K75" s="12">
        <f>SUMPRODUCT(-('Diário 1º PA'!$E$4:$E$2635='Analítico Cp.'!$B75),-('Diário 1º PA'!$Q$4:$Q$2635=K$1),('Diário 1º PA'!$F$4:$F$2635))+SUMPRODUCT(-('Diário 2º PA'!$E$4:$E$3040='Analítico Cp.'!$B75),-('Diário 2º PA'!$Q$4:$Q$3040=K$1),('Diário 2º PA'!$F$4:$F$3040))+SUMPRODUCT(-('Diário 3º PA'!$E$4:$E$2731='Analítico Cp.'!$B75),-('Diário 3º PA'!$Q$4:$Q$2731=K$1),('Diário 3º PA'!$F$4:$F$2731))+SUMPRODUCT(-('Diário 4º PA'!$E$4:$E$2564='Analítico Cp.'!$B75),-('Diário 4º PA'!$Q$4:$Q$2564=K$1),('Diário 4º PA'!$F$4:$F$2564))+SUMPRODUCT(-('Comp.'!$D$5:$D$69='Analítico Cp.'!$B75),-('Comp.'!$K$5:$K$69=K$1),('Comp.'!$E$5:$E$69))</f>
        <v>515.13</v>
      </c>
      <c r="L75" s="12">
        <f>SUMPRODUCT(-('Diário 1º PA'!$E$4:$E$2635='Analítico Cp.'!$B75),-('Diário 1º PA'!$Q$4:$Q$2635=L$1),('Diário 1º PA'!$F$4:$F$2635))+SUMPRODUCT(-('Diário 2º PA'!$E$4:$E$3040='Analítico Cp.'!$B75),-('Diário 2º PA'!$Q$4:$Q$3040=L$1),('Diário 2º PA'!$F$4:$F$3040))+SUMPRODUCT(-('Diário 3º PA'!$E$4:$E$2731='Analítico Cp.'!$B75),-('Diário 3º PA'!$Q$4:$Q$2731=L$1),('Diário 3º PA'!$F$4:$F$2731))+SUMPRODUCT(-('Diário 4º PA'!$E$4:$E$2564='Analítico Cp.'!$B75),-('Diário 4º PA'!$Q$4:$Q$2564=L$1),('Diário 4º PA'!$F$4:$F$2564))+SUMPRODUCT(-('Comp.'!$D$5:$D$69='Analítico Cp.'!$B75),-('Comp.'!$K$5:$K$69=L$1),('Comp.'!$E$5:$E$69))</f>
        <v>515.13</v>
      </c>
      <c r="M75" s="12">
        <f>SUMPRODUCT(-('Diário 1º PA'!$E$4:$E$2635='Analítico Cp.'!$B75),-('Diário 1º PA'!$Q$4:$Q$2635=M$1),('Diário 1º PA'!$F$4:$F$2635))+SUMPRODUCT(-('Diário 2º PA'!$E$4:$E$3040='Analítico Cp.'!$B75),-('Diário 2º PA'!$Q$4:$Q$3040=M$1),('Diário 2º PA'!$F$4:$F$3040))+SUMPRODUCT(-('Diário 3º PA'!$E$4:$E$2731='Analítico Cp.'!$B75),-('Diário 3º PA'!$Q$4:$Q$2731=M$1),('Diário 3º PA'!$F$4:$F$2731))+SUMPRODUCT(-('Diário 4º PA'!$E$4:$E$2564='Analítico Cp.'!$B75),-('Diário 4º PA'!$Q$4:$Q$2564=M$1),('Diário 4º PA'!$F$4:$F$2564))+SUMPRODUCT(-('Comp.'!$D$5:$D$69='Analítico Cp.'!$B75),-('Comp.'!$K$5:$K$69=M$1),('Comp.'!$E$5:$E$69))</f>
        <v>515.13</v>
      </c>
      <c r="N75" s="12">
        <f>SUMPRODUCT(-('Diário 1º PA'!$E$4:$E$2635='Analítico Cp.'!$B75),-('Diário 1º PA'!$Q$4:$Q$2635=N$1),('Diário 1º PA'!$F$4:$F$2635))+SUMPRODUCT(-('Diário 2º PA'!$E$4:$E$3040='Analítico Cp.'!$B75),-('Diário 2º PA'!$Q$4:$Q$3040=N$1),('Diário 2º PA'!$F$4:$F$3040))+SUMPRODUCT(-('Diário 3º PA'!$E$4:$E$2731='Analítico Cp.'!$B75),-('Diário 3º PA'!$Q$4:$Q$2731=N$1),('Diário 3º PA'!$F$4:$F$2731))+SUMPRODUCT(-('Diário 4º PA'!$E$4:$E$2564='Analítico Cp.'!$B75),-('Diário 4º PA'!$Q$4:$Q$2564=N$1),('Diário 4º PA'!$F$4:$F$2564))+SUMPRODUCT(-('Comp.'!$D$5:$D$69='Analítico Cp.'!$B75),-('Comp.'!$K$5:$K$69=N$1),('Comp.'!$E$5:$E$69))</f>
        <v>700</v>
      </c>
      <c r="O75" s="13">
        <f t="shared" si="12"/>
        <v>5851.3</v>
      </c>
      <c r="P75" s="167">
        <f t="shared" si="11"/>
        <v>4.7810172917259663E-4</v>
      </c>
    </row>
    <row r="76" spans="1:16" ht="23.25" customHeight="1" x14ac:dyDescent="0.2">
      <c r="A76" s="61" t="s">
        <v>131</v>
      </c>
      <c r="B76" s="103" t="s">
        <v>188</v>
      </c>
      <c r="C76" s="12">
        <f>SUMPRODUCT(-('Diário 1º PA'!$E$4:$E$2635='Analítico Cp.'!$B76),-('Diário 1º PA'!$Q$4:$Q$2635=C$1),('Diário 1º PA'!$F$4:$F$2635))+SUMPRODUCT(-('Diário 2º PA'!$E$4:$E$3040='Analítico Cp.'!$B76),-('Diário 2º PA'!$Q$4:$Q$3040=C$1),('Diário 2º PA'!$F$4:$F$3040))+SUMPRODUCT(-('Diário 3º PA'!$E$4:$E$2731='Analítico Cp.'!$B76),-('Diário 3º PA'!$Q$4:$Q$2731=C$1),('Diário 3º PA'!$F$4:$F$2731))+SUMPRODUCT(-('Diário 4º PA'!$E$4:$E$2564='Analítico Cp.'!$B76),-('Diário 4º PA'!$Q$4:$Q$2564=C$1),('Diário 4º PA'!$F$4:$F$2564))+SUMPRODUCT(-('Comp.'!$D$5:$D$69='Analítico Cp.'!$B76),-('Comp.'!$K$5:$K$69=C$1),('Comp.'!$E$5:$E$69))</f>
        <v>0</v>
      </c>
      <c r="D76" s="12">
        <f>SUMPRODUCT(-('Diário 1º PA'!$E$4:$E$2635='Analítico Cp.'!$B76),-('Diário 1º PA'!$Q$4:$Q$2635=D$1),('Diário 1º PA'!$F$4:$F$2635))+SUMPRODUCT(-('Diário 2º PA'!$E$4:$E$3040='Analítico Cp.'!$B76),-('Diário 2º PA'!$Q$4:$Q$3040=D$1),('Diário 2º PA'!$F$4:$F$3040))+SUMPRODUCT(-('Diário 3º PA'!$E$4:$E$2731='Analítico Cp.'!$B76),-('Diário 3º PA'!$Q$4:$Q$2731=D$1),('Diário 3º PA'!$F$4:$F$2731))+SUMPRODUCT(-('Diário 4º PA'!$E$4:$E$2564='Analítico Cp.'!$B76),-('Diário 4º PA'!$Q$4:$Q$2564=D$1),('Diário 4º PA'!$F$4:$F$2564))+SUMPRODUCT(-('Comp.'!$D$5:$D$69='Analítico Cp.'!$B76),-('Comp.'!$K$5:$K$69=D$1),('Comp.'!$E$5:$E$69))</f>
        <v>0</v>
      </c>
      <c r="E76" s="12">
        <f>SUMPRODUCT(-('Diário 1º PA'!$E$4:$E$2635='Analítico Cp.'!$B76),-('Diário 1º PA'!$Q$4:$Q$2635=E$1),('Diário 1º PA'!$F$4:$F$2635))+SUMPRODUCT(-('Diário 2º PA'!$E$4:$E$3040='Analítico Cp.'!$B76),-('Diário 2º PA'!$Q$4:$Q$3040=E$1),('Diário 2º PA'!$F$4:$F$3040))+SUMPRODUCT(-('Diário 3º PA'!$E$4:$E$2731='Analítico Cp.'!$B76),-('Diário 3º PA'!$Q$4:$Q$2731=E$1),('Diário 3º PA'!$F$4:$F$2731))+SUMPRODUCT(-('Diário 4º PA'!$E$4:$E$2564='Analítico Cp.'!$B76),-('Diário 4º PA'!$Q$4:$Q$2564=E$1),('Diário 4º PA'!$F$4:$F$2564))+SUMPRODUCT(-('Comp.'!$D$5:$D$69='Analítico Cp.'!$B76),-('Comp.'!$K$5:$K$69=E$1),('Comp.'!$E$5:$E$69))</f>
        <v>0</v>
      </c>
      <c r="F76" s="12">
        <f>SUMPRODUCT(-('Diário 1º PA'!$E$4:$E$2635='Analítico Cp.'!$B76),-('Diário 1º PA'!$Q$4:$Q$2635=F$1),('Diário 1º PA'!$F$4:$F$2635))+SUMPRODUCT(-('Diário 2º PA'!$E$4:$E$3040='Analítico Cp.'!$B76),-('Diário 2º PA'!$Q$4:$Q$3040=F$1),('Diário 2º PA'!$F$4:$F$3040))+SUMPRODUCT(-('Diário 3º PA'!$E$4:$E$2731='Analítico Cp.'!$B76),-('Diário 3º PA'!$Q$4:$Q$2731=F$1),('Diário 3º PA'!$F$4:$F$2731))+SUMPRODUCT(-('Diário 4º PA'!$E$4:$E$2564='Analítico Cp.'!$B76),-('Diário 4º PA'!$Q$4:$Q$2564=F$1),('Diário 4º PA'!$F$4:$F$2564))+SUMPRODUCT(-('Comp.'!$D$5:$D$69='Analítico Cp.'!$B76),-('Comp.'!$K$5:$K$69=F$1),('Comp.'!$E$5:$E$69))</f>
        <v>0</v>
      </c>
      <c r="G76" s="12">
        <f>SUMPRODUCT(-('Diário 1º PA'!$E$4:$E$2635='Analítico Cp.'!$B76),-('Diário 1º PA'!$Q$4:$Q$2635=G$1),('Diário 1º PA'!$F$4:$F$2635))+SUMPRODUCT(-('Diário 2º PA'!$E$4:$E$3040='Analítico Cp.'!$B76),-('Diário 2º PA'!$Q$4:$Q$3040=G$1),('Diário 2º PA'!$F$4:$F$3040))+SUMPRODUCT(-('Diário 3º PA'!$E$4:$E$2731='Analítico Cp.'!$B76),-('Diário 3º PA'!$Q$4:$Q$2731=G$1),('Diário 3º PA'!$F$4:$F$2731))+SUMPRODUCT(-('Diário 4º PA'!$E$4:$E$2564='Analítico Cp.'!$B76),-('Diário 4º PA'!$Q$4:$Q$2564=G$1),('Diário 4º PA'!$F$4:$F$2564))+SUMPRODUCT(-('Comp.'!$D$5:$D$69='Analítico Cp.'!$B76),-('Comp.'!$K$5:$K$69=G$1),('Comp.'!$E$5:$E$69))</f>
        <v>0</v>
      </c>
      <c r="H76" s="12">
        <f>SUMPRODUCT(-('Diário 1º PA'!$E$4:$E$2635='Analítico Cp.'!$B76),-('Diário 1º PA'!$Q$4:$Q$2635=H$1),('Diário 1º PA'!$F$4:$F$2635))+SUMPRODUCT(-('Diário 2º PA'!$E$4:$E$3040='Analítico Cp.'!$B76),-('Diário 2º PA'!$Q$4:$Q$3040=H$1),('Diário 2º PA'!$F$4:$F$3040))+SUMPRODUCT(-('Diário 3º PA'!$E$4:$E$2731='Analítico Cp.'!$B76),-('Diário 3º PA'!$Q$4:$Q$2731=H$1),('Diário 3º PA'!$F$4:$F$2731))+SUMPRODUCT(-('Diário 4º PA'!$E$4:$E$2564='Analítico Cp.'!$B76),-('Diário 4º PA'!$Q$4:$Q$2564=H$1),('Diário 4º PA'!$F$4:$F$2564))+SUMPRODUCT(-('Comp.'!$D$5:$D$69='Analítico Cp.'!$B76),-('Comp.'!$K$5:$K$69=H$1),('Comp.'!$E$5:$E$69))</f>
        <v>0</v>
      </c>
      <c r="I76" s="12">
        <f>SUMPRODUCT(-('Diário 1º PA'!$E$4:$E$2635='Analítico Cp.'!$B76),-('Diário 1º PA'!$Q$4:$Q$2635=I$1),('Diário 1º PA'!$F$4:$F$2635))+SUMPRODUCT(-('Diário 2º PA'!$E$4:$E$3040='Analítico Cp.'!$B76),-('Diário 2º PA'!$Q$4:$Q$3040=I$1),('Diário 2º PA'!$F$4:$F$3040))+SUMPRODUCT(-('Diário 3º PA'!$E$4:$E$2731='Analítico Cp.'!$B76),-('Diário 3º PA'!$Q$4:$Q$2731=I$1),('Diário 3º PA'!$F$4:$F$2731))+SUMPRODUCT(-('Diário 4º PA'!$E$4:$E$2564='Analítico Cp.'!$B76),-('Diário 4º PA'!$Q$4:$Q$2564=I$1),('Diário 4º PA'!$F$4:$F$2564))+SUMPRODUCT(-('Comp.'!$D$5:$D$69='Analítico Cp.'!$B76),-('Comp.'!$K$5:$K$69=I$1),('Comp.'!$E$5:$E$69))</f>
        <v>0</v>
      </c>
      <c r="J76" s="12">
        <f>SUMPRODUCT(-('Diário 1º PA'!$E$4:$E$2635='Analítico Cp.'!$B76),-('Diário 1º PA'!$Q$4:$Q$2635=J$1),('Diário 1º PA'!$F$4:$F$2635))+SUMPRODUCT(-('Diário 2º PA'!$E$4:$E$3040='Analítico Cp.'!$B76),-('Diário 2º PA'!$Q$4:$Q$3040=J$1),('Diário 2º PA'!$F$4:$F$3040))+SUMPRODUCT(-('Diário 3º PA'!$E$4:$E$2731='Analítico Cp.'!$B76),-('Diário 3º PA'!$Q$4:$Q$2731=J$1),('Diário 3º PA'!$F$4:$F$2731))+SUMPRODUCT(-('Diário 4º PA'!$E$4:$E$2564='Analítico Cp.'!$B76),-('Diário 4º PA'!$Q$4:$Q$2564=J$1),('Diário 4º PA'!$F$4:$F$2564))+SUMPRODUCT(-('Comp.'!$D$5:$D$69='Analítico Cp.'!$B76),-('Comp.'!$K$5:$K$69=J$1),('Comp.'!$E$5:$E$69))</f>
        <v>0</v>
      </c>
      <c r="K76" s="12">
        <f>SUMPRODUCT(-('Diário 1º PA'!$E$4:$E$2635='Analítico Cp.'!$B76),-('Diário 1º PA'!$Q$4:$Q$2635=K$1),('Diário 1º PA'!$F$4:$F$2635))+SUMPRODUCT(-('Diário 2º PA'!$E$4:$E$3040='Analítico Cp.'!$B76),-('Diário 2º PA'!$Q$4:$Q$3040=K$1),('Diário 2º PA'!$F$4:$F$3040))+SUMPRODUCT(-('Diário 3º PA'!$E$4:$E$2731='Analítico Cp.'!$B76),-('Diário 3º PA'!$Q$4:$Q$2731=K$1),('Diário 3º PA'!$F$4:$F$2731))+SUMPRODUCT(-('Diário 4º PA'!$E$4:$E$2564='Analítico Cp.'!$B76),-('Diário 4º PA'!$Q$4:$Q$2564=K$1),('Diário 4º PA'!$F$4:$F$2564))+SUMPRODUCT(-('Comp.'!$D$5:$D$69='Analítico Cp.'!$B76),-('Comp.'!$K$5:$K$69=K$1),('Comp.'!$E$5:$E$69))</f>
        <v>0</v>
      </c>
      <c r="L76" s="12">
        <f>SUMPRODUCT(-('Diário 1º PA'!$E$4:$E$2635='Analítico Cp.'!$B76),-('Diário 1º PA'!$Q$4:$Q$2635=L$1),('Diário 1º PA'!$F$4:$F$2635))+SUMPRODUCT(-('Diário 2º PA'!$E$4:$E$3040='Analítico Cp.'!$B76),-('Diário 2º PA'!$Q$4:$Q$3040=L$1),('Diário 2º PA'!$F$4:$F$3040))+SUMPRODUCT(-('Diário 3º PA'!$E$4:$E$2731='Analítico Cp.'!$B76),-('Diário 3º PA'!$Q$4:$Q$2731=L$1),('Diário 3º PA'!$F$4:$F$2731))+SUMPRODUCT(-('Diário 4º PA'!$E$4:$E$2564='Analítico Cp.'!$B76),-('Diário 4º PA'!$Q$4:$Q$2564=L$1),('Diário 4º PA'!$F$4:$F$2564))+SUMPRODUCT(-('Comp.'!$D$5:$D$69='Analítico Cp.'!$B76),-('Comp.'!$K$5:$K$69=L$1),('Comp.'!$E$5:$E$69))</f>
        <v>0</v>
      </c>
      <c r="M76" s="12">
        <f>SUMPRODUCT(-('Diário 1º PA'!$E$4:$E$2635='Analítico Cp.'!$B76),-('Diário 1º PA'!$Q$4:$Q$2635=M$1),('Diário 1º PA'!$F$4:$F$2635))+SUMPRODUCT(-('Diário 2º PA'!$E$4:$E$3040='Analítico Cp.'!$B76),-('Diário 2º PA'!$Q$4:$Q$3040=M$1),('Diário 2º PA'!$F$4:$F$3040))+SUMPRODUCT(-('Diário 3º PA'!$E$4:$E$2731='Analítico Cp.'!$B76),-('Diário 3º PA'!$Q$4:$Q$2731=M$1),('Diário 3º PA'!$F$4:$F$2731))+SUMPRODUCT(-('Diário 4º PA'!$E$4:$E$2564='Analítico Cp.'!$B76),-('Diário 4º PA'!$Q$4:$Q$2564=M$1),('Diário 4º PA'!$F$4:$F$2564))+SUMPRODUCT(-('Comp.'!$D$5:$D$69='Analítico Cp.'!$B76),-('Comp.'!$K$5:$K$69=M$1),('Comp.'!$E$5:$E$69))</f>
        <v>0</v>
      </c>
      <c r="N76" s="12">
        <f>SUMPRODUCT(-('Diário 1º PA'!$E$4:$E$2635='Analítico Cp.'!$B76),-('Diário 1º PA'!$Q$4:$Q$2635=N$1),('Diário 1º PA'!$F$4:$F$2635))+SUMPRODUCT(-('Diário 2º PA'!$E$4:$E$3040='Analítico Cp.'!$B76),-('Diário 2º PA'!$Q$4:$Q$3040=N$1),('Diário 2º PA'!$F$4:$F$3040))+SUMPRODUCT(-('Diário 3º PA'!$E$4:$E$2731='Analítico Cp.'!$B76),-('Diário 3º PA'!$Q$4:$Q$2731=N$1),('Diário 3º PA'!$F$4:$F$2731))+SUMPRODUCT(-('Diário 4º PA'!$E$4:$E$2564='Analítico Cp.'!$B76),-('Diário 4º PA'!$Q$4:$Q$2564=N$1),('Diário 4º PA'!$F$4:$F$2564))+SUMPRODUCT(-('Comp.'!$D$5:$D$69='Analítico Cp.'!$B76),-('Comp.'!$K$5:$K$69=N$1),('Comp.'!$E$5:$E$69))</f>
        <v>0</v>
      </c>
      <c r="O76" s="13">
        <f t="shared" si="12"/>
        <v>0</v>
      </c>
      <c r="P76" s="167">
        <f t="shared" si="11"/>
        <v>0</v>
      </c>
    </row>
    <row r="77" spans="1:16" ht="23.25" customHeight="1" x14ac:dyDescent="0.2">
      <c r="A77" s="61" t="s">
        <v>132</v>
      </c>
      <c r="B77" s="103" t="s">
        <v>189</v>
      </c>
      <c r="C77" s="12">
        <f>SUMPRODUCT(-('Diário 1º PA'!$E$4:$E$2635='Analítico Cp.'!$B77),-('Diário 1º PA'!$Q$4:$Q$2635=C$1),('Diário 1º PA'!$F$4:$F$2635))+SUMPRODUCT(-('Diário 2º PA'!$E$4:$E$3040='Analítico Cp.'!$B77),-('Diário 2º PA'!$Q$4:$Q$3040=C$1),('Diário 2º PA'!$F$4:$F$3040))+SUMPRODUCT(-('Diário 3º PA'!$E$4:$E$2731='Analítico Cp.'!$B77),-('Diário 3º PA'!$Q$4:$Q$2731=C$1),('Diário 3º PA'!$F$4:$F$2731))+SUMPRODUCT(-('Diário 4º PA'!$E$4:$E$2564='Analítico Cp.'!$B77),-('Diário 4º PA'!$Q$4:$Q$2564=C$1),('Diário 4º PA'!$F$4:$F$2564))+SUMPRODUCT(-('Comp.'!$D$5:$D$69='Analítico Cp.'!$B77),-('Comp.'!$K$5:$K$69=C$1),('Comp.'!$E$5:$E$69))</f>
        <v>0</v>
      </c>
      <c r="D77" s="12">
        <f>SUMPRODUCT(-('Diário 1º PA'!$E$4:$E$2635='Analítico Cp.'!$B77),-('Diário 1º PA'!$Q$4:$Q$2635=D$1),('Diário 1º PA'!$F$4:$F$2635))+SUMPRODUCT(-('Diário 2º PA'!$E$4:$E$3040='Analítico Cp.'!$B77),-('Diário 2º PA'!$Q$4:$Q$3040=D$1),('Diário 2º PA'!$F$4:$F$3040))+SUMPRODUCT(-('Diário 3º PA'!$E$4:$E$2731='Analítico Cp.'!$B77),-('Diário 3º PA'!$Q$4:$Q$2731=D$1),('Diário 3º PA'!$F$4:$F$2731))+SUMPRODUCT(-('Diário 4º PA'!$E$4:$E$2564='Analítico Cp.'!$B77),-('Diário 4º PA'!$Q$4:$Q$2564=D$1),('Diário 4º PA'!$F$4:$F$2564))+SUMPRODUCT(-('Comp.'!$D$5:$D$69='Analítico Cp.'!$B77),-('Comp.'!$K$5:$K$69=D$1),('Comp.'!$E$5:$E$69))</f>
        <v>0</v>
      </c>
      <c r="E77" s="12">
        <f>SUMPRODUCT(-('Diário 1º PA'!$E$4:$E$2635='Analítico Cp.'!$B77),-('Diário 1º PA'!$Q$4:$Q$2635=E$1),('Diário 1º PA'!$F$4:$F$2635))+SUMPRODUCT(-('Diário 2º PA'!$E$4:$E$3040='Analítico Cp.'!$B77),-('Diário 2º PA'!$Q$4:$Q$3040=E$1),('Diário 2º PA'!$F$4:$F$3040))+SUMPRODUCT(-('Diário 3º PA'!$E$4:$E$2731='Analítico Cp.'!$B77),-('Diário 3º PA'!$Q$4:$Q$2731=E$1),('Diário 3º PA'!$F$4:$F$2731))+SUMPRODUCT(-('Diário 4º PA'!$E$4:$E$2564='Analítico Cp.'!$B77),-('Diário 4º PA'!$Q$4:$Q$2564=E$1),('Diário 4º PA'!$F$4:$F$2564))+SUMPRODUCT(-('Comp.'!$D$5:$D$69='Analítico Cp.'!$B77),-('Comp.'!$K$5:$K$69=E$1),('Comp.'!$E$5:$E$69))</f>
        <v>0</v>
      </c>
      <c r="F77" s="12">
        <f>SUMPRODUCT(-('Diário 1º PA'!$E$4:$E$2635='Analítico Cp.'!$B77),-('Diário 1º PA'!$Q$4:$Q$2635=F$1),('Diário 1º PA'!$F$4:$F$2635))+SUMPRODUCT(-('Diário 2º PA'!$E$4:$E$3040='Analítico Cp.'!$B77),-('Diário 2º PA'!$Q$4:$Q$3040=F$1),('Diário 2º PA'!$F$4:$F$3040))+SUMPRODUCT(-('Diário 3º PA'!$E$4:$E$2731='Analítico Cp.'!$B77),-('Diário 3º PA'!$Q$4:$Q$2731=F$1),('Diário 3º PA'!$F$4:$F$2731))+SUMPRODUCT(-('Diário 4º PA'!$E$4:$E$2564='Analítico Cp.'!$B77),-('Diário 4º PA'!$Q$4:$Q$2564=F$1),('Diário 4º PA'!$F$4:$F$2564))+SUMPRODUCT(-('Comp.'!$D$5:$D$69='Analítico Cp.'!$B77),-('Comp.'!$K$5:$K$69=F$1),('Comp.'!$E$5:$E$69))</f>
        <v>0</v>
      </c>
      <c r="G77" s="12">
        <f>SUMPRODUCT(-('Diário 1º PA'!$E$4:$E$2635='Analítico Cp.'!$B77),-('Diário 1º PA'!$Q$4:$Q$2635=G$1),('Diário 1º PA'!$F$4:$F$2635))+SUMPRODUCT(-('Diário 2º PA'!$E$4:$E$3040='Analítico Cp.'!$B77),-('Diário 2º PA'!$Q$4:$Q$3040=G$1),('Diário 2º PA'!$F$4:$F$3040))+SUMPRODUCT(-('Diário 3º PA'!$E$4:$E$2731='Analítico Cp.'!$B77),-('Diário 3º PA'!$Q$4:$Q$2731=G$1),('Diário 3º PA'!$F$4:$F$2731))+SUMPRODUCT(-('Diário 4º PA'!$E$4:$E$2564='Analítico Cp.'!$B77),-('Diário 4º PA'!$Q$4:$Q$2564=G$1),('Diário 4º PA'!$F$4:$F$2564))+SUMPRODUCT(-('Comp.'!$D$5:$D$69='Analítico Cp.'!$B77),-('Comp.'!$K$5:$K$69=G$1),('Comp.'!$E$5:$E$69))</f>
        <v>0</v>
      </c>
      <c r="H77" s="12">
        <f>SUMPRODUCT(-('Diário 1º PA'!$E$4:$E$2635='Analítico Cp.'!$B77),-('Diário 1º PA'!$Q$4:$Q$2635=H$1),('Diário 1º PA'!$F$4:$F$2635))+SUMPRODUCT(-('Diário 2º PA'!$E$4:$E$3040='Analítico Cp.'!$B77),-('Diário 2º PA'!$Q$4:$Q$3040=H$1),('Diário 2º PA'!$F$4:$F$3040))+SUMPRODUCT(-('Diário 3º PA'!$E$4:$E$2731='Analítico Cp.'!$B77),-('Diário 3º PA'!$Q$4:$Q$2731=H$1),('Diário 3º PA'!$F$4:$F$2731))+SUMPRODUCT(-('Diário 4º PA'!$E$4:$E$2564='Analítico Cp.'!$B77),-('Diário 4º PA'!$Q$4:$Q$2564=H$1),('Diário 4º PA'!$F$4:$F$2564))+SUMPRODUCT(-('Comp.'!$D$5:$D$69='Analítico Cp.'!$B77),-('Comp.'!$K$5:$K$69=H$1),('Comp.'!$E$5:$E$69))</f>
        <v>0</v>
      </c>
      <c r="I77" s="12">
        <f>SUMPRODUCT(-('Diário 1º PA'!$E$4:$E$2635='Analítico Cp.'!$B77),-('Diário 1º PA'!$Q$4:$Q$2635=I$1),('Diário 1º PA'!$F$4:$F$2635))+SUMPRODUCT(-('Diário 2º PA'!$E$4:$E$3040='Analítico Cp.'!$B77),-('Diário 2º PA'!$Q$4:$Q$3040=I$1),('Diário 2º PA'!$F$4:$F$3040))+SUMPRODUCT(-('Diário 3º PA'!$E$4:$E$2731='Analítico Cp.'!$B77),-('Diário 3º PA'!$Q$4:$Q$2731=I$1),('Diário 3º PA'!$F$4:$F$2731))+SUMPRODUCT(-('Diário 4º PA'!$E$4:$E$2564='Analítico Cp.'!$B77),-('Diário 4º PA'!$Q$4:$Q$2564=I$1),('Diário 4º PA'!$F$4:$F$2564))+SUMPRODUCT(-('Comp.'!$D$5:$D$69='Analítico Cp.'!$B77),-('Comp.'!$K$5:$K$69=I$1),('Comp.'!$E$5:$E$69))</f>
        <v>0</v>
      </c>
      <c r="J77" s="12">
        <f>SUMPRODUCT(-('Diário 1º PA'!$E$4:$E$2635='Analítico Cp.'!$B77),-('Diário 1º PA'!$Q$4:$Q$2635=J$1),('Diário 1º PA'!$F$4:$F$2635))+SUMPRODUCT(-('Diário 2º PA'!$E$4:$E$3040='Analítico Cp.'!$B77),-('Diário 2º PA'!$Q$4:$Q$3040=J$1),('Diário 2º PA'!$F$4:$F$3040))+SUMPRODUCT(-('Diário 3º PA'!$E$4:$E$2731='Analítico Cp.'!$B77),-('Diário 3º PA'!$Q$4:$Q$2731=J$1),('Diário 3º PA'!$F$4:$F$2731))+SUMPRODUCT(-('Diário 4º PA'!$E$4:$E$2564='Analítico Cp.'!$B77),-('Diário 4º PA'!$Q$4:$Q$2564=J$1),('Diário 4º PA'!$F$4:$F$2564))+SUMPRODUCT(-('Comp.'!$D$5:$D$69='Analítico Cp.'!$B77),-('Comp.'!$K$5:$K$69=J$1),('Comp.'!$E$5:$E$69))</f>
        <v>0</v>
      </c>
      <c r="K77" s="12">
        <f>SUMPRODUCT(-('Diário 1º PA'!$E$4:$E$2635='Analítico Cp.'!$B77),-('Diário 1º PA'!$Q$4:$Q$2635=K$1),('Diário 1º PA'!$F$4:$F$2635))+SUMPRODUCT(-('Diário 2º PA'!$E$4:$E$3040='Analítico Cp.'!$B77),-('Diário 2º PA'!$Q$4:$Q$3040=K$1),('Diário 2º PA'!$F$4:$F$3040))+SUMPRODUCT(-('Diário 3º PA'!$E$4:$E$2731='Analítico Cp.'!$B77),-('Diário 3º PA'!$Q$4:$Q$2731=K$1),('Diário 3º PA'!$F$4:$F$2731))+SUMPRODUCT(-('Diário 4º PA'!$E$4:$E$2564='Analítico Cp.'!$B77),-('Diário 4º PA'!$Q$4:$Q$2564=K$1),('Diário 4º PA'!$F$4:$F$2564))+SUMPRODUCT(-('Comp.'!$D$5:$D$69='Analítico Cp.'!$B77),-('Comp.'!$K$5:$K$69=K$1),('Comp.'!$E$5:$E$69))</f>
        <v>0</v>
      </c>
      <c r="L77" s="12">
        <f>SUMPRODUCT(-('Diário 1º PA'!$E$4:$E$2635='Analítico Cp.'!$B77),-('Diário 1º PA'!$Q$4:$Q$2635=L$1),('Diário 1º PA'!$F$4:$F$2635))+SUMPRODUCT(-('Diário 2º PA'!$E$4:$E$3040='Analítico Cp.'!$B77),-('Diário 2º PA'!$Q$4:$Q$3040=L$1),('Diário 2º PA'!$F$4:$F$3040))+SUMPRODUCT(-('Diário 3º PA'!$E$4:$E$2731='Analítico Cp.'!$B77),-('Diário 3º PA'!$Q$4:$Q$2731=L$1),('Diário 3º PA'!$F$4:$F$2731))+SUMPRODUCT(-('Diário 4º PA'!$E$4:$E$2564='Analítico Cp.'!$B77),-('Diário 4º PA'!$Q$4:$Q$2564=L$1),('Diário 4º PA'!$F$4:$F$2564))+SUMPRODUCT(-('Comp.'!$D$5:$D$69='Analítico Cp.'!$B77),-('Comp.'!$K$5:$K$69=L$1),('Comp.'!$E$5:$E$69))</f>
        <v>0</v>
      </c>
      <c r="M77" s="12">
        <f>SUMPRODUCT(-('Diário 1º PA'!$E$4:$E$2635='Analítico Cp.'!$B77),-('Diário 1º PA'!$Q$4:$Q$2635=M$1),('Diário 1º PA'!$F$4:$F$2635))+SUMPRODUCT(-('Diário 2º PA'!$E$4:$E$3040='Analítico Cp.'!$B77),-('Diário 2º PA'!$Q$4:$Q$3040=M$1),('Diário 2º PA'!$F$4:$F$3040))+SUMPRODUCT(-('Diário 3º PA'!$E$4:$E$2731='Analítico Cp.'!$B77),-('Diário 3º PA'!$Q$4:$Q$2731=M$1),('Diário 3º PA'!$F$4:$F$2731))+SUMPRODUCT(-('Diário 4º PA'!$E$4:$E$2564='Analítico Cp.'!$B77),-('Diário 4º PA'!$Q$4:$Q$2564=M$1),('Diário 4º PA'!$F$4:$F$2564))+SUMPRODUCT(-('Comp.'!$D$5:$D$69='Analítico Cp.'!$B77),-('Comp.'!$K$5:$K$69=M$1),('Comp.'!$E$5:$E$69))</f>
        <v>0</v>
      </c>
      <c r="N77" s="12">
        <f>SUMPRODUCT(-('Diário 1º PA'!$E$4:$E$2635='Analítico Cp.'!$B77),-('Diário 1º PA'!$Q$4:$Q$2635=N$1),('Diário 1º PA'!$F$4:$F$2635))+SUMPRODUCT(-('Diário 2º PA'!$E$4:$E$3040='Analítico Cp.'!$B77),-('Diário 2º PA'!$Q$4:$Q$3040=N$1),('Diário 2º PA'!$F$4:$F$3040))+SUMPRODUCT(-('Diário 3º PA'!$E$4:$E$2731='Analítico Cp.'!$B77),-('Diário 3º PA'!$Q$4:$Q$2731=N$1),('Diário 3º PA'!$F$4:$F$2731))+SUMPRODUCT(-('Diário 4º PA'!$E$4:$E$2564='Analítico Cp.'!$B77),-('Diário 4º PA'!$Q$4:$Q$2564=N$1),('Diário 4º PA'!$F$4:$F$2564))+SUMPRODUCT(-('Comp.'!$D$5:$D$69='Analítico Cp.'!$B77),-('Comp.'!$K$5:$K$69=N$1),('Comp.'!$E$5:$E$69))</f>
        <v>0</v>
      </c>
      <c r="O77" s="13">
        <f t="shared" si="12"/>
        <v>0</v>
      </c>
      <c r="P77" s="167">
        <f t="shared" si="11"/>
        <v>0</v>
      </c>
    </row>
    <row r="78" spans="1:16" ht="23.25" customHeight="1" x14ac:dyDescent="0.2">
      <c r="A78" s="61" t="s">
        <v>133</v>
      </c>
      <c r="B78" s="103" t="s">
        <v>253</v>
      </c>
      <c r="C78" s="12">
        <f>SUMPRODUCT(-('Diário 1º PA'!$E$4:$E$2635='Analítico Cp.'!$B78),-('Diário 1º PA'!$Q$4:$Q$2635=C$1),('Diário 1º PA'!$F$4:$F$2635))+SUMPRODUCT(-('Diário 2º PA'!$E$4:$E$3040='Analítico Cp.'!$B78),-('Diário 2º PA'!$Q$4:$Q$3040=C$1),('Diário 2º PA'!$F$4:$F$3040))+SUMPRODUCT(-('Diário 3º PA'!$E$4:$E$2731='Analítico Cp.'!$B78),-('Diário 3º PA'!$Q$4:$Q$2731=C$1),('Diário 3º PA'!$F$4:$F$2731))+SUMPRODUCT(-('Diário 4º PA'!$E$4:$E$2564='Analítico Cp.'!$B78),-('Diário 4º PA'!$Q$4:$Q$2564=C$1),('Diário 4º PA'!$F$4:$F$2564))+SUMPRODUCT(-('Comp.'!$D$5:$D$69='Analítico Cp.'!$B78),-('Comp.'!$K$5:$K$69=C$1),('Comp.'!$E$5:$E$69))</f>
        <v>0</v>
      </c>
      <c r="D78" s="12">
        <f>SUMPRODUCT(-('Diário 1º PA'!$E$4:$E$2635='Analítico Cp.'!$B78),-('Diário 1º PA'!$Q$4:$Q$2635=D$1),('Diário 1º PA'!$F$4:$F$2635))+SUMPRODUCT(-('Diário 2º PA'!$E$4:$E$3040='Analítico Cp.'!$B78),-('Diário 2º PA'!$Q$4:$Q$3040=D$1),('Diário 2º PA'!$F$4:$F$3040))+SUMPRODUCT(-('Diário 3º PA'!$E$4:$E$2731='Analítico Cp.'!$B78),-('Diário 3º PA'!$Q$4:$Q$2731=D$1),('Diário 3º PA'!$F$4:$F$2731))+SUMPRODUCT(-('Diário 4º PA'!$E$4:$E$2564='Analítico Cp.'!$B78),-('Diário 4º PA'!$Q$4:$Q$2564=D$1),('Diário 4º PA'!$F$4:$F$2564))+SUMPRODUCT(-('Comp.'!$D$5:$D$69='Analítico Cp.'!$B78),-('Comp.'!$K$5:$K$69=D$1),('Comp.'!$E$5:$E$69))</f>
        <v>512.64</v>
      </c>
      <c r="E78" s="12">
        <f>SUMPRODUCT(-('Diário 1º PA'!$E$4:$E$2635='Analítico Cp.'!$B78),-('Diário 1º PA'!$Q$4:$Q$2635=E$1),('Diário 1º PA'!$F$4:$F$2635))+SUMPRODUCT(-('Diário 2º PA'!$E$4:$E$3040='Analítico Cp.'!$B78),-('Diário 2º PA'!$Q$4:$Q$3040=E$1),('Diário 2º PA'!$F$4:$F$3040))+SUMPRODUCT(-('Diário 3º PA'!$E$4:$E$2731='Analítico Cp.'!$B78),-('Diário 3º PA'!$Q$4:$Q$2731=E$1),('Diário 3º PA'!$F$4:$F$2731))+SUMPRODUCT(-('Diário 4º PA'!$E$4:$E$2564='Analítico Cp.'!$B78),-('Diário 4º PA'!$Q$4:$Q$2564=E$1),('Diário 4º PA'!$F$4:$F$2564))+SUMPRODUCT(-('Comp.'!$D$5:$D$69='Analítico Cp.'!$B78),-('Comp.'!$K$5:$K$69=E$1),('Comp.'!$E$5:$E$69))</f>
        <v>0</v>
      </c>
      <c r="F78" s="12">
        <f>SUMPRODUCT(-('Diário 1º PA'!$E$4:$E$2635='Analítico Cp.'!$B78),-('Diário 1º PA'!$Q$4:$Q$2635=F$1),('Diário 1º PA'!$F$4:$F$2635))+SUMPRODUCT(-('Diário 2º PA'!$E$4:$E$3040='Analítico Cp.'!$B78),-('Diário 2º PA'!$Q$4:$Q$3040=F$1),('Diário 2º PA'!$F$4:$F$3040))+SUMPRODUCT(-('Diário 3º PA'!$E$4:$E$2731='Analítico Cp.'!$B78),-('Diário 3º PA'!$Q$4:$Q$2731=F$1),('Diário 3º PA'!$F$4:$F$2731))+SUMPRODUCT(-('Diário 4º PA'!$E$4:$E$2564='Analítico Cp.'!$B78),-('Diário 4º PA'!$Q$4:$Q$2564=F$1),('Diário 4º PA'!$F$4:$F$2564))+SUMPRODUCT(-('Comp.'!$D$5:$D$69='Analítico Cp.'!$B78),-('Comp.'!$K$5:$K$69=F$1),('Comp.'!$E$5:$E$69))</f>
        <v>309.68</v>
      </c>
      <c r="G78" s="12">
        <f>SUMPRODUCT(-('Diário 1º PA'!$E$4:$E$2635='Analítico Cp.'!$B78),-('Diário 1º PA'!$Q$4:$Q$2635=G$1),('Diário 1º PA'!$F$4:$F$2635))+SUMPRODUCT(-('Diário 2º PA'!$E$4:$E$3040='Analítico Cp.'!$B78),-('Diário 2º PA'!$Q$4:$Q$3040=G$1),('Diário 2º PA'!$F$4:$F$3040))+SUMPRODUCT(-('Diário 3º PA'!$E$4:$E$2731='Analítico Cp.'!$B78),-('Diário 3º PA'!$Q$4:$Q$2731=G$1),('Diário 3º PA'!$F$4:$F$2731))+SUMPRODUCT(-('Diário 4º PA'!$E$4:$E$2564='Analítico Cp.'!$B78),-('Diário 4º PA'!$Q$4:$Q$2564=G$1),('Diário 4º PA'!$F$4:$F$2564))+SUMPRODUCT(-('Comp.'!$D$5:$D$69='Analítico Cp.'!$B78),-('Comp.'!$K$5:$K$69=G$1),('Comp.'!$E$5:$E$69))</f>
        <v>0</v>
      </c>
      <c r="H78" s="12">
        <f>SUMPRODUCT(-('Diário 1º PA'!$E$4:$E$2635='Analítico Cp.'!$B78),-('Diário 1º PA'!$Q$4:$Q$2635=H$1),('Diário 1º PA'!$F$4:$F$2635))+SUMPRODUCT(-('Diário 2º PA'!$E$4:$E$3040='Analítico Cp.'!$B78),-('Diário 2º PA'!$Q$4:$Q$3040=H$1),('Diário 2º PA'!$F$4:$F$3040))+SUMPRODUCT(-('Diário 3º PA'!$E$4:$E$2731='Analítico Cp.'!$B78),-('Diário 3º PA'!$Q$4:$Q$2731=H$1),('Diário 3º PA'!$F$4:$F$2731))+SUMPRODUCT(-('Diário 4º PA'!$E$4:$E$2564='Analítico Cp.'!$B78),-('Diário 4º PA'!$Q$4:$Q$2564=H$1),('Diário 4º PA'!$F$4:$F$2564))+SUMPRODUCT(-('Comp.'!$D$5:$D$69='Analítico Cp.'!$B78),-('Comp.'!$K$5:$K$69=H$1),('Comp.'!$E$5:$E$69))</f>
        <v>0</v>
      </c>
      <c r="I78" s="12">
        <f>SUMPRODUCT(-('Diário 1º PA'!$E$4:$E$2635='Analítico Cp.'!$B78),-('Diário 1º PA'!$Q$4:$Q$2635=I$1),('Diário 1º PA'!$F$4:$F$2635))+SUMPRODUCT(-('Diário 2º PA'!$E$4:$E$3040='Analítico Cp.'!$B78),-('Diário 2º PA'!$Q$4:$Q$3040=I$1),('Diário 2º PA'!$F$4:$F$3040))+SUMPRODUCT(-('Diário 3º PA'!$E$4:$E$2731='Analítico Cp.'!$B78),-('Diário 3º PA'!$Q$4:$Q$2731=I$1),('Diário 3º PA'!$F$4:$F$2731))+SUMPRODUCT(-('Diário 4º PA'!$E$4:$E$2564='Analítico Cp.'!$B78),-('Diário 4º PA'!$Q$4:$Q$2564=I$1),('Diário 4º PA'!$F$4:$F$2564))+SUMPRODUCT(-('Comp.'!$D$5:$D$69='Analítico Cp.'!$B78),-('Comp.'!$K$5:$K$69=I$1),('Comp.'!$E$5:$E$69))</f>
        <v>0</v>
      </c>
      <c r="J78" s="12">
        <f>SUMPRODUCT(-('Diário 1º PA'!$E$4:$E$2635='Analítico Cp.'!$B78),-('Diário 1º PA'!$Q$4:$Q$2635=J$1),('Diário 1º PA'!$F$4:$F$2635))+SUMPRODUCT(-('Diário 2º PA'!$E$4:$E$3040='Analítico Cp.'!$B78),-('Diário 2º PA'!$Q$4:$Q$3040=J$1),('Diário 2º PA'!$F$4:$F$3040))+SUMPRODUCT(-('Diário 3º PA'!$E$4:$E$2731='Analítico Cp.'!$B78),-('Diário 3º PA'!$Q$4:$Q$2731=J$1),('Diário 3º PA'!$F$4:$F$2731))+SUMPRODUCT(-('Diário 4º PA'!$E$4:$E$2564='Analítico Cp.'!$B78),-('Diário 4º PA'!$Q$4:$Q$2564=J$1),('Diário 4º PA'!$F$4:$F$2564))+SUMPRODUCT(-('Comp.'!$D$5:$D$69='Analítico Cp.'!$B78),-('Comp.'!$K$5:$K$69=J$1),('Comp.'!$E$5:$E$69))</f>
        <v>0</v>
      </c>
      <c r="K78" s="12">
        <f>SUMPRODUCT(-('Diário 1º PA'!$E$4:$E$2635='Analítico Cp.'!$B78),-('Diário 1º PA'!$Q$4:$Q$2635=K$1),('Diário 1º PA'!$F$4:$F$2635))+SUMPRODUCT(-('Diário 2º PA'!$E$4:$E$3040='Analítico Cp.'!$B78),-('Diário 2º PA'!$Q$4:$Q$3040=K$1),('Diário 2º PA'!$F$4:$F$3040))+SUMPRODUCT(-('Diário 3º PA'!$E$4:$E$2731='Analítico Cp.'!$B78),-('Diário 3º PA'!$Q$4:$Q$2731=K$1),('Diário 3º PA'!$F$4:$F$2731))+SUMPRODUCT(-('Diário 4º PA'!$E$4:$E$2564='Analítico Cp.'!$B78),-('Diário 4º PA'!$Q$4:$Q$2564=K$1),('Diário 4º PA'!$F$4:$F$2564))+SUMPRODUCT(-('Comp.'!$D$5:$D$69='Analítico Cp.'!$B78),-('Comp.'!$K$5:$K$69=K$1),('Comp.'!$E$5:$E$69))</f>
        <v>0</v>
      </c>
      <c r="L78" s="12">
        <f>SUMPRODUCT(-('Diário 1º PA'!$E$4:$E$2635='Analítico Cp.'!$B78),-('Diário 1º PA'!$Q$4:$Q$2635=L$1),('Diário 1º PA'!$F$4:$F$2635))+SUMPRODUCT(-('Diário 2º PA'!$E$4:$E$3040='Analítico Cp.'!$B78),-('Diário 2º PA'!$Q$4:$Q$3040=L$1),('Diário 2º PA'!$F$4:$F$3040))+SUMPRODUCT(-('Diário 3º PA'!$E$4:$E$2731='Analítico Cp.'!$B78),-('Diário 3º PA'!$Q$4:$Q$2731=L$1),('Diário 3º PA'!$F$4:$F$2731))+SUMPRODUCT(-('Diário 4º PA'!$E$4:$E$2564='Analítico Cp.'!$B78),-('Diário 4º PA'!$Q$4:$Q$2564=L$1),('Diário 4º PA'!$F$4:$F$2564))+SUMPRODUCT(-('Comp.'!$D$5:$D$69='Analítico Cp.'!$B78),-('Comp.'!$K$5:$K$69=L$1),('Comp.'!$E$5:$E$69))</f>
        <v>0</v>
      </c>
      <c r="M78" s="12">
        <f>SUMPRODUCT(-('Diário 1º PA'!$E$4:$E$2635='Analítico Cp.'!$B78),-('Diário 1º PA'!$Q$4:$Q$2635=M$1),('Diário 1º PA'!$F$4:$F$2635))+SUMPRODUCT(-('Diário 2º PA'!$E$4:$E$3040='Analítico Cp.'!$B78),-('Diário 2º PA'!$Q$4:$Q$3040=M$1),('Diário 2º PA'!$F$4:$F$3040))+SUMPRODUCT(-('Diário 3º PA'!$E$4:$E$2731='Analítico Cp.'!$B78),-('Diário 3º PA'!$Q$4:$Q$2731=M$1),('Diário 3º PA'!$F$4:$F$2731))+SUMPRODUCT(-('Diário 4º PA'!$E$4:$E$2564='Analítico Cp.'!$B78),-('Diário 4º PA'!$Q$4:$Q$2564=M$1),('Diário 4º PA'!$F$4:$F$2564))+SUMPRODUCT(-('Comp.'!$D$5:$D$69='Analítico Cp.'!$B78),-('Comp.'!$K$5:$K$69=M$1),('Comp.'!$E$5:$E$69))</f>
        <v>0</v>
      </c>
      <c r="N78" s="12">
        <f>SUMPRODUCT(-('Diário 1º PA'!$E$4:$E$2635='Analítico Cp.'!$B78),-('Diário 1º PA'!$Q$4:$Q$2635=N$1),('Diário 1º PA'!$F$4:$F$2635))+SUMPRODUCT(-('Diário 2º PA'!$E$4:$E$3040='Analítico Cp.'!$B78),-('Diário 2º PA'!$Q$4:$Q$3040=N$1),('Diário 2º PA'!$F$4:$F$3040))+SUMPRODUCT(-('Diário 3º PA'!$E$4:$E$2731='Analítico Cp.'!$B78),-('Diário 3º PA'!$Q$4:$Q$2731=N$1),('Diário 3º PA'!$F$4:$F$2731))+SUMPRODUCT(-('Diário 4º PA'!$E$4:$E$2564='Analítico Cp.'!$B78),-('Diário 4º PA'!$Q$4:$Q$2564=N$1),('Diário 4º PA'!$F$4:$F$2564))+SUMPRODUCT(-('Comp.'!$D$5:$D$69='Analítico Cp.'!$B78),-('Comp.'!$K$5:$K$69=N$1),('Comp.'!$E$5:$E$69))</f>
        <v>0</v>
      </c>
      <c r="O78" s="13">
        <f t="shared" si="12"/>
        <v>822.31999999999994</v>
      </c>
      <c r="P78" s="167">
        <f t="shared" si="11"/>
        <v>6.7190643777145185E-5</v>
      </c>
    </row>
    <row r="79" spans="1:16" ht="23.25" customHeight="1" x14ac:dyDescent="0.2">
      <c r="A79" s="61" t="s">
        <v>134</v>
      </c>
      <c r="B79" s="103" t="s">
        <v>92</v>
      </c>
      <c r="C79" s="12">
        <f>SUMPRODUCT(-('Diário 1º PA'!$E$4:$E$2635='Analítico Cp.'!$B79),-('Diário 1º PA'!$Q$4:$Q$2635=C$1),('Diário 1º PA'!$F$4:$F$2635))+SUMPRODUCT(-('Diário 2º PA'!$E$4:$E$3040='Analítico Cp.'!$B79),-('Diário 2º PA'!$Q$4:$Q$3040=C$1),('Diário 2º PA'!$F$4:$F$3040))+SUMPRODUCT(-('Diário 3º PA'!$E$4:$E$2731='Analítico Cp.'!$B79),-('Diário 3º PA'!$Q$4:$Q$2731=C$1),('Diário 3º PA'!$F$4:$F$2731))+SUMPRODUCT(-('Diário 4º PA'!$E$4:$E$2564='Analítico Cp.'!$B79),-('Diário 4º PA'!$Q$4:$Q$2564=C$1),('Diário 4º PA'!$F$4:$F$2564))+SUMPRODUCT(-('Comp.'!$D$5:$D$69='Analítico Cp.'!$B79),-('Comp.'!$K$5:$K$69=C$1),('Comp.'!$E$5:$E$69))</f>
        <v>938.07</v>
      </c>
      <c r="D79" s="12">
        <f>SUMPRODUCT(-('Diário 1º PA'!$E$4:$E$2635='Analítico Cp.'!$B79),-('Diário 1º PA'!$Q$4:$Q$2635=D$1),('Diário 1º PA'!$F$4:$F$2635))+SUMPRODUCT(-('Diário 2º PA'!$E$4:$E$3040='Analítico Cp.'!$B79),-('Diário 2º PA'!$Q$4:$Q$3040=D$1),('Diário 2º PA'!$F$4:$F$3040))+SUMPRODUCT(-('Diário 3º PA'!$E$4:$E$2731='Analítico Cp.'!$B79),-('Diário 3º PA'!$Q$4:$Q$2731=D$1),('Diário 3º PA'!$F$4:$F$2731))+SUMPRODUCT(-('Diário 4º PA'!$E$4:$E$2564='Analítico Cp.'!$B79),-('Diário 4º PA'!$Q$4:$Q$2564=D$1),('Diário 4º PA'!$F$4:$F$2564))+SUMPRODUCT(-('Comp.'!$D$5:$D$69='Analítico Cp.'!$B79),-('Comp.'!$K$5:$K$69=D$1),('Comp.'!$E$5:$E$69))</f>
        <v>938.06999999999994</v>
      </c>
      <c r="E79" s="12">
        <f>SUMPRODUCT(-('Diário 1º PA'!$E$4:$E$2635='Analítico Cp.'!$B79),-('Diário 1º PA'!$Q$4:$Q$2635=E$1),('Diário 1º PA'!$F$4:$F$2635))+SUMPRODUCT(-('Diário 2º PA'!$E$4:$E$3040='Analítico Cp.'!$B79),-('Diário 2º PA'!$Q$4:$Q$3040=E$1),('Diário 2º PA'!$F$4:$F$3040))+SUMPRODUCT(-('Diário 3º PA'!$E$4:$E$2731='Analítico Cp.'!$B79),-('Diário 3º PA'!$Q$4:$Q$2731=E$1),('Diário 3º PA'!$F$4:$F$2731))+SUMPRODUCT(-('Diário 4º PA'!$E$4:$E$2564='Analítico Cp.'!$B79),-('Diário 4º PA'!$Q$4:$Q$2564=E$1),('Diário 4º PA'!$F$4:$F$2564))+SUMPRODUCT(-('Comp.'!$D$5:$D$69='Analítico Cp.'!$B79),-('Comp.'!$K$5:$K$69=E$1),('Comp.'!$E$5:$E$69))</f>
        <v>1096.4000000000001</v>
      </c>
      <c r="F79" s="12">
        <f>SUMPRODUCT(-('Diário 1º PA'!$E$4:$E$2635='Analítico Cp.'!$B79),-('Diário 1º PA'!$Q$4:$Q$2635=F$1),('Diário 1º PA'!$F$4:$F$2635))+SUMPRODUCT(-('Diário 2º PA'!$E$4:$E$3040='Analítico Cp.'!$B79),-('Diário 2º PA'!$Q$4:$Q$3040=F$1),('Diário 2º PA'!$F$4:$F$3040))+SUMPRODUCT(-('Diário 3º PA'!$E$4:$E$2731='Analítico Cp.'!$B79),-('Diário 3º PA'!$Q$4:$Q$2731=F$1),('Diário 3º PA'!$F$4:$F$2731))+SUMPRODUCT(-('Diário 4º PA'!$E$4:$E$2564='Analítico Cp.'!$B79),-('Diário 4º PA'!$Q$4:$Q$2564=F$1),('Diário 4º PA'!$F$4:$F$2564))+SUMPRODUCT(-('Comp.'!$D$5:$D$69='Analítico Cp.'!$B79),-('Comp.'!$K$5:$K$69=F$1),('Comp.'!$E$5:$E$69))</f>
        <v>1188.0700000000002</v>
      </c>
      <c r="G79" s="12">
        <f>SUMPRODUCT(-('Diário 1º PA'!$E$4:$E$2635='Analítico Cp.'!$B79),-('Diário 1º PA'!$Q$4:$Q$2635=G$1),('Diário 1º PA'!$F$4:$F$2635))+SUMPRODUCT(-('Diário 2º PA'!$E$4:$E$3040='Analítico Cp.'!$B79),-('Diário 2º PA'!$Q$4:$Q$3040=G$1),('Diário 2º PA'!$F$4:$F$3040))+SUMPRODUCT(-('Diário 3º PA'!$E$4:$E$2731='Analítico Cp.'!$B79),-('Diário 3º PA'!$Q$4:$Q$2731=G$1),('Diário 3º PA'!$F$4:$F$2731))+SUMPRODUCT(-('Diário 4º PA'!$E$4:$E$2564='Analítico Cp.'!$B79),-('Diário 4º PA'!$Q$4:$Q$2564=G$1),('Diário 4º PA'!$F$4:$F$2564))+SUMPRODUCT(-('Comp.'!$D$5:$D$69='Analítico Cp.'!$B79),-('Comp.'!$K$5:$K$69=G$1),('Comp.'!$E$5:$E$69))</f>
        <v>820.12</v>
      </c>
      <c r="H79" s="12">
        <f>SUMPRODUCT(-('Diário 1º PA'!$E$4:$E$2635='Analítico Cp.'!$B79),-('Diário 1º PA'!$Q$4:$Q$2635=H$1),('Diário 1º PA'!$F$4:$F$2635))+SUMPRODUCT(-('Diário 2º PA'!$E$4:$E$3040='Analítico Cp.'!$B79),-('Diário 2º PA'!$Q$4:$Q$3040=H$1),('Diário 2º PA'!$F$4:$F$3040))+SUMPRODUCT(-('Diário 3º PA'!$E$4:$E$2731='Analítico Cp.'!$B79),-('Diário 3º PA'!$Q$4:$Q$2731=H$1),('Diário 3º PA'!$F$4:$F$2731))+SUMPRODUCT(-('Diário 4º PA'!$E$4:$E$2564='Analítico Cp.'!$B79),-('Diário 4º PA'!$Q$4:$Q$2564=H$1),('Diário 4º PA'!$F$4:$F$2564))+SUMPRODUCT(-('Comp.'!$D$5:$D$69='Analítico Cp.'!$B79),-('Comp.'!$K$5:$K$69=H$1),('Comp.'!$E$5:$E$69))</f>
        <v>1188.0700000000002</v>
      </c>
      <c r="I79" s="12">
        <f>SUMPRODUCT(-('Diário 1º PA'!$E$4:$E$2635='Analítico Cp.'!$B79),-('Diário 1º PA'!$Q$4:$Q$2635=I$1),('Diário 1º PA'!$F$4:$F$2635))+SUMPRODUCT(-('Diário 2º PA'!$E$4:$E$3040='Analítico Cp.'!$B79),-('Diário 2º PA'!$Q$4:$Q$3040=I$1),('Diário 2º PA'!$F$4:$F$3040))+SUMPRODUCT(-('Diário 3º PA'!$E$4:$E$2731='Analítico Cp.'!$B79),-('Diário 3º PA'!$Q$4:$Q$2731=I$1),('Diário 3º PA'!$F$4:$F$2731))+SUMPRODUCT(-('Diário 4º PA'!$E$4:$E$2564='Analítico Cp.'!$B79),-('Diário 4º PA'!$Q$4:$Q$2564=I$1),('Diário 4º PA'!$F$4:$F$2564))+SUMPRODUCT(-('Comp.'!$D$5:$D$69='Analítico Cp.'!$B79),-('Comp.'!$K$5:$K$69=I$1),('Comp.'!$E$5:$E$69))</f>
        <v>1188.07</v>
      </c>
      <c r="J79" s="12">
        <f>SUMPRODUCT(-('Diário 1º PA'!$E$4:$E$2635='Analítico Cp.'!$B79),-('Diário 1º PA'!$Q$4:$Q$2635=J$1),('Diário 1º PA'!$F$4:$F$2635))+SUMPRODUCT(-('Diário 2º PA'!$E$4:$E$3040='Analítico Cp.'!$B79),-('Diário 2º PA'!$Q$4:$Q$3040=J$1),('Diário 2º PA'!$F$4:$F$3040))+SUMPRODUCT(-('Diário 3º PA'!$E$4:$E$2731='Analítico Cp.'!$B79),-('Diário 3º PA'!$Q$4:$Q$2731=J$1),('Diário 3º PA'!$F$4:$F$2731))+SUMPRODUCT(-('Diário 4º PA'!$E$4:$E$2564='Analítico Cp.'!$B79),-('Diário 4º PA'!$Q$4:$Q$2564=J$1),('Diário 4º PA'!$F$4:$F$2564))+SUMPRODUCT(-('Comp.'!$D$5:$D$69='Analítico Cp.'!$B79),-('Comp.'!$K$5:$K$69=J$1),('Comp.'!$E$5:$E$69))</f>
        <v>1188.0700000000002</v>
      </c>
      <c r="K79" s="12">
        <f>SUMPRODUCT(-('Diário 1º PA'!$E$4:$E$2635='Analítico Cp.'!$B79),-('Diário 1º PA'!$Q$4:$Q$2635=K$1),('Diário 1º PA'!$F$4:$F$2635))+SUMPRODUCT(-('Diário 2º PA'!$E$4:$E$3040='Analítico Cp.'!$B79),-('Diário 2º PA'!$Q$4:$Q$3040=K$1),('Diário 2º PA'!$F$4:$F$3040))+SUMPRODUCT(-('Diário 3º PA'!$E$4:$E$2731='Analítico Cp.'!$B79),-('Diário 3º PA'!$Q$4:$Q$2731=K$1),('Diário 3º PA'!$F$4:$F$2731))+SUMPRODUCT(-('Diário 4º PA'!$E$4:$E$2564='Analítico Cp.'!$B79),-('Diário 4º PA'!$Q$4:$Q$2564=K$1),('Diário 4º PA'!$F$4:$F$2564))+SUMPRODUCT(-('Comp.'!$D$5:$D$69='Analítico Cp.'!$B79),-('Comp.'!$K$5:$K$69=K$1),('Comp.'!$E$5:$E$69))</f>
        <v>1188.0700000000002</v>
      </c>
      <c r="L79" s="12">
        <f>SUMPRODUCT(-('Diário 1º PA'!$E$4:$E$2635='Analítico Cp.'!$B79),-('Diário 1º PA'!$Q$4:$Q$2635=L$1),('Diário 1º PA'!$F$4:$F$2635))+SUMPRODUCT(-('Diário 2º PA'!$E$4:$E$3040='Analítico Cp.'!$B79),-('Diário 2º PA'!$Q$4:$Q$3040=L$1),('Diário 2º PA'!$F$4:$F$3040))+SUMPRODUCT(-('Diário 3º PA'!$E$4:$E$2731='Analítico Cp.'!$B79),-('Diário 3º PA'!$Q$4:$Q$2731=L$1),('Diário 3º PA'!$F$4:$F$2731))+SUMPRODUCT(-('Diário 4º PA'!$E$4:$E$2564='Analítico Cp.'!$B79),-('Diário 4º PA'!$Q$4:$Q$2564=L$1),('Diário 4º PA'!$F$4:$F$2564))+SUMPRODUCT(-('Comp.'!$D$5:$D$69='Analítico Cp.'!$B79),-('Comp.'!$K$5:$K$69=L$1),('Comp.'!$E$5:$E$69))</f>
        <v>1611.94</v>
      </c>
      <c r="M79" s="12">
        <f>SUMPRODUCT(-('Diário 1º PA'!$E$4:$E$2635='Analítico Cp.'!$B79),-('Diário 1º PA'!$Q$4:$Q$2635=M$1),('Diário 1º PA'!$F$4:$F$2635))+SUMPRODUCT(-('Diário 2º PA'!$E$4:$E$3040='Analítico Cp.'!$B79),-('Diário 2º PA'!$Q$4:$Q$3040=M$1),('Diário 2º PA'!$F$4:$F$3040))+SUMPRODUCT(-('Diário 3º PA'!$E$4:$E$2731='Analítico Cp.'!$B79),-('Diário 3º PA'!$Q$4:$Q$2731=M$1),('Diário 3º PA'!$F$4:$F$2731))+SUMPRODUCT(-('Diário 4º PA'!$E$4:$E$2564='Analítico Cp.'!$B79),-('Diário 4º PA'!$Q$4:$Q$2564=M$1),('Diário 4º PA'!$F$4:$F$2564))+SUMPRODUCT(-('Comp.'!$D$5:$D$69='Analítico Cp.'!$B79),-('Comp.'!$K$5:$K$69=M$1),('Comp.'!$E$5:$E$69))</f>
        <v>867.95</v>
      </c>
      <c r="N79" s="12">
        <f>SUMPRODUCT(-('Diário 1º PA'!$E$4:$E$2635='Analítico Cp.'!$B79),-('Diário 1º PA'!$Q$4:$Q$2635=N$1),('Diário 1º PA'!$F$4:$F$2635))+SUMPRODUCT(-('Diário 2º PA'!$E$4:$E$3040='Analítico Cp.'!$B79),-('Diário 2º PA'!$Q$4:$Q$3040=N$1),('Diário 2º PA'!$F$4:$F$3040))+SUMPRODUCT(-('Diário 3º PA'!$E$4:$E$2731='Analítico Cp.'!$B79),-('Diário 3º PA'!$Q$4:$Q$2731=N$1),('Diário 3º PA'!$F$4:$F$2731))+SUMPRODUCT(-('Diário 4º PA'!$E$4:$E$2564='Analítico Cp.'!$B79),-('Diário 4º PA'!$Q$4:$Q$2564=N$1),('Diário 4º PA'!$F$4:$F$2564))+SUMPRODUCT(-('Comp.'!$D$5:$D$69='Analítico Cp.'!$B79),-('Comp.'!$K$5:$K$69=N$1),('Comp.'!$E$5:$E$69))</f>
        <v>500</v>
      </c>
      <c r="O79" s="13">
        <f t="shared" si="12"/>
        <v>12712.900000000001</v>
      </c>
      <c r="P79" s="167">
        <f t="shared" si="11"/>
        <v>1.0387536911110873E-3</v>
      </c>
    </row>
    <row r="80" spans="1:16" ht="23.25" customHeight="1" x14ac:dyDescent="0.2">
      <c r="A80" s="61" t="s">
        <v>135</v>
      </c>
      <c r="B80" s="103" t="s">
        <v>327</v>
      </c>
      <c r="C80" s="12">
        <f>SUMPRODUCT(-('Diário 1º PA'!$E$4:$E$2635='Analítico Cp.'!$B80),-('Diário 1º PA'!$Q$4:$Q$2635=C$1),('Diário 1º PA'!$F$4:$F$2635))+SUMPRODUCT(-('Diário 2º PA'!$E$4:$E$3040='Analítico Cp.'!$B80),-('Diário 2º PA'!$Q$4:$Q$3040=C$1),('Diário 2º PA'!$F$4:$F$3040))+SUMPRODUCT(-('Diário 3º PA'!$E$4:$E$2731='Analítico Cp.'!$B80),-('Diário 3º PA'!$Q$4:$Q$2731=C$1),('Diário 3º PA'!$F$4:$F$2731))+SUMPRODUCT(-('Diário 4º PA'!$E$4:$E$2564='Analítico Cp.'!$B80),-('Diário 4º PA'!$Q$4:$Q$2564=C$1),('Diário 4º PA'!$F$4:$F$2564))+SUMPRODUCT(-('Comp.'!$D$5:$D$69='Analítico Cp.'!$B80),-('Comp.'!$K$5:$K$69=C$1),('Comp.'!$E$5:$E$69))</f>
        <v>0</v>
      </c>
      <c r="D80" s="12">
        <f>SUMPRODUCT(-('Diário 1º PA'!$E$4:$E$2635='Analítico Cp.'!$B80),-('Diário 1º PA'!$Q$4:$Q$2635=D$1),('Diário 1º PA'!$F$4:$F$2635))+SUMPRODUCT(-('Diário 2º PA'!$E$4:$E$3040='Analítico Cp.'!$B80),-('Diário 2º PA'!$Q$4:$Q$3040=D$1),('Diário 2º PA'!$F$4:$F$3040))+SUMPRODUCT(-('Diário 3º PA'!$E$4:$E$2731='Analítico Cp.'!$B80),-('Diário 3º PA'!$Q$4:$Q$2731=D$1),('Diário 3º PA'!$F$4:$F$2731))+SUMPRODUCT(-('Diário 4º PA'!$E$4:$E$2564='Analítico Cp.'!$B80),-('Diário 4º PA'!$Q$4:$Q$2564=D$1),('Diário 4º PA'!$F$4:$F$2564))+SUMPRODUCT(-('Comp.'!$D$5:$D$69='Analítico Cp.'!$B80),-('Comp.'!$K$5:$K$69=D$1),('Comp.'!$E$5:$E$69))</f>
        <v>0</v>
      </c>
      <c r="E80" s="12">
        <f>SUMPRODUCT(-('Diário 1º PA'!$E$4:$E$2635='Analítico Cp.'!$B80),-('Diário 1º PA'!$Q$4:$Q$2635=E$1),('Diário 1º PA'!$F$4:$F$2635))+SUMPRODUCT(-('Diário 2º PA'!$E$4:$E$3040='Analítico Cp.'!$B80),-('Diário 2º PA'!$Q$4:$Q$3040=E$1),('Diário 2º PA'!$F$4:$F$3040))+SUMPRODUCT(-('Diário 3º PA'!$E$4:$E$2731='Analítico Cp.'!$B80),-('Diário 3º PA'!$Q$4:$Q$2731=E$1),('Diário 3º PA'!$F$4:$F$2731))+SUMPRODUCT(-('Diário 4º PA'!$E$4:$E$2564='Analítico Cp.'!$B80),-('Diário 4º PA'!$Q$4:$Q$2564=E$1),('Diário 4º PA'!$F$4:$F$2564))+SUMPRODUCT(-('Comp.'!$D$5:$D$69='Analítico Cp.'!$B80),-('Comp.'!$K$5:$K$69=E$1),('Comp.'!$E$5:$E$69))</f>
        <v>0</v>
      </c>
      <c r="F80" s="12">
        <f>SUMPRODUCT(-('Diário 1º PA'!$E$4:$E$2635='Analítico Cp.'!$B80),-('Diário 1º PA'!$Q$4:$Q$2635=F$1),('Diário 1º PA'!$F$4:$F$2635))+SUMPRODUCT(-('Diário 2º PA'!$E$4:$E$3040='Analítico Cp.'!$B80),-('Diário 2º PA'!$Q$4:$Q$3040=F$1),('Diário 2º PA'!$F$4:$F$3040))+SUMPRODUCT(-('Diário 3º PA'!$E$4:$E$2731='Analítico Cp.'!$B80),-('Diário 3º PA'!$Q$4:$Q$2731=F$1),('Diário 3º PA'!$F$4:$F$2731))+SUMPRODUCT(-('Diário 4º PA'!$E$4:$E$2564='Analítico Cp.'!$B80),-('Diário 4º PA'!$Q$4:$Q$2564=F$1),('Diário 4º PA'!$F$4:$F$2564))+SUMPRODUCT(-('Comp.'!$D$5:$D$69='Analítico Cp.'!$B80),-('Comp.'!$K$5:$K$69=F$1),('Comp.'!$E$5:$E$69))</f>
        <v>0</v>
      </c>
      <c r="G80" s="12">
        <f>SUMPRODUCT(-('Diário 1º PA'!$E$4:$E$2635='Analítico Cp.'!$B80),-('Diário 1º PA'!$Q$4:$Q$2635=G$1),('Diário 1º PA'!$F$4:$F$2635))+SUMPRODUCT(-('Diário 2º PA'!$E$4:$E$3040='Analítico Cp.'!$B80),-('Diário 2º PA'!$Q$4:$Q$3040=G$1),('Diário 2º PA'!$F$4:$F$3040))+SUMPRODUCT(-('Diário 3º PA'!$E$4:$E$2731='Analítico Cp.'!$B80),-('Diário 3º PA'!$Q$4:$Q$2731=G$1),('Diário 3º PA'!$F$4:$F$2731))+SUMPRODUCT(-('Diário 4º PA'!$E$4:$E$2564='Analítico Cp.'!$B80),-('Diário 4º PA'!$Q$4:$Q$2564=G$1),('Diário 4º PA'!$F$4:$F$2564))+SUMPRODUCT(-('Comp.'!$D$5:$D$69='Analítico Cp.'!$B80),-('Comp.'!$K$5:$K$69=G$1),('Comp.'!$E$5:$E$69))</f>
        <v>0</v>
      </c>
      <c r="H80" s="12">
        <f>SUMPRODUCT(-('Diário 1º PA'!$E$4:$E$2635='Analítico Cp.'!$B80),-('Diário 1º PA'!$Q$4:$Q$2635=H$1),('Diário 1º PA'!$F$4:$F$2635))+SUMPRODUCT(-('Diário 2º PA'!$E$4:$E$3040='Analítico Cp.'!$B80),-('Diário 2º PA'!$Q$4:$Q$3040=H$1),('Diário 2º PA'!$F$4:$F$3040))+SUMPRODUCT(-('Diário 3º PA'!$E$4:$E$2731='Analítico Cp.'!$B80),-('Diário 3º PA'!$Q$4:$Q$2731=H$1),('Diário 3º PA'!$F$4:$F$2731))+SUMPRODUCT(-('Diário 4º PA'!$E$4:$E$2564='Analítico Cp.'!$B80),-('Diário 4º PA'!$Q$4:$Q$2564=H$1),('Diário 4º PA'!$F$4:$F$2564))+SUMPRODUCT(-('Comp.'!$D$5:$D$69='Analítico Cp.'!$B80),-('Comp.'!$K$5:$K$69=H$1),('Comp.'!$E$5:$E$69))</f>
        <v>0</v>
      </c>
      <c r="I80" s="12">
        <f>SUMPRODUCT(-('Diário 1º PA'!$E$4:$E$2635='Analítico Cp.'!$B80),-('Diário 1º PA'!$Q$4:$Q$2635=I$1),('Diário 1º PA'!$F$4:$F$2635))+SUMPRODUCT(-('Diário 2º PA'!$E$4:$E$3040='Analítico Cp.'!$B80),-('Diário 2º PA'!$Q$4:$Q$3040=I$1),('Diário 2º PA'!$F$4:$F$3040))+SUMPRODUCT(-('Diário 3º PA'!$E$4:$E$2731='Analítico Cp.'!$B80),-('Diário 3º PA'!$Q$4:$Q$2731=I$1),('Diário 3º PA'!$F$4:$F$2731))+SUMPRODUCT(-('Diário 4º PA'!$E$4:$E$2564='Analítico Cp.'!$B80),-('Diário 4º PA'!$Q$4:$Q$2564=I$1),('Diário 4º PA'!$F$4:$F$2564))+SUMPRODUCT(-('Comp.'!$D$5:$D$69='Analítico Cp.'!$B80),-('Comp.'!$K$5:$K$69=I$1),('Comp.'!$E$5:$E$69))</f>
        <v>0</v>
      </c>
      <c r="J80" s="12">
        <f>SUMPRODUCT(-('Diário 1º PA'!$E$4:$E$2635='Analítico Cp.'!$B80),-('Diário 1º PA'!$Q$4:$Q$2635=J$1),('Diário 1º PA'!$F$4:$F$2635))+SUMPRODUCT(-('Diário 2º PA'!$E$4:$E$3040='Analítico Cp.'!$B80),-('Diário 2º PA'!$Q$4:$Q$3040=J$1),('Diário 2º PA'!$F$4:$F$3040))+SUMPRODUCT(-('Diário 3º PA'!$E$4:$E$2731='Analítico Cp.'!$B80),-('Diário 3º PA'!$Q$4:$Q$2731=J$1),('Diário 3º PA'!$F$4:$F$2731))+SUMPRODUCT(-('Diário 4º PA'!$E$4:$E$2564='Analítico Cp.'!$B80),-('Diário 4º PA'!$Q$4:$Q$2564=J$1),('Diário 4º PA'!$F$4:$F$2564))+SUMPRODUCT(-('Comp.'!$D$5:$D$69='Analítico Cp.'!$B80),-('Comp.'!$K$5:$K$69=J$1),('Comp.'!$E$5:$E$69))</f>
        <v>0</v>
      </c>
      <c r="K80" s="12">
        <f>SUMPRODUCT(-('Diário 1º PA'!$E$4:$E$2635='Analítico Cp.'!$B80),-('Diário 1º PA'!$Q$4:$Q$2635=K$1),('Diário 1º PA'!$F$4:$F$2635))+SUMPRODUCT(-('Diário 2º PA'!$E$4:$E$3040='Analítico Cp.'!$B80),-('Diário 2º PA'!$Q$4:$Q$3040=K$1),('Diário 2º PA'!$F$4:$F$3040))+SUMPRODUCT(-('Diário 3º PA'!$E$4:$E$2731='Analítico Cp.'!$B80),-('Diário 3º PA'!$Q$4:$Q$2731=K$1),('Diário 3º PA'!$F$4:$F$2731))+SUMPRODUCT(-('Diário 4º PA'!$E$4:$E$2564='Analítico Cp.'!$B80),-('Diário 4º PA'!$Q$4:$Q$2564=K$1),('Diário 4º PA'!$F$4:$F$2564))+SUMPRODUCT(-('Comp.'!$D$5:$D$69='Analítico Cp.'!$B80),-('Comp.'!$K$5:$K$69=K$1),('Comp.'!$E$5:$E$69))</f>
        <v>0</v>
      </c>
      <c r="L80" s="12">
        <f>SUMPRODUCT(-('Diário 1º PA'!$E$4:$E$2635='Analítico Cp.'!$B80),-('Diário 1º PA'!$Q$4:$Q$2635=L$1),('Diário 1º PA'!$F$4:$F$2635))+SUMPRODUCT(-('Diário 2º PA'!$E$4:$E$3040='Analítico Cp.'!$B80),-('Diário 2º PA'!$Q$4:$Q$3040=L$1),('Diário 2º PA'!$F$4:$F$3040))+SUMPRODUCT(-('Diário 3º PA'!$E$4:$E$2731='Analítico Cp.'!$B80),-('Diário 3º PA'!$Q$4:$Q$2731=L$1),('Diário 3º PA'!$F$4:$F$2731))+SUMPRODUCT(-('Diário 4º PA'!$E$4:$E$2564='Analítico Cp.'!$B80),-('Diário 4º PA'!$Q$4:$Q$2564=L$1),('Diário 4º PA'!$F$4:$F$2564))+SUMPRODUCT(-('Comp.'!$D$5:$D$69='Analítico Cp.'!$B80),-('Comp.'!$K$5:$K$69=L$1),('Comp.'!$E$5:$E$69))</f>
        <v>0</v>
      </c>
      <c r="M80" s="12">
        <f>SUMPRODUCT(-('Diário 1º PA'!$E$4:$E$2635='Analítico Cp.'!$B80),-('Diário 1º PA'!$Q$4:$Q$2635=M$1),('Diário 1º PA'!$F$4:$F$2635))+SUMPRODUCT(-('Diário 2º PA'!$E$4:$E$3040='Analítico Cp.'!$B80),-('Diário 2º PA'!$Q$4:$Q$3040=M$1),('Diário 2º PA'!$F$4:$F$3040))+SUMPRODUCT(-('Diário 3º PA'!$E$4:$E$2731='Analítico Cp.'!$B80),-('Diário 3º PA'!$Q$4:$Q$2731=M$1),('Diário 3º PA'!$F$4:$F$2731))+SUMPRODUCT(-('Diário 4º PA'!$E$4:$E$2564='Analítico Cp.'!$B80),-('Diário 4º PA'!$Q$4:$Q$2564=M$1),('Diário 4º PA'!$F$4:$F$2564))+SUMPRODUCT(-('Comp.'!$D$5:$D$69='Analítico Cp.'!$B80),-('Comp.'!$K$5:$K$69=M$1),('Comp.'!$E$5:$E$69))</f>
        <v>0</v>
      </c>
      <c r="N80" s="12">
        <f>SUMPRODUCT(-('Diário 1º PA'!$E$4:$E$2635='Analítico Cp.'!$B80),-('Diário 1º PA'!$Q$4:$Q$2635=N$1),('Diário 1º PA'!$F$4:$F$2635))+SUMPRODUCT(-('Diário 2º PA'!$E$4:$E$3040='Analítico Cp.'!$B80),-('Diário 2º PA'!$Q$4:$Q$3040=N$1),('Diário 2º PA'!$F$4:$F$3040))+SUMPRODUCT(-('Diário 3º PA'!$E$4:$E$2731='Analítico Cp.'!$B80),-('Diário 3º PA'!$Q$4:$Q$2731=N$1),('Diário 3º PA'!$F$4:$F$2731))+SUMPRODUCT(-('Diário 4º PA'!$E$4:$E$2564='Analítico Cp.'!$B80),-('Diário 4º PA'!$Q$4:$Q$2564=N$1),('Diário 4º PA'!$F$4:$F$2564))+SUMPRODUCT(-('Comp.'!$D$5:$D$69='Analítico Cp.'!$B80),-('Comp.'!$K$5:$K$69=N$1),('Comp.'!$E$5:$E$69))</f>
        <v>0</v>
      </c>
      <c r="O80" s="13">
        <f t="shared" si="12"/>
        <v>0</v>
      </c>
      <c r="P80" s="167">
        <f t="shared" si="11"/>
        <v>0</v>
      </c>
    </row>
    <row r="81" spans="1:16" ht="23.25" customHeight="1" x14ac:dyDescent="0.2">
      <c r="A81" s="61" t="s">
        <v>146</v>
      </c>
      <c r="B81" s="103" t="s">
        <v>82</v>
      </c>
      <c r="C81" s="12">
        <f>SUMPRODUCT(-('Diário 1º PA'!$E$4:$E$2635='Analítico Cp.'!$B81),-('Diário 1º PA'!$Q$4:$Q$2635=C$1),('Diário 1º PA'!$F$4:$F$2635))+SUMPRODUCT(-('Diário 2º PA'!$E$4:$E$3040='Analítico Cp.'!$B81),-('Diário 2º PA'!$Q$4:$Q$3040=C$1),('Diário 2º PA'!$F$4:$F$3040))+SUMPRODUCT(-('Diário 3º PA'!$E$4:$E$2731='Analítico Cp.'!$B81),-('Diário 3º PA'!$Q$4:$Q$2731=C$1),('Diário 3º PA'!$F$4:$F$2731))+SUMPRODUCT(-('Diário 4º PA'!$E$4:$E$2564='Analítico Cp.'!$B81),-('Diário 4º PA'!$Q$4:$Q$2564=C$1),('Diário 4º PA'!$F$4:$F$2564))+SUMPRODUCT(-('Comp.'!$D$5:$D$69='Analítico Cp.'!$B81),-('Comp.'!$K$5:$K$69=C$1),('Comp.'!$E$5:$E$69))</f>
        <v>0</v>
      </c>
      <c r="D81" s="12">
        <f>SUMPRODUCT(-('Diário 1º PA'!$E$4:$E$2635='Analítico Cp.'!$B81),-('Diário 1º PA'!$Q$4:$Q$2635=D$1),('Diário 1º PA'!$F$4:$F$2635))+SUMPRODUCT(-('Diário 2º PA'!$E$4:$E$3040='Analítico Cp.'!$B81),-('Diário 2º PA'!$Q$4:$Q$3040=D$1),('Diário 2º PA'!$F$4:$F$3040))+SUMPRODUCT(-('Diário 3º PA'!$E$4:$E$2731='Analítico Cp.'!$B81),-('Diário 3º PA'!$Q$4:$Q$2731=D$1),('Diário 3º PA'!$F$4:$F$2731))+SUMPRODUCT(-('Diário 4º PA'!$E$4:$E$2564='Analítico Cp.'!$B81),-('Diário 4º PA'!$Q$4:$Q$2564=D$1),('Diário 4º PA'!$F$4:$F$2564))+SUMPRODUCT(-('Comp.'!$D$5:$D$69='Analítico Cp.'!$B81),-('Comp.'!$K$5:$K$69=D$1),('Comp.'!$E$5:$E$69))</f>
        <v>0</v>
      </c>
      <c r="E81" s="12">
        <f>SUMPRODUCT(-('Diário 1º PA'!$E$4:$E$2635='Analítico Cp.'!$B81),-('Diário 1º PA'!$Q$4:$Q$2635=E$1),('Diário 1º PA'!$F$4:$F$2635))+SUMPRODUCT(-('Diário 2º PA'!$E$4:$E$3040='Analítico Cp.'!$B81),-('Diário 2º PA'!$Q$4:$Q$3040=E$1),('Diário 2º PA'!$F$4:$F$3040))+SUMPRODUCT(-('Diário 3º PA'!$E$4:$E$2731='Analítico Cp.'!$B81),-('Diário 3º PA'!$Q$4:$Q$2731=E$1),('Diário 3º PA'!$F$4:$F$2731))+SUMPRODUCT(-('Diário 4º PA'!$E$4:$E$2564='Analítico Cp.'!$B81),-('Diário 4º PA'!$Q$4:$Q$2564=E$1),('Diário 4º PA'!$F$4:$F$2564))+SUMPRODUCT(-('Comp.'!$D$5:$D$69='Analítico Cp.'!$B81),-('Comp.'!$K$5:$K$69=E$1),('Comp.'!$E$5:$E$69))</f>
        <v>0</v>
      </c>
      <c r="F81" s="12">
        <f>SUMPRODUCT(-('Diário 1º PA'!$E$4:$E$2635='Analítico Cp.'!$B81),-('Diário 1º PA'!$Q$4:$Q$2635=F$1),('Diário 1º PA'!$F$4:$F$2635))+SUMPRODUCT(-('Diário 2º PA'!$E$4:$E$3040='Analítico Cp.'!$B81),-('Diário 2º PA'!$Q$4:$Q$3040=F$1),('Diário 2º PA'!$F$4:$F$3040))+SUMPRODUCT(-('Diário 3º PA'!$E$4:$E$2731='Analítico Cp.'!$B81),-('Diário 3º PA'!$Q$4:$Q$2731=F$1),('Diário 3º PA'!$F$4:$F$2731))+SUMPRODUCT(-('Diário 4º PA'!$E$4:$E$2564='Analítico Cp.'!$B81),-('Diário 4º PA'!$Q$4:$Q$2564=F$1),('Diário 4º PA'!$F$4:$F$2564))+SUMPRODUCT(-('Comp.'!$D$5:$D$69='Analítico Cp.'!$B81),-('Comp.'!$K$5:$K$69=F$1),('Comp.'!$E$5:$E$69))</f>
        <v>0</v>
      </c>
      <c r="G81" s="12">
        <f>SUMPRODUCT(-('Diário 1º PA'!$E$4:$E$2635='Analítico Cp.'!$B81),-('Diário 1º PA'!$Q$4:$Q$2635=G$1),('Diário 1º PA'!$F$4:$F$2635))+SUMPRODUCT(-('Diário 2º PA'!$E$4:$E$3040='Analítico Cp.'!$B81),-('Diário 2º PA'!$Q$4:$Q$3040=G$1),('Diário 2º PA'!$F$4:$F$3040))+SUMPRODUCT(-('Diário 3º PA'!$E$4:$E$2731='Analítico Cp.'!$B81),-('Diário 3º PA'!$Q$4:$Q$2731=G$1),('Diário 3º PA'!$F$4:$F$2731))+SUMPRODUCT(-('Diário 4º PA'!$E$4:$E$2564='Analítico Cp.'!$B81),-('Diário 4º PA'!$Q$4:$Q$2564=G$1),('Diário 4º PA'!$F$4:$F$2564))+SUMPRODUCT(-('Comp.'!$D$5:$D$69='Analítico Cp.'!$B81),-('Comp.'!$K$5:$K$69=G$1),('Comp.'!$E$5:$E$69))</f>
        <v>0</v>
      </c>
      <c r="H81" s="12">
        <f>SUMPRODUCT(-('Diário 1º PA'!$E$4:$E$2635='Analítico Cp.'!$B81),-('Diário 1º PA'!$Q$4:$Q$2635=H$1),('Diário 1º PA'!$F$4:$F$2635))+SUMPRODUCT(-('Diário 2º PA'!$E$4:$E$3040='Analítico Cp.'!$B81),-('Diário 2º PA'!$Q$4:$Q$3040=H$1),('Diário 2º PA'!$F$4:$F$3040))+SUMPRODUCT(-('Diário 3º PA'!$E$4:$E$2731='Analítico Cp.'!$B81),-('Diário 3º PA'!$Q$4:$Q$2731=H$1),('Diário 3º PA'!$F$4:$F$2731))+SUMPRODUCT(-('Diário 4º PA'!$E$4:$E$2564='Analítico Cp.'!$B81),-('Diário 4º PA'!$Q$4:$Q$2564=H$1),('Diário 4º PA'!$F$4:$F$2564))+SUMPRODUCT(-('Comp.'!$D$5:$D$69='Analítico Cp.'!$B81),-('Comp.'!$K$5:$K$69=H$1),('Comp.'!$E$5:$E$69))</f>
        <v>0</v>
      </c>
      <c r="I81" s="12">
        <f>SUMPRODUCT(-('Diário 1º PA'!$E$4:$E$2635='Analítico Cp.'!$B81),-('Diário 1º PA'!$Q$4:$Q$2635=I$1),('Diário 1º PA'!$F$4:$F$2635))+SUMPRODUCT(-('Diário 2º PA'!$E$4:$E$3040='Analítico Cp.'!$B81),-('Diário 2º PA'!$Q$4:$Q$3040=I$1),('Diário 2º PA'!$F$4:$F$3040))+SUMPRODUCT(-('Diário 3º PA'!$E$4:$E$2731='Analítico Cp.'!$B81),-('Diário 3º PA'!$Q$4:$Q$2731=I$1),('Diário 3º PA'!$F$4:$F$2731))+SUMPRODUCT(-('Diário 4º PA'!$E$4:$E$2564='Analítico Cp.'!$B81),-('Diário 4º PA'!$Q$4:$Q$2564=I$1),('Diário 4º PA'!$F$4:$F$2564))+SUMPRODUCT(-('Comp.'!$D$5:$D$69='Analítico Cp.'!$B81),-('Comp.'!$K$5:$K$69=I$1),('Comp.'!$E$5:$E$69))</f>
        <v>0</v>
      </c>
      <c r="J81" s="12">
        <f>SUMPRODUCT(-('Diário 1º PA'!$E$4:$E$2635='Analítico Cp.'!$B81),-('Diário 1º PA'!$Q$4:$Q$2635=J$1),('Diário 1º PA'!$F$4:$F$2635))+SUMPRODUCT(-('Diário 2º PA'!$E$4:$E$3040='Analítico Cp.'!$B81),-('Diário 2º PA'!$Q$4:$Q$3040=J$1),('Diário 2º PA'!$F$4:$F$3040))+SUMPRODUCT(-('Diário 3º PA'!$E$4:$E$2731='Analítico Cp.'!$B81),-('Diário 3º PA'!$Q$4:$Q$2731=J$1),('Diário 3º PA'!$F$4:$F$2731))+SUMPRODUCT(-('Diário 4º PA'!$E$4:$E$2564='Analítico Cp.'!$B81),-('Diário 4º PA'!$Q$4:$Q$2564=J$1),('Diário 4º PA'!$F$4:$F$2564))+SUMPRODUCT(-('Comp.'!$D$5:$D$69='Analítico Cp.'!$B81),-('Comp.'!$K$5:$K$69=J$1),('Comp.'!$E$5:$E$69))</f>
        <v>0</v>
      </c>
      <c r="K81" s="12">
        <f>SUMPRODUCT(-('Diário 1º PA'!$E$4:$E$2635='Analítico Cp.'!$B81),-('Diário 1º PA'!$Q$4:$Q$2635=K$1),('Diário 1º PA'!$F$4:$F$2635))+SUMPRODUCT(-('Diário 2º PA'!$E$4:$E$3040='Analítico Cp.'!$B81),-('Diário 2º PA'!$Q$4:$Q$3040=K$1),('Diário 2º PA'!$F$4:$F$3040))+SUMPRODUCT(-('Diário 3º PA'!$E$4:$E$2731='Analítico Cp.'!$B81),-('Diário 3º PA'!$Q$4:$Q$2731=K$1),('Diário 3º PA'!$F$4:$F$2731))+SUMPRODUCT(-('Diário 4º PA'!$E$4:$E$2564='Analítico Cp.'!$B81),-('Diário 4º PA'!$Q$4:$Q$2564=K$1),('Diário 4º PA'!$F$4:$F$2564))+SUMPRODUCT(-('Comp.'!$D$5:$D$69='Analítico Cp.'!$B81),-('Comp.'!$K$5:$K$69=K$1),('Comp.'!$E$5:$E$69))</f>
        <v>0</v>
      </c>
      <c r="L81" s="12">
        <f>SUMPRODUCT(-('Diário 1º PA'!$E$4:$E$2635='Analítico Cp.'!$B81),-('Diário 1º PA'!$Q$4:$Q$2635=L$1),('Diário 1º PA'!$F$4:$F$2635))+SUMPRODUCT(-('Diário 2º PA'!$E$4:$E$3040='Analítico Cp.'!$B81),-('Diário 2º PA'!$Q$4:$Q$3040=L$1),('Diário 2º PA'!$F$4:$F$3040))+SUMPRODUCT(-('Diário 3º PA'!$E$4:$E$2731='Analítico Cp.'!$B81),-('Diário 3º PA'!$Q$4:$Q$2731=L$1),('Diário 3º PA'!$F$4:$F$2731))+SUMPRODUCT(-('Diário 4º PA'!$E$4:$E$2564='Analítico Cp.'!$B81),-('Diário 4º PA'!$Q$4:$Q$2564=L$1),('Diário 4º PA'!$F$4:$F$2564))+SUMPRODUCT(-('Comp.'!$D$5:$D$69='Analítico Cp.'!$B81),-('Comp.'!$K$5:$K$69=L$1),('Comp.'!$E$5:$E$69))</f>
        <v>0</v>
      </c>
      <c r="M81" s="12">
        <f>SUMPRODUCT(-('Diário 1º PA'!$E$4:$E$2635='Analítico Cp.'!$B81),-('Diário 1º PA'!$Q$4:$Q$2635=M$1),('Diário 1º PA'!$F$4:$F$2635))+SUMPRODUCT(-('Diário 2º PA'!$E$4:$E$3040='Analítico Cp.'!$B81),-('Diário 2º PA'!$Q$4:$Q$3040=M$1),('Diário 2º PA'!$F$4:$F$3040))+SUMPRODUCT(-('Diário 3º PA'!$E$4:$E$2731='Analítico Cp.'!$B81),-('Diário 3º PA'!$Q$4:$Q$2731=M$1),('Diário 3º PA'!$F$4:$F$2731))+SUMPRODUCT(-('Diário 4º PA'!$E$4:$E$2564='Analítico Cp.'!$B81),-('Diário 4º PA'!$Q$4:$Q$2564=M$1),('Diário 4º PA'!$F$4:$F$2564))+SUMPRODUCT(-('Comp.'!$D$5:$D$69='Analítico Cp.'!$B81),-('Comp.'!$K$5:$K$69=M$1),('Comp.'!$E$5:$E$69))</f>
        <v>0</v>
      </c>
      <c r="N81" s="12">
        <f>SUMPRODUCT(-('Diário 1º PA'!$E$4:$E$2635='Analítico Cp.'!$B81),-('Diário 1º PA'!$Q$4:$Q$2635=N$1),('Diário 1º PA'!$F$4:$F$2635))+SUMPRODUCT(-('Diário 2º PA'!$E$4:$E$3040='Analítico Cp.'!$B81),-('Diário 2º PA'!$Q$4:$Q$3040=N$1),('Diário 2º PA'!$F$4:$F$3040))+SUMPRODUCT(-('Diário 3º PA'!$E$4:$E$2731='Analítico Cp.'!$B81),-('Diário 3º PA'!$Q$4:$Q$2731=N$1),('Diário 3º PA'!$F$4:$F$2731))+SUMPRODUCT(-('Diário 4º PA'!$E$4:$E$2564='Analítico Cp.'!$B81),-('Diário 4º PA'!$Q$4:$Q$2564=N$1),('Diário 4º PA'!$F$4:$F$2564))+SUMPRODUCT(-('Comp.'!$D$5:$D$69='Analítico Cp.'!$B81),-('Comp.'!$K$5:$K$69=N$1),('Comp.'!$E$5:$E$69))</f>
        <v>0</v>
      </c>
      <c r="O81" s="13">
        <f t="shared" si="12"/>
        <v>0</v>
      </c>
      <c r="P81" s="167">
        <f t="shared" si="11"/>
        <v>0</v>
      </c>
    </row>
    <row r="82" spans="1:16" ht="23.25" customHeight="1" x14ac:dyDescent="0.2">
      <c r="A82" s="61" t="s">
        <v>147</v>
      </c>
      <c r="B82" s="103" t="s">
        <v>190</v>
      </c>
      <c r="C82" s="12">
        <f>SUMPRODUCT(-('Diário 1º PA'!$E$4:$E$2635='Analítico Cp.'!$B82),-('Diário 1º PA'!$Q$4:$Q$2635=C$1),('Diário 1º PA'!$F$4:$F$2635))+SUMPRODUCT(-('Diário 2º PA'!$E$4:$E$3040='Analítico Cp.'!$B82),-('Diário 2º PA'!$Q$4:$Q$3040=C$1),('Diário 2º PA'!$F$4:$F$3040))+SUMPRODUCT(-('Diário 3º PA'!$E$4:$E$2731='Analítico Cp.'!$B82),-('Diário 3º PA'!$Q$4:$Q$2731=C$1),('Diário 3º PA'!$F$4:$F$2731))+SUMPRODUCT(-('Diário 4º PA'!$E$4:$E$2564='Analítico Cp.'!$B82),-('Diário 4º PA'!$Q$4:$Q$2564=C$1),('Diário 4º PA'!$F$4:$F$2564))+SUMPRODUCT(-('Comp.'!$D$5:$D$69='Analítico Cp.'!$B82),-('Comp.'!$K$5:$K$69=C$1),('Comp.'!$E$5:$E$69))</f>
        <v>0</v>
      </c>
      <c r="D82" s="12">
        <f>SUMPRODUCT(-('Diário 1º PA'!$E$4:$E$2635='Analítico Cp.'!$B82),-('Diário 1º PA'!$Q$4:$Q$2635=D$1),('Diário 1º PA'!$F$4:$F$2635))+SUMPRODUCT(-('Diário 2º PA'!$E$4:$E$3040='Analítico Cp.'!$B82),-('Diário 2º PA'!$Q$4:$Q$3040=D$1),('Diário 2º PA'!$F$4:$F$3040))+SUMPRODUCT(-('Diário 3º PA'!$E$4:$E$2731='Analítico Cp.'!$B82),-('Diário 3º PA'!$Q$4:$Q$2731=D$1),('Diário 3º PA'!$F$4:$F$2731))+SUMPRODUCT(-('Diário 4º PA'!$E$4:$E$2564='Analítico Cp.'!$B82),-('Diário 4º PA'!$Q$4:$Q$2564=D$1),('Diário 4º PA'!$F$4:$F$2564))+SUMPRODUCT(-('Comp.'!$D$5:$D$69='Analítico Cp.'!$B82),-('Comp.'!$K$5:$K$69=D$1),('Comp.'!$E$5:$E$69))</f>
        <v>0</v>
      </c>
      <c r="E82" s="12">
        <f>SUMPRODUCT(-('Diário 1º PA'!$E$4:$E$2635='Analítico Cp.'!$B82),-('Diário 1º PA'!$Q$4:$Q$2635=E$1),('Diário 1º PA'!$F$4:$F$2635))+SUMPRODUCT(-('Diário 2º PA'!$E$4:$E$3040='Analítico Cp.'!$B82),-('Diário 2º PA'!$Q$4:$Q$3040=E$1),('Diário 2º PA'!$F$4:$F$3040))+SUMPRODUCT(-('Diário 3º PA'!$E$4:$E$2731='Analítico Cp.'!$B82),-('Diário 3º PA'!$Q$4:$Q$2731=E$1),('Diário 3º PA'!$F$4:$F$2731))+SUMPRODUCT(-('Diário 4º PA'!$E$4:$E$2564='Analítico Cp.'!$B82),-('Diário 4º PA'!$Q$4:$Q$2564=E$1),('Diário 4º PA'!$F$4:$F$2564))+SUMPRODUCT(-('Comp.'!$D$5:$D$69='Analítico Cp.'!$B82),-('Comp.'!$K$5:$K$69=E$1),('Comp.'!$E$5:$E$69))</f>
        <v>0</v>
      </c>
      <c r="F82" s="12">
        <f>SUMPRODUCT(-('Diário 1º PA'!$E$4:$E$2635='Analítico Cp.'!$B82),-('Diário 1º PA'!$Q$4:$Q$2635=F$1),('Diário 1º PA'!$F$4:$F$2635))+SUMPRODUCT(-('Diário 2º PA'!$E$4:$E$3040='Analítico Cp.'!$B82),-('Diário 2º PA'!$Q$4:$Q$3040=F$1),('Diário 2º PA'!$F$4:$F$3040))+SUMPRODUCT(-('Diário 3º PA'!$E$4:$E$2731='Analítico Cp.'!$B82),-('Diário 3º PA'!$Q$4:$Q$2731=F$1),('Diário 3º PA'!$F$4:$F$2731))+SUMPRODUCT(-('Diário 4º PA'!$E$4:$E$2564='Analítico Cp.'!$B82),-('Diário 4º PA'!$Q$4:$Q$2564=F$1),('Diário 4º PA'!$F$4:$F$2564))+SUMPRODUCT(-('Comp.'!$D$5:$D$69='Analítico Cp.'!$B82),-('Comp.'!$K$5:$K$69=F$1),('Comp.'!$E$5:$E$69))</f>
        <v>0</v>
      </c>
      <c r="G82" s="12">
        <f>SUMPRODUCT(-('Diário 1º PA'!$E$4:$E$2635='Analítico Cp.'!$B82),-('Diário 1º PA'!$Q$4:$Q$2635=G$1),('Diário 1º PA'!$F$4:$F$2635))+SUMPRODUCT(-('Diário 2º PA'!$E$4:$E$3040='Analítico Cp.'!$B82),-('Diário 2º PA'!$Q$4:$Q$3040=G$1),('Diário 2º PA'!$F$4:$F$3040))+SUMPRODUCT(-('Diário 3º PA'!$E$4:$E$2731='Analítico Cp.'!$B82),-('Diário 3º PA'!$Q$4:$Q$2731=G$1),('Diário 3º PA'!$F$4:$F$2731))+SUMPRODUCT(-('Diário 4º PA'!$E$4:$E$2564='Analítico Cp.'!$B82),-('Diário 4º PA'!$Q$4:$Q$2564=G$1),('Diário 4º PA'!$F$4:$F$2564))+SUMPRODUCT(-('Comp.'!$D$5:$D$69='Analítico Cp.'!$B82),-('Comp.'!$K$5:$K$69=G$1),('Comp.'!$E$5:$E$69))</f>
        <v>0</v>
      </c>
      <c r="H82" s="12">
        <f>SUMPRODUCT(-('Diário 1º PA'!$E$4:$E$2635='Analítico Cp.'!$B82),-('Diário 1º PA'!$Q$4:$Q$2635=H$1),('Diário 1º PA'!$F$4:$F$2635))+SUMPRODUCT(-('Diário 2º PA'!$E$4:$E$3040='Analítico Cp.'!$B82),-('Diário 2º PA'!$Q$4:$Q$3040=H$1),('Diário 2º PA'!$F$4:$F$3040))+SUMPRODUCT(-('Diário 3º PA'!$E$4:$E$2731='Analítico Cp.'!$B82),-('Diário 3º PA'!$Q$4:$Q$2731=H$1),('Diário 3º PA'!$F$4:$F$2731))+SUMPRODUCT(-('Diário 4º PA'!$E$4:$E$2564='Analítico Cp.'!$B82),-('Diário 4º PA'!$Q$4:$Q$2564=H$1),('Diário 4º PA'!$F$4:$F$2564))+SUMPRODUCT(-('Comp.'!$D$5:$D$69='Analítico Cp.'!$B82),-('Comp.'!$K$5:$K$69=H$1),('Comp.'!$E$5:$E$69))</f>
        <v>0</v>
      </c>
      <c r="I82" s="12">
        <f>SUMPRODUCT(-('Diário 1º PA'!$E$4:$E$2635='Analítico Cp.'!$B82),-('Diário 1º PA'!$Q$4:$Q$2635=I$1),('Diário 1º PA'!$F$4:$F$2635))+SUMPRODUCT(-('Diário 2º PA'!$E$4:$E$3040='Analítico Cp.'!$B82),-('Diário 2º PA'!$Q$4:$Q$3040=I$1),('Diário 2º PA'!$F$4:$F$3040))+SUMPRODUCT(-('Diário 3º PA'!$E$4:$E$2731='Analítico Cp.'!$B82),-('Diário 3º PA'!$Q$4:$Q$2731=I$1),('Diário 3º PA'!$F$4:$F$2731))+SUMPRODUCT(-('Diário 4º PA'!$E$4:$E$2564='Analítico Cp.'!$B82),-('Diário 4º PA'!$Q$4:$Q$2564=I$1),('Diário 4º PA'!$F$4:$F$2564))+SUMPRODUCT(-('Comp.'!$D$5:$D$69='Analítico Cp.'!$B82),-('Comp.'!$K$5:$K$69=I$1),('Comp.'!$E$5:$E$69))</f>
        <v>0</v>
      </c>
      <c r="J82" s="12">
        <f>SUMPRODUCT(-('Diário 1º PA'!$E$4:$E$2635='Analítico Cp.'!$B82),-('Diário 1º PA'!$Q$4:$Q$2635=J$1),('Diário 1º PA'!$F$4:$F$2635))+SUMPRODUCT(-('Diário 2º PA'!$E$4:$E$3040='Analítico Cp.'!$B82),-('Diário 2º PA'!$Q$4:$Q$3040=J$1),('Diário 2º PA'!$F$4:$F$3040))+SUMPRODUCT(-('Diário 3º PA'!$E$4:$E$2731='Analítico Cp.'!$B82),-('Diário 3º PA'!$Q$4:$Q$2731=J$1),('Diário 3º PA'!$F$4:$F$2731))+SUMPRODUCT(-('Diário 4º PA'!$E$4:$E$2564='Analítico Cp.'!$B82),-('Diário 4º PA'!$Q$4:$Q$2564=J$1),('Diário 4º PA'!$F$4:$F$2564))+SUMPRODUCT(-('Comp.'!$D$5:$D$69='Analítico Cp.'!$B82),-('Comp.'!$K$5:$K$69=J$1),('Comp.'!$E$5:$E$69))</f>
        <v>0</v>
      </c>
      <c r="K82" s="12">
        <f>SUMPRODUCT(-('Diário 1º PA'!$E$4:$E$2635='Analítico Cp.'!$B82),-('Diário 1º PA'!$Q$4:$Q$2635=K$1),('Diário 1º PA'!$F$4:$F$2635))+SUMPRODUCT(-('Diário 2º PA'!$E$4:$E$3040='Analítico Cp.'!$B82),-('Diário 2º PA'!$Q$4:$Q$3040=K$1),('Diário 2º PA'!$F$4:$F$3040))+SUMPRODUCT(-('Diário 3º PA'!$E$4:$E$2731='Analítico Cp.'!$B82),-('Diário 3º PA'!$Q$4:$Q$2731=K$1),('Diário 3º PA'!$F$4:$F$2731))+SUMPRODUCT(-('Diário 4º PA'!$E$4:$E$2564='Analítico Cp.'!$B82),-('Diário 4º PA'!$Q$4:$Q$2564=K$1),('Diário 4º PA'!$F$4:$F$2564))+SUMPRODUCT(-('Comp.'!$D$5:$D$69='Analítico Cp.'!$B82),-('Comp.'!$K$5:$K$69=K$1),('Comp.'!$E$5:$E$69))</f>
        <v>0</v>
      </c>
      <c r="L82" s="12">
        <f>SUMPRODUCT(-('Diário 1º PA'!$E$4:$E$2635='Analítico Cp.'!$B82),-('Diário 1º PA'!$Q$4:$Q$2635=L$1),('Diário 1º PA'!$F$4:$F$2635))+SUMPRODUCT(-('Diário 2º PA'!$E$4:$E$3040='Analítico Cp.'!$B82),-('Diário 2º PA'!$Q$4:$Q$3040=L$1),('Diário 2º PA'!$F$4:$F$3040))+SUMPRODUCT(-('Diário 3º PA'!$E$4:$E$2731='Analítico Cp.'!$B82),-('Diário 3º PA'!$Q$4:$Q$2731=L$1),('Diário 3º PA'!$F$4:$F$2731))+SUMPRODUCT(-('Diário 4º PA'!$E$4:$E$2564='Analítico Cp.'!$B82),-('Diário 4º PA'!$Q$4:$Q$2564=L$1),('Diário 4º PA'!$F$4:$F$2564))+SUMPRODUCT(-('Comp.'!$D$5:$D$69='Analítico Cp.'!$B82),-('Comp.'!$K$5:$K$69=L$1),('Comp.'!$E$5:$E$69))</f>
        <v>0</v>
      </c>
      <c r="M82" s="12">
        <f>SUMPRODUCT(-('Diário 1º PA'!$E$4:$E$2635='Analítico Cp.'!$B82),-('Diário 1º PA'!$Q$4:$Q$2635=M$1),('Diário 1º PA'!$F$4:$F$2635))+SUMPRODUCT(-('Diário 2º PA'!$E$4:$E$3040='Analítico Cp.'!$B82),-('Diário 2º PA'!$Q$4:$Q$3040=M$1),('Diário 2º PA'!$F$4:$F$3040))+SUMPRODUCT(-('Diário 3º PA'!$E$4:$E$2731='Analítico Cp.'!$B82),-('Diário 3º PA'!$Q$4:$Q$2731=M$1),('Diário 3º PA'!$F$4:$F$2731))+SUMPRODUCT(-('Diário 4º PA'!$E$4:$E$2564='Analítico Cp.'!$B82),-('Diário 4º PA'!$Q$4:$Q$2564=M$1),('Diário 4º PA'!$F$4:$F$2564))+SUMPRODUCT(-('Comp.'!$D$5:$D$69='Analítico Cp.'!$B82),-('Comp.'!$K$5:$K$69=M$1),('Comp.'!$E$5:$E$69))</f>
        <v>0</v>
      </c>
      <c r="N82" s="12">
        <f>SUMPRODUCT(-('Diário 1º PA'!$E$4:$E$2635='Analítico Cp.'!$B82),-('Diário 1º PA'!$Q$4:$Q$2635=N$1),('Diário 1º PA'!$F$4:$F$2635))+SUMPRODUCT(-('Diário 2º PA'!$E$4:$E$3040='Analítico Cp.'!$B82),-('Diário 2º PA'!$Q$4:$Q$3040=N$1),('Diário 2º PA'!$F$4:$F$3040))+SUMPRODUCT(-('Diário 3º PA'!$E$4:$E$2731='Analítico Cp.'!$B82),-('Diário 3º PA'!$Q$4:$Q$2731=N$1),('Diário 3º PA'!$F$4:$F$2731))+SUMPRODUCT(-('Diário 4º PA'!$E$4:$E$2564='Analítico Cp.'!$B82),-('Diário 4º PA'!$Q$4:$Q$2564=N$1),('Diário 4º PA'!$F$4:$F$2564))+SUMPRODUCT(-('Comp.'!$D$5:$D$69='Analítico Cp.'!$B82),-('Comp.'!$K$5:$K$69=N$1),('Comp.'!$E$5:$E$69))</f>
        <v>0</v>
      </c>
      <c r="O82" s="13">
        <f t="shared" si="12"/>
        <v>0</v>
      </c>
      <c r="P82" s="167">
        <f t="shared" si="11"/>
        <v>0</v>
      </c>
    </row>
    <row r="83" spans="1:16" ht="23.25" customHeight="1" x14ac:dyDescent="0.2">
      <c r="A83" s="61" t="s">
        <v>148</v>
      </c>
      <c r="B83" s="103" t="s">
        <v>90</v>
      </c>
      <c r="C83" s="12">
        <f>SUMPRODUCT(-('Diário 1º PA'!$E$4:$E$2635='Analítico Cp.'!$B83),-('Diário 1º PA'!$Q$4:$Q$2635=C$1),('Diário 1º PA'!$F$4:$F$2635))+SUMPRODUCT(-('Diário 2º PA'!$E$4:$E$3040='Analítico Cp.'!$B83),-('Diário 2º PA'!$Q$4:$Q$3040=C$1),('Diário 2º PA'!$F$4:$F$3040))+SUMPRODUCT(-('Diário 3º PA'!$E$4:$E$2731='Analítico Cp.'!$B83),-('Diário 3º PA'!$Q$4:$Q$2731=C$1),('Diário 3º PA'!$F$4:$F$2731))+SUMPRODUCT(-('Diário 4º PA'!$E$4:$E$2564='Analítico Cp.'!$B83),-('Diário 4º PA'!$Q$4:$Q$2564=C$1),('Diário 4º PA'!$F$4:$F$2564))+SUMPRODUCT(-('Comp.'!$D$5:$D$69='Analítico Cp.'!$B83),-('Comp.'!$K$5:$K$69=C$1),('Comp.'!$E$5:$E$69))</f>
        <v>21525.25</v>
      </c>
      <c r="D83" s="12">
        <f>SUMPRODUCT(-('Diário 1º PA'!$E$4:$E$2635='Analítico Cp.'!$B83),-('Diário 1º PA'!$Q$4:$Q$2635=D$1),('Diário 1º PA'!$F$4:$F$2635))+SUMPRODUCT(-('Diário 2º PA'!$E$4:$E$3040='Analítico Cp.'!$B83),-('Diário 2º PA'!$Q$4:$Q$3040=D$1),('Diário 2º PA'!$F$4:$F$3040))+SUMPRODUCT(-('Diário 3º PA'!$E$4:$E$2731='Analítico Cp.'!$B83),-('Diário 3º PA'!$Q$4:$Q$2731=D$1),('Diário 3º PA'!$F$4:$F$2731))+SUMPRODUCT(-('Diário 4º PA'!$E$4:$E$2564='Analítico Cp.'!$B83),-('Diário 4º PA'!$Q$4:$Q$2564=D$1),('Diário 4º PA'!$F$4:$F$2564))+SUMPRODUCT(-('Comp.'!$D$5:$D$69='Analítico Cp.'!$B83),-('Comp.'!$K$5:$K$69=D$1),('Comp.'!$E$5:$E$69))</f>
        <v>9519.25</v>
      </c>
      <c r="E83" s="12">
        <f>SUMPRODUCT(-('Diário 1º PA'!$E$4:$E$2635='Analítico Cp.'!$B83),-('Diário 1º PA'!$Q$4:$Q$2635=E$1),('Diário 1º PA'!$F$4:$F$2635))+SUMPRODUCT(-('Diário 2º PA'!$E$4:$E$3040='Analítico Cp.'!$B83),-('Diário 2º PA'!$Q$4:$Q$3040=E$1),('Diário 2º PA'!$F$4:$F$3040))+SUMPRODUCT(-('Diário 3º PA'!$E$4:$E$2731='Analítico Cp.'!$B83),-('Diário 3º PA'!$Q$4:$Q$2731=E$1),('Diário 3º PA'!$F$4:$F$2731))+SUMPRODUCT(-('Diário 4º PA'!$E$4:$E$2564='Analítico Cp.'!$B83),-('Diário 4º PA'!$Q$4:$Q$2564=E$1),('Diário 4º PA'!$F$4:$F$2564))+SUMPRODUCT(-('Comp.'!$D$5:$D$69='Analítico Cp.'!$B83),-('Comp.'!$K$5:$K$69=E$1),('Comp.'!$E$5:$E$69))</f>
        <v>37634.450000000004</v>
      </c>
      <c r="F83" s="12">
        <f>SUMPRODUCT(-('Diário 1º PA'!$E$4:$E$2635='Analítico Cp.'!$B83),-('Diário 1º PA'!$Q$4:$Q$2635=F$1),('Diário 1º PA'!$F$4:$F$2635))+SUMPRODUCT(-('Diário 2º PA'!$E$4:$E$3040='Analítico Cp.'!$B83),-('Diário 2º PA'!$Q$4:$Q$3040=F$1),('Diário 2º PA'!$F$4:$F$3040))+SUMPRODUCT(-('Diário 3º PA'!$E$4:$E$2731='Analítico Cp.'!$B83),-('Diário 3º PA'!$Q$4:$Q$2731=F$1),('Diário 3º PA'!$F$4:$F$2731))+SUMPRODUCT(-('Diário 4º PA'!$E$4:$E$2564='Analítico Cp.'!$B83),-('Diário 4º PA'!$Q$4:$Q$2564=F$1),('Diário 4º PA'!$F$4:$F$2564))+SUMPRODUCT(-('Comp.'!$D$5:$D$69='Analítico Cp.'!$B83),-('Comp.'!$K$5:$K$69=F$1),('Comp.'!$E$5:$E$69))</f>
        <v>11519.25</v>
      </c>
      <c r="G83" s="12">
        <f>SUMPRODUCT(-('Diário 1º PA'!$E$4:$E$2635='Analítico Cp.'!$B83),-('Diário 1º PA'!$Q$4:$Q$2635=G$1),('Diário 1º PA'!$F$4:$F$2635))+SUMPRODUCT(-('Diário 2º PA'!$E$4:$E$3040='Analítico Cp.'!$B83),-('Diário 2º PA'!$Q$4:$Q$3040=G$1),('Diário 2º PA'!$F$4:$F$3040))+SUMPRODUCT(-('Diário 3º PA'!$E$4:$E$2731='Analítico Cp.'!$B83),-('Diário 3º PA'!$Q$4:$Q$2731=G$1),('Diário 3º PA'!$F$4:$F$2731))+SUMPRODUCT(-('Diário 4º PA'!$E$4:$E$2564='Analítico Cp.'!$B83),-('Diário 4º PA'!$Q$4:$Q$2564=G$1),('Diário 4º PA'!$F$4:$F$2564))+SUMPRODUCT(-('Comp.'!$D$5:$D$69='Analítico Cp.'!$B83),-('Comp.'!$K$5:$K$69=G$1),('Comp.'!$E$5:$E$69))</f>
        <v>17282.75</v>
      </c>
      <c r="H83" s="12">
        <f>SUMPRODUCT(-('Diário 1º PA'!$E$4:$E$2635='Analítico Cp.'!$B83),-('Diário 1º PA'!$Q$4:$Q$2635=H$1),('Diário 1º PA'!$F$4:$F$2635))+SUMPRODUCT(-('Diário 2º PA'!$E$4:$E$3040='Analítico Cp.'!$B83),-('Diário 2º PA'!$Q$4:$Q$3040=H$1),('Diário 2º PA'!$F$4:$F$3040))+SUMPRODUCT(-('Diário 3º PA'!$E$4:$E$2731='Analítico Cp.'!$B83),-('Diário 3º PA'!$Q$4:$Q$2731=H$1),('Diário 3º PA'!$F$4:$F$2731))+SUMPRODUCT(-('Diário 4º PA'!$E$4:$E$2564='Analítico Cp.'!$B83),-('Diário 4º PA'!$Q$4:$Q$2564=H$1),('Diário 4º PA'!$F$4:$F$2564))+SUMPRODUCT(-('Comp.'!$D$5:$D$69='Analítico Cp.'!$B83),-('Comp.'!$K$5:$K$69=H$1),('Comp.'!$E$5:$E$69))</f>
        <v>64026.75</v>
      </c>
      <c r="I83" s="12">
        <f>SUMPRODUCT(-('Diário 1º PA'!$E$4:$E$2635='Analítico Cp.'!$B83),-('Diário 1º PA'!$Q$4:$Q$2635=I$1),('Diário 1º PA'!$F$4:$F$2635))+SUMPRODUCT(-('Diário 2º PA'!$E$4:$E$3040='Analítico Cp.'!$B83),-('Diário 2º PA'!$Q$4:$Q$3040=I$1),('Diário 2º PA'!$F$4:$F$3040))+SUMPRODUCT(-('Diário 3º PA'!$E$4:$E$2731='Analítico Cp.'!$B83),-('Diário 3º PA'!$Q$4:$Q$2731=I$1),('Diário 3º PA'!$F$4:$F$2731))+SUMPRODUCT(-('Diário 4º PA'!$E$4:$E$2564='Analítico Cp.'!$B83),-('Diário 4º PA'!$Q$4:$Q$2564=I$1),('Diário 4º PA'!$F$4:$F$2564))+SUMPRODUCT(-('Comp.'!$D$5:$D$69='Analítico Cp.'!$B83),-('Comp.'!$K$5:$K$69=I$1),('Comp.'!$E$5:$E$69))</f>
        <v>35675.33</v>
      </c>
      <c r="J83" s="12">
        <f>SUMPRODUCT(-('Diário 1º PA'!$E$4:$E$2635='Analítico Cp.'!$B83),-('Diário 1º PA'!$Q$4:$Q$2635=J$1),('Diário 1º PA'!$F$4:$F$2635))+SUMPRODUCT(-('Diário 2º PA'!$E$4:$E$3040='Analítico Cp.'!$B83),-('Diário 2º PA'!$Q$4:$Q$3040=J$1),('Diário 2º PA'!$F$4:$F$3040))+SUMPRODUCT(-('Diário 3º PA'!$E$4:$E$2731='Analítico Cp.'!$B83),-('Diário 3º PA'!$Q$4:$Q$2731=J$1),('Diário 3º PA'!$F$4:$F$2731))+SUMPRODUCT(-('Diário 4º PA'!$E$4:$E$2564='Analítico Cp.'!$B83),-('Diário 4º PA'!$Q$4:$Q$2564=J$1),('Diário 4º PA'!$F$4:$F$2564))+SUMPRODUCT(-('Comp.'!$D$5:$D$69='Analítico Cp.'!$B83),-('Comp.'!$K$5:$K$69=J$1),('Comp.'!$E$5:$E$69))</f>
        <v>26354.63</v>
      </c>
      <c r="K83" s="12">
        <f>SUMPRODUCT(-('Diário 1º PA'!$E$4:$E$2635='Analítico Cp.'!$B83),-('Diário 1º PA'!$Q$4:$Q$2635=K$1),('Diário 1º PA'!$F$4:$F$2635))+SUMPRODUCT(-('Diário 2º PA'!$E$4:$E$3040='Analítico Cp.'!$B83),-('Diário 2º PA'!$Q$4:$Q$3040=K$1),('Diário 2º PA'!$F$4:$F$3040))+SUMPRODUCT(-('Diário 3º PA'!$E$4:$E$2731='Analítico Cp.'!$B83),-('Diário 3º PA'!$Q$4:$Q$2731=K$1),('Diário 3º PA'!$F$4:$F$2731))+SUMPRODUCT(-('Diário 4º PA'!$E$4:$E$2564='Analítico Cp.'!$B83),-('Diário 4º PA'!$Q$4:$Q$2564=K$1),('Diário 4º PA'!$F$4:$F$2564))+SUMPRODUCT(-('Comp.'!$D$5:$D$69='Analítico Cp.'!$B83),-('Comp.'!$K$5:$K$69=K$1),('Comp.'!$E$5:$E$69))</f>
        <v>22919.25</v>
      </c>
      <c r="L83" s="12">
        <f>SUMPRODUCT(-('Diário 1º PA'!$E$4:$E$2635='Analítico Cp.'!$B83),-('Diário 1º PA'!$Q$4:$Q$2635=L$1),('Diário 1º PA'!$F$4:$F$2635))+SUMPRODUCT(-('Diário 2º PA'!$E$4:$E$3040='Analítico Cp.'!$B83),-('Diário 2º PA'!$Q$4:$Q$3040=L$1),('Diário 2º PA'!$F$4:$F$3040))+SUMPRODUCT(-('Diário 3º PA'!$E$4:$E$2731='Analítico Cp.'!$B83),-('Diário 3º PA'!$Q$4:$Q$2731=L$1),('Diário 3º PA'!$F$4:$F$2731))+SUMPRODUCT(-('Diário 4º PA'!$E$4:$E$2564='Analítico Cp.'!$B83),-('Diário 4º PA'!$Q$4:$Q$2564=L$1),('Diário 4º PA'!$F$4:$F$2564))+SUMPRODUCT(-('Comp.'!$D$5:$D$69='Analítico Cp.'!$B83),-('Comp.'!$K$5:$K$69=L$1),('Comp.'!$E$5:$E$69))</f>
        <v>27574.25</v>
      </c>
      <c r="M83" s="12">
        <f>SUMPRODUCT(-('Diário 1º PA'!$E$4:$E$2635='Analítico Cp.'!$B83),-('Diário 1º PA'!$Q$4:$Q$2635=M$1),('Diário 1º PA'!$F$4:$F$2635))+SUMPRODUCT(-('Diário 2º PA'!$E$4:$E$3040='Analítico Cp.'!$B83),-('Diário 2º PA'!$Q$4:$Q$3040=M$1),('Diário 2º PA'!$F$4:$F$3040))+SUMPRODUCT(-('Diário 3º PA'!$E$4:$E$2731='Analítico Cp.'!$B83),-('Diário 3º PA'!$Q$4:$Q$2731=M$1),('Diário 3º PA'!$F$4:$F$2731))+SUMPRODUCT(-('Diário 4º PA'!$E$4:$E$2564='Analítico Cp.'!$B83),-('Diário 4º PA'!$Q$4:$Q$2564=M$1),('Diário 4º PA'!$F$4:$F$2564))+SUMPRODUCT(-('Comp.'!$D$5:$D$69='Analítico Cp.'!$B83),-('Comp.'!$K$5:$K$69=M$1),('Comp.'!$E$5:$E$69))</f>
        <v>22590.799999999999</v>
      </c>
      <c r="N83" s="12">
        <f>SUMPRODUCT(-('Diário 1º PA'!$E$4:$E$2635='Analítico Cp.'!$B83),-('Diário 1º PA'!$Q$4:$Q$2635=N$1),('Diário 1º PA'!$F$4:$F$2635))+SUMPRODUCT(-('Diário 2º PA'!$E$4:$E$3040='Analítico Cp.'!$B83),-('Diário 2º PA'!$Q$4:$Q$3040=N$1),('Diário 2º PA'!$F$4:$F$3040))+SUMPRODUCT(-('Diário 3º PA'!$E$4:$E$2731='Analítico Cp.'!$B83),-('Diário 3º PA'!$Q$4:$Q$2731=N$1),('Diário 3º PA'!$F$4:$F$2731))+SUMPRODUCT(-('Diário 4º PA'!$E$4:$E$2564='Analítico Cp.'!$B83),-('Diário 4º PA'!$Q$4:$Q$2564=N$1),('Diário 4º PA'!$F$4:$F$2564))+SUMPRODUCT(-('Comp.'!$D$5:$D$69='Analítico Cp.'!$B83),-('Comp.'!$K$5:$K$69=N$1),('Comp.'!$E$5:$E$69))</f>
        <v>8043.9</v>
      </c>
      <c r="O83" s="13">
        <f t="shared" si="12"/>
        <v>304665.86000000004</v>
      </c>
      <c r="P83" s="167">
        <f t="shared" si="11"/>
        <v>2.4893831197487101E-2</v>
      </c>
    </row>
    <row r="84" spans="1:16" ht="23.25" customHeight="1" x14ac:dyDescent="0.2">
      <c r="A84" s="61" t="s">
        <v>149</v>
      </c>
      <c r="B84" s="103" t="s">
        <v>86</v>
      </c>
      <c r="C84" s="12">
        <f>SUMPRODUCT(-('Diário 1º PA'!$E$4:$E$2635='Analítico Cp.'!$B84),-('Diário 1º PA'!$Q$4:$Q$2635=C$1),('Diário 1º PA'!$F$4:$F$2635))+SUMPRODUCT(-('Diário 2º PA'!$E$4:$E$3040='Analítico Cp.'!$B84),-('Diário 2º PA'!$Q$4:$Q$3040=C$1),('Diário 2º PA'!$F$4:$F$3040))+SUMPRODUCT(-('Diário 3º PA'!$E$4:$E$2731='Analítico Cp.'!$B84),-('Diário 3º PA'!$Q$4:$Q$2731=C$1),('Diário 3º PA'!$F$4:$F$2731))+SUMPRODUCT(-('Diário 4º PA'!$E$4:$E$2564='Analítico Cp.'!$B84),-('Diário 4º PA'!$Q$4:$Q$2564=C$1),('Diário 4º PA'!$F$4:$F$2564))+SUMPRODUCT(-('Comp.'!$D$5:$D$69='Analítico Cp.'!$B84),-('Comp.'!$K$5:$K$69=C$1),('Comp.'!$E$5:$E$69))</f>
        <v>0</v>
      </c>
      <c r="D84" s="12">
        <f>SUMPRODUCT(-('Diário 1º PA'!$E$4:$E$2635='Analítico Cp.'!$B84),-('Diário 1º PA'!$Q$4:$Q$2635=D$1),('Diário 1º PA'!$F$4:$F$2635))+SUMPRODUCT(-('Diário 2º PA'!$E$4:$E$3040='Analítico Cp.'!$B84),-('Diário 2º PA'!$Q$4:$Q$3040=D$1),('Diário 2º PA'!$F$4:$F$3040))+SUMPRODUCT(-('Diário 3º PA'!$E$4:$E$2731='Analítico Cp.'!$B84),-('Diário 3º PA'!$Q$4:$Q$2731=D$1),('Diário 3º PA'!$F$4:$F$2731))+SUMPRODUCT(-('Diário 4º PA'!$E$4:$E$2564='Analítico Cp.'!$B84),-('Diário 4º PA'!$Q$4:$Q$2564=D$1),('Diário 4º PA'!$F$4:$F$2564))+SUMPRODUCT(-('Comp.'!$D$5:$D$69='Analítico Cp.'!$B84),-('Comp.'!$K$5:$K$69=D$1),('Comp.'!$E$5:$E$69))</f>
        <v>0</v>
      </c>
      <c r="E84" s="12">
        <f>SUMPRODUCT(-('Diário 1º PA'!$E$4:$E$2635='Analítico Cp.'!$B84),-('Diário 1º PA'!$Q$4:$Q$2635=E$1),('Diário 1º PA'!$F$4:$F$2635))+SUMPRODUCT(-('Diário 2º PA'!$E$4:$E$3040='Analítico Cp.'!$B84),-('Diário 2º PA'!$Q$4:$Q$3040=E$1),('Diário 2º PA'!$F$4:$F$3040))+SUMPRODUCT(-('Diário 3º PA'!$E$4:$E$2731='Analítico Cp.'!$B84),-('Diário 3º PA'!$Q$4:$Q$2731=E$1),('Diário 3º PA'!$F$4:$F$2731))+SUMPRODUCT(-('Diário 4º PA'!$E$4:$E$2564='Analítico Cp.'!$B84),-('Diário 4º PA'!$Q$4:$Q$2564=E$1),('Diário 4º PA'!$F$4:$F$2564))+SUMPRODUCT(-('Comp.'!$D$5:$D$69='Analítico Cp.'!$B84),-('Comp.'!$K$5:$K$69=E$1),('Comp.'!$E$5:$E$69))</f>
        <v>0</v>
      </c>
      <c r="F84" s="12">
        <f>SUMPRODUCT(-('Diário 1º PA'!$E$4:$E$2635='Analítico Cp.'!$B84),-('Diário 1º PA'!$Q$4:$Q$2635=F$1),('Diário 1º PA'!$F$4:$F$2635))+SUMPRODUCT(-('Diário 2º PA'!$E$4:$E$3040='Analítico Cp.'!$B84),-('Diário 2º PA'!$Q$4:$Q$3040=F$1),('Diário 2º PA'!$F$4:$F$3040))+SUMPRODUCT(-('Diário 3º PA'!$E$4:$E$2731='Analítico Cp.'!$B84),-('Diário 3º PA'!$Q$4:$Q$2731=F$1),('Diário 3º PA'!$F$4:$F$2731))+SUMPRODUCT(-('Diário 4º PA'!$E$4:$E$2564='Analítico Cp.'!$B84),-('Diário 4º PA'!$Q$4:$Q$2564=F$1),('Diário 4º PA'!$F$4:$F$2564))+SUMPRODUCT(-('Comp.'!$D$5:$D$69='Analítico Cp.'!$B84),-('Comp.'!$K$5:$K$69=F$1),('Comp.'!$E$5:$E$69))</f>
        <v>0</v>
      </c>
      <c r="G84" s="12">
        <f>SUMPRODUCT(-('Diário 1º PA'!$E$4:$E$2635='Analítico Cp.'!$B84),-('Diário 1º PA'!$Q$4:$Q$2635=G$1),('Diário 1º PA'!$F$4:$F$2635))+SUMPRODUCT(-('Diário 2º PA'!$E$4:$E$3040='Analítico Cp.'!$B84),-('Diário 2º PA'!$Q$4:$Q$3040=G$1),('Diário 2º PA'!$F$4:$F$3040))+SUMPRODUCT(-('Diário 3º PA'!$E$4:$E$2731='Analítico Cp.'!$B84),-('Diário 3º PA'!$Q$4:$Q$2731=G$1),('Diário 3º PA'!$F$4:$F$2731))+SUMPRODUCT(-('Diário 4º PA'!$E$4:$E$2564='Analítico Cp.'!$B84),-('Diário 4º PA'!$Q$4:$Q$2564=G$1),('Diário 4º PA'!$F$4:$F$2564))+SUMPRODUCT(-('Comp.'!$D$5:$D$69='Analítico Cp.'!$B84),-('Comp.'!$K$5:$K$69=G$1),('Comp.'!$E$5:$E$69))</f>
        <v>0</v>
      </c>
      <c r="H84" s="12">
        <f>SUMPRODUCT(-('Diário 1º PA'!$E$4:$E$2635='Analítico Cp.'!$B84),-('Diário 1º PA'!$Q$4:$Q$2635=H$1),('Diário 1º PA'!$F$4:$F$2635))+SUMPRODUCT(-('Diário 2º PA'!$E$4:$E$3040='Analítico Cp.'!$B84),-('Diário 2º PA'!$Q$4:$Q$3040=H$1),('Diário 2º PA'!$F$4:$F$3040))+SUMPRODUCT(-('Diário 3º PA'!$E$4:$E$2731='Analítico Cp.'!$B84),-('Diário 3º PA'!$Q$4:$Q$2731=H$1),('Diário 3º PA'!$F$4:$F$2731))+SUMPRODUCT(-('Diário 4º PA'!$E$4:$E$2564='Analítico Cp.'!$B84),-('Diário 4º PA'!$Q$4:$Q$2564=H$1),('Diário 4º PA'!$F$4:$F$2564))+SUMPRODUCT(-('Comp.'!$D$5:$D$69='Analítico Cp.'!$B84),-('Comp.'!$K$5:$K$69=H$1),('Comp.'!$E$5:$E$69))</f>
        <v>0</v>
      </c>
      <c r="I84" s="12">
        <f>SUMPRODUCT(-('Diário 1º PA'!$E$4:$E$2635='Analítico Cp.'!$B84),-('Diário 1º PA'!$Q$4:$Q$2635=I$1),('Diário 1º PA'!$F$4:$F$2635))+SUMPRODUCT(-('Diário 2º PA'!$E$4:$E$3040='Analítico Cp.'!$B84),-('Diário 2º PA'!$Q$4:$Q$3040=I$1),('Diário 2º PA'!$F$4:$F$3040))+SUMPRODUCT(-('Diário 3º PA'!$E$4:$E$2731='Analítico Cp.'!$B84),-('Diário 3º PA'!$Q$4:$Q$2731=I$1),('Diário 3º PA'!$F$4:$F$2731))+SUMPRODUCT(-('Diário 4º PA'!$E$4:$E$2564='Analítico Cp.'!$B84),-('Diário 4º PA'!$Q$4:$Q$2564=I$1),('Diário 4º PA'!$F$4:$F$2564))+SUMPRODUCT(-('Comp.'!$D$5:$D$69='Analítico Cp.'!$B84),-('Comp.'!$K$5:$K$69=I$1),('Comp.'!$E$5:$E$69))</f>
        <v>0</v>
      </c>
      <c r="J84" s="12">
        <f>SUMPRODUCT(-('Diário 1º PA'!$E$4:$E$2635='Analítico Cp.'!$B84),-('Diário 1º PA'!$Q$4:$Q$2635=J$1),('Diário 1º PA'!$F$4:$F$2635))+SUMPRODUCT(-('Diário 2º PA'!$E$4:$E$3040='Analítico Cp.'!$B84),-('Diário 2º PA'!$Q$4:$Q$3040=J$1),('Diário 2º PA'!$F$4:$F$3040))+SUMPRODUCT(-('Diário 3º PA'!$E$4:$E$2731='Analítico Cp.'!$B84),-('Diário 3º PA'!$Q$4:$Q$2731=J$1),('Diário 3º PA'!$F$4:$F$2731))+SUMPRODUCT(-('Diário 4º PA'!$E$4:$E$2564='Analítico Cp.'!$B84),-('Diário 4º PA'!$Q$4:$Q$2564=J$1),('Diário 4º PA'!$F$4:$F$2564))+SUMPRODUCT(-('Comp.'!$D$5:$D$69='Analítico Cp.'!$B84),-('Comp.'!$K$5:$K$69=J$1),('Comp.'!$E$5:$E$69))</f>
        <v>0</v>
      </c>
      <c r="K84" s="12">
        <f>SUMPRODUCT(-('Diário 1º PA'!$E$4:$E$2635='Analítico Cp.'!$B84),-('Diário 1º PA'!$Q$4:$Q$2635=K$1),('Diário 1º PA'!$F$4:$F$2635))+SUMPRODUCT(-('Diário 2º PA'!$E$4:$E$3040='Analítico Cp.'!$B84),-('Diário 2º PA'!$Q$4:$Q$3040=K$1),('Diário 2º PA'!$F$4:$F$3040))+SUMPRODUCT(-('Diário 3º PA'!$E$4:$E$2731='Analítico Cp.'!$B84),-('Diário 3º PA'!$Q$4:$Q$2731=K$1),('Diário 3º PA'!$F$4:$F$2731))+SUMPRODUCT(-('Diário 4º PA'!$E$4:$E$2564='Analítico Cp.'!$B84),-('Diário 4º PA'!$Q$4:$Q$2564=K$1),('Diário 4º PA'!$F$4:$F$2564))+SUMPRODUCT(-('Comp.'!$D$5:$D$69='Analítico Cp.'!$B84),-('Comp.'!$K$5:$K$69=K$1),('Comp.'!$E$5:$E$69))</f>
        <v>0</v>
      </c>
      <c r="L84" s="12">
        <f>SUMPRODUCT(-('Diário 1º PA'!$E$4:$E$2635='Analítico Cp.'!$B84),-('Diário 1º PA'!$Q$4:$Q$2635=L$1),('Diário 1º PA'!$F$4:$F$2635))+SUMPRODUCT(-('Diário 2º PA'!$E$4:$E$3040='Analítico Cp.'!$B84),-('Diário 2º PA'!$Q$4:$Q$3040=L$1),('Diário 2º PA'!$F$4:$F$3040))+SUMPRODUCT(-('Diário 3º PA'!$E$4:$E$2731='Analítico Cp.'!$B84),-('Diário 3º PA'!$Q$4:$Q$2731=L$1),('Diário 3º PA'!$F$4:$F$2731))+SUMPRODUCT(-('Diário 4º PA'!$E$4:$E$2564='Analítico Cp.'!$B84),-('Diário 4º PA'!$Q$4:$Q$2564=L$1),('Diário 4º PA'!$F$4:$F$2564))+SUMPRODUCT(-('Comp.'!$D$5:$D$69='Analítico Cp.'!$B84),-('Comp.'!$K$5:$K$69=L$1),('Comp.'!$E$5:$E$69))</f>
        <v>0</v>
      </c>
      <c r="M84" s="12">
        <f>SUMPRODUCT(-('Diário 1º PA'!$E$4:$E$2635='Analítico Cp.'!$B84),-('Diário 1º PA'!$Q$4:$Q$2635=M$1),('Diário 1º PA'!$F$4:$F$2635))+SUMPRODUCT(-('Diário 2º PA'!$E$4:$E$3040='Analítico Cp.'!$B84),-('Diário 2º PA'!$Q$4:$Q$3040=M$1),('Diário 2º PA'!$F$4:$F$3040))+SUMPRODUCT(-('Diário 3º PA'!$E$4:$E$2731='Analítico Cp.'!$B84),-('Diário 3º PA'!$Q$4:$Q$2731=M$1),('Diário 3º PA'!$F$4:$F$2731))+SUMPRODUCT(-('Diário 4º PA'!$E$4:$E$2564='Analítico Cp.'!$B84),-('Diário 4º PA'!$Q$4:$Q$2564=M$1),('Diário 4º PA'!$F$4:$F$2564))+SUMPRODUCT(-('Comp.'!$D$5:$D$69='Analítico Cp.'!$B84),-('Comp.'!$K$5:$K$69=M$1),('Comp.'!$E$5:$E$69))</f>
        <v>0</v>
      </c>
      <c r="N84" s="12">
        <f>SUMPRODUCT(-('Diário 1º PA'!$E$4:$E$2635='Analítico Cp.'!$B84),-('Diário 1º PA'!$Q$4:$Q$2635=N$1),('Diário 1º PA'!$F$4:$F$2635))+SUMPRODUCT(-('Diário 2º PA'!$E$4:$E$3040='Analítico Cp.'!$B84),-('Diário 2º PA'!$Q$4:$Q$3040=N$1),('Diário 2º PA'!$F$4:$F$3040))+SUMPRODUCT(-('Diário 3º PA'!$E$4:$E$2731='Analítico Cp.'!$B84),-('Diário 3º PA'!$Q$4:$Q$2731=N$1),('Diário 3º PA'!$F$4:$F$2731))+SUMPRODUCT(-('Diário 4º PA'!$E$4:$E$2564='Analítico Cp.'!$B84),-('Diário 4º PA'!$Q$4:$Q$2564=N$1),('Diário 4º PA'!$F$4:$F$2564))+SUMPRODUCT(-('Comp.'!$D$5:$D$69='Analítico Cp.'!$B84),-('Comp.'!$K$5:$K$69=N$1),('Comp.'!$E$5:$E$69))</f>
        <v>0</v>
      </c>
      <c r="O84" s="13">
        <f t="shared" si="12"/>
        <v>0</v>
      </c>
      <c r="P84" s="167">
        <f t="shared" si="11"/>
        <v>0</v>
      </c>
    </row>
    <row r="85" spans="1:16" ht="23.25" customHeight="1" x14ac:dyDescent="0.2">
      <c r="A85" s="61" t="s">
        <v>150</v>
      </c>
      <c r="B85" s="103" t="s">
        <v>178</v>
      </c>
      <c r="C85" s="12">
        <f>SUMPRODUCT(-('Diário 1º PA'!$E$4:$E$2635='Analítico Cp.'!$B85),-('Diário 1º PA'!$Q$4:$Q$2635=C$1),('Diário 1º PA'!$F$4:$F$2635))+SUMPRODUCT(-('Diário 2º PA'!$E$4:$E$3040='Analítico Cp.'!$B85),-('Diário 2º PA'!$Q$4:$Q$3040=C$1),('Diário 2º PA'!$F$4:$F$3040))+SUMPRODUCT(-('Diário 3º PA'!$E$4:$E$2731='Analítico Cp.'!$B85),-('Diário 3º PA'!$Q$4:$Q$2731=C$1),('Diário 3º PA'!$F$4:$F$2731))+SUMPRODUCT(-('Diário 4º PA'!$E$4:$E$2564='Analítico Cp.'!$B85),-('Diário 4º PA'!$Q$4:$Q$2564=C$1),('Diário 4º PA'!$F$4:$F$2564))+SUMPRODUCT(-('Comp.'!$D$5:$D$69='Analítico Cp.'!$B85),-('Comp.'!$K$5:$K$69=C$1),('Comp.'!$E$5:$E$69))</f>
        <v>195.01000000000002</v>
      </c>
      <c r="D85" s="12">
        <f>SUMPRODUCT(-('Diário 1º PA'!$E$4:$E$2635='Analítico Cp.'!$B85),-('Diário 1º PA'!$Q$4:$Q$2635=D$1),('Diário 1º PA'!$F$4:$F$2635))+SUMPRODUCT(-('Diário 2º PA'!$E$4:$E$3040='Analítico Cp.'!$B85),-('Diário 2º PA'!$Q$4:$Q$3040=D$1),('Diário 2º PA'!$F$4:$F$3040))+SUMPRODUCT(-('Diário 3º PA'!$E$4:$E$2731='Analítico Cp.'!$B85),-('Diário 3º PA'!$Q$4:$Q$2731=D$1),('Diário 3º PA'!$F$4:$F$2731))+SUMPRODUCT(-('Diário 4º PA'!$E$4:$E$2564='Analítico Cp.'!$B85),-('Diário 4º PA'!$Q$4:$Q$2564=D$1),('Diário 4º PA'!$F$4:$F$2564))+SUMPRODUCT(-('Comp.'!$D$5:$D$69='Analítico Cp.'!$B85),-('Comp.'!$K$5:$K$69=D$1),('Comp.'!$E$5:$E$69))</f>
        <v>2389.5000000000005</v>
      </c>
      <c r="E85" s="12">
        <f>SUMPRODUCT(-('Diário 1º PA'!$E$4:$E$2635='Analítico Cp.'!$B85),-('Diário 1º PA'!$Q$4:$Q$2635=E$1),('Diário 1º PA'!$F$4:$F$2635))+SUMPRODUCT(-('Diário 2º PA'!$E$4:$E$3040='Analítico Cp.'!$B85),-('Diário 2º PA'!$Q$4:$Q$3040=E$1),('Diário 2º PA'!$F$4:$F$3040))+SUMPRODUCT(-('Diário 3º PA'!$E$4:$E$2731='Analítico Cp.'!$B85),-('Diário 3º PA'!$Q$4:$Q$2731=E$1),('Diário 3º PA'!$F$4:$F$2731))+SUMPRODUCT(-('Diário 4º PA'!$E$4:$E$2564='Analítico Cp.'!$B85),-('Diário 4º PA'!$Q$4:$Q$2564=E$1),('Diário 4º PA'!$F$4:$F$2564))+SUMPRODUCT(-('Comp.'!$D$5:$D$69='Analítico Cp.'!$B85),-('Comp.'!$K$5:$K$69=E$1),('Comp.'!$E$5:$E$69))</f>
        <v>195.01000000000002</v>
      </c>
      <c r="F85" s="12">
        <f>SUMPRODUCT(-('Diário 1º PA'!$E$4:$E$2635='Analítico Cp.'!$B85),-('Diário 1º PA'!$Q$4:$Q$2635=F$1),('Diário 1º PA'!$F$4:$F$2635))+SUMPRODUCT(-('Diário 2º PA'!$E$4:$E$3040='Analítico Cp.'!$B85),-('Diário 2º PA'!$Q$4:$Q$3040=F$1),('Diário 2º PA'!$F$4:$F$3040))+SUMPRODUCT(-('Diário 3º PA'!$E$4:$E$2731='Analítico Cp.'!$B85),-('Diário 3º PA'!$Q$4:$Q$2731=F$1),('Diário 3º PA'!$F$4:$F$2731))+SUMPRODUCT(-('Diário 4º PA'!$E$4:$E$2564='Analítico Cp.'!$B85),-('Diário 4º PA'!$Q$4:$Q$2564=F$1),('Diário 4º PA'!$F$4:$F$2564))+SUMPRODUCT(-('Comp.'!$D$5:$D$69='Analítico Cp.'!$B85),-('Comp.'!$K$5:$K$69=F$1),('Comp.'!$E$5:$E$69))</f>
        <v>195</v>
      </c>
      <c r="G85" s="12">
        <f>SUMPRODUCT(-('Diário 1º PA'!$E$4:$E$2635='Analítico Cp.'!$B85),-('Diário 1º PA'!$Q$4:$Q$2635=G$1),('Diário 1º PA'!$F$4:$F$2635))+SUMPRODUCT(-('Diário 2º PA'!$E$4:$E$3040='Analítico Cp.'!$B85),-('Diário 2º PA'!$Q$4:$Q$3040=G$1),('Diário 2º PA'!$F$4:$F$3040))+SUMPRODUCT(-('Diário 3º PA'!$E$4:$E$2731='Analítico Cp.'!$B85),-('Diário 3º PA'!$Q$4:$Q$2731=G$1),('Diário 3º PA'!$F$4:$F$2731))+SUMPRODUCT(-('Diário 4º PA'!$E$4:$E$2564='Analítico Cp.'!$B85),-('Diário 4º PA'!$Q$4:$Q$2564=G$1),('Diário 4º PA'!$F$4:$F$2564))+SUMPRODUCT(-('Comp.'!$D$5:$D$69='Analítico Cp.'!$B85),-('Comp.'!$K$5:$K$69=G$1),('Comp.'!$E$5:$E$69))</f>
        <v>195.01000000000002</v>
      </c>
      <c r="H85" s="12">
        <f>SUMPRODUCT(-('Diário 1º PA'!$E$4:$E$2635='Analítico Cp.'!$B85),-('Diário 1º PA'!$Q$4:$Q$2635=H$1),('Diário 1º PA'!$F$4:$F$2635))+SUMPRODUCT(-('Diário 2º PA'!$E$4:$E$3040='Analítico Cp.'!$B85),-('Diário 2º PA'!$Q$4:$Q$3040=H$1),('Diário 2º PA'!$F$4:$F$3040))+SUMPRODUCT(-('Diário 3º PA'!$E$4:$E$2731='Analítico Cp.'!$B85),-('Diário 3º PA'!$Q$4:$Q$2731=H$1),('Diário 3º PA'!$F$4:$F$2731))+SUMPRODUCT(-('Diário 4º PA'!$E$4:$E$2564='Analítico Cp.'!$B85),-('Diário 4º PA'!$Q$4:$Q$2564=H$1),('Diário 4º PA'!$F$4:$F$2564))+SUMPRODUCT(-('Comp.'!$D$5:$D$69='Analítico Cp.'!$B85),-('Comp.'!$K$5:$K$69=H$1),('Comp.'!$E$5:$E$69))</f>
        <v>195.01000000000002</v>
      </c>
      <c r="I85" s="12">
        <f>SUMPRODUCT(-('Diário 1º PA'!$E$4:$E$2635='Analítico Cp.'!$B85),-('Diário 1º PA'!$Q$4:$Q$2635=I$1),('Diário 1º PA'!$F$4:$F$2635))+SUMPRODUCT(-('Diário 2º PA'!$E$4:$E$3040='Analítico Cp.'!$B85),-('Diário 2º PA'!$Q$4:$Q$3040=I$1),('Diário 2º PA'!$F$4:$F$3040))+SUMPRODUCT(-('Diário 3º PA'!$E$4:$E$2731='Analítico Cp.'!$B85),-('Diário 3º PA'!$Q$4:$Q$2731=I$1),('Diário 3º PA'!$F$4:$F$2731))+SUMPRODUCT(-('Diário 4º PA'!$E$4:$E$2564='Analítico Cp.'!$B85),-('Diário 4º PA'!$Q$4:$Q$2564=I$1),('Diário 4º PA'!$F$4:$F$2564))+SUMPRODUCT(-('Comp.'!$D$5:$D$69='Analítico Cp.'!$B85),-('Comp.'!$K$5:$K$69=I$1),('Comp.'!$E$5:$E$69))</f>
        <v>195.01000000000002</v>
      </c>
      <c r="J85" s="12">
        <f>SUMPRODUCT(-('Diário 1º PA'!$E$4:$E$2635='Analítico Cp.'!$B85),-('Diário 1º PA'!$Q$4:$Q$2635=J$1),('Diário 1º PA'!$F$4:$F$2635))+SUMPRODUCT(-('Diário 2º PA'!$E$4:$E$3040='Analítico Cp.'!$B85),-('Diário 2º PA'!$Q$4:$Q$3040=J$1),('Diário 2º PA'!$F$4:$F$3040))+SUMPRODUCT(-('Diário 3º PA'!$E$4:$E$2731='Analítico Cp.'!$B85),-('Diário 3º PA'!$Q$4:$Q$2731=J$1),('Diário 3º PA'!$F$4:$F$2731))+SUMPRODUCT(-('Diário 4º PA'!$E$4:$E$2564='Analítico Cp.'!$B85),-('Diário 4º PA'!$Q$4:$Q$2564=J$1),('Diário 4º PA'!$F$4:$F$2564))+SUMPRODUCT(-('Comp.'!$D$5:$D$69='Analítico Cp.'!$B85),-('Comp.'!$K$5:$K$69=J$1),('Comp.'!$E$5:$E$69))</f>
        <v>195.01000000000002</v>
      </c>
      <c r="K85" s="12">
        <f>SUMPRODUCT(-('Diário 1º PA'!$E$4:$E$2635='Analítico Cp.'!$B85),-('Diário 1º PA'!$Q$4:$Q$2635=K$1),('Diário 1º PA'!$F$4:$F$2635))+SUMPRODUCT(-('Diário 2º PA'!$E$4:$E$3040='Analítico Cp.'!$B85),-('Diário 2º PA'!$Q$4:$Q$3040=K$1),('Diário 2º PA'!$F$4:$F$3040))+SUMPRODUCT(-('Diário 3º PA'!$E$4:$E$2731='Analítico Cp.'!$B85),-('Diário 3º PA'!$Q$4:$Q$2731=K$1),('Diário 3º PA'!$F$4:$F$2731))+SUMPRODUCT(-('Diário 4º PA'!$E$4:$E$2564='Analítico Cp.'!$B85),-('Diário 4º PA'!$Q$4:$Q$2564=K$1),('Diário 4º PA'!$F$4:$F$2564))+SUMPRODUCT(-('Comp.'!$D$5:$D$69='Analítico Cp.'!$B85),-('Comp.'!$K$5:$K$69=K$1),('Comp.'!$E$5:$E$69))</f>
        <v>1469.26</v>
      </c>
      <c r="L85" s="12">
        <f>SUMPRODUCT(-('Diário 1º PA'!$E$4:$E$2635='Analítico Cp.'!$B85),-('Diário 1º PA'!$Q$4:$Q$2635=L$1),('Diário 1º PA'!$F$4:$F$2635))+SUMPRODUCT(-('Diário 2º PA'!$E$4:$E$3040='Analítico Cp.'!$B85),-('Diário 2º PA'!$Q$4:$Q$3040=L$1),('Diário 2º PA'!$F$4:$F$3040))+SUMPRODUCT(-('Diário 3º PA'!$E$4:$E$2731='Analítico Cp.'!$B85),-('Diário 3º PA'!$Q$4:$Q$2731=L$1),('Diário 3º PA'!$F$4:$F$2731))+SUMPRODUCT(-('Diário 4º PA'!$E$4:$E$2564='Analítico Cp.'!$B85),-('Diário 4º PA'!$Q$4:$Q$2564=L$1),('Diário 4º PA'!$F$4:$F$2564))+SUMPRODUCT(-('Comp.'!$D$5:$D$69='Analítico Cp.'!$B85),-('Comp.'!$K$5:$K$69=L$1),('Comp.'!$E$5:$E$69))</f>
        <v>1300</v>
      </c>
      <c r="M85" s="12">
        <f>SUMPRODUCT(-('Diário 1º PA'!$E$4:$E$2635='Analítico Cp.'!$B85),-('Diário 1º PA'!$Q$4:$Q$2635=M$1),('Diário 1º PA'!$F$4:$F$2635))+SUMPRODUCT(-('Diário 2º PA'!$E$4:$E$3040='Analítico Cp.'!$B85),-('Diário 2º PA'!$Q$4:$Q$3040=M$1),('Diário 2º PA'!$F$4:$F$3040))+SUMPRODUCT(-('Diário 3º PA'!$E$4:$E$2731='Analítico Cp.'!$B85),-('Diário 3º PA'!$Q$4:$Q$2731=M$1),('Diário 3º PA'!$F$4:$F$2731))+SUMPRODUCT(-('Diário 4º PA'!$E$4:$E$2564='Analítico Cp.'!$B85),-('Diário 4º PA'!$Q$4:$Q$2564=M$1),('Diário 4º PA'!$F$4:$F$2564))+SUMPRODUCT(-('Comp.'!$D$5:$D$69='Analítico Cp.'!$B85),-('Comp.'!$K$5:$K$69=M$1),('Comp.'!$E$5:$E$69))</f>
        <v>0</v>
      </c>
      <c r="N85" s="12">
        <f>SUMPRODUCT(-('Diário 1º PA'!$E$4:$E$2635='Analítico Cp.'!$B85),-('Diário 1º PA'!$Q$4:$Q$2635=N$1),('Diário 1º PA'!$F$4:$F$2635))+SUMPRODUCT(-('Diário 2º PA'!$E$4:$E$3040='Analítico Cp.'!$B85),-('Diário 2º PA'!$Q$4:$Q$3040=N$1),('Diário 2º PA'!$F$4:$F$3040))+SUMPRODUCT(-('Diário 3º PA'!$E$4:$E$2731='Analítico Cp.'!$B85),-('Diário 3º PA'!$Q$4:$Q$2731=N$1),('Diário 3º PA'!$F$4:$F$2731))+SUMPRODUCT(-('Diário 4º PA'!$E$4:$E$2564='Analítico Cp.'!$B85),-('Diário 4º PA'!$Q$4:$Q$2564=N$1),('Diário 4º PA'!$F$4:$F$2564))+SUMPRODUCT(-('Comp.'!$D$5:$D$69='Analítico Cp.'!$B85),-('Comp.'!$K$5:$K$69=N$1),('Comp.'!$E$5:$E$69))</f>
        <v>0</v>
      </c>
      <c r="O85" s="13">
        <f t="shared" si="12"/>
        <v>6523.8200000000015</v>
      </c>
      <c r="P85" s="167">
        <f t="shared" si="11"/>
        <v>5.3305241960090405E-4</v>
      </c>
    </row>
    <row r="86" spans="1:16" ht="23.25" customHeight="1" x14ac:dyDescent="0.2">
      <c r="A86" s="61" t="s">
        <v>151</v>
      </c>
      <c r="B86" s="103" t="s">
        <v>61</v>
      </c>
      <c r="C86" s="12">
        <f>SUMPRODUCT(-('Diário 1º PA'!$E$4:$E$2635='Analítico Cp.'!$B86),-('Diário 1º PA'!$Q$4:$Q$2635=C$1),('Diário 1º PA'!$F$4:$F$2635))+SUMPRODUCT(-('Diário 2º PA'!$E$4:$E$3040='Analítico Cp.'!$B86),-('Diário 2º PA'!$Q$4:$Q$3040=C$1),('Diário 2º PA'!$F$4:$F$3040))+SUMPRODUCT(-('Diário 3º PA'!$E$4:$E$2731='Analítico Cp.'!$B86),-('Diário 3º PA'!$Q$4:$Q$2731=C$1),('Diário 3º PA'!$F$4:$F$2731))+SUMPRODUCT(-('Diário 4º PA'!$E$4:$E$2564='Analítico Cp.'!$B86),-('Diário 4º PA'!$Q$4:$Q$2564=C$1),('Diário 4º PA'!$F$4:$F$2564))+SUMPRODUCT(-('Comp.'!$D$5:$D$69='Analítico Cp.'!$B86),-('Comp.'!$K$5:$K$69=C$1),('Comp.'!$E$5:$E$69))</f>
        <v>0</v>
      </c>
      <c r="D86" s="12">
        <f>SUMPRODUCT(-('Diário 1º PA'!$E$4:$E$2635='Analítico Cp.'!$B86),-('Diário 1º PA'!$Q$4:$Q$2635=D$1),('Diário 1º PA'!$F$4:$F$2635))+SUMPRODUCT(-('Diário 2º PA'!$E$4:$E$3040='Analítico Cp.'!$B86),-('Diário 2º PA'!$Q$4:$Q$3040=D$1),('Diário 2º PA'!$F$4:$F$3040))+SUMPRODUCT(-('Diário 3º PA'!$E$4:$E$2731='Analítico Cp.'!$B86),-('Diário 3º PA'!$Q$4:$Q$2731=D$1),('Diário 3º PA'!$F$4:$F$2731))+SUMPRODUCT(-('Diário 4º PA'!$E$4:$E$2564='Analítico Cp.'!$B86),-('Diário 4º PA'!$Q$4:$Q$2564=D$1),('Diário 4º PA'!$F$4:$F$2564))+SUMPRODUCT(-('Comp.'!$D$5:$D$69='Analítico Cp.'!$B86),-('Comp.'!$K$5:$K$69=D$1),('Comp.'!$E$5:$E$69))</f>
        <v>0</v>
      </c>
      <c r="E86" s="12">
        <f>SUMPRODUCT(-('Diário 1º PA'!$E$4:$E$2635='Analítico Cp.'!$B86),-('Diário 1º PA'!$Q$4:$Q$2635=E$1),('Diário 1º PA'!$F$4:$F$2635))+SUMPRODUCT(-('Diário 2º PA'!$E$4:$E$3040='Analítico Cp.'!$B86),-('Diário 2º PA'!$Q$4:$Q$3040=E$1),('Diário 2º PA'!$F$4:$F$3040))+SUMPRODUCT(-('Diário 3º PA'!$E$4:$E$2731='Analítico Cp.'!$B86),-('Diário 3º PA'!$Q$4:$Q$2731=E$1),('Diário 3º PA'!$F$4:$F$2731))+SUMPRODUCT(-('Diário 4º PA'!$E$4:$E$2564='Analítico Cp.'!$B86),-('Diário 4º PA'!$Q$4:$Q$2564=E$1),('Diário 4º PA'!$F$4:$F$2564))+SUMPRODUCT(-('Comp.'!$D$5:$D$69='Analítico Cp.'!$B86),-('Comp.'!$K$5:$K$69=E$1),('Comp.'!$E$5:$E$69))</f>
        <v>0</v>
      </c>
      <c r="F86" s="12">
        <f>SUMPRODUCT(-('Diário 1º PA'!$E$4:$E$2635='Analítico Cp.'!$B86),-('Diário 1º PA'!$Q$4:$Q$2635=F$1),('Diário 1º PA'!$F$4:$F$2635))+SUMPRODUCT(-('Diário 2º PA'!$E$4:$E$3040='Analítico Cp.'!$B86),-('Diário 2º PA'!$Q$4:$Q$3040=F$1),('Diário 2º PA'!$F$4:$F$3040))+SUMPRODUCT(-('Diário 3º PA'!$E$4:$E$2731='Analítico Cp.'!$B86),-('Diário 3º PA'!$Q$4:$Q$2731=F$1),('Diário 3º PA'!$F$4:$F$2731))+SUMPRODUCT(-('Diário 4º PA'!$E$4:$E$2564='Analítico Cp.'!$B86),-('Diário 4º PA'!$Q$4:$Q$2564=F$1),('Diário 4º PA'!$F$4:$F$2564))+SUMPRODUCT(-('Comp.'!$D$5:$D$69='Analítico Cp.'!$B86),-('Comp.'!$K$5:$K$69=F$1),('Comp.'!$E$5:$E$69))</f>
        <v>0</v>
      </c>
      <c r="G86" s="12">
        <f>SUMPRODUCT(-('Diário 1º PA'!$E$4:$E$2635='Analítico Cp.'!$B86),-('Diário 1º PA'!$Q$4:$Q$2635=G$1),('Diário 1º PA'!$F$4:$F$2635))+SUMPRODUCT(-('Diário 2º PA'!$E$4:$E$3040='Analítico Cp.'!$B86),-('Diário 2º PA'!$Q$4:$Q$3040=G$1),('Diário 2º PA'!$F$4:$F$3040))+SUMPRODUCT(-('Diário 3º PA'!$E$4:$E$2731='Analítico Cp.'!$B86),-('Diário 3º PA'!$Q$4:$Q$2731=G$1),('Diário 3º PA'!$F$4:$F$2731))+SUMPRODUCT(-('Diário 4º PA'!$E$4:$E$2564='Analítico Cp.'!$B86),-('Diário 4º PA'!$Q$4:$Q$2564=G$1),('Diário 4º PA'!$F$4:$F$2564))+SUMPRODUCT(-('Comp.'!$D$5:$D$69='Analítico Cp.'!$B86),-('Comp.'!$K$5:$K$69=G$1),('Comp.'!$E$5:$E$69))</f>
        <v>0</v>
      </c>
      <c r="H86" s="12">
        <f>SUMPRODUCT(-('Diário 1º PA'!$E$4:$E$2635='Analítico Cp.'!$B86),-('Diário 1º PA'!$Q$4:$Q$2635=H$1),('Diário 1º PA'!$F$4:$F$2635))+SUMPRODUCT(-('Diário 2º PA'!$E$4:$E$3040='Analítico Cp.'!$B86),-('Diário 2º PA'!$Q$4:$Q$3040=H$1),('Diário 2º PA'!$F$4:$F$3040))+SUMPRODUCT(-('Diário 3º PA'!$E$4:$E$2731='Analítico Cp.'!$B86),-('Diário 3º PA'!$Q$4:$Q$2731=H$1),('Diário 3º PA'!$F$4:$F$2731))+SUMPRODUCT(-('Diário 4º PA'!$E$4:$E$2564='Analítico Cp.'!$B86),-('Diário 4º PA'!$Q$4:$Q$2564=H$1),('Diário 4º PA'!$F$4:$F$2564))+SUMPRODUCT(-('Comp.'!$D$5:$D$69='Analítico Cp.'!$B86),-('Comp.'!$K$5:$K$69=H$1),('Comp.'!$E$5:$E$69))</f>
        <v>0</v>
      </c>
      <c r="I86" s="12">
        <f>SUMPRODUCT(-('Diário 1º PA'!$E$4:$E$2635='Analítico Cp.'!$B86),-('Diário 1º PA'!$Q$4:$Q$2635=I$1),('Diário 1º PA'!$F$4:$F$2635))+SUMPRODUCT(-('Diário 2º PA'!$E$4:$E$3040='Analítico Cp.'!$B86),-('Diário 2º PA'!$Q$4:$Q$3040=I$1),('Diário 2º PA'!$F$4:$F$3040))+SUMPRODUCT(-('Diário 3º PA'!$E$4:$E$2731='Analítico Cp.'!$B86),-('Diário 3º PA'!$Q$4:$Q$2731=I$1),('Diário 3º PA'!$F$4:$F$2731))+SUMPRODUCT(-('Diário 4º PA'!$E$4:$E$2564='Analítico Cp.'!$B86),-('Diário 4º PA'!$Q$4:$Q$2564=I$1),('Diário 4º PA'!$F$4:$F$2564))+SUMPRODUCT(-('Comp.'!$D$5:$D$69='Analítico Cp.'!$B86),-('Comp.'!$K$5:$K$69=I$1),('Comp.'!$E$5:$E$69))</f>
        <v>0</v>
      </c>
      <c r="J86" s="12">
        <f>SUMPRODUCT(-('Diário 1º PA'!$E$4:$E$2635='Analítico Cp.'!$B86),-('Diário 1º PA'!$Q$4:$Q$2635=J$1),('Diário 1º PA'!$F$4:$F$2635))+SUMPRODUCT(-('Diário 2º PA'!$E$4:$E$3040='Analítico Cp.'!$B86),-('Diário 2º PA'!$Q$4:$Q$3040=J$1),('Diário 2º PA'!$F$4:$F$3040))+SUMPRODUCT(-('Diário 3º PA'!$E$4:$E$2731='Analítico Cp.'!$B86),-('Diário 3º PA'!$Q$4:$Q$2731=J$1),('Diário 3º PA'!$F$4:$F$2731))+SUMPRODUCT(-('Diário 4º PA'!$E$4:$E$2564='Analítico Cp.'!$B86),-('Diário 4º PA'!$Q$4:$Q$2564=J$1),('Diário 4º PA'!$F$4:$F$2564))+SUMPRODUCT(-('Comp.'!$D$5:$D$69='Analítico Cp.'!$B86),-('Comp.'!$K$5:$K$69=J$1),('Comp.'!$E$5:$E$69))</f>
        <v>0</v>
      </c>
      <c r="K86" s="12">
        <f>SUMPRODUCT(-('Diário 1º PA'!$E$4:$E$2635='Analítico Cp.'!$B86),-('Diário 1º PA'!$Q$4:$Q$2635=K$1),('Diário 1º PA'!$F$4:$F$2635))+SUMPRODUCT(-('Diário 2º PA'!$E$4:$E$3040='Analítico Cp.'!$B86),-('Diário 2º PA'!$Q$4:$Q$3040=K$1),('Diário 2º PA'!$F$4:$F$3040))+SUMPRODUCT(-('Diário 3º PA'!$E$4:$E$2731='Analítico Cp.'!$B86),-('Diário 3º PA'!$Q$4:$Q$2731=K$1),('Diário 3º PA'!$F$4:$F$2731))+SUMPRODUCT(-('Diário 4º PA'!$E$4:$E$2564='Analítico Cp.'!$B86),-('Diário 4º PA'!$Q$4:$Q$2564=K$1),('Diário 4º PA'!$F$4:$F$2564))+SUMPRODUCT(-('Comp.'!$D$5:$D$69='Analítico Cp.'!$B86),-('Comp.'!$K$5:$K$69=K$1),('Comp.'!$E$5:$E$69))</f>
        <v>0</v>
      </c>
      <c r="L86" s="12">
        <f>SUMPRODUCT(-('Diário 1º PA'!$E$4:$E$2635='Analítico Cp.'!$B86),-('Diário 1º PA'!$Q$4:$Q$2635=L$1),('Diário 1º PA'!$F$4:$F$2635))+SUMPRODUCT(-('Diário 2º PA'!$E$4:$E$3040='Analítico Cp.'!$B86),-('Diário 2º PA'!$Q$4:$Q$3040=L$1),('Diário 2º PA'!$F$4:$F$3040))+SUMPRODUCT(-('Diário 3º PA'!$E$4:$E$2731='Analítico Cp.'!$B86),-('Diário 3º PA'!$Q$4:$Q$2731=L$1),('Diário 3º PA'!$F$4:$F$2731))+SUMPRODUCT(-('Diário 4º PA'!$E$4:$E$2564='Analítico Cp.'!$B86),-('Diário 4º PA'!$Q$4:$Q$2564=L$1),('Diário 4º PA'!$F$4:$F$2564))+SUMPRODUCT(-('Comp.'!$D$5:$D$69='Analítico Cp.'!$B86),-('Comp.'!$K$5:$K$69=L$1),('Comp.'!$E$5:$E$69))</f>
        <v>0</v>
      </c>
      <c r="M86" s="12">
        <f>SUMPRODUCT(-('Diário 1º PA'!$E$4:$E$2635='Analítico Cp.'!$B86),-('Diário 1º PA'!$Q$4:$Q$2635=M$1),('Diário 1º PA'!$F$4:$F$2635))+SUMPRODUCT(-('Diário 2º PA'!$E$4:$E$3040='Analítico Cp.'!$B86),-('Diário 2º PA'!$Q$4:$Q$3040=M$1),('Diário 2º PA'!$F$4:$F$3040))+SUMPRODUCT(-('Diário 3º PA'!$E$4:$E$2731='Analítico Cp.'!$B86),-('Diário 3º PA'!$Q$4:$Q$2731=M$1),('Diário 3º PA'!$F$4:$F$2731))+SUMPRODUCT(-('Diário 4º PA'!$E$4:$E$2564='Analítico Cp.'!$B86),-('Diário 4º PA'!$Q$4:$Q$2564=M$1),('Diário 4º PA'!$F$4:$F$2564))+SUMPRODUCT(-('Comp.'!$D$5:$D$69='Analítico Cp.'!$B86),-('Comp.'!$K$5:$K$69=M$1),('Comp.'!$E$5:$E$69))</f>
        <v>0</v>
      </c>
      <c r="N86" s="12">
        <f>SUMPRODUCT(-('Diário 1º PA'!$E$4:$E$2635='Analítico Cp.'!$B86),-('Diário 1º PA'!$Q$4:$Q$2635=N$1),('Diário 1º PA'!$F$4:$F$2635))+SUMPRODUCT(-('Diário 2º PA'!$E$4:$E$3040='Analítico Cp.'!$B86),-('Diário 2º PA'!$Q$4:$Q$3040=N$1),('Diário 2º PA'!$F$4:$F$3040))+SUMPRODUCT(-('Diário 3º PA'!$E$4:$E$2731='Analítico Cp.'!$B86),-('Diário 3º PA'!$Q$4:$Q$2731=N$1),('Diário 3º PA'!$F$4:$F$2731))+SUMPRODUCT(-('Diário 4º PA'!$E$4:$E$2564='Analítico Cp.'!$B86),-('Diário 4º PA'!$Q$4:$Q$2564=N$1),('Diário 4º PA'!$F$4:$F$2564))+SUMPRODUCT(-('Comp.'!$D$5:$D$69='Analítico Cp.'!$B86),-('Comp.'!$K$5:$K$69=N$1),('Comp.'!$E$5:$E$69))</f>
        <v>0</v>
      </c>
      <c r="O86" s="13">
        <f t="shared" si="12"/>
        <v>0</v>
      </c>
      <c r="P86" s="167">
        <f t="shared" si="11"/>
        <v>0</v>
      </c>
    </row>
    <row r="87" spans="1:16" ht="23.25" customHeight="1" x14ac:dyDescent="0.2">
      <c r="A87" s="61" t="s">
        <v>152</v>
      </c>
      <c r="B87" s="103" t="s">
        <v>60</v>
      </c>
      <c r="C87" s="12">
        <f>SUMPRODUCT(-('Diário 1º PA'!$E$4:$E$2635='Analítico Cp.'!$B87),-('Diário 1º PA'!$Q$4:$Q$2635=C$1),('Diário 1º PA'!$F$4:$F$2635))+SUMPRODUCT(-('Diário 2º PA'!$E$4:$E$3040='Analítico Cp.'!$B87),-('Diário 2º PA'!$Q$4:$Q$3040=C$1),('Diário 2º PA'!$F$4:$F$3040))+SUMPRODUCT(-('Diário 3º PA'!$E$4:$E$2731='Analítico Cp.'!$B87),-('Diário 3º PA'!$Q$4:$Q$2731=C$1),('Diário 3º PA'!$F$4:$F$2731))+SUMPRODUCT(-('Diário 4º PA'!$E$4:$E$2564='Analítico Cp.'!$B87),-('Diário 4º PA'!$Q$4:$Q$2564=C$1),('Diário 4º PA'!$F$4:$F$2564))+SUMPRODUCT(-('Comp.'!$D$5:$D$69='Analítico Cp.'!$B87),-('Comp.'!$K$5:$K$69=C$1),('Comp.'!$E$5:$E$69))</f>
        <v>67.52</v>
      </c>
      <c r="D87" s="12">
        <f>SUMPRODUCT(-('Diário 1º PA'!$E$4:$E$2635='Analítico Cp.'!$B87),-('Diário 1º PA'!$Q$4:$Q$2635=D$1),('Diário 1º PA'!$F$4:$F$2635))+SUMPRODUCT(-('Diário 2º PA'!$E$4:$E$3040='Analítico Cp.'!$B87),-('Diário 2º PA'!$Q$4:$Q$3040=D$1),('Diário 2º PA'!$F$4:$F$3040))+SUMPRODUCT(-('Diário 3º PA'!$E$4:$E$2731='Analítico Cp.'!$B87),-('Diário 3º PA'!$Q$4:$Q$2731=D$1),('Diário 3º PA'!$F$4:$F$2731))+SUMPRODUCT(-('Diário 4º PA'!$E$4:$E$2564='Analítico Cp.'!$B87),-('Diário 4º PA'!$Q$4:$Q$2564=D$1),('Diário 4º PA'!$F$4:$F$2564))+SUMPRODUCT(-('Comp.'!$D$5:$D$69='Analítico Cp.'!$B87),-('Comp.'!$K$5:$K$69=D$1),('Comp.'!$E$5:$E$69))</f>
        <v>0</v>
      </c>
      <c r="E87" s="12">
        <f>SUMPRODUCT(-('Diário 1º PA'!$E$4:$E$2635='Analítico Cp.'!$B87),-('Diário 1º PA'!$Q$4:$Q$2635=E$1),('Diário 1º PA'!$F$4:$F$2635))+SUMPRODUCT(-('Diário 2º PA'!$E$4:$E$3040='Analítico Cp.'!$B87),-('Diário 2º PA'!$Q$4:$Q$3040=E$1),('Diário 2º PA'!$F$4:$F$3040))+SUMPRODUCT(-('Diário 3º PA'!$E$4:$E$2731='Analítico Cp.'!$B87),-('Diário 3º PA'!$Q$4:$Q$2731=E$1),('Diário 3º PA'!$F$4:$F$2731))+SUMPRODUCT(-('Diário 4º PA'!$E$4:$E$2564='Analítico Cp.'!$B87),-('Diário 4º PA'!$Q$4:$Q$2564=E$1),('Diário 4º PA'!$F$4:$F$2564))+SUMPRODUCT(-('Comp.'!$D$5:$D$69='Analítico Cp.'!$B87),-('Comp.'!$K$5:$K$69=E$1),('Comp.'!$E$5:$E$69))</f>
        <v>63.41</v>
      </c>
      <c r="F87" s="12">
        <f>SUMPRODUCT(-('Diário 1º PA'!$E$4:$E$2635='Analítico Cp.'!$B87),-('Diário 1º PA'!$Q$4:$Q$2635=F$1),('Diário 1º PA'!$F$4:$F$2635))+SUMPRODUCT(-('Diário 2º PA'!$E$4:$E$3040='Analítico Cp.'!$B87),-('Diário 2º PA'!$Q$4:$Q$3040=F$1),('Diário 2º PA'!$F$4:$F$3040))+SUMPRODUCT(-('Diário 3º PA'!$E$4:$E$2731='Analítico Cp.'!$B87),-('Diário 3º PA'!$Q$4:$Q$2731=F$1),('Diário 3º PA'!$F$4:$F$2731))+SUMPRODUCT(-('Diário 4º PA'!$E$4:$E$2564='Analítico Cp.'!$B87),-('Diário 4º PA'!$Q$4:$Q$2564=F$1),('Diário 4º PA'!$F$4:$F$2564))+SUMPRODUCT(-('Comp.'!$D$5:$D$69='Analítico Cp.'!$B87),-('Comp.'!$K$5:$K$69=F$1),('Comp.'!$E$5:$E$69))</f>
        <v>0</v>
      </c>
      <c r="G87" s="12">
        <f>SUMPRODUCT(-('Diário 1º PA'!$E$4:$E$2635='Analítico Cp.'!$B87),-('Diário 1º PA'!$Q$4:$Q$2635=G$1),('Diário 1º PA'!$F$4:$F$2635))+SUMPRODUCT(-('Diário 2º PA'!$E$4:$E$3040='Analítico Cp.'!$B87),-('Diário 2º PA'!$Q$4:$Q$3040=G$1),('Diário 2º PA'!$F$4:$F$3040))+SUMPRODUCT(-('Diário 3º PA'!$E$4:$E$2731='Analítico Cp.'!$B87),-('Diário 3º PA'!$Q$4:$Q$2731=G$1),('Diário 3º PA'!$F$4:$F$2731))+SUMPRODUCT(-('Diário 4º PA'!$E$4:$E$2564='Analítico Cp.'!$B87),-('Diário 4º PA'!$Q$4:$Q$2564=G$1),('Diário 4º PA'!$F$4:$F$2564))+SUMPRODUCT(-('Comp.'!$D$5:$D$69='Analítico Cp.'!$B87),-('Comp.'!$K$5:$K$69=G$1),('Comp.'!$E$5:$E$69))</f>
        <v>0</v>
      </c>
      <c r="H87" s="12">
        <f>SUMPRODUCT(-('Diário 1º PA'!$E$4:$E$2635='Analítico Cp.'!$B87),-('Diário 1º PA'!$Q$4:$Q$2635=H$1),('Diário 1º PA'!$F$4:$F$2635))+SUMPRODUCT(-('Diário 2º PA'!$E$4:$E$3040='Analítico Cp.'!$B87),-('Diário 2º PA'!$Q$4:$Q$3040=H$1),('Diário 2º PA'!$F$4:$F$3040))+SUMPRODUCT(-('Diário 3º PA'!$E$4:$E$2731='Analítico Cp.'!$B87),-('Diário 3º PA'!$Q$4:$Q$2731=H$1),('Diário 3º PA'!$F$4:$F$2731))+SUMPRODUCT(-('Diário 4º PA'!$E$4:$E$2564='Analítico Cp.'!$B87),-('Diário 4º PA'!$Q$4:$Q$2564=H$1),('Diário 4º PA'!$F$4:$F$2564))+SUMPRODUCT(-('Comp.'!$D$5:$D$69='Analítico Cp.'!$B87),-('Comp.'!$K$5:$K$69=H$1),('Comp.'!$E$5:$E$69))</f>
        <v>0</v>
      </c>
      <c r="I87" s="12">
        <f>SUMPRODUCT(-('Diário 1º PA'!$E$4:$E$2635='Analítico Cp.'!$B87),-('Diário 1º PA'!$Q$4:$Q$2635=I$1),('Diário 1º PA'!$F$4:$F$2635))+SUMPRODUCT(-('Diário 2º PA'!$E$4:$E$3040='Analítico Cp.'!$B87),-('Diário 2º PA'!$Q$4:$Q$3040=I$1),('Diário 2º PA'!$F$4:$F$3040))+SUMPRODUCT(-('Diário 3º PA'!$E$4:$E$2731='Analítico Cp.'!$B87),-('Diário 3º PA'!$Q$4:$Q$2731=I$1),('Diário 3º PA'!$F$4:$F$2731))+SUMPRODUCT(-('Diário 4º PA'!$E$4:$E$2564='Analítico Cp.'!$B87),-('Diário 4º PA'!$Q$4:$Q$2564=I$1),('Diário 4º PA'!$F$4:$F$2564))+SUMPRODUCT(-('Comp.'!$D$5:$D$69='Analítico Cp.'!$B87),-('Comp.'!$K$5:$K$69=I$1),('Comp.'!$E$5:$E$69))</f>
        <v>0</v>
      </c>
      <c r="J87" s="12">
        <f>SUMPRODUCT(-('Diário 1º PA'!$E$4:$E$2635='Analítico Cp.'!$B87),-('Diário 1º PA'!$Q$4:$Q$2635=J$1),('Diário 1º PA'!$F$4:$F$2635))+SUMPRODUCT(-('Diário 2º PA'!$E$4:$E$3040='Analítico Cp.'!$B87),-('Diário 2º PA'!$Q$4:$Q$3040=J$1),('Diário 2º PA'!$F$4:$F$3040))+SUMPRODUCT(-('Diário 3º PA'!$E$4:$E$2731='Analítico Cp.'!$B87),-('Diário 3º PA'!$Q$4:$Q$2731=J$1),('Diário 3º PA'!$F$4:$F$2731))+SUMPRODUCT(-('Diário 4º PA'!$E$4:$E$2564='Analítico Cp.'!$B87),-('Diário 4º PA'!$Q$4:$Q$2564=J$1),('Diário 4º PA'!$F$4:$F$2564))+SUMPRODUCT(-('Comp.'!$D$5:$D$69='Analítico Cp.'!$B87),-('Comp.'!$K$5:$K$69=J$1),('Comp.'!$E$5:$E$69))</f>
        <v>0</v>
      </c>
      <c r="K87" s="12">
        <f>SUMPRODUCT(-('Diário 1º PA'!$E$4:$E$2635='Analítico Cp.'!$B87),-('Diário 1º PA'!$Q$4:$Q$2635=K$1),('Diário 1º PA'!$F$4:$F$2635))+SUMPRODUCT(-('Diário 2º PA'!$E$4:$E$3040='Analítico Cp.'!$B87),-('Diário 2º PA'!$Q$4:$Q$3040=K$1),('Diário 2º PA'!$F$4:$F$3040))+SUMPRODUCT(-('Diário 3º PA'!$E$4:$E$2731='Analítico Cp.'!$B87),-('Diário 3º PA'!$Q$4:$Q$2731=K$1),('Diário 3º PA'!$F$4:$F$2731))+SUMPRODUCT(-('Diário 4º PA'!$E$4:$E$2564='Analítico Cp.'!$B87),-('Diário 4º PA'!$Q$4:$Q$2564=K$1),('Diário 4º PA'!$F$4:$F$2564))+SUMPRODUCT(-('Comp.'!$D$5:$D$69='Analítico Cp.'!$B87),-('Comp.'!$K$5:$K$69=K$1),('Comp.'!$E$5:$E$69))</f>
        <v>23.46</v>
      </c>
      <c r="L87" s="12">
        <f>SUMPRODUCT(-('Diário 1º PA'!$E$4:$E$2635='Analítico Cp.'!$B87),-('Diário 1º PA'!$Q$4:$Q$2635=L$1),('Diário 1º PA'!$F$4:$F$2635))+SUMPRODUCT(-('Diário 2º PA'!$E$4:$E$3040='Analítico Cp.'!$B87),-('Diário 2º PA'!$Q$4:$Q$3040=L$1),('Diário 2º PA'!$F$4:$F$3040))+SUMPRODUCT(-('Diário 3º PA'!$E$4:$E$2731='Analítico Cp.'!$B87),-('Diário 3º PA'!$Q$4:$Q$2731=L$1),('Diário 3º PA'!$F$4:$F$2731))+SUMPRODUCT(-('Diário 4º PA'!$E$4:$E$2564='Analítico Cp.'!$B87),-('Diário 4º PA'!$Q$4:$Q$2564=L$1),('Diário 4º PA'!$F$4:$F$2564))+SUMPRODUCT(-('Comp.'!$D$5:$D$69='Analítico Cp.'!$B87),-('Comp.'!$K$5:$K$69=L$1),('Comp.'!$E$5:$E$69))</f>
        <v>0</v>
      </c>
      <c r="M87" s="12">
        <f>SUMPRODUCT(-('Diário 1º PA'!$E$4:$E$2635='Analítico Cp.'!$B87),-('Diário 1º PA'!$Q$4:$Q$2635=M$1),('Diário 1º PA'!$F$4:$F$2635))+SUMPRODUCT(-('Diário 2º PA'!$E$4:$E$3040='Analítico Cp.'!$B87),-('Diário 2º PA'!$Q$4:$Q$3040=M$1),('Diário 2º PA'!$F$4:$F$3040))+SUMPRODUCT(-('Diário 3º PA'!$E$4:$E$2731='Analítico Cp.'!$B87),-('Diário 3º PA'!$Q$4:$Q$2731=M$1),('Diário 3º PA'!$F$4:$F$2731))+SUMPRODUCT(-('Diário 4º PA'!$E$4:$E$2564='Analítico Cp.'!$B87),-('Diário 4º PA'!$Q$4:$Q$2564=M$1),('Diário 4º PA'!$F$4:$F$2564))+SUMPRODUCT(-('Comp.'!$D$5:$D$69='Analítico Cp.'!$B87),-('Comp.'!$K$5:$K$69=M$1),('Comp.'!$E$5:$E$69))</f>
        <v>0</v>
      </c>
      <c r="N87" s="12">
        <f>SUMPRODUCT(-('Diário 1º PA'!$E$4:$E$2635='Analítico Cp.'!$B87),-('Diário 1º PA'!$Q$4:$Q$2635=N$1),('Diário 1º PA'!$F$4:$F$2635))+SUMPRODUCT(-('Diário 2º PA'!$E$4:$E$3040='Analítico Cp.'!$B87),-('Diário 2º PA'!$Q$4:$Q$3040=N$1),('Diário 2º PA'!$F$4:$F$3040))+SUMPRODUCT(-('Diário 3º PA'!$E$4:$E$2731='Analítico Cp.'!$B87),-('Diário 3º PA'!$Q$4:$Q$2731=N$1),('Diário 3º PA'!$F$4:$F$2731))+SUMPRODUCT(-('Diário 4º PA'!$E$4:$E$2564='Analítico Cp.'!$B87),-('Diário 4º PA'!$Q$4:$Q$2564=N$1),('Diário 4º PA'!$F$4:$F$2564))+SUMPRODUCT(-('Comp.'!$D$5:$D$69='Analítico Cp.'!$B87),-('Comp.'!$K$5:$K$69=N$1),('Comp.'!$E$5:$E$69))</f>
        <v>0</v>
      </c>
      <c r="O87" s="13">
        <f t="shared" si="12"/>
        <v>154.39000000000001</v>
      </c>
      <c r="P87" s="167">
        <f t="shared" si="11"/>
        <v>1.2614995978151386E-5</v>
      </c>
    </row>
    <row r="88" spans="1:16" ht="23.25" customHeight="1" x14ac:dyDescent="0.2">
      <c r="A88" s="61" t="s">
        <v>153</v>
      </c>
      <c r="B88" s="103" t="s">
        <v>71</v>
      </c>
      <c r="C88" s="12">
        <f>SUMPRODUCT(-('Diário 1º PA'!$E$4:$E$2635='Analítico Cp.'!$B88),-('Diário 1º PA'!$Q$4:$Q$2635=C$1),('Diário 1º PA'!$F$4:$F$2635))+SUMPRODUCT(-('Diário 2º PA'!$E$4:$E$3040='Analítico Cp.'!$B88),-('Diário 2º PA'!$Q$4:$Q$3040=C$1),('Diário 2º PA'!$F$4:$F$3040))+SUMPRODUCT(-('Diário 3º PA'!$E$4:$E$2731='Analítico Cp.'!$B88),-('Diário 3º PA'!$Q$4:$Q$2731=C$1),('Diário 3º PA'!$F$4:$F$2731))+SUMPRODUCT(-('Diário 4º PA'!$E$4:$E$2564='Analítico Cp.'!$B88),-('Diário 4º PA'!$Q$4:$Q$2564=C$1),('Diário 4º PA'!$F$4:$F$2564))+SUMPRODUCT(-('Comp.'!$D$5:$D$69='Analítico Cp.'!$B88),-('Comp.'!$K$5:$K$69=C$1),('Comp.'!$E$5:$E$69))</f>
        <v>957.65000000000157</v>
      </c>
      <c r="D88" s="12">
        <f>SUMPRODUCT(-('Diário 1º PA'!$E$4:$E$2635='Analítico Cp.'!$B88),-('Diário 1º PA'!$Q$4:$Q$2635=D$1),('Diário 1º PA'!$F$4:$F$2635))+SUMPRODUCT(-('Diário 2º PA'!$E$4:$E$3040='Analítico Cp.'!$B88),-('Diário 2º PA'!$Q$4:$Q$3040=D$1),('Diário 2º PA'!$F$4:$F$3040))+SUMPRODUCT(-('Diário 3º PA'!$E$4:$E$2731='Analítico Cp.'!$B88),-('Diário 3º PA'!$Q$4:$Q$2731=D$1),('Diário 3º PA'!$F$4:$F$2731))+SUMPRODUCT(-('Diário 4º PA'!$E$4:$E$2564='Analítico Cp.'!$B88),-('Diário 4º PA'!$Q$4:$Q$2564=D$1),('Diário 4º PA'!$F$4:$F$2564))+SUMPRODUCT(-('Comp.'!$D$5:$D$69='Analítico Cp.'!$B88),-('Comp.'!$K$5:$K$69=D$1),('Comp.'!$E$5:$E$69))</f>
        <v>947.20000000000152</v>
      </c>
      <c r="E88" s="12">
        <f>SUMPRODUCT(-('Diário 1º PA'!$E$4:$E$2635='Analítico Cp.'!$B88),-('Diário 1º PA'!$Q$4:$Q$2635=E$1),('Diário 1º PA'!$F$4:$F$2635))+SUMPRODUCT(-('Diário 2º PA'!$E$4:$E$3040='Analítico Cp.'!$B88),-('Diário 2º PA'!$Q$4:$Q$3040=E$1),('Diário 2º PA'!$F$4:$F$3040))+SUMPRODUCT(-('Diário 3º PA'!$E$4:$E$2731='Analítico Cp.'!$B88),-('Diário 3º PA'!$Q$4:$Q$2731=E$1),('Diário 3º PA'!$F$4:$F$2731))+SUMPRODUCT(-('Diário 4º PA'!$E$4:$E$2564='Analítico Cp.'!$B88),-('Diário 4º PA'!$Q$4:$Q$2564=E$1),('Diário 4º PA'!$F$4:$F$2564))+SUMPRODUCT(-('Comp.'!$D$5:$D$69='Analítico Cp.'!$B88),-('Comp.'!$K$5:$K$69=E$1),('Comp.'!$E$5:$E$69))</f>
        <v>1099</v>
      </c>
      <c r="F88" s="12">
        <f>SUMPRODUCT(-('Diário 1º PA'!$E$4:$E$2635='Analítico Cp.'!$B88),-('Diário 1º PA'!$Q$4:$Q$2635=F$1),('Diário 1º PA'!$F$4:$F$2635))+SUMPRODUCT(-('Diário 2º PA'!$E$4:$E$3040='Analítico Cp.'!$B88),-('Diário 2º PA'!$Q$4:$Q$3040=F$1),('Diário 2º PA'!$F$4:$F$3040))+SUMPRODUCT(-('Diário 3º PA'!$E$4:$E$2731='Analítico Cp.'!$B88),-('Diário 3º PA'!$Q$4:$Q$2731=F$1),('Diário 3º PA'!$F$4:$F$2731))+SUMPRODUCT(-('Diário 4º PA'!$E$4:$E$2564='Analítico Cp.'!$B88),-('Diário 4º PA'!$Q$4:$Q$2564=F$1),('Diário 4º PA'!$F$4:$F$2564))+SUMPRODUCT(-('Comp.'!$D$5:$D$69='Analítico Cp.'!$B88),-('Comp.'!$K$5:$K$69=F$1),('Comp.'!$E$5:$E$69))</f>
        <v>1560</v>
      </c>
      <c r="G88" s="12">
        <f>SUMPRODUCT(-('Diário 1º PA'!$E$4:$E$2635='Analítico Cp.'!$B88),-('Diário 1º PA'!$Q$4:$Q$2635=G$1),('Diário 1º PA'!$F$4:$F$2635))+SUMPRODUCT(-('Diário 2º PA'!$E$4:$E$3040='Analítico Cp.'!$B88),-('Diário 2º PA'!$Q$4:$Q$3040=G$1),('Diário 2º PA'!$F$4:$F$3040))+SUMPRODUCT(-('Diário 3º PA'!$E$4:$E$2731='Analítico Cp.'!$B88),-('Diário 3º PA'!$Q$4:$Q$2731=G$1),('Diário 3º PA'!$F$4:$F$2731))+SUMPRODUCT(-('Diário 4º PA'!$E$4:$E$2564='Analítico Cp.'!$B88),-('Diário 4º PA'!$Q$4:$Q$2564=G$1),('Diário 4º PA'!$F$4:$F$2564))+SUMPRODUCT(-('Comp.'!$D$5:$D$69='Analítico Cp.'!$B88),-('Comp.'!$K$5:$K$69=G$1),('Comp.'!$E$5:$E$69))</f>
        <v>1496</v>
      </c>
      <c r="H88" s="12">
        <f>SUMPRODUCT(-('Diário 1º PA'!$E$4:$E$2635='Analítico Cp.'!$B88),-('Diário 1º PA'!$Q$4:$Q$2635=H$1),('Diário 1º PA'!$F$4:$F$2635))+SUMPRODUCT(-('Diário 2º PA'!$E$4:$E$3040='Analítico Cp.'!$B88),-('Diário 2º PA'!$Q$4:$Q$3040=H$1),('Diário 2º PA'!$F$4:$F$3040))+SUMPRODUCT(-('Diário 3º PA'!$E$4:$E$2731='Analítico Cp.'!$B88),-('Diário 3º PA'!$Q$4:$Q$2731=H$1),('Diário 3º PA'!$F$4:$F$2731))+SUMPRODUCT(-('Diário 4º PA'!$E$4:$E$2564='Analítico Cp.'!$B88),-('Diário 4º PA'!$Q$4:$Q$2564=H$1),('Diário 4º PA'!$F$4:$F$2564))+SUMPRODUCT(-('Comp.'!$D$5:$D$69='Analítico Cp.'!$B88),-('Comp.'!$K$5:$K$69=H$1),('Comp.'!$E$5:$E$69))</f>
        <v>1143</v>
      </c>
      <c r="I88" s="12">
        <f>SUMPRODUCT(-('Diário 1º PA'!$E$4:$E$2635='Analítico Cp.'!$B88),-('Diário 1º PA'!$Q$4:$Q$2635=I$1),('Diário 1º PA'!$F$4:$F$2635))+SUMPRODUCT(-('Diário 2º PA'!$E$4:$E$3040='Analítico Cp.'!$B88),-('Diário 2º PA'!$Q$4:$Q$3040=I$1),('Diário 2º PA'!$F$4:$F$3040))+SUMPRODUCT(-('Diário 3º PA'!$E$4:$E$2731='Analítico Cp.'!$B88),-('Diário 3º PA'!$Q$4:$Q$2731=I$1),('Diário 3º PA'!$F$4:$F$2731))+SUMPRODUCT(-('Diário 4º PA'!$E$4:$E$2564='Analítico Cp.'!$B88),-('Diário 4º PA'!$Q$4:$Q$2564=I$1),('Diário 4º PA'!$F$4:$F$2564))+SUMPRODUCT(-('Comp.'!$D$5:$D$69='Analítico Cp.'!$B88),-('Comp.'!$K$5:$K$69=I$1),('Comp.'!$E$5:$E$69))</f>
        <v>1253</v>
      </c>
      <c r="J88" s="12">
        <f>SUMPRODUCT(-('Diário 1º PA'!$E$4:$E$2635='Analítico Cp.'!$B88),-('Diário 1º PA'!$Q$4:$Q$2635=J$1),('Diário 1º PA'!$F$4:$F$2635))+SUMPRODUCT(-('Diário 2º PA'!$E$4:$E$3040='Analítico Cp.'!$B88),-('Diário 2º PA'!$Q$4:$Q$3040=J$1),('Diário 2º PA'!$F$4:$F$3040))+SUMPRODUCT(-('Diário 3º PA'!$E$4:$E$2731='Analítico Cp.'!$B88),-('Diário 3º PA'!$Q$4:$Q$2731=J$1),('Diário 3º PA'!$F$4:$F$2731))+SUMPRODUCT(-('Diário 4º PA'!$E$4:$E$2564='Analítico Cp.'!$B88),-('Diário 4º PA'!$Q$4:$Q$2564=J$1),('Diário 4º PA'!$F$4:$F$2564))+SUMPRODUCT(-('Comp.'!$D$5:$D$69='Analítico Cp.'!$B88),-('Comp.'!$K$5:$K$69=J$1),('Comp.'!$E$5:$E$69))</f>
        <v>1264.3</v>
      </c>
      <c r="K88" s="12">
        <f>SUMPRODUCT(-('Diário 1º PA'!$E$4:$E$2635='Analítico Cp.'!$B88),-('Diário 1º PA'!$Q$4:$Q$2635=K$1),('Diário 1º PA'!$F$4:$F$2635))+SUMPRODUCT(-('Diário 2º PA'!$E$4:$E$3040='Analítico Cp.'!$B88),-('Diário 2º PA'!$Q$4:$Q$3040=K$1),('Diário 2º PA'!$F$4:$F$3040))+SUMPRODUCT(-('Diário 3º PA'!$E$4:$E$2731='Analítico Cp.'!$B88),-('Diário 3º PA'!$Q$4:$Q$2731=K$1),('Diário 3º PA'!$F$4:$F$2731))+SUMPRODUCT(-('Diário 4º PA'!$E$4:$E$2564='Analítico Cp.'!$B88),-('Diário 4º PA'!$Q$4:$Q$2564=K$1),('Diário 4º PA'!$F$4:$F$2564))+SUMPRODUCT(-('Comp.'!$D$5:$D$69='Analítico Cp.'!$B88),-('Comp.'!$K$5:$K$69=K$1),('Comp.'!$E$5:$E$69))</f>
        <v>1274</v>
      </c>
      <c r="L88" s="12">
        <f>SUMPRODUCT(-('Diário 1º PA'!$E$4:$E$2635='Analítico Cp.'!$B88),-('Diário 1º PA'!$Q$4:$Q$2635=L$1),('Diário 1º PA'!$F$4:$F$2635))+SUMPRODUCT(-('Diário 2º PA'!$E$4:$E$3040='Analítico Cp.'!$B88),-('Diário 2º PA'!$Q$4:$Q$3040=L$1),('Diário 2º PA'!$F$4:$F$3040))+SUMPRODUCT(-('Diário 3º PA'!$E$4:$E$2731='Analítico Cp.'!$B88),-('Diário 3º PA'!$Q$4:$Q$2731=L$1),('Diário 3º PA'!$F$4:$F$2731))+SUMPRODUCT(-('Diário 4º PA'!$E$4:$E$2564='Analítico Cp.'!$B88),-('Diário 4º PA'!$Q$4:$Q$2564=L$1),('Diário 4º PA'!$F$4:$F$2564))+SUMPRODUCT(-('Comp.'!$D$5:$D$69='Analítico Cp.'!$B88),-('Comp.'!$K$5:$K$69=L$1),('Comp.'!$E$5:$E$69))</f>
        <v>1016</v>
      </c>
      <c r="M88" s="12">
        <f>SUMPRODUCT(-('Diário 1º PA'!$E$4:$E$2635='Analítico Cp.'!$B88),-('Diário 1º PA'!$Q$4:$Q$2635=M$1),('Diário 1º PA'!$F$4:$F$2635))+SUMPRODUCT(-('Diário 2º PA'!$E$4:$E$3040='Analítico Cp.'!$B88),-('Diário 2º PA'!$Q$4:$Q$3040=M$1),('Diário 2º PA'!$F$4:$F$3040))+SUMPRODUCT(-('Diário 3º PA'!$E$4:$E$2731='Analítico Cp.'!$B88),-('Diário 3º PA'!$Q$4:$Q$2731=M$1),('Diário 3º PA'!$F$4:$F$2731))+SUMPRODUCT(-('Diário 4º PA'!$E$4:$E$2564='Analítico Cp.'!$B88),-('Diário 4º PA'!$Q$4:$Q$2564=M$1),('Diário 4º PA'!$F$4:$F$2564))+SUMPRODUCT(-('Comp.'!$D$5:$D$69='Analítico Cp.'!$B88),-('Comp.'!$K$5:$K$69=M$1),('Comp.'!$E$5:$E$69))</f>
        <v>1671</v>
      </c>
      <c r="N88" s="12">
        <f>SUMPRODUCT(-('Diário 1º PA'!$E$4:$E$2635='Analítico Cp.'!$B88),-('Diário 1º PA'!$Q$4:$Q$2635=N$1),('Diário 1º PA'!$F$4:$F$2635))+SUMPRODUCT(-('Diário 2º PA'!$E$4:$E$3040='Analítico Cp.'!$B88),-('Diário 2º PA'!$Q$4:$Q$3040=N$1),('Diário 2º PA'!$F$4:$F$3040))+SUMPRODUCT(-('Diário 3º PA'!$E$4:$E$2731='Analítico Cp.'!$B88),-('Diário 3º PA'!$Q$4:$Q$2731=N$1),('Diário 3º PA'!$F$4:$F$2731))+SUMPRODUCT(-('Diário 4º PA'!$E$4:$E$2564='Analítico Cp.'!$B88),-('Diário 4º PA'!$Q$4:$Q$2564=N$1),('Diário 4º PA'!$F$4:$F$2564))+SUMPRODUCT(-('Comp.'!$D$5:$D$69='Analítico Cp.'!$B88),-('Comp.'!$K$5:$K$69=N$1),('Comp.'!$E$5:$E$69))</f>
        <v>2077</v>
      </c>
      <c r="O88" s="13">
        <f t="shared" si="12"/>
        <v>15758.150000000001</v>
      </c>
      <c r="P88" s="167">
        <f t="shared" ref="P88:P119" si="13">IF($O$164=0,0,O88/$O$164)</f>
        <v>1.2875769083043349E-3</v>
      </c>
    </row>
    <row r="89" spans="1:16" ht="23.25" customHeight="1" x14ac:dyDescent="0.2">
      <c r="A89" s="61" t="s">
        <v>154</v>
      </c>
      <c r="B89" s="103" t="s">
        <v>69</v>
      </c>
      <c r="C89" s="12">
        <f>SUMPRODUCT(-('Diário 1º PA'!$E$4:$E$2635='Analítico Cp.'!$B89),-('Diário 1º PA'!$Q$4:$Q$2635=C$1),('Diário 1º PA'!$F$4:$F$2635))+SUMPRODUCT(-('Diário 2º PA'!$E$4:$E$3040='Analítico Cp.'!$B89),-('Diário 2º PA'!$Q$4:$Q$3040=C$1),('Diário 2º PA'!$F$4:$F$3040))+SUMPRODUCT(-('Diário 3º PA'!$E$4:$E$2731='Analítico Cp.'!$B89),-('Diário 3º PA'!$Q$4:$Q$2731=C$1),('Diário 3º PA'!$F$4:$F$2731))+SUMPRODUCT(-('Diário 4º PA'!$E$4:$E$2564='Analítico Cp.'!$B89),-('Diário 4º PA'!$Q$4:$Q$2564=C$1),('Diário 4º PA'!$F$4:$F$2564))+SUMPRODUCT(-('Comp.'!$D$5:$D$69='Analítico Cp.'!$B89),-('Comp.'!$K$5:$K$69=C$1),('Comp.'!$E$5:$E$69))</f>
        <v>0</v>
      </c>
      <c r="D89" s="12">
        <f>SUMPRODUCT(-('Diário 1º PA'!$E$4:$E$2635='Analítico Cp.'!$B89),-('Diário 1º PA'!$Q$4:$Q$2635=D$1),('Diário 1º PA'!$F$4:$F$2635))+SUMPRODUCT(-('Diário 2º PA'!$E$4:$E$3040='Analítico Cp.'!$B89),-('Diário 2º PA'!$Q$4:$Q$3040=D$1),('Diário 2º PA'!$F$4:$F$3040))+SUMPRODUCT(-('Diário 3º PA'!$E$4:$E$2731='Analítico Cp.'!$B89),-('Diário 3º PA'!$Q$4:$Q$2731=D$1),('Diário 3º PA'!$F$4:$F$2731))+SUMPRODUCT(-('Diário 4º PA'!$E$4:$E$2564='Analítico Cp.'!$B89),-('Diário 4º PA'!$Q$4:$Q$2564=D$1),('Diário 4º PA'!$F$4:$F$2564))+SUMPRODUCT(-('Comp.'!$D$5:$D$69='Analítico Cp.'!$B89),-('Comp.'!$K$5:$K$69=D$1),('Comp.'!$E$5:$E$69))</f>
        <v>0</v>
      </c>
      <c r="E89" s="12">
        <f>SUMPRODUCT(-('Diário 1º PA'!$E$4:$E$2635='Analítico Cp.'!$B89),-('Diário 1º PA'!$Q$4:$Q$2635=E$1),('Diário 1º PA'!$F$4:$F$2635))+SUMPRODUCT(-('Diário 2º PA'!$E$4:$E$3040='Analítico Cp.'!$B89),-('Diário 2º PA'!$Q$4:$Q$3040=E$1),('Diário 2º PA'!$F$4:$F$3040))+SUMPRODUCT(-('Diário 3º PA'!$E$4:$E$2731='Analítico Cp.'!$B89),-('Diário 3º PA'!$Q$4:$Q$2731=E$1),('Diário 3º PA'!$F$4:$F$2731))+SUMPRODUCT(-('Diário 4º PA'!$E$4:$E$2564='Analítico Cp.'!$B89),-('Diário 4º PA'!$Q$4:$Q$2564=E$1),('Diário 4º PA'!$F$4:$F$2564))+SUMPRODUCT(-('Comp.'!$D$5:$D$69='Analítico Cp.'!$B89),-('Comp.'!$K$5:$K$69=E$1),('Comp.'!$E$5:$E$69))</f>
        <v>0</v>
      </c>
      <c r="F89" s="12">
        <f>SUMPRODUCT(-('Diário 1º PA'!$E$4:$E$2635='Analítico Cp.'!$B89),-('Diário 1º PA'!$Q$4:$Q$2635=F$1),('Diário 1º PA'!$F$4:$F$2635))+SUMPRODUCT(-('Diário 2º PA'!$E$4:$E$3040='Analítico Cp.'!$B89),-('Diário 2º PA'!$Q$4:$Q$3040=F$1),('Diário 2º PA'!$F$4:$F$3040))+SUMPRODUCT(-('Diário 3º PA'!$E$4:$E$2731='Analítico Cp.'!$B89),-('Diário 3º PA'!$Q$4:$Q$2731=F$1),('Diário 3º PA'!$F$4:$F$2731))+SUMPRODUCT(-('Diário 4º PA'!$E$4:$E$2564='Analítico Cp.'!$B89),-('Diário 4º PA'!$Q$4:$Q$2564=F$1),('Diário 4º PA'!$F$4:$F$2564))+SUMPRODUCT(-('Comp.'!$D$5:$D$69='Analítico Cp.'!$B89),-('Comp.'!$K$5:$K$69=F$1),('Comp.'!$E$5:$E$69))</f>
        <v>0</v>
      </c>
      <c r="G89" s="12">
        <f>SUMPRODUCT(-('Diário 1º PA'!$E$4:$E$2635='Analítico Cp.'!$B89),-('Diário 1º PA'!$Q$4:$Q$2635=G$1),('Diário 1º PA'!$F$4:$F$2635))+SUMPRODUCT(-('Diário 2º PA'!$E$4:$E$3040='Analítico Cp.'!$B89),-('Diário 2º PA'!$Q$4:$Q$3040=G$1),('Diário 2º PA'!$F$4:$F$3040))+SUMPRODUCT(-('Diário 3º PA'!$E$4:$E$2731='Analítico Cp.'!$B89),-('Diário 3º PA'!$Q$4:$Q$2731=G$1),('Diário 3º PA'!$F$4:$F$2731))+SUMPRODUCT(-('Diário 4º PA'!$E$4:$E$2564='Analítico Cp.'!$B89),-('Diário 4º PA'!$Q$4:$Q$2564=G$1),('Diário 4º PA'!$F$4:$F$2564))+SUMPRODUCT(-('Comp.'!$D$5:$D$69='Analítico Cp.'!$B89),-('Comp.'!$K$5:$K$69=G$1),('Comp.'!$E$5:$E$69))</f>
        <v>0</v>
      </c>
      <c r="H89" s="12">
        <f>SUMPRODUCT(-('Diário 1º PA'!$E$4:$E$2635='Analítico Cp.'!$B89),-('Diário 1º PA'!$Q$4:$Q$2635=H$1),('Diário 1º PA'!$F$4:$F$2635))+SUMPRODUCT(-('Diário 2º PA'!$E$4:$E$3040='Analítico Cp.'!$B89),-('Diário 2º PA'!$Q$4:$Q$3040=H$1),('Diário 2º PA'!$F$4:$F$3040))+SUMPRODUCT(-('Diário 3º PA'!$E$4:$E$2731='Analítico Cp.'!$B89),-('Diário 3º PA'!$Q$4:$Q$2731=H$1),('Diário 3º PA'!$F$4:$F$2731))+SUMPRODUCT(-('Diário 4º PA'!$E$4:$E$2564='Analítico Cp.'!$B89),-('Diário 4º PA'!$Q$4:$Q$2564=H$1),('Diário 4º PA'!$F$4:$F$2564))+SUMPRODUCT(-('Comp.'!$D$5:$D$69='Analítico Cp.'!$B89),-('Comp.'!$K$5:$K$69=H$1),('Comp.'!$E$5:$E$69))</f>
        <v>0</v>
      </c>
      <c r="I89" s="12">
        <f>SUMPRODUCT(-('Diário 1º PA'!$E$4:$E$2635='Analítico Cp.'!$B89),-('Diário 1º PA'!$Q$4:$Q$2635=I$1),('Diário 1º PA'!$F$4:$F$2635))+SUMPRODUCT(-('Diário 2º PA'!$E$4:$E$3040='Analítico Cp.'!$B89),-('Diário 2º PA'!$Q$4:$Q$3040=I$1),('Diário 2º PA'!$F$4:$F$3040))+SUMPRODUCT(-('Diário 3º PA'!$E$4:$E$2731='Analítico Cp.'!$B89),-('Diário 3º PA'!$Q$4:$Q$2731=I$1),('Diário 3º PA'!$F$4:$F$2731))+SUMPRODUCT(-('Diário 4º PA'!$E$4:$E$2564='Analítico Cp.'!$B89),-('Diário 4º PA'!$Q$4:$Q$2564=I$1),('Diário 4º PA'!$F$4:$F$2564))+SUMPRODUCT(-('Comp.'!$D$5:$D$69='Analítico Cp.'!$B89),-('Comp.'!$K$5:$K$69=I$1),('Comp.'!$E$5:$E$69))</f>
        <v>0</v>
      </c>
      <c r="J89" s="12">
        <f>SUMPRODUCT(-('Diário 1º PA'!$E$4:$E$2635='Analítico Cp.'!$B89),-('Diário 1º PA'!$Q$4:$Q$2635=J$1),('Diário 1º PA'!$F$4:$F$2635))+SUMPRODUCT(-('Diário 2º PA'!$E$4:$E$3040='Analítico Cp.'!$B89),-('Diário 2º PA'!$Q$4:$Q$3040=J$1),('Diário 2º PA'!$F$4:$F$3040))+SUMPRODUCT(-('Diário 3º PA'!$E$4:$E$2731='Analítico Cp.'!$B89),-('Diário 3º PA'!$Q$4:$Q$2731=J$1),('Diário 3º PA'!$F$4:$F$2731))+SUMPRODUCT(-('Diário 4º PA'!$E$4:$E$2564='Analítico Cp.'!$B89),-('Diário 4º PA'!$Q$4:$Q$2564=J$1),('Diário 4º PA'!$F$4:$F$2564))+SUMPRODUCT(-('Comp.'!$D$5:$D$69='Analítico Cp.'!$B89),-('Comp.'!$K$5:$K$69=J$1),('Comp.'!$E$5:$E$69))</f>
        <v>0</v>
      </c>
      <c r="K89" s="12">
        <f>SUMPRODUCT(-('Diário 1º PA'!$E$4:$E$2635='Analítico Cp.'!$B89),-('Diário 1º PA'!$Q$4:$Q$2635=K$1),('Diário 1º PA'!$F$4:$F$2635))+SUMPRODUCT(-('Diário 2º PA'!$E$4:$E$3040='Analítico Cp.'!$B89),-('Diário 2º PA'!$Q$4:$Q$3040=K$1),('Diário 2º PA'!$F$4:$F$3040))+SUMPRODUCT(-('Diário 3º PA'!$E$4:$E$2731='Analítico Cp.'!$B89),-('Diário 3º PA'!$Q$4:$Q$2731=K$1),('Diário 3º PA'!$F$4:$F$2731))+SUMPRODUCT(-('Diário 4º PA'!$E$4:$E$2564='Analítico Cp.'!$B89),-('Diário 4º PA'!$Q$4:$Q$2564=K$1),('Diário 4º PA'!$F$4:$F$2564))+SUMPRODUCT(-('Comp.'!$D$5:$D$69='Analítico Cp.'!$B89),-('Comp.'!$K$5:$K$69=K$1),('Comp.'!$E$5:$E$69))</f>
        <v>0</v>
      </c>
      <c r="L89" s="12">
        <f>SUMPRODUCT(-('Diário 1º PA'!$E$4:$E$2635='Analítico Cp.'!$B89),-('Diário 1º PA'!$Q$4:$Q$2635=L$1),('Diário 1º PA'!$F$4:$F$2635))+SUMPRODUCT(-('Diário 2º PA'!$E$4:$E$3040='Analítico Cp.'!$B89),-('Diário 2º PA'!$Q$4:$Q$3040=L$1),('Diário 2º PA'!$F$4:$F$3040))+SUMPRODUCT(-('Diário 3º PA'!$E$4:$E$2731='Analítico Cp.'!$B89),-('Diário 3º PA'!$Q$4:$Q$2731=L$1),('Diário 3º PA'!$F$4:$F$2731))+SUMPRODUCT(-('Diário 4º PA'!$E$4:$E$2564='Analítico Cp.'!$B89),-('Diário 4º PA'!$Q$4:$Q$2564=L$1),('Diário 4º PA'!$F$4:$F$2564))+SUMPRODUCT(-('Comp.'!$D$5:$D$69='Analítico Cp.'!$B89),-('Comp.'!$K$5:$K$69=L$1),('Comp.'!$E$5:$E$69))</f>
        <v>0</v>
      </c>
      <c r="M89" s="12">
        <f>SUMPRODUCT(-('Diário 1º PA'!$E$4:$E$2635='Analítico Cp.'!$B89),-('Diário 1º PA'!$Q$4:$Q$2635=M$1),('Diário 1º PA'!$F$4:$F$2635))+SUMPRODUCT(-('Diário 2º PA'!$E$4:$E$3040='Analítico Cp.'!$B89),-('Diário 2º PA'!$Q$4:$Q$3040=M$1),('Diário 2º PA'!$F$4:$F$3040))+SUMPRODUCT(-('Diário 3º PA'!$E$4:$E$2731='Analítico Cp.'!$B89),-('Diário 3º PA'!$Q$4:$Q$2731=M$1),('Diário 3º PA'!$F$4:$F$2731))+SUMPRODUCT(-('Diário 4º PA'!$E$4:$E$2564='Analítico Cp.'!$B89),-('Diário 4º PA'!$Q$4:$Q$2564=M$1),('Diário 4º PA'!$F$4:$F$2564))+SUMPRODUCT(-('Comp.'!$D$5:$D$69='Analítico Cp.'!$B89),-('Comp.'!$K$5:$K$69=M$1),('Comp.'!$E$5:$E$69))</f>
        <v>0</v>
      </c>
      <c r="N89" s="12">
        <f>SUMPRODUCT(-('Diário 1º PA'!$E$4:$E$2635='Analítico Cp.'!$B89),-('Diário 1º PA'!$Q$4:$Q$2635=N$1),('Diário 1º PA'!$F$4:$F$2635))+SUMPRODUCT(-('Diário 2º PA'!$E$4:$E$3040='Analítico Cp.'!$B89),-('Diário 2º PA'!$Q$4:$Q$3040=N$1),('Diário 2º PA'!$F$4:$F$3040))+SUMPRODUCT(-('Diário 3º PA'!$E$4:$E$2731='Analítico Cp.'!$B89),-('Diário 3º PA'!$Q$4:$Q$2731=N$1),('Diário 3º PA'!$F$4:$F$2731))+SUMPRODUCT(-('Diário 4º PA'!$E$4:$E$2564='Analítico Cp.'!$B89),-('Diário 4º PA'!$Q$4:$Q$2564=N$1),('Diário 4º PA'!$F$4:$F$2564))+SUMPRODUCT(-('Comp.'!$D$5:$D$69='Analítico Cp.'!$B89),-('Comp.'!$K$5:$K$69=N$1),('Comp.'!$E$5:$E$69))</f>
        <v>0</v>
      </c>
      <c r="O89" s="13">
        <f t="shared" si="12"/>
        <v>0</v>
      </c>
      <c r="P89" s="167">
        <f t="shared" si="13"/>
        <v>0</v>
      </c>
    </row>
    <row r="90" spans="1:16" ht="23.25" customHeight="1" x14ac:dyDescent="0.2">
      <c r="A90" s="61" t="s">
        <v>191</v>
      </c>
      <c r="B90" s="103" t="s">
        <v>67</v>
      </c>
      <c r="C90" s="12">
        <f>SUMPRODUCT(-('Diário 1º PA'!$E$4:$E$2635='Analítico Cp.'!$B90),-('Diário 1º PA'!$Q$4:$Q$2635=C$1),('Diário 1º PA'!$F$4:$F$2635))+SUMPRODUCT(-('Diário 2º PA'!$E$4:$E$3040='Analítico Cp.'!$B90),-('Diário 2º PA'!$Q$4:$Q$3040=C$1),('Diário 2º PA'!$F$4:$F$3040))+SUMPRODUCT(-('Diário 3º PA'!$E$4:$E$2731='Analítico Cp.'!$B90),-('Diário 3º PA'!$Q$4:$Q$2731=C$1),('Diário 3º PA'!$F$4:$F$2731))+SUMPRODUCT(-('Diário 4º PA'!$E$4:$E$2564='Analítico Cp.'!$B90),-('Diário 4º PA'!$Q$4:$Q$2564=C$1),('Diário 4º PA'!$F$4:$F$2564))+SUMPRODUCT(-('Comp.'!$D$5:$D$69='Analítico Cp.'!$B90),-('Comp.'!$K$5:$K$69=C$1),('Comp.'!$E$5:$E$69))</f>
        <v>278.33</v>
      </c>
      <c r="D90" s="12">
        <f>SUMPRODUCT(-('Diário 1º PA'!$E$4:$E$2635='Analítico Cp.'!$B90),-('Diário 1º PA'!$Q$4:$Q$2635=D$1),('Diário 1º PA'!$F$4:$F$2635))+SUMPRODUCT(-('Diário 2º PA'!$E$4:$E$3040='Analítico Cp.'!$B90),-('Diário 2º PA'!$Q$4:$Q$3040=D$1),('Diário 2º PA'!$F$4:$F$3040))+SUMPRODUCT(-('Diário 3º PA'!$E$4:$E$2731='Analítico Cp.'!$B90),-('Diário 3º PA'!$Q$4:$Q$2731=D$1),('Diário 3º PA'!$F$4:$F$2731))+SUMPRODUCT(-('Diário 4º PA'!$E$4:$E$2564='Analítico Cp.'!$B90),-('Diário 4º PA'!$Q$4:$Q$2564=D$1),('Diário 4º PA'!$F$4:$F$2564))+SUMPRODUCT(-('Comp.'!$D$5:$D$69='Analítico Cp.'!$B90),-('Comp.'!$K$5:$K$69=D$1),('Comp.'!$E$5:$E$69))</f>
        <v>268.41000000000003</v>
      </c>
      <c r="E90" s="12">
        <f>SUMPRODUCT(-('Diário 1º PA'!$E$4:$E$2635='Analítico Cp.'!$B90),-('Diário 1º PA'!$Q$4:$Q$2635=E$1),('Diário 1º PA'!$F$4:$F$2635))+SUMPRODUCT(-('Diário 2º PA'!$E$4:$E$3040='Analítico Cp.'!$B90),-('Diário 2º PA'!$Q$4:$Q$3040=E$1),('Diário 2º PA'!$F$4:$F$3040))+SUMPRODUCT(-('Diário 3º PA'!$E$4:$E$2731='Analítico Cp.'!$B90),-('Diário 3º PA'!$Q$4:$Q$2731=E$1),('Diário 3º PA'!$F$4:$F$2731))+SUMPRODUCT(-('Diário 4º PA'!$E$4:$E$2564='Analítico Cp.'!$B90),-('Diário 4º PA'!$Q$4:$Q$2564=E$1),('Diário 4º PA'!$F$4:$F$2564))+SUMPRODUCT(-('Comp.'!$D$5:$D$69='Analítico Cp.'!$B90),-('Comp.'!$K$5:$K$69=E$1),('Comp.'!$E$5:$E$69))</f>
        <v>515.08000000000004</v>
      </c>
      <c r="F90" s="12">
        <f>SUMPRODUCT(-('Diário 1º PA'!$E$4:$E$2635='Analítico Cp.'!$B90),-('Diário 1º PA'!$Q$4:$Q$2635=F$1),('Diário 1º PA'!$F$4:$F$2635))+SUMPRODUCT(-('Diário 2º PA'!$E$4:$E$3040='Analítico Cp.'!$B90),-('Diário 2º PA'!$Q$4:$Q$3040=F$1),('Diário 2º PA'!$F$4:$F$3040))+SUMPRODUCT(-('Diário 3º PA'!$E$4:$E$2731='Analítico Cp.'!$B90),-('Diário 3º PA'!$Q$4:$Q$2731=F$1),('Diário 3º PA'!$F$4:$F$2731))+SUMPRODUCT(-('Diário 4º PA'!$E$4:$E$2564='Analítico Cp.'!$B90),-('Diário 4º PA'!$Q$4:$Q$2564=F$1),('Diário 4º PA'!$F$4:$F$2564))+SUMPRODUCT(-('Comp.'!$D$5:$D$69='Analítico Cp.'!$B90),-('Comp.'!$K$5:$K$69=F$1),('Comp.'!$E$5:$E$69))</f>
        <v>595.98</v>
      </c>
      <c r="G90" s="12">
        <f>SUMPRODUCT(-('Diário 1º PA'!$E$4:$E$2635='Analítico Cp.'!$B90),-('Diário 1º PA'!$Q$4:$Q$2635=G$1),('Diário 1º PA'!$F$4:$F$2635))+SUMPRODUCT(-('Diário 2º PA'!$E$4:$E$3040='Analítico Cp.'!$B90),-('Diário 2º PA'!$Q$4:$Q$3040=G$1),('Diário 2º PA'!$F$4:$F$3040))+SUMPRODUCT(-('Diário 3º PA'!$E$4:$E$2731='Analítico Cp.'!$B90),-('Diário 3º PA'!$Q$4:$Q$2731=G$1),('Diário 3º PA'!$F$4:$F$2731))+SUMPRODUCT(-('Diário 4º PA'!$E$4:$E$2564='Analítico Cp.'!$B90),-('Diário 4º PA'!$Q$4:$Q$2564=G$1),('Diário 4º PA'!$F$4:$F$2564))+SUMPRODUCT(-('Comp.'!$D$5:$D$69='Analítico Cp.'!$B90),-('Comp.'!$K$5:$K$69=G$1),('Comp.'!$E$5:$E$69))</f>
        <v>1160.29</v>
      </c>
      <c r="H90" s="12">
        <f>SUMPRODUCT(-('Diário 1º PA'!$E$4:$E$2635='Analítico Cp.'!$B90),-('Diário 1º PA'!$Q$4:$Q$2635=H$1),('Diário 1º PA'!$F$4:$F$2635))+SUMPRODUCT(-('Diário 2º PA'!$E$4:$E$3040='Analítico Cp.'!$B90),-('Diário 2º PA'!$Q$4:$Q$3040=H$1),('Diário 2º PA'!$F$4:$F$3040))+SUMPRODUCT(-('Diário 3º PA'!$E$4:$E$2731='Analítico Cp.'!$B90),-('Diário 3º PA'!$Q$4:$Q$2731=H$1),('Diário 3º PA'!$F$4:$F$2731))+SUMPRODUCT(-('Diário 4º PA'!$E$4:$E$2564='Analítico Cp.'!$B90),-('Diário 4º PA'!$Q$4:$Q$2564=H$1),('Diário 4º PA'!$F$4:$F$2564))+SUMPRODUCT(-('Comp.'!$D$5:$D$69='Analítico Cp.'!$B90),-('Comp.'!$K$5:$K$69=H$1),('Comp.'!$E$5:$E$69))</f>
        <v>1327.54</v>
      </c>
      <c r="I90" s="12">
        <f>SUMPRODUCT(-('Diário 1º PA'!$E$4:$E$2635='Analítico Cp.'!$B90),-('Diário 1º PA'!$Q$4:$Q$2635=I$1),('Diário 1º PA'!$F$4:$F$2635))+SUMPRODUCT(-('Diário 2º PA'!$E$4:$E$3040='Analítico Cp.'!$B90),-('Diário 2º PA'!$Q$4:$Q$3040=I$1),('Diário 2º PA'!$F$4:$F$3040))+SUMPRODUCT(-('Diário 3º PA'!$E$4:$E$2731='Analítico Cp.'!$B90),-('Diário 3º PA'!$Q$4:$Q$2731=I$1),('Diário 3º PA'!$F$4:$F$2731))+SUMPRODUCT(-('Diário 4º PA'!$E$4:$E$2564='Analítico Cp.'!$B90),-('Diário 4º PA'!$Q$4:$Q$2564=I$1),('Diário 4º PA'!$F$4:$F$2564))+SUMPRODUCT(-('Comp.'!$D$5:$D$69='Analítico Cp.'!$B90),-('Comp.'!$K$5:$K$69=I$1),('Comp.'!$E$5:$E$69))</f>
        <v>1143.22</v>
      </c>
      <c r="J90" s="12">
        <f>SUMPRODUCT(-('Diário 1º PA'!$E$4:$E$2635='Analítico Cp.'!$B90),-('Diário 1º PA'!$Q$4:$Q$2635=J$1),('Diário 1º PA'!$F$4:$F$2635))+SUMPRODUCT(-('Diário 2º PA'!$E$4:$E$3040='Analítico Cp.'!$B90),-('Diário 2º PA'!$Q$4:$Q$3040=J$1),('Diário 2º PA'!$F$4:$F$3040))+SUMPRODUCT(-('Diário 3º PA'!$E$4:$E$2731='Analítico Cp.'!$B90),-('Diário 3º PA'!$Q$4:$Q$2731=J$1),('Diário 3º PA'!$F$4:$F$2731))+SUMPRODUCT(-('Diário 4º PA'!$E$4:$E$2564='Analítico Cp.'!$B90),-('Diário 4º PA'!$Q$4:$Q$2564=J$1),('Diário 4º PA'!$F$4:$F$2564))+SUMPRODUCT(-('Comp.'!$D$5:$D$69='Analítico Cp.'!$B90),-('Comp.'!$K$5:$K$69=J$1),('Comp.'!$E$5:$E$69))</f>
        <v>1495.71</v>
      </c>
      <c r="K90" s="12">
        <f>SUMPRODUCT(-('Diário 1º PA'!$E$4:$E$2635='Analítico Cp.'!$B90),-('Diário 1º PA'!$Q$4:$Q$2635=K$1),('Diário 1º PA'!$F$4:$F$2635))+SUMPRODUCT(-('Diário 2º PA'!$E$4:$E$3040='Analítico Cp.'!$B90),-('Diário 2º PA'!$Q$4:$Q$3040=K$1),('Diário 2º PA'!$F$4:$F$3040))+SUMPRODUCT(-('Diário 3º PA'!$E$4:$E$2731='Analítico Cp.'!$B90),-('Diário 3º PA'!$Q$4:$Q$2731=K$1),('Diário 3º PA'!$F$4:$F$2731))+SUMPRODUCT(-('Diário 4º PA'!$E$4:$E$2564='Analítico Cp.'!$B90),-('Diário 4º PA'!$Q$4:$Q$2564=K$1),('Diário 4º PA'!$F$4:$F$2564))+SUMPRODUCT(-('Comp.'!$D$5:$D$69='Analítico Cp.'!$B90),-('Comp.'!$K$5:$K$69=K$1),('Comp.'!$E$5:$E$69))</f>
        <v>1495.4900000000002</v>
      </c>
      <c r="L90" s="12">
        <f>SUMPRODUCT(-('Diário 1º PA'!$E$4:$E$2635='Analítico Cp.'!$B90),-('Diário 1º PA'!$Q$4:$Q$2635=L$1),('Diário 1º PA'!$F$4:$F$2635))+SUMPRODUCT(-('Diário 2º PA'!$E$4:$E$3040='Analítico Cp.'!$B90),-('Diário 2º PA'!$Q$4:$Q$3040=L$1),('Diário 2º PA'!$F$4:$F$3040))+SUMPRODUCT(-('Diário 3º PA'!$E$4:$E$2731='Analítico Cp.'!$B90),-('Diário 3º PA'!$Q$4:$Q$2731=L$1),('Diário 3º PA'!$F$4:$F$2731))+SUMPRODUCT(-('Diário 4º PA'!$E$4:$E$2564='Analítico Cp.'!$B90),-('Diário 4º PA'!$Q$4:$Q$2564=L$1),('Diário 4º PA'!$F$4:$F$2564))+SUMPRODUCT(-('Comp.'!$D$5:$D$69='Analítico Cp.'!$B90),-('Comp.'!$K$5:$K$69=L$1),('Comp.'!$E$5:$E$69))</f>
        <v>1249.8800000000001</v>
      </c>
      <c r="M90" s="12">
        <f>SUMPRODUCT(-('Diário 1º PA'!$E$4:$E$2635='Analítico Cp.'!$B90),-('Diário 1º PA'!$Q$4:$Q$2635=M$1),('Diário 1º PA'!$F$4:$F$2635))+SUMPRODUCT(-('Diário 2º PA'!$E$4:$E$3040='Analítico Cp.'!$B90),-('Diário 2º PA'!$Q$4:$Q$3040=M$1),('Diário 2º PA'!$F$4:$F$3040))+SUMPRODUCT(-('Diário 3º PA'!$E$4:$E$2731='Analítico Cp.'!$B90),-('Diário 3º PA'!$Q$4:$Q$2731=M$1),('Diário 3º PA'!$F$4:$F$2731))+SUMPRODUCT(-('Diário 4º PA'!$E$4:$E$2564='Analítico Cp.'!$B90),-('Diário 4º PA'!$Q$4:$Q$2564=M$1),('Diário 4º PA'!$F$4:$F$2564))+SUMPRODUCT(-('Comp.'!$D$5:$D$69='Analítico Cp.'!$B90),-('Comp.'!$K$5:$K$69=M$1),('Comp.'!$E$5:$E$69))</f>
        <v>1096.4099999999999</v>
      </c>
      <c r="N90" s="12">
        <f>SUMPRODUCT(-('Diário 1º PA'!$E$4:$E$2635='Analítico Cp.'!$B90),-('Diário 1º PA'!$Q$4:$Q$2635=N$1),('Diário 1º PA'!$F$4:$F$2635))+SUMPRODUCT(-('Diário 2º PA'!$E$4:$E$3040='Analítico Cp.'!$B90),-('Diário 2º PA'!$Q$4:$Q$3040=N$1),('Diário 2º PA'!$F$4:$F$3040))+SUMPRODUCT(-('Diário 3º PA'!$E$4:$E$2731='Analítico Cp.'!$B90),-('Diário 3º PA'!$Q$4:$Q$2731=N$1),('Diário 3º PA'!$F$4:$F$2731))+SUMPRODUCT(-('Diário 4º PA'!$E$4:$E$2564='Analítico Cp.'!$B90),-('Diário 4º PA'!$Q$4:$Q$2564=N$1),('Diário 4º PA'!$F$4:$F$2564))+SUMPRODUCT(-('Comp.'!$D$5:$D$69='Analítico Cp.'!$B90),-('Comp.'!$K$5:$K$69=N$1),('Comp.'!$E$5:$E$69))</f>
        <v>378.25</v>
      </c>
      <c r="O90" s="13">
        <f t="shared" si="12"/>
        <v>11004.59</v>
      </c>
      <c r="P90" s="167">
        <f t="shared" si="13"/>
        <v>8.9917001484037147E-4</v>
      </c>
    </row>
    <row r="91" spans="1:16" ht="23.25" customHeight="1" x14ac:dyDescent="0.2">
      <c r="A91" s="61" t="s">
        <v>192</v>
      </c>
      <c r="B91" s="103" t="s">
        <v>68</v>
      </c>
      <c r="C91" s="12">
        <f>SUMPRODUCT(-('Diário 1º PA'!$E$4:$E$2635='Analítico Cp.'!$B91),-('Diário 1º PA'!$Q$4:$Q$2635=C$1),('Diário 1º PA'!$F$4:$F$2635))+SUMPRODUCT(-('Diário 2º PA'!$E$4:$E$3040='Analítico Cp.'!$B91),-('Diário 2º PA'!$Q$4:$Q$3040=C$1),('Diário 2º PA'!$F$4:$F$3040))+SUMPRODUCT(-('Diário 3º PA'!$E$4:$E$2731='Analítico Cp.'!$B91),-('Diário 3º PA'!$Q$4:$Q$2731=C$1),('Diário 3º PA'!$F$4:$F$2731))+SUMPRODUCT(-('Diário 4º PA'!$E$4:$E$2564='Analítico Cp.'!$B91),-('Diário 4º PA'!$Q$4:$Q$2564=C$1),('Diário 4º PA'!$F$4:$F$2564))+SUMPRODUCT(-('Comp.'!$D$5:$D$69='Analítico Cp.'!$B91),-('Comp.'!$K$5:$K$69=C$1),('Comp.'!$E$5:$E$69))</f>
        <v>0</v>
      </c>
      <c r="D91" s="12">
        <f>SUMPRODUCT(-('Diário 1º PA'!$E$4:$E$2635='Analítico Cp.'!$B91),-('Diário 1º PA'!$Q$4:$Q$2635=D$1),('Diário 1º PA'!$F$4:$F$2635))+SUMPRODUCT(-('Diário 2º PA'!$E$4:$E$3040='Analítico Cp.'!$B91),-('Diário 2º PA'!$Q$4:$Q$3040=D$1),('Diário 2º PA'!$F$4:$F$3040))+SUMPRODUCT(-('Diário 3º PA'!$E$4:$E$2731='Analítico Cp.'!$B91),-('Diário 3º PA'!$Q$4:$Q$2731=D$1),('Diário 3º PA'!$F$4:$F$2731))+SUMPRODUCT(-('Diário 4º PA'!$E$4:$E$2564='Analítico Cp.'!$B91),-('Diário 4º PA'!$Q$4:$Q$2564=D$1),('Diário 4º PA'!$F$4:$F$2564))+SUMPRODUCT(-('Comp.'!$D$5:$D$69='Analítico Cp.'!$B91),-('Comp.'!$K$5:$K$69=D$1),('Comp.'!$E$5:$E$69))</f>
        <v>318.18</v>
      </c>
      <c r="E91" s="12">
        <f>SUMPRODUCT(-('Diário 1º PA'!$E$4:$E$2635='Analítico Cp.'!$B91),-('Diário 1º PA'!$Q$4:$Q$2635=E$1),('Diário 1º PA'!$F$4:$F$2635))+SUMPRODUCT(-('Diário 2º PA'!$E$4:$E$3040='Analítico Cp.'!$B91),-('Diário 2º PA'!$Q$4:$Q$3040=E$1),('Diário 2º PA'!$F$4:$F$3040))+SUMPRODUCT(-('Diário 3º PA'!$E$4:$E$2731='Analítico Cp.'!$B91),-('Diário 3º PA'!$Q$4:$Q$2731=E$1),('Diário 3º PA'!$F$4:$F$2731))+SUMPRODUCT(-('Diário 4º PA'!$E$4:$E$2564='Analítico Cp.'!$B91),-('Diário 4º PA'!$Q$4:$Q$2564=E$1),('Diário 4º PA'!$F$4:$F$2564))+SUMPRODUCT(-('Comp.'!$D$5:$D$69='Analítico Cp.'!$B91),-('Comp.'!$K$5:$K$69=E$1),('Comp.'!$E$5:$E$69))</f>
        <v>574.75</v>
      </c>
      <c r="F91" s="12">
        <f>SUMPRODUCT(-('Diário 1º PA'!$E$4:$E$2635='Analítico Cp.'!$B91),-('Diário 1º PA'!$Q$4:$Q$2635=F$1),('Diário 1º PA'!$F$4:$F$2635))+SUMPRODUCT(-('Diário 2º PA'!$E$4:$E$3040='Analítico Cp.'!$B91),-('Diário 2º PA'!$Q$4:$Q$3040=F$1),('Diário 2º PA'!$F$4:$F$3040))+SUMPRODUCT(-('Diário 3º PA'!$E$4:$E$2731='Analítico Cp.'!$B91),-('Diário 3º PA'!$Q$4:$Q$2731=F$1),('Diário 3º PA'!$F$4:$F$2731))+SUMPRODUCT(-('Diário 4º PA'!$E$4:$E$2564='Analítico Cp.'!$B91),-('Diário 4º PA'!$Q$4:$Q$2564=F$1),('Diário 4º PA'!$F$4:$F$2564))+SUMPRODUCT(-('Comp.'!$D$5:$D$69='Analítico Cp.'!$B91),-('Comp.'!$K$5:$K$69=F$1),('Comp.'!$E$5:$E$69))</f>
        <v>0</v>
      </c>
      <c r="G91" s="12">
        <f>SUMPRODUCT(-('Diário 1º PA'!$E$4:$E$2635='Analítico Cp.'!$B91),-('Diário 1º PA'!$Q$4:$Q$2635=G$1),('Diário 1º PA'!$F$4:$F$2635))+SUMPRODUCT(-('Diário 2º PA'!$E$4:$E$3040='Analítico Cp.'!$B91),-('Diário 2º PA'!$Q$4:$Q$3040=G$1),('Diário 2º PA'!$F$4:$F$3040))+SUMPRODUCT(-('Diário 3º PA'!$E$4:$E$2731='Analítico Cp.'!$B91),-('Diário 3º PA'!$Q$4:$Q$2731=G$1),('Diário 3º PA'!$F$4:$F$2731))+SUMPRODUCT(-('Diário 4º PA'!$E$4:$E$2564='Analítico Cp.'!$B91),-('Diário 4º PA'!$Q$4:$Q$2564=G$1),('Diário 4º PA'!$F$4:$F$2564))+SUMPRODUCT(-('Comp.'!$D$5:$D$69='Analítico Cp.'!$B91),-('Comp.'!$K$5:$K$69=G$1),('Comp.'!$E$5:$E$69))</f>
        <v>0</v>
      </c>
      <c r="H91" s="12">
        <f>SUMPRODUCT(-('Diário 1º PA'!$E$4:$E$2635='Analítico Cp.'!$B91),-('Diário 1º PA'!$Q$4:$Q$2635=H$1),('Diário 1º PA'!$F$4:$F$2635))+SUMPRODUCT(-('Diário 2º PA'!$E$4:$E$3040='Analítico Cp.'!$B91),-('Diário 2º PA'!$Q$4:$Q$3040=H$1),('Diário 2º PA'!$F$4:$F$3040))+SUMPRODUCT(-('Diário 3º PA'!$E$4:$E$2731='Analítico Cp.'!$B91),-('Diário 3º PA'!$Q$4:$Q$2731=H$1),('Diário 3º PA'!$F$4:$F$2731))+SUMPRODUCT(-('Diário 4º PA'!$E$4:$E$2564='Analítico Cp.'!$B91),-('Diário 4º PA'!$Q$4:$Q$2564=H$1),('Diário 4º PA'!$F$4:$F$2564))+SUMPRODUCT(-('Comp.'!$D$5:$D$69='Analítico Cp.'!$B91),-('Comp.'!$K$5:$K$69=H$1),('Comp.'!$E$5:$E$69))</f>
        <v>111.41</v>
      </c>
      <c r="I91" s="12">
        <f>SUMPRODUCT(-('Diário 1º PA'!$E$4:$E$2635='Analítico Cp.'!$B91),-('Diário 1º PA'!$Q$4:$Q$2635=I$1),('Diário 1º PA'!$F$4:$F$2635))+SUMPRODUCT(-('Diário 2º PA'!$E$4:$E$3040='Analítico Cp.'!$B91),-('Diário 2º PA'!$Q$4:$Q$3040=I$1),('Diário 2º PA'!$F$4:$F$3040))+SUMPRODUCT(-('Diário 3º PA'!$E$4:$E$2731='Analítico Cp.'!$B91),-('Diário 3º PA'!$Q$4:$Q$2731=I$1),('Diário 3º PA'!$F$4:$F$2731))+SUMPRODUCT(-('Diário 4º PA'!$E$4:$E$2564='Analítico Cp.'!$B91),-('Diário 4º PA'!$Q$4:$Q$2564=I$1),('Diário 4º PA'!$F$4:$F$2564))+SUMPRODUCT(-('Comp.'!$D$5:$D$69='Analítico Cp.'!$B91),-('Comp.'!$K$5:$K$69=I$1),('Comp.'!$E$5:$E$69))</f>
        <v>0</v>
      </c>
      <c r="J91" s="12">
        <f>SUMPRODUCT(-('Diário 1º PA'!$E$4:$E$2635='Analítico Cp.'!$B91),-('Diário 1º PA'!$Q$4:$Q$2635=J$1),('Diário 1º PA'!$F$4:$F$2635))+SUMPRODUCT(-('Diário 2º PA'!$E$4:$E$3040='Analítico Cp.'!$B91),-('Diário 2º PA'!$Q$4:$Q$3040=J$1),('Diário 2º PA'!$F$4:$F$3040))+SUMPRODUCT(-('Diário 3º PA'!$E$4:$E$2731='Analítico Cp.'!$B91),-('Diário 3º PA'!$Q$4:$Q$2731=J$1),('Diário 3º PA'!$F$4:$F$2731))+SUMPRODUCT(-('Diário 4º PA'!$E$4:$E$2564='Analítico Cp.'!$B91),-('Diário 4º PA'!$Q$4:$Q$2564=J$1),('Diário 4º PA'!$F$4:$F$2564))+SUMPRODUCT(-('Comp.'!$D$5:$D$69='Analítico Cp.'!$B91),-('Comp.'!$K$5:$K$69=J$1),('Comp.'!$E$5:$E$69))</f>
        <v>0</v>
      </c>
      <c r="K91" s="12">
        <f>SUMPRODUCT(-('Diário 1º PA'!$E$4:$E$2635='Analítico Cp.'!$B91),-('Diário 1º PA'!$Q$4:$Q$2635=K$1),('Diário 1º PA'!$F$4:$F$2635))+SUMPRODUCT(-('Diário 2º PA'!$E$4:$E$3040='Analítico Cp.'!$B91),-('Diário 2º PA'!$Q$4:$Q$3040=K$1),('Diário 2º PA'!$F$4:$F$3040))+SUMPRODUCT(-('Diário 3º PA'!$E$4:$E$2731='Analítico Cp.'!$B91),-('Diário 3º PA'!$Q$4:$Q$2731=K$1),('Diário 3º PA'!$F$4:$F$2731))+SUMPRODUCT(-('Diário 4º PA'!$E$4:$E$2564='Analítico Cp.'!$B91),-('Diário 4º PA'!$Q$4:$Q$2564=K$1),('Diário 4º PA'!$F$4:$F$2564))+SUMPRODUCT(-('Comp.'!$D$5:$D$69='Analítico Cp.'!$B91),-('Comp.'!$K$5:$K$69=K$1),('Comp.'!$E$5:$E$69))</f>
        <v>0</v>
      </c>
      <c r="L91" s="12">
        <f>SUMPRODUCT(-('Diário 1º PA'!$E$4:$E$2635='Analítico Cp.'!$B91),-('Diário 1º PA'!$Q$4:$Q$2635=L$1),('Diário 1º PA'!$F$4:$F$2635))+SUMPRODUCT(-('Diário 2º PA'!$E$4:$E$3040='Analítico Cp.'!$B91),-('Diário 2º PA'!$Q$4:$Q$3040=L$1),('Diário 2º PA'!$F$4:$F$3040))+SUMPRODUCT(-('Diário 3º PA'!$E$4:$E$2731='Analítico Cp.'!$B91),-('Diário 3º PA'!$Q$4:$Q$2731=L$1),('Diário 3º PA'!$F$4:$F$2731))+SUMPRODUCT(-('Diário 4º PA'!$E$4:$E$2564='Analítico Cp.'!$B91),-('Diário 4º PA'!$Q$4:$Q$2564=L$1),('Diário 4º PA'!$F$4:$F$2564))+SUMPRODUCT(-('Comp.'!$D$5:$D$69='Analítico Cp.'!$B91),-('Comp.'!$K$5:$K$69=L$1),('Comp.'!$E$5:$E$69))</f>
        <v>0</v>
      </c>
      <c r="M91" s="12">
        <f>SUMPRODUCT(-('Diário 1º PA'!$E$4:$E$2635='Analítico Cp.'!$B91),-('Diário 1º PA'!$Q$4:$Q$2635=M$1),('Diário 1º PA'!$F$4:$F$2635))+SUMPRODUCT(-('Diário 2º PA'!$E$4:$E$3040='Analítico Cp.'!$B91),-('Diário 2º PA'!$Q$4:$Q$3040=M$1),('Diário 2º PA'!$F$4:$F$3040))+SUMPRODUCT(-('Diário 3º PA'!$E$4:$E$2731='Analítico Cp.'!$B91),-('Diário 3º PA'!$Q$4:$Q$2731=M$1),('Diário 3º PA'!$F$4:$F$2731))+SUMPRODUCT(-('Diário 4º PA'!$E$4:$E$2564='Analítico Cp.'!$B91),-('Diário 4º PA'!$Q$4:$Q$2564=M$1),('Diário 4º PA'!$F$4:$F$2564))+SUMPRODUCT(-('Comp.'!$D$5:$D$69='Analítico Cp.'!$B91),-('Comp.'!$K$5:$K$69=M$1),('Comp.'!$E$5:$E$69))</f>
        <v>0</v>
      </c>
      <c r="N91" s="12">
        <f>SUMPRODUCT(-('Diário 1º PA'!$E$4:$E$2635='Analítico Cp.'!$B91),-('Diário 1º PA'!$Q$4:$Q$2635=N$1),('Diário 1º PA'!$F$4:$F$2635))+SUMPRODUCT(-('Diário 2º PA'!$E$4:$E$3040='Analítico Cp.'!$B91),-('Diário 2º PA'!$Q$4:$Q$3040=N$1),('Diário 2º PA'!$F$4:$F$3040))+SUMPRODUCT(-('Diário 3º PA'!$E$4:$E$2731='Analítico Cp.'!$B91),-('Diário 3º PA'!$Q$4:$Q$2731=N$1),('Diário 3º PA'!$F$4:$F$2731))+SUMPRODUCT(-('Diário 4º PA'!$E$4:$E$2564='Analítico Cp.'!$B91),-('Diário 4º PA'!$Q$4:$Q$2564=N$1),('Diário 4º PA'!$F$4:$F$2564))+SUMPRODUCT(-('Comp.'!$D$5:$D$69='Analítico Cp.'!$B91),-('Comp.'!$K$5:$K$69=N$1),('Comp.'!$E$5:$E$69))</f>
        <v>200.26</v>
      </c>
      <c r="O91" s="13">
        <f t="shared" si="12"/>
        <v>1204.5999999999999</v>
      </c>
      <c r="P91" s="167">
        <f t="shared" si="13"/>
        <v>9.8426220320494564E-5</v>
      </c>
    </row>
    <row r="92" spans="1:16" ht="23.25" customHeight="1" x14ac:dyDescent="0.2">
      <c r="A92" s="61" t="s">
        <v>193</v>
      </c>
      <c r="B92" s="103" t="s">
        <v>78</v>
      </c>
      <c r="C92" s="12">
        <f>SUMPRODUCT(-('Diário 1º PA'!$E$4:$E$2635='Analítico Cp.'!$B92),-('Diário 1º PA'!$Q$4:$Q$2635=C$1),('Diário 1º PA'!$F$4:$F$2635))+SUMPRODUCT(-('Diário 2º PA'!$E$4:$E$3040='Analítico Cp.'!$B92),-('Diário 2º PA'!$Q$4:$Q$3040=C$1),('Diário 2º PA'!$F$4:$F$3040))+SUMPRODUCT(-('Diário 3º PA'!$E$4:$E$2731='Analítico Cp.'!$B92),-('Diário 3º PA'!$Q$4:$Q$2731=C$1),('Diário 3º PA'!$F$4:$F$2731))+SUMPRODUCT(-('Diário 4º PA'!$E$4:$E$2564='Analítico Cp.'!$B92),-('Diário 4º PA'!$Q$4:$Q$2564=C$1),('Diário 4º PA'!$F$4:$F$2564))+SUMPRODUCT(-('Comp.'!$D$5:$D$69='Analítico Cp.'!$B92),-('Comp.'!$K$5:$K$69=C$1),('Comp.'!$E$5:$E$69))</f>
        <v>1285.75</v>
      </c>
      <c r="D92" s="12">
        <f>SUMPRODUCT(-('Diário 1º PA'!$E$4:$E$2635='Analítico Cp.'!$B92),-('Diário 1º PA'!$Q$4:$Q$2635=D$1),('Diário 1º PA'!$F$4:$F$2635))+SUMPRODUCT(-('Diário 2º PA'!$E$4:$E$3040='Analítico Cp.'!$B92),-('Diário 2º PA'!$Q$4:$Q$3040=D$1),('Diário 2º PA'!$F$4:$F$3040))+SUMPRODUCT(-('Diário 3º PA'!$E$4:$E$2731='Analítico Cp.'!$B92),-('Diário 3º PA'!$Q$4:$Q$2731=D$1),('Diário 3º PA'!$F$4:$F$2731))+SUMPRODUCT(-('Diário 4º PA'!$E$4:$E$2564='Analítico Cp.'!$B92),-('Diário 4º PA'!$Q$4:$Q$2564=D$1),('Diário 4º PA'!$F$4:$F$2564))+SUMPRODUCT(-('Comp.'!$D$5:$D$69='Analítico Cp.'!$B92),-('Comp.'!$K$5:$K$69=D$1),('Comp.'!$E$5:$E$69))</f>
        <v>725.25</v>
      </c>
      <c r="E92" s="12">
        <f>SUMPRODUCT(-('Diário 1º PA'!$E$4:$E$2635='Analítico Cp.'!$B92),-('Diário 1º PA'!$Q$4:$Q$2635=E$1),('Diário 1º PA'!$F$4:$F$2635))+SUMPRODUCT(-('Diário 2º PA'!$E$4:$E$3040='Analítico Cp.'!$B92),-('Diário 2º PA'!$Q$4:$Q$3040=E$1),('Diário 2º PA'!$F$4:$F$3040))+SUMPRODUCT(-('Diário 3º PA'!$E$4:$E$2731='Analítico Cp.'!$B92),-('Diário 3º PA'!$Q$4:$Q$2731=E$1),('Diário 3º PA'!$F$4:$F$2731))+SUMPRODUCT(-('Diário 4º PA'!$E$4:$E$2564='Analítico Cp.'!$B92),-('Diário 4º PA'!$Q$4:$Q$2564=E$1),('Diário 4º PA'!$F$4:$F$2564))+SUMPRODUCT(-('Comp.'!$D$5:$D$69='Analítico Cp.'!$B92),-('Comp.'!$K$5:$K$69=E$1),('Comp.'!$E$5:$E$69))</f>
        <v>1756.93</v>
      </c>
      <c r="F92" s="12">
        <f>SUMPRODUCT(-('Diário 1º PA'!$E$4:$E$2635='Analítico Cp.'!$B92),-('Diário 1º PA'!$Q$4:$Q$2635=F$1),('Diário 1º PA'!$F$4:$F$2635))+SUMPRODUCT(-('Diário 2º PA'!$E$4:$E$3040='Analítico Cp.'!$B92),-('Diário 2º PA'!$Q$4:$Q$3040=F$1),('Diário 2º PA'!$F$4:$F$3040))+SUMPRODUCT(-('Diário 3º PA'!$E$4:$E$2731='Analítico Cp.'!$B92),-('Diário 3º PA'!$Q$4:$Q$2731=F$1),('Diário 3º PA'!$F$4:$F$2731))+SUMPRODUCT(-('Diário 4º PA'!$E$4:$E$2564='Analítico Cp.'!$B92),-('Diário 4º PA'!$Q$4:$Q$2564=F$1),('Diário 4º PA'!$F$4:$F$2564))+SUMPRODUCT(-('Comp.'!$D$5:$D$69='Analítico Cp.'!$B92),-('Comp.'!$K$5:$K$69=F$1),('Comp.'!$E$5:$E$69))</f>
        <v>0</v>
      </c>
      <c r="G92" s="12">
        <f>SUMPRODUCT(-('Diário 1º PA'!$E$4:$E$2635='Analítico Cp.'!$B92),-('Diário 1º PA'!$Q$4:$Q$2635=G$1),('Diário 1º PA'!$F$4:$F$2635))+SUMPRODUCT(-('Diário 2º PA'!$E$4:$E$3040='Analítico Cp.'!$B92),-('Diário 2º PA'!$Q$4:$Q$3040=G$1),('Diário 2º PA'!$F$4:$F$3040))+SUMPRODUCT(-('Diário 3º PA'!$E$4:$E$2731='Analítico Cp.'!$B92),-('Diário 3º PA'!$Q$4:$Q$2731=G$1),('Diário 3º PA'!$F$4:$F$2731))+SUMPRODUCT(-('Diário 4º PA'!$E$4:$E$2564='Analítico Cp.'!$B92),-('Diário 4º PA'!$Q$4:$Q$2564=G$1),('Diário 4º PA'!$F$4:$F$2564))+SUMPRODUCT(-('Comp.'!$D$5:$D$69='Analítico Cp.'!$B92),-('Comp.'!$K$5:$K$69=G$1),('Comp.'!$E$5:$E$69))</f>
        <v>9941.91</v>
      </c>
      <c r="H92" s="12">
        <f>SUMPRODUCT(-('Diário 1º PA'!$E$4:$E$2635='Analítico Cp.'!$B92),-('Diário 1º PA'!$Q$4:$Q$2635=H$1),('Diário 1º PA'!$F$4:$F$2635))+SUMPRODUCT(-('Diário 2º PA'!$E$4:$E$3040='Analítico Cp.'!$B92),-('Diário 2º PA'!$Q$4:$Q$3040=H$1),('Diário 2º PA'!$F$4:$F$3040))+SUMPRODUCT(-('Diário 3º PA'!$E$4:$E$2731='Analítico Cp.'!$B92),-('Diário 3º PA'!$Q$4:$Q$2731=H$1),('Diário 3º PA'!$F$4:$F$2731))+SUMPRODUCT(-('Diário 4º PA'!$E$4:$E$2564='Analítico Cp.'!$B92),-('Diário 4º PA'!$Q$4:$Q$2564=H$1),('Diário 4º PA'!$F$4:$F$2564))+SUMPRODUCT(-('Comp.'!$D$5:$D$69='Analítico Cp.'!$B92),-('Comp.'!$K$5:$K$69=H$1),('Comp.'!$E$5:$E$69))</f>
        <v>827.15</v>
      </c>
      <c r="I92" s="12">
        <f>SUMPRODUCT(-('Diário 1º PA'!$E$4:$E$2635='Analítico Cp.'!$B92),-('Diário 1º PA'!$Q$4:$Q$2635=I$1),('Diário 1º PA'!$F$4:$F$2635))+SUMPRODUCT(-('Diário 2º PA'!$E$4:$E$3040='Analítico Cp.'!$B92),-('Diário 2º PA'!$Q$4:$Q$3040=I$1),('Diário 2º PA'!$F$4:$F$3040))+SUMPRODUCT(-('Diário 3º PA'!$E$4:$E$2731='Analítico Cp.'!$B92),-('Diário 3º PA'!$Q$4:$Q$2731=I$1),('Diário 3º PA'!$F$4:$F$2731))+SUMPRODUCT(-('Diário 4º PA'!$E$4:$E$2564='Analítico Cp.'!$B92),-('Diário 4º PA'!$Q$4:$Q$2564=I$1),('Diário 4º PA'!$F$4:$F$2564))+SUMPRODUCT(-('Comp.'!$D$5:$D$69='Analítico Cp.'!$B92),-('Comp.'!$K$5:$K$69=I$1),('Comp.'!$E$5:$E$69))</f>
        <v>2099.39</v>
      </c>
      <c r="J92" s="12">
        <f>SUMPRODUCT(-('Diário 1º PA'!$E$4:$E$2635='Analítico Cp.'!$B92),-('Diário 1º PA'!$Q$4:$Q$2635=J$1),('Diário 1º PA'!$F$4:$F$2635))+SUMPRODUCT(-('Diário 2º PA'!$E$4:$E$3040='Analítico Cp.'!$B92),-('Diário 2º PA'!$Q$4:$Q$3040=J$1),('Diário 2º PA'!$F$4:$F$3040))+SUMPRODUCT(-('Diário 3º PA'!$E$4:$E$2731='Analítico Cp.'!$B92),-('Diário 3º PA'!$Q$4:$Q$2731=J$1),('Diário 3º PA'!$F$4:$F$2731))+SUMPRODUCT(-('Diário 4º PA'!$E$4:$E$2564='Analítico Cp.'!$B92),-('Diário 4º PA'!$Q$4:$Q$2564=J$1),('Diário 4º PA'!$F$4:$F$2564))+SUMPRODUCT(-('Comp.'!$D$5:$D$69='Analítico Cp.'!$B92),-('Comp.'!$K$5:$K$69=J$1),('Comp.'!$E$5:$E$69))</f>
        <v>4295.07</v>
      </c>
      <c r="K92" s="12">
        <f>SUMPRODUCT(-('Diário 1º PA'!$E$4:$E$2635='Analítico Cp.'!$B92),-('Diário 1º PA'!$Q$4:$Q$2635=K$1),('Diário 1º PA'!$F$4:$F$2635))+SUMPRODUCT(-('Diário 2º PA'!$E$4:$E$3040='Analítico Cp.'!$B92),-('Diário 2º PA'!$Q$4:$Q$3040=K$1),('Diário 2º PA'!$F$4:$F$3040))+SUMPRODUCT(-('Diário 3º PA'!$E$4:$E$2731='Analítico Cp.'!$B92),-('Diário 3º PA'!$Q$4:$Q$2731=K$1),('Diário 3º PA'!$F$4:$F$2731))+SUMPRODUCT(-('Diário 4º PA'!$E$4:$E$2564='Analítico Cp.'!$B92),-('Diário 4º PA'!$Q$4:$Q$2564=K$1),('Diário 4º PA'!$F$4:$F$2564))+SUMPRODUCT(-('Comp.'!$D$5:$D$69='Analítico Cp.'!$B92),-('Comp.'!$K$5:$K$69=K$1),('Comp.'!$E$5:$E$69))</f>
        <v>3646.16</v>
      </c>
      <c r="L92" s="12">
        <f>SUMPRODUCT(-('Diário 1º PA'!$E$4:$E$2635='Analítico Cp.'!$B92),-('Diário 1º PA'!$Q$4:$Q$2635=L$1),('Diário 1º PA'!$F$4:$F$2635))+SUMPRODUCT(-('Diário 2º PA'!$E$4:$E$3040='Analítico Cp.'!$B92),-('Diário 2º PA'!$Q$4:$Q$3040=L$1),('Diário 2º PA'!$F$4:$F$3040))+SUMPRODUCT(-('Diário 3º PA'!$E$4:$E$2731='Analítico Cp.'!$B92),-('Diário 3º PA'!$Q$4:$Q$2731=L$1),('Diário 3º PA'!$F$4:$F$2731))+SUMPRODUCT(-('Diário 4º PA'!$E$4:$E$2564='Analítico Cp.'!$B92),-('Diário 4º PA'!$Q$4:$Q$2564=L$1),('Diário 4º PA'!$F$4:$F$2564))+SUMPRODUCT(-('Comp.'!$D$5:$D$69='Analítico Cp.'!$B92),-('Comp.'!$K$5:$K$69=L$1),('Comp.'!$E$5:$E$69))</f>
        <v>2883.27</v>
      </c>
      <c r="M92" s="12">
        <f>SUMPRODUCT(-('Diário 1º PA'!$E$4:$E$2635='Analítico Cp.'!$B92),-('Diário 1º PA'!$Q$4:$Q$2635=M$1),('Diário 1º PA'!$F$4:$F$2635))+SUMPRODUCT(-('Diário 2º PA'!$E$4:$E$3040='Analítico Cp.'!$B92),-('Diário 2º PA'!$Q$4:$Q$3040=M$1),('Diário 2º PA'!$F$4:$F$3040))+SUMPRODUCT(-('Diário 3º PA'!$E$4:$E$2731='Analítico Cp.'!$B92),-('Diário 3º PA'!$Q$4:$Q$2731=M$1),('Diário 3º PA'!$F$4:$F$2731))+SUMPRODUCT(-('Diário 4º PA'!$E$4:$E$2564='Analítico Cp.'!$B92),-('Diário 4º PA'!$Q$4:$Q$2564=M$1),('Diário 4º PA'!$F$4:$F$2564))+SUMPRODUCT(-('Comp.'!$D$5:$D$69='Analítico Cp.'!$B92),-('Comp.'!$K$5:$K$69=M$1),('Comp.'!$E$5:$E$69))</f>
        <v>18037.740000000002</v>
      </c>
      <c r="N92" s="12">
        <f>SUMPRODUCT(-('Diário 1º PA'!$E$4:$E$2635='Analítico Cp.'!$B92),-('Diário 1º PA'!$Q$4:$Q$2635=N$1),('Diário 1º PA'!$F$4:$F$2635))+SUMPRODUCT(-('Diário 2º PA'!$E$4:$E$3040='Analítico Cp.'!$B92),-('Diário 2º PA'!$Q$4:$Q$3040=N$1),('Diário 2º PA'!$F$4:$F$3040))+SUMPRODUCT(-('Diário 3º PA'!$E$4:$E$2731='Analítico Cp.'!$B92),-('Diário 3º PA'!$Q$4:$Q$2731=N$1),('Diário 3º PA'!$F$4:$F$2731))+SUMPRODUCT(-('Diário 4º PA'!$E$4:$E$2564='Analítico Cp.'!$B92),-('Diário 4º PA'!$Q$4:$Q$2564=N$1),('Diário 4º PA'!$F$4:$F$2564))+SUMPRODUCT(-('Comp.'!$D$5:$D$69='Analítico Cp.'!$B92),-('Comp.'!$K$5:$K$69=N$1),('Comp.'!$E$5:$E$69))</f>
        <v>1502.19</v>
      </c>
      <c r="O92" s="13">
        <f t="shared" si="12"/>
        <v>47000.810000000005</v>
      </c>
      <c r="P92" s="167">
        <f t="shared" si="13"/>
        <v>3.8403719743497471E-3</v>
      </c>
    </row>
    <row r="93" spans="1:16" ht="23.25" customHeight="1" x14ac:dyDescent="0.2">
      <c r="A93" s="61" t="s">
        <v>194</v>
      </c>
      <c r="B93" s="103" t="s">
        <v>70</v>
      </c>
      <c r="C93" s="12">
        <f>SUMPRODUCT(-('Diário 1º PA'!$E$4:$E$2635='Analítico Cp.'!$B93),-('Diário 1º PA'!$Q$4:$Q$2635=C$1),('Diário 1º PA'!$F$4:$F$2635))+SUMPRODUCT(-('Diário 2º PA'!$E$4:$E$3040='Analítico Cp.'!$B93),-('Diário 2º PA'!$Q$4:$Q$3040=C$1),('Diário 2º PA'!$F$4:$F$3040))+SUMPRODUCT(-('Diário 3º PA'!$E$4:$E$2731='Analítico Cp.'!$B93),-('Diário 3º PA'!$Q$4:$Q$2731=C$1),('Diário 3º PA'!$F$4:$F$2731))+SUMPRODUCT(-('Diário 4º PA'!$E$4:$E$2564='Analítico Cp.'!$B93),-('Diário 4º PA'!$Q$4:$Q$2564=C$1),('Diário 4º PA'!$F$4:$F$2564))+SUMPRODUCT(-('Comp.'!$D$5:$D$69='Analítico Cp.'!$B93),-('Comp.'!$K$5:$K$69=C$1),('Comp.'!$E$5:$E$69))</f>
        <v>0</v>
      </c>
      <c r="D93" s="12">
        <f>SUMPRODUCT(-('Diário 1º PA'!$E$4:$E$2635='Analítico Cp.'!$B93),-('Diário 1º PA'!$Q$4:$Q$2635=D$1),('Diário 1º PA'!$F$4:$F$2635))+SUMPRODUCT(-('Diário 2º PA'!$E$4:$E$3040='Analítico Cp.'!$B93),-('Diário 2º PA'!$Q$4:$Q$3040=D$1),('Diário 2º PA'!$F$4:$F$3040))+SUMPRODUCT(-('Diário 3º PA'!$E$4:$E$2731='Analítico Cp.'!$B93),-('Diário 3º PA'!$Q$4:$Q$2731=D$1),('Diário 3º PA'!$F$4:$F$2731))+SUMPRODUCT(-('Diário 4º PA'!$E$4:$E$2564='Analítico Cp.'!$B93),-('Diário 4º PA'!$Q$4:$Q$2564=D$1),('Diário 4º PA'!$F$4:$F$2564))+SUMPRODUCT(-('Comp.'!$D$5:$D$69='Analítico Cp.'!$B93),-('Comp.'!$K$5:$K$69=D$1),('Comp.'!$E$5:$E$69))</f>
        <v>0</v>
      </c>
      <c r="E93" s="12">
        <f>SUMPRODUCT(-('Diário 1º PA'!$E$4:$E$2635='Analítico Cp.'!$B93),-('Diário 1º PA'!$Q$4:$Q$2635=E$1),('Diário 1º PA'!$F$4:$F$2635))+SUMPRODUCT(-('Diário 2º PA'!$E$4:$E$3040='Analítico Cp.'!$B93),-('Diário 2º PA'!$Q$4:$Q$3040=E$1),('Diário 2º PA'!$F$4:$F$3040))+SUMPRODUCT(-('Diário 3º PA'!$E$4:$E$2731='Analítico Cp.'!$B93),-('Diário 3º PA'!$Q$4:$Q$2731=E$1),('Diário 3º PA'!$F$4:$F$2731))+SUMPRODUCT(-('Diário 4º PA'!$E$4:$E$2564='Analítico Cp.'!$B93),-('Diário 4º PA'!$Q$4:$Q$2564=E$1),('Diário 4º PA'!$F$4:$F$2564))+SUMPRODUCT(-('Comp.'!$D$5:$D$69='Analítico Cp.'!$B93),-('Comp.'!$K$5:$K$69=E$1),('Comp.'!$E$5:$E$69))</f>
        <v>0</v>
      </c>
      <c r="F93" s="12">
        <f>SUMPRODUCT(-('Diário 1º PA'!$E$4:$E$2635='Analítico Cp.'!$B93),-('Diário 1º PA'!$Q$4:$Q$2635=F$1),('Diário 1º PA'!$F$4:$F$2635))+SUMPRODUCT(-('Diário 2º PA'!$E$4:$E$3040='Analítico Cp.'!$B93),-('Diário 2º PA'!$Q$4:$Q$3040=F$1),('Diário 2º PA'!$F$4:$F$3040))+SUMPRODUCT(-('Diário 3º PA'!$E$4:$E$2731='Analítico Cp.'!$B93),-('Diário 3º PA'!$Q$4:$Q$2731=F$1),('Diário 3º PA'!$F$4:$F$2731))+SUMPRODUCT(-('Diário 4º PA'!$E$4:$E$2564='Analítico Cp.'!$B93),-('Diário 4º PA'!$Q$4:$Q$2564=F$1),('Diário 4º PA'!$F$4:$F$2564))+SUMPRODUCT(-('Comp.'!$D$5:$D$69='Analítico Cp.'!$B93),-('Comp.'!$K$5:$K$69=F$1),('Comp.'!$E$5:$E$69))</f>
        <v>0</v>
      </c>
      <c r="G93" s="12">
        <f>SUMPRODUCT(-('Diário 1º PA'!$E$4:$E$2635='Analítico Cp.'!$B93),-('Diário 1º PA'!$Q$4:$Q$2635=G$1),('Diário 1º PA'!$F$4:$F$2635))+SUMPRODUCT(-('Diário 2º PA'!$E$4:$E$3040='Analítico Cp.'!$B93),-('Diário 2º PA'!$Q$4:$Q$3040=G$1),('Diário 2º PA'!$F$4:$F$3040))+SUMPRODUCT(-('Diário 3º PA'!$E$4:$E$2731='Analítico Cp.'!$B93),-('Diário 3º PA'!$Q$4:$Q$2731=G$1),('Diário 3º PA'!$F$4:$F$2731))+SUMPRODUCT(-('Diário 4º PA'!$E$4:$E$2564='Analítico Cp.'!$B93),-('Diário 4º PA'!$Q$4:$Q$2564=G$1),('Diário 4º PA'!$F$4:$F$2564))+SUMPRODUCT(-('Comp.'!$D$5:$D$69='Analítico Cp.'!$B93),-('Comp.'!$K$5:$K$69=G$1),('Comp.'!$E$5:$E$69))</f>
        <v>0</v>
      </c>
      <c r="H93" s="12">
        <f>SUMPRODUCT(-('Diário 1º PA'!$E$4:$E$2635='Analítico Cp.'!$B93),-('Diário 1º PA'!$Q$4:$Q$2635=H$1),('Diário 1º PA'!$F$4:$F$2635))+SUMPRODUCT(-('Diário 2º PA'!$E$4:$E$3040='Analítico Cp.'!$B93),-('Diário 2º PA'!$Q$4:$Q$3040=H$1),('Diário 2º PA'!$F$4:$F$3040))+SUMPRODUCT(-('Diário 3º PA'!$E$4:$E$2731='Analítico Cp.'!$B93),-('Diário 3º PA'!$Q$4:$Q$2731=H$1),('Diário 3º PA'!$F$4:$F$2731))+SUMPRODUCT(-('Diário 4º PA'!$E$4:$E$2564='Analítico Cp.'!$B93),-('Diário 4º PA'!$Q$4:$Q$2564=H$1),('Diário 4º PA'!$F$4:$F$2564))+SUMPRODUCT(-('Comp.'!$D$5:$D$69='Analítico Cp.'!$B93),-('Comp.'!$K$5:$K$69=H$1),('Comp.'!$E$5:$E$69))</f>
        <v>0</v>
      </c>
      <c r="I93" s="12">
        <f>SUMPRODUCT(-('Diário 1º PA'!$E$4:$E$2635='Analítico Cp.'!$B93),-('Diário 1º PA'!$Q$4:$Q$2635=I$1),('Diário 1º PA'!$F$4:$F$2635))+SUMPRODUCT(-('Diário 2º PA'!$E$4:$E$3040='Analítico Cp.'!$B93),-('Diário 2º PA'!$Q$4:$Q$3040=I$1),('Diário 2º PA'!$F$4:$F$3040))+SUMPRODUCT(-('Diário 3º PA'!$E$4:$E$2731='Analítico Cp.'!$B93),-('Diário 3º PA'!$Q$4:$Q$2731=I$1),('Diário 3º PA'!$F$4:$F$2731))+SUMPRODUCT(-('Diário 4º PA'!$E$4:$E$2564='Analítico Cp.'!$B93),-('Diário 4º PA'!$Q$4:$Q$2564=I$1),('Diário 4º PA'!$F$4:$F$2564))+SUMPRODUCT(-('Comp.'!$D$5:$D$69='Analítico Cp.'!$B93),-('Comp.'!$K$5:$K$69=I$1),('Comp.'!$E$5:$E$69))</f>
        <v>0</v>
      </c>
      <c r="J93" s="12">
        <f>SUMPRODUCT(-('Diário 1º PA'!$E$4:$E$2635='Analítico Cp.'!$B93),-('Diário 1º PA'!$Q$4:$Q$2635=J$1),('Diário 1º PA'!$F$4:$F$2635))+SUMPRODUCT(-('Diário 2º PA'!$E$4:$E$3040='Analítico Cp.'!$B93),-('Diário 2º PA'!$Q$4:$Q$3040=J$1),('Diário 2º PA'!$F$4:$F$3040))+SUMPRODUCT(-('Diário 3º PA'!$E$4:$E$2731='Analítico Cp.'!$B93),-('Diário 3º PA'!$Q$4:$Q$2731=J$1),('Diário 3º PA'!$F$4:$F$2731))+SUMPRODUCT(-('Diário 4º PA'!$E$4:$E$2564='Analítico Cp.'!$B93),-('Diário 4º PA'!$Q$4:$Q$2564=J$1),('Diário 4º PA'!$F$4:$F$2564))+SUMPRODUCT(-('Comp.'!$D$5:$D$69='Analítico Cp.'!$B93),-('Comp.'!$K$5:$K$69=J$1),('Comp.'!$E$5:$E$69))</f>
        <v>0</v>
      </c>
      <c r="K93" s="12">
        <f>SUMPRODUCT(-('Diário 1º PA'!$E$4:$E$2635='Analítico Cp.'!$B93),-('Diário 1º PA'!$Q$4:$Q$2635=K$1),('Diário 1º PA'!$F$4:$F$2635))+SUMPRODUCT(-('Diário 2º PA'!$E$4:$E$3040='Analítico Cp.'!$B93),-('Diário 2º PA'!$Q$4:$Q$3040=K$1),('Diário 2º PA'!$F$4:$F$3040))+SUMPRODUCT(-('Diário 3º PA'!$E$4:$E$2731='Analítico Cp.'!$B93),-('Diário 3º PA'!$Q$4:$Q$2731=K$1),('Diário 3º PA'!$F$4:$F$2731))+SUMPRODUCT(-('Diário 4º PA'!$E$4:$E$2564='Analítico Cp.'!$B93),-('Diário 4º PA'!$Q$4:$Q$2564=K$1),('Diário 4º PA'!$F$4:$F$2564))+SUMPRODUCT(-('Comp.'!$D$5:$D$69='Analítico Cp.'!$B93),-('Comp.'!$K$5:$K$69=K$1),('Comp.'!$E$5:$E$69))</f>
        <v>0</v>
      </c>
      <c r="L93" s="12">
        <f>SUMPRODUCT(-('Diário 1º PA'!$E$4:$E$2635='Analítico Cp.'!$B93),-('Diário 1º PA'!$Q$4:$Q$2635=L$1),('Diário 1º PA'!$F$4:$F$2635))+SUMPRODUCT(-('Diário 2º PA'!$E$4:$E$3040='Analítico Cp.'!$B93),-('Diário 2º PA'!$Q$4:$Q$3040=L$1),('Diário 2º PA'!$F$4:$F$3040))+SUMPRODUCT(-('Diário 3º PA'!$E$4:$E$2731='Analítico Cp.'!$B93),-('Diário 3º PA'!$Q$4:$Q$2731=L$1),('Diário 3º PA'!$F$4:$F$2731))+SUMPRODUCT(-('Diário 4º PA'!$E$4:$E$2564='Analítico Cp.'!$B93),-('Diário 4º PA'!$Q$4:$Q$2564=L$1),('Diário 4º PA'!$F$4:$F$2564))+SUMPRODUCT(-('Comp.'!$D$5:$D$69='Analítico Cp.'!$B93),-('Comp.'!$K$5:$K$69=L$1),('Comp.'!$E$5:$E$69))</f>
        <v>0</v>
      </c>
      <c r="M93" s="12">
        <f>SUMPRODUCT(-('Diário 1º PA'!$E$4:$E$2635='Analítico Cp.'!$B93),-('Diário 1º PA'!$Q$4:$Q$2635=M$1),('Diário 1º PA'!$F$4:$F$2635))+SUMPRODUCT(-('Diário 2º PA'!$E$4:$E$3040='Analítico Cp.'!$B93),-('Diário 2º PA'!$Q$4:$Q$3040=M$1),('Diário 2º PA'!$F$4:$F$3040))+SUMPRODUCT(-('Diário 3º PA'!$E$4:$E$2731='Analítico Cp.'!$B93),-('Diário 3º PA'!$Q$4:$Q$2731=M$1),('Diário 3º PA'!$F$4:$F$2731))+SUMPRODUCT(-('Diário 4º PA'!$E$4:$E$2564='Analítico Cp.'!$B93),-('Diário 4º PA'!$Q$4:$Q$2564=M$1),('Diário 4º PA'!$F$4:$F$2564))+SUMPRODUCT(-('Comp.'!$D$5:$D$69='Analítico Cp.'!$B93),-('Comp.'!$K$5:$K$69=M$1),('Comp.'!$E$5:$E$69))</f>
        <v>0</v>
      </c>
      <c r="N93" s="12">
        <f>SUMPRODUCT(-('Diário 1º PA'!$E$4:$E$2635='Analítico Cp.'!$B93),-('Diário 1º PA'!$Q$4:$Q$2635=N$1),('Diário 1º PA'!$F$4:$F$2635))+SUMPRODUCT(-('Diário 2º PA'!$E$4:$E$3040='Analítico Cp.'!$B93),-('Diário 2º PA'!$Q$4:$Q$3040=N$1),('Diário 2º PA'!$F$4:$F$3040))+SUMPRODUCT(-('Diário 3º PA'!$E$4:$E$2731='Analítico Cp.'!$B93),-('Diário 3º PA'!$Q$4:$Q$2731=N$1),('Diário 3º PA'!$F$4:$F$2731))+SUMPRODUCT(-('Diário 4º PA'!$E$4:$E$2564='Analítico Cp.'!$B93),-('Diário 4º PA'!$Q$4:$Q$2564=N$1),('Diário 4º PA'!$F$4:$F$2564))+SUMPRODUCT(-('Comp.'!$D$5:$D$69='Analítico Cp.'!$B93),-('Comp.'!$K$5:$K$69=N$1),('Comp.'!$E$5:$E$69))</f>
        <v>0</v>
      </c>
      <c r="O93" s="13">
        <f t="shared" si="12"/>
        <v>0</v>
      </c>
      <c r="P93" s="167">
        <f t="shared" si="13"/>
        <v>0</v>
      </c>
    </row>
    <row r="94" spans="1:16" ht="23.25" customHeight="1" x14ac:dyDescent="0.2">
      <c r="A94" s="61" t="s">
        <v>195</v>
      </c>
      <c r="B94" s="103" t="s">
        <v>141</v>
      </c>
      <c r="C94" s="12">
        <f>SUMPRODUCT(-('Diário 1º PA'!$E$4:$E$2635='Analítico Cp.'!$B94),-('Diário 1º PA'!$Q$4:$Q$2635=C$1),('Diário 1º PA'!$F$4:$F$2635))+SUMPRODUCT(-('Diário 2º PA'!$E$4:$E$3040='Analítico Cp.'!$B94),-('Diário 2º PA'!$Q$4:$Q$3040=C$1),('Diário 2º PA'!$F$4:$F$3040))+SUMPRODUCT(-('Diário 3º PA'!$E$4:$E$2731='Analítico Cp.'!$B94),-('Diário 3º PA'!$Q$4:$Q$2731=C$1),('Diário 3º PA'!$F$4:$F$2731))+SUMPRODUCT(-('Diário 4º PA'!$E$4:$E$2564='Analítico Cp.'!$B94),-('Diário 4º PA'!$Q$4:$Q$2564=C$1),('Diário 4º PA'!$F$4:$F$2564))+SUMPRODUCT(-('Comp.'!$D$5:$D$69='Analítico Cp.'!$B94),-('Comp.'!$K$5:$K$69=C$1),('Comp.'!$E$5:$E$69))</f>
        <v>584.1</v>
      </c>
      <c r="D94" s="12">
        <f>SUMPRODUCT(-('Diário 1º PA'!$E$4:$E$2635='Analítico Cp.'!$B94),-('Diário 1º PA'!$Q$4:$Q$2635=D$1),('Diário 1º PA'!$F$4:$F$2635))+SUMPRODUCT(-('Diário 2º PA'!$E$4:$E$3040='Analítico Cp.'!$B94),-('Diário 2º PA'!$Q$4:$Q$3040=D$1),('Diário 2º PA'!$F$4:$F$3040))+SUMPRODUCT(-('Diário 3º PA'!$E$4:$E$2731='Analítico Cp.'!$B94),-('Diário 3º PA'!$Q$4:$Q$2731=D$1),('Diário 3º PA'!$F$4:$F$2731))+SUMPRODUCT(-('Diário 4º PA'!$E$4:$E$2564='Analítico Cp.'!$B94),-('Diário 4º PA'!$Q$4:$Q$2564=D$1),('Diário 4º PA'!$F$4:$F$2564))+SUMPRODUCT(-('Comp.'!$D$5:$D$69='Analítico Cp.'!$B94),-('Comp.'!$K$5:$K$69=D$1),('Comp.'!$E$5:$E$69))</f>
        <v>972.25</v>
      </c>
      <c r="E94" s="12">
        <f>SUMPRODUCT(-('Diário 1º PA'!$E$4:$E$2635='Analítico Cp.'!$B94),-('Diário 1º PA'!$Q$4:$Q$2635=E$1),('Diário 1º PA'!$F$4:$F$2635))+SUMPRODUCT(-('Diário 2º PA'!$E$4:$E$3040='Analítico Cp.'!$B94),-('Diário 2º PA'!$Q$4:$Q$3040=E$1),('Diário 2º PA'!$F$4:$F$3040))+SUMPRODUCT(-('Diário 3º PA'!$E$4:$E$2731='Analítico Cp.'!$B94),-('Diário 3º PA'!$Q$4:$Q$2731=E$1),('Diário 3º PA'!$F$4:$F$2731))+SUMPRODUCT(-('Diário 4º PA'!$E$4:$E$2564='Analítico Cp.'!$B94),-('Diário 4º PA'!$Q$4:$Q$2564=E$1),('Diário 4º PA'!$F$4:$F$2564))+SUMPRODUCT(-('Comp.'!$D$5:$D$69='Analítico Cp.'!$B94),-('Comp.'!$K$5:$K$69=E$1),('Comp.'!$E$5:$E$69))</f>
        <v>0</v>
      </c>
      <c r="F94" s="12">
        <f>SUMPRODUCT(-('Diário 1º PA'!$E$4:$E$2635='Analítico Cp.'!$B94),-('Diário 1º PA'!$Q$4:$Q$2635=F$1),('Diário 1º PA'!$F$4:$F$2635))+SUMPRODUCT(-('Diário 2º PA'!$E$4:$E$3040='Analítico Cp.'!$B94),-('Diário 2º PA'!$Q$4:$Q$3040=F$1),('Diário 2º PA'!$F$4:$F$3040))+SUMPRODUCT(-('Diário 3º PA'!$E$4:$E$2731='Analítico Cp.'!$B94),-('Diário 3º PA'!$Q$4:$Q$2731=F$1),('Diário 3º PA'!$F$4:$F$2731))+SUMPRODUCT(-('Diário 4º PA'!$E$4:$E$2564='Analítico Cp.'!$B94),-('Diário 4º PA'!$Q$4:$Q$2564=F$1),('Diário 4º PA'!$F$4:$F$2564))+SUMPRODUCT(-('Comp.'!$D$5:$D$69='Analítico Cp.'!$B94),-('Comp.'!$K$5:$K$69=F$1),('Comp.'!$E$5:$E$69))</f>
        <v>1100</v>
      </c>
      <c r="G94" s="12">
        <f>SUMPRODUCT(-('Diário 1º PA'!$E$4:$E$2635='Analítico Cp.'!$B94),-('Diário 1º PA'!$Q$4:$Q$2635=G$1),('Diário 1º PA'!$F$4:$F$2635))+SUMPRODUCT(-('Diário 2º PA'!$E$4:$E$3040='Analítico Cp.'!$B94),-('Diário 2º PA'!$Q$4:$Q$3040=G$1),('Diário 2º PA'!$F$4:$F$3040))+SUMPRODUCT(-('Diário 3º PA'!$E$4:$E$2731='Analítico Cp.'!$B94),-('Diário 3º PA'!$Q$4:$Q$2731=G$1),('Diário 3º PA'!$F$4:$F$2731))+SUMPRODUCT(-('Diário 4º PA'!$E$4:$E$2564='Analítico Cp.'!$B94),-('Diário 4º PA'!$Q$4:$Q$2564=G$1),('Diário 4º PA'!$F$4:$F$2564))+SUMPRODUCT(-('Comp.'!$D$5:$D$69='Analítico Cp.'!$B94),-('Comp.'!$K$5:$K$69=G$1),('Comp.'!$E$5:$E$69))</f>
        <v>999.9</v>
      </c>
      <c r="H94" s="12">
        <f>SUMPRODUCT(-('Diário 1º PA'!$E$4:$E$2635='Analítico Cp.'!$B94),-('Diário 1º PA'!$Q$4:$Q$2635=H$1),('Diário 1º PA'!$F$4:$F$2635))+SUMPRODUCT(-('Diário 2º PA'!$E$4:$E$3040='Analítico Cp.'!$B94),-('Diário 2º PA'!$Q$4:$Q$3040=H$1),('Diário 2º PA'!$F$4:$F$3040))+SUMPRODUCT(-('Diário 3º PA'!$E$4:$E$2731='Analítico Cp.'!$B94),-('Diário 3º PA'!$Q$4:$Q$2731=H$1),('Diário 3º PA'!$F$4:$F$2731))+SUMPRODUCT(-('Diário 4º PA'!$E$4:$E$2564='Analítico Cp.'!$B94),-('Diário 4º PA'!$Q$4:$Q$2564=H$1),('Diário 4º PA'!$F$4:$F$2564))+SUMPRODUCT(-('Comp.'!$D$5:$D$69='Analítico Cp.'!$B94),-('Comp.'!$K$5:$K$69=H$1),('Comp.'!$E$5:$E$69))</f>
        <v>0</v>
      </c>
      <c r="I94" s="12">
        <f>SUMPRODUCT(-('Diário 1º PA'!$E$4:$E$2635='Analítico Cp.'!$B94),-('Diário 1º PA'!$Q$4:$Q$2635=I$1),('Diário 1º PA'!$F$4:$F$2635))+SUMPRODUCT(-('Diário 2º PA'!$E$4:$E$3040='Analítico Cp.'!$B94),-('Diário 2º PA'!$Q$4:$Q$3040=I$1),('Diário 2º PA'!$F$4:$F$3040))+SUMPRODUCT(-('Diário 3º PA'!$E$4:$E$2731='Analítico Cp.'!$B94),-('Diário 3º PA'!$Q$4:$Q$2731=I$1),('Diário 3º PA'!$F$4:$F$2731))+SUMPRODUCT(-('Diário 4º PA'!$E$4:$E$2564='Analítico Cp.'!$B94),-('Diário 4º PA'!$Q$4:$Q$2564=I$1),('Diário 4º PA'!$F$4:$F$2564))+SUMPRODUCT(-('Comp.'!$D$5:$D$69='Analítico Cp.'!$B94),-('Comp.'!$K$5:$K$69=I$1),('Comp.'!$E$5:$E$69))</f>
        <v>0</v>
      </c>
      <c r="J94" s="12">
        <f>SUMPRODUCT(-('Diário 1º PA'!$E$4:$E$2635='Analítico Cp.'!$B94),-('Diário 1º PA'!$Q$4:$Q$2635=J$1),('Diário 1º PA'!$F$4:$F$2635))+SUMPRODUCT(-('Diário 2º PA'!$E$4:$E$3040='Analítico Cp.'!$B94),-('Diário 2º PA'!$Q$4:$Q$3040=J$1),('Diário 2º PA'!$F$4:$F$3040))+SUMPRODUCT(-('Diário 3º PA'!$E$4:$E$2731='Analítico Cp.'!$B94),-('Diário 3º PA'!$Q$4:$Q$2731=J$1),('Diário 3º PA'!$F$4:$F$2731))+SUMPRODUCT(-('Diário 4º PA'!$E$4:$E$2564='Analítico Cp.'!$B94),-('Diário 4º PA'!$Q$4:$Q$2564=J$1),('Diário 4º PA'!$F$4:$F$2564))+SUMPRODUCT(-('Comp.'!$D$5:$D$69='Analítico Cp.'!$B94),-('Comp.'!$K$5:$K$69=J$1),('Comp.'!$E$5:$E$69))</f>
        <v>0</v>
      </c>
      <c r="K94" s="12">
        <f>SUMPRODUCT(-('Diário 1º PA'!$E$4:$E$2635='Analítico Cp.'!$B94),-('Diário 1º PA'!$Q$4:$Q$2635=K$1),('Diário 1º PA'!$F$4:$F$2635))+SUMPRODUCT(-('Diário 2º PA'!$E$4:$E$3040='Analítico Cp.'!$B94),-('Diário 2º PA'!$Q$4:$Q$3040=K$1),('Diário 2º PA'!$F$4:$F$3040))+SUMPRODUCT(-('Diário 3º PA'!$E$4:$E$2731='Analítico Cp.'!$B94),-('Diário 3º PA'!$Q$4:$Q$2731=K$1),('Diário 3º PA'!$F$4:$F$2731))+SUMPRODUCT(-('Diário 4º PA'!$E$4:$E$2564='Analítico Cp.'!$B94),-('Diário 4º PA'!$Q$4:$Q$2564=K$1),('Diário 4º PA'!$F$4:$F$2564))+SUMPRODUCT(-('Comp.'!$D$5:$D$69='Analítico Cp.'!$B94),-('Comp.'!$K$5:$K$69=K$1),('Comp.'!$E$5:$E$69))</f>
        <v>231.05</v>
      </c>
      <c r="L94" s="12">
        <f>SUMPRODUCT(-('Diário 1º PA'!$E$4:$E$2635='Analítico Cp.'!$B94),-('Diário 1º PA'!$Q$4:$Q$2635=L$1),('Diário 1º PA'!$F$4:$F$2635))+SUMPRODUCT(-('Diário 2º PA'!$E$4:$E$3040='Analítico Cp.'!$B94),-('Diário 2º PA'!$Q$4:$Q$3040=L$1),('Diário 2º PA'!$F$4:$F$3040))+SUMPRODUCT(-('Diário 3º PA'!$E$4:$E$2731='Analítico Cp.'!$B94),-('Diário 3º PA'!$Q$4:$Q$2731=L$1),('Diário 3º PA'!$F$4:$F$2731))+SUMPRODUCT(-('Diário 4º PA'!$E$4:$E$2564='Analítico Cp.'!$B94),-('Diário 4º PA'!$Q$4:$Q$2564=L$1),('Diário 4º PA'!$F$4:$F$2564))+SUMPRODUCT(-('Comp.'!$D$5:$D$69='Analítico Cp.'!$B94),-('Comp.'!$K$5:$K$69=L$1),('Comp.'!$E$5:$E$69))</f>
        <v>0</v>
      </c>
      <c r="M94" s="12">
        <f>SUMPRODUCT(-('Diário 1º PA'!$E$4:$E$2635='Analítico Cp.'!$B94),-('Diário 1º PA'!$Q$4:$Q$2635=M$1),('Diário 1º PA'!$F$4:$F$2635))+SUMPRODUCT(-('Diário 2º PA'!$E$4:$E$3040='Analítico Cp.'!$B94),-('Diário 2º PA'!$Q$4:$Q$3040=M$1),('Diário 2º PA'!$F$4:$F$3040))+SUMPRODUCT(-('Diário 3º PA'!$E$4:$E$2731='Analítico Cp.'!$B94),-('Diário 3º PA'!$Q$4:$Q$2731=M$1),('Diário 3º PA'!$F$4:$F$2731))+SUMPRODUCT(-('Diário 4º PA'!$E$4:$E$2564='Analítico Cp.'!$B94),-('Diário 4º PA'!$Q$4:$Q$2564=M$1),('Diário 4º PA'!$F$4:$F$2564))+SUMPRODUCT(-('Comp.'!$D$5:$D$69='Analítico Cp.'!$B94),-('Comp.'!$K$5:$K$69=M$1),('Comp.'!$E$5:$E$69))</f>
        <v>0</v>
      </c>
      <c r="N94" s="12">
        <f>SUMPRODUCT(-('Diário 1º PA'!$E$4:$E$2635='Analítico Cp.'!$B94),-('Diário 1º PA'!$Q$4:$Q$2635=N$1),('Diário 1º PA'!$F$4:$F$2635))+SUMPRODUCT(-('Diário 2º PA'!$E$4:$E$3040='Analítico Cp.'!$B94),-('Diário 2º PA'!$Q$4:$Q$3040=N$1),('Diário 2º PA'!$F$4:$F$3040))+SUMPRODUCT(-('Diário 3º PA'!$E$4:$E$2731='Analítico Cp.'!$B94),-('Diário 3º PA'!$Q$4:$Q$2731=N$1),('Diário 3º PA'!$F$4:$F$2731))+SUMPRODUCT(-('Diário 4º PA'!$E$4:$E$2564='Analítico Cp.'!$B94),-('Diário 4º PA'!$Q$4:$Q$2564=N$1),('Diário 4º PA'!$F$4:$F$2564))+SUMPRODUCT(-('Comp.'!$D$5:$D$69='Analítico Cp.'!$B94),-('Comp.'!$K$5:$K$69=N$1),('Comp.'!$E$5:$E$69))</f>
        <v>0</v>
      </c>
      <c r="O94" s="13">
        <f t="shared" si="12"/>
        <v>3887.3</v>
      </c>
      <c r="P94" s="167">
        <f t="shared" si="13"/>
        <v>3.1762597231600411E-4</v>
      </c>
    </row>
    <row r="95" spans="1:16" ht="23.25" customHeight="1" x14ac:dyDescent="0.2">
      <c r="A95" s="61" t="s">
        <v>196</v>
      </c>
      <c r="B95" s="103" t="s">
        <v>139</v>
      </c>
      <c r="C95" s="12">
        <f>SUMPRODUCT(-('Diário 1º PA'!$E$4:$E$2635='Analítico Cp.'!$B95),-('Diário 1º PA'!$Q$4:$Q$2635=C$1),('Diário 1º PA'!$F$4:$F$2635))+SUMPRODUCT(-('Diário 2º PA'!$E$4:$E$3040='Analítico Cp.'!$B95),-('Diário 2º PA'!$Q$4:$Q$3040=C$1),('Diário 2º PA'!$F$4:$F$3040))+SUMPRODUCT(-('Diário 3º PA'!$E$4:$E$2731='Analítico Cp.'!$B95),-('Diário 3º PA'!$Q$4:$Q$2731=C$1),('Diário 3º PA'!$F$4:$F$2731))+SUMPRODUCT(-('Diário 4º PA'!$E$4:$E$2564='Analítico Cp.'!$B95),-('Diário 4º PA'!$Q$4:$Q$2564=C$1),('Diário 4º PA'!$F$4:$F$2564))+SUMPRODUCT(-('Comp.'!$D$5:$D$69='Analítico Cp.'!$B95),-('Comp.'!$K$5:$K$69=C$1),('Comp.'!$E$5:$E$69))</f>
        <v>0</v>
      </c>
      <c r="D95" s="12">
        <f>SUMPRODUCT(-('Diário 1º PA'!$E$4:$E$2635='Analítico Cp.'!$B95),-('Diário 1º PA'!$Q$4:$Q$2635=D$1),('Diário 1º PA'!$F$4:$F$2635))+SUMPRODUCT(-('Diário 2º PA'!$E$4:$E$3040='Analítico Cp.'!$B95),-('Diário 2º PA'!$Q$4:$Q$3040=D$1),('Diário 2º PA'!$F$4:$F$3040))+SUMPRODUCT(-('Diário 3º PA'!$E$4:$E$2731='Analítico Cp.'!$B95),-('Diário 3º PA'!$Q$4:$Q$2731=D$1),('Diário 3º PA'!$F$4:$F$2731))+SUMPRODUCT(-('Diário 4º PA'!$E$4:$E$2564='Analítico Cp.'!$B95),-('Diário 4º PA'!$Q$4:$Q$2564=D$1),('Diário 4º PA'!$F$4:$F$2564))+SUMPRODUCT(-('Comp.'!$D$5:$D$69='Analítico Cp.'!$B95),-('Comp.'!$K$5:$K$69=D$1),('Comp.'!$E$5:$E$69))</f>
        <v>0</v>
      </c>
      <c r="E95" s="12">
        <f>SUMPRODUCT(-('Diário 1º PA'!$E$4:$E$2635='Analítico Cp.'!$B95),-('Diário 1º PA'!$Q$4:$Q$2635=E$1),('Diário 1º PA'!$F$4:$F$2635))+SUMPRODUCT(-('Diário 2º PA'!$E$4:$E$3040='Analítico Cp.'!$B95),-('Diário 2º PA'!$Q$4:$Q$3040=E$1),('Diário 2º PA'!$F$4:$F$3040))+SUMPRODUCT(-('Diário 3º PA'!$E$4:$E$2731='Analítico Cp.'!$B95),-('Diário 3º PA'!$Q$4:$Q$2731=E$1),('Diário 3º PA'!$F$4:$F$2731))+SUMPRODUCT(-('Diário 4º PA'!$E$4:$E$2564='Analítico Cp.'!$B95),-('Diário 4º PA'!$Q$4:$Q$2564=E$1),('Diário 4º PA'!$F$4:$F$2564))+SUMPRODUCT(-('Comp.'!$D$5:$D$69='Analítico Cp.'!$B95),-('Comp.'!$K$5:$K$69=E$1),('Comp.'!$E$5:$E$69))</f>
        <v>805.6</v>
      </c>
      <c r="F95" s="12">
        <f>SUMPRODUCT(-('Diário 1º PA'!$E$4:$E$2635='Analítico Cp.'!$B95),-('Diário 1º PA'!$Q$4:$Q$2635=F$1),('Diário 1º PA'!$F$4:$F$2635))+SUMPRODUCT(-('Diário 2º PA'!$E$4:$E$3040='Analítico Cp.'!$B95),-('Diário 2º PA'!$Q$4:$Q$3040=F$1),('Diário 2º PA'!$F$4:$F$3040))+SUMPRODUCT(-('Diário 3º PA'!$E$4:$E$2731='Analítico Cp.'!$B95),-('Diário 3º PA'!$Q$4:$Q$2731=F$1),('Diário 3º PA'!$F$4:$F$2731))+SUMPRODUCT(-('Diário 4º PA'!$E$4:$E$2564='Analítico Cp.'!$B95),-('Diário 4º PA'!$Q$4:$Q$2564=F$1),('Diário 4º PA'!$F$4:$F$2564))+SUMPRODUCT(-('Comp.'!$D$5:$D$69='Analítico Cp.'!$B95),-('Comp.'!$K$5:$K$69=F$1),('Comp.'!$E$5:$E$69))</f>
        <v>0</v>
      </c>
      <c r="G95" s="12">
        <f>SUMPRODUCT(-('Diário 1º PA'!$E$4:$E$2635='Analítico Cp.'!$B95),-('Diário 1º PA'!$Q$4:$Q$2635=G$1),('Diário 1º PA'!$F$4:$F$2635))+SUMPRODUCT(-('Diário 2º PA'!$E$4:$E$3040='Analítico Cp.'!$B95),-('Diário 2º PA'!$Q$4:$Q$3040=G$1),('Diário 2º PA'!$F$4:$F$3040))+SUMPRODUCT(-('Diário 3º PA'!$E$4:$E$2731='Analítico Cp.'!$B95),-('Diário 3º PA'!$Q$4:$Q$2731=G$1),('Diário 3º PA'!$F$4:$F$2731))+SUMPRODUCT(-('Diário 4º PA'!$E$4:$E$2564='Analítico Cp.'!$B95),-('Diário 4º PA'!$Q$4:$Q$2564=G$1),('Diário 4º PA'!$F$4:$F$2564))+SUMPRODUCT(-('Comp.'!$D$5:$D$69='Analítico Cp.'!$B95),-('Comp.'!$K$5:$K$69=G$1),('Comp.'!$E$5:$E$69))</f>
        <v>0</v>
      </c>
      <c r="H95" s="12">
        <f>SUMPRODUCT(-('Diário 1º PA'!$E$4:$E$2635='Analítico Cp.'!$B95),-('Diário 1º PA'!$Q$4:$Q$2635=H$1),('Diário 1º PA'!$F$4:$F$2635))+SUMPRODUCT(-('Diário 2º PA'!$E$4:$E$3040='Analítico Cp.'!$B95),-('Diário 2º PA'!$Q$4:$Q$3040=H$1),('Diário 2º PA'!$F$4:$F$3040))+SUMPRODUCT(-('Diário 3º PA'!$E$4:$E$2731='Analítico Cp.'!$B95),-('Diário 3º PA'!$Q$4:$Q$2731=H$1),('Diário 3º PA'!$F$4:$F$2731))+SUMPRODUCT(-('Diário 4º PA'!$E$4:$E$2564='Analítico Cp.'!$B95),-('Diário 4º PA'!$Q$4:$Q$2564=H$1),('Diário 4º PA'!$F$4:$F$2564))+SUMPRODUCT(-('Comp.'!$D$5:$D$69='Analítico Cp.'!$B95),-('Comp.'!$K$5:$K$69=H$1),('Comp.'!$E$5:$E$69))</f>
        <v>500.40999999999997</v>
      </c>
      <c r="I95" s="12">
        <f>SUMPRODUCT(-('Diário 1º PA'!$E$4:$E$2635='Analítico Cp.'!$B95),-('Diário 1º PA'!$Q$4:$Q$2635=I$1),('Diário 1º PA'!$F$4:$F$2635))+SUMPRODUCT(-('Diário 2º PA'!$E$4:$E$3040='Analítico Cp.'!$B95),-('Diário 2º PA'!$Q$4:$Q$3040=I$1),('Diário 2º PA'!$F$4:$F$3040))+SUMPRODUCT(-('Diário 3º PA'!$E$4:$E$2731='Analítico Cp.'!$B95),-('Diário 3º PA'!$Q$4:$Q$2731=I$1),('Diário 3º PA'!$F$4:$F$2731))+SUMPRODUCT(-('Diário 4º PA'!$E$4:$E$2564='Analítico Cp.'!$B95),-('Diário 4º PA'!$Q$4:$Q$2564=I$1),('Diário 4º PA'!$F$4:$F$2564))+SUMPRODUCT(-('Comp.'!$D$5:$D$69='Analítico Cp.'!$B95),-('Comp.'!$K$5:$K$69=I$1),('Comp.'!$E$5:$E$69))</f>
        <v>0</v>
      </c>
      <c r="J95" s="12">
        <f>SUMPRODUCT(-('Diário 1º PA'!$E$4:$E$2635='Analítico Cp.'!$B95),-('Diário 1º PA'!$Q$4:$Q$2635=J$1),('Diário 1º PA'!$F$4:$F$2635))+SUMPRODUCT(-('Diário 2º PA'!$E$4:$E$3040='Analítico Cp.'!$B95),-('Diário 2º PA'!$Q$4:$Q$3040=J$1),('Diário 2º PA'!$F$4:$F$3040))+SUMPRODUCT(-('Diário 3º PA'!$E$4:$E$2731='Analítico Cp.'!$B95),-('Diário 3º PA'!$Q$4:$Q$2731=J$1),('Diário 3º PA'!$F$4:$F$2731))+SUMPRODUCT(-('Diário 4º PA'!$E$4:$E$2564='Analítico Cp.'!$B95),-('Diário 4º PA'!$Q$4:$Q$2564=J$1),('Diário 4º PA'!$F$4:$F$2564))+SUMPRODUCT(-('Comp.'!$D$5:$D$69='Analítico Cp.'!$B95),-('Comp.'!$K$5:$K$69=J$1),('Comp.'!$E$5:$E$69))</f>
        <v>50.46</v>
      </c>
      <c r="K95" s="12">
        <f>SUMPRODUCT(-('Diário 1º PA'!$E$4:$E$2635='Analítico Cp.'!$B95),-('Diário 1º PA'!$Q$4:$Q$2635=K$1),('Diário 1º PA'!$F$4:$F$2635))+SUMPRODUCT(-('Diário 2º PA'!$E$4:$E$3040='Analítico Cp.'!$B95),-('Diário 2º PA'!$Q$4:$Q$3040=K$1),('Diário 2º PA'!$F$4:$F$3040))+SUMPRODUCT(-('Diário 3º PA'!$E$4:$E$2731='Analítico Cp.'!$B95),-('Diário 3º PA'!$Q$4:$Q$2731=K$1),('Diário 3º PA'!$F$4:$F$2731))+SUMPRODUCT(-('Diário 4º PA'!$E$4:$E$2564='Analítico Cp.'!$B95),-('Diário 4º PA'!$Q$4:$Q$2564=K$1),('Diário 4º PA'!$F$4:$F$2564))+SUMPRODUCT(-('Comp.'!$D$5:$D$69='Analítico Cp.'!$B95),-('Comp.'!$K$5:$K$69=K$1),('Comp.'!$E$5:$E$69))</f>
        <v>0</v>
      </c>
      <c r="L95" s="12">
        <f>SUMPRODUCT(-('Diário 1º PA'!$E$4:$E$2635='Analítico Cp.'!$B95),-('Diário 1º PA'!$Q$4:$Q$2635=L$1),('Diário 1º PA'!$F$4:$F$2635))+SUMPRODUCT(-('Diário 2º PA'!$E$4:$E$3040='Analítico Cp.'!$B95),-('Diário 2º PA'!$Q$4:$Q$3040=L$1),('Diário 2º PA'!$F$4:$F$3040))+SUMPRODUCT(-('Diário 3º PA'!$E$4:$E$2731='Analítico Cp.'!$B95),-('Diário 3º PA'!$Q$4:$Q$2731=L$1),('Diário 3º PA'!$F$4:$F$2731))+SUMPRODUCT(-('Diário 4º PA'!$E$4:$E$2564='Analítico Cp.'!$B95),-('Diário 4º PA'!$Q$4:$Q$2564=L$1),('Diário 4º PA'!$F$4:$F$2564))+SUMPRODUCT(-('Comp.'!$D$5:$D$69='Analítico Cp.'!$B95),-('Comp.'!$K$5:$K$69=L$1),('Comp.'!$E$5:$E$69))</f>
        <v>766.25</v>
      </c>
      <c r="M95" s="12">
        <f>SUMPRODUCT(-('Diário 1º PA'!$E$4:$E$2635='Analítico Cp.'!$B95),-('Diário 1º PA'!$Q$4:$Q$2635=M$1),('Diário 1º PA'!$F$4:$F$2635))+SUMPRODUCT(-('Diário 2º PA'!$E$4:$E$3040='Analítico Cp.'!$B95),-('Diário 2º PA'!$Q$4:$Q$3040=M$1),('Diário 2º PA'!$F$4:$F$3040))+SUMPRODUCT(-('Diário 3º PA'!$E$4:$E$2731='Analítico Cp.'!$B95),-('Diário 3º PA'!$Q$4:$Q$2731=M$1),('Diário 3º PA'!$F$4:$F$2731))+SUMPRODUCT(-('Diário 4º PA'!$E$4:$E$2564='Analítico Cp.'!$B95),-('Diário 4º PA'!$Q$4:$Q$2564=M$1),('Diário 4º PA'!$F$4:$F$2564))+SUMPRODUCT(-('Comp.'!$D$5:$D$69='Analítico Cp.'!$B95),-('Comp.'!$K$5:$K$69=M$1),('Comp.'!$E$5:$E$69))</f>
        <v>0</v>
      </c>
      <c r="N95" s="12">
        <f>SUMPRODUCT(-('Diário 1º PA'!$E$4:$E$2635='Analítico Cp.'!$B95),-('Diário 1º PA'!$Q$4:$Q$2635=N$1),('Diário 1º PA'!$F$4:$F$2635))+SUMPRODUCT(-('Diário 2º PA'!$E$4:$E$3040='Analítico Cp.'!$B95),-('Diário 2º PA'!$Q$4:$Q$3040=N$1),('Diário 2º PA'!$F$4:$F$3040))+SUMPRODUCT(-('Diário 3º PA'!$E$4:$E$2731='Analítico Cp.'!$B95),-('Diário 3º PA'!$Q$4:$Q$2731=N$1),('Diário 3º PA'!$F$4:$F$2731))+SUMPRODUCT(-('Diário 4º PA'!$E$4:$E$2564='Analítico Cp.'!$B95),-('Diário 4º PA'!$Q$4:$Q$2564=N$1),('Diário 4º PA'!$F$4:$F$2564))+SUMPRODUCT(-('Comp.'!$D$5:$D$69='Analítico Cp.'!$B95),-('Comp.'!$K$5:$K$69=N$1),('Comp.'!$E$5:$E$69))</f>
        <v>118.13</v>
      </c>
      <c r="O95" s="13">
        <f t="shared" si="12"/>
        <v>2240.8500000000004</v>
      </c>
      <c r="P95" s="167">
        <f t="shared" si="13"/>
        <v>1.8309679213446812E-4</v>
      </c>
    </row>
    <row r="96" spans="1:16" ht="23.25" customHeight="1" x14ac:dyDescent="0.2">
      <c r="A96" s="61" t="s">
        <v>197</v>
      </c>
      <c r="B96" s="103" t="s">
        <v>62</v>
      </c>
      <c r="C96" s="12">
        <f>SUMPRODUCT(-('Diário 1º PA'!$E$4:$E$2635='Analítico Cp.'!$B96),-('Diário 1º PA'!$Q$4:$Q$2635=C$1),('Diário 1º PA'!$F$4:$F$2635))+SUMPRODUCT(-('Diário 2º PA'!$E$4:$E$3040='Analítico Cp.'!$B96),-('Diário 2º PA'!$Q$4:$Q$3040=C$1),('Diário 2º PA'!$F$4:$F$3040))+SUMPRODUCT(-('Diário 3º PA'!$E$4:$E$2731='Analítico Cp.'!$B96),-('Diário 3º PA'!$Q$4:$Q$2731=C$1),('Diário 3º PA'!$F$4:$F$2731))+SUMPRODUCT(-('Diário 4º PA'!$E$4:$E$2564='Analítico Cp.'!$B96),-('Diário 4º PA'!$Q$4:$Q$2564=C$1),('Diário 4º PA'!$F$4:$F$2564))+SUMPRODUCT(-('Comp.'!$D$5:$D$69='Analítico Cp.'!$B96),-('Comp.'!$K$5:$K$69=C$1),('Comp.'!$E$5:$E$69))</f>
        <v>0</v>
      </c>
      <c r="D96" s="12">
        <f>SUMPRODUCT(-('Diário 1º PA'!$E$4:$E$2635='Analítico Cp.'!$B96),-('Diário 1º PA'!$Q$4:$Q$2635=D$1),('Diário 1º PA'!$F$4:$F$2635))+SUMPRODUCT(-('Diário 2º PA'!$E$4:$E$3040='Analítico Cp.'!$B96),-('Diário 2º PA'!$Q$4:$Q$3040=D$1),('Diário 2º PA'!$F$4:$F$3040))+SUMPRODUCT(-('Diário 3º PA'!$E$4:$E$2731='Analítico Cp.'!$B96),-('Diário 3º PA'!$Q$4:$Q$2731=D$1),('Diário 3º PA'!$F$4:$F$2731))+SUMPRODUCT(-('Diário 4º PA'!$E$4:$E$2564='Analítico Cp.'!$B96),-('Diário 4º PA'!$Q$4:$Q$2564=D$1),('Diário 4º PA'!$F$4:$F$2564))+SUMPRODUCT(-('Comp.'!$D$5:$D$69='Analítico Cp.'!$B96),-('Comp.'!$K$5:$K$69=D$1),('Comp.'!$E$5:$E$69))</f>
        <v>428.4</v>
      </c>
      <c r="E96" s="12">
        <f>SUMPRODUCT(-('Diário 1º PA'!$E$4:$E$2635='Analítico Cp.'!$B96),-('Diário 1º PA'!$Q$4:$Q$2635=E$1),('Diário 1º PA'!$F$4:$F$2635))+SUMPRODUCT(-('Diário 2º PA'!$E$4:$E$3040='Analítico Cp.'!$B96),-('Diário 2º PA'!$Q$4:$Q$3040=E$1),('Diário 2º PA'!$F$4:$F$3040))+SUMPRODUCT(-('Diário 3º PA'!$E$4:$E$2731='Analítico Cp.'!$B96),-('Diário 3º PA'!$Q$4:$Q$2731=E$1),('Diário 3º PA'!$F$4:$F$2731))+SUMPRODUCT(-('Diário 4º PA'!$E$4:$E$2564='Analítico Cp.'!$B96),-('Diário 4º PA'!$Q$4:$Q$2564=E$1),('Diário 4º PA'!$F$4:$F$2564))+SUMPRODUCT(-('Comp.'!$D$5:$D$69='Analítico Cp.'!$B96),-('Comp.'!$K$5:$K$69=E$1),('Comp.'!$E$5:$E$69))</f>
        <v>0</v>
      </c>
      <c r="F96" s="12">
        <f>SUMPRODUCT(-('Diário 1º PA'!$E$4:$E$2635='Analítico Cp.'!$B96),-('Diário 1º PA'!$Q$4:$Q$2635=F$1),('Diário 1º PA'!$F$4:$F$2635))+SUMPRODUCT(-('Diário 2º PA'!$E$4:$E$3040='Analítico Cp.'!$B96),-('Diário 2º PA'!$Q$4:$Q$3040=F$1),('Diário 2º PA'!$F$4:$F$3040))+SUMPRODUCT(-('Diário 3º PA'!$E$4:$E$2731='Analítico Cp.'!$B96),-('Diário 3º PA'!$Q$4:$Q$2731=F$1),('Diário 3º PA'!$F$4:$F$2731))+SUMPRODUCT(-('Diário 4º PA'!$E$4:$E$2564='Analítico Cp.'!$B96),-('Diário 4º PA'!$Q$4:$Q$2564=F$1),('Diário 4º PA'!$F$4:$F$2564))+SUMPRODUCT(-('Comp.'!$D$5:$D$69='Analítico Cp.'!$B96),-('Comp.'!$K$5:$K$69=F$1),('Comp.'!$E$5:$E$69))</f>
        <v>0</v>
      </c>
      <c r="G96" s="12">
        <f>SUMPRODUCT(-('Diário 1º PA'!$E$4:$E$2635='Analítico Cp.'!$B96),-('Diário 1º PA'!$Q$4:$Q$2635=G$1),('Diário 1º PA'!$F$4:$F$2635))+SUMPRODUCT(-('Diário 2º PA'!$E$4:$E$3040='Analítico Cp.'!$B96),-('Diário 2º PA'!$Q$4:$Q$3040=G$1),('Diário 2º PA'!$F$4:$F$3040))+SUMPRODUCT(-('Diário 3º PA'!$E$4:$E$2731='Analítico Cp.'!$B96),-('Diário 3º PA'!$Q$4:$Q$2731=G$1),('Diário 3º PA'!$F$4:$F$2731))+SUMPRODUCT(-('Diário 4º PA'!$E$4:$E$2564='Analítico Cp.'!$B96),-('Diário 4º PA'!$Q$4:$Q$2564=G$1),('Diário 4º PA'!$F$4:$F$2564))+SUMPRODUCT(-('Comp.'!$D$5:$D$69='Analítico Cp.'!$B96),-('Comp.'!$K$5:$K$69=G$1),('Comp.'!$E$5:$E$69))</f>
        <v>10463.200000000001</v>
      </c>
      <c r="H96" s="12">
        <f>SUMPRODUCT(-('Diário 1º PA'!$E$4:$E$2635='Analítico Cp.'!$B96),-('Diário 1º PA'!$Q$4:$Q$2635=H$1),('Diário 1º PA'!$F$4:$F$2635))+SUMPRODUCT(-('Diário 2º PA'!$E$4:$E$3040='Analítico Cp.'!$B96),-('Diário 2º PA'!$Q$4:$Q$3040=H$1),('Diário 2º PA'!$F$4:$F$3040))+SUMPRODUCT(-('Diário 3º PA'!$E$4:$E$2731='Analítico Cp.'!$B96),-('Diário 3º PA'!$Q$4:$Q$2731=H$1),('Diário 3º PA'!$F$4:$F$2731))+SUMPRODUCT(-('Diário 4º PA'!$E$4:$E$2564='Analítico Cp.'!$B96),-('Diário 4º PA'!$Q$4:$Q$2564=H$1),('Diário 4º PA'!$F$4:$F$2564))+SUMPRODUCT(-('Comp.'!$D$5:$D$69='Analítico Cp.'!$B96),-('Comp.'!$K$5:$K$69=H$1),('Comp.'!$E$5:$E$69))</f>
        <v>805.8</v>
      </c>
      <c r="I96" s="12">
        <f>SUMPRODUCT(-('Diário 1º PA'!$E$4:$E$2635='Analítico Cp.'!$B96),-('Diário 1º PA'!$Q$4:$Q$2635=I$1),('Diário 1º PA'!$F$4:$F$2635))+SUMPRODUCT(-('Diário 2º PA'!$E$4:$E$3040='Analítico Cp.'!$B96),-('Diário 2º PA'!$Q$4:$Q$3040=I$1),('Diário 2º PA'!$F$4:$F$3040))+SUMPRODUCT(-('Diário 3º PA'!$E$4:$E$2731='Analítico Cp.'!$B96),-('Diário 3º PA'!$Q$4:$Q$2731=I$1),('Diário 3º PA'!$F$4:$F$2731))+SUMPRODUCT(-('Diário 4º PA'!$E$4:$E$2564='Analítico Cp.'!$B96),-('Diário 4º PA'!$Q$4:$Q$2564=I$1),('Diário 4º PA'!$F$4:$F$2564))+SUMPRODUCT(-('Comp.'!$D$5:$D$69='Analítico Cp.'!$B96),-('Comp.'!$K$5:$K$69=I$1),('Comp.'!$E$5:$E$69))</f>
        <v>2325</v>
      </c>
      <c r="J96" s="12">
        <f>SUMPRODUCT(-('Diário 1º PA'!$E$4:$E$2635='Analítico Cp.'!$B96),-('Diário 1º PA'!$Q$4:$Q$2635=J$1),('Diário 1º PA'!$F$4:$F$2635))+SUMPRODUCT(-('Diário 2º PA'!$E$4:$E$3040='Analítico Cp.'!$B96),-('Diário 2º PA'!$Q$4:$Q$3040=J$1),('Diário 2º PA'!$F$4:$F$3040))+SUMPRODUCT(-('Diário 3º PA'!$E$4:$E$2731='Analítico Cp.'!$B96),-('Diário 3º PA'!$Q$4:$Q$2731=J$1),('Diário 3º PA'!$F$4:$F$2731))+SUMPRODUCT(-('Diário 4º PA'!$E$4:$E$2564='Analítico Cp.'!$B96),-('Diário 4º PA'!$Q$4:$Q$2564=J$1),('Diário 4º PA'!$F$4:$F$2564))+SUMPRODUCT(-('Comp.'!$D$5:$D$69='Analítico Cp.'!$B96),-('Comp.'!$K$5:$K$69=J$1),('Comp.'!$E$5:$E$69))</f>
        <v>0</v>
      </c>
      <c r="K96" s="12">
        <f>SUMPRODUCT(-('Diário 1º PA'!$E$4:$E$2635='Analítico Cp.'!$B96),-('Diário 1º PA'!$Q$4:$Q$2635=K$1),('Diário 1º PA'!$F$4:$F$2635))+SUMPRODUCT(-('Diário 2º PA'!$E$4:$E$3040='Analítico Cp.'!$B96),-('Diário 2º PA'!$Q$4:$Q$3040=K$1),('Diário 2º PA'!$F$4:$F$3040))+SUMPRODUCT(-('Diário 3º PA'!$E$4:$E$2731='Analítico Cp.'!$B96),-('Diário 3º PA'!$Q$4:$Q$2731=K$1),('Diário 3º PA'!$F$4:$F$2731))+SUMPRODUCT(-('Diário 4º PA'!$E$4:$E$2564='Analítico Cp.'!$B96),-('Diário 4º PA'!$Q$4:$Q$2564=K$1),('Diário 4º PA'!$F$4:$F$2564))+SUMPRODUCT(-('Comp.'!$D$5:$D$69='Analítico Cp.'!$B96),-('Comp.'!$K$5:$K$69=K$1),('Comp.'!$E$5:$E$69))</f>
        <v>0</v>
      </c>
      <c r="L96" s="12">
        <f>SUMPRODUCT(-('Diário 1º PA'!$E$4:$E$2635='Analítico Cp.'!$B96),-('Diário 1º PA'!$Q$4:$Q$2635=L$1),('Diário 1º PA'!$F$4:$F$2635))+SUMPRODUCT(-('Diário 2º PA'!$E$4:$E$3040='Analítico Cp.'!$B96),-('Diário 2º PA'!$Q$4:$Q$3040=L$1),('Diário 2º PA'!$F$4:$F$3040))+SUMPRODUCT(-('Diário 3º PA'!$E$4:$E$2731='Analítico Cp.'!$B96),-('Diário 3º PA'!$Q$4:$Q$2731=L$1),('Diário 3º PA'!$F$4:$F$2731))+SUMPRODUCT(-('Diário 4º PA'!$E$4:$E$2564='Analítico Cp.'!$B96),-('Diário 4º PA'!$Q$4:$Q$2564=L$1),('Diário 4º PA'!$F$4:$F$2564))+SUMPRODUCT(-('Comp.'!$D$5:$D$69='Analítico Cp.'!$B96),-('Comp.'!$K$5:$K$69=L$1),('Comp.'!$E$5:$E$69))</f>
        <v>200.2</v>
      </c>
      <c r="M96" s="12">
        <f>SUMPRODUCT(-('Diário 1º PA'!$E$4:$E$2635='Analítico Cp.'!$B96),-('Diário 1º PA'!$Q$4:$Q$2635=M$1),('Diário 1º PA'!$F$4:$F$2635))+SUMPRODUCT(-('Diário 2º PA'!$E$4:$E$3040='Analítico Cp.'!$B96),-('Diário 2º PA'!$Q$4:$Q$3040=M$1),('Diário 2º PA'!$F$4:$F$3040))+SUMPRODUCT(-('Diário 3º PA'!$E$4:$E$2731='Analítico Cp.'!$B96),-('Diário 3º PA'!$Q$4:$Q$2731=M$1),('Diário 3º PA'!$F$4:$F$2731))+SUMPRODUCT(-('Diário 4º PA'!$E$4:$E$2564='Analítico Cp.'!$B96),-('Diário 4º PA'!$Q$4:$Q$2564=M$1),('Diário 4º PA'!$F$4:$F$2564))+SUMPRODUCT(-('Comp.'!$D$5:$D$69='Analítico Cp.'!$B96),-('Comp.'!$K$5:$K$69=M$1),('Comp.'!$E$5:$E$69))</f>
        <v>262.89999999999998</v>
      </c>
      <c r="N96" s="12">
        <f>SUMPRODUCT(-('Diário 1º PA'!$E$4:$E$2635='Analítico Cp.'!$B96),-('Diário 1º PA'!$Q$4:$Q$2635=N$1),('Diário 1º PA'!$F$4:$F$2635))+SUMPRODUCT(-('Diário 2º PA'!$E$4:$E$3040='Analítico Cp.'!$B96),-('Diário 2º PA'!$Q$4:$Q$3040=N$1),('Diário 2º PA'!$F$4:$F$3040))+SUMPRODUCT(-('Diário 3º PA'!$E$4:$E$2731='Analítico Cp.'!$B96),-('Diário 3º PA'!$Q$4:$Q$2731=N$1),('Diário 3º PA'!$F$4:$F$2731))+SUMPRODUCT(-('Diário 4º PA'!$E$4:$E$2564='Analítico Cp.'!$B96),-('Diário 4º PA'!$Q$4:$Q$2564=N$1),('Diário 4º PA'!$F$4:$F$2564))+SUMPRODUCT(-('Comp.'!$D$5:$D$69='Analítico Cp.'!$B96),-('Comp.'!$K$5:$K$69=N$1),('Comp.'!$E$5:$E$69))</f>
        <v>932</v>
      </c>
      <c r="O96" s="13">
        <f t="shared" si="12"/>
        <v>15417.5</v>
      </c>
      <c r="P96" s="167">
        <f t="shared" si="13"/>
        <v>1.259742862187635E-3</v>
      </c>
    </row>
    <row r="97" spans="1:16" ht="23.25" customHeight="1" x14ac:dyDescent="0.2">
      <c r="A97" s="61" t="s">
        <v>198</v>
      </c>
      <c r="B97" s="103" t="s">
        <v>88</v>
      </c>
      <c r="C97" s="12">
        <f>SUMPRODUCT(-('Diário 1º PA'!$E$4:$E$2635='Analítico Cp.'!$B97),-('Diário 1º PA'!$Q$4:$Q$2635=C$1),('Diário 1º PA'!$F$4:$F$2635))+SUMPRODUCT(-('Diário 2º PA'!$E$4:$E$3040='Analítico Cp.'!$B97),-('Diário 2º PA'!$Q$4:$Q$3040=C$1),('Diário 2º PA'!$F$4:$F$3040))+SUMPRODUCT(-('Diário 3º PA'!$E$4:$E$2731='Analítico Cp.'!$B97),-('Diário 3º PA'!$Q$4:$Q$2731=C$1),('Diário 3º PA'!$F$4:$F$2731))+SUMPRODUCT(-('Diário 4º PA'!$E$4:$E$2564='Analítico Cp.'!$B97),-('Diário 4º PA'!$Q$4:$Q$2564=C$1),('Diário 4º PA'!$F$4:$F$2564))+SUMPRODUCT(-('Comp.'!$D$5:$D$69='Analítico Cp.'!$B97),-('Comp.'!$K$5:$K$69=C$1),('Comp.'!$E$5:$E$69))</f>
        <v>1100.2</v>
      </c>
      <c r="D97" s="12">
        <f>SUMPRODUCT(-('Diário 1º PA'!$E$4:$E$2635='Analítico Cp.'!$B97),-('Diário 1º PA'!$Q$4:$Q$2635=D$1),('Diário 1º PA'!$F$4:$F$2635))+SUMPRODUCT(-('Diário 2º PA'!$E$4:$E$3040='Analítico Cp.'!$B97),-('Diário 2º PA'!$Q$4:$Q$3040=D$1),('Diário 2º PA'!$F$4:$F$3040))+SUMPRODUCT(-('Diário 3º PA'!$E$4:$E$2731='Analítico Cp.'!$B97),-('Diário 3º PA'!$Q$4:$Q$2731=D$1),('Diário 3º PA'!$F$4:$F$2731))+SUMPRODUCT(-('Diário 4º PA'!$E$4:$E$2564='Analítico Cp.'!$B97),-('Diário 4º PA'!$Q$4:$Q$2564=D$1),('Diário 4º PA'!$F$4:$F$2564))+SUMPRODUCT(-('Comp.'!$D$5:$D$69='Analítico Cp.'!$B97),-('Comp.'!$K$5:$K$69=D$1),('Comp.'!$E$5:$E$69))</f>
        <v>0</v>
      </c>
      <c r="E97" s="12">
        <f>SUMPRODUCT(-('Diário 1º PA'!$E$4:$E$2635='Analítico Cp.'!$B97),-('Diário 1º PA'!$Q$4:$Q$2635=E$1),('Diário 1º PA'!$F$4:$F$2635))+SUMPRODUCT(-('Diário 2º PA'!$E$4:$E$3040='Analítico Cp.'!$B97),-('Diário 2º PA'!$Q$4:$Q$3040=E$1),('Diário 2º PA'!$F$4:$F$3040))+SUMPRODUCT(-('Diário 3º PA'!$E$4:$E$2731='Analítico Cp.'!$B97),-('Diário 3º PA'!$Q$4:$Q$2731=E$1),('Diário 3º PA'!$F$4:$F$2731))+SUMPRODUCT(-('Diário 4º PA'!$E$4:$E$2564='Analítico Cp.'!$B97),-('Diário 4º PA'!$Q$4:$Q$2564=E$1),('Diário 4º PA'!$F$4:$F$2564))+SUMPRODUCT(-('Comp.'!$D$5:$D$69='Analítico Cp.'!$B97),-('Comp.'!$K$5:$K$69=E$1),('Comp.'!$E$5:$E$69))</f>
        <v>0</v>
      </c>
      <c r="F97" s="12">
        <f>SUMPRODUCT(-('Diário 1º PA'!$E$4:$E$2635='Analítico Cp.'!$B97),-('Diário 1º PA'!$Q$4:$Q$2635=F$1),('Diário 1º PA'!$F$4:$F$2635))+SUMPRODUCT(-('Diário 2º PA'!$E$4:$E$3040='Analítico Cp.'!$B97),-('Diário 2º PA'!$Q$4:$Q$3040=F$1),('Diário 2º PA'!$F$4:$F$3040))+SUMPRODUCT(-('Diário 3º PA'!$E$4:$E$2731='Analítico Cp.'!$B97),-('Diário 3º PA'!$Q$4:$Q$2731=F$1),('Diário 3º PA'!$F$4:$F$2731))+SUMPRODUCT(-('Diário 4º PA'!$E$4:$E$2564='Analítico Cp.'!$B97),-('Diário 4º PA'!$Q$4:$Q$2564=F$1),('Diário 4º PA'!$F$4:$F$2564))+SUMPRODUCT(-('Comp.'!$D$5:$D$69='Analítico Cp.'!$B97),-('Comp.'!$K$5:$K$69=F$1),('Comp.'!$E$5:$E$69))</f>
        <v>0</v>
      </c>
      <c r="G97" s="12">
        <f>SUMPRODUCT(-('Diário 1º PA'!$E$4:$E$2635='Analítico Cp.'!$B97),-('Diário 1º PA'!$Q$4:$Q$2635=G$1),('Diário 1º PA'!$F$4:$F$2635))+SUMPRODUCT(-('Diário 2º PA'!$E$4:$E$3040='Analítico Cp.'!$B97),-('Diário 2º PA'!$Q$4:$Q$3040=G$1),('Diário 2º PA'!$F$4:$F$3040))+SUMPRODUCT(-('Diário 3º PA'!$E$4:$E$2731='Analítico Cp.'!$B97),-('Diário 3º PA'!$Q$4:$Q$2731=G$1),('Diário 3º PA'!$F$4:$F$2731))+SUMPRODUCT(-('Diário 4º PA'!$E$4:$E$2564='Analítico Cp.'!$B97),-('Diário 4º PA'!$Q$4:$Q$2564=G$1),('Diário 4º PA'!$F$4:$F$2564))+SUMPRODUCT(-('Comp.'!$D$5:$D$69='Analítico Cp.'!$B97),-('Comp.'!$K$5:$K$69=G$1),('Comp.'!$E$5:$E$69))</f>
        <v>0</v>
      </c>
      <c r="H97" s="12">
        <f>SUMPRODUCT(-('Diário 1º PA'!$E$4:$E$2635='Analítico Cp.'!$B97),-('Diário 1º PA'!$Q$4:$Q$2635=H$1),('Diário 1º PA'!$F$4:$F$2635))+SUMPRODUCT(-('Diário 2º PA'!$E$4:$E$3040='Analítico Cp.'!$B97),-('Diário 2º PA'!$Q$4:$Q$3040=H$1),('Diário 2º PA'!$F$4:$F$3040))+SUMPRODUCT(-('Diário 3º PA'!$E$4:$E$2731='Analítico Cp.'!$B97),-('Diário 3º PA'!$Q$4:$Q$2731=H$1),('Diário 3º PA'!$F$4:$F$2731))+SUMPRODUCT(-('Diário 4º PA'!$E$4:$E$2564='Analítico Cp.'!$B97),-('Diário 4º PA'!$Q$4:$Q$2564=H$1),('Diário 4º PA'!$F$4:$F$2564))+SUMPRODUCT(-('Comp.'!$D$5:$D$69='Analítico Cp.'!$B97),-('Comp.'!$K$5:$K$69=H$1),('Comp.'!$E$5:$E$69))</f>
        <v>0</v>
      </c>
      <c r="I97" s="12">
        <f>SUMPRODUCT(-('Diário 1º PA'!$E$4:$E$2635='Analítico Cp.'!$B97),-('Diário 1º PA'!$Q$4:$Q$2635=I$1),('Diário 1º PA'!$F$4:$F$2635))+SUMPRODUCT(-('Diário 2º PA'!$E$4:$E$3040='Analítico Cp.'!$B97),-('Diário 2º PA'!$Q$4:$Q$3040=I$1),('Diário 2º PA'!$F$4:$F$3040))+SUMPRODUCT(-('Diário 3º PA'!$E$4:$E$2731='Analítico Cp.'!$B97),-('Diário 3º PA'!$Q$4:$Q$2731=I$1),('Diário 3º PA'!$F$4:$F$2731))+SUMPRODUCT(-('Diário 4º PA'!$E$4:$E$2564='Analítico Cp.'!$B97),-('Diário 4º PA'!$Q$4:$Q$2564=I$1),('Diário 4º PA'!$F$4:$F$2564))+SUMPRODUCT(-('Comp.'!$D$5:$D$69='Analítico Cp.'!$B97),-('Comp.'!$K$5:$K$69=I$1),('Comp.'!$E$5:$E$69))</f>
        <v>0</v>
      </c>
      <c r="J97" s="12">
        <f>SUMPRODUCT(-('Diário 1º PA'!$E$4:$E$2635='Analítico Cp.'!$B97),-('Diário 1º PA'!$Q$4:$Q$2635=J$1),('Diário 1º PA'!$F$4:$F$2635))+SUMPRODUCT(-('Diário 2º PA'!$E$4:$E$3040='Analítico Cp.'!$B97),-('Diário 2º PA'!$Q$4:$Q$3040=J$1),('Diário 2º PA'!$F$4:$F$3040))+SUMPRODUCT(-('Diário 3º PA'!$E$4:$E$2731='Analítico Cp.'!$B97),-('Diário 3º PA'!$Q$4:$Q$2731=J$1),('Diário 3º PA'!$F$4:$F$2731))+SUMPRODUCT(-('Diário 4º PA'!$E$4:$E$2564='Analítico Cp.'!$B97),-('Diário 4º PA'!$Q$4:$Q$2564=J$1),('Diário 4º PA'!$F$4:$F$2564))+SUMPRODUCT(-('Comp.'!$D$5:$D$69='Analítico Cp.'!$B97),-('Comp.'!$K$5:$K$69=J$1),('Comp.'!$E$5:$E$69))</f>
        <v>0</v>
      </c>
      <c r="K97" s="12">
        <f>SUMPRODUCT(-('Diário 1º PA'!$E$4:$E$2635='Analítico Cp.'!$B97),-('Diário 1º PA'!$Q$4:$Q$2635=K$1),('Diário 1º PA'!$F$4:$F$2635))+SUMPRODUCT(-('Diário 2º PA'!$E$4:$E$3040='Analítico Cp.'!$B97),-('Diário 2º PA'!$Q$4:$Q$3040=K$1),('Diário 2º PA'!$F$4:$F$3040))+SUMPRODUCT(-('Diário 3º PA'!$E$4:$E$2731='Analítico Cp.'!$B97),-('Diário 3º PA'!$Q$4:$Q$2731=K$1),('Diário 3º PA'!$F$4:$F$2731))+SUMPRODUCT(-('Diário 4º PA'!$E$4:$E$2564='Analítico Cp.'!$B97),-('Diário 4º PA'!$Q$4:$Q$2564=K$1),('Diário 4º PA'!$F$4:$F$2564))+SUMPRODUCT(-('Comp.'!$D$5:$D$69='Analítico Cp.'!$B97),-('Comp.'!$K$5:$K$69=K$1),('Comp.'!$E$5:$E$69))</f>
        <v>0</v>
      </c>
      <c r="L97" s="12">
        <f>SUMPRODUCT(-('Diário 1º PA'!$E$4:$E$2635='Analítico Cp.'!$B97),-('Diário 1º PA'!$Q$4:$Q$2635=L$1),('Diário 1º PA'!$F$4:$F$2635))+SUMPRODUCT(-('Diário 2º PA'!$E$4:$E$3040='Analítico Cp.'!$B97),-('Diário 2º PA'!$Q$4:$Q$3040=L$1),('Diário 2º PA'!$F$4:$F$3040))+SUMPRODUCT(-('Diário 3º PA'!$E$4:$E$2731='Analítico Cp.'!$B97),-('Diário 3º PA'!$Q$4:$Q$2731=L$1),('Diário 3º PA'!$F$4:$F$2731))+SUMPRODUCT(-('Diário 4º PA'!$E$4:$E$2564='Analítico Cp.'!$B97),-('Diário 4º PA'!$Q$4:$Q$2564=L$1),('Diário 4º PA'!$F$4:$F$2564))+SUMPRODUCT(-('Comp.'!$D$5:$D$69='Analítico Cp.'!$B97),-('Comp.'!$K$5:$K$69=L$1),('Comp.'!$E$5:$E$69))</f>
        <v>0</v>
      </c>
      <c r="M97" s="12">
        <f>SUMPRODUCT(-('Diário 1º PA'!$E$4:$E$2635='Analítico Cp.'!$B97),-('Diário 1º PA'!$Q$4:$Q$2635=M$1),('Diário 1º PA'!$F$4:$F$2635))+SUMPRODUCT(-('Diário 2º PA'!$E$4:$E$3040='Analítico Cp.'!$B97),-('Diário 2º PA'!$Q$4:$Q$3040=M$1),('Diário 2º PA'!$F$4:$F$3040))+SUMPRODUCT(-('Diário 3º PA'!$E$4:$E$2731='Analítico Cp.'!$B97),-('Diário 3º PA'!$Q$4:$Q$2731=M$1),('Diário 3º PA'!$F$4:$F$2731))+SUMPRODUCT(-('Diário 4º PA'!$E$4:$E$2564='Analítico Cp.'!$B97),-('Diário 4º PA'!$Q$4:$Q$2564=M$1),('Diário 4º PA'!$F$4:$F$2564))+SUMPRODUCT(-('Comp.'!$D$5:$D$69='Analítico Cp.'!$B97),-('Comp.'!$K$5:$K$69=M$1),('Comp.'!$E$5:$E$69))</f>
        <v>0</v>
      </c>
      <c r="N97" s="12">
        <f>SUMPRODUCT(-('Diário 1º PA'!$E$4:$E$2635='Analítico Cp.'!$B97),-('Diário 1º PA'!$Q$4:$Q$2635=N$1),('Diário 1º PA'!$F$4:$F$2635))+SUMPRODUCT(-('Diário 2º PA'!$E$4:$E$3040='Analítico Cp.'!$B97),-('Diário 2º PA'!$Q$4:$Q$3040=N$1),('Diário 2º PA'!$F$4:$F$3040))+SUMPRODUCT(-('Diário 3º PA'!$E$4:$E$2731='Analítico Cp.'!$B97),-('Diário 3º PA'!$Q$4:$Q$2731=N$1),('Diário 3º PA'!$F$4:$F$2731))+SUMPRODUCT(-('Diário 4º PA'!$E$4:$E$2564='Analítico Cp.'!$B97),-('Diário 4º PA'!$Q$4:$Q$2564=N$1),('Diário 4º PA'!$F$4:$F$2564))+SUMPRODUCT(-('Comp.'!$D$5:$D$69='Analítico Cp.'!$B97),-('Comp.'!$K$5:$K$69=N$1),('Comp.'!$E$5:$E$69))</f>
        <v>0</v>
      </c>
      <c r="O97" s="13">
        <f t="shared" si="12"/>
        <v>1100.2</v>
      </c>
      <c r="P97" s="167">
        <f t="shared" si="13"/>
        <v>8.9895838947873268E-5</v>
      </c>
    </row>
    <row r="98" spans="1:16" ht="23.25" customHeight="1" x14ac:dyDescent="0.2">
      <c r="A98" s="61" t="s">
        <v>199</v>
      </c>
      <c r="B98" s="103" t="s">
        <v>254</v>
      </c>
      <c r="C98" s="12">
        <f>SUMPRODUCT(-('Diário 1º PA'!$E$4:$E$2635='Analítico Cp.'!$B98),-('Diário 1º PA'!$Q$4:$Q$2635=C$1),('Diário 1º PA'!$F$4:$F$2635))+SUMPRODUCT(-('Diário 2º PA'!$E$4:$E$3040='Analítico Cp.'!$B98),-('Diário 2º PA'!$Q$4:$Q$3040=C$1),('Diário 2º PA'!$F$4:$F$3040))+SUMPRODUCT(-('Diário 3º PA'!$E$4:$E$2731='Analítico Cp.'!$B98),-('Diário 3º PA'!$Q$4:$Q$2731=C$1),('Diário 3º PA'!$F$4:$F$2731))+SUMPRODUCT(-('Diário 4º PA'!$E$4:$E$2564='Analítico Cp.'!$B98),-('Diário 4º PA'!$Q$4:$Q$2564=C$1),('Diário 4º PA'!$F$4:$F$2564))+SUMPRODUCT(-('Comp.'!$D$5:$D$69='Analítico Cp.'!$B98),-('Comp.'!$K$5:$K$69=C$1),('Comp.'!$E$5:$E$69))</f>
        <v>0</v>
      </c>
      <c r="D98" s="12">
        <f>SUMPRODUCT(-('Diário 1º PA'!$E$4:$E$2635='Analítico Cp.'!$B98),-('Diário 1º PA'!$Q$4:$Q$2635=D$1),('Diário 1º PA'!$F$4:$F$2635))+SUMPRODUCT(-('Diário 2º PA'!$E$4:$E$3040='Analítico Cp.'!$B98),-('Diário 2º PA'!$Q$4:$Q$3040=D$1),('Diário 2º PA'!$F$4:$F$3040))+SUMPRODUCT(-('Diário 3º PA'!$E$4:$E$2731='Analítico Cp.'!$B98),-('Diário 3º PA'!$Q$4:$Q$2731=D$1),('Diário 3º PA'!$F$4:$F$2731))+SUMPRODUCT(-('Diário 4º PA'!$E$4:$E$2564='Analítico Cp.'!$B98),-('Diário 4º PA'!$Q$4:$Q$2564=D$1),('Diário 4º PA'!$F$4:$F$2564))+SUMPRODUCT(-('Comp.'!$D$5:$D$69='Analítico Cp.'!$B98),-('Comp.'!$K$5:$K$69=D$1),('Comp.'!$E$5:$E$69))</f>
        <v>0</v>
      </c>
      <c r="E98" s="12">
        <f>SUMPRODUCT(-('Diário 1º PA'!$E$4:$E$2635='Analítico Cp.'!$B98),-('Diário 1º PA'!$Q$4:$Q$2635=E$1),('Diário 1º PA'!$F$4:$F$2635))+SUMPRODUCT(-('Diário 2º PA'!$E$4:$E$3040='Analítico Cp.'!$B98),-('Diário 2º PA'!$Q$4:$Q$3040=E$1),('Diário 2º PA'!$F$4:$F$3040))+SUMPRODUCT(-('Diário 3º PA'!$E$4:$E$2731='Analítico Cp.'!$B98),-('Diário 3º PA'!$Q$4:$Q$2731=E$1),('Diário 3º PA'!$F$4:$F$2731))+SUMPRODUCT(-('Diário 4º PA'!$E$4:$E$2564='Analítico Cp.'!$B98),-('Diário 4º PA'!$Q$4:$Q$2564=E$1),('Diário 4º PA'!$F$4:$F$2564))+SUMPRODUCT(-('Comp.'!$D$5:$D$69='Analítico Cp.'!$B98),-('Comp.'!$K$5:$K$69=E$1),('Comp.'!$E$5:$E$69))</f>
        <v>0</v>
      </c>
      <c r="F98" s="12">
        <f>SUMPRODUCT(-('Diário 1º PA'!$E$4:$E$2635='Analítico Cp.'!$B98),-('Diário 1º PA'!$Q$4:$Q$2635=F$1),('Diário 1º PA'!$F$4:$F$2635))+SUMPRODUCT(-('Diário 2º PA'!$E$4:$E$3040='Analítico Cp.'!$B98),-('Diário 2º PA'!$Q$4:$Q$3040=F$1),('Diário 2º PA'!$F$4:$F$3040))+SUMPRODUCT(-('Diário 3º PA'!$E$4:$E$2731='Analítico Cp.'!$B98),-('Diário 3º PA'!$Q$4:$Q$2731=F$1),('Diário 3º PA'!$F$4:$F$2731))+SUMPRODUCT(-('Diário 4º PA'!$E$4:$E$2564='Analítico Cp.'!$B98),-('Diário 4º PA'!$Q$4:$Q$2564=F$1),('Diário 4º PA'!$F$4:$F$2564))+SUMPRODUCT(-('Comp.'!$D$5:$D$69='Analítico Cp.'!$B98),-('Comp.'!$K$5:$K$69=F$1),('Comp.'!$E$5:$E$69))</f>
        <v>0</v>
      </c>
      <c r="G98" s="12">
        <f>SUMPRODUCT(-('Diário 1º PA'!$E$4:$E$2635='Analítico Cp.'!$B98),-('Diário 1º PA'!$Q$4:$Q$2635=G$1),('Diário 1º PA'!$F$4:$F$2635))+SUMPRODUCT(-('Diário 2º PA'!$E$4:$E$3040='Analítico Cp.'!$B98),-('Diário 2º PA'!$Q$4:$Q$3040=G$1),('Diário 2º PA'!$F$4:$F$3040))+SUMPRODUCT(-('Diário 3º PA'!$E$4:$E$2731='Analítico Cp.'!$B98),-('Diário 3º PA'!$Q$4:$Q$2731=G$1),('Diário 3º PA'!$F$4:$F$2731))+SUMPRODUCT(-('Diário 4º PA'!$E$4:$E$2564='Analítico Cp.'!$B98),-('Diário 4º PA'!$Q$4:$Q$2564=G$1),('Diário 4º PA'!$F$4:$F$2564))+SUMPRODUCT(-('Comp.'!$D$5:$D$69='Analítico Cp.'!$B98),-('Comp.'!$K$5:$K$69=G$1),('Comp.'!$E$5:$E$69))</f>
        <v>0</v>
      </c>
      <c r="H98" s="12">
        <f>SUMPRODUCT(-('Diário 1º PA'!$E$4:$E$2635='Analítico Cp.'!$B98),-('Diário 1º PA'!$Q$4:$Q$2635=H$1),('Diário 1º PA'!$F$4:$F$2635))+SUMPRODUCT(-('Diário 2º PA'!$E$4:$E$3040='Analítico Cp.'!$B98),-('Diário 2º PA'!$Q$4:$Q$3040=H$1),('Diário 2º PA'!$F$4:$F$3040))+SUMPRODUCT(-('Diário 3º PA'!$E$4:$E$2731='Analítico Cp.'!$B98),-('Diário 3º PA'!$Q$4:$Q$2731=H$1),('Diário 3º PA'!$F$4:$F$2731))+SUMPRODUCT(-('Diário 4º PA'!$E$4:$E$2564='Analítico Cp.'!$B98),-('Diário 4º PA'!$Q$4:$Q$2564=H$1),('Diário 4º PA'!$F$4:$F$2564))+SUMPRODUCT(-('Comp.'!$D$5:$D$69='Analítico Cp.'!$B98),-('Comp.'!$K$5:$K$69=H$1),('Comp.'!$E$5:$E$69))</f>
        <v>0</v>
      </c>
      <c r="I98" s="12">
        <f>SUMPRODUCT(-('Diário 1º PA'!$E$4:$E$2635='Analítico Cp.'!$B98),-('Diário 1º PA'!$Q$4:$Q$2635=I$1),('Diário 1º PA'!$F$4:$F$2635))+SUMPRODUCT(-('Diário 2º PA'!$E$4:$E$3040='Analítico Cp.'!$B98),-('Diário 2º PA'!$Q$4:$Q$3040=I$1),('Diário 2º PA'!$F$4:$F$3040))+SUMPRODUCT(-('Diário 3º PA'!$E$4:$E$2731='Analítico Cp.'!$B98),-('Diário 3º PA'!$Q$4:$Q$2731=I$1),('Diário 3º PA'!$F$4:$F$2731))+SUMPRODUCT(-('Diário 4º PA'!$E$4:$E$2564='Analítico Cp.'!$B98),-('Diário 4º PA'!$Q$4:$Q$2564=I$1),('Diário 4º PA'!$F$4:$F$2564))+SUMPRODUCT(-('Comp.'!$D$5:$D$69='Analítico Cp.'!$B98),-('Comp.'!$K$5:$K$69=I$1),('Comp.'!$E$5:$E$69))</f>
        <v>0</v>
      </c>
      <c r="J98" s="12">
        <f>SUMPRODUCT(-('Diário 1º PA'!$E$4:$E$2635='Analítico Cp.'!$B98),-('Diário 1º PA'!$Q$4:$Q$2635=J$1),('Diário 1º PA'!$F$4:$F$2635))+SUMPRODUCT(-('Diário 2º PA'!$E$4:$E$3040='Analítico Cp.'!$B98),-('Diário 2º PA'!$Q$4:$Q$3040=J$1),('Diário 2º PA'!$F$4:$F$3040))+SUMPRODUCT(-('Diário 3º PA'!$E$4:$E$2731='Analítico Cp.'!$B98),-('Diário 3º PA'!$Q$4:$Q$2731=J$1),('Diário 3º PA'!$F$4:$F$2731))+SUMPRODUCT(-('Diário 4º PA'!$E$4:$E$2564='Analítico Cp.'!$B98),-('Diário 4º PA'!$Q$4:$Q$2564=J$1),('Diário 4º PA'!$F$4:$F$2564))+SUMPRODUCT(-('Comp.'!$D$5:$D$69='Analítico Cp.'!$B98),-('Comp.'!$K$5:$K$69=J$1),('Comp.'!$E$5:$E$69))</f>
        <v>0</v>
      </c>
      <c r="K98" s="12">
        <f>SUMPRODUCT(-('Diário 1º PA'!$E$4:$E$2635='Analítico Cp.'!$B98),-('Diário 1º PA'!$Q$4:$Q$2635=K$1),('Diário 1º PA'!$F$4:$F$2635))+SUMPRODUCT(-('Diário 2º PA'!$E$4:$E$3040='Analítico Cp.'!$B98),-('Diário 2º PA'!$Q$4:$Q$3040=K$1),('Diário 2º PA'!$F$4:$F$3040))+SUMPRODUCT(-('Diário 3º PA'!$E$4:$E$2731='Analítico Cp.'!$B98),-('Diário 3º PA'!$Q$4:$Q$2731=K$1),('Diário 3º PA'!$F$4:$F$2731))+SUMPRODUCT(-('Diário 4º PA'!$E$4:$E$2564='Analítico Cp.'!$B98),-('Diário 4º PA'!$Q$4:$Q$2564=K$1),('Diário 4º PA'!$F$4:$F$2564))+SUMPRODUCT(-('Comp.'!$D$5:$D$69='Analítico Cp.'!$B98),-('Comp.'!$K$5:$K$69=K$1),('Comp.'!$E$5:$E$69))</f>
        <v>0</v>
      </c>
      <c r="L98" s="12">
        <f>SUMPRODUCT(-('Diário 1º PA'!$E$4:$E$2635='Analítico Cp.'!$B98),-('Diário 1º PA'!$Q$4:$Q$2635=L$1),('Diário 1º PA'!$F$4:$F$2635))+SUMPRODUCT(-('Diário 2º PA'!$E$4:$E$3040='Analítico Cp.'!$B98),-('Diário 2º PA'!$Q$4:$Q$3040=L$1),('Diário 2º PA'!$F$4:$F$3040))+SUMPRODUCT(-('Diário 3º PA'!$E$4:$E$2731='Analítico Cp.'!$B98),-('Diário 3º PA'!$Q$4:$Q$2731=L$1),('Diário 3º PA'!$F$4:$F$2731))+SUMPRODUCT(-('Diário 4º PA'!$E$4:$E$2564='Analítico Cp.'!$B98),-('Diário 4º PA'!$Q$4:$Q$2564=L$1),('Diário 4º PA'!$F$4:$F$2564))+SUMPRODUCT(-('Comp.'!$D$5:$D$69='Analítico Cp.'!$B98),-('Comp.'!$K$5:$K$69=L$1),('Comp.'!$E$5:$E$69))</f>
        <v>0</v>
      </c>
      <c r="M98" s="12">
        <f>SUMPRODUCT(-('Diário 1º PA'!$E$4:$E$2635='Analítico Cp.'!$B98),-('Diário 1º PA'!$Q$4:$Q$2635=M$1),('Diário 1º PA'!$F$4:$F$2635))+SUMPRODUCT(-('Diário 2º PA'!$E$4:$E$3040='Analítico Cp.'!$B98),-('Diário 2º PA'!$Q$4:$Q$3040=M$1),('Diário 2º PA'!$F$4:$F$3040))+SUMPRODUCT(-('Diário 3º PA'!$E$4:$E$2731='Analítico Cp.'!$B98),-('Diário 3º PA'!$Q$4:$Q$2731=M$1),('Diário 3º PA'!$F$4:$F$2731))+SUMPRODUCT(-('Diário 4º PA'!$E$4:$E$2564='Analítico Cp.'!$B98),-('Diário 4º PA'!$Q$4:$Q$2564=M$1),('Diário 4º PA'!$F$4:$F$2564))+SUMPRODUCT(-('Comp.'!$D$5:$D$69='Analítico Cp.'!$B98),-('Comp.'!$K$5:$K$69=M$1),('Comp.'!$E$5:$E$69))</f>
        <v>0</v>
      </c>
      <c r="N98" s="12">
        <f>SUMPRODUCT(-('Diário 1º PA'!$E$4:$E$2635='Analítico Cp.'!$B98),-('Diário 1º PA'!$Q$4:$Q$2635=N$1),('Diário 1º PA'!$F$4:$F$2635))+SUMPRODUCT(-('Diário 2º PA'!$E$4:$E$3040='Analítico Cp.'!$B98),-('Diário 2º PA'!$Q$4:$Q$3040=N$1),('Diário 2º PA'!$F$4:$F$3040))+SUMPRODUCT(-('Diário 3º PA'!$E$4:$E$2731='Analítico Cp.'!$B98),-('Diário 3º PA'!$Q$4:$Q$2731=N$1),('Diário 3º PA'!$F$4:$F$2731))+SUMPRODUCT(-('Diário 4º PA'!$E$4:$E$2564='Analítico Cp.'!$B98),-('Diário 4º PA'!$Q$4:$Q$2564=N$1),('Diário 4º PA'!$F$4:$F$2564))+SUMPRODUCT(-('Comp.'!$D$5:$D$69='Analítico Cp.'!$B98),-('Comp.'!$K$5:$K$69=N$1),('Comp.'!$E$5:$E$69))</f>
        <v>0</v>
      </c>
      <c r="O98" s="13">
        <f t="shared" si="12"/>
        <v>0</v>
      </c>
      <c r="P98" s="167">
        <f t="shared" si="13"/>
        <v>0</v>
      </c>
    </row>
    <row r="99" spans="1:16" ht="23.25" customHeight="1" x14ac:dyDescent="0.2">
      <c r="A99" s="61" t="s">
        <v>200</v>
      </c>
      <c r="B99" s="103" t="s">
        <v>0</v>
      </c>
      <c r="C99" s="12">
        <f>SUMPRODUCT(-('Diário 1º PA'!$E$4:$E$2635='Analítico Cp.'!$B99),-('Diário 1º PA'!$Q$4:$Q$2635=C$1),('Diário 1º PA'!$F$4:$F$2635))+SUMPRODUCT(-('Diário 2º PA'!$E$4:$E$3040='Analítico Cp.'!$B99),-('Diário 2º PA'!$Q$4:$Q$3040=C$1),('Diário 2º PA'!$F$4:$F$3040))+SUMPRODUCT(-('Diário 3º PA'!$E$4:$E$2731='Analítico Cp.'!$B99),-('Diário 3º PA'!$Q$4:$Q$2731=C$1),('Diário 3º PA'!$F$4:$F$2731))+SUMPRODUCT(-('Diário 4º PA'!$E$4:$E$2564='Analítico Cp.'!$B99),-('Diário 4º PA'!$Q$4:$Q$2564=C$1),('Diário 4º PA'!$F$4:$F$2564))+SUMPRODUCT(-('Comp.'!$D$5:$D$69='Analítico Cp.'!$B99),-('Comp.'!$K$5:$K$69=C$1),('Comp.'!$E$5:$E$69))</f>
        <v>0</v>
      </c>
      <c r="D99" s="12">
        <f>SUMPRODUCT(-('Diário 1º PA'!$E$4:$E$2635='Analítico Cp.'!$B99),-('Diário 1º PA'!$Q$4:$Q$2635=D$1),('Diário 1º PA'!$F$4:$F$2635))+SUMPRODUCT(-('Diário 2º PA'!$E$4:$E$3040='Analítico Cp.'!$B99),-('Diário 2º PA'!$Q$4:$Q$3040=D$1),('Diário 2º PA'!$F$4:$F$3040))+SUMPRODUCT(-('Diário 3º PA'!$E$4:$E$2731='Analítico Cp.'!$B99),-('Diário 3º PA'!$Q$4:$Q$2731=D$1),('Diário 3º PA'!$F$4:$F$2731))+SUMPRODUCT(-('Diário 4º PA'!$E$4:$E$2564='Analítico Cp.'!$B99),-('Diário 4º PA'!$Q$4:$Q$2564=D$1),('Diário 4º PA'!$F$4:$F$2564))+SUMPRODUCT(-('Comp.'!$D$5:$D$69='Analítico Cp.'!$B99),-('Comp.'!$K$5:$K$69=D$1),('Comp.'!$E$5:$E$69))</f>
        <v>0</v>
      </c>
      <c r="E99" s="12">
        <f>SUMPRODUCT(-('Diário 1º PA'!$E$4:$E$2635='Analítico Cp.'!$B99),-('Diário 1º PA'!$Q$4:$Q$2635=E$1),('Diário 1º PA'!$F$4:$F$2635))+SUMPRODUCT(-('Diário 2º PA'!$E$4:$E$3040='Analítico Cp.'!$B99),-('Diário 2º PA'!$Q$4:$Q$3040=E$1),('Diário 2º PA'!$F$4:$F$3040))+SUMPRODUCT(-('Diário 3º PA'!$E$4:$E$2731='Analítico Cp.'!$B99),-('Diário 3º PA'!$Q$4:$Q$2731=E$1),('Diário 3º PA'!$F$4:$F$2731))+SUMPRODUCT(-('Diário 4º PA'!$E$4:$E$2564='Analítico Cp.'!$B99),-('Diário 4º PA'!$Q$4:$Q$2564=E$1),('Diário 4º PA'!$F$4:$F$2564))+SUMPRODUCT(-('Comp.'!$D$5:$D$69='Analítico Cp.'!$B99),-('Comp.'!$K$5:$K$69=E$1),('Comp.'!$E$5:$E$69))</f>
        <v>1499.88</v>
      </c>
      <c r="F99" s="12">
        <f>SUMPRODUCT(-('Diário 1º PA'!$E$4:$E$2635='Analítico Cp.'!$B99),-('Diário 1º PA'!$Q$4:$Q$2635=F$1),('Diário 1º PA'!$F$4:$F$2635))+SUMPRODUCT(-('Diário 2º PA'!$E$4:$E$3040='Analítico Cp.'!$B99),-('Diário 2º PA'!$Q$4:$Q$3040=F$1),('Diário 2º PA'!$F$4:$F$3040))+SUMPRODUCT(-('Diário 3º PA'!$E$4:$E$2731='Analítico Cp.'!$B99),-('Diário 3º PA'!$Q$4:$Q$2731=F$1),('Diário 3º PA'!$F$4:$F$2731))+SUMPRODUCT(-('Diário 4º PA'!$E$4:$E$2564='Analítico Cp.'!$B99),-('Diário 4º PA'!$Q$4:$Q$2564=F$1),('Diário 4º PA'!$F$4:$F$2564))+SUMPRODUCT(-('Comp.'!$D$5:$D$69='Analítico Cp.'!$B99),-('Comp.'!$K$5:$K$69=F$1),('Comp.'!$E$5:$E$69))</f>
        <v>0</v>
      </c>
      <c r="G99" s="12">
        <f>SUMPRODUCT(-('Diário 1º PA'!$E$4:$E$2635='Analítico Cp.'!$B99),-('Diário 1º PA'!$Q$4:$Q$2635=G$1),('Diário 1º PA'!$F$4:$F$2635))+SUMPRODUCT(-('Diário 2º PA'!$E$4:$E$3040='Analítico Cp.'!$B99),-('Diário 2º PA'!$Q$4:$Q$3040=G$1),('Diário 2º PA'!$F$4:$F$3040))+SUMPRODUCT(-('Diário 3º PA'!$E$4:$E$2731='Analítico Cp.'!$B99),-('Diário 3º PA'!$Q$4:$Q$2731=G$1),('Diário 3º PA'!$F$4:$F$2731))+SUMPRODUCT(-('Diário 4º PA'!$E$4:$E$2564='Analítico Cp.'!$B99),-('Diário 4º PA'!$Q$4:$Q$2564=G$1),('Diário 4º PA'!$F$4:$F$2564))+SUMPRODUCT(-('Comp.'!$D$5:$D$69='Analítico Cp.'!$B99),-('Comp.'!$K$5:$K$69=G$1),('Comp.'!$E$5:$E$69))</f>
        <v>529.79999999999995</v>
      </c>
      <c r="H99" s="12">
        <f>SUMPRODUCT(-('Diário 1º PA'!$E$4:$E$2635='Analítico Cp.'!$B99),-('Diário 1º PA'!$Q$4:$Q$2635=H$1),('Diário 1º PA'!$F$4:$F$2635))+SUMPRODUCT(-('Diário 2º PA'!$E$4:$E$3040='Analítico Cp.'!$B99),-('Diário 2º PA'!$Q$4:$Q$3040=H$1),('Diário 2º PA'!$F$4:$F$3040))+SUMPRODUCT(-('Diário 3º PA'!$E$4:$E$2731='Analítico Cp.'!$B99),-('Diário 3º PA'!$Q$4:$Q$2731=H$1),('Diário 3º PA'!$F$4:$F$2731))+SUMPRODUCT(-('Diário 4º PA'!$E$4:$E$2564='Analítico Cp.'!$B99),-('Diário 4º PA'!$Q$4:$Q$2564=H$1),('Diário 4º PA'!$F$4:$F$2564))+SUMPRODUCT(-('Comp.'!$D$5:$D$69='Analítico Cp.'!$B99),-('Comp.'!$K$5:$K$69=H$1),('Comp.'!$E$5:$E$69))</f>
        <v>0</v>
      </c>
      <c r="I99" s="12">
        <f>SUMPRODUCT(-('Diário 1º PA'!$E$4:$E$2635='Analítico Cp.'!$B99),-('Diário 1º PA'!$Q$4:$Q$2635=I$1),('Diário 1º PA'!$F$4:$F$2635))+SUMPRODUCT(-('Diário 2º PA'!$E$4:$E$3040='Analítico Cp.'!$B99),-('Diário 2º PA'!$Q$4:$Q$3040=I$1),('Diário 2º PA'!$F$4:$F$3040))+SUMPRODUCT(-('Diário 3º PA'!$E$4:$E$2731='Analítico Cp.'!$B99),-('Diário 3º PA'!$Q$4:$Q$2731=I$1),('Diário 3º PA'!$F$4:$F$2731))+SUMPRODUCT(-('Diário 4º PA'!$E$4:$E$2564='Analítico Cp.'!$B99),-('Diário 4º PA'!$Q$4:$Q$2564=I$1),('Diário 4º PA'!$F$4:$F$2564))+SUMPRODUCT(-('Comp.'!$D$5:$D$69='Analítico Cp.'!$B99),-('Comp.'!$K$5:$K$69=I$1),('Comp.'!$E$5:$E$69))</f>
        <v>0</v>
      </c>
      <c r="J99" s="12">
        <f>SUMPRODUCT(-('Diário 1º PA'!$E$4:$E$2635='Analítico Cp.'!$B99),-('Diário 1º PA'!$Q$4:$Q$2635=J$1),('Diário 1º PA'!$F$4:$F$2635))+SUMPRODUCT(-('Diário 2º PA'!$E$4:$E$3040='Analítico Cp.'!$B99),-('Diário 2º PA'!$Q$4:$Q$3040=J$1),('Diário 2º PA'!$F$4:$F$3040))+SUMPRODUCT(-('Diário 3º PA'!$E$4:$E$2731='Analítico Cp.'!$B99),-('Diário 3º PA'!$Q$4:$Q$2731=J$1),('Diário 3º PA'!$F$4:$F$2731))+SUMPRODUCT(-('Diário 4º PA'!$E$4:$E$2564='Analítico Cp.'!$B99),-('Diário 4º PA'!$Q$4:$Q$2564=J$1),('Diário 4º PA'!$F$4:$F$2564))+SUMPRODUCT(-('Comp.'!$D$5:$D$69='Analítico Cp.'!$B99),-('Comp.'!$K$5:$K$69=J$1),('Comp.'!$E$5:$E$69))</f>
        <v>0</v>
      </c>
      <c r="K99" s="12">
        <f>SUMPRODUCT(-('Diário 1º PA'!$E$4:$E$2635='Analítico Cp.'!$B99),-('Diário 1º PA'!$Q$4:$Q$2635=K$1),('Diário 1º PA'!$F$4:$F$2635))+SUMPRODUCT(-('Diário 2º PA'!$E$4:$E$3040='Analítico Cp.'!$B99),-('Diário 2º PA'!$Q$4:$Q$3040=K$1),('Diário 2º PA'!$F$4:$F$3040))+SUMPRODUCT(-('Diário 3º PA'!$E$4:$E$2731='Analítico Cp.'!$B99),-('Diário 3º PA'!$Q$4:$Q$2731=K$1),('Diário 3º PA'!$F$4:$F$2731))+SUMPRODUCT(-('Diário 4º PA'!$E$4:$E$2564='Analítico Cp.'!$B99),-('Diário 4º PA'!$Q$4:$Q$2564=K$1),('Diário 4º PA'!$F$4:$F$2564))+SUMPRODUCT(-('Comp.'!$D$5:$D$69='Analítico Cp.'!$B99),-('Comp.'!$K$5:$K$69=K$1),('Comp.'!$E$5:$E$69))</f>
        <v>0</v>
      </c>
      <c r="L99" s="12">
        <f>SUMPRODUCT(-('Diário 1º PA'!$E$4:$E$2635='Analítico Cp.'!$B99),-('Diário 1º PA'!$Q$4:$Q$2635=L$1),('Diário 1º PA'!$F$4:$F$2635))+SUMPRODUCT(-('Diário 2º PA'!$E$4:$E$3040='Analítico Cp.'!$B99),-('Diário 2º PA'!$Q$4:$Q$3040=L$1),('Diário 2º PA'!$F$4:$F$3040))+SUMPRODUCT(-('Diário 3º PA'!$E$4:$E$2731='Analítico Cp.'!$B99),-('Diário 3º PA'!$Q$4:$Q$2731=L$1),('Diário 3º PA'!$F$4:$F$2731))+SUMPRODUCT(-('Diário 4º PA'!$E$4:$E$2564='Analítico Cp.'!$B99),-('Diário 4º PA'!$Q$4:$Q$2564=L$1),('Diário 4º PA'!$F$4:$F$2564))+SUMPRODUCT(-('Comp.'!$D$5:$D$69='Analítico Cp.'!$B99),-('Comp.'!$K$5:$K$69=L$1),('Comp.'!$E$5:$E$69))</f>
        <v>0</v>
      </c>
      <c r="M99" s="12">
        <f>SUMPRODUCT(-('Diário 1º PA'!$E$4:$E$2635='Analítico Cp.'!$B99),-('Diário 1º PA'!$Q$4:$Q$2635=M$1),('Diário 1º PA'!$F$4:$F$2635))+SUMPRODUCT(-('Diário 2º PA'!$E$4:$E$3040='Analítico Cp.'!$B99),-('Diário 2º PA'!$Q$4:$Q$3040=M$1),('Diário 2º PA'!$F$4:$F$3040))+SUMPRODUCT(-('Diário 3º PA'!$E$4:$E$2731='Analítico Cp.'!$B99),-('Diário 3º PA'!$Q$4:$Q$2731=M$1),('Diário 3º PA'!$F$4:$F$2731))+SUMPRODUCT(-('Diário 4º PA'!$E$4:$E$2564='Analítico Cp.'!$B99),-('Diário 4º PA'!$Q$4:$Q$2564=M$1),('Diário 4º PA'!$F$4:$F$2564))+SUMPRODUCT(-('Comp.'!$D$5:$D$69='Analítico Cp.'!$B99),-('Comp.'!$K$5:$K$69=M$1),('Comp.'!$E$5:$E$69))</f>
        <v>0</v>
      </c>
      <c r="N99" s="12">
        <f>SUMPRODUCT(-('Diário 1º PA'!$E$4:$E$2635='Analítico Cp.'!$B99),-('Diário 1º PA'!$Q$4:$Q$2635=N$1),('Diário 1º PA'!$F$4:$F$2635))+SUMPRODUCT(-('Diário 2º PA'!$E$4:$E$3040='Analítico Cp.'!$B99),-('Diário 2º PA'!$Q$4:$Q$3040=N$1),('Diário 2º PA'!$F$4:$F$3040))+SUMPRODUCT(-('Diário 3º PA'!$E$4:$E$2731='Analítico Cp.'!$B99),-('Diário 3º PA'!$Q$4:$Q$2731=N$1),('Diário 3º PA'!$F$4:$F$2731))+SUMPRODUCT(-('Diário 4º PA'!$E$4:$E$2564='Analítico Cp.'!$B99),-('Diário 4º PA'!$Q$4:$Q$2564=N$1),('Diário 4º PA'!$F$4:$F$2564))+SUMPRODUCT(-('Comp.'!$D$5:$D$69='Analítico Cp.'!$B99),-('Comp.'!$K$5:$K$69=N$1),('Comp.'!$E$5:$E$69))</f>
        <v>50</v>
      </c>
      <c r="O99" s="13">
        <f t="shared" si="12"/>
        <v>2079.6800000000003</v>
      </c>
      <c r="P99" s="167">
        <f t="shared" si="13"/>
        <v>1.6992781161889937E-4</v>
      </c>
    </row>
    <row r="100" spans="1:16" ht="23.25" customHeight="1" x14ac:dyDescent="0.2">
      <c r="A100" s="61" t="s">
        <v>201</v>
      </c>
      <c r="B100" s="104" t="s">
        <v>89</v>
      </c>
      <c r="C100" s="12">
        <f>SUMPRODUCT(-('Diário 1º PA'!$E$4:$E$2635='Analítico Cp.'!$B100),-('Diário 1º PA'!$Q$4:$Q$2635=C$1),('Diário 1º PA'!$F$4:$F$2635))+SUMPRODUCT(-('Diário 2º PA'!$E$4:$E$3040='Analítico Cp.'!$B100),-('Diário 2º PA'!$Q$4:$Q$3040=C$1),('Diário 2º PA'!$F$4:$F$3040))+SUMPRODUCT(-('Diário 3º PA'!$E$4:$E$2731='Analítico Cp.'!$B100),-('Diário 3º PA'!$Q$4:$Q$2731=C$1),('Diário 3º PA'!$F$4:$F$2731))+SUMPRODUCT(-('Diário 4º PA'!$E$4:$E$2564='Analítico Cp.'!$B100),-('Diário 4º PA'!$Q$4:$Q$2564=C$1),('Diário 4º PA'!$F$4:$F$2564))+SUMPRODUCT(-('Comp.'!$D$5:$D$69='Analítico Cp.'!$B100),-('Comp.'!$K$5:$K$69=C$1),('Comp.'!$E$5:$E$69))</f>
        <v>0</v>
      </c>
      <c r="D100" s="12">
        <f>SUMPRODUCT(-('Diário 1º PA'!$E$4:$E$2635='Analítico Cp.'!$B100),-('Diário 1º PA'!$Q$4:$Q$2635=D$1),('Diário 1º PA'!$F$4:$F$2635))+SUMPRODUCT(-('Diário 2º PA'!$E$4:$E$3040='Analítico Cp.'!$B100),-('Diário 2º PA'!$Q$4:$Q$3040=D$1),('Diário 2º PA'!$F$4:$F$3040))+SUMPRODUCT(-('Diário 3º PA'!$E$4:$E$2731='Analítico Cp.'!$B100),-('Diário 3º PA'!$Q$4:$Q$2731=D$1),('Diário 3º PA'!$F$4:$F$2731))+SUMPRODUCT(-('Diário 4º PA'!$E$4:$E$2564='Analítico Cp.'!$B100),-('Diário 4º PA'!$Q$4:$Q$2564=D$1),('Diário 4º PA'!$F$4:$F$2564))+SUMPRODUCT(-('Comp.'!$D$5:$D$69='Analítico Cp.'!$B100),-('Comp.'!$K$5:$K$69=D$1),('Comp.'!$E$5:$E$69))</f>
        <v>0</v>
      </c>
      <c r="E100" s="12">
        <f>SUMPRODUCT(-('Diário 1º PA'!$E$4:$E$2635='Analítico Cp.'!$B100),-('Diário 1º PA'!$Q$4:$Q$2635=E$1),('Diário 1º PA'!$F$4:$F$2635))+SUMPRODUCT(-('Diário 2º PA'!$E$4:$E$3040='Analítico Cp.'!$B100),-('Diário 2º PA'!$Q$4:$Q$3040=E$1),('Diário 2º PA'!$F$4:$F$3040))+SUMPRODUCT(-('Diário 3º PA'!$E$4:$E$2731='Analítico Cp.'!$B100),-('Diário 3º PA'!$Q$4:$Q$2731=E$1),('Diário 3º PA'!$F$4:$F$2731))+SUMPRODUCT(-('Diário 4º PA'!$E$4:$E$2564='Analítico Cp.'!$B100),-('Diário 4º PA'!$Q$4:$Q$2564=E$1),('Diário 4º PA'!$F$4:$F$2564))+SUMPRODUCT(-('Comp.'!$D$5:$D$69='Analítico Cp.'!$B100),-('Comp.'!$K$5:$K$69=E$1),('Comp.'!$E$5:$E$69))</f>
        <v>0</v>
      </c>
      <c r="F100" s="12">
        <f>SUMPRODUCT(-('Diário 1º PA'!$E$4:$E$2635='Analítico Cp.'!$B100),-('Diário 1º PA'!$Q$4:$Q$2635=F$1),('Diário 1º PA'!$F$4:$F$2635))+SUMPRODUCT(-('Diário 2º PA'!$E$4:$E$3040='Analítico Cp.'!$B100),-('Diário 2º PA'!$Q$4:$Q$3040=F$1),('Diário 2º PA'!$F$4:$F$3040))+SUMPRODUCT(-('Diário 3º PA'!$E$4:$E$2731='Analítico Cp.'!$B100),-('Diário 3º PA'!$Q$4:$Q$2731=F$1),('Diário 3º PA'!$F$4:$F$2731))+SUMPRODUCT(-('Diário 4º PA'!$E$4:$E$2564='Analítico Cp.'!$B100),-('Diário 4º PA'!$Q$4:$Q$2564=F$1),('Diário 4º PA'!$F$4:$F$2564))+SUMPRODUCT(-('Comp.'!$D$5:$D$69='Analítico Cp.'!$B100),-('Comp.'!$K$5:$K$69=F$1),('Comp.'!$E$5:$E$69))</f>
        <v>0</v>
      </c>
      <c r="G100" s="12">
        <f>SUMPRODUCT(-('Diário 1º PA'!$E$4:$E$2635='Analítico Cp.'!$B100),-('Diário 1º PA'!$Q$4:$Q$2635=G$1),('Diário 1º PA'!$F$4:$F$2635))+SUMPRODUCT(-('Diário 2º PA'!$E$4:$E$3040='Analítico Cp.'!$B100),-('Diário 2º PA'!$Q$4:$Q$3040=G$1),('Diário 2º PA'!$F$4:$F$3040))+SUMPRODUCT(-('Diário 3º PA'!$E$4:$E$2731='Analítico Cp.'!$B100),-('Diário 3º PA'!$Q$4:$Q$2731=G$1),('Diário 3º PA'!$F$4:$F$2731))+SUMPRODUCT(-('Diário 4º PA'!$E$4:$E$2564='Analítico Cp.'!$B100),-('Diário 4º PA'!$Q$4:$Q$2564=G$1),('Diário 4º PA'!$F$4:$F$2564))+SUMPRODUCT(-('Comp.'!$D$5:$D$69='Analítico Cp.'!$B100),-('Comp.'!$K$5:$K$69=G$1),('Comp.'!$E$5:$E$69))</f>
        <v>0</v>
      </c>
      <c r="H100" s="12">
        <f>SUMPRODUCT(-('Diário 1º PA'!$E$4:$E$2635='Analítico Cp.'!$B100),-('Diário 1º PA'!$Q$4:$Q$2635=H$1),('Diário 1º PA'!$F$4:$F$2635))+SUMPRODUCT(-('Diário 2º PA'!$E$4:$E$3040='Analítico Cp.'!$B100),-('Diário 2º PA'!$Q$4:$Q$3040=H$1),('Diário 2º PA'!$F$4:$F$3040))+SUMPRODUCT(-('Diário 3º PA'!$E$4:$E$2731='Analítico Cp.'!$B100),-('Diário 3º PA'!$Q$4:$Q$2731=H$1),('Diário 3º PA'!$F$4:$F$2731))+SUMPRODUCT(-('Diário 4º PA'!$E$4:$E$2564='Analítico Cp.'!$B100),-('Diário 4º PA'!$Q$4:$Q$2564=H$1),('Diário 4º PA'!$F$4:$F$2564))+SUMPRODUCT(-('Comp.'!$D$5:$D$69='Analítico Cp.'!$B100),-('Comp.'!$K$5:$K$69=H$1),('Comp.'!$E$5:$E$69))</f>
        <v>0</v>
      </c>
      <c r="I100" s="12">
        <f>SUMPRODUCT(-('Diário 1º PA'!$E$4:$E$2635='Analítico Cp.'!$B100),-('Diário 1º PA'!$Q$4:$Q$2635=I$1),('Diário 1º PA'!$F$4:$F$2635))+SUMPRODUCT(-('Diário 2º PA'!$E$4:$E$3040='Analítico Cp.'!$B100),-('Diário 2º PA'!$Q$4:$Q$3040=I$1),('Diário 2º PA'!$F$4:$F$3040))+SUMPRODUCT(-('Diário 3º PA'!$E$4:$E$2731='Analítico Cp.'!$B100),-('Diário 3º PA'!$Q$4:$Q$2731=I$1),('Diário 3º PA'!$F$4:$F$2731))+SUMPRODUCT(-('Diário 4º PA'!$E$4:$E$2564='Analítico Cp.'!$B100),-('Diário 4º PA'!$Q$4:$Q$2564=I$1),('Diário 4º PA'!$F$4:$F$2564))+SUMPRODUCT(-('Comp.'!$D$5:$D$69='Analítico Cp.'!$B100),-('Comp.'!$K$5:$K$69=I$1),('Comp.'!$E$5:$E$69))</f>
        <v>0</v>
      </c>
      <c r="J100" s="12">
        <f>SUMPRODUCT(-('Diário 1º PA'!$E$4:$E$2635='Analítico Cp.'!$B100),-('Diário 1º PA'!$Q$4:$Q$2635=J$1),('Diário 1º PA'!$F$4:$F$2635))+SUMPRODUCT(-('Diário 2º PA'!$E$4:$E$3040='Analítico Cp.'!$B100),-('Diário 2º PA'!$Q$4:$Q$3040=J$1),('Diário 2º PA'!$F$4:$F$3040))+SUMPRODUCT(-('Diário 3º PA'!$E$4:$E$2731='Analítico Cp.'!$B100),-('Diário 3º PA'!$Q$4:$Q$2731=J$1),('Diário 3º PA'!$F$4:$F$2731))+SUMPRODUCT(-('Diário 4º PA'!$E$4:$E$2564='Analítico Cp.'!$B100),-('Diário 4º PA'!$Q$4:$Q$2564=J$1),('Diário 4º PA'!$F$4:$F$2564))+SUMPRODUCT(-('Comp.'!$D$5:$D$69='Analítico Cp.'!$B100),-('Comp.'!$K$5:$K$69=J$1),('Comp.'!$E$5:$E$69))</f>
        <v>0</v>
      </c>
      <c r="K100" s="12">
        <f>SUMPRODUCT(-('Diário 1º PA'!$E$4:$E$2635='Analítico Cp.'!$B100),-('Diário 1º PA'!$Q$4:$Q$2635=K$1),('Diário 1º PA'!$F$4:$F$2635))+SUMPRODUCT(-('Diário 2º PA'!$E$4:$E$3040='Analítico Cp.'!$B100),-('Diário 2º PA'!$Q$4:$Q$3040=K$1),('Diário 2º PA'!$F$4:$F$3040))+SUMPRODUCT(-('Diário 3º PA'!$E$4:$E$2731='Analítico Cp.'!$B100),-('Diário 3º PA'!$Q$4:$Q$2731=K$1),('Diário 3º PA'!$F$4:$F$2731))+SUMPRODUCT(-('Diário 4º PA'!$E$4:$E$2564='Analítico Cp.'!$B100),-('Diário 4º PA'!$Q$4:$Q$2564=K$1),('Diário 4º PA'!$F$4:$F$2564))+SUMPRODUCT(-('Comp.'!$D$5:$D$69='Analítico Cp.'!$B100),-('Comp.'!$K$5:$K$69=K$1),('Comp.'!$E$5:$E$69))</f>
        <v>0</v>
      </c>
      <c r="L100" s="12">
        <f>SUMPRODUCT(-('Diário 1º PA'!$E$4:$E$2635='Analítico Cp.'!$B100),-('Diário 1º PA'!$Q$4:$Q$2635=L$1),('Diário 1º PA'!$F$4:$F$2635))+SUMPRODUCT(-('Diário 2º PA'!$E$4:$E$3040='Analítico Cp.'!$B100),-('Diário 2º PA'!$Q$4:$Q$3040=L$1),('Diário 2º PA'!$F$4:$F$3040))+SUMPRODUCT(-('Diário 3º PA'!$E$4:$E$2731='Analítico Cp.'!$B100),-('Diário 3º PA'!$Q$4:$Q$2731=L$1),('Diário 3º PA'!$F$4:$F$2731))+SUMPRODUCT(-('Diário 4º PA'!$E$4:$E$2564='Analítico Cp.'!$B100),-('Diário 4º PA'!$Q$4:$Q$2564=L$1),('Diário 4º PA'!$F$4:$F$2564))+SUMPRODUCT(-('Comp.'!$D$5:$D$69='Analítico Cp.'!$B100),-('Comp.'!$K$5:$K$69=L$1),('Comp.'!$E$5:$E$69))</f>
        <v>0</v>
      </c>
      <c r="M100" s="12">
        <f>SUMPRODUCT(-('Diário 1º PA'!$E$4:$E$2635='Analítico Cp.'!$B100),-('Diário 1º PA'!$Q$4:$Q$2635=M$1),('Diário 1º PA'!$F$4:$F$2635))+SUMPRODUCT(-('Diário 2º PA'!$E$4:$E$3040='Analítico Cp.'!$B100),-('Diário 2º PA'!$Q$4:$Q$3040=M$1),('Diário 2º PA'!$F$4:$F$3040))+SUMPRODUCT(-('Diário 3º PA'!$E$4:$E$2731='Analítico Cp.'!$B100),-('Diário 3º PA'!$Q$4:$Q$2731=M$1),('Diário 3º PA'!$F$4:$F$2731))+SUMPRODUCT(-('Diário 4º PA'!$E$4:$E$2564='Analítico Cp.'!$B100),-('Diário 4º PA'!$Q$4:$Q$2564=M$1),('Diário 4º PA'!$F$4:$F$2564))+SUMPRODUCT(-('Comp.'!$D$5:$D$69='Analítico Cp.'!$B100),-('Comp.'!$K$5:$K$69=M$1),('Comp.'!$E$5:$E$69))</f>
        <v>0</v>
      </c>
      <c r="N100" s="12">
        <f>SUMPRODUCT(-('Diário 1º PA'!$E$4:$E$2635='Analítico Cp.'!$B100),-('Diário 1º PA'!$Q$4:$Q$2635=N$1),('Diário 1º PA'!$F$4:$F$2635))+SUMPRODUCT(-('Diário 2º PA'!$E$4:$E$3040='Analítico Cp.'!$B100),-('Diário 2º PA'!$Q$4:$Q$3040=N$1),('Diário 2º PA'!$F$4:$F$3040))+SUMPRODUCT(-('Diário 3º PA'!$E$4:$E$2731='Analítico Cp.'!$B100),-('Diário 3º PA'!$Q$4:$Q$2731=N$1),('Diário 3º PA'!$F$4:$F$2731))+SUMPRODUCT(-('Diário 4º PA'!$E$4:$E$2564='Analítico Cp.'!$B100),-('Diário 4º PA'!$Q$4:$Q$2564=N$1),('Diário 4º PA'!$F$4:$F$2564))+SUMPRODUCT(-('Comp.'!$D$5:$D$69='Analítico Cp.'!$B100),-('Comp.'!$K$5:$K$69=N$1),('Comp.'!$E$5:$E$69))</f>
        <v>0</v>
      </c>
      <c r="O100" s="13">
        <f t="shared" si="12"/>
        <v>0</v>
      </c>
      <c r="P100" s="167">
        <f t="shared" si="13"/>
        <v>0</v>
      </c>
    </row>
    <row r="101" spans="1:16" ht="23.25" customHeight="1" x14ac:dyDescent="0.2">
      <c r="A101" s="61" t="s">
        <v>202</v>
      </c>
      <c r="B101" s="105" t="s">
        <v>223</v>
      </c>
      <c r="C101" s="12">
        <f>SUMPRODUCT(-('Diário 1º PA'!$E$4:$E$2635='Analítico Cp.'!$B101),-('Diário 1º PA'!$Q$4:$Q$2635=C$1),('Diário 1º PA'!$F$4:$F$2635))+SUMPRODUCT(-('Diário 2º PA'!$E$4:$E$3040='Analítico Cp.'!$B101),-('Diário 2º PA'!$Q$4:$Q$3040=C$1),('Diário 2º PA'!$F$4:$F$3040))+SUMPRODUCT(-('Diário 3º PA'!$E$4:$E$2731='Analítico Cp.'!$B101),-('Diário 3º PA'!$Q$4:$Q$2731=C$1),('Diário 3º PA'!$F$4:$F$2731))+SUMPRODUCT(-('Diário 4º PA'!$E$4:$E$2564='Analítico Cp.'!$B101),-('Diário 4º PA'!$Q$4:$Q$2564=C$1),('Diário 4º PA'!$F$4:$F$2564))+SUMPRODUCT(-('Comp.'!$D$5:$D$69='Analítico Cp.'!$B101),-('Comp.'!$K$5:$K$69=C$1),('Comp.'!$E$5:$E$69))</f>
        <v>0</v>
      </c>
      <c r="D101" s="12">
        <f>SUMPRODUCT(-('Diário 1º PA'!$E$4:$E$2635='Analítico Cp.'!$B101),-('Diário 1º PA'!$Q$4:$Q$2635=D$1),('Diário 1º PA'!$F$4:$F$2635))+SUMPRODUCT(-('Diário 2º PA'!$E$4:$E$3040='Analítico Cp.'!$B101),-('Diário 2º PA'!$Q$4:$Q$3040=D$1),('Diário 2º PA'!$F$4:$F$3040))+SUMPRODUCT(-('Diário 3º PA'!$E$4:$E$2731='Analítico Cp.'!$B101),-('Diário 3º PA'!$Q$4:$Q$2731=D$1),('Diário 3º PA'!$F$4:$F$2731))+SUMPRODUCT(-('Diário 4º PA'!$E$4:$E$2564='Analítico Cp.'!$B101),-('Diário 4º PA'!$Q$4:$Q$2564=D$1),('Diário 4º PA'!$F$4:$F$2564))+SUMPRODUCT(-('Comp.'!$D$5:$D$69='Analítico Cp.'!$B101),-('Comp.'!$K$5:$K$69=D$1),('Comp.'!$E$5:$E$69))</f>
        <v>0</v>
      </c>
      <c r="E101" s="12">
        <f>SUMPRODUCT(-('Diário 1º PA'!$E$4:$E$2635='Analítico Cp.'!$B101),-('Diário 1º PA'!$Q$4:$Q$2635=E$1),('Diário 1º PA'!$F$4:$F$2635))+SUMPRODUCT(-('Diário 2º PA'!$E$4:$E$3040='Analítico Cp.'!$B101),-('Diário 2º PA'!$Q$4:$Q$3040=E$1),('Diário 2º PA'!$F$4:$F$3040))+SUMPRODUCT(-('Diário 3º PA'!$E$4:$E$2731='Analítico Cp.'!$B101),-('Diário 3º PA'!$Q$4:$Q$2731=E$1),('Diário 3º PA'!$F$4:$F$2731))+SUMPRODUCT(-('Diário 4º PA'!$E$4:$E$2564='Analítico Cp.'!$B101),-('Diário 4º PA'!$Q$4:$Q$2564=E$1),('Diário 4º PA'!$F$4:$F$2564))+SUMPRODUCT(-('Comp.'!$D$5:$D$69='Analítico Cp.'!$B101),-('Comp.'!$K$5:$K$69=E$1),('Comp.'!$E$5:$E$69))</f>
        <v>0</v>
      </c>
      <c r="F101" s="12">
        <f>SUMPRODUCT(-('Diário 1º PA'!$E$4:$E$2635='Analítico Cp.'!$B101),-('Diário 1º PA'!$Q$4:$Q$2635=F$1),('Diário 1º PA'!$F$4:$F$2635))+SUMPRODUCT(-('Diário 2º PA'!$E$4:$E$3040='Analítico Cp.'!$B101),-('Diário 2º PA'!$Q$4:$Q$3040=F$1),('Diário 2º PA'!$F$4:$F$3040))+SUMPRODUCT(-('Diário 3º PA'!$E$4:$E$2731='Analítico Cp.'!$B101),-('Diário 3º PA'!$Q$4:$Q$2731=F$1),('Diário 3º PA'!$F$4:$F$2731))+SUMPRODUCT(-('Diário 4º PA'!$E$4:$E$2564='Analítico Cp.'!$B101),-('Diário 4º PA'!$Q$4:$Q$2564=F$1),('Diário 4º PA'!$F$4:$F$2564))+SUMPRODUCT(-('Comp.'!$D$5:$D$69='Analítico Cp.'!$B101),-('Comp.'!$K$5:$K$69=F$1),('Comp.'!$E$5:$E$69))</f>
        <v>0</v>
      </c>
      <c r="G101" s="12">
        <f>SUMPRODUCT(-('Diário 1º PA'!$E$4:$E$2635='Analítico Cp.'!$B101),-('Diário 1º PA'!$Q$4:$Q$2635=G$1),('Diário 1º PA'!$F$4:$F$2635))+SUMPRODUCT(-('Diário 2º PA'!$E$4:$E$3040='Analítico Cp.'!$B101),-('Diário 2º PA'!$Q$4:$Q$3040=G$1),('Diário 2º PA'!$F$4:$F$3040))+SUMPRODUCT(-('Diário 3º PA'!$E$4:$E$2731='Analítico Cp.'!$B101),-('Diário 3º PA'!$Q$4:$Q$2731=G$1),('Diário 3º PA'!$F$4:$F$2731))+SUMPRODUCT(-('Diário 4º PA'!$E$4:$E$2564='Analítico Cp.'!$B101),-('Diário 4º PA'!$Q$4:$Q$2564=G$1),('Diário 4º PA'!$F$4:$F$2564))+SUMPRODUCT(-('Comp.'!$D$5:$D$69='Analítico Cp.'!$B101),-('Comp.'!$K$5:$K$69=G$1),('Comp.'!$E$5:$E$69))</f>
        <v>0</v>
      </c>
      <c r="H101" s="12">
        <f>SUMPRODUCT(-('Diário 1º PA'!$E$4:$E$2635='Analítico Cp.'!$B101),-('Diário 1º PA'!$Q$4:$Q$2635=H$1),('Diário 1º PA'!$F$4:$F$2635))+SUMPRODUCT(-('Diário 2º PA'!$E$4:$E$3040='Analítico Cp.'!$B101),-('Diário 2º PA'!$Q$4:$Q$3040=H$1),('Diário 2º PA'!$F$4:$F$3040))+SUMPRODUCT(-('Diário 3º PA'!$E$4:$E$2731='Analítico Cp.'!$B101),-('Diário 3º PA'!$Q$4:$Q$2731=H$1),('Diário 3º PA'!$F$4:$F$2731))+SUMPRODUCT(-('Diário 4º PA'!$E$4:$E$2564='Analítico Cp.'!$B101),-('Diário 4º PA'!$Q$4:$Q$2564=H$1),('Diário 4º PA'!$F$4:$F$2564))+SUMPRODUCT(-('Comp.'!$D$5:$D$69='Analítico Cp.'!$B101),-('Comp.'!$K$5:$K$69=H$1),('Comp.'!$E$5:$E$69))</f>
        <v>0</v>
      </c>
      <c r="I101" s="12">
        <f>SUMPRODUCT(-('Diário 1º PA'!$E$4:$E$2635='Analítico Cp.'!$B101),-('Diário 1º PA'!$Q$4:$Q$2635=I$1),('Diário 1º PA'!$F$4:$F$2635))+SUMPRODUCT(-('Diário 2º PA'!$E$4:$E$3040='Analítico Cp.'!$B101),-('Diário 2º PA'!$Q$4:$Q$3040=I$1),('Diário 2º PA'!$F$4:$F$3040))+SUMPRODUCT(-('Diário 3º PA'!$E$4:$E$2731='Analítico Cp.'!$B101),-('Diário 3º PA'!$Q$4:$Q$2731=I$1),('Diário 3º PA'!$F$4:$F$2731))+SUMPRODUCT(-('Diário 4º PA'!$E$4:$E$2564='Analítico Cp.'!$B101),-('Diário 4º PA'!$Q$4:$Q$2564=I$1),('Diário 4º PA'!$F$4:$F$2564))+SUMPRODUCT(-('Comp.'!$D$5:$D$69='Analítico Cp.'!$B101),-('Comp.'!$K$5:$K$69=I$1),('Comp.'!$E$5:$E$69))</f>
        <v>0</v>
      </c>
      <c r="J101" s="12">
        <f>SUMPRODUCT(-('Diário 1º PA'!$E$4:$E$2635='Analítico Cp.'!$B101),-('Diário 1º PA'!$Q$4:$Q$2635=J$1),('Diário 1º PA'!$F$4:$F$2635))+SUMPRODUCT(-('Diário 2º PA'!$E$4:$E$3040='Analítico Cp.'!$B101),-('Diário 2º PA'!$Q$4:$Q$3040=J$1),('Diário 2º PA'!$F$4:$F$3040))+SUMPRODUCT(-('Diário 3º PA'!$E$4:$E$2731='Analítico Cp.'!$B101),-('Diário 3º PA'!$Q$4:$Q$2731=J$1),('Diário 3º PA'!$F$4:$F$2731))+SUMPRODUCT(-('Diário 4º PA'!$E$4:$E$2564='Analítico Cp.'!$B101),-('Diário 4º PA'!$Q$4:$Q$2564=J$1),('Diário 4º PA'!$F$4:$F$2564))+SUMPRODUCT(-('Comp.'!$D$5:$D$69='Analítico Cp.'!$B101),-('Comp.'!$K$5:$K$69=J$1),('Comp.'!$E$5:$E$69))</f>
        <v>0</v>
      </c>
      <c r="K101" s="12">
        <f>SUMPRODUCT(-('Diário 1º PA'!$E$4:$E$2635='Analítico Cp.'!$B101),-('Diário 1º PA'!$Q$4:$Q$2635=K$1),('Diário 1º PA'!$F$4:$F$2635))+SUMPRODUCT(-('Diário 2º PA'!$E$4:$E$3040='Analítico Cp.'!$B101),-('Diário 2º PA'!$Q$4:$Q$3040=K$1),('Diário 2º PA'!$F$4:$F$3040))+SUMPRODUCT(-('Diário 3º PA'!$E$4:$E$2731='Analítico Cp.'!$B101),-('Diário 3º PA'!$Q$4:$Q$2731=K$1),('Diário 3º PA'!$F$4:$F$2731))+SUMPRODUCT(-('Diário 4º PA'!$E$4:$E$2564='Analítico Cp.'!$B101),-('Diário 4º PA'!$Q$4:$Q$2564=K$1),('Diário 4º PA'!$F$4:$F$2564))+SUMPRODUCT(-('Comp.'!$D$5:$D$69='Analítico Cp.'!$B101),-('Comp.'!$K$5:$K$69=K$1),('Comp.'!$E$5:$E$69))</f>
        <v>0</v>
      </c>
      <c r="L101" s="12">
        <f>SUMPRODUCT(-('Diário 1º PA'!$E$4:$E$2635='Analítico Cp.'!$B101),-('Diário 1º PA'!$Q$4:$Q$2635=L$1),('Diário 1º PA'!$F$4:$F$2635))+SUMPRODUCT(-('Diário 2º PA'!$E$4:$E$3040='Analítico Cp.'!$B101),-('Diário 2º PA'!$Q$4:$Q$3040=L$1),('Diário 2º PA'!$F$4:$F$3040))+SUMPRODUCT(-('Diário 3º PA'!$E$4:$E$2731='Analítico Cp.'!$B101),-('Diário 3º PA'!$Q$4:$Q$2731=L$1),('Diário 3º PA'!$F$4:$F$2731))+SUMPRODUCT(-('Diário 4º PA'!$E$4:$E$2564='Analítico Cp.'!$B101),-('Diário 4º PA'!$Q$4:$Q$2564=L$1),('Diário 4º PA'!$F$4:$F$2564))+SUMPRODUCT(-('Comp.'!$D$5:$D$69='Analítico Cp.'!$B101),-('Comp.'!$K$5:$K$69=L$1),('Comp.'!$E$5:$E$69))</f>
        <v>0</v>
      </c>
      <c r="M101" s="12">
        <f>SUMPRODUCT(-('Diário 1º PA'!$E$4:$E$2635='Analítico Cp.'!$B101),-('Diário 1º PA'!$Q$4:$Q$2635=M$1),('Diário 1º PA'!$F$4:$F$2635))+SUMPRODUCT(-('Diário 2º PA'!$E$4:$E$3040='Analítico Cp.'!$B101),-('Diário 2º PA'!$Q$4:$Q$3040=M$1),('Diário 2º PA'!$F$4:$F$3040))+SUMPRODUCT(-('Diário 3º PA'!$E$4:$E$2731='Analítico Cp.'!$B101),-('Diário 3º PA'!$Q$4:$Q$2731=M$1),('Diário 3º PA'!$F$4:$F$2731))+SUMPRODUCT(-('Diário 4º PA'!$E$4:$E$2564='Analítico Cp.'!$B101),-('Diário 4º PA'!$Q$4:$Q$2564=M$1),('Diário 4º PA'!$F$4:$F$2564))+SUMPRODUCT(-('Comp.'!$D$5:$D$69='Analítico Cp.'!$B101),-('Comp.'!$K$5:$K$69=M$1),('Comp.'!$E$5:$E$69))</f>
        <v>0</v>
      </c>
      <c r="N101" s="12">
        <f>SUMPRODUCT(-('Diário 1º PA'!$E$4:$E$2635='Analítico Cp.'!$B101),-('Diário 1º PA'!$Q$4:$Q$2635=N$1),('Diário 1º PA'!$F$4:$F$2635))+SUMPRODUCT(-('Diário 2º PA'!$E$4:$E$3040='Analítico Cp.'!$B101),-('Diário 2º PA'!$Q$4:$Q$3040=N$1),('Diário 2º PA'!$F$4:$F$3040))+SUMPRODUCT(-('Diário 3º PA'!$E$4:$E$2731='Analítico Cp.'!$B101),-('Diário 3º PA'!$Q$4:$Q$2731=N$1),('Diário 3º PA'!$F$4:$F$2731))+SUMPRODUCT(-('Diário 4º PA'!$E$4:$E$2564='Analítico Cp.'!$B101),-('Diário 4º PA'!$Q$4:$Q$2564=N$1),('Diário 4º PA'!$F$4:$F$2564))+SUMPRODUCT(-('Comp.'!$D$5:$D$69='Analítico Cp.'!$B101),-('Comp.'!$K$5:$K$69=N$1),('Comp.'!$E$5:$E$69))</f>
        <v>0</v>
      </c>
      <c r="O101" s="13">
        <f t="shared" si="12"/>
        <v>0</v>
      </c>
      <c r="P101" s="167">
        <f t="shared" si="13"/>
        <v>0</v>
      </c>
    </row>
    <row r="102" spans="1:16" ht="23.25" customHeight="1" x14ac:dyDescent="0.2">
      <c r="A102" s="61" t="s">
        <v>203</v>
      </c>
      <c r="B102" s="104" t="s">
        <v>264</v>
      </c>
      <c r="C102" s="12">
        <f>SUMPRODUCT(-('Diário 1º PA'!$E$4:$E$2635='Analítico Cp.'!$B102),-('Diário 1º PA'!$Q$4:$Q$2635=C$1),('Diário 1º PA'!$F$4:$F$2635))+SUMPRODUCT(-('Diário 2º PA'!$E$4:$E$3040='Analítico Cp.'!$B102),-('Diário 2º PA'!$Q$4:$Q$3040=C$1),('Diário 2º PA'!$F$4:$F$3040))+SUMPRODUCT(-('Diário 3º PA'!$E$4:$E$2731='Analítico Cp.'!$B102),-('Diário 3º PA'!$Q$4:$Q$2731=C$1),('Diário 3º PA'!$F$4:$F$2731))+SUMPRODUCT(-('Diário 4º PA'!$E$4:$E$2564='Analítico Cp.'!$B102),-('Diário 4º PA'!$Q$4:$Q$2564=C$1),('Diário 4º PA'!$F$4:$F$2564))+SUMPRODUCT(-('Comp.'!$D$5:$D$69='Analítico Cp.'!$B102),-('Comp.'!$K$5:$K$69=C$1),('Comp.'!$E$5:$E$69))</f>
        <v>0</v>
      </c>
      <c r="D102" s="12">
        <f>SUMPRODUCT(-('Diário 1º PA'!$E$4:$E$2635='Analítico Cp.'!$B102),-('Diário 1º PA'!$Q$4:$Q$2635=D$1),('Diário 1º PA'!$F$4:$F$2635))+SUMPRODUCT(-('Diário 2º PA'!$E$4:$E$3040='Analítico Cp.'!$B102),-('Diário 2º PA'!$Q$4:$Q$3040=D$1),('Diário 2º PA'!$F$4:$F$3040))+SUMPRODUCT(-('Diário 3º PA'!$E$4:$E$2731='Analítico Cp.'!$B102),-('Diário 3º PA'!$Q$4:$Q$2731=D$1),('Diário 3º PA'!$F$4:$F$2731))+SUMPRODUCT(-('Diário 4º PA'!$E$4:$E$2564='Analítico Cp.'!$B102),-('Diário 4º PA'!$Q$4:$Q$2564=D$1),('Diário 4º PA'!$F$4:$F$2564))+SUMPRODUCT(-('Comp.'!$D$5:$D$69='Analítico Cp.'!$B102),-('Comp.'!$K$5:$K$69=D$1),('Comp.'!$E$5:$E$69))</f>
        <v>0</v>
      </c>
      <c r="E102" s="12">
        <f>SUMPRODUCT(-('Diário 1º PA'!$E$4:$E$2635='Analítico Cp.'!$B102),-('Diário 1º PA'!$Q$4:$Q$2635=E$1),('Diário 1º PA'!$F$4:$F$2635))+SUMPRODUCT(-('Diário 2º PA'!$E$4:$E$3040='Analítico Cp.'!$B102),-('Diário 2º PA'!$Q$4:$Q$3040=E$1),('Diário 2º PA'!$F$4:$F$3040))+SUMPRODUCT(-('Diário 3º PA'!$E$4:$E$2731='Analítico Cp.'!$B102),-('Diário 3º PA'!$Q$4:$Q$2731=E$1),('Diário 3º PA'!$F$4:$F$2731))+SUMPRODUCT(-('Diário 4º PA'!$E$4:$E$2564='Analítico Cp.'!$B102),-('Diário 4º PA'!$Q$4:$Q$2564=E$1),('Diário 4º PA'!$F$4:$F$2564))+SUMPRODUCT(-('Comp.'!$D$5:$D$69='Analítico Cp.'!$B102),-('Comp.'!$K$5:$K$69=E$1),('Comp.'!$E$5:$E$69))</f>
        <v>0</v>
      </c>
      <c r="F102" s="12">
        <f>SUMPRODUCT(-('Diário 1º PA'!$E$4:$E$2635='Analítico Cp.'!$B102),-('Diário 1º PA'!$Q$4:$Q$2635=F$1),('Diário 1º PA'!$F$4:$F$2635))+SUMPRODUCT(-('Diário 2º PA'!$E$4:$E$3040='Analítico Cp.'!$B102),-('Diário 2º PA'!$Q$4:$Q$3040=F$1),('Diário 2º PA'!$F$4:$F$3040))+SUMPRODUCT(-('Diário 3º PA'!$E$4:$E$2731='Analítico Cp.'!$B102),-('Diário 3º PA'!$Q$4:$Q$2731=F$1),('Diário 3º PA'!$F$4:$F$2731))+SUMPRODUCT(-('Diário 4º PA'!$E$4:$E$2564='Analítico Cp.'!$B102),-('Diário 4º PA'!$Q$4:$Q$2564=F$1),('Diário 4º PA'!$F$4:$F$2564))+SUMPRODUCT(-('Comp.'!$D$5:$D$69='Analítico Cp.'!$B102),-('Comp.'!$K$5:$K$69=F$1),('Comp.'!$E$5:$E$69))</f>
        <v>0</v>
      </c>
      <c r="G102" s="12">
        <f>SUMPRODUCT(-('Diário 1º PA'!$E$4:$E$2635='Analítico Cp.'!$B102),-('Diário 1º PA'!$Q$4:$Q$2635=G$1),('Diário 1º PA'!$F$4:$F$2635))+SUMPRODUCT(-('Diário 2º PA'!$E$4:$E$3040='Analítico Cp.'!$B102),-('Diário 2º PA'!$Q$4:$Q$3040=G$1),('Diário 2º PA'!$F$4:$F$3040))+SUMPRODUCT(-('Diário 3º PA'!$E$4:$E$2731='Analítico Cp.'!$B102),-('Diário 3º PA'!$Q$4:$Q$2731=G$1),('Diário 3º PA'!$F$4:$F$2731))+SUMPRODUCT(-('Diário 4º PA'!$E$4:$E$2564='Analítico Cp.'!$B102),-('Diário 4º PA'!$Q$4:$Q$2564=G$1),('Diário 4º PA'!$F$4:$F$2564))+SUMPRODUCT(-('Comp.'!$D$5:$D$69='Analítico Cp.'!$B102),-('Comp.'!$K$5:$K$69=G$1),('Comp.'!$E$5:$E$69))</f>
        <v>0</v>
      </c>
      <c r="H102" s="12">
        <f>SUMPRODUCT(-('Diário 1º PA'!$E$4:$E$2635='Analítico Cp.'!$B102),-('Diário 1º PA'!$Q$4:$Q$2635=H$1),('Diário 1º PA'!$F$4:$F$2635))+SUMPRODUCT(-('Diário 2º PA'!$E$4:$E$3040='Analítico Cp.'!$B102),-('Diário 2º PA'!$Q$4:$Q$3040=H$1),('Diário 2º PA'!$F$4:$F$3040))+SUMPRODUCT(-('Diário 3º PA'!$E$4:$E$2731='Analítico Cp.'!$B102),-('Diário 3º PA'!$Q$4:$Q$2731=H$1),('Diário 3º PA'!$F$4:$F$2731))+SUMPRODUCT(-('Diário 4º PA'!$E$4:$E$2564='Analítico Cp.'!$B102),-('Diário 4º PA'!$Q$4:$Q$2564=H$1),('Diário 4º PA'!$F$4:$F$2564))+SUMPRODUCT(-('Comp.'!$D$5:$D$69='Analítico Cp.'!$B102),-('Comp.'!$K$5:$K$69=H$1),('Comp.'!$E$5:$E$69))</f>
        <v>0</v>
      </c>
      <c r="I102" s="12">
        <f>SUMPRODUCT(-('Diário 1º PA'!$E$4:$E$2635='Analítico Cp.'!$B102),-('Diário 1º PA'!$Q$4:$Q$2635=I$1),('Diário 1º PA'!$F$4:$F$2635))+SUMPRODUCT(-('Diário 2º PA'!$E$4:$E$3040='Analítico Cp.'!$B102),-('Diário 2º PA'!$Q$4:$Q$3040=I$1),('Diário 2º PA'!$F$4:$F$3040))+SUMPRODUCT(-('Diário 3º PA'!$E$4:$E$2731='Analítico Cp.'!$B102),-('Diário 3º PA'!$Q$4:$Q$2731=I$1),('Diário 3º PA'!$F$4:$F$2731))+SUMPRODUCT(-('Diário 4º PA'!$E$4:$E$2564='Analítico Cp.'!$B102),-('Diário 4º PA'!$Q$4:$Q$2564=I$1),('Diário 4º PA'!$F$4:$F$2564))+SUMPRODUCT(-('Comp.'!$D$5:$D$69='Analítico Cp.'!$B102),-('Comp.'!$K$5:$K$69=I$1),('Comp.'!$E$5:$E$69))</f>
        <v>0</v>
      </c>
      <c r="J102" s="12">
        <f>SUMPRODUCT(-('Diário 1º PA'!$E$4:$E$2635='Analítico Cp.'!$B102),-('Diário 1º PA'!$Q$4:$Q$2635=J$1),('Diário 1º PA'!$F$4:$F$2635))+SUMPRODUCT(-('Diário 2º PA'!$E$4:$E$3040='Analítico Cp.'!$B102),-('Diário 2º PA'!$Q$4:$Q$3040=J$1),('Diário 2º PA'!$F$4:$F$3040))+SUMPRODUCT(-('Diário 3º PA'!$E$4:$E$2731='Analítico Cp.'!$B102),-('Diário 3º PA'!$Q$4:$Q$2731=J$1),('Diário 3º PA'!$F$4:$F$2731))+SUMPRODUCT(-('Diário 4º PA'!$E$4:$E$2564='Analítico Cp.'!$B102),-('Diário 4º PA'!$Q$4:$Q$2564=J$1),('Diário 4º PA'!$F$4:$F$2564))+SUMPRODUCT(-('Comp.'!$D$5:$D$69='Analítico Cp.'!$B102),-('Comp.'!$K$5:$K$69=J$1),('Comp.'!$E$5:$E$69))</f>
        <v>0</v>
      </c>
      <c r="K102" s="12">
        <f>SUMPRODUCT(-('Diário 1º PA'!$E$4:$E$2635='Analítico Cp.'!$B102),-('Diário 1º PA'!$Q$4:$Q$2635=K$1),('Diário 1º PA'!$F$4:$F$2635))+SUMPRODUCT(-('Diário 2º PA'!$E$4:$E$3040='Analítico Cp.'!$B102),-('Diário 2º PA'!$Q$4:$Q$3040=K$1),('Diário 2º PA'!$F$4:$F$3040))+SUMPRODUCT(-('Diário 3º PA'!$E$4:$E$2731='Analítico Cp.'!$B102),-('Diário 3º PA'!$Q$4:$Q$2731=K$1),('Diário 3º PA'!$F$4:$F$2731))+SUMPRODUCT(-('Diário 4º PA'!$E$4:$E$2564='Analítico Cp.'!$B102),-('Diário 4º PA'!$Q$4:$Q$2564=K$1),('Diário 4º PA'!$F$4:$F$2564))+SUMPRODUCT(-('Comp.'!$D$5:$D$69='Analítico Cp.'!$B102),-('Comp.'!$K$5:$K$69=K$1),('Comp.'!$E$5:$E$69))</f>
        <v>0</v>
      </c>
      <c r="L102" s="12">
        <f>SUMPRODUCT(-('Diário 1º PA'!$E$4:$E$2635='Analítico Cp.'!$B102),-('Diário 1º PA'!$Q$4:$Q$2635=L$1),('Diário 1º PA'!$F$4:$F$2635))+SUMPRODUCT(-('Diário 2º PA'!$E$4:$E$3040='Analítico Cp.'!$B102),-('Diário 2º PA'!$Q$4:$Q$3040=L$1),('Diário 2º PA'!$F$4:$F$3040))+SUMPRODUCT(-('Diário 3º PA'!$E$4:$E$2731='Analítico Cp.'!$B102),-('Diário 3º PA'!$Q$4:$Q$2731=L$1),('Diário 3º PA'!$F$4:$F$2731))+SUMPRODUCT(-('Diário 4º PA'!$E$4:$E$2564='Analítico Cp.'!$B102),-('Diário 4º PA'!$Q$4:$Q$2564=L$1),('Diário 4º PA'!$F$4:$F$2564))+SUMPRODUCT(-('Comp.'!$D$5:$D$69='Analítico Cp.'!$B102),-('Comp.'!$K$5:$K$69=L$1),('Comp.'!$E$5:$E$69))</f>
        <v>0</v>
      </c>
      <c r="M102" s="12">
        <f>SUMPRODUCT(-('Diário 1º PA'!$E$4:$E$2635='Analítico Cp.'!$B102),-('Diário 1º PA'!$Q$4:$Q$2635=M$1),('Diário 1º PA'!$F$4:$F$2635))+SUMPRODUCT(-('Diário 2º PA'!$E$4:$E$3040='Analítico Cp.'!$B102),-('Diário 2º PA'!$Q$4:$Q$3040=M$1),('Diário 2º PA'!$F$4:$F$3040))+SUMPRODUCT(-('Diário 3º PA'!$E$4:$E$2731='Analítico Cp.'!$B102),-('Diário 3º PA'!$Q$4:$Q$2731=M$1),('Diário 3º PA'!$F$4:$F$2731))+SUMPRODUCT(-('Diário 4º PA'!$E$4:$E$2564='Analítico Cp.'!$B102),-('Diário 4º PA'!$Q$4:$Q$2564=M$1),('Diário 4º PA'!$F$4:$F$2564))+SUMPRODUCT(-('Comp.'!$D$5:$D$69='Analítico Cp.'!$B102),-('Comp.'!$K$5:$K$69=M$1),('Comp.'!$E$5:$E$69))</f>
        <v>0</v>
      </c>
      <c r="N102" s="12">
        <f>SUMPRODUCT(-('Diário 1º PA'!$E$4:$E$2635='Analítico Cp.'!$B102),-('Diário 1º PA'!$Q$4:$Q$2635=N$1),('Diário 1º PA'!$F$4:$F$2635))+SUMPRODUCT(-('Diário 2º PA'!$E$4:$E$3040='Analítico Cp.'!$B102),-('Diário 2º PA'!$Q$4:$Q$3040=N$1),('Diário 2º PA'!$F$4:$F$3040))+SUMPRODUCT(-('Diário 3º PA'!$E$4:$E$2731='Analítico Cp.'!$B102),-('Diário 3º PA'!$Q$4:$Q$2731=N$1),('Diário 3º PA'!$F$4:$F$2731))+SUMPRODUCT(-('Diário 4º PA'!$E$4:$E$2564='Analítico Cp.'!$B102),-('Diário 4º PA'!$Q$4:$Q$2564=N$1),('Diário 4º PA'!$F$4:$F$2564))+SUMPRODUCT(-('Comp.'!$D$5:$D$69='Analítico Cp.'!$B102),-('Comp.'!$K$5:$K$69=N$1),('Comp.'!$E$5:$E$69))</f>
        <v>0</v>
      </c>
      <c r="O102" s="13">
        <f t="shared" si="12"/>
        <v>0</v>
      </c>
      <c r="P102" s="167">
        <f t="shared" si="13"/>
        <v>0</v>
      </c>
    </row>
    <row r="103" spans="1:16" ht="23.25" customHeight="1" x14ac:dyDescent="0.2">
      <c r="A103" s="61" t="s">
        <v>204</v>
      </c>
      <c r="B103" s="103" t="s">
        <v>98</v>
      </c>
      <c r="C103" s="12">
        <f>SUMPRODUCT(-('Diário 1º PA'!$E$4:$E$2635='Analítico Cp.'!$B103),-('Diário 1º PA'!$Q$4:$Q$2635=C$1),('Diário 1º PA'!$F$4:$F$2635))+SUMPRODUCT(-('Diário 2º PA'!$E$4:$E$3040='Analítico Cp.'!$B103),-('Diário 2º PA'!$Q$4:$Q$3040=C$1),('Diário 2º PA'!$F$4:$F$3040))+SUMPRODUCT(-('Diário 3º PA'!$E$4:$E$2731='Analítico Cp.'!$B103),-('Diário 3º PA'!$Q$4:$Q$2731=C$1),('Diário 3º PA'!$F$4:$F$2731))+SUMPRODUCT(-('Diário 4º PA'!$E$4:$E$2564='Analítico Cp.'!$B103),-('Diário 4º PA'!$Q$4:$Q$2564=C$1),('Diário 4º PA'!$F$4:$F$2564))+SUMPRODUCT(-('Comp.'!$D$5:$D$69='Analítico Cp.'!$B103),-('Comp.'!$K$5:$K$69=C$1),('Comp.'!$E$5:$E$69))</f>
        <v>0</v>
      </c>
      <c r="D103" s="12">
        <f>SUMPRODUCT(-('Diário 1º PA'!$E$4:$E$2635='Analítico Cp.'!$B103),-('Diário 1º PA'!$Q$4:$Q$2635=D$1),('Diário 1º PA'!$F$4:$F$2635))+SUMPRODUCT(-('Diário 2º PA'!$E$4:$E$3040='Analítico Cp.'!$B103),-('Diário 2º PA'!$Q$4:$Q$3040=D$1),('Diário 2º PA'!$F$4:$F$3040))+SUMPRODUCT(-('Diário 3º PA'!$E$4:$E$2731='Analítico Cp.'!$B103),-('Diário 3º PA'!$Q$4:$Q$2731=D$1),('Diário 3º PA'!$F$4:$F$2731))+SUMPRODUCT(-('Diário 4º PA'!$E$4:$E$2564='Analítico Cp.'!$B103),-('Diário 4º PA'!$Q$4:$Q$2564=D$1),('Diário 4º PA'!$F$4:$F$2564))+SUMPRODUCT(-('Comp.'!$D$5:$D$69='Analítico Cp.'!$B103),-('Comp.'!$K$5:$K$69=D$1),('Comp.'!$E$5:$E$69))</f>
        <v>0</v>
      </c>
      <c r="E103" s="12">
        <f>SUMPRODUCT(-('Diário 1º PA'!$E$4:$E$2635='Analítico Cp.'!$B103),-('Diário 1º PA'!$Q$4:$Q$2635=E$1),('Diário 1º PA'!$F$4:$F$2635))+SUMPRODUCT(-('Diário 2º PA'!$E$4:$E$3040='Analítico Cp.'!$B103),-('Diário 2º PA'!$Q$4:$Q$3040=E$1),('Diário 2º PA'!$F$4:$F$3040))+SUMPRODUCT(-('Diário 3º PA'!$E$4:$E$2731='Analítico Cp.'!$B103),-('Diário 3º PA'!$Q$4:$Q$2731=E$1),('Diário 3º PA'!$F$4:$F$2731))+SUMPRODUCT(-('Diário 4º PA'!$E$4:$E$2564='Analítico Cp.'!$B103),-('Diário 4º PA'!$Q$4:$Q$2564=E$1),('Diário 4º PA'!$F$4:$F$2564))+SUMPRODUCT(-('Comp.'!$D$5:$D$69='Analítico Cp.'!$B103),-('Comp.'!$K$5:$K$69=E$1),('Comp.'!$E$5:$E$69))</f>
        <v>0</v>
      </c>
      <c r="F103" s="12">
        <f>SUMPRODUCT(-('Diário 1º PA'!$E$4:$E$2635='Analítico Cp.'!$B103),-('Diário 1º PA'!$Q$4:$Q$2635=F$1),('Diário 1º PA'!$F$4:$F$2635))+SUMPRODUCT(-('Diário 2º PA'!$E$4:$E$3040='Analítico Cp.'!$B103),-('Diário 2º PA'!$Q$4:$Q$3040=F$1),('Diário 2º PA'!$F$4:$F$3040))+SUMPRODUCT(-('Diário 3º PA'!$E$4:$E$2731='Analítico Cp.'!$B103),-('Diário 3º PA'!$Q$4:$Q$2731=F$1),('Diário 3º PA'!$F$4:$F$2731))+SUMPRODUCT(-('Diário 4º PA'!$E$4:$E$2564='Analítico Cp.'!$B103),-('Diário 4º PA'!$Q$4:$Q$2564=F$1),('Diário 4º PA'!$F$4:$F$2564))+SUMPRODUCT(-('Comp.'!$D$5:$D$69='Analítico Cp.'!$B103),-('Comp.'!$K$5:$K$69=F$1),('Comp.'!$E$5:$E$69))</f>
        <v>0</v>
      </c>
      <c r="G103" s="12">
        <f>SUMPRODUCT(-('Diário 1º PA'!$E$4:$E$2635='Analítico Cp.'!$B103),-('Diário 1º PA'!$Q$4:$Q$2635=G$1),('Diário 1º PA'!$F$4:$F$2635))+SUMPRODUCT(-('Diário 2º PA'!$E$4:$E$3040='Analítico Cp.'!$B103),-('Diário 2º PA'!$Q$4:$Q$3040=G$1),('Diário 2º PA'!$F$4:$F$3040))+SUMPRODUCT(-('Diário 3º PA'!$E$4:$E$2731='Analítico Cp.'!$B103),-('Diário 3º PA'!$Q$4:$Q$2731=G$1),('Diário 3º PA'!$F$4:$F$2731))+SUMPRODUCT(-('Diário 4º PA'!$E$4:$E$2564='Analítico Cp.'!$B103),-('Diário 4º PA'!$Q$4:$Q$2564=G$1),('Diário 4º PA'!$F$4:$F$2564))+SUMPRODUCT(-('Comp.'!$D$5:$D$69='Analítico Cp.'!$B103),-('Comp.'!$K$5:$K$69=G$1),('Comp.'!$E$5:$E$69))</f>
        <v>0</v>
      </c>
      <c r="H103" s="12">
        <f>SUMPRODUCT(-('Diário 1º PA'!$E$4:$E$2635='Analítico Cp.'!$B103),-('Diário 1º PA'!$Q$4:$Q$2635=H$1),('Diário 1º PA'!$F$4:$F$2635))+SUMPRODUCT(-('Diário 2º PA'!$E$4:$E$3040='Analítico Cp.'!$B103),-('Diário 2º PA'!$Q$4:$Q$3040=H$1),('Diário 2º PA'!$F$4:$F$3040))+SUMPRODUCT(-('Diário 3º PA'!$E$4:$E$2731='Analítico Cp.'!$B103),-('Diário 3º PA'!$Q$4:$Q$2731=H$1),('Diário 3º PA'!$F$4:$F$2731))+SUMPRODUCT(-('Diário 4º PA'!$E$4:$E$2564='Analítico Cp.'!$B103),-('Diário 4º PA'!$Q$4:$Q$2564=H$1),('Diário 4º PA'!$F$4:$F$2564))+SUMPRODUCT(-('Comp.'!$D$5:$D$69='Analítico Cp.'!$B103),-('Comp.'!$K$5:$K$69=H$1),('Comp.'!$E$5:$E$69))</f>
        <v>0</v>
      </c>
      <c r="I103" s="12">
        <f>SUMPRODUCT(-('Diário 1º PA'!$E$4:$E$2635='Analítico Cp.'!$B103),-('Diário 1º PA'!$Q$4:$Q$2635=I$1),('Diário 1º PA'!$F$4:$F$2635))+SUMPRODUCT(-('Diário 2º PA'!$E$4:$E$3040='Analítico Cp.'!$B103),-('Diário 2º PA'!$Q$4:$Q$3040=I$1),('Diário 2º PA'!$F$4:$F$3040))+SUMPRODUCT(-('Diário 3º PA'!$E$4:$E$2731='Analítico Cp.'!$B103),-('Diário 3º PA'!$Q$4:$Q$2731=I$1),('Diário 3º PA'!$F$4:$F$2731))+SUMPRODUCT(-('Diário 4º PA'!$E$4:$E$2564='Analítico Cp.'!$B103),-('Diário 4º PA'!$Q$4:$Q$2564=I$1),('Diário 4º PA'!$F$4:$F$2564))+SUMPRODUCT(-('Comp.'!$D$5:$D$69='Analítico Cp.'!$B103),-('Comp.'!$K$5:$K$69=I$1),('Comp.'!$E$5:$E$69))</f>
        <v>0</v>
      </c>
      <c r="J103" s="12">
        <f>SUMPRODUCT(-('Diário 1º PA'!$E$4:$E$2635='Analítico Cp.'!$B103),-('Diário 1º PA'!$Q$4:$Q$2635=J$1),('Diário 1º PA'!$F$4:$F$2635))+SUMPRODUCT(-('Diário 2º PA'!$E$4:$E$3040='Analítico Cp.'!$B103),-('Diário 2º PA'!$Q$4:$Q$3040=J$1),('Diário 2º PA'!$F$4:$F$3040))+SUMPRODUCT(-('Diário 3º PA'!$E$4:$E$2731='Analítico Cp.'!$B103),-('Diário 3º PA'!$Q$4:$Q$2731=J$1),('Diário 3º PA'!$F$4:$F$2731))+SUMPRODUCT(-('Diário 4º PA'!$E$4:$E$2564='Analítico Cp.'!$B103),-('Diário 4º PA'!$Q$4:$Q$2564=J$1),('Diário 4º PA'!$F$4:$F$2564))+SUMPRODUCT(-('Comp.'!$D$5:$D$69='Analítico Cp.'!$B103),-('Comp.'!$K$5:$K$69=J$1),('Comp.'!$E$5:$E$69))</f>
        <v>0</v>
      </c>
      <c r="K103" s="12">
        <f>SUMPRODUCT(-('Diário 1º PA'!$E$4:$E$2635='Analítico Cp.'!$B103),-('Diário 1º PA'!$Q$4:$Q$2635=K$1),('Diário 1º PA'!$F$4:$F$2635))+SUMPRODUCT(-('Diário 2º PA'!$E$4:$E$3040='Analítico Cp.'!$B103),-('Diário 2º PA'!$Q$4:$Q$3040=K$1),('Diário 2º PA'!$F$4:$F$3040))+SUMPRODUCT(-('Diário 3º PA'!$E$4:$E$2731='Analítico Cp.'!$B103),-('Diário 3º PA'!$Q$4:$Q$2731=K$1),('Diário 3º PA'!$F$4:$F$2731))+SUMPRODUCT(-('Diário 4º PA'!$E$4:$E$2564='Analítico Cp.'!$B103),-('Diário 4º PA'!$Q$4:$Q$2564=K$1),('Diário 4º PA'!$F$4:$F$2564))+SUMPRODUCT(-('Comp.'!$D$5:$D$69='Analítico Cp.'!$B103),-('Comp.'!$K$5:$K$69=K$1),('Comp.'!$E$5:$E$69))</f>
        <v>0</v>
      </c>
      <c r="L103" s="12">
        <f>SUMPRODUCT(-('Diário 1º PA'!$E$4:$E$2635='Analítico Cp.'!$B103),-('Diário 1º PA'!$Q$4:$Q$2635=L$1),('Diário 1º PA'!$F$4:$F$2635))+SUMPRODUCT(-('Diário 2º PA'!$E$4:$E$3040='Analítico Cp.'!$B103),-('Diário 2º PA'!$Q$4:$Q$3040=L$1),('Diário 2º PA'!$F$4:$F$3040))+SUMPRODUCT(-('Diário 3º PA'!$E$4:$E$2731='Analítico Cp.'!$B103),-('Diário 3º PA'!$Q$4:$Q$2731=L$1),('Diário 3º PA'!$F$4:$F$2731))+SUMPRODUCT(-('Diário 4º PA'!$E$4:$E$2564='Analítico Cp.'!$B103),-('Diário 4º PA'!$Q$4:$Q$2564=L$1),('Diário 4º PA'!$F$4:$F$2564))+SUMPRODUCT(-('Comp.'!$D$5:$D$69='Analítico Cp.'!$B103),-('Comp.'!$K$5:$K$69=L$1),('Comp.'!$E$5:$E$69))</f>
        <v>0</v>
      </c>
      <c r="M103" s="12">
        <f>SUMPRODUCT(-('Diário 1º PA'!$E$4:$E$2635='Analítico Cp.'!$B103),-('Diário 1º PA'!$Q$4:$Q$2635=M$1),('Diário 1º PA'!$F$4:$F$2635))+SUMPRODUCT(-('Diário 2º PA'!$E$4:$E$3040='Analítico Cp.'!$B103),-('Diário 2º PA'!$Q$4:$Q$3040=M$1),('Diário 2º PA'!$F$4:$F$3040))+SUMPRODUCT(-('Diário 3º PA'!$E$4:$E$2731='Analítico Cp.'!$B103),-('Diário 3º PA'!$Q$4:$Q$2731=M$1),('Diário 3º PA'!$F$4:$F$2731))+SUMPRODUCT(-('Diário 4º PA'!$E$4:$E$2564='Analítico Cp.'!$B103),-('Diário 4º PA'!$Q$4:$Q$2564=M$1),('Diário 4º PA'!$F$4:$F$2564))+SUMPRODUCT(-('Comp.'!$D$5:$D$69='Analítico Cp.'!$B103),-('Comp.'!$K$5:$K$69=M$1),('Comp.'!$E$5:$E$69))</f>
        <v>0</v>
      </c>
      <c r="N103" s="12">
        <f>SUMPRODUCT(-('Diário 1º PA'!$E$4:$E$2635='Analítico Cp.'!$B103),-('Diário 1º PA'!$Q$4:$Q$2635=N$1),('Diário 1º PA'!$F$4:$F$2635))+SUMPRODUCT(-('Diário 2º PA'!$E$4:$E$3040='Analítico Cp.'!$B103),-('Diário 2º PA'!$Q$4:$Q$3040=N$1),('Diário 2º PA'!$F$4:$F$3040))+SUMPRODUCT(-('Diário 3º PA'!$E$4:$E$2731='Analítico Cp.'!$B103),-('Diário 3º PA'!$Q$4:$Q$2731=N$1),('Diário 3º PA'!$F$4:$F$2731))+SUMPRODUCT(-('Diário 4º PA'!$E$4:$E$2564='Analítico Cp.'!$B103),-('Diário 4º PA'!$Q$4:$Q$2564=N$1),('Diário 4º PA'!$F$4:$F$2564))+SUMPRODUCT(-('Comp.'!$D$5:$D$69='Analítico Cp.'!$B103),-('Comp.'!$K$5:$K$69=N$1),('Comp.'!$E$5:$E$69))</f>
        <v>0</v>
      </c>
      <c r="O103" s="13">
        <f t="shared" si="12"/>
        <v>0</v>
      </c>
      <c r="P103" s="167">
        <f t="shared" si="13"/>
        <v>0</v>
      </c>
    </row>
    <row r="104" spans="1:16" ht="23.25" customHeight="1" x14ac:dyDescent="0.2">
      <c r="A104" s="61" t="s">
        <v>206</v>
      </c>
      <c r="B104" s="103" t="s">
        <v>99</v>
      </c>
      <c r="C104" s="12">
        <f>SUMPRODUCT(-('Diário 1º PA'!$E$4:$E$2635='Analítico Cp.'!$B104),-('Diário 1º PA'!$Q$4:$Q$2635=C$1),('Diário 1º PA'!$F$4:$F$2635))+SUMPRODUCT(-('Diário 2º PA'!$E$4:$E$3040='Analítico Cp.'!$B104),-('Diário 2º PA'!$Q$4:$Q$3040=C$1),('Diário 2º PA'!$F$4:$F$3040))+SUMPRODUCT(-('Diário 3º PA'!$E$4:$E$2731='Analítico Cp.'!$B104),-('Diário 3º PA'!$Q$4:$Q$2731=C$1),('Diário 3º PA'!$F$4:$F$2731))+SUMPRODUCT(-('Diário 4º PA'!$E$4:$E$2564='Analítico Cp.'!$B104),-('Diário 4º PA'!$Q$4:$Q$2564=C$1),('Diário 4º PA'!$F$4:$F$2564))+SUMPRODUCT(-('Comp.'!$D$5:$D$69='Analítico Cp.'!$B104),-('Comp.'!$K$5:$K$69=C$1),('Comp.'!$E$5:$E$69))</f>
        <v>0</v>
      </c>
      <c r="D104" s="12">
        <f>SUMPRODUCT(-('Diário 1º PA'!$E$4:$E$2635='Analítico Cp.'!$B104),-('Diário 1º PA'!$Q$4:$Q$2635=D$1),('Diário 1º PA'!$F$4:$F$2635))+SUMPRODUCT(-('Diário 2º PA'!$E$4:$E$3040='Analítico Cp.'!$B104),-('Diário 2º PA'!$Q$4:$Q$3040=D$1),('Diário 2º PA'!$F$4:$F$3040))+SUMPRODUCT(-('Diário 3º PA'!$E$4:$E$2731='Analítico Cp.'!$B104),-('Diário 3º PA'!$Q$4:$Q$2731=D$1),('Diário 3º PA'!$F$4:$F$2731))+SUMPRODUCT(-('Diário 4º PA'!$E$4:$E$2564='Analítico Cp.'!$B104),-('Diário 4º PA'!$Q$4:$Q$2564=D$1),('Diário 4º PA'!$F$4:$F$2564))+SUMPRODUCT(-('Comp.'!$D$5:$D$69='Analítico Cp.'!$B104),-('Comp.'!$K$5:$K$69=D$1),('Comp.'!$E$5:$E$69))</f>
        <v>0</v>
      </c>
      <c r="E104" s="12">
        <f>SUMPRODUCT(-('Diário 1º PA'!$E$4:$E$2635='Analítico Cp.'!$B104),-('Diário 1º PA'!$Q$4:$Q$2635=E$1),('Diário 1º PA'!$F$4:$F$2635))+SUMPRODUCT(-('Diário 2º PA'!$E$4:$E$3040='Analítico Cp.'!$B104),-('Diário 2º PA'!$Q$4:$Q$3040=E$1),('Diário 2º PA'!$F$4:$F$3040))+SUMPRODUCT(-('Diário 3º PA'!$E$4:$E$2731='Analítico Cp.'!$B104),-('Diário 3º PA'!$Q$4:$Q$2731=E$1),('Diário 3º PA'!$F$4:$F$2731))+SUMPRODUCT(-('Diário 4º PA'!$E$4:$E$2564='Analítico Cp.'!$B104),-('Diário 4º PA'!$Q$4:$Q$2564=E$1),('Diário 4º PA'!$F$4:$F$2564))+SUMPRODUCT(-('Comp.'!$D$5:$D$69='Analítico Cp.'!$B104),-('Comp.'!$K$5:$K$69=E$1),('Comp.'!$E$5:$E$69))</f>
        <v>0</v>
      </c>
      <c r="F104" s="12">
        <f>SUMPRODUCT(-('Diário 1º PA'!$E$4:$E$2635='Analítico Cp.'!$B104),-('Diário 1º PA'!$Q$4:$Q$2635=F$1),('Diário 1º PA'!$F$4:$F$2635))+SUMPRODUCT(-('Diário 2º PA'!$E$4:$E$3040='Analítico Cp.'!$B104),-('Diário 2º PA'!$Q$4:$Q$3040=F$1),('Diário 2º PA'!$F$4:$F$3040))+SUMPRODUCT(-('Diário 3º PA'!$E$4:$E$2731='Analítico Cp.'!$B104),-('Diário 3º PA'!$Q$4:$Q$2731=F$1),('Diário 3º PA'!$F$4:$F$2731))+SUMPRODUCT(-('Diário 4º PA'!$E$4:$E$2564='Analítico Cp.'!$B104),-('Diário 4º PA'!$Q$4:$Q$2564=F$1),('Diário 4º PA'!$F$4:$F$2564))+SUMPRODUCT(-('Comp.'!$D$5:$D$69='Analítico Cp.'!$B104),-('Comp.'!$K$5:$K$69=F$1),('Comp.'!$E$5:$E$69))</f>
        <v>0</v>
      </c>
      <c r="G104" s="12">
        <f>SUMPRODUCT(-('Diário 1º PA'!$E$4:$E$2635='Analítico Cp.'!$B104),-('Diário 1º PA'!$Q$4:$Q$2635=G$1),('Diário 1º PA'!$F$4:$F$2635))+SUMPRODUCT(-('Diário 2º PA'!$E$4:$E$3040='Analítico Cp.'!$B104),-('Diário 2º PA'!$Q$4:$Q$3040=G$1),('Diário 2º PA'!$F$4:$F$3040))+SUMPRODUCT(-('Diário 3º PA'!$E$4:$E$2731='Analítico Cp.'!$B104),-('Diário 3º PA'!$Q$4:$Q$2731=G$1),('Diário 3º PA'!$F$4:$F$2731))+SUMPRODUCT(-('Diário 4º PA'!$E$4:$E$2564='Analítico Cp.'!$B104),-('Diário 4º PA'!$Q$4:$Q$2564=G$1),('Diário 4º PA'!$F$4:$F$2564))+SUMPRODUCT(-('Comp.'!$D$5:$D$69='Analítico Cp.'!$B104),-('Comp.'!$K$5:$K$69=G$1),('Comp.'!$E$5:$E$69))</f>
        <v>0</v>
      </c>
      <c r="H104" s="12">
        <f>SUMPRODUCT(-('Diário 1º PA'!$E$4:$E$2635='Analítico Cp.'!$B104),-('Diário 1º PA'!$Q$4:$Q$2635=H$1),('Diário 1º PA'!$F$4:$F$2635))+SUMPRODUCT(-('Diário 2º PA'!$E$4:$E$3040='Analítico Cp.'!$B104),-('Diário 2º PA'!$Q$4:$Q$3040=H$1),('Diário 2º PA'!$F$4:$F$3040))+SUMPRODUCT(-('Diário 3º PA'!$E$4:$E$2731='Analítico Cp.'!$B104),-('Diário 3º PA'!$Q$4:$Q$2731=H$1),('Diário 3º PA'!$F$4:$F$2731))+SUMPRODUCT(-('Diário 4º PA'!$E$4:$E$2564='Analítico Cp.'!$B104),-('Diário 4º PA'!$Q$4:$Q$2564=H$1),('Diário 4º PA'!$F$4:$F$2564))+SUMPRODUCT(-('Comp.'!$D$5:$D$69='Analítico Cp.'!$B104),-('Comp.'!$K$5:$K$69=H$1),('Comp.'!$E$5:$E$69))</f>
        <v>0</v>
      </c>
      <c r="I104" s="12">
        <f>SUMPRODUCT(-('Diário 1º PA'!$E$4:$E$2635='Analítico Cp.'!$B104),-('Diário 1º PA'!$Q$4:$Q$2635=I$1),('Diário 1º PA'!$F$4:$F$2635))+SUMPRODUCT(-('Diário 2º PA'!$E$4:$E$3040='Analítico Cp.'!$B104),-('Diário 2º PA'!$Q$4:$Q$3040=I$1),('Diário 2º PA'!$F$4:$F$3040))+SUMPRODUCT(-('Diário 3º PA'!$E$4:$E$2731='Analítico Cp.'!$B104),-('Diário 3º PA'!$Q$4:$Q$2731=I$1),('Diário 3º PA'!$F$4:$F$2731))+SUMPRODUCT(-('Diário 4º PA'!$E$4:$E$2564='Analítico Cp.'!$B104),-('Diário 4º PA'!$Q$4:$Q$2564=I$1),('Diário 4º PA'!$F$4:$F$2564))+SUMPRODUCT(-('Comp.'!$D$5:$D$69='Analítico Cp.'!$B104),-('Comp.'!$K$5:$K$69=I$1),('Comp.'!$E$5:$E$69))</f>
        <v>0</v>
      </c>
      <c r="J104" s="12">
        <f>SUMPRODUCT(-('Diário 1º PA'!$E$4:$E$2635='Analítico Cp.'!$B104),-('Diário 1º PA'!$Q$4:$Q$2635=J$1),('Diário 1º PA'!$F$4:$F$2635))+SUMPRODUCT(-('Diário 2º PA'!$E$4:$E$3040='Analítico Cp.'!$B104),-('Diário 2º PA'!$Q$4:$Q$3040=J$1),('Diário 2º PA'!$F$4:$F$3040))+SUMPRODUCT(-('Diário 3º PA'!$E$4:$E$2731='Analítico Cp.'!$B104),-('Diário 3º PA'!$Q$4:$Q$2731=J$1),('Diário 3º PA'!$F$4:$F$2731))+SUMPRODUCT(-('Diário 4º PA'!$E$4:$E$2564='Analítico Cp.'!$B104),-('Diário 4º PA'!$Q$4:$Q$2564=J$1),('Diário 4º PA'!$F$4:$F$2564))+SUMPRODUCT(-('Comp.'!$D$5:$D$69='Analítico Cp.'!$B104),-('Comp.'!$K$5:$K$69=J$1),('Comp.'!$E$5:$E$69))</f>
        <v>0</v>
      </c>
      <c r="K104" s="12">
        <f>SUMPRODUCT(-('Diário 1º PA'!$E$4:$E$2635='Analítico Cp.'!$B104),-('Diário 1º PA'!$Q$4:$Q$2635=K$1),('Diário 1º PA'!$F$4:$F$2635))+SUMPRODUCT(-('Diário 2º PA'!$E$4:$E$3040='Analítico Cp.'!$B104),-('Diário 2º PA'!$Q$4:$Q$3040=K$1),('Diário 2º PA'!$F$4:$F$3040))+SUMPRODUCT(-('Diário 3º PA'!$E$4:$E$2731='Analítico Cp.'!$B104),-('Diário 3º PA'!$Q$4:$Q$2731=K$1),('Diário 3º PA'!$F$4:$F$2731))+SUMPRODUCT(-('Diário 4º PA'!$E$4:$E$2564='Analítico Cp.'!$B104),-('Diário 4º PA'!$Q$4:$Q$2564=K$1),('Diário 4º PA'!$F$4:$F$2564))+SUMPRODUCT(-('Comp.'!$D$5:$D$69='Analítico Cp.'!$B104),-('Comp.'!$K$5:$K$69=K$1),('Comp.'!$E$5:$E$69))</f>
        <v>0</v>
      </c>
      <c r="L104" s="12">
        <f>SUMPRODUCT(-('Diário 1º PA'!$E$4:$E$2635='Analítico Cp.'!$B104),-('Diário 1º PA'!$Q$4:$Q$2635=L$1),('Diário 1º PA'!$F$4:$F$2635))+SUMPRODUCT(-('Diário 2º PA'!$E$4:$E$3040='Analítico Cp.'!$B104),-('Diário 2º PA'!$Q$4:$Q$3040=L$1),('Diário 2º PA'!$F$4:$F$3040))+SUMPRODUCT(-('Diário 3º PA'!$E$4:$E$2731='Analítico Cp.'!$B104),-('Diário 3º PA'!$Q$4:$Q$2731=L$1),('Diário 3º PA'!$F$4:$F$2731))+SUMPRODUCT(-('Diário 4º PA'!$E$4:$E$2564='Analítico Cp.'!$B104),-('Diário 4º PA'!$Q$4:$Q$2564=L$1),('Diário 4º PA'!$F$4:$F$2564))+SUMPRODUCT(-('Comp.'!$D$5:$D$69='Analítico Cp.'!$B104),-('Comp.'!$K$5:$K$69=L$1),('Comp.'!$E$5:$E$69))</f>
        <v>0</v>
      </c>
      <c r="M104" s="12">
        <f>SUMPRODUCT(-('Diário 1º PA'!$E$4:$E$2635='Analítico Cp.'!$B104),-('Diário 1º PA'!$Q$4:$Q$2635=M$1),('Diário 1º PA'!$F$4:$F$2635))+SUMPRODUCT(-('Diário 2º PA'!$E$4:$E$3040='Analítico Cp.'!$B104),-('Diário 2º PA'!$Q$4:$Q$3040=M$1),('Diário 2º PA'!$F$4:$F$3040))+SUMPRODUCT(-('Diário 3º PA'!$E$4:$E$2731='Analítico Cp.'!$B104),-('Diário 3º PA'!$Q$4:$Q$2731=M$1),('Diário 3º PA'!$F$4:$F$2731))+SUMPRODUCT(-('Diário 4º PA'!$E$4:$E$2564='Analítico Cp.'!$B104),-('Diário 4º PA'!$Q$4:$Q$2564=M$1),('Diário 4º PA'!$F$4:$F$2564))+SUMPRODUCT(-('Comp.'!$D$5:$D$69='Analítico Cp.'!$B104),-('Comp.'!$K$5:$K$69=M$1),('Comp.'!$E$5:$E$69))</f>
        <v>0</v>
      </c>
      <c r="N104" s="12">
        <f>SUMPRODUCT(-('Diário 1º PA'!$E$4:$E$2635='Analítico Cp.'!$B104),-('Diário 1º PA'!$Q$4:$Q$2635=N$1),('Diário 1º PA'!$F$4:$F$2635))+SUMPRODUCT(-('Diário 2º PA'!$E$4:$E$3040='Analítico Cp.'!$B104),-('Diário 2º PA'!$Q$4:$Q$3040=N$1),('Diário 2º PA'!$F$4:$F$3040))+SUMPRODUCT(-('Diário 3º PA'!$E$4:$E$2731='Analítico Cp.'!$B104),-('Diário 3º PA'!$Q$4:$Q$2731=N$1),('Diário 3º PA'!$F$4:$F$2731))+SUMPRODUCT(-('Diário 4º PA'!$E$4:$E$2564='Analítico Cp.'!$B104),-('Diário 4º PA'!$Q$4:$Q$2564=N$1),('Diário 4º PA'!$F$4:$F$2564))+SUMPRODUCT(-('Comp.'!$D$5:$D$69='Analítico Cp.'!$B104),-('Comp.'!$K$5:$K$69=N$1),('Comp.'!$E$5:$E$69))</f>
        <v>0</v>
      </c>
      <c r="O104" s="13">
        <f t="shared" si="12"/>
        <v>0</v>
      </c>
      <c r="P104" s="167">
        <f t="shared" si="13"/>
        <v>0</v>
      </c>
    </row>
    <row r="105" spans="1:16" ht="23.25" customHeight="1" x14ac:dyDescent="0.2">
      <c r="A105" s="61" t="s">
        <v>207</v>
      </c>
      <c r="B105" s="103" t="s">
        <v>64</v>
      </c>
      <c r="C105" s="12">
        <f>SUMPRODUCT(-('Diário 1º PA'!$E$4:$E$2635='Analítico Cp.'!$B105),-('Diário 1º PA'!$Q$4:$Q$2635=C$1),('Diário 1º PA'!$F$4:$F$2635))+SUMPRODUCT(-('Diário 2º PA'!$E$4:$E$3040='Analítico Cp.'!$B105),-('Diário 2º PA'!$Q$4:$Q$3040=C$1),('Diário 2º PA'!$F$4:$F$3040))+SUMPRODUCT(-('Diário 3º PA'!$E$4:$E$2731='Analítico Cp.'!$B105),-('Diário 3º PA'!$Q$4:$Q$2731=C$1),('Diário 3º PA'!$F$4:$F$2731))+SUMPRODUCT(-('Diário 4º PA'!$E$4:$E$2564='Analítico Cp.'!$B105),-('Diário 4º PA'!$Q$4:$Q$2564=C$1),('Diário 4º PA'!$F$4:$F$2564))+SUMPRODUCT(-('Comp.'!$D$5:$D$69='Analítico Cp.'!$B105),-('Comp.'!$K$5:$K$69=C$1),('Comp.'!$E$5:$E$69))</f>
        <v>0</v>
      </c>
      <c r="D105" s="12">
        <f>SUMPRODUCT(-('Diário 1º PA'!$E$4:$E$2635='Analítico Cp.'!$B105),-('Diário 1º PA'!$Q$4:$Q$2635=D$1),('Diário 1º PA'!$F$4:$F$2635))+SUMPRODUCT(-('Diário 2º PA'!$E$4:$E$3040='Analítico Cp.'!$B105),-('Diário 2º PA'!$Q$4:$Q$3040=D$1),('Diário 2º PA'!$F$4:$F$3040))+SUMPRODUCT(-('Diário 3º PA'!$E$4:$E$2731='Analítico Cp.'!$B105),-('Diário 3º PA'!$Q$4:$Q$2731=D$1),('Diário 3º PA'!$F$4:$F$2731))+SUMPRODUCT(-('Diário 4º PA'!$E$4:$E$2564='Analítico Cp.'!$B105),-('Diário 4º PA'!$Q$4:$Q$2564=D$1),('Diário 4º PA'!$F$4:$F$2564))+SUMPRODUCT(-('Comp.'!$D$5:$D$69='Analítico Cp.'!$B105),-('Comp.'!$K$5:$K$69=D$1),('Comp.'!$E$5:$E$69))</f>
        <v>12</v>
      </c>
      <c r="E105" s="12">
        <f>SUMPRODUCT(-('Diário 1º PA'!$E$4:$E$2635='Analítico Cp.'!$B105),-('Diário 1º PA'!$Q$4:$Q$2635=E$1),('Diário 1º PA'!$F$4:$F$2635))+SUMPRODUCT(-('Diário 2º PA'!$E$4:$E$3040='Analítico Cp.'!$B105),-('Diário 2º PA'!$Q$4:$Q$3040=E$1),('Diário 2º PA'!$F$4:$F$3040))+SUMPRODUCT(-('Diário 3º PA'!$E$4:$E$2731='Analítico Cp.'!$B105),-('Diário 3º PA'!$Q$4:$Q$2731=E$1),('Diário 3º PA'!$F$4:$F$2731))+SUMPRODUCT(-('Diário 4º PA'!$E$4:$E$2564='Analítico Cp.'!$B105),-('Diário 4º PA'!$Q$4:$Q$2564=E$1),('Diário 4º PA'!$F$4:$F$2564))+SUMPRODUCT(-('Comp.'!$D$5:$D$69='Analítico Cp.'!$B105),-('Comp.'!$K$5:$K$69=E$1),('Comp.'!$E$5:$E$69))</f>
        <v>305.37</v>
      </c>
      <c r="F105" s="12">
        <f>SUMPRODUCT(-('Diário 1º PA'!$E$4:$E$2635='Analítico Cp.'!$B105),-('Diário 1º PA'!$Q$4:$Q$2635=F$1),('Diário 1º PA'!$F$4:$F$2635))+SUMPRODUCT(-('Diário 2º PA'!$E$4:$E$3040='Analítico Cp.'!$B105),-('Diário 2º PA'!$Q$4:$Q$3040=F$1),('Diário 2º PA'!$F$4:$F$3040))+SUMPRODUCT(-('Diário 3º PA'!$E$4:$E$2731='Analítico Cp.'!$B105),-('Diário 3º PA'!$Q$4:$Q$2731=F$1),('Diário 3º PA'!$F$4:$F$2731))+SUMPRODUCT(-('Diário 4º PA'!$E$4:$E$2564='Analítico Cp.'!$B105),-('Diário 4º PA'!$Q$4:$Q$2564=F$1),('Diário 4º PA'!$F$4:$F$2564))+SUMPRODUCT(-('Comp.'!$D$5:$D$69='Analítico Cp.'!$B105),-('Comp.'!$K$5:$K$69=F$1),('Comp.'!$E$5:$E$69))</f>
        <v>0</v>
      </c>
      <c r="G105" s="12">
        <f>SUMPRODUCT(-('Diário 1º PA'!$E$4:$E$2635='Analítico Cp.'!$B105),-('Diário 1º PA'!$Q$4:$Q$2635=G$1),('Diário 1º PA'!$F$4:$F$2635))+SUMPRODUCT(-('Diário 2º PA'!$E$4:$E$3040='Analítico Cp.'!$B105),-('Diário 2º PA'!$Q$4:$Q$3040=G$1),('Diário 2º PA'!$F$4:$F$3040))+SUMPRODUCT(-('Diário 3º PA'!$E$4:$E$2731='Analítico Cp.'!$B105),-('Diário 3º PA'!$Q$4:$Q$2731=G$1),('Diário 3º PA'!$F$4:$F$2731))+SUMPRODUCT(-('Diário 4º PA'!$E$4:$E$2564='Analítico Cp.'!$B105),-('Diário 4º PA'!$Q$4:$Q$2564=G$1),('Diário 4º PA'!$F$4:$F$2564))+SUMPRODUCT(-('Comp.'!$D$5:$D$69='Analítico Cp.'!$B105),-('Comp.'!$K$5:$K$69=G$1),('Comp.'!$E$5:$E$69))</f>
        <v>0</v>
      </c>
      <c r="H105" s="12">
        <f>SUMPRODUCT(-('Diário 1º PA'!$E$4:$E$2635='Analítico Cp.'!$B105),-('Diário 1º PA'!$Q$4:$Q$2635=H$1),('Diário 1º PA'!$F$4:$F$2635))+SUMPRODUCT(-('Diário 2º PA'!$E$4:$E$3040='Analítico Cp.'!$B105),-('Diário 2º PA'!$Q$4:$Q$3040=H$1),('Diário 2º PA'!$F$4:$F$3040))+SUMPRODUCT(-('Diário 3º PA'!$E$4:$E$2731='Analítico Cp.'!$B105),-('Diário 3º PA'!$Q$4:$Q$2731=H$1),('Diário 3º PA'!$F$4:$F$2731))+SUMPRODUCT(-('Diário 4º PA'!$E$4:$E$2564='Analítico Cp.'!$B105),-('Diário 4º PA'!$Q$4:$Q$2564=H$1),('Diário 4º PA'!$F$4:$F$2564))+SUMPRODUCT(-('Comp.'!$D$5:$D$69='Analítico Cp.'!$B105),-('Comp.'!$K$5:$K$69=H$1),('Comp.'!$E$5:$E$69))</f>
        <v>587.22</v>
      </c>
      <c r="I105" s="12">
        <f>SUMPRODUCT(-('Diário 1º PA'!$E$4:$E$2635='Analítico Cp.'!$B105),-('Diário 1º PA'!$Q$4:$Q$2635=I$1),('Diário 1º PA'!$F$4:$F$2635))+SUMPRODUCT(-('Diário 2º PA'!$E$4:$E$3040='Analítico Cp.'!$B105),-('Diário 2º PA'!$Q$4:$Q$3040=I$1),('Diário 2º PA'!$F$4:$F$3040))+SUMPRODUCT(-('Diário 3º PA'!$E$4:$E$2731='Analítico Cp.'!$B105),-('Diário 3º PA'!$Q$4:$Q$2731=I$1),('Diário 3º PA'!$F$4:$F$2731))+SUMPRODUCT(-('Diário 4º PA'!$E$4:$E$2564='Analítico Cp.'!$B105),-('Diário 4º PA'!$Q$4:$Q$2564=I$1),('Diário 4º PA'!$F$4:$F$2564))+SUMPRODUCT(-('Comp.'!$D$5:$D$69='Analítico Cp.'!$B105),-('Comp.'!$K$5:$K$69=I$1),('Comp.'!$E$5:$E$69))</f>
        <v>559.20000000000005</v>
      </c>
      <c r="J105" s="12">
        <f>SUMPRODUCT(-('Diário 1º PA'!$E$4:$E$2635='Analítico Cp.'!$B105),-('Diário 1º PA'!$Q$4:$Q$2635=J$1),('Diário 1º PA'!$F$4:$F$2635))+SUMPRODUCT(-('Diário 2º PA'!$E$4:$E$3040='Analítico Cp.'!$B105),-('Diário 2º PA'!$Q$4:$Q$3040=J$1),('Diário 2º PA'!$F$4:$F$3040))+SUMPRODUCT(-('Diário 3º PA'!$E$4:$E$2731='Analítico Cp.'!$B105),-('Diário 3º PA'!$Q$4:$Q$2731=J$1),('Diário 3º PA'!$F$4:$F$2731))+SUMPRODUCT(-('Diário 4º PA'!$E$4:$E$2564='Analítico Cp.'!$B105),-('Diário 4º PA'!$Q$4:$Q$2564=J$1),('Diário 4º PA'!$F$4:$F$2564))+SUMPRODUCT(-('Comp.'!$D$5:$D$69='Analítico Cp.'!$B105),-('Comp.'!$K$5:$K$69=J$1),('Comp.'!$E$5:$E$69))</f>
        <v>59.249999999999993</v>
      </c>
      <c r="K105" s="12">
        <f>SUMPRODUCT(-('Diário 1º PA'!$E$4:$E$2635='Analítico Cp.'!$B105),-('Diário 1º PA'!$Q$4:$Q$2635=K$1),('Diário 1º PA'!$F$4:$F$2635))+SUMPRODUCT(-('Diário 2º PA'!$E$4:$E$3040='Analítico Cp.'!$B105),-('Diário 2º PA'!$Q$4:$Q$3040=K$1),('Diário 2º PA'!$F$4:$F$3040))+SUMPRODUCT(-('Diário 3º PA'!$E$4:$E$2731='Analítico Cp.'!$B105),-('Diário 3º PA'!$Q$4:$Q$2731=K$1),('Diário 3º PA'!$F$4:$F$2731))+SUMPRODUCT(-('Diário 4º PA'!$E$4:$E$2564='Analítico Cp.'!$B105),-('Diário 4º PA'!$Q$4:$Q$2564=K$1),('Diário 4º PA'!$F$4:$F$2564))+SUMPRODUCT(-('Comp.'!$D$5:$D$69='Analítico Cp.'!$B105),-('Comp.'!$K$5:$K$69=K$1),('Comp.'!$E$5:$E$69))</f>
        <v>574.80999999999995</v>
      </c>
      <c r="L105" s="12">
        <f>SUMPRODUCT(-('Diário 1º PA'!$E$4:$E$2635='Analítico Cp.'!$B105),-('Diário 1º PA'!$Q$4:$Q$2635=L$1),('Diário 1º PA'!$F$4:$F$2635))+SUMPRODUCT(-('Diário 2º PA'!$E$4:$E$3040='Analítico Cp.'!$B105),-('Diário 2º PA'!$Q$4:$Q$3040=L$1),('Diário 2º PA'!$F$4:$F$3040))+SUMPRODUCT(-('Diário 3º PA'!$E$4:$E$2731='Analítico Cp.'!$B105),-('Diário 3º PA'!$Q$4:$Q$2731=L$1),('Diário 3º PA'!$F$4:$F$2731))+SUMPRODUCT(-('Diário 4º PA'!$E$4:$E$2564='Analítico Cp.'!$B105),-('Diário 4º PA'!$Q$4:$Q$2564=L$1),('Diário 4º PA'!$F$4:$F$2564))+SUMPRODUCT(-('Comp.'!$D$5:$D$69='Analítico Cp.'!$B105),-('Comp.'!$K$5:$K$69=L$1),('Comp.'!$E$5:$E$69))</f>
        <v>559.09</v>
      </c>
      <c r="M105" s="12">
        <f>SUMPRODUCT(-('Diário 1º PA'!$E$4:$E$2635='Analítico Cp.'!$B105),-('Diário 1º PA'!$Q$4:$Q$2635=M$1),('Diário 1º PA'!$F$4:$F$2635))+SUMPRODUCT(-('Diário 2º PA'!$E$4:$E$3040='Analítico Cp.'!$B105),-('Diário 2º PA'!$Q$4:$Q$3040=M$1),('Diário 2º PA'!$F$4:$F$3040))+SUMPRODUCT(-('Diário 3º PA'!$E$4:$E$2731='Analítico Cp.'!$B105),-('Diário 3º PA'!$Q$4:$Q$2731=M$1),('Diário 3º PA'!$F$4:$F$2731))+SUMPRODUCT(-('Diário 4º PA'!$E$4:$E$2564='Analítico Cp.'!$B105),-('Diário 4º PA'!$Q$4:$Q$2564=M$1),('Diário 4º PA'!$F$4:$F$2564))+SUMPRODUCT(-('Comp.'!$D$5:$D$69='Analítico Cp.'!$B105),-('Comp.'!$K$5:$K$69=M$1),('Comp.'!$E$5:$E$69))</f>
        <v>811.47</v>
      </c>
      <c r="N105" s="12">
        <f>SUMPRODUCT(-('Diário 1º PA'!$E$4:$E$2635='Analítico Cp.'!$B105),-('Diário 1º PA'!$Q$4:$Q$2635=N$1),('Diário 1º PA'!$F$4:$F$2635))+SUMPRODUCT(-('Diário 2º PA'!$E$4:$E$3040='Analítico Cp.'!$B105),-('Diário 2º PA'!$Q$4:$Q$3040=N$1),('Diário 2º PA'!$F$4:$F$3040))+SUMPRODUCT(-('Diário 3º PA'!$E$4:$E$2731='Analítico Cp.'!$B105),-('Diário 3º PA'!$Q$4:$Q$2731=N$1),('Diário 3º PA'!$F$4:$F$2731))+SUMPRODUCT(-('Diário 4º PA'!$E$4:$E$2564='Analítico Cp.'!$B105),-('Diário 4º PA'!$Q$4:$Q$2564=N$1),('Diário 4º PA'!$F$4:$F$2564))+SUMPRODUCT(-('Comp.'!$D$5:$D$69='Analítico Cp.'!$B105),-('Comp.'!$K$5:$K$69=N$1),('Comp.'!$E$5:$E$69))</f>
        <v>0</v>
      </c>
      <c r="O105" s="13">
        <f t="shared" si="12"/>
        <v>3468.41</v>
      </c>
      <c r="P105" s="167">
        <f t="shared" si="13"/>
        <v>2.8339904268786864E-4</v>
      </c>
    </row>
    <row r="106" spans="1:16" ht="23.25" customHeight="1" x14ac:dyDescent="0.2">
      <c r="A106" s="61" t="s">
        <v>208</v>
      </c>
      <c r="B106" s="103" t="s">
        <v>87</v>
      </c>
      <c r="C106" s="12">
        <f>SUMPRODUCT(-('Diário 1º PA'!$E$4:$E$2635='Analítico Cp.'!$B106),-('Diário 1º PA'!$Q$4:$Q$2635=C$1),('Diário 1º PA'!$F$4:$F$2635))+SUMPRODUCT(-('Diário 2º PA'!$E$4:$E$3040='Analítico Cp.'!$B106),-('Diário 2º PA'!$Q$4:$Q$3040=C$1),('Diário 2º PA'!$F$4:$F$3040))+SUMPRODUCT(-('Diário 3º PA'!$E$4:$E$2731='Analítico Cp.'!$B106),-('Diário 3º PA'!$Q$4:$Q$2731=C$1),('Diário 3º PA'!$F$4:$F$2731))+SUMPRODUCT(-('Diário 4º PA'!$E$4:$E$2564='Analítico Cp.'!$B106),-('Diário 4º PA'!$Q$4:$Q$2564=C$1),('Diário 4º PA'!$F$4:$F$2564))+SUMPRODUCT(-('Comp.'!$D$5:$D$69='Analítico Cp.'!$B106),-('Comp.'!$K$5:$K$69=C$1),('Comp.'!$E$5:$E$69))</f>
        <v>0</v>
      </c>
      <c r="D106" s="12">
        <f>SUMPRODUCT(-('Diário 1º PA'!$E$4:$E$2635='Analítico Cp.'!$B106),-('Diário 1º PA'!$Q$4:$Q$2635=D$1),('Diário 1º PA'!$F$4:$F$2635))+SUMPRODUCT(-('Diário 2º PA'!$E$4:$E$3040='Analítico Cp.'!$B106),-('Diário 2º PA'!$Q$4:$Q$3040=D$1),('Diário 2º PA'!$F$4:$F$3040))+SUMPRODUCT(-('Diário 3º PA'!$E$4:$E$2731='Analítico Cp.'!$B106),-('Diário 3º PA'!$Q$4:$Q$2731=D$1),('Diário 3º PA'!$F$4:$F$2731))+SUMPRODUCT(-('Diário 4º PA'!$E$4:$E$2564='Analítico Cp.'!$B106),-('Diário 4º PA'!$Q$4:$Q$2564=D$1),('Diário 4º PA'!$F$4:$F$2564))+SUMPRODUCT(-('Comp.'!$D$5:$D$69='Analítico Cp.'!$B106),-('Comp.'!$K$5:$K$69=D$1),('Comp.'!$E$5:$E$69))</f>
        <v>0</v>
      </c>
      <c r="E106" s="12">
        <f>SUMPRODUCT(-('Diário 1º PA'!$E$4:$E$2635='Analítico Cp.'!$B106),-('Diário 1º PA'!$Q$4:$Q$2635=E$1),('Diário 1º PA'!$F$4:$F$2635))+SUMPRODUCT(-('Diário 2º PA'!$E$4:$E$3040='Analítico Cp.'!$B106),-('Diário 2º PA'!$Q$4:$Q$3040=E$1),('Diário 2º PA'!$F$4:$F$3040))+SUMPRODUCT(-('Diário 3º PA'!$E$4:$E$2731='Analítico Cp.'!$B106),-('Diário 3º PA'!$Q$4:$Q$2731=E$1),('Diário 3º PA'!$F$4:$F$2731))+SUMPRODUCT(-('Diário 4º PA'!$E$4:$E$2564='Analítico Cp.'!$B106),-('Diário 4º PA'!$Q$4:$Q$2564=E$1),('Diário 4º PA'!$F$4:$F$2564))+SUMPRODUCT(-('Comp.'!$D$5:$D$69='Analítico Cp.'!$B106),-('Comp.'!$K$5:$K$69=E$1),('Comp.'!$E$5:$E$69))</f>
        <v>0</v>
      </c>
      <c r="F106" s="12">
        <f>SUMPRODUCT(-('Diário 1º PA'!$E$4:$E$2635='Analítico Cp.'!$B106),-('Diário 1º PA'!$Q$4:$Q$2635=F$1),('Diário 1º PA'!$F$4:$F$2635))+SUMPRODUCT(-('Diário 2º PA'!$E$4:$E$3040='Analítico Cp.'!$B106),-('Diário 2º PA'!$Q$4:$Q$3040=F$1),('Diário 2º PA'!$F$4:$F$3040))+SUMPRODUCT(-('Diário 3º PA'!$E$4:$E$2731='Analítico Cp.'!$B106),-('Diário 3º PA'!$Q$4:$Q$2731=F$1),('Diário 3º PA'!$F$4:$F$2731))+SUMPRODUCT(-('Diário 4º PA'!$E$4:$E$2564='Analítico Cp.'!$B106),-('Diário 4º PA'!$Q$4:$Q$2564=F$1),('Diário 4º PA'!$F$4:$F$2564))+SUMPRODUCT(-('Comp.'!$D$5:$D$69='Analítico Cp.'!$B106),-('Comp.'!$K$5:$K$69=F$1),('Comp.'!$E$5:$E$69))</f>
        <v>0</v>
      </c>
      <c r="G106" s="12">
        <f>SUMPRODUCT(-('Diário 1º PA'!$E$4:$E$2635='Analítico Cp.'!$B106),-('Diário 1º PA'!$Q$4:$Q$2635=G$1),('Diário 1º PA'!$F$4:$F$2635))+SUMPRODUCT(-('Diário 2º PA'!$E$4:$E$3040='Analítico Cp.'!$B106),-('Diário 2º PA'!$Q$4:$Q$3040=G$1),('Diário 2º PA'!$F$4:$F$3040))+SUMPRODUCT(-('Diário 3º PA'!$E$4:$E$2731='Analítico Cp.'!$B106),-('Diário 3º PA'!$Q$4:$Q$2731=G$1),('Diário 3º PA'!$F$4:$F$2731))+SUMPRODUCT(-('Diário 4º PA'!$E$4:$E$2564='Analítico Cp.'!$B106),-('Diário 4º PA'!$Q$4:$Q$2564=G$1),('Diário 4º PA'!$F$4:$F$2564))+SUMPRODUCT(-('Comp.'!$D$5:$D$69='Analítico Cp.'!$B106),-('Comp.'!$K$5:$K$69=G$1),('Comp.'!$E$5:$E$69))</f>
        <v>0</v>
      </c>
      <c r="H106" s="12">
        <f>SUMPRODUCT(-('Diário 1º PA'!$E$4:$E$2635='Analítico Cp.'!$B106),-('Diário 1º PA'!$Q$4:$Q$2635=H$1),('Diário 1º PA'!$F$4:$F$2635))+SUMPRODUCT(-('Diário 2º PA'!$E$4:$E$3040='Analítico Cp.'!$B106),-('Diário 2º PA'!$Q$4:$Q$3040=H$1),('Diário 2º PA'!$F$4:$F$3040))+SUMPRODUCT(-('Diário 3º PA'!$E$4:$E$2731='Analítico Cp.'!$B106),-('Diário 3º PA'!$Q$4:$Q$2731=H$1),('Diário 3º PA'!$F$4:$F$2731))+SUMPRODUCT(-('Diário 4º PA'!$E$4:$E$2564='Analítico Cp.'!$B106),-('Diário 4º PA'!$Q$4:$Q$2564=H$1),('Diário 4º PA'!$F$4:$F$2564))+SUMPRODUCT(-('Comp.'!$D$5:$D$69='Analítico Cp.'!$B106),-('Comp.'!$K$5:$K$69=H$1),('Comp.'!$E$5:$E$69))</f>
        <v>0</v>
      </c>
      <c r="I106" s="12">
        <f>SUMPRODUCT(-('Diário 1º PA'!$E$4:$E$2635='Analítico Cp.'!$B106),-('Diário 1º PA'!$Q$4:$Q$2635=I$1),('Diário 1º PA'!$F$4:$F$2635))+SUMPRODUCT(-('Diário 2º PA'!$E$4:$E$3040='Analítico Cp.'!$B106),-('Diário 2º PA'!$Q$4:$Q$3040=I$1),('Diário 2º PA'!$F$4:$F$3040))+SUMPRODUCT(-('Diário 3º PA'!$E$4:$E$2731='Analítico Cp.'!$B106),-('Diário 3º PA'!$Q$4:$Q$2731=I$1),('Diário 3º PA'!$F$4:$F$2731))+SUMPRODUCT(-('Diário 4º PA'!$E$4:$E$2564='Analítico Cp.'!$B106),-('Diário 4º PA'!$Q$4:$Q$2564=I$1),('Diário 4º PA'!$F$4:$F$2564))+SUMPRODUCT(-('Comp.'!$D$5:$D$69='Analítico Cp.'!$B106),-('Comp.'!$K$5:$K$69=I$1),('Comp.'!$E$5:$E$69))</f>
        <v>0</v>
      </c>
      <c r="J106" s="12">
        <f>SUMPRODUCT(-('Diário 1º PA'!$E$4:$E$2635='Analítico Cp.'!$B106),-('Diário 1º PA'!$Q$4:$Q$2635=J$1),('Diário 1º PA'!$F$4:$F$2635))+SUMPRODUCT(-('Diário 2º PA'!$E$4:$E$3040='Analítico Cp.'!$B106),-('Diário 2º PA'!$Q$4:$Q$3040=J$1),('Diário 2º PA'!$F$4:$F$3040))+SUMPRODUCT(-('Diário 3º PA'!$E$4:$E$2731='Analítico Cp.'!$B106),-('Diário 3º PA'!$Q$4:$Q$2731=J$1),('Diário 3º PA'!$F$4:$F$2731))+SUMPRODUCT(-('Diário 4º PA'!$E$4:$E$2564='Analítico Cp.'!$B106),-('Diário 4º PA'!$Q$4:$Q$2564=J$1),('Diário 4º PA'!$F$4:$F$2564))+SUMPRODUCT(-('Comp.'!$D$5:$D$69='Analítico Cp.'!$B106),-('Comp.'!$K$5:$K$69=J$1),('Comp.'!$E$5:$E$69))</f>
        <v>0</v>
      </c>
      <c r="K106" s="12">
        <f>SUMPRODUCT(-('Diário 1º PA'!$E$4:$E$2635='Analítico Cp.'!$B106),-('Diário 1º PA'!$Q$4:$Q$2635=K$1),('Diário 1º PA'!$F$4:$F$2635))+SUMPRODUCT(-('Diário 2º PA'!$E$4:$E$3040='Analítico Cp.'!$B106),-('Diário 2º PA'!$Q$4:$Q$3040=K$1),('Diário 2º PA'!$F$4:$F$3040))+SUMPRODUCT(-('Diário 3º PA'!$E$4:$E$2731='Analítico Cp.'!$B106),-('Diário 3º PA'!$Q$4:$Q$2731=K$1),('Diário 3º PA'!$F$4:$F$2731))+SUMPRODUCT(-('Diário 4º PA'!$E$4:$E$2564='Analítico Cp.'!$B106),-('Diário 4º PA'!$Q$4:$Q$2564=K$1),('Diário 4º PA'!$F$4:$F$2564))+SUMPRODUCT(-('Comp.'!$D$5:$D$69='Analítico Cp.'!$B106),-('Comp.'!$K$5:$K$69=K$1),('Comp.'!$E$5:$E$69))</f>
        <v>0</v>
      </c>
      <c r="L106" s="12">
        <f>SUMPRODUCT(-('Diário 1º PA'!$E$4:$E$2635='Analítico Cp.'!$B106),-('Diário 1º PA'!$Q$4:$Q$2635=L$1),('Diário 1º PA'!$F$4:$F$2635))+SUMPRODUCT(-('Diário 2º PA'!$E$4:$E$3040='Analítico Cp.'!$B106),-('Diário 2º PA'!$Q$4:$Q$3040=L$1),('Diário 2º PA'!$F$4:$F$3040))+SUMPRODUCT(-('Diário 3º PA'!$E$4:$E$2731='Analítico Cp.'!$B106),-('Diário 3º PA'!$Q$4:$Q$2731=L$1),('Diário 3º PA'!$F$4:$F$2731))+SUMPRODUCT(-('Diário 4º PA'!$E$4:$E$2564='Analítico Cp.'!$B106),-('Diário 4º PA'!$Q$4:$Q$2564=L$1),('Diário 4º PA'!$F$4:$F$2564))+SUMPRODUCT(-('Comp.'!$D$5:$D$69='Analítico Cp.'!$B106),-('Comp.'!$K$5:$K$69=L$1),('Comp.'!$E$5:$E$69))</f>
        <v>0</v>
      </c>
      <c r="M106" s="12">
        <f>SUMPRODUCT(-('Diário 1º PA'!$E$4:$E$2635='Analítico Cp.'!$B106),-('Diário 1º PA'!$Q$4:$Q$2635=M$1),('Diário 1º PA'!$F$4:$F$2635))+SUMPRODUCT(-('Diário 2º PA'!$E$4:$E$3040='Analítico Cp.'!$B106),-('Diário 2º PA'!$Q$4:$Q$3040=M$1),('Diário 2º PA'!$F$4:$F$3040))+SUMPRODUCT(-('Diário 3º PA'!$E$4:$E$2731='Analítico Cp.'!$B106),-('Diário 3º PA'!$Q$4:$Q$2731=M$1),('Diário 3º PA'!$F$4:$F$2731))+SUMPRODUCT(-('Diário 4º PA'!$E$4:$E$2564='Analítico Cp.'!$B106),-('Diário 4º PA'!$Q$4:$Q$2564=M$1),('Diário 4º PA'!$F$4:$F$2564))+SUMPRODUCT(-('Comp.'!$D$5:$D$69='Analítico Cp.'!$B106),-('Comp.'!$K$5:$K$69=M$1),('Comp.'!$E$5:$E$69))</f>
        <v>0</v>
      </c>
      <c r="N106" s="12">
        <f>SUMPRODUCT(-('Diário 1º PA'!$E$4:$E$2635='Analítico Cp.'!$B106),-('Diário 1º PA'!$Q$4:$Q$2635=N$1),('Diário 1º PA'!$F$4:$F$2635))+SUMPRODUCT(-('Diário 2º PA'!$E$4:$E$3040='Analítico Cp.'!$B106),-('Diário 2º PA'!$Q$4:$Q$3040=N$1),('Diário 2º PA'!$F$4:$F$3040))+SUMPRODUCT(-('Diário 3º PA'!$E$4:$E$2731='Analítico Cp.'!$B106),-('Diário 3º PA'!$Q$4:$Q$2731=N$1),('Diário 3º PA'!$F$4:$F$2731))+SUMPRODUCT(-('Diário 4º PA'!$E$4:$E$2564='Analítico Cp.'!$B106),-('Diário 4º PA'!$Q$4:$Q$2564=N$1),('Diário 4º PA'!$F$4:$F$2564))+SUMPRODUCT(-('Comp.'!$D$5:$D$69='Analítico Cp.'!$B106),-('Comp.'!$K$5:$K$69=N$1),('Comp.'!$E$5:$E$69))</f>
        <v>0</v>
      </c>
      <c r="O106" s="13">
        <f t="shared" si="12"/>
        <v>0</v>
      </c>
      <c r="P106" s="167">
        <f t="shared" si="13"/>
        <v>0</v>
      </c>
    </row>
    <row r="107" spans="1:16" ht="23.25" customHeight="1" x14ac:dyDescent="0.2">
      <c r="A107" s="61" t="s">
        <v>209</v>
      </c>
      <c r="B107" s="103" t="s">
        <v>205</v>
      </c>
      <c r="C107" s="12">
        <f>SUMPRODUCT(-('Diário 1º PA'!$E$4:$E$2635='Analítico Cp.'!$B107),-('Diário 1º PA'!$Q$4:$Q$2635=C$1),('Diário 1º PA'!$F$4:$F$2635))+SUMPRODUCT(-('Diário 2º PA'!$E$4:$E$3040='Analítico Cp.'!$B107),-('Diário 2º PA'!$Q$4:$Q$3040=C$1),('Diário 2º PA'!$F$4:$F$3040))+SUMPRODUCT(-('Diário 3º PA'!$E$4:$E$2731='Analítico Cp.'!$B107),-('Diário 3º PA'!$Q$4:$Q$2731=C$1),('Diário 3º PA'!$F$4:$F$2731))+SUMPRODUCT(-('Diário 4º PA'!$E$4:$E$2564='Analítico Cp.'!$B107),-('Diário 4º PA'!$Q$4:$Q$2564=C$1),('Diário 4º PA'!$F$4:$F$2564))+SUMPRODUCT(-('Comp.'!$D$5:$D$69='Analítico Cp.'!$B107),-('Comp.'!$K$5:$K$69=C$1),('Comp.'!$E$5:$E$69))</f>
        <v>0</v>
      </c>
      <c r="D107" s="12">
        <f>SUMPRODUCT(-('Diário 1º PA'!$E$4:$E$2635='Analítico Cp.'!$B107),-('Diário 1º PA'!$Q$4:$Q$2635=D$1),('Diário 1º PA'!$F$4:$F$2635))+SUMPRODUCT(-('Diário 2º PA'!$E$4:$E$3040='Analítico Cp.'!$B107),-('Diário 2º PA'!$Q$4:$Q$3040=D$1),('Diário 2º PA'!$F$4:$F$3040))+SUMPRODUCT(-('Diário 3º PA'!$E$4:$E$2731='Analítico Cp.'!$B107),-('Diário 3º PA'!$Q$4:$Q$2731=D$1),('Diário 3º PA'!$F$4:$F$2731))+SUMPRODUCT(-('Diário 4º PA'!$E$4:$E$2564='Analítico Cp.'!$B107),-('Diário 4º PA'!$Q$4:$Q$2564=D$1),('Diário 4º PA'!$F$4:$F$2564))+SUMPRODUCT(-('Comp.'!$D$5:$D$69='Analítico Cp.'!$B107),-('Comp.'!$K$5:$K$69=D$1),('Comp.'!$E$5:$E$69))</f>
        <v>0</v>
      </c>
      <c r="E107" s="12">
        <f>SUMPRODUCT(-('Diário 1º PA'!$E$4:$E$2635='Analítico Cp.'!$B107),-('Diário 1º PA'!$Q$4:$Q$2635=E$1),('Diário 1º PA'!$F$4:$F$2635))+SUMPRODUCT(-('Diário 2º PA'!$E$4:$E$3040='Analítico Cp.'!$B107),-('Diário 2º PA'!$Q$4:$Q$3040=E$1),('Diário 2º PA'!$F$4:$F$3040))+SUMPRODUCT(-('Diário 3º PA'!$E$4:$E$2731='Analítico Cp.'!$B107),-('Diário 3º PA'!$Q$4:$Q$2731=E$1),('Diário 3º PA'!$F$4:$F$2731))+SUMPRODUCT(-('Diário 4º PA'!$E$4:$E$2564='Analítico Cp.'!$B107),-('Diário 4º PA'!$Q$4:$Q$2564=E$1),('Diário 4º PA'!$F$4:$F$2564))+SUMPRODUCT(-('Comp.'!$D$5:$D$69='Analítico Cp.'!$B107),-('Comp.'!$K$5:$K$69=E$1),('Comp.'!$E$5:$E$69))</f>
        <v>0</v>
      </c>
      <c r="F107" s="12">
        <f>SUMPRODUCT(-('Diário 1º PA'!$E$4:$E$2635='Analítico Cp.'!$B107),-('Diário 1º PA'!$Q$4:$Q$2635=F$1),('Diário 1º PA'!$F$4:$F$2635))+SUMPRODUCT(-('Diário 2º PA'!$E$4:$E$3040='Analítico Cp.'!$B107),-('Diário 2º PA'!$Q$4:$Q$3040=F$1),('Diário 2º PA'!$F$4:$F$3040))+SUMPRODUCT(-('Diário 3º PA'!$E$4:$E$2731='Analítico Cp.'!$B107),-('Diário 3º PA'!$Q$4:$Q$2731=F$1),('Diário 3º PA'!$F$4:$F$2731))+SUMPRODUCT(-('Diário 4º PA'!$E$4:$E$2564='Analítico Cp.'!$B107),-('Diário 4º PA'!$Q$4:$Q$2564=F$1),('Diário 4º PA'!$F$4:$F$2564))+SUMPRODUCT(-('Comp.'!$D$5:$D$69='Analítico Cp.'!$B107),-('Comp.'!$K$5:$K$69=F$1),('Comp.'!$E$5:$E$69))</f>
        <v>34575</v>
      </c>
      <c r="G107" s="12">
        <f>SUMPRODUCT(-('Diário 1º PA'!$E$4:$E$2635='Analítico Cp.'!$B107),-('Diário 1º PA'!$Q$4:$Q$2635=G$1),('Diário 1º PA'!$F$4:$F$2635))+SUMPRODUCT(-('Diário 2º PA'!$E$4:$E$3040='Analítico Cp.'!$B107),-('Diário 2º PA'!$Q$4:$Q$3040=G$1),('Diário 2º PA'!$F$4:$F$3040))+SUMPRODUCT(-('Diário 3º PA'!$E$4:$E$2731='Analítico Cp.'!$B107),-('Diário 3º PA'!$Q$4:$Q$2731=G$1),('Diário 3º PA'!$F$4:$F$2731))+SUMPRODUCT(-('Diário 4º PA'!$E$4:$E$2564='Analítico Cp.'!$B107),-('Diário 4º PA'!$Q$4:$Q$2564=G$1),('Diário 4º PA'!$F$4:$F$2564))+SUMPRODUCT(-('Comp.'!$D$5:$D$69='Analítico Cp.'!$B107),-('Comp.'!$K$5:$K$69=G$1),('Comp.'!$E$5:$E$69))</f>
        <v>1500</v>
      </c>
      <c r="H107" s="12">
        <f>SUMPRODUCT(-('Diário 1º PA'!$E$4:$E$2635='Analítico Cp.'!$B107),-('Diário 1º PA'!$Q$4:$Q$2635=H$1),('Diário 1º PA'!$F$4:$F$2635))+SUMPRODUCT(-('Diário 2º PA'!$E$4:$E$3040='Analítico Cp.'!$B107),-('Diário 2º PA'!$Q$4:$Q$3040=H$1),('Diário 2º PA'!$F$4:$F$3040))+SUMPRODUCT(-('Diário 3º PA'!$E$4:$E$2731='Analítico Cp.'!$B107),-('Diário 3º PA'!$Q$4:$Q$2731=H$1),('Diário 3º PA'!$F$4:$F$2731))+SUMPRODUCT(-('Diário 4º PA'!$E$4:$E$2564='Analítico Cp.'!$B107),-('Diário 4º PA'!$Q$4:$Q$2564=H$1),('Diário 4º PA'!$F$4:$F$2564))+SUMPRODUCT(-('Comp.'!$D$5:$D$69='Analítico Cp.'!$B107),-('Comp.'!$K$5:$K$69=H$1),('Comp.'!$E$5:$E$69))</f>
        <v>340</v>
      </c>
      <c r="I107" s="12">
        <f>SUMPRODUCT(-('Diário 1º PA'!$E$4:$E$2635='Analítico Cp.'!$B107),-('Diário 1º PA'!$Q$4:$Q$2635=I$1),('Diário 1º PA'!$F$4:$F$2635))+SUMPRODUCT(-('Diário 2º PA'!$E$4:$E$3040='Analítico Cp.'!$B107),-('Diário 2º PA'!$Q$4:$Q$3040=I$1),('Diário 2º PA'!$F$4:$F$3040))+SUMPRODUCT(-('Diário 3º PA'!$E$4:$E$2731='Analítico Cp.'!$B107),-('Diário 3º PA'!$Q$4:$Q$2731=I$1),('Diário 3º PA'!$F$4:$F$2731))+SUMPRODUCT(-('Diário 4º PA'!$E$4:$E$2564='Analítico Cp.'!$B107),-('Diário 4º PA'!$Q$4:$Q$2564=I$1),('Diário 4º PA'!$F$4:$F$2564))+SUMPRODUCT(-('Comp.'!$D$5:$D$69='Analítico Cp.'!$B107),-('Comp.'!$K$5:$K$69=I$1),('Comp.'!$E$5:$E$69))</f>
        <v>800</v>
      </c>
      <c r="J107" s="12">
        <f>SUMPRODUCT(-('Diário 1º PA'!$E$4:$E$2635='Analítico Cp.'!$B107),-('Diário 1º PA'!$Q$4:$Q$2635=J$1),('Diário 1º PA'!$F$4:$F$2635))+SUMPRODUCT(-('Diário 2º PA'!$E$4:$E$3040='Analítico Cp.'!$B107),-('Diário 2º PA'!$Q$4:$Q$3040=J$1),('Diário 2º PA'!$F$4:$F$3040))+SUMPRODUCT(-('Diário 3º PA'!$E$4:$E$2731='Analítico Cp.'!$B107),-('Diário 3º PA'!$Q$4:$Q$2731=J$1),('Diário 3º PA'!$F$4:$F$2731))+SUMPRODUCT(-('Diário 4º PA'!$E$4:$E$2564='Analítico Cp.'!$B107),-('Diário 4º PA'!$Q$4:$Q$2564=J$1),('Diário 4º PA'!$F$4:$F$2564))+SUMPRODUCT(-('Comp.'!$D$5:$D$69='Analítico Cp.'!$B107),-('Comp.'!$K$5:$K$69=J$1),('Comp.'!$E$5:$E$69))</f>
        <v>0</v>
      </c>
      <c r="K107" s="12">
        <f>SUMPRODUCT(-('Diário 1º PA'!$E$4:$E$2635='Analítico Cp.'!$B107),-('Diário 1º PA'!$Q$4:$Q$2635=K$1),('Diário 1º PA'!$F$4:$F$2635))+SUMPRODUCT(-('Diário 2º PA'!$E$4:$E$3040='Analítico Cp.'!$B107),-('Diário 2º PA'!$Q$4:$Q$3040=K$1),('Diário 2º PA'!$F$4:$F$3040))+SUMPRODUCT(-('Diário 3º PA'!$E$4:$E$2731='Analítico Cp.'!$B107),-('Diário 3º PA'!$Q$4:$Q$2731=K$1),('Diário 3º PA'!$F$4:$F$2731))+SUMPRODUCT(-('Diário 4º PA'!$E$4:$E$2564='Analítico Cp.'!$B107),-('Diário 4º PA'!$Q$4:$Q$2564=K$1),('Diário 4º PA'!$F$4:$F$2564))+SUMPRODUCT(-('Comp.'!$D$5:$D$69='Analítico Cp.'!$B107),-('Comp.'!$K$5:$K$69=K$1),('Comp.'!$E$5:$E$69))</f>
        <v>0</v>
      </c>
      <c r="L107" s="12">
        <f>SUMPRODUCT(-('Diário 1º PA'!$E$4:$E$2635='Analítico Cp.'!$B107),-('Diário 1º PA'!$Q$4:$Q$2635=L$1),('Diário 1º PA'!$F$4:$F$2635))+SUMPRODUCT(-('Diário 2º PA'!$E$4:$E$3040='Analítico Cp.'!$B107),-('Diário 2º PA'!$Q$4:$Q$3040=L$1),('Diário 2º PA'!$F$4:$F$3040))+SUMPRODUCT(-('Diário 3º PA'!$E$4:$E$2731='Analítico Cp.'!$B107),-('Diário 3º PA'!$Q$4:$Q$2731=L$1),('Diário 3º PA'!$F$4:$F$2731))+SUMPRODUCT(-('Diário 4º PA'!$E$4:$E$2564='Analítico Cp.'!$B107),-('Diário 4º PA'!$Q$4:$Q$2564=L$1),('Diário 4º PA'!$F$4:$F$2564))+SUMPRODUCT(-('Comp.'!$D$5:$D$69='Analítico Cp.'!$B107),-('Comp.'!$K$5:$K$69=L$1),('Comp.'!$E$5:$E$69))</f>
        <v>0</v>
      </c>
      <c r="M107" s="12">
        <f>SUMPRODUCT(-('Diário 1º PA'!$E$4:$E$2635='Analítico Cp.'!$B107),-('Diário 1º PA'!$Q$4:$Q$2635=M$1),('Diário 1º PA'!$F$4:$F$2635))+SUMPRODUCT(-('Diário 2º PA'!$E$4:$E$3040='Analítico Cp.'!$B107),-('Diário 2º PA'!$Q$4:$Q$3040=M$1),('Diário 2º PA'!$F$4:$F$3040))+SUMPRODUCT(-('Diário 3º PA'!$E$4:$E$2731='Analítico Cp.'!$B107),-('Diário 3º PA'!$Q$4:$Q$2731=M$1),('Diário 3º PA'!$F$4:$F$2731))+SUMPRODUCT(-('Diário 4º PA'!$E$4:$E$2564='Analítico Cp.'!$B107),-('Diário 4º PA'!$Q$4:$Q$2564=M$1),('Diário 4º PA'!$F$4:$F$2564))+SUMPRODUCT(-('Comp.'!$D$5:$D$69='Analítico Cp.'!$B107),-('Comp.'!$K$5:$K$69=M$1),('Comp.'!$E$5:$E$69))</f>
        <v>360</v>
      </c>
      <c r="N107" s="12">
        <f>SUMPRODUCT(-('Diário 1º PA'!$E$4:$E$2635='Analítico Cp.'!$B107),-('Diário 1º PA'!$Q$4:$Q$2635=N$1),('Diário 1º PA'!$F$4:$F$2635))+SUMPRODUCT(-('Diário 2º PA'!$E$4:$E$3040='Analítico Cp.'!$B107),-('Diário 2º PA'!$Q$4:$Q$3040=N$1),('Diário 2º PA'!$F$4:$F$3040))+SUMPRODUCT(-('Diário 3º PA'!$E$4:$E$2731='Analítico Cp.'!$B107),-('Diário 3º PA'!$Q$4:$Q$2731=N$1),('Diário 3º PA'!$F$4:$F$2731))+SUMPRODUCT(-('Diário 4º PA'!$E$4:$E$2564='Analítico Cp.'!$B107),-('Diário 4º PA'!$Q$4:$Q$2564=N$1),('Diário 4º PA'!$F$4:$F$2564))+SUMPRODUCT(-('Comp.'!$D$5:$D$69='Analítico Cp.'!$B107),-('Comp.'!$K$5:$K$69=N$1),('Comp.'!$E$5:$E$69))</f>
        <v>0</v>
      </c>
      <c r="O107" s="13">
        <f t="shared" si="12"/>
        <v>37575</v>
      </c>
      <c r="P107" s="167">
        <f t="shared" si="13"/>
        <v>3.0702019164391362E-3</v>
      </c>
    </row>
    <row r="108" spans="1:16" ht="23.25" customHeight="1" x14ac:dyDescent="0.2">
      <c r="A108" s="61" t="s">
        <v>211</v>
      </c>
      <c r="B108" s="103" t="s">
        <v>91</v>
      </c>
      <c r="C108" s="12">
        <f>SUMPRODUCT(-('Diário 1º PA'!$E$4:$E$2635='Analítico Cp.'!$B108),-('Diário 1º PA'!$Q$4:$Q$2635=C$1),('Diário 1º PA'!$F$4:$F$2635))+SUMPRODUCT(-('Diário 2º PA'!$E$4:$E$3040='Analítico Cp.'!$B108),-('Diário 2º PA'!$Q$4:$Q$3040=C$1),('Diário 2º PA'!$F$4:$F$3040))+SUMPRODUCT(-('Diário 3º PA'!$E$4:$E$2731='Analítico Cp.'!$B108),-('Diário 3º PA'!$Q$4:$Q$2731=C$1),('Diário 3º PA'!$F$4:$F$2731))+SUMPRODUCT(-('Diário 4º PA'!$E$4:$E$2564='Analítico Cp.'!$B108),-('Diário 4º PA'!$Q$4:$Q$2564=C$1),('Diário 4º PA'!$F$4:$F$2564))+SUMPRODUCT(-('Comp.'!$D$5:$D$69='Analítico Cp.'!$B108),-('Comp.'!$K$5:$K$69=C$1),('Comp.'!$E$5:$E$69))</f>
        <v>1588.6</v>
      </c>
      <c r="D108" s="12">
        <f>SUMPRODUCT(-('Diário 1º PA'!$E$4:$E$2635='Analítico Cp.'!$B108),-('Diário 1º PA'!$Q$4:$Q$2635=D$1),('Diário 1º PA'!$F$4:$F$2635))+SUMPRODUCT(-('Diário 2º PA'!$E$4:$E$3040='Analítico Cp.'!$B108),-('Diário 2º PA'!$Q$4:$Q$3040=D$1),('Diário 2º PA'!$F$4:$F$3040))+SUMPRODUCT(-('Diário 3º PA'!$E$4:$E$2731='Analítico Cp.'!$B108),-('Diário 3º PA'!$Q$4:$Q$2731=D$1),('Diário 3º PA'!$F$4:$F$2731))+SUMPRODUCT(-('Diário 4º PA'!$E$4:$E$2564='Analítico Cp.'!$B108),-('Diário 4º PA'!$Q$4:$Q$2564=D$1),('Diário 4º PA'!$F$4:$F$2564))+SUMPRODUCT(-('Comp.'!$D$5:$D$69='Analítico Cp.'!$B108),-('Comp.'!$K$5:$K$69=D$1),('Comp.'!$E$5:$E$69))</f>
        <v>1945.71</v>
      </c>
      <c r="E108" s="12">
        <f>SUMPRODUCT(-('Diário 1º PA'!$E$4:$E$2635='Analítico Cp.'!$B108),-('Diário 1º PA'!$Q$4:$Q$2635=E$1),('Diário 1º PA'!$F$4:$F$2635))+SUMPRODUCT(-('Diário 2º PA'!$E$4:$E$3040='Analítico Cp.'!$B108),-('Diário 2º PA'!$Q$4:$Q$3040=E$1),('Diário 2º PA'!$F$4:$F$3040))+SUMPRODUCT(-('Diário 3º PA'!$E$4:$E$2731='Analítico Cp.'!$B108),-('Diário 3º PA'!$Q$4:$Q$2731=E$1),('Diário 3º PA'!$F$4:$F$2731))+SUMPRODUCT(-('Diário 4º PA'!$E$4:$E$2564='Analítico Cp.'!$B108),-('Diário 4º PA'!$Q$4:$Q$2564=E$1),('Diário 4º PA'!$F$4:$F$2564))+SUMPRODUCT(-('Comp.'!$D$5:$D$69='Analítico Cp.'!$B108),-('Comp.'!$K$5:$K$69=E$1),('Comp.'!$E$5:$E$69))</f>
        <v>315.98</v>
      </c>
      <c r="F108" s="12">
        <f>SUMPRODUCT(-('Diário 1º PA'!$E$4:$E$2635='Analítico Cp.'!$B108),-('Diário 1º PA'!$Q$4:$Q$2635=F$1),('Diário 1º PA'!$F$4:$F$2635))+SUMPRODUCT(-('Diário 2º PA'!$E$4:$E$3040='Analítico Cp.'!$B108),-('Diário 2º PA'!$Q$4:$Q$3040=F$1),('Diário 2º PA'!$F$4:$F$3040))+SUMPRODUCT(-('Diário 3º PA'!$E$4:$E$2731='Analítico Cp.'!$B108),-('Diário 3º PA'!$Q$4:$Q$2731=F$1),('Diário 3º PA'!$F$4:$F$2731))+SUMPRODUCT(-('Diário 4º PA'!$E$4:$E$2564='Analítico Cp.'!$B108),-('Diário 4º PA'!$Q$4:$Q$2564=F$1),('Diário 4º PA'!$F$4:$F$2564))+SUMPRODUCT(-('Comp.'!$D$5:$D$69='Analítico Cp.'!$B108),-('Comp.'!$K$5:$K$69=F$1),('Comp.'!$E$5:$E$69))</f>
        <v>47505.05</v>
      </c>
      <c r="G108" s="12">
        <f>SUMPRODUCT(-('Diário 1º PA'!$E$4:$E$2635='Analítico Cp.'!$B108),-('Diário 1º PA'!$Q$4:$Q$2635=G$1),('Diário 1º PA'!$F$4:$F$2635))+SUMPRODUCT(-('Diário 2º PA'!$E$4:$E$3040='Analítico Cp.'!$B108),-('Diário 2º PA'!$Q$4:$Q$3040=G$1),('Diário 2º PA'!$F$4:$F$3040))+SUMPRODUCT(-('Diário 3º PA'!$E$4:$E$2731='Analítico Cp.'!$B108),-('Diário 3º PA'!$Q$4:$Q$2731=G$1),('Diário 3º PA'!$F$4:$F$2731))+SUMPRODUCT(-('Diário 4º PA'!$E$4:$E$2564='Analítico Cp.'!$B108),-('Diário 4º PA'!$Q$4:$Q$2564=G$1),('Diário 4º PA'!$F$4:$F$2564))+SUMPRODUCT(-('Comp.'!$D$5:$D$69='Analítico Cp.'!$B108),-('Comp.'!$K$5:$K$69=G$1),('Comp.'!$E$5:$E$69))</f>
        <v>937.05</v>
      </c>
      <c r="H108" s="12">
        <f>SUMPRODUCT(-('Diário 1º PA'!$E$4:$E$2635='Analítico Cp.'!$B108),-('Diário 1º PA'!$Q$4:$Q$2635=H$1),('Diário 1º PA'!$F$4:$F$2635))+SUMPRODUCT(-('Diário 2º PA'!$E$4:$E$3040='Analítico Cp.'!$B108),-('Diário 2º PA'!$Q$4:$Q$3040=H$1),('Diário 2º PA'!$F$4:$F$3040))+SUMPRODUCT(-('Diário 3º PA'!$E$4:$E$2731='Analítico Cp.'!$B108),-('Diário 3º PA'!$Q$4:$Q$2731=H$1),('Diário 3º PA'!$F$4:$F$2731))+SUMPRODUCT(-('Diário 4º PA'!$E$4:$E$2564='Analítico Cp.'!$B108),-('Diário 4º PA'!$Q$4:$Q$2564=H$1),('Diário 4º PA'!$F$4:$F$2564))+SUMPRODUCT(-('Comp.'!$D$5:$D$69='Analítico Cp.'!$B108),-('Comp.'!$K$5:$K$69=H$1),('Comp.'!$E$5:$E$69))</f>
        <v>5395.55</v>
      </c>
      <c r="I108" s="12">
        <f>SUMPRODUCT(-('Diário 1º PA'!$E$4:$E$2635='Analítico Cp.'!$B108),-('Diário 1º PA'!$Q$4:$Q$2635=I$1),('Diário 1º PA'!$F$4:$F$2635))+SUMPRODUCT(-('Diário 2º PA'!$E$4:$E$3040='Analítico Cp.'!$B108),-('Diário 2º PA'!$Q$4:$Q$3040=I$1),('Diário 2º PA'!$F$4:$F$3040))+SUMPRODUCT(-('Diário 3º PA'!$E$4:$E$2731='Analítico Cp.'!$B108),-('Diário 3º PA'!$Q$4:$Q$2731=I$1),('Diário 3º PA'!$F$4:$F$2731))+SUMPRODUCT(-('Diário 4º PA'!$E$4:$E$2564='Analítico Cp.'!$B108),-('Diário 4º PA'!$Q$4:$Q$2564=I$1),('Diário 4º PA'!$F$4:$F$2564))+SUMPRODUCT(-('Comp.'!$D$5:$D$69='Analítico Cp.'!$B108),-('Comp.'!$K$5:$K$69=I$1),('Comp.'!$E$5:$E$69))</f>
        <v>1366.2</v>
      </c>
      <c r="J108" s="12">
        <f>SUMPRODUCT(-('Diário 1º PA'!$E$4:$E$2635='Analítico Cp.'!$B108),-('Diário 1º PA'!$Q$4:$Q$2635=J$1),('Diário 1º PA'!$F$4:$F$2635))+SUMPRODUCT(-('Diário 2º PA'!$E$4:$E$3040='Analítico Cp.'!$B108),-('Diário 2º PA'!$Q$4:$Q$3040=J$1),('Diário 2º PA'!$F$4:$F$3040))+SUMPRODUCT(-('Diário 3º PA'!$E$4:$E$2731='Analítico Cp.'!$B108),-('Diário 3º PA'!$Q$4:$Q$2731=J$1),('Diário 3º PA'!$F$4:$F$2731))+SUMPRODUCT(-('Diário 4º PA'!$E$4:$E$2564='Analítico Cp.'!$B108),-('Diário 4º PA'!$Q$4:$Q$2564=J$1),('Diário 4º PA'!$F$4:$F$2564))+SUMPRODUCT(-('Comp.'!$D$5:$D$69='Analítico Cp.'!$B108),-('Comp.'!$K$5:$K$69=J$1),('Comp.'!$E$5:$E$69))</f>
        <v>296.48</v>
      </c>
      <c r="K108" s="12">
        <f>SUMPRODUCT(-('Diário 1º PA'!$E$4:$E$2635='Analítico Cp.'!$B108),-('Diário 1º PA'!$Q$4:$Q$2635=K$1),('Diário 1º PA'!$F$4:$F$2635))+SUMPRODUCT(-('Diário 2º PA'!$E$4:$E$3040='Analítico Cp.'!$B108),-('Diário 2º PA'!$Q$4:$Q$3040=K$1),('Diário 2º PA'!$F$4:$F$3040))+SUMPRODUCT(-('Diário 3º PA'!$E$4:$E$2731='Analítico Cp.'!$B108),-('Diário 3º PA'!$Q$4:$Q$2731=K$1),('Diário 3º PA'!$F$4:$F$2731))+SUMPRODUCT(-('Diário 4º PA'!$E$4:$E$2564='Analítico Cp.'!$B108),-('Diário 4º PA'!$Q$4:$Q$2564=K$1),('Diário 4º PA'!$F$4:$F$2564))+SUMPRODUCT(-('Comp.'!$D$5:$D$69='Analítico Cp.'!$B108),-('Comp.'!$K$5:$K$69=K$1),('Comp.'!$E$5:$E$69))</f>
        <v>150.76</v>
      </c>
      <c r="L108" s="12">
        <f>SUMPRODUCT(-('Diário 1º PA'!$E$4:$E$2635='Analítico Cp.'!$B108),-('Diário 1º PA'!$Q$4:$Q$2635=L$1),('Diário 1º PA'!$F$4:$F$2635))+SUMPRODUCT(-('Diário 2º PA'!$E$4:$E$3040='Analítico Cp.'!$B108),-('Diário 2º PA'!$Q$4:$Q$3040=L$1),('Diário 2º PA'!$F$4:$F$3040))+SUMPRODUCT(-('Diário 3º PA'!$E$4:$E$2731='Analítico Cp.'!$B108),-('Diário 3º PA'!$Q$4:$Q$2731=L$1),('Diário 3º PA'!$F$4:$F$2731))+SUMPRODUCT(-('Diário 4º PA'!$E$4:$E$2564='Analítico Cp.'!$B108),-('Diário 4º PA'!$Q$4:$Q$2564=L$1),('Diário 4º PA'!$F$4:$F$2564))+SUMPRODUCT(-('Comp.'!$D$5:$D$69='Analítico Cp.'!$B108),-('Comp.'!$K$5:$K$69=L$1),('Comp.'!$E$5:$E$69))</f>
        <v>317.74</v>
      </c>
      <c r="M108" s="12">
        <f>SUMPRODUCT(-('Diário 1º PA'!$E$4:$E$2635='Analítico Cp.'!$B108),-('Diário 1º PA'!$Q$4:$Q$2635=M$1),('Diário 1º PA'!$F$4:$F$2635))+SUMPRODUCT(-('Diário 2º PA'!$E$4:$E$3040='Analítico Cp.'!$B108),-('Diário 2º PA'!$Q$4:$Q$3040=M$1),('Diário 2º PA'!$F$4:$F$3040))+SUMPRODUCT(-('Diário 3º PA'!$E$4:$E$2731='Analítico Cp.'!$B108),-('Diário 3º PA'!$Q$4:$Q$2731=M$1),('Diário 3º PA'!$F$4:$F$2731))+SUMPRODUCT(-('Diário 4º PA'!$E$4:$E$2564='Analítico Cp.'!$B108),-('Diário 4º PA'!$Q$4:$Q$2564=M$1),('Diário 4º PA'!$F$4:$F$2564))+SUMPRODUCT(-('Comp.'!$D$5:$D$69='Analítico Cp.'!$B108),-('Comp.'!$K$5:$K$69=M$1),('Comp.'!$E$5:$E$69))</f>
        <v>61.5</v>
      </c>
      <c r="N108" s="12">
        <f>SUMPRODUCT(-('Diário 1º PA'!$E$4:$E$2635='Analítico Cp.'!$B108),-('Diário 1º PA'!$Q$4:$Q$2635=N$1),('Diário 1º PA'!$F$4:$F$2635))+SUMPRODUCT(-('Diário 2º PA'!$E$4:$E$3040='Analítico Cp.'!$B108),-('Diário 2º PA'!$Q$4:$Q$3040=N$1),('Diário 2º PA'!$F$4:$F$3040))+SUMPRODUCT(-('Diário 3º PA'!$E$4:$E$2731='Analítico Cp.'!$B108),-('Diário 3º PA'!$Q$4:$Q$2731=N$1),('Diário 3º PA'!$F$4:$F$2731))+SUMPRODUCT(-('Diário 4º PA'!$E$4:$E$2564='Analítico Cp.'!$B108),-('Diário 4º PA'!$Q$4:$Q$2564=N$1),('Diário 4º PA'!$F$4:$F$2564))+SUMPRODUCT(-('Comp.'!$D$5:$D$69='Analítico Cp.'!$B108),-('Comp.'!$K$5:$K$69=N$1),('Comp.'!$E$5:$E$69))</f>
        <v>276.22000000000003</v>
      </c>
      <c r="O108" s="13">
        <f t="shared" si="12"/>
        <v>60156.840000000011</v>
      </c>
      <c r="P108" s="167">
        <f t="shared" si="13"/>
        <v>4.9153332123731876E-3</v>
      </c>
    </row>
    <row r="109" spans="1:16" ht="23.25" customHeight="1" x14ac:dyDescent="0.2">
      <c r="A109" s="61" t="s">
        <v>213</v>
      </c>
      <c r="B109" s="103" t="s">
        <v>83</v>
      </c>
      <c r="C109" s="12">
        <f>SUMPRODUCT(-('Diário 1º PA'!$E$4:$E$2635='Analítico Cp.'!$B109),-('Diário 1º PA'!$Q$4:$Q$2635=C$1),('Diário 1º PA'!$F$4:$F$2635))+SUMPRODUCT(-('Diário 2º PA'!$E$4:$E$3040='Analítico Cp.'!$B109),-('Diário 2º PA'!$Q$4:$Q$3040=C$1),('Diário 2º PA'!$F$4:$F$3040))+SUMPRODUCT(-('Diário 3º PA'!$E$4:$E$2731='Analítico Cp.'!$B109),-('Diário 3º PA'!$Q$4:$Q$2731=C$1),('Diário 3º PA'!$F$4:$F$2731))+SUMPRODUCT(-('Diário 4º PA'!$E$4:$E$2564='Analítico Cp.'!$B109),-('Diário 4º PA'!$Q$4:$Q$2564=C$1),('Diário 4º PA'!$F$4:$F$2564))+SUMPRODUCT(-('Comp.'!$D$5:$D$69='Analítico Cp.'!$B109),-('Comp.'!$K$5:$K$69=C$1),('Comp.'!$E$5:$E$69))</f>
        <v>0</v>
      </c>
      <c r="D109" s="12">
        <f>SUMPRODUCT(-('Diário 1º PA'!$E$4:$E$2635='Analítico Cp.'!$B109),-('Diário 1º PA'!$Q$4:$Q$2635=D$1),('Diário 1º PA'!$F$4:$F$2635))+SUMPRODUCT(-('Diário 2º PA'!$E$4:$E$3040='Analítico Cp.'!$B109),-('Diário 2º PA'!$Q$4:$Q$3040=D$1),('Diário 2º PA'!$F$4:$F$3040))+SUMPRODUCT(-('Diário 3º PA'!$E$4:$E$2731='Analítico Cp.'!$B109),-('Diário 3º PA'!$Q$4:$Q$2731=D$1),('Diário 3º PA'!$F$4:$F$2731))+SUMPRODUCT(-('Diário 4º PA'!$E$4:$E$2564='Analítico Cp.'!$B109),-('Diário 4º PA'!$Q$4:$Q$2564=D$1),('Diário 4º PA'!$F$4:$F$2564))+SUMPRODUCT(-('Comp.'!$D$5:$D$69='Analítico Cp.'!$B109),-('Comp.'!$K$5:$K$69=D$1),('Comp.'!$E$5:$E$69))</f>
        <v>0</v>
      </c>
      <c r="E109" s="12">
        <f>SUMPRODUCT(-('Diário 1º PA'!$E$4:$E$2635='Analítico Cp.'!$B109),-('Diário 1º PA'!$Q$4:$Q$2635=E$1),('Diário 1º PA'!$F$4:$F$2635))+SUMPRODUCT(-('Diário 2º PA'!$E$4:$E$3040='Analítico Cp.'!$B109),-('Diário 2º PA'!$Q$4:$Q$3040=E$1),('Diário 2º PA'!$F$4:$F$3040))+SUMPRODUCT(-('Diário 3º PA'!$E$4:$E$2731='Analítico Cp.'!$B109),-('Diário 3º PA'!$Q$4:$Q$2731=E$1),('Diário 3º PA'!$F$4:$F$2731))+SUMPRODUCT(-('Diário 4º PA'!$E$4:$E$2564='Analítico Cp.'!$B109),-('Diário 4º PA'!$Q$4:$Q$2564=E$1),('Diário 4º PA'!$F$4:$F$2564))+SUMPRODUCT(-('Comp.'!$D$5:$D$69='Analítico Cp.'!$B109),-('Comp.'!$K$5:$K$69=E$1),('Comp.'!$E$5:$E$69))</f>
        <v>0</v>
      </c>
      <c r="F109" s="12">
        <f>SUMPRODUCT(-('Diário 1º PA'!$E$4:$E$2635='Analítico Cp.'!$B109),-('Diário 1º PA'!$Q$4:$Q$2635=F$1),('Diário 1º PA'!$F$4:$F$2635))+SUMPRODUCT(-('Diário 2º PA'!$E$4:$E$3040='Analítico Cp.'!$B109),-('Diário 2º PA'!$Q$4:$Q$3040=F$1),('Diário 2º PA'!$F$4:$F$3040))+SUMPRODUCT(-('Diário 3º PA'!$E$4:$E$2731='Analítico Cp.'!$B109),-('Diário 3º PA'!$Q$4:$Q$2731=F$1),('Diário 3º PA'!$F$4:$F$2731))+SUMPRODUCT(-('Diário 4º PA'!$E$4:$E$2564='Analítico Cp.'!$B109),-('Diário 4º PA'!$Q$4:$Q$2564=F$1),('Diário 4º PA'!$F$4:$F$2564))+SUMPRODUCT(-('Comp.'!$D$5:$D$69='Analítico Cp.'!$B109),-('Comp.'!$K$5:$K$69=F$1),('Comp.'!$E$5:$E$69))</f>
        <v>0</v>
      </c>
      <c r="G109" s="12">
        <f>SUMPRODUCT(-('Diário 1º PA'!$E$4:$E$2635='Analítico Cp.'!$B109),-('Diário 1º PA'!$Q$4:$Q$2635=G$1),('Diário 1º PA'!$F$4:$F$2635))+SUMPRODUCT(-('Diário 2º PA'!$E$4:$E$3040='Analítico Cp.'!$B109),-('Diário 2º PA'!$Q$4:$Q$3040=G$1),('Diário 2º PA'!$F$4:$F$3040))+SUMPRODUCT(-('Diário 3º PA'!$E$4:$E$2731='Analítico Cp.'!$B109),-('Diário 3º PA'!$Q$4:$Q$2731=G$1),('Diário 3º PA'!$F$4:$F$2731))+SUMPRODUCT(-('Diário 4º PA'!$E$4:$E$2564='Analítico Cp.'!$B109),-('Diário 4º PA'!$Q$4:$Q$2564=G$1),('Diário 4º PA'!$F$4:$F$2564))+SUMPRODUCT(-('Comp.'!$D$5:$D$69='Analítico Cp.'!$B109),-('Comp.'!$K$5:$K$69=G$1),('Comp.'!$E$5:$E$69))</f>
        <v>0</v>
      </c>
      <c r="H109" s="12">
        <f>SUMPRODUCT(-('Diário 1º PA'!$E$4:$E$2635='Analítico Cp.'!$B109),-('Diário 1º PA'!$Q$4:$Q$2635=H$1),('Diário 1º PA'!$F$4:$F$2635))+SUMPRODUCT(-('Diário 2º PA'!$E$4:$E$3040='Analítico Cp.'!$B109),-('Diário 2º PA'!$Q$4:$Q$3040=H$1),('Diário 2º PA'!$F$4:$F$3040))+SUMPRODUCT(-('Diário 3º PA'!$E$4:$E$2731='Analítico Cp.'!$B109),-('Diário 3º PA'!$Q$4:$Q$2731=H$1),('Diário 3º PA'!$F$4:$F$2731))+SUMPRODUCT(-('Diário 4º PA'!$E$4:$E$2564='Analítico Cp.'!$B109),-('Diário 4º PA'!$Q$4:$Q$2564=H$1),('Diário 4º PA'!$F$4:$F$2564))+SUMPRODUCT(-('Comp.'!$D$5:$D$69='Analítico Cp.'!$B109),-('Comp.'!$K$5:$K$69=H$1),('Comp.'!$E$5:$E$69))</f>
        <v>0</v>
      </c>
      <c r="I109" s="12">
        <f>SUMPRODUCT(-('Diário 1º PA'!$E$4:$E$2635='Analítico Cp.'!$B109),-('Diário 1º PA'!$Q$4:$Q$2635=I$1),('Diário 1º PA'!$F$4:$F$2635))+SUMPRODUCT(-('Diário 2º PA'!$E$4:$E$3040='Analítico Cp.'!$B109),-('Diário 2º PA'!$Q$4:$Q$3040=I$1),('Diário 2º PA'!$F$4:$F$3040))+SUMPRODUCT(-('Diário 3º PA'!$E$4:$E$2731='Analítico Cp.'!$B109),-('Diário 3º PA'!$Q$4:$Q$2731=I$1),('Diário 3º PA'!$F$4:$F$2731))+SUMPRODUCT(-('Diário 4º PA'!$E$4:$E$2564='Analítico Cp.'!$B109),-('Diário 4º PA'!$Q$4:$Q$2564=I$1),('Diário 4º PA'!$F$4:$F$2564))+SUMPRODUCT(-('Comp.'!$D$5:$D$69='Analítico Cp.'!$B109),-('Comp.'!$K$5:$K$69=I$1),('Comp.'!$E$5:$E$69))</f>
        <v>0</v>
      </c>
      <c r="J109" s="12">
        <f>SUMPRODUCT(-('Diário 1º PA'!$E$4:$E$2635='Analítico Cp.'!$B109),-('Diário 1º PA'!$Q$4:$Q$2635=J$1),('Diário 1º PA'!$F$4:$F$2635))+SUMPRODUCT(-('Diário 2º PA'!$E$4:$E$3040='Analítico Cp.'!$B109),-('Diário 2º PA'!$Q$4:$Q$3040=J$1),('Diário 2º PA'!$F$4:$F$3040))+SUMPRODUCT(-('Diário 3º PA'!$E$4:$E$2731='Analítico Cp.'!$B109),-('Diário 3º PA'!$Q$4:$Q$2731=J$1),('Diário 3º PA'!$F$4:$F$2731))+SUMPRODUCT(-('Diário 4º PA'!$E$4:$E$2564='Analítico Cp.'!$B109),-('Diário 4º PA'!$Q$4:$Q$2564=J$1),('Diário 4º PA'!$F$4:$F$2564))+SUMPRODUCT(-('Comp.'!$D$5:$D$69='Analítico Cp.'!$B109),-('Comp.'!$K$5:$K$69=J$1),('Comp.'!$E$5:$E$69))</f>
        <v>0</v>
      </c>
      <c r="K109" s="12">
        <f>SUMPRODUCT(-('Diário 1º PA'!$E$4:$E$2635='Analítico Cp.'!$B109),-('Diário 1º PA'!$Q$4:$Q$2635=K$1),('Diário 1º PA'!$F$4:$F$2635))+SUMPRODUCT(-('Diário 2º PA'!$E$4:$E$3040='Analítico Cp.'!$B109),-('Diário 2º PA'!$Q$4:$Q$3040=K$1),('Diário 2º PA'!$F$4:$F$3040))+SUMPRODUCT(-('Diário 3º PA'!$E$4:$E$2731='Analítico Cp.'!$B109),-('Diário 3º PA'!$Q$4:$Q$2731=K$1),('Diário 3º PA'!$F$4:$F$2731))+SUMPRODUCT(-('Diário 4º PA'!$E$4:$E$2564='Analítico Cp.'!$B109),-('Diário 4º PA'!$Q$4:$Q$2564=K$1),('Diário 4º PA'!$F$4:$F$2564))+SUMPRODUCT(-('Comp.'!$D$5:$D$69='Analítico Cp.'!$B109),-('Comp.'!$K$5:$K$69=K$1),('Comp.'!$E$5:$E$69))</f>
        <v>0</v>
      </c>
      <c r="L109" s="12">
        <f>SUMPRODUCT(-('Diário 1º PA'!$E$4:$E$2635='Analítico Cp.'!$B109),-('Diário 1º PA'!$Q$4:$Q$2635=L$1),('Diário 1º PA'!$F$4:$F$2635))+SUMPRODUCT(-('Diário 2º PA'!$E$4:$E$3040='Analítico Cp.'!$B109),-('Diário 2º PA'!$Q$4:$Q$3040=L$1),('Diário 2º PA'!$F$4:$F$3040))+SUMPRODUCT(-('Diário 3º PA'!$E$4:$E$2731='Analítico Cp.'!$B109),-('Diário 3º PA'!$Q$4:$Q$2731=L$1),('Diário 3º PA'!$F$4:$F$2731))+SUMPRODUCT(-('Diário 4º PA'!$E$4:$E$2564='Analítico Cp.'!$B109),-('Diário 4º PA'!$Q$4:$Q$2564=L$1),('Diário 4º PA'!$F$4:$F$2564))+SUMPRODUCT(-('Comp.'!$D$5:$D$69='Analítico Cp.'!$B109),-('Comp.'!$K$5:$K$69=L$1),('Comp.'!$E$5:$E$69))</f>
        <v>0</v>
      </c>
      <c r="M109" s="12">
        <f>SUMPRODUCT(-('Diário 1º PA'!$E$4:$E$2635='Analítico Cp.'!$B109),-('Diário 1º PA'!$Q$4:$Q$2635=M$1),('Diário 1º PA'!$F$4:$F$2635))+SUMPRODUCT(-('Diário 2º PA'!$E$4:$E$3040='Analítico Cp.'!$B109),-('Diário 2º PA'!$Q$4:$Q$3040=M$1),('Diário 2º PA'!$F$4:$F$3040))+SUMPRODUCT(-('Diário 3º PA'!$E$4:$E$2731='Analítico Cp.'!$B109),-('Diário 3º PA'!$Q$4:$Q$2731=M$1),('Diário 3º PA'!$F$4:$F$2731))+SUMPRODUCT(-('Diário 4º PA'!$E$4:$E$2564='Analítico Cp.'!$B109),-('Diário 4º PA'!$Q$4:$Q$2564=M$1),('Diário 4º PA'!$F$4:$F$2564))+SUMPRODUCT(-('Comp.'!$D$5:$D$69='Analítico Cp.'!$B109),-('Comp.'!$K$5:$K$69=M$1),('Comp.'!$E$5:$E$69))</f>
        <v>0</v>
      </c>
      <c r="N109" s="12">
        <f>SUMPRODUCT(-('Diário 1º PA'!$E$4:$E$2635='Analítico Cp.'!$B109),-('Diário 1º PA'!$Q$4:$Q$2635=N$1),('Diário 1º PA'!$F$4:$F$2635))+SUMPRODUCT(-('Diário 2º PA'!$E$4:$E$3040='Analítico Cp.'!$B109),-('Diário 2º PA'!$Q$4:$Q$3040=N$1),('Diário 2º PA'!$F$4:$F$3040))+SUMPRODUCT(-('Diário 3º PA'!$E$4:$E$2731='Analítico Cp.'!$B109),-('Diário 3º PA'!$Q$4:$Q$2731=N$1),('Diário 3º PA'!$F$4:$F$2731))+SUMPRODUCT(-('Diário 4º PA'!$E$4:$E$2564='Analítico Cp.'!$B109),-('Diário 4º PA'!$Q$4:$Q$2564=N$1),('Diário 4º PA'!$F$4:$F$2564))+SUMPRODUCT(-('Comp.'!$D$5:$D$69='Analítico Cp.'!$B109),-('Comp.'!$K$5:$K$69=N$1),('Comp.'!$E$5:$E$69))</f>
        <v>0</v>
      </c>
      <c r="O109" s="13">
        <f t="shared" si="12"/>
        <v>0</v>
      </c>
      <c r="P109" s="167">
        <f t="shared" si="13"/>
        <v>0</v>
      </c>
    </row>
    <row r="110" spans="1:16" ht="23.25" customHeight="1" x14ac:dyDescent="0.2">
      <c r="A110" s="61" t="s">
        <v>215</v>
      </c>
      <c r="B110" s="103" t="s">
        <v>63</v>
      </c>
      <c r="C110" s="12">
        <f>SUMPRODUCT(-('Diário 1º PA'!$E$4:$E$2635='Analítico Cp.'!$B110),-('Diário 1º PA'!$Q$4:$Q$2635=C$1),('Diário 1º PA'!$F$4:$F$2635))+SUMPRODUCT(-('Diário 2º PA'!$E$4:$E$3040='Analítico Cp.'!$B110),-('Diário 2º PA'!$Q$4:$Q$3040=C$1),('Diário 2º PA'!$F$4:$F$3040))+SUMPRODUCT(-('Diário 3º PA'!$E$4:$E$2731='Analítico Cp.'!$B110),-('Diário 3º PA'!$Q$4:$Q$2731=C$1),('Diário 3º PA'!$F$4:$F$2731))+SUMPRODUCT(-('Diário 4º PA'!$E$4:$E$2564='Analítico Cp.'!$B110),-('Diário 4º PA'!$Q$4:$Q$2564=C$1),('Diário 4º PA'!$F$4:$F$2564))+SUMPRODUCT(-('Comp.'!$D$5:$D$69='Analítico Cp.'!$B110),-('Comp.'!$K$5:$K$69=C$1),('Comp.'!$E$5:$E$69))</f>
        <v>0</v>
      </c>
      <c r="D110" s="12">
        <f>SUMPRODUCT(-('Diário 1º PA'!$E$4:$E$2635='Analítico Cp.'!$B110),-('Diário 1º PA'!$Q$4:$Q$2635=D$1),('Diário 1º PA'!$F$4:$F$2635))+SUMPRODUCT(-('Diário 2º PA'!$E$4:$E$3040='Analítico Cp.'!$B110),-('Diário 2º PA'!$Q$4:$Q$3040=D$1),('Diário 2º PA'!$F$4:$F$3040))+SUMPRODUCT(-('Diário 3º PA'!$E$4:$E$2731='Analítico Cp.'!$B110),-('Diário 3º PA'!$Q$4:$Q$2731=D$1),('Diário 3º PA'!$F$4:$F$2731))+SUMPRODUCT(-('Diário 4º PA'!$E$4:$E$2564='Analítico Cp.'!$B110),-('Diário 4º PA'!$Q$4:$Q$2564=D$1),('Diário 4º PA'!$F$4:$F$2564))+SUMPRODUCT(-('Comp.'!$D$5:$D$69='Analítico Cp.'!$B110),-('Comp.'!$K$5:$K$69=D$1),('Comp.'!$E$5:$E$69))</f>
        <v>0</v>
      </c>
      <c r="E110" s="12">
        <f>SUMPRODUCT(-('Diário 1º PA'!$E$4:$E$2635='Analítico Cp.'!$B110),-('Diário 1º PA'!$Q$4:$Q$2635=E$1),('Diário 1º PA'!$F$4:$F$2635))+SUMPRODUCT(-('Diário 2º PA'!$E$4:$E$3040='Analítico Cp.'!$B110),-('Diário 2º PA'!$Q$4:$Q$3040=E$1),('Diário 2º PA'!$F$4:$F$3040))+SUMPRODUCT(-('Diário 3º PA'!$E$4:$E$2731='Analítico Cp.'!$B110),-('Diário 3º PA'!$Q$4:$Q$2731=E$1),('Diário 3º PA'!$F$4:$F$2731))+SUMPRODUCT(-('Diário 4º PA'!$E$4:$E$2564='Analítico Cp.'!$B110),-('Diário 4º PA'!$Q$4:$Q$2564=E$1),('Diário 4º PA'!$F$4:$F$2564))+SUMPRODUCT(-('Comp.'!$D$5:$D$69='Analítico Cp.'!$B110),-('Comp.'!$K$5:$K$69=E$1),('Comp.'!$E$5:$E$69))</f>
        <v>0</v>
      </c>
      <c r="F110" s="12">
        <f>SUMPRODUCT(-('Diário 1º PA'!$E$4:$E$2635='Analítico Cp.'!$B110),-('Diário 1º PA'!$Q$4:$Q$2635=F$1),('Diário 1º PA'!$F$4:$F$2635))+SUMPRODUCT(-('Diário 2º PA'!$E$4:$E$3040='Analítico Cp.'!$B110),-('Diário 2º PA'!$Q$4:$Q$3040=F$1),('Diário 2º PA'!$F$4:$F$3040))+SUMPRODUCT(-('Diário 3º PA'!$E$4:$E$2731='Analítico Cp.'!$B110),-('Diário 3º PA'!$Q$4:$Q$2731=F$1),('Diário 3º PA'!$F$4:$F$2731))+SUMPRODUCT(-('Diário 4º PA'!$E$4:$E$2564='Analítico Cp.'!$B110),-('Diário 4º PA'!$Q$4:$Q$2564=F$1),('Diário 4º PA'!$F$4:$F$2564))+SUMPRODUCT(-('Comp.'!$D$5:$D$69='Analítico Cp.'!$B110),-('Comp.'!$K$5:$K$69=F$1),('Comp.'!$E$5:$E$69))</f>
        <v>0</v>
      </c>
      <c r="G110" s="12">
        <f>SUMPRODUCT(-('Diário 1º PA'!$E$4:$E$2635='Analítico Cp.'!$B110),-('Diário 1º PA'!$Q$4:$Q$2635=G$1),('Diário 1º PA'!$F$4:$F$2635))+SUMPRODUCT(-('Diário 2º PA'!$E$4:$E$3040='Analítico Cp.'!$B110),-('Diário 2º PA'!$Q$4:$Q$3040=G$1),('Diário 2º PA'!$F$4:$F$3040))+SUMPRODUCT(-('Diário 3º PA'!$E$4:$E$2731='Analítico Cp.'!$B110),-('Diário 3º PA'!$Q$4:$Q$2731=G$1),('Diário 3º PA'!$F$4:$F$2731))+SUMPRODUCT(-('Diário 4º PA'!$E$4:$E$2564='Analítico Cp.'!$B110),-('Diário 4º PA'!$Q$4:$Q$2564=G$1),('Diário 4º PA'!$F$4:$F$2564))+SUMPRODUCT(-('Comp.'!$D$5:$D$69='Analítico Cp.'!$B110),-('Comp.'!$K$5:$K$69=G$1),('Comp.'!$E$5:$E$69))</f>
        <v>0</v>
      </c>
      <c r="H110" s="12">
        <f>SUMPRODUCT(-('Diário 1º PA'!$E$4:$E$2635='Analítico Cp.'!$B110),-('Diário 1º PA'!$Q$4:$Q$2635=H$1),('Diário 1º PA'!$F$4:$F$2635))+SUMPRODUCT(-('Diário 2º PA'!$E$4:$E$3040='Analítico Cp.'!$B110),-('Diário 2º PA'!$Q$4:$Q$3040=H$1),('Diário 2º PA'!$F$4:$F$3040))+SUMPRODUCT(-('Diário 3º PA'!$E$4:$E$2731='Analítico Cp.'!$B110),-('Diário 3º PA'!$Q$4:$Q$2731=H$1),('Diário 3º PA'!$F$4:$F$2731))+SUMPRODUCT(-('Diário 4º PA'!$E$4:$E$2564='Analítico Cp.'!$B110),-('Diário 4º PA'!$Q$4:$Q$2564=H$1),('Diário 4º PA'!$F$4:$F$2564))+SUMPRODUCT(-('Comp.'!$D$5:$D$69='Analítico Cp.'!$B110),-('Comp.'!$K$5:$K$69=H$1),('Comp.'!$E$5:$E$69))</f>
        <v>0</v>
      </c>
      <c r="I110" s="12">
        <f>SUMPRODUCT(-('Diário 1º PA'!$E$4:$E$2635='Analítico Cp.'!$B110),-('Diário 1º PA'!$Q$4:$Q$2635=I$1),('Diário 1º PA'!$F$4:$F$2635))+SUMPRODUCT(-('Diário 2º PA'!$E$4:$E$3040='Analítico Cp.'!$B110),-('Diário 2º PA'!$Q$4:$Q$3040=I$1),('Diário 2º PA'!$F$4:$F$3040))+SUMPRODUCT(-('Diário 3º PA'!$E$4:$E$2731='Analítico Cp.'!$B110),-('Diário 3º PA'!$Q$4:$Q$2731=I$1),('Diário 3º PA'!$F$4:$F$2731))+SUMPRODUCT(-('Diário 4º PA'!$E$4:$E$2564='Analítico Cp.'!$B110),-('Diário 4º PA'!$Q$4:$Q$2564=I$1),('Diário 4º PA'!$F$4:$F$2564))+SUMPRODUCT(-('Comp.'!$D$5:$D$69='Analítico Cp.'!$B110),-('Comp.'!$K$5:$K$69=I$1),('Comp.'!$E$5:$E$69))</f>
        <v>0</v>
      </c>
      <c r="J110" s="12">
        <f>SUMPRODUCT(-('Diário 1º PA'!$E$4:$E$2635='Analítico Cp.'!$B110),-('Diário 1º PA'!$Q$4:$Q$2635=J$1),('Diário 1º PA'!$F$4:$F$2635))+SUMPRODUCT(-('Diário 2º PA'!$E$4:$E$3040='Analítico Cp.'!$B110),-('Diário 2º PA'!$Q$4:$Q$3040=J$1),('Diário 2º PA'!$F$4:$F$3040))+SUMPRODUCT(-('Diário 3º PA'!$E$4:$E$2731='Analítico Cp.'!$B110),-('Diário 3º PA'!$Q$4:$Q$2731=J$1),('Diário 3º PA'!$F$4:$F$2731))+SUMPRODUCT(-('Diário 4º PA'!$E$4:$E$2564='Analítico Cp.'!$B110),-('Diário 4º PA'!$Q$4:$Q$2564=J$1),('Diário 4º PA'!$F$4:$F$2564))+SUMPRODUCT(-('Comp.'!$D$5:$D$69='Analítico Cp.'!$B110),-('Comp.'!$K$5:$K$69=J$1),('Comp.'!$E$5:$E$69))</f>
        <v>0</v>
      </c>
      <c r="K110" s="12">
        <f>SUMPRODUCT(-('Diário 1º PA'!$E$4:$E$2635='Analítico Cp.'!$B110),-('Diário 1º PA'!$Q$4:$Q$2635=K$1),('Diário 1º PA'!$F$4:$F$2635))+SUMPRODUCT(-('Diário 2º PA'!$E$4:$E$3040='Analítico Cp.'!$B110),-('Diário 2º PA'!$Q$4:$Q$3040=K$1),('Diário 2º PA'!$F$4:$F$3040))+SUMPRODUCT(-('Diário 3º PA'!$E$4:$E$2731='Analítico Cp.'!$B110),-('Diário 3º PA'!$Q$4:$Q$2731=K$1),('Diário 3º PA'!$F$4:$F$2731))+SUMPRODUCT(-('Diário 4º PA'!$E$4:$E$2564='Analítico Cp.'!$B110),-('Diário 4º PA'!$Q$4:$Q$2564=K$1),('Diário 4º PA'!$F$4:$F$2564))+SUMPRODUCT(-('Comp.'!$D$5:$D$69='Analítico Cp.'!$B110),-('Comp.'!$K$5:$K$69=K$1),('Comp.'!$E$5:$E$69))</f>
        <v>0</v>
      </c>
      <c r="L110" s="12">
        <f>SUMPRODUCT(-('Diário 1º PA'!$E$4:$E$2635='Analítico Cp.'!$B110),-('Diário 1º PA'!$Q$4:$Q$2635=L$1),('Diário 1º PA'!$F$4:$F$2635))+SUMPRODUCT(-('Diário 2º PA'!$E$4:$E$3040='Analítico Cp.'!$B110),-('Diário 2º PA'!$Q$4:$Q$3040=L$1),('Diário 2º PA'!$F$4:$F$3040))+SUMPRODUCT(-('Diário 3º PA'!$E$4:$E$2731='Analítico Cp.'!$B110),-('Diário 3º PA'!$Q$4:$Q$2731=L$1),('Diário 3º PA'!$F$4:$F$2731))+SUMPRODUCT(-('Diário 4º PA'!$E$4:$E$2564='Analítico Cp.'!$B110),-('Diário 4º PA'!$Q$4:$Q$2564=L$1),('Diário 4º PA'!$F$4:$F$2564))+SUMPRODUCT(-('Comp.'!$D$5:$D$69='Analítico Cp.'!$B110),-('Comp.'!$K$5:$K$69=L$1),('Comp.'!$E$5:$E$69))</f>
        <v>0</v>
      </c>
      <c r="M110" s="12">
        <f>SUMPRODUCT(-('Diário 1º PA'!$E$4:$E$2635='Analítico Cp.'!$B110),-('Diário 1º PA'!$Q$4:$Q$2635=M$1),('Diário 1º PA'!$F$4:$F$2635))+SUMPRODUCT(-('Diário 2º PA'!$E$4:$E$3040='Analítico Cp.'!$B110),-('Diário 2º PA'!$Q$4:$Q$3040=M$1),('Diário 2º PA'!$F$4:$F$3040))+SUMPRODUCT(-('Diário 3º PA'!$E$4:$E$2731='Analítico Cp.'!$B110),-('Diário 3º PA'!$Q$4:$Q$2731=M$1),('Diário 3º PA'!$F$4:$F$2731))+SUMPRODUCT(-('Diário 4º PA'!$E$4:$E$2564='Analítico Cp.'!$B110),-('Diário 4º PA'!$Q$4:$Q$2564=M$1),('Diário 4º PA'!$F$4:$F$2564))+SUMPRODUCT(-('Comp.'!$D$5:$D$69='Analítico Cp.'!$B110),-('Comp.'!$K$5:$K$69=M$1),('Comp.'!$E$5:$E$69))</f>
        <v>0</v>
      </c>
      <c r="N110" s="12">
        <f>SUMPRODUCT(-('Diário 1º PA'!$E$4:$E$2635='Analítico Cp.'!$B110),-('Diário 1º PA'!$Q$4:$Q$2635=N$1),('Diário 1º PA'!$F$4:$F$2635))+SUMPRODUCT(-('Diário 2º PA'!$E$4:$E$3040='Analítico Cp.'!$B110),-('Diário 2º PA'!$Q$4:$Q$3040=N$1),('Diário 2º PA'!$F$4:$F$3040))+SUMPRODUCT(-('Diário 3º PA'!$E$4:$E$2731='Analítico Cp.'!$B110),-('Diário 3º PA'!$Q$4:$Q$2731=N$1),('Diário 3º PA'!$F$4:$F$2731))+SUMPRODUCT(-('Diário 4º PA'!$E$4:$E$2564='Analítico Cp.'!$B110),-('Diário 4º PA'!$Q$4:$Q$2564=N$1),('Diário 4º PA'!$F$4:$F$2564))+SUMPRODUCT(-('Comp.'!$D$5:$D$69='Analítico Cp.'!$B110),-('Comp.'!$K$5:$K$69=N$1),('Comp.'!$E$5:$E$69))</f>
        <v>0</v>
      </c>
      <c r="O110" s="13">
        <f t="shared" si="12"/>
        <v>0</v>
      </c>
      <c r="P110" s="167">
        <f t="shared" si="13"/>
        <v>0</v>
      </c>
    </row>
    <row r="111" spans="1:16" ht="23.25" customHeight="1" x14ac:dyDescent="0.2">
      <c r="A111" s="61" t="s">
        <v>216</v>
      </c>
      <c r="B111" s="103" t="s">
        <v>210</v>
      </c>
      <c r="C111" s="12">
        <f>SUMPRODUCT(-('Diário 1º PA'!$E$4:$E$2635='Analítico Cp.'!$B111),-('Diário 1º PA'!$Q$4:$Q$2635=C$1),('Diário 1º PA'!$F$4:$F$2635))+SUMPRODUCT(-('Diário 2º PA'!$E$4:$E$3040='Analítico Cp.'!$B111),-('Diário 2º PA'!$Q$4:$Q$3040=C$1),('Diário 2º PA'!$F$4:$F$3040))+SUMPRODUCT(-('Diário 3º PA'!$E$4:$E$2731='Analítico Cp.'!$B111),-('Diário 3º PA'!$Q$4:$Q$2731=C$1),('Diário 3º PA'!$F$4:$F$2731))+SUMPRODUCT(-('Diário 4º PA'!$E$4:$E$2564='Analítico Cp.'!$B111),-('Diário 4º PA'!$Q$4:$Q$2564=C$1),('Diário 4º PA'!$F$4:$F$2564))+SUMPRODUCT(-('Comp.'!$D$5:$D$69='Analítico Cp.'!$B111),-('Comp.'!$K$5:$K$69=C$1),('Comp.'!$E$5:$E$69))</f>
        <v>0</v>
      </c>
      <c r="D111" s="12">
        <f>SUMPRODUCT(-('Diário 1º PA'!$E$4:$E$2635='Analítico Cp.'!$B111),-('Diário 1º PA'!$Q$4:$Q$2635=D$1),('Diário 1º PA'!$F$4:$F$2635))+SUMPRODUCT(-('Diário 2º PA'!$E$4:$E$3040='Analítico Cp.'!$B111),-('Diário 2º PA'!$Q$4:$Q$3040=D$1),('Diário 2º PA'!$F$4:$F$3040))+SUMPRODUCT(-('Diário 3º PA'!$E$4:$E$2731='Analítico Cp.'!$B111),-('Diário 3º PA'!$Q$4:$Q$2731=D$1),('Diário 3º PA'!$F$4:$F$2731))+SUMPRODUCT(-('Diário 4º PA'!$E$4:$E$2564='Analítico Cp.'!$B111),-('Diário 4º PA'!$Q$4:$Q$2564=D$1),('Diário 4º PA'!$F$4:$F$2564))+SUMPRODUCT(-('Comp.'!$D$5:$D$69='Analítico Cp.'!$B111),-('Comp.'!$K$5:$K$69=D$1),('Comp.'!$E$5:$E$69))</f>
        <v>0</v>
      </c>
      <c r="E111" s="12">
        <f>SUMPRODUCT(-('Diário 1º PA'!$E$4:$E$2635='Analítico Cp.'!$B111),-('Diário 1º PA'!$Q$4:$Q$2635=E$1),('Diário 1º PA'!$F$4:$F$2635))+SUMPRODUCT(-('Diário 2º PA'!$E$4:$E$3040='Analítico Cp.'!$B111),-('Diário 2º PA'!$Q$4:$Q$3040=E$1),('Diário 2º PA'!$F$4:$F$3040))+SUMPRODUCT(-('Diário 3º PA'!$E$4:$E$2731='Analítico Cp.'!$B111),-('Diário 3º PA'!$Q$4:$Q$2731=E$1),('Diário 3º PA'!$F$4:$F$2731))+SUMPRODUCT(-('Diário 4º PA'!$E$4:$E$2564='Analítico Cp.'!$B111),-('Diário 4º PA'!$Q$4:$Q$2564=E$1),('Diário 4º PA'!$F$4:$F$2564))+SUMPRODUCT(-('Comp.'!$D$5:$D$69='Analítico Cp.'!$B111),-('Comp.'!$K$5:$K$69=E$1),('Comp.'!$E$5:$E$69))</f>
        <v>0</v>
      </c>
      <c r="F111" s="12">
        <f>SUMPRODUCT(-('Diário 1º PA'!$E$4:$E$2635='Analítico Cp.'!$B111),-('Diário 1º PA'!$Q$4:$Q$2635=F$1),('Diário 1º PA'!$F$4:$F$2635))+SUMPRODUCT(-('Diário 2º PA'!$E$4:$E$3040='Analítico Cp.'!$B111),-('Diário 2º PA'!$Q$4:$Q$3040=F$1),('Diário 2º PA'!$F$4:$F$3040))+SUMPRODUCT(-('Diário 3º PA'!$E$4:$E$2731='Analítico Cp.'!$B111),-('Diário 3º PA'!$Q$4:$Q$2731=F$1),('Diário 3º PA'!$F$4:$F$2731))+SUMPRODUCT(-('Diário 4º PA'!$E$4:$E$2564='Analítico Cp.'!$B111),-('Diário 4º PA'!$Q$4:$Q$2564=F$1),('Diário 4º PA'!$F$4:$F$2564))+SUMPRODUCT(-('Comp.'!$D$5:$D$69='Analítico Cp.'!$B111),-('Comp.'!$K$5:$K$69=F$1),('Comp.'!$E$5:$E$69))</f>
        <v>0</v>
      </c>
      <c r="G111" s="12">
        <f>SUMPRODUCT(-('Diário 1º PA'!$E$4:$E$2635='Analítico Cp.'!$B111),-('Diário 1º PA'!$Q$4:$Q$2635=G$1),('Diário 1º PA'!$F$4:$F$2635))+SUMPRODUCT(-('Diário 2º PA'!$E$4:$E$3040='Analítico Cp.'!$B111),-('Diário 2º PA'!$Q$4:$Q$3040=G$1),('Diário 2º PA'!$F$4:$F$3040))+SUMPRODUCT(-('Diário 3º PA'!$E$4:$E$2731='Analítico Cp.'!$B111),-('Diário 3º PA'!$Q$4:$Q$2731=G$1),('Diário 3º PA'!$F$4:$F$2731))+SUMPRODUCT(-('Diário 4º PA'!$E$4:$E$2564='Analítico Cp.'!$B111),-('Diário 4º PA'!$Q$4:$Q$2564=G$1),('Diário 4º PA'!$F$4:$F$2564))+SUMPRODUCT(-('Comp.'!$D$5:$D$69='Analítico Cp.'!$B111),-('Comp.'!$K$5:$K$69=G$1),('Comp.'!$E$5:$E$69))</f>
        <v>0</v>
      </c>
      <c r="H111" s="12">
        <f>SUMPRODUCT(-('Diário 1º PA'!$E$4:$E$2635='Analítico Cp.'!$B111),-('Diário 1º PA'!$Q$4:$Q$2635=H$1),('Diário 1º PA'!$F$4:$F$2635))+SUMPRODUCT(-('Diário 2º PA'!$E$4:$E$3040='Analítico Cp.'!$B111),-('Diário 2º PA'!$Q$4:$Q$3040=H$1),('Diário 2º PA'!$F$4:$F$3040))+SUMPRODUCT(-('Diário 3º PA'!$E$4:$E$2731='Analítico Cp.'!$B111),-('Diário 3º PA'!$Q$4:$Q$2731=H$1),('Diário 3º PA'!$F$4:$F$2731))+SUMPRODUCT(-('Diário 4º PA'!$E$4:$E$2564='Analítico Cp.'!$B111),-('Diário 4º PA'!$Q$4:$Q$2564=H$1),('Diário 4º PA'!$F$4:$F$2564))+SUMPRODUCT(-('Comp.'!$D$5:$D$69='Analítico Cp.'!$B111),-('Comp.'!$K$5:$K$69=H$1),('Comp.'!$E$5:$E$69))</f>
        <v>0</v>
      </c>
      <c r="I111" s="12">
        <f>SUMPRODUCT(-('Diário 1º PA'!$E$4:$E$2635='Analítico Cp.'!$B111),-('Diário 1º PA'!$Q$4:$Q$2635=I$1),('Diário 1º PA'!$F$4:$F$2635))+SUMPRODUCT(-('Diário 2º PA'!$E$4:$E$3040='Analítico Cp.'!$B111),-('Diário 2º PA'!$Q$4:$Q$3040=I$1),('Diário 2º PA'!$F$4:$F$3040))+SUMPRODUCT(-('Diário 3º PA'!$E$4:$E$2731='Analítico Cp.'!$B111),-('Diário 3º PA'!$Q$4:$Q$2731=I$1),('Diário 3º PA'!$F$4:$F$2731))+SUMPRODUCT(-('Diário 4º PA'!$E$4:$E$2564='Analítico Cp.'!$B111),-('Diário 4º PA'!$Q$4:$Q$2564=I$1),('Diário 4º PA'!$F$4:$F$2564))+SUMPRODUCT(-('Comp.'!$D$5:$D$69='Analítico Cp.'!$B111),-('Comp.'!$K$5:$K$69=I$1),('Comp.'!$E$5:$E$69))</f>
        <v>0</v>
      </c>
      <c r="J111" s="12">
        <f>SUMPRODUCT(-('Diário 1º PA'!$E$4:$E$2635='Analítico Cp.'!$B111),-('Diário 1º PA'!$Q$4:$Q$2635=J$1),('Diário 1º PA'!$F$4:$F$2635))+SUMPRODUCT(-('Diário 2º PA'!$E$4:$E$3040='Analítico Cp.'!$B111),-('Diário 2º PA'!$Q$4:$Q$3040=J$1),('Diário 2º PA'!$F$4:$F$3040))+SUMPRODUCT(-('Diário 3º PA'!$E$4:$E$2731='Analítico Cp.'!$B111),-('Diário 3º PA'!$Q$4:$Q$2731=J$1),('Diário 3º PA'!$F$4:$F$2731))+SUMPRODUCT(-('Diário 4º PA'!$E$4:$E$2564='Analítico Cp.'!$B111),-('Diário 4º PA'!$Q$4:$Q$2564=J$1),('Diário 4º PA'!$F$4:$F$2564))+SUMPRODUCT(-('Comp.'!$D$5:$D$69='Analítico Cp.'!$B111),-('Comp.'!$K$5:$K$69=J$1),('Comp.'!$E$5:$E$69))</f>
        <v>0</v>
      </c>
      <c r="K111" s="12">
        <f>SUMPRODUCT(-('Diário 1º PA'!$E$4:$E$2635='Analítico Cp.'!$B111),-('Diário 1º PA'!$Q$4:$Q$2635=K$1),('Diário 1º PA'!$F$4:$F$2635))+SUMPRODUCT(-('Diário 2º PA'!$E$4:$E$3040='Analítico Cp.'!$B111),-('Diário 2º PA'!$Q$4:$Q$3040=K$1),('Diário 2º PA'!$F$4:$F$3040))+SUMPRODUCT(-('Diário 3º PA'!$E$4:$E$2731='Analítico Cp.'!$B111),-('Diário 3º PA'!$Q$4:$Q$2731=K$1),('Diário 3º PA'!$F$4:$F$2731))+SUMPRODUCT(-('Diário 4º PA'!$E$4:$E$2564='Analítico Cp.'!$B111),-('Diário 4º PA'!$Q$4:$Q$2564=K$1),('Diário 4º PA'!$F$4:$F$2564))+SUMPRODUCT(-('Comp.'!$D$5:$D$69='Analítico Cp.'!$B111),-('Comp.'!$K$5:$K$69=K$1),('Comp.'!$E$5:$E$69))</f>
        <v>0</v>
      </c>
      <c r="L111" s="12">
        <f>SUMPRODUCT(-('Diário 1º PA'!$E$4:$E$2635='Analítico Cp.'!$B111),-('Diário 1º PA'!$Q$4:$Q$2635=L$1),('Diário 1º PA'!$F$4:$F$2635))+SUMPRODUCT(-('Diário 2º PA'!$E$4:$E$3040='Analítico Cp.'!$B111),-('Diário 2º PA'!$Q$4:$Q$3040=L$1),('Diário 2º PA'!$F$4:$F$3040))+SUMPRODUCT(-('Diário 3º PA'!$E$4:$E$2731='Analítico Cp.'!$B111),-('Diário 3º PA'!$Q$4:$Q$2731=L$1),('Diário 3º PA'!$F$4:$F$2731))+SUMPRODUCT(-('Diário 4º PA'!$E$4:$E$2564='Analítico Cp.'!$B111),-('Diário 4º PA'!$Q$4:$Q$2564=L$1),('Diário 4º PA'!$F$4:$F$2564))+SUMPRODUCT(-('Comp.'!$D$5:$D$69='Analítico Cp.'!$B111),-('Comp.'!$K$5:$K$69=L$1),('Comp.'!$E$5:$E$69))</f>
        <v>0</v>
      </c>
      <c r="M111" s="12">
        <f>SUMPRODUCT(-('Diário 1º PA'!$E$4:$E$2635='Analítico Cp.'!$B111),-('Diário 1º PA'!$Q$4:$Q$2635=M$1),('Diário 1º PA'!$F$4:$F$2635))+SUMPRODUCT(-('Diário 2º PA'!$E$4:$E$3040='Analítico Cp.'!$B111),-('Diário 2º PA'!$Q$4:$Q$3040=M$1),('Diário 2º PA'!$F$4:$F$3040))+SUMPRODUCT(-('Diário 3º PA'!$E$4:$E$2731='Analítico Cp.'!$B111),-('Diário 3º PA'!$Q$4:$Q$2731=M$1),('Diário 3º PA'!$F$4:$F$2731))+SUMPRODUCT(-('Diário 4º PA'!$E$4:$E$2564='Analítico Cp.'!$B111),-('Diário 4º PA'!$Q$4:$Q$2564=M$1),('Diário 4º PA'!$F$4:$F$2564))+SUMPRODUCT(-('Comp.'!$D$5:$D$69='Analítico Cp.'!$B111),-('Comp.'!$K$5:$K$69=M$1),('Comp.'!$E$5:$E$69))</f>
        <v>0</v>
      </c>
      <c r="N111" s="12">
        <f>SUMPRODUCT(-('Diário 1º PA'!$E$4:$E$2635='Analítico Cp.'!$B111),-('Diário 1º PA'!$Q$4:$Q$2635=N$1),('Diário 1º PA'!$F$4:$F$2635))+SUMPRODUCT(-('Diário 2º PA'!$E$4:$E$3040='Analítico Cp.'!$B111),-('Diário 2º PA'!$Q$4:$Q$3040=N$1),('Diário 2º PA'!$F$4:$F$3040))+SUMPRODUCT(-('Diário 3º PA'!$E$4:$E$2731='Analítico Cp.'!$B111),-('Diário 3º PA'!$Q$4:$Q$2731=N$1),('Diário 3º PA'!$F$4:$F$2731))+SUMPRODUCT(-('Diário 4º PA'!$E$4:$E$2564='Analítico Cp.'!$B111),-('Diário 4º PA'!$Q$4:$Q$2564=N$1),('Diário 4º PA'!$F$4:$F$2564))+SUMPRODUCT(-('Comp.'!$D$5:$D$69='Analítico Cp.'!$B111),-('Comp.'!$K$5:$K$69=N$1),('Comp.'!$E$5:$E$69))</f>
        <v>0</v>
      </c>
      <c r="O111" s="13">
        <f t="shared" si="12"/>
        <v>0</v>
      </c>
      <c r="P111" s="167">
        <f t="shared" si="13"/>
        <v>0</v>
      </c>
    </row>
    <row r="112" spans="1:16" ht="23.25" customHeight="1" x14ac:dyDescent="0.2">
      <c r="A112" s="61" t="s">
        <v>218</v>
      </c>
      <c r="B112" s="103" t="s">
        <v>212</v>
      </c>
      <c r="C112" s="12">
        <f>SUMPRODUCT(-('Diário 1º PA'!$E$4:$E$2635='Analítico Cp.'!$B112),-('Diário 1º PA'!$Q$4:$Q$2635=C$1),('Diário 1º PA'!$F$4:$F$2635))+SUMPRODUCT(-('Diário 2º PA'!$E$4:$E$3040='Analítico Cp.'!$B112),-('Diário 2º PA'!$Q$4:$Q$3040=C$1),('Diário 2º PA'!$F$4:$F$3040))+SUMPRODUCT(-('Diário 3º PA'!$E$4:$E$2731='Analítico Cp.'!$B112),-('Diário 3º PA'!$Q$4:$Q$2731=C$1),('Diário 3º PA'!$F$4:$F$2731))+SUMPRODUCT(-('Diário 4º PA'!$E$4:$E$2564='Analítico Cp.'!$B112),-('Diário 4º PA'!$Q$4:$Q$2564=C$1),('Diário 4º PA'!$F$4:$F$2564))+SUMPRODUCT(-('Comp.'!$D$5:$D$69='Analítico Cp.'!$B112),-('Comp.'!$K$5:$K$69=C$1),('Comp.'!$E$5:$E$69))</f>
        <v>0</v>
      </c>
      <c r="D112" s="12">
        <f>SUMPRODUCT(-('Diário 1º PA'!$E$4:$E$2635='Analítico Cp.'!$B112),-('Diário 1º PA'!$Q$4:$Q$2635=D$1),('Diário 1º PA'!$F$4:$F$2635))+SUMPRODUCT(-('Diário 2º PA'!$E$4:$E$3040='Analítico Cp.'!$B112),-('Diário 2º PA'!$Q$4:$Q$3040=D$1),('Diário 2º PA'!$F$4:$F$3040))+SUMPRODUCT(-('Diário 3º PA'!$E$4:$E$2731='Analítico Cp.'!$B112),-('Diário 3º PA'!$Q$4:$Q$2731=D$1),('Diário 3º PA'!$F$4:$F$2731))+SUMPRODUCT(-('Diário 4º PA'!$E$4:$E$2564='Analítico Cp.'!$B112),-('Diário 4º PA'!$Q$4:$Q$2564=D$1),('Diário 4º PA'!$F$4:$F$2564))+SUMPRODUCT(-('Comp.'!$D$5:$D$69='Analítico Cp.'!$B112),-('Comp.'!$K$5:$K$69=D$1),('Comp.'!$E$5:$E$69))</f>
        <v>0</v>
      </c>
      <c r="E112" s="12">
        <f>SUMPRODUCT(-('Diário 1º PA'!$E$4:$E$2635='Analítico Cp.'!$B112),-('Diário 1º PA'!$Q$4:$Q$2635=E$1),('Diário 1º PA'!$F$4:$F$2635))+SUMPRODUCT(-('Diário 2º PA'!$E$4:$E$3040='Analítico Cp.'!$B112),-('Diário 2º PA'!$Q$4:$Q$3040=E$1),('Diário 2º PA'!$F$4:$F$3040))+SUMPRODUCT(-('Diário 3º PA'!$E$4:$E$2731='Analítico Cp.'!$B112),-('Diário 3º PA'!$Q$4:$Q$2731=E$1),('Diário 3º PA'!$F$4:$F$2731))+SUMPRODUCT(-('Diário 4º PA'!$E$4:$E$2564='Analítico Cp.'!$B112),-('Diário 4º PA'!$Q$4:$Q$2564=E$1),('Diário 4º PA'!$F$4:$F$2564))+SUMPRODUCT(-('Comp.'!$D$5:$D$69='Analítico Cp.'!$B112),-('Comp.'!$K$5:$K$69=E$1),('Comp.'!$E$5:$E$69))</f>
        <v>0</v>
      </c>
      <c r="F112" s="12">
        <f>SUMPRODUCT(-('Diário 1º PA'!$E$4:$E$2635='Analítico Cp.'!$B112),-('Diário 1º PA'!$Q$4:$Q$2635=F$1),('Diário 1º PA'!$F$4:$F$2635))+SUMPRODUCT(-('Diário 2º PA'!$E$4:$E$3040='Analítico Cp.'!$B112),-('Diário 2º PA'!$Q$4:$Q$3040=F$1),('Diário 2º PA'!$F$4:$F$3040))+SUMPRODUCT(-('Diário 3º PA'!$E$4:$E$2731='Analítico Cp.'!$B112),-('Diário 3º PA'!$Q$4:$Q$2731=F$1),('Diário 3º PA'!$F$4:$F$2731))+SUMPRODUCT(-('Diário 4º PA'!$E$4:$E$2564='Analítico Cp.'!$B112),-('Diário 4º PA'!$Q$4:$Q$2564=F$1),('Diário 4º PA'!$F$4:$F$2564))+SUMPRODUCT(-('Comp.'!$D$5:$D$69='Analítico Cp.'!$B112),-('Comp.'!$K$5:$K$69=F$1),('Comp.'!$E$5:$E$69))</f>
        <v>0</v>
      </c>
      <c r="G112" s="12">
        <f>SUMPRODUCT(-('Diário 1º PA'!$E$4:$E$2635='Analítico Cp.'!$B112),-('Diário 1º PA'!$Q$4:$Q$2635=G$1),('Diário 1º PA'!$F$4:$F$2635))+SUMPRODUCT(-('Diário 2º PA'!$E$4:$E$3040='Analítico Cp.'!$B112),-('Diário 2º PA'!$Q$4:$Q$3040=G$1),('Diário 2º PA'!$F$4:$F$3040))+SUMPRODUCT(-('Diário 3º PA'!$E$4:$E$2731='Analítico Cp.'!$B112),-('Diário 3º PA'!$Q$4:$Q$2731=G$1),('Diário 3º PA'!$F$4:$F$2731))+SUMPRODUCT(-('Diário 4º PA'!$E$4:$E$2564='Analítico Cp.'!$B112),-('Diário 4º PA'!$Q$4:$Q$2564=G$1),('Diário 4º PA'!$F$4:$F$2564))+SUMPRODUCT(-('Comp.'!$D$5:$D$69='Analítico Cp.'!$B112),-('Comp.'!$K$5:$K$69=G$1),('Comp.'!$E$5:$E$69))</f>
        <v>0</v>
      </c>
      <c r="H112" s="12">
        <f>SUMPRODUCT(-('Diário 1º PA'!$E$4:$E$2635='Analítico Cp.'!$B112),-('Diário 1º PA'!$Q$4:$Q$2635=H$1),('Diário 1º PA'!$F$4:$F$2635))+SUMPRODUCT(-('Diário 2º PA'!$E$4:$E$3040='Analítico Cp.'!$B112),-('Diário 2º PA'!$Q$4:$Q$3040=H$1),('Diário 2º PA'!$F$4:$F$3040))+SUMPRODUCT(-('Diário 3º PA'!$E$4:$E$2731='Analítico Cp.'!$B112),-('Diário 3º PA'!$Q$4:$Q$2731=H$1),('Diário 3º PA'!$F$4:$F$2731))+SUMPRODUCT(-('Diário 4º PA'!$E$4:$E$2564='Analítico Cp.'!$B112),-('Diário 4º PA'!$Q$4:$Q$2564=H$1),('Diário 4º PA'!$F$4:$F$2564))+SUMPRODUCT(-('Comp.'!$D$5:$D$69='Analítico Cp.'!$B112),-('Comp.'!$K$5:$K$69=H$1),('Comp.'!$E$5:$E$69))</f>
        <v>0</v>
      </c>
      <c r="I112" s="12">
        <f>SUMPRODUCT(-('Diário 1º PA'!$E$4:$E$2635='Analítico Cp.'!$B112),-('Diário 1º PA'!$Q$4:$Q$2635=I$1),('Diário 1º PA'!$F$4:$F$2635))+SUMPRODUCT(-('Diário 2º PA'!$E$4:$E$3040='Analítico Cp.'!$B112),-('Diário 2º PA'!$Q$4:$Q$3040=I$1),('Diário 2º PA'!$F$4:$F$3040))+SUMPRODUCT(-('Diário 3º PA'!$E$4:$E$2731='Analítico Cp.'!$B112),-('Diário 3º PA'!$Q$4:$Q$2731=I$1),('Diário 3º PA'!$F$4:$F$2731))+SUMPRODUCT(-('Diário 4º PA'!$E$4:$E$2564='Analítico Cp.'!$B112),-('Diário 4º PA'!$Q$4:$Q$2564=I$1),('Diário 4º PA'!$F$4:$F$2564))+SUMPRODUCT(-('Comp.'!$D$5:$D$69='Analítico Cp.'!$B112),-('Comp.'!$K$5:$K$69=I$1),('Comp.'!$E$5:$E$69))</f>
        <v>0</v>
      </c>
      <c r="J112" s="12">
        <f>SUMPRODUCT(-('Diário 1º PA'!$E$4:$E$2635='Analítico Cp.'!$B112),-('Diário 1º PA'!$Q$4:$Q$2635=J$1),('Diário 1º PA'!$F$4:$F$2635))+SUMPRODUCT(-('Diário 2º PA'!$E$4:$E$3040='Analítico Cp.'!$B112),-('Diário 2º PA'!$Q$4:$Q$3040=J$1),('Diário 2º PA'!$F$4:$F$3040))+SUMPRODUCT(-('Diário 3º PA'!$E$4:$E$2731='Analítico Cp.'!$B112),-('Diário 3º PA'!$Q$4:$Q$2731=J$1),('Diário 3º PA'!$F$4:$F$2731))+SUMPRODUCT(-('Diário 4º PA'!$E$4:$E$2564='Analítico Cp.'!$B112),-('Diário 4º PA'!$Q$4:$Q$2564=J$1),('Diário 4º PA'!$F$4:$F$2564))+SUMPRODUCT(-('Comp.'!$D$5:$D$69='Analítico Cp.'!$B112),-('Comp.'!$K$5:$K$69=J$1),('Comp.'!$E$5:$E$69))</f>
        <v>0</v>
      </c>
      <c r="K112" s="12">
        <f>SUMPRODUCT(-('Diário 1º PA'!$E$4:$E$2635='Analítico Cp.'!$B112),-('Diário 1º PA'!$Q$4:$Q$2635=K$1),('Diário 1º PA'!$F$4:$F$2635))+SUMPRODUCT(-('Diário 2º PA'!$E$4:$E$3040='Analítico Cp.'!$B112),-('Diário 2º PA'!$Q$4:$Q$3040=K$1),('Diário 2º PA'!$F$4:$F$3040))+SUMPRODUCT(-('Diário 3º PA'!$E$4:$E$2731='Analítico Cp.'!$B112),-('Diário 3º PA'!$Q$4:$Q$2731=K$1),('Diário 3º PA'!$F$4:$F$2731))+SUMPRODUCT(-('Diário 4º PA'!$E$4:$E$2564='Analítico Cp.'!$B112),-('Diário 4º PA'!$Q$4:$Q$2564=K$1),('Diário 4º PA'!$F$4:$F$2564))+SUMPRODUCT(-('Comp.'!$D$5:$D$69='Analítico Cp.'!$B112),-('Comp.'!$K$5:$K$69=K$1),('Comp.'!$E$5:$E$69))</f>
        <v>0</v>
      </c>
      <c r="L112" s="12">
        <f>SUMPRODUCT(-('Diário 1º PA'!$E$4:$E$2635='Analítico Cp.'!$B112),-('Diário 1º PA'!$Q$4:$Q$2635=L$1),('Diário 1º PA'!$F$4:$F$2635))+SUMPRODUCT(-('Diário 2º PA'!$E$4:$E$3040='Analítico Cp.'!$B112),-('Diário 2º PA'!$Q$4:$Q$3040=L$1),('Diário 2º PA'!$F$4:$F$3040))+SUMPRODUCT(-('Diário 3º PA'!$E$4:$E$2731='Analítico Cp.'!$B112),-('Diário 3º PA'!$Q$4:$Q$2731=L$1),('Diário 3º PA'!$F$4:$F$2731))+SUMPRODUCT(-('Diário 4º PA'!$E$4:$E$2564='Analítico Cp.'!$B112),-('Diário 4º PA'!$Q$4:$Q$2564=L$1),('Diário 4º PA'!$F$4:$F$2564))+SUMPRODUCT(-('Comp.'!$D$5:$D$69='Analítico Cp.'!$B112),-('Comp.'!$K$5:$K$69=L$1),('Comp.'!$E$5:$E$69))</f>
        <v>0</v>
      </c>
      <c r="M112" s="12">
        <f>SUMPRODUCT(-('Diário 1º PA'!$E$4:$E$2635='Analítico Cp.'!$B112),-('Diário 1º PA'!$Q$4:$Q$2635=M$1),('Diário 1º PA'!$F$4:$F$2635))+SUMPRODUCT(-('Diário 2º PA'!$E$4:$E$3040='Analítico Cp.'!$B112),-('Diário 2º PA'!$Q$4:$Q$3040=M$1),('Diário 2º PA'!$F$4:$F$3040))+SUMPRODUCT(-('Diário 3º PA'!$E$4:$E$2731='Analítico Cp.'!$B112),-('Diário 3º PA'!$Q$4:$Q$2731=M$1),('Diário 3º PA'!$F$4:$F$2731))+SUMPRODUCT(-('Diário 4º PA'!$E$4:$E$2564='Analítico Cp.'!$B112),-('Diário 4º PA'!$Q$4:$Q$2564=M$1),('Diário 4º PA'!$F$4:$F$2564))+SUMPRODUCT(-('Comp.'!$D$5:$D$69='Analítico Cp.'!$B112),-('Comp.'!$K$5:$K$69=M$1),('Comp.'!$E$5:$E$69))</f>
        <v>0</v>
      </c>
      <c r="N112" s="12">
        <f>SUMPRODUCT(-('Diário 1º PA'!$E$4:$E$2635='Analítico Cp.'!$B112),-('Diário 1º PA'!$Q$4:$Q$2635=N$1),('Diário 1º PA'!$F$4:$F$2635))+SUMPRODUCT(-('Diário 2º PA'!$E$4:$E$3040='Analítico Cp.'!$B112),-('Diário 2º PA'!$Q$4:$Q$3040=N$1),('Diário 2º PA'!$F$4:$F$3040))+SUMPRODUCT(-('Diário 3º PA'!$E$4:$E$2731='Analítico Cp.'!$B112),-('Diário 3º PA'!$Q$4:$Q$2731=N$1),('Diário 3º PA'!$F$4:$F$2731))+SUMPRODUCT(-('Diário 4º PA'!$E$4:$E$2564='Analítico Cp.'!$B112),-('Diário 4º PA'!$Q$4:$Q$2564=N$1),('Diário 4º PA'!$F$4:$F$2564))+SUMPRODUCT(-('Comp.'!$D$5:$D$69='Analítico Cp.'!$B112),-('Comp.'!$K$5:$K$69=N$1),('Comp.'!$E$5:$E$69))</f>
        <v>0</v>
      </c>
      <c r="O112" s="13">
        <f t="shared" si="12"/>
        <v>0</v>
      </c>
      <c r="P112" s="167">
        <f t="shared" si="13"/>
        <v>0</v>
      </c>
    </row>
    <row r="113" spans="1:16" ht="23.25" customHeight="1" x14ac:dyDescent="0.2">
      <c r="A113" s="61" t="s">
        <v>219</v>
      </c>
      <c r="B113" s="103" t="s">
        <v>214</v>
      </c>
      <c r="C113" s="12">
        <f>SUMPRODUCT(-('Diário 1º PA'!$E$4:$E$2635='Analítico Cp.'!$B113),-('Diário 1º PA'!$Q$4:$Q$2635=C$1),('Diário 1º PA'!$F$4:$F$2635))+SUMPRODUCT(-('Diário 2º PA'!$E$4:$E$3040='Analítico Cp.'!$B113),-('Diário 2º PA'!$Q$4:$Q$3040=C$1),('Diário 2º PA'!$F$4:$F$3040))+SUMPRODUCT(-('Diário 3º PA'!$E$4:$E$2731='Analítico Cp.'!$B113),-('Diário 3º PA'!$Q$4:$Q$2731=C$1),('Diário 3º PA'!$F$4:$F$2731))+SUMPRODUCT(-('Diário 4º PA'!$E$4:$E$2564='Analítico Cp.'!$B113),-('Diário 4º PA'!$Q$4:$Q$2564=C$1),('Diário 4º PA'!$F$4:$F$2564))+SUMPRODUCT(-('Comp.'!$D$5:$D$69='Analítico Cp.'!$B113),-('Comp.'!$K$5:$K$69=C$1),('Comp.'!$E$5:$E$69))</f>
        <v>0</v>
      </c>
      <c r="D113" s="12">
        <f>SUMPRODUCT(-('Diário 1º PA'!$E$4:$E$2635='Analítico Cp.'!$B113),-('Diário 1º PA'!$Q$4:$Q$2635=D$1),('Diário 1º PA'!$F$4:$F$2635))+SUMPRODUCT(-('Diário 2º PA'!$E$4:$E$3040='Analítico Cp.'!$B113),-('Diário 2º PA'!$Q$4:$Q$3040=D$1),('Diário 2º PA'!$F$4:$F$3040))+SUMPRODUCT(-('Diário 3º PA'!$E$4:$E$2731='Analítico Cp.'!$B113),-('Diário 3º PA'!$Q$4:$Q$2731=D$1),('Diário 3º PA'!$F$4:$F$2731))+SUMPRODUCT(-('Diário 4º PA'!$E$4:$E$2564='Analítico Cp.'!$B113),-('Diário 4º PA'!$Q$4:$Q$2564=D$1),('Diário 4º PA'!$F$4:$F$2564))+SUMPRODUCT(-('Comp.'!$D$5:$D$69='Analítico Cp.'!$B113),-('Comp.'!$K$5:$K$69=D$1),('Comp.'!$E$5:$E$69))</f>
        <v>0</v>
      </c>
      <c r="E113" s="12">
        <f>SUMPRODUCT(-('Diário 1º PA'!$E$4:$E$2635='Analítico Cp.'!$B113),-('Diário 1º PA'!$Q$4:$Q$2635=E$1),('Diário 1º PA'!$F$4:$F$2635))+SUMPRODUCT(-('Diário 2º PA'!$E$4:$E$3040='Analítico Cp.'!$B113),-('Diário 2º PA'!$Q$4:$Q$3040=E$1),('Diário 2º PA'!$F$4:$F$3040))+SUMPRODUCT(-('Diário 3º PA'!$E$4:$E$2731='Analítico Cp.'!$B113),-('Diário 3º PA'!$Q$4:$Q$2731=E$1),('Diário 3º PA'!$F$4:$F$2731))+SUMPRODUCT(-('Diário 4º PA'!$E$4:$E$2564='Analítico Cp.'!$B113),-('Diário 4º PA'!$Q$4:$Q$2564=E$1),('Diário 4º PA'!$F$4:$F$2564))+SUMPRODUCT(-('Comp.'!$D$5:$D$69='Analítico Cp.'!$B113),-('Comp.'!$K$5:$K$69=E$1),('Comp.'!$E$5:$E$69))</f>
        <v>0</v>
      </c>
      <c r="F113" s="12">
        <f>SUMPRODUCT(-('Diário 1º PA'!$E$4:$E$2635='Analítico Cp.'!$B113),-('Diário 1º PA'!$Q$4:$Q$2635=F$1),('Diário 1º PA'!$F$4:$F$2635))+SUMPRODUCT(-('Diário 2º PA'!$E$4:$E$3040='Analítico Cp.'!$B113),-('Diário 2º PA'!$Q$4:$Q$3040=F$1),('Diário 2º PA'!$F$4:$F$3040))+SUMPRODUCT(-('Diário 3º PA'!$E$4:$E$2731='Analítico Cp.'!$B113),-('Diário 3º PA'!$Q$4:$Q$2731=F$1),('Diário 3º PA'!$F$4:$F$2731))+SUMPRODUCT(-('Diário 4º PA'!$E$4:$E$2564='Analítico Cp.'!$B113),-('Diário 4º PA'!$Q$4:$Q$2564=F$1),('Diário 4º PA'!$F$4:$F$2564))+SUMPRODUCT(-('Comp.'!$D$5:$D$69='Analítico Cp.'!$B113),-('Comp.'!$K$5:$K$69=F$1),('Comp.'!$E$5:$E$69))</f>
        <v>0</v>
      </c>
      <c r="G113" s="12">
        <f>SUMPRODUCT(-('Diário 1º PA'!$E$4:$E$2635='Analítico Cp.'!$B113),-('Diário 1º PA'!$Q$4:$Q$2635=G$1),('Diário 1º PA'!$F$4:$F$2635))+SUMPRODUCT(-('Diário 2º PA'!$E$4:$E$3040='Analítico Cp.'!$B113),-('Diário 2º PA'!$Q$4:$Q$3040=G$1),('Diário 2º PA'!$F$4:$F$3040))+SUMPRODUCT(-('Diário 3º PA'!$E$4:$E$2731='Analítico Cp.'!$B113),-('Diário 3º PA'!$Q$4:$Q$2731=G$1),('Diário 3º PA'!$F$4:$F$2731))+SUMPRODUCT(-('Diário 4º PA'!$E$4:$E$2564='Analítico Cp.'!$B113),-('Diário 4º PA'!$Q$4:$Q$2564=G$1),('Diário 4º PA'!$F$4:$F$2564))+SUMPRODUCT(-('Comp.'!$D$5:$D$69='Analítico Cp.'!$B113),-('Comp.'!$K$5:$K$69=G$1),('Comp.'!$E$5:$E$69))</f>
        <v>0</v>
      </c>
      <c r="H113" s="12">
        <f>SUMPRODUCT(-('Diário 1º PA'!$E$4:$E$2635='Analítico Cp.'!$B113),-('Diário 1º PA'!$Q$4:$Q$2635=H$1),('Diário 1º PA'!$F$4:$F$2635))+SUMPRODUCT(-('Diário 2º PA'!$E$4:$E$3040='Analítico Cp.'!$B113),-('Diário 2º PA'!$Q$4:$Q$3040=H$1),('Diário 2º PA'!$F$4:$F$3040))+SUMPRODUCT(-('Diário 3º PA'!$E$4:$E$2731='Analítico Cp.'!$B113),-('Diário 3º PA'!$Q$4:$Q$2731=H$1),('Diário 3º PA'!$F$4:$F$2731))+SUMPRODUCT(-('Diário 4º PA'!$E$4:$E$2564='Analítico Cp.'!$B113),-('Diário 4º PA'!$Q$4:$Q$2564=H$1),('Diário 4º PA'!$F$4:$F$2564))+SUMPRODUCT(-('Comp.'!$D$5:$D$69='Analítico Cp.'!$B113),-('Comp.'!$K$5:$K$69=H$1),('Comp.'!$E$5:$E$69))</f>
        <v>0</v>
      </c>
      <c r="I113" s="12">
        <f>SUMPRODUCT(-('Diário 1º PA'!$E$4:$E$2635='Analítico Cp.'!$B113),-('Diário 1º PA'!$Q$4:$Q$2635=I$1),('Diário 1º PA'!$F$4:$F$2635))+SUMPRODUCT(-('Diário 2º PA'!$E$4:$E$3040='Analítico Cp.'!$B113),-('Diário 2º PA'!$Q$4:$Q$3040=I$1),('Diário 2º PA'!$F$4:$F$3040))+SUMPRODUCT(-('Diário 3º PA'!$E$4:$E$2731='Analítico Cp.'!$B113),-('Diário 3º PA'!$Q$4:$Q$2731=I$1),('Diário 3º PA'!$F$4:$F$2731))+SUMPRODUCT(-('Diário 4º PA'!$E$4:$E$2564='Analítico Cp.'!$B113),-('Diário 4º PA'!$Q$4:$Q$2564=I$1),('Diário 4º PA'!$F$4:$F$2564))+SUMPRODUCT(-('Comp.'!$D$5:$D$69='Analítico Cp.'!$B113),-('Comp.'!$K$5:$K$69=I$1),('Comp.'!$E$5:$E$69))</f>
        <v>0</v>
      </c>
      <c r="J113" s="12">
        <f>SUMPRODUCT(-('Diário 1º PA'!$E$4:$E$2635='Analítico Cp.'!$B113),-('Diário 1º PA'!$Q$4:$Q$2635=J$1),('Diário 1º PA'!$F$4:$F$2635))+SUMPRODUCT(-('Diário 2º PA'!$E$4:$E$3040='Analítico Cp.'!$B113),-('Diário 2º PA'!$Q$4:$Q$3040=J$1),('Diário 2º PA'!$F$4:$F$3040))+SUMPRODUCT(-('Diário 3º PA'!$E$4:$E$2731='Analítico Cp.'!$B113),-('Diário 3º PA'!$Q$4:$Q$2731=J$1),('Diário 3º PA'!$F$4:$F$2731))+SUMPRODUCT(-('Diário 4º PA'!$E$4:$E$2564='Analítico Cp.'!$B113),-('Diário 4º PA'!$Q$4:$Q$2564=J$1),('Diário 4º PA'!$F$4:$F$2564))+SUMPRODUCT(-('Comp.'!$D$5:$D$69='Analítico Cp.'!$B113),-('Comp.'!$K$5:$K$69=J$1),('Comp.'!$E$5:$E$69))</f>
        <v>0</v>
      </c>
      <c r="K113" s="12">
        <f>SUMPRODUCT(-('Diário 1º PA'!$E$4:$E$2635='Analítico Cp.'!$B113),-('Diário 1º PA'!$Q$4:$Q$2635=K$1),('Diário 1º PA'!$F$4:$F$2635))+SUMPRODUCT(-('Diário 2º PA'!$E$4:$E$3040='Analítico Cp.'!$B113),-('Diário 2º PA'!$Q$4:$Q$3040=K$1),('Diário 2º PA'!$F$4:$F$3040))+SUMPRODUCT(-('Diário 3º PA'!$E$4:$E$2731='Analítico Cp.'!$B113),-('Diário 3º PA'!$Q$4:$Q$2731=K$1),('Diário 3º PA'!$F$4:$F$2731))+SUMPRODUCT(-('Diário 4º PA'!$E$4:$E$2564='Analítico Cp.'!$B113),-('Diário 4º PA'!$Q$4:$Q$2564=K$1),('Diário 4º PA'!$F$4:$F$2564))+SUMPRODUCT(-('Comp.'!$D$5:$D$69='Analítico Cp.'!$B113),-('Comp.'!$K$5:$K$69=K$1),('Comp.'!$E$5:$E$69))</f>
        <v>0</v>
      </c>
      <c r="L113" s="12">
        <f>SUMPRODUCT(-('Diário 1º PA'!$E$4:$E$2635='Analítico Cp.'!$B113),-('Diário 1º PA'!$Q$4:$Q$2635=L$1),('Diário 1º PA'!$F$4:$F$2635))+SUMPRODUCT(-('Diário 2º PA'!$E$4:$E$3040='Analítico Cp.'!$B113),-('Diário 2º PA'!$Q$4:$Q$3040=L$1),('Diário 2º PA'!$F$4:$F$3040))+SUMPRODUCT(-('Diário 3º PA'!$E$4:$E$2731='Analítico Cp.'!$B113),-('Diário 3º PA'!$Q$4:$Q$2731=L$1),('Diário 3º PA'!$F$4:$F$2731))+SUMPRODUCT(-('Diário 4º PA'!$E$4:$E$2564='Analítico Cp.'!$B113),-('Diário 4º PA'!$Q$4:$Q$2564=L$1),('Diário 4º PA'!$F$4:$F$2564))+SUMPRODUCT(-('Comp.'!$D$5:$D$69='Analítico Cp.'!$B113),-('Comp.'!$K$5:$K$69=L$1),('Comp.'!$E$5:$E$69))</f>
        <v>0</v>
      </c>
      <c r="M113" s="12">
        <f>SUMPRODUCT(-('Diário 1º PA'!$E$4:$E$2635='Analítico Cp.'!$B113),-('Diário 1º PA'!$Q$4:$Q$2635=M$1),('Diário 1º PA'!$F$4:$F$2635))+SUMPRODUCT(-('Diário 2º PA'!$E$4:$E$3040='Analítico Cp.'!$B113),-('Diário 2º PA'!$Q$4:$Q$3040=M$1),('Diário 2º PA'!$F$4:$F$3040))+SUMPRODUCT(-('Diário 3º PA'!$E$4:$E$2731='Analítico Cp.'!$B113),-('Diário 3º PA'!$Q$4:$Q$2731=M$1),('Diário 3º PA'!$F$4:$F$2731))+SUMPRODUCT(-('Diário 4º PA'!$E$4:$E$2564='Analítico Cp.'!$B113),-('Diário 4º PA'!$Q$4:$Q$2564=M$1),('Diário 4º PA'!$F$4:$F$2564))+SUMPRODUCT(-('Comp.'!$D$5:$D$69='Analítico Cp.'!$B113),-('Comp.'!$K$5:$K$69=M$1),('Comp.'!$E$5:$E$69))</f>
        <v>0</v>
      </c>
      <c r="N113" s="12">
        <f>SUMPRODUCT(-('Diário 1º PA'!$E$4:$E$2635='Analítico Cp.'!$B113),-('Diário 1º PA'!$Q$4:$Q$2635=N$1),('Diário 1º PA'!$F$4:$F$2635))+SUMPRODUCT(-('Diário 2º PA'!$E$4:$E$3040='Analítico Cp.'!$B113),-('Diário 2º PA'!$Q$4:$Q$3040=N$1),('Diário 2º PA'!$F$4:$F$3040))+SUMPRODUCT(-('Diário 3º PA'!$E$4:$E$2731='Analítico Cp.'!$B113),-('Diário 3º PA'!$Q$4:$Q$2731=N$1),('Diário 3º PA'!$F$4:$F$2731))+SUMPRODUCT(-('Diário 4º PA'!$E$4:$E$2564='Analítico Cp.'!$B113),-('Diário 4º PA'!$Q$4:$Q$2564=N$1),('Diário 4º PA'!$F$4:$F$2564))+SUMPRODUCT(-('Comp.'!$D$5:$D$69='Analítico Cp.'!$B113),-('Comp.'!$K$5:$K$69=N$1),('Comp.'!$E$5:$E$69))</f>
        <v>0</v>
      </c>
      <c r="O113" s="13">
        <f t="shared" si="12"/>
        <v>0</v>
      </c>
      <c r="P113" s="167">
        <f t="shared" si="13"/>
        <v>0</v>
      </c>
    </row>
    <row r="114" spans="1:16" ht="23.25" customHeight="1" x14ac:dyDescent="0.2">
      <c r="A114" s="61" t="s">
        <v>220</v>
      </c>
      <c r="B114" s="103" t="s">
        <v>328</v>
      </c>
      <c r="C114" s="12">
        <f>SUMPRODUCT(-('Diário 1º PA'!$E$4:$E$2635='Analítico Cp.'!$B114),-('Diário 1º PA'!$Q$4:$Q$2635=C$1),('Diário 1º PA'!$F$4:$F$2635))+SUMPRODUCT(-('Diário 2º PA'!$E$4:$E$3040='Analítico Cp.'!$B114),-('Diário 2º PA'!$Q$4:$Q$3040=C$1),('Diário 2º PA'!$F$4:$F$3040))+SUMPRODUCT(-('Diário 3º PA'!$E$4:$E$2731='Analítico Cp.'!$B114),-('Diário 3º PA'!$Q$4:$Q$2731=C$1),('Diário 3º PA'!$F$4:$F$2731))+SUMPRODUCT(-('Diário 4º PA'!$E$4:$E$2564='Analítico Cp.'!$B114),-('Diário 4º PA'!$Q$4:$Q$2564=C$1),('Diário 4º PA'!$F$4:$F$2564))+SUMPRODUCT(-('Comp.'!$D$5:$D$69='Analítico Cp.'!$B114),-('Comp.'!$K$5:$K$69=C$1),('Comp.'!$E$5:$E$69))</f>
        <v>0</v>
      </c>
      <c r="D114" s="12">
        <f>SUMPRODUCT(-('Diário 1º PA'!$E$4:$E$2635='Analítico Cp.'!$B114),-('Diário 1º PA'!$Q$4:$Q$2635=D$1),('Diário 1º PA'!$F$4:$F$2635))+SUMPRODUCT(-('Diário 2º PA'!$E$4:$E$3040='Analítico Cp.'!$B114),-('Diário 2º PA'!$Q$4:$Q$3040=D$1),('Diário 2º PA'!$F$4:$F$3040))+SUMPRODUCT(-('Diário 3º PA'!$E$4:$E$2731='Analítico Cp.'!$B114),-('Diário 3º PA'!$Q$4:$Q$2731=D$1),('Diário 3º PA'!$F$4:$F$2731))+SUMPRODUCT(-('Diário 4º PA'!$E$4:$E$2564='Analítico Cp.'!$B114),-('Diário 4º PA'!$Q$4:$Q$2564=D$1),('Diário 4º PA'!$F$4:$F$2564))+SUMPRODUCT(-('Comp.'!$D$5:$D$69='Analítico Cp.'!$B114),-('Comp.'!$K$5:$K$69=D$1),('Comp.'!$E$5:$E$69))</f>
        <v>0</v>
      </c>
      <c r="E114" s="12">
        <f>SUMPRODUCT(-('Diário 1º PA'!$E$4:$E$2635='Analítico Cp.'!$B114),-('Diário 1º PA'!$Q$4:$Q$2635=E$1),('Diário 1º PA'!$F$4:$F$2635))+SUMPRODUCT(-('Diário 2º PA'!$E$4:$E$3040='Analítico Cp.'!$B114),-('Diário 2º PA'!$Q$4:$Q$3040=E$1),('Diário 2º PA'!$F$4:$F$3040))+SUMPRODUCT(-('Diário 3º PA'!$E$4:$E$2731='Analítico Cp.'!$B114),-('Diário 3º PA'!$Q$4:$Q$2731=E$1),('Diário 3º PA'!$F$4:$F$2731))+SUMPRODUCT(-('Diário 4º PA'!$E$4:$E$2564='Analítico Cp.'!$B114),-('Diário 4º PA'!$Q$4:$Q$2564=E$1),('Diário 4º PA'!$F$4:$F$2564))+SUMPRODUCT(-('Comp.'!$D$5:$D$69='Analítico Cp.'!$B114),-('Comp.'!$K$5:$K$69=E$1),('Comp.'!$E$5:$E$69))</f>
        <v>0</v>
      </c>
      <c r="F114" s="12">
        <f>SUMPRODUCT(-('Diário 1º PA'!$E$4:$E$2635='Analítico Cp.'!$B114),-('Diário 1º PA'!$Q$4:$Q$2635=F$1),('Diário 1º PA'!$F$4:$F$2635))+SUMPRODUCT(-('Diário 2º PA'!$E$4:$E$3040='Analítico Cp.'!$B114),-('Diário 2º PA'!$Q$4:$Q$3040=F$1),('Diário 2º PA'!$F$4:$F$3040))+SUMPRODUCT(-('Diário 3º PA'!$E$4:$E$2731='Analítico Cp.'!$B114),-('Diário 3º PA'!$Q$4:$Q$2731=F$1),('Diário 3º PA'!$F$4:$F$2731))+SUMPRODUCT(-('Diário 4º PA'!$E$4:$E$2564='Analítico Cp.'!$B114),-('Diário 4º PA'!$Q$4:$Q$2564=F$1),('Diário 4º PA'!$F$4:$F$2564))+SUMPRODUCT(-('Comp.'!$D$5:$D$69='Analítico Cp.'!$B114),-('Comp.'!$K$5:$K$69=F$1),('Comp.'!$E$5:$E$69))</f>
        <v>0</v>
      </c>
      <c r="G114" s="12">
        <f>SUMPRODUCT(-('Diário 1º PA'!$E$4:$E$2635='Analítico Cp.'!$B114),-('Diário 1º PA'!$Q$4:$Q$2635=G$1),('Diário 1º PA'!$F$4:$F$2635))+SUMPRODUCT(-('Diário 2º PA'!$E$4:$E$3040='Analítico Cp.'!$B114),-('Diário 2º PA'!$Q$4:$Q$3040=G$1),('Diário 2º PA'!$F$4:$F$3040))+SUMPRODUCT(-('Diário 3º PA'!$E$4:$E$2731='Analítico Cp.'!$B114),-('Diário 3º PA'!$Q$4:$Q$2731=G$1),('Diário 3º PA'!$F$4:$F$2731))+SUMPRODUCT(-('Diário 4º PA'!$E$4:$E$2564='Analítico Cp.'!$B114),-('Diário 4º PA'!$Q$4:$Q$2564=G$1),('Diário 4º PA'!$F$4:$F$2564))+SUMPRODUCT(-('Comp.'!$D$5:$D$69='Analítico Cp.'!$B114),-('Comp.'!$K$5:$K$69=G$1),('Comp.'!$E$5:$E$69))</f>
        <v>0</v>
      </c>
      <c r="H114" s="12">
        <f>SUMPRODUCT(-('Diário 1º PA'!$E$4:$E$2635='Analítico Cp.'!$B114),-('Diário 1º PA'!$Q$4:$Q$2635=H$1),('Diário 1º PA'!$F$4:$F$2635))+SUMPRODUCT(-('Diário 2º PA'!$E$4:$E$3040='Analítico Cp.'!$B114),-('Diário 2º PA'!$Q$4:$Q$3040=H$1),('Diário 2º PA'!$F$4:$F$3040))+SUMPRODUCT(-('Diário 3º PA'!$E$4:$E$2731='Analítico Cp.'!$B114),-('Diário 3º PA'!$Q$4:$Q$2731=H$1),('Diário 3º PA'!$F$4:$F$2731))+SUMPRODUCT(-('Diário 4º PA'!$E$4:$E$2564='Analítico Cp.'!$B114),-('Diário 4º PA'!$Q$4:$Q$2564=H$1),('Diário 4º PA'!$F$4:$F$2564))+SUMPRODUCT(-('Comp.'!$D$5:$D$69='Analítico Cp.'!$B114),-('Comp.'!$K$5:$K$69=H$1),('Comp.'!$E$5:$E$69))</f>
        <v>0</v>
      </c>
      <c r="I114" s="12">
        <f>SUMPRODUCT(-('Diário 1º PA'!$E$4:$E$2635='Analítico Cp.'!$B114),-('Diário 1º PA'!$Q$4:$Q$2635=I$1),('Diário 1º PA'!$F$4:$F$2635))+SUMPRODUCT(-('Diário 2º PA'!$E$4:$E$3040='Analítico Cp.'!$B114),-('Diário 2º PA'!$Q$4:$Q$3040=I$1),('Diário 2º PA'!$F$4:$F$3040))+SUMPRODUCT(-('Diário 3º PA'!$E$4:$E$2731='Analítico Cp.'!$B114),-('Diário 3º PA'!$Q$4:$Q$2731=I$1),('Diário 3º PA'!$F$4:$F$2731))+SUMPRODUCT(-('Diário 4º PA'!$E$4:$E$2564='Analítico Cp.'!$B114),-('Diário 4º PA'!$Q$4:$Q$2564=I$1),('Diário 4º PA'!$F$4:$F$2564))+SUMPRODUCT(-('Comp.'!$D$5:$D$69='Analítico Cp.'!$B114),-('Comp.'!$K$5:$K$69=I$1),('Comp.'!$E$5:$E$69))</f>
        <v>0</v>
      </c>
      <c r="J114" s="12">
        <f>SUMPRODUCT(-('Diário 1º PA'!$E$4:$E$2635='Analítico Cp.'!$B114),-('Diário 1º PA'!$Q$4:$Q$2635=J$1),('Diário 1º PA'!$F$4:$F$2635))+SUMPRODUCT(-('Diário 2º PA'!$E$4:$E$3040='Analítico Cp.'!$B114),-('Diário 2º PA'!$Q$4:$Q$3040=J$1),('Diário 2º PA'!$F$4:$F$3040))+SUMPRODUCT(-('Diário 3º PA'!$E$4:$E$2731='Analítico Cp.'!$B114),-('Diário 3º PA'!$Q$4:$Q$2731=J$1),('Diário 3º PA'!$F$4:$F$2731))+SUMPRODUCT(-('Diário 4º PA'!$E$4:$E$2564='Analítico Cp.'!$B114),-('Diário 4º PA'!$Q$4:$Q$2564=J$1),('Diário 4º PA'!$F$4:$F$2564))+SUMPRODUCT(-('Comp.'!$D$5:$D$69='Analítico Cp.'!$B114),-('Comp.'!$K$5:$K$69=J$1),('Comp.'!$E$5:$E$69))</f>
        <v>0</v>
      </c>
      <c r="K114" s="12">
        <f>SUMPRODUCT(-('Diário 1º PA'!$E$4:$E$2635='Analítico Cp.'!$B114),-('Diário 1º PA'!$Q$4:$Q$2635=K$1),('Diário 1º PA'!$F$4:$F$2635))+SUMPRODUCT(-('Diário 2º PA'!$E$4:$E$3040='Analítico Cp.'!$B114),-('Diário 2º PA'!$Q$4:$Q$3040=K$1),('Diário 2º PA'!$F$4:$F$3040))+SUMPRODUCT(-('Diário 3º PA'!$E$4:$E$2731='Analítico Cp.'!$B114),-('Diário 3º PA'!$Q$4:$Q$2731=K$1),('Diário 3º PA'!$F$4:$F$2731))+SUMPRODUCT(-('Diário 4º PA'!$E$4:$E$2564='Analítico Cp.'!$B114),-('Diário 4º PA'!$Q$4:$Q$2564=K$1),('Diário 4º PA'!$F$4:$F$2564))+SUMPRODUCT(-('Comp.'!$D$5:$D$69='Analítico Cp.'!$B114),-('Comp.'!$K$5:$K$69=K$1),('Comp.'!$E$5:$E$69))</f>
        <v>0</v>
      </c>
      <c r="L114" s="12">
        <f>SUMPRODUCT(-('Diário 1º PA'!$E$4:$E$2635='Analítico Cp.'!$B114),-('Diário 1º PA'!$Q$4:$Q$2635=L$1),('Diário 1º PA'!$F$4:$F$2635))+SUMPRODUCT(-('Diário 2º PA'!$E$4:$E$3040='Analítico Cp.'!$B114),-('Diário 2º PA'!$Q$4:$Q$3040=L$1),('Diário 2º PA'!$F$4:$F$3040))+SUMPRODUCT(-('Diário 3º PA'!$E$4:$E$2731='Analítico Cp.'!$B114),-('Diário 3º PA'!$Q$4:$Q$2731=L$1),('Diário 3º PA'!$F$4:$F$2731))+SUMPRODUCT(-('Diário 4º PA'!$E$4:$E$2564='Analítico Cp.'!$B114),-('Diário 4º PA'!$Q$4:$Q$2564=L$1),('Diário 4º PA'!$F$4:$F$2564))+SUMPRODUCT(-('Comp.'!$D$5:$D$69='Analítico Cp.'!$B114),-('Comp.'!$K$5:$K$69=L$1),('Comp.'!$E$5:$E$69))</f>
        <v>10433.86</v>
      </c>
      <c r="M114" s="12">
        <f>SUMPRODUCT(-('Diário 1º PA'!$E$4:$E$2635='Analítico Cp.'!$B114),-('Diário 1º PA'!$Q$4:$Q$2635=M$1),('Diário 1º PA'!$F$4:$F$2635))+SUMPRODUCT(-('Diário 2º PA'!$E$4:$E$3040='Analítico Cp.'!$B114),-('Diário 2º PA'!$Q$4:$Q$3040=M$1),('Diário 2º PA'!$F$4:$F$3040))+SUMPRODUCT(-('Diário 3º PA'!$E$4:$E$2731='Analítico Cp.'!$B114),-('Diário 3º PA'!$Q$4:$Q$2731=M$1),('Diário 3º PA'!$F$4:$F$2731))+SUMPRODUCT(-('Diário 4º PA'!$E$4:$E$2564='Analítico Cp.'!$B114),-('Diário 4º PA'!$Q$4:$Q$2564=M$1),('Diário 4º PA'!$F$4:$F$2564))+SUMPRODUCT(-('Comp.'!$D$5:$D$69='Analítico Cp.'!$B114),-('Comp.'!$K$5:$K$69=M$1),('Comp.'!$E$5:$E$69))</f>
        <v>0</v>
      </c>
      <c r="N114" s="12">
        <f>SUMPRODUCT(-('Diário 1º PA'!$E$4:$E$2635='Analítico Cp.'!$B114),-('Diário 1º PA'!$Q$4:$Q$2635=N$1),('Diário 1º PA'!$F$4:$F$2635))+SUMPRODUCT(-('Diário 2º PA'!$E$4:$E$3040='Analítico Cp.'!$B114),-('Diário 2º PA'!$Q$4:$Q$3040=N$1),('Diário 2º PA'!$F$4:$F$3040))+SUMPRODUCT(-('Diário 3º PA'!$E$4:$E$2731='Analítico Cp.'!$B114),-('Diário 3º PA'!$Q$4:$Q$2731=N$1),('Diário 3º PA'!$F$4:$F$2731))+SUMPRODUCT(-('Diário 4º PA'!$E$4:$E$2564='Analítico Cp.'!$B114),-('Diário 4º PA'!$Q$4:$Q$2564=N$1),('Diário 4º PA'!$F$4:$F$2564))+SUMPRODUCT(-('Comp.'!$D$5:$D$69='Analítico Cp.'!$B114),-('Comp.'!$K$5:$K$69=N$1),('Comp.'!$E$5:$E$69))</f>
        <v>0</v>
      </c>
      <c r="O114" s="13">
        <f t="shared" si="12"/>
        <v>10433.86</v>
      </c>
      <c r="P114" s="167">
        <f t="shared" si="13"/>
        <v>8.5253644625036987E-4</v>
      </c>
    </row>
    <row r="115" spans="1:16" ht="23.25" customHeight="1" x14ac:dyDescent="0.2">
      <c r="A115" s="61" t="s">
        <v>221</v>
      </c>
      <c r="B115" s="103" t="s">
        <v>217</v>
      </c>
      <c r="C115" s="12">
        <f>SUMPRODUCT(-('Diário 1º PA'!$E$4:$E$2635='Analítico Cp.'!$B115),-('Diário 1º PA'!$Q$4:$Q$2635=C$1),('Diário 1º PA'!$F$4:$F$2635))+SUMPRODUCT(-('Diário 2º PA'!$E$4:$E$3040='Analítico Cp.'!$B115),-('Diário 2º PA'!$Q$4:$Q$3040=C$1),('Diário 2º PA'!$F$4:$F$3040))+SUMPRODUCT(-('Diário 3º PA'!$E$4:$E$2731='Analítico Cp.'!$B115),-('Diário 3º PA'!$Q$4:$Q$2731=C$1),('Diário 3º PA'!$F$4:$F$2731))+SUMPRODUCT(-('Diário 4º PA'!$E$4:$E$2564='Analítico Cp.'!$B115),-('Diário 4º PA'!$Q$4:$Q$2564=C$1),('Diário 4º PA'!$F$4:$F$2564))+SUMPRODUCT(-('Comp.'!$D$5:$D$69='Analítico Cp.'!$B115),-('Comp.'!$K$5:$K$69=C$1),('Comp.'!$E$5:$E$69))</f>
        <v>0</v>
      </c>
      <c r="D115" s="12">
        <f>SUMPRODUCT(-('Diário 1º PA'!$E$4:$E$2635='Analítico Cp.'!$B115),-('Diário 1º PA'!$Q$4:$Q$2635=D$1),('Diário 1º PA'!$F$4:$F$2635))+SUMPRODUCT(-('Diário 2º PA'!$E$4:$E$3040='Analítico Cp.'!$B115),-('Diário 2º PA'!$Q$4:$Q$3040=D$1),('Diário 2º PA'!$F$4:$F$3040))+SUMPRODUCT(-('Diário 3º PA'!$E$4:$E$2731='Analítico Cp.'!$B115),-('Diário 3º PA'!$Q$4:$Q$2731=D$1),('Diário 3º PA'!$F$4:$F$2731))+SUMPRODUCT(-('Diário 4º PA'!$E$4:$E$2564='Analítico Cp.'!$B115),-('Diário 4º PA'!$Q$4:$Q$2564=D$1),('Diário 4º PA'!$F$4:$F$2564))+SUMPRODUCT(-('Comp.'!$D$5:$D$69='Analítico Cp.'!$B115),-('Comp.'!$K$5:$K$69=D$1),('Comp.'!$E$5:$E$69))</f>
        <v>0</v>
      </c>
      <c r="E115" s="12">
        <f>SUMPRODUCT(-('Diário 1º PA'!$E$4:$E$2635='Analítico Cp.'!$B115),-('Diário 1º PA'!$Q$4:$Q$2635=E$1),('Diário 1º PA'!$F$4:$F$2635))+SUMPRODUCT(-('Diário 2º PA'!$E$4:$E$3040='Analítico Cp.'!$B115),-('Diário 2º PA'!$Q$4:$Q$3040=E$1),('Diário 2º PA'!$F$4:$F$3040))+SUMPRODUCT(-('Diário 3º PA'!$E$4:$E$2731='Analítico Cp.'!$B115),-('Diário 3º PA'!$Q$4:$Q$2731=E$1),('Diário 3º PA'!$F$4:$F$2731))+SUMPRODUCT(-('Diário 4º PA'!$E$4:$E$2564='Analítico Cp.'!$B115),-('Diário 4º PA'!$Q$4:$Q$2564=E$1),('Diário 4º PA'!$F$4:$F$2564))+SUMPRODUCT(-('Comp.'!$D$5:$D$69='Analítico Cp.'!$B115),-('Comp.'!$K$5:$K$69=E$1),('Comp.'!$E$5:$E$69))</f>
        <v>0</v>
      </c>
      <c r="F115" s="12">
        <f>SUMPRODUCT(-('Diário 1º PA'!$E$4:$E$2635='Analítico Cp.'!$B115),-('Diário 1º PA'!$Q$4:$Q$2635=F$1),('Diário 1º PA'!$F$4:$F$2635))+SUMPRODUCT(-('Diário 2º PA'!$E$4:$E$3040='Analítico Cp.'!$B115),-('Diário 2º PA'!$Q$4:$Q$3040=F$1),('Diário 2º PA'!$F$4:$F$3040))+SUMPRODUCT(-('Diário 3º PA'!$E$4:$E$2731='Analítico Cp.'!$B115),-('Diário 3º PA'!$Q$4:$Q$2731=F$1),('Diário 3º PA'!$F$4:$F$2731))+SUMPRODUCT(-('Diário 4º PA'!$E$4:$E$2564='Analítico Cp.'!$B115),-('Diário 4º PA'!$Q$4:$Q$2564=F$1),('Diário 4º PA'!$F$4:$F$2564))+SUMPRODUCT(-('Comp.'!$D$5:$D$69='Analítico Cp.'!$B115),-('Comp.'!$K$5:$K$69=F$1),('Comp.'!$E$5:$E$69))</f>
        <v>0</v>
      </c>
      <c r="G115" s="12">
        <f>SUMPRODUCT(-('Diário 1º PA'!$E$4:$E$2635='Analítico Cp.'!$B115),-('Diário 1º PA'!$Q$4:$Q$2635=G$1),('Diário 1º PA'!$F$4:$F$2635))+SUMPRODUCT(-('Diário 2º PA'!$E$4:$E$3040='Analítico Cp.'!$B115),-('Diário 2º PA'!$Q$4:$Q$3040=G$1),('Diário 2º PA'!$F$4:$F$3040))+SUMPRODUCT(-('Diário 3º PA'!$E$4:$E$2731='Analítico Cp.'!$B115),-('Diário 3º PA'!$Q$4:$Q$2731=G$1),('Diário 3º PA'!$F$4:$F$2731))+SUMPRODUCT(-('Diário 4º PA'!$E$4:$E$2564='Analítico Cp.'!$B115),-('Diário 4º PA'!$Q$4:$Q$2564=G$1),('Diário 4º PA'!$F$4:$F$2564))+SUMPRODUCT(-('Comp.'!$D$5:$D$69='Analítico Cp.'!$B115),-('Comp.'!$K$5:$K$69=G$1),('Comp.'!$E$5:$E$69))</f>
        <v>0</v>
      </c>
      <c r="H115" s="12">
        <f>SUMPRODUCT(-('Diário 1º PA'!$E$4:$E$2635='Analítico Cp.'!$B115),-('Diário 1º PA'!$Q$4:$Q$2635=H$1),('Diário 1º PA'!$F$4:$F$2635))+SUMPRODUCT(-('Diário 2º PA'!$E$4:$E$3040='Analítico Cp.'!$B115),-('Diário 2º PA'!$Q$4:$Q$3040=H$1),('Diário 2º PA'!$F$4:$F$3040))+SUMPRODUCT(-('Diário 3º PA'!$E$4:$E$2731='Analítico Cp.'!$B115),-('Diário 3º PA'!$Q$4:$Q$2731=H$1),('Diário 3º PA'!$F$4:$F$2731))+SUMPRODUCT(-('Diário 4º PA'!$E$4:$E$2564='Analítico Cp.'!$B115),-('Diário 4º PA'!$Q$4:$Q$2564=H$1),('Diário 4º PA'!$F$4:$F$2564))+SUMPRODUCT(-('Comp.'!$D$5:$D$69='Analítico Cp.'!$B115),-('Comp.'!$K$5:$K$69=H$1),('Comp.'!$E$5:$E$69))</f>
        <v>0</v>
      </c>
      <c r="I115" s="12">
        <f>SUMPRODUCT(-('Diário 1º PA'!$E$4:$E$2635='Analítico Cp.'!$B115),-('Diário 1º PA'!$Q$4:$Q$2635=I$1),('Diário 1º PA'!$F$4:$F$2635))+SUMPRODUCT(-('Diário 2º PA'!$E$4:$E$3040='Analítico Cp.'!$B115),-('Diário 2º PA'!$Q$4:$Q$3040=I$1),('Diário 2º PA'!$F$4:$F$3040))+SUMPRODUCT(-('Diário 3º PA'!$E$4:$E$2731='Analítico Cp.'!$B115),-('Diário 3º PA'!$Q$4:$Q$2731=I$1),('Diário 3º PA'!$F$4:$F$2731))+SUMPRODUCT(-('Diário 4º PA'!$E$4:$E$2564='Analítico Cp.'!$B115),-('Diário 4º PA'!$Q$4:$Q$2564=I$1),('Diário 4º PA'!$F$4:$F$2564))+SUMPRODUCT(-('Comp.'!$D$5:$D$69='Analítico Cp.'!$B115),-('Comp.'!$K$5:$K$69=I$1),('Comp.'!$E$5:$E$69))</f>
        <v>0</v>
      </c>
      <c r="J115" s="12">
        <f>SUMPRODUCT(-('Diário 1º PA'!$E$4:$E$2635='Analítico Cp.'!$B115),-('Diário 1º PA'!$Q$4:$Q$2635=J$1),('Diário 1º PA'!$F$4:$F$2635))+SUMPRODUCT(-('Diário 2º PA'!$E$4:$E$3040='Analítico Cp.'!$B115),-('Diário 2º PA'!$Q$4:$Q$3040=J$1),('Diário 2º PA'!$F$4:$F$3040))+SUMPRODUCT(-('Diário 3º PA'!$E$4:$E$2731='Analítico Cp.'!$B115),-('Diário 3º PA'!$Q$4:$Q$2731=J$1),('Diário 3º PA'!$F$4:$F$2731))+SUMPRODUCT(-('Diário 4º PA'!$E$4:$E$2564='Analítico Cp.'!$B115),-('Diário 4º PA'!$Q$4:$Q$2564=J$1),('Diário 4º PA'!$F$4:$F$2564))+SUMPRODUCT(-('Comp.'!$D$5:$D$69='Analítico Cp.'!$B115),-('Comp.'!$K$5:$K$69=J$1),('Comp.'!$E$5:$E$69))</f>
        <v>0</v>
      </c>
      <c r="K115" s="12">
        <f>SUMPRODUCT(-('Diário 1º PA'!$E$4:$E$2635='Analítico Cp.'!$B115),-('Diário 1º PA'!$Q$4:$Q$2635=K$1),('Diário 1º PA'!$F$4:$F$2635))+SUMPRODUCT(-('Diário 2º PA'!$E$4:$E$3040='Analítico Cp.'!$B115),-('Diário 2º PA'!$Q$4:$Q$3040=K$1),('Diário 2º PA'!$F$4:$F$3040))+SUMPRODUCT(-('Diário 3º PA'!$E$4:$E$2731='Analítico Cp.'!$B115),-('Diário 3º PA'!$Q$4:$Q$2731=K$1),('Diário 3º PA'!$F$4:$F$2731))+SUMPRODUCT(-('Diário 4º PA'!$E$4:$E$2564='Analítico Cp.'!$B115),-('Diário 4º PA'!$Q$4:$Q$2564=K$1),('Diário 4º PA'!$F$4:$F$2564))+SUMPRODUCT(-('Comp.'!$D$5:$D$69='Analítico Cp.'!$B115),-('Comp.'!$K$5:$K$69=K$1),('Comp.'!$E$5:$E$69))</f>
        <v>0</v>
      </c>
      <c r="L115" s="12">
        <f>SUMPRODUCT(-('Diário 1º PA'!$E$4:$E$2635='Analítico Cp.'!$B115),-('Diário 1º PA'!$Q$4:$Q$2635=L$1),('Diário 1º PA'!$F$4:$F$2635))+SUMPRODUCT(-('Diário 2º PA'!$E$4:$E$3040='Analítico Cp.'!$B115),-('Diário 2º PA'!$Q$4:$Q$3040=L$1),('Diário 2º PA'!$F$4:$F$3040))+SUMPRODUCT(-('Diário 3º PA'!$E$4:$E$2731='Analítico Cp.'!$B115),-('Diário 3º PA'!$Q$4:$Q$2731=L$1),('Diário 3º PA'!$F$4:$F$2731))+SUMPRODUCT(-('Diário 4º PA'!$E$4:$E$2564='Analítico Cp.'!$B115),-('Diário 4º PA'!$Q$4:$Q$2564=L$1),('Diário 4º PA'!$F$4:$F$2564))+SUMPRODUCT(-('Comp.'!$D$5:$D$69='Analítico Cp.'!$B115),-('Comp.'!$K$5:$K$69=L$1),('Comp.'!$E$5:$E$69))</f>
        <v>0</v>
      </c>
      <c r="M115" s="12">
        <f>SUMPRODUCT(-('Diário 1º PA'!$E$4:$E$2635='Analítico Cp.'!$B115),-('Diário 1º PA'!$Q$4:$Q$2635=M$1),('Diário 1º PA'!$F$4:$F$2635))+SUMPRODUCT(-('Diário 2º PA'!$E$4:$E$3040='Analítico Cp.'!$B115),-('Diário 2º PA'!$Q$4:$Q$3040=M$1),('Diário 2º PA'!$F$4:$F$3040))+SUMPRODUCT(-('Diário 3º PA'!$E$4:$E$2731='Analítico Cp.'!$B115),-('Diário 3º PA'!$Q$4:$Q$2731=M$1),('Diário 3º PA'!$F$4:$F$2731))+SUMPRODUCT(-('Diário 4º PA'!$E$4:$E$2564='Analítico Cp.'!$B115),-('Diário 4º PA'!$Q$4:$Q$2564=M$1),('Diário 4º PA'!$F$4:$F$2564))+SUMPRODUCT(-('Comp.'!$D$5:$D$69='Analítico Cp.'!$B115),-('Comp.'!$K$5:$K$69=M$1),('Comp.'!$E$5:$E$69))</f>
        <v>0</v>
      </c>
      <c r="N115" s="12">
        <f>SUMPRODUCT(-('Diário 1º PA'!$E$4:$E$2635='Analítico Cp.'!$B115),-('Diário 1º PA'!$Q$4:$Q$2635=N$1),('Diário 1º PA'!$F$4:$F$2635))+SUMPRODUCT(-('Diário 2º PA'!$E$4:$E$3040='Analítico Cp.'!$B115),-('Diário 2º PA'!$Q$4:$Q$3040=N$1),('Diário 2º PA'!$F$4:$F$3040))+SUMPRODUCT(-('Diário 3º PA'!$E$4:$E$2731='Analítico Cp.'!$B115),-('Diário 3º PA'!$Q$4:$Q$2731=N$1),('Diário 3º PA'!$F$4:$F$2731))+SUMPRODUCT(-('Diário 4º PA'!$E$4:$E$2564='Analítico Cp.'!$B115),-('Diário 4º PA'!$Q$4:$Q$2564=N$1),('Diário 4º PA'!$F$4:$F$2564))+SUMPRODUCT(-('Comp.'!$D$5:$D$69='Analítico Cp.'!$B115),-('Comp.'!$K$5:$K$69=N$1),('Comp.'!$E$5:$E$69))</f>
        <v>0</v>
      </c>
      <c r="O115" s="13">
        <f t="shared" si="12"/>
        <v>0</v>
      </c>
      <c r="P115" s="167">
        <f t="shared" si="13"/>
        <v>0</v>
      </c>
    </row>
    <row r="116" spans="1:16" ht="23.25" customHeight="1" x14ac:dyDescent="0.2">
      <c r="A116" s="61" t="s">
        <v>265</v>
      </c>
      <c r="B116" s="103" t="s">
        <v>300</v>
      </c>
      <c r="C116" s="12">
        <f>SUMPRODUCT(-('Diário 1º PA'!$E$4:$E$2635='Analítico Cp.'!$B116),-('Diário 1º PA'!$Q$4:$Q$2635=C$1),('Diário 1º PA'!$F$4:$F$2635))+SUMPRODUCT(-('Diário 2º PA'!$E$4:$E$3040='Analítico Cp.'!$B116),-('Diário 2º PA'!$Q$4:$Q$3040=C$1),('Diário 2º PA'!$F$4:$F$3040))+SUMPRODUCT(-('Diário 3º PA'!$E$4:$E$2731='Analítico Cp.'!$B116),-('Diário 3º PA'!$Q$4:$Q$2731=C$1),('Diário 3º PA'!$F$4:$F$2731))+SUMPRODUCT(-('Diário 4º PA'!$E$4:$E$2564='Analítico Cp.'!$B116),-('Diário 4º PA'!$Q$4:$Q$2564=C$1),('Diário 4º PA'!$F$4:$F$2564))+SUMPRODUCT(-('Comp.'!$D$5:$D$69='Analítico Cp.'!$B116),-('Comp.'!$K$5:$K$69=C$1),('Comp.'!$E$5:$E$69))</f>
        <v>0</v>
      </c>
      <c r="D116" s="12">
        <f>SUMPRODUCT(-('Diário 1º PA'!$E$4:$E$2635='Analítico Cp.'!$B116),-('Diário 1º PA'!$Q$4:$Q$2635=D$1),('Diário 1º PA'!$F$4:$F$2635))+SUMPRODUCT(-('Diário 2º PA'!$E$4:$E$3040='Analítico Cp.'!$B116),-('Diário 2º PA'!$Q$4:$Q$3040=D$1),('Diário 2º PA'!$F$4:$F$3040))+SUMPRODUCT(-('Diário 3º PA'!$E$4:$E$2731='Analítico Cp.'!$B116),-('Diário 3º PA'!$Q$4:$Q$2731=D$1),('Diário 3º PA'!$F$4:$F$2731))+SUMPRODUCT(-('Diário 4º PA'!$E$4:$E$2564='Analítico Cp.'!$B116),-('Diário 4º PA'!$Q$4:$Q$2564=D$1),('Diário 4º PA'!$F$4:$F$2564))+SUMPRODUCT(-('Comp.'!$D$5:$D$69='Analítico Cp.'!$B116),-('Comp.'!$K$5:$K$69=D$1),('Comp.'!$E$5:$E$69))</f>
        <v>0</v>
      </c>
      <c r="E116" s="12">
        <f>SUMPRODUCT(-('Diário 1º PA'!$E$4:$E$2635='Analítico Cp.'!$B116),-('Diário 1º PA'!$Q$4:$Q$2635=E$1),('Diário 1º PA'!$F$4:$F$2635))+SUMPRODUCT(-('Diário 2º PA'!$E$4:$E$3040='Analítico Cp.'!$B116),-('Diário 2º PA'!$Q$4:$Q$3040=E$1),('Diário 2º PA'!$F$4:$F$3040))+SUMPRODUCT(-('Diário 3º PA'!$E$4:$E$2731='Analítico Cp.'!$B116),-('Diário 3º PA'!$Q$4:$Q$2731=E$1),('Diário 3º PA'!$F$4:$F$2731))+SUMPRODUCT(-('Diário 4º PA'!$E$4:$E$2564='Analítico Cp.'!$B116),-('Diário 4º PA'!$Q$4:$Q$2564=E$1),('Diário 4º PA'!$F$4:$F$2564))+SUMPRODUCT(-('Comp.'!$D$5:$D$69='Analítico Cp.'!$B116),-('Comp.'!$K$5:$K$69=E$1),('Comp.'!$E$5:$E$69))</f>
        <v>0</v>
      </c>
      <c r="F116" s="12">
        <f>SUMPRODUCT(-('Diário 1º PA'!$E$4:$E$2635='Analítico Cp.'!$B116),-('Diário 1º PA'!$Q$4:$Q$2635=F$1),('Diário 1º PA'!$F$4:$F$2635))+SUMPRODUCT(-('Diário 2º PA'!$E$4:$E$3040='Analítico Cp.'!$B116),-('Diário 2º PA'!$Q$4:$Q$3040=F$1),('Diário 2º PA'!$F$4:$F$3040))+SUMPRODUCT(-('Diário 3º PA'!$E$4:$E$2731='Analítico Cp.'!$B116),-('Diário 3º PA'!$Q$4:$Q$2731=F$1),('Diário 3º PA'!$F$4:$F$2731))+SUMPRODUCT(-('Diário 4º PA'!$E$4:$E$2564='Analítico Cp.'!$B116),-('Diário 4º PA'!$Q$4:$Q$2564=F$1),('Diário 4º PA'!$F$4:$F$2564))+SUMPRODUCT(-('Comp.'!$D$5:$D$69='Analítico Cp.'!$B116),-('Comp.'!$K$5:$K$69=F$1),('Comp.'!$E$5:$E$69))</f>
        <v>0</v>
      </c>
      <c r="G116" s="12">
        <f>SUMPRODUCT(-('Diário 1º PA'!$E$4:$E$2635='Analítico Cp.'!$B116),-('Diário 1º PA'!$Q$4:$Q$2635=G$1),('Diário 1º PA'!$F$4:$F$2635))+SUMPRODUCT(-('Diário 2º PA'!$E$4:$E$3040='Analítico Cp.'!$B116),-('Diário 2º PA'!$Q$4:$Q$3040=G$1),('Diário 2º PA'!$F$4:$F$3040))+SUMPRODUCT(-('Diário 3º PA'!$E$4:$E$2731='Analítico Cp.'!$B116),-('Diário 3º PA'!$Q$4:$Q$2731=G$1),('Diário 3º PA'!$F$4:$F$2731))+SUMPRODUCT(-('Diário 4º PA'!$E$4:$E$2564='Analítico Cp.'!$B116),-('Diário 4º PA'!$Q$4:$Q$2564=G$1),('Diário 4º PA'!$F$4:$F$2564))+SUMPRODUCT(-('Comp.'!$D$5:$D$69='Analítico Cp.'!$B116),-('Comp.'!$K$5:$K$69=G$1),('Comp.'!$E$5:$E$69))</f>
        <v>0</v>
      </c>
      <c r="H116" s="12">
        <f>SUMPRODUCT(-('Diário 1º PA'!$E$4:$E$2635='Analítico Cp.'!$B116),-('Diário 1º PA'!$Q$4:$Q$2635=H$1),('Diário 1º PA'!$F$4:$F$2635))+SUMPRODUCT(-('Diário 2º PA'!$E$4:$E$3040='Analítico Cp.'!$B116),-('Diário 2º PA'!$Q$4:$Q$3040=H$1),('Diário 2º PA'!$F$4:$F$3040))+SUMPRODUCT(-('Diário 3º PA'!$E$4:$E$2731='Analítico Cp.'!$B116),-('Diário 3º PA'!$Q$4:$Q$2731=H$1),('Diário 3º PA'!$F$4:$F$2731))+SUMPRODUCT(-('Diário 4º PA'!$E$4:$E$2564='Analítico Cp.'!$B116),-('Diário 4º PA'!$Q$4:$Q$2564=H$1),('Diário 4º PA'!$F$4:$F$2564))+SUMPRODUCT(-('Comp.'!$D$5:$D$69='Analítico Cp.'!$B116),-('Comp.'!$K$5:$K$69=H$1),('Comp.'!$E$5:$E$69))</f>
        <v>0</v>
      </c>
      <c r="I116" s="12">
        <f>SUMPRODUCT(-('Diário 1º PA'!$E$4:$E$2635='Analítico Cp.'!$B116),-('Diário 1º PA'!$Q$4:$Q$2635=I$1),('Diário 1º PA'!$F$4:$F$2635))+SUMPRODUCT(-('Diário 2º PA'!$E$4:$E$3040='Analítico Cp.'!$B116),-('Diário 2º PA'!$Q$4:$Q$3040=I$1),('Diário 2º PA'!$F$4:$F$3040))+SUMPRODUCT(-('Diário 3º PA'!$E$4:$E$2731='Analítico Cp.'!$B116),-('Diário 3º PA'!$Q$4:$Q$2731=I$1),('Diário 3º PA'!$F$4:$F$2731))+SUMPRODUCT(-('Diário 4º PA'!$E$4:$E$2564='Analítico Cp.'!$B116),-('Diário 4º PA'!$Q$4:$Q$2564=I$1),('Diário 4º PA'!$F$4:$F$2564))+SUMPRODUCT(-('Comp.'!$D$5:$D$69='Analítico Cp.'!$B116),-('Comp.'!$K$5:$K$69=I$1),('Comp.'!$E$5:$E$69))</f>
        <v>0</v>
      </c>
      <c r="J116" s="12">
        <f>SUMPRODUCT(-('Diário 1º PA'!$E$4:$E$2635='Analítico Cp.'!$B116),-('Diário 1º PA'!$Q$4:$Q$2635=J$1),('Diário 1º PA'!$F$4:$F$2635))+SUMPRODUCT(-('Diário 2º PA'!$E$4:$E$3040='Analítico Cp.'!$B116),-('Diário 2º PA'!$Q$4:$Q$3040=J$1),('Diário 2º PA'!$F$4:$F$3040))+SUMPRODUCT(-('Diário 3º PA'!$E$4:$E$2731='Analítico Cp.'!$B116),-('Diário 3º PA'!$Q$4:$Q$2731=J$1),('Diário 3º PA'!$F$4:$F$2731))+SUMPRODUCT(-('Diário 4º PA'!$E$4:$E$2564='Analítico Cp.'!$B116),-('Diário 4º PA'!$Q$4:$Q$2564=J$1),('Diário 4º PA'!$F$4:$F$2564))+SUMPRODUCT(-('Comp.'!$D$5:$D$69='Analítico Cp.'!$B116),-('Comp.'!$K$5:$K$69=J$1),('Comp.'!$E$5:$E$69))</f>
        <v>0</v>
      </c>
      <c r="K116" s="12">
        <f>SUMPRODUCT(-('Diário 1º PA'!$E$4:$E$2635='Analítico Cp.'!$B116),-('Diário 1º PA'!$Q$4:$Q$2635=K$1),('Diário 1º PA'!$F$4:$F$2635))+SUMPRODUCT(-('Diário 2º PA'!$E$4:$E$3040='Analítico Cp.'!$B116),-('Diário 2º PA'!$Q$4:$Q$3040=K$1),('Diário 2º PA'!$F$4:$F$3040))+SUMPRODUCT(-('Diário 3º PA'!$E$4:$E$2731='Analítico Cp.'!$B116),-('Diário 3º PA'!$Q$4:$Q$2731=K$1),('Diário 3º PA'!$F$4:$F$2731))+SUMPRODUCT(-('Diário 4º PA'!$E$4:$E$2564='Analítico Cp.'!$B116),-('Diário 4º PA'!$Q$4:$Q$2564=K$1),('Diário 4º PA'!$F$4:$F$2564))+SUMPRODUCT(-('Comp.'!$D$5:$D$69='Analítico Cp.'!$B116),-('Comp.'!$K$5:$K$69=K$1),('Comp.'!$E$5:$E$69))</f>
        <v>0</v>
      </c>
      <c r="L116" s="12">
        <f>SUMPRODUCT(-('Diário 1º PA'!$E$4:$E$2635='Analítico Cp.'!$B116),-('Diário 1º PA'!$Q$4:$Q$2635=L$1),('Diário 1º PA'!$F$4:$F$2635))+SUMPRODUCT(-('Diário 2º PA'!$E$4:$E$3040='Analítico Cp.'!$B116),-('Diário 2º PA'!$Q$4:$Q$3040=L$1),('Diário 2º PA'!$F$4:$F$3040))+SUMPRODUCT(-('Diário 3º PA'!$E$4:$E$2731='Analítico Cp.'!$B116),-('Diário 3º PA'!$Q$4:$Q$2731=L$1),('Diário 3º PA'!$F$4:$F$2731))+SUMPRODUCT(-('Diário 4º PA'!$E$4:$E$2564='Analítico Cp.'!$B116),-('Diário 4º PA'!$Q$4:$Q$2564=L$1),('Diário 4º PA'!$F$4:$F$2564))+SUMPRODUCT(-('Comp.'!$D$5:$D$69='Analítico Cp.'!$B116),-('Comp.'!$K$5:$K$69=L$1),('Comp.'!$E$5:$E$69))</f>
        <v>0</v>
      </c>
      <c r="M116" s="12">
        <f>SUMPRODUCT(-('Diário 1º PA'!$E$4:$E$2635='Analítico Cp.'!$B116),-('Diário 1º PA'!$Q$4:$Q$2635=M$1),('Diário 1º PA'!$F$4:$F$2635))+SUMPRODUCT(-('Diário 2º PA'!$E$4:$E$3040='Analítico Cp.'!$B116),-('Diário 2º PA'!$Q$4:$Q$3040=M$1),('Diário 2º PA'!$F$4:$F$3040))+SUMPRODUCT(-('Diário 3º PA'!$E$4:$E$2731='Analítico Cp.'!$B116),-('Diário 3º PA'!$Q$4:$Q$2731=M$1),('Diário 3º PA'!$F$4:$F$2731))+SUMPRODUCT(-('Diário 4º PA'!$E$4:$E$2564='Analítico Cp.'!$B116),-('Diário 4º PA'!$Q$4:$Q$2564=M$1),('Diário 4º PA'!$F$4:$F$2564))+SUMPRODUCT(-('Comp.'!$D$5:$D$69='Analítico Cp.'!$B116),-('Comp.'!$K$5:$K$69=M$1),('Comp.'!$E$5:$E$69))</f>
        <v>0</v>
      </c>
      <c r="N116" s="12">
        <f>SUMPRODUCT(-('Diário 1º PA'!$E$4:$E$2635='Analítico Cp.'!$B116),-('Diário 1º PA'!$Q$4:$Q$2635=N$1),('Diário 1º PA'!$F$4:$F$2635))+SUMPRODUCT(-('Diário 2º PA'!$E$4:$E$3040='Analítico Cp.'!$B116),-('Diário 2º PA'!$Q$4:$Q$3040=N$1),('Diário 2º PA'!$F$4:$F$3040))+SUMPRODUCT(-('Diário 3º PA'!$E$4:$E$2731='Analítico Cp.'!$B116),-('Diário 3º PA'!$Q$4:$Q$2731=N$1),('Diário 3º PA'!$F$4:$F$2731))+SUMPRODUCT(-('Diário 4º PA'!$E$4:$E$2564='Analítico Cp.'!$B116),-('Diário 4º PA'!$Q$4:$Q$2564=N$1),('Diário 4º PA'!$F$4:$F$2564))+SUMPRODUCT(-('Comp.'!$D$5:$D$69='Analítico Cp.'!$B116),-('Comp.'!$K$5:$K$69=N$1),('Comp.'!$E$5:$E$69))</f>
        <v>0</v>
      </c>
      <c r="O116" s="13">
        <f t="shared" si="12"/>
        <v>0</v>
      </c>
      <c r="P116" s="167">
        <f t="shared" si="13"/>
        <v>0</v>
      </c>
    </row>
    <row r="117" spans="1:16" ht="23.25" customHeight="1" x14ac:dyDescent="0.2">
      <c r="A117" s="61" t="s">
        <v>266</v>
      </c>
      <c r="B117" s="387" t="s">
        <v>297</v>
      </c>
      <c r="C117" s="12">
        <f>SUMPRODUCT(-('Diário 1º PA'!$E$4:$E$2635='Analítico Cp.'!$B117),-('Diário 1º PA'!$Q$4:$Q$2635=C$1),('Diário 1º PA'!$F$4:$F$2635))+SUMPRODUCT(-('Diário 2º PA'!$E$4:$E$3040='Analítico Cp.'!$B117),-('Diário 2º PA'!$Q$4:$Q$3040=C$1),('Diário 2º PA'!$F$4:$F$3040))+SUMPRODUCT(-('Diário 3º PA'!$E$4:$E$2731='Analítico Cp.'!$B117),-('Diário 3º PA'!$Q$4:$Q$2731=C$1),('Diário 3º PA'!$F$4:$F$2731))+SUMPRODUCT(-('Diário 4º PA'!$E$4:$E$2564='Analítico Cp.'!$B117),-('Diário 4º PA'!$Q$4:$Q$2564=C$1),('Diário 4º PA'!$F$4:$F$2564))+SUMPRODUCT(-('Comp.'!$D$5:$D$69='Analítico Cp.'!$B117),-('Comp.'!$K$5:$K$69=C$1),('Comp.'!$E$5:$E$69))</f>
        <v>37226.120000000003</v>
      </c>
      <c r="D117" s="12">
        <f>SUMPRODUCT(-('Diário 1º PA'!$E$4:$E$2635='Analítico Cp.'!$B117),-('Diário 1º PA'!$Q$4:$Q$2635=D$1),('Diário 1º PA'!$F$4:$F$2635))+SUMPRODUCT(-('Diário 2º PA'!$E$4:$E$3040='Analítico Cp.'!$B117),-('Diário 2º PA'!$Q$4:$Q$3040=D$1),('Diário 2º PA'!$F$4:$F$3040))+SUMPRODUCT(-('Diário 3º PA'!$E$4:$E$2731='Analítico Cp.'!$B117),-('Diário 3º PA'!$Q$4:$Q$2731=D$1),('Diário 3º PA'!$F$4:$F$2731))+SUMPRODUCT(-('Diário 4º PA'!$E$4:$E$2564='Analítico Cp.'!$B117),-('Diário 4º PA'!$Q$4:$Q$2564=D$1),('Diário 4º PA'!$F$4:$F$2564))+SUMPRODUCT(-('Comp.'!$D$5:$D$69='Analítico Cp.'!$B117),-('Comp.'!$K$5:$K$69=D$1),('Comp.'!$E$5:$E$69))</f>
        <v>34992.19</v>
      </c>
      <c r="E117" s="12">
        <f>SUMPRODUCT(-('Diário 1º PA'!$E$4:$E$2635='Analítico Cp.'!$B117),-('Diário 1º PA'!$Q$4:$Q$2635=E$1),('Diário 1º PA'!$F$4:$F$2635))+SUMPRODUCT(-('Diário 2º PA'!$E$4:$E$3040='Analítico Cp.'!$B117),-('Diário 2º PA'!$Q$4:$Q$3040=E$1),('Diário 2º PA'!$F$4:$F$3040))+SUMPRODUCT(-('Diário 3º PA'!$E$4:$E$2731='Analítico Cp.'!$B117),-('Diário 3º PA'!$Q$4:$Q$2731=E$1),('Diário 3º PA'!$F$4:$F$2731))+SUMPRODUCT(-('Diário 4º PA'!$E$4:$E$2564='Analítico Cp.'!$B117),-('Diário 4º PA'!$Q$4:$Q$2564=E$1),('Diário 4º PA'!$F$4:$F$2564))+SUMPRODUCT(-('Comp.'!$D$5:$D$69='Analítico Cp.'!$B117),-('Comp.'!$K$5:$K$69=E$1),('Comp.'!$E$5:$E$69))</f>
        <v>67128.88</v>
      </c>
      <c r="F117" s="12">
        <f>SUMPRODUCT(-('Diário 1º PA'!$E$4:$E$2635='Analítico Cp.'!$B117),-('Diário 1º PA'!$Q$4:$Q$2635=F$1),('Diário 1º PA'!$F$4:$F$2635))+SUMPRODUCT(-('Diário 2º PA'!$E$4:$E$3040='Analítico Cp.'!$B117),-('Diário 2º PA'!$Q$4:$Q$3040=F$1),('Diário 2º PA'!$F$4:$F$3040))+SUMPRODUCT(-('Diário 3º PA'!$E$4:$E$2731='Analítico Cp.'!$B117),-('Diário 3º PA'!$Q$4:$Q$2731=F$1),('Diário 3º PA'!$F$4:$F$2731))+SUMPRODUCT(-('Diário 4º PA'!$E$4:$E$2564='Analítico Cp.'!$B117),-('Diário 4º PA'!$Q$4:$Q$2564=F$1),('Diário 4º PA'!$F$4:$F$2564))+SUMPRODUCT(-('Comp.'!$D$5:$D$69='Analítico Cp.'!$B117),-('Comp.'!$K$5:$K$69=F$1),('Comp.'!$E$5:$E$69))</f>
        <v>27360.440000000006</v>
      </c>
      <c r="G117" s="12">
        <f>SUMPRODUCT(-('Diário 1º PA'!$E$4:$E$2635='Analítico Cp.'!$B117),-('Diário 1º PA'!$Q$4:$Q$2635=G$1),('Diário 1º PA'!$F$4:$F$2635))+SUMPRODUCT(-('Diário 2º PA'!$E$4:$E$3040='Analítico Cp.'!$B117),-('Diário 2º PA'!$Q$4:$Q$3040=G$1),('Diário 2º PA'!$F$4:$F$3040))+SUMPRODUCT(-('Diário 3º PA'!$E$4:$E$2731='Analítico Cp.'!$B117),-('Diário 3º PA'!$Q$4:$Q$2731=G$1),('Diário 3º PA'!$F$4:$F$2731))+SUMPRODUCT(-('Diário 4º PA'!$E$4:$E$2564='Analítico Cp.'!$B117),-('Diário 4º PA'!$Q$4:$Q$2564=G$1),('Diário 4º PA'!$F$4:$F$2564))+SUMPRODUCT(-('Comp.'!$D$5:$D$69='Analítico Cp.'!$B117),-('Comp.'!$K$5:$K$69=G$1),('Comp.'!$E$5:$E$69))</f>
        <v>26936.09</v>
      </c>
      <c r="H117" s="12">
        <f>SUMPRODUCT(-('Diário 1º PA'!$E$4:$E$2635='Analítico Cp.'!$B117),-('Diário 1º PA'!$Q$4:$Q$2635=H$1),('Diário 1º PA'!$F$4:$F$2635))+SUMPRODUCT(-('Diário 2º PA'!$E$4:$E$3040='Analítico Cp.'!$B117),-('Diário 2º PA'!$Q$4:$Q$3040=H$1),('Diário 2º PA'!$F$4:$F$3040))+SUMPRODUCT(-('Diário 3º PA'!$E$4:$E$2731='Analítico Cp.'!$B117),-('Diário 3º PA'!$Q$4:$Q$2731=H$1),('Diário 3º PA'!$F$4:$F$2731))+SUMPRODUCT(-('Diário 4º PA'!$E$4:$E$2564='Analítico Cp.'!$B117),-('Diário 4º PA'!$Q$4:$Q$2564=H$1),('Diário 4º PA'!$F$4:$F$2564))+SUMPRODUCT(-('Comp.'!$D$5:$D$69='Analítico Cp.'!$B117),-('Comp.'!$K$5:$K$69=H$1),('Comp.'!$E$5:$E$69))</f>
        <v>34198.80999999999</v>
      </c>
      <c r="I117" s="12">
        <f>SUMPRODUCT(-('Diário 1º PA'!$E$4:$E$2635='Analítico Cp.'!$B117),-('Diário 1º PA'!$Q$4:$Q$2635=I$1),('Diário 1º PA'!$F$4:$F$2635))+SUMPRODUCT(-('Diário 2º PA'!$E$4:$E$3040='Analítico Cp.'!$B117),-('Diário 2º PA'!$Q$4:$Q$3040=I$1),('Diário 2º PA'!$F$4:$F$3040))+SUMPRODUCT(-('Diário 3º PA'!$E$4:$E$2731='Analítico Cp.'!$B117),-('Diário 3º PA'!$Q$4:$Q$2731=I$1),('Diário 3º PA'!$F$4:$F$2731))+SUMPRODUCT(-('Diário 4º PA'!$E$4:$E$2564='Analítico Cp.'!$B117),-('Diário 4º PA'!$Q$4:$Q$2564=I$1),('Diário 4º PA'!$F$4:$F$2564))+SUMPRODUCT(-('Comp.'!$D$5:$D$69='Analítico Cp.'!$B117),-('Comp.'!$K$5:$K$69=I$1),('Comp.'!$E$5:$E$69))</f>
        <v>29640.479999999996</v>
      </c>
      <c r="J117" s="12">
        <f>SUMPRODUCT(-('Diário 1º PA'!$E$4:$E$2635='Analítico Cp.'!$B117),-('Diário 1º PA'!$Q$4:$Q$2635=J$1),('Diário 1º PA'!$F$4:$F$2635))+SUMPRODUCT(-('Diário 2º PA'!$E$4:$E$3040='Analítico Cp.'!$B117),-('Diário 2º PA'!$Q$4:$Q$3040=J$1),('Diário 2º PA'!$F$4:$F$3040))+SUMPRODUCT(-('Diário 3º PA'!$E$4:$E$2731='Analítico Cp.'!$B117),-('Diário 3º PA'!$Q$4:$Q$2731=J$1),('Diário 3º PA'!$F$4:$F$2731))+SUMPRODUCT(-('Diário 4º PA'!$E$4:$E$2564='Analítico Cp.'!$B117),-('Diário 4º PA'!$Q$4:$Q$2564=J$1),('Diário 4º PA'!$F$4:$F$2564))+SUMPRODUCT(-('Comp.'!$D$5:$D$69='Analítico Cp.'!$B117),-('Comp.'!$K$5:$K$69=J$1),('Comp.'!$E$5:$E$69))</f>
        <v>26960.98</v>
      </c>
      <c r="K117" s="12">
        <f>SUMPRODUCT(-('Diário 1º PA'!$E$4:$E$2635='Analítico Cp.'!$B117),-('Diário 1º PA'!$Q$4:$Q$2635=K$1),('Diário 1º PA'!$F$4:$F$2635))+SUMPRODUCT(-('Diário 2º PA'!$E$4:$E$3040='Analítico Cp.'!$B117),-('Diário 2º PA'!$Q$4:$Q$3040=K$1),('Diário 2º PA'!$F$4:$F$3040))+SUMPRODUCT(-('Diário 3º PA'!$E$4:$E$2731='Analítico Cp.'!$B117),-('Diário 3º PA'!$Q$4:$Q$2731=K$1),('Diário 3º PA'!$F$4:$F$2731))+SUMPRODUCT(-('Diário 4º PA'!$E$4:$E$2564='Analítico Cp.'!$B117),-('Diário 4º PA'!$Q$4:$Q$2564=K$1),('Diário 4º PA'!$F$4:$F$2564))+SUMPRODUCT(-('Comp.'!$D$5:$D$69='Analítico Cp.'!$B117),-('Comp.'!$K$5:$K$69=K$1),('Comp.'!$E$5:$E$69))</f>
        <v>26207.030000000002</v>
      </c>
      <c r="L117" s="12">
        <f>SUMPRODUCT(-('Diário 1º PA'!$E$4:$E$2635='Analítico Cp.'!$B117),-('Diário 1º PA'!$Q$4:$Q$2635=L$1),('Diário 1º PA'!$F$4:$F$2635))+SUMPRODUCT(-('Diário 2º PA'!$E$4:$E$3040='Analítico Cp.'!$B117),-('Diário 2º PA'!$Q$4:$Q$3040=L$1),('Diário 2º PA'!$F$4:$F$3040))+SUMPRODUCT(-('Diário 3º PA'!$E$4:$E$2731='Analítico Cp.'!$B117),-('Diário 3º PA'!$Q$4:$Q$2731=L$1),('Diário 3º PA'!$F$4:$F$2731))+SUMPRODUCT(-('Diário 4º PA'!$E$4:$E$2564='Analítico Cp.'!$B117),-('Diário 4º PA'!$Q$4:$Q$2564=L$1),('Diário 4º PA'!$F$4:$F$2564))+SUMPRODUCT(-('Comp.'!$D$5:$D$69='Analítico Cp.'!$B117),-('Comp.'!$K$5:$K$69=L$1),('Comp.'!$E$5:$E$69))</f>
        <v>31057.260000000009</v>
      </c>
      <c r="M117" s="12">
        <f>SUMPRODUCT(-('Diário 1º PA'!$E$4:$E$2635='Analítico Cp.'!$B117),-('Diário 1º PA'!$Q$4:$Q$2635=M$1),('Diário 1º PA'!$F$4:$F$2635))+SUMPRODUCT(-('Diário 2º PA'!$E$4:$E$3040='Analítico Cp.'!$B117),-('Diário 2º PA'!$Q$4:$Q$3040=M$1),('Diário 2º PA'!$F$4:$F$3040))+SUMPRODUCT(-('Diário 3º PA'!$E$4:$E$2731='Analítico Cp.'!$B117),-('Diário 3º PA'!$Q$4:$Q$2731=M$1),('Diário 3º PA'!$F$4:$F$2731))+SUMPRODUCT(-('Diário 4º PA'!$E$4:$E$2564='Analítico Cp.'!$B117),-('Diário 4º PA'!$Q$4:$Q$2564=M$1),('Diário 4º PA'!$F$4:$F$2564))+SUMPRODUCT(-('Comp.'!$D$5:$D$69='Analítico Cp.'!$B117),-('Comp.'!$K$5:$K$69=M$1),('Comp.'!$E$5:$E$69))</f>
        <v>39303.069999999992</v>
      </c>
      <c r="N117" s="12">
        <f>SUMPRODUCT(-('Diário 1º PA'!$E$4:$E$2635='Analítico Cp.'!$B117),-('Diário 1º PA'!$Q$4:$Q$2635=N$1),('Diário 1º PA'!$F$4:$F$2635))+SUMPRODUCT(-('Diário 2º PA'!$E$4:$E$3040='Analítico Cp.'!$B117),-('Diário 2º PA'!$Q$4:$Q$3040=N$1),('Diário 2º PA'!$F$4:$F$3040))+SUMPRODUCT(-('Diário 3º PA'!$E$4:$E$2731='Analítico Cp.'!$B117),-('Diário 3º PA'!$Q$4:$Q$2731=N$1),('Diário 3º PA'!$F$4:$F$2731))+SUMPRODUCT(-('Diário 4º PA'!$E$4:$E$2564='Analítico Cp.'!$B117),-('Diário 4º PA'!$Q$4:$Q$2564=N$1),('Diário 4º PA'!$F$4:$F$2564))+SUMPRODUCT(-('Comp.'!$D$5:$D$69='Analítico Cp.'!$B117),-('Comp.'!$K$5:$K$69=N$1),('Comp.'!$E$5:$E$69))</f>
        <v>22341.95</v>
      </c>
      <c r="O117" s="13">
        <f t="shared" ref="O117:O145" si="14">SUM(C117:N117)</f>
        <v>403353.30000000005</v>
      </c>
      <c r="P117" s="167">
        <f t="shared" si="13"/>
        <v>3.2957447096794414E-2</v>
      </c>
    </row>
    <row r="118" spans="1:16" ht="23.25" customHeight="1" x14ac:dyDescent="0.2">
      <c r="A118" s="61" t="s">
        <v>412</v>
      </c>
      <c r="B118" s="387" t="s">
        <v>440</v>
      </c>
      <c r="C118" s="12">
        <f>SUMPRODUCT(-('Diário 1º PA'!$E$4:$E$2635='Analítico Cp.'!$B118),-('Diário 1º PA'!$Q$4:$Q$2635=C$1),('Diário 1º PA'!$F$4:$F$2635))+SUMPRODUCT(-('Diário 2º PA'!$E$4:$E$3040='Analítico Cp.'!$B118),-('Diário 2º PA'!$Q$4:$Q$3040=C$1),('Diário 2º PA'!$F$4:$F$3040))+SUMPRODUCT(-('Diário 3º PA'!$E$4:$E$2731='Analítico Cp.'!$B118),-('Diário 3º PA'!$Q$4:$Q$2731=C$1),('Diário 3º PA'!$F$4:$F$2731))+SUMPRODUCT(-('Diário 4º PA'!$E$4:$E$2564='Analítico Cp.'!$B118),-('Diário 4º PA'!$Q$4:$Q$2564=C$1),('Diário 4º PA'!$F$4:$F$2564))+SUMPRODUCT(-('Comp.'!$D$5:$D$69='Analítico Cp.'!$B118),-('Comp.'!$K$5:$K$69=C$1),('Comp.'!$E$5:$E$69))</f>
        <v>0</v>
      </c>
      <c r="D118" s="12">
        <f>SUMPRODUCT(-('Diário 1º PA'!$E$4:$E$2635='Analítico Cp.'!$B118),-('Diário 1º PA'!$Q$4:$Q$2635=D$1),('Diário 1º PA'!$F$4:$F$2635))+SUMPRODUCT(-('Diário 2º PA'!$E$4:$E$3040='Analítico Cp.'!$B118),-('Diário 2º PA'!$Q$4:$Q$3040=D$1),('Diário 2º PA'!$F$4:$F$3040))+SUMPRODUCT(-('Diário 3º PA'!$E$4:$E$2731='Analítico Cp.'!$B118),-('Diário 3º PA'!$Q$4:$Q$2731=D$1),('Diário 3º PA'!$F$4:$F$2731))+SUMPRODUCT(-('Diário 4º PA'!$E$4:$E$2564='Analítico Cp.'!$B118),-('Diário 4º PA'!$Q$4:$Q$2564=D$1),('Diário 4º PA'!$F$4:$F$2564))+SUMPRODUCT(-('Comp.'!$D$5:$D$69='Analítico Cp.'!$B118),-('Comp.'!$K$5:$K$69=D$1),('Comp.'!$E$5:$E$69))</f>
        <v>0</v>
      </c>
      <c r="E118" s="12">
        <f>SUMPRODUCT(-('Diário 1º PA'!$E$4:$E$2635='Analítico Cp.'!$B118),-('Diário 1º PA'!$Q$4:$Q$2635=E$1),('Diário 1º PA'!$F$4:$F$2635))+SUMPRODUCT(-('Diário 2º PA'!$E$4:$E$3040='Analítico Cp.'!$B118),-('Diário 2º PA'!$Q$4:$Q$3040=E$1),('Diário 2º PA'!$F$4:$F$3040))+SUMPRODUCT(-('Diário 3º PA'!$E$4:$E$2731='Analítico Cp.'!$B118),-('Diário 3º PA'!$Q$4:$Q$2731=E$1),('Diário 3º PA'!$F$4:$F$2731))+SUMPRODUCT(-('Diário 4º PA'!$E$4:$E$2564='Analítico Cp.'!$B118),-('Diário 4º PA'!$Q$4:$Q$2564=E$1),('Diário 4º PA'!$F$4:$F$2564))+SUMPRODUCT(-('Comp.'!$D$5:$D$69='Analítico Cp.'!$B118),-('Comp.'!$K$5:$K$69=E$1),('Comp.'!$E$5:$E$69))</f>
        <v>0</v>
      </c>
      <c r="F118" s="12">
        <f>SUMPRODUCT(-('Diário 1º PA'!$E$4:$E$2635='Analítico Cp.'!$B118),-('Diário 1º PA'!$Q$4:$Q$2635=F$1),('Diário 1º PA'!$F$4:$F$2635))+SUMPRODUCT(-('Diário 2º PA'!$E$4:$E$3040='Analítico Cp.'!$B118),-('Diário 2º PA'!$Q$4:$Q$3040=F$1),('Diário 2º PA'!$F$4:$F$3040))+SUMPRODUCT(-('Diário 3º PA'!$E$4:$E$2731='Analítico Cp.'!$B118),-('Diário 3º PA'!$Q$4:$Q$2731=F$1),('Diário 3º PA'!$F$4:$F$2731))+SUMPRODUCT(-('Diário 4º PA'!$E$4:$E$2564='Analítico Cp.'!$B118),-('Diário 4º PA'!$Q$4:$Q$2564=F$1),('Diário 4º PA'!$F$4:$F$2564))+SUMPRODUCT(-('Comp.'!$D$5:$D$69='Analítico Cp.'!$B118),-('Comp.'!$K$5:$K$69=F$1),('Comp.'!$E$5:$E$69))</f>
        <v>0</v>
      </c>
      <c r="G118" s="12">
        <f>SUMPRODUCT(-('Diário 1º PA'!$E$4:$E$2635='Analítico Cp.'!$B118),-('Diário 1º PA'!$Q$4:$Q$2635=G$1),('Diário 1º PA'!$F$4:$F$2635))+SUMPRODUCT(-('Diário 2º PA'!$E$4:$E$3040='Analítico Cp.'!$B118),-('Diário 2º PA'!$Q$4:$Q$3040=G$1),('Diário 2º PA'!$F$4:$F$3040))+SUMPRODUCT(-('Diário 3º PA'!$E$4:$E$2731='Analítico Cp.'!$B118),-('Diário 3º PA'!$Q$4:$Q$2731=G$1),('Diário 3º PA'!$F$4:$F$2731))+SUMPRODUCT(-('Diário 4º PA'!$E$4:$E$2564='Analítico Cp.'!$B118),-('Diário 4º PA'!$Q$4:$Q$2564=G$1),('Diário 4º PA'!$F$4:$F$2564))+SUMPRODUCT(-('Comp.'!$D$5:$D$69='Analítico Cp.'!$B118),-('Comp.'!$K$5:$K$69=G$1),('Comp.'!$E$5:$E$69))</f>
        <v>0</v>
      </c>
      <c r="H118" s="12">
        <f>SUMPRODUCT(-('Diário 1º PA'!$E$4:$E$2635='Analítico Cp.'!$B118),-('Diário 1º PA'!$Q$4:$Q$2635=H$1),('Diário 1º PA'!$F$4:$F$2635))+SUMPRODUCT(-('Diário 2º PA'!$E$4:$E$3040='Analítico Cp.'!$B118),-('Diário 2º PA'!$Q$4:$Q$3040=H$1),('Diário 2º PA'!$F$4:$F$3040))+SUMPRODUCT(-('Diário 3º PA'!$E$4:$E$2731='Analítico Cp.'!$B118),-('Diário 3º PA'!$Q$4:$Q$2731=H$1),('Diário 3º PA'!$F$4:$F$2731))+SUMPRODUCT(-('Diário 4º PA'!$E$4:$E$2564='Analítico Cp.'!$B118),-('Diário 4º PA'!$Q$4:$Q$2564=H$1),('Diário 4º PA'!$F$4:$F$2564))+SUMPRODUCT(-('Comp.'!$D$5:$D$69='Analítico Cp.'!$B118),-('Comp.'!$K$5:$K$69=H$1),('Comp.'!$E$5:$E$69))</f>
        <v>0</v>
      </c>
      <c r="I118" s="12">
        <f>SUMPRODUCT(-('Diário 1º PA'!$E$4:$E$2635='Analítico Cp.'!$B118),-('Diário 1º PA'!$Q$4:$Q$2635=I$1),('Diário 1º PA'!$F$4:$F$2635))+SUMPRODUCT(-('Diário 2º PA'!$E$4:$E$3040='Analítico Cp.'!$B118),-('Diário 2º PA'!$Q$4:$Q$3040=I$1),('Diário 2º PA'!$F$4:$F$3040))+SUMPRODUCT(-('Diário 3º PA'!$E$4:$E$2731='Analítico Cp.'!$B118),-('Diário 3º PA'!$Q$4:$Q$2731=I$1),('Diário 3º PA'!$F$4:$F$2731))+SUMPRODUCT(-('Diário 4º PA'!$E$4:$E$2564='Analítico Cp.'!$B118),-('Diário 4º PA'!$Q$4:$Q$2564=I$1),('Diário 4º PA'!$F$4:$F$2564))+SUMPRODUCT(-('Comp.'!$D$5:$D$69='Analítico Cp.'!$B118),-('Comp.'!$K$5:$K$69=I$1),('Comp.'!$E$5:$E$69))</f>
        <v>0</v>
      </c>
      <c r="J118" s="12">
        <f>SUMPRODUCT(-('Diário 1º PA'!$E$4:$E$2635='Analítico Cp.'!$B118),-('Diário 1º PA'!$Q$4:$Q$2635=J$1),('Diário 1º PA'!$F$4:$F$2635))+SUMPRODUCT(-('Diário 2º PA'!$E$4:$E$3040='Analítico Cp.'!$B118),-('Diário 2º PA'!$Q$4:$Q$3040=J$1),('Diário 2º PA'!$F$4:$F$3040))+SUMPRODUCT(-('Diário 3º PA'!$E$4:$E$2731='Analítico Cp.'!$B118),-('Diário 3º PA'!$Q$4:$Q$2731=J$1),('Diário 3º PA'!$F$4:$F$2731))+SUMPRODUCT(-('Diário 4º PA'!$E$4:$E$2564='Analítico Cp.'!$B118),-('Diário 4º PA'!$Q$4:$Q$2564=J$1),('Diário 4º PA'!$F$4:$F$2564))+SUMPRODUCT(-('Comp.'!$D$5:$D$69='Analítico Cp.'!$B118),-('Comp.'!$K$5:$K$69=J$1),('Comp.'!$E$5:$E$69))</f>
        <v>0</v>
      </c>
      <c r="K118" s="12">
        <f>SUMPRODUCT(-('Diário 1º PA'!$E$4:$E$2635='Analítico Cp.'!$B118),-('Diário 1º PA'!$Q$4:$Q$2635=K$1),('Diário 1º PA'!$F$4:$F$2635))+SUMPRODUCT(-('Diário 2º PA'!$E$4:$E$3040='Analítico Cp.'!$B118),-('Diário 2º PA'!$Q$4:$Q$3040=K$1),('Diário 2º PA'!$F$4:$F$3040))+SUMPRODUCT(-('Diário 3º PA'!$E$4:$E$2731='Analítico Cp.'!$B118),-('Diário 3º PA'!$Q$4:$Q$2731=K$1),('Diário 3º PA'!$F$4:$F$2731))+SUMPRODUCT(-('Diário 4º PA'!$E$4:$E$2564='Analítico Cp.'!$B118),-('Diário 4º PA'!$Q$4:$Q$2564=K$1),('Diário 4º PA'!$F$4:$F$2564))+SUMPRODUCT(-('Comp.'!$D$5:$D$69='Analítico Cp.'!$B118),-('Comp.'!$K$5:$K$69=K$1),('Comp.'!$E$5:$E$69))</f>
        <v>0</v>
      </c>
      <c r="L118" s="12">
        <f>SUMPRODUCT(-('Diário 1º PA'!$E$4:$E$2635='Analítico Cp.'!$B118),-('Diário 1º PA'!$Q$4:$Q$2635=L$1),('Diário 1º PA'!$F$4:$F$2635))+SUMPRODUCT(-('Diário 2º PA'!$E$4:$E$3040='Analítico Cp.'!$B118),-('Diário 2º PA'!$Q$4:$Q$3040=L$1),('Diário 2º PA'!$F$4:$F$3040))+SUMPRODUCT(-('Diário 3º PA'!$E$4:$E$2731='Analítico Cp.'!$B118),-('Diário 3º PA'!$Q$4:$Q$2731=L$1),('Diário 3º PA'!$F$4:$F$2731))+SUMPRODUCT(-('Diário 4º PA'!$E$4:$E$2564='Analítico Cp.'!$B118),-('Diário 4º PA'!$Q$4:$Q$2564=L$1),('Diário 4º PA'!$F$4:$F$2564))+SUMPRODUCT(-('Comp.'!$D$5:$D$69='Analítico Cp.'!$B118),-('Comp.'!$K$5:$K$69=L$1),('Comp.'!$E$5:$E$69))</f>
        <v>0</v>
      </c>
      <c r="M118" s="12">
        <f>SUMPRODUCT(-('Diário 1º PA'!$E$4:$E$2635='Analítico Cp.'!$B118),-('Diário 1º PA'!$Q$4:$Q$2635=M$1),('Diário 1º PA'!$F$4:$F$2635))+SUMPRODUCT(-('Diário 2º PA'!$E$4:$E$3040='Analítico Cp.'!$B118),-('Diário 2º PA'!$Q$4:$Q$3040=M$1),('Diário 2º PA'!$F$4:$F$3040))+SUMPRODUCT(-('Diário 3º PA'!$E$4:$E$2731='Analítico Cp.'!$B118),-('Diário 3º PA'!$Q$4:$Q$2731=M$1),('Diário 3º PA'!$F$4:$F$2731))+SUMPRODUCT(-('Diário 4º PA'!$E$4:$E$2564='Analítico Cp.'!$B118),-('Diário 4º PA'!$Q$4:$Q$2564=M$1),('Diário 4º PA'!$F$4:$F$2564))+SUMPRODUCT(-('Comp.'!$D$5:$D$69='Analítico Cp.'!$B118),-('Comp.'!$K$5:$K$69=M$1),('Comp.'!$E$5:$E$69))</f>
        <v>0</v>
      </c>
      <c r="N118" s="12">
        <f>SUMPRODUCT(-('Diário 1º PA'!$E$4:$E$2635='Analítico Cp.'!$B118),-('Diário 1º PA'!$Q$4:$Q$2635=N$1),('Diário 1º PA'!$F$4:$F$2635))+SUMPRODUCT(-('Diário 2º PA'!$E$4:$E$3040='Analítico Cp.'!$B118),-('Diário 2º PA'!$Q$4:$Q$3040=N$1),('Diário 2º PA'!$F$4:$F$3040))+SUMPRODUCT(-('Diário 3º PA'!$E$4:$E$2731='Analítico Cp.'!$B118),-('Diário 3º PA'!$Q$4:$Q$2731=N$1),('Diário 3º PA'!$F$4:$F$2731))+SUMPRODUCT(-('Diário 4º PA'!$E$4:$E$2564='Analítico Cp.'!$B118),-('Diário 4º PA'!$Q$4:$Q$2564=N$1),('Diário 4º PA'!$F$4:$F$2564))+SUMPRODUCT(-('Comp.'!$D$5:$D$69='Analítico Cp.'!$B118),-('Comp.'!$K$5:$K$69=N$1),('Comp.'!$E$5:$E$69))</f>
        <v>0</v>
      </c>
      <c r="O118" s="13">
        <f t="shared" si="14"/>
        <v>0</v>
      </c>
      <c r="P118" s="167">
        <f t="shared" si="13"/>
        <v>0</v>
      </c>
    </row>
    <row r="119" spans="1:16" ht="23.25" customHeight="1" x14ac:dyDescent="0.2">
      <c r="A119" s="61" t="s">
        <v>413</v>
      </c>
      <c r="B119" s="387" t="s">
        <v>441</v>
      </c>
      <c r="C119" s="12">
        <f>SUMPRODUCT(-('Diário 1º PA'!$E$4:$E$2635='Analítico Cp.'!$B119),-('Diário 1º PA'!$Q$4:$Q$2635=C$1),('Diário 1º PA'!$F$4:$F$2635))+SUMPRODUCT(-('Diário 2º PA'!$E$4:$E$3040='Analítico Cp.'!$B119),-('Diário 2º PA'!$Q$4:$Q$3040=C$1),('Diário 2º PA'!$F$4:$F$3040))+SUMPRODUCT(-('Diário 3º PA'!$E$4:$E$2731='Analítico Cp.'!$B119),-('Diário 3º PA'!$Q$4:$Q$2731=C$1),('Diário 3º PA'!$F$4:$F$2731))+SUMPRODUCT(-('Diário 4º PA'!$E$4:$E$2564='Analítico Cp.'!$B119),-('Diário 4º PA'!$Q$4:$Q$2564=C$1),('Diário 4º PA'!$F$4:$F$2564))+SUMPRODUCT(-('Comp.'!$D$5:$D$69='Analítico Cp.'!$B119),-('Comp.'!$K$5:$K$69=C$1),('Comp.'!$E$5:$E$69))</f>
        <v>0</v>
      </c>
      <c r="D119" s="12">
        <f>SUMPRODUCT(-('Diário 1º PA'!$E$4:$E$2635='Analítico Cp.'!$B119),-('Diário 1º PA'!$Q$4:$Q$2635=D$1),('Diário 1º PA'!$F$4:$F$2635))+SUMPRODUCT(-('Diário 2º PA'!$E$4:$E$3040='Analítico Cp.'!$B119),-('Diário 2º PA'!$Q$4:$Q$3040=D$1),('Diário 2º PA'!$F$4:$F$3040))+SUMPRODUCT(-('Diário 3º PA'!$E$4:$E$2731='Analítico Cp.'!$B119),-('Diário 3º PA'!$Q$4:$Q$2731=D$1),('Diário 3º PA'!$F$4:$F$2731))+SUMPRODUCT(-('Diário 4º PA'!$E$4:$E$2564='Analítico Cp.'!$B119),-('Diário 4º PA'!$Q$4:$Q$2564=D$1),('Diário 4º PA'!$F$4:$F$2564))+SUMPRODUCT(-('Comp.'!$D$5:$D$69='Analítico Cp.'!$B119),-('Comp.'!$K$5:$K$69=D$1),('Comp.'!$E$5:$E$69))</f>
        <v>0</v>
      </c>
      <c r="E119" s="12">
        <f>SUMPRODUCT(-('Diário 1º PA'!$E$4:$E$2635='Analítico Cp.'!$B119),-('Diário 1º PA'!$Q$4:$Q$2635=E$1),('Diário 1º PA'!$F$4:$F$2635))+SUMPRODUCT(-('Diário 2º PA'!$E$4:$E$3040='Analítico Cp.'!$B119),-('Diário 2º PA'!$Q$4:$Q$3040=E$1),('Diário 2º PA'!$F$4:$F$3040))+SUMPRODUCT(-('Diário 3º PA'!$E$4:$E$2731='Analítico Cp.'!$B119),-('Diário 3º PA'!$Q$4:$Q$2731=E$1),('Diário 3º PA'!$F$4:$F$2731))+SUMPRODUCT(-('Diário 4º PA'!$E$4:$E$2564='Analítico Cp.'!$B119),-('Diário 4º PA'!$Q$4:$Q$2564=E$1),('Diário 4º PA'!$F$4:$F$2564))+SUMPRODUCT(-('Comp.'!$D$5:$D$69='Analítico Cp.'!$B119),-('Comp.'!$K$5:$K$69=E$1),('Comp.'!$E$5:$E$69))</f>
        <v>0</v>
      </c>
      <c r="F119" s="12">
        <f>SUMPRODUCT(-('Diário 1º PA'!$E$4:$E$2635='Analítico Cp.'!$B119),-('Diário 1º PA'!$Q$4:$Q$2635=F$1),('Diário 1º PA'!$F$4:$F$2635))+SUMPRODUCT(-('Diário 2º PA'!$E$4:$E$3040='Analítico Cp.'!$B119),-('Diário 2º PA'!$Q$4:$Q$3040=F$1),('Diário 2º PA'!$F$4:$F$3040))+SUMPRODUCT(-('Diário 3º PA'!$E$4:$E$2731='Analítico Cp.'!$B119),-('Diário 3º PA'!$Q$4:$Q$2731=F$1),('Diário 3º PA'!$F$4:$F$2731))+SUMPRODUCT(-('Diário 4º PA'!$E$4:$E$2564='Analítico Cp.'!$B119),-('Diário 4º PA'!$Q$4:$Q$2564=F$1),('Diário 4º PA'!$F$4:$F$2564))+SUMPRODUCT(-('Comp.'!$D$5:$D$69='Analítico Cp.'!$B119),-('Comp.'!$K$5:$K$69=F$1),('Comp.'!$E$5:$E$69))</f>
        <v>0</v>
      </c>
      <c r="G119" s="12">
        <f>SUMPRODUCT(-('Diário 1º PA'!$E$4:$E$2635='Analítico Cp.'!$B119),-('Diário 1º PA'!$Q$4:$Q$2635=G$1),('Diário 1º PA'!$F$4:$F$2635))+SUMPRODUCT(-('Diário 2º PA'!$E$4:$E$3040='Analítico Cp.'!$B119),-('Diário 2º PA'!$Q$4:$Q$3040=G$1),('Diário 2º PA'!$F$4:$F$3040))+SUMPRODUCT(-('Diário 3º PA'!$E$4:$E$2731='Analítico Cp.'!$B119),-('Diário 3º PA'!$Q$4:$Q$2731=G$1),('Diário 3º PA'!$F$4:$F$2731))+SUMPRODUCT(-('Diário 4º PA'!$E$4:$E$2564='Analítico Cp.'!$B119),-('Diário 4º PA'!$Q$4:$Q$2564=G$1),('Diário 4º PA'!$F$4:$F$2564))+SUMPRODUCT(-('Comp.'!$D$5:$D$69='Analítico Cp.'!$B119),-('Comp.'!$K$5:$K$69=G$1),('Comp.'!$E$5:$E$69))</f>
        <v>0</v>
      </c>
      <c r="H119" s="12">
        <f>SUMPRODUCT(-('Diário 1º PA'!$E$4:$E$2635='Analítico Cp.'!$B119),-('Diário 1º PA'!$Q$4:$Q$2635=H$1),('Diário 1º PA'!$F$4:$F$2635))+SUMPRODUCT(-('Diário 2º PA'!$E$4:$E$3040='Analítico Cp.'!$B119),-('Diário 2º PA'!$Q$4:$Q$3040=H$1),('Diário 2º PA'!$F$4:$F$3040))+SUMPRODUCT(-('Diário 3º PA'!$E$4:$E$2731='Analítico Cp.'!$B119),-('Diário 3º PA'!$Q$4:$Q$2731=H$1),('Diário 3º PA'!$F$4:$F$2731))+SUMPRODUCT(-('Diário 4º PA'!$E$4:$E$2564='Analítico Cp.'!$B119),-('Diário 4º PA'!$Q$4:$Q$2564=H$1),('Diário 4º PA'!$F$4:$F$2564))+SUMPRODUCT(-('Comp.'!$D$5:$D$69='Analítico Cp.'!$B119),-('Comp.'!$K$5:$K$69=H$1),('Comp.'!$E$5:$E$69))</f>
        <v>0</v>
      </c>
      <c r="I119" s="12">
        <f>SUMPRODUCT(-('Diário 1º PA'!$E$4:$E$2635='Analítico Cp.'!$B119),-('Diário 1º PA'!$Q$4:$Q$2635=I$1),('Diário 1º PA'!$F$4:$F$2635))+SUMPRODUCT(-('Diário 2º PA'!$E$4:$E$3040='Analítico Cp.'!$B119),-('Diário 2º PA'!$Q$4:$Q$3040=I$1),('Diário 2º PA'!$F$4:$F$3040))+SUMPRODUCT(-('Diário 3º PA'!$E$4:$E$2731='Analítico Cp.'!$B119),-('Diário 3º PA'!$Q$4:$Q$2731=I$1),('Diário 3º PA'!$F$4:$F$2731))+SUMPRODUCT(-('Diário 4º PA'!$E$4:$E$2564='Analítico Cp.'!$B119),-('Diário 4º PA'!$Q$4:$Q$2564=I$1),('Diário 4º PA'!$F$4:$F$2564))+SUMPRODUCT(-('Comp.'!$D$5:$D$69='Analítico Cp.'!$B119),-('Comp.'!$K$5:$K$69=I$1),('Comp.'!$E$5:$E$69))</f>
        <v>0</v>
      </c>
      <c r="J119" s="12">
        <f>SUMPRODUCT(-('Diário 1º PA'!$E$4:$E$2635='Analítico Cp.'!$B119),-('Diário 1º PA'!$Q$4:$Q$2635=J$1),('Diário 1º PA'!$F$4:$F$2635))+SUMPRODUCT(-('Diário 2º PA'!$E$4:$E$3040='Analítico Cp.'!$B119),-('Diário 2º PA'!$Q$4:$Q$3040=J$1),('Diário 2º PA'!$F$4:$F$3040))+SUMPRODUCT(-('Diário 3º PA'!$E$4:$E$2731='Analítico Cp.'!$B119),-('Diário 3º PA'!$Q$4:$Q$2731=J$1),('Diário 3º PA'!$F$4:$F$2731))+SUMPRODUCT(-('Diário 4º PA'!$E$4:$E$2564='Analítico Cp.'!$B119),-('Diário 4º PA'!$Q$4:$Q$2564=J$1),('Diário 4º PA'!$F$4:$F$2564))+SUMPRODUCT(-('Comp.'!$D$5:$D$69='Analítico Cp.'!$B119),-('Comp.'!$K$5:$K$69=J$1),('Comp.'!$E$5:$E$69))</f>
        <v>0</v>
      </c>
      <c r="K119" s="12">
        <f>SUMPRODUCT(-('Diário 1º PA'!$E$4:$E$2635='Analítico Cp.'!$B119),-('Diário 1º PA'!$Q$4:$Q$2635=K$1),('Diário 1º PA'!$F$4:$F$2635))+SUMPRODUCT(-('Diário 2º PA'!$E$4:$E$3040='Analítico Cp.'!$B119),-('Diário 2º PA'!$Q$4:$Q$3040=K$1),('Diário 2º PA'!$F$4:$F$3040))+SUMPRODUCT(-('Diário 3º PA'!$E$4:$E$2731='Analítico Cp.'!$B119),-('Diário 3º PA'!$Q$4:$Q$2731=K$1),('Diário 3º PA'!$F$4:$F$2731))+SUMPRODUCT(-('Diário 4º PA'!$E$4:$E$2564='Analítico Cp.'!$B119),-('Diário 4º PA'!$Q$4:$Q$2564=K$1),('Diário 4º PA'!$F$4:$F$2564))+SUMPRODUCT(-('Comp.'!$D$5:$D$69='Analítico Cp.'!$B119),-('Comp.'!$K$5:$K$69=K$1),('Comp.'!$E$5:$E$69))</f>
        <v>0</v>
      </c>
      <c r="L119" s="12">
        <f>SUMPRODUCT(-('Diário 1º PA'!$E$4:$E$2635='Analítico Cp.'!$B119),-('Diário 1º PA'!$Q$4:$Q$2635=L$1),('Diário 1º PA'!$F$4:$F$2635))+SUMPRODUCT(-('Diário 2º PA'!$E$4:$E$3040='Analítico Cp.'!$B119),-('Diário 2º PA'!$Q$4:$Q$3040=L$1),('Diário 2º PA'!$F$4:$F$3040))+SUMPRODUCT(-('Diário 3º PA'!$E$4:$E$2731='Analítico Cp.'!$B119),-('Diário 3º PA'!$Q$4:$Q$2731=L$1),('Diário 3º PA'!$F$4:$F$2731))+SUMPRODUCT(-('Diário 4º PA'!$E$4:$E$2564='Analítico Cp.'!$B119),-('Diário 4º PA'!$Q$4:$Q$2564=L$1),('Diário 4º PA'!$F$4:$F$2564))+SUMPRODUCT(-('Comp.'!$D$5:$D$69='Analítico Cp.'!$B119),-('Comp.'!$K$5:$K$69=L$1),('Comp.'!$E$5:$E$69))</f>
        <v>0</v>
      </c>
      <c r="M119" s="12">
        <f>SUMPRODUCT(-('Diário 1º PA'!$E$4:$E$2635='Analítico Cp.'!$B119),-('Diário 1º PA'!$Q$4:$Q$2635=M$1),('Diário 1º PA'!$F$4:$F$2635))+SUMPRODUCT(-('Diário 2º PA'!$E$4:$E$3040='Analítico Cp.'!$B119),-('Diário 2º PA'!$Q$4:$Q$3040=M$1),('Diário 2º PA'!$F$4:$F$3040))+SUMPRODUCT(-('Diário 3º PA'!$E$4:$E$2731='Analítico Cp.'!$B119),-('Diário 3º PA'!$Q$4:$Q$2731=M$1),('Diário 3º PA'!$F$4:$F$2731))+SUMPRODUCT(-('Diário 4º PA'!$E$4:$E$2564='Analítico Cp.'!$B119),-('Diário 4º PA'!$Q$4:$Q$2564=M$1),('Diário 4º PA'!$F$4:$F$2564))+SUMPRODUCT(-('Comp.'!$D$5:$D$69='Analítico Cp.'!$B119),-('Comp.'!$K$5:$K$69=M$1),('Comp.'!$E$5:$E$69))</f>
        <v>0</v>
      </c>
      <c r="N119" s="12">
        <f>SUMPRODUCT(-('Diário 1º PA'!$E$4:$E$2635='Analítico Cp.'!$B119),-('Diário 1º PA'!$Q$4:$Q$2635=N$1),('Diário 1º PA'!$F$4:$F$2635))+SUMPRODUCT(-('Diário 2º PA'!$E$4:$E$3040='Analítico Cp.'!$B119),-('Diário 2º PA'!$Q$4:$Q$3040=N$1),('Diário 2º PA'!$F$4:$F$3040))+SUMPRODUCT(-('Diário 3º PA'!$E$4:$E$2731='Analítico Cp.'!$B119),-('Diário 3º PA'!$Q$4:$Q$2731=N$1),('Diário 3º PA'!$F$4:$F$2731))+SUMPRODUCT(-('Diário 4º PA'!$E$4:$E$2564='Analítico Cp.'!$B119),-('Diário 4º PA'!$Q$4:$Q$2564=N$1),('Diário 4º PA'!$F$4:$F$2564))+SUMPRODUCT(-('Comp.'!$D$5:$D$69='Analítico Cp.'!$B119),-('Comp.'!$K$5:$K$69=N$1),('Comp.'!$E$5:$E$69))</f>
        <v>0</v>
      </c>
      <c r="O119" s="13">
        <f t="shared" si="14"/>
        <v>0</v>
      </c>
      <c r="P119" s="167">
        <f t="shared" si="13"/>
        <v>0</v>
      </c>
    </row>
    <row r="120" spans="1:16" ht="23.25" customHeight="1" x14ac:dyDescent="0.2">
      <c r="A120" s="61" t="s">
        <v>414</v>
      </c>
      <c r="B120" s="387" t="s">
        <v>442</v>
      </c>
      <c r="C120" s="12">
        <f>SUMPRODUCT(-('Diário 1º PA'!$E$4:$E$2635='Analítico Cp.'!$B120),-('Diário 1º PA'!$Q$4:$Q$2635=C$1),('Diário 1º PA'!$F$4:$F$2635))+SUMPRODUCT(-('Diário 2º PA'!$E$4:$E$3040='Analítico Cp.'!$B120),-('Diário 2º PA'!$Q$4:$Q$3040=C$1),('Diário 2º PA'!$F$4:$F$3040))+SUMPRODUCT(-('Diário 3º PA'!$E$4:$E$2731='Analítico Cp.'!$B120),-('Diário 3º PA'!$Q$4:$Q$2731=C$1),('Diário 3º PA'!$F$4:$F$2731))+SUMPRODUCT(-('Diário 4º PA'!$E$4:$E$2564='Analítico Cp.'!$B120),-('Diário 4º PA'!$Q$4:$Q$2564=C$1),('Diário 4º PA'!$F$4:$F$2564))+SUMPRODUCT(-('Comp.'!$D$5:$D$69='Analítico Cp.'!$B120),-('Comp.'!$K$5:$K$69=C$1),('Comp.'!$E$5:$E$69))</f>
        <v>0</v>
      </c>
      <c r="D120" s="12">
        <f>SUMPRODUCT(-('Diário 1º PA'!$E$4:$E$2635='Analítico Cp.'!$B120),-('Diário 1º PA'!$Q$4:$Q$2635=D$1),('Diário 1º PA'!$F$4:$F$2635))+SUMPRODUCT(-('Diário 2º PA'!$E$4:$E$3040='Analítico Cp.'!$B120),-('Diário 2º PA'!$Q$4:$Q$3040=D$1),('Diário 2º PA'!$F$4:$F$3040))+SUMPRODUCT(-('Diário 3º PA'!$E$4:$E$2731='Analítico Cp.'!$B120),-('Diário 3º PA'!$Q$4:$Q$2731=D$1),('Diário 3º PA'!$F$4:$F$2731))+SUMPRODUCT(-('Diário 4º PA'!$E$4:$E$2564='Analítico Cp.'!$B120),-('Diário 4º PA'!$Q$4:$Q$2564=D$1),('Diário 4º PA'!$F$4:$F$2564))+SUMPRODUCT(-('Comp.'!$D$5:$D$69='Analítico Cp.'!$B120),-('Comp.'!$K$5:$K$69=D$1),('Comp.'!$E$5:$E$69))</f>
        <v>6900</v>
      </c>
      <c r="E120" s="12">
        <f>SUMPRODUCT(-('Diário 1º PA'!$E$4:$E$2635='Analítico Cp.'!$B120),-('Diário 1º PA'!$Q$4:$Q$2635=E$1),('Diário 1º PA'!$F$4:$F$2635))+SUMPRODUCT(-('Diário 2º PA'!$E$4:$E$3040='Analítico Cp.'!$B120),-('Diário 2º PA'!$Q$4:$Q$3040=E$1),('Diário 2º PA'!$F$4:$F$3040))+SUMPRODUCT(-('Diário 3º PA'!$E$4:$E$2731='Analítico Cp.'!$B120),-('Diário 3º PA'!$Q$4:$Q$2731=E$1),('Diário 3º PA'!$F$4:$F$2731))+SUMPRODUCT(-('Diário 4º PA'!$E$4:$E$2564='Analítico Cp.'!$B120),-('Diário 4º PA'!$Q$4:$Q$2564=E$1),('Diário 4º PA'!$F$4:$F$2564))+SUMPRODUCT(-('Comp.'!$D$5:$D$69='Analítico Cp.'!$B120),-('Comp.'!$K$5:$K$69=E$1),('Comp.'!$E$5:$E$69))</f>
        <v>11950</v>
      </c>
      <c r="F120" s="12">
        <f>SUMPRODUCT(-('Diário 1º PA'!$E$4:$E$2635='Analítico Cp.'!$B120),-('Diário 1º PA'!$Q$4:$Q$2635=F$1),('Diário 1º PA'!$F$4:$F$2635))+SUMPRODUCT(-('Diário 2º PA'!$E$4:$E$3040='Analítico Cp.'!$B120),-('Diário 2º PA'!$Q$4:$Q$3040=F$1),('Diário 2º PA'!$F$4:$F$3040))+SUMPRODUCT(-('Diário 3º PA'!$E$4:$E$2731='Analítico Cp.'!$B120),-('Diário 3º PA'!$Q$4:$Q$2731=F$1),('Diário 3º PA'!$F$4:$F$2731))+SUMPRODUCT(-('Diário 4º PA'!$E$4:$E$2564='Analítico Cp.'!$B120),-('Diário 4º PA'!$Q$4:$Q$2564=F$1),('Diário 4º PA'!$F$4:$F$2564))+SUMPRODUCT(-('Comp.'!$D$5:$D$69='Analítico Cp.'!$B120),-('Comp.'!$K$5:$K$69=F$1),('Comp.'!$E$5:$E$69))</f>
        <v>8472</v>
      </c>
      <c r="G120" s="12">
        <f>SUMPRODUCT(-('Diário 1º PA'!$E$4:$E$2635='Analítico Cp.'!$B120),-('Diário 1º PA'!$Q$4:$Q$2635=G$1),('Diário 1º PA'!$F$4:$F$2635))+SUMPRODUCT(-('Diário 2º PA'!$E$4:$E$3040='Analítico Cp.'!$B120),-('Diário 2º PA'!$Q$4:$Q$3040=G$1),('Diário 2º PA'!$F$4:$F$3040))+SUMPRODUCT(-('Diário 3º PA'!$E$4:$E$2731='Analítico Cp.'!$B120),-('Diário 3º PA'!$Q$4:$Q$2731=G$1),('Diário 3º PA'!$F$4:$F$2731))+SUMPRODUCT(-('Diário 4º PA'!$E$4:$E$2564='Analítico Cp.'!$B120),-('Diário 4º PA'!$Q$4:$Q$2564=G$1),('Diário 4º PA'!$F$4:$F$2564))+SUMPRODUCT(-('Comp.'!$D$5:$D$69='Analítico Cp.'!$B120),-('Comp.'!$K$5:$K$69=G$1),('Comp.'!$E$5:$E$69))</f>
        <v>5280</v>
      </c>
      <c r="H120" s="12">
        <f>SUMPRODUCT(-('Diário 1º PA'!$E$4:$E$2635='Analítico Cp.'!$B120),-('Diário 1º PA'!$Q$4:$Q$2635=H$1),('Diário 1º PA'!$F$4:$F$2635))+SUMPRODUCT(-('Diário 2º PA'!$E$4:$E$3040='Analítico Cp.'!$B120),-('Diário 2º PA'!$Q$4:$Q$3040=H$1),('Diário 2º PA'!$F$4:$F$3040))+SUMPRODUCT(-('Diário 3º PA'!$E$4:$E$2731='Analítico Cp.'!$B120),-('Diário 3º PA'!$Q$4:$Q$2731=H$1),('Diário 3º PA'!$F$4:$F$2731))+SUMPRODUCT(-('Diário 4º PA'!$E$4:$E$2564='Analítico Cp.'!$B120),-('Diário 4º PA'!$Q$4:$Q$2564=H$1),('Diário 4º PA'!$F$4:$F$2564))+SUMPRODUCT(-('Comp.'!$D$5:$D$69='Analítico Cp.'!$B120),-('Comp.'!$K$5:$K$69=H$1),('Comp.'!$E$5:$E$69))</f>
        <v>5380</v>
      </c>
      <c r="I120" s="12">
        <f>SUMPRODUCT(-('Diário 1º PA'!$E$4:$E$2635='Analítico Cp.'!$B120),-('Diário 1º PA'!$Q$4:$Q$2635=I$1),('Diário 1º PA'!$F$4:$F$2635))+SUMPRODUCT(-('Diário 2º PA'!$E$4:$E$3040='Analítico Cp.'!$B120),-('Diário 2º PA'!$Q$4:$Q$3040=I$1),('Diário 2º PA'!$F$4:$F$3040))+SUMPRODUCT(-('Diário 3º PA'!$E$4:$E$2731='Analítico Cp.'!$B120),-('Diário 3º PA'!$Q$4:$Q$2731=I$1),('Diário 3º PA'!$F$4:$F$2731))+SUMPRODUCT(-('Diário 4º PA'!$E$4:$E$2564='Analítico Cp.'!$B120),-('Diário 4º PA'!$Q$4:$Q$2564=I$1),('Diário 4º PA'!$F$4:$F$2564))+SUMPRODUCT(-('Comp.'!$D$5:$D$69='Analítico Cp.'!$B120),-('Comp.'!$K$5:$K$69=I$1),('Comp.'!$E$5:$E$69))</f>
        <v>9655.9999999999982</v>
      </c>
      <c r="J120" s="12">
        <f>SUMPRODUCT(-('Diário 1º PA'!$E$4:$E$2635='Analítico Cp.'!$B120),-('Diário 1º PA'!$Q$4:$Q$2635=J$1),('Diário 1º PA'!$F$4:$F$2635))+SUMPRODUCT(-('Diário 2º PA'!$E$4:$E$3040='Analítico Cp.'!$B120),-('Diário 2º PA'!$Q$4:$Q$3040=J$1),('Diário 2º PA'!$F$4:$F$3040))+SUMPRODUCT(-('Diário 3º PA'!$E$4:$E$2731='Analítico Cp.'!$B120),-('Diário 3º PA'!$Q$4:$Q$2731=J$1),('Diário 3º PA'!$F$4:$F$2731))+SUMPRODUCT(-('Diário 4º PA'!$E$4:$E$2564='Analítico Cp.'!$B120),-('Diário 4º PA'!$Q$4:$Q$2564=J$1),('Diário 4º PA'!$F$4:$F$2564))+SUMPRODUCT(-('Comp.'!$D$5:$D$69='Analítico Cp.'!$B120),-('Comp.'!$K$5:$K$69=J$1),('Comp.'!$E$5:$E$69))</f>
        <v>850</v>
      </c>
      <c r="K120" s="12">
        <f>SUMPRODUCT(-('Diário 1º PA'!$E$4:$E$2635='Analítico Cp.'!$B120),-('Diário 1º PA'!$Q$4:$Q$2635=K$1),('Diário 1º PA'!$F$4:$F$2635))+SUMPRODUCT(-('Diário 2º PA'!$E$4:$E$3040='Analítico Cp.'!$B120),-('Diário 2º PA'!$Q$4:$Q$3040=K$1),('Diário 2º PA'!$F$4:$F$3040))+SUMPRODUCT(-('Diário 3º PA'!$E$4:$E$2731='Analítico Cp.'!$B120),-('Diário 3º PA'!$Q$4:$Q$2731=K$1),('Diário 3º PA'!$F$4:$F$2731))+SUMPRODUCT(-('Diário 4º PA'!$E$4:$E$2564='Analítico Cp.'!$B120),-('Diário 4º PA'!$Q$4:$Q$2564=K$1),('Diário 4º PA'!$F$4:$F$2564))+SUMPRODUCT(-('Comp.'!$D$5:$D$69='Analítico Cp.'!$B120),-('Comp.'!$K$5:$K$69=K$1),('Comp.'!$E$5:$E$69))</f>
        <v>0</v>
      </c>
      <c r="L120" s="12">
        <f>SUMPRODUCT(-('Diário 1º PA'!$E$4:$E$2635='Analítico Cp.'!$B120),-('Diário 1º PA'!$Q$4:$Q$2635=L$1),('Diário 1º PA'!$F$4:$F$2635))+SUMPRODUCT(-('Diário 2º PA'!$E$4:$E$3040='Analítico Cp.'!$B120),-('Diário 2º PA'!$Q$4:$Q$3040=L$1),('Diário 2º PA'!$F$4:$F$3040))+SUMPRODUCT(-('Diário 3º PA'!$E$4:$E$2731='Analítico Cp.'!$B120),-('Diário 3º PA'!$Q$4:$Q$2731=L$1),('Diário 3º PA'!$F$4:$F$2731))+SUMPRODUCT(-('Diário 4º PA'!$E$4:$E$2564='Analítico Cp.'!$B120),-('Diário 4º PA'!$Q$4:$Q$2564=L$1),('Diário 4º PA'!$F$4:$F$2564))+SUMPRODUCT(-('Comp.'!$D$5:$D$69='Analítico Cp.'!$B120),-('Comp.'!$K$5:$K$69=L$1),('Comp.'!$E$5:$E$69))</f>
        <v>10599.999999999998</v>
      </c>
      <c r="M120" s="12">
        <f>SUMPRODUCT(-('Diário 1º PA'!$E$4:$E$2635='Analítico Cp.'!$B120),-('Diário 1º PA'!$Q$4:$Q$2635=M$1),('Diário 1º PA'!$F$4:$F$2635))+SUMPRODUCT(-('Diário 2º PA'!$E$4:$E$3040='Analítico Cp.'!$B120),-('Diário 2º PA'!$Q$4:$Q$3040=M$1),('Diário 2º PA'!$F$4:$F$3040))+SUMPRODUCT(-('Diário 3º PA'!$E$4:$E$2731='Analítico Cp.'!$B120),-('Diário 3º PA'!$Q$4:$Q$2731=M$1),('Diário 3º PA'!$F$4:$F$2731))+SUMPRODUCT(-('Diário 4º PA'!$E$4:$E$2564='Analítico Cp.'!$B120),-('Diário 4º PA'!$Q$4:$Q$2564=M$1),('Diário 4º PA'!$F$4:$F$2564))+SUMPRODUCT(-('Comp.'!$D$5:$D$69='Analítico Cp.'!$B120),-('Comp.'!$K$5:$K$69=M$1),('Comp.'!$E$5:$E$69))</f>
        <v>3000</v>
      </c>
      <c r="N120" s="12">
        <f>SUMPRODUCT(-('Diário 1º PA'!$E$4:$E$2635='Analítico Cp.'!$B120),-('Diário 1º PA'!$Q$4:$Q$2635=N$1),('Diário 1º PA'!$F$4:$F$2635))+SUMPRODUCT(-('Diário 2º PA'!$E$4:$E$3040='Analítico Cp.'!$B120),-('Diário 2º PA'!$Q$4:$Q$3040=N$1),('Diário 2º PA'!$F$4:$F$3040))+SUMPRODUCT(-('Diário 3º PA'!$E$4:$E$2731='Analítico Cp.'!$B120),-('Diário 3º PA'!$Q$4:$Q$2731=N$1),('Diário 3º PA'!$F$4:$F$2731))+SUMPRODUCT(-('Diário 4º PA'!$E$4:$E$2564='Analítico Cp.'!$B120),-('Diário 4º PA'!$Q$4:$Q$2564=N$1),('Diário 4º PA'!$F$4:$F$2564))+SUMPRODUCT(-('Comp.'!$D$5:$D$69='Analítico Cp.'!$B120),-('Comp.'!$K$5:$K$69=N$1),('Comp.'!$E$5:$E$69))</f>
        <v>301</v>
      </c>
      <c r="O120" s="13">
        <f t="shared" si="14"/>
        <v>62389</v>
      </c>
      <c r="P120" s="167">
        <f t="shared" ref="P120:P146" si="15">IF($O$164=0,0,O120/$O$164)</f>
        <v>5.0977199564796079E-3</v>
      </c>
    </row>
    <row r="121" spans="1:16" ht="23.25" customHeight="1" x14ac:dyDescent="0.2">
      <c r="A121" s="61" t="s">
        <v>415</v>
      </c>
      <c r="B121" s="387" t="s">
        <v>443</v>
      </c>
      <c r="C121" s="12">
        <f>SUMPRODUCT(-('Diário 1º PA'!$E$4:$E$2635='Analítico Cp.'!$B121),-('Diário 1º PA'!$Q$4:$Q$2635=C$1),('Diário 1º PA'!$F$4:$F$2635))+SUMPRODUCT(-('Diário 2º PA'!$E$4:$E$3040='Analítico Cp.'!$B121),-('Diário 2º PA'!$Q$4:$Q$3040=C$1),('Diário 2º PA'!$F$4:$F$3040))+SUMPRODUCT(-('Diário 3º PA'!$E$4:$E$2731='Analítico Cp.'!$B121),-('Diário 3º PA'!$Q$4:$Q$2731=C$1),('Diário 3º PA'!$F$4:$F$2731))+SUMPRODUCT(-('Diário 4º PA'!$E$4:$E$2564='Analítico Cp.'!$B121),-('Diário 4º PA'!$Q$4:$Q$2564=C$1),('Diário 4º PA'!$F$4:$F$2564))+SUMPRODUCT(-('Comp.'!$D$5:$D$69='Analítico Cp.'!$B121),-('Comp.'!$K$5:$K$69=C$1),('Comp.'!$E$5:$E$69))</f>
        <v>0</v>
      </c>
      <c r="D121" s="12">
        <f>SUMPRODUCT(-('Diário 1º PA'!$E$4:$E$2635='Analítico Cp.'!$B121),-('Diário 1º PA'!$Q$4:$Q$2635=D$1),('Diário 1º PA'!$F$4:$F$2635))+SUMPRODUCT(-('Diário 2º PA'!$E$4:$E$3040='Analítico Cp.'!$B121),-('Diário 2º PA'!$Q$4:$Q$3040=D$1),('Diário 2º PA'!$F$4:$F$3040))+SUMPRODUCT(-('Diário 3º PA'!$E$4:$E$2731='Analítico Cp.'!$B121),-('Diário 3º PA'!$Q$4:$Q$2731=D$1),('Diário 3º PA'!$F$4:$F$2731))+SUMPRODUCT(-('Diário 4º PA'!$E$4:$E$2564='Analítico Cp.'!$B121),-('Diário 4º PA'!$Q$4:$Q$2564=D$1),('Diário 4º PA'!$F$4:$F$2564))+SUMPRODUCT(-('Comp.'!$D$5:$D$69='Analítico Cp.'!$B121),-('Comp.'!$K$5:$K$69=D$1),('Comp.'!$E$5:$E$69))</f>
        <v>0</v>
      </c>
      <c r="E121" s="12">
        <f>SUMPRODUCT(-('Diário 1º PA'!$E$4:$E$2635='Analítico Cp.'!$B121),-('Diário 1º PA'!$Q$4:$Q$2635=E$1),('Diário 1º PA'!$F$4:$F$2635))+SUMPRODUCT(-('Diário 2º PA'!$E$4:$E$3040='Analítico Cp.'!$B121),-('Diário 2º PA'!$Q$4:$Q$3040=E$1),('Diário 2º PA'!$F$4:$F$3040))+SUMPRODUCT(-('Diário 3º PA'!$E$4:$E$2731='Analítico Cp.'!$B121),-('Diário 3º PA'!$Q$4:$Q$2731=E$1),('Diário 3º PA'!$F$4:$F$2731))+SUMPRODUCT(-('Diário 4º PA'!$E$4:$E$2564='Analítico Cp.'!$B121),-('Diário 4º PA'!$Q$4:$Q$2564=E$1),('Diário 4º PA'!$F$4:$F$2564))+SUMPRODUCT(-('Comp.'!$D$5:$D$69='Analítico Cp.'!$B121),-('Comp.'!$K$5:$K$69=E$1),('Comp.'!$E$5:$E$69))</f>
        <v>0</v>
      </c>
      <c r="F121" s="12">
        <f>SUMPRODUCT(-('Diário 1º PA'!$E$4:$E$2635='Analítico Cp.'!$B121),-('Diário 1º PA'!$Q$4:$Q$2635=F$1),('Diário 1º PA'!$F$4:$F$2635))+SUMPRODUCT(-('Diário 2º PA'!$E$4:$E$3040='Analítico Cp.'!$B121),-('Diário 2º PA'!$Q$4:$Q$3040=F$1),('Diário 2º PA'!$F$4:$F$3040))+SUMPRODUCT(-('Diário 3º PA'!$E$4:$E$2731='Analítico Cp.'!$B121),-('Diário 3º PA'!$Q$4:$Q$2731=F$1),('Diário 3º PA'!$F$4:$F$2731))+SUMPRODUCT(-('Diário 4º PA'!$E$4:$E$2564='Analítico Cp.'!$B121),-('Diário 4º PA'!$Q$4:$Q$2564=F$1),('Diário 4º PA'!$F$4:$F$2564))+SUMPRODUCT(-('Comp.'!$D$5:$D$69='Analítico Cp.'!$B121),-('Comp.'!$K$5:$K$69=F$1),('Comp.'!$E$5:$E$69))</f>
        <v>0</v>
      </c>
      <c r="G121" s="12">
        <f>SUMPRODUCT(-('Diário 1º PA'!$E$4:$E$2635='Analítico Cp.'!$B121),-('Diário 1º PA'!$Q$4:$Q$2635=G$1),('Diário 1º PA'!$F$4:$F$2635))+SUMPRODUCT(-('Diário 2º PA'!$E$4:$E$3040='Analítico Cp.'!$B121),-('Diário 2º PA'!$Q$4:$Q$3040=G$1),('Diário 2º PA'!$F$4:$F$3040))+SUMPRODUCT(-('Diário 3º PA'!$E$4:$E$2731='Analítico Cp.'!$B121),-('Diário 3º PA'!$Q$4:$Q$2731=G$1),('Diário 3º PA'!$F$4:$F$2731))+SUMPRODUCT(-('Diário 4º PA'!$E$4:$E$2564='Analítico Cp.'!$B121),-('Diário 4º PA'!$Q$4:$Q$2564=G$1),('Diário 4º PA'!$F$4:$F$2564))+SUMPRODUCT(-('Comp.'!$D$5:$D$69='Analítico Cp.'!$B121),-('Comp.'!$K$5:$K$69=G$1),('Comp.'!$E$5:$E$69))</f>
        <v>0</v>
      </c>
      <c r="H121" s="12">
        <f>SUMPRODUCT(-('Diário 1º PA'!$E$4:$E$2635='Analítico Cp.'!$B121),-('Diário 1º PA'!$Q$4:$Q$2635=H$1),('Diário 1º PA'!$F$4:$F$2635))+SUMPRODUCT(-('Diário 2º PA'!$E$4:$E$3040='Analítico Cp.'!$B121),-('Diário 2º PA'!$Q$4:$Q$3040=H$1),('Diário 2º PA'!$F$4:$F$3040))+SUMPRODUCT(-('Diário 3º PA'!$E$4:$E$2731='Analítico Cp.'!$B121),-('Diário 3º PA'!$Q$4:$Q$2731=H$1),('Diário 3º PA'!$F$4:$F$2731))+SUMPRODUCT(-('Diário 4º PA'!$E$4:$E$2564='Analítico Cp.'!$B121),-('Diário 4º PA'!$Q$4:$Q$2564=H$1),('Diário 4º PA'!$F$4:$F$2564))+SUMPRODUCT(-('Comp.'!$D$5:$D$69='Analítico Cp.'!$B121),-('Comp.'!$K$5:$K$69=H$1),('Comp.'!$E$5:$E$69))</f>
        <v>0</v>
      </c>
      <c r="I121" s="12">
        <f>SUMPRODUCT(-('Diário 1º PA'!$E$4:$E$2635='Analítico Cp.'!$B121),-('Diário 1º PA'!$Q$4:$Q$2635=I$1),('Diário 1º PA'!$F$4:$F$2635))+SUMPRODUCT(-('Diário 2º PA'!$E$4:$E$3040='Analítico Cp.'!$B121),-('Diário 2º PA'!$Q$4:$Q$3040=I$1),('Diário 2º PA'!$F$4:$F$3040))+SUMPRODUCT(-('Diário 3º PA'!$E$4:$E$2731='Analítico Cp.'!$B121),-('Diário 3º PA'!$Q$4:$Q$2731=I$1),('Diário 3º PA'!$F$4:$F$2731))+SUMPRODUCT(-('Diário 4º PA'!$E$4:$E$2564='Analítico Cp.'!$B121),-('Diário 4º PA'!$Q$4:$Q$2564=I$1),('Diário 4º PA'!$F$4:$F$2564))+SUMPRODUCT(-('Comp.'!$D$5:$D$69='Analítico Cp.'!$B121),-('Comp.'!$K$5:$K$69=I$1),('Comp.'!$E$5:$E$69))</f>
        <v>0</v>
      </c>
      <c r="J121" s="12">
        <f>SUMPRODUCT(-('Diário 1º PA'!$E$4:$E$2635='Analítico Cp.'!$B121),-('Diário 1º PA'!$Q$4:$Q$2635=J$1),('Diário 1º PA'!$F$4:$F$2635))+SUMPRODUCT(-('Diário 2º PA'!$E$4:$E$3040='Analítico Cp.'!$B121),-('Diário 2º PA'!$Q$4:$Q$3040=J$1),('Diário 2º PA'!$F$4:$F$3040))+SUMPRODUCT(-('Diário 3º PA'!$E$4:$E$2731='Analítico Cp.'!$B121),-('Diário 3º PA'!$Q$4:$Q$2731=J$1),('Diário 3º PA'!$F$4:$F$2731))+SUMPRODUCT(-('Diário 4º PA'!$E$4:$E$2564='Analítico Cp.'!$B121),-('Diário 4º PA'!$Q$4:$Q$2564=J$1),('Diário 4º PA'!$F$4:$F$2564))+SUMPRODUCT(-('Comp.'!$D$5:$D$69='Analítico Cp.'!$B121),-('Comp.'!$K$5:$K$69=J$1),('Comp.'!$E$5:$E$69))</f>
        <v>0</v>
      </c>
      <c r="K121" s="12">
        <f>SUMPRODUCT(-('Diário 1º PA'!$E$4:$E$2635='Analítico Cp.'!$B121),-('Diário 1º PA'!$Q$4:$Q$2635=K$1),('Diário 1º PA'!$F$4:$F$2635))+SUMPRODUCT(-('Diário 2º PA'!$E$4:$E$3040='Analítico Cp.'!$B121),-('Diário 2º PA'!$Q$4:$Q$3040=K$1),('Diário 2º PA'!$F$4:$F$3040))+SUMPRODUCT(-('Diário 3º PA'!$E$4:$E$2731='Analítico Cp.'!$B121),-('Diário 3º PA'!$Q$4:$Q$2731=K$1),('Diário 3º PA'!$F$4:$F$2731))+SUMPRODUCT(-('Diário 4º PA'!$E$4:$E$2564='Analítico Cp.'!$B121),-('Diário 4º PA'!$Q$4:$Q$2564=K$1),('Diário 4º PA'!$F$4:$F$2564))+SUMPRODUCT(-('Comp.'!$D$5:$D$69='Analítico Cp.'!$B121),-('Comp.'!$K$5:$K$69=K$1),('Comp.'!$E$5:$E$69))</f>
        <v>0</v>
      </c>
      <c r="L121" s="12">
        <f>SUMPRODUCT(-('Diário 1º PA'!$E$4:$E$2635='Analítico Cp.'!$B121),-('Diário 1º PA'!$Q$4:$Q$2635=L$1),('Diário 1º PA'!$F$4:$F$2635))+SUMPRODUCT(-('Diário 2º PA'!$E$4:$E$3040='Analítico Cp.'!$B121),-('Diário 2º PA'!$Q$4:$Q$3040=L$1),('Diário 2º PA'!$F$4:$F$3040))+SUMPRODUCT(-('Diário 3º PA'!$E$4:$E$2731='Analítico Cp.'!$B121),-('Diário 3º PA'!$Q$4:$Q$2731=L$1),('Diário 3º PA'!$F$4:$F$2731))+SUMPRODUCT(-('Diário 4º PA'!$E$4:$E$2564='Analítico Cp.'!$B121),-('Diário 4º PA'!$Q$4:$Q$2564=L$1),('Diário 4º PA'!$F$4:$F$2564))+SUMPRODUCT(-('Comp.'!$D$5:$D$69='Analítico Cp.'!$B121),-('Comp.'!$K$5:$K$69=L$1),('Comp.'!$E$5:$E$69))</f>
        <v>0</v>
      </c>
      <c r="M121" s="12">
        <f>SUMPRODUCT(-('Diário 1º PA'!$E$4:$E$2635='Analítico Cp.'!$B121),-('Diário 1º PA'!$Q$4:$Q$2635=M$1),('Diário 1º PA'!$F$4:$F$2635))+SUMPRODUCT(-('Diário 2º PA'!$E$4:$E$3040='Analítico Cp.'!$B121),-('Diário 2º PA'!$Q$4:$Q$3040=M$1),('Diário 2º PA'!$F$4:$F$3040))+SUMPRODUCT(-('Diário 3º PA'!$E$4:$E$2731='Analítico Cp.'!$B121),-('Diário 3º PA'!$Q$4:$Q$2731=M$1),('Diário 3º PA'!$F$4:$F$2731))+SUMPRODUCT(-('Diário 4º PA'!$E$4:$E$2564='Analítico Cp.'!$B121),-('Diário 4º PA'!$Q$4:$Q$2564=M$1),('Diário 4º PA'!$F$4:$F$2564))+SUMPRODUCT(-('Comp.'!$D$5:$D$69='Analítico Cp.'!$B121),-('Comp.'!$K$5:$K$69=M$1),('Comp.'!$E$5:$E$69))</f>
        <v>0</v>
      </c>
      <c r="N121" s="12">
        <f>SUMPRODUCT(-('Diário 1º PA'!$E$4:$E$2635='Analítico Cp.'!$B121),-('Diário 1º PA'!$Q$4:$Q$2635=N$1),('Diário 1º PA'!$F$4:$F$2635))+SUMPRODUCT(-('Diário 2º PA'!$E$4:$E$3040='Analítico Cp.'!$B121),-('Diário 2º PA'!$Q$4:$Q$3040=N$1),('Diário 2º PA'!$F$4:$F$3040))+SUMPRODUCT(-('Diário 3º PA'!$E$4:$E$2731='Analítico Cp.'!$B121),-('Diário 3º PA'!$Q$4:$Q$2731=N$1),('Diário 3º PA'!$F$4:$F$2731))+SUMPRODUCT(-('Diário 4º PA'!$E$4:$E$2564='Analítico Cp.'!$B121),-('Diário 4º PA'!$Q$4:$Q$2564=N$1),('Diário 4º PA'!$F$4:$F$2564))+SUMPRODUCT(-('Comp.'!$D$5:$D$69='Analítico Cp.'!$B121),-('Comp.'!$K$5:$K$69=N$1),('Comp.'!$E$5:$E$69))</f>
        <v>0</v>
      </c>
      <c r="O121" s="13">
        <f t="shared" si="14"/>
        <v>0</v>
      </c>
      <c r="P121" s="167">
        <f t="shared" si="15"/>
        <v>0</v>
      </c>
    </row>
    <row r="122" spans="1:16" ht="23.25" customHeight="1" x14ac:dyDescent="0.2">
      <c r="A122" s="61" t="s">
        <v>416</v>
      </c>
      <c r="B122" s="387" t="s">
        <v>444</v>
      </c>
      <c r="C122" s="12">
        <f>SUMPRODUCT(-('Diário 1º PA'!$E$4:$E$2635='Analítico Cp.'!$B122),-('Diário 1º PA'!$Q$4:$Q$2635=C$1),('Diário 1º PA'!$F$4:$F$2635))+SUMPRODUCT(-('Diário 2º PA'!$E$4:$E$3040='Analítico Cp.'!$B122),-('Diário 2º PA'!$Q$4:$Q$3040=C$1),('Diário 2º PA'!$F$4:$F$3040))+SUMPRODUCT(-('Diário 3º PA'!$E$4:$E$2731='Analítico Cp.'!$B122),-('Diário 3º PA'!$Q$4:$Q$2731=C$1),('Diário 3º PA'!$F$4:$F$2731))+SUMPRODUCT(-('Diário 4º PA'!$E$4:$E$2564='Analítico Cp.'!$B122),-('Diário 4º PA'!$Q$4:$Q$2564=C$1),('Diário 4º PA'!$F$4:$F$2564))+SUMPRODUCT(-('Comp.'!$D$5:$D$69='Analítico Cp.'!$B122),-('Comp.'!$K$5:$K$69=C$1),('Comp.'!$E$5:$E$69))</f>
        <v>0</v>
      </c>
      <c r="D122" s="12">
        <f>SUMPRODUCT(-('Diário 1º PA'!$E$4:$E$2635='Analítico Cp.'!$B122),-('Diário 1º PA'!$Q$4:$Q$2635=D$1),('Diário 1º PA'!$F$4:$F$2635))+SUMPRODUCT(-('Diário 2º PA'!$E$4:$E$3040='Analítico Cp.'!$B122),-('Diário 2º PA'!$Q$4:$Q$3040=D$1),('Diário 2º PA'!$F$4:$F$3040))+SUMPRODUCT(-('Diário 3º PA'!$E$4:$E$2731='Analítico Cp.'!$B122),-('Diário 3º PA'!$Q$4:$Q$2731=D$1),('Diário 3º PA'!$F$4:$F$2731))+SUMPRODUCT(-('Diário 4º PA'!$E$4:$E$2564='Analítico Cp.'!$B122),-('Diário 4º PA'!$Q$4:$Q$2564=D$1),('Diário 4º PA'!$F$4:$F$2564))+SUMPRODUCT(-('Comp.'!$D$5:$D$69='Analítico Cp.'!$B122),-('Comp.'!$K$5:$K$69=D$1),('Comp.'!$E$5:$E$69))</f>
        <v>2000</v>
      </c>
      <c r="E122" s="12">
        <f>SUMPRODUCT(-('Diário 1º PA'!$E$4:$E$2635='Analítico Cp.'!$B122),-('Diário 1º PA'!$Q$4:$Q$2635=E$1),('Diário 1º PA'!$F$4:$F$2635))+SUMPRODUCT(-('Diário 2º PA'!$E$4:$E$3040='Analítico Cp.'!$B122),-('Diário 2º PA'!$Q$4:$Q$3040=E$1),('Diário 2º PA'!$F$4:$F$3040))+SUMPRODUCT(-('Diário 3º PA'!$E$4:$E$2731='Analítico Cp.'!$B122),-('Diário 3º PA'!$Q$4:$Q$2731=E$1),('Diário 3º PA'!$F$4:$F$2731))+SUMPRODUCT(-('Diário 4º PA'!$E$4:$E$2564='Analítico Cp.'!$B122),-('Diário 4º PA'!$Q$4:$Q$2564=E$1),('Diário 4º PA'!$F$4:$F$2564))+SUMPRODUCT(-('Comp.'!$D$5:$D$69='Analítico Cp.'!$B122),-('Comp.'!$K$5:$K$69=E$1),('Comp.'!$E$5:$E$69))</f>
        <v>26840</v>
      </c>
      <c r="F122" s="12">
        <f>SUMPRODUCT(-('Diário 1º PA'!$E$4:$E$2635='Analítico Cp.'!$B122),-('Diário 1º PA'!$Q$4:$Q$2635=F$1),('Diário 1º PA'!$F$4:$F$2635))+SUMPRODUCT(-('Diário 2º PA'!$E$4:$E$3040='Analítico Cp.'!$B122),-('Diário 2º PA'!$Q$4:$Q$3040=F$1),('Diário 2º PA'!$F$4:$F$3040))+SUMPRODUCT(-('Diário 3º PA'!$E$4:$E$2731='Analítico Cp.'!$B122),-('Diário 3º PA'!$Q$4:$Q$2731=F$1),('Diário 3º PA'!$F$4:$F$2731))+SUMPRODUCT(-('Diário 4º PA'!$E$4:$E$2564='Analítico Cp.'!$B122),-('Diário 4º PA'!$Q$4:$Q$2564=F$1),('Diário 4º PA'!$F$4:$F$2564))+SUMPRODUCT(-('Comp.'!$D$5:$D$69='Analítico Cp.'!$B122),-('Comp.'!$K$5:$K$69=F$1),('Comp.'!$E$5:$E$69))</f>
        <v>472.8</v>
      </c>
      <c r="G122" s="12">
        <f>SUMPRODUCT(-('Diário 1º PA'!$E$4:$E$2635='Analítico Cp.'!$B122),-('Diário 1º PA'!$Q$4:$Q$2635=G$1),('Diário 1º PA'!$F$4:$F$2635))+SUMPRODUCT(-('Diário 2º PA'!$E$4:$E$3040='Analítico Cp.'!$B122),-('Diário 2º PA'!$Q$4:$Q$3040=G$1),('Diário 2º PA'!$F$4:$F$3040))+SUMPRODUCT(-('Diário 3º PA'!$E$4:$E$2731='Analítico Cp.'!$B122),-('Diário 3º PA'!$Q$4:$Q$2731=G$1),('Diário 3º PA'!$F$4:$F$2731))+SUMPRODUCT(-('Diário 4º PA'!$E$4:$E$2564='Analítico Cp.'!$B122),-('Diário 4º PA'!$Q$4:$Q$2564=G$1),('Diário 4º PA'!$F$4:$F$2564))+SUMPRODUCT(-('Comp.'!$D$5:$D$69='Analítico Cp.'!$B122),-('Comp.'!$K$5:$K$69=G$1),('Comp.'!$E$5:$E$69))</f>
        <v>171.04</v>
      </c>
      <c r="H122" s="12">
        <f>SUMPRODUCT(-('Diário 1º PA'!$E$4:$E$2635='Analítico Cp.'!$B122),-('Diário 1º PA'!$Q$4:$Q$2635=H$1),('Diário 1º PA'!$F$4:$F$2635))+SUMPRODUCT(-('Diário 2º PA'!$E$4:$E$3040='Analítico Cp.'!$B122),-('Diário 2º PA'!$Q$4:$Q$3040=H$1),('Diário 2º PA'!$F$4:$F$3040))+SUMPRODUCT(-('Diário 3º PA'!$E$4:$E$2731='Analítico Cp.'!$B122),-('Diário 3º PA'!$Q$4:$Q$2731=H$1),('Diário 3º PA'!$F$4:$F$2731))+SUMPRODUCT(-('Diário 4º PA'!$E$4:$E$2564='Analítico Cp.'!$B122),-('Diário 4º PA'!$Q$4:$Q$2564=H$1),('Diário 4º PA'!$F$4:$F$2564))+SUMPRODUCT(-('Comp.'!$D$5:$D$69='Analítico Cp.'!$B122),-('Comp.'!$K$5:$K$69=H$1),('Comp.'!$E$5:$E$69))</f>
        <v>20220</v>
      </c>
      <c r="I122" s="12">
        <f>SUMPRODUCT(-('Diário 1º PA'!$E$4:$E$2635='Analítico Cp.'!$B122),-('Diário 1º PA'!$Q$4:$Q$2635=I$1),('Diário 1º PA'!$F$4:$F$2635))+SUMPRODUCT(-('Diário 2º PA'!$E$4:$E$3040='Analítico Cp.'!$B122),-('Diário 2º PA'!$Q$4:$Q$3040=I$1),('Diário 2º PA'!$F$4:$F$3040))+SUMPRODUCT(-('Diário 3º PA'!$E$4:$E$2731='Analítico Cp.'!$B122),-('Diário 3º PA'!$Q$4:$Q$2731=I$1),('Diário 3º PA'!$F$4:$F$2731))+SUMPRODUCT(-('Diário 4º PA'!$E$4:$E$2564='Analítico Cp.'!$B122),-('Diário 4º PA'!$Q$4:$Q$2564=I$1),('Diário 4º PA'!$F$4:$F$2564))+SUMPRODUCT(-('Comp.'!$D$5:$D$69='Analítico Cp.'!$B122),-('Comp.'!$K$5:$K$69=I$1),('Comp.'!$E$5:$E$69))</f>
        <v>0</v>
      </c>
      <c r="J122" s="12">
        <f>SUMPRODUCT(-('Diário 1º PA'!$E$4:$E$2635='Analítico Cp.'!$B122),-('Diário 1º PA'!$Q$4:$Q$2635=J$1),('Diário 1º PA'!$F$4:$F$2635))+SUMPRODUCT(-('Diário 2º PA'!$E$4:$E$3040='Analítico Cp.'!$B122),-('Diário 2º PA'!$Q$4:$Q$3040=J$1),('Diário 2º PA'!$F$4:$F$3040))+SUMPRODUCT(-('Diário 3º PA'!$E$4:$E$2731='Analítico Cp.'!$B122),-('Diário 3º PA'!$Q$4:$Q$2731=J$1),('Diário 3º PA'!$F$4:$F$2731))+SUMPRODUCT(-('Diário 4º PA'!$E$4:$E$2564='Analítico Cp.'!$B122),-('Diário 4º PA'!$Q$4:$Q$2564=J$1),('Diário 4º PA'!$F$4:$F$2564))+SUMPRODUCT(-('Comp.'!$D$5:$D$69='Analítico Cp.'!$B122),-('Comp.'!$K$5:$K$69=J$1),('Comp.'!$E$5:$E$69))</f>
        <v>0</v>
      </c>
      <c r="K122" s="12">
        <f>SUMPRODUCT(-('Diário 1º PA'!$E$4:$E$2635='Analítico Cp.'!$B122),-('Diário 1º PA'!$Q$4:$Q$2635=K$1),('Diário 1º PA'!$F$4:$F$2635))+SUMPRODUCT(-('Diário 2º PA'!$E$4:$E$3040='Analítico Cp.'!$B122),-('Diário 2º PA'!$Q$4:$Q$3040=K$1),('Diário 2º PA'!$F$4:$F$3040))+SUMPRODUCT(-('Diário 3º PA'!$E$4:$E$2731='Analítico Cp.'!$B122),-('Diário 3º PA'!$Q$4:$Q$2731=K$1),('Diário 3º PA'!$F$4:$F$2731))+SUMPRODUCT(-('Diário 4º PA'!$E$4:$E$2564='Analítico Cp.'!$B122),-('Diário 4º PA'!$Q$4:$Q$2564=K$1),('Diário 4º PA'!$F$4:$F$2564))+SUMPRODUCT(-('Comp.'!$D$5:$D$69='Analítico Cp.'!$B122),-('Comp.'!$K$5:$K$69=K$1),('Comp.'!$E$5:$E$69))</f>
        <v>0</v>
      </c>
      <c r="L122" s="12">
        <f>SUMPRODUCT(-('Diário 1º PA'!$E$4:$E$2635='Analítico Cp.'!$B122),-('Diário 1º PA'!$Q$4:$Q$2635=L$1),('Diário 1º PA'!$F$4:$F$2635))+SUMPRODUCT(-('Diário 2º PA'!$E$4:$E$3040='Analítico Cp.'!$B122),-('Diário 2º PA'!$Q$4:$Q$3040=L$1),('Diário 2º PA'!$F$4:$F$3040))+SUMPRODUCT(-('Diário 3º PA'!$E$4:$E$2731='Analítico Cp.'!$B122),-('Diário 3º PA'!$Q$4:$Q$2731=L$1),('Diário 3º PA'!$F$4:$F$2731))+SUMPRODUCT(-('Diário 4º PA'!$E$4:$E$2564='Analítico Cp.'!$B122),-('Diário 4º PA'!$Q$4:$Q$2564=L$1),('Diário 4º PA'!$F$4:$F$2564))+SUMPRODUCT(-('Comp.'!$D$5:$D$69='Analítico Cp.'!$B122),-('Comp.'!$K$5:$K$69=L$1),('Comp.'!$E$5:$E$69))</f>
        <v>350</v>
      </c>
      <c r="M122" s="12">
        <f>SUMPRODUCT(-('Diário 1º PA'!$E$4:$E$2635='Analítico Cp.'!$B122),-('Diário 1º PA'!$Q$4:$Q$2635=M$1),('Diário 1º PA'!$F$4:$F$2635))+SUMPRODUCT(-('Diário 2º PA'!$E$4:$E$3040='Analítico Cp.'!$B122),-('Diário 2º PA'!$Q$4:$Q$3040=M$1),('Diário 2º PA'!$F$4:$F$3040))+SUMPRODUCT(-('Diário 3º PA'!$E$4:$E$2731='Analítico Cp.'!$B122),-('Diário 3º PA'!$Q$4:$Q$2731=M$1),('Diário 3º PA'!$F$4:$F$2731))+SUMPRODUCT(-('Diário 4º PA'!$E$4:$E$2564='Analítico Cp.'!$B122),-('Diário 4º PA'!$Q$4:$Q$2564=M$1),('Diário 4º PA'!$F$4:$F$2564))+SUMPRODUCT(-('Comp.'!$D$5:$D$69='Analítico Cp.'!$B122),-('Comp.'!$K$5:$K$69=M$1),('Comp.'!$E$5:$E$69))</f>
        <v>0</v>
      </c>
      <c r="N122" s="12">
        <f>SUMPRODUCT(-('Diário 1º PA'!$E$4:$E$2635='Analítico Cp.'!$B122),-('Diário 1º PA'!$Q$4:$Q$2635=N$1),('Diário 1º PA'!$F$4:$F$2635))+SUMPRODUCT(-('Diário 2º PA'!$E$4:$E$3040='Analítico Cp.'!$B122),-('Diário 2º PA'!$Q$4:$Q$3040=N$1),('Diário 2º PA'!$F$4:$F$3040))+SUMPRODUCT(-('Diário 3º PA'!$E$4:$E$2731='Analítico Cp.'!$B122),-('Diário 3º PA'!$Q$4:$Q$2731=N$1),('Diário 3º PA'!$F$4:$F$2731))+SUMPRODUCT(-('Diário 4º PA'!$E$4:$E$2564='Analítico Cp.'!$B122),-('Diário 4º PA'!$Q$4:$Q$2564=N$1),('Diário 4º PA'!$F$4:$F$2564))+SUMPRODUCT(-('Comp.'!$D$5:$D$69='Analítico Cp.'!$B122),-('Comp.'!$K$5:$K$69=N$1),('Comp.'!$E$5:$E$69))</f>
        <v>0</v>
      </c>
      <c r="O122" s="13">
        <f t="shared" si="14"/>
        <v>50053.84</v>
      </c>
      <c r="P122" s="167">
        <f t="shared" si="15"/>
        <v>4.0898308847142489E-3</v>
      </c>
    </row>
    <row r="123" spans="1:16" ht="23.25" customHeight="1" x14ac:dyDescent="0.2">
      <c r="A123" s="61" t="s">
        <v>417</v>
      </c>
      <c r="B123" s="387" t="s">
        <v>445</v>
      </c>
      <c r="C123" s="12">
        <f>SUMPRODUCT(-('Diário 1º PA'!$E$4:$E$2635='Analítico Cp.'!$B123),-('Diário 1º PA'!$Q$4:$Q$2635=C$1),('Diário 1º PA'!$F$4:$F$2635))+SUMPRODUCT(-('Diário 2º PA'!$E$4:$E$3040='Analítico Cp.'!$B123),-('Diário 2º PA'!$Q$4:$Q$3040=C$1),('Diário 2º PA'!$F$4:$F$3040))+SUMPRODUCT(-('Diário 3º PA'!$E$4:$E$2731='Analítico Cp.'!$B123),-('Diário 3º PA'!$Q$4:$Q$2731=C$1),('Diário 3º PA'!$F$4:$F$2731))+SUMPRODUCT(-('Diário 4º PA'!$E$4:$E$2564='Analítico Cp.'!$B123),-('Diário 4º PA'!$Q$4:$Q$2564=C$1),('Diário 4º PA'!$F$4:$F$2564))+SUMPRODUCT(-('Comp.'!$D$5:$D$69='Analítico Cp.'!$B123),-('Comp.'!$K$5:$K$69=C$1),('Comp.'!$E$5:$E$69))</f>
        <v>0</v>
      </c>
      <c r="D123" s="12">
        <f>SUMPRODUCT(-('Diário 1º PA'!$E$4:$E$2635='Analítico Cp.'!$B123),-('Diário 1º PA'!$Q$4:$Q$2635=D$1),('Diário 1º PA'!$F$4:$F$2635))+SUMPRODUCT(-('Diário 2º PA'!$E$4:$E$3040='Analítico Cp.'!$B123),-('Diário 2º PA'!$Q$4:$Q$3040=D$1),('Diário 2º PA'!$F$4:$F$3040))+SUMPRODUCT(-('Diário 3º PA'!$E$4:$E$2731='Analítico Cp.'!$B123),-('Diário 3º PA'!$Q$4:$Q$2731=D$1),('Diário 3º PA'!$F$4:$F$2731))+SUMPRODUCT(-('Diário 4º PA'!$E$4:$E$2564='Analítico Cp.'!$B123),-('Diário 4º PA'!$Q$4:$Q$2564=D$1),('Diário 4º PA'!$F$4:$F$2564))+SUMPRODUCT(-('Comp.'!$D$5:$D$69='Analítico Cp.'!$B123),-('Comp.'!$K$5:$K$69=D$1),('Comp.'!$E$5:$E$69))</f>
        <v>0</v>
      </c>
      <c r="E123" s="12">
        <f>SUMPRODUCT(-('Diário 1º PA'!$E$4:$E$2635='Analítico Cp.'!$B123),-('Diário 1º PA'!$Q$4:$Q$2635=E$1),('Diário 1º PA'!$F$4:$F$2635))+SUMPRODUCT(-('Diário 2º PA'!$E$4:$E$3040='Analítico Cp.'!$B123),-('Diário 2º PA'!$Q$4:$Q$3040=E$1),('Diário 2º PA'!$F$4:$F$3040))+SUMPRODUCT(-('Diário 3º PA'!$E$4:$E$2731='Analítico Cp.'!$B123),-('Diário 3º PA'!$Q$4:$Q$2731=E$1),('Diário 3º PA'!$F$4:$F$2731))+SUMPRODUCT(-('Diário 4º PA'!$E$4:$E$2564='Analítico Cp.'!$B123),-('Diário 4º PA'!$Q$4:$Q$2564=E$1),('Diário 4º PA'!$F$4:$F$2564))+SUMPRODUCT(-('Comp.'!$D$5:$D$69='Analítico Cp.'!$B123),-('Comp.'!$K$5:$K$69=E$1),('Comp.'!$E$5:$E$69))</f>
        <v>0</v>
      </c>
      <c r="F123" s="12">
        <f>SUMPRODUCT(-('Diário 1º PA'!$E$4:$E$2635='Analítico Cp.'!$B123),-('Diário 1º PA'!$Q$4:$Q$2635=F$1),('Diário 1º PA'!$F$4:$F$2635))+SUMPRODUCT(-('Diário 2º PA'!$E$4:$E$3040='Analítico Cp.'!$B123),-('Diário 2º PA'!$Q$4:$Q$3040=F$1),('Diário 2º PA'!$F$4:$F$3040))+SUMPRODUCT(-('Diário 3º PA'!$E$4:$E$2731='Analítico Cp.'!$B123),-('Diário 3º PA'!$Q$4:$Q$2731=F$1),('Diário 3º PA'!$F$4:$F$2731))+SUMPRODUCT(-('Diário 4º PA'!$E$4:$E$2564='Analítico Cp.'!$B123),-('Diário 4º PA'!$Q$4:$Q$2564=F$1),('Diário 4º PA'!$F$4:$F$2564))+SUMPRODUCT(-('Comp.'!$D$5:$D$69='Analítico Cp.'!$B123),-('Comp.'!$K$5:$K$69=F$1),('Comp.'!$E$5:$E$69))</f>
        <v>0</v>
      </c>
      <c r="G123" s="12">
        <f>SUMPRODUCT(-('Diário 1º PA'!$E$4:$E$2635='Analítico Cp.'!$B123),-('Diário 1º PA'!$Q$4:$Q$2635=G$1),('Diário 1º PA'!$F$4:$F$2635))+SUMPRODUCT(-('Diário 2º PA'!$E$4:$E$3040='Analítico Cp.'!$B123),-('Diário 2º PA'!$Q$4:$Q$3040=G$1),('Diário 2º PA'!$F$4:$F$3040))+SUMPRODUCT(-('Diário 3º PA'!$E$4:$E$2731='Analítico Cp.'!$B123),-('Diário 3º PA'!$Q$4:$Q$2731=G$1),('Diário 3º PA'!$F$4:$F$2731))+SUMPRODUCT(-('Diário 4º PA'!$E$4:$E$2564='Analítico Cp.'!$B123),-('Diário 4º PA'!$Q$4:$Q$2564=G$1),('Diário 4º PA'!$F$4:$F$2564))+SUMPRODUCT(-('Comp.'!$D$5:$D$69='Analítico Cp.'!$B123),-('Comp.'!$K$5:$K$69=G$1),('Comp.'!$E$5:$E$69))</f>
        <v>0</v>
      </c>
      <c r="H123" s="12">
        <f>SUMPRODUCT(-('Diário 1º PA'!$E$4:$E$2635='Analítico Cp.'!$B123),-('Diário 1º PA'!$Q$4:$Q$2635=H$1),('Diário 1º PA'!$F$4:$F$2635))+SUMPRODUCT(-('Diário 2º PA'!$E$4:$E$3040='Analítico Cp.'!$B123),-('Diário 2º PA'!$Q$4:$Q$3040=H$1),('Diário 2º PA'!$F$4:$F$3040))+SUMPRODUCT(-('Diário 3º PA'!$E$4:$E$2731='Analítico Cp.'!$B123),-('Diário 3º PA'!$Q$4:$Q$2731=H$1),('Diário 3º PA'!$F$4:$F$2731))+SUMPRODUCT(-('Diário 4º PA'!$E$4:$E$2564='Analítico Cp.'!$B123),-('Diário 4º PA'!$Q$4:$Q$2564=H$1),('Diário 4º PA'!$F$4:$F$2564))+SUMPRODUCT(-('Comp.'!$D$5:$D$69='Analítico Cp.'!$B123),-('Comp.'!$K$5:$K$69=H$1),('Comp.'!$E$5:$E$69))</f>
        <v>0</v>
      </c>
      <c r="I123" s="12">
        <f>SUMPRODUCT(-('Diário 1º PA'!$E$4:$E$2635='Analítico Cp.'!$B123),-('Diário 1º PA'!$Q$4:$Q$2635=I$1),('Diário 1º PA'!$F$4:$F$2635))+SUMPRODUCT(-('Diário 2º PA'!$E$4:$E$3040='Analítico Cp.'!$B123),-('Diário 2º PA'!$Q$4:$Q$3040=I$1),('Diário 2º PA'!$F$4:$F$3040))+SUMPRODUCT(-('Diário 3º PA'!$E$4:$E$2731='Analítico Cp.'!$B123),-('Diário 3º PA'!$Q$4:$Q$2731=I$1),('Diário 3º PA'!$F$4:$F$2731))+SUMPRODUCT(-('Diário 4º PA'!$E$4:$E$2564='Analítico Cp.'!$B123),-('Diário 4º PA'!$Q$4:$Q$2564=I$1),('Diário 4º PA'!$F$4:$F$2564))+SUMPRODUCT(-('Comp.'!$D$5:$D$69='Analítico Cp.'!$B123),-('Comp.'!$K$5:$K$69=I$1),('Comp.'!$E$5:$E$69))</f>
        <v>0</v>
      </c>
      <c r="J123" s="12">
        <f>SUMPRODUCT(-('Diário 1º PA'!$E$4:$E$2635='Analítico Cp.'!$B123),-('Diário 1º PA'!$Q$4:$Q$2635=J$1),('Diário 1º PA'!$F$4:$F$2635))+SUMPRODUCT(-('Diário 2º PA'!$E$4:$E$3040='Analítico Cp.'!$B123),-('Diário 2º PA'!$Q$4:$Q$3040=J$1),('Diário 2º PA'!$F$4:$F$3040))+SUMPRODUCT(-('Diário 3º PA'!$E$4:$E$2731='Analítico Cp.'!$B123),-('Diário 3º PA'!$Q$4:$Q$2731=J$1),('Diário 3º PA'!$F$4:$F$2731))+SUMPRODUCT(-('Diário 4º PA'!$E$4:$E$2564='Analítico Cp.'!$B123),-('Diário 4º PA'!$Q$4:$Q$2564=J$1),('Diário 4º PA'!$F$4:$F$2564))+SUMPRODUCT(-('Comp.'!$D$5:$D$69='Analítico Cp.'!$B123),-('Comp.'!$K$5:$K$69=J$1),('Comp.'!$E$5:$E$69))</f>
        <v>0</v>
      </c>
      <c r="K123" s="12">
        <f>SUMPRODUCT(-('Diário 1º PA'!$E$4:$E$2635='Analítico Cp.'!$B123),-('Diário 1º PA'!$Q$4:$Q$2635=K$1),('Diário 1º PA'!$F$4:$F$2635))+SUMPRODUCT(-('Diário 2º PA'!$E$4:$E$3040='Analítico Cp.'!$B123),-('Diário 2º PA'!$Q$4:$Q$3040=K$1),('Diário 2º PA'!$F$4:$F$3040))+SUMPRODUCT(-('Diário 3º PA'!$E$4:$E$2731='Analítico Cp.'!$B123),-('Diário 3º PA'!$Q$4:$Q$2731=K$1),('Diário 3º PA'!$F$4:$F$2731))+SUMPRODUCT(-('Diário 4º PA'!$E$4:$E$2564='Analítico Cp.'!$B123),-('Diário 4º PA'!$Q$4:$Q$2564=K$1),('Diário 4º PA'!$F$4:$F$2564))+SUMPRODUCT(-('Comp.'!$D$5:$D$69='Analítico Cp.'!$B123),-('Comp.'!$K$5:$K$69=K$1),('Comp.'!$E$5:$E$69))</f>
        <v>0</v>
      </c>
      <c r="L123" s="12">
        <f>SUMPRODUCT(-('Diário 1º PA'!$E$4:$E$2635='Analítico Cp.'!$B123),-('Diário 1º PA'!$Q$4:$Q$2635=L$1),('Diário 1º PA'!$F$4:$F$2635))+SUMPRODUCT(-('Diário 2º PA'!$E$4:$E$3040='Analítico Cp.'!$B123),-('Diário 2º PA'!$Q$4:$Q$3040=L$1),('Diário 2º PA'!$F$4:$F$3040))+SUMPRODUCT(-('Diário 3º PA'!$E$4:$E$2731='Analítico Cp.'!$B123),-('Diário 3º PA'!$Q$4:$Q$2731=L$1),('Diário 3º PA'!$F$4:$F$2731))+SUMPRODUCT(-('Diário 4º PA'!$E$4:$E$2564='Analítico Cp.'!$B123),-('Diário 4º PA'!$Q$4:$Q$2564=L$1),('Diário 4º PA'!$F$4:$F$2564))+SUMPRODUCT(-('Comp.'!$D$5:$D$69='Analítico Cp.'!$B123),-('Comp.'!$K$5:$K$69=L$1),('Comp.'!$E$5:$E$69))</f>
        <v>0</v>
      </c>
      <c r="M123" s="12">
        <f>SUMPRODUCT(-('Diário 1º PA'!$E$4:$E$2635='Analítico Cp.'!$B123),-('Diário 1º PA'!$Q$4:$Q$2635=M$1),('Diário 1º PA'!$F$4:$F$2635))+SUMPRODUCT(-('Diário 2º PA'!$E$4:$E$3040='Analítico Cp.'!$B123),-('Diário 2º PA'!$Q$4:$Q$3040=M$1),('Diário 2º PA'!$F$4:$F$3040))+SUMPRODUCT(-('Diário 3º PA'!$E$4:$E$2731='Analítico Cp.'!$B123),-('Diário 3º PA'!$Q$4:$Q$2731=M$1),('Diário 3º PA'!$F$4:$F$2731))+SUMPRODUCT(-('Diário 4º PA'!$E$4:$E$2564='Analítico Cp.'!$B123),-('Diário 4º PA'!$Q$4:$Q$2564=M$1),('Diário 4º PA'!$F$4:$F$2564))+SUMPRODUCT(-('Comp.'!$D$5:$D$69='Analítico Cp.'!$B123),-('Comp.'!$K$5:$K$69=M$1),('Comp.'!$E$5:$E$69))</f>
        <v>0</v>
      </c>
      <c r="N123" s="12">
        <f>SUMPRODUCT(-('Diário 1º PA'!$E$4:$E$2635='Analítico Cp.'!$B123),-('Diário 1º PA'!$Q$4:$Q$2635=N$1),('Diário 1º PA'!$F$4:$F$2635))+SUMPRODUCT(-('Diário 2º PA'!$E$4:$E$3040='Analítico Cp.'!$B123),-('Diário 2º PA'!$Q$4:$Q$3040=N$1),('Diário 2º PA'!$F$4:$F$3040))+SUMPRODUCT(-('Diário 3º PA'!$E$4:$E$2731='Analítico Cp.'!$B123),-('Diário 3º PA'!$Q$4:$Q$2731=N$1),('Diário 3º PA'!$F$4:$F$2731))+SUMPRODUCT(-('Diário 4º PA'!$E$4:$E$2564='Analítico Cp.'!$B123),-('Diário 4º PA'!$Q$4:$Q$2564=N$1),('Diário 4º PA'!$F$4:$F$2564))+SUMPRODUCT(-('Comp.'!$D$5:$D$69='Analítico Cp.'!$B123),-('Comp.'!$K$5:$K$69=N$1),('Comp.'!$E$5:$E$69))</f>
        <v>0</v>
      </c>
      <c r="O123" s="13">
        <f t="shared" si="14"/>
        <v>0</v>
      </c>
      <c r="P123" s="167">
        <f t="shared" si="15"/>
        <v>0</v>
      </c>
    </row>
    <row r="124" spans="1:16" ht="23.25" customHeight="1" x14ac:dyDescent="0.2">
      <c r="A124" s="61" t="s">
        <v>418</v>
      </c>
      <c r="B124" s="387" t="s">
        <v>446</v>
      </c>
      <c r="C124" s="12">
        <f>SUMPRODUCT(-('Diário 1º PA'!$E$4:$E$2635='Analítico Cp.'!$B124),-('Diário 1º PA'!$Q$4:$Q$2635=C$1),('Diário 1º PA'!$F$4:$F$2635))+SUMPRODUCT(-('Diário 2º PA'!$E$4:$E$3040='Analítico Cp.'!$B124),-('Diário 2º PA'!$Q$4:$Q$3040=C$1),('Diário 2º PA'!$F$4:$F$3040))+SUMPRODUCT(-('Diário 3º PA'!$E$4:$E$2731='Analítico Cp.'!$B124),-('Diário 3º PA'!$Q$4:$Q$2731=C$1),('Diário 3º PA'!$F$4:$F$2731))+SUMPRODUCT(-('Diário 4º PA'!$E$4:$E$2564='Analítico Cp.'!$B124),-('Diário 4º PA'!$Q$4:$Q$2564=C$1),('Diário 4º PA'!$F$4:$F$2564))+SUMPRODUCT(-('Comp.'!$D$5:$D$69='Analítico Cp.'!$B124),-('Comp.'!$K$5:$K$69=C$1),('Comp.'!$E$5:$E$69))</f>
        <v>0</v>
      </c>
      <c r="D124" s="12">
        <f>SUMPRODUCT(-('Diário 1º PA'!$E$4:$E$2635='Analítico Cp.'!$B124),-('Diário 1º PA'!$Q$4:$Q$2635=D$1),('Diário 1º PA'!$F$4:$F$2635))+SUMPRODUCT(-('Diário 2º PA'!$E$4:$E$3040='Analítico Cp.'!$B124),-('Diário 2º PA'!$Q$4:$Q$3040=D$1),('Diário 2º PA'!$F$4:$F$3040))+SUMPRODUCT(-('Diário 3º PA'!$E$4:$E$2731='Analítico Cp.'!$B124),-('Diário 3º PA'!$Q$4:$Q$2731=D$1),('Diário 3º PA'!$F$4:$F$2731))+SUMPRODUCT(-('Diário 4º PA'!$E$4:$E$2564='Analítico Cp.'!$B124),-('Diário 4º PA'!$Q$4:$Q$2564=D$1),('Diário 4º PA'!$F$4:$F$2564))+SUMPRODUCT(-('Comp.'!$D$5:$D$69='Analítico Cp.'!$B124),-('Comp.'!$K$5:$K$69=D$1),('Comp.'!$E$5:$E$69))</f>
        <v>1960</v>
      </c>
      <c r="E124" s="12">
        <f>SUMPRODUCT(-('Diário 1º PA'!$E$4:$E$2635='Analítico Cp.'!$B124),-('Diário 1º PA'!$Q$4:$Q$2635=E$1),('Diário 1º PA'!$F$4:$F$2635))+SUMPRODUCT(-('Diário 2º PA'!$E$4:$E$3040='Analítico Cp.'!$B124),-('Diário 2º PA'!$Q$4:$Q$3040=E$1),('Diário 2º PA'!$F$4:$F$3040))+SUMPRODUCT(-('Diário 3º PA'!$E$4:$E$2731='Analítico Cp.'!$B124),-('Diário 3º PA'!$Q$4:$Q$2731=E$1),('Diário 3º PA'!$F$4:$F$2731))+SUMPRODUCT(-('Diário 4º PA'!$E$4:$E$2564='Analítico Cp.'!$B124),-('Diário 4º PA'!$Q$4:$Q$2564=E$1),('Diário 4º PA'!$F$4:$F$2564))+SUMPRODUCT(-('Comp.'!$D$5:$D$69='Analítico Cp.'!$B124),-('Comp.'!$K$5:$K$69=E$1),('Comp.'!$E$5:$E$69))</f>
        <v>0</v>
      </c>
      <c r="F124" s="12">
        <f>SUMPRODUCT(-('Diário 1º PA'!$E$4:$E$2635='Analítico Cp.'!$B124),-('Diário 1º PA'!$Q$4:$Q$2635=F$1),('Diário 1º PA'!$F$4:$F$2635))+SUMPRODUCT(-('Diário 2º PA'!$E$4:$E$3040='Analítico Cp.'!$B124),-('Diário 2º PA'!$Q$4:$Q$3040=F$1),('Diário 2º PA'!$F$4:$F$3040))+SUMPRODUCT(-('Diário 3º PA'!$E$4:$E$2731='Analítico Cp.'!$B124),-('Diário 3º PA'!$Q$4:$Q$2731=F$1),('Diário 3º PA'!$F$4:$F$2731))+SUMPRODUCT(-('Diário 4º PA'!$E$4:$E$2564='Analítico Cp.'!$B124),-('Diário 4º PA'!$Q$4:$Q$2564=F$1),('Diário 4º PA'!$F$4:$F$2564))+SUMPRODUCT(-('Comp.'!$D$5:$D$69='Analítico Cp.'!$B124),-('Comp.'!$K$5:$K$69=F$1),('Comp.'!$E$5:$E$69))</f>
        <v>0</v>
      </c>
      <c r="G124" s="12">
        <f>SUMPRODUCT(-('Diário 1º PA'!$E$4:$E$2635='Analítico Cp.'!$B124),-('Diário 1º PA'!$Q$4:$Q$2635=G$1),('Diário 1º PA'!$F$4:$F$2635))+SUMPRODUCT(-('Diário 2º PA'!$E$4:$E$3040='Analítico Cp.'!$B124),-('Diário 2º PA'!$Q$4:$Q$3040=G$1),('Diário 2º PA'!$F$4:$F$3040))+SUMPRODUCT(-('Diário 3º PA'!$E$4:$E$2731='Analítico Cp.'!$B124),-('Diário 3º PA'!$Q$4:$Q$2731=G$1),('Diário 3º PA'!$F$4:$F$2731))+SUMPRODUCT(-('Diário 4º PA'!$E$4:$E$2564='Analítico Cp.'!$B124),-('Diário 4º PA'!$Q$4:$Q$2564=G$1),('Diário 4º PA'!$F$4:$F$2564))+SUMPRODUCT(-('Comp.'!$D$5:$D$69='Analítico Cp.'!$B124),-('Comp.'!$K$5:$K$69=G$1),('Comp.'!$E$5:$E$69))</f>
        <v>0</v>
      </c>
      <c r="H124" s="12">
        <f>SUMPRODUCT(-('Diário 1º PA'!$E$4:$E$2635='Analítico Cp.'!$B124),-('Diário 1º PA'!$Q$4:$Q$2635=H$1),('Diário 1º PA'!$F$4:$F$2635))+SUMPRODUCT(-('Diário 2º PA'!$E$4:$E$3040='Analítico Cp.'!$B124),-('Diário 2º PA'!$Q$4:$Q$3040=H$1),('Diário 2º PA'!$F$4:$F$3040))+SUMPRODUCT(-('Diário 3º PA'!$E$4:$E$2731='Analítico Cp.'!$B124),-('Diário 3º PA'!$Q$4:$Q$2731=H$1),('Diário 3º PA'!$F$4:$F$2731))+SUMPRODUCT(-('Diário 4º PA'!$E$4:$E$2564='Analítico Cp.'!$B124),-('Diário 4º PA'!$Q$4:$Q$2564=H$1),('Diário 4º PA'!$F$4:$F$2564))+SUMPRODUCT(-('Comp.'!$D$5:$D$69='Analítico Cp.'!$B124),-('Comp.'!$K$5:$K$69=H$1),('Comp.'!$E$5:$E$69))</f>
        <v>0</v>
      </c>
      <c r="I124" s="12">
        <f>SUMPRODUCT(-('Diário 1º PA'!$E$4:$E$2635='Analítico Cp.'!$B124),-('Diário 1º PA'!$Q$4:$Q$2635=I$1),('Diário 1º PA'!$F$4:$F$2635))+SUMPRODUCT(-('Diário 2º PA'!$E$4:$E$3040='Analítico Cp.'!$B124),-('Diário 2º PA'!$Q$4:$Q$3040=I$1),('Diário 2º PA'!$F$4:$F$3040))+SUMPRODUCT(-('Diário 3º PA'!$E$4:$E$2731='Analítico Cp.'!$B124),-('Diário 3º PA'!$Q$4:$Q$2731=I$1),('Diário 3º PA'!$F$4:$F$2731))+SUMPRODUCT(-('Diário 4º PA'!$E$4:$E$2564='Analítico Cp.'!$B124),-('Diário 4º PA'!$Q$4:$Q$2564=I$1),('Diário 4º PA'!$F$4:$F$2564))+SUMPRODUCT(-('Comp.'!$D$5:$D$69='Analítico Cp.'!$B124),-('Comp.'!$K$5:$K$69=I$1),('Comp.'!$E$5:$E$69))</f>
        <v>2500</v>
      </c>
      <c r="J124" s="12">
        <f>SUMPRODUCT(-('Diário 1º PA'!$E$4:$E$2635='Analítico Cp.'!$B124),-('Diário 1º PA'!$Q$4:$Q$2635=J$1),('Diário 1º PA'!$F$4:$F$2635))+SUMPRODUCT(-('Diário 2º PA'!$E$4:$E$3040='Analítico Cp.'!$B124),-('Diário 2º PA'!$Q$4:$Q$3040=J$1),('Diário 2º PA'!$F$4:$F$3040))+SUMPRODUCT(-('Diário 3º PA'!$E$4:$E$2731='Analítico Cp.'!$B124),-('Diário 3º PA'!$Q$4:$Q$2731=J$1),('Diário 3º PA'!$F$4:$F$2731))+SUMPRODUCT(-('Diário 4º PA'!$E$4:$E$2564='Analítico Cp.'!$B124),-('Diário 4º PA'!$Q$4:$Q$2564=J$1),('Diário 4º PA'!$F$4:$F$2564))+SUMPRODUCT(-('Comp.'!$D$5:$D$69='Analítico Cp.'!$B124),-('Comp.'!$K$5:$K$69=J$1),('Comp.'!$E$5:$E$69))</f>
        <v>12700</v>
      </c>
      <c r="K124" s="12">
        <f>SUMPRODUCT(-('Diário 1º PA'!$E$4:$E$2635='Analítico Cp.'!$B124),-('Diário 1º PA'!$Q$4:$Q$2635=K$1),('Diário 1º PA'!$F$4:$F$2635))+SUMPRODUCT(-('Diário 2º PA'!$E$4:$E$3040='Analítico Cp.'!$B124),-('Diário 2º PA'!$Q$4:$Q$3040=K$1),('Diário 2º PA'!$F$4:$F$3040))+SUMPRODUCT(-('Diário 3º PA'!$E$4:$E$2731='Analítico Cp.'!$B124),-('Diário 3º PA'!$Q$4:$Q$2731=K$1),('Diário 3º PA'!$F$4:$F$2731))+SUMPRODUCT(-('Diário 4º PA'!$E$4:$E$2564='Analítico Cp.'!$B124),-('Diário 4º PA'!$Q$4:$Q$2564=K$1),('Diário 4º PA'!$F$4:$F$2564))+SUMPRODUCT(-('Comp.'!$D$5:$D$69='Analítico Cp.'!$B124),-('Comp.'!$K$5:$K$69=K$1),('Comp.'!$E$5:$E$69))</f>
        <v>0</v>
      </c>
      <c r="L124" s="12">
        <f>SUMPRODUCT(-('Diário 1º PA'!$E$4:$E$2635='Analítico Cp.'!$B124),-('Diário 1º PA'!$Q$4:$Q$2635=L$1),('Diário 1º PA'!$F$4:$F$2635))+SUMPRODUCT(-('Diário 2º PA'!$E$4:$E$3040='Analítico Cp.'!$B124),-('Diário 2º PA'!$Q$4:$Q$3040=L$1),('Diário 2º PA'!$F$4:$F$3040))+SUMPRODUCT(-('Diário 3º PA'!$E$4:$E$2731='Analítico Cp.'!$B124),-('Diário 3º PA'!$Q$4:$Q$2731=L$1),('Diário 3º PA'!$F$4:$F$2731))+SUMPRODUCT(-('Diário 4º PA'!$E$4:$E$2564='Analítico Cp.'!$B124),-('Diário 4º PA'!$Q$4:$Q$2564=L$1),('Diário 4º PA'!$F$4:$F$2564))+SUMPRODUCT(-('Comp.'!$D$5:$D$69='Analítico Cp.'!$B124),-('Comp.'!$K$5:$K$69=L$1),('Comp.'!$E$5:$E$69))</f>
        <v>0</v>
      </c>
      <c r="M124" s="12">
        <f>SUMPRODUCT(-('Diário 1º PA'!$E$4:$E$2635='Analítico Cp.'!$B124),-('Diário 1º PA'!$Q$4:$Q$2635=M$1),('Diário 1º PA'!$F$4:$F$2635))+SUMPRODUCT(-('Diário 2º PA'!$E$4:$E$3040='Analítico Cp.'!$B124),-('Diário 2º PA'!$Q$4:$Q$3040=M$1),('Diário 2º PA'!$F$4:$F$3040))+SUMPRODUCT(-('Diário 3º PA'!$E$4:$E$2731='Analítico Cp.'!$B124),-('Diário 3º PA'!$Q$4:$Q$2731=M$1),('Diário 3º PA'!$F$4:$F$2731))+SUMPRODUCT(-('Diário 4º PA'!$E$4:$E$2564='Analítico Cp.'!$B124),-('Diário 4º PA'!$Q$4:$Q$2564=M$1),('Diário 4º PA'!$F$4:$F$2564))+SUMPRODUCT(-('Comp.'!$D$5:$D$69='Analítico Cp.'!$B124),-('Comp.'!$K$5:$K$69=M$1),('Comp.'!$E$5:$E$69))</f>
        <v>0</v>
      </c>
      <c r="N124" s="12">
        <f>SUMPRODUCT(-('Diário 1º PA'!$E$4:$E$2635='Analítico Cp.'!$B124),-('Diário 1º PA'!$Q$4:$Q$2635=N$1),('Diário 1º PA'!$F$4:$F$2635))+SUMPRODUCT(-('Diário 2º PA'!$E$4:$E$3040='Analítico Cp.'!$B124),-('Diário 2º PA'!$Q$4:$Q$3040=N$1),('Diário 2º PA'!$F$4:$F$3040))+SUMPRODUCT(-('Diário 3º PA'!$E$4:$E$2731='Analítico Cp.'!$B124),-('Diário 3º PA'!$Q$4:$Q$2731=N$1),('Diário 3º PA'!$F$4:$F$2731))+SUMPRODUCT(-('Diário 4º PA'!$E$4:$E$2564='Analítico Cp.'!$B124),-('Diário 4º PA'!$Q$4:$Q$2564=N$1),('Diário 4º PA'!$F$4:$F$2564))+SUMPRODUCT(-('Comp.'!$D$5:$D$69='Analítico Cp.'!$B124),-('Comp.'!$K$5:$K$69=N$1),('Comp.'!$E$5:$E$69))</f>
        <v>0</v>
      </c>
      <c r="O124" s="13">
        <f t="shared" si="14"/>
        <v>17160</v>
      </c>
      <c r="P124" s="167">
        <f t="shared" si="15"/>
        <v>1.4021201566492504E-3</v>
      </c>
    </row>
    <row r="125" spans="1:16" ht="23.25" customHeight="1" x14ac:dyDescent="0.2">
      <c r="A125" s="61" t="s">
        <v>419</v>
      </c>
      <c r="B125" s="387" t="s">
        <v>447</v>
      </c>
      <c r="C125" s="12">
        <f>SUMPRODUCT(-('Diário 1º PA'!$E$4:$E$2635='Analítico Cp.'!$B125),-('Diário 1º PA'!$Q$4:$Q$2635=C$1),('Diário 1º PA'!$F$4:$F$2635))+SUMPRODUCT(-('Diário 2º PA'!$E$4:$E$3040='Analítico Cp.'!$B125),-('Diário 2º PA'!$Q$4:$Q$3040=C$1),('Diário 2º PA'!$F$4:$F$3040))+SUMPRODUCT(-('Diário 3º PA'!$E$4:$E$2731='Analítico Cp.'!$B125),-('Diário 3º PA'!$Q$4:$Q$2731=C$1),('Diário 3º PA'!$F$4:$F$2731))+SUMPRODUCT(-('Diário 4º PA'!$E$4:$E$2564='Analítico Cp.'!$B125),-('Diário 4º PA'!$Q$4:$Q$2564=C$1),('Diário 4º PA'!$F$4:$F$2564))+SUMPRODUCT(-('Comp.'!$D$5:$D$69='Analítico Cp.'!$B125),-('Comp.'!$K$5:$K$69=C$1),('Comp.'!$E$5:$E$69))</f>
        <v>0</v>
      </c>
      <c r="D125" s="12">
        <f>SUMPRODUCT(-('Diário 1º PA'!$E$4:$E$2635='Analítico Cp.'!$B125),-('Diário 1º PA'!$Q$4:$Q$2635=D$1),('Diário 1º PA'!$F$4:$F$2635))+SUMPRODUCT(-('Diário 2º PA'!$E$4:$E$3040='Analítico Cp.'!$B125),-('Diário 2º PA'!$Q$4:$Q$3040=D$1),('Diário 2º PA'!$F$4:$F$3040))+SUMPRODUCT(-('Diário 3º PA'!$E$4:$E$2731='Analítico Cp.'!$B125),-('Diário 3º PA'!$Q$4:$Q$2731=D$1),('Diário 3º PA'!$F$4:$F$2731))+SUMPRODUCT(-('Diário 4º PA'!$E$4:$E$2564='Analítico Cp.'!$B125),-('Diário 4º PA'!$Q$4:$Q$2564=D$1),('Diário 4º PA'!$F$4:$F$2564))+SUMPRODUCT(-('Comp.'!$D$5:$D$69='Analítico Cp.'!$B125),-('Comp.'!$K$5:$K$69=D$1),('Comp.'!$E$5:$E$69))</f>
        <v>0</v>
      </c>
      <c r="E125" s="12">
        <f>SUMPRODUCT(-('Diário 1º PA'!$E$4:$E$2635='Analítico Cp.'!$B125),-('Diário 1º PA'!$Q$4:$Q$2635=E$1),('Diário 1º PA'!$F$4:$F$2635))+SUMPRODUCT(-('Diário 2º PA'!$E$4:$E$3040='Analítico Cp.'!$B125),-('Diário 2º PA'!$Q$4:$Q$3040=E$1),('Diário 2º PA'!$F$4:$F$3040))+SUMPRODUCT(-('Diário 3º PA'!$E$4:$E$2731='Analítico Cp.'!$B125),-('Diário 3º PA'!$Q$4:$Q$2731=E$1),('Diário 3º PA'!$F$4:$F$2731))+SUMPRODUCT(-('Diário 4º PA'!$E$4:$E$2564='Analítico Cp.'!$B125),-('Diário 4º PA'!$Q$4:$Q$2564=E$1),('Diário 4º PA'!$F$4:$F$2564))+SUMPRODUCT(-('Comp.'!$D$5:$D$69='Analítico Cp.'!$B125),-('Comp.'!$K$5:$K$69=E$1),('Comp.'!$E$5:$E$69))</f>
        <v>4000</v>
      </c>
      <c r="F125" s="12">
        <f>SUMPRODUCT(-('Diário 1º PA'!$E$4:$E$2635='Analítico Cp.'!$B125),-('Diário 1º PA'!$Q$4:$Q$2635=F$1),('Diário 1º PA'!$F$4:$F$2635))+SUMPRODUCT(-('Diário 2º PA'!$E$4:$E$3040='Analítico Cp.'!$B125),-('Diário 2º PA'!$Q$4:$Q$3040=F$1),('Diário 2º PA'!$F$4:$F$3040))+SUMPRODUCT(-('Diário 3º PA'!$E$4:$E$2731='Analítico Cp.'!$B125),-('Diário 3º PA'!$Q$4:$Q$2731=F$1),('Diário 3º PA'!$F$4:$F$2731))+SUMPRODUCT(-('Diário 4º PA'!$E$4:$E$2564='Analítico Cp.'!$B125),-('Diário 4º PA'!$Q$4:$Q$2564=F$1),('Diário 4º PA'!$F$4:$F$2564))+SUMPRODUCT(-('Comp.'!$D$5:$D$69='Analítico Cp.'!$B125),-('Comp.'!$K$5:$K$69=F$1),('Comp.'!$E$5:$E$69))</f>
        <v>0</v>
      </c>
      <c r="G125" s="12">
        <f>SUMPRODUCT(-('Diário 1º PA'!$E$4:$E$2635='Analítico Cp.'!$B125),-('Diário 1º PA'!$Q$4:$Q$2635=G$1),('Diário 1º PA'!$F$4:$F$2635))+SUMPRODUCT(-('Diário 2º PA'!$E$4:$E$3040='Analítico Cp.'!$B125),-('Diário 2º PA'!$Q$4:$Q$3040=G$1),('Diário 2º PA'!$F$4:$F$3040))+SUMPRODUCT(-('Diário 3º PA'!$E$4:$E$2731='Analítico Cp.'!$B125),-('Diário 3º PA'!$Q$4:$Q$2731=G$1),('Diário 3º PA'!$F$4:$F$2731))+SUMPRODUCT(-('Diário 4º PA'!$E$4:$E$2564='Analítico Cp.'!$B125),-('Diário 4º PA'!$Q$4:$Q$2564=G$1),('Diário 4º PA'!$F$4:$F$2564))+SUMPRODUCT(-('Comp.'!$D$5:$D$69='Analítico Cp.'!$B125),-('Comp.'!$K$5:$K$69=G$1),('Comp.'!$E$5:$E$69))</f>
        <v>0</v>
      </c>
      <c r="H125" s="12">
        <f>SUMPRODUCT(-('Diário 1º PA'!$E$4:$E$2635='Analítico Cp.'!$B125),-('Diário 1º PA'!$Q$4:$Q$2635=H$1),('Diário 1º PA'!$F$4:$F$2635))+SUMPRODUCT(-('Diário 2º PA'!$E$4:$E$3040='Analítico Cp.'!$B125),-('Diário 2º PA'!$Q$4:$Q$3040=H$1),('Diário 2º PA'!$F$4:$F$3040))+SUMPRODUCT(-('Diário 3º PA'!$E$4:$E$2731='Analítico Cp.'!$B125),-('Diário 3º PA'!$Q$4:$Q$2731=H$1),('Diário 3º PA'!$F$4:$F$2731))+SUMPRODUCT(-('Diário 4º PA'!$E$4:$E$2564='Analítico Cp.'!$B125),-('Diário 4º PA'!$Q$4:$Q$2564=H$1),('Diário 4º PA'!$F$4:$F$2564))+SUMPRODUCT(-('Comp.'!$D$5:$D$69='Analítico Cp.'!$B125),-('Comp.'!$K$5:$K$69=H$1),('Comp.'!$E$5:$E$69))</f>
        <v>0</v>
      </c>
      <c r="I125" s="12">
        <f>SUMPRODUCT(-('Diário 1º PA'!$E$4:$E$2635='Analítico Cp.'!$B125),-('Diário 1º PA'!$Q$4:$Q$2635=I$1),('Diário 1º PA'!$F$4:$F$2635))+SUMPRODUCT(-('Diário 2º PA'!$E$4:$E$3040='Analítico Cp.'!$B125),-('Diário 2º PA'!$Q$4:$Q$3040=I$1),('Diário 2º PA'!$F$4:$F$3040))+SUMPRODUCT(-('Diário 3º PA'!$E$4:$E$2731='Analítico Cp.'!$B125),-('Diário 3º PA'!$Q$4:$Q$2731=I$1),('Diário 3º PA'!$F$4:$F$2731))+SUMPRODUCT(-('Diário 4º PA'!$E$4:$E$2564='Analítico Cp.'!$B125),-('Diário 4º PA'!$Q$4:$Q$2564=I$1),('Diário 4º PA'!$F$4:$F$2564))+SUMPRODUCT(-('Comp.'!$D$5:$D$69='Analítico Cp.'!$B125),-('Comp.'!$K$5:$K$69=I$1),('Comp.'!$E$5:$E$69))</f>
        <v>0</v>
      </c>
      <c r="J125" s="12">
        <f>SUMPRODUCT(-('Diário 1º PA'!$E$4:$E$2635='Analítico Cp.'!$B125),-('Diário 1º PA'!$Q$4:$Q$2635=J$1),('Diário 1º PA'!$F$4:$F$2635))+SUMPRODUCT(-('Diário 2º PA'!$E$4:$E$3040='Analítico Cp.'!$B125),-('Diário 2º PA'!$Q$4:$Q$3040=J$1),('Diário 2º PA'!$F$4:$F$3040))+SUMPRODUCT(-('Diário 3º PA'!$E$4:$E$2731='Analítico Cp.'!$B125),-('Diário 3º PA'!$Q$4:$Q$2731=J$1),('Diário 3º PA'!$F$4:$F$2731))+SUMPRODUCT(-('Diário 4º PA'!$E$4:$E$2564='Analítico Cp.'!$B125),-('Diário 4º PA'!$Q$4:$Q$2564=J$1),('Diário 4º PA'!$F$4:$F$2564))+SUMPRODUCT(-('Comp.'!$D$5:$D$69='Analítico Cp.'!$B125),-('Comp.'!$K$5:$K$69=J$1),('Comp.'!$E$5:$E$69))</f>
        <v>0</v>
      </c>
      <c r="K125" s="12">
        <f>SUMPRODUCT(-('Diário 1º PA'!$E$4:$E$2635='Analítico Cp.'!$B125),-('Diário 1º PA'!$Q$4:$Q$2635=K$1),('Diário 1º PA'!$F$4:$F$2635))+SUMPRODUCT(-('Diário 2º PA'!$E$4:$E$3040='Analítico Cp.'!$B125),-('Diário 2º PA'!$Q$4:$Q$3040=K$1),('Diário 2º PA'!$F$4:$F$3040))+SUMPRODUCT(-('Diário 3º PA'!$E$4:$E$2731='Analítico Cp.'!$B125),-('Diário 3º PA'!$Q$4:$Q$2731=K$1),('Diário 3º PA'!$F$4:$F$2731))+SUMPRODUCT(-('Diário 4º PA'!$E$4:$E$2564='Analítico Cp.'!$B125),-('Diário 4º PA'!$Q$4:$Q$2564=K$1),('Diário 4º PA'!$F$4:$F$2564))+SUMPRODUCT(-('Comp.'!$D$5:$D$69='Analítico Cp.'!$B125),-('Comp.'!$K$5:$K$69=K$1),('Comp.'!$E$5:$E$69))</f>
        <v>0</v>
      </c>
      <c r="L125" s="12">
        <f>SUMPRODUCT(-('Diário 1º PA'!$E$4:$E$2635='Analítico Cp.'!$B125),-('Diário 1º PA'!$Q$4:$Q$2635=L$1),('Diário 1º PA'!$F$4:$F$2635))+SUMPRODUCT(-('Diário 2º PA'!$E$4:$E$3040='Analítico Cp.'!$B125),-('Diário 2º PA'!$Q$4:$Q$3040=L$1),('Diário 2º PA'!$F$4:$F$3040))+SUMPRODUCT(-('Diário 3º PA'!$E$4:$E$2731='Analítico Cp.'!$B125),-('Diário 3º PA'!$Q$4:$Q$2731=L$1),('Diário 3º PA'!$F$4:$F$2731))+SUMPRODUCT(-('Diário 4º PA'!$E$4:$E$2564='Analítico Cp.'!$B125),-('Diário 4º PA'!$Q$4:$Q$2564=L$1),('Diário 4º PA'!$F$4:$F$2564))+SUMPRODUCT(-('Comp.'!$D$5:$D$69='Analítico Cp.'!$B125),-('Comp.'!$K$5:$K$69=L$1),('Comp.'!$E$5:$E$69))</f>
        <v>0</v>
      </c>
      <c r="M125" s="12">
        <f>SUMPRODUCT(-('Diário 1º PA'!$E$4:$E$2635='Analítico Cp.'!$B125),-('Diário 1º PA'!$Q$4:$Q$2635=M$1),('Diário 1º PA'!$F$4:$F$2635))+SUMPRODUCT(-('Diário 2º PA'!$E$4:$E$3040='Analítico Cp.'!$B125),-('Diário 2º PA'!$Q$4:$Q$3040=M$1),('Diário 2º PA'!$F$4:$F$3040))+SUMPRODUCT(-('Diário 3º PA'!$E$4:$E$2731='Analítico Cp.'!$B125),-('Diário 3º PA'!$Q$4:$Q$2731=M$1),('Diário 3º PA'!$F$4:$F$2731))+SUMPRODUCT(-('Diário 4º PA'!$E$4:$E$2564='Analítico Cp.'!$B125),-('Diário 4º PA'!$Q$4:$Q$2564=M$1),('Diário 4º PA'!$F$4:$F$2564))+SUMPRODUCT(-('Comp.'!$D$5:$D$69='Analítico Cp.'!$B125),-('Comp.'!$K$5:$K$69=M$1),('Comp.'!$E$5:$E$69))</f>
        <v>0</v>
      </c>
      <c r="N125" s="12">
        <f>SUMPRODUCT(-('Diário 1º PA'!$E$4:$E$2635='Analítico Cp.'!$B125),-('Diário 1º PA'!$Q$4:$Q$2635=N$1),('Diário 1º PA'!$F$4:$F$2635))+SUMPRODUCT(-('Diário 2º PA'!$E$4:$E$3040='Analítico Cp.'!$B125),-('Diário 2º PA'!$Q$4:$Q$3040=N$1),('Diário 2º PA'!$F$4:$F$3040))+SUMPRODUCT(-('Diário 3º PA'!$E$4:$E$2731='Analítico Cp.'!$B125),-('Diário 3º PA'!$Q$4:$Q$2731=N$1),('Diário 3º PA'!$F$4:$F$2731))+SUMPRODUCT(-('Diário 4º PA'!$E$4:$E$2564='Analítico Cp.'!$B125),-('Diário 4º PA'!$Q$4:$Q$2564=N$1),('Diário 4º PA'!$F$4:$F$2564))+SUMPRODUCT(-('Comp.'!$D$5:$D$69='Analítico Cp.'!$B125),-('Comp.'!$K$5:$K$69=N$1),('Comp.'!$E$5:$E$69))</f>
        <v>0</v>
      </c>
      <c r="O125" s="13">
        <f t="shared" si="14"/>
        <v>4000</v>
      </c>
      <c r="P125" s="167">
        <f t="shared" si="15"/>
        <v>3.268345353494756E-4</v>
      </c>
    </row>
    <row r="126" spans="1:16" ht="23.25" customHeight="1" x14ac:dyDescent="0.2">
      <c r="A126" s="61" t="s">
        <v>420</v>
      </c>
      <c r="B126" s="387" t="s">
        <v>448</v>
      </c>
      <c r="C126" s="12">
        <f>SUMPRODUCT(-('Diário 1º PA'!$E$4:$E$2635='Analítico Cp.'!$B126),-('Diário 1º PA'!$Q$4:$Q$2635=C$1),('Diário 1º PA'!$F$4:$F$2635))+SUMPRODUCT(-('Diário 2º PA'!$E$4:$E$3040='Analítico Cp.'!$B126),-('Diário 2º PA'!$Q$4:$Q$3040=C$1),('Diário 2º PA'!$F$4:$F$3040))+SUMPRODUCT(-('Diário 3º PA'!$E$4:$E$2731='Analítico Cp.'!$B126),-('Diário 3º PA'!$Q$4:$Q$2731=C$1),('Diário 3º PA'!$F$4:$F$2731))+SUMPRODUCT(-('Diário 4º PA'!$E$4:$E$2564='Analítico Cp.'!$B126),-('Diário 4º PA'!$Q$4:$Q$2564=C$1),('Diário 4º PA'!$F$4:$F$2564))+SUMPRODUCT(-('Comp.'!$D$5:$D$69='Analítico Cp.'!$B126),-('Comp.'!$K$5:$K$69=C$1),('Comp.'!$E$5:$E$69))</f>
        <v>0</v>
      </c>
      <c r="D126" s="12">
        <f>SUMPRODUCT(-('Diário 1º PA'!$E$4:$E$2635='Analítico Cp.'!$B126),-('Diário 1º PA'!$Q$4:$Q$2635=D$1),('Diário 1º PA'!$F$4:$F$2635))+SUMPRODUCT(-('Diário 2º PA'!$E$4:$E$3040='Analítico Cp.'!$B126),-('Diário 2º PA'!$Q$4:$Q$3040=D$1),('Diário 2º PA'!$F$4:$F$3040))+SUMPRODUCT(-('Diário 3º PA'!$E$4:$E$2731='Analítico Cp.'!$B126),-('Diário 3º PA'!$Q$4:$Q$2731=D$1),('Diário 3º PA'!$F$4:$F$2731))+SUMPRODUCT(-('Diário 4º PA'!$E$4:$E$2564='Analítico Cp.'!$B126),-('Diário 4º PA'!$Q$4:$Q$2564=D$1),('Diário 4º PA'!$F$4:$F$2564))+SUMPRODUCT(-('Comp.'!$D$5:$D$69='Analítico Cp.'!$B126),-('Comp.'!$K$5:$K$69=D$1),('Comp.'!$E$5:$E$69))</f>
        <v>0</v>
      </c>
      <c r="E126" s="12">
        <f>SUMPRODUCT(-('Diário 1º PA'!$E$4:$E$2635='Analítico Cp.'!$B126),-('Diário 1º PA'!$Q$4:$Q$2635=E$1),('Diário 1º PA'!$F$4:$F$2635))+SUMPRODUCT(-('Diário 2º PA'!$E$4:$E$3040='Analítico Cp.'!$B126),-('Diário 2º PA'!$Q$4:$Q$3040=E$1),('Diário 2º PA'!$F$4:$F$3040))+SUMPRODUCT(-('Diário 3º PA'!$E$4:$E$2731='Analítico Cp.'!$B126),-('Diário 3º PA'!$Q$4:$Q$2731=E$1),('Diário 3º PA'!$F$4:$F$2731))+SUMPRODUCT(-('Diário 4º PA'!$E$4:$E$2564='Analítico Cp.'!$B126),-('Diário 4º PA'!$Q$4:$Q$2564=E$1),('Diário 4º PA'!$F$4:$F$2564))+SUMPRODUCT(-('Comp.'!$D$5:$D$69='Analítico Cp.'!$B126),-('Comp.'!$K$5:$K$69=E$1),('Comp.'!$E$5:$E$69))</f>
        <v>0</v>
      </c>
      <c r="F126" s="12">
        <f>SUMPRODUCT(-('Diário 1º PA'!$E$4:$E$2635='Analítico Cp.'!$B126),-('Diário 1º PA'!$Q$4:$Q$2635=F$1),('Diário 1º PA'!$F$4:$F$2635))+SUMPRODUCT(-('Diário 2º PA'!$E$4:$E$3040='Analítico Cp.'!$B126),-('Diário 2º PA'!$Q$4:$Q$3040=F$1),('Diário 2º PA'!$F$4:$F$3040))+SUMPRODUCT(-('Diário 3º PA'!$E$4:$E$2731='Analítico Cp.'!$B126),-('Diário 3º PA'!$Q$4:$Q$2731=F$1),('Diário 3º PA'!$F$4:$F$2731))+SUMPRODUCT(-('Diário 4º PA'!$E$4:$E$2564='Analítico Cp.'!$B126),-('Diário 4º PA'!$Q$4:$Q$2564=F$1),('Diário 4º PA'!$F$4:$F$2564))+SUMPRODUCT(-('Comp.'!$D$5:$D$69='Analítico Cp.'!$B126),-('Comp.'!$K$5:$K$69=F$1),('Comp.'!$E$5:$E$69))</f>
        <v>0</v>
      </c>
      <c r="G126" s="12">
        <f>SUMPRODUCT(-('Diário 1º PA'!$E$4:$E$2635='Analítico Cp.'!$B126),-('Diário 1º PA'!$Q$4:$Q$2635=G$1),('Diário 1º PA'!$F$4:$F$2635))+SUMPRODUCT(-('Diário 2º PA'!$E$4:$E$3040='Analítico Cp.'!$B126),-('Diário 2º PA'!$Q$4:$Q$3040=G$1),('Diário 2º PA'!$F$4:$F$3040))+SUMPRODUCT(-('Diário 3º PA'!$E$4:$E$2731='Analítico Cp.'!$B126),-('Diário 3º PA'!$Q$4:$Q$2731=G$1),('Diário 3º PA'!$F$4:$F$2731))+SUMPRODUCT(-('Diário 4º PA'!$E$4:$E$2564='Analítico Cp.'!$B126),-('Diário 4º PA'!$Q$4:$Q$2564=G$1),('Diário 4º PA'!$F$4:$F$2564))+SUMPRODUCT(-('Comp.'!$D$5:$D$69='Analítico Cp.'!$B126),-('Comp.'!$K$5:$K$69=G$1),('Comp.'!$E$5:$E$69))</f>
        <v>0</v>
      </c>
      <c r="H126" s="12">
        <f>SUMPRODUCT(-('Diário 1º PA'!$E$4:$E$2635='Analítico Cp.'!$B126),-('Diário 1º PA'!$Q$4:$Q$2635=H$1),('Diário 1º PA'!$F$4:$F$2635))+SUMPRODUCT(-('Diário 2º PA'!$E$4:$E$3040='Analítico Cp.'!$B126),-('Diário 2º PA'!$Q$4:$Q$3040=H$1),('Diário 2º PA'!$F$4:$F$3040))+SUMPRODUCT(-('Diário 3º PA'!$E$4:$E$2731='Analítico Cp.'!$B126),-('Diário 3º PA'!$Q$4:$Q$2731=H$1),('Diário 3º PA'!$F$4:$F$2731))+SUMPRODUCT(-('Diário 4º PA'!$E$4:$E$2564='Analítico Cp.'!$B126),-('Diário 4º PA'!$Q$4:$Q$2564=H$1),('Diário 4º PA'!$F$4:$F$2564))+SUMPRODUCT(-('Comp.'!$D$5:$D$69='Analítico Cp.'!$B126),-('Comp.'!$K$5:$K$69=H$1),('Comp.'!$E$5:$E$69))</f>
        <v>0</v>
      </c>
      <c r="I126" s="12">
        <f>SUMPRODUCT(-('Diário 1º PA'!$E$4:$E$2635='Analítico Cp.'!$B126),-('Diário 1º PA'!$Q$4:$Q$2635=I$1),('Diário 1º PA'!$F$4:$F$2635))+SUMPRODUCT(-('Diário 2º PA'!$E$4:$E$3040='Analítico Cp.'!$B126),-('Diário 2º PA'!$Q$4:$Q$3040=I$1),('Diário 2º PA'!$F$4:$F$3040))+SUMPRODUCT(-('Diário 3º PA'!$E$4:$E$2731='Analítico Cp.'!$B126),-('Diário 3º PA'!$Q$4:$Q$2731=I$1),('Diário 3º PA'!$F$4:$F$2731))+SUMPRODUCT(-('Diário 4º PA'!$E$4:$E$2564='Analítico Cp.'!$B126),-('Diário 4º PA'!$Q$4:$Q$2564=I$1),('Diário 4º PA'!$F$4:$F$2564))+SUMPRODUCT(-('Comp.'!$D$5:$D$69='Analítico Cp.'!$B126),-('Comp.'!$K$5:$K$69=I$1),('Comp.'!$E$5:$E$69))</f>
        <v>0</v>
      </c>
      <c r="J126" s="12">
        <f>SUMPRODUCT(-('Diário 1º PA'!$E$4:$E$2635='Analítico Cp.'!$B126),-('Diário 1º PA'!$Q$4:$Q$2635=J$1),('Diário 1º PA'!$F$4:$F$2635))+SUMPRODUCT(-('Diário 2º PA'!$E$4:$E$3040='Analítico Cp.'!$B126),-('Diário 2º PA'!$Q$4:$Q$3040=J$1),('Diário 2º PA'!$F$4:$F$3040))+SUMPRODUCT(-('Diário 3º PA'!$E$4:$E$2731='Analítico Cp.'!$B126),-('Diário 3º PA'!$Q$4:$Q$2731=J$1),('Diário 3º PA'!$F$4:$F$2731))+SUMPRODUCT(-('Diário 4º PA'!$E$4:$E$2564='Analítico Cp.'!$B126),-('Diário 4º PA'!$Q$4:$Q$2564=J$1),('Diário 4º PA'!$F$4:$F$2564))+SUMPRODUCT(-('Comp.'!$D$5:$D$69='Analítico Cp.'!$B126),-('Comp.'!$K$5:$K$69=J$1),('Comp.'!$E$5:$E$69))</f>
        <v>0</v>
      </c>
      <c r="K126" s="12">
        <f>SUMPRODUCT(-('Diário 1º PA'!$E$4:$E$2635='Analítico Cp.'!$B126),-('Diário 1º PA'!$Q$4:$Q$2635=K$1),('Diário 1º PA'!$F$4:$F$2635))+SUMPRODUCT(-('Diário 2º PA'!$E$4:$E$3040='Analítico Cp.'!$B126),-('Diário 2º PA'!$Q$4:$Q$3040=K$1),('Diário 2º PA'!$F$4:$F$3040))+SUMPRODUCT(-('Diário 3º PA'!$E$4:$E$2731='Analítico Cp.'!$B126),-('Diário 3º PA'!$Q$4:$Q$2731=K$1),('Diário 3º PA'!$F$4:$F$2731))+SUMPRODUCT(-('Diário 4º PA'!$E$4:$E$2564='Analítico Cp.'!$B126),-('Diário 4º PA'!$Q$4:$Q$2564=K$1),('Diário 4º PA'!$F$4:$F$2564))+SUMPRODUCT(-('Comp.'!$D$5:$D$69='Analítico Cp.'!$B126),-('Comp.'!$K$5:$K$69=K$1),('Comp.'!$E$5:$E$69))</f>
        <v>0</v>
      </c>
      <c r="L126" s="12">
        <f>SUMPRODUCT(-('Diário 1º PA'!$E$4:$E$2635='Analítico Cp.'!$B126),-('Diário 1º PA'!$Q$4:$Q$2635=L$1),('Diário 1º PA'!$F$4:$F$2635))+SUMPRODUCT(-('Diário 2º PA'!$E$4:$E$3040='Analítico Cp.'!$B126),-('Diário 2º PA'!$Q$4:$Q$3040=L$1),('Diário 2º PA'!$F$4:$F$3040))+SUMPRODUCT(-('Diário 3º PA'!$E$4:$E$2731='Analítico Cp.'!$B126),-('Diário 3º PA'!$Q$4:$Q$2731=L$1),('Diário 3º PA'!$F$4:$F$2731))+SUMPRODUCT(-('Diário 4º PA'!$E$4:$E$2564='Analítico Cp.'!$B126),-('Diário 4º PA'!$Q$4:$Q$2564=L$1),('Diário 4º PA'!$F$4:$F$2564))+SUMPRODUCT(-('Comp.'!$D$5:$D$69='Analítico Cp.'!$B126),-('Comp.'!$K$5:$K$69=L$1),('Comp.'!$E$5:$E$69))</f>
        <v>0</v>
      </c>
      <c r="M126" s="12">
        <f>SUMPRODUCT(-('Diário 1º PA'!$E$4:$E$2635='Analítico Cp.'!$B126),-('Diário 1º PA'!$Q$4:$Q$2635=M$1),('Diário 1º PA'!$F$4:$F$2635))+SUMPRODUCT(-('Diário 2º PA'!$E$4:$E$3040='Analítico Cp.'!$B126),-('Diário 2º PA'!$Q$4:$Q$3040=M$1),('Diário 2º PA'!$F$4:$F$3040))+SUMPRODUCT(-('Diário 3º PA'!$E$4:$E$2731='Analítico Cp.'!$B126),-('Diário 3º PA'!$Q$4:$Q$2731=M$1),('Diário 3º PA'!$F$4:$F$2731))+SUMPRODUCT(-('Diário 4º PA'!$E$4:$E$2564='Analítico Cp.'!$B126),-('Diário 4º PA'!$Q$4:$Q$2564=M$1),('Diário 4º PA'!$F$4:$F$2564))+SUMPRODUCT(-('Comp.'!$D$5:$D$69='Analítico Cp.'!$B126),-('Comp.'!$K$5:$K$69=M$1),('Comp.'!$E$5:$E$69))</f>
        <v>0</v>
      </c>
      <c r="N126" s="12">
        <f>SUMPRODUCT(-('Diário 1º PA'!$E$4:$E$2635='Analítico Cp.'!$B126),-('Diário 1º PA'!$Q$4:$Q$2635=N$1),('Diário 1º PA'!$F$4:$F$2635))+SUMPRODUCT(-('Diário 2º PA'!$E$4:$E$3040='Analítico Cp.'!$B126),-('Diário 2º PA'!$Q$4:$Q$3040=N$1),('Diário 2º PA'!$F$4:$F$3040))+SUMPRODUCT(-('Diário 3º PA'!$E$4:$E$2731='Analítico Cp.'!$B126),-('Diário 3º PA'!$Q$4:$Q$2731=N$1),('Diário 3º PA'!$F$4:$F$2731))+SUMPRODUCT(-('Diário 4º PA'!$E$4:$E$2564='Analítico Cp.'!$B126),-('Diário 4º PA'!$Q$4:$Q$2564=N$1),('Diário 4º PA'!$F$4:$F$2564))+SUMPRODUCT(-('Comp.'!$D$5:$D$69='Analítico Cp.'!$B126),-('Comp.'!$K$5:$K$69=N$1),('Comp.'!$E$5:$E$69))</f>
        <v>0</v>
      </c>
      <c r="O126" s="13">
        <f t="shared" si="14"/>
        <v>0</v>
      </c>
      <c r="P126" s="167">
        <f t="shared" si="15"/>
        <v>0</v>
      </c>
    </row>
    <row r="127" spans="1:16" ht="23.25" customHeight="1" x14ac:dyDescent="0.2">
      <c r="A127" s="61" t="s">
        <v>421</v>
      </c>
      <c r="B127" s="387" t="s">
        <v>449</v>
      </c>
      <c r="C127" s="12">
        <f>SUMPRODUCT(-('Diário 1º PA'!$E$4:$E$2635='Analítico Cp.'!$B127),-('Diário 1º PA'!$Q$4:$Q$2635=C$1),('Diário 1º PA'!$F$4:$F$2635))+SUMPRODUCT(-('Diário 2º PA'!$E$4:$E$3040='Analítico Cp.'!$B127),-('Diário 2º PA'!$Q$4:$Q$3040=C$1),('Diário 2º PA'!$F$4:$F$3040))+SUMPRODUCT(-('Diário 3º PA'!$E$4:$E$2731='Analítico Cp.'!$B127),-('Diário 3º PA'!$Q$4:$Q$2731=C$1),('Diário 3º PA'!$F$4:$F$2731))+SUMPRODUCT(-('Diário 4º PA'!$E$4:$E$2564='Analítico Cp.'!$B127),-('Diário 4º PA'!$Q$4:$Q$2564=C$1),('Diário 4º PA'!$F$4:$F$2564))+SUMPRODUCT(-('Comp.'!$D$5:$D$69='Analítico Cp.'!$B127),-('Comp.'!$K$5:$K$69=C$1),('Comp.'!$E$5:$E$69))</f>
        <v>1700</v>
      </c>
      <c r="D127" s="12">
        <f>SUMPRODUCT(-('Diário 1º PA'!$E$4:$E$2635='Analítico Cp.'!$B127),-('Diário 1º PA'!$Q$4:$Q$2635=D$1),('Diário 1º PA'!$F$4:$F$2635))+SUMPRODUCT(-('Diário 2º PA'!$E$4:$E$3040='Analítico Cp.'!$B127),-('Diário 2º PA'!$Q$4:$Q$3040=D$1),('Diário 2º PA'!$F$4:$F$3040))+SUMPRODUCT(-('Diário 3º PA'!$E$4:$E$2731='Analítico Cp.'!$B127),-('Diário 3º PA'!$Q$4:$Q$2731=D$1),('Diário 3º PA'!$F$4:$F$2731))+SUMPRODUCT(-('Diário 4º PA'!$E$4:$E$2564='Analítico Cp.'!$B127),-('Diário 4º PA'!$Q$4:$Q$2564=D$1),('Diário 4º PA'!$F$4:$F$2564))+SUMPRODUCT(-('Comp.'!$D$5:$D$69='Analítico Cp.'!$B127),-('Comp.'!$K$5:$K$69=D$1),('Comp.'!$E$5:$E$69))</f>
        <v>800</v>
      </c>
      <c r="E127" s="12">
        <f>SUMPRODUCT(-('Diário 1º PA'!$E$4:$E$2635='Analítico Cp.'!$B127),-('Diário 1º PA'!$Q$4:$Q$2635=E$1),('Diário 1º PA'!$F$4:$F$2635))+SUMPRODUCT(-('Diário 2º PA'!$E$4:$E$3040='Analítico Cp.'!$B127),-('Diário 2º PA'!$Q$4:$Q$3040=E$1),('Diário 2º PA'!$F$4:$F$3040))+SUMPRODUCT(-('Diário 3º PA'!$E$4:$E$2731='Analítico Cp.'!$B127),-('Diário 3º PA'!$Q$4:$Q$2731=E$1),('Diário 3º PA'!$F$4:$F$2731))+SUMPRODUCT(-('Diário 4º PA'!$E$4:$E$2564='Analítico Cp.'!$B127),-('Diário 4º PA'!$Q$4:$Q$2564=E$1),('Diário 4º PA'!$F$4:$F$2564))+SUMPRODUCT(-('Comp.'!$D$5:$D$69='Analítico Cp.'!$B127),-('Comp.'!$K$5:$K$69=E$1),('Comp.'!$E$5:$E$69))</f>
        <v>0</v>
      </c>
      <c r="F127" s="12">
        <f>SUMPRODUCT(-('Diário 1º PA'!$E$4:$E$2635='Analítico Cp.'!$B127),-('Diário 1º PA'!$Q$4:$Q$2635=F$1),('Diário 1º PA'!$F$4:$F$2635))+SUMPRODUCT(-('Diário 2º PA'!$E$4:$E$3040='Analítico Cp.'!$B127),-('Diário 2º PA'!$Q$4:$Q$3040=F$1),('Diário 2º PA'!$F$4:$F$3040))+SUMPRODUCT(-('Diário 3º PA'!$E$4:$E$2731='Analítico Cp.'!$B127),-('Diário 3º PA'!$Q$4:$Q$2731=F$1),('Diário 3º PA'!$F$4:$F$2731))+SUMPRODUCT(-('Diário 4º PA'!$E$4:$E$2564='Analítico Cp.'!$B127),-('Diário 4º PA'!$Q$4:$Q$2564=F$1),('Diário 4º PA'!$F$4:$F$2564))+SUMPRODUCT(-('Comp.'!$D$5:$D$69='Analítico Cp.'!$B127),-('Comp.'!$K$5:$K$69=F$1),('Comp.'!$E$5:$E$69))</f>
        <v>0</v>
      </c>
      <c r="G127" s="12">
        <f>SUMPRODUCT(-('Diário 1º PA'!$E$4:$E$2635='Analítico Cp.'!$B127),-('Diário 1º PA'!$Q$4:$Q$2635=G$1),('Diário 1º PA'!$F$4:$F$2635))+SUMPRODUCT(-('Diário 2º PA'!$E$4:$E$3040='Analítico Cp.'!$B127),-('Diário 2º PA'!$Q$4:$Q$3040=G$1),('Diário 2º PA'!$F$4:$F$3040))+SUMPRODUCT(-('Diário 3º PA'!$E$4:$E$2731='Analítico Cp.'!$B127),-('Diário 3º PA'!$Q$4:$Q$2731=G$1),('Diário 3º PA'!$F$4:$F$2731))+SUMPRODUCT(-('Diário 4º PA'!$E$4:$E$2564='Analítico Cp.'!$B127),-('Diário 4º PA'!$Q$4:$Q$2564=G$1),('Diário 4º PA'!$F$4:$F$2564))+SUMPRODUCT(-('Comp.'!$D$5:$D$69='Analítico Cp.'!$B127),-('Comp.'!$K$5:$K$69=G$1),('Comp.'!$E$5:$E$69))</f>
        <v>0</v>
      </c>
      <c r="H127" s="12">
        <f>SUMPRODUCT(-('Diário 1º PA'!$E$4:$E$2635='Analítico Cp.'!$B127),-('Diário 1º PA'!$Q$4:$Q$2635=H$1),('Diário 1º PA'!$F$4:$F$2635))+SUMPRODUCT(-('Diário 2º PA'!$E$4:$E$3040='Analítico Cp.'!$B127),-('Diário 2º PA'!$Q$4:$Q$3040=H$1),('Diário 2º PA'!$F$4:$F$3040))+SUMPRODUCT(-('Diário 3º PA'!$E$4:$E$2731='Analítico Cp.'!$B127),-('Diário 3º PA'!$Q$4:$Q$2731=H$1),('Diário 3º PA'!$F$4:$F$2731))+SUMPRODUCT(-('Diário 4º PA'!$E$4:$E$2564='Analítico Cp.'!$B127),-('Diário 4º PA'!$Q$4:$Q$2564=H$1),('Diário 4º PA'!$F$4:$F$2564))+SUMPRODUCT(-('Comp.'!$D$5:$D$69='Analítico Cp.'!$B127),-('Comp.'!$K$5:$K$69=H$1),('Comp.'!$E$5:$E$69))</f>
        <v>15100</v>
      </c>
      <c r="I127" s="12">
        <f>SUMPRODUCT(-('Diário 1º PA'!$E$4:$E$2635='Analítico Cp.'!$B127),-('Diário 1º PA'!$Q$4:$Q$2635=I$1),('Diário 1º PA'!$F$4:$F$2635))+SUMPRODUCT(-('Diário 2º PA'!$E$4:$E$3040='Analítico Cp.'!$B127),-('Diário 2º PA'!$Q$4:$Q$3040=I$1),('Diário 2º PA'!$F$4:$F$3040))+SUMPRODUCT(-('Diário 3º PA'!$E$4:$E$2731='Analítico Cp.'!$B127),-('Diário 3º PA'!$Q$4:$Q$2731=I$1),('Diário 3º PA'!$F$4:$F$2731))+SUMPRODUCT(-('Diário 4º PA'!$E$4:$E$2564='Analítico Cp.'!$B127),-('Diário 4º PA'!$Q$4:$Q$2564=I$1),('Diário 4º PA'!$F$4:$F$2564))+SUMPRODUCT(-('Comp.'!$D$5:$D$69='Analítico Cp.'!$B127),-('Comp.'!$K$5:$K$69=I$1),('Comp.'!$E$5:$E$69))</f>
        <v>18300</v>
      </c>
      <c r="J127" s="12">
        <f>SUMPRODUCT(-('Diário 1º PA'!$E$4:$E$2635='Analítico Cp.'!$B127),-('Diário 1º PA'!$Q$4:$Q$2635=J$1),('Diário 1º PA'!$F$4:$F$2635))+SUMPRODUCT(-('Diário 2º PA'!$E$4:$E$3040='Analítico Cp.'!$B127),-('Diário 2º PA'!$Q$4:$Q$3040=J$1),('Diário 2º PA'!$F$4:$F$3040))+SUMPRODUCT(-('Diário 3º PA'!$E$4:$E$2731='Analítico Cp.'!$B127),-('Diário 3º PA'!$Q$4:$Q$2731=J$1),('Diário 3º PA'!$F$4:$F$2731))+SUMPRODUCT(-('Diário 4º PA'!$E$4:$E$2564='Analítico Cp.'!$B127),-('Diário 4º PA'!$Q$4:$Q$2564=J$1),('Diário 4º PA'!$F$4:$F$2564))+SUMPRODUCT(-('Comp.'!$D$5:$D$69='Analítico Cp.'!$B127),-('Comp.'!$K$5:$K$69=J$1),('Comp.'!$E$5:$E$69))</f>
        <v>0</v>
      </c>
      <c r="K127" s="12">
        <f>SUMPRODUCT(-('Diário 1º PA'!$E$4:$E$2635='Analítico Cp.'!$B127),-('Diário 1º PA'!$Q$4:$Q$2635=K$1),('Diário 1º PA'!$F$4:$F$2635))+SUMPRODUCT(-('Diário 2º PA'!$E$4:$E$3040='Analítico Cp.'!$B127),-('Diário 2º PA'!$Q$4:$Q$3040=K$1),('Diário 2º PA'!$F$4:$F$3040))+SUMPRODUCT(-('Diário 3º PA'!$E$4:$E$2731='Analítico Cp.'!$B127),-('Diário 3º PA'!$Q$4:$Q$2731=K$1),('Diário 3º PA'!$F$4:$F$2731))+SUMPRODUCT(-('Diário 4º PA'!$E$4:$E$2564='Analítico Cp.'!$B127),-('Diário 4º PA'!$Q$4:$Q$2564=K$1),('Diário 4º PA'!$F$4:$F$2564))+SUMPRODUCT(-('Comp.'!$D$5:$D$69='Analítico Cp.'!$B127),-('Comp.'!$K$5:$K$69=K$1),('Comp.'!$E$5:$E$69))</f>
        <v>0</v>
      </c>
      <c r="L127" s="12">
        <f>SUMPRODUCT(-('Diário 1º PA'!$E$4:$E$2635='Analítico Cp.'!$B127),-('Diário 1º PA'!$Q$4:$Q$2635=L$1),('Diário 1º PA'!$F$4:$F$2635))+SUMPRODUCT(-('Diário 2º PA'!$E$4:$E$3040='Analítico Cp.'!$B127),-('Diário 2º PA'!$Q$4:$Q$3040=L$1),('Diário 2º PA'!$F$4:$F$3040))+SUMPRODUCT(-('Diário 3º PA'!$E$4:$E$2731='Analítico Cp.'!$B127),-('Diário 3º PA'!$Q$4:$Q$2731=L$1),('Diário 3º PA'!$F$4:$F$2731))+SUMPRODUCT(-('Diário 4º PA'!$E$4:$E$2564='Analítico Cp.'!$B127),-('Diário 4º PA'!$Q$4:$Q$2564=L$1),('Diário 4º PA'!$F$4:$F$2564))+SUMPRODUCT(-('Comp.'!$D$5:$D$69='Analítico Cp.'!$B127),-('Comp.'!$K$5:$K$69=L$1),('Comp.'!$E$5:$E$69))</f>
        <v>0</v>
      </c>
      <c r="M127" s="12">
        <f>SUMPRODUCT(-('Diário 1º PA'!$E$4:$E$2635='Analítico Cp.'!$B127),-('Diário 1º PA'!$Q$4:$Q$2635=M$1),('Diário 1º PA'!$F$4:$F$2635))+SUMPRODUCT(-('Diário 2º PA'!$E$4:$E$3040='Analítico Cp.'!$B127),-('Diário 2º PA'!$Q$4:$Q$3040=M$1),('Diário 2º PA'!$F$4:$F$3040))+SUMPRODUCT(-('Diário 3º PA'!$E$4:$E$2731='Analítico Cp.'!$B127),-('Diário 3º PA'!$Q$4:$Q$2731=M$1),('Diário 3º PA'!$F$4:$F$2731))+SUMPRODUCT(-('Diário 4º PA'!$E$4:$E$2564='Analítico Cp.'!$B127),-('Diário 4º PA'!$Q$4:$Q$2564=M$1),('Diário 4º PA'!$F$4:$F$2564))+SUMPRODUCT(-('Comp.'!$D$5:$D$69='Analítico Cp.'!$B127),-('Comp.'!$K$5:$K$69=M$1),('Comp.'!$E$5:$E$69))</f>
        <v>0</v>
      </c>
      <c r="N127" s="12">
        <f>SUMPRODUCT(-('Diário 1º PA'!$E$4:$E$2635='Analítico Cp.'!$B127),-('Diário 1º PA'!$Q$4:$Q$2635=N$1),('Diário 1º PA'!$F$4:$F$2635))+SUMPRODUCT(-('Diário 2º PA'!$E$4:$E$3040='Analítico Cp.'!$B127),-('Diário 2º PA'!$Q$4:$Q$3040=N$1),('Diário 2º PA'!$F$4:$F$3040))+SUMPRODUCT(-('Diário 3º PA'!$E$4:$E$2731='Analítico Cp.'!$B127),-('Diário 3º PA'!$Q$4:$Q$2731=N$1),('Diário 3º PA'!$F$4:$F$2731))+SUMPRODUCT(-('Diário 4º PA'!$E$4:$E$2564='Analítico Cp.'!$B127),-('Diário 4º PA'!$Q$4:$Q$2564=N$1),('Diário 4º PA'!$F$4:$F$2564))+SUMPRODUCT(-('Comp.'!$D$5:$D$69='Analítico Cp.'!$B127),-('Comp.'!$K$5:$K$69=N$1),('Comp.'!$E$5:$E$69))</f>
        <v>0</v>
      </c>
      <c r="O127" s="13">
        <f t="shared" si="14"/>
        <v>35900</v>
      </c>
      <c r="P127" s="167">
        <f t="shared" si="15"/>
        <v>2.9333399547615433E-3</v>
      </c>
    </row>
    <row r="128" spans="1:16" ht="23.25" customHeight="1" x14ac:dyDescent="0.2">
      <c r="A128" s="61" t="s">
        <v>422</v>
      </c>
      <c r="B128" s="387" t="s">
        <v>450</v>
      </c>
      <c r="C128" s="12">
        <f>SUMPRODUCT(-('Diário 1º PA'!$E$4:$E$2635='Analítico Cp.'!$B128),-('Diário 1º PA'!$Q$4:$Q$2635=C$1),('Diário 1º PA'!$F$4:$F$2635))+SUMPRODUCT(-('Diário 2º PA'!$E$4:$E$3040='Analítico Cp.'!$B128),-('Diário 2º PA'!$Q$4:$Q$3040=C$1),('Diário 2º PA'!$F$4:$F$3040))+SUMPRODUCT(-('Diário 3º PA'!$E$4:$E$2731='Analítico Cp.'!$B128),-('Diário 3º PA'!$Q$4:$Q$2731=C$1),('Diário 3º PA'!$F$4:$F$2731))+SUMPRODUCT(-('Diário 4º PA'!$E$4:$E$2564='Analítico Cp.'!$B128),-('Diário 4º PA'!$Q$4:$Q$2564=C$1),('Diário 4º PA'!$F$4:$F$2564))+SUMPRODUCT(-('Comp.'!$D$5:$D$69='Analítico Cp.'!$B128),-('Comp.'!$K$5:$K$69=C$1),('Comp.'!$E$5:$E$69))</f>
        <v>0</v>
      </c>
      <c r="D128" s="12">
        <f>SUMPRODUCT(-('Diário 1º PA'!$E$4:$E$2635='Analítico Cp.'!$B128),-('Diário 1º PA'!$Q$4:$Q$2635=D$1),('Diário 1º PA'!$F$4:$F$2635))+SUMPRODUCT(-('Diário 2º PA'!$E$4:$E$3040='Analítico Cp.'!$B128),-('Diário 2º PA'!$Q$4:$Q$3040=D$1),('Diário 2º PA'!$F$4:$F$3040))+SUMPRODUCT(-('Diário 3º PA'!$E$4:$E$2731='Analítico Cp.'!$B128),-('Diário 3º PA'!$Q$4:$Q$2731=D$1),('Diário 3º PA'!$F$4:$F$2731))+SUMPRODUCT(-('Diário 4º PA'!$E$4:$E$2564='Analítico Cp.'!$B128),-('Diário 4º PA'!$Q$4:$Q$2564=D$1),('Diário 4º PA'!$F$4:$F$2564))+SUMPRODUCT(-('Comp.'!$D$5:$D$69='Analítico Cp.'!$B128),-('Comp.'!$K$5:$K$69=D$1),('Comp.'!$E$5:$E$69))</f>
        <v>810</v>
      </c>
      <c r="E128" s="12">
        <f>SUMPRODUCT(-('Diário 1º PA'!$E$4:$E$2635='Analítico Cp.'!$B128),-('Diário 1º PA'!$Q$4:$Q$2635=E$1),('Diário 1º PA'!$F$4:$F$2635))+SUMPRODUCT(-('Diário 2º PA'!$E$4:$E$3040='Analítico Cp.'!$B128),-('Diário 2º PA'!$Q$4:$Q$3040=E$1),('Diário 2º PA'!$F$4:$F$3040))+SUMPRODUCT(-('Diário 3º PA'!$E$4:$E$2731='Analítico Cp.'!$B128),-('Diário 3º PA'!$Q$4:$Q$2731=E$1),('Diário 3º PA'!$F$4:$F$2731))+SUMPRODUCT(-('Diário 4º PA'!$E$4:$E$2564='Analítico Cp.'!$B128),-('Diário 4º PA'!$Q$4:$Q$2564=E$1),('Diário 4º PA'!$F$4:$F$2564))+SUMPRODUCT(-('Comp.'!$D$5:$D$69='Analítico Cp.'!$B128),-('Comp.'!$K$5:$K$69=E$1),('Comp.'!$E$5:$E$69))</f>
        <v>11969.999999999998</v>
      </c>
      <c r="F128" s="12">
        <f>SUMPRODUCT(-('Diário 1º PA'!$E$4:$E$2635='Analítico Cp.'!$B128),-('Diário 1º PA'!$Q$4:$Q$2635=F$1),('Diário 1º PA'!$F$4:$F$2635))+SUMPRODUCT(-('Diário 2º PA'!$E$4:$E$3040='Analítico Cp.'!$B128),-('Diário 2º PA'!$Q$4:$Q$3040=F$1),('Diário 2º PA'!$F$4:$F$3040))+SUMPRODUCT(-('Diário 3º PA'!$E$4:$E$2731='Analítico Cp.'!$B128),-('Diário 3º PA'!$Q$4:$Q$2731=F$1),('Diário 3º PA'!$F$4:$F$2731))+SUMPRODUCT(-('Diário 4º PA'!$E$4:$E$2564='Analítico Cp.'!$B128),-('Diário 4º PA'!$Q$4:$Q$2564=F$1),('Diário 4º PA'!$F$4:$F$2564))+SUMPRODUCT(-('Comp.'!$D$5:$D$69='Analítico Cp.'!$B128),-('Comp.'!$K$5:$K$69=F$1),('Comp.'!$E$5:$E$69))</f>
        <v>0</v>
      </c>
      <c r="G128" s="12">
        <f>SUMPRODUCT(-('Diário 1º PA'!$E$4:$E$2635='Analítico Cp.'!$B128),-('Diário 1º PA'!$Q$4:$Q$2635=G$1),('Diário 1º PA'!$F$4:$F$2635))+SUMPRODUCT(-('Diário 2º PA'!$E$4:$E$3040='Analítico Cp.'!$B128),-('Diário 2º PA'!$Q$4:$Q$3040=G$1),('Diário 2º PA'!$F$4:$F$3040))+SUMPRODUCT(-('Diário 3º PA'!$E$4:$E$2731='Analítico Cp.'!$B128),-('Diário 3º PA'!$Q$4:$Q$2731=G$1),('Diário 3º PA'!$F$4:$F$2731))+SUMPRODUCT(-('Diário 4º PA'!$E$4:$E$2564='Analítico Cp.'!$B128),-('Diário 4º PA'!$Q$4:$Q$2564=G$1),('Diário 4º PA'!$F$4:$F$2564))+SUMPRODUCT(-('Comp.'!$D$5:$D$69='Analítico Cp.'!$B128),-('Comp.'!$K$5:$K$69=G$1),('Comp.'!$E$5:$E$69))</f>
        <v>7609.99</v>
      </c>
      <c r="H128" s="12">
        <f>SUMPRODUCT(-('Diário 1º PA'!$E$4:$E$2635='Analítico Cp.'!$B128),-('Diário 1º PA'!$Q$4:$Q$2635=H$1),('Diário 1º PA'!$F$4:$F$2635))+SUMPRODUCT(-('Diário 2º PA'!$E$4:$E$3040='Analítico Cp.'!$B128),-('Diário 2º PA'!$Q$4:$Q$3040=H$1),('Diário 2º PA'!$F$4:$F$3040))+SUMPRODUCT(-('Diário 3º PA'!$E$4:$E$2731='Analítico Cp.'!$B128),-('Diário 3º PA'!$Q$4:$Q$2731=H$1),('Diário 3º PA'!$F$4:$F$2731))+SUMPRODUCT(-('Diário 4º PA'!$E$4:$E$2564='Analítico Cp.'!$B128),-('Diário 4º PA'!$Q$4:$Q$2564=H$1),('Diário 4º PA'!$F$4:$F$2564))+SUMPRODUCT(-('Comp.'!$D$5:$D$69='Analítico Cp.'!$B128),-('Comp.'!$K$5:$K$69=H$1),('Comp.'!$E$5:$E$69))</f>
        <v>10610</v>
      </c>
      <c r="I128" s="12">
        <f>SUMPRODUCT(-('Diário 1º PA'!$E$4:$E$2635='Analítico Cp.'!$B128),-('Diário 1º PA'!$Q$4:$Q$2635=I$1),('Diário 1º PA'!$F$4:$F$2635))+SUMPRODUCT(-('Diário 2º PA'!$E$4:$E$3040='Analítico Cp.'!$B128),-('Diário 2º PA'!$Q$4:$Q$3040=I$1),('Diário 2º PA'!$F$4:$F$3040))+SUMPRODUCT(-('Diário 3º PA'!$E$4:$E$2731='Analítico Cp.'!$B128),-('Diário 3º PA'!$Q$4:$Q$2731=I$1),('Diário 3º PA'!$F$4:$F$2731))+SUMPRODUCT(-('Diário 4º PA'!$E$4:$E$2564='Analítico Cp.'!$B128),-('Diário 4º PA'!$Q$4:$Q$2564=I$1),('Diário 4º PA'!$F$4:$F$2564))+SUMPRODUCT(-('Comp.'!$D$5:$D$69='Analítico Cp.'!$B128),-('Comp.'!$K$5:$K$69=I$1),('Comp.'!$E$5:$E$69))</f>
        <v>6360</v>
      </c>
      <c r="J128" s="12">
        <f>SUMPRODUCT(-('Diário 1º PA'!$E$4:$E$2635='Analítico Cp.'!$B128),-('Diário 1º PA'!$Q$4:$Q$2635=J$1),('Diário 1º PA'!$F$4:$F$2635))+SUMPRODUCT(-('Diário 2º PA'!$E$4:$E$3040='Analítico Cp.'!$B128),-('Diário 2º PA'!$Q$4:$Q$3040=J$1),('Diário 2º PA'!$F$4:$F$3040))+SUMPRODUCT(-('Diário 3º PA'!$E$4:$E$2731='Analítico Cp.'!$B128),-('Diário 3º PA'!$Q$4:$Q$2731=J$1),('Diário 3º PA'!$F$4:$F$2731))+SUMPRODUCT(-('Diário 4º PA'!$E$4:$E$2564='Analítico Cp.'!$B128),-('Diário 4º PA'!$Q$4:$Q$2564=J$1),('Diário 4º PA'!$F$4:$F$2564))+SUMPRODUCT(-('Comp.'!$D$5:$D$69='Analítico Cp.'!$B128),-('Comp.'!$K$5:$K$69=J$1),('Comp.'!$E$5:$E$69))</f>
        <v>3360</v>
      </c>
      <c r="K128" s="12">
        <f>SUMPRODUCT(-('Diário 1º PA'!$E$4:$E$2635='Analítico Cp.'!$B128),-('Diário 1º PA'!$Q$4:$Q$2635=K$1),('Diário 1º PA'!$F$4:$F$2635))+SUMPRODUCT(-('Diário 2º PA'!$E$4:$E$3040='Analítico Cp.'!$B128),-('Diário 2º PA'!$Q$4:$Q$3040=K$1),('Diário 2º PA'!$F$4:$F$3040))+SUMPRODUCT(-('Diário 3º PA'!$E$4:$E$2731='Analítico Cp.'!$B128),-('Diário 3º PA'!$Q$4:$Q$2731=K$1),('Diário 3º PA'!$F$4:$F$2731))+SUMPRODUCT(-('Diário 4º PA'!$E$4:$E$2564='Analítico Cp.'!$B128),-('Diário 4º PA'!$Q$4:$Q$2564=K$1),('Diário 4º PA'!$F$4:$F$2564))+SUMPRODUCT(-('Comp.'!$D$5:$D$69='Analítico Cp.'!$B128),-('Comp.'!$K$5:$K$69=K$1),('Comp.'!$E$5:$E$69))</f>
        <v>0</v>
      </c>
      <c r="L128" s="12">
        <f>SUMPRODUCT(-('Diário 1º PA'!$E$4:$E$2635='Analítico Cp.'!$B128),-('Diário 1º PA'!$Q$4:$Q$2635=L$1),('Diário 1º PA'!$F$4:$F$2635))+SUMPRODUCT(-('Diário 2º PA'!$E$4:$E$3040='Analítico Cp.'!$B128),-('Diário 2º PA'!$Q$4:$Q$3040=L$1),('Diário 2º PA'!$F$4:$F$3040))+SUMPRODUCT(-('Diário 3º PA'!$E$4:$E$2731='Analítico Cp.'!$B128),-('Diário 3º PA'!$Q$4:$Q$2731=L$1),('Diário 3º PA'!$F$4:$F$2731))+SUMPRODUCT(-('Diário 4º PA'!$E$4:$E$2564='Analítico Cp.'!$B128),-('Diário 4º PA'!$Q$4:$Q$2564=L$1),('Diário 4º PA'!$F$4:$F$2564))+SUMPRODUCT(-('Comp.'!$D$5:$D$69='Analítico Cp.'!$B128),-('Comp.'!$K$5:$K$69=L$1),('Comp.'!$E$5:$E$69))</f>
        <v>0</v>
      </c>
      <c r="M128" s="12">
        <f>SUMPRODUCT(-('Diário 1º PA'!$E$4:$E$2635='Analítico Cp.'!$B128),-('Diário 1º PA'!$Q$4:$Q$2635=M$1),('Diário 1º PA'!$F$4:$F$2635))+SUMPRODUCT(-('Diário 2º PA'!$E$4:$E$3040='Analítico Cp.'!$B128),-('Diário 2º PA'!$Q$4:$Q$3040=M$1),('Diário 2º PA'!$F$4:$F$3040))+SUMPRODUCT(-('Diário 3º PA'!$E$4:$E$2731='Analítico Cp.'!$B128),-('Diário 3º PA'!$Q$4:$Q$2731=M$1),('Diário 3º PA'!$F$4:$F$2731))+SUMPRODUCT(-('Diário 4º PA'!$E$4:$E$2564='Analítico Cp.'!$B128),-('Diário 4º PA'!$Q$4:$Q$2564=M$1),('Diário 4º PA'!$F$4:$F$2564))+SUMPRODUCT(-('Comp.'!$D$5:$D$69='Analítico Cp.'!$B128),-('Comp.'!$K$5:$K$69=M$1),('Comp.'!$E$5:$E$69))</f>
        <v>0</v>
      </c>
      <c r="N128" s="12">
        <f>SUMPRODUCT(-('Diário 1º PA'!$E$4:$E$2635='Analítico Cp.'!$B128),-('Diário 1º PA'!$Q$4:$Q$2635=N$1),('Diário 1º PA'!$F$4:$F$2635))+SUMPRODUCT(-('Diário 2º PA'!$E$4:$E$3040='Analítico Cp.'!$B128),-('Diário 2º PA'!$Q$4:$Q$3040=N$1),('Diário 2º PA'!$F$4:$F$3040))+SUMPRODUCT(-('Diário 3º PA'!$E$4:$E$2731='Analítico Cp.'!$B128),-('Diário 3º PA'!$Q$4:$Q$2731=N$1),('Diário 3º PA'!$F$4:$F$2731))+SUMPRODUCT(-('Diário 4º PA'!$E$4:$E$2564='Analítico Cp.'!$B128),-('Diário 4º PA'!$Q$4:$Q$2564=N$1),('Diário 4º PA'!$F$4:$F$2564))+SUMPRODUCT(-('Comp.'!$D$5:$D$69='Analítico Cp.'!$B128),-('Comp.'!$K$5:$K$69=N$1),('Comp.'!$E$5:$E$69))</f>
        <v>0</v>
      </c>
      <c r="O128" s="13">
        <f t="shared" si="14"/>
        <v>40719.99</v>
      </c>
      <c r="P128" s="167">
        <f t="shared" si="15"/>
        <v>3.3271747527713232E-3</v>
      </c>
    </row>
    <row r="129" spans="1:16" ht="23.25" customHeight="1" x14ac:dyDescent="0.2">
      <c r="A129" s="61" t="s">
        <v>423</v>
      </c>
      <c r="B129" s="387" t="s">
        <v>451</v>
      </c>
      <c r="C129" s="12">
        <f>SUMPRODUCT(-('Diário 1º PA'!$E$4:$E$2635='Analítico Cp.'!$B129),-('Diário 1º PA'!$Q$4:$Q$2635=C$1),('Diário 1º PA'!$F$4:$F$2635))+SUMPRODUCT(-('Diário 2º PA'!$E$4:$E$3040='Analítico Cp.'!$B129),-('Diário 2º PA'!$Q$4:$Q$3040=C$1),('Diário 2º PA'!$F$4:$F$3040))+SUMPRODUCT(-('Diário 3º PA'!$E$4:$E$2731='Analítico Cp.'!$B129),-('Diário 3º PA'!$Q$4:$Q$2731=C$1),('Diário 3º PA'!$F$4:$F$2731))+SUMPRODUCT(-('Diário 4º PA'!$E$4:$E$2564='Analítico Cp.'!$B129),-('Diário 4º PA'!$Q$4:$Q$2564=C$1),('Diário 4º PA'!$F$4:$F$2564))+SUMPRODUCT(-('Comp.'!$D$5:$D$69='Analítico Cp.'!$B129),-('Comp.'!$K$5:$K$69=C$1),('Comp.'!$E$5:$E$69))</f>
        <v>0</v>
      </c>
      <c r="D129" s="12">
        <f>SUMPRODUCT(-('Diário 1º PA'!$E$4:$E$2635='Analítico Cp.'!$B129),-('Diário 1º PA'!$Q$4:$Q$2635=D$1),('Diário 1º PA'!$F$4:$F$2635))+SUMPRODUCT(-('Diário 2º PA'!$E$4:$E$3040='Analítico Cp.'!$B129),-('Diário 2º PA'!$Q$4:$Q$3040=D$1),('Diário 2º PA'!$F$4:$F$3040))+SUMPRODUCT(-('Diário 3º PA'!$E$4:$E$2731='Analítico Cp.'!$B129),-('Diário 3º PA'!$Q$4:$Q$2731=D$1),('Diário 3º PA'!$F$4:$F$2731))+SUMPRODUCT(-('Diário 4º PA'!$E$4:$E$2564='Analítico Cp.'!$B129),-('Diário 4º PA'!$Q$4:$Q$2564=D$1),('Diário 4º PA'!$F$4:$F$2564))+SUMPRODUCT(-('Comp.'!$D$5:$D$69='Analítico Cp.'!$B129),-('Comp.'!$K$5:$K$69=D$1),('Comp.'!$E$5:$E$69))</f>
        <v>0</v>
      </c>
      <c r="E129" s="12">
        <f>SUMPRODUCT(-('Diário 1º PA'!$E$4:$E$2635='Analítico Cp.'!$B129),-('Diário 1º PA'!$Q$4:$Q$2635=E$1),('Diário 1º PA'!$F$4:$F$2635))+SUMPRODUCT(-('Diário 2º PA'!$E$4:$E$3040='Analítico Cp.'!$B129),-('Diário 2º PA'!$Q$4:$Q$3040=E$1),('Diário 2º PA'!$F$4:$F$3040))+SUMPRODUCT(-('Diário 3º PA'!$E$4:$E$2731='Analítico Cp.'!$B129),-('Diário 3º PA'!$Q$4:$Q$2731=E$1),('Diário 3º PA'!$F$4:$F$2731))+SUMPRODUCT(-('Diário 4º PA'!$E$4:$E$2564='Analítico Cp.'!$B129),-('Diário 4º PA'!$Q$4:$Q$2564=E$1),('Diário 4º PA'!$F$4:$F$2564))+SUMPRODUCT(-('Comp.'!$D$5:$D$69='Analítico Cp.'!$B129),-('Comp.'!$K$5:$K$69=E$1),('Comp.'!$E$5:$E$69))</f>
        <v>0</v>
      </c>
      <c r="F129" s="12">
        <f>SUMPRODUCT(-('Diário 1º PA'!$E$4:$E$2635='Analítico Cp.'!$B129),-('Diário 1º PA'!$Q$4:$Q$2635=F$1),('Diário 1º PA'!$F$4:$F$2635))+SUMPRODUCT(-('Diário 2º PA'!$E$4:$E$3040='Analítico Cp.'!$B129),-('Diário 2º PA'!$Q$4:$Q$3040=F$1),('Diário 2º PA'!$F$4:$F$3040))+SUMPRODUCT(-('Diário 3º PA'!$E$4:$E$2731='Analítico Cp.'!$B129),-('Diário 3º PA'!$Q$4:$Q$2731=F$1),('Diário 3º PA'!$F$4:$F$2731))+SUMPRODUCT(-('Diário 4º PA'!$E$4:$E$2564='Analítico Cp.'!$B129),-('Diário 4º PA'!$Q$4:$Q$2564=F$1),('Diário 4º PA'!$F$4:$F$2564))+SUMPRODUCT(-('Comp.'!$D$5:$D$69='Analítico Cp.'!$B129),-('Comp.'!$K$5:$K$69=F$1),('Comp.'!$E$5:$E$69))</f>
        <v>0</v>
      </c>
      <c r="G129" s="12">
        <f>SUMPRODUCT(-('Diário 1º PA'!$E$4:$E$2635='Analítico Cp.'!$B129),-('Diário 1º PA'!$Q$4:$Q$2635=G$1),('Diário 1º PA'!$F$4:$F$2635))+SUMPRODUCT(-('Diário 2º PA'!$E$4:$E$3040='Analítico Cp.'!$B129),-('Diário 2º PA'!$Q$4:$Q$3040=G$1),('Diário 2º PA'!$F$4:$F$3040))+SUMPRODUCT(-('Diário 3º PA'!$E$4:$E$2731='Analítico Cp.'!$B129),-('Diário 3º PA'!$Q$4:$Q$2731=G$1),('Diário 3º PA'!$F$4:$F$2731))+SUMPRODUCT(-('Diário 4º PA'!$E$4:$E$2564='Analítico Cp.'!$B129),-('Diário 4º PA'!$Q$4:$Q$2564=G$1),('Diário 4º PA'!$F$4:$F$2564))+SUMPRODUCT(-('Comp.'!$D$5:$D$69='Analítico Cp.'!$B129),-('Comp.'!$K$5:$K$69=G$1),('Comp.'!$E$5:$E$69))</f>
        <v>0</v>
      </c>
      <c r="H129" s="12">
        <f>SUMPRODUCT(-('Diário 1º PA'!$E$4:$E$2635='Analítico Cp.'!$B129),-('Diário 1º PA'!$Q$4:$Q$2635=H$1),('Diário 1º PA'!$F$4:$F$2635))+SUMPRODUCT(-('Diário 2º PA'!$E$4:$E$3040='Analítico Cp.'!$B129),-('Diário 2º PA'!$Q$4:$Q$3040=H$1),('Diário 2º PA'!$F$4:$F$3040))+SUMPRODUCT(-('Diário 3º PA'!$E$4:$E$2731='Analítico Cp.'!$B129),-('Diário 3º PA'!$Q$4:$Q$2731=H$1),('Diário 3º PA'!$F$4:$F$2731))+SUMPRODUCT(-('Diário 4º PA'!$E$4:$E$2564='Analítico Cp.'!$B129),-('Diário 4º PA'!$Q$4:$Q$2564=H$1),('Diário 4º PA'!$F$4:$F$2564))+SUMPRODUCT(-('Comp.'!$D$5:$D$69='Analítico Cp.'!$B129),-('Comp.'!$K$5:$K$69=H$1),('Comp.'!$E$5:$E$69))</f>
        <v>3600</v>
      </c>
      <c r="I129" s="12">
        <f>SUMPRODUCT(-('Diário 1º PA'!$E$4:$E$2635='Analítico Cp.'!$B129),-('Diário 1º PA'!$Q$4:$Q$2635=I$1),('Diário 1º PA'!$F$4:$F$2635))+SUMPRODUCT(-('Diário 2º PA'!$E$4:$E$3040='Analítico Cp.'!$B129),-('Diário 2º PA'!$Q$4:$Q$3040=I$1),('Diário 2º PA'!$F$4:$F$3040))+SUMPRODUCT(-('Diário 3º PA'!$E$4:$E$2731='Analítico Cp.'!$B129),-('Diário 3º PA'!$Q$4:$Q$2731=I$1),('Diário 3º PA'!$F$4:$F$2731))+SUMPRODUCT(-('Diário 4º PA'!$E$4:$E$2564='Analítico Cp.'!$B129),-('Diário 4º PA'!$Q$4:$Q$2564=I$1),('Diário 4º PA'!$F$4:$F$2564))+SUMPRODUCT(-('Comp.'!$D$5:$D$69='Analítico Cp.'!$B129),-('Comp.'!$K$5:$K$69=I$1),('Comp.'!$E$5:$E$69))</f>
        <v>0</v>
      </c>
      <c r="J129" s="12">
        <f>SUMPRODUCT(-('Diário 1º PA'!$E$4:$E$2635='Analítico Cp.'!$B129),-('Diário 1º PA'!$Q$4:$Q$2635=J$1),('Diário 1º PA'!$F$4:$F$2635))+SUMPRODUCT(-('Diário 2º PA'!$E$4:$E$3040='Analítico Cp.'!$B129),-('Diário 2º PA'!$Q$4:$Q$3040=J$1),('Diário 2º PA'!$F$4:$F$3040))+SUMPRODUCT(-('Diário 3º PA'!$E$4:$E$2731='Analítico Cp.'!$B129),-('Diário 3º PA'!$Q$4:$Q$2731=J$1),('Diário 3º PA'!$F$4:$F$2731))+SUMPRODUCT(-('Diário 4º PA'!$E$4:$E$2564='Analítico Cp.'!$B129),-('Diário 4º PA'!$Q$4:$Q$2564=J$1),('Diário 4º PA'!$F$4:$F$2564))+SUMPRODUCT(-('Comp.'!$D$5:$D$69='Analítico Cp.'!$B129),-('Comp.'!$K$5:$K$69=J$1),('Comp.'!$E$5:$E$69))</f>
        <v>0</v>
      </c>
      <c r="K129" s="12">
        <f>SUMPRODUCT(-('Diário 1º PA'!$E$4:$E$2635='Analítico Cp.'!$B129),-('Diário 1º PA'!$Q$4:$Q$2635=K$1),('Diário 1º PA'!$F$4:$F$2635))+SUMPRODUCT(-('Diário 2º PA'!$E$4:$E$3040='Analítico Cp.'!$B129),-('Diário 2º PA'!$Q$4:$Q$3040=K$1),('Diário 2º PA'!$F$4:$F$3040))+SUMPRODUCT(-('Diário 3º PA'!$E$4:$E$2731='Analítico Cp.'!$B129),-('Diário 3º PA'!$Q$4:$Q$2731=K$1),('Diário 3º PA'!$F$4:$F$2731))+SUMPRODUCT(-('Diário 4º PA'!$E$4:$E$2564='Analítico Cp.'!$B129),-('Diário 4º PA'!$Q$4:$Q$2564=K$1),('Diário 4º PA'!$F$4:$F$2564))+SUMPRODUCT(-('Comp.'!$D$5:$D$69='Analítico Cp.'!$B129),-('Comp.'!$K$5:$K$69=K$1),('Comp.'!$E$5:$E$69))</f>
        <v>159.97999999999999</v>
      </c>
      <c r="L129" s="12">
        <f>SUMPRODUCT(-('Diário 1º PA'!$E$4:$E$2635='Analítico Cp.'!$B129),-('Diário 1º PA'!$Q$4:$Q$2635=L$1),('Diário 1º PA'!$F$4:$F$2635))+SUMPRODUCT(-('Diário 2º PA'!$E$4:$E$3040='Analítico Cp.'!$B129),-('Diário 2º PA'!$Q$4:$Q$3040=L$1),('Diário 2º PA'!$F$4:$F$3040))+SUMPRODUCT(-('Diário 3º PA'!$E$4:$E$2731='Analítico Cp.'!$B129),-('Diário 3º PA'!$Q$4:$Q$2731=L$1),('Diário 3º PA'!$F$4:$F$2731))+SUMPRODUCT(-('Diário 4º PA'!$E$4:$E$2564='Analítico Cp.'!$B129),-('Diário 4º PA'!$Q$4:$Q$2564=L$1),('Diário 4º PA'!$F$4:$F$2564))+SUMPRODUCT(-('Comp.'!$D$5:$D$69='Analítico Cp.'!$B129),-('Comp.'!$K$5:$K$69=L$1),('Comp.'!$E$5:$E$69))</f>
        <v>64.98</v>
      </c>
      <c r="M129" s="12">
        <f>SUMPRODUCT(-('Diário 1º PA'!$E$4:$E$2635='Analítico Cp.'!$B129),-('Diário 1º PA'!$Q$4:$Q$2635=M$1),('Diário 1º PA'!$F$4:$F$2635))+SUMPRODUCT(-('Diário 2º PA'!$E$4:$E$3040='Analítico Cp.'!$B129),-('Diário 2º PA'!$Q$4:$Q$3040=M$1),('Diário 2º PA'!$F$4:$F$3040))+SUMPRODUCT(-('Diário 3º PA'!$E$4:$E$2731='Analítico Cp.'!$B129),-('Diário 3º PA'!$Q$4:$Q$2731=M$1),('Diário 3º PA'!$F$4:$F$2731))+SUMPRODUCT(-('Diário 4º PA'!$E$4:$E$2564='Analítico Cp.'!$B129),-('Diário 4º PA'!$Q$4:$Q$2564=M$1),('Diário 4º PA'!$F$4:$F$2564))+SUMPRODUCT(-('Comp.'!$D$5:$D$69='Analítico Cp.'!$B129),-('Comp.'!$K$5:$K$69=M$1),('Comp.'!$E$5:$E$69))</f>
        <v>0</v>
      </c>
      <c r="N129" s="12">
        <f>SUMPRODUCT(-('Diário 1º PA'!$E$4:$E$2635='Analítico Cp.'!$B129),-('Diário 1º PA'!$Q$4:$Q$2635=N$1),('Diário 1º PA'!$F$4:$F$2635))+SUMPRODUCT(-('Diário 2º PA'!$E$4:$E$3040='Analítico Cp.'!$B129),-('Diário 2º PA'!$Q$4:$Q$3040=N$1),('Diário 2º PA'!$F$4:$F$3040))+SUMPRODUCT(-('Diário 3º PA'!$E$4:$E$2731='Analítico Cp.'!$B129),-('Diário 3º PA'!$Q$4:$Q$2731=N$1),('Diário 3º PA'!$F$4:$F$2731))+SUMPRODUCT(-('Diário 4º PA'!$E$4:$E$2564='Analítico Cp.'!$B129),-('Diário 4º PA'!$Q$4:$Q$2564=N$1),('Diário 4º PA'!$F$4:$F$2564))+SUMPRODUCT(-('Comp.'!$D$5:$D$69='Analítico Cp.'!$B129),-('Comp.'!$K$5:$K$69=N$1),('Comp.'!$E$5:$E$69))</f>
        <v>3423.4</v>
      </c>
      <c r="O129" s="13">
        <f t="shared" si="14"/>
        <v>7248.3600000000006</v>
      </c>
      <c r="P129" s="167">
        <f t="shared" si="15"/>
        <v>5.9225359316143126E-4</v>
      </c>
    </row>
    <row r="130" spans="1:16" ht="23.25" customHeight="1" x14ac:dyDescent="0.2">
      <c r="A130" s="61" t="s">
        <v>424</v>
      </c>
      <c r="B130" s="387" t="s">
        <v>452</v>
      </c>
      <c r="C130" s="12">
        <f>SUMPRODUCT(-('Diário 1º PA'!$E$4:$E$2635='Analítico Cp.'!$B130),-('Diário 1º PA'!$Q$4:$Q$2635=C$1),('Diário 1º PA'!$F$4:$F$2635))+SUMPRODUCT(-('Diário 2º PA'!$E$4:$E$3040='Analítico Cp.'!$B130),-('Diário 2º PA'!$Q$4:$Q$3040=C$1),('Diário 2º PA'!$F$4:$F$3040))+SUMPRODUCT(-('Diário 3º PA'!$E$4:$E$2731='Analítico Cp.'!$B130),-('Diário 3º PA'!$Q$4:$Q$2731=C$1),('Diário 3º PA'!$F$4:$F$2731))+SUMPRODUCT(-('Diário 4º PA'!$E$4:$E$2564='Analítico Cp.'!$B130),-('Diário 4º PA'!$Q$4:$Q$2564=C$1),('Diário 4º PA'!$F$4:$F$2564))+SUMPRODUCT(-('Comp.'!$D$5:$D$69='Analítico Cp.'!$B130),-('Comp.'!$K$5:$K$69=C$1),('Comp.'!$E$5:$E$69))</f>
        <v>0</v>
      </c>
      <c r="D130" s="12">
        <f>SUMPRODUCT(-('Diário 1º PA'!$E$4:$E$2635='Analítico Cp.'!$B130),-('Diário 1º PA'!$Q$4:$Q$2635=D$1),('Diário 1º PA'!$F$4:$F$2635))+SUMPRODUCT(-('Diário 2º PA'!$E$4:$E$3040='Analítico Cp.'!$B130),-('Diário 2º PA'!$Q$4:$Q$3040=D$1),('Diário 2º PA'!$F$4:$F$3040))+SUMPRODUCT(-('Diário 3º PA'!$E$4:$E$2731='Analítico Cp.'!$B130),-('Diário 3º PA'!$Q$4:$Q$2731=D$1),('Diário 3º PA'!$F$4:$F$2731))+SUMPRODUCT(-('Diário 4º PA'!$E$4:$E$2564='Analítico Cp.'!$B130),-('Diário 4º PA'!$Q$4:$Q$2564=D$1),('Diário 4º PA'!$F$4:$F$2564))+SUMPRODUCT(-('Comp.'!$D$5:$D$69='Analítico Cp.'!$B130),-('Comp.'!$K$5:$K$69=D$1),('Comp.'!$E$5:$E$69))</f>
        <v>3750</v>
      </c>
      <c r="E130" s="12">
        <f>SUMPRODUCT(-('Diário 1º PA'!$E$4:$E$2635='Analítico Cp.'!$B130),-('Diário 1º PA'!$Q$4:$Q$2635=E$1),('Diário 1º PA'!$F$4:$F$2635))+SUMPRODUCT(-('Diário 2º PA'!$E$4:$E$3040='Analítico Cp.'!$B130),-('Diário 2º PA'!$Q$4:$Q$3040=E$1),('Diário 2º PA'!$F$4:$F$3040))+SUMPRODUCT(-('Diário 3º PA'!$E$4:$E$2731='Analítico Cp.'!$B130),-('Diário 3º PA'!$Q$4:$Q$2731=E$1),('Diário 3º PA'!$F$4:$F$2731))+SUMPRODUCT(-('Diário 4º PA'!$E$4:$E$2564='Analítico Cp.'!$B130),-('Diário 4º PA'!$Q$4:$Q$2564=E$1),('Diário 4º PA'!$F$4:$F$2564))+SUMPRODUCT(-('Comp.'!$D$5:$D$69='Analítico Cp.'!$B130),-('Comp.'!$K$5:$K$69=E$1),('Comp.'!$E$5:$E$69))</f>
        <v>9959.1</v>
      </c>
      <c r="F130" s="12">
        <f>SUMPRODUCT(-('Diário 1º PA'!$E$4:$E$2635='Analítico Cp.'!$B130),-('Diário 1º PA'!$Q$4:$Q$2635=F$1),('Diário 1º PA'!$F$4:$F$2635))+SUMPRODUCT(-('Diário 2º PA'!$E$4:$E$3040='Analítico Cp.'!$B130),-('Diário 2º PA'!$Q$4:$Q$3040=F$1),('Diário 2º PA'!$F$4:$F$3040))+SUMPRODUCT(-('Diário 3º PA'!$E$4:$E$2731='Analítico Cp.'!$B130),-('Diário 3º PA'!$Q$4:$Q$2731=F$1),('Diário 3º PA'!$F$4:$F$2731))+SUMPRODUCT(-('Diário 4º PA'!$E$4:$E$2564='Analítico Cp.'!$B130),-('Diário 4º PA'!$Q$4:$Q$2564=F$1),('Diário 4º PA'!$F$4:$F$2564))+SUMPRODUCT(-('Comp.'!$D$5:$D$69='Analítico Cp.'!$B130),-('Comp.'!$K$5:$K$69=F$1),('Comp.'!$E$5:$E$69))</f>
        <v>0</v>
      </c>
      <c r="G130" s="12">
        <f>SUMPRODUCT(-('Diário 1º PA'!$E$4:$E$2635='Analítico Cp.'!$B130),-('Diário 1º PA'!$Q$4:$Q$2635=G$1),('Diário 1º PA'!$F$4:$F$2635))+SUMPRODUCT(-('Diário 2º PA'!$E$4:$E$3040='Analítico Cp.'!$B130),-('Diário 2º PA'!$Q$4:$Q$3040=G$1),('Diário 2º PA'!$F$4:$F$3040))+SUMPRODUCT(-('Diário 3º PA'!$E$4:$E$2731='Analítico Cp.'!$B130),-('Diário 3º PA'!$Q$4:$Q$2731=G$1),('Diário 3º PA'!$F$4:$F$2731))+SUMPRODUCT(-('Diário 4º PA'!$E$4:$E$2564='Analítico Cp.'!$B130),-('Diário 4º PA'!$Q$4:$Q$2564=G$1),('Diário 4º PA'!$F$4:$F$2564))+SUMPRODUCT(-('Comp.'!$D$5:$D$69='Analítico Cp.'!$B130),-('Comp.'!$K$5:$K$69=G$1),('Comp.'!$E$5:$E$69))</f>
        <v>0</v>
      </c>
      <c r="H130" s="12">
        <f>SUMPRODUCT(-('Diário 1º PA'!$E$4:$E$2635='Analítico Cp.'!$B130),-('Diário 1º PA'!$Q$4:$Q$2635=H$1),('Diário 1º PA'!$F$4:$F$2635))+SUMPRODUCT(-('Diário 2º PA'!$E$4:$E$3040='Analítico Cp.'!$B130),-('Diário 2º PA'!$Q$4:$Q$3040=H$1),('Diário 2º PA'!$F$4:$F$3040))+SUMPRODUCT(-('Diário 3º PA'!$E$4:$E$2731='Analítico Cp.'!$B130),-('Diário 3º PA'!$Q$4:$Q$2731=H$1),('Diário 3º PA'!$F$4:$F$2731))+SUMPRODUCT(-('Diário 4º PA'!$E$4:$E$2564='Analítico Cp.'!$B130),-('Diário 4º PA'!$Q$4:$Q$2564=H$1),('Diário 4º PA'!$F$4:$F$2564))+SUMPRODUCT(-('Comp.'!$D$5:$D$69='Analítico Cp.'!$B130),-('Comp.'!$K$5:$K$69=H$1),('Comp.'!$E$5:$E$69))</f>
        <v>3600</v>
      </c>
      <c r="I130" s="12">
        <f>SUMPRODUCT(-('Diário 1º PA'!$E$4:$E$2635='Analítico Cp.'!$B130),-('Diário 1º PA'!$Q$4:$Q$2635=I$1),('Diário 1º PA'!$F$4:$F$2635))+SUMPRODUCT(-('Diário 2º PA'!$E$4:$E$3040='Analítico Cp.'!$B130),-('Diário 2º PA'!$Q$4:$Q$3040=I$1),('Diário 2º PA'!$F$4:$F$3040))+SUMPRODUCT(-('Diário 3º PA'!$E$4:$E$2731='Analítico Cp.'!$B130),-('Diário 3º PA'!$Q$4:$Q$2731=I$1),('Diário 3º PA'!$F$4:$F$2731))+SUMPRODUCT(-('Diário 4º PA'!$E$4:$E$2564='Analítico Cp.'!$B130),-('Diário 4º PA'!$Q$4:$Q$2564=I$1),('Diário 4º PA'!$F$4:$F$2564))+SUMPRODUCT(-('Comp.'!$D$5:$D$69='Analítico Cp.'!$B130),-('Comp.'!$K$5:$K$69=I$1),('Comp.'!$E$5:$E$69))</f>
        <v>5000</v>
      </c>
      <c r="J130" s="12">
        <f>SUMPRODUCT(-('Diário 1º PA'!$E$4:$E$2635='Analítico Cp.'!$B130),-('Diário 1º PA'!$Q$4:$Q$2635=J$1),('Diário 1º PA'!$F$4:$F$2635))+SUMPRODUCT(-('Diário 2º PA'!$E$4:$E$3040='Analítico Cp.'!$B130),-('Diário 2º PA'!$Q$4:$Q$3040=J$1),('Diário 2º PA'!$F$4:$F$3040))+SUMPRODUCT(-('Diário 3º PA'!$E$4:$E$2731='Analítico Cp.'!$B130),-('Diário 3º PA'!$Q$4:$Q$2731=J$1),('Diário 3º PA'!$F$4:$F$2731))+SUMPRODUCT(-('Diário 4º PA'!$E$4:$E$2564='Analítico Cp.'!$B130),-('Diário 4º PA'!$Q$4:$Q$2564=J$1),('Diário 4º PA'!$F$4:$F$2564))+SUMPRODUCT(-('Comp.'!$D$5:$D$69='Analítico Cp.'!$B130),-('Comp.'!$K$5:$K$69=J$1),('Comp.'!$E$5:$E$69))</f>
        <v>1000</v>
      </c>
      <c r="K130" s="12">
        <f>SUMPRODUCT(-('Diário 1º PA'!$E$4:$E$2635='Analítico Cp.'!$B130),-('Diário 1º PA'!$Q$4:$Q$2635=K$1),('Diário 1º PA'!$F$4:$F$2635))+SUMPRODUCT(-('Diário 2º PA'!$E$4:$E$3040='Analítico Cp.'!$B130),-('Diário 2º PA'!$Q$4:$Q$3040=K$1),('Diário 2º PA'!$F$4:$F$3040))+SUMPRODUCT(-('Diário 3º PA'!$E$4:$E$2731='Analítico Cp.'!$B130),-('Diário 3º PA'!$Q$4:$Q$2731=K$1),('Diário 3º PA'!$F$4:$F$2731))+SUMPRODUCT(-('Diário 4º PA'!$E$4:$E$2564='Analítico Cp.'!$B130),-('Diário 4º PA'!$Q$4:$Q$2564=K$1),('Diário 4º PA'!$F$4:$F$2564))+SUMPRODUCT(-('Comp.'!$D$5:$D$69='Analítico Cp.'!$B130),-('Comp.'!$K$5:$K$69=K$1),('Comp.'!$E$5:$E$69))</f>
        <v>0</v>
      </c>
      <c r="L130" s="12">
        <f>SUMPRODUCT(-('Diário 1º PA'!$E$4:$E$2635='Analítico Cp.'!$B130),-('Diário 1º PA'!$Q$4:$Q$2635=L$1),('Diário 1º PA'!$F$4:$F$2635))+SUMPRODUCT(-('Diário 2º PA'!$E$4:$E$3040='Analítico Cp.'!$B130),-('Diário 2º PA'!$Q$4:$Q$3040=L$1),('Diário 2º PA'!$F$4:$F$3040))+SUMPRODUCT(-('Diário 3º PA'!$E$4:$E$2731='Analítico Cp.'!$B130),-('Diário 3º PA'!$Q$4:$Q$2731=L$1),('Diário 3º PA'!$F$4:$F$2731))+SUMPRODUCT(-('Diário 4º PA'!$E$4:$E$2564='Analítico Cp.'!$B130),-('Diário 4º PA'!$Q$4:$Q$2564=L$1),('Diário 4º PA'!$F$4:$F$2564))+SUMPRODUCT(-('Comp.'!$D$5:$D$69='Analítico Cp.'!$B130),-('Comp.'!$K$5:$K$69=L$1),('Comp.'!$E$5:$E$69))</f>
        <v>0</v>
      </c>
      <c r="M130" s="12">
        <f>SUMPRODUCT(-('Diário 1º PA'!$E$4:$E$2635='Analítico Cp.'!$B130),-('Diário 1º PA'!$Q$4:$Q$2635=M$1),('Diário 1º PA'!$F$4:$F$2635))+SUMPRODUCT(-('Diário 2º PA'!$E$4:$E$3040='Analítico Cp.'!$B130),-('Diário 2º PA'!$Q$4:$Q$3040=M$1),('Diário 2º PA'!$F$4:$F$3040))+SUMPRODUCT(-('Diário 3º PA'!$E$4:$E$2731='Analítico Cp.'!$B130),-('Diário 3º PA'!$Q$4:$Q$2731=M$1),('Diário 3º PA'!$F$4:$F$2731))+SUMPRODUCT(-('Diário 4º PA'!$E$4:$E$2564='Analítico Cp.'!$B130),-('Diário 4º PA'!$Q$4:$Q$2564=M$1),('Diário 4º PA'!$F$4:$F$2564))+SUMPRODUCT(-('Comp.'!$D$5:$D$69='Analítico Cp.'!$B130),-('Comp.'!$K$5:$K$69=M$1),('Comp.'!$E$5:$E$69))</f>
        <v>0</v>
      </c>
      <c r="N130" s="12">
        <f>SUMPRODUCT(-('Diário 1º PA'!$E$4:$E$2635='Analítico Cp.'!$B130),-('Diário 1º PA'!$Q$4:$Q$2635=N$1),('Diário 1º PA'!$F$4:$F$2635))+SUMPRODUCT(-('Diário 2º PA'!$E$4:$E$3040='Analítico Cp.'!$B130),-('Diário 2º PA'!$Q$4:$Q$3040=N$1),('Diário 2º PA'!$F$4:$F$3040))+SUMPRODUCT(-('Diário 3º PA'!$E$4:$E$2731='Analítico Cp.'!$B130),-('Diário 3º PA'!$Q$4:$Q$2731=N$1),('Diário 3º PA'!$F$4:$F$2731))+SUMPRODUCT(-('Diário 4º PA'!$E$4:$E$2564='Analítico Cp.'!$B130),-('Diário 4º PA'!$Q$4:$Q$2564=N$1),('Diário 4º PA'!$F$4:$F$2564))+SUMPRODUCT(-('Comp.'!$D$5:$D$69='Analítico Cp.'!$B130),-('Comp.'!$K$5:$K$69=N$1),('Comp.'!$E$5:$E$69))</f>
        <v>10700</v>
      </c>
      <c r="O130" s="13">
        <f t="shared" si="14"/>
        <v>34009.1</v>
      </c>
      <c r="P130" s="167">
        <f t="shared" si="15"/>
        <v>2.7788370990384625E-3</v>
      </c>
    </row>
    <row r="131" spans="1:16" ht="23.25" customHeight="1" x14ac:dyDescent="0.2">
      <c r="A131" s="61" t="s">
        <v>425</v>
      </c>
      <c r="B131" s="387" t="s">
        <v>453</v>
      </c>
      <c r="C131" s="12">
        <f>SUMPRODUCT(-('Diário 1º PA'!$E$4:$E$2635='Analítico Cp.'!$B131),-('Diário 1º PA'!$Q$4:$Q$2635=C$1),('Diário 1º PA'!$F$4:$F$2635))+SUMPRODUCT(-('Diário 2º PA'!$E$4:$E$3040='Analítico Cp.'!$B131),-('Diário 2º PA'!$Q$4:$Q$3040=C$1),('Diário 2º PA'!$F$4:$F$3040))+SUMPRODUCT(-('Diário 3º PA'!$E$4:$E$2731='Analítico Cp.'!$B131),-('Diário 3º PA'!$Q$4:$Q$2731=C$1),('Diário 3º PA'!$F$4:$F$2731))+SUMPRODUCT(-('Diário 4º PA'!$E$4:$E$2564='Analítico Cp.'!$B131),-('Diário 4º PA'!$Q$4:$Q$2564=C$1),('Diário 4º PA'!$F$4:$F$2564))+SUMPRODUCT(-('Comp.'!$D$5:$D$69='Analítico Cp.'!$B131),-('Comp.'!$K$5:$K$69=C$1),('Comp.'!$E$5:$E$69))</f>
        <v>32288.000000000011</v>
      </c>
      <c r="D131" s="12">
        <f>SUMPRODUCT(-('Diário 1º PA'!$E$4:$E$2635='Analítico Cp.'!$B131),-('Diário 1º PA'!$Q$4:$Q$2635=D$1),('Diário 1º PA'!$F$4:$F$2635))+SUMPRODUCT(-('Diário 2º PA'!$E$4:$E$3040='Analítico Cp.'!$B131),-('Diário 2º PA'!$Q$4:$Q$3040=D$1),('Diário 2º PA'!$F$4:$F$3040))+SUMPRODUCT(-('Diário 3º PA'!$E$4:$E$2731='Analítico Cp.'!$B131),-('Diário 3º PA'!$Q$4:$Q$2731=D$1),('Diário 3º PA'!$F$4:$F$2731))+SUMPRODUCT(-('Diário 4º PA'!$E$4:$E$2564='Analítico Cp.'!$B131),-('Diário 4º PA'!$Q$4:$Q$2564=D$1),('Diário 4º PA'!$F$4:$F$2564))+SUMPRODUCT(-('Comp.'!$D$5:$D$69='Analítico Cp.'!$B131),-('Comp.'!$K$5:$K$69=D$1),('Comp.'!$E$5:$E$69))</f>
        <v>37226</v>
      </c>
      <c r="E131" s="12">
        <f>SUMPRODUCT(-('Diário 1º PA'!$E$4:$E$2635='Analítico Cp.'!$B131),-('Diário 1º PA'!$Q$4:$Q$2635=E$1),('Diário 1º PA'!$F$4:$F$2635))+SUMPRODUCT(-('Diário 2º PA'!$E$4:$E$3040='Analítico Cp.'!$B131),-('Diário 2º PA'!$Q$4:$Q$3040=E$1),('Diário 2º PA'!$F$4:$F$3040))+SUMPRODUCT(-('Diário 3º PA'!$E$4:$E$2731='Analítico Cp.'!$B131),-('Diário 3º PA'!$Q$4:$Q$2731=E$1),('Diário 3º PA'!$F$4:$F$2731))+SUMPRODUCT(-('Diário 4º PA'!$E$4:$E$2564='Analítico Cp.'!$B131),-('Diário 4º PA'!$Q$4:$Q$2564=E$1),('Diário 4º PA'!$F$4:$F$2564))+SUMPRODUCT(-('Comp.'!$D$5:$D$69='Analítico Cp.'!$B131),-('Comp.'!$K$5:$K$69=E$1),('Comp.'!$E$5:$E$69))</f>
        <v>29786</v>
      </c>
      <c r="F131" s="12">
        <f>SUMPRODUCT(-('Diário 1º PA'!$E$4:$E$2635='Analítico Cp.'!$B131),-('Diário 1º PA'!$Q$4:$Q$2635=F$1),('Diário 1º PA'!$F$4:$F$2635))+SUMPRODUCT(-('Diário 2º PA'!$E$4:$E$3040='Analítico Cp.'!$B131),-('Diário 2º PA'!$Q$4:$Q$3040=F$1),('Diário 2º PA'!$F$4:$F$3040))+SUMPRODUCT(-('Diário 3º PA'!$E$4:$E$2731='Analítico Cp.'!$B131),-('Diário 3º PA'!$Q$4:$Q$2731=F$1),('Diário 3º PA'!$F$4:$F$2731))+SUMPRODUCT(-('Diário 4º PA'!$E$4:$E$2564='Analítico Cp.'!$B131),-('Diário 4º PA'!$Q$4:$Q$2564=F$1),('Diário 4º PA'!$F$4:$F$2564))+SUMPRODUCT(-('Comp.'!$D$5:$D$69='Analítico Cp.'!$B131),-('Comp.'!$K$5:$K$69=F$1),('Comp.'!$E$5:$E$69))</f>
        <v>22296</v>
      </c>
      <c r="G131" s="12">
        <f>SUMPRODUCT(-('Diário 1º PA'!$E$4:$E$2635='Analítico Cp.'!$B131),-('Diário 1º PA'!$Q$4:$Q$2635=G$1),('Diário 1º PA'!$F$4:$F$2635))+SUMPRODUCT(-('Diário 2º PA'!$E$4:$E$3040='Analítico Cp.'!$B131),-('Diário 2º PA'!$Q$4:$Q$3040=G$1),('Diário 2º PA'!$F$4:$F$3040))+SUMPRODUCT(-('Diário 3º PA'!$E$4:$E$2731='Analítico Cp.'!$B131),-('Diário 3º PA'!$Q$4:$Q$2731=G$1),('Diário 3º PA'!$F$4:$F$2731))+SUMPRODUCT(-('Diário 4º PA'!$E$4:$E$2564='Analítico Cp.'!$B131),-('Diário 4º PA'!$Q$4:$Q$2564=G$1),('Diário 4º PA'!$F$4:$F$2564))+SUMPRODUCT(-('Comp.'!$D$5:$D$69='Analítico Cp.'!$B131),-('Comp.'!$K$5:$K$69=G$1),('Comp.'!$E$5:$E$69))</f>
        <v>23452</v>
      </c>
      <c r="H131" s="12">
        <f>SUMPRODUCT(-('Diário 1º PA'!$E$4:$E$2635='Analítico Cp.'!$B131),-('Diário 1º PA'!$Q$4:$Q$2635=H$1),('Diário 1º PA'!$F$4:$F$2635))+SUMPRODUCT(-('Diário 2º PA'!$E$4:$E$3040='Analítico Cp.'!$B131),-('Diário 2º PA'!$Q$4:$Q$3040=H$1),('Diário 2º PA'!$F$4:$F$3040))+SUMPRODUCT(-('Diário 3º PA'!$E$4:$E$2731='Analítico Cp.'!$B131),-('Diário 3º PA'!$Q$4:$Q$2731=H$1),('Diário 3º PA'!$F$4:$F$2731))+SUMPRODUCT(-('Diário 4º PA'!$E$4:$E$2564='Analítico Cp.'!$B131),-('Diário 4º PA'!$Q$4:$Q$2564=H$1),('Diário 4º PA'!$F$4:$F$2564))+SUMPRODUCT(-('Comp.'!$D$5:$D$69='Analítico Cp.'!$B131),-('Comp.'!$K$5:$K$69=H$1),('Comp.'!$E$5:$E$69))</f>
        <v>9300</v>
      </c>
      <c r="I131" s="12">
        <f>SUMPRODUCT(-('Diário 1º PA'!$E$4:$E$2635='Analítico Cp.'!$B131),-('Diário 1º PA'!$Q$4:$Q$2635=I$1),('Diário 1º PA'!$F$4:$F$2635))+SUMPRODUCT(-('Diário 2º PA'!$E$4:$E$3040='Analítico Cp.'!$B131),-('Diário 2º PA'!$Q$4:$Q$3040=I$1),('Diário 2º PA'!$F$4:$F$3040))+SUMPRODUCT(-('Diário 3º PA'!$E$4:$E$2731='Analítico Cp.'!$B131),-('Diário 3º PA'!$Q$4:$Q$2731=I$1),('Diário 3º PA'!$F$4:$F$2731))+SUMPRODUCT(-('Diário 4º PA'!$E$4:$E$2564='Analítico Cp.'!$B131),-('Diário 4º PA'!$Q$4:$Q$2564=I$1),('Diário 4º PA'!$F$4:$F$2564))+SUMPRODUCT(-('Comp.'!$D$5:$D$69='Analítico Cp.'!$B131),-('Comp.'!$K$5:$K$69=I$1),('Comp.'!$E$5:$E$69))</f>
        <v>10464</v>
      </c>
      <c r="J131" s="12">
        <f>SUMPRODUCT(-('Diário 1º PA'!$E$4:$E$2635='Analítico Cp.'!$B131),-('Diário 1º PA'!$Q$4:$Q$2635=J$1),('Diário 1º PA'!$F$4:$F$2635))+SUMPRODUCT(-('Diário 2º PA'!$E$4:$E$3040='Analítico Cp.'!$B131),-('Diário 2º PA'!$Q$4:$Q$3040=J$1),('Diário 2º PA'!$F$4:$F$3040))+SUMPRODUCT(-('Diário 3º PA'!$E$4:$E$2731='Analítico Cp.'!$B131),-('Diário 3º PA'!$Q$4:$Q$2731=J$1),('Diário 3º PA'!$F$4:$F$2731))+SUMPRODUCT(-('Diário 4º PA'!$E$4:$E$2564='Analítico Cp.'!$B131),-('Diário 4º PA'!$Q$4:$Q$2564=J$1),('Diário 4º PA'!$F$4:$F$2564))+SUMPRODUCT(-('Comp.'!$D$5:$D$69='Analítico Cp.'!$B131),-('Comp.'!$K$5:$K$69=J$1),('Comp.'!$E$5:$E$69))</f>
        <v>8741</v>
      </c>
      <c r="K131" s="12">
        <f>SUMPRODUCT(-('Diário 1º PA'!$E$4:$E$2635='Analítico Cp.'!$B131),-('Diário 1º PA'!$Q$4:$Q$2635=K$1),('Diário 1º PA'!$F$4:$F$2635))+SUMPRODUCT(-('Diário 2º PA'!$E$4:$E$3040='Analítico Cp.'!$B131),-('Diário 2º PA'!$Q$4:$Q$3040=K$1),('Diário 2º PA'!$F$4:$F$3040))+SUMPRODUCT(-('Diário 3º PA'!$E$4:$E$2731='Analítico Cp.'!$B131),-('Diário 3º PA'!$Q$4:$Q$2731=K$1),('Diário 3º PA'!$F$4:$F$2731))+SUMPRODUCT(-('Diário 4º PA'!$E$4:$E$2564='Analítico Cp.'!$B131),-('Diário 4º PA'!$Q$4:$Q$2564=K$1),('Diário 4º PA'!$F$4:$F$2564))+SUMPRODUCT(-('Comp.'!$D$5:$D$69='Analítico Cp.'!$B131),-('Comp.'!$K$5:$K$69=K$1),('Comp.'!$E$5:$E$69))</f>
        <v>4363.32</v>
      </c>
      <c r="L131" s="12">
        <f>SUMPRODUCT(-('Diário 1º PA'!$E$4:$E$2635='Analítico Cp.'!$B131),-('Diário 1º PA'!$Q$4:$Q$2635=L$1),('Diário 1º PA'!$F$4:$F$2635))+SUMPRODUCT(-('Diário 2º PA'!$E$4:$E$3040='Analítico Cp.'!$B131),-('Diário 2º PA'!$Q$4:$Q$3040=L$1),('Diário 2º PA'!$F$4:$F$3040))+SUMPRODUCT(-('Diário 3º PA'!$E$4:$E$2731='Analítico Cp.'!$B131),-('Diário 3º PA'!$Q$4:$Q$2731=L$1),('Diário 3º PA'!$F$4:$F$2731))+SUMPRODUCT(-('Diário 4º PA'!$E$4:$E$2564='Analítico Cp.'!$B131),-('Diário 4º PA'!$Q$4:$Q$2564=L$1),('Diário 4º PA'!$F$4:$F$2564))+SUMPRODUCT(-('Comp.'!$D$5:$D$69='Analítico Cp.'!$B131),-('Comp.'!$K$5:$K$69=L$1),('Comp.'!$E$5:$E$69))</f>
        <v>850</v>
      </c>
      <c r="M131" s="12">
        <f>SUMPRODUCT(-('Diário 1º PA'!$E$4:$E$2635='Analítico Cp.'!$B131),-('Diário 1º PA'!$Q$4:$Q$2635=M$1),('Diário 1º PA'!$F$4:$F$2635))+SUMPRODUCT(-('Diário 2º PA'!$E$4:$E$3040='Analítico Cp.'!$B131),-('Diário 2º PA'!$Q$4:$Q$3040=M$1),('Diário 2º PA'!$F$4:$F$3040))+SUMPRODUCT(-('Diário 3º PA'!$E$4:$E$2731='Analítico Cp.'!$B131),-('Diário 3º PA'!$Q$4:$Q$2731=M$1),('Diário 3º PA'!$F$4:$F$2731))+SUMPRODUCT(-('Diário 4º PA'!$E$4:$E$2564='Analítico Cp.'!$B131),-('Diário 4º PA'!$Q$4:$Q$2564=M$1),('Diário 4º PA'!$F$4:$F$2564))+SUMPRODUCT(-('Comp.'!$D$5:$D$69='Analítico Cp.'!$B131),-('Comp.'!$K$5:$K$69=M$1),('Comp.'!$E$5:$E$69))</f>
        <v>2120</v>
      </c>
      <c r="N131" s="12">
        <f>SUMPRODUCT(-('Diário 1º PA'!$E$4:$E$2635='Analítico Cp.'!$B131),-('Diário 1º PA'!$Q$4:$Q$2635=N$1),('Diário 1º PA'!$F$4:$F$2635))+SUMPRODUCT(-('Diário 2º PA'!$E$4:$E$3040='Analítico Cp.'!$B131),-('Diário 2º PA'!$Q$4:$Q$3040=N$1),('Diário 2º PA'!$F$4:$F$3040))+SUMPRODUCT(-('Diário 3º PA'!$E$4:$E$2731='Analítico Cp.'!$B131),-('Diário 3º PA'!$Q$4:$Q$2731=N$1),('Diário 3º PA'!$F$4:$F$2731))+SUMPRODUCT(-('Diário 4º PA'!$E$4:$E$2564='Analítico Cp.'!$B131),-('Diário 4º PA'!$Q$4:$Q$2564=N$1),('Diário 4º PA'!$F$4:$F$2564))+SUMPRODUCT(-('Comp.'!$D$5:$D$69='Analítico Cp.'!$B131),-('Comp.'!$K$5:$K$69=N$1),('Comp.'!$E$5:$E$69))</f>
        <v>0</v>
      </c>
      <c r="O131" s="13">
        <f t="shared" si="14"/>
        <v>180886.32</v>
      </c>
      <c r="P131" s="167">
        <f t="shared" si="15"/>
        <v>1.477997408706914E-2</v>
      </c>
    </row>
    <row r="132" spans="1:16" ht="23.25" customHeight="1" x14ac:dyDescent="0.2">
      <c r="A132" s="61" t="s">
        <v>426</v>
      </c>
      <c r="B132" s="387" t="s">
        <v>454</v>
      </c>
      <c r="C132" s="12">
        <f>SUMPRODUCT(-('Diário 1º PA'!$E$4:$E$2635='Analítico Cp.'!$B132),-('Diário 1º PA'!$Q$4:$Q$2635=C$1),('Diário 1º PA'!$F$4:$F$2635))+SUMPRODUCT(-('Diário 2º PA'!$E$4:$E$3040='Analítico Cp.'!$B132),-('Diário 2º PA'!$Q$4:$Q$3040=C$1),('Diário 2º PA'!$F$4:$F$3040))+SUMPRODUCT(-('Diário 3º PA'!$E$4:$E$2731='Analítico Cp.'!$B132),-('Diário 3º PA'!$Q$4:$Q$2731=C$1),('Diário 3º PA'!$F$4:$F$2731))+SUMPRODUCT(-('Diário 4º PA'!$E$4:$E$2564='Analítico Cp.'!$B132),-('Diário 4º PA'!$Q$4:$Q$2564=C$1),('Diário 4º PA'!$F$4:$F$2564))+SUMPRODUCT(-('Comp.'!$D$5:$D$69='Analítico Cp.'!$B132),-('Comp.'!$K$5:$K$69=C$1),('Comp.'!$E$5:$E$69))</f>
        <v>1000</v>
      </c>
      <c r="D132" s="12">
        <f>SUMPRODUCT(-('Diário 1º PA'!$E$4:$E$2635='Analítico Cp.'!$B132),-('Diário 1º PA'!$Q$4:$Q$2635=D$1),('Diário 1º PA'!$F$4:$F$2635))+SUMPRODUCT(-('Diário 2º PA'!$E$4:$E$3040='Analítico Cp.'!$B132),-('Diário 2º PA'!$Q$4:$Q$3040=D$1),('Diário 2º PA'!$F$4:$F$3040))+SUMPRODUCT(-('Diário 3º PA'!$E$4:$E$2731='Analítico Cp.'!$B132),-('Diário 3º PA'!$Q$4:$Q$2731=D$1),('Diário 3º PA'!$F$4:$F$2731))+SUMPRODUCT(-('Diário 4º PA'!$E$4:$E$2564='Analítico Cp.'!$B132),-('Diário 4º PA'!$Q$4:$Q$2564=D$1),('Diário 4º PA'!$F$4:$F$2564))+SUMPRODUCT(-('Comp.'!$D$5:$D$69='Analítico Cp.'!$B132),-('Comp.'!$K$5:$K$69=D$1),('Comp.'!$E$5:$E$69))</f>
        <v>0</v>
      </c>
      <c r="E132" s="12">
        <f>SUMPRODUCT(-('Diário 1º PA'!$E$4:$E$2635='Analítico Cp.'!$B132),-('Diário 1º PA'!$Q$4:$Q$2635=E$1),('Diário 1º PA'!$F$4:$F$2635))+SUMPRODUCT(-('Diário 2º PA'!$E$4:$E$3040='Analítico Cp.'!$B132),-('Diário 2º PA'!$Q$4:$Q$3040=E$1),('Diário 2º PA'!$F$4:$F$3040))+SUMPRODUCT(-('Diário 3º PA'!$E$4:$E$2731='Analítico Cp.'!$B132),-('Diário 3º PA'!$Q$4:$Q$2731=E$1),('Diário 3º PA'!$F$4:$F$2731))+SUMPRODUCT(-('Diário 4º PA'!$E$4:$E$2564='Analítico Cp.'!$B132),-('Diário 4º PA'!$Q$4:$Q$2564=E$1),('Diário 4º PA'!$F$4:$F$2564))+SUMPRODUCT(-('Comp.'!$D$5:$D$69='Analítico Cp.'!$B132),-('Comp.'!$K$5:$K$69=E$1),('Comp.'!$E$5:$E$69))</f>
        <v>1950</v>
      </c>
      <c r="F132" s="12">
        <f>SUMPRODUCT(-('Diário 1º PA'!$E$4:$E$2635='Analítico Cp.'!$B132),-('Diário 1º PA'!$Q$4:$Q$2635=F$1),('Diário 1º PA'!$F$4:$F$2635))+SUMPRODUCT(-('Diário 2º PA'!$E$4:$E$3040='Analítico Cp.'!$B132),-('Diário 2º PA'!$Q$4:$Q$3040=F$1),('Diário 2º PA'!$F$4:$F$3040))+SUMPRODUCT(-('Diário 3º PA'!$E$4:$E$2731='Analítico Cp.'!$B132),-('Diário 3º PA'!$Q$4:$Q$2731=F$1),('Diário 3º PA'!$F$4:$F$2731))+SUMPRODUCT(-('Diário 4º PA'!$E$4:$E$2564='Analítico Cp.'!$B132),-('Diário 4º PA'!$Q$4:$Q$2564=F$1),('Diário 4º PA'!$F$4:$F$2564))+SUMPRODUCT(-('Comp.'!$D$5:$D$69='Analítico Cp.'!$B132),-('Comp.'!$K$5:$K$69=F$1),('Comp.'!$E$5:$E$69))</f>
        <v>75000</v>
      </c>
      <c r="G132" s="12">
        <f>SUMPRODUCT(-('Diário 1º PA'!$E$4:$E$2635='Analítico Cp.'!$B132),-('Diário 1º PA'!$Q$4:$Q$2635=G$1),('Diário 1º PA'!$F$4:$F$2635))+SUMPRODUCT(-('Diário 2º PA'!$E$4:$E$3040='Analítico Cp.'!$B132),-('Diário 2º PA'!$Q$4:$Q$3040=G$1),('Diário 2º PA'!$F$4:$F$3040))+SUMPRODUCT(-('Diário 3º PA'!$E$4:$E$2731='Analítico Cp.'!$B132),-('Diário 3º PA'!$Q$4:$Q$2731=G$1),('Diário 3º PA'!$F$4:$F$2731))+SUMPRODUCT(-('Diário 4º PA'!$E$4:$E$2564='Analítico Cp.'!$B132),-('Diário 4º PA'!$Q$4:$Q$2564=G$1),('Diário 4º PA'!$F$4:$F$2564))+SUMPRODUCT(-('Comp.'!$D$5:$D$69='Analítico Cp.'!$B132),-('Comp.'!$K$5:$K$69=G$1),('Comp.'!$E$5:$E$69))</f>
        <v>0</v>
      </c>
      <c r="H132" s="12">
        <f>SUMPRODUCT(-('Diário 1º PA'!$E$4:$E$2635='Analítico Cp.'!$B132),-('Diário 1º PA'!$Q$4:$Q$2635=H$1),('Diário 1º PA'!$F$4:$F$2635))+SUMPRODUCT(-('Diário 2º PA'!$E$4:$E$3040='Analítico Cp.'!$B132),-('Diário 2º PA'!$Q$4:$Q$3040=H$1),('Diário 2º PA'!$F$4:$F$3040))+SUMPRODUCT(-('Diário 3º PA'!$E$4:$E$2731='Analítico Cp.'!$B132),-('Diário 3º PA'!$Q$4:$Q$2731=H$1),('Diário 3º PA'!$F$4:$F$2731))+SUMPRODUCT(-('Diário 4º PA'!$E$4:$E$2564='Analítico Cp.'!$B132),-('Diário 4º PA'!$Q$4:$Q$2564=H$1),('Diário 4º PA'!$F$4:$F$2564))+SUMPRODUCT(-('Comp.'!$D$5:$D$69='Analítico Cp.'!$B132),-('Comp.'!$K$5:$K$69=H$1),('Comp.'!$E$5:$E$69))</f>
        <v>0</v>
      </c>
      <c r="I132" s="12">
        <f>SUMPRODUCT(-('Diário 1º PA'!$E$4:$E$2635='Analítico Cp.'!$B132),-('Diário 1º PA'!$Q$4:$Q$2635=I$1),('Diário 1º PA'!$F$4:$F$2635))+SUMPRODUCT(-('Diário 2º PA'!$E$4:$E$3040='Analítico Cp.'!$B132),-('Diário 2º PA'!$Q$4:$Q$3040=I$1),('Diário 2º PA'!$F$4:$F$3040))+SUMPRODUCT(-('Diário 3º PA'!$E$4:$E$2731='Analítico Cp.'!$B132),-('Diário 3º PA'!$Q$4:$Q$2731=I$1),('Diário 3º PA'!$F$4:$F$2731))+SUMPRODUCT(-('Diário 4º PA'!$E$4:$E$2564='Analítico Cp.'!$B132),-('Diário 4º PA'!$Q$4:$Q$2564=I$1),('Diário 4º PA'!$F$4:$F$2564))+SUMPRODUCT(-('Comp.'!$D$5:$D$69='Analítico Cp.'!$B132),-('Comp.'!$K$5:$K$69=I$1),('Comp.'!$E$5:$E$69))</f>
        <v>912</v>
      </c>
      <c r="J132" s="12">
        <f>SUMPRODUCT(-('Diário 1º PA'!$E$4:$E$2635='Analítico Cp.'!$B132),-('Diário 1º PA'!$Q$4:$Q$2635=J$1),('Diário 1º PA'!$F$4:$F$2635))+SUMPRODUCT(-('Diário 2º PA'!$E$4:$E$3040='Analítico Cp.'!$B132),-('Diário 2º PA'!$Q$4:$Q$3040=J$1),('Diário 2º PA'!$F$4:$F$3040))+SUMPRODUCT(-('Diário 3º PA'!$E$4:$E$2731='Analítico Cp.'!$B132),-('Diário 3º PA'!$Q$4:$Q$2731=J$1),('Diário 3º PA'!$F$4:$F$2731))+SUMPRODUCT(-('Diário 4º PA'!$E$4:$E$2564='Analítico Cp.'!$B132),-('Diário 4º PA'!$Q$4:$Q$2564=J$1),('Diário 4º PA'!$F$4:$F$2564))+SUMPRODUCT(-('Comp.'!$D$5:$D$69='Analítico Cp.'!$B132),-('Comp.'!$K$5:$K$69=J$1),('Comp.'!$E$5:$E$69))</f>
        <v>0</v>
      </c>
      <c r="K132" s="12">
        <f>SUMPRODUCT(-('Diário 1º PA'!$E$4:$E$2635='Analítico Cp.'!$B132),-('Diário 1º PA'!$Q$4:$Q$2635=K$1),('Diário 1º PA'!$F$4:$F$2635))+SUMPRODUCT(-('Diário 2º PA'!$E$4:$E$3040='Analítico Cp.'!$B132),-('Diário 2º PA'!$Q$4:$Q$3040=K$1),('Diário 2º PA'!$F$4:$F$3040))+SUMPRODUCT(-('Diário 3º PA'!$E$4:$E$2731='Analítico Cp.'!$B132),-('Diário 3º PA'!$Q$4:$Q$2731=K$1),('Diário 3º PA'!$F$4:$F$2731))+SUMPRODUCT(-('Diário 4º PA'!$E$4:$E$2564='Analítico Cp.'!$B132),-('Diário 4º PA'!$Q$4:$Q$2564=K$1),('Diário 4º PA'!$F$4:$F$2564))+SUMPRODUCT(-('Comp.'!$D$5:$D$69='Analítico Cp.'!$B132),-('Comp.'!$K$5:$K$69=K$1),('Comp.'!$E$5:$E$69))</f>
        <v>0</v>
      </c>
      <c r="L132" s="12">
        <f>SUMPRODUCT(-('Diário 1º PA'!$E$4:$E$2635='Analítico Cp.'!$B132),-('Diário 1º PA'!$Q$4:$Q$2635=L$1),('Diário 1º PA'!$F$4:$F$2635))+SUMPRODUCT(-('Diário 2º PA'!$E$4:$E$3040='Analítico Cp.'!$B132),-('Diário 2º PA'!$Q$4:$Q$3040=L$1),('Diário 2º PA'!$F$4:$F$3040))+SUMPRODUCT(-('Diário 3º PA'!$E$4:$E$2731='Analítico Cp.'!$B132),-('Diário 3º PA'!$Q$4:$Q$2731=L$1),('Diário 3º PA'!$F$4:$F$2731))+SUMPRODUCT(-('Diário 4º PA'!$E$4:$E$2564='Analítico Cp.'!$B132),-('Diário 4º PA'!$Q$4:$Q$2564=L$1),('Diário 4º PA'!$F$4:$F$2564))+SUMPRODUCT(-('Comp.'!$D$5:$D$69='Analítico Cp.'!$B132),-('Comp.'!$K$5:$K$69=L$1),('Comp.'!$E$5:$E$69))</f>
        <v>0</v>
      </c>
      <c r="M132" s="12">
        <f>SUMPRODUCT(-('Diário 1º PA'!$E$4:$E$2635='Analítico Cp.'!$B132),-('Diário 1º PA'!$Q$4:$Q$2635=M$1),('Diário 1º PA'!$F$4:$F$2635))+SUMPRODUCT(-('Diário 2º PA'!$E$4:$E$3040='Analítico Cp.'!$B132),-('Diário 2º PA'!$Q$4:$Q$3040=M$1),('Diário 2º PA'!$F$4:$F$3040))+SUMPRODUCT(-('Diário 3º PA'!$E$4:$E$2731='Analítico Cp.'!$B132),-('Diário 3º PA'!$Q$4:$Q$2731=M$1),('Diário 3º PA'!$F$4:$F$2731))+SUMPRODUCT(-('Diário 4º PA'!$E$4:$E$2564='Analítico Cp.'!$B132),-('Diário 4º PA'!$Q$4:$Q$2564=M$1),('Diário 4º PA'!$F$4:$F$2564))+SUMPRODUCT(-('Comp.'!$D$5:$D$69='Analítico Cp.'!$B132),-('Comp.'!$K$5:$K$69=M$1),('Comp.'!$E$5:$E$69))</f>
        <v>0</v>
      </c>
      <c r="N132" s="12">
        <f>SUMPRODUCT(-('Diário 1º PA'!$E$4:$E$2635='Analítico Cp.'!$B132),-('Diário 1º PA'!$Q$4:$Q$2635=N$1),('Diário 1º PA'!$F$4:$F$2635))+SUMPRODUCT(-('Diário 2º PA'!$E$4:$E$3040='Analítico Cp.'!$B132),-('Diário 2º PA'!$Q$4:$Q$3040=N$1),('Diário 2º PA'!$F$4:$F$3040))+SUMPRODUCT(-('Diário 3º PA'!$E$4:$E$2731='Analítico Cp.'!$B132),-('Diário 3º PA'!$Q$4:$Q$2731=N$1),('Diário 3º PA'!$F$4:$F$2731))+SUMPRODUCT(-('Diário 4º PA'!$E$4:$E$2564='Analítico Cp.'!$B132),-('Diário 4º PA'!$Q$4:$Q$2564=N$1),('Diário 4º PA'!$F$4:$F$2564))+SUMPRODUCT(-('Comp.'!$D$5:$D$69='Analítico Cp.'!$B132),-('Comp.'!$K$5:$K$69=N$1),('Comp.'!$E$5:$E$69))</f>
        <v>0</v>
      </c>
      <c r="O132" s="13">
        <f t="shared" si="14"/>
        <v>78862</v>
      </c>
      <c r="P132" s="167">
        <f t="shared" si="15"/>
        <v>6.4437062816825865E-3</v>
      </c>
    </row>
    <row r="133" spans="1:16" ht="23.25" customHeight="1" x14ac:dyDescent="0.2">
      <c r="A133" s="61" t="s">
        <v>427</v>
      </c>
      <c r="B133" s="387" t="s">
        <v>455</v>
      </c>
      <c r="C133" s="12">
        <f>SUMPRODUCT(-('Diário 1º PA'!$E$4:$E$2635='Analítico Cp.'!$B133),-('Diário 1º PA'!$Q$4:$Q$2635=C$1),('Diário 1º PA'!$F$4:$F$2635))+SUMPRODUCT(-('Diário 2º PA'!$E$4:$E$3040='Analítico Cp.'!$B133),-('Diário 2º PA'!$Q$4:$Q$3040=C$1),('Diário 2º PA'!$F$4:$F$3040))+SUMPRODUCT(-('Diário 3º PA'!$E$4:$E$2731='Analítico Cp.'!$B133),-('Diário 3º PA'!$Q$4:$Q$2731=C$1),('Diário 3º PA'!$F$4:$F$2731))+SUMPRODUCT(-('Diário 4º PA'!$E$4:$E$2564='Analítico Cp.'!$B133),-('Diário 4º PA'!$Q$4:$Q$2564=C$1),('Diário 4º PA'!$F$4:$F$2564))+SUMPRODUCT(-('Comp.'!$D$5:$D$69='Analítico Cp.'!$B133),-('Comp.'!$K$5:$K$69=C$1),('Comp.'!$E$5:$E$69))</f>
        <v>0</v>
      </c>
      <c r="D133" s="12">
        <f>SUMPRODUCT(-('Diário 1º PA'!$E$4:$E$2635='Analítico Cp.'!$B133),-('Diário 1º PA'!$Q$4:$Q$2635=D$1),('Diário 1º PA'!$F$4:$F$2635))+SUMPRODUCT(-('Diário 2º PA'!$E$4:$E$3040='Analítico Cp.'!$B133),-('Diário 2º PA'!$Q$4:$Q$3040=D$1),('Diário 2º PA'!$F$4:$F$3040))+SUMPRODUCT(-('Diário 3º PA'!$E$4:$E$2731='Analítico Cp.'!$B133),-('Diário 3º PA'!$Q$4:$Q$2731=D$1),('Diário 3º PA'!$F$4:$F$2731))+SUMPRODUCT(-('Diário 4º PA'!$E$4:$E$2564='Analítico Cp.'!$B133),-('Diário 4º PA'!$Q$4:$Q$2564=D$1),('Diário 4º PA'!$F$4:$F$2564))+SUMPRODUCT(-('Comp.'!$D$5:$D$69='Analítico Cp.'!$B133),-('Comp.'!$K$5:$K$69=D$1),('Comp.'!$E$5:$E$69))</f>
        <v>0</v>
      </c>
      <c r="E133" s="12">
        <f>SUMPRODUCT(-('Diário 1º PA'!$E$4:$E$2635='Analítico Cp.'!$B133),-('Diário 1º PA'!$Q$4:$Q$2635=E$1),('Diário 1º PA'!$F$4:$F$2635))+SUMPRODUCT(-('Diário 2º PA'!$E$4:$E$3040='Analítico Cp.'!$B133),-('Diário 2º PA'!$Q$4:$Q$3040=E$1),('Diário 2º PA'!$F$4:$F$3040))+SUMPRODUCT(-('Diário 3º PA'!$E$4:$E$2731='Analítico Cp.'!$B133),-('Diário 3º PA'!$Q$4:$Q$2731=E$1),('Diário 3º PA'!$F$4:$F$2731))+SUMPRODUCT(-('Diário 4º PA'!$E$4:$E$2564='Analítico Cp.'!$B133),-('Diário 4º PA'!$Q$4:$Q$2564=E$1),('Diário 4º PA'!$F$4:$F$2564))+SUMPRODUCT(-('Comp.'!$D$5:$D$69='Analítico Cp.'!$B133),-('Comp.'!$K$5:$K$69=E$1),('Comp.'!$E$5:$E$69))</f>
        <v>0</v>
      </c>
      <c r="F133" s="12">
        <f>SUMPRODUCT(-('Diário 1º PA'!$E$4:$E$2635='Analítico Cp.'!$B133),-('Diário 1º PA'!$Q$4:$Q$2635=F$1),('Diário 1º PA'!$F$4:$F$2635))+SUMPRODUCT(-('Diário 2º PA'!$E$4:$E$3040='Analítico Cp.'!$B133),-('Diário 2º PA'!$Q$4:$Q$3040=F$1),('Diário 2º PA'!$F$4:$F$3040))+SUMPRODUCT(-('Diário 3º PA'!$E$4:$E$2731='Analítico Cp.'!$B133),-('Diário 3º PA'!$Q$4:$Q$2731=F$1),('Diário 3º PA'!$F$4:$F$2731))+SUMPRODUCT(-('Diário 4º PA'!$E$4:$E$2564='Analítico Cp.'!$B133),-('Diário 4º PA'!$Q$4:$Q$2564=F$1),('Diário 4º PA'!$F$4:$F$2564))+SUMPRODUCT(-('Comp.'!$D$5:$D$69='Analítico Cp.'!$B133),-('Comp.'!$K$5:$K$69=F$1),('Comp.'!$E$5:$E$69))</f>
        <v>0</v>
      </c>
      <c r="G133" s="12">
        <f>SUMPRODUCT(-('Diário 1º PA'!$E$4:$E$2635='Analítico Cp.'!$B133),-('Diário 1º PA'!$Q$4:$Q$2635=G$1),('Diário 1º PA'!$F$4:$F$2635))+SUMPRODUCT(-('Diário 2º PA'!$E$4:$E$3040='Analítico Cp.'!$B133),-('Diário 2º PA'!$Q$4:$Q$3040=G$1),('Diário 2º PA'!$F$4:$F$3040))+SUMPRODUCT(-('Diário 3º PA'!$E$4:$E$2731='Analítico Cp.'!$B133),-('Diário 3º PA'!$Q$4:$Q$2731=G$1),('Diário 3º PA'!$F$4:$F$2731))+SUMPRODUCT(-('Diário 4º PA'!$E$4:$E$2564='Analítico Cp.'!$B133),-('Diário 4º PA'!$Q$4:$Q$2564=G$1),('Diário 4º PA'!$F$4:$F$2564))+SUMPRODUCT(-('Comp.'!$D$5:$D$69='Analítico Cp.'!$B133),-('Comp.'!$K$5:$K$69=G$1),('Comp.'!$E$5:$E$69))</f>
        <v>0</v>
      </c>
      <c r="H133" s="12">
        <f>SUMPRODUCT(-('Diário 1º PA'!$E$4:$E$2635='Analítico Cp.'!$B133),-('Diário 1º PA'!$Q$4:$Q$2635=H$1),('Diário 1º PA'!$F$4:$F$2635))+SUMPRODUCT(-('Diário 2º PA'!$E$4:$E$3040='Analítico Cp.'!$B133),-('Diário 2º PA'!$Q$4:$Q$3040=H$1),('Diário 2º PA'!$F$4:$F$3040))+SUMPRODUCT(-('Diário 3º PA'!$E$4:$E$2731='Analítico Cp.'!$B133),-('Diário 3º PA'!$Q$4:$Q$2731=H$1),('Diário 3º PA'!$F$4:$F$2731))+SUMPRODUCT(-('Diário 4º PA'!$E$4:$E$2564='Analítico Cp.'!$B133),-('Diário 4º PA'!$Q$4:$Q$2564=H$1),('Diário 4º PA'!$F$4:$F$2564))+SUMPRODUCT(-('Comp.'!$D$5:$D$69='Analítico Cp.'!$B133),-('Comp.'!$K$5:$K$69=H$1),('Comp.'!$E$5:$E$69))</f>
        <v>0</v>
      </c>
      <c r="I133" s="12">
        <f>SUMPRODUCT(-('Diário 1º PA'!$E$4:$E$2635='Analítico Cp.'!$B133),-('Diário 1º PA'!$Q$4:$Q$2635=I$1),('Diário 1º PA'!$F$4:$F$2635))+SUMPRODUCT(-('Diário 2º PA'!$E$4:$E$3040='Analítico Cp.'!$B133),-('Diário 2º PA'!$Q$4:$Q$3040=I$1),('Diário 2º PA'!$F$4:$F$3040))+SUMPRODUCT(-('Diário 3º PA'!$E$4:$E$2731='Analítico Cp.'!$B133),-('Diário 3º PA'!$Q$4:$Q$2731=I$1),('Diário 3º PA'!$F$4:$F$2731))+SUMPRODUCT(-('Diário 4º PA'!$E$4:$E$2564='Analítico Cp.'!$B133),-('Diário 4º PA'!$Q$4:$Q$2564=I$1),('Diário 4º PA'!$F$4:$F$2564))+SUMPRODUCT(-('Comp.'!$D$5:$D$69='Analítico Cp.'!$B133),-('Comp.'!$K$5:$K$69=I$1),('Comp.'!$E$5:$E$69))</f>
        <v>0</v>
      </c>
      <c r="J133" s="12">
        <f>SUMPRODUCT(-('Diário 1º PA'!$E$4:$E$2635='Analítico Cp.'!$B133),-('Diário 1º PA'!$Q$4:$Q$2635=J$1),('Diário 1º PA'!$F$4:$F$2635))+SUMPRODUCT(-('Diário 2º PA'!$E$4:$E$3040='Analítico Cp.'!$B133),-('Diário 2º PA'!$Q$4:$Q$3040=J$1),('Diário 2º PA'!$F$4:$F$3040))+SUMPRODUCT(-('Diário 3º PA'!$E$4:$E$2731='Analítico Cp.'!$B133),-('Diário 3º PA'!$Q$4:$Q$2731=J$1),('Diário 3º PA'!$F$4:$F$2731))+SUMPRODUCT(-('Diário 4º PA'!$E$4:$E$2564='Analítico Cp.'!$B133),-('Diário 4º PA'!$Q$4:$Q$2564=J$1),('Diário 4º PA'!$F$4:$F$2564))+SUMPRODUCT(-('Comp.'!$D$5:$D$69='Analítico Cp.'!$B133),-('Comp.'!$K$5:$K$69=J$1),('Comp.'!$E$5:$E$69))</f>
        <v>0</v>
      </c>
      <c r="K133" s="12">
        <f>SUMPRODUCT(-('Diário 1º PA'!$E$4:$E$2635='Analítico Cp.'!$B133),-('Diário 1º PA'!$Q$4:$Q$2635=K$1),('Diário 1º PA'!$F$4:$F$2635))+SUMPRODUCT(-('Diário 2º PA'!$E$4:$E$3040='Analítico Cp.'!$B133),-('Diário 2º PA'!$Q$4:$Q$3040=K$1),('Diário 2º PA'!$F$4:$F$3040))+SUMPRODUCT(-('Diário 3º PA'!$E$4:$E$2731='Analítico Cp.'!$B133),-('Diário 3º PA'!$Q$4:$Q$2731=K$1),('Diário 3º PA'!$F$4:$F$2731))+SUMPRODUCT(-('Diário 4º PA'!$E$4:$E$2564='Analítico Cp.'!$B133),-('Diário 4º PA'!$Q$4:$Q$2564=K$1),('Diário 4º PA'!$F$4:$F$2564))+SUMPRODUCT(-('Comp.'!$D$5:$D$69='Analítico Cp.'!$B133),-('Comp.'!$K$5:$K$69=K$1),('Comp.'!$E$5:$E$69))</f>
        <v>0</v>
      </c>
      <c r="L133" s="12">
        <f>SUMPRODUCT(-('Diário 1º PA'!$E$4:$E$2635='Analítico Cp.'!$B133),-('Diário 1º PA'!$Q$4:$Q$2635=L$1),('Diário 1º PA'!$F$4:$F$2635))+SUMPRODUCT(-('Diário 2º PA'!$E$4:$E$3040='Analítico Cp.'!$B133),-('Diário 2º PA'!$Q$4:$Q$3040=L$1),('Diário 2º PA'!$F$4:$F$3040))+SUMPRODUCT(-('Diário 3º PA'!$E$4:$E$2731='Analítico Cp.'!$B133),-('Diário 3º PA'!$Q$4:$Q$2731=L$1),('Diário 3º PA'!$F$4:$F$2731))+SUMPRODUCT(-('Diário 4º PA'!$E$4:$E$2564='Analítico Cp.'!$B133),-('Diário 4º PA'!$Q$4:$Q$2564=L$1),('Diário 4º PA'!$F$4:$F$2564))+SUMPRODUCT(-('Comp.'!$D$5:$D$69='Analítico Cp.'!$B133),-('Comp.'!$K$5:$K$69=L$1),('Comp.'!$E$5:$E$69))</f>
        <v>0</v>
      </c>
      <c r="M133" s="12">
        <f>SUMPRODUCT(-('Diário 1º PA'!$E$4:$E$2635='Analítico Cp.'!$B133),-('Diário 1º PA'!$Q$4:$Q$2635=M$1),('Diário 1º PA'!$F$4:$F$2635))+SUMPRODUCT(-('Diário 2º PA'!$E$4:$E$3040='Analítico Cp.'!$B133),-('Diário 2º PA'!$Q$4:$Q$3040=M$1),('Diário 2º PA'!$F$4:$F$3040))+SUMPRODUCT(-('Diário 3º PA'!$E$4:$E$2731='Analítico Cp.'!$B133),-('Diário 3º PA'!$Q$4:$Q$2731=M$1),('Diário 3º PA'!$F$4:$F$2731))+SUMPRODUCT(-('Diário 4º PA'!$E$4:$E$2564='Analítico Cp.'!$B133),-('Diário 4º PA'!$Q$4:$Q$2564=M$1),('Diário 4º PA'!$F$4:$F$2564))+SUMPRODUCT(-('Comp.'!$D$5:$D$69='Analítico Cp.'!$B133),-('Comp.'!$K$5:$K$69=M$1),('Comp.'!$E$5:$E$69))</f>
        <v>0</v>
      </c>
      <c r="N133" s="12">
        <f>SUMPRODUCT(-('Diário 1º PA'!$E$4:$E$2635='Analítico Cp.'!$B133),-('Diário 1º PA'!$Q$4:$Q$2635=N$1),('Diário 1º PA'!$F$4:$F$2635))+SUMPRODUCT(-('Diário 2º PA'!$E$4:$E$3040='Analítico Cp.'!$B133),-('Diário 2º PA'!$Q$4:$Q$3040=N$1),('Diário 2º PA'!$F$4:$F$3040))+SUMPRODUCT(-('Diário 3º PA'!$E$4:$E$2731='Analítico Cp.'!$B133),-('Diário 3º PA'!$Q$4:$Q$2731=N$1),('Diário 3º PA'!$F$4:$F$2731))+SUMPRODUCT(-('Diário 4º PA'!$E$4:$E$2564='Analítico Cp.'!$B133),-('Diário 4º PA'!$Q$4:$Q$2564=N$1),('Diário 4º PA'!$F$4:$F$2564))+SUMPRODUCT(-('Comp.'!$D$5:$D$69='Analítico Cp.'!$B133),-('Comp.'!$K$5:$K$69=N$1),('Comp.'!$E$5:$E$69))</f>
        <v>0</v>
      </c>
      <c r="O133" s="13">
        <f t="shared" si="14"/>
        <v>0</v>
      </c>
      <c r="P133" s="167">
        <f t="shared" si="15"/>
        <v>0</v>
      </c>
    </row>
    <row r="134" spans="1:16" ht="23.25" customHeight="1" x14ac:dyDescent="0.2">
      <c r="A134" s="61" t="s">
        <v>428</v>
      </c>
      <c r="B134" s="387" t="s">
        <v>456</v>
      </c>
      <c r="C134" s="12">
        <f>SUMPRODUCT(-('Diário 1º PA'!$E$4:$E$2635='Analítico Cp.'!$B134),-('Diário 1º PA'!$Q$4:$Q$2635=C$1),('Diário 1º PA'!$F$4:$F$2635))+SUMPRODUCT(-('Diário 2º PA'!$E$4:$E$3040='Analítico Cp.'!$B134),-('Diário 2º PA'!$Q$4:$Q$3040=C$1),('Diário 2º PA'!$F$4:$F$3040))+SUMPRODUCT(-('Diário 3º PA'!$E$4:$E$2731='Analítico Cp.'!$B134),-('Diário 3º PA'!$Q$4:$Q$2731=C$1),('Diário 3º PA'!$F$4:$F$2731))+SUMPRODUCT(-('Diário 4º PA'!$E$4:$E$2564='Analítico Cp.'!$B134),-('Diário 4º PA'!$Q$4:$Q$2564=C$1),('Diário 4º PA'!$F$4:$F$2564))+SUMPRODUCT(-('Comp.'!$D$5:$D$69='Analítico Cp.'!$B134),-('Comp.'!$K$5:$K$69=C$1),('Comp.'!$E$5:$E$69))</f>
        <v>40551.35</v>
      </c>
      <c r="D134" s="12">
        <f>SUMPRODUCT(-('Diário 1º PA'!$E$4:$E$2635='Analítico Cp.'!$B134),-('Diário 1º PA'!$Q$4:$Q$2635=D$1),('Diário 1º PA'!$F$4:$F$2635))+SUMPRODUCT(-('Diário 2º PA'!$E$4:$E$3040='Analítico Cp.'!$B134),-('Diário 2º PA'!$Q$4:$Q$3040=D$1),('Diário 2º PA'!$F$4:$F$3040))+SUMPRODUCT(-('Diário 3º PA'!$E$4:$E$2731='Analítico Cp.'!$B134),-('Diário 3º PA'!$Q$4:$Q$2731=D$1),('Diário 3º PA'!$F$4:$F$2731))+SUMPRODUCT(-('Diário 4º PA'!$E$4:$E$2564='Analítico Cp.'!$B134),-('Diário 4º PA'!$Q$4:$Q$2564=D$1),('Diário 4º PA'!$F$4:$F$2564))+SUMPRODUCT(-('Comp.'!$D$5:$D$69='Analítico Cp.'!$B134),-('Comp.'!$K$5:$K$69=D$1),('Comp.'!$E$5:$E$69))</f>
        <v>60197.790000000008</v>
      </c>
      <c r="E134" s="12">
        <f>SUMPRODUCT(-('Diário 1º PA'!$E$4:$E$2635='Analítico Cp.'!$B134),-('Diário 1º PA'!$Q$4:$Q$2635=E$1),('Diário 1º PA'!$F$4:$F$2635))+SUMPRODUCT(-('Diário 2º PA'!$E$4:$E$3040='Analítico Cp.'!$B134),-('Diário 2º PA'!$Q$4:$Q$3040=E$1),('Diário 2º PA'!$F$4:$F$3040))+SUMPRODUCT(-('Diário 3º PA'!$E$4:$E$2731='Analítico Cp.'!$B134),-('Diário 3º PA'!$Q$4:$Q$2731=E$1),('Diário 3º PA'!$F$4:$F$2731))+SUMPRODUCT(-('Diário 4º PA'!$E$4:$E$2564='Analítico Cp.'!$B134),-('Diário 4º PA'!$Q$4:$Q$2564=E$1),('Diário 4º PA'!$F$4:$F$2564))+SUMPRODUCT(-('Comp.'!$D$5:$D$69='Analítico Cp.'!$B134),-('Comp.'!$K$5:$K$69=E$1),('Comp.'!$E$5:$E$69))</f>
        <v>44898.58</v>
      </c>
      <c r="F134" s="12">
        <f>SUMPRODUCT(-('Diário 1º PA'!$E$4:$E$2635='Analítico Cp.'!$B134),-('Diário 1º PA'!$Q$4:$Q$2635=F$1),('Diário 1º PA'!$F$4:$F$2635))+SUMPRODUCT(-('Diário 2º PA'!$E$4:$E$3040='Analítico Cp.'!$B134),-('Diário 2º PA'!$Q$4:$Q$3040=F$1),('Diário 2º PA'!$F$4:$F$3040))+SUMPRODUCT(-('Diário 3º PA'!$E$4:$E$2731='Analítico Cp.'!$B134),-('Diário 3º PA'!$Q$4:$Q$2731=F$1),('Diário 3º PA'!$F$4:$F$2731))+SUMPRODUCT(-('Diário 4º PA'!$E$4:$E$2564='Analítico Cp.'!$B134),-('Diário 4º PA'!$Q$4:$Q$2564=F$1),('Diário 4º PA'!$F$4:$F$2564))+SUMPRODUCT(-('Comp.'!$D$5:$D$69='Analítico Cp.'!$B134),-('Comp.'!$K$5:$K$69=F$1),('Comp.'!$E$5:$E$69))</f>
        <v>151084.13000000006</v>
      </c>
      <c r="G134" s="12">
        <f>SUMPRODUCT(-('Diário 1º PA'!$E$4:$E$2635='Analítico Cp.'!$B134),-('Diário 1º PA'!$Q$4:$Q$2635=G$1),('Diário 1º PA'!$F$4:$F$2635))+SUMPRODUCT(-('Diário 2º PA'!$E$4:$E$3040='Analítico Cp.'!$B134),-('Diário 2º PA'!$Q$4:$Q$3040=G$1),('Diário 2º PA'!$F$4:$F$3040))+SUMPRODUCT(-('Diário 3º PA'!$E$4:$E$2731='Analítico Cp.'!$B134),-('Diário 3º PA'!$Q$4:$Q$2731=G$1),('Diário 3º PA'!$F$4:$F$2731))+SUMPRODUCT(-('Diário 4º PA'!$E$4:$E$2564='Analítico Cp.'!$B134),-('Diário 4º PA'!$Q$4:$Q$2564=G$1),('Diário 4º PA'!$F$4:$F$2564))+SUMPRODUCT(-('Comp.'!$D$5:$D$69='Analítico Cp.'!$B134),-('Comp.'!$K$5:$K$69=G$1),('Comp.'!$E$5:$E$69))</f>
        <v>17160.82</v>
      </c>
      <c r="H134" s="12">
        <f>SUMPRODUCT(-('Diário 1º PA'!$E$4:$E$2635='Analítico Cp.'!$B134),-('Diário 1º PA'!$Q$4:$Q$2635=H$1),('Diário 1º PA'!$F$4:$F$2635))+SUMPRODUCT(-('Diário 2º PA'!$E$4:$E$3040='Analítico Cp.'!$B134),-('Diário 2º PA'!$Q$4:$Q$3040=H$1),('Diário 2º PA'!$F$4:$F$3040))+SUMPRODUCT(-('Diário 3º PA'!$E$4:$E$2731='Analítico Cp.'!$B134),-('Diário 3º PA'!$Q$4:$Q$2731=H$1),('Diário 3º PA'!$F$4:$F$2731))+SUMPRODUCT(-('Diário 4º PA'!$E$4:$E$2564='Analítico Cp.'!$B134),-('Diário 4º PA'!$Q$4:$Q$2564=H$1),('Diário 4º PA'!$F$4:$F$2564))+SUMPRODUCT(-('Comp.'!$D$5:$D$69='Analítico Cp.'!$B134),-('Comp.'!$K$5:$K$69=H$1),('Comp.'!$E$5:$E$69))</f>
        <v>32501.159999999996</v>
      </c>
      <c r="I134" s="12">
        <f>SUMPRODUCT(-('Diário 1º PA'!$E$4:$E$2635='Analítico Cp.'!$B134),-('Diário 1º PA'!$Q$4:$Q$2635=I$1),('Diário 1º PA'!$F$4:$F$2635))+SUMPRODUCT(-('Diário 2º PA'!$E$4:$E$3040='Analítico Cp.'!$B134),-('Diário 2º PA'!$Q$4:$Q$3040=I$1),('Diário 2º PA'!$F$4:$F$3040))+SUMPRODUCT(-('Diário 3º PA'!$E$4:$E$2731='Analítico Cp.'!$B134),-('Diário 3º PA'!$Q$4:$Q$2731=I$1),('Diário 3º PA'!$F$4:$F$2731))+SUMPRODUCT(-('Diário 4º PA'!$E$4:$E$2564='Analítico Cp.'!$B134),-('Diário 4º PA'!$Q$4:$Q$2564=I$1),('Diário 4º PA'!$F$4:$F$2564))+SUMPRODUCT(-('Comp.'!$D$5:$D$69='Analítico Cp.'!$B134),-('Comp.'!$K$5:$K$69=I$1),('Comp.'!$E$5:$E$69))</f>
        <v>21907.969999999998</v>
      </c>
      <c r="J134" s="12">
        <f>SUMPRODUCT(-('Diário 1º PA'!$E$4:$E$2635='Analítico Cp.'!$B134),-('Diário 1º PA'!$Q$4:$Q$2635=J$1),('Diário 1º PA'!$F$4:$F$2635))+SUMPRODUCT(-('Diário 2º PA'!$E$4:$E$3040='Analítico Cp.'!$B134),-('Diário 2º PA'!$Q$4:$Q$3040=J$1),('Diário 2º PA'!$F$4:$F$3040))+SUMPRODUCT(-('Diário 3º PA'!$E$4:$E$2731='Analítico Cp.'!$B134),-('Diário 3º PA'!$Q$4:$Q$2731=J$1),('Diário 3º PA'!$F$4:$F$2731))+SUMPRODUCT(-('Diário 4º PA'!$E$4:$E$2564='Analítico Cp.'!$B134),-('Diário 4º PA'!$Q$4:$Q$2564=J$1),('Diário 4º PA'!$F$4:$F$2564))+SUMPRODUCT(-('Comp.'!$D$5:$D$69='Analítico Cp.'!$B134),-('Comp.'!$K$5:$K$69=J$1),('Comp.'!$E$5:$E$69))</f>
        <v>4760.54</v>
      </c>
      <c r="K134" s="12">
        <f>SUMPRODUCT(-('Diário 1º PA'!$E$4:$E$2635='Analítico Cp.'!$B134),-('Diário 1º PA'!$Q$4:$Q$2635=K$1),('Diário 1º PA'!$F$4:$F$2635))+SUMPRODUCT(-('Diário 2º PA'!$E$4:$E$3040='Analítico Cp.'!$B134),-('Diário 2º PA'!$Q$4:$Q$3040=K$1),('Diário 2º PA'!$F$4:$F$3040))+SUMPRODUCT(-('Diário 3º PA'!$E$4:$E$2731='Analítico Cp.'!$B134),-('Diário 3º PA'!$Q$4:$Q$2731=K$1),('Diário 3º PA'!$F$4:$F$2731))+SUMPRODUCT(-('Diário 4º PA'!$E$4:$E$2564='Analítico Cp.'!$B134),-('Diário 4º PA'!$Q$4:$Q$2564=K$1),('Diário 4º PA'!$F$4:$F$2564))+SUMPRODUCT(-('Comp.'!$D$5:$D$69='Analítico Cp.'!$B134),-('Comp.'!$K$5:$K$69=K$1),('Comp.'!$E$5:$E$69))</f>
        <v>3474.9999999999995</v>
      </c>
      <c r="L134" s="12">
        <f>SUMPRODUCT(-('Diário 1º PA'!$E$4:$E$2635='Analítico Cp.'!$B134),-('Diário 1º PA'!$Q$4:$Q$2635=L$1),('Diário 1º PA'!$F$4:$F$2635))+SUMPRODUCT(-('Diário 2º PA'!$E$4:$E$3040='Analítico Cp.'!$B134),-('Diário 2º PA'!$Q$4:$Q$3040=L$1),('Diário 2º PA'!$F$4:$F$3040))+SUMPRODUCT(-('Diário 3º PA'!$E$4:$E$2731='Analítico Cp.'!$B134),-('Diário 3º PA'!$Q$4:$Q$2731=L$1),('Diário 3º PA'!$F$4:$F$2731))+SUMPRODUCT(-('Diário 4º PA'!$E$4:$E$2564='Analítico Cp.'!$B134),-('Diário 4º PA'!$Q$4:$Q$2564=L$1),('Diário 4º PA'!$F$4:$F$2564))+SUMPRODUCT(-('Comp.'!$D$5:$D$69='Analítico Cp.'!$B134),-('Comp.'!$K$5:$K$69=L$1),('Comp.'!$E$5:$E$69))</f>
        <v>17846.88</v>
      </c>
      <c r="M134" s="12">
        <f>SUMPRODUCT(-('Diário 1º PA'!$E$4:$E$2635='Analítico Cp.'!$B134),-('Diário 1º PA'!$Q$4:$Q$2635=M$1),('Diário 1º PA'!$F$4:$F$2635))+SUMPRODUCT(-('Diário 2º PA'!$E$4:$E$3040='Analítico Cp.'!$B134),-('Diário 2º PA'!$Q$4:$Q$3040=M$1),('Diário 2º PA'!$F$4:$F$3040))+SUMPRODUCT(-('Diário 3º PA'!$E$4:$E$2731='Analítico Cp.'!$B134),-('Diário 3º PA'!$Q$4:$Q$2731=M$1),('Diário 3º PA'!$F$4:$F$2731))+SUMPRODUCT(-('Diário 4º PA'!$E$4:$E$2564='Analítico Cp.'!$B134),-('Diário 4º PA'!$Q$4:$Q$2564=M$1),('Diário 4º PA'!$F$4:$F$2564))+SUMPRODUCT(-('Comp.'!$D$5:$D$69='Analítico Cp.'!$B134),-('Comp.'!$K$5:$K$69=M$1),('Comp.'!$E$5:$E$69))</f>
        <v>12143.9</v>
      </c>
      <c r="N134" s="12">
        <f>SUMPRODUCT(-('Diário 1º PA'!$E$4:$E$2635='Analítico Cp.'!$B134),-('Diário 1º PA'!$Q$4:$Q$2635=N$1),('Diário 1º PA'!$F$4:$F$2635))+SUMPRODUCT(-('Diário 2º PA'!$E$4:$E$3040='Analítico Cp.'!$B134),-('Diário 2º PA'!$Q$4:$Q$3040=N$1),('Diário 2º PA'!$F$4:$F$3040))+SUMPRODUCT(-('Diário 3º PA'!$E$4:$E$2731='Analítico Cp.'!$B134),-('Diário 3º PA'!$Q$4:$Q$2731=N$1),('Diário 3º PA'!$F$4:$F$2731))+SUMPRODUCT(-('Diário 4º PA'!$E$4:$E$2564='Analítico Cp.'!$B134),-('Diário 4º PA'!$Q$4:$Q$2564=N$1),('Diário 4º PA'!$F$4:$F$2564))+SUMPRODUCT(-('Comp.'!$D$5:$D$69='Analítico Cp.'!$B134),-('Comp.'!$K$5:$K$69=N$1),('Comp.'!$E$5:$E$69))</f>
        <v>1711.8</v>
      </c>
      <c r="O134" s="13">
        <f t="shared" si="14"/>
        <v>408239.92000000004</v>
      </c>
      <c r="P134" s="167">
        <f t="shared" si="15"/>
        <v>3.3356726141076778E-2</v>
      </c>
    </row>
    <row r="135" spans="1:16" ht="23.25" customHeight="1" x14ac:dyDescent="0.2">
      <c r="A135" s="61" t="s">
        <v>429</v>
      </c>
      <c r="B135" s="387" t="s">
        <v>457</v>
      </c>
      <c r="C135" s="12">
        <f>SUMPRODUCT(-('Diário 1º PA'!$E$4:$E$2635='Analítico Cp.'!$B135),-('Diário 1º PA'!$Q$4:$Q$2635=C$1),('Diário 1º PA'!$F$4:$F$2635))+SUMPRODUCT(-('Diário 2º PA'!$E$4:$E$3040='Analítico Cp.'!$B135),-('Diário 2º PA'!$Q$4:$Q$3040=C$1),('Diário 2º PA'!$F$4:$F$3040))+SUMPRODUCT(-('Diário 3º PA'!$E$4:$E$2731='Analítico Cp.'!$B135),-('Diário 3º PA'!$Q$4:$Q$2731=C$1),('Diário 3º PA'!$F$4:$F$2731))+SUMPRODUCT(-('Diário 4º PA'!$E$4:$E$2564='Analítico Cp.'!$B135),-('Diário 4º PA'!$Q$4:$Q$2564=C$1),('Diário 4º PA'!$F$4:$F$2564))+SUMPRODUCT(-('Comp.'!$D$5:$D$69='Analítico Cp.'!$B135),-('Comp.'!$K$5:$K$69=C$1),('Comp.'!$E$5:$E$69))</f>
        <v>0</v>
      </c>
      <c r="D135" s="12">
        <f>SUMPRODUCT(-('Diário 1º PA'!$E$4:$E$2635='Analítico Cp.'!$B135),-('Diário 1º PA'!$Q$4:$Q$2635=D$1),('Diário 1º PA'!$F$4:$F$2635))+SUMPRODUCT(-('Diário 2º PA'!$E$4:$E$3040='Analítico Cp.'!$B135),-('Diário 2º PA'!$Q$4:$Q$3040=D$1),('Diário 2º PA'!$F$4:$F$3040))+SUMPRODUCT(-('Diário 3º PA'!$E$4:$E$2731='Analítico Cp.'!$B135),-('Diário 3º PA'!$Q$4:$Q$2731=D$1),('Diário 3º PA'!$F$4:$F$2731))+SUMPRODUCT(-('Diário 4º PA'!$E$4:$E$2564='Analítico Cp.'!$B135),-('Diário 4º PA'!$Q$4:$Q$2564=D$1),('Diário 4º PA'!$F$4:$F$2564))+SUMPRODUCT(-('Comp.'!$D$5:$D$69='Analítico Cp.'!$B135),-('Comp.'!$K$5:$K$69=D$1),('Comp.'!$E$5:$E$69))</f>
        <v>0</v>
      </c>
      <c r="E135" s="12">
        <f>SUMPRODUCT(-('Diário 1º PA'!$E$4:$E$2635='Analítico Cp.'!$B135),-('Diário 1º PA'!$Q$4:$Q$2635=E$1),('Diário 1º PA'!$F$4:$F$2635))+SUMPRODUCT(-('Diário 2º PA'!$E$4:$E$3040='Analítico Cp.'!$B135),-('Diário 2º PA'!$Q$4:$Q$3040=E$1),('Diário 2º PA'!$F$4:$F$3040))+SUMPRODUCT(-('Diário 3º PA'!$E$4:$E$2731='Analítico Cp.'!$B135),-('Diário 3º PA'!$Q$4:$Q$2731=E$1),('Diário 3º PA'!$F$4:$F$2731))+SUMPRODUCT(-('Diário 4º PA'!$E$4:$E$2564='Analítico Cp.'!$B135),-('Diário 4º PA'!$Q$4:$Q$2564=E$1),('Diário 4º PA'!$F$4:$F$2564))+SUMPRODUCT(-('Comp.'!$D$5:$D$69='Analítico Cp.'!$B135),-('Comp.'!$K$5:$K$69=E$1),('Comp.'!$E$5:$E$69))</f>
        <v>1000</v>
      </c>
      <c r="F135" s="12">
        <f>SUMPRODUCT(-('Diário 1º PA'!$E$4:$E$2635='Analítico Cp.'!$B135),-('Diário 1º PA'!$Q$4:$Q$2635=F$1),('Diário 1º PA'!$F$4:$F$2635))+SUMPRODUCT(-('Diário 2º PA'!$E$4:$E$3040='Analítico Cp.'!$B135),-('Diário 2º PA'!$Q$4:$Q$3040=F$1),('Diário 2º PA'!$F$4:$F$3040))+SUMPRODUCT(-('Diário 3º PA'!$E$4:$E$2731='Analítico Cp.'!$B135),-('Diário 3º PA'!$Q$4:$Q$2731=F$1),('Diário 3º PA'!$F$4:$F$2731))+SUMPRODUCT(-('Diário 4º PA'!$E$4:$E$2564='Analítico Cp.'!$B135),-('Diário 4º PA'!$Q$4:$Q$2564=F$1),('Diário 4º PA'!$F$4:$F$2564))+SUMPRODUCT(-('Comp.'!$D$5:$D$69='Analítico Cp.'!$B135),-('Comp.'!$K$5:$K$69=F$1),('Comp.'!$E$5:$E$69))</f>
        <v>0</v>
      </c>
      <c r="G135" s="12">
        <f>SUMPRODUCT(-('Diário 1º PA'!$E$4:$E$2635='Analítico Cp.'!$B135),-('Diário 1º PA'!$Q$4:$Q$2635=G$1),('Diário 1º PA'!$F$4:$F$2635))+SUMPRODUCT(-('Diário 2º PA'!$E$4:$E$3040='Analítico Cp.'!$B135),-('Diário 2º PA'!$Q$4:$Q$3040=G$1),('Diário 2º PA'!$F$4:$F$3040))+SUMPRODUCT(-('Diário 3º PA'!$E$4:$E$2731='Analítico Cp.'!$B135),-('Diário 3º PA'!$Q$4:$Q$2731=G$1),('Diário 3º PA'!$F$4:$F$2731))+SUMPRODUCT(-('Diário 4º PA'!$E$4:$E$2564='Analítico Cp.'!$B135),-('Diário 4º PA'!$Q$4:$Q$2564=G$1),('Diário 4º PA'!$F$4:$F$2564))+SUMPRODUCT(-('Comp.'!$D$5:$D$69='Analítico Cp.'!$B135),-('Comp.'!$K$5:$K$69=G$1),('Comp.'!$E$5:$E$69))</f>
        <v>0</v>
      </c>
      <c r="H135" s="12">
        <f>SUMPRODUCT(-('Diário 1º PA'!$E$4:$E$2635='Analítico Cp.'!$B135),-('Diário 1º PA'!$Q$4:$Q$2635=H$1),('Diário 1º PA'!$F$4:$F$2635))+SUMPRODUCT(-('Diário 2º PA'!$E$4:$E$3040='Analítico Cp.'!$B135),-('Diário 2º PA'!$Q$4:$Q$3040=H$1),('Diário 2º PA'!$F$4:$F$3040))+SUMPRODUCT(-('Diário 3º PA'!$E$4:$E$2731='Analítico Cp.'!$B135),-('Diário 3º PA'!$Q$4:$Q$2731=H$1),('Diário 3º PA'!$F$4:$F$2731))+SUMPRODUCT(-('Diário 4º PA'!$E$4:$E$2564='Analítico Cp.'!$B135),-('Diário 4º PA'!$Q$4:$Q$2564=H$1),('Diário 4º PA'!$F$4:$F$2564))+SUMPRODUCT(-('Comp.'!$D$5:$D$69='Analítico Cp.'!$B135),-('Comp.'!$K$5:$K$69=H$1),('Comp.'!$E$5:$E$69))</f>
        <v>0</v>
      </c>
      <c r="I135" s="12">
        <f>SUMPRODUCT(-('Diário 1º PA'!$E$4:$E$2635='Analítico Cp.'!$B135),-('Diário 1º PA'!$Q$4:$Q$2635=I$1),('Diário 1º PA'!$F$4:$F$2635))+SUMPRODUCT(-('Diário 2º PA'!$E$4:$E$3040='Analítico Cp.'!$B135),-('Diário 2º PA'!$Q$4:$Q$3040=I$1),('Diário 2º PA'!$F$4:$F$3040))+SUMPRODUCT(-('Diário 3º PA'!$E$4:$E$2731='Analítico Cp.'!$B135),-('Diário 3º PA'!$Q$4:$Q$2731=I$1),('Diário 3º PA'!$F$4:$F$2731))+SUMPRODUCT(-('Diário 4º PA'!$E$4:$E$2564='Analítico Cp.'!$B135),-('Diário 4º PA'!$Q$4:$Q$2564=I$1),('Diário 4º PA'!$F$4:$F$2564))+SUMPRODUCT(-('Comp.'!$D$5:$D$69='Analítico Cp.'!$B135),-('Comp.'!$K$5:$K$69=I$1),('Comp.'!$E$5:$E$69))</f>
        <v>1000</v>
      </c>
      <c r="J135" s="12">
        <f>SUMPRODUCT(-('Diário 1º PA'!$E$4:$E$2635='Analítico Cp.'!$B135),-('Diário 1º PA'!$Q$4:$Q$2635=J$1),('Diário 1º PA'!$F$4:$F$2635))+SUMPRODUCT(-('Diário 2º PA'!$E$4:$E$3040='Analítico Cp.'!$B135),-('Diário 2º PA'!$Q$4:$Q$3040=J$1),('Diário 2º PA'!$F$4:$F$3040))+SUMPRODUCT(-('Diário 3º PA'!$E$4:$E$2731='Analítico Cp.'!$B135),-('Diário 3º PA'!$Q$4:$Q$2731=J$1),('Diário 3º PA'!$F$4:$F$2731))+SUMPRODUCT(-('Diário 4º PA'!$E$4:$E$2564='Analítico Cp.'!$B135),-('Diário 4º PA'!$Q$4:$Q$2564=J$1),('Diário 4º PA'!$F$4:$F$2564))+SUMPRODUCT(-('Comp.'!$D$5:$D$69='Analítico Cp.'!$B135),-('Comp.'!$K$5:$K$69=J$1),('Comp.'!$E$5:$E$69))</f>
        <v>0</v>
      </c>
      <c r="K135" s="12">
        <f>SUMPRODUCT(-('Diário 1º PA'!$E$4:$E$2635='Analítico Cp.'!$B135),-('Diário 1º PA'!$Q$4:$Q$2635=K$1),('Diário 1º PA'!$F$4:$F$2635))+SUMPRODUCT(-('Diário 2º PA'!$E$4:$E$3040='Analítico Cp.'!$B135),-('Diário 2º PA'!$Q$4:$Q$3040=K$1),('Diário 2º PA'!$F$4:$F$3040))+SUMPRODUCT(-('Diário 3º PA'!$E$4:$E$2731='Analítico Cp.'!$B135),-('Diário 3º PA'!$Q$4:$Q$2731=K$1),('Diário 3º PA'!$F$4:$F$2731))+SUMPRODUCT(-('Diário 4º PA'!$E$4:$E$2564='Analítico Cp.'!$B135),-('Diário 4º PA'!$Q$4:$Q$2564=K$1),('Diário 4º PA'!$F$4:$F$2564))+SUMPRODUCT(-('Comp.'!$D$5:$D$69='Analítico Cp.'!$B135),-('Comp.'!$K$5:$K$69=K$1),('Comp.'!$E$5:$E$69))</f>
        <v>0</v>
      </c>
      <c r="L135" s="12">
        <f>SUMPRODUCT(-('Diário 1º PA'!$E$4:$E$2635='Analítico Cp.'!$B135),-('Diário 1º PA'!$Q$4:$Q$2635=L$1),('Diário 1º PA'!$F$4:$F$2635))+SUMPRODUCT(-('Diário 2º PA'!$E$4:$E$3040='Analítico Cp.'!$B135),-('Diário 2º PA'!$Q$4:$Q$3040=L$1),('Diário 2º PA'!$F$4:$F$3040))+SUMPRODUCT(-('Diário 3º PA'!$E$4:$E$2731='Analítico Cp.'!$B135),-('Diário 3º PA'!$Q$4:$Q$2731=L$1),('Diário 3º PA'!$F$4:$F$2731))+SUMPRODUCT(-('Diário 4º PA'!$E$4:$E$2564='Analítico Cp.'!$B135),-('Diário 4º PA'!$Q$4:$Q$2564=L$1),('Diário 4º PA'!$F$4:$F$2564))+SUMPRODUCT(-('Comp.'!$D$5:$D$69='Analítico Cp.'!$B135),-('Comp.'!$K$5:$K$69=L$1),('Comp.'!$E$5:$E$69))</f>
        <v>0</v>
      </c>
      <c r="M135" s="12">
        <f>SUMPRODUCT(-('Diário 1º PA'!$E$4:$E$2635='Analítico Cp.'!$B135),-('Diário 1º PA'!$Q$4:$Q$2635=M$1),('Diário 1º PA'!$F$4:$F$2635))+SUMPRODUCT(-('Diário 2º PA'!$E$4:$E$3040='Analítico Cp.'!$B135),-('Diário 2º PA'!$Q$4:$Q$3040=M$1),('Diário 2º PA'!$F$4:$F$3040))+SUMPRODUCT(-('Diário 3º PA'!$E$4:$E$2731='Analítico Cp.'!$B135),-('Diário 3º PA'!$Q$4:$Q$2731=M$1),('Diário 3º PA'!$F$4:$F$2731))+SUMPRODUCT(-('Diário 4º PA'!$E$4:$E$2564='Analítico Cp.'!$B135),-('Diário 4º PA'!$Q$4:$Q$2564=M$1),('Diário 4º PA'!$F$4:$F$2564))+SUMPRODUCT(-('Comp.'!$D$5:$D$69='Analítico Cp.'!$B135),-('Comp.'!$K$5:$K$69=M$1),('Comp.'!$E$5:$E$69))</f>
        <v>0</v>
      </c>
      <c r="N135" s="12">
        <f>SUMPRODUCT(-('Diário 1º PA'!$E$4:$E$2635='Analítico Cp.'!$B135),-('Diário 1º PA'!$Q$4:$Q$2635=N$1),('Diário 1º PA'!$F$4:$F$2635))+SUMPRODUCT(-('Diário 2º PA'!$E$4:$E$3040='Analítico Cp.'!$B135),-('Diário 2º PA'!$Q$4:$Q$3040=N$1),('Diário 2º PA'!$F$4:$F$3040))+SUMPRODUCT(-('Diário 3º PA'!$E$4:$E$2731='Analítico Cp.'!$B135),-('Diário 3º PA'!$Q$4:$Q$2731=N$1),('Diário 3º PA'!$F$4:$F$2731))+SUMPRODUCT(-('Diário 4º PA'!$E$4:$E$2564='Analítico Cp.'!$B135),-('Diário 4º PA'!$Q$4:$Q$2564=N$1),('Diário 4º PA'!$F$4:$F$2564))+SUMPRODUCT(-('Comp.'!$D$5:$D$69='Analítico Cp.'!$B135),-('Comp.'!$K$5:$K$69=N$1),('Comp.'!$E$5:$E$69))</f>
        <v>0</v>
      </c>
      <c r="O135" s="13">
        <f t="shared" si="14"/>
        <v>2000</v>
      </c>
      <c r="P135" s="167">
        <f t="shared" si="15"/>
        <v>1.634172676747378E-4</v>
      </c>
    </row>
    <row r="136" spans="1:16" ht="23.25" customHeight="1" x14ac:dyDescent="0.2">
      <c r="A136" s="61" t="s">
        <v>430</v>
      </c>
      <c r="B136" s="387" t="s">
        <v>458</v>
      </c>
      <c r="C136" s="12">
        <f>SUMPRODUCT(-('Diário 1º PA'!$E$4:$E$2635='Analítico Cp.'!$B136),-('Diário 1º PA'!$Q$4:$Q$2635=C$1),('Diário 1º PA'!$F$4:$F$2635))+SUMPRODUCT(-('Diário 2º PA'!$E$4:$E$3040='Analítico Cp.'!$B136),-('Diário 2º PA'!$Q$4:$Q$3040=C$1),('Diário 2º PA'!$F$4:$F$3040))+SUMPRODUCT(-('Diário 3º PA'!$E$4:$E$2731='Analítico Cp.'!$B136),-('Diário 3º PA'!$Q$4:$Q$2731=C$1),('Diário 3º PA'!$F$4:$F$2731))+SUMPRODUCT(-('Diário 4º PA'!$E$4:$E$2564='Analítico Cp.'!$B136),-('Diário 4º PA'!$Q$4:$Q$2564=C$1),('Diário 4º PA'!$F$4:$F$2564))+SUMPRODUCT(-('Comp.'!$D$5:$D$69='Analítico Cp.'!$B136),-('Comp.'!$K$5:$K$69=C$1),('Comp.'!$E$5:$E$69))</f>
        <v>6782.83</v>
      </c>
      <c r="D136" s="12">
        <f>SUMPRODUCT(-('Diário 1º PA'!$E$4:$E$2635='Analítico Cp.'!$B136),-('Diário 1º PA'!$Q$4:$Q$2635=D$1),('Diário 1º PA'!$F$4:$F$2635))+SUMPRODUCT(-('Diário 2º PA'!$E$4:$E$3040='Analítico Cp.'!$B136),-('Diário 2º PA'!$Q$4:$Q$3040=D$1),('Diário 2º PA'!$F$4:$F$3040))+SUMPRODUCT(-('Diário 3º PA'!$E$4:$E$2731='Analítico Cp.'!$B136),-('Diário 3º PA'!$Q$4:$Q$2731=D$1),('Diário 3º PA'!$F$4:$F$2731))+SUMPRODUCT(-('Diário 4º PA'!$E$4:$E$2564='Analítico Cp.'!$B136),-('Diário 4º PA'!$Q$4:$Q$2564=D$1),('Diário 4º PA'!$F$4:$F$2564))+SUMPRODUCT(-('Comp.'!$D$5:$D$69='Analítico Cp.'!$B136),-('Comp.'!$K$5:$K$69=D$1),('Comp.'!$E$5:$E$69))</f>
        <v>0</v>
      </c>
      <c r="E136" s="12">
        <f>SUMPRODUCT(-('Diário 1º PA'!$E$4:$E$2635='Analítico Cp.'!$B136),-('Diário 1º PA'!$Q$4:$Q$2635=E$1),('Diário 1º PA'!$F$4:$F$2635))+SUMPRODUCT(-('Diário 2º PA'!$E$4:$E$3040='Analítico Cp.'!$B136),-('Diário 2º PA'!$Q$4:$Q$3040=E$1),('Diário 2º PA'!$F$4:$F$3040))+SUMPRODUCT(-('Diário 3º PA'!$E$4:$E$2731='Analítico Cp.'!$B136),-('Diário 3º PA'!$Q$4:$Q$2731=E$1),('Diário 3º PA'!$F$4:$F$2731))+SUMPRODUCT(-('Diário 4º PA'!$E$4:$E$2564='Analítico Cp.'!$B136),-('Diário 4º PA'!$Q$4:$Q$2564=E$1),('Diário 4º PA'!$F$4:$F$2564))+SUMPRODUCT(-('Comp.'!$D$5:$D$69='Analítico Cp.'!$B136),-('Comp.'!$K$5:$K$69=E$1),('Comp.'!$E$5:$E$69))</f>
        <v>3000</v>
      </c>
      <c r="F136" s="12">
        <f>SUMPRODUCT(-('Diário 1º PA'!$E$4:$E$2635='Analítico Cp.'!$B136),-('Diário 1º PA'!$Q$4:$Q$2635=F$1),('Diário 1º PA'!$F$4:$F$2635))+SUMPRODUCT(-('Diário 2º PA'!$E$4:$E$3040='Analítico Cp.'!$B136),-('Diário 2º PA'!$Q$4:$Q$3040=F$1),('Diário 2º PA'!$F$4:$F$3040))+SUMPRODUCT(-('Diário 3º PA'!$E$4:$E$2731='Analítico Cp.'!$B136),-('Diário 3º PA'!$Q$4:$Q$2731=F$1),('Diário 3º PA'!$F$4:$F$2731))+SUMPRODUCT(-('Diário 4º PA'!$E$4:$E$2564='Analítico Cp.'!$B136),-('Diário 4º PA'!$Q$4:$Q$2564=F$1),('Diário 4º PA'!$F$4:$F$2564))+SUMPRODUCT(-('Comp.'!$D$5:$D$69='Analítico Cp.'!$B136),-('Comp.'!$K$5:$K$69=F$1),('Comp.'!$E$5:$E$69))</f>
        <v>0</v>
      </c>
      <c r="G136" s="12">
        <f>SUMPRODUCT(-('Diário 1º PA'!$E$4:$E$2635='Analítico Cp.'!$B136),-('Diário 1º PA'!$Q$4:$Q$2635=G$1),('Diário 1º PA'!$F$4:$F$2635))+SUMPRODUCT(-('Diário 2º PA'!$E$4:$E$3040='Analítico Cp.'!$B136),-('Diário 2º PA'!$Q$4:$Q$3040=G$1),('Diário 2º PA'!$F$4:$F$3040))+SUMPRODUCT(-('Diário 3º PA'!$E$4:$E$2731='Analítico Cp.'!$B136),-('Diário 3º PA'!$Q$4:$Q$2731=G$1),('Diário 3º PA'!$F$4:$F$2731))+SUMPRODUCT(-('Diário 4º PA'!$E$4:$E$2564='Analítico Cp.'!$B136),-('Diário 4º PA'!$Q$4:$Q$2564=G$1),('Diário 4º PA'!$F$4:$F$2564))+SUMPRODUCT(-('Comp.'!$D$5:$D$69='Analítico Cp.'!$B136),-('Comp.'!$K$5:$K$69=G$1),('Comp.'!$E$5:$E$69))</f>
        <v>3649.42</v>
      </c>
      <c r="H136" s="12">
        <f>SUMPRODUCT(-('Diário 1º PA'!$E$4:$E$2635='Analítico Cp.'!$B136),-('Diário 1º PA'!$Q$4:$Q$2635=H$1),('Diário 1º PA'!$F$4:$F$2635))+SUMPRODUCT(-('Diário 2º PA'!$E$4:$E$3040='Analítico Cp.'!$B136),-('Diário 2º PA'!$Q$4:$Q$3040=H$1),('Diário 2º PA'!$F$4:$F$3040))+SUMPRODUCT(-('Diário 3º PA'!$E$4:$E$2731='Analítico Cp.'!$B136),-('Diário 3º PA'!$Q$4:$Q$2731=H$1),('Diário 3º PA'!$F$4:$F$2731))+SUMPRODUCT(-('Diário 4º PA'!$E$4:$E$2564='Analítico Cp.'!$B136),-('Diário 4º PA'!$Q$4:$Q$2564=H$1),('Diário 4º PA'!$F$4:$F$2564))+SUMPRODUCT(-('Comp.'!$D$5:$D$69='Analítico Cp.'!$B136),-('Comp.'!$K$5:$K$69=H$1),('Comp.'!$E$5:$E$69))</f>
        <v>0</v>
      </c>
      <c r="I136" s="12">
        <f>SUMPRODUCT(-('Diário 1º PA'!$E$4:$E$2635='Analítico Cp.'!$B136),-('Diário 1º PA'!$Q$4:$Q$2635=I$1),('Diário 1º PA'!$F$4:$F$2635))+SUMPRODUCT(-('Diário 2º PA'!$E$4:$E$3040='Analítico Cp.'!$B136),-('Diário 2º PA'!$Q$4:$Q$3040=I$1),('Diário 2º PA'!$F$4:$F$3040))+SUMPRODUCT(-('Diário 3º PA'!$E$4:$E$2731='Analítico Cp.'!$B136),-('Diário 3º PA'!$Q$4:$Q$2731=I$1),('Diário 3º PA'!$F$4:$F$2731))+SUMPRODUCT(-('Diário 4º PA'!$E$4:$E$2564='Analítico Cp.'!$B136),-('Diário 4º PA'!$Q$4:$Q$2564=I$1),('Diário 4º PA'!$F$4:$F$2564))+SUMPRODUCT(-('Comp.'!$D$5:$D$69='Analítico Cp.'!$B136),-('Comp.'!$K$5:$K$69=I$1),('Comp.'!$E$5:$E$69))</f>
        <v>0</v>
      </c>
      <c r="J136" s="12">
        <f>SUMPRODUCT(-('Diário 1º PA'!$E$4:$E$2635='Analítico Cp.'!$B136),-('Diário 1º PA'!$Q$4:$Q$2635=J$1),('Diário 1º PA'!$F$4:$F$2635))+SUMPRODUCT(-('Diário 2º PA'!$E$4:$E$3040='Analítico Cp.'!$B136),-('Diário 2º PA'!$Q$4:$Q$3040=J$1),('Diário 2º PA'!$F$4:$F$3040))+SUMPRODUCT(-('Diário 3º PA'!$E$4:$E$2731='Analítico Cp.'!$B136),-('Diário 3º PA'!$Q$4:$Q$2731=J$1),('Diário 3º PA'!$F$4:$F$2731))+SUMPRODUCT(-('Diário 4º PA'!$E$4:$E$2564='Analítico Cp.'!$B136),-('Diário 4º PA'!$Q$4:$Q$2564=J$1),('Diário 4º PA'!$F$4:$F$2564))+SUMPRODUCT(-('Comp.'!$D$5:$D$69='Analítico Cp.'!$B136),-('Comp.'!$K$5:$K$69=J$1),('Comp.'!$E$5:$E$69))</f>
        <v>0</v>
      </c>
      <c r="K136" s="12">
        <f>SUMPRODUCT(-('Diário 1º PA'!$E$4:$E$2635='Analítico Cp.'!$B136),-('Diário 1º PA'!$Q$4:$Q$2635=K$1),('Diário 1º PA'!$F$4:$F$2635))+SUMPRODUCT(-('Diário 2º PA'!$E$4:$E$3040='Analítico Cp.'!$B136),-('Diário 2º PA'!$Q$4:$Q$3040=K$1),('Diário 2º PA'!$F$4:$F$3040))+SUMPRODUCT(-('Diário 3º PA'!$E$4:$E$2731='Analítico Cp.'!$B136),-('Diário 3º PA'!$Q$4:$Q$2731=K$1),('Diário 3º PA'!$F$4:$F$2731))+SUMPRODUCT(-('Diário 4º PA'!$E$4:$E$2564='Analítico Cp.'!$B136),-('Diário 4º PA'!$Q$4:$Q$2564=K$1),('Diário 4º PA'!$F$4:$F$2564))+SUMPRODUCT(-('Comp.'!$D$5:$D$69='Analítico Cp.'!$B136),-('Comp.'!$K$5:$K$69=K$1),('Comp.'!$E$5:$E$69))</f>
        <v>0</v>
      </c>
      <c r="L136" s="12">
        <f>SUMPRODUCT(-('Diário 1º PA'!$E$4:$E$2635='Analítico Cp.'!$B136),-('Diário 1º PA'!$Q$4:$Q$2635=L$1),('Diário 1º PA'!$F$4:$F$2635))+SUMPRODUCT(-('Diário 2º PA'!$E$4:$E$3040='Analítico Cp.'!$B136),-('Diário 2º PA'!$Q$4:$Q$3040=L$1),('Diário 2º PA'!$F$4:$F$3040))+SUMPRODUCT(-('Diário 3º PA'!$E$4:$E$2731='Analítico Cp.'!$B136),-('Diário 3º PA'!$Q$4:$Q$2731=L$1),('Diário 3º PA'!$F$4:$F$2731))+SUMPRODUCT(-('Diário 4º PA'!$E$4:$E$2564='Analítico Cp.'!$B136),-('Diário 4º PA'!$Q$4:$Q$2564=L$1),('Diário 4º PA'!$F$4:$F$2564))+SUMPRODUCT(-('Comp.'!$D$5:$D$69='Analítico Cp.'!$B136),-('Comp.'!$K$5:$K$69=L$1),('Comp.'!$E$5:$E$69))</f>
        <v>0</v>
      </c>
      <c r="M136" s="12">
        <f>SUMPRODUCT(-('Diário 1º PA'!$E$4:$E$2635='Analítico Cp.'!$B136),-('Diário 1º PA'!$Q$4:$Q$2635=M$1),('Diário 1º PA'!$F$4:$F$2635))+SUMPRODUCT(-('Diário 2º PA'!$E$4:$E$3040='Analítico Cp.'!$B136),-('Diário 2º PA'!$Q$4:$Q$3040=M$1),('Diário 2º PA'!$F$4:$F$3040))+SUMPRODUCT(-('Diário 3º PA'!$E$4:$E$2731='Analítico Cp.'!$B136),-('Diário 3º PA'!$Q$4:$Q$2731=M$1),('Diário 3º PA'!$F$4:$F$2731))+SUMPRODUCT(-('Diário 4º PA'!$E$4:$E$2564='Analítico Cp.'!$B136),-('Diário 4º PA'!$Q$4:$Q$2564=M$1),('Diário 4º PA'!$F$4:$F$2564))+SUMPRODUCT(-('Comp.'!$D$5:$D$69='Analítico Cp.'!$B136),-('Comp.'!$K$5:$K$69=M$1),('Comp.'!$E$5:$E$69))</f>
        <v>0</v>
      </c>
      <c r="N136" s="12">
        <f>SUMPRODUCT(-('Diário 1º PA'!$E$4:$E$2635='Analítico Cp.'!$B136),-('Diário 1º PA'!$Q$4:$Q$2635=N$1),('Diário 1º PA'!$F$4:$F$2635))+SUMPRODUCT(-('Diário 2º PA'!$E$4:$E$3040='Analítico Cp.'!$B136),-('Diário 2º PA'!$Q$4:$Q$3040=N$1),('Diário 2º PA'!$F$4:$F$3040))+SUMPRODUCT(-('Diário 3º PA'!$E$4:$E$2731='Analítico Cp.'!$B136),-('Diário 3º PA'!$Q$4:$Q$2731=N$1),('Diário 3º PA'!$F$4:$F$2731))+SUMPRODUCT(-('Diário 4º PA'!$E$4:$E$2564='Analítico Cp.'!$B136),-('Diário 4º PA'!$Q$4:$Q$2564=N$1),('Diário 4º PA'!$F$4:$F$2564))+SUMPRODUCT(-('Comp.'!$D$5:$D$69='Analítico Cp.'!$B136),-('Comp.'!$K$5:$K$69=N$1),('Comp.'!$E$5:$E$69))</f>
        <v>0</v>
      </c>
      <c r="O136" s="13">
        <f t="shared" si="14"/>
        <v>13432.25</v>
      </c>
      <c r="P136" s="167">
        <f t="shared" si="15"/>
        <v>1.0975307968619985E-3</v>
      </c>
    </row>
    <row r="137" spans="1:16" ht="23.25" customHeight="1" x14ac:dyDescent="0.2">
      <c r="A137" s="61" t="s">
        <v>431</v>
      </c>
      <c r="B137" s="387" t="s">
        <v>459</v>
      </c>
      <c r="C137" s="12">
        <f>SUMPRODUCT(-('Diário 1º PA'!$E$4:$E$2635='Analítico Cp.'!$B137),-('Diário 1º PA'!$Q$4:$Q$2635=C$1),('Diário 1º PA'!$F$4:$F$2635))+SUMPRODUCT(-('Diário 2º PA'!$E$4:$E$3040='Analítico Cp.'!$B137),-('Diário 2º PA'!$Q$4:$Q$3040=C$1),('Diário 2º PA'!$F$4:$F$3040))+SUMPRODUCT(-('Diário 3º PA'!$E$4:$E$2731='Analítico Cp.'!$B137),-('Diário 3º PA'!$Q$4:$Q$2731=C$1),('Diário 3º PA'!$F$4:$F$2731))+SUMPRODUCT(-('Diário 4º PA'!$E$4:$E$2564='Analítico Cp.'!$B137),-('Diário 4º PA'!$Q$4:$Q$2564=C$1),('Diário 4º PA'!$F$4:$F$2564))+SUMPRODUCT(-('Comp.'!$D$5:$D$69='Analítico Cp.'!$B137),-('Comp.'!$K$5:$K$69=C$1),('Comp.'!$E$5:$E$69))</f>
        <v>0</v>
      </c>
      <c r="D137" s="12">
        <f>SUMPRODUCT(-('Diário 1º PA'!$E$4:$E$2635='Analítico Cp.'!$B137),-('Diário 1º PA'!$Q$4:$Q$2635=D$1),('Diário 1º PA'!$F$4:$F$2635))+SUMPRODUCT(-('Diário 2º PA'!$E$4:$E$3040='Analítico Cp.'!$B137),-('Diário 2º PA'!$Q$4:$Q$3040=D$1),('Diário 2º PA'!$F$4:$F$3040))+SUMPRODUCT(-('Diário 3º PA'!$E$4:$E$2731='Analítico Cp.'!$B137),-('Diário 3º PA'!$Q$4:$Q$2731=D$1),('Diário 3º PA'!$F$4:$F$2731))+SUMPRODUCT(-('Diário 4º PA'!$E$4:$E$2564='Analítico Cp.'!$B137),-('Diário 4º PA'!$Q$4:$Q$2564=D$1),('Diário 4º PA'!$F$4:$F$2564))+SUMPRODUCT(-('Comp.'!$D$5:$D$69='Analítico Cp.'!$B137),-('Comp.'!$K$5:$K$69=D$1),('Comp.'!$E$5:$E$69))</f>
        <v>0</v>
      </c>
      <c r="E137" s="12">
        <f>SUMPRODUCT(-('Diário 1º PA'!$E$4:$E$2635='Analítico Cp.'!$B137),-('Diário 1º PA'!$Q$4:$Q$2635=E$1),('Diário 1º PA'!$F$4:$F$2635))+SUMPRODUCT(-('Diário 2º PA'!$E$4:$E$3040='Analítico Cp.'!$B137),-('Diário 2º PA'!$Q$4:$Q$3040=E$1),('Diário 2º PA'!$F$4:$F$3040))+SUMPRODUCT(-('Diário 3º PA'!$E$4:$E$2731='Analítico Cp.'!$B137),-('Diário 3º PA'!$Q$4:$Q$2731=E$1),('Diário 3º PA'!$F$4:$F$2731))+SUMPRODUCT(-('Diário 4º PA'!$E$4:$E$2564='Analítico Cp.'!$B137),-('Diário 4º PA'!$Q$4:$Q$2564=E$1),('Diário 4º PA'!$F$4:$F$2564))+SUMPRODUCT(-('Comp.'!$D$5:$D$69='Analítico Cp.'!$B137),-('Comp.'!$K$5:$K$69=E$1),('Comp.'!$E$5:$E$69))</f>
        <v>0</v>
      </c>
      <c r="F137" s="12">
        <f>SUMPRODUCT(-('Diário 1º PA'!$E$4:$E$2635='Analítico Cp.'!$B137),-('Diário 1º PA'!$Q$4:$Q$2635=F$1),('Diário 1º PA'!$F$4:$F$2635))+SUMPRODUCT(-('Diário 2º PA'!$E$4:$E$3040='Analítico Cp.'!$B137),-('Diário 2º PA'!$Q$4:$Q$3040=F$1),('Diário 2º PA'!$F$4:$F$3040))+SUMPRODUCT(-('Diário 3º PA'!$E$4:$E$2731='Analítico Cp.'!$B137),-('Diário 3º PA'!$Q$4:$Q$2731=F$1),('Diário 3º PA'!$F$4:$F$2731))+SUMPRODUCT(-('Diário 4º PA'!$E$4:$E$2564='Analítico Cp.'!$B137),-('Diário 4º PA'!$Q$4:$Q$2564=F$1),('Diário 4º PA'!$F$4:$F$2564))+SUMPRODUCT(-('Comp.'!$D$5:$D$69='Analítico Cp.'!$B137),-('Comp.'!$K$5:$K$69=F$1),('Comp.'!$E$5:$E$69))</f>
        <v>0</v>
      </c>
      <c r="G137" s="12">
        <f>SUMPRODUCT(-('Diário 1º PA'!$E$4:$E$2635='Analítico Cp.'!$B137),-('Diário 1º PA'!$Q$4:$Q$2635=G$1),('Diário 1º PA'!$F$4:$F$2635))+SUMPRODUCT(-('Diário 2º PA'!$E$4:$E$3040='Analítico Cp.'!$B137),-('Diário 2º PA'!$Q$4:$Q$3040=G$1),('Diário 2º PA'!$F$4:$F$3040))+SUMPRODUCT(-('Diário 3º PA'!$E$4:$E$2731='Analítico Cp.'!$B137),-('Diário 3º PA'!$Q$4:$Q$2731=G$1),('Diário 3º PA'!$F$4:$F$2731))+SUMPRODUCT(-('Diário 4º PA'!$E$4:$E$2564='Analítico Cp.'!$B137),-('Diário 4º PA'!$Q$4:$Q$2564=G$1),('Diário 4º PA'!$F$4:$F$2564))+SUMPRODUCT(-('Comp.'!$D$5:$D$69='Analítico Cp.'!$B137),-('Comp.'!$K$5:$K$69=G$1),('Comp.'!$E$5:$E$69))</f>
        <v>0</v>
      </c>
      <c r="H137" s="12">
        <f>SUMPRODUCT(-('Diário 1º PA'!$E$4:$E$2635='Analítico Cp.'!$B137),-('Diário 1º PA'!$Q$4:$Q$2635=H$1),('Diário 1º PA'!$F$4:$F$2635))+SUMPRODUCT(-('Diário 2º PA'!$E$4:$E$3040='Analítico Cp.'!$B137),-('Diário 2º PA'!$Q$4:$Q$3040=H$1),('Diário 2º PA'!$F$4:$F$3040))+SUMPRODUCT(-('Diário 3º PA'!$E$4:$E$2731='Analítico Cp.'!$B137),-('Diário 3º PA'!$Q$4:$Q$2731=H$1),('Diário 3º PA'!$F$4:$F$2731))+SUMPRODUCT(-('Diário 4º PA'!$E$4:$E$2564='Analítico Cp.'!$B137),-('Diário 4º PA'!$Q$4:$Q$2564=H$1),('Diário 4º PA'!$F$4:$F$2564))+SUMPRODUCT(-('Comp.'!$D$5:$D$69='Analítico Cp.'!$B137),-('Comp.'!$K$5:$K$69=H$1),('Comp.'!$E$5:$E$69))</f>
        <v>9080</v>
      </c>
      <c r="I137" s="12">
        <f>SUMPRODUCT(-('Diário 1º PA'!$E$4:$E$2635='Analítico Cp.'!$B137),-('Diário 1º PA'!$Q$4:$Q$2635=I$1),('Diário 1º PA'!$F$4:$F$2635))+SUMPRODUCT(-('Diário 2º PA'!$E$4:$E$3040='Analítico Cp.'!$B137),-('Diário 2º PA'!$Q$4:$Q$3040=I$1),('Diário 2º PA'!$F$4:$F$3040))+SUMPRODUCT(-('Diário 3º PA'!$E$4:$E$2731='Analítico Cp.'!$B137),-('Diário 3º PA'!$Q$4:$Q$2731=I$1),('Diário 3º PA'!$F$4:$F$2731))+SUMPRODUCT(-('Diário 4º PA'!$E$4:$E$2564='Analítico Cp.'!$B137),-('Diário 4º PA'!$Q$4:$Q$2564=I$1),('Diário 4º PA'!$F$4:$F$2564))+SUMPRODUCT(-('Comp.'!$D$5:$D$69='Analítico Cp.'!$B137),-('Comp.'!$K$5:$K$69=I$1),('Comp.'!$E$5:$E$69))</f>
        <v>0</v>
      </c>
      <c r="J137" s="12">
        <f>SUMPRODUCT(-('Diário 1º PA'!$E$4:$E$2635='Analítico Cp.'!$B137),-('Diário 1º PA'!$Q$4:$Q$2635=J$1),('Diário 1º PA'!$F$4:$F$2635))+SUMPRODUCT(-('Diário 2º PA'!$E$4:$E$3040='Analítico Cp.'!$B137),-('Diário 2º PA'!$Q$4:$Q$3040=J$1),('Diário 2º PA'!$F$4:$F$3040))+SUMPRODUCT(-('Diário 3º PA'!$E$4:$E$2731='Analítico Cp.'!$B137),-('Diário 3º PA'!$Q$4:$Q$2731=J$1),('Diário 3º PA'!$F$4:$F$2731))+SUMPRODUCT(-('Diário 4º PA'!$E$4:$E$2564='Analítico Cp.'!$B137),-('Diário 4º PA'!$Q$4:$Q$2564=J$1),('Diário 4º PA'!$F$4:$F$2564))+SUMPRODUCT(-('Comp.'!$D$5:$D$69='Analítico Cp.'!$B137),-('Comp.'!$K$5:$K$69=J$1),('Comp.'!$E$5:$E$69))</f>
        <v>0</v>
      </c>
      <c r="K137" s="12">
        <f>SUMPRODUCT(-('Diário 1º PA'!$E$4:$E$2635='Analítico Cp.'!$B137),-('Diário 1º PA'!$Q$4:$Q$2635=K$1),('Diário 1º PA'!$F$4:$F$2635))+SUMPRODUCT(-('Diário 2º PA'!$E$4:$E$3040='Analítico Cp.'!$B137),-('Diário 2º PA'!$Q$4:$Q$3040=K$1),('Diário 2º PA'!$F$4:$F$3040))+SUMPRODUCT(-('Diário 3º PA'!$E$4:$E$2731='Analítico Cp.'!$B137),-('Diário 3º PA'!$Q$4:$Q$2731=K$1),('Diário 3º PA'!$F$4:$F$2731))+SUMPRODUCT(-('Diário 4º PA'!$E$4:$E$2564='Analítico Cp.'!$B137),-('Diário 4º PA'!$Q$4:$Q$2564=K$1),('Diário 4º PA'!$F$4:$F$2564))+SUMPRODUCT(-('Comp.'!$D$5:$D$69='Analítico Cp.'!$B137),-('Comp.'!$K$5:$K$69=K$1),('Comp.'!$E$5:$E$69))</f>
        <v>0</v>
      </c>
      <c r="L137" s="12">
        <f>SUMPRODUCT(-('Diário 1º PA'!$E$4:$E$2635='Analítico Cp.'!$B137),-('Diário 1º PA'!$Q$4:$Q$2635=L$1),('Diário 1º PA'!$F$4:$F$2635))+SUMPRODUCT(-('Diário 2º PA'!$E$4:$E$3040='Analítico Cp.'!$B137),-('Diário 2º PA'!$Q$4:$Q$3040=L$1),('Diário 2º PA'!$F$4:$F$3040))+SUMPRODUCT(-('Diário 3º PA'!$E$4:$E$2731='Analítico Cp.'!$B137),-('Diário 3º PA'!$Q$4:$Q$2731=L$1),('Diário 3º PA'!$F$4:$F$2731))+SUMPRODUCT(-('Diário 4º PA'!$E$4:$E$2564='Analítico Cp.'!$B137),-('Diário 4º PA'!$Q$4:$Q$2564=L$1),('Diário 4º PA'!$F$4:$F$2564))+SUMPRODUCT(-('Comp.'!$D$5:$D$69='Analítico Cp.'!$B137),-('Comp.'!$K$5:$K$69=L$1),('Comp.'!$E$5:$E$69))</f>
        <v>0</v>
      </c>
      <c r="M137" s="12">
        <f>SUMPRODUCT(-('Diário 1º PA'!$E$4:$E$2635='Analítico Cp.'!$B137),-('Diário 1º PA'!$Q$4:$Q$2635=M$1),('Diário 1º PA'!$F$4:$F$2635))+SUMPRODUCT(-('Diário 2º PA'!$E$4:$E$3040='Analítico Cp.'!$B137),-('Diário 2º PA'!$Q$4:$Q$3040=M$1),('Diário 2º PA'!$F$4:$F$3040))+SUMPRODUCT(-('Diário 3º PA'!$E$4:$E$2731='Analítico Cp.'!$B137),-('Diário 3º PA'!$Q$4:$Q$2731=M$1),('Diário 3º PA'!$F$4:$F$2731))+SUMPRODUCT(-('Diário 4º PA'!$E$4:$E$2564='Analítico Cp.'!$B137),-('Diário 4º PA'!$Q$4:$Q$2564=M$1),('Diário 4º PA'!$F$4:$F$2564))+SUMPRODUCT(-('Comp.'!$D$5:$D$69='Analítico Cp.'!$B137),-('Comp.'!$K$5:$K$69=M$1),('Comp.'!$E$5:$E$69))</f>
        <v>0</v>
      </c>
      <c r="N137" s="12">
        <f>SUMPRODUCT(-('Diário 1º PA'!$E$4:$E$2635='Analítico Cp.'!$B137),-('Diário 1º PA'!$Q$4:$Q$2635=N$1),('Diário 1º PA'!$F$4:$F$2635))+SUMPRODUCT(-('Diário 2º PA'!$E$4:$E$3040='Analítico Cp.'!$B137),-('Diário 2º PA'!$Q$4:$Q$3040=N$1),('Diário 2º PA'!$F$4:$F$3040))+SUMPRODUCT(-('Diário 3º PA'!$E$4:$E$2731='Analítico Cp.'!$B137),-('Diário 3º PA'!$Q$4:$Q$2731=N$1),('Diário 3º PA'!$F$4:$F$2731))+SUMPRODUCT(-('Diário 4º PA'!$E$4:$E$2564='Analítico Cp.'!$B137),-('Diário 4º PA'!$Q$4:$Q$2564=N$1),('Diário 4º PA'!$F$4:$F$2564))+SUMPRODUCT(-('Comp.'!$D$5:$D$69='Analítico Cp.'!$B137),-('Comp.'!$K$5:$K$69=N$1),('Comp.'!$E$5:$E$69))</f>
        <v>0</v>
      </c>
      <c r="O137" s="13">
        <f t="shared" si="14"/>
        <v>9080</v>
      </c>
      <c r="P137" s="167">
        <f t="shared" si="15"/>
        <v>7.4191439524330964E-4</v>
      </c>
    </row>
    <row r="138" spans="1:16" ht="23.25" customHeight="1" x14ac:dyDescent="0.2">
      <c r="A138" s="61" t="s">
        <v>432</v>
      </c>
      <c r="B138" s="387" t="s">
        <v>460</v>
      </c>
      <c r="C138" s="12">
        <f>SUMPRODUCT(-('Diário 1º PA'!$E$4:$E$2635='Analítico Cp.'!$B138),-('Diário 1º PA'!$Q$4:$Q$2635=C$1),('Diário 1º PA'!$F$4:$F$2635))+SUMPRODUCT(-('Diário 2º PA'!$E$4:$E$3040='Analítico Cp.'!$B138),-('Diário 2º PA'!$Q$4:$Q$3040=C$1),('Diário 2º PA'!$F$4:$F$3040))+SUMPRODUCT(-('Diário 3º PA'!$E$4:$E$2731='Analítico Cp.'!$B138),-('Diário 3º PA'!$Q$4:$Q$2731=C$1),('Diário 3º PA'!$F$4:$F$2731))+SUMPRODUCT(-('Diário 4º PA'!$E$4:$E$2564='Analítico Cp.'!$B138),-('Diário 4º PA'!$Q$4:$Q$2564=C$1),('Diário 4º PA'!$F$4:$F$2564))+SUMPRODUCT(-('Comp.'!$D$5:$D$69='Analítico Cp.'!$B138),-('Comp.'!$K$5:$K$69=C$1),('Comp.'!$E$5:$E$69))</f>
        <v>13200</v>
      </c>
      <c r="D138" s="12">
        <f>SUMPRODUCT(-('Diário 1º PA'!$E$4:$E$2635='Analítico Cp.'!$B138),-('Diário 1º PA'!$Q$4:$Q$2635=D$1),('Diário 1º PA'!$F$4:$F$2635))+SUMPRODUCT(-('Diário 2º PA'!$E$4:$E$3040='Analítico Cp.'!$B138),-('Diário 2º PA'!$Q$4:$Q$3040=D$1),('Diário 2º PA'!$F$4:$F$3040))+SUMPRODUCT(-('Diário 3º PA'!$E$4:$E$2731='Analítico Cp.'!$B138),-('Diário 3º PA'!$Q$4:$Q$2731=D$1),('Diário 3º PA'!$F$4:$F$2731))+SUMPRODUCT(-('Diário 4º PA'!$E$4:$E$2564='Analítico Cp.'!$B138),-('Diário 4º PA'!$Q$4:$Q$2564=D$1),('Diário 4º PA'!$F$4:$F$2564))+SUMPRODUCT(-('Comp.'!$D$5:$D$69='Analítico Cp.'!$B138),-('Comp.'!$K$5:$K$69=D$1),('Comp.'!$E$5:$E$69))</f>
        <v>546.66999999999996</v>
      </c>
      <c r="E138" s="12">
        <f>SUMPRODUCT(-('Diário 1º PA'!$E$4:$E$2635='Analítico Cp.'!$B138),-('Diário 1º PA'!$Q$4:$Q$2635=E$1),('Diário 1º PA'!$F$4:$F$2635))+SUMPRODUCT(-('Diário 2º PA'!$E$4:$E$3040='Analítico Cp.'!$B138),-('Diário 2º PA'!$Q$4:$Q$3040=E$1),('Diário 2º PA'!$F$4:$F$3040))+SUMPRODUCT(-('Diário 3º PA'!$E$4:$E$2731='Analítico Cp.'!$B138),-('Diário 3º PA'!$Q$4:$Q$2731=E$1),('Diário 3º PA'!$F$4:$F$2731))+SUMPRODUCT(-('Diário 4º PA'!$E$4:$E$2564='Analítico Cp.'!$B138),-('Diário 4º PA'!$Q$4:$Q$2564=E$1),('Diário 4º PA'!$F$4:$F$2564))+SUMPRODUCT(-('Comp.'!$D$5:$D$69='Analítico Cp.'!$B138),-('Comp.'!$K$5:$K$69=E$1),('Comp.'!$E$5:$E$69))</f>
        <v>0</v>
      </c>
      <c r="F138" s="12">
        <f>SUMPRODUCT(-('Diário 1º PA'!$E$4:$E$2635='Analítico Cp.'!$B138),-('Diário 1º PA'!$Q$4:$Q$2635=F$1),('Diário 1º PA'!$F$4:$F$2635))+SUMPRODUCT(-('Diário 2º PA'!$E$4:$E$3040='Analítico Cp.'!$B138),-('Diário 2º PA'!$Q$4:$Q$3040=F$1),('Diário 2º PA'!$F$4:$F$3040))+SUMPRODUCT(-('Diário 3º PA'!$E$4:$E$2731='Analítico Cp.'!$B138),-('Diário 3º PA'!$Q$4:$Q$2731=F$1),('Diário 3º PA'!$F$4:$F$2731))+SUMPRODUCT(-('Diário 4º PA'!$E$4:$E$2564='Analítico Cp.'!$B138),-('Diário 4º PA'!$Q$4:$Q$2564=F$1),('Diário 4º PA'!$F$4:$F$2564))+SUMPRODUCT(-('Comp.'!$D$5:$D$69='Analítico Cp.'!$B138),-('Comp.'!$K$5:$K$69=F$1),('Comp.'!$E$5:$E$69))</f>
        <v>5000</v>
      </c>
      <c r="G138" s="12">
        <f>SUMPRODUCT(-('Diário 1º PA'!$E$4:$E$2635='Analítico Cp.'!$B138),-('Diário 1º PA'!$Q$4:$Q$2635=G$1),('Diário 1º PA'!$F$4:$F$2635))+SUMPRODUCT(-('Diário 2º PA'!$E$4:$E$3040='Analítico Cp.'!$B138),-('Diário 2º PA'!$Q$4:$Q$3040=G$1),('Diário 2º PA'!$F$4:$F$3040))+SUMPRODUCT(-('Diário 3º PA'!$E$4:$E$2731='Analítico Cp.'!$B138),-('Diário 3º PA'!$Q$4:$Q$2731=G$1),('Diário 3º PA'!$F$4:$F$2731))+SUMPRODUCT(-('Diário 4º PA'!$E$4:$E$2564='Analítico Cp.'!$B138),-('Diário 4º PA'!$Q$4:$Q$2564=G$1),('Diário 4º PA'!$F$4:$F$2564))+SUMPRODUCT(-('Comp.'!$D$5:$D$69='Analítico Cp.'!$B138),-('Comp.'!$K$5:$K$69=G$1),('Comp.'!$E$5:$E$69))</f>
        <v>0</v>
      </c>
      <c r="H138" s="12">
        <f>SUMPRODUCT(-('Diário 1º PA'!$E$4:$E$2635='Analítico Cp.'!$B138),-('Diário 1º PA'!$Q$4:$Q$2635=H$1),('Diário 1º PA'!$F$4:$F$2635))+SUMPRODUCT(-('Diário 2º PA'!$E$4:$E$3040='Analítico Cp.'!$B138),-('Diário 2º PA'!$Q$4:$Q$3040=H$1),('Diário 2º PA'!$F$4:$F$3040))+SUMPRODUCT(-('Diário 3º PA'!$E$4:$E$2731='Analítico Cp.'!$B138),-('Diário 3º PA'!$Q$4:$Q$2731=H$1),('Diário 3º PA'!$F$4:$F$2731))+SUMPRODUCT(-('Diário 4º PA'!$E$4:$E$2564='Analítico Cp.'!$B138),-('Diário 4º PA'!$Q$4:$Q$2564=H$1),('Diário 4º PA'!$F$4:$F$2564))+SUMPRODUCT(-('Comp.'!$D$5:$D$69='Analítico Cp.'!$B138),-('Comp.'!$K$5:$K$69=H$1),('Comp.'!$E$5:$E$69))</f>
        <v>0</v>
      </c>
      <c r="I138" s="12">
        <f>SUMPRODUCT(-('Diário 1º PA'!$E$4:$E$2635='Analítico Cp.'!$B138),-('Diário 1º PA'!$Q$4:$Q$2635=I$1),('Diário 1º PA'!$F$4:$F$2635))+SUMPRODUCT(-('Diário 2º PA'!$E$4:$E$3040='Analítico Cp.'!$B138),-('Diário 2º PA'!$Q$4:$Q$3040=I$1),('Diário 2º PA'!$F$4:$F$3040))+SUMPRODUCT(-('Diário 3º PA'!$E$4:$E$2731='Analítico Cp.'!$B138),-('Diário 3º PA'!$Q$4:$Q$2731=I$1),('Diário 3º PA'!$F$4:$F$2731))+SUMPRODUCT(-('Diário 4º PA'!$E$4:$E$2564='Analítico Cp.'!$B138),-('Diário 4º PA'!$Q$4:$Q$2564=I$1),('Diário 4º PA'!$F$4:$F$2564))+SUMPRODUCT(-('Comp.'!$D$5:$D$69='Analítico Cp.'!$B138),-('Comp.'!$K$5:$K$69=I$1),('Comp.'!$E$5:$E$69))</f>
        <v>0</v>
      </c>
      <c r="J138" s="12">
        <f>SUMPRODUCT(-('Diário 1º PA'!$E$4:$E$2635='Analítico Cp.'!$B138),-('Diário 1º PA'!$Q$4:$Q$2635=J$1),('Diário 1º PA'!$F$4:$F$2635))+SUMPRODUCT(-('Diário 2º PA'!$E$4:$E$3040='Analítico Cp.'!$B138),-('Diário 2º PA'!$Q$4:$Q$3040=J$1),('Diário 2º PA'!$F$4:$F$3040))+SUMPRODUCT(-('Diário 3º PA'!$E$4:$E$2731='Analítico Cp.'!$B138),-('Diário 3º PA'!$Q$4:$Q$2731=J$1),('Diário 3º PA'!$F$4:$F$2731))+SUMPRODUCT(-('Diário 4º PA'!$E$4:$E$2564='Analítico Cp.'!$B138),-('Diário 4º PA'!$Q$4:$Q$2564=J$1),('Diário 4º PA'!$F$4:$F$2564))+SUMPRODUCT(-('Comp.'!$D$5:$D$69='Analítico Cp.'!$B138),-('Comp.'!$K$5:$K$69=J$1),('Comp.'!$E$5:$E$69))</f>
        <v>0</v>
      </c>
      <c r="K138" s="12">
        <f>SUMPRODUCT(-('Diário 1º PA'!$E$4:$E$2635='Analítico Cp.'!$B138),-('Diário 1º PA'!$Q$4:$Q$2635=K$1),('Diário 1º PA'!$F$4:$F$2635))+SUMPRODUCT(-('Diário 2º PA'!$E$4:$E$3040='Analítico Cp.'!$B138),-('Diário 2º PA'!$Q$4:$Q$3040=K$1),('Diário 2º PA'!$F$4:$F$3040))+SUMPRODUCT(-('Diário 3º PA'!$E$4:$E$2731='Analítico Cp.'!$B138),-('Diário 3º PA'!$Q$4:$Q$2731=K$1),('Diário 3º PA'!$F$4:$F$2731))+SUMPRODUCT(-('Diário 4º PA'!$E$4:$E$2564='Analítico Cp.'!$B138),-('Diário 4º PA'!$Q$4:$Q$2564=K$1),('Diário 4º PA'!$F$4:$F$2564))+SUMPRODUCT(-('Comp.'!$D$5:$D$69='Analítico Cp.'!$B138),-('Comp.'!$K$5:$K$69=K$1),('Comp.'!$E$5:$E$69))</f>
        <v>0</v>
      </c>
      <c r="L138" s="12">
        <f>SUMPRODUCT(-('Diário 1º PA'!$E$4:$E$2635='Analítico Cp.'!$B138),-('Diário 1º PA'!$Q$4:$Q$2635=L$1),('Diário 1º PA'!$F$4:$F$2635))+SUMPRODUCT(-('Diário 2º PA'!$E$4:$E$3040='Analítico Cp.'!$B138),-('Diário 2º PA'!$Q$4:$Q$3040=L$1),('Diário 2º PA'!$F$4:$F$3040))+SUMPRODUCT(-('Diário 3º PA'!$E$4:$E$2731='Analítico Cp.'!$B138),-('Diário 3º PA'!$Q$4:$Q$2731=L$1),('Diário 3º PA'!$F$4:$F$2731))+SUMPRODUCT(-('Diário 4º PA'!$E$4:$E$2564='Analítico Cp.'!$B138),-('Diário 4º PA'!$Q$4:$Q$2564=L$1),('Diário 4º PA'!$F$4:$F$2564))+SUMPRODUCT(-('Comp.'!$D$5:$D$69='Analítico Cp.'!$B138),-('Comp.'!$K$5:$K$69=L$1),('Comp.'!$E$5:$E$69))</f>
        <v>0</v>
      </c>
      <c r="M138" s="12">
        <f>SUMPRODUCT(-('Diário 1º PA'!$E$4:$E$2635='Analítico Cp.'!$B138),-('Diário 1º PA'!$Q$4:$Q$2635=M$1),('Diário 1º PA'!$F$4:$F$2635))+SUMPRODUCT(-('Diário 2º PA'!$E$4:$E$3040='Analítico Cp.'!$B138),-('Diário 2º PA'!$Q$4:$Q$3040=M$1),('Diário 2º PA'!$F$4:$F$3040))+SUMPRODUCT(-('Diário 3º PA'!$E$4:$E$2731='Analítico Cp.'!$B138),-('Diário 3º PA'!$Q$4:$Q$2731=M$1),('Diário 3º PA'!$F$4:$F$2731))+SUMPRODUCT(-('Diário 4º PA'!$E$4:$E$2564='Analítico Cp.'!$B138),-('Diário 4º PA'!$Q$4:$Q$2564=M$1),('Diário 4º PA'!$F$4:$F$2564))+SUMPRODUCT(-('Comp.'!$D$5:$D$69='Analítico Cp.'!$B138),-('Comp.'!$K$5:$K$69=M$1),('Comp.'!$E$5:$E$69))</f>
        <v>0</v>
      </c>
      <c r="N138" s="12">
        <f>SUMPRODUCT(-('Diário 1º PA'!$E$4:$E$2635='Analítico Cp.'!$B138),-('Diário 1º PA'!$Q$4:$Q$2635=N$1),('Diário 1º PA'!$F$4:$F$2635))+SUMPRODUCT(-('Diário 2º PA'!$E$4:$E$3040='Analítico Cp.'!$B138),-('Diário 2º PA'!$Q$4:$Q$3040=N$1),('Diário 2º PA'!$F$4:$F$3040))+SUMPRODUCT(-('Diário 3º PA'!$E$4:$E$2731='Analítico Cp.'!$B138),-('Diário 3º PA'!$Q$4:$Q$2731=N$1),('Diário 3º PA'!$F$4:$F$2731))+SUMPRODUCT(-('Diário 4º PA'!$E$4:$E$2564='Analítico Cp.'!$B138),-('Diário 4º PA'!$Q$4:$Q$2564=N$1),('Diário 4º PA'!$F$4:$F$2564))+SUMPRODUCT(-('Comp.'!$D$5:$D$69='Analítico Cp.'!$B138),-('Comp.'!$K$5:$K$69=N$1),('Comp.'!$E$5:$E$69))</f>
        <v>0</v>
      </c>
      <c r="O138" s="13">
        <f t="shared" si="14"/>
        <v>18746.669999999998</v>
      </c>
      <c r="P138" s="167">
        <f t="shared" si="15"/>
        <v>1.5317647946999882E-3</v>
      </c>
    </row>
    <row r="139" spans="1:16" ht="33.75" x14ac:dyDescent="0.2">
      <c r="A139" s="61" t="s">
        <v>433</v>
      </c>
      <c r="B139" s="387" t="s">
        <v>461</v>
      </c>
      <c r="C139" s="12">
        <f>SUMPRODUCT(-('Diário 1º PA'!$E$4:$E$2635='Analítico Cp.'!$B139),-('Diário 1º PA'!$Q$4:$Q$2635=C$1),('Diário 1º PA'!$F$4:$F$2635))+SUMPRODUCT(-('Diário 2º PA'!$E$4:$E$3040='Analítico Cp.'!$B139),-('Diário 2º PA'!$Q$4:$Q$3040=C$1),('Diário 2º PA'!$F$4:$F$3040))+SUMPRODUCT(-('Diário 3º PA'!$E$4:$E$2731='Analítico Cp.'!$B139),-('Diário 3º PA'!$Q$4:$Q$2731=C$1),('Diário 3º PA'!$F$4:$F$2731))+SUMPRODUCT(-('Diário 4º PA'!$E$4:$E$2564='Analítico Cp.'!$B139),-('Diário 4º PA'!$Q$4:$Q$2564=C$1),('Diário 4º PA'!$F$4:$F$2564))+SUMPRODUCT(-('Comp.'!$D$5:$D$69='Analítico Cp.'!$B139),-('Comp.'!$K$5:$K$69=C$1),('Comp.'!$E$5:$E$69))</f>
        <v>0</v>
      </c>
      <c r="D139" s="12">
        <f>SUMPRODUCT(-('Diário 1º PA'!$E$4:$E$2635='Analítico Cp.'!$B139),-('Diário 1º PA'!$Q$4:$Q$2635=D$1),('Diário 1º PA'!$F$4:$F$2635))+SUMPRODUCT(-('Diário 2º PA'!$E$4:$E$3040='Analítico Cp.'!$B139),-('Diário 2º PA'!$Q$4:$Q$3040=D$1),('Diário 2º PA'!$F$4:$F$3040))+SUMPRODUCT(-('Diário 3º PA'!$E$4:$E$2731='Analítico Cp.'!$B139),-('Diário 3º PA'!$Q$4:$Q$2731=D$1),('Diário 3º PA'!$F$4:$F$2731))+SUMPRODUCT(-('Diário 4º PA'!$E$4:$E$2564='Analítico Cp.'!$B139),-('Diário 4º PA'!$Q$4:$Q$2564=D$1),('Diário 4º PA'!$F$4:$F$2564))+SUMPRODUCT(-('Comp.'!$D$5:$D$69='Analítico Cp.'!$B139),-('Comp.'!$K$5:$K$69=D$1),('Comp.'!$E$5:$E$69))</f>
        <v>0</v>
      </c>
      <c r="E139" s="12">
        <f>SUMPRODUCT(-('Diário 1º PA'!$E$4:$E$2635='Analítico Cp.'!$B139),-('Diário 1º PA'!$Q$4:$Q$2635=E$1),('Diário 1º PA'!$F$4:$F$2635))+SUMPRODUCT(-('Diário 2º PA'!$E$4:$E$3040='Analítico Cp.'!$B139),-('Diário 2º PA'!$Q$4:$Q$3040=E$1),('Diário 2º PA'!$F$4:$F$3040))+SUMPRODUCT(-('Diário 3º PA'!$E$4:$E$2731='Analítico Cp.'!$B139),-('Diário 3º PA'!$Q$4:$Q$2731=E$1),('Diário 3º PA'!$F$4:$F$2731))+SUMPRODUCT(-('Diário 4º PA'!$E$4:$E$2564='Analítico Cp.'!$B139),-('Diário 4º PA'!$Q$4:$Q$2564=E$1),('Diário 4º PA'!$F$4:$F$2564))+SUMPRODUCT(-('Comp.'!$D$5:$D$69='Analítico Cp.'!$B139),-('Comp.'!$K$5:$K$69=E$1),('Comp.'!$E$5:$E$69))</f>
        <v>0</v>
      </c>
      <c r="F139" s="12">
        <f>SUMPRODUCT(-('Diário 1º PA'!$E$4:$E$2635='Analítico Cp.'!$B139),-('Diário 1º PA'!$Q$4:$Q$2635=F$1),('Diário 1º PA'!$F$4:$F$2635))+SUMPRODUCT(-('Diário 2º PA'!$E$4:$E$3040='Analítico Cp.'!$B139),-('Diário 2º PA'!$Q$4:$Q$3040=F$1),('Diário 2º PA'!$F$4:$F$3040))+SUMPRODUCT(-('Diário 3º PA'!$E$4:$E$2731='Analítico Cp.'!$B139),-('Diário 3º PA'!$Q$4:$Q$2731=F$1),('Diário 3º PA'!$F$4:$F$2731))+SUMPRODUCT(-('Diário 4º PA'!$E$4:$E$2564='Analítico Cp.'!$B139),-('Diário 4º PA'!$Q$4:$Q$2564=F$1),('Diário 4º PA'!$F$4:$F$2564))+SUMPRODUCT(-('Comp.'!$D$5:$D$69='Analítico Cp.'!$B139),-('Comp.'!$K$5:$K$69=F$1),('Comp.'!$E$5:$E$69))</f>
        <v>0</v>
      </c>
      <c r="G139" s="12">
        <f>SUMPRODUCT(-('Diário 1º PA'!$E$4:$E$2635='Analítico Cp.'!$B139),-('Diário 1º PA'!$Q$4:$Q$2635=G$1),('Diário 1º PA'!$F$4:$F$2635))+SUMPRODUCT(-('Diário 2º PA'!$E$4:$E$3040='Analítico Cp.'!$B139),-('Diário 2º PA'!$Q$4:$Q$3040=G$1),('Diário 2º PA'!$F$4:$F$3040))+SUMPRODUCT(-('Diário 3º PA'!$E$4:$E$2731='Analítico Cp.'!$B139),-('Diário 3º PA'!$Q$4:$Q$2731=G$1),('Diário 3º PA'!$F$4:$F$2731))+SUMPRODUCT(-('Diário 4º PA'!$E$4:$E$2564='Analítico Cp.'!$B139),-('Diário 4º PA'!$Q$4:$Q$2564=G$1),('Diário 4º PA'!$F$4:$F$2564))+SUMPRODUCT(-('Comp.'!$D$5:$D$69='Analítico Cp.'!$B139),-('Comp.'!$K$5:$K$69=G$1),('Comp.'!$E$5:$E$69))</f>
        <v>0</v>
      </c>
      <c r="H139" s="12">
        <f>SUMPRODUCT(-('Diário 1º PA'!$E$4:$E$2635='Analítico Cp.'!$B139),-('Diário 1º PA'!$Q$4:$Q$2635=H$1),('Diário 1º PA'!$F$4:$F$2635))+SUMPRODUCT(-('Diário 2º PA'!$E$4:$E$3040='Analítico Cp.'!$B139),-('Diário 2º PA'!$Q$4:$Q$3040=H$1),('Diário 2º PA'!$F$4:$F$3040))+SUMPRODUCT(-('Diário 3º PA'!$E$4:$E$2731='Analítico Cp.'!$B139),-('Diário 3º PA'!$Q$4:$Q$2731=H$1),('Diário 3º PA'!$F$4:$F$2731))+SUMPRODUCT(-('Diário 4º PA'!$E$4:$E$2564='Analítico Cp.'!$B139),-('Diário 4º PA'!$Q$4:$Q$2564=H$1),('Diário 4º PA'!$F$4:$F$2564))+SUMPRODUCT(-('Comp.'!$D$5:$D$69='Analítico Cp.'!$B139),-('Comp.'!$K$5:$K$69=H$1),('Comp.'!$E$5:$E$69))</f>
        <v>2016</v>
      </c>
      <c r="I139" s="12">
        <f>SUMPRODUCT(-('Diário 1º PA'!$E$4:$E$2635='Analítico Cp.'!$B139),-('Diário 1º PA'!$Q$4:$Q$2635=I$1),('Diário 1º PA'!$F$4:$F$2635))+SUMPRODUCT(-('Diário 2º PA'!$E$4:$E$3040='Analítico Cp.'!$B139),-('Diário 2º PA'!$Q$4:$Q$3040=I$1),('Diário 2º PA'!$F$4:$F$3040))+SUMPRODUCT(-('Diário 3º PA'!$E$4:$E$2731='Analítico Cp.'!$B139),-('Diário 3º PA'!$Q$4:$Q$2731=I$1),('Diário 3º PA'!$F$4:$F$2731))+SUMPRODUCT(-('Diário 4º PA'!$E$4:$E$2564='Analítico Cp.'!$B139),-('Diário 4º PA'!$Q$4:$Q$2564=I$1),('Diário 4º PA'!$F$4:$F$2564))+SUMPRODUCT(-('Comp.'!$D$5:$D$69='Analítico Cp.'!$B139),-('Comp.'!$K$5:$K$69=I$1),('Comp.'!$E$5:$E$69))</f>
        <v>0</v>
      </c>
      <c r="J139" s="12">
        <f>SUMPRODUCT(-('Diário 1º PA'!$E$4:$E$2635='Analítico Cp.'!$B139),-('Diário 1º PA'!$Q$4:$Q$2635=J$1),('Diário 1º PA'!$F$4:$F$2635))+SUMPRODUCT(-('Diário 2º PA'!$E$4:$E$3040='Analítico Cp.'!$B139),-('Diário 2º PA'!$Q$4:$Q$3040=J$1),('Diário 2º PA'!$F$4:$F$3040))+SUMPRODUCT(-('Diário 3º PA'!$E$4:$E$2731='Analítico Cp.'!$B139),-('Diário 3º PA'!$Q$4:$Q$2731=J$1),('Diário 3º PA'!$F$4:$F$2731))+SUMPRODUCT(-('Diário 4º PA'!$E$4:$E$2564='Analítico Cp.'!$B139),-('Diário 4º PA'!$Q$4:$Q$2564=J$1),('Diário 4º PA'!$F$4:$F$2564))+SUMPRODUCT(-('Comp.'!$D$5:$D$69='Analítico Cp.'!$B139),-('Comp.'!$K$5:$K$69=J$1),('Comp.'!$E$5:$E$69))</f>
        <v>0</v>
      </c>
      <c r="K139" s="12">
        <f>SUMPRODUCT(-('Diário 1º PA'!$E$4:$E$2635='Analítico Cp.'!$B139),-('Diário 1º PA'!$Q$4:$Q$2635=K$1),('Diário 1º PA'!$F$4:$F$2635))+SUMPRODUCT(-('Diário 2º PA'!$E$4:$E$3040='Analítico Cp.'!$B139),-('Diário 2º PA'!$Q$4:$Q$3040=K$1),('Diário 2º PA'!$F$4:$F$3040))+SUMPRODUCT(-('Diário 3º PA'!$E$4:$E$2731='Analítico Cp.'!$B139),-('Diário 3º PA'!$Q$4:$Q$2731=K$1),('Diário 3º PA'!$F$4:$F$2731))+SUMPRODUCT(-('Diário 4º PA'!$E$4:$E$2564='Analítico Cp.'!$B139),-('Diário 4º PA'!$Q$4:$Q$2564=K$1),('Diário 4º PA'!$F$4:$F$2564))+SUMPRODUCT(-('Comp.'!$D$5:$D$69='Analítico Cp.'!$B139),-('Comp.'!$K$5:$K$69=K$1),('Comp.'!$E$5:$E$69))</f>
        <v>0</v>
      </c>
      <c r="L139" s="12">
        <f>SUMPRODUCT(-('Diário 1º PA'!$E$4:$E$2635='Analítico Cp.'!$B139),-('Diário 1º PA'!$Q$4:$Q$2635=L$1),('Diário 1º PA'!$F$4:$F$2635))+SUMPRODUCT(-('Diário 2º PA'!$E$4:$E$3040='Analítico Cp.'!$B139),-('Diário 2º PA'!$Q$4:$Q$3040=L$1),('Diário 2º PA'!$F$4:$F$3040))+SUMPRODUCT(-('Diário 3º PA'!$E$4:$E$2731='Analítico Cp.'!$B139),-('Diário 3º PA'!$Q$4:$Q$2731=L$1),('Diário 3º PA'!$F$4:$F$2731))+SUMPRODUCT(-('Diário 4º PA'!$E$4:$E$2564='Analítico Cp.'!$B139),-('Diário 4º PA'!$Q$4:$Q$2564=L$1),('Diário 4º PA'!$F$4:$F$2564))+SUMPRODUCT(-('Comp.'!$D$5:$D$69='Analítico Cp.'!$B139),-('Comp.'!$K$5:$K$69=L$1),('Comp.'!$E$5:$E$69))</f>
        <v>300</v>
      </c>
      <c r="M139" s="12">
        <f>SUMPRODUCT(-('Diário 1º PA'!$E$4:$E$2635='Analítico Cp.'!$B139),-('Diário 1º PA'!$Q$4:$Q$2635=M$1),('Diário 1º PA'!$F$4:$F$2635))+SUMPRODUCT(-('Diário 2º PA'!$E$4:$E$3040='Analítico Cp.'!$B139),-('Diário 2º PA'!$Q$4:$Q$3040=M$1),('Diário 2º PA'!$F$4:$F$3040))+SUMPRODUCT(-('Diário 3º PA'!$E$4:$E$2731='Analítico Cp.'!$B139),-('Diário 3º PA'!$Q$4:$Q$2731=M$1),('Diário 3º PA'!$F$4:$F$2731))+SUMPRODUCT(-('Diário 4º PA'!$E$4:$E$2564='Analítico Cp.'!$B139),-('Diário 4º PA'!$Q$4:$Q$2564=M$1),('Diário 4º PA'!$F$4:$F$2564))+SUMPRODUCT(-('Comp.'!$D$5:$D$69='Analítico Cp.'!$B139),-('Comp.'!$K$5:$K$69=M$1),('Comp.'!$E$5:$E$69))</f>
        <v>0</v>
      </c>
      <c r="N139" s="12">
        <f>SUMPRODUCT(-('Diário 1º PA'!$E$4:$E$2635='Analítico Cp.'!$B139),-('Diário 1º PA'!$Q$4:$Q$2635=N$1),('Diário 1º PA'!$F$4:$F$2635))+SUMPRODUCT(-('Diário 2º PA'!$E$4:$E$3040='Analítico Cp.'!$B139),-('Diário 2º PA'!$Q$4:$Q$3040=N$1),('Diário 2º PA'!$F$4:$F$3040))+SUMPRODUCT(-('Diário 3º PA'!$E$4:$E$2731='Analítico Cp.'!$B139),-('Diário 3º PA'!$Q$4:$Q$2731=N$1),('Diário 3º PA'!$F$4:$F$2731))+SUMPRODUCT(-('Diário 4º PA'!$E$4:$E$2564='Analítico Cp.'!$B139),-('Diário 4º PA'!$Q$4:$Q$2564=N$1),('Diário 4º PA'!$F$4:$F$2564))+SUMPRODUCT(-('Comp.'!$D$5:$D$69='Analítico Cp.'!$B139),-('Comp.'!$K$5:$K$69=N$1),('Comp.'!$E$5:$E$69))</f>
        <v>0</v>
      </c>
      <c r="O139" s="13">
        <f t="shared" si="14"/>
        <v>2316</v>
      </c>
      <c r="P139" s="167">
        <f t="shared" si="15"/>
        <v>1.8923719596734636E-4</v>
      </c>
    </row>
    <row r="140" spans="1:16" ht="23.25" customHeight="1" x14ac:dyDescent="0.2">
      <c r="A140" s="61" t="s">
        <v>434</v>
      </c>
      <c r="B140" s="387" t="s">
        <v>462</v>
      </c>
      <c r="C140" s="12">
        <f>SUMPRODUCT(-('Diário 1º PA'!$E$4:$E$2635='Analítico Cp.'!$B140),-('Diário 1º PA'!$Q$4:$Q$2635=C$1),('Diário 1º PA'!$F$4:$F$2635))+SUMPRODUCT(-('Diário 2º PA'!$E$4:$E$3040='Analítico Cp.'!$B140),-('Diário 2º PA'!$Q$4:$Q$3040=C$1),('Diário 2º PA'!$F$4:$F$3040))+SUMPRODUCT(-('Diário 3º PA'!$E$4:$E$2731='Analítico Cp.'!$B140),-('Diário 3º PA'!$Q$4:$Q$2731=C$1),('Diário 3º PA'!$F$4:$F$2731))+SUMPRODUCT(-('Diário 4º PA'!$E$4:$E$2564='Analítico Cp.'!$B140),-('Diário 4º PA'!$Q$4:$Q$2564=C$1),('Diário 4º PA'!$F$4:$F$2564))+SUMPRODUCT(-('Comp.'!$D$5:$D$69='Analítico Cp.'!$B140),-('Comp.'!$K$5:$K$69=C$1),('Comp.'!$E$5:$E$69))</f>
        <v>3000</v>
      </c>
      <c r="D140" s="12">
        <f>SUMPRODUCT(-('Diário 1º PA'!$E$4:$E$2635='Analítico Cp.'!$B140),-('Diário 1º PA'!$Q$4:$Q$2635=D$1),('Diário 1º PA'!$F$4:$F$2635))+SUMPRODUCT(-('Diário 2º PA'!$E$4:$E$3040='Analítico Cp.'!$B140),-('Diário 2º PA'!$Q$4:$Q$3040=D$1),('Diário 2º PA'!$F$4:$F$3040))+SUMPRODUCT(-('Diário 3º PA'!$E$4:$E$2731='Analítico Cp.'!$B140),-('Diário 3º PA'!$Q$4:$Q$2731=D$1),('Diário 3º PA'!$F$4:$F$2731))+SUMPRODUCT(-('Diário 4º PA'!$E$4:$E$2564='Analítico Cp.'!$B140),-('Diário 4º PA'!$Q$4:$Q$2564=D$1),('Diário 4º PA'!$F$4:$F$2564))+SUMPRODUCT(-('Comp.'!$D$5:$D$69='Analítico Cp.'!$B140),-('Comp.'!$K$5:$K$69=D$1),('Comp.'!$E$5:$E$69))</f>
        <v>619.36</v>
      </c>
      <c r="E140" s="12">
        <f>SUMPRODUCT(-('Diário 1º PA'!$E$4:$E$2635='Analítico Cp.'!$B140),-('Diário 1º PA'!$Q$4:$Q$2635=E$1),('Diário 1º PA'!$F$4:$F$2635))+SUMPRODUCT(-('Diário 2º PA'!$E$4:$E$3040='Analítico Cp.'!$B140),-('Diário 2º PA'!$Q$4:$Q$3040=E$1),('Diário 2º PA'!$F$4:$F$3040))+SUMPRODUCT(-('Diário 3º PA'!$E$4:$E$2731='Analítico Cp.'!$B140),-('Diário 3º PA'!$Q$4:$Q$2731=E$1),('Diário 3º PA'!$F$4:$F$2731))+SUMPRODUCT(-('Diário 4º PA'!$E$4:$E$2564='Analítico Cp.'!$B140),-('Diário 4º PA'!$Q$4:$Q$2564=E$1),('Diário 4º PA'!$F$4:$F$2564))+SUMPRODUCT(-('Comp.'!$D$5:$D$69='Analítico Cp.'!$B140),-('Comp.'!$K$5:$K$69=E$1),('Comp.'!$E$5:$E$69))</f>
        <v>0</v>
      </c>
      <c r="F140" s="12">
        <f>SUMPRODUCT(-('Diário 1º PA'!$E$4:$E$2635='Analítico Cp.'!$B140),-('Diário 1º PA'!$Q$4:$Q$2635=F$1),('Diário 1º PA'!$F$4:$F$2635))+SUMPRODUCT(-('Diário 2º PA'!$E$4:$E$3040='Analítico Cp.'!$B140),-('Diário 2º PA'!$Q$4:$Q$3040=F$1),('Diário 2º PA'!$F$4:$F$3040))+SUMPRODUCT(-('Diário 3º PA'!$E$4:$E$2731='Analítico Cp.'!$B140),-('Diário 3º PA'!$Q$4:$Q$2731=F$1),('Diário 3º PA'!$F$4:$F$2731))+SUMPRODUCT(-('Diário 4º PA'!$E$4:$E$2564='Analítico Cp.'!$B140),-('Diário 4º PA'!$Q$4:$Q$2564=F$1),('Diário 4º PA'!$F$4:$F$2564))+SUMPRODUCT(-('Comp.'!$D$5:$D$69='Analítico Cp.'!$B140),-('Comp.'!$K$5:$K$69=F$1),('Comp.'!$E$5:$E$69))</f>
        <v>6126.32</v>
      </c>
      <c r="G140" s="12">
        <f>SUMPRODUCT(-('Diário 1º PA'!$E$4:$E$2635='Analítico Cp.'!$B140),-('Diário 1º PA'!$Q$4:$Q$2635=G$1),('Diário 1º PA'!$F$4:$F$2635))+SUMPRODUCT(-('Diário 2º PA'!$E$4:$E$3040='Analítico Cp.'!$B140),-('Diário 2º PA'!$Q$4:$Q$3040=G$1),('Diário 2º PA'!$F$4:$F$3040))+SUMPRODUCT(-('Diário 3º PA'!$E$4:$E$2731='Analítico Cp.'!$B140),-('Diário 3º PA'!$Q$4:$Q$2731=G$1),('Diário 3º PA'!$F$4:$F$2731))+SUMPRODUCT(-('Diário 4º PA'!$E$4:$E$2564='Analítico Cp.'!$B140),-('Diário 4º PA'!$Q$4:$Q$2564=G$1),('Diário 4º PA'!$F$4:$F$2564))+SUMPRODUCT(-('Comp.'!$D$5:$D$69='Analítico Cp.'!$B140),-('Comp.'!$K$5:$K$69=G$1),('Comp.'!$E$5:$E$69))</f>
        <v>688</v>
      </c>
      <c r="H140" s="12">
        <f>SUMPRODUCT(-('Diário 1º PA'!$E$4:$E$2635='Analítico Cp.'!$B140),-('Diário 1º PA'!$Q$4:$Q$2635=H$1),('Diário 1º PA'!$F$4:$F$2635))+SUMPRODUCT(-('Diário 2º PA'!$E$4:$E$3040='Analítico Cp.'!$B140),-('Diário 2º PA'!$Q$4:$Q$3040=H$1),('Diário 2º PA'!$F$4:$F$3040))+SUMPRODUCT(-('Diário 3º PA'!$E$4:$E$2731='Analítico Cp.'!$B140),-('Diário 3º PA'!$Q$4:$Q$2731=H$1),('Diário 3º PA'!$F$4:$F$2731))+SUMPRODUCT(-('Diário 4º PA'!$E$4:$E$2564='Analítico Cp.'!$B140),-('Diário 4º PA'!$Q$4:$Q$2564=H$1),('Diário 4º PA'!$F$4:$F$2564))+SUMPRODUCT(-('Comp.'!$D$5:$D$69='Analítico Cp.'!$B140),-('Comp.'!$K$5:$K$69=H$1),('Comp.'!$E$5:$E$69))</f>
        <v>0</v>
      </c>
      <c r="I140" s="12">
        <f>SUMPRODUCT(-('Diário 1º PA'!$E$4:$E$2635='Analítico Cp.'!$B140),-('Diário 1º PA'!$Q$4:$Q$2635=I$1),('Diário 1º PA'!$F$4:$F$2635))+SUMPRODUCT(-('Diário 2º PA'!$E$4:$E$3040='Analítico Cp.'!$B140),-('Diário 2º PA'!$Q$4:$Q$3040=I$1),('Diário 2º PA'!$F$4:$F$3040))+SUMPRODUCT(-('Diário 3º PA'!$E$4:$E$2731='Analítico Cp.'!$B140),-('Diário 3º PA'!$Q$4:$Q$2731=I$1),('Diário 3º PA'!$F$4:$F$2731))+SUMPRODUCT(-('Diário 4º PA'!$E$4:$E$2564='Analítico Cp.'!$B140),-('Diário 4º PA'!$Q$4:$Q$2564=I$1),('Diário 4º PA'!$F$4:$F$2564))+SUMPRODUCT(-('Comp.'!$D$5:$D$69='Analítico Cp.'!$B140),-('Comp.'!$K$5:$K$69=I$1),('Comp.'!$E$5:$E$69))</f>
        <v>1960</v>
      </c>
      <c r="J140" s="12">
        <f>SUMPRODUCT(-('Diário 1º PA'!$E$4:$E$2635='Analítico Cp.'!$B140),-('Diário 1º PA'!$Q$4:$Q$2635=J$1),('Diário 1º PA'!$F$4:$F$2635))+SUMPRODUCT(-('Diário 2º PA'!$E$4:$E$3040='Analítico Cp.'!$B140),-('Diário 2º PA'!$Q$4:$Q$3040=J$1),('Diário 2º PA'!$F$4:$F$3040))+SUMPRODUCT(-('Diário 3º PA'!$E$4:$E$2731='Analítico Cp.'!$B140),-('Diário 3º PA'!$Q$4:$Q$2731=J$1),('Diário 3º PA'!$F$4:$F$2731))+SUMPRODUCT(-('Diário 4º PA'!$E$4:$E$2564='Analítico Cp.'!$B140),-('Diário 4º PA'!$Q$4:$Q$2564=J$1),('Diário 4º PA'!$F$4:$F$2564))+SUMPRODUCT(-('Comp.'!$D$5:$D$69='Analítico Cp.'!$B140),-('Comp.'!$K$5:$K$69=J$1),('Comp.'!$E$5:$E$69))</f>
        <v>1960</v>
      </c>
      <c r="K140" s="12">
        <f>SUMPRODUCT(-('Diário 1º PA'!$E$4:$E$2635='Analítico Cp.'!$B140),-('Diário 1º PA'!$Q$4:$Q$2635=K$1),('Diário 1º PA'!$F$4:$F$2635))+SUMPRODUCT(-('Diário 2º PA'!$E$4:$E$3040='Analítico Cp.'!$B140),-('Diário 2º PA'!$Q$4:$Q$3040=K$1),('Diário 2º PA'!$F$4:$F$3040))+SUMPRODUCT(-('Diário 3º PA'!$E$4:$E$2731='Analítico Cp.'!$B140),-('Diário 3º PA'!$Q$4:$Q$2731=K$1),('Diário 3º PA'!$F$4:$F$2731))+SUMPRODUCT(-('Diário 4º PA'!$E$4:$E$2564='Analítico Cp.'!$B140),-('Diário 4º PA'!$Q$4:$Q$2564=K$1),('Diário 4º PA'!$F$4:$F$2564))+SUMPRODUCT(-('Comp.'!$D$5:$D$69='Analítico Cp.'!$B140),-('Comp.'!$K$5:$K$69=K$1),('Comp.'!$E$5:$E$69))</f>
        <v>0</v>
      </c>
      <c r="L140" s="12">
        <f>SUMPRODUCT(-('Diário 1º PA'!$E$4:$E$2635='Analítico Cp.'!$B140),-('Diário 1º PA'!$Q$4:$Q$2635=L$1),('Diário 1º PA'!$F$4:$F$2635))+SUMPRODUCT(-('Diário 2º PA'!$E$4:$E$3040='Analítico Cp.'!$B140),-('Diário 2º PA'!$Q$4:$Q$3040=L$1),('Diário 2º PA'!$F$4:$F$3040))+SUMPRODUCT(-('Diário 3º PA'!$E$4:$E$2731='Analítico Cp.'!$B140),-('Diário 3º PA'!$Q$4:$Q$2731=L$1),('Diário 3º PA'!$F$4:$F$2731))+SUMPRODUCT(-('Diário 4º PA'!$E$4:$E$2564='Analítico Cp.'!$B140),-('Diário 4º PA'!$Q$4:$Q$2564=L$1),('Diário 4º PA'!$F$4:$F$2564))+SUMPRODUCT(-('Comp.'!$D$5:$D$69='Analítico Cp.'!$B140),-('Comp.'!$K$5:$K$69=L$1),('Comp.'!$E$5:$E$69))</f>
        <v>0</v>
      </c>
      <c r="M140" s="12">
        <f>SUMPRODUCT(-('Diário 1º PA'!$E$4:$E$2635='Analítico Cp.'!$B140),-('Diário 1º PA'!$Q$4:$Q$2635=M$1),('Diário 1º PA'!$F$4:$F$2635))+SUMPRODUCT(-('Diário 2º PA'!$E$4:$E$3040='Analítico Cp.'!$B140),-('Diário 2º PA'!$Q$4:$Q$3040=M$1),('Diário 2º PA'!$F$4:$F$3040))+SUMPRODUCT(-('Diário 3º PA'!$E$4:$E$2731='Analítico Cp.'!$B140),-('Diário 3º PA'!$Q$4:$Q$2731=M$1),('Diário 3º PA'!$F$4:$F$2731))+SUMPRODUCT(-('Diário 4º PA'!$E$4:$E$2564='Analítico Cp.'!$B140),-('Diário 4º PA'!$Q$4:$Q$2564=M$1),('Diário 4º PA'!$F$4:$F$2564))+SUMPRODUCT(-('Comp.'!$D$5:$D$69='Analítico Cp.'!$B140),-('Comp.'!$K$5:$K$69=M$1),('Comp.'!$E$5:$E$69))</f>
        <v>0</v>
      </c>
      <c r="N140" s="12">
        <f>SUMPRODUCT(-('Diário 1º PA'!$E$4:$E$2635='Analítico Cp.'!$B140),-('Diário 1º PA'!$Q$4:$Q$2635=N$1),('Diário 1º PA'!$F$4:$F$2635))+SUMPRODUCT(-('Diário 2º PA'!$E$4:$E$3040='Analítico Cp.'!$B140),-('Diário 2º PA'!$Q$4:$Q$3040=N$1),('Diário 2º PA'!$F$4:$F$3040))+SUMPRODUCT(-('Diário 3º PA'!$E$4:$E$2731='Analítico Cp.'!$B140),-('Diário 3º PA'!$Q$4:$Q$2731=N$1),('Diário 3º PA'!$F$4:$F$2731))+SUMPRODUCT(-('Diário 4º PA'!$E$4:$E$2564='Analítico Cp.'!$B140),-('Diário 4º PA'!$Q$4:$Q$2564=N$1),('Diário 4º PA'!$F$4:$F$2564))+SUMPRODUCT(-('Comp.'!$D$5:$D$69='Analítico Cp.'!$B140),-('Comp.'!$K$5:$K$69=N$1),('Comp.'!$E$5:$E$69))</f>
        <v>0</v>
      </c>
      <c r="O140" s="13">
        <f t="shared" si="14"/>
        <v>14353.68</v>
      </c>
      <c r="P140" s="167">
        <f t="shared" si="15"/>
        <v>1.1728195833387652E-3</v>
      </c>
    </row>
    <row r="141" spans="1:16" ht="23.25" customHeight="1" x14ac:dyDescent="0.2">
      <c r="A141" s="61" t="s">
        <v>435</v>
      </c>
      <c r="B141" s="387" t="s">
        <v>463</v>
      </c>
      <c r="C141" s="12">
        <f>SUMPRODUCT(-('Diário 1º PA'!$E$4:$E$2635='Analítico Cp.'!$B141),-('Diário 1º PA'!$Q$4:$Q$2635=C$1),('Diário 1º PA'!$F$4:$F$2635))+SUMPRODUCT(-('Diário 2º PA'!$E$4:$E$3040='Analítico Cp.'!$B141),-('Diário 2º PA'!$Q$4:$Q$3040=C$1),('Diário 2º PA'!$F$4:$F$3040))+SUMPRODUCT(-('Diário 3º PA'!$E$4:$E$2731='Analítico Cp.'!$B141),-('Diário 3º PA'!$Q$4:$Q$2731=C$1),('Diário 3º PA'!$F$4:$F$2731))+SUMPRODUCT(-('Diário 4º PA'!$E$4:$E$2564='Analítico Cp.'!$B141),-('Diário 4º PA'!$Q$4:$Q$2564=C$1),('Diário 4º PA'!$F$4:$F$2564))+SUMPRODUCT(-('Comp.'!$D$5:$D$69='Analítico Cp.'!$B141),-('Comp.'!$K$5:$K$69=C$1),('Comp.'!$E$5:$E$69))</f>
        <v>0</v>
      </c>
      <c r="D141" s="12">
        <f>SUMPRODUCT(-('Diário 1º PA'!$E$4:$E$2635='Analítico Cp.'!$B141),-('Diário 1º PA'!$Q$4:$Q$2635=D$1),('Diário 1º PA'!$F$4:$F$2635))+SUMPRODUCT(-('Diário 2º PA'!$E$4:$E$3040='Analítico Cp.'!$B141),-('Diário 2º PA'!$Q$4:$Q$3040=D$1),('Diário 2º PA'!$F$4:$F$3040))+SUMPRODUCT(-('Diário 3º PA'!$E$4:$E$2731='Analítico Cp.'!$B141),-('Diário 3º PA'!$Q$4:$Q$2731=D$1),('Diário 3º PA'!$F$4:$F$2731))+SUMPRODUCT(-('Diário 4º PA'!$E$4:$E$2564='Analítico Cp.'!$B141),-('Diário 4º PA'!$Q$4:$Q$2564=D$1),('Diário 4º PA'!$F$4:$F$2564))+SUMPRODUCT(-('Comp.'!$D$5:$D$69='Analítico Cp.'!$B141),-('Comp.'!$K$5:$K$69=D$1),('Comp.'!$E$5:$E$69))</f>
        <v>0</v>
      </c>
      <c r="E141" s="12">
        <f>SUMPRODUCT(-('Diário 1º PA'!$E$4:$E$2635='Analítico Cp.'!$B141),-('Diário 1º PA'!$Q$4:$Q$2635=E$1),('Diário 1º PA'!$F$4:$F$2635))+SUMPRODUCT(-('Diário 2º PA'!$E$4:$E$3040='Analítico Cp.'!$B141),-('Diário 2º PA'!$Q$4:$Q$3040=E$1),('Diário 2º PA'!$F$4:$F$3040))+SUMPRODUCT(-('Diário 3º PA'!$E$4:$E$2731='Analítico Cp.'!$B141),-('Diário 3º PA'!$Q$4:$Q$2731=E$1),('Diário 3º PA'!$F$4:$F$2731))+SUMPRODUCT(-('Diário 4º PA'!$E$4:$E$2564='Analítico Cp.'!$B141),-('Diário 4º PA'!$Q$4:$Q$2564=E$1),('Diário 4º PA'!$F$4:$F$2564))+SUMPRODUCT(-('Comp.'!$D$5:$D$69='Analítico Cp.'!$B141),-('Comp.'!$K$5:$K$69=E$1),('Comp.'!$E$5:$E$69))</f>
        <v>0</v>
      </c>
      <c r="F141" s="12">
        <f>SUMPRODUCT(-('Diário 1º PA'!$E$4:$E$2635='Analítico Cp.'!$B141),-('Diário 1º PA'!$Q$4:$Q$2635=F$1),('Diário 1º PA'!$F$4:$F$2635))+SUMPRODUCT(-('Diário 2º PA'!$E$4:$E$3040='Analítico Cp.'!$B141),-('Diário 2º PA'!$Q$4:$Q$3040=F$1),('Diário 2º PA'!$F$4:$F$3040))+SUMPRODUCT(-('Diário 3º PA'!$E$4:$E$2731='Analítico Cp.'!$B141),-('Diário 3º PA'!$Q$4:$Q$2731=F$1),('Diário 3º PA'!$F$4:$F$2731))+SUMPRODUCT(-('Diário 4º PA'!$E$4:$E$2564='Analítico Cp.'!$B141),-('Diário 4º PA'!$Q$4:$Q$2564=F$1),('Diário 4º PA'!$F$4:$F$2564))+SUMPRODUCT(-('Comp.'!$D$5:$D$69='Analítico Cp.'!$B141),-('Comp.'!$K$5:$K$69=F$1),('Comp.'!$E$5:$E$69))</f>
        <v>0</v>
      </c>
      <c r="G141" s="12">
        <f>SUMPRODUCT(-('Diário 1º PA'!$E$4:$E$2635='Analítico Cp.'!$B141),-('Diário 1º PA'!$Q$4:$Q$2635=G$1),('Diário 1º PA'!$F$4:$F$2635))+SUMPRODUCT(-('Diário 2º PA'!$E$4:$E$3040='Analítico Cp.'!$B141),-('Diário 2º PA'!$Q$4:$Q$3040=G$1),('Diário 2º PA'!$F$4:$F$3040))+SUMPRODUCT(-('Diário 3º PA'!$E$4:$E$2731='Analítico Cp.'!$B141),-('Diário 3º PA'!$Q$4:$Q$2731=G$1),('Diário 3º PA'!$F$4:$F$2731))+SUMPRODUCT(-('Diário 4º PA'!$E$4:$E$2564='Analítico Cp.'!$B141),-('Diário 4º PA'!$Q$4:$Q$2564=G$1),('Diário 4º PA'!$F$4:$F$2564))+SUMPRODUCT(-('Comp.'!$D$5:$D$69='Analítico Cp.'!$B141),-('Comp.'!$K$5:$K$69=G$1),('Comp.'!$E$5:$E$69))</f>
        <v>600</v>
      </c>
      <c r="H141" s="12">
        <f>SUMPRODUCT(-('Diário 1º PA'!$E$4:$E$2635='Analítico Cp.'!$B141),-('Diário 1º PA'!$Q$4:$Q$2635=H$1),('Diário 1º PA'!$F$4:$F$2635))+SUMPRODUCT(-('Diário 2º PA'!$E$4:$E$3040='Analítico Cp.'!$B141),-('Diário 2º PA'!$Q$4:$Q$3040=H$1),('Diário 2º PA'!$F$4:$F$3040))+SUMPRODUCT(-('Diário 3º PA'!$E$4:$E$2731='Analítico Cp.'!$B141),-('Diário 3º PA'!$Q$4:$Q$2731=H$1),('Diário 3º PA'!$F$4:$F$2731))+SUMPRODUCT(-('Diário 4º PA'!$E$4:$E$2564='Analítico Cp.'!$B141),-('Diário 4º PA'!$Q$4:$Q$2564=H$1),('Diário 4º PA'!$F$4:$F$2564))+SUMPRODUCT(-('Comp.'!$D$5:$D$69='Analítico Cp.'!$B141),-('Comp.'!$K$5:$K$69=H$1),('Comp.'!$E$5:$E$69))</f>
        <v>0</v>
      </c>
      <c r="I141" s="12">
        <f>SUMPRODUCT(-('Diário 1º PA'!$E$4:$E$2635='Analítico Cp.'!$B141),-('Diário 1º PA'!$Q$4:$Q$2635=I$1),('Diário 1º PA'!$F$4:$F$2635))+SUMPRODUCT(-('Diário 2º PA'!$E$4:$E$3040='Analítico Cp.'!$B141),-('Diário 2º PA'!$Q$4:$Q$3040=I$1),('Diário 2º PA'!$F$4:$F$3040))+SUMPRODUCT(-('Diário 3º PA'!$E$4:$E$2731='Analítico Cp.'!$B141),-('Diário 3º PA'!$Q$4:$Q$2731=I$1),('Diário 3º PA'!$F$4:$F$2731))+SUMPRODUCT(-('Diário 4º PA'!$E$4:$E$2564='Analítico Cp.'!$B141),-('Diário 4º PA'!$Q$4:$Q$2564=I$1),('Diário 4º PA'!$F$4:$F$2564))+SUMPRODUCT(-('Comp.'!$D$5:$D$69='Analítico Cp.'!$B141),-('Comp.'!$K$5:$K$69=I$1),('Comp.'!$E$5:$E$69))</f>
        <v>0</v>
      </c>
      <c r="J141" s="12">
        <f>SUMPRODUCT(-('Diário 1º PA'!$E$4:$E$2635='Analítico Cp.'!$B141),-('Diário 1º PA'!$Q$4:$Q$2635=J$1),('Diário 1º PA'!$F$4:$F$2635))+SUMPRODUCT(-('Diário 2º PA'!$E$4:$E$3040='Analítico Cp.'!$B141),-('Diário 2º PA'!$Q$4:$Q$3040=J$1),('Diário 2º PA'!$F$4:$F$3040))+SUMPRODUCT(-('Diário 3º PA'!$E$4:$E$2731='Analítico Cp.'!$B141),-('Diário 3º PA'!$Q$4:$Q$2731=J$1),('Diário 3º PA'!$F$4:$F$2731))+SUMPRODUCT(-('Diário 4º PA'!$E$4:$E$2564='Analítico Cp.'!$B141),-('Diário 4º PA'!$Q$4:$Q$2564=J$1),('Diário 4º PA'!$F$4:$F$2564))+SUMPRODUCT(-('Comp.'!$D$5:$D$69='Analítico Cp.'!$B141),-('Comp.'!$K$5:$K$69=J$1),('Comp.'!$E$5:$E$69))</f>
        <v>0</v>
      </c>
      <c r="K141" s="12">
        <f>SUMPRODUCT(-('Diário 1º PA'!$E$4:$E$2635='Analítico Cp.'!$B141),-('Diário 1º PA'!$Q$4:$Q$2635=K$1),('Diário 1º PA'!$F$4:$F$2635))+SUMPRODUCT(-('Diário 2º PA'!$E$4:$E$3040='Analítico Cp.'!$B141),-('Diário 2º PA'!$Q$4:$Q$3040=K$1),('Diário 2º PA'!$F$4:$F$3040))+SUMPRODUCT(-('Diário 3º PA'!$E$4:$E$2731='Analítico Cp.'!$B141),-('Diário 3º PA'!$Q$4:$Q$2731=K$1),('Diário 3º PA'!$F$4:$F$2731))+SUMPRODUCT(-('Diário 4º PA'!$E$4:$E$2564='Analítico Cp.'!$B141),-('Diário 4º PA'!$Q$4:$Q$2564=K$1),('Diário 4º PA'!$F$4:$F$2564))+SUMPRODUCT(-('Comp.'!$D$5:$D$69='Analítico Cp.'!$B141),-('Comp.'!$K$5:$K$69=K$1),('Comp.'!$E$5:$E$69))</f>
        <v>0</v>
      </c>
      <c r="L141" s="12">
        <f>SUMPRODUCT(-('Diário 1º PA'!$E$4:$E$2635='Analítico Cp.'!$B141),-('Diário 1º PA'!$Q$4:$Q$2635=L$1),('Diário 1º PA'!$F$4:$F$2635))+SUMPRODUCT(-('Diário 2º PA'!$E$4:$E$3040='Analítico Cp.'!$B141),-('Diário 2º PA'!$Q$4:$Q$3040=L$1),('Diário 2º PA'!$F$4:$F$3040))+SUMPRODUCT(-('Diário 3º PA'!$E$4:$E$2731='Analítico Cp.'!$B141),-('Diário 3º PA'!$Q$4:$Q$2731=L$1),('Diário 3º PA'!$F$4:$F$2731))+SUMPRODUCT(-('Diário 4º PA'!$E$4:$E$2564='Analítico Cp.'!$B141),-('Diário 4º PA'!$Q$4:$Q$2564=L$1),('Diário 4º PA'!$F$4:$F$2564))+SUMPRODUCT(-('Comp.'!$D$5:$D$69='Analítico Cp.'!$B141),-('Comp.'!$K$5:$K$69=L$1),('Comp.'!$E$5:$E$69))</f>
        <v>0</v>
      </c>
      <c r="M141" s="12">
        <f>SUMPRODUCT(-('Diário 1º PA'!$E$4:$E$2635='Analítico Cp.'!$B141),-('Diário 1º PA'!$Q$4:$Q$2635=M$1),('Diário 1º PA'!$F$4:$F$2635))+SUMPRODUCT(-('Diário 2º PA'!$E$4:$E$3040='Analítico Cp.'!$B141),-('Diário 2º PA'!$Q$4:$Q$3040=M$1),('Diário 2º PA'!$F$4:$F$3040))+SUMPRODUCT(-('Diário 3º PA'!$E$4:$E$2731='Analítico Cp.'!$B141),-('Diário 3º PA'!$Q$4:$Q$2731=M$1),('Diário 3º PA'!$F$4:$F$2731))+SUMPRODUCT(-('Diário 4º PA'!$E$4:$E$2564='Analítico Cp.'!$B141),-('Diário 4º PA'!$Q$4:$Q$2564=M$1),('Diário 4º PA'!$F$4:$F$2564))+SUMPRODUCT(-('Comp.'!$D$5:$D$69='Analítico Cp.'!$B141),-('Comp.'!$K$5:$K$69=M$1),('Comp.'!$E$5:$E$69))</f>
        <v>489.95</v>
      </c>
      <c r="N141" s="12">
        <f>SUMPRODUCT(-('Diário 1º PA'!$E$4:$E$2635='Analítico Cp.'!$B141),-('Diário 1º PA'!$Q$4:$Q$2635=N$1),('Diário 1º PA'!$F$4:$F$2635))+SUMPRODUCT(-('Diário 2º PA'!$E$4:$E$3040='Analítico Cp.'!$B141),-('Diário 2º PA'!$Q$4:$Q$3040=N$1),('Diário 2º PA'!$F$4:$F$3040))+SUMPRODUCT(-('Diário 3º PA'!$E$4:$E$2731='Analítico Cp.'!$B141),-('Diário 3º PA'!$Q$4:$Q$2731=N$1),('Diário 3º PA'!$F$4:$F$2731))+SUMPRODUCT(-('Diário 4º PA'!$E$4:$E$2564='Analítico Cp.'!$B141),-('Diário 4º PA'!$Q$4:$Q$2564=N$1),('Diário 4º PA'!$F$4:$F$2564))+SUMPRODUCT(-('Comp.'!$D$5:$D$69='Analítico Cp.'!$B141),-('Comp.'!$K$5:$K$69=N$1),('Comp.'!$E$5:$E$69))</f>
        <v>148</v>
      </c>
      <c r="O141" s="13">
        <f t="shared" si="14"/>
        <v>1237.95</v>
      </c>
      <c r="P141" s="167">
        <f t="shared" si="15"/>
        <v>1.0115120325897083E-4</v>
      </c>
    </row>
    <row r="142" spans="1:16" ht="23.25" customHeight="1" x14ac:dyDescent="0.2">
      <c r="A142" s="61" t="s">
        <v>436</v>
      </c>
      <c r="B142" s="387" t="s">
        <v>464</v>
      </c>
      <c r="C142" s="12">
        <f>SUMPRODUCT(-('Diário 1º PA'!$E$4:$E$2635='Analítico Cp.'!$B142),-('Diário 1º PA'!$Q$4:$Q$2635=C$1),('Diário 1º PA'!$F$4:$F$2635))+SUMPRODUCT(-('Diário 2º PA'!$E$4:$E$3040='Analítico Cp.'!$B142),-('Diário 2º PA'!$Q$4:$Q$3040=C$1),('Diário 2º PA'!$F$4:$F$3040))+SUMPRODUCT(-('Diário 3º PA'!$E$4:$E$2731='Analítico Cp.'!$B142),-('Diário 3º PA'!$Q$4:$Q$2731=C$1),('Diário 3º PA'!$F$4:$F$2731))+SUMPRODUCT(-('Diário 4º PA'!$E$4:$E$2564='Analítico Cp.'!$B142),-('Diário 4º PA'!$Q$4:$Q$2564=C$1),('Diário 4º PA'!$F$4:$F$2564))+SUMPRODUCT(-('Comp.'!$D$5:$D$69='Analítico Cp.'!$B142),-('Comp.'!$K$5:$K$69=C$1),('Comp.'!$E$5:$E$69))</f>
        <v>0</v>
      </c>
      <c r="D142" s="12">
        <f>SUMPRODUCT(-('Diário 1º PA'!$E$4:$E$2635='Analítico Cp.'!$B142),-('Diário 1º PA'!$Q$4:$Q$2635=D$1),('Diário 1º PA'!$F$4:$F$2635))+SUMPRODUCT(-('Diário 2º PA'!$E$4:$E$3040='Analítico Cp.'!$B142),-('Diário 2º PA'!$Q$4:$Q$3040=D$1),('Diário 2º PA'!$F$4:$F$3040))+SUMPRODUCT(-('Diário 3º PA'!$E$4:$E$2731='Analítico Cp.'!$B142),-('Diário 3º PA'!$Q$4:$Q$2731=D$1),('Diário 3º PA'!$F$4:$F$2731))+SUMPRODUCT(-('Diário 4º PA'!$E$4:$E$2564='Analítico Cp.'!$B142),-('Diário 4º PA'!$Q$4:$Q$2564=D$1),('Diário 4º PA'!$F$4:$F$2564))+SUMPRODUCT(-('Comp.'!$D$5:$D$69='Analítico Cp.'!$B142),-('Comp.'!$K$5:$K$69=D$1),('Comp.'!$E$5:$E$69))</f>
        <v>0</v>
      </c>
      <c r="E142" s="12">
        <f>SUMPRODUCT(-('Diário 1º PA'!$E$4:$E$2635='Analítico Cp.'!$B142),-('Diário 1º PA'!$Q$4:$Q$2635=E$1),('Diário 1º PA'!$F$4:$F$2635))+SUMPRODUCT(-('Diário 2º PA'!$E$4:$E$3040='Analítico Cp.'!$B142),-('Diário 2º PA'!$Q$4:$Q$3040=E$1),('Diário 2º PA'!$F$4:$F$3040))+SUMPRODUCT(-('Diário 3º PA'!$E$4:$E$2731='Analítico Cp.'!$B142),-('Diário 3º PA'!$Q$4:$Q$2731=E$1),('Diário 3º PA'!$F$4:$F$2731))+SUMPRODUCT(-('Diário 4º PA'!$E$4:$E$2564='Analítico Cp.'!$B142),-('Diário 4º PA'!$Q$4:$Q$2564=E$1),('Diário 4º PA'!$F$4:$F$2564))+SUMPRODUCT(-('Comp.'!$D$5:$D$69='Analítico Cp.'!$B142),-('Comp.'!$K$5:$K$69=E$1),('Comp.'!$E$5:$E$69))</f>
        <v>3240</v>
      </c>
      <c r="F142" s="12">
        <f>SUMPRODUCT(-('Diário 1º PA'!$E$4:$E$2635='Analítico Cp.'!$B142),-('Diário 1º PA'!$Q$4:$Q$2635=F$1),('Diário 1º PA'!$F$4:$F$2635))+SUMPRODUCT(-('Diário 2º PA'!$E$4:$E$3040='Analítico Cp.'!$B142),-('Diário 2º PA'!$Q$4:$Q$3040=F$1),('Diário 2º PA'!$F$4:$F$3040))+SUMPRODUCT(-('Diário 3º PA'!$E$4:$E$2731='Analítico Cp.'!$B142),-('Diário 3º PA'!$Q$4:$Q$2731=F$1),('Diário 3º PA'!$F$4:$F$2731))+SUMPRODUCT(-('Diário 4º PA'!$E$4:$E$2564='Analítico Cp.'!$B142),-('Diário 4º PA'!$Q$4:$Q$2564=F$1),('Diário 4º PA'!$F$4:$F$2564))+SUMPRODUCT(-('Comp.'!$D$5:$D$69='Analítico Cp.'!$B142),-('Comp.'!$K$5:$K$69=F$1),('Comp.'!$E$5:$E$69))</f>
        <v>0</v>
      </c>
      <c r="G142" s="12">
        <f>SUMPRODUCT(-('Diário 1º PA'!$E$4:$E$2635='Analítico Cp.'!$B142),-('Diário 1º PA'!$Q$4:$Q$2635=G$1),('Diário 1º PA'!$F$4:$F$2635))+SUMPRODUCT(-('Diário 2º PA'!$E$4:$E$3040='Analítico Cp.'!$B142),-('Diário 2º PA'!$Q$4:$Q$3040=G$1),('Diário 2º PA'!$F$4:$F$3040))+SUMPRODUCT(-('Diário 3º PA'!$E$4:$E$2731='Analítico Cp.'!$B142),-('Diário 3º PA'!$Q$4:$Q$2731=G$1),('Diário 3º PA'!$F$4:$F$2731))+SUMPRODUCT(-('Diário 4º PA'!$E$4:$E$2564='Analítico Cp.'!$B142),-('Diário 4º PA'!$Q$4:$Q$2564=G$1),('Diário 4º PA'!$F$4:$F$2564))+SUMPRODUCT(-('Comp.'!$D$5:$D$69='Analítico Cp.'!$B142),-('Comp.'!$K$5:$K$69=G$1),('Comp.'!$E$5:$E$69))</f>
        <v>0</v>
      </c>
      <c r="H142" s="12">
        <f>SUMPRODUCT(-('Diário 1º PA'!$E$4:$E$2635='Analítico Cp.'!$B142),-('Diário 1º PA'!$Q$4:$Q$2635=H$1),('Diário 1º PA'!$F$4:$F$2635))+SUMPRODUCT(-('Diário 2º PA'!$E$4:$E$3040='Analítico Cp.'!$B142),-('Diário 2º PA'!$Q$4:$Q$3040=H$1),('Diário 2º PA'!$F$4:$F$3040))+SUMPRODUCT(-('Diário 3º PA'!$E$4:$E$2731='Analítico Cp.'!$B142),-('Diário 3º PA'!$Q$4:$Q$2731=H$1),('Diário 3º PA'!$F$4:$F$2731))+SUMPRODUCT(-('Diário 4º PA'!$E$4:$E$2564='Analítico Cp.'!$B142),-('Diário 4º PA'!$Q$4:$Q$2564=H$1),('Diário 4º PA'!$F$4:$F$2564))+SUMPRODUCT(-('Comp.'!$D$5:$D$69='Analítico Cp.'!$B142),-('Comp.'!$K$5:$K$69=H$1),('Comp.'!$E$5:$E$69))</f>
        <v>0</v>
      </c>
      <c r="I142" s="12">
        <f>SUMPRODUCT(-('Diário 1º PA'!$E$4:$E$2635='Analítico Cp.'!$B142),-('Diário 1º PA'!$Q$4:$Q$2635=I$1),('Diário 1º PA'!$F$4:$F$2635))+SUMPRODUCT(-('Diário 2º PA'!$E$4:$E$3040='Analítico Cp.'!$B142),-('Diário 2º PA'!$Q$4:$Q$3040=I$1),('Diário 2º PA'!$F$4:$F$3040))+SUMPRODUCT(-('Diário 3º PA'!$E$4:$E$2731='Analítico Cp.'!$B142),-('Diário 3º PA'!$Q$4:$Q$2731=I$1),('Diário 3º PA'!$F$4:$F$2731))+SUMPRODUCT(-('Diário 4º PA'!$E$4:$E$2564='Analítico Cp.'!$B142),-('Diário 4º PA'!$Q$4:$Q$2564=I$1),('Diário 4º PA'!$F$4:$F$2564))+SUMPRODUCT(-('Comp.'!$D$5:$D$69='Analítico Cp.'!$B142),-('Comp.'!$K$5:$K$69=I$1),('Comp.'!$E$5:$E$69))</f>
        <v>1200</v>
      </c>
      <c r="J142" s="12">
        <f>SUMPRODUCT(-('Diário 1º PA'!$E$4:$E$2635='Analítico Cp.'!$B142),-('Diário 1º PA'!$Q$4:$Q$2635=J$1),('Diário 1º PA'!$F$4:$F$2635))+SUMPRODUCT(-('Diário 2º PA'!$E$4:$E$3040='Analítico Cp.'!$B142),-('Diário 2º PA'!$Q$4:$Q$3040=J$1),('Diário 2º PA'!$F$4:$F$3040))+SUMPRODUCT(-('Diário 3º PA'!$E$4:$E$2731='Analítico Cp.'!$B142),-('Diário 3º PA'!$Q$4:$Q$2731=J$1),('Diário 3º PA'!$F$4:$F$2731))+SUMPRODUCT(-('Diário 4º PA'!$E$4:$E$2564='Analítico Cp.'!$B142),-('Diário 4º PA'!$Q$4:$Q$2564=J$1),('Diário 4º PA'!$F$4:$F$2564))+SUMPRODUCT(-('Comp.'!$D$5:$D$69='Analítico Cp.'!$B142),-('Comp.'!$K$5:$K$69=J$1),('Comp.'!$E$5:$E$69))</f>
        <v>1200</v>
      </c>
      <c r="K142" s="12">
        <f>SUMPRODUCT(-('Diário 1º PA'!$E$4:$E$2635='Analítico Cp.'!$B142),-('Diário 1º PA'!$Q$4:$Q$2635=K$1),('Diário 1º PA'!$F$4:$F$2635))+SUMPRODUCT(-('Diário 2º PA'!$E$4:$E$3040='Analítico Cp.'!$B142),-('Diário 2º PA'!$Q$4:$Q$3040=K$1),('Diário 2º PA'!$F$4:$F$3040))+SUMPRODUCT(-('Diário 3º PA'!$E$4:$E$2731='Analítico Cp.'!$B142),-('Diário 3º PA'!$Q$4:$Q$2731=K$1),('Diário 3º PA'!$F$4:$F$2731))+SUMPRODUCT(-('Diário 4º PA'!$E$4:$E$2564='Analítico Cp.'!$B142),-('Diário 4º PA'!$Q$4:$Q$2564=K$1),('Diário 4º PA'!$F$4:$F$2564))+SUMPRODUCT(-('Comp.'!$D$5:$D$69='Analítico Cp.'!$B142),-('Comp.'!$K$5:$K$69=K$1),('Comp.'!$E$5:$E$69))</f>
        <v>219</v>
      </c>
      <c r="L142" s="12">
        <f>SUMPRODUCT(-('Diário 1º PA'!$E$4:$E$2635='Analítico Cp.'!$B142),-('Diário 1º PA'!$Q$4:$Q$2635=L$1),('Diário 1º PA'!$F$4:$F$2635))+SUMPRODUCT(-('Diário 2º PA'!$E$4:$E$3040='Analítico Cp.'!$B142),-('Diário 2º PA'!$Q$4:$Q$3040=L$1),('Diário 2º PA'!$F$4:$F$3040))+SUMPRODUCT(-('Diário 3º PA'!$E$4:$E$2731='Analítico Cp.'!$B142),-('Diário 3º PA'!$Q$4:$Q$2731=L$1),('Diário 3º PA'!$F$4:$F$2731))+SUMPRODUCT(-('Diário 4º PA'!$E$4:$E$2564='Analítico Cp.'!$B142),-('Diário 4º PA'!$Q$4:$Q$2564=L$1),('Diário 4º PA'!$F$4:$F$2564))+SUMPRODUCT(-('Comp.'!$D$5:$D$69='Analítico Cp.'!$B142),-('Comp.'!$K$5:$K$69=L$1),('Comp.'!$E$5:$E$69))</f>
        <v>0</v>
      </c>
      <c r="M142" s="12">
        <f>SUMPRODUCT(-('Diário 1º PA'!$E$4:$E$2635='Analítico Cp.'!$B142),-('Diário 1º PA'!$Q$4:$Q$2635=M$1),('Diário 1º PA'!$F$4:$F$2635))+SUMPRODUCT(-('Diário 2º PA'!$E$4:$E$3040='Analítico Cp.'!$B142),-('Diário 2º PA'!$Q$4:$Q$3040=M$1),('Diário 2º PA'!$F$4:$F$3040))+SUMPRODUCT(-('Diário 3º PA'!$E$4:$E$2731='Analítico Cp.'!$B142),-('Diário 3º PA'!$Q$4:$Q$2731=M$1),('Diário 3º PA'!$F$4:$F$2731))+SUMPRODUCT(-('Diário 4º PA'!$E$4:$E$2564='Analítico Cp.'!$B142),-('Diário 4º PA'!$Q$4:$Q$2564=M$1),('Diário 4º PA'!$F$4:$F$2564))+SUMPRODUCT(-('Comp.'!$D$5:$D$69='Analítico Cp.'!$B142),-('Comp.'!$K$5:$K$69=M$1),('Comp.'!$E$5:$E$69))</f>
        <v>0</v>
      </c>
      <c r="N142" s="12">
        <f>SUMPRODUCT(-('Diário 1º PA'!$E$4:$E$2635='Analítico Cp.'!$B142),-('Diário 1º PA'!$Q$4:$Q$2635=N$1),('Diário 1º PA'!$F$4:$F$2635))+SUMPRODUCT(-('Diário 2º PA'!$E$4:$E$3040='Analítico Cp.'!$B142),-('Diário 2º PA'!$Q$4:$Q$3040=N$1),('Diário 2º PA'!$F$4:$F$3040))+SUMPRODUCT(-('Diário 3º PA'!$E$4:$E$2731='Analítico Cp.'!$B142),-('Diário 3º PA'!$Q$4:$Q$2731=N$1),('Diário 3º PA'!$F$4:$F$2731))+SUMPRODUCT(-('Diário 4º PA'!$E$4:$E$2564='Analítico Cp.'!$B142),-('Diário 4º PA'!$Q$4:$Q$2564=N$1),('Diário 4º PA'!$F$4:$F$2564))+SUMPRODUCT(-('Comp.'!$D$5:$D$69='Analítico Cp.'!$B142),-('Comp.'!$K$5:$K$69=N$1),('Comp.'!$E$5:$E$69))</f>
        <v>455.1</v>
      </c>
      <c r="O142" s="13">
        <f t="shared" si="14"/>
        <v>6314.1</v>
      </c>
      <c r="P142" s="167">
        <f t="shared" si="15"/>
        <v>5.1591648491253097E-4</v>
      </c>
    </row>
    <row r="143" spans="1:16" ht="23.25" customHeight="1" x14ac:dyDescent="0.2">
      <c r="A143" s="61" t="s">
        <v>437</v>
      </c>
      <c r="B143" s="387" t="s">
        <v>465</v>
      </c>
      <c r="C143" s="12">
        <f>SUMPRODUCT(-('Diário 1º PA'!$E$4:$E$2635='Analítico Cp.'!$B143),-('Diário 1º PA'!$Q$4:$Q$2635=C$1),('Diário 1º PA'!$F$4:$F$2635))+SUMPRODUCT(-('Diário 2º PA'!$E$4:$E$3040='Analítico Cp.'!$B143),-('Diário 2º PA'!$Q$4:$Q$3040=C$1),('Diário 2º PA'!$F$4:$F$3040))+SUMPRODUCT(-('Diário 3º PA'!$E$4:$E$2731='Analítico Cp.'!$B143),-('Diário 3º PA'!$Q$4:$Q$2731=C$1),('Diário 3º PA'!$F$4:$F$2731))+SUMPRODUCT(-('Diário 4º PA'!$E$4:$E$2564='Analítico Cp.'!$B143),-('Diário 4º PA'!$Q$4:$Q$2564=C$1),('Diário 4º PA'!$F$4:$F$2564))+SUMPRODUCT(-('Comp.'!$D$5:$D$69='Analítico Cp.'!$B143),-('Comp.'!$K$5:$K$69=C$1),('Comp.'!$E$5:$E$69))</f>
        <v>7158.2</v>
      </c>
      <c r="D143" s="12">
        <f>SUMPRODUCT(-('Diário 1º PA'!$E$4:$E$2635='Analítico Cp.'!$B143),-('Diário 1º PA'!$Q$4:$Q$2635=D$1),('Diário 1º PA'!$F$4:$F$2635))+SUMPRODUCT(-('Diário 2º PA'!$E$4:$E$3040='Analítico Cp.'!$B143),-('Diário 2º PA'!$Q$4:$Q$3040=D$1),('Diário 2º PA'!$F$4:$F$3040))+SUMPRODUCT(-('Diário 3º PA'!$E$4:$E$2731='Analítico Cp.'!$B143),-('Diário 3º PA'!$Q$4:$Q$2731=D$1),('Diário 3º PA'!$F$4:$F$2731))+SUMPRODUCT(-('Diário 4º PA'!$E$4:$E$2564='Analítico Cp.'!$B143),-('Diário 4º PA'!$Q$4:$Q$2564=D$1),('Diário 4º PA'!$F$4:$F$2564))+SUMPRODUCT(-('Comp.'!$D$5:$D$69='Analítico Cp.'!$B143),-('Comp.'!$K$5:$K$69=D$1),('Comp.'!$E$5:$E$69))</f>
        <v>85.39</v>
      </c>
      <c r="E143" s="12">
        <f>SUMPRODUCT(-('Diário 1º PA'!$E$4:$E$2635='Analítico Cp.'!$B143),-('Diário 1º PA'!$Q$4:$Q$2635=E$1),('Diário 1º PA'!$F$4:$F$2635))+SUMPRODUCT(-('Diário 2º PA'!$E$4:$E$3040='Analítico Cp.'!$B143),-('Diário 2º PA'!$Q$4:$Q$3040=E$1),('Diário 2º PA'!$F$4:$F$3040))+SUMPRODUCT(-('Diário 3º PA'!$E$4:$E$2731='Analítico Cp.'!$B143),-('Diário 3º PA'!$Q$4:$Q$2731=E$1),('Diário 3º PA'!$F$4:$F$2731))+SUMPRODUCT(-('Diário 4º PA'!$E$4:$E$2564='Analítico Cp.'!$B143),-('Diário 4º PA'!$Q$4:$Q$2564=E$1),('Diário 4º PA'!$F$4:$F$2564))+SUMPRODUCT(-('Comp.'!$D$5:$D$69='Analítico Cp.'!$B143),-('Comp.'!$K$5:$K$69=E$1),('Comp.'!$E$5:$E$69))</f>
        <v>0</v>
      </c>
      <c r="F143" s="12">
        <f>SUMPRODUCT(-('Diário 1º PA'!$E$4:$E$2635='Analítico Cp.'!$B143),-('Diário 1º PA'!$Q$4:$Q$2635=F$1),('Diário 1º PA'!$F$4:$F$2635))+SUMPRODUCT(-('Diário 2º PA'!$E$4:$E$3040='Analítico Cp.'!$B143),-('Diário 2º PA'!$Q$4:$Q$3040=F$1),('Diário 2º PA'!$F$4:$F$3040))+SUMPRODUCT(-('Diário 3º PA'!$E$4:$E$2731='Analítico Cp.'!$B143),-('Diário 3º PA'!$Q$4:$Q$2731=F$1),('Diário 3º PA'!$F$4:$F$2731))+SUMPRODUCT(-('Diário 4º PA'!$E$4:$E$2564='Analítico Cp.'!$B143),-('Diário 4º PA'!$Q$4:$Q$2564=F$1),('Diário 4º PA'!$F$4:$F$2564))+SUMPRODUCT(-('Comp.'!$D$5:$D$69='Analítico Cp.'!$B143),-('Comp.'!$K$5:$K$69=F$1),('Comp.'!$E$5:$E$69))</f>
        <v>29908</v>
      </c>
      <c r="G143" s="12">
        <f>SUMPRODUCT(-('Diário 1º PA'!$E$4:$E$2635='Analítico Cp.'!$B143),-('Diário 1º PA'!$Q$4:$Q$2635=G$1),('Diário 1º PA'!$F$4:$F$2635))+SUMPRODUCT(-('Diário 2º PA'!$E$4:$E$3040='Analítico Cp.'!$B143),-('Diário 2º PA'!$Q$4:$Q$3040=G$1),('Diário 2º PA'!$F$4:$F$3040))+SUMPRODUCT(-('Diário 3º PA'!$E$4:$E$2731='Analítico Cp.'!$B143),-('Diário 3º PA'!$Q$4:$Q$2731=G$1),('Diário 3º PA'!$F$4:$F$2731))+SUMPRODUCT(-('Diário 4º PA'!$E$4:$E$2564='Analítico Cp.'!$B143),-('Diário 4º PA'!$Q$4:$Q$2564=G$1),('Diário 4º PA'!$F$4:$F$2564))+SUMPRODUCT(-('Comp.'!$D$5:$D$69='Analítico Cp.'!$B143),-('Comp.'!$K$5:$K$69=G$1),('Comp.'!$E$5:$E$69))</f>
        <v>0</v>
      </c>
      <c r="H143" s="12">
        <f>SUMPRODUCT(-('Diário 1º PA'!$E$4:$E$2635='Analítico Cp.'!$B143),-('Diário 1º PA'!$Q$4:$Q$2635=H$1),('Diário 1º PA'!$F$4:$F$2635))+SUMPRODUCT(-('Diário 2º PA'!$E$4:$E$3040='Analítico Cp.'!$B143),-('Diário 2º PA'!$Q$4:$Q$3040=H$1),('Diário 2º PA'!$F$4:$F$3040))+SUMPRODUCT(-('Diário 3º PA'!$E$4:$E$2731='Analítico Cp.'!$B143),-('Diário 3º PA'!$Q$4:$Q$2731=H$1),('Diário 3º PA'!$F$4:$F$2731))+SUMPRODUCT(-('Diário 4º PA'!$E$4:$E$2564='Analítico Cp.'!$B143),-('Diário 4º PA'!$Q$4:$Q$2564=H$1),('Diário 4º PA'!$F$4:$F$2564))+SUMPRODUCT(-('Comp.'!$D$5:$D$69='Analítico Cp.'!$B143),-('Comp.'!$K$5:$K$69=H$1),('Comp.'!$E$5:$E$69))</f>
        <v>13031.99</v>
      </c>
      <c r="I143" s="12">
        <f>SUMPRODUCT(-('Diário 1º PA'!$E$4:$E$2635='Analítico Cp.'!$B143),-('Diário 1º PA'!$Q$4:$Q$2635=I$1),('Diário 1º PA'!$F$4:$F$2635))+SUMPRODUCT(-('Diário 2º PA'!$E$4:$E$3040='Analítico Cp.'!$B143),-('Diário 2º PA'!$Q$4:$Q$3040=I$1),('Diário 2º PA'!$F$4:$F$3040))+SUMPRODUCT(-('Diário 3º PA'!$E$4:$E$2731='Analítico Cp.'!$B143),-('Diário 3º PA'!$Q$4:$Q$2731=I$1),('Diário 3º PA'!$F$4:$F$2731))+SUMPRODUCT(-('Diário 4º PA'!$E$4:$E$2564='Analítico Cp.'!$B143),-('Diário 4º PA'!$Q$4:$Q$2564=I$1),('Diário 4º PA'!$F$4:$F$2564))+SUMPRODUCT(-('Comp.'!$D$5:$D$69='Analítico Cp.'!$B143),-('Comp.'!$K$5:$K$69=I$1),('Comp.'!$E$5:$E$69))</f>
        <v>149.99</v>
      </c>
      <c r="J143" s="12">
        <f>SUMPRODUCT(-('Diário 1º PA'!$E$4:$E$2635='Analítico Cp.'!$B143),-('Diário 1º PA'!$Q$4:$Q$2635=J$1),('Diário 1º PA'!$F$4:$F$2635))+SUMPRODUCT(-('Diário 2º PA'!$E$4:$E$3040='Analítico Cp.'!$B143),-('Diário 2º PA'!$Q$4:$Q$3040=J$1),('Diário 2º PA'!$F$4:$F$3040))+SUMPRODUCT(-('Diário 3º PA'!$E$4:$E$2731='Analítico Cp.'!$B143),-('Diário 3º PA'!$Q$4:$Q$2731=J$1),('Diário 3º PA'!$F$4:$F$2731))+SUMPRODUCT(-('Diário 4º PA'!$E$4:$E$2564='Analítico Cp.'!$B143),-('Diário 4º PA'!$Q$4:$Q$2564=J$1),('Diário 4º PA'!$F$4:$F$2564))+SUMPRODUCT(-('Comp.'!$D$5:$D$69='Analítico Cp.'!$B143),-('Comp.'!$K$5:$K$69=J$1),('Comp.'!$E$5:$E$69))</f>
        <v>1680</v>
      </c>
      <c r="K143" s="12">
        <f>SUMPRODUCT(-('Diário 1º PA'!$E$4:$E$2635='Analítico Cp.'!$B143),-('Diário 1º PA'!$Q$4:$Q$2635=K$1),('Diário 1º PA'!$F$4:$F$2635))+SUMPRODUCT(-('Diário 2º PA'!$E$4:$E$3040='Analítico Cp.'!$B143),-('Diário 2º PA'!$Q$4:$Q$3040=K$1),('Diário 2º PA'!$F$4:$F$3040))+SUMPRODUCT(-('Diário 3º PA'!$E$4:$E$2731='Analítico Cp.'!$B143),-('Diário 3º PA'!$Q$4:$Q$2731=K$1),('Diário 3º PA'!$F$4:$F$2731))+SUMPRODUCT(-('Diário 4º PA'!$E$4:$E$2564='Analítico Cp.'!$B143),-('Diário 4º PA'!$Q$4:$Q$2564=K$1),('Diário 4º PA'!$F$4:$F$2564))+SUMPRODUCT(-('Comp.'!$D$5:$D$69='Analítico Cp.'!$B143),-('Comp.'!$K$5:$K$69=K$1),('Comp.'!$E$5:$E$69))</f>
        <v>0</v>
      </c>
      <c r="L143" s="12">
        <f>SUMPRODUCT(-('Diário 1º PA'!$E$4:$E$2635='Analítico Cp.'!$B143),-('Diário 1º PA'!$Q$4:$Q$2635=L$1),('Diário 1º PA'!$F$4:$F$2635))+SUMPRODUCT(-('Diário 2º PA'!$E$4:$E$3040='Analítico Cp.'!$B143),-('Diário 2º PA'!$Q$4:$Q$3040=L$1),('Diário 2º PA'!$F$4:$F$3040))+SUMPRODUCT(-('Diário 3º PA'!$E$4:$E$2731='Analítico Cp.'!$B143),-('Diário 3º PA'!$Q$4:$Q$2731=L$1),('Diário 3º PA'!$F$4:$F$2731))+SUMPRODUCT(-('Diário 4º PA'!$E$4:$E$2564='Analítico Cp.'!$B143),-('Diário 4º PA'!$Q$4:$Q$2564=L$1),('Diário 4º PA'!$F$4:$F$2564))+SUMPRODUCT(-('Comp.'!$D$5:$D$69='Analítico Cp.'!$B143),-('Comp.'!$K$5:$K$69=L$1),('Comp.'!$E$5:$E$69))</f>
        <v>3329.7700000000004</v>
      </c>
      <c r="M143" s="12">
        <f>SUMPRODUCT(-('Diário 1º PA'!$E$4:$E$2635='Analítico Cp.'!$B143),-('Diário 1º PA'!$Q$4:$Q$2635=M$1),('Diário 1º PA'!$F$4:$F$2635))+SUMPRODUCT(-('Diário 2º PA'!$E$4:$E$3040='Analítico Cp.'!$B143),-('Diário 2º PA'!$Q$4:$Q$3040=M$1),('Diário 2º PA'!$F$4:$F$3040))+SUMPRODUCT(-('Diário 3º PA'!$E$4:$E$2731='Analítico Cp.'!$B143),-('Diário 3º PA'!$Q$4:$Q$2731=M$1),('Diário 3º PA'!$F$4:$F$2731))+SUMPRODUCT(-('Diário 4º PA'!$E$4:$E$2564='Analítico Cp.'!$B143),-('Diário 4º PA'!$Q$4:$Q$2564=M$1),('Diário 4º PA'!$F$4:$F$2564))+SUMPRODUCT(-('Comp.'!$D$5:$D$69='Analítico Cp.'!$B143),-('Comp.'!$K$5:$K$69=M$1),('Comp.'!$E$5:$E$69))</f>
        <v>4880</v>
      </c>
      <c r="N143" s="12">
        <f>SUMPRODUCT(-('Diário 1º PA'!$E$4:$E$2635='Analítico Cp.'!$B143),-('Diário 1º PA'!$Q$4:$Q$2635=N$1),('Diário 1º PA'!$F$4:$F$2635))+SUMPRODUCT(-('Diário 2º PA'!$E$4:$E$3040='Analítico Cp.'!$B143),-('Diário 2º PA'!$Q$4:$Q$3040=N$1),('Diário 2º PA'!$F$4:$F$3040))+SUMPRODUCT(-('Diário 3º PA'!$E$4:$E$2731='Analítico Cp.'!$B143),-('Diário 3º PA'!$Q$4:$Q$2731=N$1),('Diário 3º PA'!$F$4:$F$2731))+SUMPRODUCT(-('Diário 4º PA'!$E$4:$E$2564='Analítico Cp.'!$B143),-('Diário 4º PA'!$Q$4:$Q$2564=N$1),('Diário 4º PA'!$F$4:$F$2564))+SUMPRODUCT(-('Comp.'!$D$5:$D$69='Analítico Cp.'!$B143),-('Comp.'!$K$5:$K$69=N$1),('Comp.'!$E$5:$E$69))</f>
        <v>298</v>
      </c>
      <c r="O143" s="13">
        <f t="shared" si="14"/>
        <v>60521.34</v>
      </c>
      <c r="P143" s="167">
        <f t="shared" si="15"/>
        <v>4.9451160094069078E-3</v>
      </c>
    </row>
    <row r="144" spans="1:16" ht="23.25" customHeight="1" x14ac:dyDescent="0.2">
      <c r="A144" s="61" t="s">
        <v>438</v>
      </c>
      <c r="B144" s="387" t="s">
        <v>466</v>
      </c>
      <c r="C144" s="12">
        <f>SUMPRODUCT(-('Diário 1º PA'!$E$4:$E$2635='Analítico Cp.'!$B144),-('Diário 1º PA'!$Q$4:$Q$2635=C$1),('Diário 1º PA'!$F$4:$F$2635))+SUMPRODUCT(-('Diário 2º PA'!$E$4:$E$3040='Analítico Cp.'!$B144),-('Diário 2º PA'!$Q$4:$Q$3040=C$1),('Diário 2º PA'!$F$4:$F$3040))+SUMPRODUCT(-('Diário 3º PA'!$E$4:$E$2731='Analítico Cp.'!$B144),-('Diário 3º PA'!$Q$4:$Q$2731=C$1),('Diário 3º PA'!$F$4:$F$2731))+SUMPRODUCT(-('Diário 4º PA'!$E$4:$E$2564='Analítico Cp.'!$B144),-('Diário 4º PA'!$Q$4:$Q$2564=C$1),('Diário 4º PA'!$F$4:$F$2564))+SUMPRODUCT(-('Comp.'!$D$5:$D$69='Analítico Cp.'!$B144),-('Comp.'!$K$5:$K$69=C$1),('Comp.'!$E$5:$E$69))</f>
        <v>2937.45</v>
      </c>
      <c r="D144" s="12">
        <f>SUMPRODUCT(-('Diário 1º PA'!$E$4:$E$2635='Analítico Cp.'!$B144),-('Diário 1º PA'!$Q$4:$Q$2635=D$1),('Diário 1º PA'!$F$4:$F$2635))+SUMPRODUCT(-('Diário 2º PA'!$E$4:$E$3040='Analítico Cp.'!$B144),-('Diário 2º PA'!$Q$4:$Q$3040=D$1),('Diário 2º PA'!$F$4:$F$3040))+SUMPRODUCT(-('Diário 3º PA'!$E$4:$E$2731='Analítico Cp.'!$B144),-('Diário 3º PA'!$Q$4:$Q$2731=D$1),('Diário 3º PA'!$F$4:$F$2731))+SUMPRODUCT(-('Diário 4º PA'!$E$4:$E$2564='Analítico Cp.'!$B144),-('Diário 4º PA'!$Q$4:$Q$2564=D$1),('Diário 4º PA'!$F$4:$F$2564))+SUMPRODUCT(-('Comp.'!$D$5:$D$69='Analítico Cp.'!$B144),-('Comp.'!$K$5:$K$69=D$1),('Comp.'!$E$5:$E$69))</f>
        <v>1800</v>
      </c>
      <c r="E144" s="12">
        <f>SUMPRODUCT(-('Diário 1º PA'!$E$4:$E$2635='Analítico Cp.'!$B144),-('Diário 1º PA'!$Q$4:$Q$2635=E$1),('Diário 1º PA'!$F$4:$F$2635))+SUMPRODUCT(-('Diário 2º PA'!$E$4:$E$3040='Analítico Cp.'!$B144),-('Diário 2º PA'!$Q$4:$Q$3040=E$1),('Diário 2º PA'!$F$4:$F$3040))+SUMPRODUCT(-('Diário 3º PA'!$E$4:$E$2731='Analítico Cp.'!$B144),-('Diário 3º PA'!$Q$4:$Q$2731=E$1),('Diário 3º PA'!$F$4:$F$2731))+SUMPRODUCT(-('Diário 4º PA'!$E$4:$E$2564='Analítico Cp.'!$B144),-('Diário 4º PA'!$Q$4:$Q$2564=E$1),('Diário 4º PA'!$F$4:$F$2564))+SUMPRODUCT(-('Comp.'!$D$5:$D$69='Analítico Cp.'!$B144),-('Comp.'!$K$5:$K$69=E$1),('Comp.'!$E$5:$E$69))</f>
        <v>2462.5500000000002</v>
      </c>
      <c r="F144" s="12">
        <f>SUMPRODUCT(-('Diário 1º PA'!$E$4:$E$2635='Analítico Cp.'!$B144),-('Diário 1º PA'!$Q$4:$Q$2635=F$1),('Diário 1º PA'!$F$4:$F$2635))+SUMPRODUCT(-('Diário 2º PA'!$E$4:$E$3040='Analítico Cp.'!$B144),-('Diário 2º PA'!$Q$4:$Q$3040=F$1),('Diário 2º PA'!$F$4:$F$3040))+SUMPRODUCT(-('Diário 3º PA'!$E$4:$E$2731='Analítico Cp.'!$B144),-('Diário 3º PA'!$Q$4:$Q$2731=F$1),('Diário 3º PA'!$F$4:$F$2731))+SUMPRODUCT(-('Diário 4º PA'!$E$4:$E$2564='Analítico Cp.'!$B144),-('Diário 4º PA'!$Q$4:$Q$2564=F$1),('Diário 4º PA'!$F$4:$F$2564))+SUMPRODUCT(-('Comp.'!$D$5:$D$69='Analítico Cp.'!$B144),-('Comp.'!$K$5:$K$69=F$1),('Comp.'!$E$5:$E$69))</f>
        <v>0</v>
      </c>
      <c r="G144" s="12">
        <f>SUMPRODUCT(-('Diário 1º PA'!$E$4:$E$2635='Analítico Cp.'!$B144),-('Diário 1º PA'!$Q$4:$Q$2635=G$1),('Diário 1º PA'!$F$4:$F$2635))+SUMPRODUCT(-('Diário 2º PA'!$E$4:$E$3040='Analítico Cp.'!$B144),-('Diário 2º PA'!$Q$4:$Q$3040=G$1),('Diário 2º PA'!$F$4:$F$3040))+SUMPRODUCT(-('Diário 3º PA'!$E$4:$E$2731='Analítico Cp.'!$B144),-('Diário 3º PA'!$Q$4:$Q$2731=G$1),('Diário 3º PA'!$F$4:$F$2731))+SUMPRODUCT(-('Diário 4º PA'!$E$4:$E$2564='Analítico Cp.'!$B144),-('Diário 4º PA'!$Q$4:$Q$2564=G$1),('Diário 4º PA'!$F$4:$F$2564))+SUMPRODUCT(-('Comp.'!$D$5:$D$69='Analítico Cp.'!$B144),-('Comp.'!$K$5:$K$69=G$1),('Comp.'!$E$5:$E$69))</f>
        <v>4200</v>
      </c>
      <c r="H144" s="12">
        <f>SUMPRODUCT(-('Diário 1º PA'!$E$4:$E$2635='Analítico Cp.'!$B144),-('Diário 1º PA'!$Q$4:$Q$2635=H$1),('Diário 1º PA'!$F$4:$F$2635))+SUMPRODUCT(-('Diário 2º PA'!$E$4:$E$3040='Analítico Cp.'!$B144),-('Diário 2º PA'!$Q$4:$Q$3040=H$1),('Diário 2º PA'!$F$4:$F$3040))+SUMPRODUCT(-('Diário 3º PA'!$E$4:$E$2731='Analítico Cp.'!$B144),-('Diário 3º PA'!$Q$4:$Q$2731=H$1),('Diário 3º PA'!$F$4:$F$2731))+SUMPRODUCT(-('Diário 4º PA'!$E$4:$E$2564='Analítico Cp.'!$B144),-('Diário 4º PA'!$Q$4:$Q$2564=H$1),('Diário 4º PA'!$F$4:$F$2564))+SUMPRODUCT(-('Comp.'!$D$5:$D$69='Analítico Cp.'!$B144),-('Comp.'!$K$5:$K$69=H$1),('Comp.'!$E$5:$E$69))</f>
        <v>0</v>
      </c>
      <c r="I144" s="12">
        <f>SUMPRODUCT(-('Diário 1º PA'!$E$4:$E$2635='Analítico Cp.'!$B144),-('Diário 1º PA'!$Q$4:$Q$2635=I$1),('Diário 1º PA'!$F$4:$F$2635))+SUMPRODUCT(-('Diário 2º PA'!$E$4:$E$3040='Analítico Cp.'!$B144),-('Diário 2º PA'!$Q$4:$Q$3040=I$1),('Diário 2º PA'!$F$4:$F$3040))+SUMPRODUCT(-('Diário 3º PA'!$E$4:$E$2731='Analítico Cp.'!$B144),-('Diário 3º PA'!$Q$4:$Q$2731=I$1),('Diário 3º PA'!$F$4:$F$2731))+SUMPRODUCT(-('Diário 4º PA'!$E$4:$E$2564='Analítico Cp.'!$B144),-('Diário 4º PA'!$Q$4:$Q$2564=I$1),('Diário 4º PA'!$F$4:$F$2564))+SUMPRODUCT(-('Comp.'!$D$5:$D$69='Analítico Cp.'!$B144),-('Comp.'!$K$5:$K$69=I$1),('Comp.'!$E$5:$E$69))</f>
        <v>0</v>
      </c>
      <c r="J144" s="12">
        <f>SUMPRODUCT(-('Diário 1º PA'!$E$4:$E$2635='Analítico Cp.'!$B144),-('Diário 1º PA'!$Q$4:$Q$2635=J$1),('Diário 1º PA'!$F$4:$F$2635))+SUMPRODUCT(-('Diário 2º PA'!$E$4:$E$3040='Analítico Cp.'!$B144),-('Diário 2º PA'!$Q$4:$Q$3040=J$1),('Diário 2º PA'!$F$4:$F$3040))+SUMPRODUCT(-('Diário 3º PA'!$E$4:$E$2731='Analítico Cp.'!$B144),-('Diário 3º PA'!$Q$4:$Q$2731=J$1),('Diário 3º PA'!$F$4:$F$2731))+SUMPRODUCT(-('Diário 4º PA'!$E$4:$E$2564='Analítico Cp.'!$B144),-('Diário 4º PA'!$Q$4:$Q$2564=J$1),('Diário 4º PA'!$F$4:$F$2564))+SUMPRODUCT(-('Comp.'!$D$5:$D$69='Analítico Cp.'!$B144),-('Comp.'!$K$5:$K$69=J$1),('Comp.'!$E$5:$E$69))</f>
        <v>0</v>
      </c>
      <c r="K144" s="12">
        <f>SUMPRODUCT(-('Diário 1º PA'!$E$4:$E$2635='Analítico Cp.'!$B144),-('Diário 1º PA'!$Q$4:$Q$2635=K$1),('Diário 1º PA'!$F$4:$F$2635))+SUMPRODUCT(-('Diário 2º PA'!$E$4:$E$3040='Analítico Cp.'!$B144),-('Diário 2º PA'!$Q$4:$Q$3040=K$1),('Diário 2º PA'!$F$4:$F$3040))+SUMPRODUCT(-('Diário 3º PA'!$E$4:$E$2731='Analítico Cp.'!$B144),-('Diário 3º PA'!$Q$4:$Q$2731=K$1),('Diário 3º PA'!$F$4:$F$2731))+SUMPRODUCT(-('Diário 4º PA'!$E$4:$E$2564='Analítico Cp.'!$B144),-('Diário 4º PA'!$Q$4:$Q$2564=K$1),('Diário 4º PA'!$F$4:$F$2564))+SUMPRODUCT(-('Comp.'!$D$5:$D$69='Analítico Cp.'!$B144),-('Comp.'!$K$5:$K$69=K$1),('Comp.'!$E$5:$E$69))</f>
        <v>0</v>
      </c>
      <c r="L144" s="12">
        <f>SUMPRODUCT(-('Diário 1º PA'!$E$4:$E$2635='Analítico Cp.'!$B144),-('Diário 1º PA'!$Q$4:$Q$2635=L$1),('Diário 1º PA'!$F$4:$F$2635))+SUMPRODUCT(-('Diário 2º PA'!$E$4:$E$3040='Analítico Cp.'!$B144),-('Diário 2º PA'!$Q$4:$Q$3040=L$1),('Diário 2º PA'!$F$4:$F$3040))+SUMPRODUCT(-('Diário 3º PA'!$E$4:$E$2731='Analítico Cp.'!$B144),-('Diário 3º PA'!$Q$4:$Q$2731=L$1),('Diário 3º PA'!$F$4:$F$2731))+SUMPRODUCT(-('Diário 4º PA'!$E$4:$E$2564='Analítico Cp.'!$B144),-('Diário 4º PA'!$Q$4:$Q$2564=L$1),('Diário 4º PA'!$F$4:$F$2564))+SUMPRODUCT(-('Comp.'!$D$5:$D$69='Analítico Cp.'!$B144),-('Comp.'!$K$5:$K$69=L$1),('Comp.'!$E$5:$E$69))</f>
        <v>0</v>
      </c>
      <c r="M144" s="12">
        <f>SUMPRODUCT(-('Diário 1º PA'!$E$4:$E$2635='Analítico Cp.'!$B144),-('Diário 1º PA'!$Q$4:$Q$2635=M$1),('Diário 1º PA'!$F$4:$F$2635))+SUMPRODUCT(-('Diário 2º PA'!$E$4:$E$3040='Analítico Cp.'!$B144),-('Diário 2º PA'!$Q$4:$Q$3040=M$1),('Diário 2º PA'!$F$4:$F$3040))+SUMPRODUCT(-('Diário 3º PA'!$E$4:$E$2731='Analítico Cp.'!$B144),-('Diário 3º PA'!$Q$4:$Q$2731=M$1),('Diário 3º PA'!$F$4:$F$2731))+SUMPRODUCT(-('Diário 4º PA'!$E$4:$E$2564='Analítico Cp.'!$B144),-('Diário 4º PA'!$Q$4:$Q$2564=M$1),('Diário 4º PA'!$F$4:$F$2564))+SUMPRODUCT(-('Comp.'!$D$5:$D$69='Analítico Cp.'!$B144),-('Comp.'!$K$5:$K$69=M$1),('Comp.'!$E$5:$E$69))</f>
        <v>0</v>
      </c>
      <c r="N144" s="12">
        <f>SUMPRODUCT(-('Diário 1º PA'!$E$4:$E$2635='Analítico Cp.'!$B144),-('Diário 1º PA'!$Q$4:$Q$2635=N$1),('Diário 1º PA'!$F$4:$F$2635))+SUMPRODUCT(-('Diário 2º PA'!$E$4:$E$3040='Analítico Cp.'!$B144),-('Diário 2º PA'!$Q$4:$Q$3040=N$1),('Diário 2º PA'!$F$4:$F$3040))+SUMPRODUCT(-('Diário 3º PA'!$E$4:$E$2731='Analítico Cp.'!$B144),-('Diário 3º PA'!$Q$4:$Q$2731=N$1),('Diário 3º PA'!$F$4:$F$2731))+SUMPRODUCT(-('Diário 4º PA'!$E$4:$E$2564='Analítico Cp.'!$B144),-('Diário 4º PA'!$Q$4:$Q$2564=N$1),('Diário 4º PA'!$F$4:$F$2564))+SUMPRODUCT(-('Comp.'!$D$5:$D$69='Analítico Cp.'!$B144),-('Comp.'!$K$5:$K$69=N$1),('Comp.'!$E$5:$E$69))</f>
        <v>0</v>
      </c>
      <c r="O144" s="13">
        <f t="shared" si="14"/>
        <v>11400</v>
      </c>
      <c r="P144" s="167">
        <f t="shared" si="15"/>
        <v>9.3147842574600541E-4</v>
      </c>
    </row>
    <row r="145" spans="1:16" ht="23.25" customHeight="1" x14ac:dyDescent="0.2">
      <c r="A145" s="61" t="s">
        <v>439</v>
      </c>
      <c r="B145" s="387" t="s">
        <v>467</v>
      </c>
      <c r="C145" s="12">
        <f>SUMPRODUCT(-('Diário 1º PA'!$E$4:$E$2635='Analítico Cp.'!$B145),-('Diário 1º PA'!$Q$4:$Q$2635=C$1),('Diário 1º PA'!$F$4:$F$2635))+SUMPRODUCT(-('Diário 2º PA'!$E$4:$E$3040='Analítico Cp.'!$B145),-('Diário 2º PA'!$Q$4:$Q$3040=C$1),('Diário 2º PA'!$F$4:$F$3040))+SUMPRODUCT(-('Diário 3º PA'!$E$4:$E$2731='Analítico Cp.'!$B145),-('Diário 3º PA'!$Q$4:$Q$2731=C$1),('Diário 3º PA'!$F$4:$F$2731))+SUMPRODUCT(-('Diário 4º PA'!$E$4:$E$2564='Analítico Cp.'!$B145),-('Diário 4º PA'!$Q$4:$Q$2564=C$1),('Diário 4º PA'!$F$4:$F$2564))+SUMPRODUCT(-('Comp.'!$D$5:$D$69='Analítico Cp.'!$B145),-('Comp.'!$K$5:$K$69=C$1),('Comp.'!$E$5:$E$69))</f>
        <v>0</v>
      </c>
      <c r="D145" s="12">
        <f>SUMPRODUCT(-('Diário 1º PA'!$E$4:$E$2635='Analítico Cp.'!$B145),-('Diário 1º PA'!$Q$4:$Q$2635=D$1),('Diário 1º PA'!$F$4:$F$2635))+SUMPRODUCT(-('Diário 2º PA'!$E$4:$E$3040='Analítico Cp.'!$B145),-('Diário 2º PA'!$Q$4:$Q$3040=D$1),('Diário 2º PA'!$F$4:$F$3040))+SUMPRODUCT(-('Diário 3º PA'!$E$4:$E$2731='Analítico Cp.'!$B145),-('Diário 3º PA'!$Q$4:$Q$2731=D$1),('Diário 3º PA'!$F$4:$F$2731))+SUMPRODUCT(-('Diário 4º PA'!$E$4:$E$2564='Analítico Cp.'!$B145),-('Diário 4º PA'!$Q$4:$Q$2564=D$1),('Diário 4º PA'!$F$4:$F$2564))+SUMPRODUCT(-('Comp.'!$D$5:$D$69='Analítico Cp.'!$B145),-('Comp.'!$K$5:$K$69=D$1),('Comp.'!$E$5:$E$69))</f>
        <v>0</v>
      </c>
      <c r="E145" s="12">
        <f>SUMPRODUCT(-('Diário 1º PA'!$E$4:$E$2635='Analítico Cp.'!$B145),-('Diário 1º PA'!$Q$4:$Q$2635=E$1),('Diário 1º PA'!$F$4:$F$2635))+SUMPRODUCT(-('Diário 2º PA'!$E$4:$E$3040='Analítico Cp.'!$B145),-('Diário 2º PA'!$Q$4:$Q$3040=E$1),('Diário 2º PA'!$F$4:$F$3040))+SUMPRODUCT(-('Diário 3º PA'!$E$4:$E$2731='Analítico Cp.'!$B145),-('Diário 3º PA'!$Q$4:$Q$2731=E$1),('Diário 3º PA'!$F$4:$F$2731))+SUMPRODUCT(-('Diário 4º PA'!$E$4:$E$2564='Analítico Cp.'!$B145),-('Diário 4º PA'!$Q$4:$Q$2564=E$1),('Diário 4º PA'!$F$4:$F$2564))+SUMPRODUCT(-('Comp.'!$D$5:$D$69='Analítico Cp.'!$B145),-('Comp.'!$K$5:$K$69=E$1),('Comp.'!$E$5:$E$69))</f>
        <v>2000</v>
      </c>
      <c r="F145" s="12">
        <f>SUMPRODUCT(-('Diário 1º PA'!$E$4:$E$2635='Analítico Cp.'!$B145),-('Diário 1º PA'!$Q$4:$Q$2635=F$1),('Diário 1º PA'!$F$4:$F$2635))+SUMPRODUCT(-('Diário 2º PA'!$E$4:$E$3040='Analítico Cp.'!$B145),-('Diário 2º PA'!$Q$4:$Q$3040=F$1),('Diário 2º PA'!$F$4:$F$3040))+SUMPRODUCT(-('Diário 3º PA'!$E$4:$E$2731='Analítico Cp.'!$B145),-('Diário 3º PA'!$Q$4:$Q$2731=F$1),('Diário 3º PA'!$F$4:$F$2731))+SUMPRODUCT(-('Diário 4º PA'!$E$4:$E$2564='Analítico Cp.'!$B145),-('Diário 4º PA'!$Q$4:$Q$2564=F$1),('Diário 4º PA'!$F$4:$F$2564))+SUMPRODUCT(-('Comp.'!$D$5:$D$69='Analítico Cp.'!$B145),-('Comp.'!$K$5:$K$69=F$1),('Comp.'!$E$5:$E$69))</f>
        <v>0</v>
      </c>
      <c r="G145" s="12">
        <f>SUMPRODUCT(-('Diário 1º PA'!$E$4:$E$2635='Analítico Cp.'!$B145),-('Diário 1º PA'!$Q$4:$Q$2635=G$1),('Diário 1º PA'!$F$4:$F$2635))+SUMPRODUCT(-('Diário 2º PA'!$E$4:$E$3040='Analítico Cp.'!$B145),-('Diário 2º PA'!$Q$4:$Q$3040=G$1),('Diário 2º PA'!$F$4:$F$3040))+SUMPRODUCT(-('Diário 3º PA'!$E$4:$E$2731='Analítico Cp.'!$B145),-('Diário 3º PA'!$Q$4:$Q$2731=G$1),('Diário 3º PA'!$F$4:$F$2731))+SUMPRODUCT(-('Diário 4º PA'!$E$4:$E$2564='Analítico Cp.'!$B145),-('Diário 4º PA'!$Q$4:$Q$2564=G$1),('Diário 4º PA'!$F$4:$F$2564))+SUMPRODUCT(-('Comp.'!$D$5:$D$69='Analítico Cp.'!$B145),-('Comp.'!$K$5:$K$69=G$1),('Comp.'!$E$5:$E$69))</f>
        <v>0</v>
      </c>
      <c r="H145" s="12">
        <f>SUMPRODUCT(-('Diário 1º PA'!$E$4:$E$2635='Analítico Cp.'!$B145),-('Diário 1º PA'!$Q$4:$Q$2635=H$1),('Diário 1º PA'!$F$4:$F$2635))+SUMPRODUCT(-('Diário 2º PA'!$E$4:$E$3040='Analítico Cp.'!$B145),-('Diário 2º PA'!$Q$4:$Q$3040=H$1),('Diário 2º PA'!$F$4:$F$3040))+SUMPRODUCT(-('Diário 3º PA'!$E$4:$E$2731='Analítico Cp.'!$B145),-('Diário 3º PA'!$Q$4:$Q$2731=H$1),('Diário 3º PA'!$F$4:$F$2731))+SUMPRODUCT(-('Diário 4º PA'!$E$4:$E$2564='Analítico Cp.'!$B145),-('Diário 4º PA'!$Q$4:$Q$2564=H$1),('Diário 4º PA'!$F$4:$F$2564))+SUMPRODUCT(-('Comp.'!$D$5:$D$69='Analítico Cp.'!$B145),-('Comp.'!$K$5:$K$69=H$1),('Comp.'!$E$5:$E$69))</f>
        <v>1000</v>
      </c>
      <c r="I145" s="12">
        <f>SUMPRODUCT(-('Diário 1º PA'!$E$4:$E$2635='Analítico Cp.'!$B145),-('Diário 1º PA'!$Q$4:$Q$2635=I$1),('Diário 1º PA'!$F$4:$F$2635))+SUMPRODUCT(-('Diário 2º PA'!$E$4:$E$3040='Analítico Cp.'!$B145),-('Diário 2º PA'!$Q$4:$Q$3040=I$1),('Diário 2º PA'!$F$4:$F$3040))+SUMPRODUCT(-('Diário 3º PA'!$E$4:$E$2731='Analítico Cp.'!$B145),-('Diário 3º PA'!$Q$4:$Q$2731=I$1),('Diário 3º PA'!$F$4:$F$2731))+SUMPRODUCT(-('Diário 4º PA'!$E$4:$E$2564='Analítico Cp.'!$B145),-('Diário 4º PA'!$Q$4:$Q$2564=I$1),('Diário 4º PA'!$F$4:$F$2564))+SUMPRODUCT(-('Comp.'!$D$5:$D$69='Analítico Cp.'!$B145),-('Comp.'!$K$5:$K$69=I$1),('Comp.'!$E$5:$E$69))</f>
        <v>2000</v>
      </c>
      <c r="J145" s="12">
        <f>SUMPRODUCT(-('Diário 1º PA'!$E$4:$E$2635='Analítico Cp.'!$B145),-('Diário 1º PA'!$Q$4:$Q$2635=J$1),('Diário 1º PA'!$F$4:$F$2635))+SUMPRODUCT(-('Diário 2º PA'!$E$4:$E$3040='Analítico Cp.'!$B145),-('Diário 2º PA'!$Q$4:$Q$3040=J$1),('Diário 2º PA'!$F$4:$F$3040))+SUMPRODUCT(-('Diário 3º PA'!$E$4:$E$2731='Analítico Cp.'!$B145),-('Diário 3º PA'!$Q$4:$Q$2731=J$1),('Diário 3º PA'!$F$4:$F$2731))+SUMPRODUCT(-('Diário 4º PA'!$E$4:$E$2564='Analítico Cp.'!$B145),-('Diário 4º PA'!$Q$4:$Q$2564=J$1),('Diário 4º PA'!$F$4:$F$2564))+SUMPRODUCT(-('Comp.'!$D$5:$D$69='Analítico Cp.'!$B145),-('Comp.'!$K$5:$K$69=J$1),('Comp.'!$E$5:$E$69))</f>
        <v>0</v>
      </c>
      <c r="K145" s="12">
        <f>SUMPRODUCT(-('Diário 1º PA'!$E$4:$E$2635='Analítico Cp.'!$B145),-('Diário 1º PA'!$Q$4:$Q$2635=K$1),('Diário 1º PA'!$F$4:$F$2635))+SUMPRODUCT(-('Diário 2º PA'!$E$4:$E$3040='Analítico Cp.'!$B145),-('Diário 2º PA'!$Q$4:$Q$3040=K$1),('Diário 2º PA'!$F$4:$F$3040))+SUMPRODUCT(-('Diário 3º PA'!$E$4:$E$2731='Analítico Cp.'!$B145),-('Diário 3º PA'!$Q$4:$Q$2731=K$1),('Diário 3º PA'!$F$4:$F$2731))+SUMPRODUCT(-('Diário 4º PA'!$E$4:$E$2564='Analítico Cp.'!$B145),-('Diário 4º PA'!$Q$4:$Q$2564=K$1),('Diário 4º PA'!$F$4:$F$2564))+SUMPRODUCT(-('Comp.'!$D$5:$D$69='Analítico Cp.'!$B145),-('Comp.'!$K$5:$K$69=K$1),('Comp.'!$E$5:$E$69))</f>
        <v>0</v>
      </c>
      <c r="L145" s="12">
        <f>SUMPRODUCT(-('Diário 1º PA'!$E$4:$E$2635='Analítico Cp.'!$B145),-('Diário 1º PA'!$Q$4:$Q$2635=L$1),('Diário 1º PA'!$F$4:$F$2635))+SUMPRODUCT(-('Diário 2º PA'!$E$4:$E$3040='Analítico Cp.'!$B145),-('Diário 2º PA'!$Q$4:$Q$3040=L$1),('Diário 2º PA'!$F$4:$F$3040))+SUMPRODUCT(-('Diário 3º PA'!$E$4:$E$2731='Analítico Cp.'!$B145),-('Diário 3º PA'!$Q$4:$Q$2731=L$1),('Diário 3º PA'!$F$4:$F$2731))+SUMPRODUCT(-('Diário 4º PA'!$E$4:$E$2564='Analítico Cp.'!$B145),-('Diário 4º PA'!$Q$4:$Q$2564=L$1),('Diário 4º PA'!$F$4:$F$2564))+SUMPRODUCT(-('Comp.'!$D$5:$D$69='Analítico Cp.'!$B145),-('Comp.'!$K$5:$K$69=L$1),('Comp.'!$E$5:$E$69))</f>
        <v>0</v>
      </c>
      <c r="M145" s="12">
        <f>SUMPRODUCT(-('Diário 1º PA'!$E$4:$E$2635='Analítico Cp.'!$B145),-('Diário 1º PA'!$Q$4:$Q$2635=M$1),('Diário 1º PA'!$F$4:$F$2635))+SUMPRODUCT(-('Diário 2º PA'!$E$4:$E$3040='Analítico Cp.'!$B145),-('Diário 2º PA'!$Q$4:$Q$3040=M$1),('Diário 2º PA'!$F$4:$F$3040))+SUMPRODUCT(-('Diário 3º PA'!$E$4:$E$2731='Analítico Cp.'!$B145),-('Diário 3º PA'!$Q$4:$Q$2731=M$1),('Diário 3º PA'!$F$4:$F$2731))+SUMPRODUCT(-('Diário 4º PA'!$E$4:$E$2564='Analítico Cp.'!$B145),-('Diário 4º PA'!$Q$4:$Q$2564=M$1),('Diário 4º PA'!$F$4:$F$2564))+SUMPRODUCT(-('Comp.'!$D$5:$D$69='Analítico Cp.'!$B145),-('Comp.'!$K$5:$K$69=M$1),('Comp.'!$E$5:$E$69))</f>
        <v>0</v>
      </c>
      <c r="N145" s="12">
        <f>SUMPRODUCT(-('Diário 1º PA'!$E$4:$E$2635='Analítico Cp.'!$B145),-('Diário 1º PA'!$Q$4:$Q$2635=N$1),('Diário 1º PA'!$F$4:$F$2635))+SUMPRODUCT(-('Diário 2º PA'!$E$4:$E$3040='Analítico Cp.'!$B145),-('Diário 2º PA'!$Q$4:$Q$3040=N$1),('Diário 2º PA'!$F$4:$F$3040))+SUMPRODUCT(-('Diário 3º PA'!$E$4:$E$2731='Analítico Cp.'!$B145),-('Diário 3º PA'!$Q$4:$Q$2731=N$1),('Diário 3º PA'!$F$4:$F$2731))+SUMPRODUCT(-('Diário 4º PA'!$E$4:$E$2564='Analítico Cp.'!$B145),-('Diário 4º PA'!$Q$4:$Q$2564=N$1),('Diário 4º PA'!$F$4:$F$2564))+SUMPRODUCT(-('Comp.'!$D$5:$D$69='Analítico Cp.'!$B145),-('Comp.'!$K$5:$K$69=N$1),('Comp.'!$E$5:$E$69))</f>
        <v>0</v>
      </c>
      <c r="O145" s="13">
        <f t="shared" si="14"/>
        <v>5000</v>
      </c>
      <c r="P145" s="167">
        <f t="shared" si="15"/>
        <v>4.0854316918684447E-4</v>
      </c>
    </row>
    <row r="146" spans="1:16" ht="23.25" customHeight="1" thickBot="1" x14ac:dyDescent="0.25">
      <c r="A146" s="25"/>
      <c r="B146" s="26" t="s">
        <v>46</v>
      </c>
      <c r="C146" s="15">
        <f t="shared" ref="C146:O146" si="16">SUBTOTAL(109,C56:C145)</f>
        <v>200759.92</v>
      </c>
      <c r="D146" s="15">
        <f t="shared" si="16"/>
        <v>202953.12000000005</v>
      </c>
      <c r="E146" s="15">
        <f t="shared" si="16"/>
        <v>297018.53999999998</v>
      </c>
      <c r="F146" s="15">
        <f t="shared" si="16"/>
        <v>450695.5400000001</v>
      </c>
      <c r="G146" s="15">
        <f t="shared" si="16"/>
        <v>144864.6</v>
      </c>
      <c r="H146" s="15">
        <f t="shared" si="16"/>
        <v>268524.68</v>
      </c>
      <c r="I146" s="15">
        <f t="shared" si="16"/>
        <v>183030.62</v>
      </c>
      <c r="J146" s="15">
        <f t="shared" si="16"/>
        <v>129807.89</v>
      </c>
      <c r="K146" s="15">
        <f t="shared" si="16"/>
        <v>93524.82</v>
      </c>
      <c r="L146" s="15">
        <f t="shared" si="16"/>
        <v>147415.44999999998</v>
      </c>
      <c r="M146" s="15">
        <f t="shared" si="16"/>
        <v>135991.35999999999</v>
      </c>
      <c r="N146" s="15">
        <f t="shared" si="16"/>
        <v>65120.460000000006</v>
      </c>
      <c r="O146" s="15">
        <f t="shared" si="16"/>
        <v>2319707.0000000005</v>
      </c>
      <c r="P146" s="174">
        <f t="shared" si="15"/>
        <v>0.18954008987298154</v>
      </c>
    </row>
    <row r="147" spans="1:16" ht="23.25" customHeight="1" thickBot="1" x14ac:dyDescent="0.25">
      <c r="A147" s="36" t="s">
        <v>41</v>
      </c>
      <c r="B147" s="20" t="s">
        <v>144</v>
      </c>
      <c r="C147" s="64"/>
      <c r="D147" s="64"/>
      <c r="E147" s="64"/>
      <c r="F147" s="64"/>
      <c r="G147" s="64"/>
      <c r="H147" s="64"/>
      <c r="I147" s="64"/>
      <c r="J147" s="64"/>
      <c r="K147" s="64"/>
      <c r="L147" s="64"/>
      <c r="M147" s="64"/>
      <c r="N147" s="64"/>
      <c r="O147" s="64"/>
      <c r="P147" s="165"/>
    </row>
    <row r="148" spans="1:16" ht="23.25" customHeight="1" x14ac:dyDescent="0.2">
      <c r="A148" s="61" t="s">
        <v>29</v>
      </c>
      <c r="B148" s="59" t="s">
        <v>231</v>
      </c>
      <c r="C148" s="12">
        <f>SUMPRODUCT(-('Diário 1º PA'!$E$4:$E$2635='Analítico Cp.'!$B148),-('Diário 1º PA'!$Q$4:$Q$2635=C$1),('Diário 1º PA'!$F$4:$F$2635))+SUMPRODUCT(-('Diário 2º PA'!$E$4:$E$3040='Analítico Cp.'!$B148),-('Diário 2º PA'!$Q$4:$Q$3040=C$1),('Diário 2º PA'!$F$4:$F$3040))+SUMPRODUCT(-('Diário 3º PA'!$E$4:$E$2731='Analítico Cp.'!$B148),-('Diário 3º PA'!$Q$4:$Q$2731=C$1),('Diário 3º PA'!$F$4:$F$2731))+SUMPRODUCT(-('Diário 4º PA'!$E$4:$E$2564='Analítico Cp.'!$B148),-('Diário 4º PA'!$Q$4:$Q$2564=C$1),('Diário 4º PA'!$F$4:$F$2564))+SUMPRODUCT(-('Comp.'!$D$5:$D$69='Analítico Cp.'!$B148),-('Comp.'!$K$5:$K$69=C$1),('Comp.'!$E$5:$E$69))</f>
        <v>0</v>
      </c>
      <c r="D148" s="12">
        <f>SUMPRODUCT(-('Diário 1º PA'!$E$4:$E$2635='Analítico Cp.'!$B148),-('Diário 1º PA'!$Q$4:$Q$2635=D$1),('Diário 1º PA'!$F$4:$F$2635))+SUMPRODUCT(-('Diário 2º PA'!$E$4:$E$3040='Analítico Cp.'!$B148),-('Diário 2º PA'!$Q$4:$Q$3040=D$1),('Diário 2º PA'!$F$4:$F$3040))+SUMPRODUCT(-('Diário 3º PA'!$E$4:$E$2731='Analítico Cp.'!$B148),-('Diário 3º PA'!$Q$4:$Q$2731=D$1),('Diário 3º PA'!$F$4:$F$2731))+SUMPRODUCT(-('Diário 4º PA'!$E$4:$E$2564='Analítico Cp.'!$B148),-('Diário 4º PA'!$Q$4:$Q$2564=D$1),('Diário 4º PA'!$F$4:$F$2564))+SUMPRODUCT(-('Comp.'!$D$5:$D$69='Analítico Cp.'!$B148),-('Comp.'!$K$5:$K$69=D$1),('Comp.'!$E$5:$E$69))</f>
        <v>0</v>
      </c>
      <c r="E148" s="12">
        <f>SUMPRODUCT(-('Diário 1º PA'!$E$4:$E$2635='Analítico Cp.'!$B148),-('Diário 1º PA'!$Q$4:$Q$2635=E$1),('Diário 1º PA'!$F$4:$F$2635))+SUMPRODUCT(-('Diário 2º PA'!$E$4:$E$3040='Analítico Cp.'!$B148),-('Diário 2º PA'!$Q$4:$Q$3040=E$1),('Diário 2º PA'!$F$4:$F$3040))+SUMPRODUCT(-('Diário 3º PA'!$E$4:$E$2731='Analítico Cp.'!$B148),-('Diário 3º PA'!$Q$4:$Q$2731=E$1),('Diário 3º PA'!$F$4:$F$2731))+SUMPRODUCT(-('Diário 4º PA'!$E$4:$E$2564='Analítico Cp.'!$B148),-('Diário 4º PA'!$Q$4:$Q$2564=E$1),('Diário 4º PA'!$F$4:$F$2564))+SUMPRODUCT(-('Comp.'!$D$5:$D$69='Analítico Cp.'!$B148),-('Comp.'!$K$5:$K$69=E$1),('Comp.'!$E$5:$E$69))</f>
        <v>0</v>
      </c>
      <c r="F148" s="12">
        <f>SUMPRODUCT(-('Diário 1º PA'!$E$4:$E$2635='Analítico Cp.'!$B148),-('Diário 1º PA'!$Q$4:$Q$2635=F$1),('Diário 1º PA'!$F$4:$F$2635))+SUMPRODUCT(-('Diário 2º PA'!$E$4:$E$3040='Analítico Cp.'!$B148),-('Diário 2º PA'!$Q$4:$Q$3040=F$1),('Diário 2º PA'!$F$4:$F$3040))+SUMPRODUCT(-('Diário 3º PA'!$E$4:$E$2731='Analítico Cp.'!$B148),-('Diário 3º PA'!$Q$4:$Q$2731=F$1),('Diário 3º PA'!$F$4:$F$2731))+SUMPRODUCT(-('Diário 4º PA'!$E$4:$E$2564='Analítico Cp.'!$B148),-('Diário 4º PA'!$Q$4:$Q$2564=F$1),('Diário 4º PA'!$F$4:$F$2564))+SUMPRODUCT(-('Comp.'!$D$5:$D$69='Analítico Cp.'!$B148),-('Comp.'!$K$5:$K$69=F$1),('Comp.'!$E$5:$E$69))</f>
        <v>0</v>
      </c>
      <c r="G148" s="12">
        <f>SUMPRODUCT(-('Diário 1º PA'!$E$4:$E$2635='Analítico Cp.'!$B148),-('Diário 1º PA'!$Q$4:$Q$2635=G$1),('Diário 1º PA'!$F$4:$F$2635))+SUMPRODUCT(-('Diário 2º PA'!$E$4:$E$3040='Analítico Cp.'!$B148),-('Diário 2º PA'!$Q$4:$Q$3040=G$1),('Diário 2º PA'!$F$4:$F$3040))+SUMPRODUCT(-('Diário 3º PA'!$E$4:$E$2731='Analítico Cp.'!$B148),-('Diário 3º PA'!$Q$4:$Q$2731=G$1),('Diário 3º PA'!$F$4:$F$2731))+SUMPRODUCT(-('Diário 4º PA'!$E$4:$E$2564='Analítico Cp.'!$B148),-('Diário 4º PA'!$Q$4:$Q$2564=G$1),('Diário 4º PA'!$F$4:$F$2564))+SUMPRODUCT(-('Comp.'!$D$5:$D$69='Analítico Cp.'!$B148),-('Comp.'!$K$5:$K$69=G$1),('Comp.'!$E$5:$E$69))</f>
        <v>0</v>
      </c>
      <c r="H148" s="12">
        <f>SUMPRODUCT(-('Diário 1º PA'!$E$4:$E$2635='Analítico Cp.'!$B148),-('Diário 1º PA'!$Q$4:$Q$2635=H$1),('Diário 1º PA'!$F$4:$F$2635))+SUMPRODUCT(-('Diário 2º PA'!$E$4:$E$3040='Analítico Cp.'!$B148),-('Diário 2º PA'!$Q$4:$Q$3040=H$1),('Diário 2º PA'!$F$4:$F$3040))+SUMPRODUCT(-('Diário 3º PA'!$E$4:$E$2731='Analítico Cp.'!$B148),-('Diário 3º PA'!$Q$4:$Q$2731=H$1),('Diário 3º PA'!$F$4:$F$2731))+SUMPRODUCT(-('Diário 4º PA'!$E$4:$E$2564='Analítico Cp.'!$B148),-('Diário 4º PA'!$Q$4:$Q$2564=H$1),('Diário 4º PA'!$F$4:$F$2564))+SUMPRODUCT(-('Comp.'!$D$5:$D$69='Analítico Cp.'!$B148),-('Comp.'!$K$5:$K$69=H$1),('Comp.'!$E$5:$E$69))</f>
        <v>0</v>
      </c>
      <c r="I148" s="12">
        <f>SUMPRODUCT(-('Diário 1º PA'!$E$4:$E$2635='Analítico Cp.'!$B148),-('Diário 1º PA'!$Q$4:$Q$2635=I$1),('Diário 1º PA'!$F$4:$F$2635))+SUMPRODUCT(-('Diário 2º PA'!$E$4:$E$3040='Analítico Cp.'!$B148),-('Diário 2º PA'!$Q$4:$Q$3040=I$1),('Diário 2º PA'!$F$4:$F$3040))+SUMPRODUCT(-('Diário 3º PA'!$E$4:$E$2731='Analítico Cp.'!$B148),-('Diário 3º PA'!$Q$4:$Q$2731=I$1),('Diário 3º PA'!$F$4:$F$2731))+SUMPRODUCT(-('Diário 4º PA'!$E$4:$E$2564='Analítico Cp.'!$B148),-('Diário 4º PA'!$Q$4:$Q$2564=I$1),('Diário 4º PA'!$F$4:$F$2564))+SUMPRODUCT(-('Comp.'!$D$5:$D$69='Analítico Cp.'!$B148),-('Comp.'!$K$5:$K$69=I$1),('Comp.'!$E$5:$E$69))</f>
        <v>0</v>
      </c>
      <c r="J148" s="12">
        <f>SUMPRODUCT(-('Diário 1º PA'!$E$4:$E$2635='Analítico Cp.'!$B148),-('Diário 1º PA'!$Q$4:$Q$2635=J$1),('Diário 1º PA'!$F$4:$F$2635))+SUMPRODUCT(-('Diário 2º PA'!$E$4:$E$3040='Analítico Cp.'!$B148),-('Diário 2º PA'!$Q$4:$Q$3040=J$1),('Diário 2º PA'!$F$4:$F$3040))+SUMPRODUCT(-('Diário 3º PA'!$E$4:$E$2731='Analítico Cp.'!$B148),-('Diário 3º PA'!$Q$4:$Q$2731=J$1),('Diário 3º PA'!$F$4:$F$2731))+SUMPRODUCT(-('Diário 4º PA'!$E$4:$E$2564='Analítico Cp.'!$B148),-('Diário 4º PA'!$Q$4:$Q$2564=J$1),('Diário 4º PA'!$F$4:$F$2564))+SUMPRODUCT(-('Comp.'!$D$5:$D$69='Analítico Cp.'!$B148),-('Comp.'!$K$5:$K$69=J$1),('Comp.'!$E$5:$E$69))</f>
        <v>0</v>
      </c>
      <c r="K148" s="12">
        <f>SUMPRODUCT(-('Diário 1º PA'!$E$4:$E$2635='Analítico Cp.'!$B148),-('Diário 1º PA'!$Q$4:$Q$2635=K$1),('Diário 1º PA'!$F$4:$F$2635))+SUMPRODUCT(-('Diário 2º PA'!$E$4:$E$3040='Analítico Cp.'!$B148),-('Diário 2º PA'!$Q$4:$Q$3040=K$1),('Diário 2º PA'!$F$4:$F$3040))+SUMPRODUCT(-('Diário 3º PA'!$E$4:$E$2731='Analítico Cp.'!$B148),-('Diário 3º PA'!$Q$4:$Q$2731=K$1),('Diário 3º PA'!$F$4:$F$2731))+SUMPRODUCT(-('Diário 4º PA'!$E$4:$E$2564='Analítico Cp.'!$B148),-('Diário 4º PA'!$Q$4:$Q$2564=K$1),('Diário 4º PA'!$F$4:$F$2564))+SUMPRODUCT(-('Comp.'!$D$5:$D$69='Analítico Cp.'!$B148),-('Comp.'!$K$5:$K$69=K$1),('Comp.'!$E$5:$E$69))</f>
        <v>0</v>
      </c>
      <c r="L148" s="12">
        <f>SUMPRODUCT(-('Diário 1º PA'!$E$4:$E$2635='Analítico Cp.'!$B148),-('Diário 1º PA'!$Q$4:$Q$2635=L$1),('Diário 1º PA'!$F$4:$F$2635))+SUMPRODUCT(-('Diário 2º PA'!$E$4:$E$3040='Analítico Cp.'!$B148),-('Diário 2º PA'!$Q$4:$Q$3040=L$1),('Diário 2º PA'!$F$4:$F$3040))+SUMPRODUCT(-('Diário 3º PA'!$E$4:$E$2731='Analítico Cp.'!$B148),-('Diário 3º PA'!$Q$4:$Q$2731=L$1),('Diário 3º PA'!$F$4:$F$2731))+SUMPRODUCT(-('Diário 4º PA'!$E$4:$E$2564='Analítico Cp.'!$B148),-('Diário 4º PA'!$Q$4:$Q$2564=L$1),('Diário 4º PA'!$F$4:$F$2564))+SUMPRODUCT(-('Comp.'!$D$5:$D$69='Analítico Cp.'!$B148),-('Comp.'!$K$5:$K$69=L$1),('Comp.'!$E$5:$E$69))</f>
        <v>0</v>
      </c>
      <c r="M148" s="12">
        <f>SUMPRODUCT(-('Diário 1º PA'!$E$4:$E$2635='Analítico Cp.'!$B148),-('Diário 1º PA'!$Q$4:$Q$2635=M$1),('Diário 1º PA'!$F$4:$F$2635))+SUMPRODUCT(-('Diário 2º PA'!$E$4:$E$3040='Analítico Cp.'!$B148),-('Diário 2º PA'!$Q$4:$Q$3040=M$1),('Diário 2º PA'!$F$4:$F$3040))+SUMPRODUCT(-('Diário 3º PA'!$E$4:$E$2731='Analítico Cp.'!$B148),-('Diário 3º PA'!$Q$4:$Q$2731=M$1),('Diário 3º PA'!$F$4:$F$2731))+SUMPRODUCT(-('Diário 4º PA'!$E$4:$E$2564='Analítico Cp.'!$B148),-('Diário 4º PA'!$Q$4:$Q$2564=M$1),('Diário 4º PA'!$F$4:$F$2564))+SUMPRODUCT(-('Comp.'!$D$5:$D$69='Analítico Cp.'!$B148),-('Comp.'!$K$5:$K$69=M$1),('Comp.'!$E$5:$E$69))</f>
        <v>0</v>
      </c>
      <c r="N148" s="12">
        <f>SUMPRODUCT(-('Diário 1º PA'!$E$4:$E$2635='Analítico Cp.'!$B148),-('Diário 1º PA'!$Q$4:$Q$2635=N$1),('Diário 1º PA'!$F$4:$F$2635))+SUMPRODUCT(-('Diário 2º PA'!$E$4:$E$3040='Analítico Cp.'!$B148),-('Diário 2º PA'!$Q$4:$Q$3040=N$1),('Diário 2º PA'!$F$4:$F$3040))+SUMPRODUCT(-('Diário 3º PA'!$E$4:$E$2731='Analítico Cp.'!$B148),-('Diário 3º PA'!$Q$4:$Q$2731=N$1),('Diário 3º PA'!$F$4:$F$2731))+SUMPRODUCT(-('Diário 4º PA'!$E$4:$E$2564='Analítico Cp.'!$B148),-('Diário 4º PA'!$Q$4:$Q$2564=N$1),('Diário 4º PA'!$F$4:$F$2564))+SUMPRODUCT(-('Comp.'!$D$5:$D$69='Analítico Cp.'!$B148),-('Comp.'!$K$5:$K$69=N$1),('Comp.'!$E$5:$E$69))</f>
        <v>0</v>
      </c>
      <c r="O148" s="13">
        <f t="shared" ref="O148:O163" si="17">SUM(C148:N148)</f>
        <v>0</v>
      </c>
      <c r="P148" s="167">
        <f t="shared" ref="P148:P164" si="18">IF($O$164=0,0,O148/$O$164)</f>
        <v>0</v>
      </c>
    </row>
    <row r="149" spans="1:16" ht="23.25" customHeight="1" x14ac:dyDescent="0.2">
      <c r="A149" s="61" t="s">
        <v>23</v>
      </c>
      <c r="B149" s="59" t="s">
        <v>225</v>
      </c>
      <c r="C149" s="12">
        <f>SUMPRODUCT(-('Diário 1º PA'!$E$4:$E$2635='Analítico Cp.'!$B149),-('Diário 1º PA'!$Q$4:$Q$2635=C$1),('Diário 1º PA'!$F$4:$F$2635))+SUMPRODUCT(-('Diário 2º PA'!$E$4:$E$3040='Analítico Cp.'!$B149),-('Diário 2º PA'!$Q$4:$Q$3040=C$1),('Diário 2º PA'!$F$4:$F$3040))+SUMPRODUCT(-('Diário 3º PA'!$E$4:$E$2731='Analítico Cp.'!$B149),-('Diário 3º PA'!$Q$4:$Q$2731=C$1),('Diário 3º PA'!$F$4:$F$2731))+SUMPRODUCT(-('Diário 4º PA'!$E$4:$E$2564='Analítico Cp.'!$B149),-('Diário 4º PA'!$Q$4:$Q$2564=C$1),('Diário 4º PA'!$F$4:$F$2564))+SUMPRODUCT(-('Comp.'!$D$5:$D$69='Analítico Cp.'!$B149),-('Comp.'!$K$5:$K$69=C$1),('Comp.'!$E$5:$E$69))</f>
        <v>0</v>
      </c>
      <c r="D149" s="12">
        <f>SUMPRODUCT(-('Diário 1º PA'!$E$4:$E$2635='Analítico Cp.'!$B149),-('Diário 1º PA'!$Q$4:$Q$2635=D$1),('Diário 1º PA'!$F$4:$F$2635))+SUMPRODUCT(-('Diário 2º PA'!$E$4:$E$3040='Analítico Cp.'!$B149),-('Diário 2º PA'!$Q$4:$Q$3040=D$1),('Diário 2º PA'!$F$4:$F$3040))+SUMPRODUCT(-('Diário 3º PA'!$E$4:$E$2731='Analítico Cp.'!$B149),-('Diário 3º PA'!$Q$4:$Q$2731=D$1),('Diário 3º PA'!$F$4:$F$2731))+SUMPRODUCT(-('Diário 4º PA'!$E$4:$E$2564='Analítico Cp.'!$B149),-('Diário 4º PA'!$Q$4:$Q$2564=D$1),('Diário 4º PA'!$F$4:$F$2564))+SUMPRODUCT(-('Comp.'!$D$5:$D$69='Analítico Cp.'!$B149),-('Comp.'!$K$5:$K$69=D$1),('Comp.'!$E$5:$E$69))</f>
        <v>0</v>
      </c>
      <c r="E149" s="12">
        <f>SUMPRODUCT(-('Diário 1º PA'!$E$4:$E$2635='Analítico Cp.'!$B149),-('Diário 1º PA'!$Q$4:$Q$2635=E$1),('Diário 1º PA'!$F$4:$F$2635))+SUMPRODUCT(-('Diário 2º PA'!$E$4:$E$3040='Analítico Cp.'!$B149),-('Diário 2º PA'!$Q$4:$Q$3040=E$1),('Diário 2º PA'!$F$4:$F$3040))+SUMPRODUCT(-('Diário 3º PA'!$E$4:$E$2731='Analítico Cp.'!$B149),-('Diário 3º PA'!$Q$4:$Q$2731=E$1),('Diário 3º PA'!$F$4:$F$2731))+SUMPRODUCT(-('Diário 4º PA'!$E$4:$E$2564='Analítico Cp.'!$B149),-('Diário 4º PA'!$Q$4:$Q$2564=E$1),('Diário 4º PA'!$F$4:$F$2564))+SUMPRODUCT(-('Comp.'!$D$5:$D$69='Analítico Cp.'!$B149),-('Comp.'!$K$5:$K$69=E$1),('Comp.'!$E$5:$E$69))</f>
        <v>0</v>
      </c>
      <c r="F149" s="12">
        <f>SUMPRODUCT(-('Diário 1º PA'!$E$4:$E$2635='Analítico Cp.'!$B149),-('Diário 1º PA'!$Q$4:$Q$2635=F$1),('Diário 1º PA'!$F$4:$F$2635))+SUMPRODUCT(-('Diário 2º PA'!$E$4:$E$3040='Analítico Cp.'!$B149),-('Diário 2º PA'!$Q$4:$Q$3040=F$1),('Diário 2º PA'!$F$4:$F$3040))+SUMPRODUCT(-('Diário 3º PA'!$E$4:$E$2731='Analítico Cp.'!$B149),-('Diário 3º PA'!$Q$4:$Q$2731=F$1),('Diário 3º PA'!$F$4:$F$2731))+SUMPRODUCT(-('Diário 4º PA'!$E$4:$E$2564='Analítico Cp.'!$B149),-('Diário 4º PA'!$Q$4:$Q$2564=F$1),('Diário 4º PA'!$F$4:$F$2564))+SUMPRODUCT(-('Comp.'!$D$5:$D$69='Analítico Cp.'!$B149),-('Comp.'!$K$5:$K$69=F$1),('Comp.'!$E$5:$E$69))</f>
        <v>0</v>
      </c>
      <c r="G149" s="12">
        <f>SUMPRODUCT(-('Diário 1º PA'!$E$4:$E$2635='Analítico Cp.'!$B149),-('Diário 1º PA'!$Q$4:$Q$2635=G$1),('Diário 1º PA'!$F$4:$F$2635))+SUMPRODUCT(-('Diário 2º PA'!$E$4:$E$3040='Analítico Cp.'!$B149),-('Diário 2º PA'!$Q$4:$Q$3040=G$1),('Diário 2º PA'!$F$4:$F$3040))+SUMPRODUCT(-('Diário 3º PA'!$E$4:$E$2731='Analítico Cp.'!$B149),-('Diário 3º PA'!$Q$4:$Q$2731=G$1),('Diário 3º PA'!$F$4:$F$2731))+SUMPRODUCT(-('Diário 4º PA'!$E$4:$E$2564='Analítico Cp.'!$B149),-('Diário 4º PA'!$Q$4:$Q$2564=G$1),('Diário 4º PA'!$F$4:$F$2564))+SUMPRODUCT(-('Comp.'!$D$5:$D$69='Analítico Cp.'!$B149),-('Comp.'!$K$5:$K$69=G$1),('Comp.'!$E$5:$E$69))</f>
        <v>0</v>
      </c>
      <c r="H149" s="12">
        <f>SUMPRODUCT(-('Diário 1º PA'!$E$4:$E$2635='Analítico Cp.'!$B149),-('Diário 1º PA'!$Q$4:$Q$2635=H$1),('Diário 1º PA'!$F$4:$F$2635))+SUMPRODUCT(-('Diário 2º PA'!$E$4:$E$3040='Analítico Cp.'!$B149),-('Diário 2º PA'!$Q$4:$Q$3040=H$1),('Diário 2º PA'!$F$4:$F$3040))+SUMPRODUCT(-('Diário 3º PA'!$E$4:$E$2731='Analítico Cp.'!$B149),-('Diário 3º PA'!$Q$4:$Q$2731=H$1),('Diário 3º PA'!$F$4:$F$2731))+SUMPRODUCT(-('Diário 4º PA'!$E$4:$E$2564='Analítico Cp.'!$B149),-('Diário 4º PA'!$Q$4:$Q$2564=H$1),('Diário 4º PA'!$F$4:$F$2564))+SUMPRODUCT(-('Comp.'!$D$5:$D$69='Analítico Cp.'!$B149),-('Comp.'!$K$5:$K$69=H$1),('Comp.'!$E$5:$E$69))</f>
        <v>0</v>
      </c>
      <c r="I149" s="12">
        <f>SUMPRODUCT(-('Diário 1º PA'!$E$4:$E$2635='Analítico Cp.'!$B149),-('Diário 1º PA'!$Q$4:$Q$2635=I$1),('Diário 1º PA'!$F$4:$F$2635))+SUMPRODUCT(-('Diário 2º PA'!$E$4:$E$3040='Analítico Cp.'!$B149),-('Diário 2º PA'!$Q$4:$Q$3040=I$1),('Diário 2º PA'!$F$4:$F$3040))+SUMPRODUCT(-('Diário 3º PA'!$E$4:$E$2731='Analítico Cp.'!$B149),-('Diário 3º PA'!$Q$4:$Q$2731=I$1),('Diário 3º PA'!$F$4:$F$2731))+SUMPRODUCT(-('Diário 4º PA'!$E$4:$E$2564='Analítico Cp.'!$B149),-('Diário 4º PA'!$Q$4:$Q$2564=I$1),('Diário 4º PA'!$F$4:$F$2564))+SUMPRODUCT(-('Comp.'!$D$5:$D$69='Analítico Cp.'!$B149),-('Comp.'!$K$5:$K$69=I$1),('Comp.'!$E$5:$E$69))</f>
        <v>674.09</v>
      </c>
      <c r="J149" s="12">
        <f>SUMPRODUCT(-('Diário 1º PA'!$E$4:$E$2635='Analítico Cp.'!$B149),-('Diário 1º PA'!$Q$4:$Q$2635=J$1),('Diário 1º PA'!$F$4:$F$2635))+SUMPRODUCT(-('Diário 2º PA'!$E$4:$E$3040='Analítico Cp.'!$B149),-('Diário 2º PA'!$Q$4:$Q$3040=J$1),('Diário 2º PA'!$F$4:$F$3040))+SUMPRODUCT(-('Diário 3º PA'!$E$4:$E$2731='Analítico Cp.'!$B149),-('Diário 3º PA'!$Q$4:$Q$2731=J$1),('Diário 3º PA'!$F$4:$F$2731))+SUMPRODUCT(-('Diário 4º PA'!$E$4:$E$2564='Analítico Cp.'!$B149),-('Diário 4º PA'!$Q$4:$Q$2564=J$1),('Diário 4º PA'!$F$4:$F$2564))+SUMPRODUCT(-('Comp.'!$D$5:$D$69='Analítico Cp.'!$B149),-('Comp.'!$K$5:$K$69=J$1),('Comp.'!$E$5:$E$69))</f>
        <v>0</v>
      </c>
      <c r="K149" s="12">
        <f>SUMPRODUCT(-('Diário 1º PA'!$E$4:$E$2635='Analítico Cp.'!$B149),-('Diário 1º PA'!$Q$4:$Q$2635=K$1),('Diário 1º PA'!$F$4:$F$2635))+SUMPRODUCT(-('Diário 2º PA'!$E$4:$E$3040='Analítico Cp.'!$B149),-('Diário 2º PA'!$Q$4:$Q$3040=K$1),('Diário 2º PA'!$F$4:$F$3040))+SUMPRODUCT(-('Diário 3º PA'!$E$4:$E$2731='Analítico Cp.'!$B149),-('Diário 3º PA'!$Q$4:$Q$2731=K$1),('Diário 3º PA'!$F$4:$F$2731))+SUMPRODUCT(-('Diário 4º PA'!$E$4:$E$2564='Analítico Cp.'!$B149),-('Diário 4º PA'!$Q$4:$Q$2564=K$1),('Diário 4º PA'!$F$4:$F$2564))+SUMPRODUCT(-('Comp.'!$D$5:$D$69='Analítico Cp.'!$B149),-('Comp.'!$K$5:$K$69=K$1),('Comp.'!$E$5:$E$69))</f>
        <v>0</v>
      </c>
      <c r="L149" s="12">
        <f>SUMPRODUCT(-('Diário 1º PA'!$E$4:$E$2635='Analítico Cp.'!$B149),-('Diário 1º PA'!$Q$4:$Q$2635=L$1),('Diário 1º PA'!$F$4:$F$2635))+SUMPRODUCT(-('Diário 2º PA'!$E$4:$E$3040='Analítico Cp.'!$B149),-('Diário 2º PA'!$Q$4:$Q$3040=L$1),('Diário 2º PA'!$F$4:$F$3040))+SUMPRODUCT(-('Diário 3º PA'!$E$4:$E$2731='Analítico Cp.'!$B149),-('Diário 3º PA'!$Q$4:$Q$2731=L$1),('Diário 3º PA'!$F$4:$F$2731))+SUMPRODUCT(-('Diário 4º PA'!$E$4:$E$2564='Analítico Cp.'!$B149),-('Diário 4º PA'!$Q$4:$Q$2564=L$1),('Diário 4º PA'!$F$4:$F$2564))+SUMPRODUCT(-('Comp.'!$D$5:$D$69='Analítico Cp.'!$B149),-('Comp.'!$K$5:$K$69=L$1),('Comp.'!$E$5:$E$69))</f>
        <v>0</v>
      </c>
      <c r="M149" s="12">
        <f>SUMPRODUCT(-('Diário 1º PA'!$E$4:$E$2635='Analítico Cp.'!$B149),-('Diário 1º PA'!$Q$4:$Q$2635=M$1),('Diário 1º PA'!$F$4:$F$2635))+SUMPRODUCT(-('Diário 2º PA'!$E$4:$E$3040='Analítico Cp.'!$B149),-('Diário 2º PA'!$Q$4:$Q$3040=M$1),('Diário 2º PA'!$F$4:$F$3040))+SUMPRODUCT(-('Diário 3º PA'!$E$4:$E$2731='Analítico Cp.'!$B149),-('Diário 3º PA'!$Q$4:$Q$2731=M$1),('Diário 3º PA'!$F$4:$F$2731))+SUMPRODUCT(-('Diário 4º PA'!$E$4:$E$2564='Analítico Cp.'!$B149),-('Diário 4º PA'!$Q$4:$Q$2564=M$1),('Diário 4º PA'!$F$4:$F$2564))+SUMPRODUCT(-('Comp.'!$D$5:$D$69='Analítico Cp.'!$B149),-('Comp.'!$K$5:$K$69=M$1),('Comp.'!$E$5:$E$69))</f>
        <v>0</v>
      </c>
      <c r="N149" s="12">
        <f>SUMPRODUCT(-('Diário 1º PA'!$E$4:$E$2635='Analítico Cp.'!$B149),-('Diário 1º PA'!$Q$4:$Q$2635=N$1),('Diário 1º PA'!$F$4:$F$2635))+SUMPRODUCT(-('Diário 2º PA'!$E$4:$E$3040='Analítico Cp.'!$B149),-('Diário 2º PA'!$Q$4:$Q$3040=N$1),('Diário 2º PA'!$F$4:$F$3040))+SUMPRODUCT(-('Diário 3º PA'!$E$4:$E$2731='Analítico Cp.'!$B149),-('Diário 3º PA'!$Q$4:$Q$2731=N$1),('Diário 3º PA'!$F$4:$F$2731))+SUMPRODUCT(-('Diário 4º PA'!$E$4:$E$2564='Analítico Cp.'!$B149),-('Diário 4º PA'!$Q$4:$Q$2564=N$1),('Diário 4º PA'!$F$4:$F$2564))+SUMPRODUCT(-('Comp.'!$D$5:$D$69='Analítico Cp.'!$B149),-('Comp.'!$K$5:$K$69=N$1),('Comp.'!$E$5:$E$69))</f>
        <v>0</v>
      </c>
      <c r="O149" s="13">
        <f t="shared" si="17"/>
        <v>674.09</v>
      </c>
      <c r="P149" s="167">
        <f t="shared" si="18"/>
        <v>5.5078972983432007E-5</v>
      </c>
    </row>
    <row r="150" spans="1:16" ht="23.25" customHeight="1" x14ac:dyDescent="0.2">
      <c r="A150" s="61" t="s">
        <v>24</v>
      </c>
      <c r="B150" s="59" t="s">
        <v>226</v>
      </c>
      <c r="C150" s="12">
        <f>SUMPRODUCT(-('Diário 1º PA'!$E$4:$E$2635='Analítico Cp.'!$B150),-('Diário 1º PA'!$Q$4:$Q$2635=C$1),('Diário 1º PA'!$F$4:$F$2635))+SUMPRODUCT(-('Diário 2º PA'!$E$4:$E$3040='Analítico Cp.'!$B150),-('Diário 2º PA'!$Q$4:$Q$3040=C$1),('Diário 2º PA'!$F$4:$F$3040))+SUMPRODUCT(-('Diário 3º PA'!$E$4:$E$2731='Analítico Cp.'!$B150),-('Diário 3º PA'!$Q$4:$Q$2731=C$1),('Diário 3º PA'!$F$4:$F$2731))+SUMPRODUCT(-('Diário 4º PA'!$E$4:$E$2564='Analítico Cp.'!$B150),-('Diário 4º PA'!$Q$4:$Q$2564=C$1),('Diário 4º PA'!$F$4:$F$2564))+SUMPRODUCT(-('Comp.'!$D$5:$D$69='Analítico Cp.'!$B150),-('Comp.'!$K$5:$K$69=C$1),('Comp.'!$E$5:$E$69))</f>
        <v>0</v>
      </c>
      <c r="D150" s="12">
        <f>SUMPRODUCT(-('Diário 1º PA'!$E$4:$E$2635='Analítico Cp.'!$B150),-('Diário 1º PA'!$Q$4:$Q$2635=D$1),('Diário 1º PA'!$F$4:$F$2635))+SUMPRODUCT(-('Diário 2º PA'!$E$4:$E$3040='Analítico Cp.'!$B150),-('Diário 2º PA'!$Q$4:$Q$3040=D$1),('Diário 2º PA'!$F$4:$F$3040))+SUMPRODUCT(-('Diário 3º PA'!$E$4:$E$2731='Analítico Cp.'!$B150),-('Diário 3º PA'!$Q$4:$Q$2731=D$1),('Diário 3º PA'!$F$4:$F$2731))+SUMPRODUCT(-('Diário 4º PA'!$E$4:$E$2564='Analítico Cp.'!$B150),-('Diário 4º PA'!$Q$4:$Q$2564=D$1),('Diário 4º PA'!$F$4:$F$2564))+SUMPRODUCT(-('Comp.'!$D$5:$D$69='Analítico Cp.'!$B150),-('Comp.'!$K$5:$K$69=D$1),('Comp.'!$E$5:$E$69))</f>
        <v>0</v>
      </c>
      <c r="E150" s="12">
        <f>SUMPRODUCT(-('Diário 1º PA'!$E$4:$E$2635='Analítico Cp.'!$B150),-('Diário 1º PA'!$Q$4:$Q$2635=E$1),('Diário 1º PA'!$F$4:$F$2635))+SUMPRODUCT(-('Diário 2º PA'!$E$4:$E$3040='Analítico Cp.'!$B150),-('Diário 2º PA'!$Q$4:$Q$3040=E$1),('Diário 2º PA'!$F$4:$F$3040))+SUMPRODUCT(-('Diário 3º PA'!$E$4:$E$2731='Analítico Cp.'!$B150),-('Diário 3º PA'!$Q$4:$Q$2731=E$1),('Diário 3º PA'!$F$4:$F$2731))+SUMPRODUCT(-('Diário 4º PA'!$E$4:$E$2564='Analítico Cp.'!$B150),-('Diário 4º PA'!$Q$4:$Q$2564=E$1),('Diário 4º PA'!$F$4:$F$2564))+SUMPRODUCT(-('Comp.'!$D$5:$D$69='Analítico Cp.'!$B150),-('Comp.'!$K$5:$K$69=E$1),('Comp.'!$E$5:$E$69))</f>
        <v>0</v>
      </c>
      <c r="F150" s="12">
        <f>SUMPRODUCT(-('Diário 1º PA'!$E$4:$E$2635='Analítico Cp.'!$B150),-('Diário 1º PA'!$Q$4:$Q$2635=F$1),('Diário 1º PA'!$F$4:$F$2635))+SUMPRODUCT(-('Diário 2º PA'!$E$4:$E$3040='Analítico Cp.'!$B150),-('Diário 2º PA'!$Q$4:$Q$3040=F$1),('Diário 2º PA'!$F$4:$F$3040))+SUMPRODUCT(-('Diário 3º PA'!$E$4:$E$2731='Analítico Cp.'!$B150),-('Diário 3º PA'!$Q$4:$Q$2731=F$1),('Diário 3º PA'!$F$4:$F$2731))+SUMPRODUCT(-('Diário 4º PA'!$E$4:$E$2564='Analítico Cp.'!$B150),-('Diário 4º PA'!$Q$4:$Q$2564=F$1),('Diário 4º PA'!$F$4:$F$2564))+SUMPRODUCT(-('Comp.'!$D$5:$D$69='Analítico Cp.'!$B150),-('Comp.'!$K$5:$K$69=F$1),('Comp.'!$E$5:$E$69))</f>
        <v>0</v>
      </c>
      <c r="G150" s="12">
        <f>SUMPRODUCT(-('Diário 1º PA'!$E$4:$E$2635='Analítico Cp.'!$B150),-('Diário 1º PA'!$Q$4:$Q$2635=G$1),('Diário 1º PA'!$F$4:$F$2635))+SUMPRODUCT(-('Diário 2º PA'!$E$4:$E$3040='Analítico Cp.'!$B150),-('Diário 2º PA'!$Q$4:$Q$3040=G$1),('Diário 2º PA'!$F$4:$F$3040))+SUMPRODUCT(-('Diário 3º PA'!$E$4:$E$2731='Analítico Cp.'!$B150),-('Diário 3º PA'!$Q$4:$Q$2731=G$1),('Diário 3º PA'!$F$4:$F$2731))+SUMPRODUCT(-('Diário 4º PA'!$E$4:$E$2564='Analítico Cp.'!$B150),-('Diário 4º PA'!$Q$4:$Q$2564=G$1),('Diário 4º PA'!$F$4:$F$2564))+SUMPRODUCT(-('Comp.'!$D$5:$D$69='Analítico Cp.'!$B150),-('Comp.'!$K$5:$K$69=G$1),('Comp.'!$E$5:$E$69))</f>
        <v>0</v>
      </c>
      <c r="H150" s="12">
        <f>SUMPRODUCT(-('Diário 1º PA'!$E$4:$E$2635='Analítico Cp.'!$B150),-('Diário 1º PA'!$Q$4:$Q$2635=H$1),('Diário 1º PA'!$F$4:$F$2635))+SUMPRODUCT(-('Diário 2º PA'!$E$4:$E$3040='Analítico Cp.'!$B150),-('Diário 2º PA'!$Q$4:$Q$3040=H$1),('Diário 2º PA'!$F$4:$F$3040))+SUMPRODUCT(-('Diário 3º PA'!$E$4:$E$2731='Analítico Cp.'!$B150),-('Diário 3º PA'!$Q$4:$Q$2731=H$1),('Diário 3º PA'!$F$4:$F$2731))+SUMPRODUCT(-('Diário 4º PA'!$E$4:$E$2564='Analítico Cp.'!$B150),-('Diário 4º PA'!$Q$4:$Q$2564=H$1),('Diário 4º PA'!$F$4:$F$2564))+SUMPRODUCT(-('Comp.'!$D$5:$D$69='Analítico Cp.'!$B150),-('Comp.'!$K$5:$K$69=H$1),('Comp.'!$E$5:$E$69))</f>
        <v>0</v>
      </c>
      <c r="I150" s="12">
        <f>SUMPRODUCT(-('Diário 1º PA'!$E$4:$E$2635='Analítico Cp.'!$B150),-('Diário 1º PA'!$Q$4:$Q$2635=I$1),('Diário 1º PA'!$F$4:$F$2635))+SUMPRODUCT(-('Diário 2º PA'!$E$4:$E$3040='Analítico Cp.'!$B150),-('Diário 2º PA'!$Q$4:$Q$3040=I$1),('Diário 2º PA'!$F$4:$F$3040))+SUMPRODUCT(-('Diário 3º PA'!$E$4:$E$2731='Analítico Cp.'!$B150),-('Diário 3º PA'!$Q$4:$Q$2731=I$1),('Diário 3º PA'!$F$4:$F$2731))+SUMPRODUCT(-('Diário 4º PA'!$E$4:$E$2564='Analítico Cp.'!$B150),-('Diário 4º PA'!$Q$4:$Q$2564=I$1),('Diário 4º PA'!$F$4:$F$2564))+SUMPRODUCT(-('Comp.'!$D$5:$D$69='Analítico Cp.'!$B150),-('Comp.'!$K$5:$K$69=I$1),('Comp.'!$E$5:$E$69))</f>
        <v>0</v>
      </c>
      <c r="J150" s="12">
        <f>SUMPRODUCT(-('Diário 1º PA'!$E$4:$E$2635='Analítico Cp.'!$B150),-('Diário 1º PA'!$Q$4:$Q$2635=J$1),('Diário 1º PA'!$F$4:$F$2635))+SUMPRODUCT(-('Diário 2º PA'!$E$4:$E$3040='Analítico Cp.'!$B150),-('Diário 2º PA'!$Q$4:$Q$3040=J$1),('Diário 2º PA'!$F$4:$F$3040))+SUMPRODUCT(-('Diário 3º PA'!$E$4:$E$2731='Analítico Cp.'!$B150),-('Diário 3º PA'!$Q$4:$Q$2731=J$1),('Diário 3º PA'!$F$4:$F$2731))+SUMPRODUCT(-('Diário 4º PA'!$E$4:$E$2564='Analítico Cp.'!$B150),-('Diário 4º PA'!$Q$4:$Q$2564=J$1),('Diário 4º PA'!$F$4:$F$2564))+SUMPRODUCT(-('Comp.'!$D$5:$D$69='Analítico Cp.'!$B150),-('Comp.'!$K$5:$K$69=J$1),('Comp.'!$E$5:$E$69))</f>
        <v>0</v>
      </c>
      <c r="K150" s="12">
        <f>SUMPRODUCT(-('Diário 1º PA'!$E$4:$E$2635='Analítico Cp.'!$B150),-('Diário 1º PA'!$Q$4:$Q$2635=K$1),('Diário 1º PA'!$F$4:$F$2635))+SUMPRODUCT(-('Diário 2º PA'!$E$4:$E$3040='Analítico Cp.'!$B150),-('Diário 2º PA'!$Q$4:$Q$3040=K$1),('Diário 2º PA'!$F$4:$F$3040))+SUMPRODUCT(-('Diário 3º PA'!$E$4:$E$2731='Analítico Cp.'!$B150),-('Diário 3º PA'!$Q$4:$Q$2731=K$1),('Diário 3º PA'!$F$4:$F$2731))+SUMPRODUCT(-('Diário 4º PA'!$E$4:$E$2564='Analítico Cp.'!$B150),-('Diário 4º PA'!$Q$4:$Q$2564=K$1),('Diário 4º PA'!$F$4:$F$2564))+SUMPRODUCT(-('Comp.'!$D$5:$D$69='Analítico Cp.'!$B150),-('Comp.'!$K$5:$K$69=K$1),('Comp.'!$E$5:$E$69))</f>
        <v>0</v>
      </c>
      <c r="L150" s="12">
        <f>SUMPRODUCT(-('Diário 1º PA'!$E$4:$E$2635='Analítico Cp.'!$B150),-('Diário 1º PA'!$Q$4:$Q$2635=L$1),('Diário 1º PA'!$F$4:$F$2635))+SUMPRODUCT(-('Diário 2º PA'!$E$4:$E$3040='Analítico Cp.'!$B150),-('Diário 2º PA'!$Q$4:$Q$3040=L$1),('Diário 2º PA'!$F$4:$F$3040))+SUMPRODUCT(-('Diário 3º PA'!$E$4:$E$2731='Analítico Cp.'!$B150),-('Diário 3º PA'!$Q$4:$Q$2731=L$1),('Diário 3º PA'!$F$4:$F$2731))+SUMPRODUCT(-('Diário 4º PA'!$E$4:$E$2564='Analítico Cp.'!$B150),-('Diário 4º PA'!$Q$4:$Q$2564=L$1),('Diário 4º PA'!$F$4:$F$2564))+SUMPRODUCT(-('Comp.'!$D$5:$D$69='Analítico Cp.'!$B150),-('Comp.'!$K$5:$K$69=L$1),('Comp.'!$E$5:$E$69))</f>
        <v>0</v>
      </c>
      <c r="M150" s="12">
        <f>SUMPRODUCT(-('Diário 1º PA'!$E$4:$E$2635='Analítico Cp.'!$B150),-('Diário 1º PA'!$Q$4:$Q$2635=M$1),('Diário 1º PA'!$F$4:$F$2635))+SUMPRODUCT(-('Diário 2º PA'!$E$4:$E$3040='Analítico Cp.'!$B150),-('Diário 2º PA'!$Q$4:$Q$3040=M$1),('Diário 2º PA'!$F$4:$F$3040))+SUMPRODUCT(-('Diário 3º PA'!$E$4:$E$2731='Analítico Cp.'!$B150),-('Diário 3º PA'!$Q$4:$Q$2731=M$1),('Diário 3º PA'!$F$4:$F$2731))+SUMPRODUCT(-('Diário 4º PA'!$E$4:$E$2564='Analítico Cp.'!$B150),-('Diário 4º PA'!$Q$4:$Q$2564=M$1),('Diário 4º PA'!$F$4:$F$2564))+SUMPRODUCT(-('Comp.'!$D$5:$D$69='Analítico Cp.'!$B150),-('Comp.'!$K$5:$K$69=M$1),('Comp.'!$E$5:$E$69))</f>
        <v>0</v>
      </c>
      <c r="N150" s="12">
        <f>SUMPRODUCT(-('Diário 1º PA'!$E$4:$E$2635='Analítico Cp.'!$B150),-('Diário 1º PA'!$Q$4:$Q$2635=N$1),('Diário 1º PA'!$F$4:$F$2635))+SUMPRODUCT(-('Diário 2º PA'!$E$4:$E$3040='Analítico Cp.'!$B150),-('Diário 2º PA'!$Q$4:$Q$3040=N$1),('Diário 2º PA'!$F$4:$F$3040))+SUMPRODUCT(-('Diário 3º PA'!$E$4:$E$2731='Analítico Cp.'!$B150),-('Diário 3º PA'!$Q$4:$Q$2731=N$1),('Diário 3º PA'!$F$4:$F$2731))+SUMPRODUCT(-('Diário 4º PA'!$E$4:$E$2564='Analítico Cp.'!$B150),-('Diário 4º PA'!$Q$4:$Q$2564=N$1),('Diário 4º PA'!$F$4:$F$2564))+SUMPRODUCT(-('Comp.'!$D$5:$D$69='Analítico Cp.'!$B150),-('Comp.'!$K$5:$K$69=N$1),('Comp.'!$E$5:$E$69))</f>
        <v>0</v>
      </c>
      <c r="O150" s="13">
        <f t="shared" si="17"/>
        <v>0</v>
      </c>
      <c r="P150" s="167">
        <f t="shared" si="18"/>
        <v>0</v>
      </c>
    </row>
    <row r="151" spans="1:16" ht="23.25" customHeight="1" x14ac:dyDescent="0.2">
      <c r="A151" s="61" t="s">
        <v>25</v>
      </c>
      <c r="B151" s="59" t="s">
        <v>228</v>
      </c>
      <c r="C151" s="12">
        <f>SUMPRODUCT(-('Diário 1º PA'!$E$4:$E$2635='Analítico Cp.'!$B151),-('Diário 1º PA'!$Q$4:$Q$2635=C$1),('Diário 1º PA'!$F$4:$F$2635))+SUMPRODUCT(-('Diário 2º PA'!$E$4:$E$3040='Analítico Cp.'!$B151),-('Diário 2º PA'!$Q$4:$Q$3040=C$1),('Diário 2º PA'!$F$4:$F$3040))+SUMPRODUCT(-('Diário 3º PA'!$E$4:$E$2731='Analítico Cp.'!$B151),-('Diário 3º PA'!$Q$4:$Q$2731=C$1),('Diário 3º PA'!$F$4:$F$2731))+SUMPRODUCT(-('Diário 4º PA'!$E$4:$E$2564='Analítico Cp.'!$B151),-('Diário 4º PA'!$Q$4:$Q$2564=C$1),('Diário 4º PA'!$F$4:$F$2564))+SUMPRODUCT(-('Comp.'!$D$5:$D$69='Analítico Cp.'!$B151),-('Comp.'!$K$5:$K$69=C$1),('Comp.'!$E$5:$E$69))</f>
        <v>0</v>
      </c>
      <c r="D151" s="12">
        <f>SUMPRODUCT(-('Diário 1º PA'!$E$4:$E$2635='Analítico Cp.'!$B151),-('Diário 1º PA'!$Q$4:$Q$2635=D$1),('Diário 1º PA'!$F$4:$F$2635))+SUMPRODUCT(-('Diário 2º PA'!$E$4:$E$3040='Analítico Cp.'!$B151),-('Diário 2º PA'!$Q$4:$Q$3040=D$1),('Diário 2º PA'!$F$4:$F$3040))+SUMPRODUCT(-('Diário 3º PA'!$E$4:$E$2731='Analítico Cp.'!$B151),-('Diário 3º PA'!$Q$4:$Q$2731=D$1),('Diário 3º PA'!$F$4:$F$2731))+SUMPRODUCT(-('Diário 4º PA'!$E$4:$E$2564='Analítico Cp.'!$B151),-('Diário 4º PA'!$Q$4:$Q$2564=D$1),('Diário 4º PA'!$F$4:$F$2564))+SUMPRODUCT(-('Comp.'!$D$5:$D$69='Analítico Cp.'!$B151),-('Comp.'!$K$5:$K$69=D$1),('Comp.'!$E$5:$E$69))</f>
        <v>0</v>
      </c>
      <c r="E151" s="12">
        <f>SUMPRODUCT(-('Diário 1º PA'!$E$4:$E$2635='Analítico Cp.'!$B151),-('Diário 1º PA'!$Q$4:$Q$2635=E$1),('Diário 1º PA'!$F$4:$F$2635))+SUMPRODUCT(-('Diário 2º PA'!$E$4:$E$3040='Analítico Cp.'!$B151),-('Diário 2º PA'!$Q$4:$Q$3040=E$1),('Diário 2º PA'!$F$4:$F$3040))+SUMPRODUCT(-('Diário 3º PA'!$E$4:$E$2731='Analítico Cp.'!$B151),-('Diário 3º PA'!$Q$4:$Q$2731=E$1),('Diário 3º PA'!$F$4:$F$2731))+SUMPRODUCT(-('Diário 4º PA'!$E$4:$E$2564='Analítico Cp.'!$B151),-('Diário 4º PA'!$Q$4:$Q$2564=E$1),('Diário 4º PA'!$F$4:$F$2564))+SUMPRODUCT(-('Comp.'!$D$5:$D$69='Analítico Cp.'!$B151),-('Comp.'!$K$5:$K$69=E$1),('Comp.'!$E$5:$E$69))</f>
        <v>0</v>
      </c>
      <c r="F151" s="12">
        <f>SUMPRODUCT(-('Diário 1º PA'!$E$4:$E$2635='Analítico Cp.'!$B151),-('Diário 1º PA'!$Q$4:$Q$2635=F$1),('Diário 1º PA'!$F$4:$F$2635))+SUMPRODUCT(-('Diário 2º PA'!$E$4:$E$3040='Analítico Cp.'!$B151),-('Diário 2º PA'!$Q$4:$Q$3040=F$1),('Diário 2º PA'!$F$4:$F$3040))+SUMPRODUCT(-('Diário 3º PA'!$E$4:$E$2731='Analítico Cp.'!$B151),-('Diário 3º PA'!$Q$4:$Q$2731=F$1),('Diário 3º PA'!$F$4:$F$2731))+SUMPRODUCT(-('Diário 4º PA'!$E$4:$E$2564='Analítico Cp.'!$B151),-('Diário 4º PA'!$Q$4:$Q$2564=F$1),('Diário 4º PA'!$F$4:$F$2564))+SUMPRODUCT(-('Comp.'!$D$5:$D$69='Analítico Cp.'!$B151),-('Comp.'!$K$5:$K$69=F$1),('Comp.'!$E$5:$E$69))</f>
        <v>0</v>
      </c>
      <c r="G151" s="12">
        <f>SUMPRODUCT(-('Diário 1º PA'!$E$4:$E$2635='Analítico Cp.'!$B151),-('Diário 1º PA'!$Q$4:$Q$2635=G$1),('Diário 1º PA'!$F$4:$F$2635))+SUMPRODUCT(-('Diário 2º PA'!$E$4:$E$3040='Analítico Cp.'!$B151),-('Diário 2º PA'!$Q$4:$Q$3040=G$1),('Diário 2º PA'!$F$4:$F$3040))+SUMPRODUCT(-('Diário 3º PA'!$E$4:$E$2731='Analítico Cp.'!$B151),-('Diário 3º PA'!$Q$4:$Q$2731=G$1),('Diário 3º PA'!$F$4:$F$2731))+SUMPRODUCT(-('Diário 4º PA'!$E$4:$E$2564='Analítico Cp.'!$B151),-('Diário 4º PA'!$Q$4:$Q$2564=G$1),('Diário 4º PA'!$F$4:$F$2564))+SUMPRODUCT(-('Comp.'!$D$5:$D$69='Analítico Cp.'!$B151),-('Comp.'!$K$5:$K$69=G$1),('Comp.'!$E$5:$E$69))</f>
        <v>0</v>
      </c>
      <c r="H151" s="12">
        <f>SUMPRODUCT(-('Diário 1º PA'!$E$4:$E$2635='Analítico Cp.'!$B151),-('Diário 1º PA'!$Q$4:$Q$2635=H$1),('Diário 1º PA'!$F$4:$F$2635))+SUMPRODUCT(-('Diário 2º PA'!$E$4:$E$3040='Analítico Cp.'!$B151),-('Diário 2º PA'!$Q$4:$Q$3040=H$1),('Diário 2º PA'!$F$4:$F$3040))+SUMPRODUCT(-('Diário 3º PA'!$E$4:$E$2731='Analítico Cp.'!$B151),-('Diário 3º PA'!$Q$4:$Q$2731=H$1),('Diário 3º PA'!$F$4:$F$2731))+SUMPRODUCT(-('Diário 4º PA'!$E$4:$E$2564='Analítico Cp.'!$B151),-('Diário 4º PA'!$Q$4:$Q$2564=H$1),('Diário 4º PA'!$F$4:$F$2564))+SUMPRODUCT(-('Comp.'!$D$5:$D$69='Analítico Cp.'!$B151),-('Comp.'!$K$5:$K$69=H$1),('Comp.'!$E$5:$E$69))</f>
        <v>0</v>
      </c>
      <c r="I151" s="12">
        <f>SUMPRODUCT(-('Diário 1º PA'!$E$4:$E$2635='Analítico Cp.'!$B151),-('Diário 1º PA'!$Q$4:$Q$2635=I$1),('Diário 1º PA'!$F$4:$F$2635))+SUMPRODUCT(-('Diário 2º PA'!$E$4:$E$3040='Analítico Cp.'!$B151),-('Diário 2º PA'!$Q$4:$Q$3040=I$1),('Diário 2º PA'!$F$4:$F$3040))+SUMPRODUCT(-('Diário 3º PA'!$E$4:$E$2731='Analítico Cp.'!$B151),-('Diário 3º PA'!$Q$4:$Q$2731=I$1),('Diário 3º PA'!$F$4:$F$2731))+SUMPRODUCT(-('Diário 4º PA'!$E$4:$E$2564='Analítico Cp.'!$B151),-('Diário 4º PA'!$Q$4:$Q$2564=I$1),('Diário 4º PA'!$F$4:$F$2564))+SUMPRODUCT(-('Comp.'!$D$5:$D$69='Analítico Cp.'!$B151),-('Comp.'!$K$5:$K$69=I$1),('Comp.'!$E$5:$E$69))</f>
        <v>0</v>
      </c>
      <c r="J151" s="12">
        <f>SUMPRODUCT(-('Diário 1º PA'!$E$4:$E$2635='Analítico Cp.'!$B151),-('Diário 1º PA'!$Q$4:$Q$2635=J$1),('Diário 1º PA'!$F$4:$F$2635))+SUMPRODUCT(-('Diário 2º PA'!$E$4:$E$3040='Analítico Cp.'!$B151),-('Diário 2º PA'!$Q$4:$Q$3040=J$1),('Diário 2º PA'!$F$4:$F$3040))+SUMPRODUCT(-('Diário 3º PA'!$E$4:$E$2731='Analítico Cp.'!$B151),-('Diário 3º PA'!$Q$4:$Q$2731=J$1),('Diário 3º PA'!$F$4:$F$2731))+SUMPRODUCT(-('Diário 4º PA'!$E$4:$E$2564='Analítico Cp.'!$B151),-('Diário 4º PA'!$Q$4:$Q$2564=J$1),('Diário 4º PA'!$F$4:$F$2564))+SUMPRODUCT(-('Comp.'!$D$5:$D$69='Analítico Cp.'!$B151),-('Comp.'!$K$5:$K$69=J$1),('Comp.'!$E$5:$E$69))</f>
        <v>0</v>
      </c>
      <c r="K151" s="12">
        <f>SUMPRODUCT(-('Diário 1º PA'!$E$4:$E$2635='Analítico Cp.'!$B151),-('Diário 1º PA'!$Q$4:$Q$2635=K$1),('Diário 1º PA'!$F$4:$F$2635))+SUMPRODUCT(-('Diário 2º PA'!$E$4:$E$3040='Analítico Cp.'!$B151),-('Diário 2º PA'!$Q$4:$Q$3040=K$1),('Diário 2º PA'!$F$4:$F$3040))+SUMPRODUCT(-('Diário 3º PA'!$E$4:$E$2731='Analítico Cp.'!$B151),-('Diário 3º PA'!$Q$4:$Q$2731=K$1),('Diário 3º PA'!$F$4:$F$2731))+SUMPRODUCT(-('Diário 4º PA'!$E$4:$E$2564='Analítico Cp.'!$B151),-('Diário 4º PA'!$Q$4:$Q$2564=K$1),('Diário 4º PA'!$F$4:$F$2564))+SUMPRODUCT(-('Comp.'!$D$5:$D$69='Analítico Cp.'!$B151),-('Comp.'!$K$5:$K$69=K$1),('Comp.'!$E$5:$E$69))</f>
        <v>0</v>
      </c>
      <c r="L151" s="12">
        <f>SUMPRODUCT(-('Diário 1º PA'!$E$4:$E$2635='Analítico Cp.'!$B151),-('Diário 1º PA'!$Q$4:$Q$2635=L$1),('Diário 1º PA'!$F$4:$F$2635))+SUMPRODUCT(-('Diário 2º PA'!$E$4:$E$3040='Analítico Cp.'!$B151),-('Diário 2º PA'!$Q$4:$Q$3040=L$1),('Diário 2º PA'!$F$4:$F$3040))+SUMPRODUCT(-('Diário 3º PA'!$E$4:$E$2731='Analítico Cp.'!$B151),-('Diário 3º PA'!$Q$4:$Q$2731=L$1),('Diário 3º PA'!$F$4:$F$2731))+SUMPRODUCT(-('Diário 4º PA'!$E$4:$E$2564='Analítico Cp.'!$B151),-('Diário 4º PA'!$Q$4:$Q$2564=L$1),('Diário 4º PA'!$F$4:$F$2564))+SUMPRODUCT(-('Comp.'!$D$5:$D$69='Analítico Cp.'!$B151),-('Comp.'!$K$5:$K$69=L$1),('Comp.'!$E$5:$E$69))</f>
        <v>0</v>
      </c>
      <c r="M151" s="12">
        <f>SUMPRODUCT(-('Diário 1º PA'!$E$4:$E$2635='Analítico Cp.'!$B151),-('Diário 1º PA'!$Q$4:$Q$2635=M$1),('Diário 1º PA'!$F$4:$F$2635))+SUMPRODUCT(-('Diário 2º PA'!$E$4:$E$3040='Analítico Cp.'!$B151),-('Diário 2º PA'!$Q$4:$Q$3040=M$1),('Diário 2º PA'!$F$4:$F$3040))+SUMPRODUCT(-('Diário 3º PA'!$E$4:$E$2731='Analítico Cp.'!$B151),-('Diário 3º PA'!$Q$4:$Q$2731=M$1),('Diário 3º PA'!$F$4:$F$2731))+SUMPRODUCT(-('Diário 4º PA'!$E$4:$E$2564='Analítico Cp.'!$B151),-('Diário 4º PA'!$Q$4:$Q$2564=M$1),('Diário 4º PA'!$F$4:$F$2564))+SUMPRODUCT(-('Comp.'!$D$5:$D$69='Analítico Cp.'!$B151),-('Comp.'!$K$5:$K$69=M$1),('Comp.'!$E$5:$E$69))</f>
        <v>0</v>
      </c>
      <c r="N151" s="12">
        <f>SUMPRODUCT(-('Diário 1º PA'!$E$4:$E$2635='Analítico Cp.'!$B151),-('Diário 1º PA'!$Q$4:$Q$2635=N$1),('Diário 1º PA'!$F$4:$F$2635))+SUMPRODUCT(-('Diário 2º PA'!$E$4:$E$3040='Analítico Cp.'!$B151),-('Diário 2º PA'!$Q$4:$Q$3040=N$1),('Diário 2º PA'!$F$4:$F$3040))+SUMPRODUCT(-('Diário 3º PA'!$E$4:$E$2731='Analítico Cp.'!$B151),-('Diário 3º PA'!$Q$4:$Q$2731=N$1),('Diário 3º PA'!$F$4:$F$2731))+SUMPRODUCT(-('Diário 4º PA'!$E$4:$E$2564='Analítico Cp.'!$B151),-('Diário 4º PA'!$Q$4:$Q$2564=N$1),('Diário 4º PA'!$F$4:$F$2564))+SUMPRODUCT(-('Comp.'!$D$5:$D$69='Analítico Cp.'!$B151),-('Comp.'!$K$5:$K$69=N$1),('Comp.'!$E$5:$E$69))</f>
        <v>0</v>
      </c>
      <c r="O151" s="13">
        <f t="shared" si="17"/>
        <v>0</v>
      </c>
      <c r="P151" s="167">
        <f t="shared" si="18"/>
        <v>0</v>
      </c>
    </row>
    <row r="152" spans="1:16" ht="23.25" customHeight="1" x14ac:dyDescent="0.2">
      <c r="A152" s="61" t="s">
        <v>26</v>
      </c>
      <c r="B152" s="59" t="s">
        <v>230</v>
      </c>
      <c r="C152" s="12">
        <f>SUMPRODUCT(-('Diário 1º PA'!$E$4:$E$2635='Analítico Cp.'!$B152),-('Diário 1º PA'!$Q$4:$Q$2635=C$1),('Diário 1º PA'!$F$4:$F$2635))+SUMPRODUCT(-('Diário 2º PA'!$E$4:$E$3040='Analítico Cp.'!$B152),-('Diário 2º PA'!$Q$4:$Q$3040=C$1),('Diário 2º PA'!$F$4:$F$3040))+SUMPRODUCT(-('Diário 3º PA'!$E$4:$E$2731='Analítico Cp.'!$B152),-('Diário 3º PA'!$Q$4:$Q$2731=C$1),('Diário 3º PA'!$F$4:$F$2731))+SUMPRODUCT(-('Diário 4º PA'!$E$4:$E$2564='Analítico Cp.'!$B152),-('Diário 4º PA'!$Q$4:$Q$2564=C$1),('Diário 4º PA'!$F$4:$F$2564))+SUMPRODUCT(-('Comp.'!$D$5:$D$69='Analítico Cp.'!$B152),-('Comp.'!$K$5:$K$69=C$1),('Comp.'!$E$5:$E$69))</f>
        <v>0</v>
      </c>
      <c r="D152" s="12">
        <f>SUMPRODUCT(-('Diário 1º PA'!$E$4:$E$2635='Analítico Cp.'!$B152),-('Diário 1º PA'!$Q$4:$Q$2635=D$1),('Diário 1º PA'!$F$4:$F$2635))+SUMPRODUCT(-('Diário 2º PA'!$E$4:$E$3040='Analítico Cp.'!$B152),-('Diário 2º PA'!$Q$4:$Q$3040=D$1),('Diário 2º PA'!$F$4:$F$3040))+SUMPRODUCT(-('Diário 3º PA'!$E$4:$E$2731='Analítico Cp.'!$B152),-('Diário 3º PA'!$Q$4:$Q$2731=D$1),('Diário 3º PA'!$F$4:$F$2731))+SUMPRODUCT(-('Diário 4º PA'!$E$4:$E$2564='Analítico Cp.'!$B152),-('Diário 4º PA'!$Q$4:$Q$2564=D$1),('Diário 4º PA'!$F$4:$F$2564))+SUMPRODUCT(-('Comp.'!$D$5:$D$69='Analítico Cp.'!$B152),-('Comp.'!$K$5:$K$69=D$1),('Comp.'!$E$5:$E$69))</f>
        <v>0</v>
      </c>
      <c r="E152" s="12">
        <f>SUMPRODUCT(-('Diário 1º PA'!$E$4:$E$2635='Analítico Cp.'!$B152),-('Diário 1º PA'!$Q$4:$Q$2635=E$1),('Diário 1º PA'!$F$4:$F$2635))+SUMPRODUCT(-('Diário 2º PA'!$E$4:$E$3040='Analítico Cp.'!$B152),-('Diário 2º PA'!$Q$4:$Q$3040=E$1),('Diário 2º PA'!$F$4:$F$3040))+SUMPRODUCT(-('Diário 3º PA'!$E$4:$E$2731='Analítico Cp.'!$B152),-('Diário 3º PA'!$Q$4:$Q$2731=E$1),('Diário 3º PA'!$F$4:$F$2731))+SUMPRODUCT(-('Diário 4º PA'!$E$4:$E$2564='Analítico Cp.'!$B152),-('Diário 4º PA'!$Q$4:$Q$2564=E$1),('Diário 4º PA'!$F$4:$F$2564))+SUMPRODUCT(-('Comp.'!$D$5:$D$69='Analítico Cp.'!$B152),-('Comp.'!$K$5:$K$69=E$1),('Comp.'!$E$5:$E$69))</f>
        <v>0</v>
      </c>
      <c r="F152" s="12">
        <f>SUMPRODUCT(-('Diário 1º PA'!$E$4:$E$2635='Analítico Cp.'!$B152),-('Diário 1º PA'!$Q$4:$Q$2635=F$1),('Diário 1º PA'!$F$4:$F$2635))+SUMPRODUCT(-('Diário 2º PA'!$E$4:$E$3040='Analítico Cp.'!$B152),-('Diário 2º PA'!$Q$4:$Q$3040=F$1),('Diário 2º PA'!$F$4:$F$3040))+SUMPRODUCT(-('Diário 3º PA'!$E$4:$E$2731='Analítico Cp.'!$B152),-('Diário 3º PA'!$Q$4:$Q$2731=F$1),('Diário 3º PA'!$F$4:$F$2731))+SUMPRODUCT(-('Diário 4º PA'!$E$4:$E$2564='Analítico Cp.'!$B152),-('Diário 4º PA'!$Q$4:$Q$2564=F$1),('Diário 4º PA'!$F$4:$F$2564))+SUMPRODUCT(-('Comp.'!$D$5:$D$69='Analítico Cp.'!$B152),-('Comp.'!$K$5:$K$69=F$1),('Comp.'!$E$5:$E$69))</f>
        <v>0</v>
      </c>
      <c r="G152" s="12">
        <f>SUMPRODUCT(-('Diário 1º PA'!$E$4:$E$2635='Analítico Cp.'!$B152),-('Diário 1º PA'!$Q$4:$Q$2635=G$1),('Diário 1º PA'!$F$4:$F$2635))+SUMPRODUCT(-('Diário 2º PA'!$E$4:$E$3040='Analítico Cp.'!$B152),-('Diário 2º PA'!$Q$4:$Q$3040=G$1),('Diário 2º PA'!$F$4:$F$3040))+SUMPRODUCT(-('Diário 3º PA'!$E$4:$E$2731='Analítico Cp.'!$B152),-('Diário 3º PA'!$Q$4:$Q$2731=G$1),('Diário 3º PA'!$F$4:$F$2731))+SUMPRODUCT(-('Diário 4º PA'!$E$4:$E$2564='Analítico Cp.'!$B152),-('Diário 4º PA'!$Q$4:$Q$2564=G$1),('Diário 4º PA'!$F$4:$F$2564))+SUMPRODUCT(-('Comp.'!$D$5:$D$69='Analítico Cp.'!$B152),-('Comp.'!$K$5:$K$69=G$1),('Comp.'!$E$5:$E$69))</f>
        <v>0</v>
      </c>
      <c r="H152" s="12">
        <f>SUMPRODUCT(-('Diário 1º PA'!$E$4:$E$2635='Analítico Cp.'!$B152),-('Diário 1º PA'!$Q$4:$Q$2635=H$1),('Diário 1º PA'!$F$4:$F$2635))+SUMPRODUCT(-('Diário 2º PA'!$E$4:$E$3040='Analítico Cp.'!$B152),-('Diário 2º PA'!$Q$4:$Q$3040=H$1),('Diário 2º PA'!$F$4:$F$3040))+SUMPRODUCT(-('Diário 3º PA'!$E$4:$E$2731='Analítico Cp.'!$B152),-('Diário 3º PA'!$Q$4:$Q$2731=H$1),('Diário 3º PA'!$F$4:$F$2731))+SUMPRODUCT(-('Diário 4º PA'!$E$4:$E$2564='Analítico Cp.'!$B152),-('Diário 4º PA'!$Q$4:$Q$2564=H$1),('Diário 4º PA'!$F$4:$F$2564))+SUMPRODUCT(-('Comp.'!$D$5:$D$69='Analítico Cp.'!$B152),-('Comp.'!$K$5:$K$69=H$1),('Comp.'!$E$5:$E$69))</f>
        <v>0</v>
      </c>
      <c r="I152" s="12">
        <f>SUMPRODUCT(-('Diário 1º PA'!$E$4:$E$2635='Analítico Cp.'!$B152),-('Diário 1º PA'!$Q$4:$Q$2635=I$1),('Diário 1º PA'!$F$4:$F$2635))+SUMPRODUCT(-('Diário 2º PA'!$E$4:$E$3040='Analítico Cp.'!$B152),-('Diário 2º PA'!$Q$4:$Q$3040=I$1),('Diário 2º PA'!$F$4:$F$3040))+SUMPRODUCT(-('Diário 3º PA'!$E$4:$E$2731='Analítico Cp.'!$B152),-('Diário 3º PA'!$Q$4:$Q$2731=I$1),('Diário 3º PA'!$F$4:$F$2731))+SUMPRODUCT(-('Diário 4º PA'!$E$4:$E$2564='Analítico Cp.'!$B152),-('Diário 4º PA'!$Q$4:$Q$2564=I$1),('Diário 4º PA'!$F$4:$F$2564))+SUMPRODUCT(-('Comp.'!$D$5:$D$69='Analítico Cp.'!$B152),-('Comp.'!$K$5:$K$69=I$1),('Comp.'!$E$5:$E$69))</f>
        <v>0</v>
      </c>
      <c r="J152" s="12">
        <f>SUMPRODUCT(-('Diário 1º PA'!$E$4:$E$2635='Analítico Cp.'!$B152),-('Diário 1º PA'!$Q$4:$Q$2635=J$1),('Diário 1º PA'!$F$4:$F$2635))+SUMPRODUCT(-('Diário 2º PA'!$E$4:$E$3040='Analítico Cp.'!$B152),-('Diário 2º PA'!$Q$4:$Q$3040=J$1),('Diário 2º PA'!$F$4:$F$3040))+SUMPRODUCT(-('Diário 3º PA'!$E$4:$E$2731='Analítico Cp.'!$B152),-('Diário 3º PA'!$Q$4:$Q$2731=J$1),('Diário 3º PA'!$F$4:$F$2731))+SUMPRODUCT(-('Diário 4º PA'!$E$4:$E$2564='Analítico Cp.'!$B152),-('Diário 4º PA'!$Q$4:$Q$2564=J$1),('Diário 4º PA'!$F$4:$F$2564))+SUMPRODUCT(-('Comp.'!$D$5:$D$69='Analítico Cp.'!$B152),-('Comp.'!$K$5:$K$69=J$1),('Comp.'!$E$5:$E$69))</f>
        <v>0</v>
      </c>
      <c r="K152" s="12">
        <f>SUMPRODUCT(-('Diário 1º PA'!$E$4:$E$2635='Analítico Cp.'!$B152),-('Diário 1º PA'!$Q$4:$Q$2635=K$1),('Diário 1º PA'!$F$4:$F$2635))+SUMPRODUCT(-('Diário 2º PA'!$E$4:$E$3040='Analítico Cp.'!$B152),-('Diário 2º PA'!$Q$4:$Q$3040=K$1),('Diário 2º PA'!$F$4:$F$3040))+SUMPRODUCT(-('Diário 3º PA'!$E$4:$E$2731='Analítico Cp.'!$B152),-('Diário 3º PA'!$Q$4:$Q$2731=K$1),('Diário 3º PA'!$F$4:$F$2731))+SUMPRODUCT(-('Diário 4º PA'!$E$4:$E$2564='Analítico Cp.'!$B152),-('Diário 4º PA'!$Q$4:$Q$2564=K$1),('Diário 4º PA'!$F$4:$F$2564))+SUMPRODUCT(-('Comp.'!$D$5:$D$69='Analítico Cp.'!$B152),-('Comp.'!$K$5:$K$69=K$1),('Comp.'!$E$5:$E$69))</f>
        <v>0</v>
      </c>
      <c r="L152" s="12">
        <f>SUMPRODUCT(-('Diário 1º PA'!$E$4:$E$2635='Analítico Cp.'!$B152),-('Diário 1º PA'!$Q$4:$Q$2635=L$1),('Diário 1º PA'!$F$4:$F$2635))+SUMPRODUCT(-('Diário 2º PA'!$E$4:$E$3040='Analítico Cp.'!$B152),-('Diário 2º PA'!$Q$4:$Q$3040=L$1),('Diário 2º PA'!$F$4:$F$3040))+SUMPRODUCT(-('Diário 3º PA'!$E$4:$E$2731='Analítico Cp.'!$B152),-('Diário 3º PA'!$Q$4:$Q$2731=L$1),('Diário 3º PA'!$F$4:$F$2731))+SUMPRODUCT(-('Diário 4º PA'!$E$4:$E$2564='Analítico Cp.'!$B152),-('Diário 4º PA'!$Q$4:$Q$2564=L$1),('Diário 4º PA'!$F$4:$F$2564))+SUMPRODUCT(-('Comp.'!$D$5:$D$69='Analítico Cp.'!$B152),-('Comp.'!$K$5:$K$69=L$1),('Comp.'!$E$5:$E$69))</f>
        <v>0</v>
      </c>
      <c r="M152" s="12">
        <f>SUMPRODUCT(-('Diário 1º PA'!$E$4:$E$2635='Analítico Cp.'!$B152),-('Diário 1º PA'!$Q$4:$Q$2635=M$1),('Diário 1º PA'!$F$4:$F$2635))+SUMPRODUCT(-('Diário 2º PA'!$E$4:$E$3040='Analítico Cp.'!$B152),-('Diário 2º PA'!$Q$4:$Q$3040=M$1),('Diário 2º PA'!$F$4:$F$3040))+SUMPRODUCT(-('Diário 3º PA'!$E$4:$E$2731='Analítico Cp.'!$B152),-('Diário 3º PA'!$Q$4:$Q$2731=M$1),('Diário 3º PA'!$F$4:$F$2731))+SUMPRODUCT(-('Diário 4º PA'!$E$4:$E$2564='Analítico Cp.'!$B152),-('Diário 4º PA'!$Q$4:$Q$2564=M$1),('Diário 4º PA'!$F$4:$F$2564))+SUMPRODUCT(-('Comp.'!$D$5:$D$69='Analítico Cp.'!$B152),-('Comp.'!$K$5:$K$69=M$1),('Comp.'!$E$5:$E$69))</f>
        <v>0</v>
      </c>
      <c r="N152" s="12">
        <f>SUMPRODUCT(-('Diário 1º PA'!$E$4:$E$2635='Analítico Cp.'!$B152),-('Diário 1º PA'!$Q$4:$Q$2635=N$1),('Diário 1º PA'!$F$4:$F$2635))+SUMPRODUCT(-('Diário 2º PA'!$E$4:$E$3040='Analítico Cp.'!$B152),-('Diário 2º PA'!$Q$4:$Q$3040=N$1),('Diário 2º PA'!$F$4:$F$3040))+SUMPRODUCT(-('Diário 3º PA'!$E$4:$E$2731='Analítico Cp.'!$B152),-('Diário 3º PA'!$Q$4:$Q$2731=N$1),('Diário 3º PA'!$F$4:$F$2731))+SUMPRODUCT(-('Diário 4º PA'!$E$4:$E$2564='Analítico Cp.'!$B152),-('Diário 4º PA'!$Q$4:$Q$2564=N$1),('Diário 4º PA'!$F$4:$F$2564))+SUMPRODUCT(-('Comp.'!$D$5:$D$69='Analítico Cp.'!$B152),-('Comp.'!$K$5:$K$69=N$1),('Comp.'!$E$5:$E$69))</f>
        <v>0</v>
      </c>
      <c r="O152" s="13">
        <f t="shared" si="17"/>
        <v>0</v>
      </c>
      <c r="P152" s="167">
        <f t="shared" si="18"/>
        <v>0</v>
      </c>
    </row>
    <row r="153" spans="1:16" ht="23.25" customHeight="1" x14ac:dyDescent="0.2">
      <c r="A153" s="61" t="s">
        <v>27</v>
      </c>
      <c r="B153" s="59" t="s">
        <v>233</v>
      </c>
      <c r="C153" s="12">
        <f>SUMPRODUCT(-('Diário 1º PA'!$E$4:$E$2635='Analítico Cp.'!$B153),-('Diário 1º PA'!$Q$4:$Q$2635=C$1),('Diário 1º PA'!$F$4:$F$2635))+SUMPRODUCT(-('Diário 2º PA'!$E$4:$E$3040='Analítico Cp.'!$B153),-('Diário 2º PA'!$Q$4:$Q$3040=C$1),('Diário 2º PA'!$F$4:$F$3040))+SUMPRODUCT(-('Diário 3º PA'!$E$4:$E$2731='Analítico Cp.'!$B153),-('Diário 3º PA'!$Q$4:$Q$2731=C$1),('Diário 3º PA'!$F$4:$F$2731))+SUMPRODUCT(-('Diário 4º PA'!$E$4:$E$2564='Analítico Cp.'!$B153),-('Diário 4º PA'!$Q$4:$Q$2564=C$1),('Diário 4º PA'!$F$4:$F$2564))+SUMPRODUCT(-('Comp.'!$D$5:$D$69='Analítico Cp.'!$B153),-('Comp.'!$K$5:$K$69=C$1),('Comp.'!$E$5:$E$69))</f>
        <v>0</v>
      </c>
      <c r="D153" s="12">
        <f>SUMPRODUCT(-('Diário 1º PA'!$E$4:$E$2635='Analítico Cp.'!$B153),-('Diário 1º PA'!$Q$4:$Q$2635=D$1),('Diário 1º PA'!$F$4:$F$2635))+SUMPRODUCT(-('Diário 2º PA'!$E$4:$E$3040='Analítico Cp.'!$B153),-('Diário 2º PA'!$Q$4:$Q$3040=D$1),('Diário 2º PA'!$F$4:$F$3040))+SUMPRODUCT(-('Diário 3º PA'!$E$4:$E$2731='Analítico Cp.'!$B153),-('Diário 3º PA'!$Q$4:$Q$2731=D$1),('Diário 3º PA'!$F$4:$F$2731))+SUMPRODUCT(-('Diário 4º PA'!$E$4:$E$2564='Analítico Cp.'!$B153),-('Diário 4º PA'!$Q$4:$Q$2564=D$1),('Diário 4º PA'!$F$4:$F$2564))+SUMPRODUCT(-('Comp.'!$D$5:$D$69='Analítico Cp.'!$B153),-('Comp.'!$K$5:$K$69=D$1),('Comp.'!$E$5:$E$69))</f>
        <v>0</v>
      </c>
      <c r="E153" s="12">
        <f>SUMPRODUCT(-('Diário 1º PA'!$E$4:$E$2635='Analítico Cp.'!$B153),-('Diário 1º PA'!$Q$4:$Q$2635=E$1),('Diário 1º PA'!$F$4:$F$2635))+SUMPRODUCT(-('Diário 2º PA'!$E$4:$E$3040='Analítico Cp.'!$B153),-('Diário 2º PA'!$Q$4:$Q$3040=E$1),('Diário 2º PA'!$F$4:$F$3040))+SUMPRODUCT(-('Diário 3º PA'!$E$4:$E$2731='Analítico Cp.'!$B153),-('Diário 3º PA'!$Q$4:$Q$2731=E$1),('Diário 3º PA'!$F$4:$F$2731))+SUMPRODUCT(-('Diário 4º PA'!$E$4:$E$2564='Analítico Cp.'!$B153),-('Diário 4º PA'!$Q$4:$Q$2564=E$1),('Diário 4º PA'!$F$4:$F$2564))+SUMPRODUCT(-('Comp.'!$D$5:$D$69='Analítico Cp.'!$B153),-('Comp.'!$K$5:$K$69=E$1),('Comp.'!$E$5:$E$69))</f>
        <v>0</v>
      </c>
      <c r="F153" s="12">
        <f>SUMPRODUCT(-('Diário 1º PA'!$E$4:$E$2635='Analítico Cp.'!$B153),-('Diário 1º PA'!$Q$4:$Q$2635=F$1),('Diário 1º PA'!$F$4:$F$2635))+SUMPRODUCT(-('Diário 2º PA'!$E$4:$E$3040='Analítico Cp.'!$B153),-('Diário 2º PA'!$Q$4:$Q$3040=F$1),('Diário 2º PA'!$F$4:$F$3040))+SUMPRODUCT(-('Diário 3º PA'!$E$4:$E$2731='Analítico Cp.'!$B153),-('Diário 3º PA'!$Q$4:$Q$2731=F$1),('Diário 3º PA'!$F$4:$F$2731))+SUMPRODUCT(-('Diário 4º PA'!$E$4:$E$2564='Analítico Cp.'!$B153),-('Diário 4º PA'!$Q$4:$Q$2564=F$1),('Diário 4º PA'!$F$4:$F$2564))+SUMPRODUCT(-('Comp.'!$D$5:$D$69='Analítico Cp.'!$B153),-('Comp.'!$K$5:$K$69=F$1),('Comp.'!$E$5:$E$69))</f>
        <v>0</v>
      </c>
      <c r="G153" s="12">
        <f>SUMPRODUCT(-('Diário 1º PA'!$E$4:$E$2635='Analítico Cp.'!$B153),-('Diário 1º PA'!$Q$4:$Q$2635=G$1),('Diário 1º PA'!$F$4:$F$2635))+SUMPRODUCT(-('Diário 2º PA'!$E$4:$E$3040='Analítico Cp.'!$B153),-('Diário 2º PA'!$Q$4:$Q$3040=G$1),('Diário 2º PA'!$F$4:$F$3040))+SUMPRODUCT(-('Diário 3º PA'!$E$4:$E$2731='Analítico Cp.'!$B153),-('Diário 3º PA'!$Q$4:$Q$2731=G$1),('Diário 3º PA'!$F$4:$F$2731))+SUMPRODUCT(-('Diário 4º PA'!$E$4:$E$2564='Analítico Cp.'!$B153),-('Diário 4º PA'!$Q$4:$Q$2564=G$1),('Diário 4º PA'!$F$4:$F$2564))+SUMPRODUCT(-('Comp.'!$D$5:$D$69='Analítico Cp.'!$B153),-('Comp.'!$K$5:$K$69=G$1),('Comp.'!$E$5:$E$69))</f>
        <v>0</v>
      </c>
      <c r="H153" s="12">
        <f>SUMPRODUCT(-('Diário 1º PA'!$E$4:$E$2635='Analítico Cp.'!$B153),-('Diário 1º PA'!$Q$4:$Q$2635=H$1),('Diário 1º PA'!$F$4:$F$2635))+SUMPRODUCT(-('Diário 2º PA'!$E$4:$E$3040='Analítico Cp.'!$B153),-('Diário 2º PA'!$Q$4:$Q$3040=H$1),('Diário 2º PA'!$F$4:$F$3040))+SUMPRODUCT(-('Diário 3º PA'!$E$4:$E$2731='Analítico Cp.'!$B153),-('Diário 3º PA'!$Q$4:$Q$2731=H$1),('Diário 3º PA'!$F$4:$F$2731))+SUMPRODUCT(-('Diário 4º PA'!$E$4:$E$2564='Analítico Cp.'!$B153),-('Diário 4º PA'!$Q$4:$Q$2564=H$1),('Diário 4º PA'!$F$4:$F$2564))+SUMPRODUCT(-('Comp.'!$D$5:$D$69='Analítico Cp.'!$B153),-('Comp.'!$K$5:$K$69=H$1),('Comp.'!$E$5:$E$69))</f>
        <v>0</v>
      </c>
      <c r="I153" s="12">
        <f>SUMPRODUCT(-('Diário 1º PA'!$E$4:$E$2635='Analítico Cp.'!$B153),-('Diário 1º PA'!$Q$4:$Q$2635=I$1),('Diário 1º PA'!$F$4:$F$2635))+SUMPRODUCT(-('Diário 2º PA'!$E$4:$E$3040='Analítico Cp.'!$B153),-('Diário 2º PA'!$Q$4:$Q$3040=I$1),('Diário 2º PA'!$F$4:$F$3040))+SUMPRODUCT(-('Diário 3º PA'!$E$4:$E$2731='Analítico Cp.'!$B153),-('Diário 3º PA'!$Q$4:$Q$2731=I$1),('Diário 3º PA'!$F$4:$F$2731))+SUMPRODUCT(-('Diário 4º PA'!$E$4:$E$2564='Analítico Cp.'!$B153),-('Diário 4º PA'!$Q$4:$Q$2564=I$1),('Diário 4º PA'!$F$4:$F$2564))+SUMPRODUCT(-('Comp.'!$D$5:$D$69='Analítico Cp.'!$B153),-('Comp.'!$K$5:$K$69=I$1),('Comp.'!$E$5:$E$69))</f>
        <v>0</v>
      </c>
      <c r="J153" s="12">
        <f>SUMPRODUCT(-('Diário 1º PA'!$E$4:$E$2635='Analítico Cp.'!$B153),-('Diário 1º PA'!$Q$4:$Q$2635=J$1),('Diário 1º PA'!$F$4:$F$2635))+SUMPRODUCT(-('Diário 2º PA'!$E$4:$E$3040='Analítico Cp.'!$B153),-('Diário 2º PA'!$Q$4:$Q$3040=J$1),('Diário 2º PA'!$F$4:$F$3040))+SUMPRODUCT(-('Diário 3º PA'!$E$4:$E$2731='Analítico Cp.'!$B153),-('Diário 3º PA'!$Q$4:$Q$2731=J$1),('Diário 3º PA'!$F$4:$F$2731))+SUMPRODUCT(-('Diário 4º PA'!$E$4:$E$2564='Analítico Cp.'!$B153),-('Diário 4º PA'!$Q$4:$Q$2564=J$1),('Diário 4º PA'!$F$4:$F$2564))+SUMPRODUCT(-('Comp.'!$D$5:$D$69='Analítico Cp.'!$B153),-('Comp.'!$K$5:$K$69=J$1),('Comp.'!$E$5:$E$69))</f>
        <v>0</v>
      </c>
      <c r="K153" s="12">
        <f>SUMPRODUCT(-('Diário 1º PA'!$E$4:$E$2635='Analítico Cp.'!$B153),-('Diário 1º PA'!$Q$4:$Q$2635=K$1),('Diário 1º PA'!$F$4:$F$2635))+SUMPRODUCT(-('Diário 2º PA'!$E$4:$E$3040='Analítico Cp.'!$B153),-('Diário 2º PA'!$Q$4:$Q$3040=K$1),('Diário 2º PA'!$F$4:$F$3040))+SUMPRODUCT(-('Diário 3º PA'!$E$4:$E$2731='Analítico Cp.'!$B153),-('Diário 3º PA'!$Q$4:$Q$2731=K$1),('Diário 3º PA'!$F$4:$F$2731))+SUMPRODUCT(-('Diário 4º PA'!$E$4:$E$2564='Analítico Cp.'!$B153),-('Diário 4º PA'!$Q$4:$Q$2564=K$1),('Diário 4º PA'!$F$4:$F$2564))+SUMPRODUCT(-('Comp.'!$D$5:$D$69='Analítico Cp.'!$B153),-('Comp.'!$K$5:$K$69=K$1),('Comp.'!$E$5:$E$69))</f>
        <v>0</v>
      </c>
      <c r="L153" s="12">
        <f>SUMPRODUCT(-('Diário 1º PA'!$E$4:$E$2635='Analítico Cp.'!$B153),-('Diário 1º PA'!$Q$4:$Q$2635=L$1),('Diário 1º PA'!$F$4:$F$2635))+SUMPRODUCT(-('Diário 2º PA'!$E$4:$E$3040='Analítico Cp.'!$B153),-('Diário 2º PA'!$Q$4:$Q$3040=L$1),('Diário 2º PA'!$F$4:$F$3040))+SUMPRODUCT(-('Diário 3º PA'!$E$4:$E$2731='Analítico Cp.'!$B153),-('Diário 3º PA'!$Q$4:$Q$2731=L$1),('Diário 3º PA'!$F$4:$F$2731))+SUMPRODUCT(-('Diário 4º PA'!$E$4:$E$2564='Analítico Cp.'!$B153),-('Diário 4º PA'!$Q$4:$Q$2564=L$1),('Diário 4º PA'!$F$4:$F$2564))+SUMPRODUCT(-('Comp.'!$D$5:$D$69='Analítico Cp.'!$B153),-('Comp.'!$K$5:$K$69=L$1),('Comp.'!$E$5:$E$69))</f>
        <v>0</v>
      </c>
      <c r="M153" s="12">
        <f>SUMPRODUCT(-('Diário 1º PA'!$E$4:$E$2635='Analítico Cp.'!$B153),-('Diário 1º PA'!$Q$4:$Q$2635=M$1),('Diário 1º PA'!$F$4:$F$2635))+SUMPRODUCT(-('Diário 2º PA'!$E$4:$E$3040='Analítico Cp.'!$B153),-('Diário 2º PA'!$Q$4:$Q$3040=M$1),('Diário 2º PA'!$F$4:$F$3040))+SUMPRODUCT(-('Diário 3º PA'!$E$4:$E$2731='Analítico Cp.'!$B153),-('Diário 3º PA'!$Q$4:$Q$2731=M$1),('Diário 3º PA'!$F$4:$F$2731))+SUMPRODUCT(-('Diário 4º PA'!$E$4:$E$2564='Analítico Cp.'!$B153),-('Diário 4º PA'!$Q$4:$Q$2564=M$1),('Diário 4º PA'!$F$4:$F$2564))+SUMPRODUCT(-('Comp.'!$D$5:$D$69='Analítico Cp.'!$B153),-('Comp.'!$K$5:$K$69=M$1),('Comp.'!$E$5:$E$69))</f>
        <v>0</v>
      </c>
      <c r="N153" s="12">
        <f>SUMPRODUCT(-('Diário 1º PA'!$E$4:$E$2635='Analítico Cp.'!$B153),-('Diário 1º PA'!$Q$4:$Q$2635=N$1),('Diário 1º PA'!$F$4:$F$2635))+SUMPRODUCT(-('Diário 2º PA'!$E$4:$E$3040='Analítico Cp.'!$B153),-('Diário 2º PA'!$Q$4:$Q$3040=N$1),('Diário 2º PA'!$F$4:$F$3040))+SUMPRODUCT(-('Diário 3º PA'!$E$4:$E$2731='Analítico Cp.'!$B153),-('Diário 3º PA'!$Q$4:$Q$2731=N$1),('Diário 3º PA'!$F$4:$F$2731))+SUMPRODUCT(-('Diário 4º PA'!$E$4:$E$2564='Analítico Cp.'!$B153),-('Diário 4º PA'!$Q$4:$Q$2564=N$1),('Diário 4º PA'!$F$4:$F$2564))+SUMPRODUCT(-('Comp.'!$D$5:$D$69='Analítico Cp.'!$B153),-('Comp.'!$K$5:$K$69=N$1),('Comp.'!$E$5:$E$69))</f>
        <v>0</v>
      </c>
      <c r="O153" s="13">
        <f t="shared" si="17"/>
        <v>0</v>
      </c>
      <c r="P153" s="167">
        <f t="shared" si="18"/>
        <v>0</v>
      </c>
    </row>
    <row r="154" spans="1:16" ht="23.25" customHeight="1" x14ac:dyDescent="0.2">
      <c r="A154" s="61" t="s">
        <v>28</v>
      </c>
      <c r="B154" s="59" t="s">
        <v>234</v>
      </c>
      <c r="C154" s="12">
        <f>SUMPRODUCT(-('Diário 1º PA'!$E$4:$E$2635='Analítico Cp.'!$B154),-('Diário 1º PA'!$Q$4:$Q$2635=C$1),('Diário 1º PA'!$F$4:$F$2635))+SUMPRODUCT(-('Diário 2º PA'!$E$4:$E$3040='Analítico Cp.'!$B154),-('Diário 2º PA'!$Q$4:$Q$3040=C$1),('Diário 2º PA'!$F$4:$F$3040))+SUMPRODUCT(-('Diário 3º PA'!$E$4:$E$2731='Analítico Cp.'!$B154),-('Diário 3º PA'!$Q$4:$Q$2731=C$1),('Diário 3º PA'!$F$4:$F$2731))+SUMPRODUCT(-('Diário 4º PA'!$E$4:$E$2564='Analítico Cp.'!$B154),-('Diário 4º PA'!$Q$4:$Q$2564=C$1),('Diário 4º PA'!$F$4:$F$2564))+SUMPRODUCT(-('Comp.'!$D$5:$D$69='Analítico Cp.'!$B154),-('Comp.'!$K$5:$K$69=C$1),('Comp.'!$E$5:$E$69))</f>
        <v>0</v>
      </c>
      <c r="D154" s="12">
        <f>SUMPRODUCT(-('Diário 1º PA'!$E$4:$E$2635='Analítico Cp.'!$B154),-('Diário 1º PA'!$Q$4:$Q$2635=D$1),('Diário 1º PA'!$F$4:$F$2635))+SUMPRODUCT(-('Diário 2º PA'!$E$4:$E$3040='Analítico Cp.'!$B154),-('Diário 2º PA'!$Q$4:$Q$3040=D$1),('Diário 2º PA'!$F$4:$F$3040))+SUMPRODUCT(-('Diário 3º PA'!$E$4:$E$2731='Analítico Cp.'!$B154),-('Diário 3º PA'!$Q$4:$Q$2731=D$1),('Diário 3º PA'!$F$4:$F$2731))+SUMPRODUCT(-('Diário 4º PA'!$E$4:$E$2564='Analítico Cp.'!$B154),-('Diário 4º PA'!$Q$4:$Q$2564=D$1),('Diário 4º PA'!$F$4:$F$2564))+SUMPRODUCT(-('Comp.'!$D$5:$D$69='Analítico Cp.'!$B154),-('Comp.'!$K$5:$K$69=D$1),('Comp.'!$E$5:$E$69))</f>
        <v>0</v>
      </c>
      <c r="E154" s="12">
        <f>SUMPRODUCT(-('Diário 1º PA'!$E$4:$E$2635='Analítico Cp.'!$B154),-('Diário 1º PA'!$Q$4:$Q$2635=E$1),('Diário 1º PA'!$F$4:$F$2635))+SUMPRODUCT(-('Diário 2º PA'!$E$4:$E$3040='Analítico Cp.'!$B154),-('Diário 2º PA'!$Q$4:$Q$3040=E$1),('Diário 2º PA'!$F$4:$F$3040))+SUMPRODUCT(-('Diário 3º PA'!$E$4:$E$2731='Analítico Cp.'!$B154),-('Diário 3º PA'!$Q$4:$Q$2731=E$1),('Diário 3º PA'!$F$4:$F$2731))+SUMPRODUCT(-('Diário 4º PA'!$E$4:$E$2564='Analítico Cp.'!$B154),-('Diário 4º PA'!$Q$4:$Q$2564=E$1),('Diário 4º PA'!$F$4:$F$2564))+SUMPRODUCT(-('Comp.'!$D$5:$D$69='Analítico Cp.'!$B154),-('Comp.'!$K$5:$K$69=E$1),('Comp.'!$E$5:$E$69))</f>
        <v>0</v>
      </c>
      <c r="F154" s="12">
        <f>SUMPRODUCT(-('Diário 1º PA'!$E$4:$E$2635='Analítico Cp.'!$B154),-('Diário 1º PA'!$Q$4:$Q$2635=F$1),('Diário 1º PA'!$F$4:$F$2635))+SUMPRODUCT(-('Diário 2º PA'!$E$4:$E$3040='Analítico Cp.'!$B154),-('Diário 2º PA'!$Q$4:$Q$3040=F$1),('Diário 2º PA'!$F$4:$F$3040))+SUMPRODUCT(-('Diário 3º PA'!$E$4:$E$2731='Analítico Cp.'!$B154),-('Diário 3º PA'!$Q$4:$Q$2731=F$1),('Diário 3º PA'!$F$4:$F$2731))+SUMPRODUCT(-('Diário 4º PA'!$E$4:$E$2564='Analítico Cp.'!$B154),-('Diário 4º PA'!$Q$4:$Q$2564=F$1),('Diário 4º PA'!$F$4:$F$2564))+SUMPRODUCT(-('Comp.'!$D$5:$D$69='Analítico Cp.'!$B154),-('Comp.'!$K$5:$K$69=F$1),('Comp.'!$E$5:$E$69))</f>
        <v>0</v>
      </c>
      <c r="G154" s="12">
        <f>SUMPRODUCT(-('Diário 1º PA'!$E$4:$E$2635='Analítico Cp.'!$B154),-('Diário 1º PA'!$Q$4:$Q$2635=G$1),('Diário 1º PA'!$F$4:$F$2635))+SUMPRODUCT(-('Diário 2º PA'!$E$4:$E$3040='Analítico Cp.'!$B154),-('Diário 2º PA'!$Q$4:$Q$3040=G$1),('Diário 2º PA'!$F$4:$F$3040))+SUMPRODUCT(-('Diário 3º PA'!$E$4:$E$2731='Analítico Cp.'!$B154),-('Diário 3º PA'!$Q$4:$Q$2731=G$1),('Diário 3º PA'!$F$4:$F$2731))+SUMPRODUCT(-('Diário 4º PA'!$E$4:$E$2564='Analítico Cp.'!$B154),-('Diário 4º PA'!$Q$4:$Q$2564=G$1),('Diário 4º PA'!$F$4:$F$2564))+SUMPRODUCT(-('Comp.'!$D$5:$D$69='Analítico Cp.'!$B154),-('Comp.'!$K$5:$K$69=G$1),('Comp.'!$E$5:$E$69))</f>
        <v>0</v>
      </c>
      <c r="H154" s="12">
        <f>SUMPRODUCT(-('Diário 1º PA'!$E$4:$E$2635='Analítico Cp.'!$B154),-('Diário 1º PA'!$Q$4:$Q$2635=H$1),('Diário 1º PA'!$F$4:$F$2635))+SUMPRODUCT(-('Diário 2º PA'!$E$4:$E$3040='Analítico Cp.'!$B154),-('Diário 2º PA'!$Q$4:$Q$3040=H$1),('Diário 2º PA'!$F$4:$F$3040))+SUMPRODUCT(-('Diário 3º PA'!$E$4:$E$2731='Analítico Cp.'!$B154),-('Diário 3º PA'!$Q$4:$Q$2731=H$1),('Diário 3º PA'!$F$4:$F$2731))+SUMPRODUCT(-('Diário 4º PA'!$E$4:$E$2564='Analítico Cp.'!$B154),-('Diário 4º PA'!$Q$4:$Q$2564=H$1),('Diário 4º PA'!$F$4:$F$2564))+SUMPRODUCT(-('Comp.'!$D$5:$D$69='Analítico Cp.'!$B154),-('Comp.'!$K$5:$K$69=H$1),('Comp.'!$E$5:$E$69))</f>
        <v>0</v>
      </c>
      <c r="I154" s="12">
        <f>SUMPRODUCT(-('Diário 1º PA'!$E$4:$E$2635='Analítico Cp.'!$B154),-('Diário 1º PA'!$Q$4:$Q$2635=I$1),('Diário 1º PA'!$F$4:$F$2635))+SUMPRODUCT(-('Diário 2º PA'!$E$4:$E$3040='Analítico Cp.'!$B154),-('Diário 2º PA'!$Q$4:$Q$3040=I$1),('Diário 2º PA'!$F$4:$F$3040))+SUMPRODUCT(-('Diário 3º PA'!$E$4:$E$2731='Analítico Cp.'!$B154),-('Diário 3º PA'!$Q$4:$Q$2731=I$1),('Diário 3º PA'!$F$4:$F$2731))+SUMPRODUCT(-('Diário 4º PA'!$E$4:$E$2564='Analítico Cp.'!$B154),-('Diário 4º PA'!$Q$4:$Q$2564=I$1),('Diário 4º PA'!$F$4:$F$2564))+SUMPRODUCT(-('Comp.'!$D$5:$D$69='Analítico Cp.'!$B154),-('Comp.'!$K$5:$K$69=I$1),('Comp.'!$E$5:$E$69))</f>
        <v>0</v>
      </c>
      <c r="J154" s="12">
        <f>SUMPRODUCT(-('Diário 1º PA'!$E$4:$E$2635='Analítico Cp.'!$B154),-('Diário 1º PA'!$Q$4:$Q$2635=J$1),('Diário 1º PA'!$F$4:$F$2635))+SUMPRODUCT(-('Diário 2º PA'!$E$4:$E$3040='Analítico Cp.'!$B154),-('Diário 2º PA'!$Q$4:$Q$3040=J$1),('Diário 2º PA'!$F$4:$F$3040))+SUMPRODUCT(-('Diário 3º PA'!$E$4:$E$2731='Analítico Cp.'!$B154),-('Diário 3º PA'!$Q$4:$Q$2731=J$1),('Diário 3º PA'!$F$4:$F$2731))+SUMPRODUCT(-('Diário 4º PA'!$E$4:$E$2564='Analítico Cp.'!$B154),-('Diário 4º PA'!$Q$4:$Q$2564=J$1),('Diário 4º PA'!$F$4:$F$2564))+SUMPRODUCT(-('Comp.'!$D$5:$D$69='Analítico Cp.'!$B154),-('Comp.'!$K$5:$K$69=J$1),('Comp.'!$E$5:$E$69))</f>
        <v>0</v>
      </c>
      <c r="K154" s="12">
        <f>SUMPRODUCT(-('Diário 1º PA'!$E$4:$E$2635='Analítico Cp.'!$B154),-('Diário 1º PA'!$Q$4:$Q$2635=K$1),('Diário 1º PA'!$F$4:$F$2635))+SUMPRODUCT(-('Diário 2º PA'!$E$4:$E$3040='Analítico Cp.'!$B154),-('Diário 2º PA'!$Q$4:$Q$3040=K$1),('Diário 2º PA'!$F$4:$F$3040))+SUMPRODUCT(-('Diário 3º PA'!$E$4:$E$2731='Analítico Cp.'!$B154),-('Diário 3º PA'!$Q$4:$Q$2731=K$1),('Diário 3º PA'!$F$4:$F$2731))+SUMPRODUCT(-('Diário 4º PA'!$E$4:$E$2564='Analítico Cp.'!$B154),-('Diário 4º PA'!$Q$4:$Q$2564=K$1),('Diário 4º PA'!$F$4:$F$2564))+SUMPRODUCT(-('Comp.'!$D$5:$D$69='Analítico Cp.'!$B154),-('Comp.'!$K$5:$K$69=K$1),('Comp.'!$E$5:$E$69))</f>
        <v>0</v>
      </c>
      <c r="L154" s="12">
        <f>SUMPRODUCT(-('Diário 1º PA'!$E$4:$E$2635='Analítico Cp.'!$B154),-('Diário 1º PA'!$Q$4:$Q$2635=L$1),('Diário 1º PA'!$F$4:$F$2635))+SUMPRODUCT(-('Diário 2º PA'!$E$4:$E$3040='Analítico Cp.'!$B154),-('Diário 2º PA'!$Q$4:$Q$3040=L$1),('Diário 2º PA'!$F$4:$F$3040))+SUMPRODUCT(-('Diário 3º PA'!$E$4:$E$2731='Analítico Cp.'!$B154),-('Diário 3º PA'!$Q$4:$Q$2731=L$1),('Diário 3º PA'!$F$4:$F$2731))+SUMPRODUCT(-('Diário 4º PA'!$E$4:$E$2564='Analítico Cp.'!$B154),-('Diário 4º PA'!$Q$4:$Q$2564=L$1),('Diário 4º PA'!$F$4:$F$2564))+SUMPRODUCT(-('Comp.'!$D$5:$D$69='Analítico Cp.'!$B154),-('Comp.'!$K$5:$K$69=L$1),('Comp.'!$E$5:$E$69))</f>
        <v>0</v>
      </c>
      <c r="M154" s="12">
        <f>SUMPRODUCT(-('Diário 1º PA'!$E$4:$E$2635='Analítico Cp.'!$B154),-('Diário 1º PA'!$Q$4:$Q$2635=M$1),('Diário 1º PA'!$F$4:$F$2635))+SUMPRODUCT(-('Diário 2º PA'!$E$4:$E$3040='Analítico Cp.'!$B154),-('Diário 2º PA'!$Q$4:$Q$3040=M$1),('Diário 2º PA'!$F$4:$F$3040))+SUMPRODUCT(-('Diário 3º PA'!$E$4:$E$2731='Analítico Cp.'!$B154),-('Diário 3º PA'!$Q$4:$Q$2731=M$1),('Diário 3º PA'!$F$4:$F$2731))+SUMPRODUCT(-('Diário 4º PA'!$E$4:$E$2564='Analítico Cp.'!$B154),-('Diário 4º PA'!$Q$4:$Q$2564=M$1),('Diário 4º PA'!$F$4:$F$2564))+SUMPRODUCT(-('Comp.'!$D$5:$D$69='Analítico Cp.'!$B154),-('Comp.'!$K$5:$K$69=M$1),('Comp.'!$E$5:$E$69))</f>
        <v>0</v>
      </c>
      <c r="N154" s="12">
        <f>SUMPRODUCT(-('Diário 1º PA'!$E$4:$E$2635='Analítico Cp.'!$B154),-('Diário 1º PA'!$Q$4:$Q$2635=N$1),('Diário 1º PA'!$F$4:$F$2635))+SUMPRODUCT(-('Diário 2º PA'!$E$4:$E$3040='Analítico Cp.'!$B154),-('Diário 2º PA'!$Q$4:$Q$3040=N$1),('Diário 2º PA'!$F$4:$F$3040))+SUMPRODUCT(-('Diário 3º PA'!$E$4:$E$2731='Analítico Cp.'!$B154),-('Diário 3º PA'!$Q$4:$Q$2731=N$1),('Diário 3º PA'!$F$4:$F$2731))+SUMPRODUCT(-('Diário 4º PA'!$E$4:$E$2564='Analítico Cp.'!$B154),-('Diário 4º PA'!$Q$4:$Q$2564=N$1),('Diário 4º PA'!$F$4:$F$2564))+SUMPRODUCT(-('Comp.'!$D$5:$D$69='Analítico Cp.'!$B154),-('Comp.'!$K$5:$K$69=N$1),('Comp.'!$E$5:$E$69))</f>
        <v>0</v>
      </c>
      <c r="O154" s="13">
        <f t="shared" si="17"/>
        <v>0</v>
      </c>
      <c r="P154" s="167">
        <f t="shared" si="18"/>
        <v>0</v>
      </c>
    </row>
    <row r="155" spans="1:16" ht="23.25" customHeight="1" x14ac:dyDescent="0.2">
      <c r="A155" s="61" t="s">
        <v>136</v>
      </c>
      <c r="B155" s="59" t="s">
        <v>72</v>
      </c>
      <c r="C155" s="12">
        <f>SUMPRODUCT(-('Diário 1º PA'!$E$4:$E$2635='Analítico Cp.'!$B155),-('Diário 1º PA'!$Q$4:$Q$2635=C$1),('Diário 1º PA'!$F$4:$F$2635))+SUMPRODUCT(-('Diário 2º PA'!$E$4:$E$3040='Analítico Cp.'!$B155),-('Diário 2º PA'!$Q$4:$Q$3040=C$1),('Diário 2º PA'!$F$4:$F$3040))+SUMPRODUCT(-('Diário 3º PA'!$E$4:$E$2731='Analítico Cp.'!$B155),-('Diário 3º PA'!$Q$4:$Q$2731=C$1),('Diário 3º PA'!$F$4:$F$2731))+SUMPRODUCT(-('Diário 4º PA'!$E$4:$E$2564='Analítico Cp.'!$B155),-('Diário 4º PA'!$Q$4:$Q$2564=C$1),('Diário 4º PA'!$F$4:$F$2564))+SUMPRODUCT(-('Comp.'!$D$5:$D$69='Analítico Cp.'!$B155),-('Comp.'!$K$5:$K$69=C$1),('Comp.'!$E$5:$E$69))</f>
        <v>0</v>
      </c>
      <c r="D155" s="12">
        <f>SUMPRODUCT(-('Diário 1º PA'!$E$4:$E$2635='Analítico Cp.'!$B155),-('Diário 1º PA'!$Q$4:$Q$2635=D$1),('Diário 1º PA'!$F$4:$F$2635))+SUMPRODUCT(-('Diário 2º PA'!$E$4:$E$3040='Analítico Cp.'!$B155),-('Diário 2º PA'!$Q$4:$Q$3040=D$1),('Diário 2º PA'!$F$4:$F$3040))+SUMPRODUCT(-('Diário 3º PA'!$E$4:$E$2731='Analítico Cp.'!$B155),-('Diário 3º PA'!$Q$4:$Q$2731=D$1),('Diário 3º PA'!$F$4:$F$2731))+SUMPRODUCT(-('Diário 4º PA'!$E$4:$E$2564='Analítico Cp.'!$B155),-('Diário 4º PA'!$Q$4:$Q$2564=D$1),('Diário 4º PA'!$F$4:$F$2564))+SUMPRODUCT(-('Comp.'!$D$5:$D$69='Analítico Cp.'!$B155),-('Comp.'!$K$5:$K$69=D$1),('Comp.'!$E$5:$E$69))</f>
        <v>0</v>
      </c>
      <c r="E155" s="12">
        <f>SUMPRODUCT(-('Diário 1º PA'!$E$4:$E$2635='Analítico Cp.'!$B155),-('Diário 1º PA'!$Q$4:$Q$2635=E$1),('Diário 1º PA'!$F$4:$F$2635))+SUMPRODUCT(-('Diário 2º PA'!$E$4:$E$3040='Analítico Cp.'!$B155),-('Diário 2º PA'!$Q$4:$Q$3040=E$1),('Diário 2º PA'!$F$4:$F$3040))+SUMPRODUCT(-('Diário 3º PA'!$E$4:$E$2731='Analítico Cp.'!$B155),-('Diário 3º PA'!$Q$4:$Q$2731=E$1),('Diário 3º PA'!$F$4:$F$2731))+SUMPRODUCT(-('Diário 4º PA'!$E$4:$E$2564='Analítico Cp.'!$B155),-('Diário 4º PA'!$Q$4:$Q$2564=E$1),('Diário 4º PA'!$F$4:$F$2564))+SUMPRODUCT(-('Comp.'!$D$5:$D$69='Analítico Cp.'!$B155),-('Comp.'!$K$5:$K$69=E$1),('Comp.'!$E$5:$E$69))</f>
        <v>0</v>
      </c>
      <c r="F155" s="12">
        <f>SUMPRODUCT(-('Diário 1º PA'!$E$4:$E$2635='Analítico Cp.'!$B155),-('Diário 1º PA'!$Q$4:$Q$2635=F$1),('Diário 1º PA'!$F$4:$F$2635))+SUMPRODUCT(-('Diário 2º PA'!$E$4:$E$3040='Analítico Cp.'!$B155),-('Diário 2º PA'!$Q$4:$Q$3040=F$1),('Diário 2º PA'!$F$4:$F$3040))+SUMPRODUCT(-('Diário 3º PA'!$E$4:$E$2731='Analítico Cp.'!$B155),-('Diário 3º PA'!$Q$4:$Q$2731=F$1),('Diário 3º PA'!$F$4:$F$2731))+SUMPRODUCT(-('Diário 4º PA'!$E$4:$E$2564='Analítico Cp.'!$B155),-('Diário 4º PA'!$Q$4:$Q$2564=F$1),('Diário 4º PA'!$F$4:$F$2564))+SUMPRODUCT(-('Comp.'!$D$5:$D$69='Analítico Cp.'!$B155),-('Comp.'!$K$5:$K$69=F$1),('Comp.'!$E$5:$E$69))</f>
        <v>0</v>
      </c>
      <c r="G155" s="12">
        <f>SUMPRODUCT(-('Diário 1º PA'!$E$4:$E$2635='Analítico Cp.'!$B155),-('Diário 1º PA'!$Q$4:$Q$2635=G$1),('Diário 1º PA'!$F$4:$F$2635))+SUMPRODUCT(-('Diário 2º PA'!$E$4:$E$3040='Analítico Cp.'!$B155),-('Diário 2º PA'!$Q$4:$Q$3040=G$1),('Diário 2º PA'!$F$4:$F$3040))+SUMPRODUCT(-('Diário 3º PA'!$E$4:$E$2731='Analítico Cp.'!$B155),-('Diário 3º PA'!$Q$4:$Q$2731=G$1),('Diário 3º PA'!$F$4:$F$2731))+SUMPRODUCT(-('Diário 4º PA'!$E$4:$E$2564='Analítico Cp.'!$B155),-('Diário 4º PA'!$Q$4:$Q$2564=G$1),('Diário 4º PA'!$F$4:$F$2564))+SUMPRODUCT(-('Comp.'!$D$5:$D$69='Analítico Cp.'!$B155),-('Comp.'!$K$5:$K$69=G$1),('Comp.'!$E$5:$E$69))</f>
        <v>0</v>
      </c>
      <c r="H155" s="12">
        <f>SUMPRODUCT(-('Diário 1º PA'!$E$4:$E$2635='Analítico Cp.'!$B155),-('Diário 1º PA'!$Q$4:$Q$2635=H$1),('Diário 1º PA'!$F$4:$F$2635))+SUMPRODUCT(-('Diário 2º PA'!$E$4:$E$3040='Analítico Cp.'!$B155),-('Diário 2º PA'!$Q$4:$Q$3040=H$1),('Diário 2º PA'!$F$4:$F$3040))+SUMPRODUCT(-('Diário 3º PA'!$E$4:$E$2731='Analítico Cp.'!$B155),-('Diário 3º PA'!$Q$4:$Q$2731=H$1),('Diário 3º PA'!$F$4:$F$2731))+SUMPRODUCT(-('Diário 4º PA'!$E$4:$E$2564='Analítico Cp.'!$B155),-('Diário 4º PA'!$Q$4:$Q$2564=H$1),('Diário 4º PA'!$F$4:$F$2564))+SUMPRODUCT(-('Comp.'!$D$5:$D$69='Analítico Cp.'!$B155),-('Comp.'!$K$5:$K$69=H$1),('Comp.'!$E$5:$E$69))</f>
        <v>0</v>
      </c>
      <c r="I155" s="12">
        <f>SUMPRODUCT(-('Diário 1º PA'!$E$4:$E$2635='Analítico Cp.'!$B155),-('Diário 1º PA'!$Q$4:$Q$2635=I$1),('Diário 1º PA'!$F$4:$F$2635))+SUMPRODUCT(-('Diário 2º PA'!$E$4:$E$3040='Analítico Cp.'!$B155),-('Diário 2º PA'!$Q$4:$Q$3040=I$1),('Diário 2º PA'!$F$4:$F$3040))+SUMPRODUCT(-('Diário 3º PA'!$E$4:$E$2731='Analítico Cp.'!$B155),-('Diário 3º PA'!$Q$4:$Q$2731=I$1),('Diário 3º PA'!$F$4:$F$2731))+SUMPRODUCT(-('Diário 4º PA'!$E$4:$E$2564='Analítico Cp.'!$B155),-('Diário 4º PA'!$Q$4:$Q$2564=I$1),('Diário 4º PA'!$F$4:$F$2564))+SUMPRODUCT(-('Comp.'!$D$5:$D$69='Analítico Cp.'!$B155),-('Comp.'!$K$5:$K$69=I$1),('Comp.'!$E$5:$E$69))</f>
        <v>0</v>
      </c>
      <c r="J155" s="12">
        <f>SUMPRODUCT(-('Diário 1º PA'!$E$4:$E$2635='Analítico Cp.'!$B155),-('Diário 1º PA'!$Q$4:$Q$2635=J$1),('Diário 1º PA'!$F$4:$F$2635))+SUMPRODUCT(-('Diário 2º PA'!$E$4:$E$3040='Analítico Cp.'!$B155),-('Diário 2º PA'!$Q$4:$Q$3040=J$1),('Diário 2º PA'!$F$4:$F$3040))+SUMPRODUCT(-('Diário 3º PA'!$E$4:$E$2731='Analítico Cp.'!$B155),-('Diário 3º PA'!$Q$4:$Q$2731=J$1),('Diário 3º PA'!$F$4:$F$2731))+SUMPRODUCT(-('Diário 4º PA'!$E$4:$E$2564='Analítico Cp.'!$B155),-('Diário 4º PA'!$Q$4:$Q$2564=J$1),('Diário 4º PA'!$F$4:$F$2564))+SUMPRODUCT(-('Comp.'!$D$5:$D$69='Analítico Cp.'!$B155),-('Comp.'!$K$5:$K$69=J$1),('Comp.'!$E$5:$E$69))</f>
        <v>0</v>
      </c>
      <c r="K155" s="12">
        <f>SUMPRODUCT(-('Diário 1º PA'!$E$4:$E$2635='Analítico Cp.'!$B155),-('Diário 1º PA'!$Q$4:$Q$2635=K$1),('Diário 1º PA'!$F$4:$F$2635))+SUMPRODUCT(-('Diário 2º PA'!$E$4:$E$3040='Analítico Cp.'!$B155),-('Diário 2º PA'!$Q$4:$Q$3040=K$1),('Diário 2º PA'!$F$4:$F$3040))+SUMPRODUCT(-('Diário 3º PA'!$E$4:$E$2731='Analítico Cp.'!$B155),-('Diário 3º PA'!$Q$4:$Q$2731=K$1),('Diário 3º PA'!$F$4:$F$2731))+SUMPRODUCT(-('Diário 4º PA'!$E$4:$E$2564='Analítico Cp.'!$B155),-('Diário 4º PA'!$Q$4:$Q$2564=K$1),('Diário 4º PA'!$F$4:$F$2564))+SUMPRODUCT(-('Comp.'!$D$5:$D$69='Analítico Cp.'!$B155),-('Comp.'!$K$5:$K$69=K$1),('Comp.'!$E$5:$E$69))</f>
        <v>0</v>
      </c>
      <c r="L155" s="12">
        <f>SUMPRODUCT(-('Diário 1º PA'!$E$4:$E$2635='Analítico Cp.'!$B155),-('Diário 1º PA'!$Q$4:$Q$2635=L$1),('Diário 1º PA'!$F$4:$F$2635))+SUMPRODUCT(-('Diário 2º PA'!$E$4:$E$3040='Analítico Cp.'!$B155),-('Diário 2º PA'!$Q$4:$Q$3040=L$1),('Diário 2º PA'!$F$4:$F$3040))+SUMPRODUCT(-('Diário 3º PA'!$E$4:$E$2731='Analítico Cp.'!$B155),-('Diário 3º PA'!$Q$4:$Q$2731=L$1),('Diário 3º PA'!$F$4:$F$2731))+SUMPRODUCT(-('Diário 4º PA'!$E$4:$E$2564='Analítico Cp.'!$B155),-('Diário 4º PA'!$Q$4:$Q$2564=L$1),('Diário 4º PA'!$F$4:$F$2564))+SUMPRODUCT(-('Comp.'!$D$5:$D$69='Analítico Cp.'!$B155),-('Comp.'!$K$5:$K$69=L$1),('Comp.'!$E$5:$E$69))</f>
        <v>0</v>
      </c>
      <c r="M155" s="12">
        <f>SUMPRODUCT(-('Diário 1º PA'!$E$4:$E$2635='Analítico Cp.'!$B155),-('Diário 1º PA'!$Q$4:$Q$2635=M$1),('Diário 1º PA'!$F$4:$F$2635))+SUMPRODUCT(-('Diário 2º PA'!$E$4:$E$3040='Analítico Cp.'!$B155),-('Diário 2º PA'!$Q$4:$Q$3040=M$1),('Diário 2º PA'!$F$4:$F$3040))+SUMPRODUCT(-('Diário 3º PA'!$E$4:$E$2731='Analítico Cp.'!$B155),-('Diário 3º PA'!$Q$4:$Q$2731=M$1),('Diário 3º PA'!$F$4:$F$2731))+SUMPRODUCT(-('Diário 4º PA'!$E$4:$E$2564='Analítico Cp.'!$B155),-('Diário 4º PA'!$Q$4:$Q$2564=M$1),('Diário 4º PA'!$F$4:$F$2564))+SUMPRODUCT(-('Comp.'!$D$5:$D$69='Analítico Cp.'!$B155),-('Comp.'!$K$5:$K$69=M$1),('Comp.'!$E$5:$E$69))</f>
        <v>0</v>
      </c>
      <c r="N155" s="12">
        <f>SUMPRODUCT(-('Diário 1º PA'!$E$4:$E$2635='Analítico Cp.'!$B155),-('Diário 1º PA'!$Q$4:$Q$2635=N$1),('Diário 1º PA'!$F$4:$F$2635))+SUMPRODUCT(-('Diário 2º PA'!$E$4:$E$3040='Analítico Cp.'!$B155),-('Diário 2º PA'!$Q$4:$Q$3040=N$1),('Diário 2º PA'!$F$4:$F$3040))+SUMPRODUCT(-('Diário 3º PA'!$E$4:$E$2731='Analítico Cp.'!$B155),-('Diário 3º PA'!$Q$4:$Q$2731=N$1),('Diário 3º PA'!$F$4:$F$2731))+SUMPRODUCT(-('Diário 4º PA'!$E$4:$E$2564='Analítico Cp.'!$B155),-('Diário 4º PA'!$Q$4:$Q$2564=N$1),('Diário 4º PA'!$F$4:$F$2564))+SUMPRODUCT(-('Comp.'!$D$5:$D$69='Analítico Cp.'!$B155),-('Comp.'!$K$5:$K$69=N$1),('Comp.'!$E$5:$E$69))</f>
        <v>0</v>
      </c>
      <c r="O155" s="13">
        <f t="shared" si="17"/>
        <v>0</v>
      </c>
      <c r="P155" s="167">
        <f t="shared" si="18"/>
        <v>0</v>
      </c>
    </row>
    <row r="156" spans="1:16" ht="23.25" customHeight="1" x14ac:dyDescent="0.2">
      <c r="A156" s="61" t="s">
        <v>137</v>
      </c>
      <c r="B156" s="59" t="s">
        <v>224</v>
      </c>
      <c r="C156" s="12">
        <f>SUMPRODUCT(-('Diário 1º PA'!$E$4:$E$2635='Analítico Cp.'!$B156),-('Diário 1º PA'!$Q$4:$Q$2635=C$1),('Diário 1º PA'!$F$4:$F$2635))+SUMPRODUCT(-('Diário 2º PA'!$E$4:$E$3040='Analítico Cp.'!$B156),-('Diário 2º PA'!$Q$4:$Q$3040=C$1),('Diário 2º PA'!$F$4:$F$3040))+SUMPRODUCT(-('Diário 3º PA'!$E$4:$E$2731='Analítico Cp.'!$B156),-('Diário 3º PA'!$Q$4:$Q$2731=C$1),('Diário 3º PA'!$F$4:$F$2731))+SUMPRODUCT(-('Diário 4º PA'!$E$4:$E$2564='Analítico Cp.'!$B156),-('Diário 4º PA'!$Q$4:$Q$2564=C$1),('Diário 4º PA'!$F$4:$F$2564))+SUMPRODUCT(-('Comp.'!$D$5:$D$69='Analítico Cp.'!$B156),-('Comp.'!$K$5:$K$69=C$1),('Comp.'!$E$5:$E$69))</f>
        <v>0</v>
      </c>
      <c r="D156" s="12">
        <f>SUMPRODUCT(-('Diário 1º PA'!$E$4:$E$2635='Analítico Cp.'!$B156),-('Diário 1º PA'!$Q$4:$Q$2635=D$1),('Diário 1º PA'!$F$4:$F$2635))+SUMPRODUCT(-('Diário 2º PA'!$E$4:$E$3040='Analítico Cp.'!$B156),-('Diário 2º PA'!$Q$4:$Q$3040=D$1),('Diário 2º PA'!$F$4:$F$3040))+SUMPRODUCT(-('Diário 3º PA'!$E$4:$E$2731='Analítico Cp.'!$B156),-('Diário 3º PA'!$Q$4:$Q$2731=D$1),('Diário 3º PA'!$F$4:$F$2731))+SUMPRODUCT(-('Diário 4º PA'!$E$4:$E$2564='Analítico Cp.'!$B156),-('Diário 4º PA'!$Q$4:$Q$2564=D$1),('Diário 4º PA'!$F$4:$F$2564))+SUMPRODUCT(-('Comp.'!$D$5:$D$69='Analítico Cp.'!$B156),-('Comp.'!$K$5:$K$69=D$1),('Comp.'!$E$5:$E$69))</f>
        <v>0</v>
      </c>
      <c r="E156" s="12">
        <f>SUMPRODUCT(-('Diário 1º PA'!$E$4:$E$2635='Analítico Cp.'!$B156),-('Diário 1º PA'!$Q$4:$Q$2635=E$1),('Diário 1º PA'!$F$4:$F$2635))+SUMPRODUCT(-('Diário 2º PA'!$E$4:$E$3040='Analítico Cp.'!$B156),-('Diário 2º PA'!$Q$4:$Q$3040=E$1),('Diário 2º PA'!$F$4:$F$3040))+SUMPRODUCT(-('Diário 3º PA'!$E$4:$E$2731='Analítico Cp.'!$B156),-('Diário 3º PA'!$Q$4:$Q$2731=E$1),('Diário 3º PA'!$F$4:$F$2731))+SUMPRODUCT(-('Diário 4º PA'!$E$4:$E$2564='Analítico Cp.'!$B156),-('Diário 4º PA'!$Q$4:$Q$2564=E$1),('Diário 4º PA'!$F$4:$F$2564))+SUMPRODUCT(-('Comp.'!$D$5:$D$69='Analítico Cp.'!$B156),-('Comp.'!$K$5:$K$69=E$1),('Comp.'!$E$5:$E$69))</f>
        <v>0</v>
      </c>
      <c r="F156" s="12">
        <f>SUMPRODUCT(-('Diário 1º PA'!$E$4:$E$2635='Analítico Cp.'!$B156),-('Diário 1º PA'!$Q$4:$Q$2635=F$1),('Diário 1º PA'!$F$4:$F$2635))+SUMPRODUCT(-('Diário 2º PA'!$E$4:$E$3040='Analítico Cp.'!$B156),-('Diário 2º PA'!$Q$4:$Q$3040=F$1),('Diário 2º PA'!$F$4:$F$3040))+SUMPRODUCT(-('Diário 3º PA'!$E$4:$E$2731='Analítico Cp.'!$B156),-('Diário 3º PA'!$Q$4:$Q$2731=F$1),('Diário 3º PA'!$F$4:$F$2731))+SUMPRODUCT(-('Diário 4º PA'!$E$4:$E$2564='Analítico Cp.'!$B156),-('Diário 4º PA'!$Q$4:$Q$2564=F$1),('Diário 4º PA'!$F$4:$F$2564))+SUMPRODUCT(-('Comp.'!$D$5:$D$69='Analítico Cp.'!$B156),-('Comp.'!$K$5:$K$69=F$1),('Comp.'!$E$5:$E$69))</f>
        <v>0</v>
      </c>
      <c r="G156" s="12">
        <f>SUMPRODUCT(-('Diário 1º PA'!$E$4:$E$2635='Analítico Cp.'!$B156),-('Diário 1º PA'!$Q$4:$Q$2635=G$1),('Diário 1º PA'!$F$4:$F$2635))+SUMPRODUCT(-('Diário 2º PA'!$E$4:$E$3040='Analítico Cp.'!$B156),-('Diário 2º PA'!$Q$4:$Q$3040=G$1),('Diário 2º PA'!$F$4:$F$3040))+SUMPRODUCT(-('Diário 3º PA'!$E$4:$E$2731='Analítico Cp.'!$B156),-('Diário 3º PA'!$Q$4:$Q$2731=G$1),('Diário 3º PA'!$F$4:$F$2731))+SUMPRODUCT(-('Diário 4º PA'!$E$4:$E$2564='Analítico Cp.'!$B156),-('Diário 4º PA'!$Q$4:$Q$2564=G$1),('Diário 4º PA'!$F$4:$F$2564))+SUMPRODUCT(-('Comp.'!$D$5:$D$69='Analítico Cp.'!$B156),-('Comp.'!$K$5:$K$69=G$1),('Comp.'!$E$5:$E$69))</f>
        <v>0</v>
      </c>
      <c r="H156" s="12">
        <f>SUMPRODUCT(-('Diário 1º PA'!$E$4:$E$2635='Analítico Cp.'!$B156),-('Diário 1º PA'!$Q$4:$Q$2635=H$1),('Diário 1º PA'!$F$4:$F$2635))+SUMPRODUCT(-('Diário 2º PA'!$E$4:$E$3040='Analítico Cp.'!$B156),-('Diário 2º PA'!$Q$4:$Q$3040=H$1),('Diário 2º PA'!$F$4:$F$3040))+SUMPRODUCT(-('Diário 3º PA'!$E$4:$E$2731='Analítico Cp.'!$B156),-('Diário 3º PA'!$Q$4:$Q$2731=H$1),('Diário 3º PA'!$F$4:$F$2731))+SUMPRODUCT(-('Diário 4º PA'!$E$4:$E$2564='Analítico Cp.'!$B156),-('Diário 4º PA'!$Q$4:$Q$2564=H$1),('Diário 4º PA'!$F$4:$F$2564))+SUMPRODUCT(-('Comp.'!$D$5:$D$69='Analítico Cp.'!$B156),-('Comp.'!$K$5:$K$69=H$1),('Comp.'!$E$5:$E$69))</f>
        <v>0</v>
      </c>
      <c r="I156" s="12">
        <f>SUMPRODUCT(-('Diário 1º PA'!$E$4:$E$2635='Analítico Cp.'!$B156),-('Diário 1º PA'!$Q$4:$Q$2635=I$1),('Diário 1º PA'!$F$4:$F$2635))+SUMPRODUCT(-('Diário 2º PA'!$E$4:$E$3040='Analítico Cp.'!$B156),-('Diário 2º PA'!$Q$4:$Q$3040=I$1),('Diário 2º PA'!$F$4:$F$3040))+SUMPRODUCT(-('Diário 3º PA'!$E$4:$E$2731='Analítico Cp.'!$B156),-('Diário 3º PA'!$Q$4:$Q$2731=I$1),('Diário 3º PA'!$F$4:$F$2731))+SUMPRODUCT(-('Diário 4º PA'!$E$4:$E$2564='Analítico Cp.'!$B156),-('Diário 4º PA'!$Q$4:$Q$2564=I$1),('Diário 4º PA'!$F$4:$F$2564))+SUMPRODUCT(-('Comp.'!$D$5:$D$69='Analítico Cp.'!$B156),-('Comp.'!$K$5:$K$69=I$1),('Comp.'!$E$5:$E$69))</f>
        <v>0</v>
      </c>
      <c r="J156" s="12">
        <f>SUMPRODUCT(-('Diário 1º PA'!$E$4:$E$2635='Analítico Cp.'!$B156),-('Diário 1º PA'!$Q$4:$Q$2635=J$1),('Diário 1º PA'!$F$4:$F$2635))+SUMPRODUCT(-('Diário 2º PA'!$E$4:$E$3040='Analítico Cp.'!$B156),-('Diário 2º PA'!$Q$4:$Q$3040=J$1),('Diário 2º PA'!$F$4:$F$3040))+SUMPRODUCT(-('Diário 3º PA'!$E$4:$E$2731='Analítico Cp.'!$B156),-('Diário 3º PA'!$Q$4:$Q$2731=J$1),('Diário 3º PA'!$F$4:$F$2731))+SUMPRODUCT(-('Diário 4º PA'!$E$4:$E$2564='Analítico Cp.'!$B156),-('Diário 4º PA'!$Q$4:$Q$2564=J$1),('Diário 4º PA'!$F$4:$F$2564))+SUMPRODUCT(-('Comp.'!$D$5:$D$69='Analítico Cp.'!$B156),-('Comp.'!$K$5:$K$69=J$1),('Comp.'!$E$5:$E$69))</f>
        <v>0</v>
      </c>
      <c r="K156" s="12">
        <f>SUMPRODUCT(-('Diário 1º PA'!$E$4:$E$2635='Analítico Cp.'!$B156),-('Diário 1º PA'!$Q$4:$Q$2635=K$1),('Diário 1º PA'!$F$4:$F$2635))+SUMPRODUCT(-('Diário 2º PA'!$E$4:$E$3040='Analítico Cp.'!$B156),-('Diário 2º PA'!$Q$4:$Q$3040=K$1),('Diário 2º PA'!$F$4:$F$3040))+SUMPRODUCT(-('Diário 3º PA'!$E$4:$E$2731='Analítico Cp.'!$B156),-('Diário 3º PA'!$Q$4:$Q$2731=K$1),('Diário 3º PA'!$F$4:$F$2731))+SUMPRODUCT(-('Diário 4º PA'!$E$4:$E$2564='Analítico Cp.'!$B156),-('Diário 4º PA'!$Q$4:$Q$2564=K$1),('Diário 4º PA'!$F$4:$F$2564))+SUMPRODUCT(-('Comp.'!$D$5:$D$69='Analítico Cp.'!$B156),-('Comp.'!$K$5:$K$69=K$1),('Comp.'!$E$5:$E$69))</f>
        <v>0</v>
      </c>
      <c r="L156" s="12">
        <f>SUMPRODUCT(-('Diário 1º PA'!$E$4:$E$2635='Analítico Cp.'!$B156),-('Diário 1º PA'!$Q$4:$Q$2635=L$1),('Diário 1º PA'!$F$4:$F$2635))+SUMPRODUCT(-('Diário 2º PA'!$E$4:$E$3040='Analítico Cp.'!$B156),-('Diário 2º PA'!$Q$4:$Q$3040=L$1),('Diário 2º PA'!$F$4:$F$3040))+SUMPRODUCT(-('Diário 3º PA'!$E$4:$E$2731='Analítico Cp.'!$B156),-('Diário 3º PA'!$Q$4:$Q$2731=L$1),('Diário 3º PA'!$F$4:$F$2731))+SUMPRODUCT(-('Diário 4º PA'!$E$4:$E$2564='Analítico Cp.'!$B156),-('Diário 4º PA'!$Q$4:$Q$2564=L$1),('Diário 4º PA'!$F$4:$F$2564))+SUMPRODUCT(-('Comp.'!$D$5:$D$69='Analítico Cp.'!$B156),-('Comp.'!$K$5:$K$69=L$1),('Comp.'!$E$5:$E$69))</f>
        <v>0</v>
      </c>
      <c r="M156" s="12">
        <f>SUMPRODUCT(-('Diário 1º PA'!$E$4:$E$2635='Analítico Cp.'!$B156),-('Diário 1º PA'!$Q$4:$Q$2635=M$1),('Diário 1º PA'!$F$4:$F$2635))+SUMPRODUCT(-('Diário 2º PA'!$E$4:$E$3040='Analítico Cp.'!$B156),-('Diário 2º PA'!$Q$4:$Q$3040=M$1),('Diário 2º PA'!$F$4:$F$3040))+SUMPRODUCT(-('Diário 3º PA'!$E$4:$E$2731='Analítico Cp.'!$B156),-('Diário 3º PA'!$Q$4:$Q$2731=M$1),('Diário 3º PA'!$F$4:$F$2731))+SUMPRODUCT(-('Diário 4º PA'!$E$4:$E$2564='Analítico Cp.'!$B156),-('Diário 4º PA'!$Q$4:$Q$2564=M$1),('Diário 4º PA'!$F$4:$F$2564))+SUMPRODUCT(-('Comp.'!$D$5:$D$69='Analítico Cp.'!$B156),-('Comp.'!$K$5:$K$69=M$1),('Comp.'!$E$5:$E$69))</f>
        <v>0</v>
      </c>
      <c r="N156" s="12">
        <f>SUMPRODUCT(-('Diário 1º PA'!$E$4:$E$2635='Analítico Cp.'!$B156),-('Diário 1º PA'!$Q$4:$Q$2635=N$1),('Diário 1º PA'!$F$4:$F$2635))+SUMPRODUCT(-('Diário 2º PA'!$E$4:$E$3040='Analítico Cp.'!$B156),-('Diário 2º PA'!$Q$4:$Q$3040=N$1),('Diário 2º PA'!$F$4:$F$3040))+SUMPRODUCT(-('Diário 3º PA'!$E$4:$E$2731='Analítico Cp.'!$B156),-('Diário 3º PA'!$Q$4:$Q$2731=N$1),('Diário 3º PA'!$F$4:$F$2731))+SUMPRODUCT(-('Diário 4º PA'!$E$4:$E$2564='Analítico Cp.'!$B156),-('Diário 4º PA'!$Q$4:$Q$2564=N$1),('Diário 4º PA'!$F$4:$F$2564))+SUMPRODUCT(-('Comp.'!$D$5:$D$69='Analítico Cp.'!$B156),-('Comp.'!$K$5:$K$69=N$1),('Comp.'!$E$5:$E$69))</f>
        <v>0</v>
      </c>
      <c r="O156" s="13">
        <f t="shared" si="17"/>
        <v>0</v>
      </c>
      <c r="P156" s="167">
        <f t="shared" si="18"/>
        <v>0</v>
      </c>
    </row>
    <row r="157" spans="1:16" ht="23.25" customHeight="1" x14ac:dyDescent="0.2">
      <c r="A157" s="61" t="s">
        <v>138</v>
      </c>
      <c r="B157" s="59" t="s">
        <v>229</v>
      </c>
      <c r="C157" s="12">
        <f>SUMPRODUCT(-('Diário 1º PA'!$E$4:$E$2635='Analítico Cp.'!$B157),-('Diário 1º PA'!$Q$4:$Q$2635=C$1),('Diário 1º PA'!$F$4:$F$2635))+SUMPRODUCT(-('Diário 2º PA'!$E$4:$E$3040='Analítico Cp.'!$B157),-('Diário 2º PA'!$Q$4:$Q$3040=C$1),('Diário 2º PA'!$F$4:$F$3040))+SUMPRODUCT(-('Diário 3º PA'!$E$4:$E$2731='Analítico Cp.'!$B157),-('Diário 3º PA'!$Q$4:$Q$2731=C$1),('Diário 3º PA'!$F$4:$F$2731))+SUMPRODUCT(-('Diário 4º PA'!$E$4:$E$2564='Analítico Cp.'!$B157),-('Diário 4º PA'!$Q$4:$Q$2564=C$1),('Diário 4º PA'!$F$4:$F$2564))+SUMPRODUCT(-('Comp.'!$D$5:$D$69='Analítico Cp.'!$B157),-('Comp.'!$K$5:$K$69=C$1),('Comp.'!$E$5:$E$69))</f>
        <v>0</v>
      </c>
      <c r="D157" s="12">
        <f>SUMPRODUCT(-('Diário 1º PA'!$E$4:$E$2635='Analítico Cp.'!$B157),-('Diário 1º PA'!$Q$4:$Q$2635=D$1),('Diário 1º PA'!$F$4:$F$2635))+SUMPRODUCT(-('Diário 2º PA'!$E$4:$E$3040='Analítico Cp.'!$B157),-('Diário 2º PA'!$Q$4:$Q$3040=D$1),('Diário 2º PA'!$F$4:$F$3040))+SUMPRODUCT(-('Diário 3º PA'!$E$4:$E$2731='Analítico Cp.'!$B157),-('Diário 3º PA'!$Q$4:$Q$2731=D$1),('Diário 3º PA'!$F$4:$F$2731))+SUMPRODUCT(-('Diário 4º PA'!$E$4:$E$2564='Analítico Cp.'!$B157),-('Diário 4º PA'!$Q$4:$Q$2564=D$1),('Diário 4º PA'!$F$4:$F$2564))+SUMPRODUCT(-('Comp.'!$D$5:$D$69='Analítico Cp.'!$B157),-('Comp.'!$K$5:$K$69=D$1),('Comp.'!$E$5:$E$69))</f>
        <v>0</v>
      </c>
      <c r="E157" s="12">
        <f>SUMPRODUCT(-('Diário 1º PA'!$E$4:$E$2635='Analítico Cp.'!$B157),-('Diário 1º PA'!$Q$4:$Q$2635=E$1),('Diário 1º PA'!$F$4:$F$2635))+SUMPRODUCT(-('Diário 2º PA'!$E$4:$E$3040='Analítico Cp.'!$B157),-('Diário 2º PA'!$Q$4:$Q$3040=E$1),('Diário 2º PA'!$F$4:$F$3040))+SUMPRODUCT(-('Diário 3º PA'!$E$4:$E$2731='Analítico Cp.'!$B157),-('Diário 3º PA'!$Q$4:$Q$2731=E$1),('Diário 3º PA'!$F$4:$F$2731))+SUMPRODUCT(-('Diário 4º PA'!$E$4:$E$2564='Analítico Cp.'!$B157),-('Diário 4º PA'!$Q$4:$Q$2564=E$1),('Diário 4º PA'!$F$4:$F$2564))+SUMPRODUCT(-('Comp.'!$D$5:$D$69='Analítico Cp.'!$B157),-('Comp.'!$K$5:$K$69=E$1),('Comp.'!$E$5:$E$69))</f>
        <v>0</v>
      </c>
      <c r="F157" s="12">
        <f>SUMPRODUCT(-('Diário 1º PA'!$E$4:$E$2635='Analítico Cp.'!$B157),-('Diário 1º PA'!$Q$4:$Q$2635=F$1),('Diário 1º PA'!$F$4:$F$2635))+SUMPRODUCT(-('Diário 2º PA'!$E$4:$E$3040='Analítico Cp.'!$B157),-('Diário 2º PA'!$Q$4:$Q$3040=F$1),('Diário 2º PA'!$F$4:$F$3040))+SUMPRODUCT(-('Diário 3º PA'!$E$4:$E$2731='Analítico Cp.'!$B157),-('Diário 3º PA'!$Q$4:$Q$2731=F$1),('Diário 3º PA'!$F$4:$F$2731))+SUMPRODUCT(-('Diário 4º PA'!$E$4:$E$2564='Analítico Cp.'!$B157),-('Diário 4º PA'!$Q$4:$Q$2564=F$1),('Diário 4º PA'!$F$4:$F$2564))+SUMPRODUCT(-('Comp.'!$D$5:$D$69='Analítico Cp.'!$B157),-('Comp.'!$K$5:$K$69=F$1),('Comp.'!$E$5:$E$69))</f>
        <v>0</v>
      </c>
      <c r="G157" s="12">
        <f>SUMPRODUCT(-('Diário 1º PA'!$E$4:$E$2635='Analítico Cp.'!$B157),-('Diário 1º PA'!$Q$4:$Q$2635=G$1),('Diário 1º PA'!$F$4:$F$2635))+SUMPRODUCT(-('Diário 2º PA'!$E$4:$E$3040='Analítico Cp.'!$B157),-('Diário 2º PA'!$Q$4:$Q$3040=G$1),('Diário 2º PA'!$F$4:$F$3040))+SUMPRODUCT(-('Diário 3º PA'!$E$4:$E$2731='Analítico Cp.'!$B157),-('Diário 3º PA'!$Q$4:$Q$2731=G$1),('Diário 3º PA'!$F$4:$F$2731))+SUMPRODUCT(-('Diário 4º PA'!$E$4:$E$2564='Analítico Cp.'!$B157),-('Diário 4º PA'!$Q$4:$Q$2564=G$1),('Diário 4º PA'!$F$4:$F$2564))+SUMPRODUCT(-('Comp.'!$D$5:$D$69='Analítico Cp.'!$B157),-('Comp.'!$K$5:$K$69=G$1),('Comp.'!$E$5:$E$69))</f>
        <v>0</v>
      </c>
      <c r="H157" s="12">
        <f>SUMPRODUCT(-('Diário 1º PA'!$E$4:$E$2635='Analítico Cp.'!$B157),-('Diário 1º PA'!$Q$4:$Q$2635=H$1),('Diário 1º PA'!$F$4:$F$2635))+SUMPRODUCT(-('Diário 2º PA'!$E$4:$E$3040='Analítico Cp.'!$B157),-('Diário 2º PA'!$Q$4:$Q$3040=H$1),('Diário 2º PA'!$F$4:$F$3040))+SUMPRODUCT(-('Diário 3º PA'!$E$4:$E$2731='Analítico Cp.'!$B157),-('Diário 3º PA'!$Q$4:$Q$2731=H$1),('Diário 3º PA'!$F$4:$F$2731))+SUMPRODUCT(-('Diário 4º PA'!$E$4:$E$2564='Analítico Cp.'!$B157),-('Diário 4º PA'!$Q$4:$Q$2564=H$1),('Diário 4º PA'!$F$4:$F$2564))+SUMPRODUCT(-('Comp.'!$D$5:$D$69='Analítico Cp.'!$B157),-('Comp.'!$K$5:$K$69=H$1),('Comp.'!$E$5:$E$69))</f>
        <v>0</v>
      </c>
      <c r="I157" s="12">
        <f>SUMPRODUCT(-('Diário 1º PA'!$E$4:$E$2635='Analítico Cp.'!$B157),-('Diário 1º PA'!$Q$4:$Q$2635=I$1),('Diário 1º PA'!$F$4:$F$2635))+SUMPRODUCT(-('Diário 2º PA'!$E$4:$E$3040='Analítico Cp.'!$B157),-('Diário 2º PA'!$Q$4:$Q$3040=I$1),('Diário 2º PA'!$F$4:$F$3040))+SUMPRODUCT(-('Diário 3º PA'!$E$4:$E$2731='Analítico Cp.'!$B157),-('Diário 3º PA'!$Q$4:$Q$2731=I$1),('Diário 3º PA'!$F$4:$F$2731))+SUMPRODUCT(-('Diário 4º PA'!$E$4:$E$2564='Analítico Cp.'!$B157),-('Diário 4º PA'!$Q$4:$Q$2564=I$1),('Diário 4º PA'!$F$4:$F$2564))+SUMPRODUCT(-('Comp.'!$D$5:$D$69='Analítico Cp.'!$B157),-('Comp.'!$K$5:$K$69=I$1),('Comp.'!$E$5:$E$69))</f>
        <v>0</v>
      </c>
      <c r="J157" s="12">
        <f>SUMPRODUCT(-('Diário 1º PA'!$E$4:$E$2635='Analítico Cp.'!$B157),-('Diário 1º PA'!$Q$4:$Q$2635=J$1),('Diário 1º PA'!$F$4:$F$2635))+SUMPRODUCT(-('Diário 2º PA'!$E$4:$E$3040='Analítico Cp.'!$B157),-('Diário 2º PA'!$Q$4:$Q$3040=J$1),('Diário 2º PA'!$F$4:$F$3040))+SUMPRODUCT(-('Diário 3º PA'!$E$4:$E$2731='Analítico Cp.'!$B157),-('Diário 3º PA'!$Q$4:$Q$2731=J$1),('Diário 3º PA'!$F$4:$F$2731))+SUMPRODUCT(-('Diário 4º PA'!$E$4:$E$2564='Analítico Cp.'!$B157),-('Diário 4º PA'!$Q$4:$Q$2564=J$1),('Diário 4º PA'!$F$4:$F$2564))+SUMPRODUCT(-('Comp.'!$D$5:$D$69='Analítico Cp.'!$B157),-('Comp.'!$K$5:$K$69=J$1),('Comp.'!$E$5:$E$69))</f>
        <v>0</v>
      </c>
      <c r="K157" s="12">
        <f>SUMPRODUCT(-('Diário 1º PA'!$E$4:$E$2635='Analítico Cp.'!$B157),-('Diário 1º PA'!$Q$4:$Q$2635=K$1),('Diário 1º PA'!$F$4:$F$2635))+SUMPRODUCT(-('Diário 2º PA'!$E$4:$E$3040='Analítico Cp.'!$B157),-('Diário 2º PA'!$Q$4:$Q$3040=K$1),('Diário 2º PA'!$F$4:$F$3040))+SUMPRODUCT(-('Diário 3º PA'!$E$4:$E$2731='Analítico Cp.'!$B157),-('Diário 3º PA'!$Q$4:$Q$2731=K$1),('Diário 3º PA'!$F$4:$F$2731))+SUMPRODUCT(-('Diário 4º PA'!$E$4:$E$2564='Analítico Cp.'!$B157),-('Diário 4º PA'!$Q$4:$Q$2564=K$1),('Diário 4º PA'!$F$4:$F$2564))+SUMPRODUCT(-('Comp.'!$D$5:$D$69='Analítico Cp.'!$B157),-('Comp.'!$K$5:$K$69=K$1),('Comp.'!$E$5:$E$69))</f>
        <v>0</v>
      </c>
      <c r="L157" s="12">
        <f>SUMPRODUCT(-('Diário 1º PA'!$E$4:$E$2635='Analítico Cp.'!$B157),-('Diário 1º PA'!$Q$4:$Q$2635=L$1),('Diário 1º PA'!$F$4:$F$2635))+SUMPRODUCT(-('Diário 2º PA'!$E$4:$E$3040='Analítico Cp.'!$B157),-('Diário 2º PA'!$Q$4:$Q$3040=L$1),('Diário 2º PA'!$F$4:$F$3040))+SUMPRODUCT(-('Diário 3º PA'!$E$4:$E$2731='Analítico Cp.'!$B157),-('Diário 3º PA'!$Q$4:$Q$2731=L$1),('Diário 3º PA'!$F$4:$F$2731))+SUMPRODUCT(-('Diário 4º PA'!$E$4:$E$2564='Analítico Cp.'!$B157),-('Diário 4º PA'!$Q$4:$Q$2564=L$1),('Diário 4º PA'!$F$4:$F$2564))+SUMPRODUCT(-('Comp.'!$D$5:$D$69='Analítico Cp.'!$B157),-('Comp.'!$K$5:$K$69=L$1),('Comp.'!$E$5:$E$69))</f>
        <v>0</v>
      </c>
      <c r="M157" s="12">
        <f>SUMPRODUCT(-('Diário 1º PA'!$E$4:$E$2635='Analítico Cp.'!$B157),-('Diário 1º PA'!$Q$4:$Q$2635=M$1),('Diário 1º PA'!$F$4:$F$2635))+SUMPRODUCT(-('Diário 2º PA'!$E$4:$E$3040='Analítico Cp.'!$B157),-('Diário 2º PA'!$Q$4:$Q$3040=M$1),('Diário 2º PA'!$F$4:$F$3040))+SUMPRODUCT(-('Diário 3º PA'!$E$4:$E$2731='Analítico Cp.'!$B157),-('Diário 3º PA'!$Q$4:$Q$2731=M$1),('Diário 3º PA'!$F$4:$F$2731))+SUMPRODUCT(-('Diário 4º PA'!$E$4:$E$2564='Analítico Cp.'!$B157),-('Diário 4º PA'!$Q$4:$Q$2564=M$1),('Diário 4º PA'!$F$4:$F$2564))+SUMPRODUCT(-('Comp.'!$D$5:$D$69='Analítico Cp.'!$B157),-('Comp.'!$K$5:$K$69=M$1),('Comp.'!$E$5:$E$69))</f>
        <v>0</v>
      </c>
      <c r="N157" s="12">
        <f>SUMPRODUCT(-('Diário 1º PA'!$E$4:$E$2635='Analítico Cp.'!$B157),-('Diário 1º PA'!$Q$4:$Q$2635=N$1),('Diário 1º PA'!$F$4:$F$2635))+SUMPRODUCT(-('Diário 2º PA'!$E$4:$E$3040='Analítico Cp.'!$B157),-('Diário 2º PA'!$Q$4:$Q$3040=N$1),('Diário 2º PA'!$F$4:$F$3040))+SUMPRODUCT(-('Diário 3º PA'!$E$4:$E$2731='Analítico Cp.'!$B157),-('Diário 3º PA'!$Q$4:$Q$2731=N$1),('Diário 3º PA'!$F$4:$F$2731))+SUMPRODUCT(-('Diário 4º PA'!$E$4:$E$2564='Analítico Cp.'!$B157),-('Diário 4º PA'!$Q$4:$Q$2564=N$1),('Diário 4º PA'!$F$4:$F$2564))+SUMPRODUCT(-('Comp.'!$D$5:$D$69='Analítico Cp.'!$B157),-('Comp.'!$K$5:$K$69=N$1),('Comp.'!$E$5:$E$69))</f>
        <v>0</v>
      </c>
      <c r="O157" s="13">
        <f t="shared" si="17"/>
        <v>0</v>
      </c>
      <c r="P157" s="167">
        <f t="shared" si="18"/>
        <v>0</v>
      </c>
    </row>
    <row r="158" spans="1:16" ht="23.25" customHeight="1" x14ac:dyDescent="0.2">
      <c r="A158" s="61" t="s">
        <v>140</v>
      </c>
      <c r="B158" s="59" t="s">
        <v>227</v>
      </c>
      <c r="C158" s="12">
        <f>SUMPRODUCT(-('Diário 1º PA'!$E$4:$E$2635='Analítico Cp.'!$B158),-('Diário 1º PA'!$Q$4:$Q$2635=C$1),('Diário 1º PA'!$F$4:$F$2635))+SUMPRODUCT(-('Diário 2º PA'!$E$4:$E$3040='Analítico Cp.'!$B158),-('Diário 2º PA'!$Q$4:$Q$3040=C$1),('Diário 2º PA'!$F$4:$F$3040))+SUMPRODUCT(-('Diário 3º PA'!$E$4:$E$2731='Analítico Cp.'!$B158),-('Diário 3º PA'!$Q$4:$Q$2731=C$1),('Diário 3º PA'!$F$4:$F$2731))+SUMPRODUCT(-('Diário 4º PA'!$E$4:$E$2564='Analítico Cp.'!$B158),-('Diário 4º PA'!$Q$4:$Q$2564=C$1),('Diário 4º PA'!$F$4:$F$2564))+SUMPRODUCT(-('Comp.'!$D$5:$D$69='Analítico Cp.'!$B158),-('Comp.'!$K$5:$K$69=C$1),('Comp.'!$E$5:$E$69))</f>
        <v>0</v>
      </c>
      <c r="D158" s="12">
        <f>SUMPRODUCT(-('Diário 1º PA'!$E$4:$E$2635='Analítico Cp.'!$B158),-('Diário 1º PA'!$Q$4:$Q$2635=D$1),('Diário 1º PA'!$F$4:$F$2635))+SUMPRODUCT(-('Diário 2º PA'!$E$4:$E$3040='Analítico Cp.'!$B158),-('Diário 2º PA'!$Q$4:$Q$3040=D$1),('Diário 2º PA'!$F$4:$F$3040))+SUMPRODUCT(-('Diário 3º PA'!$E$4:$E$2731='Analítico Cp.'!$B158),-('Diário 3º PA'!$Q$4:$Q$2731=D$1),('Diário 3º PA'!$F$4:$F$2731))+SUMPRODUCT(-('Diário 4º PA'!$E$4:$E$2564='Analítico Cp.'!$B158),-('Diário 4º PA'!$Q$4:$Q$2564=D$1),('Diário 4º PA'!$F$4:$F$2564))+SUMPRODUCT(-('Comp.'!$D$5:$D$69='Analítico Cp.'!$B158),-('Comp.'!$K$5:$K$69=D$1),('Comp.'!$E$5:$E$69))</f>
        <v>0</v>
      </c>
      <c r="E158" s="12">
        <f>SUMPRODUCT(-('Diário 1º PA'!$E$4:$E$2635='Analítico Cp.'!$B158),-('Diário 1º PA'!$Q$4:$Q$2635=E$1),('Diário 1º PA'!$F$4:$F$2635))+SUMPRODUCT(-('Diário 2º PA'!$E$4:$E$3040='Analítico Cp.'!$B158),-('Diário 2º PA'!$Q$4:$Q$3040=E$1),('Diário 2º PA'!$F$4:$F$3040))+SUMPRODUCT(-('Diário 3º PA'!$E$4:$E$2731='Analítico Cp.'!$B158),-('Diário 3º PA'!$Q$4:$Q$2731=E$1),('Diário 3º PA'!$F$4:$F$2731))+SUMPRODUCT(-('Diário 4º PA'!$E$4:$E$2564='Analítico Cp.'!$B158),-('Diário 4º PA'!$Q$4:$Q$2564=E$1),('Diário 4º PA'!$F$4:$F$2564))+SUMPRODUCT(-('Comp.'!$D$5:$D$69='Analítico Cp.'!$B158),-('Comp.'!$K$5:$K$69=E$1),('Comp.'!$E$5:$E$69))</f>
        <v>0</v>
      </c>
      <c r="F158" s="12">
        <f>SUMPRODUCT(-('Diário 1º PA'!$E$4:$E$2635='Analítico Cp.'!$B158),-('Diário 1º PA'!$Q$4:$Q$2635=F$1),('Diário 1º PA'!$F$4:$F$2635))+SUMPRODUCT(-('Diário 2º PA'!$E$4:$E$3040='Analítico Cp.'!$B158),-('Diário 2º PA'!$Q$4:$Q$3040=F$1),('Diário 2º PA'!$F$4:$F$3040))+SUMPRODUCT(-('Diário 3º PA'!$E$4:$E$2731='Analítico Cp.'!$B158),-('Diário 3º PA'!$Q$4:$Q$2731=F$1),('Diário 3º PA'!$F$4:$F$2731))+SUMPRODUCT(-('Diário 4º PA'!$E$4:$E$2564='Analítico Cp.'!$B158),-('Diário 4º PA'!$Q$4:$Q$2564=F$1),('Diário 4º PA'!$F$4:$F$2564))+SUMPRODUCT(-('Comp.'!$D$5:$D$69='Analítico Cp.'!$B158),-('Comp.'!$K$5:$K$69=F$1),('Comp.'!$E$5:$E$69))</f>
        <v>0</v>
      </c>
      <c r="G158" s="12">
        <f>SUMPRODUCT(-('Diário 1º PA'!$E$4:$E$2635='Analítico Cp.'!$B158),-('Diário 1º PA'!$Q$4:$Q$2635=G$1),('Diário 1º PA'!$F$4:$F$2635))+SUMPRODUCT(-('Diário 2º PA'!$E$4:$E$3040='Analítico Cp.'!$B158),-('Diário 2º PA'!$Q$4:$Q$3040=G$1),('Diário 2º PA'!$F$4:$F$3040))+SUMPRODUCT(-('Diário 3º PA'!$E$4:$E$2731='Analítico Cp.'!$B158),-('Diário 3º PA'!$Q$4:$Q$2731=G$1),('Diário 3º PA'!$F$4:$F$2731))+SUMPRODUCT(-('Diário 4º PA'!$E$4:$E$2564='Analítico Cp.'!$B158),-('Diário 4º PA'!$Q$4:$Q$2564=G$1),('Diário 4º PA'!$F$4:$F$2564))+SUMPRODUCT(-('Comp.'!$D$5:$D$69='Analítico Cp.'!$B158),-('Comp.'!$K$5:$K$69=G$1),('Comp.'!$E$5:$E$69))</f>
        <v>0</v>
      </c>
      <c r="H158" s="12">
        <f>SUMPRODUCT(-('Diário 1º PA'!$E$4:$E$2635='Analítico Cp.'!$B158),-('Diário 1º PA'!$Q$4:$Q$2635=H$1),('Diário 1º PA'!$F$4:$F$2635))+SUMPRODUCT(-('Diário 2º PA'!$E$4:$E$3040='Analítico Cp.'!$B158),-('Diário 2º PA'!$Q$4:$Q$3040=H$1),('Diário 2º PA'!$F$4:$F$3040))+SUMPRODUCT(-('Diário 3º PA'!$E$4:$E$2731='Analítico Cp.'!$B158),-('Diário 3º PA'!$Q$4:$Q$2731=H$1),('Diário 3º PA'!$F$4:$F$2731))+SUMPRODUCT(-('Diário 4º PA'!$E$4:$E$2564='Analítico Cp.'!$B158),-('Diário 4º PA'!$Q$4:$Q$2564=H$1),('Diário 4º PA'!$F$4:$F$2564))+SUMPRODUCT(-('Comp.'!$D$5:$D$69='Analítico Cp.'!$B158),-('Comp.'!$K$5:$K$69=H$1),('Comp.'!$E$5:$E$69))</f>
        <v>0</v>
      </c>
      <c r="I158" s="12">
        <f>SUMPRODUCT(-('Diário 1º PA'!$E$4:$E$2635='Analítico Cp.'!$B158),-('Diário 1º PA'!$Q$4:$Q$2635=I$1),('Diário 1º PA'!$F$4:$F$2635))+SUMPRODUCT(-('Diário 2º PA'!$E$4:$E$3040='Analítico Cp.'!$B158),-('Diário 2º PA'!$Q$4:$Q$3040=I$1),('Diário 2º PA'!$F$4:$F$3040))+SUMPRODUCT(-('Diário 3º PA'!$E$4:$E$2731='Analítico Cp.'!$B158),-('Diário 3º PA'!$Q$4:$Q$2731=I$1),('Diário 3º PA'!$F$4:$F$2731))+SUMPRODUCT(-('Diário 4º PA'!$E$4:$E$2564='Analítico Cp.'!$B158),-('Diário 4º PA'!$Q$4:$Q$2564=I$1),('Diário 4º PA'!$F$4:$F$2564))+SUMPRODUCT(-('Comp.'!$D$5:$D$69='Analítico Cp.'!$B158),-('Comp.'!$K$5:$K$69=I$1),('Comp.'!$E$5:$E$69))</f>
        <v>0</v>
      </c>
      <c r="J158" s="12">
        <f>SUMPRODUCT(-('Diário 1º PA'!$E$4:$E$2635='Analítico Cp.'!$B158),-('Diário 1º PA'!$Q$4:$Q$2635=J$1),('Diário 1º PA'!$F$4:$F$2635))+SUMPRODUCT(-('Diário 2º PA'!$E$4:$E$3040='Analítico Cp.'!$B158),-('Diário 2º PA'!$Q$4:$Q$3040=J$1),('Diário 2º PA'!$F$4:$F$3040))+SUMPRODUCT(-('Diário 3º PA'!$E$4:$E$2731='Analítico Cp.'!$B158),-('Diário 3º PA'!$Q$4:$Q$2731=J$1),('Diário 3º PA'!$F$4:$F$2731))+SUMPRODUCT(-('Diário 4º PA'!$E$4:$E$2564='Analítico Cp.'!$B158),-('Diário 4º PA'!$Q$4:$Q$2564=J$1),('Diário 4º PA'!$F$4:$F$2564))+SUMPRODUCT(-('Comp.'!$D$5:$D$69='Analítico Cp.'!$B158),-('Comp.'!$K$5:$K$69=J$1),('Comp.'!$E$5:$E$69))</f>
        <v>0</v>
      </c>
      <c r="K158" s="12">
        <f>SUMPRODUCT(-('Diário 1º PA'!$E$4:$E$2635='Analítico Cp.'!$B158),-('Diário 1º PA'!$Q$4:$Q$2635=K$1),('Diário 1º PA'!$F$4:$F$2635))+SUMPRODUCT(-('Diário 2º PA'!$E$4:$E$3040='Analítico Cp.'!$B158),-('Diário 2º PA'!$Q$4:$Q$3040=K$1),('Diário 2º PA'!$F$4:$F$3040))+SUMPRODUCT(-('Diário 3º PA'!$E$4:$E$2731='Analítico Cp.'!$B158),-('Diário 3º PA'!$Q$4:$Q$2731=K$1),('Diário 3º PA'!$F$4:$F$2731))+SUMPRODUCT(-('Diário 4º PA'!$E$4:$E$2564='Analítico Cp.'!$B158),-('Diário 4º PA'!$Q$4:$Q$2564=K$1),('Diário 4º PA'!$F$4:$F$2564))+SUMPRODUCT(-('Comp.'!$D$5:$D$69='Analítico Cp.'!$B158),-('Comp.'!$K$5:$K$69=K$1),('Comp.'!$E$5:$E$69))</f>
        <v>0</v>
      </c>
      <c r="L158" s="12">
        <f>SUMPRODUCT(-('Diário 1º PA'!$E$4:$E$2635='Analítico Cp.'!$B158),-('Diário 1º PA'!$Q$4:$Q$2635=L$1),('Diário 1º PA'!$F$4:$F$2635))+SUMPRODUCT(-('Diário 2º PA'!$E$4:$E$3040='Analítico Cp.'!$B158),-('Diário 2º PA'!$Q$4:$Q$3040=L$1),('Diário 2º PA'!$F$4:$F$3040))+SUMPRODUCT(-('Diário 3º PA'!$E$4:$E$2731='Analítico Cp.'!$B158),-('Diário 3º PA'!$Q$4:$Q$2731=L$1),('Diário 3º PA'!$F$4:$F$2731))+SUMPRODUCT(-('Diário 4º PA'!$E$4:$E$2564='Analítico Cp.'!$B158),-('Diário 4º PA'!$Q$4:$Q$2564=L$1),('Diário 4º PA'!$F$4:$F$2564))+SUMPRODUCT(-('Comp.'!$D$5:$D$69='Analítico Cp.'!$B158),-('Comp.'!$K$5:$K$69=L$1),('Comp.'!$E$5:$E$69))</f>
        <v>0</v>
      </c>
      <c r="M158" s="12">
        <f>SUMPRODUCT(-('Diário 1º PA'!$E$4:$E$2635='Analítico Cp.'!$B158),-('Diário 1º PA'!$Q$4:$Q$2635=M$1),('Diário 1º PA'!$F$4:$F$2635))+SUMPRODUCT(-('Diário 2º PA'!$E$4:$E$3040='Analítico Cp.'!$B158),-('Diário 2º PA'!$Q$4:$Q$3040=M$1),('Diário 2º PA'!$F$4:$F$3040))+SUMPRODUCT(-('Diário 3º PA'!$E$4:$E$2731='Analítico Cp.'!$B158),-('Diário 3º PA'!$Q$4:$Q$2731=M$1),('Diário 3º PA'!$F$4:$F$2731))+SUMPRODUCT(-('Diário 4º PA'!$E$4:$E$2564='Analítico Cp.'!$B158),-('Diário 4º PA'!$Q$4:$Q$2564=M$1),('Diário 4º PA'!$F$4:$F$2564))+SUMPRODUCT(-('Comp.'!$D$5:$D$69='Analítico Cp.'!$B158),-('Comp.'!$K$5:$K$69=M$1),('Comp.'!$E$5:$E$69))</f>
        <v>0</v>
      </c>
      <c r="N158" s="12">
        <f>SUMPRODUCT(-('Diário 1º PA'!$E$4:$E$2635='Analítico Cp.'!$B158),-('Diário 1º PA'!$Q$4:$Q$2635=N$1),('Diário 1º PA'!$F$4:$F$2635))+SUMPRODUCT(-('Diário 2º PA'!$E$4:$E$3040='Analítico Cp.'!$B158),-('Diário 2º PA'!$Q$4:$Q$3040=N$1),('Diário 2º PA'!$F$4:$F$3040))+SUMPRODUCT(-('Diário 3º PA'!$E$4:$E$2731='Analítico Cp.'!$B158),-('Diário 3º PA'!$Q$4:$Q$2731=N$1),('Diário 3º PA'!$F$4:$F$2731))+SUMPRODUCT(-('Diário 4º PA'!$E$4:$E$2564='Analítico Cp.'!$B158),-('Diário 4º PA'!$Q$4:$Q$2564=N$1),('Diário 4º PA'!$F$4:$F$2564))+SUMPRODUCT(-('Comp.'!$D$5:$D$69='Analítico Cp.'!$B158),-('Comp.'!$K$5:$K$69=N$1),('Comp.'!$E$5:$E$69))</f>
        <v>0</v>
      </c>
      <c r="O158" s="13">
        <f t="shared" si="17"/>
        <v>0</v>
      </c>
      <c r="P158" s="167">
        <f t="shared" si="18"/>
        <v>0</v>
      </c>
    </row>
    <row r="159" spans="1:16" ht="23.25" customHeight="1" x14ac:dyDescent="0.2">
      <c r="A159" s="61" t="s">
        <v>142</v>
      </c>
      <c r="B159" s="59" t="s">
        <v>232</v>
      </c>
      <c r="C159" s="12">
        <f>SUMPRODUCT(-('Diário 1º PA'!$E$4:$E$2635='Analítico Cp.'!$B159),-('Diário 1º PA'!$Q$4:$Q$2635=C$1),('Diário 1º PA'!$F$4:$F$2635))+SUMPRODUCT(-('Diário 2º PA'!$E$4:$E$3040='Analítico Cp.'!$B159),-('Diário 2º PA'!$Q$4:$Q$3040=C$1),('Diário 2º PA'!$F$4:$F$3040))+SUMPRODUCT(-('Diário 3º PA'!$E$4:$E$2731='Analítico Cp.'!$B159),-('Diário 3º PA'!$Q$4:$Q$2731=C$1),('Diário 3º PA'!$F$4:$F$2731))+SUMPRODUCT(-('Diário 4º PA'!$E$4:$E$2564='Analítico Cp.'!$B159),-('Diário 4º PA'!$Q$4:$Q$2564=C$1),('Diário 4º PA'!$F$4:$F$2564))+SUMPRODUCT(-('Comp.'!$D$5:$D$69='Analítico Cp.'!$B159),-('Comp.'!$K$5:$K$69=C$1),('Comp.'!$E$5:$E$69))</f>
        <v>0</v>
      </c>
      <c r="D159" s="12">
        <f>SUMPRODUCT(-('Diário 1º PA'!$E$4:$E$2635='Analítico Cp.'!$B159),-('Diário 1º PA'!$Q$4:$Q$2635=D$1),('Diário 1º PA'!$F$4:$F$2635))+SUMPRODUCT(-('Diário 2º PA'!$E$4:$E$3040='Analítico Cp.'!$B159),-('Diário 2º PA'!$Q$4:$Q$3040=D$1),('Diário 2º PA'!$F$4:$F$3040))+SUMPRODUCT(-('Diário 3º PA'!$E$4:$E$2731='Analítico Cp.'!$B159),-('Diário 3º PA'!$Q$4:$Q$2731=D$1),('Diário 3º PA'!$F$4:$F$2731))+SUMPRODUCT(-('Diário 4º PA'!$E$4:$E$2564='Analítico Cp.'!$B159),-('Diário 4º PA'!$Q$4:$Q$2564=D$1),('Diário 4º PA'!$F$4:$F$2564))+SUMPRODUCT(-('Comp.'!$D$5:$D$69='Analítico Cp.'!$B159),-('Comp.'!$K$5:$K$69=D$1),('Comp.'!$E$5:$E$69))</f>
        <v>0</v>
      </c>
      <c r="E159" s="12">
        <f>SUMPRODUCT(-('Diário 1º PA'!$E$4:$E$2635='Analítico Cp.'!$B159),-('Diário 1º PA'!$Q$4:$Q$2635=E$1),('Diário 1º PA'!$F$4:$F$2635))+SUMPRODUCT(-('Diário 2º PA'!$E$4:$E$3040='Analítico Cp.'!$B159),-('Diário 2º PA'!$Q$4:$Q$3040=E$1),('Diário 2º PA'!$F$4:$F$3040))+SUMPRODUCT(-('Diário 3º PA'!$E$4:$E$2731='Analítico Cp.'!$B159),-('Diário 3º PA'!$Q$4:$Q$2731=E$1),('Diário 3º PA'!$F$4:$F$2731))+SUMPRODUCT(-('Diário 4º PA'!$E$4:$E$2564='Analítico Cp.'!$B159),-('Diário 4º PA'!$Q$4:$Q$2564=E$1),('Diário 4º PA'!$F$4:$F$2564))+SUMPRODUCT(-('Comp.'!$D$5:$D$69='Analítico Cp.'!$B159),-('Comp.'!$K$5:$K$69=E$1),('Comp.'!$E$5:$E$69))</f>
        <v>0</v>
      </c>
      <c r="F159" s="12">
        <f>SUMPRODUCT(-('Diário 1º PA'!$E$4:$E$2635='Analítico Cp.'!$B159),-('Diário 1º PA'!$Q$4:$Q$2635=F$1),('Diário 1º PA'!$F$4:$F$2635))+SUMPRODUCT(-('Diário 2º PA'!$E$4:$E$3040='Analítico Cp.'!$B159),-('Diário 2º PA'!$Q$4:$Q$3040=F$1),('Diário 2º PA'!$F$4:$F$3040))+SUMPRODUCT(-('Diário 3º PA'!$E$4:$E$2731='Analítico Cp.'!$B159),-('Diário 3º PA'!$Q$4:$Q$2731=F$1),('Diário 3º PA'!$F$4:$F$2731))+SUMPRODUCT(-('Diário 4º PA'!$E$4:$E$2564='Analítico Cp.'!$B159),-('Diário 4º PA'!$Q$4:$Q$2564=F$1),('Diário 4º PA'!$F$4:$F$2564))+SUMPRODUCT(-('Comp.'!$D$5:$D$69='Analítico Cp.'!$B159),-('Comp.'!$K$5:$K$69=F$1),('Comp.'!$E$5:$E$69))</f>
        <v>0</v>
      </c>
      <c r="G159" s="12">
        <f>SUMPRODUCT(-('Diário 1º PA'!$E$4:$E$2635='Analítico Cp.'!$B159),-('Diário 1º PA'!$Q$4:$Q$2635=G$1),('Diário 1º PA'!$F$4:$F$2635))+SUMPRODUCT(-('Diário 2º PA'!$E$4:$E$3040='Analítico Cp.'!$B159),-('Diário 2º PA'!$Q$4:$Q$3040=G$1),('Diário 2º PA'!$F$4:$F$3040))+SUMPRODUCT(-('Diário 3º PA'!$E$4:$E$2731='Analítico Cp.'!$B159),-('Diário 3º PA'!$Q$4:$Q$2731=G$1),('Diário 3º PA'!$F$4:$F$2731))+SUMPRODUCT(-('Diário 4º PA'!$E$4:$E$2564='Analítico Cp.'!$B159),-('Diário 4º PA'!$Q$4:$Q$2564=G$1),('Diário 4º PA'!$F$4:$F$2564))+SUMPRODUCT(-('Comp.'!$D$5:$D$69='Analítico Cp.'!$B159),-('Comp.'!$K$5:$K$69=G$1),('Comp.'!$E$5:$E$69))</f>
        <v>0</v>
      </c>
      <c r="H159" s="12">
        <f>SUMPRODUCT(-('Diário 1º PA'!$E$4:$E$2635='Analítico Cp.'!$B159),-('Diário 1º PA'!$Q$4:$Q$2635=H$1),('Diário 1º PA'!$F$4:$F$2635))+SUMPRODUCT(-('Diário 2º PA'!$E$4:$E$3040='Analítico Cp.'!$B159),-('Diário 2º PA'!$Q$4:$Q$3040=H$1),('Diário 2º PA'!$F$4:$F$3040))+SUMPRODUCT(-('Diário 3º PA'!$E$4:$E$2731='Analítico Cp.'!$B159),-('Diário 3º PA'!$Q$4:$Q$2731=H$1),('Diário 3º PA'!$F$4:$F$2731))+SUMPRODUCT(-('Diário 4º PA'!$E$4:$E$2564='Analítico Cp.'!$B159),-('Diário 4º PA'!$Q$4:$Q$2564=H$1),('Diário 4º PA'!$F$4:$F$2564))+SUMPRODUCT(-('Comp.'!$D$5:$D$69='Analítico Cp.'!$B159),-('Comp.'!$K$5:$K$69=H$1),('Comp.'!$E$5:$E$69))</f>
        <v>0</v>
      </c>
      <c r="I159" s="12">
        <f>SUMPRODUCT(-('Diário 1º PA'!$E$4:$E$2635='Analítico Cp.'!$B159),-('Diário 1º PA'!$Q$4:$Q$2635=I$1),('Diário 1º PA'!$F$4:$F$2635))+SUMPRODUCT(-('Diário 2º PA'!$E$4:$E$3040='Analítico Cp.'!$B159),-('Diário 2º PA'!$Q$4:$Q$3040=I$1),('Diário 2º PA'!$F$4:$F$3040))+SUMPRODUCT(-('Diário 3º PA'!$E$4:$E$2731='Analítico Cp.'!$B159),-('Diário 3º PA'!$Q$4:$Q$2731=I$1),('Diário 3º PA'!$F$4:$F$2731))+SUMPRODUCT(-('Diário 4º PA'!$E$4:$E$2564='Analítico Cp.'!$B159),-('Diário 4º PA'!$Q$4:$Q$2564=I$1),('Diário 4º PA'!$F$4:$F$2564))+SUMPRODUCT(-('Comp.'!$D$5:$D$69='Analítico Cp.'!$B159),-('Comp.'!$K$5:$K$69=I$1),('Comp.'!$E$5:$E$69))</f>
        <v>0</v>
      </c>
      <c r="J159" s="12">
        <f>SUMPRODUCT(-('Diário 1º PA'!$E$4:$E$2635='Analítico Cp.'!$B159),-('Diário 1º PA'!$Q$4:$Q$2635=J$1),('Diário 1º PA'!$F$4:$F$2635))+SUMPRODUCT(-('Diário 2º PA'!$E$4:$E$3040='Analítico Cp.'!$B159),-('Diário 2º PA'!$Q$4:$Q$3040=J$1),('Diário 2º PA'!$F$4:$F$3040))+SUMPRODUCT(-('Diário 3º PA'!$E$4:$E$2731='Analítico Cp.'!$B159),-('Diário 3º PA'!$Q$4:$Q$2731=J$1),('Diário 3º PA'!$F$4:$F$2731))+SUMPRODUCT(-('Diário 4º PA'!$E$4:$E$2564='Analítico Cp.'!$B159),-('Diário 4º PA'!$Q$4:$Q$2564=J$1),('Diário 4º PA'!$F$4:$F$2564))+SUMPRODUCT(-('Comp.'!$D$5:$D$69='Analítico Cp.'!$B159),-('Comp.'!$K$5:$K$69=J$1),('Comp.'!$E$5:$E$69))</f>
        <v>0</v>
      </c>
      <c r="K159" s="12">
        <f>SUMPRODUCT(-('Diário 1º PA'!$E$4:$E$2635='Analítico Cp.'!$B159),-('Diário 1º PA'!$Q$4:$Q$2635=K$1),('Diário 1º PA'!$F$4:$F$2635))+SUMPRODUCT(-('Diário 2º PA'!$E$4:$E$3040='Analítico Cp.'!$B159),-('Diário 2º PA'!$Q$4:$Q$3040=K$1),('Diário 2º PA'!$F$4:$F$3040))+SUMPRODUCT(-('Diário 3º PA'!$E$4:$E$2731='Analítico Cp.'!$B159),-('Diário 3º PA'!$Q$4:$Q$2731=K$1),('Diário 3º PA'!$F$4:$F$2731))+SUMPRODUCT(-('Diário 4º PA'!$E$4:$E$2564='Analítico Cp.'!$B159),-('Diário 4º PA'!$Q$4:$Q$2564=K$1),('Diário 4º PA'!$F$4:$F$2564))+SUMPRODUCT(-('Comp.'!$D$5:$D$69='Analítico Cp.'!$B159),-('Comp.'!$K$5:$K$69=K$1),('Comp.'!$E$5:$E$69))</f>
        <v>0</v>
      </c>
      <c r="L159" s="12">
        <f>SUMPRODUCT(-('Diário 1º PA'!$E$4:$E$2635='Analítico Cp.'!$B159),-('Diário 1º PA'!$Q$4:$Q$2635=L$1),('Diário 1º PA'!$F$4:$F$2635))+SUMPRODUCT(-('Diário 2º PA'!$E$4:$E$3040='Analítico Cp.'!$B159),-('Diário 2º PA'!$Q$4:$Q$3040=L$1),('Diário 2º PA'!$F$4:$F$3040))+SUMPRODUCT(-('Diário 3º PA'!$E$4:$E$2731='Analítico Cp.'!$B159),-('Diário 3º PA'!$Q$4:$Q$2731=L$1),('Diário 3º PA'!$F$4:$F$2731))+SUMPRODUCT(-('Diário 4º PA'!$E$4:$E$2564='Analítico Cp.'!$B159),-('Diário 4º PA'!$Q$4:$Q$2564=L$1),('Diário 4º PA'!$F$4:$F$2564))+SUMPRODUCT(-('Comp.'!$D$5:$D$69='Analítico Cp.'!$B159),-('Comp.'!$K$5:$K$69=L$1),('Comp.'!$E$5:$E$69))</f>
        <v>0</v>
      </c>
      <c r="M159" s="12">
        <f>SUMPRODUCT(-('Diário 1º PA'!$E$4:$E$2635='Analítico Cp.'!$B159),-('Diário 1º PA'!$Q$4:$Q$2635=M$1),('Diário 1º PA'!$F$4:$F$2635))+SUMPRODUCT(-('Diário 2º PA'!$E$4:$E$3040='Analítico Cp.'!$B159),-('Diário 2º PA'!$Q$4:$Q$3040=M$1),('Diário 2º PA'!$F$4:$F$3040))+SUMPRODUCT(-('Diário 3º PA'!$E$4:$E$2731='Analítico Cp.'!$B159),-('Diário 3º PA'!$Q$4:$Q$2731=M$1),('Diário 3º PA'!$F$4:$F$2731))+SUMPRODUCT(-('Diário 4º PA'!$E$4:$E$2564='Analítico Cp.'!$B159),-('Diário 4º PA'!$Q$4:$Q$2564=M$1),('Diário 4º PA'!$F$4:$F$2564))+SUMPRODUCT(-('Comp.'!$D$5:$D$69='Analítico Cp.'!$B159),-('Comp.'!$K$5:$K$69=M$1),('Comp.'!$E$5:$E$69))</f>
        <v>0</v>
      </c>
      <c r="N159" s="12">
        <f>SUMPRODUCT(-('Diário 1º PA'!$E$4:$E$2635='Analítico Cp.'!$B159),-('Diário 1º PA'!$Q$4:$Q$2635=N$1),('Diário 1º PA'!$F$4:$F$2635))+SUMPRODUCT(-('Diário 2º PA'!$E$4:$E$3040='Analítico Cp.'!$B159),-('Diário 2º PA'!$Q$4:$Q$3040=N$1),('Diário 2º PA'!$F$4:$F$3040))+SUMPRODUCT(-('Diário 3º PA'!$E$4:$E$2731='Analítico Cp.'!$B159),-('Diário 3º PA'!$Q$4:$Q$2731=N$1),('Diário 3º PA'!$F$4:$F$2731))+SUMPRODUCT(-('Diário 4º PA'!$E$4:$E$2564='Analítico Cp.'!$B159),-('Diário 4º PA'!$Q$4:$Q$2564=N$1),('Diário 4º PA'!$F$4:$F$2564))+SUMPRODUCT(-('Comp.'!$D$5:$D$69='Analítico Cp.'!$B159),-('Comp.'!$K$5:$K$69=N$1),('Comp.'!$E$5:$E$69))</f>
        <v>0</v>
      </c>
      <c r="O159" s="13">
        <f t="shared" si="17"/>
        <v>0</v>
      </c>
      <c r="P159" s="167">
        <f t="shared" si="18"/>
        <v>0</v>
      </c>
    </row>
    <row r="160" spans="1:16" ht="23.25" customHeight="1" x14ac:dyDescent="0.2">
      <c r="A160" s="61" t="s">
        <v>143</v>
      </c>
      <c r="B160" s="59" t="s">
        <v>235</v>
      </c>
      <c r="C160" s="12">
        <f>SUMPRODUCT(-('Diário 1º PA'!$E$4:$E$2635='Analítico Cp.'!$B160),-('Diário 1º PA'!$Q$4:$Q$2635=C$1),('Diário 1º PA'!$F$4:$F$2635))+SUMPRODUCT(-('Diário 2º PA'!$E$4:$E$3040='Analítico Cp.'!$B160),-('Diário 2º PA'!$Q$4:$Q$3040=C$1),('Diário 2º PA'!$F$4:$F$3040))+SUMPRODUCT(-('Diário 3º PA'!$E$4:$E$2731='Analítico Cp.'!$B160),-('Diário 3º PA'!$Q$4:$Q$2731=C$1),('Diário 3º PA'!$F$4:$F$2731))+SUMPRODUCT(-('Diário 4º PA'!$E$4:$E$2564='Analítico Cp.'!$B160),-('Diário 4º PA'!$Q$4:$Q$2564=C$1),('Diário 4º PA'!$F$4:$F$2564))+SUMPRODUCT(-('Comp.'!$D$5:$D$69='Analítico Cp.'!$B160),-('Comp.'!$K$5:$K$69=C$1),('Comp.'!$E$5:$E$69))</f>
        <v>0</v>
      </c>
      <c r="D160" s="12">
        <f>SUMPRODUCT(-('Diário 1º PA'!$E$4:$E$2635='Analítico Cp.'!$B160),-('Diário 1º PA'!$Q$4:$Q$2635=D$1),('Diário 1º PA'!$F$4:$F$2635))+SUMPRODUCT(-('Diário 2º PA'!$E$4:$E$3040='Analítico Cp.'!$B160),-('Diário 2º PA'!$Q$4:$Q$3040=D$1),('Diário 2º PA'!$F$4:$F$3040))+SUMPRODUCT(-('Diário 3º PA'!$E$4:$E$2731='Analítico Cp.'!$B160),-('Diário 3º PA'!$Q$4:$Q$2731=D$1),('Diário 3º PA'!$F$4:$F$2731))+SUMPRODUCT(-('Diário 4º PA'!$E$4:$E$2564='Analítico Cp.'!$B160),-('Diário 4º PA'!$Q$4:$Q$2564=D$1),('Diário 4º PA'!$F$4:$F$2564))+SUMPRODUCT(-('Comp.'!$D$5:$D$69='Analítico Cp.'!$B160),-('Comp.'!$K$5:$K$69=D$1),('Comp.'!$E$5:$E$69))</f>
        <v>0</v>
      </c>
      <c r="E160" s="12">
        <f>SUMPRODUCT(-('Diário 1º PA'!$E$4:$E$2635='Analítico Cp.'!$B160),-('Diário 1º PA'!$Q$4:$Q$2635=E$1),('Diário 1º PA'!$F$4:$F$2635))+SUMPRODUCT(-('Diário 2º PA'!$E$4:$E$3040='Analítico Cp.'!$B160),-('Diário 2º PA'!$Q$4:$Q$3040=E$1),('Diário 2º PA'!$F$4:$F$3040))+SUMPRODUCT(-('Diário 3º PA'!$E$4:$E$2731='Analítico Cp.'!$B160),-('Diário 3º PA'!$Q$4:$Q$2731=E$1),('Diário 3º PA'!$F$4:$F$2731))+SUMPRODUCT(-('Diário 4º PA'!$E$4:$E$2564='Analítico Cp.'!$B160),-('Diário 4º PA'!$Q$4:$Q$2564=E$1),('Diário 4º PA'!$F$4:$F$2564))+SUMPRODUCT(-('Comp.'!$D$5:$D$69='Analítico Cp.'!$B160),-('Comp.'!$K$5:$K$69=E$1),('Comp.'!$E$5:$E$69))</f>
        <v>0</v>
      </c>
      <c r="F160" s="12">
        <f>SUMPRODUCT(-('Diário 1º PA'!$E$4:$E$2635='Analítico Cp.'!$B160),-('Diário 1º PA'!$Q$4:$Q$2635=F$1),('Diário 1º PA'!$F$4:$F$2635))+SUMPRODUCT(-('Diário 2º PA'!$E$4:$E$3040='Analítico Cp.'!$B160),-('Diário 2º PA'!$Q$4:$Q$3040=F$1),('Diário 2º PA'!$F$4:$F$3040))+SUMPRODUCT(-('Diário 3º PA'!$E$4:$E$2731='Analítico Cp.'!$B160),-('Diário 3º PA'!$Q$4:$Q$2731=F$1),('Diário 3º PA'!$F$4:$F$2731))+SUMPRODUCT(-('Diário 4º PA'!$E$4:$E$2564='Analítico Cp.'!$B160),-('Diário 4º PA'!$Q$4:$Q$2564=F$1),('Diário 4º PA'!$F$4:$F$2564))+SUMPRODUCT(-('Comp.'!$D$5:$D$69='Analítico Cp.'!$B160),-('Comp.'!$K$5:$K$69=F$1),('Comp.'!$E$5:$E$69))</f>
        <v>0</v>
      </c>
      <c r="G160" s="12">
        <f>SUMPRODUCT(-('Diário 1º PA'!$E$4:$E$2635='Analítico Cp.'!$B160),-('Diário 1º PA'!$Q$4:$Q$2635=G$1),('Diário 1º PA'!$F$4:$F$2635))+SUMPRODUCT(-('Diário 2º PA'!$E$4:$E$3040='Analítico Cp.'!$B160),-('Diário 2º PA'!$Q$4:$Q$3040=G$1),('Diário 2º PA'!$F$4:$F$3040))+SUMPRODUCT(-('Diário 3º PA'!$E$4:$E$2731='Analítico Cp.'!$B160),-('Diário 3º PA'!$Q$4:$Q$2731=G$1),('Diário 3º PA'!$F$4:$F$2731))+SUMPRODUCT(-('Diário 4º PA'!$E$4:$E$2564='Analítico Cp.'!$B160),-('Diário 4º PA'!$Q$4:$Q$2564=G$1),('Diário 4º PA'!$F$4:$F$2564))+SUMPRODUCT(-('Comp.'!$D$5:$D$69='Analítico Cp.'!$B160),-('Comp.'!$K$5:$K$69=G$1),('Comp.'!$E$5:$E$69))</f>
        <v>0</v>
      </c>
      <c r="H160" s="12">
        <f>SUMPRODUCT(-('Diário 1º PA'!$E$4:$E$2635='Analítico Cp.'!$B160),-('Diário 1º PA'!$Q$4:$Q$2635=H$1),('Diário 1º PA'!$F$4:$F$2635))+SUMPRODUCT(-('Diário 2º PA'!$E$4:$E$3040='Analítico Cp.'!$B160),-('Diário 2º PA'!$Q$4:$Q$3040=H$1),('Diário 2º PA'!$F$4:$F$3040))+SUMPRODUCT(-('Diário 3º PA'!$E$4:$E$2731='Analítico Cp.'!$B160),-('Diário 3º PA'!$Q$4:$Q$2731=H$1),('Diário 3º PA'!$F$4:$F$2731))+SUMPRODUCT(-('Diário 4º PA'!$E$4:$E$2564='Analítico Cp.'!$B160),-('Diário 4º PA'!$Q$4:$Q$2564=H$1),('Diário 4º PA'!$F$4:$F$2564))+SUMPRODUCT(-('Comp.'!$D$5:$D$69='Analítico Cp.'!$B160),-('Comp.'!$K$5:$K$69=H$1),('Comp.'!$E$5:$E$69))</f>
        <v>0</v>
      </c>
      <c r="I160" s="12">
        <f>SUMPRODUCT(-('Diário 1º PA'!$E$4:$E$2635='Analítico Cp.'!$B160),-('Diário 1º PA'!$Q$4:$Q$2635=I$1),('Diário 1º PA'!$F$4:$F$2635))+SUMPRODUCT(-('Diário 2º PA'!$E$4:$E$3040='Analítico Cp.'!$B160),-('Diário 2º PA'!$Q$4:$Q$3040=I$1),('Diário 2º PA'!$F$4:$F$3040))+SUMPRODUCT(-('Diário 3º PA'!$E$4:$E$2731='Analítico Cp.'!$B160),-('Diário 3º PA'!$Q$4:$Q$2731=I$1),('Diário 3º PA'!$F$4:$F$2731))+SUMPRODUCT(-('Diário 4º PA'!$E$4:$E$2564='Analítico Cp.'!$B160),-('Diário 4º PA'!$Q$4:$Q$2564=I$1),('Diário 4º PA'!$F$4:$F$2564))+SUMPRODUCT(-('Comp.'!$D$5:$D$69='Analítico Cp.'!$B160),-('Comp.'!$K$5:$K$69=I$1),('Comp.'!$E$5:$E$69))</f>
        <v>475.97999999999996</v>
      </c>
      <c r="J160" s="12">
        <f>SUMPRODUCT(-('Diário 1º PA'!$E$4:$E$2635='Analítico Cp.'!$B160),-('Diário 1º PA'!$Q$4:$Q$2635=J$1),('Diário 1º PA'!$F$4:$F$2635))+SUMPRODUCT(-('Diário 2º PA'!$E$4:$E$3040='Analítico Cp.'!$B160),-('Diário 2º PA'!$Q$4:$Q$3040=J$1),('Diário 2º PA'!$F$4:$F$3040))+SUMPRODUCT(-('Diário 3º PA'!$E$4:$E$2731='Analítico Cp.'!$B160),-('Diário 3º PA'!$Q$4:$Q$2731=J$1),('Diário 3º PA'!$F$4:$F$2731))+SUMPRODUCT(-('Diário 4º PA'!$E$4:$E$2564='Analítico Cp.'!$B160),-('Diário 4º PA'!$Q$4:$Q$2564=J$1),('Diário 4º PA'!$F$4:$F$2564))+SUMPRODUCT(-('Comp.'!$D$5:$D$69='Analítico Cp.'!$B160),-('Comp.'!$K$5:$K$69=J$1),('Comp.'!$E$5:$E$69))</f>
        <v>566.24</v>
      </c>
      <c r="K160" s="12">
        <f>SUMPRODUCT(-('Diário 1º PA'!$E$4:$E$2635='Analítico Cp.'!$B160),-('Diário 1º PA'!$Q$4:$Q$2635=K$1),('Diário 1º PA'!$F$4:$F$2635))+SUMPRODUCT(-('Diário 2º PA'!$E$4:$E$3040='Analítico Cp.'!$B160),-('Diário 2º PA'!$Q$4:$Q$3040=K$1),('Diário 2º PA'!$F$4:$F$3040))+SUMPRODUCT(-('Diário 3º PA'!$E$4:$E$2731='Analítico Cp.'!$B160),-('Diário 3º PA'!$Q$4:$Q$2731=K$1),('Diário 3º PA'!$F$4:$F$2731))+SUMPRODUCT(-('Diário 4º PA'!$E$4:$E$2564='Analítico Cp.'!$B160),-('Diário 4º PA'!$Q$4:$Q$2564=K$1),('Diário 4º PA'!$F$4:$F$2564))+SUMPRODUCT(-('Comp.'!$D$5:$D$69='Analítico Cp.'!$B160),-('Comp.'!$K$5:$K$69=K$1),('Comp.'!$E$5:$E$69))</f>
        <v>0</v>
      </c>
      <c r="L160" s="12">
        <f>SUMPRODUCT(-('Diário 1º PA'!$E$4:$E$2635='Analítico Cp.'!$B160),-('Diário 1º PA'!$Q$4:$Q$2635=L$1),('Diário 1º PA'!$F$4:$F$2635))+SUMPRODUCT(-('Diário 2º PA'!$E$4:$E$3040='Analítico Cp.'!$B160),-('Diário 2º PA'!$Q$4:$Q$3040=L$1),('Diário 2º PA'!$F$4:$F$3040))+SUMPRODUCT(-('Diário 3º PA'!$E$4:$E$2731='Analítico Cp.'!$B160),-('Diário 3º PA'!$Q$4:$Q$2731=L$1),('Diário 3º PA'!$F$4:$F$2731))+SUMPRODUCT(-('Diário 4º PA'!$E$4:$E$2564='Analítico Cp.'!$B160),-('Diário 4º PA'!$Q$4:$Q$2564=L$1),('Diário 4º PA'!$F$4:$F$2564))+SUMPRODUCT(-('Comp.'!$D$5:$D$69='Analítico Cp.'!$B160),-('Comp.'!$K$5:$K$69=L$1),('Comp.'!$E$5:$E$69))</f>
        <v>0</v>
      </c>
      <c r="M160" s="12">
        <f>SUMPRODUCT(-('Diário 1º PA'!$E$4:$E$2635='Analítico Cp.'!$B160),-('Diário 1º PA'!$Q$4:$Q$2635=M$1),('Diário 1º PA'!$F$4:$F$2635))+SUMPRODUCT(-('Diário 2º PA'!$E$4:$E$3040='Analítico Cp.'!$B160),-('Diário 2º PA'!$Q$4:$Q$3040=M$1),('Diário 2º PA'!$F$4:$F$3040))+SUMPRODUCT(-('Diário 3º PA'!$E$4:$E$2731='Analítico Cp.'!$B160),-('Diário 3º PA'!$Q$4:$Q$2731=M$1),('Diário 3º PA'!$F$4:$F$2731))+SUMPRODUCT(-('Diário 4º PA'!$E$4:$E$2564='Analítico Cp.'!$B160),-('Diário 4º PA'!$Q$4:$Q$2564=M$1),('Diário 4º PA'!$F$4:$F$2564))+SUMPRODUCT(-('Comp.'!$D$5:$D$69='Analítico Cp.'!$B160),-('Comp.'!$K$5:$K$69=M$1),('Comp.'!$E$5:$E$69))</f>
        <v>0</v>
      </c>
      <c r="N160" s="12">
        <f>SUMPRODUCT(-('Diário 1º PA'!$E$4:$E$2635='Analítico Cp.'!$B160),-('Diário 1º PA'!$Q$4:$Q$2635=N$1),('Diário 1º PA'!$F$4:$F$2635))+SUMPRODUCT(-('Diário 2º PA'!$E$4:$E$3040='Analítico Cp.'!$B160),-('Diário 2º PA'!$Q$4:$Q$3040=N$1),('Diário 2º PA'!$F$4:$F$3040))+SUMPRODUCT(-('Diário 3º PA'!$E$4:$E$2731='Analítico Cp.'!$B160),-('Diário 3º PA'!$Q$4:$Q$2731=N$1),('Diário 3º PA'!$F$4:$F$2731))+SUMPRODUCT(-('Diário 4º PA'!$E$4:$E$2564='Analítico Cp.'!$B160),-('Diário 4º PA'!$Q$4:$Q$2564=N$1),('Diário 4º PA'!$F$4:$F$2564))+SUMPRODUCT(-('Comp.'!$D$5:$D$69='Analítico Cp.'!$B160),-('Comp.'!$K$5:$K$69=N$1),('Comp.'!$E$5:$E$69))</f>
        <v>0</v>
      </c>
      <c r="O160" s="13">
        <f t="shared" si="17"/>
        <v>1042.22</v>
      </c>
      <c r="P160" s="167">
        <f t="shared" si="18"/>
        <v>8.5158372357982623E-5</v>
      </c>
    </row>
    <row r="161" spans="1:16" ht="23.25" customHeight="1" thickBot="1" x14ac:dyDescent="0.25">
      <c r="A161" s="25"/>
      <c r="B161" s="26" t="s">
        <v>46</v>
      </c>
      <c r="C161" s="15">
        <f>SUBTOTAL(109,C148:C160)</f>
        <v>0</v>
      </c>
      <c r="D161" s="15">
        <f>SUBTOTAL(109,D148:D160)</f>
        <v>0</v>
      </c>
      <c r="E161" s="15">
        <f>SUBTOTAL(109,E148:E160)</f>
        <v>0</v>
      </c>
      <c r="F161" s="15">
        <f t="shared" ref="F161:N161" si="19">SUBTOTAL(109,F148:F160)</f>
        <v>0</v>
      </c>
      <c r="G161" s="15">
        <f t="shared" si="19"/>
        <v>0</v>
      </c>
      <c r="H161" s="15">
        <f t="shared" si="19"/>
        <v>0</v>
      </c>
      <c r="I161" s="15">
        <f t="shared" si="19"/>
        <v>1150.07</v>
      </c>
      <c r="J161" s="15">
        <f t="shared" si="19"/>
        <v>566.24</v>
      </c>
      <c r="K161" s="15">
        <f t="shared" si="19"/>
        <v>0</v>
      </c>
      <c r="L161" s="15">
        <f t="shared" si="19"/>
        <v>0</v>
      </c>
      <c r="M161" s="15">
        <f t="shared" si="19"/>
        <v>0</v>
      </c>
      <c r="N161" s="15">
        <f t="shared" si="19"/>
        <v>0</v>
      </c>
      <c r="O161" s="15">
        <f>SUBTOTAL(109,O148:O160)</f>
        <v>1716.31</v>
      </c>
      <c r="P161" s="174">
        <f t="shared" si="18"/>
        <v>1.4023734534141462E-4</v>
      </c>
    </row>
    <row r="162" spans="1:16" ht="23.25" customHeight="1" thickBot="1" x14ac:dyDescent="0.25">
      <c r="A162" s="36" t="s">
        <v>318</v>
      </c>
      <c r="B162" s="20" t="s">
        <v>315</v>
      </c>
      <c r="C162" s="265">
        <f>SUMPRODUCT(-('Diário 1º PA'!$E$4:$E$2635='Analítico Cp.'!$B162),-('Diário 1º PA'!$Q$4:$Q$2635=C$1),('Diário 1º PA'!$F$4:$F$2635))+SUMPRODUCT(-('Diário 2º PA'!$E$4:$E$3040='Analítico Cp.'!$B162),-('Diário 2º PA'!$Q$4:$Q$3040=C$1),('Diário 2º PA'!$F$4:$F$3040))+SUMPRODUCT(-('Diário 3º PA'!$E$4:$E$2731='Analítico Cp.'!$B162),-('Diário 3º PA'!$Q$4:$Q$2731=C$1),('Diário 3º PA'!$F$4:$F$2731))+SUMPRODUCT(-('Diário 4º PA'!$E$4:$E$2564='Analítico Cp.'!$B162),-('Diário 4º PA'!$Q$4:$Q$2564=C$1),('Diário 4º PA'!$F$4:$F$2564))+SUMPRODUCT(-('Comp.'!$D$5:$D$69='Analítico Cp.'!$B162),-('Comp.'!$K$5:$K$69=C$1),('Comp.'!$E$5:$E$69))</f>
        <v>5090.76</v>
      </c>
      <c r="D162" s="265">
        <f>SUMPRODUCT(-('Diário 1º PA'!$E$4:$E$2635='Analítico Cp.'!$B162),-('Diário 1º PA'!$Q$4:$Q$2635=D$1),('Diário 1º PA'!$F$4:$F$2635))+SUMPRODUCT(-('Diário 2º PA'!$E$4:$E$3040='Analítico Cp.'!$B162),-('Diário 2º PA'!$Q$4:$Q$3040=D$1),('Diário 2º PA'!$F$4:$F$3040))+SUMPRODUCT(-('Diário 3º PA'!$E$4:$E$2731='Analítico Cp.'!$B162),-('Diário 3º PA'!$Q$4:$Q$2731=D$1),('Diário 3º PA'!$F$4:$F$2731))+SUMPRODUCT(-('Diário 4º PA'!$E$4:$E$2564='Analítico Cp.'!$B162),-('Diário 4º PA'!$Q$4:$Q$2564=D$1),('Diário 4º PA'!$F$4:$F$2564))+SUMPRODUCT(-('Comp.'!$D$5:$D$69='Analítico Cp.'!$B162),-('Comp.'!$K$5:$K$69=D$1),('Comp.'!$E$5:$E$69))</f>
        <v>5030.43</v>
      </c>
      <c r="E162" s="265">
        <f>SUMPRODUCT(-('Diário 1º PA'!$E$4:$E$2635='Analítico Cp.'!$B162),-('Diário 1º PA'!$Q$4:$Q$2635=E$1),('Diário 1º PA'!$F$4:$F$2635))+SUMPRODUCT(-('Diário 2º PA'!$E$4:$E$3040='Analítico Cp.'!$B162),-('Diário 2º PA'!$Q$4:$Q$3040=E$1),('Diário 2º PA'!$F$4:$F$3040))+SUMPRODUCT(-('Diário 3º PA'!$E$4:$E$2731='Analítico Cp.'!$B162),-('Diário 3º PA'!$Q$4:$Q$2731=E$1),('Diário 3º PA'!$F$4:$F$2731))+SUMPRODUCT(-('Diário 4º PA'!$E$4:$E$2564='Analítico Cp.'!$B162),-('Diário 4º PA'!$Q$4:$Q$2564=E$1),('Diário 4º PA'!$F$4:$F$2564))+SUMPRODUCT(-('Comp.'!$D$5:$D$69='Analítico Cp.'!$B162),-('Comp.'!$K$5:$K$69=E$1),('Comp.'!$E$5:$E$69))</f>
        <v>10906.71</v>
      </c>
      <c r="F162" s="265">
        <f>SUMPRODUCT(-('Diário 1º PA'!$E$4:$E$2635='Analítico Cp.'!$B162),-('Diário 1º PA'!$Q$4:$Q$2635=F$1),('Diário 1º PA'!$F$4:$F$2635))+SUMPRODUCT(-('Diário 2º PA'!$E$4:$E$3040='Analítico Cp.'!$B162),-('Diário 2º PA'!$Q$4:$Q$3040=F$1),('Diário 2º PA'!$F$4:$F$3040))+SUMPRODUCT(-('Diário 3º PA'!$E$4:$E$2731='Analítico Cp.'!$B162),-('Diário 3º PA'!$Q$4:$Q$2731=F$1),('Diário 3º PA'!$F$4:$F$2731))+SUMPRODUCT(-('Diário 4º PA'!$E$4:$E$2564='Analítico Cp.'!$B162),-('Diário 4º PA'!$Q$4:$Q$2564=F$1),('Diário 4º PA'!$F$4:$F$2564))+SUMPRODUCT(-('Comp.'!$D$5:$D$69='Analítico Cp.'!$B162),-('Comp.'!$K$5:$K$69=F$1),('Comp.'!$E$5:$E$69))</f>
        <v>12450.42</v>
      </c>
      <c r="G162" s="265">
        <f>SUMPRODUCT(-('Diário 1º PA'!$E$4:$E$2635='Analítico Cp.'!$B162),-('Diário 1º PA'!$Q$4:$Q$2635=G$1),('Diário 1º PA'!$F$4:$F$2635))+SUMPRODUCT(-('Diário 2º PA'!$E$4:$E$3040='Analítico Cp.'!$B162),-('Diário 2º PA'!$Q$4:$Q$3040=G$1),('Diário 2º PA'!$F$4:$F$3040))+SUMPRODUCT(-('Diário 3º PA'!$E$4:$E$2731='Analítico Cp.'!$B162),-('Diário 3º PA'!$Q$4:$Q$2731=G$1),('Diário 3º PA'!$F$4:$F$2731))+SUMPRODUCT(-('Diário 4º PA'!$E$4:$E$2564='Analítico Cp.'!$B162),-('Diário 4º PA'!$Q$4:$Q$2564=G$1),('Diário 4º PA'!$F$4:$F$2564))+SUMPRODUCT(-('Comp.'!$D$5:$D$69='Analítico Cp.'!$B162),-('Comp.'!$K$5:$K$69=G$1),('Comp.'!$E$5:$E$69))</f>
        <v>10415.200000000001</v>
      </c>
      <c r="H162" s="265">
        <f>SUMPRODUCT(-('Diário 1º PA'!$E$4:$E$2635='Analítico Cp.'!$B162),-('Diário 1º PA'!$Q$4:$Q$2635=H$1),('Diário 1º PA'!$F$4:$F$2635))+SUMPRODUCT(-('Diário 2º PA'!$E$4:$E$3040='Analítico Cp.'!$B162),-('Diário 2º PA'!$Q$4:$Q$3040=H$1),('Diário 2º PA'!$F$4:$F$3040))+SUMPRODUCT(-('Diário 3º PA'!$E$4:$E$2731='Analítico Cp.'!$B162),-('Diário 3º PA'!$Q$4:$Q$2731=H$1),('Diário 3º PA'!$F$4:$F$2731))+SUMPRODUCT(-('Diário 4º PA'!$E$4:$E$2564='Analítico Cp.'!$B162),-('Diário 4º PA'!$Q$4:$Q$2564=H$1),('Diário 4º PA'!$F$4:$F$2564))+SUMPRODUCT(-('Comp.'!$D$5:$D$69='Analítico Cp.'!$B162),-('Comp.'!$K$5:$K$69=H$1),('Comp.'!$E$5:$E$69))</f>
        <v>23304.6</v>
      </c>
      <c r="I162" s="265">
        <f>SUMPRODUCT(-('Diário 1º PA'!$E$4:$E$2635='Analítico Cp.'!$B162),-('Diário 1º PA'!$Q$4:$Q$2635=I$1),('Diário 1º PA'!$F$4:$F$2635))+SUMPRODUCT(-('Diário 2º PA'!$E$4:$E$3040='Analítico Cp.'!$B162),-('Diário 2º PA'!$Q$4:$Q$3040=I$1),('Diário 2º PA'!$F$4:$F$3040))+SUMPRODUCT(-('Diário 3º PA'!$E$4:$E$2731='Analítico Cp.'!$B162),-('Diário 3º PA'!$Q$4:$Q$2731=I$1),('Diário 3º PA'!$F$4:$F$2731))+SUMPRODUCT(-('Diário 4º PA'!$E$4:$E$2564='Analítico Cp.'!$B162),-('Diário 4º PA'!$Q$4:$Q$2564=I$1),('Diário 4º PA'!$F$4:$F$2564))+SUMPRODUCT(-('Comp.'!$D$5:$D$69='Analítico Cp.'!$B162),-('Comp.'!$K$5:$K$69=I$1),('Comp.'!$E$5:$E$69))</f>
        <v>17635.68</v>
      </c>
      <c r="J162" s="265">
        <f>SUMPRODUCT(-('Diário 1º PA'!$E$4:$E$2635='Analítico Cp.'!$B162),-('Diário 1º PA'!$Q$4:$Q$2635=J$1),('Diário 1º PA'!$F$4:$F$2635))+SUMPRODUCT(-('Diário 2º PA'!$E$4:$E$3040='Analítico Cp.'!$B162),-('Diário 2º PA'!$Q$4:$Q$3040=J$1),('Diário 2º PA'!$F$4:$F$3040))+SUMPRODUCT(-('Diário 3º PA'!$E$4:$E$2731='Analítico Cp.'!$B162),-('Diário 3º PA'!$Q$4:$Q$2731=J$1),('Diário 3º PA'!$F$4:$F$2731))+SUMPRODUCT(-('Diário 4º PA'!$E$4:$E$2564='Analítico Cp.'!$B162),-('Diário 4º PA'!$Q$4:$Q$2564=J$1),('Diário 4º PA'!$F$4:$F$2564))+SUMPRODUCT(-('Comp.'!$D$5:$D$69='Analítico Cp.'!$B162),-('Comp.'!$K$5:$K$69=J$1),('Comp.'!$E$5:$E$69))</f>
        <v>23363.33</v>
      </c>
      <c r="K162" s="265">
        <f>SUMPRODUCT(-('Diário 1º PA'!$E$4:$E$2635='Analítico Cp.'!$B162),-('Diário 1º PA'!$Q$4:$Q$2635=K$1),('Diário 1º PA'!$F$4:$F$2635))+SUMPRODUCT(-('Diário 2º PA'!$E$4:$E$3040='Analítico Cp.'!$B162),-('Diário 2º PA'!$Q$4:$Q$3040=K$1),('Diário 2º PA'!$F$4:$F$3040))+SUMPRODUCT(-('Diário 3º PA'!$E$4:$E$2731='Analítico Cp.'!$B162),-('Diário 3º PA'!$Q$4:$Q$2731=K$1),('Diário 3º PA'!$F$4:$F$2731))+SUMPRODUCT(-('Diário 4º PA'!$E$4:$E$2564='Analítico Cp.'!$B162),-('Diário 4º PA'!$Q$4:$Q$2564=K$1),('Diário 4º PA'!$F$4:$F$2564))+SUMPRODUCT(-('Comp.'!$D$5:$D$69='Analítico Cp.'!$B162),-('Comp.'!$K$5:$K$69=K$1),('Comp.'!$E$5:$E$69))</f>
        <v>23865.72</v>
      </c>
      <c r="L162" s="265">
        <f>SUMPRODUCT(-('Diário 1º PA'!$E$4:$E$2635='Analítico Cp.'!$B162),-('Diário 1º PA'!$Q$4:$Q$2635=L$1),('Diário 1º PA'!$F$4:$F$2635))+SUMPRODUCT(-('Diário 2º PA'!$E$4:$E$3040='Analítico Cp.'!$B162),-('Diário 2º PA'!$Q$4:$Q$3040=L$1),('Diário 2º PA'!$F$4:$F$3040))+SUMPRODUCT(-('Diário 3º PA'!$E$4:$E$2731='Analítico Cp.'!$B162),-('Diário 3º PA'!$Q$4:$Q$2731=L$1),('Diário 3º PA'!$F$4:$F$2731))+SUMPRODUCT(-('Diário 4º PA'!$E$4:$E$2564='Analítico Cp.'!$B162),-('Diário 4º PA'!$Q$4:$Q$2564=L$1),('Diário 4º PA'!$F$4:$F$2564))+SUMPRODUCT(-('Comp.'!$D$5:$D$69='Analítico Cp.'!$B162),-('Comp.'!$K$5:$K$69=L$1),('Comp.'!$E$5:$E$69))</f>
        <v>18556.169999999998</v>
      </c>
      <c r="M162" s="265">
        <f>SUMPRODUCT(-('Diário 1º PA'!$E$4:$E$2635='Analítico Cp.'!$B162),-('Diário 1º PA'!$Q$4:$Q$2635=M$1),('Diário 1º PA'!$F$4:$F$2635))+SUMPRODUCT(-('Diário 2º PA'!$E$4:$E$3040='Analítico Cp.'!$B162),-('Diário 2º PA'!$Q$4:$Q$3040=M$1),('Diário 2º PA'!$F$4:$F$3040))+SUMPRODUCT(-('Diário 3º PA'!$E$4:$E$2731='Analítico Cp.'!$B162),-('Diário 3º PA'!$Q$4:$Q$2731=M$1),('Diário 3º PA'!$F$4:$F$2731))+SUMPRODUCT(-('Diário 4º PA'!$E$4:$E$2564='Analítico Cp.'!$B162),-('Diário 4º PA'!$Q$4:$Q$2564=M$1),('Diário 4º PA'!$F$4:$F$2564))+SUMPRODUCT(-('Comp.'!$D$5:$D$69='Analítico Cp.'!$B162),-('Comp.'!$K$5:$K$69=M$1),('Comp.'!$E$5:$E$69))</f>
        <v>758.08</v>
      </c>
      <c r="N162" s="265">
        <f>SUMPRODUCT(-('Diário 1º PA'!$E$4:$E$2635='Analítico Cp.'!$B162),-('Diário 1º PA'!$Q$4:$Q$2635=N$1),('Diário 1º PA'!$F$4:$F$2635))+SUMPRODUCT(-('Diário 2º PA'!$E$4:$E$3040='Analítico Cp.'!$B162),-('Diário 2º PA'!$Q$4:$Q$3040=N$1),('Diário 2º PA'!$F$4:$F$3040))+SUMPRODUCT(-('Diário 3º PA'!$E$4:$E$2731='Analítico Cp.'!$B162),-('Diário 3º PA'!$Q$4:$Q$2731=N$1),('Diário 3º PA'!$F$4:$F$2731))+SUMPRODUCT(-('Diário 4º PA'!$E$4:$E$2564='Analítico Cp.'!$B162),-('Diário 4º PA'!$Q$4:$Q$2564=N$1),('Diário 4º PA'!$F$4:$F$2564))+SUMPRODUCT(-('Comp.'!$D$5:$D$69='Analítico Cp.'!$B162),-('Comp.'!$K$5:$K$69=N$1),('Comp.'!$E$5:$E$69))</f>
        <v>0</v>
      </c>
      <c r="O162" s="18">
        <f>SUM(C162:N162)</f>
        <v>151377.09999999995</v>
      </c>
      <c r="P162" s="168">
        <f t="shared" si="18"/>
        <v>1.2368816035262771E-2</v>
      </c>
    </row>
    <row r="163" spans="1:16" ht="23.25" customHeight="1" thickBot="1" x14ac:dyDescent="0.25">
      <c r="A163" s="406" t="s">
        <v>1295</v>
      </c>
      <c r="B163" s="407" t="s">
        <v>468</v>
      </c>
      <c r="C163" s="265">
        <f>SUMPRODUCT(-('Diário 1º PA'!$E$4:$E$2635='Analítico Cp.'!$B163),-('Diário 1º PA'!$Q$4:$Q$2635=C$1),('Diário 1º PA'!$F$4:$F$2635))+SUMPRODUCT(-('Diário 2º PA'!$E$4:$E$3040='Analítico Cp.'!$B163),-('Diário 2º PA'!$Q$4:$Q$3040=C$1),('Diário 2º PA'!$F$4:$F$3040))+SUMPRODUCT(-('Diário 3º PA'!$E$4:$E$2731='Analítico Cp.'!$B163),-('Diário 3º PA'!$Q$4:$Q$2731=C$1),('Diário 3º PA'!$F$4:$F$2731))+SUMPRODUCT(-('Diário 4º PA'!$E$4:$E$2564='Analítico Cp.'!$B163),-('Diário 4º PA'!$Q$4:$Q$2564=C$1),('Diário 4º PA'!$F$4:$F$2564))+SUMPRODUCT(-('Comp.'!$D$5:$D$69='Analítico Cp.'!$B163),-('Comp.'!$K$5:$K$69=C$1),('Comp.'!$E$5:$E$69))</f>
        <v>297279.94</v>
      </c>
      <c r="D163" s="265">
        <f>SUMPRODUCT(-('Diário 1º PA'!$E$4:$E$2635='Analítico Cp.'!$B163),-('Diário 1º PA'!$Q$4:$Q$2635=D$1),('Diário 1º PA'!$F$4:$F$2635))+SUMPRODUCT(-('Diário 2º PA'!$E$4:$E$3040='Analítico Cp.'!$B163),-('Diário 2º PA'!$Q$4:$Q$3040=D$1),('Diário 2º PA'!$F$4:$F$3040))+SUMPRODUCT(-('Diário 3º PA'!$E$4:$E$2731='Analítico Cp.'!$B163),-('Diário 3º PA'!$Q$4:$Q$2731=D$1),('Diário 3º PA'!$F$4:$F$2731))+SUMPRODUCT(-('Diário 4º PA'!$E$4:$E$2564='Analítico Cp.'!$B163),-('Diário 4º PA'!$Q$4:$Q$2564=D$1),('Diário 4º PA'!$F$4:$F$2564))+SUMPRODUCT(-('Comp.'!$D$5:$D$69='Analítico Cp.'!$B163),-('Comp.'!$K$5:$K$69=D$1),('Comp.'!$E$5:$E$69))</f>
        <v>216759.40999999995</v>
      </c>
      <c r="E163" s="265">
        <f>SUMPRODUCT(-('Diário 1º PA'!$E$4:$E$2635='Analítico Cp.'!$B163),-('Diário 1º PA'!$Q$4:$Q$2635=E$1),('Diário 1º PA'!$F$4:$F$2635))+SUMPRODUCT(-('Diário 2º PA'!$E$4:$E$3040='Analítico Cp.'!$B163),-('Diário 2º PA'!$Q$4:$Q$3040=E$1),('Diário 2º PA'!$F$4:$F$3040))+SUMPRODUCT(-('Diário 3º PA'!$E$4:$E$2731='Analítico Cp.'!$B163),-('Diário 3º PA'!$Q$4:$Q$2731=E$1),('Diário 3º PA'!$F$4:$F$2731))+SUMPRODUCT(-('Diário 4º PA'!$E$4:$E$2564='Analítico Cp.'!$B163),-('Diário 4º PA'!$Q$4:$Q$2564=E$1),('Diário 4º PA'!$F$4:$F$2564))+SUMPRODUCT(-('Comp.'!$D$5:$D$69='Analítico Cp.'!$B163),-('Comp.'!$K$5:$K$69=E$1),('Comp.'!$E$5:$E$69))</f>
        <v>840436.27000000072</v>
      </c>
      <c r="F163" s="265">
        <f>SUMPRODUCT(-('Diário 1º PA'!$E$4:$E$2635='Analítico Cp.'!$B163),-('Diário 1º PA'!$Q$4:$Q$2635=F$1),('Diário 1º PA'!$F$4:$F$2635))+SUMPRODUCT(-('Diário 2º PA'!$E$4:$E$3040='Analítico Cp.'!$B163),-('Diário 2º PA'!$Q$4:$Q$3040=F$1),('Diário 2º PA'!$F$4:$F$3040))+SUMPRODUCT(-('Diário 3º PA'!$E$4:$E$2731='Analítico Cp.'!$B163),-('Diário 3º PA'!$Q$4:$Q$2731=F$1),('Diário 3º PA'!$F$4:$F$2731))+SUMPRODUCT(-('Diário 4º PA'!$E$4:$E$2564='Analítico Cp.'!$B163),-('Diário 4º PA'!$Q$4:$Q$2564=F$1),('Diário 4º PA'!$F$4:$F$2564))+SUMPRODUCT(-('Comp.'!$D$5:$D$69='Analítico Cp.'!$B163),-('Comp.'!$K$5:$K$69=F$1),('Comp.'!$E$5:$E$69))</f>
        <v>1009067.2400000002</v>
      </c>
      <c r="G163" s="265">
        <f>SUMPRODUCT(-('Diário 1º PA'!$E$4:$E$2635='Analítico Cp.'!$B163),-('Diário 1º PA'!$Q$4:$Q$2635=G$1),('Diário 1º PA'!$F$4:$F$2635))+SUMPRODUCT(-('Diário 2º PA'!$E$4:$E$3040='Analítico Cp.'!$B163),-('Diário 2º PA'!$Q$4:$Q$3040=G$1),('Diário 2º PA'!$F$4:$F$3040))+SUMPRODUCT(-('Diário 3º PA'!$E$4:$E$2731='Analítico Cp.'!$B163),-('Diário 3º PA'!$Q$4:$Q$2731=G$1),('Diário 3º PA'!$F$4:$F$2731))+SUMPRODUCT(-('Diário 4º PA'!$E$4:$E$2564='Analítico Cp.'!$B163),-('Diário 4º PA'!$Q$4:$Q$2564=G$1),('Diário 4º PA'!$F$4:$F$2564))+SUMPRODUCT(-('Comp.'!$D$5:$D$69='Analítico Cp.'!$B163),-('Comp.'!$K$5:$K$69=G$1),('Comp.'!$E$5:$E$69))</f>
        <v>550693.67999999982</v>
      </c>
      <c r="H163" s="265">
        <f>SUMPRODUCT(-('Diário 1º PA'!$E$4:$E$2635='Analítico Cp.'!$B163),-('Diário 1º PA'!$Q$4:$Q$2635=H$1),('Diário 1º PA'!$F$4:$F$2635))+SUMPRODUCT(-('Diário 2º PA'!$E$4:$E$3040='Analítico Cp.'!$B163),-('Diário 2º PA'!$Q$4:$Q$3040=H$1),('Diário 2º PA'!$F$4:$F$3040))+SUMPRODUCT(-('Diário 3º PA'!$E$4:$E$2731='Analítico Cp.'!$B163),-('Diário 3º PA'!$Q$4:$Q$2731=H$1),('Diário 3º PA'!$F$4:$F$2731))+SUMPRODUCT(-('Diário 4º PA'!$E$4:$E$2564='Analítico Cp.'!$B163),-('Diário 4º PA'!$Q$4:$Q$2564=H$1),('Diário 4º PA'!$F$4:$F$2564))+SUMPRODUCT(-('Comp.'!$D$5:$D$69='Analítico Cp.'!$B163),-('Comp.'!$K$5:$K$69=H$1),('Comp.'!$E$5:$E$69))</f>
        <v>430289.06000000011</v>
      </c>
      <c r="I163" s="265">
        <f>SUMPRODUCT(-('Diário 1º PA'!$E$4:$E$2635='Analítico Cp.'!$B163),-('Diário 1º PA'!$Q$4:$Q$2635=I$1),('Diário 1º PA'!$F$4:$F$2635))+SUMPRODUCT(-('Diário 2º PA'!$E$4:$E$3040='Analítico Cp.'!$B163),-('Diário 2º PA'!$Q$4:$Q$3040=I$1),('Diário 2º PA'!$F$4:$F$3040))+SUMPRODUCT(-('Diário 3º PA'!$E$4:$E$2731='Analítico Cp.'!$B163),-('Diário 3º PA'!$Q$4:$Q$2731=I$1),('Diário 3º PA'!$F$4:$F$2731))+SUMPRODUCT(-('Diário 4º PA'!$E$4:$E$2564='Analítico Cp.'!$B163),-('Diário 4º PA'!$Q$4:$Q$2564=I$1),('Diário 4º PA'!$F$4:$F$2564))+SUMPRODUCT(-('Comp.'!$D$5:$D$69='Analítico Cp.'!$B163),-('Comp.'!$K$5:$K$69=I$1),('Comp.'!$E$5:$E$69))</f>
        <v>502925.61999999976</v>
      </c>
      <c r="J163" s="265">
        <f>SUMPRODUCT(-('Diário 1º PA'!$E$4:$E$2635='Analítico Cp.'!$B163),-('Diário 1º PA'!$Q$4:$Q$2635=J$1),('Diário 1º PA'!$F$4:$F$2635))+SUMPRODUCT(-('Diário 2º PA'!$E$4:$E$3040='Analítico Cp.'!$B163),-('Diário 2º PA'!$Q$4:$Q$3040=J$1),('Diário 2º PA'!$F$4:$F$3040))+SUMPRODUCT(-('Diário 3º PA'!$E$4:$E$2731='Analítico Cp.'!$B163),-('Diário 3º PA'!$Q$4:$Q$2731=J$1),('Diário 3º PA'!$F$4:$F$2731))+SUMPRODUCT(-('Diário 4º PA'!$E$4:$E$2564='Analítico Cp.'!$B163),-('Diário 4º PA'!$Q$4:$Q$2564=J$1),('Diário 4º PA'!$F$4:$F$2564))+SUMPRODUCT(-('Comp.'!$D$5:$D$69='Analítico Cp.'!$B163),-('Comp.'!$K$5:$K$69=J$1),('Comp.'!$E$5:$E$69))</f>
        <v>138327.89999999997</v>
      </c>
      <c r="K163" s="265">
        <f>SUMPRODUCT(-('Diário 1º PA'!$E$4:$E$2635='Analítico Cp.'!$B163),-('Diário 1º PA'!$Q$4:$Q$2635=K$1),('Diário 1º PA'!$F$4:$F$2635))+SUMPRODUCT(-('Diário 2º PA'!$E$4:$E$3040='Analítico Cp.'!$B163),-('Diário 2º PA'!$Q$4:$Q$3040=K$1),('Diário 2º PA'!$F$4:$F$3040))+SUMPRODUCT(-('Diário 3º PA'!$E$4:$E$2731='Analítico Cp.'!$B163),-('Diário 3º PA'!$Q$4:$Q$2731=K$1),('Diário 3º PA'!$F$4:$F$2731))+SUMPRODUCT(-('Diário 4º PA'!$E$4:$E$2564='Analítico Cp.'!$B163),-('Diário 4º PA'!$Q$4:$Q$2564=K$1),('Diário 4º PA'!$F$4:$F$2564))+SUMPRODUCT(-('Comp.'!$D$5:$D$69='Analítico Cp.'!$B163),-('Comp.'!$K$5:$K$69=K$1),('Comp.'!$E$5:$E$69))</f>
        <v>202691.55</v>
      </c>
      <c r="L163" s="265">
        <f>SUMPRODUCT(-('Diário 1º PA'!$E$4:$E$2635='Analítico Cp.'!$B163),-('Diário 1º PA'!$Q$4:$Q$2635=L$1),('Diário 1º PA'!$F$4:$F$2635))+SUMPRODUCT(-('Diário 2º PA'!$E$4:$E$3040='Analítico Cp.'!$B163),-('Diário 2º PA'!$Q$4:$Q$3040=L$1),('Diário 2º PA'!$F$4:$F$3040))+SUMPRODUCT(-('Diário 3º PA'!$E$4:$E$2731='Analítico Cp.'!$B163),-('Diário 3º PA'!$Q$4:$Q$2731=L$1),('Diário 3º PA'!$F$4:$F$2731))+SUMPRODUCT(-('Diário 4º PA'!$E$4:$E$2564='Analítico Cp.'!$B163),-('Diário 4º PA'!$Q$4:$Q$2564=L$1),('Diário 4º PA'!$F$4:$F$2564))+SUMPRODUCT(-('Comp.'!$D$5:$D$69='Analítico Cp.'!$B163),-('Comp.'!$K$5:$K$69=L$1),('Comp.'!$E$5:$E$69))</f>
        <v>351898.38000000006</v>
      </c>
      <c r="M163" s="265">
        <f>SUMPRODUCT(-('Diário 1º PA'!$E$4:$E$2635='Analítico Cp.'!$B163),-('Diário 1º PA'!$Q$4:$Q$2635=M$1),('Diário 1º PA'!$F$4:$F$2635))+SUMPRODUCT(-('Diário 2º PA'!$E$4:$E$3040='Analítico Cp.'!$B163),-('Diário 2º PA'!$Q$4:$Q$3040=M$1),('Diário 2º PA'!$F$4:$F$3040))+SUMPRODUCT(-('Diário 3º PA'!$E$4:$E$2731='Analítico Cp.'!$B163),-('Diário 3º PA'!$Q$4:$Q$2731=M$1),('Diário 3º PA'!$F$4:$F$2731))+SUMPRODUCT(-('Diário 4º PA'!$E$4:$E$2564='Analítico Cp.'!$B163),-('Diário 4º PA'!$Q$4:$Q$2564=M$1),('Diário 4º PA'!$F$4:$F$2564))+SUMPRODUCT(-('Comp.'!$D$5:$D$69='Analítico Cp.'!$B163),-('Comp.'!$K$5:$K$69=M$1),('Comp.'!$E$5:$E$69))</f>
        <v>179908.99000000011</v>
      </c>
      <c r="N163" s="265">
        <f>SUMPRODUCT(-('Diário 1º PA'!$E$4:$E$2635='Analítico Cp.'!$B163),-('Diário 1º PA'!$Q$4:$Q$2635=N$1),('Diário 1º PA'!$F$4:$F$2635))+SUMPRODUCT(-('Diário 2º PA'!$E$4:$E$3040='Analítico Cp.'!$B163),-('Diário 2º PA'!$Q$4:$Q$3040=N$1),('Diário 2º PA'!$F$4:$F$3040))+SUMPRODUCT(-('Diário 3º PA'!$E$4:$E$2731='Analítico Cp.'!$B163),-('Diário 3º PA'!$Q$4:$Q$2731=N$1),('Diário 3º PA'!$F$4:$F$2731))+SUMPRODUCT(-('Diário 4º PA'!$E$4:$E$2564='Analítico Cp.'!$B163),-('Diário 4º PA'!$Q$4:$Q$2564=N$1),('Diário 4º PA'!$F$4:$F$2564))+SUMPRODUCT(-('Comp.'!$D$5:$D$69='Analítico Cp.'!$B163),-('Comp.'!$K$5:$K$69=N$1),('Comp.'!$E$5:$E$69))</f>
        <v>94721.760000000009</v>
      </c>
      <c r="O163" s="18">
        <f t="shared" si="17"/>
        <v>4814999.8</v>
      </c>
      <c r="P163" s="168">
        <f t="shared" si="18"/>
        <v>0.39342705558520447</v>
      </c>
    </row>
    <row r="164" spans="1:16" ht="23.25" customHeight="1" thickBot="1" x14ac:dyDescent="0.25">
      <c r="A164" s="69" t="s">
        <v>261</v>
      </c>
      <c r="B164" s="131"/>
      <c r="C164" s="18">
        <f>SUBTOTAL(109,C20:C161)</f>
        <v>550827.28549999988</v>
      </c>
      <c r="D164" s="18">
        <f>SUBTOTAL(109,D20:D161)</f>
        <v>565953.83196038869</v>
      </c>
      <c r="E164" s="18">
        <f>SUBTOTAL(109,E20:E161)</f>
        <v>683842.88418587344</v>
      </c>
      <c r="F164" s="18">
        <f t="shared" ref="F164:N164" si="20">SUBTOTAL(109,F20:F161)</f>
        <v>821758.48184587376</v>
      </c>
      <c r="G164" s="18">
        <f t="shared" si="20"/>
        <v>533580.40814305574</v>
      </c>
      <c r="H164" s="18">
        <f t="shared" si="20"/>
        <v>662931.12718269939</v>
      </c>
      <c r="I164" s="18">
        <f t="shared" si="20"/>
        <v>664653.13099499466</v>
      </c>
      <c r="J164" s="18">
        <f t="shared" si="20"/>
        <v>553929.78703200747</v>
      </c>
      <c r="K164" s="18">
        <f t="shared" si="20"/>
        <v>587626.24949445203</v>
      </c>
      <c r="L164" s="18">
        <f t="shared" si="20"/>
        <v>598521.98307205224</v>
      </c>
      <c r="M164" s="18">
        <f t="shared" si="20"/>
        <v>568590.46132592415</v>
      </c>
      <c r="N164" s="18">
        <f t="shared" si="20"/>
        <v>480016.20662547235</v>
      </c>
      <c r="O164" s="18">
        <f>SUBTOTAL(109,O20:O163)</f>
        <v>12238608.737362791</v>
      </c>
      <c r="P164" s="168">
        <f t="shared" si="18"/>
        <v>1</v>
      </c>
    </row>
  </sheetData>
  <sheetProtection sheet="1" formatColumns="0"/>
  <dataConsolidate link="1"/>
  <mergeCells count="5">
    <mergeCell ref="O5:O8"/>
    <mergeCell ref="P5:P8"/>
    <mergeCell ref="A2:P2"/>
    <mergeCell ref="A3:P3"/>
    <mergeCell ref="A4:P4"/>
  </mergeCells>
  <phoneticPr fontId="38" type="noConversion"/>
  <printOptions horizontalCentered="1"/>
  <pageMargins left="0.19685039370078741" right="0.19685039370078741" top="0.59055118110236227" bottom="0.59055118110236227" header="0" footer="0"/>
  <pageSetup paperSize="9" scale="49" fitToHeight="0" pageOrder="overThenDown" orientation="portrait"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pageSetUpPr fitToPage="1"/>
  </sheetPr>
  <dimension ref="A1:U41"/>
  <sheetViews>
    <sheetView view="pageBreakPreview" zoomScaleSheetLayoutView="100" workbookViewId="0">
      <pane xSplit="2" ySplit="7" topLeftCell="C28" activePane="bottomRight" state="frozen"/>
      <selection activeCell="G29" sqref="G29"/>
      <selection pane="topRight" activeCell="G29" sqref="G29"/>
      <selection pane="bottomLeft" activeCell="G29" sqref="G29"/>
      <selection pane="bottomRight" activeCell="G15" sqref="G15"/>
    </sheetView>
  </sheetViews>
  <sheetFormatPr defaultColWidth="9.140625" defaultRowHeight="12.75" x14ac:dyDescent="0.2"/>
  <cols>
    <col min="1" max="1" width="6.28515625" style="48" customWidth="1"/>
    <col min="2" max="2" width="42.140625" style="49" customWidth="1"/>
    <col min="3" max="8" width="12.42578125" style="49" bestFit="1" customWidth="1"/>
    <col min="9" max="14" width="12.42578125" style="49" customWidth="1"/>
    <col min="15" max="15" width="12.42578125" style="50" bestFit="1" customWidth="1"/>
    <col min="16" max="16384" width="9.140625" style="1"/>
  </cols>
  <sheetData>
    <row r="1" spans="1:21" ht="32.25" customHeight="1" x14ac:dyDescent="0.25">
      <c r="A1" s="776" t="str">
        <f>Capa!A1</f>
        <v>Contrato de Gestão nº. 05/20 celebrado entre a Fundação Clóvis Salgado e a Associação Pró-Cultura e Promoção das Artes</v>
      </c>
      <c r="B1" s="776"/>
      <c r="C1" s="776"/>
      <c r="D1" s="776"/>
      <c r="E1" s="776"/>
      <c r="F1" s="776"/>
      <c r="G1" s="776"/>
      <c r="H1" s="776"/>
      <c r="I1" s="776"/>
      <c r="J1" s="776"/>
      <c r="K1" s="776"/>
      <c r="L1" s="776"/>
      <c r="M1" s="776"/>
      <c r="N1" s="776"/>
      <c r="O1" s="776"/>
      <c r="P1" s="51"/>
      <c r="Q1" s="51"/>
      <c r="R1" s="51"/>
      <c r="S1" s="51"/>
      <c r="T1" s="51"/>
      <c r="U1" s="51"/>
    </row>
    <row r="2" spans="1:21" ht="19.5" customHeight="1" x14ac:dyDescent="0.25">
      <c r="A2" s="776">
        <f>Capa!A3</f>
        <v>0</v>
      </c>
      <c r="B2" s="776"/>
      <c r="C2" s="776"/>
      <c r="D2" s="776"/>
      <c r="E2" s="776"/>
      <c r="F2" s="776"/>
      <c r="G2" s="776"/>
      <c r="H2" s="776"/>
      <c r="I2" s="776"/>
      <c r="J2" s="776"/>
      <c r="K2" s="776"/>
      <c r="L2" s="776"/>
      <c r="M2" s="776"/>
      <c r="N2" s="776"/>
      <c r="O2" s="776"/>
      <c r="P2" s="51"/>
      <c r="Q2" s="51"/>
      <c r="R2" s="51"/>
      <c r="S2" s="51"/>
      <c r="T2" s="51"/>
      <c r="U2" s="51"/>
    </row>
    <row r="3" spans="1:21" ht="19.5" customHeight="1" thickBot="1" x14ac:dyDescent="0.3">
      <c r="A3" s="775" t="s">
        <v>360</v>
      </c>
      <c r="B3" s="775"/>
      <c r="C3" s="775"/>
      <c r="D3" s="775"/>
      <c r="E3" s="775"/>
      <c r="F3" s="775"/>
      <c r="G3" s="775"/>
      <c r="H3" s="775"/>
      <c r="I3" s="775"/>
      <c r="J3" s="775"/>
      <c r="K3" s="775"/>
      <c r="L3" s="775"/>
      <c r="M3" s="775"/>
      <c r="N3" s="775"/>
      <c r="O3" s="775"/>
      <c r="P3" s="52"/>
      <c r="Q3" s="52"/>
      <c r="R3" s="52"/>
      <c r="S3" s="52"/>
      <c r="T3" s="52"/>
      <c r="U3" s="52"/>
    </row>
    <row r="4" spans="1:21" x14ac:dyDescent="0.2">
      <c r="A4" s="145"/>
      <c r="B4" s="146"/>
      <c r="C4" s="154" t="str">
        <f>Resumo!C4</f>
        <v>Janeiro</v>
      </c>
      <c r="D4" s="154" t="str">
        <f>Resumo!D4</f>
        <v>Fevereiro</v>
      </c>
      <c r="E4" s="154" t="str">
        <f>Resumo!E4</f>
        <v>Março</v>
      </c>
      <c r="F4" s="154" t="str">
        <f>Resumo!F4</f>
        <v>Abril</v>
      </c>
      <c r="G4" s="154" t="str">
        <f>Resumo!G4</f>
        <v>Maio</v>
      </c>
      <c r="H4" s="154" t="str">
        <f>Resumo!H4</f>
        <v>Junho</v>
      </c>
      <c r="I4" s="154" t="str">
        <f>Resumo!I4</f>
        <v>Julho</v>
      </c>
      <c r="J4" s="154" t="str">
        <f>Resumo!J4</f>
        <v>Agosto</v>
      </c>
      <c r="K4" s="154" t="str">
        <f>Resumo!K4</f>
        <v>Setembro</v>
      </c>
      <c r="L4" s="154" t="str">
        <f>Resumo!L4</f>
        <v>Outubro</v>
      </c>
      <c r="M4" s="154" t="str">
        <f>Resumo!M4</f>
        <v>Novembro</v>
      </c>
      <c r="N4" s="154" t="str">
        <f>Resumo!N4</f>
        <v>Dezembro</v>
      </c>
      <c r="O4" s="802" t="s">
        <v>273</v>
      </c>
    </row>
    <row r="5" spans="1:21" x14ac:dyDescent="0.2">
      <c r="A5" s="3"/>
      <c r="B5" s="293"/>
      <c r="C5" s="294">
        <f>Resumo!C5</f>
        <v>44562</v>
      </c>
      <c r="D5" s="294">
        <f>Resumo!D5</f>
        <v>44593</v>
      </c>
      <c r="E5" s="294">
        <f>Resumo!E5</f>
        <v>44621</v>
      </c>
      <c r="F5" s="294">
        <f>Resumo!F5</f>
        <v>44652</v>
      </c>
      <c r="G5" s="294">
        <f>Resumo!G5</f>
        <v>44682</v>
      </c>
      <c r="H5" s="294">
        <f>Resumo!H5</f>
        <v>44713</v>
      </c>
      <c r="I5" s="294">
        <f>Resumo!I5</f>
        <v>44743</v>
      </c>
      <c r="J5" s="294">
        <f>Resumo!J5</f>
        <v>44774</v>
      </c>
      <c r="K5" s="294">
        <f>Resumo!K5</f>
        <v>44805</v>
      </c>
      <c r="L5" s="294">
        <f>Resumo!L5</f>
        <v>44835</v>
      </c>
      <c r="M5" s="294">
        <f>Resumo!M5</f>
        <v>44866</v>
      </c>
      <c r="N5" s="294">
        <f>Resumo!N5</f>
        <v>44896</v>
      </c>
      <c r="O5" s="803"/>
    </row>
    <row r="6" spans="1:21" x14ac:dyDescent="0.2">
      <c r="A6" s="3"/>
      <c r="B6" s="293"/>
      <c r="C6" s="296" t="str">
        <f>Resumo!C6</f>
        <v>a</v>
      </c>
      <c r="D6" s="296" t="str">
        <f>Resumo!D6</f>
        <v>a</v>
      </c>
      <c r="E6" s="296" t="str">
        <f>Resumo!E6</f>
        <v>a</v>
      </c>
      <c r="F6" s="296" t="str">
        <f>Resumo!F6</f>
        <v>a</v>
      </c>
      <c r="G6" s="296" t="str">
        <f>Resumo!G6</f>
        <v>a</v>
      </c>
      <c r="H6" s="296" t="str">
        <f>Resumo!H6</f>
        <v>a</v>
      </c>
      <c r="I6" s="296" t="str">
        <f>Resumo!I6</f>
        <v>a</v>
      </c>
      <c r="J6" s="296" t="str">
        <f>Resumo!J6</f>
        <v>a</v>
      </c>
      <c r="K6" s="296" t="str">
        <f>Resumo!K6</f>
        <v>a</v>
      </c>
      <c r="L6" s="296" t="str">
        <f>Resumo!L6</f>
        <v>a</v>
      </c>
      <c r="M6" s="296" t="str">
        <f>Resumo!M6</f>
        <v>a</v>
      </c>
      <c r="N6" s="296" t="str">
        <f>Resumo!N6</f>
        <v>a</v>
      </c>
      <c r="O6" s="803"/>
    </row>
    <row r="7" spans="1:21" ht="13.5" thickBot="1" x14ac:dyDescent="0.25">
      <c r="A7" s="147"/>
      <c r="B7" s="148"/>
      <c r="C7" s="295">
        <f>Resumo!C7</f>
        <v>44592</v>
      </c>
      <c r="D7" s="295">
        <f>Resumo!D7</f>
        <v>44620</v>
      </c>
      <c r="E7" s="295">
        <f>Resumo!E7</f>
        <v>44651</v>
      </c>
      <c r="F7" s="295">
        <f>Resumo!F7</f>
        <v>44681</v>
      </c>
      <c r="G7" s="295">
        <f>Resumo!G7</f>
        <v>44712</v>
      </c>
      <c r="H7" s="295">
        <f>Resumo!H7</f>
        <v>44742</v>
      </c>
      <c r="I7" s="295">
        <f>Resumo!I7</f>
        <v>44773</v>
      </c>
      <c r="J7" s="295">
        <f>Resumo!J7</f>
        <v>44804</v>
      </c>
      <c r="K7" s="295">
        <f>Resumo!K7</f>
        <v>44834</v>
      </c>
      <c r="L7" s="295">
        <f>Resumo!L7</f>
        <v>44865</v>
      </c>
      <c r="M7" s="295">
        <f>Resumo!M7</f>
        <v>44895</v>
      </c>
      <c r="N7" s="295">
        <f>Resumo!N7</f>
        <v>44926</v>
      </c>
      <c r="O7" s="804"/>
    </row>
    <row r="8" spans="1:21" ht="24.75" customHeight="1" thickBot="1" x14ac:dyDescent="0.25">
      <c r="A8" s="149" t="s">
        <v>276</v>
      </c>
      <c r="B8" s="150"/>
      <c r="C8" s="157">
        <v>499175.18</v>
      </c>
      <c r="D8" s="158">
        <f>C39</f>
        <v>524291.34550000005</v>
      </c>
      <c r="E8" s="158">
        <f>D39</f>
        <v>574113.21746038855</v>
      </c>
      <c r="F8" s="158">
        <f t="shared" ref="F8:N8" si="0">E39</f>
        <v>636541.66164626204</v>
      </c>
      <c r="G8" s="158">
        <f t="shared" si="0"/>
        <v>660605.12349213543</v>
      </c>
      <c r="H8" s="158">
        <f t="shared" si="0"/>
        <v>713272.09163519111</v>
      </c>
      <c r="I8" s="158">
        <f t="shared" si="0"/>
        <v>779834.62881789054</v>
      </c>
      <c r="J8" s="158">
        <f t="shared" si="0"/>
        <v>881954.1198128853</v>
      </c>
      <c r="K8" s="158">
        <f t="shared" si="0"/>
        <v>937948.7068448927</v>
      </c>
      <c r="L8" s="158">
        <f t="shared" si="0"/>
        <v>1013761.3963393449</v>
      </c>
      <c r="M8" s="158">
        <f t="shared" si="0"/>
        <v>1086971.3294113972</v>
      </c>
      <c r="N8" s="158">
        <f t="shared" si="0"/>
        <v>1020544.9907373217</v>
      </c>
      <c r="O8" s="151"/>
    </row>
    <row r="9" spans="1:21" ht="21" customHeight="1" x14ac:dyDescent="0.2">
      <c r="A9" s="138" t="s">
        <v>274</v>
      </c>
      <c r="B9" s="138"/>
      <c r="C9" s="40"/>
      <c r="D9" s="40"/>
      <c r="E9" s="40"/>
      <c r="F9" s="40"/>
      <c r="G9" s="40"/>
      <c r="H9" s="40"/>
      <c r="I9" s="40"/>
      <c r="J9" s="40"/>
      <c r="K9" s="40"/>
      <c r="L9" s="40"/>
      <c r="M9" s="40"/>
      <c r="N9" s="40"/>
      <c r="O9" s="40"/>
    </row>
    <row r="10" spans="1:21" ht="13.5" customHeight="1" x14ac:dyDescent="0.2">
      <c r="A10" s="135" t="s">
        <v>108</v>
      </c>
      <c r="B10" s="136" t="s">
        <v>252</v>
      </c>
      <c r="C10" s="137">
        <v>51916.51</v>
      </c>
      <c r="D10" s="137">
        <v>50454.01</v>
      </c>
      <c r="E10" s="137">
        <v>51553.61</v>
      </c>
      <c r="F10" s="137">
        <v>54628.670549999995</v>
      </c>
      <c r="G10" s="137">
        <v>52102.89</v>
      </c>
      <c r="H10" s="137">
        <v>51817.173149999995</v>
      </c>
      <c r="I10" s="137">
        <v>63498.74</v>
      </c>
      <c r="J10" s="137">
        <v>57979.08</v>
      </c>
      <c r="K10" s="137">
        <v>66517.906320000009</v>
      </c>
      <c r="L10" s="137">
        <v>59900.021370000039</v>
      </c>
      <c r="M10" s="137">
        <v>60227.29</v>
      </c>
      <c r="N10" s="137">
        <v>58759.411470000043</v>
      </c>
      <c r="O10" s="155">
        <f>SUM(C10:N10)</f>
        <v>679355.31286000018</v>
      </c>
    </row>
    <row r="11" spans="1:21" ht="13.5" customHeight="1" x14ac:dyDescent="0.2">
      <c r="A11" s="135" t="s">
        <v>172</v>
      </c>
      <c r="B11" s="136" t="s">
        <v>267</v>
      </c>
      <c r="C11" s="137">
        <v>2038.1554999999998</v>
      </c>
      <c r="D11" s="137">
        <v>1980.8013999999998</v>
      </c>
      <c r="E11" s="137">
        <v>2023.9252999999997</v>
      </c>
      <c r="F11" s="137">
        <v>2144.5160999999998</v>
      </c>
      <c r="G11" s="137">
        <v>2045.4648999999997</v>
      </c>
      <c r="H11" s="137">
        <v>2034.2612999999999</v>
      </c>
      <c r="I11" s="137">
        <v>2490.1468000000004</v>
      </c>
      <c r="J11" s="137">
        <v>2268.2600000000002</v>
      </c>
      <c r="K11" s="137">
        <v>2599.8706399999996</v>
      </c>
      <c r="L11" s="137">
        <v>2351.2357400000005</v>
      </c>
      <c r="M11" s="137">
        <v>2364.0680400000006</v>
      </c>
      <c r="N11" s="137">
        <v>2306.50594</v>
      </c>
      <c r="O11" s="155">
        <f t="shared" ref="O11:O18" si="1">SUM(C11:N11)</f>
        <v>26647.211660000001</v>
      </c>
    </row>
    <row r="12" spans="1:21" ht="13.5" customHeight="1" x14ac:dyDescent="0.2">
      <c r="A12" s="135" t="s">
        <v>239</v>
      </c>
      <c r="B12" s="136" t="s">
        <v>4</v>
      </c>
      <c r="C12" s="137">
        <v>16305.25</v>
      </c>
      <c r="D12" s="137">
        <v>15846.411199999999</v>
      </c>
      <c r="E12" s="137">
        <v>16191.402399999997</v>
      </c>
      <c r="F12" s="137">
        <v>17156.128799999999</v>
      </c>
      <c r="G12" s="137">
        <v>16237.96</v>
      </c>
      <c r="H12" s="137">
        <v>16274.090399999999</v>
      </c>
      <c r="I12" s="137">
        <v>19921.174400000004</v>
      </c>
      <c r="J12" s="137">
        <v>18299.603519999997</v>
      </c>
      <c r="K12" s="137">
        <v>21060.325119999994</v>
      </c>
      <c r="L12" s="137">
        <v>19100.240000000002</v>
      </c>
      <c r="M12" s="137">
        <v>18775.397520000006</v>
      </c>
      <c r="N12" s="137">
        <v>18742.447520000005</v>
      </c>
      <c r="O12" s="155">
        <f t="shared" si="1"/>
        <v>213910.43088</v>
      </c>
    </row>
    <row r="13" spans="1:21" ht="13.5" customHeight="1" x14ac:dyDescent="0.2">
      <c r="A13" s="135" t="s">
        <v>240</v>
      </c>
      <c r="B13" s="136" t="s">
        <v>10</v>
      </c>
      <c r="C13" s="137">
        <v>2912.37</v>
      </c>
      <c r="D13" s="137">
        <v>7085.0580895551975</v>
      </c>
      <c r="E13" s="137">
        <v>7367.4897150400357</v>
      </c>
      <c r="F13" s="137">
        <v>7392.7514750400296</v>
      </c>
      <c r="G13" s="137">
        <v>7680.77</v>
      </c>
      <c r="H13" s="137">
        <v>7634.1159007551469</v>
      </c>
      <c r="I13" s="137">
        <v>14725.512204716884</v>
      </c>
      <c r="J13" s="137">
        <v>8056.4557939519</v>
      </c>
      <c r="K13" s="137">
        <v>7139.7356019520375</v>
      </c>
      <c r="L13" s="137">
        <v>12051.526699552109</v>
      </c>
      <c r="M13" s="137">
        <v>11605.435712313512</v>
      </c>
      <c r="N13" s="137">
        <v>3846.7112240831775</v>
      </c>
      <c r="O13" s="155">
        <f>SUM(C13:N13)</f>
        <v>97497.93241696003</v>
      </c>
    </row>
    <row r="14" spans="1:21" ht="13.5" customHeight="1" x14ac:dyDescent="0.2">
      <c r="A14" s="135" t="s">
        <v>241</v>
      </c>
      <c r="B14" s="136" t="s">
        <v>268</v>
      </c>
      <c r="C14" s="137">
        <v>17075.29</v>
      </c>
      <c r="D14" s="137">
        <v>21920.860437499992</v>
      </c>
      <c r="E14" s="137">
        <v>22391.386270833362</v>
      </c>
      <c r="F14" s="137">
        <v>23388.927937499946</v>
      </c>
      <c r="G14" s="137">
        <v>21483.511270833376</v>
      </c>
      <c r="H14" s="137">
        <v>23388.927937499975</v>
      </c>
      <c r="I14" s="137">
        <v>28237.946595833462</v>
      </c>
      <c r="J14" s="137">
        <v>25226.809912499797</v>
      </c>
      <c r="K14" s="137">
        <v>23164.476579166774</v>
      </c>
      <c r="L14" s="137">
        <v>33876.280745833326</v>
      </c>
      <c r="M14" s="137">
        <v>23983.357412499812</v>
      </c>
      <c r="N14" s="137">
        <v>26540.426579166902</v>
      </c>
      <c r="O14" s="155">
        <f>SUM(C14:N14)</f>
        <v>290678.20167916676</v>
      </c>
    </row>
    <row r="15" spans="1:21" ht="13.5" customHeight="1" x14ac:dyDescent="0.2">
      <c r="A15" s="135" t="s">
        <v>242</v>
      </c>
      <c r="B15" s="136" t="s">
        <v>287</v>
      </c>
      <c r="C15" s="137">
        <v>19913.32</v>
      </c>
      <c r="D15" s="137">
        <v>11638.520833333372</v>
      </c>
      <c r="E15" s="137">
        <v>16647.87083333332</v>
      </c>
      <c r="F15" s="137">
        <v>6841.8775000000896</v>
      </c>
      <c r="G15" s="137">
        <v>19349.48</v>
      </c>
      <c r="H15" s="137">
        <v>18557.05</v>
      </c>
      <c r="I15" s="137">
        <v>20469.825833333191</v>
      </c>
      <c r="J15" s="137">
        <v>15794.954166666867</v>
      </c>
      <c r="K15" s="137">
        <v>15481.59249999997</v>
      </c>
      <c r="L15" s="137">
        <v>20383.657500000059</v>
      </c>
      <c r="M15" s="137">
        <v>14885.702833333286</v>
      </c>
      <c r="N15" s="137">
        <v>19732.659166666563</v>
      </c>
      <c r="O15" s="155">
        <f t="shared" si="1"/>
        <v>199696.51116666672</v>
      </c>
    </row>
    <row r="16" spans="1:21" x14ac:dyDescent="0.2">
      <c r="A16" s="135" t="s">
        <v>243</v>
      </c>
      <c r="B16" s="136" t="s">
        <v>269</v>
      </c>
      <c r="C16" s="137">
        <v>9569.61</v>
      </c>
      <c r="D16" s="137">
        <v>12342.78</v>
      </c>
      <c r="E16" s="137">
        <v>13215.87</v>
      </c>
      <c r="F16" s="137">
        <v>5427.8894833333297</v>
      </c>
      <c r="G16" s="137">
        <v>11547.921972222306</v>
      </c>
      <c r="H16" s="137">
        <v>10228.308494444296</v>
      </c>
      <c r="I16" s="137">
        <v>16239.395161111199</v>
      </c>
      <c r="J16" s="137">
        <v>12530.663638888771</v>
      </c>
      <c r="K16" s="137">
        <v>18369.849999999999</v>
      </c>
      <c r="L16" s="137">
        <v>16171.034949999972</v>
      </c>
      <c r="M16" s="137">
        <v>11809.324247777753</v>
      </c>
      <c r="N16" s="137">
        <v>15654.57627222233</v>
      </c>
      <c r="O16" s="155">
        <f t="shared" si="1"/>
        <v>153107.22421999997</v>
      </c>
    </row>
    <row r="17" spans="1:15" ht="24" x14ac:dyDescent="0.2">
      <c r="A17" s="135" t="s">
        <v>244</v>
      </c>
      <c r="B17" s="136" t="s">
        <v>175</v>
      </c>
      <c r="C17" s="137">
        <v>9924.66</v>
      </c>
      <c r="D17" s="137">
        <v>1928.08</v>
      </c>
      <c r="E17" s="137">
        <v>1331.8296666666683</v>
      </c>
      <c r="F17" s="137">
        <v>1486.32</v>
      </c>
      <c r="G17" s="137">
        <v>6071.11</v>
      </c>
      <c r="H17" s="137">
        <v>14343.39</v>
      </c>
      <c r="I17" s="137">
        <v>11688.51</v>
      </c>
      <c r="J17" s="137">
        <v>10885.08</v>
      </c>
      <c r="K17" s="137">
        <v>6113.6127333333279</v>
      </c>
      <c r="L17" s="137">
        <v>2789.3060666666643</v>
      </c>
      <c r="M17" s="137">
        <v>2022.4655599999969</v>
      </c>
      <c r="N17" s="137">
        <v>897.62845333333826</v>
      </c>
      <c r="O17" s="155">
        <f t="shared" si="1"/>
        <v>69481.992480000001</v>
      </c>
    </row>
    <row r="18" spans="1:15" ht="24.75" customHeight="1" thickBot="1" x14ac:dyDescent="0.25">
      <c r="A18" s="152" t="s">
        <v>275</v>
      </c>
      <c r="B18" s="153"/>
      <c r="C18" s="156">
        <f>SUBTOTAL(109,C10:C17)</f>
        <v>129655.16550000002</v>
      </c>
      <c r="D18" s="156">
        <f>SUBTOTAL(109,D10:D17)</f>
        <v>123196.52196038856</v>
      </c>
      <c r="E18" s="156">
        <f>SUBTOTAL(109,E10:E17)</f>
        <v>130723.38418587338</v>
      </c>
      <c r="F18" s="156">
        <f t="shared" ref="F18:N18" si="2">SUBTOTAL(109,F10:F17)</f>
        <v>118467.0818458734</v>
      </c>
      <c r="G18" s="156">
        <f t="shared" si="2"/>
        <v>136519.10814305567</v>
      </c>
      <c r="H18" s="156">
        <f t="shared" si="2"/>
        <v>144277.31718269939</v>
      </c>
      <c r="I18" s="156">
        <f t="shared" si="2"/>
        <v>177271.25099499474</v>
      </c>
      <c r="J18" s="156">
        <f t="shared" si="2"/>
        <v>151040.90703200732</v>
      </c>
      <c r="K18" s="156">
        <f t="shared" si="2"/>
        <v>160447.36949445214</v>
      </c>
      <c r="L18" s="156">
        <f t="shared" si="2"/>
        <v>166623.30307205216</v>
      </c>
      <c r="M18" s="156">
        <f t="shared" si="2"/>
        <v>145673.04132592434</v>
      </c>
      <c r="N18" s="156">
        <f t="shared" si="2"/>
        <v>146480.36662547238</v>
      </c>
      <c r="O18" s="156">
        <f t="shared" si="1"/>
        <v>1730374.8173627937</v>
      </c>
    </row>
    <row r="19" spans="1:15" ht="21" customHeight="1" x14ac:dyDescent="0.2">
      <c r="A19" s="805" t="s">
        <v>303</v>
      </c>
      <c r="B19" s="805"/>
      <c r="C19" s="139"/>
      <c r="D19" s="136"/>
      <c r="E19" s="136"/>
      <c r="F19" s="136"/>
      <c r="G19" s="136"/>
      <c r="H19" s="136"/>
      <c r="I19" s="136"/>
      <c r="J19" s="136"/>
      <c r="K19" s="136"/>
      <c r="L19" s="136"/>
      <c r="M19" s="136"/>
      <c r="N19" s="136"/>
      <c r="O19" s="155"/>
    </row>
    <row r="20" spans="1:15" ht="13.5" customHeight="1" x14ac:dyDescent="0.2">
      <c r="A20" s="135" t="s">
        <v>108</v>
      </c>
      <c r="B20" s="136" t="s">
        <v>252</v>
      </c>
      <c r="C20" s="137">
        <v>0</v>
      </c>
      <c r="D20" s="137">
        <v>0</v>
      </c>
      <c r="E20" s="137">
        <v>0</v>
      </c>
      <c r="F20" s="137">
        <v>0</v>
      </c>
      <c r="G20" s="137">
        <v>0</v>
      </c>
      <c r="H20" s="137">
        <v>0</v>
      </c>
      <c r="I20" s="137">
        <v>0</v>
      </c>
      <c r="J20" s="137">
        <v>0</v>
      </c>
      <c r="K20" s="137">
        <v>0</v>
      </c>
      <c r="L20" s="137">
        <v>0</v>
      </c>
      <c r="M20" s="137">
        <v>0</v>
      </c>
      <c r="N20" s="137">
        <v>0</v>
      </c>
      <c r="O20" s="155">
        <f>SUM(C20:N20)</f>
        <v>0</v>
      </c>
    </row>
    <row r="21" spans="1:15" ht="13.5" customHeight="1" x14ac:dyDescent="0.2">
      <c r="A21" s="135" t="s">
        <v>172</v>
      </c>
      <c r="B21" s="136" t="s">
        <v>267</v>
      </c>
      <c r="C21" s="137">
        <v>0</v>
      </c>
      <c r="D21" s="137">
        <v>0</v>
      </c>
      <c r="E21" s="137">
        <v>0</v>
      </c>
      <c r="F21" s="137">
        <v>0</v>
      </c>
      <c r="G21" s="137">
        <v>0</v>
      </c>
      <c r="H21" s="137">
        <v>0</v>
      </c>
      <c r="I21" s="137">
        <v>0</v>
      </c>
      <c r="J21" s="137">
        <v>0</v>
      </c>
      <c r="K21" s="137">
        <v>0</v>
      </c>
      <c r="L21" s="137">
        <v>0</v>
      </c>
      <c r="M21" s="137">
        <v>0</v>
      </c>
      <c r="N21" s="137">
        <v>0</v>
      </c>
      <c r="O21" s="155">
        <f t="shared" ref="O21:O27" si="3">SUM(C21:N21)</f>
        <v>0</v>
      </c>
    </row>
    <row r="22" spans="1:15" ht="13.5" customHeight="1" x14ac:dyDescent="0.2">
      <c r="A22" s="135" t="s">
        <v>239</v>
      </c>
      <c r="B22" s="136" t="s">
        <v>4</v>
      </c>
      <c r="C22" s="137">
        <v>0</v>
      </c>
      <c r="D22" s="137">
        <v>0</v>
      </c>
      <c r="E22" s="137">
        <v>0</v>
      </c>
      <c r="F22" s="137">
        <v>0</v>
      </c>
      <c r="G22" s="137">
        <v>0</v>
      </c>
      <c r="H22" s="137">
        <v>0</v>
      </c>
      <c r="I22" s="137">
        <v>0</v>
      </c>
      <c r="J22" s="137">
        <v>0</v>
      </c>
      <c r="K22" s="137">
        <v>0</v>
      </c>
      <c r="L22" s="137">
        <v>0</v>
      </c>
      <c r="M22" s="137">
        <v>0</v>
      </c>
      <c r="N22" s="137">
        <v>0</v>
      </c>
      <c r="O22" s="155">
        <f t="shared" si="3"/>
        <v>0</v>
      </c>
    </row>
    <row r="23" spans="1:15" ht="13.5" customHeight="1" x14ac:dyDescent="0.2">
      <c r="A23" s="135" t="s">
        <v>240</v>
      </c>
      <c r="B23" s="136" t="s">
        <v>10</v>
      </c>
      <c r="C23" s="137">
        <v>0</v>
      </c>
      <c r="D23" s="137">
        <v>0</v>
      </c>
      <c r="E23" s="137">
        <v>0</v>
      </c>
      <c r="F23" s="137">
        <v>0</v>
      </c>
      <c r="G23" s="137">
        <v>0</v>
      </c>
      <c r="H23" s="137">
        <v>0</v>
      </c>
      <c r="I23" s="137">
        <v>0</v>
      </c>
      <c r="J23" s="137">
        <v>0</v>
      </c>
      <c r="K23" s="137">
        <v>0</v>
      </c>
      <c r="L23" s="137">
        <v>0</v>
      </c>
      <c r="M23" s="137">
        <v>0</v>
      </c>
      <c r="N23" s="137">
        <v>0</v>
      </c>
      <c r="O23" s="155">
        <f>SUM(C23:N23)</f>
        <v>0</v>
      </c>
    </row>
    <row r="24" spans="1:15" ht="13.5" customHeight="1" x14ac:dyDescent="0.2">
      <c r="A24" s="135" t="s">
        <v>241</v>
      </c>
      <c r="B24" s="136" t="s">
        <v>268</v>
      </c>
      <c r="C24" s="137">
        <v>0</v>
      </c>
      <c r="D24" s="137">
        <v>0</v>
      </c>
      <c r="E24" s="137">
        <v>0</v>
      </c>
      <c r="F24" s="137">
        <v>0</v>
      </c>
      <c r="G24" s="137">
        <v>0</v>
      </c>
      <c r="H24" s="137">
        <v>0</v>
      </c>
      <c r="I24" s="137">
        <v>0</v>
      </c>
      <c r="J24" s="137">
        <v>0</v>
      </c>
      <c r="K24" s="137">
        <v>0</v>
      </c>
      <c r="L24" s="137">
        <v>0</v>
      </c>
      <c r="M24" s="137">
        <v>0</v>
      </c>
      <c r="N24" s="137">
        <v>0</v>
      </c>
      <c r="O24" s="155">
        <f>SUM(C24:N24)</f>
        <v>0</v>
      </c>
    </row>
    <row r="25" spans="1:15" ht="13.5" customHeight="1" x14ac:dyDescent="0.2">
      <c r="A25" s="135" t="s">
        <v>242</v>
      </c>
      <c r="B25" s="136" t="s">
        <v>287</v>
      </c>
      <c r="C25" s="137">
        <v>0</v>
      </c>
      <c r="D25" s="137">
        <v>0</v>
      </c>
      <c r="E25" s="137">
        <v>0</v>
      </c>
      <c r="F25" s="137">
        <v>0</v>
      </c>
      <c r="G25" s="137">
        <v>0</v>
      </c>
      <c r="H25" s="137">
        <v>0</v>
      </c>
      <c r="I25" s="137">
        <v>0</v>
      </c>
      <c r="J25" s="137">
        <v>0</v>
      </c>
      <c r="K25" s="137">
        <v>0</v>
      </c>
      <c r="L25" s="137">
        <v>0</v>
      </c>
      <c r="M25" s="137">
        <v>0</v>
      </c>
      <c r="N25" s="137">
        <v>0</v>
      </c>
      <c r="O25" s="155">
        <f t="shared" si="3"/>
        <v>0</v>
      </c>
    </row>
    <row r="26" spans="1:15" ht="13.5" customHeight="1" x14ac:dyDescent="0.2">
      <c r="A26" s="135" t="s">
        <v>243</v>
      </c>
      <c r="B26" s="136" t="s">
        <v>269</v>
      </c>
      <c r="C26" s="137">
        <v>0</v>
      </c>
      <c r="D26" s="137">
        <v>0</v>
      </c>
      <c r="E26" s="137">
        <v>0</v>
      </c>
      <c r="F26" s="137">
        <v>0</v>
      </c>
      <c r="G26" s="137">
        <v>0</v>
      </c>
      <c r="H26" s="137">
        <v>0</v>
      </c>
      <c r="I26" s="137">
        <v>0</v>
      </c>
      <c r="J26" s="137">
        <v>0</v>
      </c>
      <c r="K26" s="137">
        <v>0</v>
      </c>
      <c r="L26" s="137">
        <v>0</v>
      </c>
      <c r="M26" s="137">
        <v>0</v>
      </c>
      <c r="N26" s="137">
        <v>0</v>
      </c>
      <c r="O26" s="155">
        <f t="shared" si="3"/>
        <v>0</v>
      </c>
    </row>
    <row r="27" spans="1:15" ht="24" x14ac:dyDescent="0.2">
      <c r="A27" s="135" t="s">
        <v>244</v>
      </c>
      <c r="B27" s="136" t="s">
        <v>175</v>
      </c>
      <c r="C27" s="137">
        <v>0</v>
      </c>
      <c r="D27" s="137">
        <v>0</v>
      </c>
      <c r="E27" s="137">
        <v>0</v>
      </c>
      <c r="F27" s="137">
        <v>0</v>
      </c>
      <c r="G27" s="137">
        <v>0</v>
      </c>
      <c r="H27" s="137">
        <v>0</v>
      </c>
      <c r="I27" s="137">
        <v>0</v>
      </c>
      <c r="J27" s="137">
        <v>0</v>
      </c>
      <c r="K27" s="137">
        <v>0</v>
      </c>
      <c r="L27" s="137">
        <v>0</v>
      </c>
      <c r="M27" s="137">
        <v>0</v>
      </c>
      <c r="N27" s="137">
        <v>0</v>
      </c>
      <c r="O27" s="155">
        <f t="shared" si="3"/>
        <v>0</v>
      </c>
    </row>
    <row r="28" spans="1:15" ht="24.75" customHeight="1" thickBot="1" x14ac:dyDescent="0.25">
      <c r="A28" s="152" t="s">
        <v>304</v>
      </c>
      <c r="B28" s="153"/>
      <c r="C28" s="156">
        <f>SUBTOTAL(109,C20:C27)</f>
        <v>0</v>
      </c>
      <c r="D28" s="156">
        <f>SUBTOTAL(109,D20:D27)</f>
        <v>0</v>
      </c>
      <c r="E28" s="156">
        <f>SUBTOTAL(109,E20:E27)</f>
        <v>0</v>
      </c>
      <c r="F28" s="156">
        <f t="shared" ref="F28:N28" si="4">SUBTOTAL(109,F20:F27)</f>
        <v>0</v>
      </c>
      <c r="G28" s="156">
        <f t="shared" si="4"/>
        <v>0</v>
      </c>
      <c r="H28" s="156">
        <f t="shared" si="4"/>
        <v>0</v>
      </c>
      <c r="I28" s="156">
        <f t="shared" si="4"/>
        <v>0</v>
      </c>
      <c r="J28" s="156">
        <f t="shared" si="4"/>
        <v>0</v>
      </c>
      <c r="K28" s="156">
        <f t="shared" si="4"/>
        <v>0</v>
      </c>
      <c r="L28" s="156">
        <f t="shared" si="4"/>
        <v>0</v>
      </c>
      <c r="M28" s="156">
        <f t="shared" si="4"/>
        <v>0</v>
      </c>
      <c r="N28" s="156">
        <f t="shared" si="4"/>
        <v>0</v>
      </c>
      <c r="O28" s="156">
        <f>SUM(C28:N28)</f>
        <v>0</v>
      </c>
    </row>
    <row r="29" spans="1:15" ht="21" customHeight="1" x14ac:dyDescent="0.2">
      <c r="A29" s="805" t="s">
        <v>301</v>
      </c>
      <c r="B29" s="805"/>
      <c r="C29" s="139"/>
      <c r="D29" s="136"/>
      <c r="E29" s="136"/>
      <c r="F29" s="136"/>
      <c r="G29" s="136"/>
      <c r="H29" s="136"/>
      <c r="I29" s="136"/>
      <c r="J29" s="136"/>
      <c r="K29" s="136"/>
      <c r="L29" s="136"/>
      <c r="M29" s="136"/>
      <c r="N29" s="136"/>
      <c r="O29" s="155"/>
    </row>
    <row r="30" spans="1:15" ht="13.5" customHeight="1" x14ac:dyDescent="0.2">
      <c r="A30" s="135" t="s">
        <v>108</v>
      </c>
      <c r="B30" s="136" t="s">
        <v>252</v>
      </c>
      <c r="C30" s="155">
        <f>'Analítico Cx.'!C34</f>
        <v>49914.73</v>
      </c>
      <c r="D30" s="155">
        <f>'Analítico Cx.'!D34</f>
        <v>51916.51</v>
      </c>
      <c r="E30" s="155">
        <f>'Analítico Cx.'!E34</f>
        <v>50454.01</v>
      </c>
      <c r="F30" s="155">
        <f>'Analítico Cx.'!F34</f>
        <v>51553.61</v>
      </c>
      <c r="G30" s="155">
        <f>'Analítico Cx.'!G34</f>
        <v>54628.67</v>
      </c>
      <c r="H30" s="155">
        <f>'Analítico Cx.'!H34</f>
        <v>52102.89</v>
      </c>
      <c r="I30" s="155">
        <f>'Analítico Cx.'!I34</f>
        <v>51817.17</v>
      </c>
      <c r="J30" s="155">
        <f>'Analítico Cx.'!J34</f>
        <v>63498.74</v>
      </c>
      <c r="K30" s="155">
        <f>'Analítico Cx.'!K34</f>
        <v>57979.08</v>
      </c>
      <c r="L30" s="155">
        <f>'Analítico Cx.'!L34</f>
        <v>66517.97</v>
      </c>
      <c r="M30" s="155">
        <f>'Analítico Cx.'!M34</f>
        <v>59900.02</v>
      </c>
      <c r="N30" s="155">
        <f>'Analítico Cx.'!N34</f>
        <v>60227.29</v>
      </c>
      <c r="O30" s="155">
        <f t="shared" ref="O30:O38" si="5">SUM(C30:N30)</f>
        <v>670510.69000000006</v>
      </c>
    </row>
    <row r="31" spans="1:15" ht="13.5" customHeight="1" x14ac:dyDescent="0.2">
      <c r="A31" s="135" t="s">
        <v>172</v>
      </c>
      <c r="B31" s="136" t="s">
        <v>267</v>
      </c>
      <c r="C31" s="155">
        <f>'Analítico Cx.'!C35</f>
        <v>1959.45</v>
      </c>
      <c r="D31" s="155">
        <f>'Analítico Cx.'!D35</f>
        <v>2038.16</v>
      </c>
      <c r="E31" s="155">
        <f>'Analítico Cx.'!E35</f>
        <v>1980.8</v>
      </c>
      <c r="F31" s="155">
        <f>'Analítico Cx.'!F35</f>
        <v>2023.93</v>
      </c>
      <c r="G31" s="155">
        <f>'Analítico Cx.'!G35</f>
        <v>2144.52</v>
      </c>
      <c r="H31" s="155">
        <f>'Analítico Cx.'!H35</f>
        <v>2045.46</v>
      </c>
      <c r="I31" s="155">
        <f>'Analítico Cx.'!I35</f>
        <v>2034.26</v>
      </c>
      <c r="J31" s="155">
        <f>'Analítico Cx.'!J35</f>
        <v>2490.15</v>
      </c>
      <c r="K31" s="155">
        <f>'Analítico Cx.'!K35</f>
        <v>2268.2600000000002</v>
      </c>
      <c r="L31" s="155">
        <f>'Analítico Cx.'!L35</f>
        <v>2599.87</v>
      </c>
      <c r="M31" s="155">
        <f>'Analítico Cx.'!M35</f>
        <v>2351.2399999999998</v>
      </c>
      <c r="N31" s="155">
        <f>'Analítico Cx.'!N35</f>
        <v>2364.0700000000002</v>
      </c>
      <c r="O31" s="155">
        <f t="shared" si="5"/>
        <v>26300.17</v>
      </c>
    </row>
    <row r="32" spans="1:15" ht="13.5" customHeight="1" x14ac:dyDescent="0.2">
      <c r="A32" s="135" t="s">
        <v>239</v>
      </c>
      <c r="B32" s="136" t="s">
        <v>4</v>
      </c>
      <c r="C32" s="155">
        <f>'Analítico Cx.'!C36</f>
        <v>15675.609999999999</v>
      </c>
      <c r="D32" s="155">
        <f>'Analítico Cx.'!D36</f>
        <v>16305.25</v>
      </c>
      <c r="E32" s="155">
        <f>'Analítico Cx.'!E36</f>
        <v>15846.41</v>
      </c>
      <c r="F32" s="155">
        <f>'Analítico Cx.'!F36</f>
        <v>16191.4</v>
      </c>
      <c r="G32" s="155">
        <f>'Analítico Cx.'!G36</f>
        <v>17156.13</v>
      </c>
      <c r="H32" s="155">
        <f>'Analítico Cx.'!H36</f>
        <v>16237.96</v>
      </c>
      <c r="I32" s="155">
        <f>'Analítico Cx.'!I36</f>
        <v>16274.089999999998</v>
      </c>
      <c r="J32" s="155">
        <f>'Analítico Cx.'!J36</f>
        <v>19921.169999999998</v>
      </c>
      <c r="K32" s="155">
        <f>'Analítico Cx.'!K36</f>
        <v>18299.599999999999</v>
      </c>
      <c r="L32" s="155">
        <f>'Analítico Cx.'!L36</f>
        <v>21060.33</v>
      </c>
      <c r="M32" s="155">
        <f>'Analítico Cx.'!M36</f>
        <v>19100.239999999998</v>
      </c>
      <c r="N32" s="155">
        <f>'Analítico Cx.'!N36</f>
        <v>18775.400000000001</v>
      </c>
      <c r="O32" s="155">
        <f t="shared" si="5"/>
        <v>210843.59</v>
      </c>
    </row>
    <row r="33" spans="1:15" ht="13.5" customHeight="1" x14ac:dyDescent="0.2">
      <c r="A33" s="135" t="s">
        <v>240</v>
      </c>
      <c r="B33" s="136" t="s">
        <v>10</v>
      </c>
      <c r="C33" s="155">
        <f>'Analítico Cx.'!C37</f>
        <v>0</v>
      </c>
      <c r="D33" s="155">
        <f>'Analítico Cx.'!D37</f>
        <v>0</v>
      </c>
      <c r="E33" s="155">
        <f>'Analítico Cx.'!E37</f>
        <v>0</v>
      </c>
      <c r="F33" s="155">
        <f>'Analítico Cx.'!F37</f>
        <v>0</v>
      </c>
      <c r="G33" s="155">
        <f>'Analítico Cx.'!G37</f>
        <v>1061.74</v>
      </c>
      <c r="H33" s="155">
        <f>'Analítico Cx.'!H37</f>
        <v>0</v>
      </c>
      <c r="I33" s="155">
        <f>'Analítico Cx.'!I37</f>
        <v>0</v>
      </c>
      <c r="J33" s="155">
        <f>'Analítico Cx.'!J37</f>
        <v>0</v>
      </c>
      <c r="K33" s="155">
        <f>'Analítico Cx.'!K37</f>
        <v>0</v>
      </c>
      <c r="L33" s="155">
        <f>'Analítico Cx.'!L37</f>
        <v>0</v>
      </c>
      <c r="M33" s="155">
        <f>'Analítico Cx.'!M37</f>
        <v>4784.16</v>
      </c>
      <c r="N33" s="155">
        <f>'Analítico Cx.'!N37</f>
        <v>0</v>
      </c>
      <c r="O33" s="155">
        <f t="shared" si="5"/>
        <v>5845.9</v>
      </c>
    </row>
    <row r="34" spans="1:15" ht="13.5" customHeight="1" x14ac:dyDescent="0.2">
      <c r="A34" s="135" t="s">
        <v>241</v>
      </c>
      <c r="B34" s="136" t="s">
        <v>268</v>
      </c>
      <c r="C34" s="155">
        <f>'Analítico Cx.'!C38</f>
        <v>17075.289999999997</v>
      </c>
      <c r="D34" s="155">
        <f>'Analítico Cx.'!D38</f>
        <v>0</v>
      </c>
      <c r="E34" s="155">
        <f>'Analítico Cx.'!E38</f>
        <v>0</v>
      </c>
      <c r="F34" s="155">
        <f>'Analítico Cx.'!F38</f>
        <v>0</v>
      </c>
      <c r="G34" s="155">
        <f>'Analítico Cx.'!G38</f>
        <v>0</v>
      </c>
      <c r="H34" s="155">
        <f>'Analítico Cx.'!H38</f>
        <v>0</v>
      </c>
      <c r="I34" s="155">
        <f>'Analítico Cx.'!I38</f>
        <v>0</v>
      </c>
      <c r="J34" s="155">
        <f>'Analítico Cx.'!J38</f>
        <v>0</v>
      </c>
      <c r="K34" s="155">
        <f>'Analítico Cx.'!K38</f>
        <v>0</v>
      </c>
      <c r="L34" s="155">
        <f>'Analítico Cx.'!L38</f>
        <v>0</v>
      </c>
      <c r="M34" s="155">
        <f>'Analítico Cx.'!M38</f>
        <v>109393.55</v>
      </c>
      <c r="N34" s="155">
        <f>'Analítico Cx.'!N38</f>
        <v>158741.28999999989</v>
      </c>
      <c r="O34" s="155">
        <f t="shared" si="5"/>
        <v>285210.12999999989</v>
      </c>
    </row>
    <row r="35" spans="1:15" ht="13.5" customHeight="1" x14ac:dyDescent="0.2">
      <c r="A35" s="135" t="s">
        <v>242</v>
      </c>
      <c r="B35" s="136" t="s">
        <v>287</v>
      </c>
      <c r="C35" s="155">
        <f>'Analítico Cx.'!C39</f>
        <v>19913.919999999998</v>
      </c>
      <c r="D35" s="155">
        <f>'Analítico Cx.'!D39</f>
        <v>3114.73</v>
      </c>
      <c r="E35" s="155">
        <f>'Analítico Cx.'!E39</f>
        <v>13.72</v>
      </c>
      <c r="F35" s="155">
        <f>'Analítico Cx.'!F39</f>
        <v>24634.68</v>
      </c>
      <c r="G35" s="155">
        <f>'Analítico Cx.'!G39</f>
        <v>4067.8</v>
      </c>
      <c r="H35" s="155">
        <f>'Analítico Cx.'!H39</f>
        <v>5664.22</v>
      </c>
      <c r="I35" s="155">
        <f>'Analítico Cx.'!I39</f>
        <v>5026.2399999999989</v>
      </c>
      <c r="J35" s="155">
        <f>'Analítico Cx.'!J39</f>
        <v>3467.76</v>
      </c>
      <c r="K35" s="155">
        <f>'Analítico Cx.'!K39</f>
        <v>6087.74</v>
      </c>
      <c r="L35" s="155">
        <f>'Analítico Cx.'!L39</f>
        <v>3235.2000000000003</v>
      </c>
      <c r="M35" s="155">
        <f>'Analítico Cx.'!M39</f>
        <v>2707.19</v>
      </c>
      <c r="N35" s="155">
        <f>'Analítico Cx.'!N39</f>
        <v>154450.65</v>
      </c>
      <c r="O35" s="155">
        <f t="shared" si="5"/>
        <v>232383.85</v>
      </c>
    </row>
    <row r="36" spans="1:15" ht="13.5" customHeight="1" x14ac:dyDescent="0.2">
      <c r="A36" s="135" t="s">
        <v>243</v>
      </c>
      <c r="B36" s="136" t="s">
        <v>269</v>
      </c>
      <c r="C36" s="155">
        <f>'Analítico Cx.'!C40</f>
        <v>0</v>
      </c>
      <c r="D36" s="155">
        <f>'Analítico Cx.'!D40</f>
        <v>0</v>
      </c>
      <c r="E36" s="155">
        <f>'Analítico Cx.'!E40</f>
        <v>0</v>
      </c>
      <c r="F36" s="155">
        <f>'Analítico Cx.'!F40</f>
        <v>0</v>
      </c>
      <c r="G36" s="155">
        <f>'Analítico Cx.'!G40</f>
        <v>0</v>
      </c>
      <c r="H36" s="155">
        <f>'Analítico Cx.'!H40</f>
        <v>0</v>
      </c>
      <c r="I36" s="155">
        <f>'Analítico Cx.'!I40</f>
        <v>0</v>
      </c>
      <c r="J36" s="155">
        <f>'Analítico Cx.'!J40</f>
        <v>0</v>
      </c>
      <c r="K36" s="155">
        <f>'Analítico Cx.'!K40</f>
        <v>0</v>
      </c>
      <c r="L36" s="155">
        <f>'Analítico Cx.'!L40</f>
        <v>0</v>
      </c>
      <c r="M36" s="155">
        <f>'Analítico Cx.'!M40</f>
        <v>0</v>
      </c>
      <c r="N36" s="155">
        <f>'Analítico Cx.'!N40</f>
        <v>0</v>
      </c>
      <c r="O36" s="155">
        <f t="shared" si="5"/>
        <v>0</v>
      </c>
    </row>
    <row r="37" spans="1:15" ht="24" x14ac:dyDescent="0.2">
      <c r="A37" s="135" t="s">
        <v>244</v>
      </c>
      <c r="B37" s="136" t="s">
        <v>175</v>
      </c>
      <c r="C37" s="155">
        <f>'Analítico Cx.'!C41</f>
        <v>0</v>
      </c>
      <c r="D37" s="155">
        <f>'Analítico Cx.'!D41</f>
        <v>0</v>
      </c>
      <c r="E37" s="155">
        <f>'Analítico Cx.'!E41</f>
        <v>0</v>
      </c>
      <c r="F37" s="155">
        <f>'Analítico Cx.'!F41</f>
        <v>0</v>
      </c>
      <c r="G37" s="155">
        <f>'Analítico Cx.'!G41</f>
        <v>4793.28</v>
      </c>
      <c r="H37" s="155">
        <f>'Analítico Cx.'!H41</f>
        <v>1664.25</v>
      </c>
      <c r="I37" s="155">
        <f>'Analítico Cx.'!I41</f>
        <v>0</v>
      </c>
      <c r="J37" s="155">
        <f>'Analítico Cx.'!J41</f>
        <v>5668.5</v>
      </c>
      <c r="K37" s="155">
        <f>'Analítico Cx.'!K41</f>
        <v>0</v>
      </c>
      <c r="L37" s="155">
        <f>'Analítico Cx.'!L41</f>
        <v>0</v>
      </c>
      <c r="M37" s="155">
        <f>'Analítico Cx.'!M41</f>
        <v>13862.98</v>
      </c>
      <c r="N37" s="155">
        <f>'Analítico Cx.'!N41</f>
        <v>525.32000000000005</v>
      </c>
      <c r="O37" s="155">
        <f t="shared" si="5"/>
        <v>26514.329999999998</v>
      </c>
    </row>
    <row r="38" spans="1:15" ht="24.75" customHeight="1" thickBot="1" x14ac:dyDescent="0.25">
      <c r="A38" s="152" t="s">
        <v>302</v>
      </c>
      <c r="B38" s="153"/>
      <c r="C38" s="156">
        <f>SUBTOTAL(109,C30:C37)</f>
        <v>104538.99999999999</v>
      </c>
      <c r="D38" s="156">
        <f>SUBTOTAL(109,D30:D37)</f>
        <v>73374.650000000009</v>
      </c>
      <c r="E38" s="156">
        <f>SUBTOTAL(109,E30:E37)</f>
        <v>68294.94</v>
      </c>
      <c r="F38" s="156">
        <f t="shared" ref="F38:N38" si="6">SUBTOTAL(109,F30:F37)</f>
        <v>94403.62</v>
      </c>
      <c r="G38" s="156">
        <f t="shared" si="6"/>
        <v>83852.14</v>
      </c>
      <c r="H38" s="156">
        <f t="shared" si="6"/>
        <v>77714.78</v>
      </c>
      <c r="I38" s="156">
        <f t="shared" si="6"/>
        <v>75151.760000000009</v>
      </c>
      <c r="J38" s="156">
        <f t="shared" si="6"/>
        <v>95046.319999999992</v>
      </c>
      <c r="K38" s="156">
        <f t="shared" si="6"/>
        <v>84634.680000000008</v>
      </c>
      <c r="L38" s="156">
        <f t="shared" si="6"/>
        <v>93413.37</v>
      </c>
      <c r="M38" s="156">
        <f t="shared" si="6"/>
        <v>212099.38000000003</v>
      </c>
      <c r="N38" s="156">
        <f t="shared" si="6"/>
        <v>395084.0199999999</v>
      </c>
      <c r="O38" s="156">
        <f t="shared" si="5"/>
        <v>1457608.6600000001</v>
      </c>
    </row>
    <row r="39" spans="1:15" ht="24.75" customHeight="1" thickBot="1" x14ac:dyDescent="0.25">
      <c r="A39" s="806" t="s">
        <v>277</v>
      </c>
      <c r="B39" s="806"/>
      <c r="C39" s="158">
        <f>C8+C18-C38-C28</f>
        <v>524291.34550000005</v>
      </c>
      <c r="D39" s="158">
        <f>D8+D18-D38-D28</f>
        <v>574113.21746038855</v>
      </c>
      <c r="E39" s="158">
        <f>E8+E18-E38-E28</f>
        <v>636541.66164626204</v>
      </c>
      <c r="F39" s="158">
        <f t="shared" ref="F39:N39" si="7">F8+F18-F38-F28</f>
        <v>660605.12349213543</v>
      </c>
      <c r="G39" s="158">
        <f t="shared" si="7"/>
        <v>713272.09163519111</v>
      </c>
      <c r="H39" s="158">
        <f t="shared" si="7"/>
        <v>779834.62881789054</v>
      </c>
      <c r="I39" s="158">
        <f t="shared" si="7"/>
        <v>881954.1198128853</v>
      </c>
      <c r="J39" s="158">
        <f t="shared" si="7"/>
        <v>937948.7068448927</v>
      </c>
      <c r="K39" s="158">
        <f t="shared" si="7"/>
        <v>1013761.3963393449</v>
      </c>
      <c r="L39" s="158">
        <f t="shared" si="7"/>
        <v>1086971.3294113972</v>
      </c>
      <c r="M39" s="158">
        <f t="shared" si="7"/>
        <v>1020544.9907373217</v>
      </c>
      <c r="N39" s="158">
        <f t="shared" si="7"/>
        <v>771941.33736279409</v>
      </c>
      <c r="O39" s="159"/>
    </row>
    <row r="40" spans="1:15" x14ac:dyDescent="0.2">
      <c r="A40" s="45"/>
      <c r="B40" s="46"/>
      <c r="C40" s="46"/>
      <c r="D40" s="46"/>
      <c r="E40" s="46"/>
      <c r="F40" s="46"/>
      <c r="G40" s="46"/>
      <c r="H40" s="46"/>
      <c r="I40" s="46"/>
      <c r="J40" s="46"/>
      <c r="K40" s="46"/>
      <c r="L40" s="46"/>
      <c r="M40" s="46"/>
      <c r="N40" s="46"/>
      <c r="O40" s="47"/>
    </row>
    <row r="41" spans="1:15" x14ac:dyDescent="0.2">
      <c r="A41" s="45"/>
      <c r="B41" s="46"/>
      <c r="C41" s="46"/>
      <c r="D41" s="46"/>
      <c r="E41" s="46"/>
      <c r="F41" s="46"/>
      <c r="G41" s="46"/>
      <c r="H41" s="46"/>
      <c r="I41" s="46"/>
      <c r="J41" s="46"/>
      <c r="K41" s="46"/>
      <c r="L41" s="46"/>
      <c r="M41" s="46"/>
      <c r="N41" s="46"/>
      <c r="O41" s="47"/>
    </row>
  </sheetData>
  <sheetProtection sheet="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70"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pageSetUpPr fitToPage="1"/>
  </sheetPr>
  <dimension ref="A1:I524"/>
  <sheetViews>
    <sheetView zoomScaleSheetLayoutView="85" workbookViewId="0">
      <pane ySplit="4" topLeftCell="A7" activePane="bottomLeft" state="frozen"/>
      <selection activeCell="G29" sqref="G29"/>
      <selection pane="bottomLeft" activeCell="I7" sqref="I7"/>
    </sheetView>
  </sheetViews>
  <sheetFormatPr defaultColWidth="9.140625" defaultRowHeight="12.75" x14ac:dyDescent="0.2"/>
  <cols>
    <col min="1" max="1" width="11.5703125" style="220" customWidth="1"/>
    <col min="2" max="2" width="18.42578125" style="220" customWidth="1"/>
    <col min="3" max="3" width="21.5703125" style="220" customWidth="1"/>
    <col min="4" max="4" width="12.28515625" style="221" customWidth="1"/>
    <col min="5" max="5" width="12.7109375" style="221" bestFit="1" customWidth="1"/>
    <col min="6" max="6" width="23.42578125" style="220" customWidth="1"/>
    <col min="7" max="7" width="20.42578125" style="220" customWidth="1"/>
    <col min="8" max="8" width="15.140625" style="220" customWidth="1"/>
    <col min="9" max="9" width="22.28515625" style="220" customWidth="1"/>
    <col min="10" max="16384" width="9.140625" style="199"/>
  </cols>
  <sheetData>
    <row r="1" spans="1:9" ht="27" customHeight="1" x14ac:dyDescent="0.2">
      <c r="A1" s="776" t="str">
        <f>Capa!A1</f>
        <v>Contrato de Gestão nº. 05/20 celebrado entre a Fundação Clóvis Salgado e a Associação Pró-Cultura e Promoção das Artes</v>
      </c>
      <c r="B1" s="776"/>
      <c r="C1" s="776"/>
      <c r="D1" s="776"/>
      <c r="E1" s="776"/>
      <c r="F1" s="776"/>
      <c r="G1" s="776"/>
      <c r="H1" s="776"/>
      <c r="I1" s="776"/>
    </row>
    <row r="2" spans="1:9" ht="20.25" customHeight="1" x14ac:dyDescent="0.2">
      <c r="A2" s="776">
        <f>Capa!A3</f>
        <v>0</v>
      </c>
      <c r="B2" s="776"/>
      <c r="C2" s="776"/>
      <c r="D2" s="776"/>
      <c r="E2" s="776"/>
      <c r="F2" s="776"/>
      <c r="G2" s="776"/>
      <c r="H2" s="776"/>
      <c r="I2" s="776"/>
    </row>
    <row r="3" spans="1:9" ht="20.25" customHeight="1" thickBot="1" x14ac:dyDescent="0.25">
      <c r="A3" s="807" t="s">
        <v>361</v>
      </c>
      <c r="B3" s="807"/>
      <c r="C3" s="807"/>
      <c r="D3" s="807"/>
      <c r="E3" s="807"/>
      <c r="F3" s="807"/>
      <c r="G3" s="807"/>
      <c r="H3" s="807"/>
      <c r="I3" s="807"/>
    </row>
    <row r="4" spans="1:9" s="212" customFormat="1" ht="43.5" customHeight="1" thickBot="1" x14ac:dyDescent="0.25">
      <c r="A4" s="210" t="s">
        <v>73</v>
      </c>
      <c r="B4" s="210" t="s">
        <v>74</v>
      </c>
      <c r="C4" s="210" t="s">
        <v>44</v>
      </c>
      <c r="D4" s="211" t="s">
        <v>288</v>
      </c>
      <c r="E4" s="210" t="s">
        <v>30</v>
      </c>
      <c r="F4" s="210" t="s">
        <v>31</v>
      </c>
      <c r="G4" s="210" t="s">
        <v>32</v>
      </c>
      <c r="H4" s="210" t="s">
        <v>95</v>
      </c>
      <c r="I4" s="210" t="s">
        <v>181</v>
      </c>
    </row>
    <row r="5" spans="1:9" s="209" customFormat="1" ht="165.75" x14ac:dyDescent="0.2">
      <c r="A5" s="317" t="s">
        <v>7395</v>
      </c>
      <c r="B5" s="318" t="s">
        <v>7398</v>
      </c>
      <c r="C5" s="318" t="s">
        <v>235</v>
      </c>
      <c r="D5" s="321">
        <v>475.98</v>
      </c>
      <c r="E5" s="322">
        <v>44750</v>
      </c>
      <c r="F5" s="318" t="s">
        <v>1498</v>
      </c>
      <c r="G5" s="318">
        <v>31745781</v>
      </c>
      <c r="H5" s="318" t="s">
        <v>7401</v>
      </c>
      <c r="I5" s="318" t="s">
        <v>7403</v>
      </c>
    </row>
    <row r="6" spans="1:9" s="209" customFormat="1" ht="114.75" x14ac:dyDescent="0.2">
      <c r="A6" s="317" t="s">
        <v>7396</v>
      </c>
      <c r="B6" s="318" t="s">
        <v>7399</v>
      </c>
      <c r="C6" s="213" t="s">
        <v>225</v>
      </c>
      <c r="D6" s="214">
        <v>674.09</v>
      </c>
      <c r="E6" s="215">
        <v>44750</v>
      </c>
      <c r="F6" s="318" t="s">
        <v>1498</v>
      </c>
      <c r="G6" s="213">
        <v>1188445</v>
      </c>
      <c r="H6" s="318" t="s">
        <v>7402</v>
      </c>
      <c r="I6" s="318" t="s">
        <v>5782</v>
      </c>
    </row>
    <row r="7" spans="1:9" s="209" customFormat="1" ht="153.75" thickBot="1" x14ac:dyDescent="0.25">
      <c r="A7" s="317" t="s">
        <v>7397</v>
      </c>
      <c r="B7" s="318" t="s">
        <v>7400</v>
      </c>
      <c r="C7" s="318" t="s">
        <v>235</v>
      </c>
      <c r="D7" s="214">
        <v>566.24</v>
      </c>
      <c r="E7" s="215">
        <v>44809</v>
      </c>
      <c r="F7" s="318" t="s">
        <v>6968</v>
      </c>
      <c r="G7" s="213">
        <v>34604</v>
      </c>
      <c r="H7" s="318" t="s">
        <v>7401</v>
      </c>
      <c r="I7" s="318" t="s">
        <v>6969</v>
      </c>
    </row>
    <row r="8" spans="1:9" s="209" customFormat="1" hidden="1" x14ac:dyDescent="0.2">
      <c r="A8" s="317"/>
      <c r="B8" s="318"/>
      <c r="C8" s="213"/>
      <c r="D8" s="214"/>
      <c r="E8" s="215"/>
      <c r="F8" s="318"/>
      <c r="G8" s="213"/>
      <c r="H8" s="318"/>
      <c r="I8" s="213"/>
    </row>
    <row r="9" spans="1:9" s="209" customFormat="1" hidden="1" x14ac:dyDescent="0.2">
      <c r="A9" s="317"/>
      <c r="B9" s="318"/>
      <c r="C9" s="213"/>
      <c r="D9" s="214"/>
      <c r="E9" s="215"/>
      <c r="F9" s="318"/>
      <c r="G9" s="213"/>
      <c r="H9" s="318"/>
      <c r="I9" s="213"/>
    </row>
    <row r="10" spans="1:9" s="209" customFormat="1" hidden="1" x14ac:dyDescent="0.2">
      <c r="A10" s="317"/>
      <c r="B10" s="318"/>
      <c r="C10" s="213"/>
      <c r="D10" s="214"/>
      <c r="E10" s="215"/>
      <c r="F10" s="318"/>
      <c r="G10" s="213"/>
      <c r="H10" s="318"/>
      <c r="I10" s="213"/>
    </row>
    <row r="11" spans="1:9" s="209" customFormat="1" hidden="1" x14ac:dyDescent="0.2">
      <c r="A11" s="317"/>
      <c r="B11" s="318"/>
      <c r="C11" s="213"/>
      <c r="D11" s="214"/>
      <c r="E11" s="215"/>
      <c r="F11" s="318"/>
      <c r="G11" s="213"/>
      <c r="H11" s="318"/>
      <c r="I11" s="213"/>
    </row>
    <row r="12" spans="1:9" s="209" customFormat="1" hidden="1" x14ac:dyDescent="0.2">
      <c r="A12" s="317"/>
      <c r="B12" s="318"/>
      <c r="C12" s="213"/>
      <c r="D12" s="214"/>
      <c r="E12" s="215"/>
      <c r="F12" s="318"/>
      <c r="G12" s="213"/>
      <c r="H12" s="318"/>
      <c r="I12" s="213"/>
    </row>
    <row r="13" spans="1:9" s="209" customFormat="1" hidden="1" x14ac:dyDescent="0.2">
      <c r="A13" s="317"/>
      <c r="B13" s="318"/>
      <c r="C13" s="213"/>
      <c r="D13" s="214"/>
      <c r="E13" s="215"/>
      <c r="F13" s="318"/>
      <c r="G13" s="213"/>
      <c r="H13" s="318"/>
      <c r="I13" s="213"/>
    </row>
    <row r="14" spans="1:9" s="209" customFormat="1" hidden="1" x14ac:dyDescent="0.2">
      <c r="A14" s="317"/>
      <c r="B14" s="318"/>
      <c r="C14" s="213"/>
      <c r="D14" s="214"/>
      <c r="E14" s="215"/>
      <c r="F14" s="318"/>
      <c r="G14" s="213"/>
      <c r="H14" s="318"/>
      <c r="I14" s="213"/>
    </row>
    <row r="15" spans="1:9" s="209" customFormat="1" hidden="1" x14ac:dyDescent="0.2">
      <c r="A15" s="317"/>
      <c r="B15" s="318"/>
      <c r="C15" s="213"/>
      <c r="D15" s="214"/>
      <c r="E15" s="215"/>
      <c r="F15" s="318"/>
      <c r="G15" s="213"/>
      <c r="H15" s="318"/>
      <c r="I15" s="213"/>
    </row>
    <row r="16" spans="1:9" s="209" customFormat="1" hidden="1" x14ac:dyDescent="0.2">
      <c r="A16" s="317"/>
      <c r="B16" s="318"/>
      <c r="C16" s="213"/>
      <c r="D16" s="214"/>
      <c r="E16" s="215"/>
      <c r="F16" s="318"/>
      <c r="G16" s="213"/>
      <c r="H16" s="318"/>
      <c r="I16" s="213"/>
    </row>
    <row r="17" spans="1:9" s="209" customFormat="1" hidden="1" x14ac:dyDescent="0.2">
      <c r="A17" s="317"/>
      <c r="B17" s="318"/>
      <c r="C17" s="213"/>
      <c r="D17" s="214"/>
      <c r="E17" s="215"/>
      <c r="F17" s="318"/>
      <c r="G17" s="213"/>
      <c r="H17" s="318"/>
      <c r="I17" s="213"/>
    </row>
    <row r="18" spans="1:9" s="209" customFormat="1" hidden="1" x14ac:dyDescent="0.2">
      <c r="A18" s="213"/>
      <c r="B18" s="213"/>
      <c r="C18" s="213"/>
      <c r="D18" s="214"/>
      <c r="E18" s="215"/>
      <c r="F18" s="213"/>
      <c r="G18" s="213"/>
      <c r="H18" s="213"/>
      <c r="I18" s="213"/>
    </row>
    <row r="19" spans="1:9" s="209" customFormat="1" hidden="1" x14ac:dyDescent="0.2">
      <c r="A19" s="317"/>
      <c r="B19" s="318"/>
      <c r="C19" s="318"/>
      <c r="D19" s="321"/>
      <c r="E19" s="322"/>
      <c r="F19" s="318"/>
      <c r="G19" s="318"/>
      <c r="H19" s="318"/>
      <c r="I19" s="318"/>
    </row>
    <row r="20" spans="1:9" s="209" customFormat="1" hidden="1" x14ac:dyDescent="0.2">
      <c r="A20" s="213"/>
      <c r="B20" s="213"/>
      <c r="C20" s="213"/>
      <c r="D20" s="214"/>
      <c r="E20" s="215"/>
      <c r="F20" s="213"/>
      <c r="G20" s="213"/>
      <c r="H20" s="213"/>
      <c r="I20" s="213"/>
    </row>
    <row r="21" spans="1:9" s="209" customFormat="1" hidden="1" x14ac:dyDescent="0.2">
      <c r="A21" s="213"/>
      <c r="B21" s="213"/>
      <c r="C21" s="213"/>
      <c r="D21" s="214"/>
      <c r="E21" s="215"/>
      <c r="F21" s="213"/>
      <c r="G21" s="213"/>
      <c r="H21" s="213"/>
      <c r="I21" s="213"/>
    </row>
    <row r="22" spans="1:9" s="209" customFormat="1" hidden="1" x14ac:dyDescent="0.2">
      <c r="A22" s="213"/>
      <c r="B22" s="213"/>
      <c r="C22" s="213"/>
      <c r="D22" s="214"/>
      <c r="E22" s="215"/>
      <c r="F22" s="213"/>
      <c r="G22" s="213"/>
      <c r="H22" s="213"/>
      <c r="I22" s="213"/>
    </row>
    <row r="23" spans="1:9" s="209" customFormat="1" hidden="1" x14ac:dyDescent="0.2">
      <c r="A23" s="213"/>
      <c r="B23" s="213"/>
      <c r="C23" s="213"/>
      <c r="D23" s="214"/>
      <c r="E23" s="215"/>
      <c r="F23" s="213"/>
      <c r="G23" s="213"/>
      <c r="H23" s="213"/>
      <c r="I23" s="213"/>
    </row>
    <row r="24" spans="1:9" s="209" customFormat="1" hidden="1" x14ac:dyDescent="0.2">
      <c r="A24" s="213"/>
      <c r="B24" s="213"/>
      <c r="C24" s="213"/>
      <c r="D24" s="214"/>
      <c r="E24" s="215"/>
      <c r="F24" s="213"/>
      <c r="G24" s="213"/>
      <c r="H24" s="213"/>
      <c r="I24" s="213"/>
    </row>
    <row r="25" spans="1:9" s="209" customFormat="1" hidden="1" x14ac:dyDescent="0.2">
      <c r="A25" s="213"/>
      <c r="B25" s="213"/>
      <c r="C25" s="213"/>
      <c r="D25" s="214"/>
      <c r="E25" s="215"/>
      <c r="F25" s="213"/>
      <c r="G25" s="213"/>
      <c r="H25" s="213"/>
      <c r="I25" s="213"/>
    </row>
    <row r="26" spans="1:9" s="209" customFormat="1" hidden="1" x14ac:dyDescent="0.2">
      <c r="A26" s="213"/>
      <c r="B26" s="213"/>
      <c r="C26" s="213"/>
      <c r="D26" s="214"/>
      <c r="E26" s="215"/>
      <c r="F26" s="213"/>
      <c r="G26" s="213"/>
      <c r="H26" s="213"/>
      <c r="I26" s="213"/>
    </row>
    <row r="27" spans="1:9" s="209" customFormat="1" hidden="1" x14ac:dyDescent="0.2">
      <c r="A27" s="213"/>
      <c r="B27" s="213"/>
      <c r="C27" s="213"/>
      <c r="D27" s="214"/>
      <c r="E27" s="215"/>
      <c r="F27" s="213"/>
      <c r="G27" s="213"/>
      <c r="H27" s="213"/>
      <c r="I27" s="213"/>
    </row>
    <row r="28" spans="1:9" s="209" customFormat="1" hidden="1" x14ac:dyDescent="0.2">
      <c r="A28" s="213"/>
      <c r="B28" s="213"/>
      <c r="C28" s="213"/>
      <c r="D28" s="214"/>
      <c r="E28" s="215"/>
      <c r="F28" s="213"/>
      <c r="G28" s="213"/>
      <c r="H28" s="213"/>
      <c r="I28" s="213"/>
    </row>
    <row r="29" spans="1:9" s="209" customFormat="1" hidden="1" x14ac:dyDescent="0.2">
      <c r="A29" s="213"/>
      <c r="B29" s="213"/>
      <c r="C29" s="213"/>
      <c r="D29" s="214"/>
      <c r="E29" s="215"/>
      <c r="F29" s="213"/>
      <c r="G29" s="213"/>
      <c r="H29" s="213"/>
      <c r="I29" s="213"/>
    </row>
    <row r="30" spans="1:9" s="209" customFormat="1" hidden="1" x14ac:dyDescent="0.2">
      <c r="A30" s="213"/>
      <c r="B30" s="213"/>
      <c r="C30" s="213"/>
      <c r="D30" s="214"/>
      <c r="E30" s="215"/>
      <c r="F30" s="213"/>
      <c r="G30" s="213"/>
      <c r="H30" s="213"/>
      <c r="I30" s="213"/>
    </row>
    <row r="31" spans="1:9" s="209" customFormat="1" hidden="1" x14ac:dyDescent="0.2">
      <c r="A31" s="213"/>
      <c r="B31" s="213"/>
      <c r="C31" s="213"/>
      <c r="D31" s="214"/>
      <c r="E31" s="215"/>
      <c r="F31" s="213"/>
      <c r="G31" s="213"/>
      <c r="H31" s="213"/>
      <c r="I31" s="213"/>
    </row>
    <row r="32" spans="1:9" s="209" customFormat="1" hidden="1" x14ac:dyDescent="0.2">
      <c r="A32" s="213"/>
      <c r="B32" s="213"/>
      <c r="C32" s="213"/>
      <c r="D32" s="214"/>
      <c r="E32" s="215"/>
      <c r="F32" s="213"/>
      <c r="G32" s="213"/>
      <c r="H32" s="213"/>
      <c r="I32" s="213"/>
    </row>
    <row r="33" spans="1:9" s="209" customFormat="1" hidden="1" x14ac:dyDescent="0.2">
      <c r="A33" s="213"/>
      <c r="B33" s="213"/>
      <c r="C33" s="213"/>
      <c r="D33" s="214"/>
      <c r="E33" s="215"/>
      <c r="F33" s="213"/>
      <c r="G33" s="213"/>
      <c r="H33" s="213"/>
      <c r="I33" s="213"/>
    </row>
    <row r="34" spans="1:9" s="209" customFormat="1" hidden="1" x14ac:dyDescent="0.2">
      <c r="A34" s="213"/>
      <c r="B34" s="213"/>
      <c r="C34" s="213"/>
      <c r="D34" s="214"/>
      <c r="E34" s="215"/>
      <c r="F34" s="213"/>
      <c r="G34" s="213"/>
      <c r="H34" s="213"/>
      <c r="I34" s="213"/>
    </row>
    <row r="35" spans="1:9" s="209" customFormat="1" hidden="1" x14ac:dyDescent="0.2">
      <c r="A35" s="213"/>
      <c r="B35" s="213"/>
      <c r="C35" s="213"/>
      <c r="D35" s="214"/>
      <c r="E35" s="215"/>
      <c r="F35" s="213"/>
      <c r="G35" s="213"/>
      <c r="H35" s="213"/>
      <c r="I35" s="213"/>
    </row>
    <row r="36" spans="1:9" s="209" customFormat="1" hidden="1" x14ac:dyDescent="0.2">
      <c r="A36" s="213"/>
      <c r="B36" s="213"/>
      <c r="C36" s="213"/>
      <c r="D36" s="214"/>
      <c r="E36" s="215"/>
      <c r="F36" s="213"/>
      <c r="G36" s="213"/>
      <c r="H36" s="213"/>
      <c r="I36" s="213"/>
    </row>
    <row r="37" spans="1:9" s="209" customFormat="1" hidden="1" x14ac:dyDescent="0.2">
      <c r="A37" s="213"/>
      <c r="B37" s="213"/>
      <c r="C37" s="213"/>
      <c r="D37" s="214"/>
      <c r="E37" s="215"/>
      <c r="F37" s="213"/>
      <c r="G37" s="213"/>
      <c r="H37" s="213"/>
      <c r="I37" s="213"/>
    </row>
    <row r="38" spans="1:9" s="209" customFormat="1" hidden="1" x14ac:dyDescent="0.2">
      <c r="A38" s="213"/>
      <c r="B38" s="213"/>
      <c r="C38" s="213"/>
      <c r="D38" s="214"/>
      <c r="E38" s="215"/>
      <c r="F38" s="213"/>
      <c r="G38" s="213"/>
      <c r="H38" s="213"/>
      <c r="I38" s="213"/>
    </row>
    <row r="39" spans="1:9" s="209" customFormat="1" hidden="1" x14ac:dyDescent="0.2">
      <c r="A39" s="213"/>
      <c r="B39" s="213"/>
      <c r="C39" s="213"/>
      <c r="D39" s="214"/>
      <c r="E39" s="215"/>
      <c r="F39" s="213"/>
      <c r="G39" s="213"/>
      <c r="H39" s="213"/>
      <c r="I39" s="213"/>
    </row>
    <row r="40" spans="1:9" s="209" customFormat="1" hidden="1" x14ac:dyDescent="0.2">
      <c r="A40" s="213"/>
      <c r="B40" s="213"/>
      <c r="C40" s="213"/>
      <c r="D40" s="214"/>
      <c r="E40" s="215"/>
      <c r="F40" s="213"/>
      <c r="G40" s="213"/>
      <c r="H40" s="213"/>
      <c r="I40" s="213"/>
    </row>
    <row r="41" spans="1:9" s="209" customFormat="1" hidden="1" x14ac:dyDescent="0.2">
      <c r="A41" s="213"/>
      <c r="B41" s="213"/>
      <c r="C41" s="213"/>
      <c r="D41" s="214"/>
      <c r="E41" s="215"/>
      <c r="F41" s="213"/>
      <c r="G41" s="213"/>
      <c r="H41" s="213"/>
      <c r="I41" s="213"/>
    </row>
    <row r="42" spans="1:9" s="209" customFormat="1" hidden="1" x14ac:dyDescent="0.2">
      <c r="A42" s="213"/>
      <c r="B42" s="213"/>
      <c r="C42" s="213"/>
      <c r="D42" s="214"/>
      <c r="E42" s="215"/>
      <c r="F42" s="213"/>
      <c r="G42" s="213"/>
      <c r="H42" s="213"/>
      <c r="I42" s="213"/>
    </row>
    <row r="43" spans="1:9" s="209" customFormat="1" hidden="1" x14ac:dyDescent="0.2">
      <c r="A43" s="213"/>
      <c r="B43" s="213"/>
      <c r="C43" s="213"/>
      <c r="D43" s="214"/>
      <c r="E43" s="215"/>
      <c r="F43" s="213"/>
      <c r="G43" s="213"/>
      <c r="H43" s="213"/>
      <c r="I43" s="213"/>
    </row>
    <row r="44" spans="1:9" s="209" customFormat="1" hidden="1" x14ac:dyDescent="0.2">
      <c r="A44" s="213"/>
      <c r="B44" s="213"/>
      <c r="C44" s="213"/>
      <c r="D44" s="214"/>
      <c r="E44" s="215"/>
      <c r="F44" s="213"/>
      <c r="G44" s="213"/>
      <c r="H44" s="213"/>
      <c r="I44" s="213"/>
    </row>
    <row r="45" spans="1:9" s="209" customFormat="1" hidden="1" x14ac:dyDescent="0.2">
      <c r="A45" s="213"/>
      <c r="B45" s="213"/>
      <c r="C45" s="213"/>
      <c r="D45" s="214"/>
      <c r="E45" s="215"/>
      <c r="F45" s="213"/>
      <c r="G45" s="213"/>
      <c r="H45" s="213"/>
      <c r="I45" s="213"/>
    </row>
    <row r="46" spans="1:9" s="209" customFormat="1" hidden="1" x14ac:dyDescent="0.2">
      <c r="A46" s="213"/>
      <c r="B46" s="213"/>
      <c r="C46" s="213"/>
      <c r="D46" s="214"/>
      <c r="E46" s="215"/>
      <c r="F46" s="213"/>
      <c r="G46" s="213"/>
      <c r="H46" s="213"/>
      <c r="I46" s="213"/>
    </row>
    <row r="47" spans="1:9" s="209" customFormat="1" hidden="1" x14ac:dyDescent="0.2">
      <c r="A47" s="213"/>
      <c r="B47" s="213"/>
      <c r="C47" s="213"/>
      <c r="D47" s="214"/>
      <c r="E47" s="215"/>
      <c r="F47" s="213"/>
      <c r="G47" s="213"/>
      <c r="H47" s="213"/>
      <c r="I47" s="213"/>
    </row>
    <row r="48" spans="1:9" s="209" customFormat="1" hidden="1" x14ac:dyDescent="0.2">
      <c r="A48" s="213"/>
      <c r="B48" s="213"/>
      <c r="C48" s="213"/>
      <c r="D48" s="214"/>
      <c r="E48" s="215"/>
      <c r="F48" s="213"/>
      <c r="G48" s="213"/>
      <c r="H48" s="213"/>
      <c r="I48" s="213"/>
    </row>
    <row r="49" spans="1:9" s="209" customFormat="1" hidden="1" x14ac:dyDescent="0.2">
      <c r="A49" s="213"/>
      <c r="B49" s="213"/>
      <c r="C49" s="213"/>
      <c r="D49" s="214"/>
      <c r="E49" s="215"/>
      <c r="F49" s="213"/>
      <c r="G49" s="213"/>
      <c r="H49" s="213"/>
      <c r="I49" s="213"/>
    </row>
    <row r="50" spans="1:9" s="209" customFormat="1" hidden="1" x14ac:dyDescent="0.2">
      <c r="A50" s="213"/>
      <c r="B50" s="213"/>
      <c r="C50" s="213"/>
      <c r="D50" s="214"/>
      <c r="E50" s="215"/>
      <c r="F50" s="213"/>
      <c r="G50" s="213"/>
      <c r="H50" s="213"/>
      <c r="I50" s="213"/>
    </row>
    <row r="51" spans="1:9" s="209" customFormat="1" hidden="1" x14ac:dyDescent="0.2">
      <c r="A51" s="213"/>
      <c r="B51" s="213"/>
      <c r="C51" s="213"/>
      <c r="D51" s="214"/>
      <c r="E51" s="215"/>
      <c r="F51" s="213"/>
      <c r="G51" s="213"/>
      <c r="H51" s="213"/>
      <c r="I51" s="213"/>
    </row>
    <row r="52" spans="1:9" s="209" customFormat="1" hidden="1" x14ac:dyDescent="0.2">
      <c r="A52" s="213"/>
      <c r="B52" s="213"/>
      <c r="C52" s="213"/>
      <c r="D52" s="214"/>
      <c r="E52" s="215"/>
      <c r="F52" s="213"/>
      <c r="G52" s="213"/>
      <c r="H52" s="213"/>
      <c r="I52" s="213"/>
    </row>
    <row r="53" spans="1:9" s="209" customFormat="1" hidden="1" x14ac:dyDescent="0.2">
      <c r="A53" s="213"/>
      <c r="B53" s="213"/>
      <c r="C53" s="213"/>
      <c r="D53" s="214"/>
      <c r="E53" s="215"/>
      <c r="F53" s="213"/>
      <c r="G53" s="213"/>
      <c r="H53" s="213"/>
      <c r="I53" s="213"/>
    </row>
    <row r="54" spans="1:9" s="209" customFormat="1" hidden="1" x14ac:dyDescent="0.2">
      <c r="A54" s="213"/>
      <c r="B54" s="213"/>
      <c r="C54" s="213"/>
      <c r="D54" s="214"/>
      <c r="E54" s="215"/>
      <c r="F54" s="213"/>
      <c r="G54" s="213"/>
      <c r="H54" s="213"/>
      <c r="I54" s="213"/>
    </row>
    <row r="55" spans="1:9" s="209" customFormat="1" hidden="1" x14ac:dyDescent="0.2">
      <c r="A55" s="213"/>
      <c r="B55" s="213"/>
      <c r="C55" s="213"/>
      <c r="D55" s="214"/>
      <c r="E55" s="215"/>
      <c r="F55" s="213"/>
      <c r="G55" s="213"/>
      <c r="H55" s="213"/>
      <c r="I55" s="213"/>
    </row>
    <row r="56" spans="1:9" s="209" customFormat="1" hidden="1" x14ac:dyDescent="0.2">
      <c r="A56" s="213"/>
      <c r="B56" s="213"/>
      <c r="C56" s="213"/>
      <c r="D56" s="214"/>
      <c r="E56" s="215"/>
      <c r="F56" s="213"/>
      <c r="G56" s="213"/>
      <c r="H56" s="213"/>
      <c r="I56" s="213"/>
    </row>
    <row r="57" spans="1:9" s="209" customFormat="1" hidden="1" x14ac:dyDescent="0.2">
      <c r="A57" s="213"/>
      <c r="B57" s="213"/>
      <c r="C57" s="213"/>
      <c r="D57" s="214"/>
      <c r="E57" s="215"/>
      <c r="F57" s="213"/>
      <c r="G57" s="213"/>
      <c r="H57" s="213"/>
      <c r="I57" s="213"/>
    </row>
    <row r="58" spans="1:9" s="209" customFormat="1" hidden="1" x14ac:dyDescent="0.2">
      <c r="A58" s="213"/>
      <c r="B58" s="213"/>
      <c r="C58" s="213"/>
      <c r="D58" s="214"/>
      <c r="E58" s="215"/>
      <c r="F58" s="213"/>
      <c r="G58" s="213"/>
      <c r="H58" s="213"/>
      <c r="I58" s="213"/>
    </row>
    <row r="59" spans="1:9" s="209" customFormat="1" hidden="1" x14ac:dyDescent="0.2">
      <c r="A59" s="213"/>
      <c r="B59" s="213"/>
      <c r="C59" s="213"/>
      <c r="D59" s="214"/>
      <c r="E59" s="215"/>
      <c r="F59" s="213"/>
      <c r="G59" s="213"/>
      <c r="H59" s="213"/>
      <c r="I59" s="213"/>
    </row>
    <row r="60" spans="1:9" s="209" customFormat="1" hidden="1" x14ac:dyDescent="0.2">
      <c r="A60" s="213"/>
      <c r="B60" s="213"/>
      <c r="C60" s="213"/>
      <c r="D60" s="214"/>
      <c r="E60" s="215"/>
      <c r="F60" s="213"/>
      <c r="G60" s="213"/>
      <c r="H60" s="213"/>
      <c r="I60" s="213"/>
    </row>
    <row r="61" spans="1:9" s="209" customFormat="1" hidden="1" x14ac:dyDescent="0.2">
      <c r="A61" s="213"/>
      <c r="B61" s="213"/>
      <c r="C61" s="213"/>
      <c r="D61" s="214"/>
      <c r="E61" s="215"/>
      <c r="F61" s="213"/>
      <c r="G61" s="213"/>
      <c r="H61" s="213"/>
      <c r="I61" s="213"/>
    </row>
    <row r="62" spans="1:9" s="209" customFormat="1" hidden="1" x14ac:dyDescent="0.2">
      <c r="A62" s="213"/>
      <c r="B62" s="213"/>
      <c r="C62" s="213"/>
      <c r="D62" s="214"/>
      <c r="E62" s="215"/>
      <c r="F62" s="213"/>
      <c r="G62" s="213"/>
      <c r="H62" s="213"/>
      <c r="I62" s="213"/>
    </row>
    <row r="63" spans="1:9" s="209" customFormat="1" hidden="1" x14ac:dyDescent="0.2">
      <c r="A63" s="213"/>
      <c r="B63" s="213"/>
      <c r="C63" s="213"/>
      <c r="D63" s="214"/>
      <c r="E63" s="215"/>
      <c r="F63" s="213"/>
      <c r="G63" s="213"/>
      <c r="H63" s="213"/>
      <c r="I63" s="213"/>
    </row>
    <row r="64" spans="1:9" s="209" customFormat="1" hidden="1" x14ac:dyDescent="0.2">
      <c r="A64" s="213"/>
      <c r="B64" s="213"/>
      <c r="C64" s="213"/>
      <c r="D64" s="214"/>
      <c r="E64" s="215"/>
      <c r="F64" s="213"/>
      <c r="G64" s="213"/>
      <c r="H64" s="213"/>
      <c r="I64" s="213"/>
    </row>
    <row r="65" spans="1:9" s="209" customFormat="1" hidden="1" x14ac:dyDescent="0.2">
      <c r="A65" s="213"/>
      <c r="B65" s="213"/>
      <c r="C65" s="213"/>
      <c r="D65" s="214"/>
      <c r="E65" s="215"/>
      <c r="F65" s="213"/>
      <c r="G65" s="213"/>
      <c r="H65" s="213"/>
      <c r="I65" s="213"/>
    </row>
    <row r="66" spans="1:9" s="209" customFormat="1" hidden="1" x14ac:dyDescent="0.2">
      <c r="A66" s="213"/>
      <c r="B66" s="213"/>
      <c r="C66" s="213"/>
      <c r="D66" s="214"/>
      <c r="E66" s="215"/>
      <c r="F66" s="213"/>
      <c r="G66" s="213"/>
      <c r="H66" s="213"/>
      <c r="I66" s="213"/>
    </row>
    <row r="67" spans="1:9" s="209" customFormat="1" hidden="1" x14ac:dyDescent="0.2">
      <c r="A67" s="213"/>
      <c r="B67" s="213"/>
      <c r="C67" s="213"/>
      <c r="D67" s="214"/>
      <c r="E67" s="215"/>
      <c r="F67" s="213"/>
      <c r="G67" s="213"/>
      <c r="H67" s="213"/>
      <c r="I67" s="213"/>
    </row>
    <row r="68" spans="1:9" s="209" customFormat="1" hidden="1" x14ac:dyDescent="0.2">
      <c r="A68" s="213"/>
      <c r="B68" s="213"/>
      <c r="C68" s="213"/>
      <c r="D68" s="214"/>
      <c r="E68" s="215"/>
      <c r="F68" s="213"/>
      <c r="G68" s="213"/>
      <c r="H68" s="213"/>
      <c r="I68" s="213"/>
    </row>
    <row r="69" spans="1:9" s="209" customFormat="1" hidden="1" x14ac:dyDescent="0.2">
      <c r="A69" s="213"/>
      <c r="B69" s="213"/>
      <c r="C69" s="213"/>
      <c r="D69" s="214"/>
      <c r="E69" s="215"/>
      <c r="F69" s="213"/>
      <c r="G69" s="213"/>
      <c r="H69" s="213"/>
      <c r="I69" s="213"/>
    </row>
    <row r="70" spans="1:9" s="209" customFormat="1" hidden="1" x14ac:dyDescent="0.2">
      <c r="A70" s="213"/>
      <c r="B70" s="213"/>
      <c r="C70" s="213"/>
      <c r="D70" s="214"/>
      <c r="E70" s="215"/>
      <c r="F70" s="213"/>
      <c r="G70" s="213"/>
      <c r="H70" s="213"/>
      <c r="I70" s="213"/>
    </row>
    <row r="71" spans="1:9" s="209" customFormat="1" hidden="1" x14ac:dyDescent="0.2">
      <c r="A71" s="213"/>
      <c r="B71" s="213"/>
      <c r="C71" s="213"/>
      <c r="D71" s="214"/>
      <c r="E71" s="215"/>
      <c r="F71" s="213"/>
      <c r="G71" s="213"/>
      <c r="H71" s="213"/>
      <c r="I71" s="213"/>
    </row>
    <row r="72" spans="1:9" s="209" customFormat="1" hidden="1" x14ac:dyDescent="0.2">
      <c r="A72" s="213"/>
      <c r="B72" s="213"/>
      <c r="C72" s="213"/>
      <c r="D72" s="214"/>
      <c r="E72" s="215"/>
      <c r="F72" s="213"/>
      <c r="G72" s="213"/>
      <c r="H72" s="213"/>
      <c r="I72" s="213"/>
    </row>
    <row r="73" spans="1:9" s="209" customFormat="1" hidden="1" x14ac:dyDescent="0.2">
      <c r="A73" s="213"/>
      <c r="B73" s="213"/>
      <c r="C73" s="213"/>
      <c r="D73" s="214"/>
      <c r="E73" s="215"/>
      <c r="F73" s="213"/>
      <c r="G73" s="213"/>
      <c r="H73" s="213"/>
      <c r="I73" s="213"/>
    </row>
    <row r="74" spans="1:9" s="209" customFormat="1" hidden="1" x14ac:dyDescent="0.2">
      <c r="A74" s="213"/>
      <c r="B74" s="213"/>
      <c r="C74" s="213"/>
      <c r="D74" s="214"/>
      <c r="E74" s="215"/>
      <c r="F74" s="213"/>
      <c r="G74" s="213"/>
      <c r="H74" s="213"/>
      <c r="I74" s="213"/>
    </row>
    <row r="75" spans="1:9" s="209" customFormat="1" hidden="1" x14ac:dyDescent="0.2">
      <c r="A75" s="213"/>
      <c r="B75" s="213"/>
      <c r="C75" s="213"/>
      <c r="D75" s="214"/>
      <c r="E75" s="215"/>
      <c r="F75" s="213"/>
      <c r="G75" s="213"/>
      <c r="H75" s="213"/>
      <c r="I75" s="213"/>
    </row>
    <row r="76" spans="1:9" s="209" customFormat="1" hidden="1" x14ac:dyDescent="0.2">
      <c r="A76" s="213"/>
      <c r="B76" s="213"/>
      <c r="C76" s="213"/>
      <c r="D76" s="214"/>
      <c r="E76" s="215"/>
      <c r="F76" s="213"/>
      <c r="G76" s="213"/>
      <c r="H76" s="213"/>
      <c r="I76" s="213"/>
    </row>
    <row r="77" spans="1:9" s="209" customFormat="1" hidden="1" x14ac:dyDescent="0.2">
      <c r="A77" s="213"/>
      <c r="B77" s="213"/>
      <c r="C77" s="213"/>
      <c r="D77" s="214"/>
      <c r="E77" s="215"/>
      <c r="F77" s="213"/>
      <c r="G77" s="213"/>
      <c r="H77" s="213"/>
      <c r="I77" s="213"/>
    </row>
    <row r="78" spans="1:9" s="209" customFormat="1" hidden="1" x14ac:dyDescent="0.2">
      <c r="A78" s="213"/>
      <c r="B78" s="213"/>
      <c r="C78" s="213"/>
      <c r="D78" s="214"/>
      <c r="E78" s="215"/>
      <c r="F78" s="213"/>
      <c r="G78" s="213"/>
      <c r="H78" s="213"/>
      <c r="I78" s="213"/>
    </row>
    <row r="79" spans="1:9" s="209" customFormat="1" hidden="1" x14ac:dyDescent="0.2">
      <c r="A79" s="213"/>
      <c r="B79" s="213"/>
      <c r="C79" s="213"/>
      <c r="D79" s="214"/>
      <c r="E79" s="215"/>
      <c r="F79" s="213"/>
      <c r="G79" s="213"/>
      <c r="H79" s="213"/>
      <c r="I79" s="213"/>
    </row>
    <row r="80" spans="1:9" s="209" customFormat="1" hidden="1" x14ac:dyDescent="0.2">
      <c r="A80" s="213"/>
      <c r="B80" s="213"/>
      <c r="C80" s="213"/>
      <c r="D80" s="214"/>
      <c r="E80" s="215"/>
      <c r="F80" s="213"/>
      <c r="G80" s="213"/>
      <c r="H80" s="213"/>
      <c r="I80" s="213"/>
    </row>
    <row r="81" spans="1:9" s="209" customFormat="1" hidden="1" x14ac:dyDescent="0.2">
      <c r="A81" s="213"/>
      <c r="B81" s="213"/>
      <c r="C81" s="213"/>
      <c r="D81" s="214"/>
      <c r="E81" s="215"/>
      <c r="F81" s="213"/>
      <c r="G81" s="213"/>
      <c r="H81" s="213"/>
      <c r="I81" s="213"/>
    </row>
    <row r="82" spans="1:9" s="209" customFormat="1" hidden="1" x14ac:dyDescent="0.2">
      <c r="A82" s="213"/>
      <c r="B82" s="213"/>
      <c r="C82" s="213"/>
      <c r="D82" s="214"/>
      <c r="E82" s="215"/>
      <c r="F82" s="213"/>
      <c r="G82" s="213"/>
      <c r="H82" s="213"/>
      <c r="I82" s="213"/>
    </row>
    <row r="83" spans="1:9" s="209" customFormat="1" hidden="1" x14ac:dyDescent="0.2">
      <c r="A83" s="213"/>
      <c r="B83" s="213"/>
      <c r="C83" s="213"/>
      <c r="D83" s="214"/>
      <c r="E83" s="215"/>
      <c r="F83" s="213"/>
      <c r="G83" s="213"/>
      <c r="H83" s="213"/>
      <c r="I83" s="213"/>
    </row>
    <row r="84" spans="1:9" s="209" customFormat="1" hidden="1" x14ac:dyDescent="0.2">
      <c r="A84" s="213"/>
      <c r="B84" s="213"/>
      <c r="C84" s="213"/>
      <c r="D84" s="214"/>
      <c r="E84" s="215"/>
      <c r="F84" s="213"/>
      <c r="G84" s="213"/>
      <c r="H84" s="213"/>
      <c r="I84" s="213"/>
    </row>
    <row r="85" spans="1:9" s="209" customFormat="1" hidden="1" x14ac:dyDescent="0.2">
      <c r="A85" s="213"/>
      <c r="B85" s="213"/>
      <c r="C85" s="213"/>
      <c r="D85" s="214"/>
      <c r="E85" s="215"/>
      <c r="F85" s="213"/>
      <c r="G85" s="213"/>
      <c r="H85" s="213"/>
      <c r="I85" s="213"/>
    </row>
    <row r="86" spans="1:9" s="209" customFormat="1" hidden="1" x14ac:dyDescent="0.2">
      <c r="A86" s="213"/>
      <c r="B86" s="213"/>
      <c r="C86" s="213"/>
      <c r="D86" s="214"/>
      <c r="E86" s="215"/>
      <c r="F86" s="213"/>
      <c r="G86" s="213"/>
      <c r="H86" s="213"/>
      <c r="I86" s="213"/>
    </row>
    <row r="87" spans="1:9" s="209" customFormat="1" hidden="1" x14ac:dyDescent="0.2">
      <c r="A87" s="213"/>
      <c r="B87" s="213"/>
      <c r="C87" s="213"/>
      <c r="D87" s="214"/>
      <c r="E87" s="215"/>
      <c r="F87" s="213"/>
      <c r="G87" s="213"/>
      <c r="H87" s="213"/>
      <c r="I87" s="213"/>
    </row>
    <row r="88" spans="1:9" s="209" customFormat="1" hidden="1" x14ac:dyDescent="0.2">
      <c r="A88" s="213"/>
      <c r="B88" s="213"/>
      <c r="C88" s="213"/>
      <c r="D88" s="214"/>
      <c r="E88" s="215"/>
      <c r="F88" s="213"/>
      <c r="G88" s="213"/>
      <c r="H88" s="213"/>
      <c r="I88" s="213"/>
    </row>
    <row r="89" spans="1:9" s="209" customFormat="1" hidden="1" x14ac:dyDescent="0.2">
      <c r="A89" s="213"/>
      <c r="B89" s="213"/>
      <c r="C89" s="213"/>
      <c r="D89" s="214"/>
      <c r="E89" s="215"/>
      <c r="F89" s="213"/>
      <c r="G89" s="213"/>
      <c r="H89" s="213"/>
      <c r="I89" s="213"/>
    </row>
    <row r="90" spans="1:9" s="209" customFormat="1" hidden="1" x14ac:dyDescent="0.2">
      <c r="A90" s="213"/>
      <c r="B90" s="213"/>
      <c r="C90" s="213"/>
      <c r="D90" s="214"/>
      <c r="E90" s="215"/>
      <c r="F90" s="213"/>
      <c r="G90" s="213"/>
      <c r="H90" s="213"/>
      <c r="I90" s="213"/>
    </row>
    <row r="91" spans="1:9" s="209" customFormat="1" hidden="1" x14ac:dyDescent="0.2">
      <c r="A91" s="213"/>
      <c r="B91" s="213"/>
      <c r="C91" s="213"/>
      <c r="D91" s="214"/>
      <c r="E91" s="215"/>
      <c r="F91" s="213"/>
      <c r="G91" s="213"/>
      <c r="H91" s="213"/>
      <c r="I91" s="213"/>
    </row>
    <row r="92" spans="1:9" s="209" customFormat="1" hidden="1" x14ac:dyDescent="0.2">
      <c r="A92" s="213"/>
      <c r="B92" s="213"/>
      <c r="C92" s="213"/>
      <c r="D92" s="214"/>
      <c r="E92" s="215"/>
      <c r="F92" s="213"/>
      <c r="G92" s="213"/>
      <c r="H92" s="213"/>
      <c r="I92" s="213"/>
    </row>
    <row r="93" spans="1:9" s="209" customFormat="1" hidden="1" x14ac:dyDescent="0.2">
      <c r="A93" s="213"/>
      <c r="B93" s="213"/>
      <c r="C93" s="213"/>
      <c r="D93" s="214"/>
      <c r="E93" s="215"/>
      <c r="F93" s="213"/>
      <c r="G93" s="213"/>
      <c r="H93" s="213"/>
      <c r="I93" s="213"/>
    </row>
    <row r="94" spans="1:9" s="209" customFormat="1" ht="13.5" hidden="1" thickBot="1" x14ac:dyDescent="0.25">
      <c r="A94" s="213"/>
      <c r="B94" s="213"/>
      <c r="C94" s="213"/>
      <c r="D94" s="214"/>
      <c r="E94" s="215"/>
      <c r="F94" s="213"/>
      <c r="G94" s="213"/>
      <c r="H94" s="213"/>
      <c r="I94" s="213"/>
    </row>
    <row r="95" spans="1:9" ht="22.5" customHeight="1" thickBot="1" x14ac:dyDescent="0.25">
      <c r="A95" s="216"/>
      <c r="B95" s="216"/>
      <c r="C95" s="217" t="s">
        <v>273</v>
      </c>
      <c r="D95" s="218">
        <f>SUM(D5:D94)</f>
        <v>1716.3100000000002</v>
      </c>
      <c r="E95" s="216"/>
      <c r="F95" s="216"/>
      <c r="G95" s="216"/>
      <c r="H95" s="219"/>
      <c r="I95" s="219"/>
    </row>
    <row r="510" spans="6:6" ht="25.5" hidden="1" x14ac:dyDescent="0.2">
      <c r="F510" s="198" t="s">
        <v>224</v>
      </c>
    </row>
    <row r="511" spans="6:6" ht="25.5" hidden="1" x14ac:dyDescent="0.2">
      <c r="F511" s="198" t="s">
        <v>225</v>
      </c>
    </row>
    <row r="512" spans="6:6" ht="25.5" hidden="1" x14ac:dyDescent="0.2">
      <c r="F512" s="198" t="s">
        <v>226</v>
      </c>
    </row>
    <row r="513" spans="6:6" ht="25.5" hidden="1" x14ac:dyDescent="0.2">
      <c r="F513" s="198" t="s">
        <v>227</v>
      </c>
    </row>
    <row r="514" spans="6:6" ht="38.25" hidden="1" x14ac:dyDescent="0.2">
      <c r="F514" s="198" t="s">
        <v>228</v>
      </c>
    </row>
    <row r="515" spans="6:6" ht="25.5" hidden="1" x14ac:dyDescent="0.2">
      <c r="F515" s="198" t="s">
        <v>229</v>
      </c>
    </row>
    <row r="516" spans="6:6" ht="38.25" hidden="1" x14ac:dyDescent="0.2">
      <c r="F516" s="198" t="s">
        <v>230</v>
      </c>
    </row>
    <row r="517" spans="6:6" ht="51" hidden="1" x14ac:dyDescent="0.2">
      <c r="F517" s="198" t="s">
        <v>231</v>
      </c>
    </row>
    <row r="518" spans="6:6" hidden="1" x14ac:dyDescent="0.2">
      <c r="F518" s="198" t="s">
        <v>232</v>
      </c>
    </row>
    <row r="519" spans="6:6" ht="25.5" hidden="1" x14ac:dyDescent="0.2">
      <c r="F519" s="198" t="s">
        <v>233</v>
      </c>
    </row>
    <row r="520" spans="6:6" hidden="1" x14ac:dyDescent="0.2">
      <c r="F520" s="198" t="s">
        <v>234</v>
      </c>
    </row>
    <row r="521" spans="6:6" ht="25.5" hidden="1" x14ac:dyDescent="0.2">
      <c r="F521" s="198" t="s">
        <v>235</v>
      </c>
    </row>
    <row r="522" spans="6:6" hidden="1" x14ac:dyDescent="0.2">
      <c r="F522" s="198" t="s">
        <v>72</v>
      </c>
    </row>
    <row r="523" spans="6:6" hidden="1" x14ac:dyDescent="0.2"/>
    <row r="524" spans="6:6" hidden="1" x14ac:dyDescent="0.2"/>
  </sheetData>
  <sheetProtection sheet="1" objects="1" scenarios="1" formatRows="0" insertRows="0"/>
  <mergeCells count="3">
    <mergeCell ref="A3:I3"/>
    <mergeCell ref="A1:I1"/>
    <mergeCell ref="A2:I2"/>
  </mergeCells>
  <phoneticPr fontId="0" type="noConversion"/>
  <dataValidations count="1">
    <dataValidation type="list" allowBlank="1" showInputMessage="1" showErrorMessage="1" sqref="C5:C94" xr:uid="{00000000-0002-0000-0800-000000000000}">
      <formula1>$F$510:$F$523</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39</vt:i4>
      </vt:variant>
    </vt:vector>
  </HeadingPairs>
  <TitlesOfParts>
    <vt:vector size="57" baseType="lpstr">
      <vt:lpstr>Capa</vt:lpstr>
      <vt:lpstr>Análises</vt:lpstr>
      <vt:lpstr>Resumo</vt:lpstr>
      <vt:lpstr>Comparativo</vt:lpstr>
      <vt:lpstr>Gasto das Atividades</vt:lpstr>
      <vt:lpstr>Analítico Cx.</vt:lpstr>
      <vt:lpstr>Analítico Cp.</vt:lpstr>
      <vt:lpstr>Prov. Pessoal</vt:lpstr>
      <vt:lpstr>Bens</vt:lpstr>
      <vt:lpstr>Comp.</vt:lpstr>
      <vt:lpstr>Diário 1º PA</vt:lpstr>
      <vt:lpstr>Diário 2º PA</vt:lpstr>
      <vt:lpstr>Diário 3º PA</vt:lpstr>
      <vt:lpstr>Diário 4º PA</vt:lpstr>
      <vt:lpstr>Reserva</vt:lpstr>
      <vt:lpstr>Lista de Pessoal</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1º PA'!Area_de_impressao</vt:lpstr>
      <vt:lpstr>'Diário 2º PA'!Area_de_impressao</vt:lpstr>
      <vt:lpstr>'Diário 3º PA'!Area_de_impressao</vt:lpstr>
      <vt:lpstr>'Diário 4º PA'!Area_de_impressao</vt:lpstr>
      <vt:lpstr>'Gasto das Atividades'!Area_de_impressao</vt:lpstr>
      <vt:lpstr>'Lista de Pessoal'!Area_de_impressao</vt:lpstr>
      <vt:lpstr>'Prov. Pessoal'!Area_de_impressao</vt:lpstr>
      <vt:lpstr>Reserva!Area_de_impressao</vt:lpstr>
      <vt:lpstr>Resumo!Area_de_impressao</vt:lpstr>
      <vt:lpstr>área_destinada</vt:lpstr>
      <vt:lpstr>Categorias</vt:lpstr>
      <vt:lpstr>Conta</vt:lpstr>
      <vt:lpstr>Gastos_com_Pessoal</vt:lpstr>
      <vt:lpstr>Gastos_custeados_por_captação</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1º PA'!Titulos_de_impressao</vt:lpstr>
      <vt:lpstr>'Diário 2º PA'!Titulos_de_impressao</vt:lpstr>
      <vt:lpstr>'Diário 3º PA'!Titulos_de_impressao</vt:lpstr>
      <vt:lpstr>'Diário 4º PA'!Titulos_de_impressao</vt:lpstr>
      <vt:lpstr>Reserva!Titulos_de_impressao</vt:lpstr>
      <vt:lpstr>Resumo!Titulos_de_impressao</vt:lpstr>
      <vt:lpstr>Transferência_para_Reserva_de_Recursos</vt:lpstr>
    </vt:vector>
  </TitlesOfParts>
  <Company>Particular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Checagem</cp:lastModifiedBy>
  <cp:lastPrinted>2023-01-11T13:01:46Z</cp:lastPrinted>
  <dcterms:created xsi:type="dcterms:W3CDTF">2007-03-19T18:09:20Z</dcterms:created>
  <dcterms:modified xsi:type="dcterms:W3CDTF">2023-01-11T13:07:25Z</dcterms:modified>
</cp:coreProperties>
</file>